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44.xml" ContentType="application/vnd.openxmlformats-officedocument.spreadsheetml.worksheet+xml"/>
  <Override PartName="/xl/worksheets/sheet53.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42.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xl/drawings/drawing13.xml" ContentType="application/vnd.openxmlformats-officedocument.drawing+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worksheets/sheet29.xml" ContentType="application/vnd.openxmlformats-officedocument.spreadsheetml.worksheet+xml"/>
  <Override PartName="/xl/worksheets/sheet38.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45.xml" ContentType="application/vnd.openxmlformats-officedocument.spreadsheetml.worksheet+xml"/>
  <Override PartName="/xl/worksheets/sheet54.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Default Extension="emf" ContentType="image/x-emf"/>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harts/chart1.xml" ContentType="application/vnd.openxmlformats-officedocument.drawingml.chart+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0" windowWidth="19220" windowHeight="3950" tabRatio="658" firstSheet="33" activeTab="33"/>
  </bookViews>
  <sheets>
    <sheet sheetId="1" state="veryHidden" r:id="rId1" name="Caratula"/>
    <sheet sheetId="2" state="veryHidden" r:id="rId2" name="Accionistas"/>
    <sheet sheetId="3" state="veryHidden" r:id="rId3" name="Juntas"/>
    <sheet sheetId="57" state="veryHidden" r:id="rId4" name="BalancesAnuales"/>
    <sheet sheetId="56" state="veryHidden" r:id="rId5" name="BalancesMensuales"/>
    <sheet sheetId="55" state="veryHidden" r:id="rId6" name="NotasFinancieras"/>
    <sheet sheetId="54" state="veryHidden" r:id="rId7" name="NitAnioNIIF"/>
    <sheet sheetId="53" state="veryHidden" r:id="rId8" name="Validacion"/>
    <sheet sheetId="52" state="veryHidden" r:id="rId9" name="Sube"/>
    <sheet sheetId="51" state="veryHidden" r:id="rId10" name="Fortalezas"/>
    <sheet sheetId="50" state="veryHidden" r:id="rId11" name="BalancesAnuales1"/>
    <sheet sheetId="49" state="veryHidden" r:id="rId12" name="BalancesMensuales1"/>
    <sheet sheetId="48" state="veryHidden" r:id="rId13" name="Caratula1"/>
    <sheet sheetId="47" state="veryHidden" r:id="rId14" name="NitAnioNIIF1"/>
    <sheet sheetId="46" state="veryHidden" r:id="rId15" name="Ejecutivos1"/>
    <sheet sheetId="45" state="veryHidden" r:id="rId16" name="Accionistas1"/>
    <sheet sheetId="44" state="veryHidden" r:id="rId17" name="GarantiasEmpXRib"/>
    <sheet sheetId="43" state="veryHidden" r:id="rId18" name="CPagoExternoHist"/>
    <sheet sheetId="42" state="veryHidden" r:id="rId19" name="CPagoExternoPeriodos"/>
    <sheet sheetId="41" state="veryHidden" r:id="rId20" name="OperacionesEmpXRib"/>
    <sheet sheetId="40" state="veryHidden" r:id="rId21" name="PresenciaCliente"/>
    <sheet sheetId="39" state="veryHidden" r:id="rId22" name="InstalacionesxEmpXRib"/>
    <sheet sheetId="38" state="veryHidden" r:id="rId23" name="CompetidoresRib"/>
    <sheet sheetId="37" state="veryHidden" r:id="rId24" name="ProveedoresRib"/>
    <sheet sheetId="36" state="veryHidden" r:id="rId25" name="ClientesRIB"/>
    <sheet sheetId="35" state="veryHidden" r:id="rId26" name="ProductosRIB"/>
    <sheet sheetId="34" state="veryHidden" r:id="rId27" name="InformacionRIB"/>
    <sheet sheetId="33" state="veryHidden" r:id="rId28" name="NotasFinancieras1"/>
    <sheet sheetId="32" state="veryHidden" r:id="rId29" name="OperacionesEmpXRibSUBE"/>
    <sheet sheetId="31" state="veryHidden" r:id="rId30" name="LimPropuestosCRED"/>
    <sheet sheetId="30" state="veryHidden" r:id="rId31" name="GarantiaPresentacion"/>
    <sheet sheetId="29" state="veryHidden" r:id="rId32" name="GarantiasEmpXRibSube"/>
    <sheet sheetId="28" state="veryHidden" r:id="rId33" name="Valida_Trabajo"/>
    <sheet sheetId="27" r:id="rId34" name="RC"/>
    <sheet sheetId="26" r:id="rId35" name="Presentación"/>
    <sheet sheetId="25" r:id="rId36" name="Accionistas y Juntas"/>
    <sheet sheetId="23" r:id="rId37" name="Estados Financieros"/>
    <sheet sheetId="59" r:id="rId38" name="SPREAD"/>
    <sheet sheetId="60" r:id="rId39" name="ESTADO CAMBIOS"/>
    <sheet sheetId="61" r:id="rId40" name="CK LIST INT"/>
    <sheet sheetId="62" r:id="rId41" name="M CIR"/>
    <sheet sheetId="63" r:id="rId42" name="CXC"/>
    <sheet sheetId="64" r:id="rId43" name="Deuda Finan"/>
    <sheet sheetId="65" r:id="rId44" name="Indicadores"/>
    <sheet sheetId="66" r:id="rId45" name="Proyecciones Cliente"/>
    <sheet sheetId="67" r:id="rId46" name="Proyecciones Sensibilizado"/>
    <sheet sheetId="68" r:id="rId47" name="Resumen de Cifras"/>
    <sheet sheetId="69" r:id="rId48" name="Detalle de otras cuentas"/>
    <sheet sheetId="70" r:id="rId49" name="Flujo Historico"/>
    <sheet sheetId="71" r:id="rId50" name="Comparativo"/>
    <sheet sheetId="58" r:id="rId51" name="Validación CR"/>
    <sheet sheetId="22" r:id="rId52" name="Resumen"/>
    <sheet sheetId="21" r:id="rId53" name="Proyecciones Primer Año"/>
    <sheet sheetId="20" r:id="rId54" name="Balances y Proyecciones"/>
    <sheet sheetId="19" r:id="rId55" name="Hoja de Trabajo"/>
    <sheet sheetId="18" r:id="rId56" name="CIFIN"/>
    <sheet sheetId="17" r:id="rId57" name="Hoja de Estudio"/>
    <sheet sheetId="16" r:id="rId58" name="Flujo de Caja Proyecto"/>
    <sheet sheetId="15" r:id="rId59" name="Endeudamien_to"/>
  </sheets>
  <definedNames>
    <definedName name="_xlnm._FilterDatabase">Flujo Historico!$A$1:$G$83</definedName>
    <definedName name="_xlcn.WorksheetConnection_ProyeccionesClienteB13J14">Proyecciones Cliente!$B$13:$J$14</definedName>
    <definedName name="_xlnm.Print_Area">Presentación!$A$2:$N$35</definedName>
  </definedNames>
  <calcPr calcId="125725" fullCalcOnLoad="true"/>
</workbook>
</file>

<file path=xl/calcChain.xml><?xml version="1.0" encoding="utf-8"?>
<calcChain xmlns="http://schemas.openxmlformats.org/spreadsheetml/2006/main">
  <c r="G4" i="23"/>
  <c r="E470" l="1"/>
  <c r="I469"/>
  <c r="H469"/>
  <c r="G469"/>
  <c r="F469"/>
  <c r="E469"/>
  <c r="U457"/>
  <c r="U375"/>
  <c r="U366"/>
  <c r="U356"/>
  <c r="U328"/>
  <c r="U301"/>
  <c r="U300"/>
  <c r="U299"/>
  <c r="U298"/>
  <c r="U297"/>
  <c r="U296"/>
  <c r="U259"/>
  <c r="U258"/>
  <c r="U232"/>
  <c r="U231"/>
  <c r="U230"/>
  <c r="U229"/>
  <c r="U228"/>
  <c r="U227"/>
  <c r="U220"/>
  <c r="U182"/>
  <c r="U140"/>
  <c r="U96"/>
  <c r="U94"/>
  <c r="U89"/>
  <c r="U79"/>
  <c r="U78"/>
  <c r="U77"/>
  <c r="U75"/>
  <c r="U67"/>
  <c r="U66"/>
  <c r="U65"/>
  <c r="E9"/>
  <c r="H8"/>
  <c r="I8" s="1"/>
  <c r="G8"/>
  <c r="M4" s="1"/>
  <c r="F8"/>
  <c r="E8"/>
  <c r="H4"/>
  <c r="M24" s="1"/>
  <c r="M23" s="1"/>
  <c r="M22" s="1"/>
  <c r="M21" s="1"/>
  <c r="M20" s="1"/>
  <c r="F4"/>
  <c r="D3"/>
  <c r="D2"/>
  <c r="I1"/>
  <c r="B16" i="71"/>
  <c r="B14"/>
  <c r="D80" i="70"/>
  <c r="F74"/>
  <c r="E74"/>
  <c r="D74"/>
  <c r="F73"/>
  <c r="E73"/>
  <c r="D73"/>
  <c r="F72"/>
  <c r="E72"/>
  <c r="D72"/>
  <c r="F71"/>
  <c r="E71"/>
  <c r="D71"/>
  <c r="F70"/>
  <c r="E70"/>
  <c r="D70"/>
  <c r="F69"/>
  <c r="E69"/>
  <c r="D69"/>
  <c r="F68"/>
  <c r="E68"/>
  <c r="D68"/>
  <c r="G67"/>
  <c r="F67"/>
  <c r="E67"/>
  <c r="D67"/>
  <c r="B67"/>
  <c r="G66"/>
  <c r="F66"/>
  <c r="E66"/>
  <c r="D66"/>
  <c r="B66" s="1"/>
  <c r="F65"/>
  <c r="E65"/>
  <c r="D65"/>
  <c r="G42"/>
  <c r="F42"/>
  <c r="B42" s="1"/>
  <c r="E42"/>
  <c r="D42"/>
  <c r="F28"/>
  <c r="E28"/>
  <c r="D28"/>
  <c r="F22"/>
  <c r="E22"/>
  <c r="D22"/>
  <c r="D7"/>
  <c r="F1"/>
  <c r="A156" i="68"/>
  <c r="A155"/>
  <c r="A154"/>
  <c r="A153"/>
  <c r="A152"/>
  <c r="A151"/>
  <c r="A150"/>
  <c r="A149"/>
  <c r="A148"/>
  <c r="A147"/>
  <c r="A146"/>
  <c r="A145"/>
  <c r="A144"/>
  <c r="A143"/>
  <c r="A142"/>
  <c r="A141"/>
  <c r="A140"/>
  <c r="A139"/>
  <c r="A138"/>
  <c r="A137"/>
  <c r="A136"/>
  <c r="A135"/>
  <c r="A134"/>
  <c r="A133"/>
  <c r="A132"/>
  <c r="A131"/>
  <c r="A130"/>
  <c r="A129"/>
  <c r="A128"/>
  <c r="A127"/>
  <c r="A126"/>
  <c r="C124"/>
  <c r="I108"/>
  <c r="H108"/>
  <c r="I107"/>
  <c r="H107"/>
  <c r="I104"/>
  <c r="H104"/>
  <c r="G104"/>
  <c r="H102"/>
  <c r="H93"/>
  <c r="H103" s="1"/>
  <c r="I91"/>
  <c r="I102" s="1"/>
  <c r="H91"/>
  <c r="H97" s="1"/>
  <c r="H105" s="1"/>
  <c r="G91"/>
  <c r="G102" s="1"/>
  <c r="I88"/>
  <c r="I101" s="1"/>
  <c r="H88"/>
  <c r="H101" s="1"/>
  <c r="G88"/>
  <c r="G93" s="1"/>
  <c r="G103" s="1"/>
  <c r="D86"/>
  <c r="D124" s="1"/>
  <c r="C86"/>
  <c r="B86"/>
  <c r="B124" s="1"/>
  <c r="C78"/>
  <c r="C70"/>
  <c r="C80" s="1"/>
  <c r="P66"/>
  <c r="O66"/>
  <c r="N66"/>
  <c r="P65"/>
  <c r="O65"/>
  <c r="N65"/>
  <c r="P64"/>
  <c r="O64"/>
  <c r="N64"/>
  <c r="AC63"/>
  <c r="AB63"/>
  <c r="AA63"/>
  <c r="Z63"/>
  <c r="Y63"/>
  <c r="X63"/>
  <c r="W63"/>
  <c r="V63"/>
  <c r="D46"/>
  <c r="B46"/>
  <c r="B42"/>
  <c r="D42" s="1"/>
  <c r="B1"/>
  <c r="H134" s="1"/>
  <c r="B23" i="67"/>
  <c r="B20"/>
  <c r="B11"/>
  <c r="J93" i="66"/>
  <c r="I93"/>
  <c r="H93"/>
  <c r="G93"/>
  <c r="F93"/>
  <c r="E93"/>
  <c r="D93"/>
  <c r="C93"/>
  <c r="J90"/>
  <c r="I90"/>
  <c r="H90"/>
  <c r="G90"/>
  <c r="F90"/>
  <c r="E90"/>
  <c r="D90"/>
  <c r="C90"/>
  <c r="J88"/>
  <c r="I88"/>
  <c r="H88"/>
  <c r="G88"/>
  <c r="F88"/>
  <c r="E88"/>
  <c r="D88"/>
  <c r="C88"/>
  <c r="J86"/>
  <c r="I86"/>
  <c r="H86"/>
  <c r="G86"/>
  <c r="F86"/>
  <c r="E86"/>
  <c r="D86"/>
  <c r="I83"/>
  <c r="J84" s="1"/>
  <c r="H83"/>
  <c r="I84" s="1"/>
  <c r="G83"/>
  <c r="G84" s="1"/>
  <c r="F83"/>
  <c r="E83"/>
  <c r="E84" s="1"/>
  <c r="D83"/>
  <c r="C83"/>
  <c r="J82"/>
  <c r="I82"/>
  <c r="H82"/>
  <c r="G82"/>
  <c r="F82"/>
  <c r="E82"/>
  <c r="D82"/>
  <c r="C82"/>
  <c r="J80"/>
  <c r="I80"/>
  <c r="H80"/>
  <c r="G80"/>
  <c r="F80"/>
  <c r="E80"/>
  <c r="D80"/>
  <c r="C80"/>
  <c r="J78"/>
  <c r="I78"/>
  <c r="H78"/>
  <c r="G78"/>
  <c r="F78"/>
  <c r="E78"/>
  <c r="D78"/>
  <c r="C78"/>
  <c r="J76"/>
  <c r="I76"/>
  <c r="H76"/>
  <c r="G76"/>
  <c r="F76"/>
  <c r="E76"/>
  <c r="D76"/>
  <c r="C76"/>
  <c r="J74"/>
  <c r="I74"/>
  <c r="H74"/>
  <c r="G74"/>
  <c r="F74"/>
  <c r="E74"/>
  <c r="D74"/>
  <c r="C74"/>
  <c r="J72"/>
  <c r="I72"/>
  <c r="H72"/>
  <c r="G72"/>
  <c r="F72"/>
  <c r="E72"/>
  <c r="D72"/>
  <c r="C72"/>
  <c r="J70"/>
  <c r="I70"/>
  <c r="H70"/>
  <c r="G70"/>
  <c r="F70"/>
  <c r="E70"/>
  <c r="D70"/>
  <c r="C70"/>
  <c r="J68"/>
  <c r="I68"/>
  <c r="H68"/>
  <c r="G68"/>
  <c r="F68"/>
  <c r="E68"/>
  <c r="D68"/>
  <c r="C68"/>
  <c r="J66"/>
  <c r="I66"/>
  <c r="H66"/>
  <c r="G66"/>
  <c r="F66"/>
  <c r="E66"/>
  <c r="D66"/>
  <c r="C66"/>
  <c r="J64"/>
  <c r="I64"/>
  <c r="H64"/>
  <c r="G64"/>
  <c r="F64"/>
  <c r="E64"/>
  <c r="D64"/>
  <c r="C64"/>
  <c r="J62"/>
  <c r="I62"/>
  <c r="H62"/>
  <c r="G62"/>
  <c r="F62"/>
  <c r="E62"/>
  <c r="D62"/>
  <c r="C62"/>
  <c r="J60"/>
  <c r="I60"/>
  <c r="H60"/>
  <c r="G60"/>
  <c r="F60"/>
  <c r="E60"/>
  <c r="D60"/>
  <c r="C60"/>
  <c r="J58"/>
  <c r="I58"/>
  <c r="H58"/>
  <c r="G58"/>
  <c r="F58"/>
  <c r="E58"/>
  <c r="D58"/>
  <c r="C58"/>
  <c r="J56"/>
  <c r="I56"/>
  <c r="H56"/>
  <c r="G56"/>
  <c r="F56"/>
  <c r="E56"/>
  <c r="D56"/>
  <c r="B23"/>
  <c r="B20"/>
  <c r="B11"/>
  <c r="D156" i="65"/>
  <c r="C156"/>
  <c r="B156"/>
  <c r="A156"/>
  <c r="D155"/>
  <c r="C155"/>
  <c r="B155"/>
  <c r="A155"/>
  <c r="D154"/>
  <c r="C154"/>
  <c r="B154"/>
  <c r="A154"/>
  <c r="D153"/>
  <c r="C153"/>
  <c r="B153"/>
  <c r="A153"/>
  <c r="D152"/>
  <c r="D151"/>
  <c r="A151"/>
  <c r="D150"/>
  <c r="C150"/>
  <c r="A150"/>
  <c r="D149"/>
  <c r="C149"/>
  <c r="B149"/>
  <c r="A149"/>
  <c r="D148"/>
  <c r="A148"/>
  <c r="D147"/>
  <c r="A147"/>
  <c r="D146"/>
  <c r="C146"/>
  <c r="C157" s="1"/>
  <c r="B146"/>
  <c r="B157" s="1"/>
  <c r="A146"/>
  <c r="D145"/>
  <c r="A145"/>
  <c r="D141"/>
  <c r="E131" s="1"/>
  <c r="C141"/>
  <c r="B141"/>
  <c r="E140"/>
  <c r="E138"/>
  <c r="E136"/>
  <c r="E135"/>
  <c r="E134"/>
  <c r="E133"/>
  <c r="E132"/>
  <c r="E130"/>
  <c r="E129"/>
  <c r="A122"/>
  <c r="A121"/>
  <c r="A120"/>
  <c r="A119"/>
  <c r="A118"/>
  <c r="A117"/>
  <c r="A116"/>
  <c r="A115"/>
  <c r="A114"/>
  <c r="A113"/>
  <c r="B109"/>
  <c r="C97" s="1"/>
  <c r="C109" s="1"/>
  <c r="C107"/>
  <c r="C99"/>
  <c r="C98"/>
  <c r="D92"/>
  <c r="C92"/>
  <c r="B92"/>
  <c r="A92"/>
  <c r="D91"/>
  <c r="C91"/>
  <c r="B91"/>
  <c r="A91"/>
  <c r="D90"/>
  <c r="C90"/>
  <c r="B90"/>
  <c r="A90"/>
  <c r="D89"/>
  <c r="C89"/>
  <c r="B89"/>
  <c r="A89"/>
  <c r="D88"/>
  <c r="C88"/>
  <c r="B88"/>
  <c r="A88"/>
  <c r="D87"/>
  <c r="C87"/>
  <c r="B87"/>
  <c r="A87"/>
  <c r="D86"/>
  <c r="C86"/>
  <c r="B86"/>
  <c r="A86"/>
  <c r="D85"/>
  <c r="C85"/>
  <c r="B85"/>
  <c r="A85"/>
  <c r="D84"/>
  <c r="C84"/>
  <c r="B84"/>
  <c r="A84"/>
  <c r="D83"/>
  <c r="C83"/>
  <c r="B83"/>
  <c r="A83"/>
  <c r="D82"/>
  <c r="C82"/>
  <c r="B82"/>
  <c r="A82"/>
  <c r="D81"/>
  <c r="C81"/>
  <c r="B81"/>
  <c r="B93" s="1"/>
  <c r="A81"/>
  <c r="D77"/>
  <c r="E69" s="1"/>
  <c r="C77"/>
  <c r="B77"/>
  <c r="E76"/>
  <c r="E75"/>
  <c r="E74"/>
  <c r="E72"/>
  <c r="E71"/>
  <c r="E70"/>
  <c r="E68"/>
  <c r="E67"/>
  <c r="E66"/>
  <c r="A60"/>
  <c r="A59"/>
  <c r="A58"/>
  <c r="A57"/>
  <c r="A56"/>
  <c r="A55"/>
  <c r="B50"/>
  <c r="C45" s="1"/>
  <c r="C44"/>
  <c r="E37"/>
  <c r="V15"/>
  <c r="U15"/>
  <c r="T15"/>
  <c r="S15"/>
  <c r="R15"/>
  <c r="M15"/>
  <c r="L15"/>
  <c r="J15"/>
  <c r="K15" s="1"/>
  <c r="I15"/>
  <c r="W14"/>
  <c r="N14"/>
  <c r="N15" s="1"/>
  <c r="W13"/>
  <c r="W12"/>
  <c r="W11"/>
  <c r="W10"/>
  <c r="W9"/>
  <c r="W8"/>
  <c r="W7"/>
  <c r="V7"/>
  <c r="T7"/>
  <c r="M7"/>
  <c r="K7"/>
  <c r="W6"/>
  <c r="V6"/>
  <c r="T6"/>
  <c r="M6"/>
  <c r="K6"/>
  <c r="W5"/>
  <c r="V5"/>
  <c r="T5"/>
  <c r="M5"/>
  <c r="K5"/>
  <c r="E5"/>
  <c r="D5"/>
  <c r="C5"/>
  <c r="B5"/>
  <c r="W4"/>
  <c r="W15" s="1"/>
  <c r="X13" s="1"/>
  <c r="V4"/>
  <c r="T4"/>
  <c r="M4"/>
  <c r="K4"/>
  <c r="U2"/>
  <c r="R2"/>
  <c r="T16" i="64"/>
  <c r="T15"/>
  <c r="T14"/>
  <c r="B13"/>
  <c r="A13"/>
  <c r="Z5"/>
  <c r="Z4"/>
  <c r="U4"/>
  <c r="U6" s="1"/>
  <c r="Z3"/>
  <c r="D35" i="63"/>
  <c r="D34"/>
  <c r="D33"/>
  <c r="C33"/>
  <c r="B33"/>
  <c r="A23"/>
  <c r="A22"/>
  <c r="A21"/>
  <c r="A20"/>
  <c r="A19"/>
  <c r="A18"/>
  <c r="A17"/>
  <c r="I16"/>
  <c r="G16"/>
  <c r="F16"/>
  <c r="E16"/>
  <c r="D16"/>
  <c r="C16"/>
  <c r="B16"/>
  <c r="G11"/>
  <c r="F11"/>
  <c r="E11"/>
  <c r="D11"/>
  <c r="C11"/>
  <c r="C10" s="1"/>
  <c r="B11"/>
  <c r="G10"/>
  <c r="E10"/>
  <c r="D10"/>
  <c r="H8"/>
  <c r="H7"/>
  <c r="H6"/>
  <c r="H5"/>
  <c r="H4"/>
  <c r="H3"/>
  <c r="F24" i="62"/>
  <c r="F23"/>
  <c r="F22"/>
  <c r="F21" s="1"/>
  <c r="F20"/>
  <c r="F19"/>
  <c r="F18"/>
  <c r="F17"/>
  <c r="F16" s="1"/>
  <c r="F15"/>
  <c r="F14"/>
  <c r="F12" s="1"/>
  <c r="F13"/>
  <c r="F11"/>
  <c r="F10"/>
  <c r="F9"/>
  <c r="F7" s="1"/>
  <c r="F25" s="1"/>
  <c r="F8"/>
  <c r="G78" i="60"/>
  <c r="F78"/>
  <c r="E78"/>
  <c r="F72"/>
  <c r="G61"/>
  <c r="F61"/>
  <c r="E61"/>
  <c r="D60"/>
  <c r="D59"/>
  <c r="D58"/>
  <c r="D57"/>
  <c r="D56"/>
  <c r="D55"/>
  <c r="D54"/>
  <c r="D53"/>
  <c r="D52"/>
  <c r="D51"/>
  <c r="D50"/>
  <c r="D49"/>
  <c r="D48"/>
  <c r="D44"/>
  <c r="D43"/>
  <c r="D42"/>
  <c r="D41"/>
  <c r="D40"/>
  <c r="D39"/>
  <c r="D38"/>
  <c r="D37"/>
  <c r="D36"/>
  <c r="D32"/>
  <c r="D31"/>
  <c r="D30"/>
  <c r="D29"/>
  <c r="D28"/>
  <c r="D27"/>
  <c r="D26"/>
  <c r="D24"/>
  <c r="D23"/>
  <c r="D22"/>
  <c r="D21"/>
  <c r="D20"/>
  <c r="D19"/>
  <c r="D18"/>
  <c r="G13"/>
  <c r="F13"/>
  <c r="E13"/>
  <c r="F10"/>
  <c r="D6"/>
  <c r="G67" i="59"/>
  <c r="G10"/>
  <c r="D6"/>
  <c r="P4"/>
  <c r="O4"/>
  <c r="P3"/>
  <c r="O3"/>
  <c r="P2"/>
  <c r="O2"/>
  <c r="B3" i="26"/>
  <c r="B4"/>
  <c r="D2" i="59"/>
  <c r="G1" i="70" l="1"/>
  <c r="I4" i="23"/>
  <c r="L4"/>
  <c r="E67" i="59"/>
  <c r="I10"/>
  <c r="O10" s="1"/>
  <c r="N3"/>
  <c r="I67"/>
  <c r="G101" s="1"/>
  <c r="E10" i="60"/>
  <c r="B17" i="67"/>
  <c r="P1" i="59"/>
  <c r="O1"/>
  <c r="G10" i="60"/>
  <c r="E10" i="59"/>
  <c r="N10" s="1"/>
  <c r="F5" i="65"/>
  <c r="G72" i="60"/>
  <c r="E1" i="70"/>
  <c r="N4" i="59"/>
  <c r="E72" i="60"/>
  <c r="E4" i="23"/>
  <c r="K4" s="1"/>
  <c r="E101" i="59"/>
  <c r="O4" i="23"/>
  <c r="N4"/>
  <c r="C1" i="68"/>
  <c r="G97"/>
  <c r="G105" s="1"/>
  <c r="I124"/>
  <c r="H127"/>
  <c r="I128"/>
  <c r="G134"/>
  <c r="B45" i="66"/>
  <c r="G101" i="68"/>
  <c r="H124"/>
  <c r="G127"/>
  <c r="H128"/>
  <c r="C93" i="65"/>
  <c r="G124" i="68"/>
  <c r="G126" s="1"/>
  <c r="G128"/>
  <c r="I130"/>
  <c r="H130"/>
  <c r="B36" i="66"/>
  <c r="G130" i="68"/>
  <c r="I132"/>
  <c r="I93"/>
  <c r="I103" s="1"/>
  <c r="I125"/>
  <c r="H132"/>
  <c r="I133"/>
  <c r="B45" i="67"/>
  <c r="I97" i="68"/>
  <c r="I105" s="1"/>
  <c r="H125"/>
  <c r="G132"/>
  <c r="G142" s="1"/>
  <c r="H133"/>
  <c r="I134"/>
  <c r="X12" i="65"/>
  <c r="X14"/>
  <c r="D157"/>
  <c r="E152" s="1"/>
  <c r="B36" i="67"/>
  <c r="G125" i="68"/>
  <c r="I127"/>
  <c r="G133"/>
  <c r="B17" i="66"/>
  <c r="H84"/>
  <c r="F84"/>
  <c r="D84"/>
  <c r="E141" i="65"/>
  <c r="E154"/>
  <c r="E146"/>
  <c r="E151"/>
  <c r="O11"/>
  <c r="O10"/>
  <c r="O9"/>
  <c r="O8"/>
  <c r="O7"/>
  <c r="O13"/>
  <c r="O6"/>
  <c r="O4"/>
  <c r="O12"/>
  <c r="O5"/>
  <c r="E148"/>
  <c r="E150"/>
  <c r="X4"/>
  <c r="X6"/>
  <c r="E65"/>
  <c r="E77" s="1"/>
  <c r="E73"/>
  <c r="E139"/>
  <c r="E145"/>
  <c r="B49"/>
  <c r="O14"/>
  <c r="C48"/>
  <c r="D93"/>
  <c r="E81" s="1"/>
  <c r="E137"/>
  <c r="X5"/>
  <c r="X7"/>
  <c r="X8"/>
  <c r="X9"/>
  <c r="X10"/>
  <c r="X11"/>
  <c r="C47"/>
  <c r="C46"/>
  <c r="V5" i="64"/>
  <c r="X8"/>
  <c r="V3"/>
  <c r="V4"/>
  <c r="H10" i="63"/>
  <c r="F10"/>
  <c r="N1" i="59"/>
  <c r="N67"/>
  <c r="N2"/>
  <c r="F2" i="1"/>
  <c r="C14" i="20"/>
  <c r="B42" i="67" l="1"/>
  <c r="O67" i="59"/>
  <c r="B42" i="66"/>
  <c r="D1" i="70"/>
  <c r="K67" i="59"/>
  <c r="P67" s="1"/>
  <c r="B2" i="65"/>
  <c r="K10" i="59"/>
  <c r="P10" s="1"/>
  <c r="I145" i="68"/>
  <c r="I126"/>
  <c r="X15" i="65"/>
  <c r="E89"/>
  <c r="E91"/>
  <c r="E149"/>
  <c r="G139" i="68"/>
  <c r="G135"/>
  <c r="G143" s="1"/>
  <c r="H129"/>
  <c r="H140" s="1"/>
  <c r="H146"/>
  <c r="E92" i="65"/>
  <c r="I142" i="68"/>
  <c r="H145"/>
  <c r="H126"/>
  <c r="D1"/>
  <c r="B48" i="67"/>
  <c r="B48" i="66"/>
  <c r="F23" i="63"/>
  <c r="E147" i="65"/>
  <c r="E157" s="1"/>
  <c r="E153"/>
  <c r="E155"/>
  <c r="E156"/>
  <c r="G129" i="68"/>
  <c r="G140" s="1"/>
  <c r="I129"/>
  <c r="I140" s="1"/>
  <c r="I146"/>
  <c r="H142"/>
  <c r="C50" i="65"/>
  <c r="E82"/>
  <c r="E86"/>
  <c r="E87"/>
  <c r="E90"/>
  <c r="E88"/>
  <c r="B60"/>
  <c r="C49"/>
  <c r="O15"/>
  <c r="E83"/>
  <c r="E85"/>
  <c r="E93" s="1"/>
  <c r="E84"/>
  <c r="V6" i="64"/>
  <c r="H11" i="63"/>
  <c r="I10" s="1"/>
  <c r="C5" i="22"/>
  <c r="B23" i="65" l="1"/>
  <c r="B3" i="69"/>
  <c r="C2" i="65"/>
  <c r="B13"/>
  <c r="I2"/>
  <c r="A4" i="64"/>
  <c r="B19" i="65"/>
  <c r="H139" i="68"/>
  <c r="H131"/>
  <c r="H141" s="1"/>
  <c r="H135"/>
  <c r="H143" s="1"/>
  <c r="I135"/>
  <c r="I143" s="1"/>
  <c r="I139"/>
  <c r="I131"/>
  <c r="I141" s="1"/>
  <c r="B121" i="65"/>
  <c r="B117"/>
  <c r="B113"/>
  <c r="L14" i="64"/>
  <c r="E22" i="63"/>
  <c r="D21"/>
  <c r="D20"/>
  <c r="C19"/>
  <c r="B18"/>
  <c r="B17"/>
  <c r="B57" i="65"/>
  <c r="F22" i="63"/>
  <c r="E21"/>
  <c r="E20"/>
  <c r="D19"/>
  <c r="C18"/>
  <c r="C17"/>
  <c r="B122" i="65"/>
  <c r="B118"/>
  <c r="B114"/>
  <c r="U16" i="64"/>
  <c r="U14"/>
  <c r="G22" i="63"/>
  <c r="F21"/>
  <c r="F20"/>
  <c r="E19"/>
  <c r="D18"/>
  <c r="D17"/>
  <c r="D24" s="1"/>
  <c r="B58" i="65"/>
  <c r="Z16" i="64"/>
  <c r="Z14"/>
  <c r="G21" i="63"/>
  <c r="G20"/>
  <c r="F19"/>
  <c r="E18"/>
  <c r="E17"/>
  <c r="E24" s="1"/>
  <c r="B119" i="65"/>
  <c r="B115"/>
  <c r="B23" i="63"/>
  <c r="G19"/>
  <c r="F18"/>
  <c r="F17"/>
  <c r="B59" i="65"/>
  <c r="B55"/>
  <c r="U15" i="64"/>
  <c r="B22" i="63"/>
  <c r="G18"/>
  <c r="G17"/>
  <c r="B120" i="65"/>
  <c r="B116"/>
  <c r="C22" i="63"/>
  <c r="B21"/>
  <c r="H21" s="1"/>
  <c r="B20"/>
  <c r="H20" s="1"/>
  <c r="B56" i="65"/>
  <c r="D22" i="63"/>
  <c r="C21"/>
  <c r="C20"/>
  <c r="B19"/>
  <c r="G23"/>
  <c r="C23"/>
  <c r="E23"/>
  <c r="Z15" i="64"/>
  <c r="D23" i="63"/>
  <c r="G131" i="68"/>
  <c r="G141" s="1"/>
  <c r="I8" i="63"/>
  <c r="B12"/>
  <c r="I4"/>
  <c r="I6"/>
  <c r="D12"/>
  <c r="E12"/>
  <c r="I7"/>
  <c r="C12"/>
  <c r="G12"/>
  <c r="I5"/>
  <c r="I3"/>
  <c r="F12"/>
  <c r="G25" i="26"/>
  <c r="A2" i="1"/>
  <c r="B1" i="69" l="1"/>
  <c r="B10"/>
  <c r="C3"/>
  <c r="C19" i="65"/>
  <c r="C23"/>
  <c r="D2"/>
  <c r="J2"/>
  <c r="C13"/>
  <c r="A14" i="64"/>
  <c r="A5"/>
  <c r="B61" i="65"/>
  <c r="C60" s="1"/>
  <c r="C55"/>
  <c r="C61" s="1"/>
  <c r="B24" i="63"/>
  <c r="H17"/>
  <c r="B123" i="65"/>
  <c r="C113"/>
  <c r="C123" s="1"/>
  <c r="C114"/>
  <c r="G24" i="63"/>
  <c r="C116" i="65"/>
  <c r="F24" i="63"/>
  <c r="C122" i="65"/>
  <c r="C117"/>
  <c r="H19" i="63"/>
  <c r="C59" i="65"/>
  <c r="C118"/>
  <c r="C57"/>
  <c r="C119"/>
  <c r="H22" i="63"/>
  <c r="U17" i="64"/>
  <c r="V14" s="1"/>
  <c r="V17" s="1"/>
  <c r="V15"/>
  <c r="C58" i="65"/>
  <c r="V16" i="64"/>
  <c r="C56" i="65"/>
  <c r="C115"/>
  <c r="H23" i="63"/>
  <c r="C120" i="65"/>
  <c r="C24" i="63"/>
  <c r="H18"/>
  <c r="C121" i="65"/>
  <c r="I11" i="63"/>
  <c r="C7" i="19"/>
  <c r="E9" i="58"/>
  <c r="A6" i="64" l="1"/>
  <c r="A15"/>
  <c r="J3"/>
  <c r="B59" i="69"/>
  <c r="B51"/>
  <c r="B47"/>
  <c r="B14"/>
  <c r="D19" i="65"/>
  <c r="D23"/>
  <c r="L2"/>
  <c r="S2" s="1"/>
  <c r="D13"/>
  <c r="E28" i="62"/>
  <c r="C1" i="69"/>
  <c r="D3"/>
  <c r="D1" s="1"/>
  <c r="C10"/>
  <c r="B28"/>
  <c r="B17"/>
  <c r="B36"/>
  <c r="B45" s="1"/>
  <c r="B53" s="1"/>
  <c r="C25" i="63"/>
  <c r="G25"/>
  <c r="I18"/>
  <c r="I17"/>
  <c r="H24"/>
  <c r="I23"/>
  <c r="F25"/>
  <c r="I22"/>
  <c r="B25"/>
  <c r="I19"/>
  <c r="AJ2028" i="51"/>
  <c r="AI2028"/>
  <c r="AH2028"/>
  <c r="AG2028"/>
  <c r="AF2028"/>
  <c r="AE2028"/>
  <c r="AJ2027"/>
  <c r="AI2027"/>
  <c r="AH2027"/>
  <c r="AG2027"/>
  <c r="AF2027"/>
  <c r="AE2027"/>
  <c r="AJ2026"/>
  <c r="AI2026"/>
  <c r="AH2026"/>
  <c r="AG2026"/>
  <c r="AF2026"/>
  <c r="AE2026"/>
  <c r="AJ2025"/>
  <c r="AI2025"/>
  <c r="AH2025"/>
  <c r="AG2025"/>
  <c r="AF2025"/>
  <c r="AE2025"/>
  <c r="AJ2024"/>
  <c r="AI2024"/>
  <c r="AH2024"/>
  <c r="AG2024"/>
  <c r="AF2024"/>
  <c r="AE2024"/>
  <c r="AJ2023"/>
  <c r="AI2023"/>
  <c r="AH2023"/>
  <c r="AG2023"/>
  <c r="AF2023"/>
  <c r="AE2023"/>
  <c r="AJ2022"/>
  <c r="AI2022"/>
  <c r="AH2022"/>
  <c r="AG2022"/>
  <c r="AF2022"/>
  <c r="AE2022"/>
  <c r="AJ2021"/>
  <c r="AI2021"/>
  <c r="AH2021"/>
  <c r="AG2021"/>
  <c r="AF2021"/>
  <c r="AE2021"/>
  <c r="AJ2020"/>
  <c r="AI2020"/>
  <c r="AH2020"/>
  <c r="AG2020"/>
  <c r="AF2020"/>
  <c r="AE2020"/>
  <c r="AJ2019"/>
  <c r="AI2019"/>
  <c r="AH2019"/>
  <c r="AG2019"/>
  <c r="AF2019"/>
  <c r="AE2019"/>
  <c r="AJ2018"/>
  <c r="AI2018"/>
  <c r="AH2018"/>
  <c r="AG2018"/>
  <c r="AF2018"/>
  <c r="AE2018"/>
  <c r="AJ2017"/>
  <c r="AI2017"/>
  <c r="AH2017"/>
  <c r="AG2017"/>
  <c r="AF2017"/>
  <c r="AE2017"/>
  <c r="AJ2016"/>
  <c r="AI2016"/>
  <c r="AH2016"/>
  <c r="AG2016"/>
  <c r="AF2016"/>
  <c r="AE2016"/>
  <c r="AJ2015"/>
  <c r="AI2015"/>
  <c r="AH2015"/>
  <c r="AG2015"/>
  <c r="AF2015"/>
  <c r="AE2015"/>
  <c r="AJ2014"/>
  <c r="AI2014"/>
  <c r="AH2014"/>
  <c r="AG2014"/>
  <c r="AF2014"/>
  <c r="AE2014"/>
  <c r="AJ2013"/>
  <c r="AI2013"/>
  <c r="AH2013"/>
  <c r="AG2013"/>
  <c r="AF2013"/>
  <c r="AE2013"/>
  <c r="AJ2012"/>
  <c r="AI2012"/>
  <c r="AH2012"/>
  <c r="AG2012"/>
  <c r="AF2012"/>
  <c r="AE2012"/>
  <c r="AJ2011"/>
  <c r="AI2011"/>
  <c r="AH2011"/>
  <c r="AG2011"/>
  <c r="AF2011"/>
  <c r="AE2011"/>
  <c r="AJ2010"/>
  <c r="AI2010"/>
  <c r="AH2010"/>
  <c r="AG2010"/>
  <c r="AF2010"/>
  <c r="AE2010"/>
  <c r="AC673"/>
  <c r="AB673"/>
  <c r="AA673"/>
  <c r="AC672"/>
  <c r="AB672"/>
  <c r="AA672"/>
  <c r="AC671"/>
  <c r="AB671"/>
  <c r="AA671"/>
  <c r="AC670"/>
  <c r="AB670"/>
  <c r="AA670"/>
  <c r="AC669"/>
  <c r="AB669"/>
  <c r="AA669"/>
  <c r="AC668"/>
  <c r="AB668"/>
  <c r="AA668"/>
  <c r="AC667"/>
  <c r="AB667"/>
  <c r="AA667"/>
  <c r="AC666"/>
  <c r="AB666"/>
  <c r="AA666"/>
  <c r="AC665"/>
  <c r="AB665"/>
  <c r="AA665"/>
  <c r="AC664"/>
  <c r="AB664"/>
  <c r="AA664"/>
  <c r="AC663"/>
  <c r="AB663"/>
  <c r="AA663"/>
  <c r="AC662"/>
  <c r="AB662"/>
  <c r="AA662"/>
  <c r="AC661"/>
  <c r="AB661"/>
  <c r="AA661"/>
  <c r="AC660"/>
  <c r="AB660"/>
  <c r="AA660"/>
  <c r="AC659"/>
  <c r="AB659"/>
  <c r="AA659"/>
  <c r="AC658"/>
  <c r="AB658"/>
  <c r="AA658"/>
  <c r="AC657"/>
  <c r="AB657"/>
  <c r="AA657"/>
  <c r="AC656"/>
  <c r="AB656"/>
  <c r="AA656"/>
  <c r="AC655"/>
  <c r="AB655"/>
  <c r="AA655"/>
  <c r="AC654"/>
  <c r="AB654"/>
  <c r="AA654"/>
  <c r="AC653"/>
  <c r="AB653"/>
  <c r="AA653"/>
  <c r="AC652"/>
  <c r="AB652"/>
  <c r="AA652"/>
  <c r="AC651"/>
  <c r="AB651"/>
  <c r="AA651"/>
  <c r="AC650"/>
  <c r="AB650"/>
  <c r="AA650"/>
  <c r="AC649"/>
  <c r="AB649"/>
  <c r="AA649"/>
  <c r="AC648"/>
  <c r="AB648"/>
  <c r="AA648"/>
  <c r="AC647"/>
  <c r="AB647"/>
  <c r="AA647"/>
  <c r="AC646"/>
  <c r="AB646"/>
  <c r="AA646"/>
  <c r="AC645"/>
  <c r="AB645"/>
  <c r="AA645"/>
  <c r="AC644"/>
  <c r="AB644"/>
  <c r="AA644"/>
  <c r="AC643"/>
  <c r="AB643"/>
  <c r="AA643"/>
  <c r="AC642"/>
  <c r="AB642"/>
  <c r="AA642"/>
  <c r="AC641"/>
  <c r="AB641"/>
  <c r="AA641"/>
  <c r="AC640"/>
  <c r="AB640"/>
  <c r="AA640"/>
  <c r="AC639"/>
  <c r="AB639"/>
  <c r="AA639"/>
  <c r="AC638"/>
  <c r="AB638"/>
  <c r="AA638"/>
  <c r="AC637"/>
  <c r="AB637"/>
  <c r="AA637"/>
  <c r="AC636"/>
  <c r="AB636"/>
  <c r="AA636"/>
  <c r="AC635"/>
  <c r="AB635"/>
  <c r="AA635"/>
  <c r="AC634"/>
  <c r="AB634"/>
  <c r="AA634"/>
  <c r="AC633"/>
  <c r="AB633"/>
  <c r="AA633"/>
  <c r="AC632"/>
  <c r="AB632"/>
  <c r="AA632"/>
  <c r="AC631"/>
  <c r="AB631"/>
  <c r="AA631"/>
  <c r="AC630"/>
  <c r="AB630"/>
  <c r="AA630"/>
  <c r="AC629"/>
  <c r="AB629"/>
  <c r="AA629"/>
  <c r="AC628"/>
  <c r="AB628"/>
  <c r="AA628"/>
  <c r="AC627"/>
  <c r="AB627"/>
  <c r="AA627"/>
  <c r="AC626"/>
  <c r="AB626"/>
  <c r="AA626"/>
  <c r="AC625"/>
  <c r="AB625"/>
  <c r="AA625"/>
  <c r="AC624"/>
  <c r="AB624"/>
  <c r="AA624"/>
  <c r="AC623"/>
  <c r="AB623"/>
  <c r="AA623"/>
  <c r="AC622"/>
  <c r="AB622"/>
  <c r="AA622"/>
  <c r="AC621"/>
  <c r="AB621"/>
  <c r="AA621"/>
  <c r="AC620"/>
  <c r="AB620"/>
  <c r="AA620"/>
  <c r="AC619"/>
  <c r="AB619"/>
  <c r="AA619"/>
  <c r="AC618"/>
  <c r="AB618"/>
  <c r="AA618"/>
  <c r="AC617"/>
  <c r="AB617"/>
  <c r="AA617"/>
  <c r="AC616"/>
  <c r="AB616"/>
  <c r="AA616"/>
  <c r="AC615"/>
  <c r="AB615"/>
  <c r="AA615"/>
  <c r="AC614"/>
  <c r="AB614"/>
  <c r="AA614"/>
  <c r="AC613"/>
  <c r="AB613"/>
  <c r="AA613"/>
  <c r="AC612"/>
  <c r="AB612"/>
  <c r="AA612"/>
  <c r="AC611"/>
  <c r="AB611"/>
  <c r="AA611"/>
  <c r="AC610"/>
  <c r="AB610"/>
  <c r="AA610"/>
  <c r="AC609"/>
  <c r="AB609"/>
  <c r="AA609"/>
  <c r="AC608"/>
  <c r="AB608"/>
  <c r="AA608"/>
  <c r="AC607"/>
  <c r="AB607"/>
  <c r="AA607"/>
  <c r="AC606"/>
  <c r="AB606"/>
  <c r="AA606"/>
  <c r="AC605"/>
  <c r="AB605"/>
  <c r="AA605"/>
  <c r="AC604"/>
  <c r="AB604"/>
  <c r="AA604"/>
  <c r="AC603"/>
  <c r="AB603"/>
  <c r="AA603"/>
  <c r="AC602"/>
  <c r="AB602"/>
  <c r="AA602"/>
  <c r="AC601"/>
  <c r="AB601"/>
  <c r="AA601"/>
  <c r="AC600"/>
  <c r="AB600"/>
  <c r="AA600"/>
  <c r="AC599"/>
  <c r="AB599"/>
  <c r="AA599"/>
  <c r="AC598"/>
  <c r="AB598"/>
  <c r="AA598"/>
  <c r="AC597"/>
  <c r="AB597"/>
  <c r="AA597"/>
  <c r="AC596"/>
  <c r="AB596"/>
  <c r="AA596"/>
  <c r="AC595"/>
  <c r="AB595"/>
  <c r="AA595"/>
  <c r="AC594"/>
  <c r="AB594"/>
  <c r="AA594"/>
  <c r="AC593"/>
  <c r="AB593"/>
  <c r="AA593"/>
  <c r="AC592"/>
  <c r="AB592"/>
  <c r="AA592"/>
  <c r="AC591"/>
  <c r="AB591"/>
  <c r="AA591"/>
  <c r="AC590"/>
  <c r="AB590"/>
  <c r="AA590"/>
  <c r="AC589"/>
  <c r="AB589"/>
  <c r="AA589"/>
  <c r="AC588"/>
  <c r="AB588"/>
  <c r="AA588"/>
  <c r="AC587"/>
  <c r="AB587"/>
  <c r="AA587"/>
  <c r="AC586"/>
  <c r="AB586"/>
  <c r="AA586"/>
  <c r="AC585"/>
  <c r="AB585"/>
  <c r="AA585"/>
  <c r="AC584"/>
  <c r="AB584"/>
  <c r="AA584"/>
  <c r="AC583"/>
  <c r="AB583"/>
  <c r="AA583"/>
  <c r="AC582"/>
  <c r="AB582"/>
  <c r="AA582"/>
  <c r="AC581"/>
  <c r="AB581"/>
  <c r="AA581"/>
  <c r="AC580"/>
  <c r="AB580"/>
  <c r="AA580"/>
  <c r="AC579"/>
  <c r="AB579"/>
  <c r="AA579"/>
  <c r="AC578"/>
  <c r="AB578"/>
  <c r="AA578"/>
  <c r="AC577"/>
  <c r="AB577"/>
  <c r="AA577"/>
  <c r="AC576"/>
  <c r="AB576"/>
  <c r="AA576"/>
  <c r="AC575"/>
  <c r="AB575"/>
  <c r="AA575"/>
  <c r="AC574"/>
  <c r="AB574"/>
  <c r="AA574"/>
  <c r="AC573"/>
  <c r="AB573"/>
  <c r="AA573"/>
  <c r="AC572"/>
  <c r="AB572"/>
  <c r="AA572"/>
  <c r="AC571"/>
  <c r="AB571"/>
  <c r="AA571"/>
  <c r="AC570"/>
  <c r="AB570"/>
  <c r="AA570"/>
  <c r="AC569"/>
  <c r="AB569"/>
  <c r="AA569"/>
  <c r="AC568"/>
  <c r="AB568"/>
  <c r="AA568"/>
  <c r="AC567"/>
  <c r="AB567"/>
  <c r="AA567"/>
  <c r="AC566"/>
  <c r="AB566"/>
  <c r="AA566"/>
  <c r="AC565"/>
  <c r="AB565"/>
  <c r="AA565"/>
  <c r="AC564"/>
  <c r="AB564"/>
  <c r="AA564"/>
  <c r="AC563"/>
  <c r="AB563"/>
  <c r="AA563"/>
  <c r="AC562"/>
  <c r="AB562"/>
  <c r="AA562"/>
  <c r="AC561"/>
  <c r="AB561"/>
  <c r="AA561"/>
  <c r="AC560"/>
  <c r="AB560"/>
  <c r="AA560"/>
  <c r="AC559"/>
  <c r="AB559"/>
  <c r="AA559"/>
  <c r="AC558"/>
  <c r="AB558"/>
  <c r="AA558"/>
  <c r="AC557"/>
  <c r="AB557"/>
  <c r="AA557"/>
  <c r="AC556"/>
  <c r="AB556"/>
  <c r="AA556"/>
  <c r="AC555"/>
  <c r="AB555"/>
  <c r="AA555"/>
  <c r="AC554"/>
  <c r="AB554"/>
  <c r="AA554"/>
  <c r="AC553"/>
  <c r="AB553"/>
  <c r="AA553"/>
  <c r="AC552"/>
  <c r="AB552"/>
  <c r="AA552"/>
  <c r="AC551"/>
  <c r="AB551"/>
  <c r="AA551"/>
  <c r="AC550"/>
  <c r="AB550"/>
  <c r="AA550"/>
  <c r="AC549"/>
  <c r="AB549"/>
  <c r="AA549"/>
  <c r="AC548"/>
  <c r="AB548"/>
  <c r="AA548"/>
  <c r="AC547"/>
  <c r="AB547"/>
  <c r="AA547"/>
  <c r="AC546"/>
  <c r="AB546"/>
  <c r="AA546"/>
  <c r="AC545"/>
  <c r="AB545"/>
  <c r="AA545"/>
  <c r="AC544"/>
  <c r="AB544"/>
  <c r="AA544"/>
  <c r="AC543"/>
  <c r="AB543"/>
  <c r="AA543"/>
  <c r="AC542"/>
  <c r="AB542"/>
  <c r="AA542"/>
  <c r="AC541"/>
  <c r="AB541"/>
  <c r="AA541"/>
  <c r="AC540"/>
  <c r="AB540"/>
  <c r="AA540"/>
  <c r="AC539"/>
  <c r="AB539"/>
  <c r="AA539"/>
  <c r="AC538"/>
  <c r="AB538"/>
  <c r="AA538"/>
  <c r="AC537"/>
  <c r="AB537"/>
  <c r="AA537"/>
  <c r="AC536"/>
  <c r="AB536"/>
  <c r="AA536"/>
  <c r="AC535"/>
  <c r="AB535"/>
  <c r="AA535"/>
  <c r="AC534"/>
  <c r="AB534"/>
  <c r="AA534"/>
  <c r="AC533"/>
  <c r="AB533"/>
  <c r="AA533"/>
  <c r="AC532"/>
  <c r="AB532"/>
  <c r="AA532"/>
  <c r="AC531"/>
  <c r="AB531"/>
  <c r="AA531"/>
  <c r="AC530"/>
  <c r="AB530"/>
  <c r="AA530"/>
  <c r="AC529"/>
  <c r="AB529"/>
  <c r="AA529"/>
  <c r="AC528"/>
  <c r="AB528"/>
  <c r="AA528"/>
  <c r="AC527"/>
  <c r="AB527"/>
  <c r="AA527"/>
  <c r="AC526"/>
  <c r="AB526"/>
  <c r="AA526"/>
  <c r="AC525"/>
  <c r="AB525"/>
  <c r="AA525"/>
  <c r="AC524"/>
  <c r="AB524"/>
  <c r="AA524"/>
  <c r="AC520"/>
  <c r="AB520"/>
  <c r="AA520"/>
  <c r="AC519"/>
  <c r="AB519"/>
  <c r="AA519"/>
  <c r="AC518"/>
  <c r="AB518"/>
  <c r="AA518"/>
  <c r="AC517"/>
  <c r="AB517"/>
  <c r="AA517"/>
  <c r="AC516"/>
  <c r="AB516"/>
  <c r="AA516"/>
  <c r="AC515"/>
  <c r="AB515"/>
  <c r="AA515"/>
  <c r="AC514"/>
  <c r="AB514"/>
  <c r="AA514"/>
  <c r="AC513"/>
  <c r="AB513"/>
  <c r="AA513"/>
  <c r="AC512"/>
  <c r="AB512"/>
  <c r="AA512"/>
  <c r="AC511"/>
  <c r="AB511"/>
  <c r="AA511"/>
  <c r="AC510"/>
  <c r="AB510"/>
  <c r="AA510"/>
  <c r="AC509"/>
  <c r="AB509"/>
  <c r="AA509"/>
  <c r="AC508"/>
  <c r="AB508"/>
  <c r="AA508"/>
  <c r="AC507"/>
  <c r="AB507"/>
  <c r="AA507"/>
  <c r="AC506"/>
  <c r="AB506"/>
  <c r="AA506"/>
  <c r="AC505"/>
  <c r="AB505"/>
  <c r="AA505"/>
  <c r="AC504"/>
  <c r="AB504"/>
  <c r="AA504"/>
  <c r="AC503"/>
  <c r="AB503"/>
  <c r="AA503"/>
  <c r="AC502"/>
  <c r="AB502"/>
  <c r="AA502"/>
  <c r="AC501"/>
  <c r="AB501"/>
  <c r="AA501"/>
  <c r="AC500"/>
  <c r="AB500"/>
  <c r="AA500"/>
  <c r="AC499"/>
  <c r="AB499"/>
  <c r="AA499"/>
  <c r="AC498"/>
  <c r="AB498"/>
  <c r="AA498"/>
  <c r="AC497"/>
  <c r="AB497"/>
  <c r="AA497"/>
  <c r="AC496"/>
  <c r="AB496"/>
  <c r="AA496"/>
  <c r="AC495"/>
  <c r="AB495"/>
  <c r="AA495"/>
  <c r="AC494"/>
  <c r="AB494"/>
  <c r="AA494"/>
  <c r="AC493"/>
  <c r="AB493"/>
  <c r="AA493"/>
  <c r="AC492"/>
  <c r="AB492"/>
  <c r="AA492"/>
  <c r="AC491"/>
  <c r="AB491"/>
  <c r="AA491"/>
  <c r="AC490"/>
  <c r="AB490"/>
  <c r="AA490"/>
  <c r="AC489"/>
  <c r="AB489"/>
  <c r="AA489"/>
  <c r="AC488"/>
  <c r="AB488"/>
  <c r="AA488"/>
  <c r="AC487"/>
  <c r="AB487"/>
  <c r="AA487"/>
  <c r="AC486"/>
  <c r="AB486"/>
  <c r="AA486"/>
  <c r="AC485"/>
  <c r="AB485"/>
  <c r="AA485"/>
  <c r="AC484"/>
  <c r="AB484"/>
  <c r="AA484"/>
  <c r="AC483"/>
  <c r="AB483"/>
  <c r="AA483"/>
  <c r="AC482"/>
  <c r="AB482"/>
  <c r="AA482"/>
  <c r="AC481"/>
  <c r="AB481"/>
  <c r="AA481"/>
  <c r="AC480"/>
  <c r="AB480"/>
  <c r="AA480"/>
  <c r="AC479"/>
  <c r="AB479"/>
  <c r="AA479"/>
  <c r="AC478"/>
  <c r="AB478"/>
  <c r="AA478"/>
  <c r="AC477"/>
  <c r="AB477"/>
  <c r="AA477"/>
  <c r="AC476"/>
  <c r="AB476"/>
  <c r="AA476"/>
  <c r="AC475"/>
  <c r="AB475"/>
  <c r="AA475"/>
  <c r="AC474"/>
  <c r="AB474"/>
  <c r="AA474"/>
  <c r="AC473"/>
  <c r="AB473"/>
  <c r="AA473"/>
  <c r="AC472"/>
  <c r="AB472"/>
  <c r="AA472"/>
  <c r="AC471"/>
  <c r="AB471"/>
  <c r="AA471"/>
  <c r="AC470"/>
  <c r="AB470"/>
  <c r="AA470"/>
  <c r="AC469"/>
  <c r="AB469"/>
  <c r="AA469"/>
  <c r="AC468"/>
  <c r="AB468"/>
  <c r="AA468"/>
  <c r="AC467"/>
  <c r="AB467"/>
  <c r="AA467"/>
  <c r="AC466"/>
  <c r="AB466"/>
  <c r="AA466"/>
  <c r="AC465"/>
  <c r="AB465"/>
  <c r="AA465"/>
  <c r="AC464"/>
  <c r="AB464"/>
  <c r="AA464"/>
  <c r="AC463"/>
  <c r="AB463"/>
  <c r="AA463"/>
  <c r="AC462"/>
  <c r="AB462"/>
  <c r="AA462"/>
  <c r="AC461"/>
  <c r="AB461"/>
  <c r="AA461"/>
  <c r="AC460"/>
  <c r="AB460"/>
  <c r="AA460"/>
  <c r="AC459"/>
  <c r="AB459"/>
  <c r="AA459"/>
  <c r="AC458"/>
  <c r="AB458"/>
  <c r="AA458"/>
  <c r="AC457"/>
  <c r="AB457"/>
  <c r="AA457"/>
  <c r="AC456"/>
  <c r="AB456"/>
  <c r="AA456"/>
  <c r="AC455"/>
  <c r="AB455"/>
  <c r="AA455"/>
  <c r="AC454"/>
  <c r="AB454"/>
  <c r="AA454"/>
  <c r="AC453"/>
  <c r="AB453"/>
  <c r="AA453"/>
  <c r="AC452"/>
  <c r="AB452"/>
  <c r="AA452"/>
  <c r="AC451"/>
  <c r="AB451"/>
  <c r="AA451"/>
  <c r="AC450"/>
  <c r="AB450"/>
  <c r="AA450"/>
  <c r="AC449"/>
  <c r="AB449"/>
  <c r="AA449"/>
  <c r="AC448"/>
  <c r="AB448"/>
  <c r="AA448"/>
  <c r="AC447"/>
  <c r="AB447"/>
  <c r="AA447"/>
  <c r="AC446"/>
  <c r="AB446"/>
  <c r="AA446"/>
  <c r="AC445"/>
  <c r="AB445"/>
  <c r="AA445"/>
  <c r="AC444"/>
  <c r="AB444"/>
  <c r="AA444"/>
  <c r="AC443"/>
  <c r="AB443"/>
  <c r="AA443"/>
  <c r="AC442"/>
  <c r="AB442"/>
  <c r="AA442"/>
  <c r="AC441"/>
  <c r="AB441"/>
  <c r="AA441"/>
  <c r="AC440"/>
  <c r="AB440"/>
  <c r="AA440"/>
  <c r="AC439"/>
  <c r="AB439"/>
  <c r="AA439"/>
  <c r="AC438"/>
  <c r="AB438"/>
  <c r="AA438"/>
  <c r="AC437"/>
  <c r="AB437"/>
  <c r="AA437"/>
  <c r="AC436"/>
  <c r="AB436"/>
  <c r="AA436"/>
  <c r="AC435"/>
  <c r="AB435"/>
  <c r="AA435"/>
  <c r="AC434"/>
  <c r="AB434"/>
  <c r="AA434"/>
  <c r="AC433"/>
  <c r="AB433"/>
  <c r="AA433"/>
  <c r="AC432"/>
  <c r="AB432"/>
  <c r="AA432"/>
  <c r="AC431"/>
  <c r="AB431"/>
  <c r="AA431"/>
  <c r="AC430"/>
  <c r="AB430"/>
  <c r="AA430"/>
  <c r="AC429"/>
  <c r="AB429"/>
  <c r="AA429"/>
  <c r="AC428"/>
  <c r="AB428"/>
  <c r="AA428"/>
  <c r="AC427"/>
  <c r="AB427"/>
  <c r="AA427"/>
  <c r="AC426"/>
  <c r="AB426"/>
  <c r="AA426"/>
  <c r="AC425"/>
  <c r="AB425"/>
  <c r="AA425"/>
  <c r="AC424"/>
  <c r="AB424"/>
  <c r="AA424"/>
  <c r="AC423"/>
  <c r="AB423"/>
  <c r="AA423"/>
  <c r="AC422"/>
  <c r="AB422"/>
  <c r="AA422"/>
  <c r="AC421"/>
  <c r="AB421"/>
  <c r="AA421"/>
  <c r="AC420"/>
  <c r="AB420"/>
  <c r="AA420"/>
  <c r="AC419"/>
  <c r="AB419"/>
  <c r="AA419"/>
  <c r="AC418"/>
  <c r="AB418"/>
  <c r="AA418"/>
  <c r="AC417"/>
  <c r="AB417"/>
  <c r="AA417"/>
  <c r="AC416"/>
  <c r="AB416"/>
  <c r="AA416"/>
  <c r="AC415"/>
  <c r="AB415"/>
  <c r="AA415"/>
  <c r="AC414"/>
  <c r="AB414"/>
  <c r="AA414"/>
  <c r="AC413"/>
  <c r="AB413"/>
  <c r="AA413"/>
  <c r="AC412"/>
  <c r="AB412"/>
  <c r="AA412"/>
  <c r="AC411"/>
  <c r="AB411"/>
  <c r="AA411"/>
  <c r="AC410"/>
  <c r="AB410"/>
  <c r="AA410"/>
  <c r="AC409"/>
  <c r="AB409"/>
  <c r="AA409"/>
  <c r="AC408"/>
  <c r="AB408"/>
  <c r="AA408"/>
  <c r="AC407"/>
  <c r="AB407"/>
  <c r="AA407"/>
  <c r="AC406"/>
  <c r="AB406"/>
  <c r="AA406"/>
  <c r="AC405"/>
  <c r="AB405"/>
  <c r="AA405"/>
  <c r="AC404"/>
  <c r="AB404"/>
  <c r="AA404"/>
  <c r="AC403"/>
  <c r="AB403"/>
  <c r="AA403"/>
  <c r="AC402"/>
  <c r="AB402"/>
  <c r="AA402"/>
  <c r="AC401"/>
  <c r="AB401"/>
  <c r="AA401"/>
  <c r="AC400"/>
  <c r="AB400"/>
  <c r="AA400"/>
  <c r="AC399"/>
  <c r="AB399"/>
  <c r="AA399"/>
  <c r="AC398"/>
  <c r="AB398"/>
  <c r="AA398"/>
  <c r="AC397"/>
  <c r="AB397"/>
  <c r="AA397"/>
  <c r="AC396"/>
  <c r="AB396"/>
  <c r="AA396"/>
  <c r="AC395"/>
  <c r="AB395"/>
  <c r="AA395"/>
  <c r="AC394"/>
  <c r="AB394"/>
  <c r="AA394"/>
  <c r="AC393"/>
  <c r="AB393"/>
  <c r="AA393"/>
  <c r="AC392"/>
  <c r="AB392"/>
  <c r="AA392"/>
  <c r="AC391"/>
  <c r="AB391"/>
  <c r="AA391"/>
  <c r="H391"/>
  <c r="G391"/>
  <c r="F391"/>
  <c r="I391" s="1"/>
  <c r="B391"/>
  <c r="A391"/>
  <c r="AC390"/>
  <c r="AB390"/>
  <c r="AA390"/>
  <c r="AC389"/>
  <c r="AB389"/>
  <c r="AA389"/>
  <c r="AC388"/>
  <c r="AB388"/>
  <c r="AA388"/>
  <c r="AC387"/>
  <c r="AB387"/>
  <c r="AA387"/>
  <c r="AC386"/>
  <c r="AB386"/>
  <c r="AA386"/>
  <c r="AC385"/>
  <c r="AB385"/>
  <c r="AA385"/>
  <c r="AC384"/>
  <c r="AB384"/>
  <c r="AA384"/>
  <c r="AC383"/>
  <c r="AB383"/>
  <c r="AA383"/>
  <c r="AC382"/>
  <c r="AB382"/>
  <c r="AA382"/>
  <c r="AC381"/>
  <c r="AB381"/>
  <c r="AA381"/>
  <c r="AC380"/>
  <c r="AB380"/>
  <c r="AA380"/>
  <c r="H380"/>
  <c r="G380"/>
  <c r="F380"/>
  <c r="C380"/>
  <c r="B380"/>
  <c r="A380"/>
  <c r="AC379"/>
  <c r="AB379"/>
  <c r="AA379"/>
  <c r="AC378"/>
  <c r="AB378"/>
  <c r="AA378"/>
  <c r="AC377"/>
  <c r="AB377"/>
  <c r="AA377"/>
  <c r="AC376"/>
  <c r="AB376"/>
  <c r="AA376"/>
  <c r="AC375"/>
  <c r="AB375"/>
  <c r="AA375"/>
  <c r="AC374"/>
  <c r="AB374"/>
  <c r="AA374"/>
  <c r="AC373"/>
  <c r="AB373"/>
  <c r="AA373"/>
  <c r="AC372"/>
  <c r="AB372"/>
  <c r="AA372"/>
  <c r="AC371"/>
  <c r="AB371"/>
  <c r="AA371"/>
  <c r="AC367"/>
  <c r="AB367"/>
  <c r="AA367"/>
  <c r="AC366"/>
  <c r="AB366"/>
  <c r="AA366"/>
  <c r="AC365"/>
  <c r="AB365"/>
  <c r="AA365"/>
  <c r="AC364"/>
  <c r="AB364"/>
  <c r="AA364"/>
  <c r="AC363"/>
  <c r="AB363"/>
  <c r="AA363"/>
  <c r="AC362"/>
  <c r="AB362"/>
  <c r="AA362"/>
  <c r="AC361"/>
  <c r="AB361"/>
  <c r="AA361"/>
  <c r="AC360"/>
  <c r="AB360"/>
  <c r="AA360"/>
  <c r="AC359"/>
  <c r="AB359"/>
  <c r="AA359"/>
  <c r="AC358"/>
  <c r="AB358"/>
  <c r="AA358"/>
  <c r="AC357"/>
  <c r="AB357"/>
  <c r="AA357"/>
  <c r="AC356"/>
  <c r="AB356"/>
  <c r="AA356"/>
  <c r="AC355"/>
  <c r="AB355"/>
  <c r="AA355"/>
  <c r="AC354"/>
  <c r="AB354"/>
  <c r="AA354"/>
  <c r="AC353"/>
  <c r="AB353"/>
  <c r="AA353"/>
  <c r="AC352"/>
  <c r="AB352"/>
  <c r="AA352"/>
  <c r="AC351"/>
  <c r="AB351"/>
  <c r="AA351"/>
  <c r="AC350"/>
  <c r="AB350"/>
  <c r="AA350"/>
  <c r="AC349"/>
  <c r="AB349"/>
  <c r="AA349"/>
  <c r="AC348"/>
  <c r="AB348"/>
  <c r="AA348"/>
  <c r="AC347"/>
  <c r="AB347"/>
  <c r="AA347"/>
  <c r="AC346"/>
  <c r="AB346"/>
  <c r="AA346"/>
  <c r="AC345"/>
  <c r="AB345"/>
  <c r="AA345"/>
  <c r="AC344"/>
  <c r="AB344"/>
  <c r="AA344"/>
  <c r="AC343"/>
  <c r="AB343"/>
  <c r="AA343"/>
  <c r="AC342"/>
  <c r="AB342"/>
  <c r="AA342"/>
  <c r="AC341"/>
  <c r="AB341"/>
  <c r="AA341"/>
  <c r="AC340"/>
  <c r="AB340"/>
  <c r="AA340"/>
  <c r="AC339"/>
  <c r="AB339"/>
  <c r="AA339"/>
  <c r="AC338"/>
  <c r="AB338"/>
  <c r="AA338"/>
  <c r="AC337"/>
  <c r="AB337"/>
  <c r="AA337"/>
  <c r="AC336"/>
  <c r="AB336"/>
  <c r="AA336"/>
  <c r="AC335"/>
  <c r="AB335"/>
  <c r="AA335"/>
  <c r="AC334"/>
  <c r="AB334"/>
  <c r="AA334"/>
  <c r="AC333"/>
  <c r="AB333"/>
  <c r="AA333"/>
  <c r="AC332"/>
  <c r="AB332"/>
  <c r="AA332"/>
  <c r="AC331"/>
  <c r="AB331"/>
  <c r="AA331"/>
  <c r="AC330"/>
  <c r="AB330"/>
  <c r="AA330"/>
  <c r="AC329"/>
  <c r="AB329"/>
  <c r="AA329"/>
  <c r="AC328"/>
  <c r="AB328"/>
  <c r="AA328"/>
  <c r="AC327"/>
  <c r="AB327"/>
  <c r="AA327"/>
  <c r="AC326"/>
  <c r="AB326"/>
  <c r="AA326"/>
  <c r="AC325"/>
  <c r="AB325"/>
  <c r="AA325"/>
  <c r="AC324"/>
  <c r="AB324"/>
  <c r="AA324"/>
  <c r="AC323"/>
  <c r="AB323"/>
  <c r="AA323"/>
  <c r="AC322"/>
  <c r="AB322"/>
  <c r="AA322"/>
  <c r="AC321"/>
  <c r="AB321"/>
  <c r="AA321"/>
  <c r="AC320"/>
  <c r="AB320"/>
  <c r="AA320"/>
  <c r="AC319"/>
  <c r="AB319"/>
  <c r="AA319"/>
  <c r="AC318"/>
  <c r="AB318"/>
  <c r="AA318"/>
  <c r="AC317"/>
  <c r="AB317"/>
  <c r="AA317"/>
  <c r="AC316"/>
  <c r="AB316"/>
  <c r="AA316"/>
  <c r="AC315"/>
  <c r="AB315"/>
  <c r="AA315"/>
  <c r="AC314"/>
  <c r="AB314"/>
  <c r="AA314"/>
  <c r="AC313"/>
  <c r="AB313"/>
  <c r="AA313"/>
  <c r="AC312"/>
  <c r="AB312"/>
  <c r="AA312"/>
  <c r="AC311"/>
  <c r="AB311"/>
  <c r="AA311"/>
  <c r="AC310"/>
  <c r="AB310"/>
  <c r="AA310"/>
  <c r="AC309"/>
  <c r="AB309"/>
  <c r="AA309"/>
  <c r="AC308"/>
  <c r="AB308"/>
  <c r="AA308"/>
  <c r="AC307"/>
  <c r="AB307"/>
  <c r="AA307"/>
  <c r="AC306"/>
  <c r="AB306"/>
  <c r="AA306"/>
  <c r="AC305"/>
  <c r="AB305"/>
  <c r="AA305"/>
  <c r="AC304"/>
  <c r="AB304"/>
  <c r="AA304"/>
  <c r="AC303"/>
  <c r="AB303"/>
  <c r="AA303"/>
  <c r="AC302"/>
  <c r="AB302"/>
  <c r="AA302"/>
  <c r="AC301"/>
  <c r="AB301"/>
  <c r="AA301"/>
  <c r="AC300"/>
  <c r="AB300"/>
  <c r="AA300"/>
  <c r="AC299"/>
  <c r="AB299"/>
  <c r="AA299"/>
  <c r="AC298"/>
  <c r="AB298"/>
  <c r="AA298"/>
  <c r="AC297"/>
  <c r="AB297"/>
  <c r="AA297"/>
  <c r="AC296"/>
  <c r="AB296"/>
  <c r="AA296"/>
  <c r="AC295"/>
  <c r="AB295"/>
  <c r="AA295"/>
  <c r="AC294"/>
  <c r="AB294"/>
  <c r="AA294"/>
  <c r="AC293"/>
  <c r="AB293"/>
  <c r="AA293"/>
  <c r="AC292"/>
  <c r="AB292"/>
  <c r="AA292"/>
  <c r="AC291"/>
  <c r="AB291"/>
  <c r="AA291"/>
  <c r="AC290"/>
  <c r="AB290"/>
  <c r="AA290"/>
  <c r="AC289"/>
  <c r="AB289"/>
  <c r="AA289"/>
  <c r="AC288"/>
  <c r="AB288"/>
  <c r="AA288"/>
  <c r="AC287"/>
  <c r="AB287"/>
  <c r="AA287"/>
  <c r="AC286"/>
  <c r="AB286"/>
  <c r="AA286"/>
  <c r="AC285"/>
  <c r="AB285"/>
  <c r="AA285"/>
  <c r="AC284"/>
  <c r="AB284"/>
  <c r="AA284"/>
  <c r="AC283"/>
  <c r="AB283"/>
  <c r="AA283"/>
  <c r="AC282"/>
  <c r="AB282"/>
  <c r="AA282"/>
  <c r="AC281"/>
  <c r="AB281"/>
  <c r="AA281"/>
  <c r="AC280"/>
  <c r="AB280"/>
  <c r="AA280"/>
  <c r="AC279"/>
  <c r="AB279"/>
  <c r="AA279"/>
  <c r="AC278"/>
  <c r="AB278"/>
  <c r="AA278"/>
  <c r="AC277"/>
  <c r="AB277"/>
  <c r="AA277"/>
  <c r="AC276"/>
  <c r="AB276"/>
  <c r="AA276"/>
  <c r="AC275"/>
  <c r="AB275"/>
  <c r="AA275"/>
  <c r="AC274"/>
  <c r="AB274"/>
  <c r="AA274"/>
  <c r="AC273"/>
  <c r="AB273"/>
  <c r="AA273"/>
  <c r="AC272"/>
  <c r="AB272"/>
  <c r="AA272"/>
  <c r="AC271"/>
  <c r="AB271"/>
  <c r="AA271"/>
  <c r="AC270"/>
  <c r="AB270"/>
  <c r="AA270"/>
  <c r="AC269"/>
  <c r="AB269"/>
  <c r="AA269"/>
  <c r="AC268"/>
  <c r="AB268"/>
  <c r="AA268"/>
  <c r="AC267"/>
  <c r="AB267"/>
  <c r="AA267"/>
  <c r="AC266"/>
  <c r="AB266"/>
  <c r="AA266"/>
  <c r="AC265"/>
  <c r="AB265"/>
  <c r="AA265"/>
  <c r="AC264"/>
  <c r="AB264"/>
  <c r="AA264"/>
  <c r="AC263"/>
  <c r="AB263"/>
  <c r="AA263"/>
  <c r="AC262"/>
  <c r="AB262"/>
  <c r="AA262"/>
  <c r="AC261"/>
  <c r="AB261"/>
  <c r="AA261"/>
  <c r="AC260"/>
  <c r="AB260"/>
  <c r="AA260"/>
  <c r="AC259"/>
  <c r="AB259"/>
  <c r="AA259"/>
  <c r="AC258"/>
  <c r="AB258"/>
  <c r="AA258"/>
  <c r="AC257"/>
  <c r="AB257"/>
  <c r="AA257"/>
  <c r="AC256"/>
  <c r="AB256"/>
  <c r="AA256"/>
  <c r="AC255"/>
  <c r="AB255"/>
  <c r="AA255"/>
  <c r="AC254"/>
  <c r="AB254"/>
  <c r="AA254"/>
  <c r="AC253"/>
  <c r="AB253"/>
  <c r="AA253"/>
  <c r="AC252"/>
  <c r="AB252"/>
  <c r="AA252"/>
  <c r="AC251"/>
  <c r="AB251"/>
  <c r="AA251"/>
  <c r="AC250"/>
  <c r="AB250"/>
  <c r="AA250"/>
  <c r="AC249"/>
  <c r="AB249"/>
  <c r="AA249"/>
  <c r="AC248"/>
  <c r="AB248"/>
  <c r="AA248"/>
  <c r="AC247"/>
  <c r="AB247"/>
  <c r="AA247"/>
  <c r="AC246"/>
  <c r="AB246"/>
  <c r="AA246"/>
  <c r="AC245"/>
  <c r="AB245"/>
  <c r="AA245"/>
  <c r="AC244"/>
  <c r="AB244"/>
  <c r="AA244"/>
  <c r="AC243"/>
  <c r="AB243"/>
  <c r="AA243"/>
  <c r="AC242"/>
  <c r="AB242"/>
  <c r="AA242"/>
  <c r="AC241"/>
  <c r="AB241"/>
  <c r="AA241"/>
  <c r="AC240"/>
  <c r="AB240"/>
  <c r="AA240"/>
  <c r="AC239"/>
  <c r="AB239"/>
  <c r="AA239"/>
  <c r="AC238"/>
  <c r="AB238"/>
  <c r="AA238"/>
  <c r="AC237"/>
  <c r="AB237"/>
  <c r="AA237"/>
  <c r="AC236"/>
  <c r="AB236"/>
  <c r="AA236"/>
  <c r="AC235"/>
  <c r="AB235"/>
  <c r="AA235"/>
  <c r="AC234"/>
  <c r="AB234"/>
  <c r="AA234"/>
  <c r="AC233"/>
  <c r="AB233"/>
  <c r="AA233"/>
  <c r="AC232"/>
  <c r="AB232"/>
  <c r="AA232"/>
  <c r="AC231"/>
  <c r="AB231"/>
  <c r="AA231"/>
  <c r="AC230"/>
  <c r="AB230"/>
  <c r="AA230"/>
  <c r="AC229"/>
  <c r="AB229"/>
  <c r="AA229"/>
  <c r="AC228"/>
  <c r="AB228"/>
  <c r="AA228"/>
  <c r="AC227"/>
  <c r="AB227"/>
  <c r="AA227"/>
  <c r="AC226"/>
  <c r="AB226"/>
  <c r="AA226"/>
  <c r="AC225"/>
  <c r="AB225"/>
  <c r="AA225"/>
  <c r="AC224"/>
  <c r="AB224"/>
  <c r="AA224"/>
  <c r="AC223"/>
  <c r="AB223"/>
  <c r="AA223"/>
  <c r="AC222"/>
  <c r="AB222"/>
  <c r="AA222"/>
  <c r="AC221"/>
  <c r="AB221"/>
  <c r="AA221"/>
  <c r="AC220"/>
  <c r="AB220"/>
  <c r="AA220"/>
  <c r="AC219"/>
  <c r="AB219"/>
  <c r="AA219"/>
  <c r="AC218"/>
  <c r="AB218"/>
  <c r="AA218"/>
  <c r="AC214"/>
  <c r="AB214"/>
  <c r="AA214"/>
  <c r="AC213"/>
  <c r="AB213"/>
  <c r="AA213"/>
  <c r="AC212"/>
  <c r="AB212"/>
  <c r="AA212"/>
  <c r="AC211"/>
  <c r="AB211"/>
  <c r="AA211"/>
  <c r="AC210"/>
  <c r="AB210"/>
  <c r="AA210"/>
  <c r="AC209"/>
  <c r="AB209"/>
  <c r="AA209"/>
  <c r="AC208"/>
  <c r="AB208"/>
  <c r="AA208"/>
  <c r="AC207"/>
  <c r="AB207"/>
  <c r="AA207"/>
  <c r="AC206"/>
  <c r="AB206"/>
  <c r="AA206"/>
  <c r="AC205"/>
  <c r="AB205"/>
  <c r="AA205"/>
  <c r="AC204"/>
  <c r="AB204"/>
  <c r="AA204"/>
  <c r="AC203"/>
  <c r="AB203"/>
  <c r="AA203"/>
  <c r="AC202"/>
  <c r="AB202"/>
  <c r="AA202"/>
  <c r="AC201"/>
  <c r="AB201"/>
  <c r="AA201"/>
  <c r="AC200"/>
  <c r="AB200"/>
  <c r="AA200"/>
  <c r="AC199"/>
  <c r="AB199"/>
  <c r="AA199"/>
  <c r="AC198"/>
  <c r="AB198"/>
  <c r="AA198"/>
  <c r="AC197"/>
  <c r="AB197"/>
  <c r="AA197"/>
  <c r="AC196"/>
  <c r="AB196"/>
  <c r="AA196"/>
  <c r="AC195"/>
  <c r="AB195"/>
  <c r="AA195"/>
  <c r="AC194"/>
  <c r="AB194"/>
  <c r="AA194"/>
  <c r="AC193"/>
  <c r="AB193"/>
  <c r="AA193"/>
  <c r="AC192"/>
  <c r="AB192"/>
  <c r="AA192"/>
  <c r="AC191"/>
  <c r="AB191"/>
  <c r="AA191"/>
  <c r="AC190"/>
  <c r="AB190"/>
  <c r="AA190"/>
  <c r="AC189"/>
  <c r="AB189"/>
  <c r="AA189"/>
  <c r="AC188"/>
  <c r="AB188"/>
  <c r="AA188"/>
  <c r="AC187"/>
  <c r="AB187"/>
  <c r="AA187"/>
  <c r="AC186"/>
  <c r="AB186"/>
  <c r="AA186"/>
  <c r="AC185"/>
  <c r="AB185"/>
  <c r="AA185"/>
  <c r="AC184"/>
  <c r="AB184"/>
  <c r="AA184"/>
  <c r="AC183"/>
  <c r="AB183"/>
  <c r="AA183"/>
  <c r="AC182"/>
  <c r="AB182"/>
  <c r="AA182"/>
  <c r="AC181"/>
  <c r="AB181"/>
  <c r="AA181"/>
  <c r="AC180"/>
  <c r="AB180"/>
  <c r="AA180"/>
  <c r="AC179"/>
  <c r="AB179"/>
  <c r="AA179"/>
  <c r="AC178"/>
  <c r="AB178"/>
  <c r="AA178"/>
  <c r="AC177"/>
  <c r="AB177"/>
  <c r="AA177"/>
  <c r="AC176"/>
  <c r="AB176"/>
  <c r="AA176"/>
  <c r="AC175"/>
  <c r="AB175"/>
  <c r="AA175"/>
  <c r="AC174"/>
  <c r="AB174"/>
  <c r="AA174"/>
  <c r="AC173"/>
  <c r="AB173"/>
  <c r="AA173"/>
  <c r="AC172"/>
  <c r="AB172"/>
  <c r="AA172"/>
  <c r="AC171"/>
  <c r="AB171"/>
  <c r="AA171"/>
  <c r="AC170"/>
  <c r="AB170"/>
  <c r="AA170"/>
  <c r="AC169"/>
  <c r="AB169"/>
  <c r="AA169"/>
  <c r="AC168"/>
  <c r="AB168"/>
  <c r="AA168"/>
  <c r="AC167"/>
  <c r="AB167"/>
  <c r="AA167"/>
  <c r="AC166"/>
  <c r="AB166"/>
  <c r="AA166"/>
  <c r="AC165"/>
  <c r="AB165"/>
  <c r="AA165"/>
  <c r="AC164"/>
  <c r="AB164"/>
  <c r="AA164"/>
  <c r="AC163"/>
  <c r="AB163"/>
  <c r="AA163"/>
  <c r="AC162"/>
  <c r="AB162"/>
  <c r="AA162"/>
  <c r="AC161"/>
  <c r="AB161"/>
  <c r="AA161"/>
  <c r="AC160"/>
  <c r="AB160"/>
  <c r="AA160"/>
  <c r="AC159"/>
  <c r="AB159"/>
  <c r="AA159"/>
  <c r="AC158"/>
  <c r="AB158"/>
  <c r="AA158"/>
  <c r="AC157"/>
  <c r="AB157"/>
  <c r="AA157"/>
  <c r="AC156"/>
  <c r="AB156"/>
  <c r="AA156"/>
  <c r="AC155"/>
  <c r="AB155"/>
  <c r="AA155"/>
  <c r="AC154"/>
  <c r="AB154"/>
  <c r="AA154"/>
  <c r="AC153"/>
  <c r="AB153"/>
  <c r="AA153"/>
  <c r="AC152"/>
  <c r="AB152"/>
  <c r="AA152"/>
  <c r="AC151"/>
  <c r="AB151"/>
  <c r="AA151"/>
  <c r="AC150"/>
  <c r="AB150"/>
  <c r="AA150"/>
  <c r="AC149"/>
  <c r="AB149"/>
  <c r="AA149"/>
  <c r="AC148"/>
  <c r="AB148"/>
  <c r="AA148"/>
  <c r="AC147"/>
  <c r="AB147"/>
  <c r="AA147"/>
  <c r="AC146"/>
  <c r="AB146"/>
  <c r="AA146"/>
  <c r="AC145"/>
  <c r="AB145"/>
  <c r="AA145"/>
  <c r="AC144"/>
  <c r="AB144"/>
  <c r="AA144"/>
  <c r="AC143"/>
  <c r="AB143"/>
  <c r="AA143"/>
  <c r="AC142"/>
  <c r="AB142"/>
  <c r="AA142"/>
  <c r="AC141"/>
  <c r="AB141"/>
  <c r="AA141"/>
  <c r="AC140"/>
  <c r="AB140"/>
  <c r="AA140"/>
  <c r="AC139"/>
  <c r="AB139"/>
  <c r="AA139"/>
  <c r="AC138"/>
  <c r="AB138"/>
  <c r="AA138"/>
  <c r="AC137"/>
  <c r="AB137"/>
  <c r="AA137"/>
  <c r="AC136"/>
  <c r="AB136"/>
  <c r="AA136"/>
  <c r="AC135"/>
  <c r="AB135"/>
  <c r="AA135"/>
  <c r="AC134"/>
  <c r="AB134"/>
  <c r="AA134"/>
  <c r="AC133"/>
  <c r="AB133"/>
  <c r="AA133"/>
  <c r="AC132"/>
  <c r="AB132"/>
  <c r="AA132"/>
  <c r="AC131"/>
  <c r="AB131"/>
  <c r="AA131"/>
  <c r="AC130"/>
  <c r="AB130"/>
  <c r="AA130"/>
  <c r="AC129"/>
  <c r="AB129"/>
  <c r="AA129"/>
  <c r="AC128"/>
  <c r="AB128"/>
  <c r="AA128"/>
  <c r="AC127"/>
  <c r="AB127"/>
  <c r="AA127"/>
  <c r="AC126"/>
  <c r="AB126"/>
  <c r="AA126"/>
  <c r="AC125"/>
  <c r="AB125"/>
  <c r="AA125"/>
  <c r="AC124"/>
  <c r="AB124"/>
  <c r="AA124"/>
  <c r="AC123"/>
  <c r="AB123"/>
  <c r="AA123"/>
  <c r="AC122"/>
  <c r="AB122"/>
  <c r="AA122"/>
  <c r="AC121"/>
  <c r="AB121"/>
  <c r="AA121"/>
  <c r="AC120"/>
  <c r="AB120"/>
  <c r="AA120"/>
  <c r="AC119"/>
  <c r="AB119"/>
  <c r="AA119"/>
  <c r="AC118"/>
  <c r="AB118"/>
  <c r="AA118"/>
  <c r="AC117"/>
  <c r="AB117"/>
  <c r="AA117"/>
  <c r="AC116"/>
  <c r="AB116"/>
  <c r="AA116"/>
  <c r="AC115"/>
  <c r="AB115"/>
  <c r="AA115"/>
  <c r="AC114"/>
  <c r="AB114"/>
  <c r="AA114"/>
  <c r="AC113"/>
  <c r="AB113"/>
  <c r="AA113"/>
  <c r="AC112"/>
  <c r="AB112"/>
  <c r="AA112"/>
  <c r="AC111"/>
  <c r="AB111"/>
  <c r="AA111"/>
  <c r="AC110"/>
  <c r="AB110"/>
  <c r="AA110"/>
  <c r="AC109"/>
  <c r="AB109"/>
  <c r="AA109"/>
  <c r="AC108"/>
  <c r="AB108"/>
  <c r="AA108"/>
  <c r="AC107"/>
  <c r="AB107"/>
  <c r="AA107"/>
  <c r="AC106"/>
  <c r="AB106"/>
  <c r="AA106"/>
  <c r="AC105"/>
  <c r="AB105"/>
  <c r="AA105"/>
  <c r="AC104"/>
  <c r="AB104"/>
  <c r="AA104"/>
  <c r="AC103"/>
  <c r="AB103"/>
  <c r="AA103"/>
  <c r="AC102"/>
  <c r="AB102"/>
  <c r="AA102"/>
  <c r="AC101"/>
  <c r="AB101"/>
  <c r="AA101"/>
  <c r="AC100"/>
  <c r="AB100"/>
  <c r="AA100"/>
  <c r="AC99"/>
  <c r="AB99"/>
  <c r="AA99"/>
  <c r="AC98"/>
  <c r="AB98"/>
  <c r="AA98"/>
  <c r="AC97"/>
  <c r="AB97"/>
  <c r="AA97"/>
  <c r="AC96"/>
  <c r="AB96"/>
  <c r="AA96"/>
  <c r="AC95"/>
  <c r="AB95"/>
  <c r="AA95"/>
  <c r="AC94"/>
  <c r="AB94"/>
  <c r="AA94"/>
  <c r="AC93"/>
  <c r="AB93"/>
  <c r="AA93"/>
  <c r="AC92"/>
  <c r="AB92"/>
  <c r="AA92"/>
  <c r="AC91"/>
  <c r="AB91"/>
  <c r="AA91"/>
  <c r="AC90"/>
  <c r="AB90"/>
  <c r="AA90"/>
  <c r="AC89"/>
  <c r="AB89"/>
  <c r="AA89"/>
  <c r="AC88"/>
  <c r="AB88"/>
  <c r="AA88"/>
  <c r="AC87"/>
  <c r="AB87"/>
  <c r="AA87"/>
  <c r="AC86"/>
  <c r="AB86"/>
  <c r="AA86"/>
  <c r="AC85"/>
  <c r="AB85"/>
  <c r="AA85"/>
  <c r="AC84"/>
  <c r="AB84"/>
  <c r="AA84"/>
  <c r="AC83"/>
  <c r="AB83"/>
  <c r="AA83"/>
  <c r="AC82"/>
  <c r="AB82"/>
  <c r="AA82"/>
  <c r="AC81"/>
  <c r="AB81"/>
  <c r="AA81"/>
  <c r="AC80"/>
  <c r="AB80"/>
  <c r="AA80"/>
  <c r="AC79"/>
  <c r="AB79"/>
  <c r="AA79"/>
  <c r="AC78"/>
  <c r="AB78"/>
  <c r="AA78"/>
  <c r="AC77"/>
  <c r="AB77"/>
  <c r="AA77"/>
  <c r="AC76"/>
  <c r="AB76"/>
  <c r="AA76"/>
  <c r="AC75"/>
  <c r="AB75"/>
  <c r="AA75"/>
  <c r="AC74"/>
  <c r="AB74"/>
  <c r="AA74"/>
  <c r="AC73"/>
  <c r="AB73"/>
  <c r="AA73"/>
  <c r="AC72"/>
  <c r="AB72"/>
  <c r="AA72"/>
  <c r="AC71"/>
  <c r="AB71"/>
  <c r="AA71"/>
  <c r="AC70"/>
  <c r="AB70"/>
  <c r="AA70"/>
  <c r="AC69"/>
  <c r="AB69"/>
  <c r="AA69"/>
  <c r="AC68"/>
  <c r="AB68"/>
  <c r="AA68"/>
  <c r="AC67"/>
  <c r="AB67"/>
  <c r="AA67"/>
  <c r="AC66"/>
  <c r="AB66"/>
  <c r="AA66"/>
  <c r="AC65"/>
  <c r="AB65"/>
  <c r="AA65"/>
  <c r="AC40"/>
  <c r="AC39"/>
  <c r="AC38"/>
  <c r="AC37"/>
  <c r="AC36"/>
  <c r="AC35"/>
  <c r="AC34"/>
  <c r="AC33"/>
  <c r="AC32"/>
  <c r="AC31"/>
  <c r="AC23"/>
  <c r="AC19"/>
  <c r="V18"/>
  <c r="U18"/>
  <c r="V17"/>
  <c r="U17"/>
  <c r="AH16"/>
  <c r="AG16"/>
  <c r="AF16"/>
  <c r="AE16"/>
  <c r="V16"/>
  <c r="U16"/>
  <c r="AH15"/>
  <c r="AG15"/>
  <c r="AF15"/>
  <c r="AE15"/>
  <c r="V15"/>
  <c r="U15"/>
  <c r="AH14"/>
  <c r="AG14"/>
  <c r="AF14"/>
  <c r="AE14"/>
  <c r="V14"/>
  <c r="U14"/>
  <c r="AH13"/>
  <c r="AG13"/>
  <c r="AF13"/>
  <c r="AE13"/>
  <c r="V13"/>
  <c r="U13"/>
  <c r="AH12"/>
  <c r="AG12"/>
  <c r="AF12"/>
  <c r="AE12"/>
  <c r="AC12"/>
  <c r="V12"/>
  <c r="U12"/>
  <c r="AH11"/>
  <c r="AG11"/>
  <c r="AF11"/>
  <c r="AE11"/>
  <c r="V11"/>
  <c r="U11"/>
  <c r="AH10"/>
  <c r="AG10"/>
  <c r="AF10"/>
  <c r="AE10"/>
  <c r="V10"/>
  <c r="U10"/>
  <c r="AH9"/>
  <c r="AG9"/>
  <c r="AF9"/>
  <c r="AE9"/>
  <c r="AC9"/>
  <c r="V9"/>
  <c r="U9"/>
  <c r="T9"/>
  <c r="S9"/>
  <c r="R9"/>
  <c r="Q9"/>
  <c r="P9"/>
  <c r="O9"/>
  <c r="AT8"/>
  <c r="AH8"/>
  <c r="AG8"/>
  <c r="AF8"/>
  <c r="AE8"/>
  <c r="V8"/>
  <c r="U8"/>
  <c r="T8"/>
  <c r="S8"/>
  <c r="R8"/>
  <c r="Q8"/>
  <c r="P8"/>
  <c r="O8"/>
  <c r="AZ7"/>
  <c r="AY7"/>
  <c r="AX7"/>
  <c r="AW7"/>
  <c r="AH7"/>
  <c r="AG7"/>
  <c r="AF7"/>
  <c r="AE7"/>
  <c r="T7"/>
  <c r="S7"/>
  <c r="R7"/>
  <c r="Q7"/>
  <c r="P7"/>
  <c r="O7"/>
  <c r="AH6"/>
  <c r="AG6"/>
  <c r="AF6"/>
  <c r="AE6"/>
  <c r="T6"/>
  <c r="S6"/>
  <c r="R6"/>
  <c r="O6" s="1"/>
  <c r="Q6"/>
  <c r="P6"/>
  <c r="BR5"/>
  <c r="AT5"/>
  <c r="AV5" s="1"/>
  <c r="AH5"/>
  <c r="AG5"/>
  <c r="AF5"/>
  <c r="AE5"/>
  <c r="T5"/>
  <c r="S5"/>
  <c r="R5"/>
  <c r="Q5"/>
  <c r="N5" s="1"/>
  <c r="P5"/>
  <c r="O5"/>
  <c r="AC4"/>
  <c r="AB4"/>
  <c r="A4"/>
  <c r="A2"/>
  <c r="A16" i="64" l="1"/>
  <c r="J4"/>
  <c r="J14"/>
  <c r="X14" s="1"/>
  <c r="X3"/>
  <c r="C59" i="69"/>
  <c r="C14"/>
  <c r="C51"/>
  <c r="D51"/>
  <c r="D14"/>
  <c r="E1"/>
  <c r="D59"/>
  <c r="C17"/>
  <c r="D17" s="1"/>
  <c r="C36"/>
  <c r="D10"/>
  <c r="C28"/>
  <c r="D28" s="1"/>
  <c r="E25" i="63"/>
  <c r="I20"/>
  <c r="D25"/>
  <c r="I21"/>
  <c r="BJ5" i="51"/>
  <c r="BF5"/>
  <c r="M5"/>
  <c r="N6"/>
  <c r="M6" s="1"/>
  <c r="BD5"/>
  <c r="AC11"/>
  <c r="AC27"/>
  <c r="AD5"/>
  <c r="AD6" s="1"/>
  <c r="AD7" s="1"/>
  <c r="AD8" s="1"/>
  <c r="AD9" s="1"/>
  <c r="AD10" s="1"/>
  <c r="AD11" s="1"/>
  <c r="AD12" s="1"/>
  <c r="AD13" s="1"/>
  <c r="AD14" s="1"/>
  <c r="AD15" s="1"/>
  <c r="AD16" s="1"/>
  <c r="BB5"/>
  <c r="AC8"/>
  <c r="AC5"/>
  <c r="AX5"/>
  <c r="AC10"/>
  <c r="AD2010"/>
  <c r="AD2011" s="1"/>
  <c r="AD2012" s="1"/>
  <c r="AD2013" s="1"/>
  <c r="AD2014" s="1"/>
  <c r="AD2015" s="1"/>
  <c r="AD2016" s="1"/>
  <c r="AD2017" s="1"/>
  <c r="AD2018" s="1"/>
  <c r="AD2019" s="1"/>
  <c r="AD2020" s="1"/>
  <c r="AD2021" s="1"/>
  <c r="AD2022" s="1"/>
  <c r="AD2023" s="1"/>
  <c r="AD2024" s="1"/>
  <c r="AD2025" s="1"/>
  <c r="AD2026" s="1"/>
  <c r="AD2027" s="1"/>
  <c r="AD2028" s="1"/>
  <c r="AC29"/>
  <c r="AC28"/>
  <c r="AC20"/>
  <c r="AC15"/>
  <c r="AC14"/>
  <c r="AC26"/>
  <c r="AC18"/>
  <c r="AC17"/>
  <c r="AC24"/>
  <c r="AC16"/>
  <c r="AC7"/>
  <c r="AC30"/>
  <c r="AC22"/>
  <c r="AC6"/>
  <c r="AC21"/>
  <c r="AC25"/>
  <c r="BK5"/>
  <c r="BC5"/>
  <c r="AU5"/>
  <c r="BM5"/>
  <c r="BE5"/>
  <c r="AW5"/>
  <c r="BO5"/>
  <c r="BG5"/>
  <c r="AY5"/>
  <c r="BP5"/>
  <c r="BH5"/>
  <c r="AZ5"/>
  <c r="BQ5"/>
  <c r="BA5"/>
  <c r="BN5"/>
  <c r="Z524"/>
  <c r="Z371"/>
  <c r="Z372" s="1"/>
  <c r="Z373" s="1"/>
  <c r="Z374" s="1"/>
  <c r="Z375" s="1"/>
  <c r="Z376" s="1"/>
  <c r="Z377" s="1"/>
  <c r="Z378" s="1"/>
  <c r="Z379" s="1"/>
  <c r="Z380" s="1"/>
  <c r="Z381" s="1"/>
  <c r="Z382" s="1"/>
  <c r="Z383" s="1"/>
  <c r="Z384" s="1"/>
  <c r="Z385" s="1"/>
  <c r="Z386" s="1"/>
  <c r="Z387" s="1"/>
  <c r="Z388" s="1"/>
  <c r="Z389" s="1"/>
  <c r="Z390" s="1"/>
  <c r="Z391" s="1"/>
  <c r="Z392" s="1"/>
  <c r="Z393" s="1"/>
  <c r="Z394" s="1"/>
  <c r="Z395" s="1"/>
  <c r="Z396" s="1"/>
  <c r="Z397" s="1"/>
  <c r="Z398" s="1"/>
  <c r="Z399" s="1"/>
  <c r="Z400" s="1"/>
  <c r="Z401" s="1"/>
  <c r="Z402" s="1"/>
  <c r="Z403" s="1"/>
  <c r="Z404" s="1"/>
  <c r="Z405" s="1"/>
  <c r="Z406" s="1"/>
  <c r="Z407" s="1"/>
  <c r="Z408" s="1"/>
  <c r="Z409" s="1"/>
  <c r="Z410" s="1"/>
  <c r="Z411" s="1"/>
  <c r="Z412" s="1"/>
  <c r="Z413" s="1"/>
  <c r="Z414" s="1"/>
  <c r="Z415" s="1"/>
  <c r="Z416" s="1"/>
  <c r="Z417" s="1"/>
  <c r="Z418" s="1"/>
  <c r="Z419" s="1"/>
  <c r="Z420" s="1"/>
  <c r="Z421" s="1"/>
  <c r="Z422" s="1"/>
  <c r="Z423" s="1"/>
  <c r="Z424" s="1"/>
  <c r="Z425" s="1"/>
  <c r="Z426" s="1"/>
  <c r="Z427" s="1"/>
  <c r="Z428" s="1"/>
  <c r="Z429" s="1"/>
  <c r="Z430" s="1"/>
  <c r="Z431" s="1"/>
  <c r="Z432" s="1"/>
  <c r="Z433" s="1"/>
  <c r="Z434" s="1"/>
  <c r="Z435" s="1"/>
  <c r="Z436" s="1"/>
  <c r="Z437" s="1"/>
  <c r="Z438" s="1"/>
  <c r="Z439" s="1"/>
  <c r="Z440" s="1"/>
  <c r="Z441" s="1"/>
  <c r="Z442" s="1"/>
  <c r="Z443" s="1"/>
  <c r="Z444" s="1"/>
  <c r="Z445" s="1"/>
  <c r="Z446" s="1"/>
  <c r="Z447" s="1"/>
  <c r="Z448" s="1"/>
  <c r="Z449" s="1"/>
  <c r="Z450" s="1"/>
  <c r="Z451" s="1"/>
  <c r="Z452" s="1"/>
  <c r="Z453" s="1"/>
  <c r="Z454" s="1"/>
  <c r="Z455" s="1"/>
  <c r="Z456" s="1"/>
  <c r="Z457" s="1"/>
  <c r="Z458" s="1"/>
  <c r="Z459" s="1"/>
  <c r="Z460" s="1"/>
  <c r="Z461" s="1"/>
  <c r="Z462" s="1"/>
  <c r="Z463" s="1"/>
  <c r="Z464" s="1"/>
  <c r="Z465" s="1"/>
  <c r="Z466" s="1"/>
  <c r="Z467" s="1"/>
  <c r="Z468" s="1"/>
  <c r="Z469" s="1"/>
  <c r="Z470" s="1"/>
  <c r="Z471" s="1"/>
  <c r="Z472" s="1"/>
  <c r="Z473" s="1"/>
  <c r="Z474" s="1"/>
  <c r="Z475" s="1"/>
  <c r="Z476" s="1"/>
  <c r="Z477" s="1"/>
  <c r="Z478" s="1"/>
  <c r="Z479" s="1"/>
  <c r="Z480" s="1"/>
  <c r="Z481" s="1"/>
  <c r="Z482" s="1"/>
  <c r="Z483" s="1"/>
  <c r="Z484" s="1"/>
  <c r="Z485" s="1"/>
  <c r="Z486" s="1"/>
  <c r="Z487" s="1"/>
  <c r="Z488" s="1"/>
  <c r="Z489" s="1"/>
  <c r="Z490" s="1"/>
  <c r="Z491" s="1"/>
  <c r="Z492" s="1"/>
  <c r="Z493" s="1"/>
  <c r="Z494" s="1"/>
  <c r="Z495" s="1"/>
  <c r="Z496" s="1"/>
  <c r="Z497" s="1"/>
  <c r="Z498" s="1"/>
  <c r="Z499" s="1"/>
  <c r="Z500" s="1"/>
  <c r="Z501" s="1"/>
  <c r="Z502" s="1"/>
  <c r="Z503" s="1"/>
  <c r="Z504" s="1"/>
  <c r="Z505" s="1"/>
  <c r="Z506" s="1"/>
  <c r="Z507" s="1"/>
  <c r="Z508" s="1"/>
  <c r="Z509" s="1"/>
  <c r="Z510" s="1"/>
  <c r="Z511" s="1"/>
  <c r="Z512" s="1"/>
  <c r="Z513" s="1"/>
  <c r="Z514" s="1"/>
  <c r="Z515" s="1"/>
  <c r="Z516" s="1"/>
  <c r="Z517" s="1"/>
  <c r="Z518" s="1"/>
  <c r="Z519" s="1"/>
  <c r="Z520" s="1"/>
  <c r="Z218"/>
  <c r="Z219" s="1"/>
  <c r="Z220" s="1"/>
  <c r="Z221" s="1"/>
  <c r="Z222" s="1"/>
  <c r="Z223" s="1"/>
  <c r="Z224" s="1"/>
  <c r="Z225" s="1"/>
  <c r="Z226" s="1"/>
  <c r="Z227" s="1"/>
  <c r="Z228" s="1"/>
  <c r="Z229" s="1"/>
  <c r="Z230" s="1"/>
  <c r="Z231" s="1"/>
  <c r="Z232" s="1"/>
  <c r="Z233" s="1"/>
  <c r="Z234" s="1"/>
  <c r="Z235" s="1"/>
  <c r="Z236" s="1"/>
  <c r="Z237" s="1"/>
  <c r="Z238" s="1"/>
  <c r="Z239" s="1"/>
  <c r="Z240" s="1"/>
  <c r="Z241" s="1"/>
  <c r="Z242" s="1"/>
  <c r="Z243" s="1"/>
  <c r="Z244" s="1"/>
  <c r="Z245" s="1"/>
  <c r="Z246" s="1"/>
  <c r="Z247" s="1"/>
  <c r="Z248" s="1"/>
  <c r="Z249" s="1"/>
  <c r="Z250" s="1"/>
  <c r="Z251" s="1"/>
  <c r="Z252" s="1"/>
  <c r="Z253" s="1"/>
  <c r="Z254" s="1"/>
  <c r="Z255" s="1"/>
  <c r="Z256" s="1"/>
  <c r="Z257" s="1"/>
  <c r="Z258" s="1"/>
  <c r="Z259" s="1"/>
  <c r="Z260" s="1"/>
  <c r="Z261" s="1"/>
  <c r="Z262" s="1"/>
  <c r="Z263" s="1"/>
  <c r="Z264" s="1"/>
  <c r="Z265" s="1"/>
  <c r="Z266" s="1"/>
  <c r="Z267" s="1"/>
  <c r="Z268" s="1"/>
  <c r="Z269" s="1"/>
  <c r="Z270" s="1"/>
  <c r="Z271" s="1"/>
  <c r="Z272" s="1"/>
  <c r="Z273" s="1"/>
  <c r="Z274" s="1"/>
  <c r="Z275" s="1"/>
  <c r="Z276" s="1"/>
  <c r="Z277" s="1"/>
  <c r="Z278" s="1"/>
  <c r="Z279" s="1"/>
  <c r="Z280" s="1"/>
  <c r="Z281" s="1"/>
  <c r="Z282" s="1"/>
  <c r="Z283" s="1"/>
  <c r="Z284" s="1"/>
  <c r="Z285" s="1"/>
  <c r="Z286" s="1"/>
  <c r="Z287" s="1"/>
  <c r="Z288" s="1"/>
  <c r="Z289" s="1"/>
  <c r="Z290" s="1"/>
  <c r="Z291" s="1"/>
  <c r="Z292" s="1"/>
  <c r="Z293" s="1"/>
  <c r="Z294" s="1"/>
  <c r="Z295" s="1"/>
  <c r="Z296" s="1"/>
  <c r="Z297" s="1"/>
  <c r="Z298" s="1"/>
  <c r="Z299" s="1"/>
  <c r="Z300" s="1"/>
  <c r="Z301" s="1"/>
  <c r="Z302" s="1"/>
  <c r="Z303" s="1"/>
  <c r="Z304" s="1"/>
  <c r="Z305" s="1"/>
  <c r="Z306" s="1"/>
  <c r="Z307" s="1"/>
  <c r="Z308" s="1"/>
  <c r="Z309" s="1"/>
  <c r="Z310" s="1"/>
  <c r="Z311" s="1"/>
  <c r="Z312" s="1"/>
  <c r="Z313" s="1"/>
  <c r="Z314" s="1"/>
  <c r="Z315" s="1"/>
  <c r="Z316" s="1"/>
  <c r="Z317" s="1"/>
  <c r="Z318" s="1"/>
  <c r="Z319" s="1"/>
  <c r="Z320" s="1"/>
  <c r="Z321" s="1"/>
  <c r="Z322" s="1"/>
  <c r="Z323" s="1"/>
  <c r="Z324" s="1"/>
  <c r="Z325" s="1"/>
  <c r="Z326" s="1"/>
  <c r="Z327" s="1"/>
  <c r="Z328" s="1"/>
  <c r="Z329" s="1"/>
  <c r="Z330" s="1"/>
  <c r="Z331" s="1"/>
  <c r="Z332" s="1"/>
  <c r="Z333" s="1"/>
  <c r="Z334" s="1"/>
  <c r="Z335" s="1"/>
  <c r="Z336" s="1"/>
  <c r="Z337" s="1"/>
  <c r="Z338" s="1"/>
  <c r="Z339" s="1"/>
  <c r="Z340" s="1"/>
  <c r="Z341" s="1"/>
  <c r="Z342" s="1"/>
  <c r="Z343" s="1"/>
  <c r="Z344" s="1"/>
  <c r="Z345" s="1"/>
  <c r="Z346" s="1"/>
  <c r="Z347" s="1"/>
  <c r="Z348" s="1"/>
  <c r="Z349" s="1"/>
  <c r="Z350" s="1"/>
  <c r="Z351" s="1"/>
  <c r="Z352" s="1"/>
  <c r="Z353" s="1"/>
  <c r="Z354" s="1"/>
  <c r="Z355" s="1"/>
  <c r="Z356" s="1"/>
  <c r="Z357" s="1"/>
  <c r="Z358" s="1"/>
  <c r="Z359" s="1"/>
  <c r="Z360" s="1"/>
  <c r="Z361" s="1"/>
  <c r="Z362" s="1"/>
  <c r="Z363" s="1"/>
  <c r="Z364" s="1"/>
  <c r="Z365" s="1"/>
  <c r="Z366" s="1"/>
  <c r="Z367" s="1"/>
  <c r="Z65"/>
  <c r="E20" i="69" l="1"/>
  <c r="E22"/>
  <c r="E40"/>
  <c r="E5"/>
  <c r="E25"/>
  <c r="E32"/>
  <c r="E34"/>
  <c r="E15"/>
  <c r="E21"/>
  <c r="E39"/>
  <c r="E48"/>
  <c r="E38"/>
  <c r="E19"/>
  <c r="E33"/>
  <c r="E14"/>
  <c r="E57"/>
  <c r="E50"/>
  <c r="E31"/>
  <c r="E49"/>
  <c r="E30"/>
  <c r="E7"/>
  <c r="E59"/>
  <c r="E43"/>
  <c r="E58"/>
  <c r="E26"/>
  <c r="E23"/>
  <c r="E13"/>
  <c r="E47"/>
  <c r="E8"/>
  <c r="E56"/>
  <c r="E12"/>
  <c r="E51"/>
  <c r="E41"/>
  <c r="E6"/>
  <c r="E24"/>
  <c r="E55"/>
  <c r="E42"/>
  <c r="J15" i="64"/>
  <c r="X15" s="1"/>
  <c r="X4"/>
  <c r="D36" i="69"/>
  <c r="C45"/>
  <c r="N7" i="51"/>
  <c r="AC43"/>
  <c r="AB46"/>
  <c r="AB45"/>
  <c r="AB44"/>
  <c r="AB43"/>
  <c r="Z66"/>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Z136" s="1"/>
  <c r="Z137" s="1"/>
  <c r="Z138" s="1"/>
  <c r="Z139" s="1"/>
  <c r="Z140" s="1"/>
  <c r="Z141" s="1"/>
  <c r="Z142" s="1"/>
  <c r="Z143" s="1"/>
  <c r="Z144" s="1"/>
  <c r="Z145" s="1"/>
  <c r="Z146" s="1"/>
  <c r="Z147" s="1"/>
  <c r="Z148" s="1"/>
  <c r="Z149" s="1"/>
  <c r="Z150" s="1"/>
  <c r="Z151" s="1"/>
  <c r="Z152" s="1"/>
  <c r="Z153" s="1"/>
  <c r="Z154" s="1"/>
  <c r="Z155" s="1"/>
  <c r="Z156" s="1"/>
  <c r="Z157" s="1"/>
  <c r="Z158" s="1"/>
  <c r="Z159" s="1"/>
  <c r="Z160" s="1"/>
  <c r="Z161" s="1"/>
  <c r="Z162" s="1"/>
  <c r="Z163" s="1"/>
  <c r="Z164" s="1"/>
  <c r="Z165" s="1"/>
  <c r="Z166" s="1"/>
  <c r="Z167" s="1"/>
  <c r="Z168" s="1"/>
  <c r="Z169" s="1"/>
  <c r="Z170" s="1"/>
  <c r="Z171" s="1"/>
  <c r="Z172" s="1"/>
  <c r="Z173" s="1"/>
  <c r="Z174" s="1"/>
  <c r="Z175" s="1"/>
  <c r="Z176" s="1"/>
  <c r="Z177" s="1"/>
  <c r="Z178" s="1"/>
  <c r="Z179" s="1"/>
  <c r="Z180" s="1"/>
  <c r="Z181" s="1"/>
  <c r="Z182" s="1"/>
  <c r="Z183" s="1"/>
  <c r="Z184" s="1"/>
  <c r="Z185" s="1"/>
  <c r="Z186" s="1"/>
  <c r="Z187" s="1"/>
  <c r="Z188" s="1"/>
  <c r="Z189" s="1"/>
  <c r="Z190" s="1"/>
  <c r="Z191" s="1"/>
  <c r="Z192" s="1"/>
  <c r="Z193" s="1"/>
  <c r="Z194" s="1"/>
  <c r="Z195" s="1"/>
  <c r="Z196" s="1"/>
  <c r="Z197" s="1"/>
  <c r="Z198" s="1"/>
  <c r="Z199" s="1"/>
  <c r="Z200" s="1"/>
  <c r="Z201" s="1"/>
  <c r="Z202" s="1"/>
  <c r="Z203" s="1"/>
  <c r="Z204" s="1"/>
  <c r="Z205" s="1"/>
  <c r="Z206" s="1"/>
  <c r="Z207" s="1"/>
  <c r="Z208" s="1"/>
  <c r="Z209" s="1"/>
  <c r="Z210" s="1"/>
  <c r="Z211" s="1"/>
  <c r="Z212" s="1"/>
  <c r="Z213" s="1"/>
  <c r="Z214" s="1"/>
  <c r="AB58"/>
  <c r="AC58"/>
  <c r="AM14"/>
  <c r="AM13"/>
  <c r="AL12"/>
  <c r="AL11"/>
  <c r="AL10"/>
  <c r="AL9"/>
  <c r="AL8"/>
  <c r="AL7"/>
  <c r="AK6"/>
  <c r="AK5"/>
  <c r="AM7"/>
  <c r="AL6"/>
  <c r="AL5"/>
  <c r="AK13"/>
  <c r="AK14" s="1"/>
  <c r="AM6"/>
  <c r="AM5"/>
  <c r="AM9"/>
  <c r="AL13"/>
  <c r="AL14" s="1"/>
  <c r="AK10"/>
  <c r="AM10"/>
  <c r="AK8"/>
  <c r="AK9"/>
  <c r="AK11"/>
  <c r="AM8"/>
  <c r="AM11"/>
  <c r="AK12"/>
  <c r="AM12"/>
  <c r="AK7"/>
  <c r="AC56"/>
  <c r="AC55"/>
  <c r="AC54"/>
  <c r="AC53"/>
  <c r="AB53"/>
  <c r="AB54"/>
  <c r="AB55"/>
  <c r="AB56"/>
  <c r="Z525"/>
  <c r="Z526" s="1"/>
  <c r="Z527" s="1"/>
  <c r="Z528" s="1"/>
  <c r="Z529" s="1"/>
  <c r="Z530" s="1"/>
  <c r="Z531" s="1"/>
  <c r="Z532" s="1"/>
  <c r="Z533" s="1"/>
  <c r="Z534" s="1"/>
  <c r="Z535" s="1"/>
  <c r="Z536" s="1"/>
  <c r="Z537" s="1"/>
  <c r="Z538" s="1"/>
  <c r="Z539" s="1"/>
  <c r="Z540" s="1"/>
  <c r="Z541" s="1"/>
  <c r="Z542" s="1"/>
  <c r="Z543" s="1"/>
  <c r="Z544" s="1"/>
  <c r="Z545" s="1"/>
  <c r="Z546" s="1"/>
  <c r="Z547" s="1"/>
  <c r="Z548" s="1"/>
  <c r="Z549" s="1"/>
  <c r="Z550" s="1"/>
  <c r="Z551" s="1"/>
  <c r="Z552" s="1"/>
  <c r="Z553" s="1"/>
  <c r="Z554" s="1"/>
  <c r="Z555" s="1"/>
  <c r="Z556" s="1"/>
  <c r="Z557" s="1"/>
  <c r="Z558" s="1"/>
  <c r="Z559" s="1"/>
  <c r="Z560" s="1"/>
  <c r="Z561" s="1"/>
  <c r="Z562" s="1"/>
  <c r="Z563" s="1"/>
  <c r="Z564" s="1"/>
  <c r="Z565" s="1"/>
  <c r="Z566" s="1"/>
  <c r="Z567" s="1"/>
  <c r="Z568" s="1"/>
  <c r="Z569" s="1"/>
  <c r="Z570" s="1"/>
  <c r="Z571" s="1"/>
  <c r="Z572" s="1"/>
  <c r="Z573" s="1"/>
  <c r="Z574" s="1"/>
  <c r="Z575" s="1"/>
  <c r="Z576" s="1"/>
  <c r="Z577" s="1"/>
  <c r="Z578" s="1"/>
  <c r="Z579" s="1"/>
  <c r="Z580" s="1"/>
  <c r="Z581" s="1"/>
  <c r="Z582" s="1"/>
  <c r="Z583" s="1"/>
  <c r="Z584" s="1"/>
  <c r="Z585" s="1"/>
  <c r="Z586" s="1"/>
  <c r="Z587" s="1"/>
  <c r="Z588" s="1"/>
  <c r="Z589" s="1"/>
  <c r="Z590" s="1"/>
  <c r="Z591" s="1"/>
  <c r="Z592" s="1"/>
  <c r="Z593" s="1"/>
  <c r="Z594" s="1"/>
  <c r="Z595" s="1"/>
  <c r="Z596" s="1"/>
  <c r="Z597" s="1"/>
  <c r="Z598" s="1"/>
  <c r="Z599" s="1"/>
  <c r="Z600" s="1"/>
  <c r="Z601" s="1"/>
  <c r="Z602" s="1"/>
  <c r="Z603" s="1"/>
  <c r="Z604" s="1"/>
  <c r="Z605" s="1"/>
  <c r="Z606" s="1"/>
  <c r="Z607" s="1"/>
  <c r="Z608" s="1"/>
  <c r="Z609" s="1"/>
  <c r="Z610" s="1"/>
  <c r="Z611" s="1"/>
  <c r="Z612" s="1"/>
  <c r="Z613" s="1"/>
  <c r="Z614" s="1"/>
  <c r="Z615" s="1"/>
  <c r="Z616" s="1"/>
  <c r="Z617" s="1"/>
  <c r="Z618" s="1"/>
  <c r="Z619" s="1"/>
  <c r="Z620" s="1"/>
  <c r="Z621" s="1"/>
  <c r="Z622" s="1"/>
  <c r="Z623" s="1"/>
  <c r="Z624" s="1"/>
  <c r="Z625" s="1"/>
  <c r="Z626" s="1"/>
  <c r="Z627" s="1"/>
  <c r="Z628" s="1"/>
  <c r="Z629" s="1"/>
  <c r="Z630" s="1"/>
  <c r="Z631" s="1"/>
  <c r="Z632" s="1"/>
  <c r="Z633" s="1"/>
  <c r="Z634" s="1"/>
  <c r="Z635" s="1"/>
  <c r="Z636" s="1"/>
  <c r="Z637" s="1"/>
  <c r="Z638" s="1"/>
  <c r="Z639" s="1"/>
  <c r="Z640" s="1"/>
  <c r="Z641" s="1"/>
  <c r="Z642" s="1"/>
  <c r="Z643" s="1"/>
  <c r="Z644" s="1"/>
  <c r="Z645" s="1"/>
  <c r="Z646" s="1"/>
  <c r="Z647" s="1"/>
  <c r="Z648" s="1"/>
  <c r="Z649" s="1"/>
  <c r="Z650" s="1"/>
  <c r="Z651" s="1"/>
  <c r="Z652" s="1"/>
  <c r="Z653" s="1"/>
  <c r="Z654" s="1"/>
  <c r="Z655" s="1"/>
  <c r="Z656" s="1"/>
  <c r="Z657" s="1"/>
  <c r="Z658" s="1"/>
  <c r="Z659" s="1"/>
  <c r="Z660" s="1"/>
  <c r="Z661" s="1"/>
  <c r="Z662" s="1"/>
  <c r="Z663" s="1"/>
  <c r="Z664" s="1"/>
  <c r="Z665" s="1"/>
  <c r="Z666" s="1"/>
  <c r="Z667" s="1"/>
  <c r="Z668" s="1"/>
  <c r="Z669" s="1"/>
  <c r="Z670" s="1"/>
  <c r="Z671" s="1"/>
  <c r="Z672" s="1"/>
  <c r="Z673" s="1"/>
  <c r="AC51"/>
  <c r="AC50"/>
  <c r="AB49"/>
  <c r="AB48"/>
  <c r="AC49"/>
  <c r="AC48"/>
  <c r="AB50"/>
  <c r="AB51"/>
  <c r="AP36"/>
  <c r="AO35"/>
  <c r="AN34"/>
  <c r="AM33"/>
  <c r="AL32"/>
  <c r="AK31"/>
  <c r="AP28"/>
  <c r="AO27"/>
  <c r="AP35"/>
  <c r="AO34"/>
  <c r="AN33"/>
  <c r="AM32"/>
  <c r="AL31"/>
  <c r="AK30"/>
  <c r="AP27"/>
  <c r="AO26"/>
  <c r="AN25"/>
  <c r="AM24"/>
  <c r="AL23"/>
  <c r="AK22"/>
  <c r="AP19"/>
  <c r="AO18"/>
  <c r="AL37"/>
  <c r="AK36"/>
  <c r="AP33"/>
  <c r="AO32"/>
  <c r="AN31"/>
  <c r="AM30"/>
  <c r="AL29"/>
  <c r="AK28"/>
  <c r="AP25"/>
  <c r="AO24"/>
  <c r="AN23"/>
  <c r="AM22"/>
  <c r="AL21"/>
  <c r="AK20"/>
  <c r="AN37"/>
  <c r="AM36"/>
  <c r="AL35"/>
  <c r="AK34"/>
  <c r="AP31"/>
  <c r="AO30"/>
  <c r="AN29"/>
  <c r="AM28"/>
  <c r="AL27"/>
  <c r="AK26"/>
  <c r="AP23"/>
  <c r="AO22"/>
  <c r="AN21"/>
  <c r="AM20"/>
  <c r="AL19"/>
  <c r="AK18"/>
  <c r="AO37"/>
  <c r="AN36"/>
  <c r="AM35"/>
  <c r="AL34"/>
  <c r="AK33"/>
  <c r="AP30"/>
  <c r="AO29"/>
  <c r="AN28"/>
  <c r="AM27"/>
  <c r="AL26"/>
  <c r="AK25"/>
  <c r="AP22"/>
  <c r="AO21"/>
  <c r="AN20"/>
  <c r="AM19"/>
  <c r="AL18"/>
  <c r="AP37"/>
  <c r="AO36"/>
  <c r="AN35"/>
  <c r="AM34"/>
  <c r="AL33"/>
  <c r="AK32"/>
  <c r="AP29"/>
  <c r="AO28"/>
  <c r="AN27"/>
  <c r="AM26"/>
  <c r="AL25"/>
  <c r="AK24"/>
  <c r="AP21"/>
  <c r="AO20"/>
  <c r="AN19"/>
  <c r="AM18"/>
  <c r="AK35"/>
  <c r="AO33"/>
  <c r="AO31"/>
  <c r="AP24"/>
  <c r="AK23"/>
  <c r="AP20"/>
  <c r="AM31"/>
  <c r="AL20"/>
  <c r="AK37"/>
  <c r="AM23"/>
  <c r="AK19"/>
  <c r="AM29"/>
  <c r="AM37"/>
  <c r="AL30"/>
  <c r="AN26"/>
  <c r="AO23"/>
  <c r="AL22"/>
  <c r="AO19"/>
  <c r="AN30"/>
  <c r="AL28"/>
  <c r="AP26"/>
  <c r="AN22"/>
  <c r="AN32"/>
  <c r="AM25"/>
  <c r="AK21"/>
  <c r="AN18"/>
  <c r="AN24"/>
  <c r="AL36"/>
  <c r="AP34"/>
  <c r="AP32"/>
  <c r="AO25"/>
  <c r="AM21"/>
  <c r="AP18"/>
  <c r="AK27"/>
  <c r="AK29"/>
  <c r="AL24"/>
  <c r="F13" i="69" l="1"/>
  <c r="C53"/>
  <c r="D53" s="1"/>
  <c r="D45"/>
  <c r="E29"/>
  <c r="F32" s="1"/>
  <c r="E37"/>
  <c r="F42" s="1"/>
  <c r="E4"/>
  <c r="F5" s="1"/>
  <c r="E18"/>
  <c r="E54"/>
  <c r="F55" s="1"/>
  <c r="E11"/>
  <c r="F14" s="1"/>
  <c r="F12"/>
  <c r="E46"/>
  <c r="F48" s="1"/>
  <c r="AC61" i="51"/>
  <c r="AC45"/>
  <c r="M7"/>
  <c r="N8"/>
  <c r="AR21"/>
  <c r="AQ21"/>
  <c r="AC59"/>
  <c r="AQ22"/>
  <c r="AR22"/>
  <c r="AQ24"/>
  <c r="AR24"/>
  <c r="AQ26"/>
  <c r="AR26"/>
  <c r="AR27"/>
  <c r="AQ27"/>
  <c r="AQ20"/>
  <c r="AR20"/>
  <c r="AR30"/>
  <c r="AQ30"/>
  <c r="AQ32"/>
  <c r="AR32"/>
  <c r="AQ34"/>
  <c r="AR34"/>
  <c r="AR35"/>
  <c r="AQ35"/>
  <c r="AR25"/>
  <c r="AQ25"/>
  <c r="AQ29"/>
  <c r="AR29"/>
  <c r="AC60"/>
  <c r="AB61"/>
  <c r="AC46"/>
  <c r="AQ23"/>
  <c r="AR23"/>
  <c r="AQ28"/>
  <c r="AI28" s="1"/>
  <c r="AR28"/>
  <c r="AB60"/>
  <c r="AC44"/>
  <c r="AQ37"/>
  <c r="AR37"/>
  <c r="AR19"/>
  <c r="AQ19"/>
  <c r="AR33"/>
  <c r="AQ33"/>
  <c r="AQ36"/>
  <c r="AI36" s="1"/>
  <c r="AR36"/>
  <c r="AQ18"/>
  <c r="AR18"/>
  <c r="AB59"/>
  <c r="AQ31"/>
  <c r="AI31" s="1"/>
  <c r="AR31"/>
  <c r="F59" i="69" l="1"/>
  <c r="F57"/>
  <c r="F56"/>
  <c r="F16"/>
  <c r="F58"/>
  <c r="F8"/>
  <c r="F7"/>
  <c r="F50"/>
  <c r="F6"/>
  <c r="F38"/>
  <c r="F43"/>
  <c r="F33"/>
  <c r="F40"/>
  <c r="F30"/>
  <c r="F15"/>
  <c r="F31"/>
  <c r="F47"/>
  <c r="F41"/>
  <c r="F39"/>
  <c r="F34"/>
  <c r="F49"/>
  <c r="F51"/>
  <c r="AI18" i="51"/>
  <c r="AI37"/>
  <c r="AI33"/>
  <c r="AI27"/>
  <c r="AI20"/>
  <c r="AI22"/>
  <c r="N9"/>
  <c r="M9" s="1"/>
  <c r="M8"/>
  <c r="K5" s="1"/>
  <c r="AI24"/>
  <c r="AI23"/>
  <c r="AI35"/>
  <c r="AI19"/>
  <c r="AI25"/>
  <c r="AI30"/>
  <c r="AI21"/>
  <c r="AI29"/>
  <c r="AI32"/>
  <c r="AK43" s="1"/>
  <c r="AI26"/>
  <c r="AI34"/>
  <c r="F60" i="69" l="1"/>
  <c r="F9"/>
  <c r="F44"/>
  <c r="F35"/>
  <c r="F52"/>
  <c r="G2" i="51"/>
  <c r="J2" s="1"/>
  <c r="K7"/>
  <c r="AK44"/>
  <c r="F2"/>
  <c r="F3" s="1"/>
  <c r="K6"/>
  <c r="AK55"/>
  <c r="AK47"/>
  <c r="AK56"/>
  <c r="AK42"/>
  <c r="AK52"/>
  <c r="AK41"/>
  <c r="AK57"/>
  <c r="AK40"/>
  <c r="AK53"/>
  <c r="AK51"/>
  <c r="AK50"/>
  <c r="AK54"/>
  <c r="AK39"/>
  <c r="AK45"/>
  <c r="AK58"/>
  <c r="AK46"/>
  <c r="AK59"/>
  <c r="AK48"/>
  <c r="H2" l="1"/>
  <c r="H3" s="1"/>
  <c r="G3"/>
  <c r="K2"/>
  <c r="L3" s="1"/>
  <c r="E2"/>
  <c r="J3"/>
  <c r="K4"/>
  <c r="L2" l="1"/>
  <c r="D2"/>
  <c r="D3" s="1"/>
  <c r="E3"/>
  <c r="J5"/>
  <c r="J4"/>
  <c r="M4"/>
  <c r="A2" i="53" l="1"/>
  <c r="AA2" i="1"/>
  <c r="Z2"/>
  <c r="Y2"/>
  <c r="O2" l="1"/>
  <c r="J2" l="1"/>
  <c r="R2"/>
  <c r="Q2"/>
  <c r="G2"/>
  <c r="X2"/>
  <c r="K2"/>
  <c r="M2"/>
  <c r="C2"/>
  <c r="D2"/>
  <c r="L2"/>
  <c r="N2"/>
  <c r="T2"/>
  <c r="U2"/>
  <c r="H2"/>
  <c r="W2"/>
  <c r="I2"/>
  <c r="I457" i="58" l="1"/>
  <c r="H457"/>
  <c r="G457"/>
  <c r="F457"/>
  <c r="E457"/>
  <c r="I452"/>
  <c r="H452"/>
  <c r="G452"/>
  <c r="F452"/>
  <c r="E452"/>
  <c r="I356"/>
  <c r="H356"/>
  <c r="G356"/>
  <c r="F356"/>
  <c r="E356"/>
  <c r="G4"/>
  <c r="F4"/>
  <c r="E4"/>
  <c r="I1"/>
  <c r="C2" i="15"/>
  <c r="I940" i="16"/>
  <c r="I938"/>
  <c r="I937"/>
  <c r="I936"/>
  <c r="I935" s="1"/>
  <c r="I933"/>
  <c r="K925" s="1"/>
  <c r="I931"/>
  <c r="I930"/>
  <c r="I929"/>
  <c r="I928"/>
  <c r="I927"/>
  <c r="I925" s="1"/>
  <c r="L925"/>
  <c r="J925"/>
  <c r="AQ387"/>
  <c r="AN387"/>
  <c r="AK387"/>
  <c r="AH387"/>
  <c r="AE387"/>
  <c r="AB387"/>
  <c r="Y387"/>
  <c r="V387"/>
  <c r="S387"/>
  <c r="P387"/>
  <c r="M387"/>
  <c r="J387"/>
  <c r="G387"/>
  <c r="D387"/>
  <c r="B387"/>
  <c r="D386"/>
  <c r="AT382"/>
  <c r="AQ382"/>
  <c r="AN382"/>
  <c r="AK382"/>
  <c r="AH382"/>
  <c r="AE382"/>
  <c r="AB382"/>
  <c r="Y382"/>
  <c r="V382"/>
  <c r="AT381"/>
  <c r="AQ381"/>
  <c r="AN381"/>
  <c r="AK381"/>
  <c r="AH381"/>
  <c r="AE381"/>
  <c r="AB381"/>
  <c r="Y381"/>
  <c r="V381"/>
  <c r="G379"/>
  <c r="J379" s="1"/>
  <c r="D379"/>
  <c r="B378"/>
  <c r="B374"/>
  <c r="I369"/>
  <c r="H369"/>
  <c r="G369"/>
  <c r="F369"/>
  <c r="E369"/>
  <c r="D369"/>
  <c r="C369"/>
  <c r="N368"/>
  <c r="I368"/>
  <c r="H368"/>
  <c r="G368"/>
  <c r="F368"/>
  <c r="E368"/>
  <c r="D368"/>
  <c r="C368"/>
  <c r="N367"/>
  <c r="I367"/>
  <c r="H367"/>
  <c r="G367"/>
  <c r="F367"/>
  <c r="E367"/>
  <c r="D367"/>
  <c r="C367"/>
  <c r="N366"/>
  <c r="I366"/>
  <c r="H366"/>
  <c r="G366"/>
  <c r="F366"/>
  <c r="E366"/>
  <c r="D366"/>
  <c r="C366"/>
  <c r="N365"/>
  <c r="N364"/>
  <c r="N363"/>
  <c r="N362"/>
  <c r="N361"/>
  <c r="N360"/>
  <c r="I360"/>
  <c r="H360"/>
  <c r="G360"/>
  <c r="F360"/>
  <c r="E360"/>
  <c r="D360"/>
  <c r="C360"/>
  <c r="N359"/>
  <c r="I359"/>
  <c r="H359"/>
  <c r="G359"/>
  <c r="F359"/>
  <c r="E359"/>
  <c r="D359"/>
  <c r="C359"/>
  <c r="N358"/>
  <c r="I358"/>
  <c r="H358"/>
  <c r="G358"/>
  <c r="F358"/>
  <c r="E358"/>
  <c r="D358"/>
  <c r="C358"/>
  <c r="N357"/>
  <c r="I357"/>
  <c r="H357"/>
  <c r="G357"/>
  <c r="F357"/>
  <c r="E357"/>
  <c r="D357"/>
  <c r="C357"/>
  <c r="I356"/>
  <c r="H356"/>
  <c r="G356"/>
  <c r="F356"/>
  <c r="E356"/>
  <c r="D356"/>
  <c r="C356"/>
  <c r="B329"/>
  <c r="B328"/>
  <c r="B327"/>
  <c r="B326"/>
  <c r="N325"/>
  <c r="J325"/>
  <c r="G312"/>
  <c r="D312"/>
  <c r="B312"/>
  <c r="A312"/>
  <c r="A311"/>
  <c r="P310"/>
  <c r="A310"/>
  <c r="A309"/>
  <c r="A308"/>
  <c r="A307"/>
  <c r="A305"/>
  <c r="B304"/>
  <c r="A304"/>
  <c r="A303"/>
  <c r="G301"/>
  <c r="D301"/>
  <c r="B301"/>
  <c r="A301"/>
  <c r="B300"/>
  <c r="A300"/>
  <c r="B299"/>
  <c r="A299"/>
  <c r="B298"/>
  <c r="A298"/>
  <c r="B297"/>
  <c r="A297"/>
  <c r="A296"/>
  <c r="B294"/>
  <c r="A294"/>
  <c r="B293"/>
  <c r="A293"/>
  <c r="D292"/>
  <c r="B292"/>
  <c r="A292"/>
  <c r="G291"/>
  <c r="B291"/>
  <c r="A291"/>
  <c r="D290"/>
  <c r="B290"/>
  <c r="A290"/>
  <c r="A289"/>
  <c r="A287"/>
  <c r="D285"/>
  <c r="B285"/>
  <c r="A285"/>
  <c r="A284"/>
  <c r="P283"/>
  <c r="A283"/>
  <c r="A282"/>
  <c r="A281"/>
  <c r="A280"/>
  <c r="A278"/>
  <c r="D277"/>
  <c r="B277"/>
  <c r="A277"/>
  <c r="A276"/>
  <c r="B274"/>
  <c r="A274"/>
  <c r="B273"/>
  <c r="A273"/>
  <c r="B272"/>
  <c r="A272"/>
  <c r="B271"/>
  <c r="A271"/>
  <c r="B270"/>
  <c r="A270"/>
  <c r="A269"/>
  <c r="B267"/>
  <c r="A267"/>
  <c r="B266"/>
  <c r="A266"/>
  <c r="B265"/>
  <c r="A265"/>
  <c r="B264"/>
  <c r="A264"/>
  <c r="D263"/>
  <c r="B263"/>
  <c r="A263"/>
  <c r="A262"/>
  <c r="A260"/>
  <c r="J258"/>
  <c r="J285" s="1"/>
  <c r="G258"/>
  <c r="G285" s="1"/>
  <c r="S256"/>
  <c r="S283" s="1"/>
  <c r="D250"/>
  <c r="D304" s="1"/>
  <c r="J247"/>
  <c r="J274" s="1"/>
  <c r="G247"/>
  <c r="G274" s="1"/>
  <c r="D247"/>
  <c r="D274" s="1"/>
  <c r="G246"/>
  <c r="G218" s="1"/>
  <c r="D246"/>
  <c r="D300" s="1"/>
  <c r="D245"/>
  <c r="D299" s="1"/>
  <c r="D244"/>
  <c r="D298" s="1"/>
  <c r="G243"/>
  <c r="G297" s="1"/>
  <c r="D243"/>
  <c r="D297" s="1"/>
  <c r="D240"/>
  <c r="D267" s="1"/>
  <c r="D239"/>
  <c r="D266" s="1"/>
  <c r="D238"/>
  <c r="D265" s="1"/>
  <c r="J237"/>
  <c r="J264" s="1"/>
  <c r="G237"/>
  <c r="G264" s="1"/>
  <c r="D237"/>
  <c r="D291" s="1"/>
  <c r="G236"/>
  <c r="J236" s="1"/>
  <c r="A233"/>
  <c r="G230"/>
  <c r="D230"/>
  <c r="B230"/>
  <c r="A230"/>
  <c r="A229"/>
  <c r="S228"/>
  <c r="P228"/>
  <c r="A228"/>
  <c r="A227"/>
  <c r="A226"/>
  <c r="A225"/>
  <c r="B223"/>
  <c r="A223"/>
  <c r="D222"/>
  <c r="B222"/>
  <c r="A222"/>
  <c r="A221"/>
  <c r="J219"/>
  <c r="G219"/>
  <c r="D219"/>
  <c r="B219"/>
  <c r="A219"/>
  <c r="D218"/>
  <c r="B218"/>
  <c r="A218"/>
  <c r="D217"/>
  <c r="B217"/>
  <c r="A217"/>
  <c r="D216"/>
  <c r="B216"/>
  <c r="A216"/>
  <c r="G215"/>
  <c r="D215"/>
  <c r="B215"/>
  <c r="A215"/>
  <c r="A214"/>
  <c r="D212"/>
  <c r="B212"/>
  <c r="A212"/>
  <c r="D211"/>
  <c r="B211"/>
  <c r="A211"/>
  <c r="D210"/>
  <c r="B210"/>
  <c r="A210"/>
  <c r="J209"/>
  <c r="G209"/>
  <c r="D209"/>
  <c r="B209"/>
  <c r="A209"/>
  <c r="G208"/>
  <c r="D208"/>
  <c r="B208"/>
  <c r="A208"/>
  <c r="A207"/>
  <c r="A205"/>
  <c r="G196"/>
  <c r="J196" s="1"/>
  <c r="M196" s="1"/>
  <c r="P196" s="1"/>
  <c r="S196" s="1"/>
  <c r="V196" s="1"/>
  <c r="Y196" s="1"/>
  <c r="AB196" s="1"/>
  <c r="AE196" s="1"/>
  <c r="AH196" s="1"/>
  <c r="AK196" s="1"/>
  <c r="AN196" s="1"/>
  <c r="AQ196" s="1"/>
  <c r="AT196" s="1"/>
  <c r="D196"/>
  <c r="AT193"/>
  <c r="AQ193"/>
  <c r="AN193"/>
  <c r="AK193"/>
  <c r="AH193"/>
  <c r="AE193"/>
  <c r="AB193"/>
  <c r="Y193"/>
  <c r="V193"/>
  <c r="S193"/>
  <c r="P193"/>
  <c r="M193"/>
  <c r="J193"/>
  <c r="G193"/>
  <c r="D193"/>
  <c r="B193"/>
  <c r="B194" s="1"/>
  <c r="D183"/>
  <c r="G183" s="1"/>
  <c r="J183" s="1"/>
  <c r="M183" s="1"/>
  <c r="P183" s="1"/>
  <c r="S183" s="1"/>
  <c r="V183" s="1"/>
  <c r="Y183" s="1"/>
  <c r="AB183" s="1"/>
  <c r="AE183" s="1"/>
  <c r="AH183" s="1"/>
  <c r="AK183" s="1"/>
  <c r="AN183" s="1"/>
  <c r="AQ183" s="1"/>
  <c r="AT183" s="1"/>
  <c r="AT180"/>
  <c r="AQ180"/>
  <c r="AN180"/>
  <c r="AK180"/>
  <c r="AH180"/>
  <c r="AE180"/>
  <c r="AB180"/>
  <c r="Y180"/>
  <c r="V180"/>
  <c r="S180"/>
  <c r="P180"/>
  <c r="M180"/>
  <c r="J180"/>
  <c r="G180"/>
  <c r="D180"/>
  <c r="B180"/>
  <c r="B181" s="1"/>
  <c r="D170"/>
  <c r="G170" s="1"/>
  <c r="J170" s="1"/>
  <c r="M170" s="1"/>
  <c r="P170" s="1"/>
  <c r="S170" s="1"/>
  <c r="V170" s="1"/>
  <c r="Y170" s="1"/>
  <c r="AB170" s="1"/>
  <c r="AE170" s="1"/>
  <c r="AH170" s="1"/>
  <c r="AK170" s="1"/>
  <c r="AN170" s="1"/>
  <c r="AQ170" s="1"/>
  <c r="AT170" s="1"/>
  <c r="AT167"/>
  <c r="AQ167"/>
  <c r="AN167"/>
  <c r="AK167"/>
  <c r="AH167"/>
  <c r="AE167"/>
  <c r="AB167"/>
  <c r="Y167"/>
  <c r="V167"/>
  <c r="S167"/>
  <c r="P167"/>
  <c r="M167"/>
  <c r="J167"/>
  <c r="G167"/>
  <c r="D167"/>
  <c r="B167"/>
  <c r="B168" s="1"/>
  <c r="A158"/>
  <c r="D157"/>
  <c r="G157" s="1"/>
  <c r="J157" s="1"/>
  <c r="M157" s="1"/>
  <c r="P157" s="1"/>
  <c r="S157" s="1"/>
  <c r="V157" s="1"/>
  <c r="Y157" s="1"/>
  <c r="AB157" s="1"/>
  <c r="AE157" s="1"/>
  <c r="AH157" s="1"/>
  <c r="AK157" s="1"/>
  <c r="AN157" s="1"/>
  <c r="AQ157" s="1"/>
  <c r="AT157" s="1"/>
  <c r="A157"/>
  <c r="A156"/>
  <c r="A155"/>
  <c r="AT154"/>
  <c r="AQ154"/>
  <c r="AN154"/>
  <c r="AK154"/>
  <c r="AH154"/>
  <c r="AE154"/>
  <c r="AB154"/>
  <c r="Y154"/>
  <c r="V154"/>
  <c r="S154"/>
  <c r="P154"/>
  <c r="M154"/>
  <c r="J154"/>
  <c r="G154"/>
  <c r="D154"/>
  <c r="B154"/>
  <c r="B155" s="1"/>
  <c r="A154"/>
  <c r="A152"/>
  <c r="A151"/>
  <c r="A150"/>
  <c r="A149"/>
  <c r="A148"/>
  <c r="A147"/>
  <c r="D137"/>
  <c r="G137" s="1"/>
  <c r="J137" s="1"/>
  <c r="M137" s="1"/>
  <c r="P137" s="1"/>
  <c r="S137" s="1"/>
  <c r="V137" s="1"/>
  <c r="Y137" s="1"/>
  <c r="AB137" s="1"/>
  <c r="AE137" s="1"/>
  <c r="AH137" s="1"/>
  <c r="AK137" s="1"/>
  <c r="AN137" s="1"/>
  <c r="AQ137" s="1"/>
  <c r="AT137" s="1"/>
  <c r="AT134"/>
  <c r="AQ134"/>
  <c r="AN134"/>
  <c r="AK134"/>
  <c r="AH134"/>
  <c r="AE134"/>
  <c r="AB134"/>
  <c r="Y134"/>
  <c r="V134"/>
  <c r="S134"/>
  <c r="P134"/>
  <c r="M134"/>
  <c r="J134"/>
  <c r="G134"/>
  <c r="D134"/>
  <c r="B134"/>
  <c r="B135" s="1"/>
  <c r="D124"/>
  <c r="G124" s="1"/>
  <c r="J124" s="1"/>
  <c r="M124" s="1"/>
  <c r="P124" s="1"/>
  <c r="S124" s="1"/>
  <c r="V124" s="1"/>
  <c r="Y124" s="1"/>
  <c r="AB124" s="1"/>
  <c r="AE124" s="1"/>
  <c r="AH124" s="1"/>
  <c r="AK124" s="1"/>
  <c r="AN124" s="1"/>
  <c r="AQ124" s="1"/>
  <c r="AT124" s="1"/>
  <c r="AT121"/>
  <c r="AQ121"/>
  <c r="AN121"/>
  <c r="AK121"/>
  <c r="AH121"/>
  <c r="AE121"/>
  <c r="AB121"/>
  <c r="Y121"/>
  <c r="V121"/>
  <c r="S121"/>
  <c r="P121"/>
  <c r="M121"/>
  <c r="J121"/>
  <c r="G121"/>
  <c r="D121"/>
  <c r="B121"/>
  <c r="B122" s="1"/>
  <c r="G111"/>
  <c r="J111" s="1"/>
  <c r="M111" s="1"/>
  <c r="P111" s="1"/>
  <c r="S111" s="1"/>
  <c r="V111" s="1"/>
  <c r="Y111" s="1"/>
  <c r="AB111" s="1"/>
  <c r="AE111" s="1"/>
  <c r="AH111" s="1"/>
  <c r="AK111" s="1"/>
  <c r="AN111" s="1"/>
  <c r="AQ111" s="1"/>
  <c r="AT111" s="1"/>
  <c r="D111"/>
  <c r="AT108"/>
  <c r="AQ108"/>
  <c r="AN108"/>
  <c r="AK108"/>
  <c r="AH108"/>
  <c r="AE108"/>
  <c r="AB108"/>
  <c r="Y108"/>
  <c r="V108"/>
  <c r="S108"/>
  <c r="P108"/>
  <c r="M108"/>
  <c r="J108"/>
  <c r="G108"/>
  <c r="D108"/>
  <c r="B108"/>
  <c r="B109" s="1"/>
  <c r="D98"/>
  <c r="G98" s="1"/>
  <c r="J98" s="1"/>
  <c r="M98" s="1"/>
  <c r="P98" s="1"/>
  <c r="S98" s="1"/>
  <c r="V98" s="1"/>
  <c r="Y98" s="1"/>
  <c r="AB98" s="1"/>
  <c r="AE98" s="1"/>
  <c r="AH98" s="1"/>
  <c r="AK98" s="1"/>
  <c r="AN98" s="1"/>
  <c r="AQ98" s="1"/>
  <c r="AT98" s="1"/>
  <c r="AT95"/>
  <c r="AQ95"/>
  <c r="AN95"/>
  <c r="AK95"/>
  <c r="AH95"/>
  <c r="AE95"/>
  <c r="AB95"/>
  <c r="Y95"/>
  <c r="V95"/>
  <c r="S95"/>
  <c r="P95"/>
  <c r="M95"/>
  <c r="J95"/>
  <c r="G95"/>
  <c r="D95"/>
  <c r="B95"/>
  <c r="B96" s="1"/>
  <c r="A86"/>
  <c r="D85"/>
  <c r="G85" s="1"/>
  <c r="J85" s="1"/>
  <c r="M85" s="1"/>
  <c r="P85" s="1"/>
  <c r="S85" s="1"/>
  <c r="V85" s="1"/>
  <c r="Y85" s="1"/>
  <c r="AB85" s="1"/>
  <c r="AE85" s="1"/>
  <c r="AH85" s="1"/>
  <c r="AK85" s="1"/>
  <c r="AN85" s="1"/>
  <c r="AQ85" s="1"/>
  <c r="AT85" s="1"/>
  <c r="A85"/>
  <c r="A84"/>
  <c r="B83"/>
  <c r="A83"/>
  <c r="AT82"/>
  <c r="AQ82"/>
  <c r="AN82"/>
  <c r="AK82"/>
  <c r="AH82"/>
  <c r="AE82"/>
  <c r="AB82"/>
  <c r="Y82"/>
  <c r="V82"/>
  <c r="S82"/>
  <c r="P82"/>
  <c r="M82"/>
  <c r="J82"/>
  <c r="G82"/>
  <c r="D82"/>
  <c r="B82"/>
  <c r="A82"/>
  <c r="A80"/>
  <c r="A79"/>
  <c r="A78"/>
  <c r="A77"/>
  <c r="A76"/>
  <c r="A75"/>
  <c r="AV65"/>
  <c r="AS65"/>
  <c r="AP65"/>
  <c r="AM65"/>
  <c r="AJ65"/>
  <c r="AG65"/>
  <c r="AD65"/>
  <c r="AA65"/>
  <c r="X65"/>
  <c r="U65"/>
  <c r="R65"/>
  <c r="O65"/>
  <c r="L65"/>
  <c r="I65"/>
  <c r="F65"/>
  <c r="C65"/>
  <c r="A65"/>
  <c r="AV64"/>
  <c r="AS64"/>
  <c r="AP64"/>
  <c r="AM64"/>
  <c r="AJ64"/>
  <c r="AG64"/>
  <c r="AD64"/>
  <c r="AA64"/>
  <c r="X64"/>
  <c r="U64"/>
  <c r="R64"/>
  <c r="O64"/>
  <c r="L64"/>
  <c r="I64"/>
  <c r="F64"/>
  <c r="C64"/>
  <c r="A64"/>
  <c r="AV63"/>
  <c r="AS63"/>
  <c r="AP63"/>
  <c r="AM63"/>
  <c r="AJ63"/>
  <c r="AG63"/>
  <c r="AD63"/>
  <c r="AA63"/>
  <c r="X63"/>
  <c r="U63"/>
  <c r="R63"/>
  <c r="O63"/>
  <c r="L63"/>
  <c r="I63"/>
  <c r="F63"/>
  <c r="C63"/>
  <c r="A63"/>
  <c r="AV62"/>
  <c r="AS62"/>
  <c r="AP62"/>
  <c r="AM62"/>
  <c r="AJ62"/>
  <c r="AG62"/>
  <c r="AD62"/>
  <c r="AA62"/>
  <c r="X62"/>
  <c r="U62"/>
  <c r="R62"/>
  <c r="O62"/>
  <c r="L62"/>
  <c r="I62"/>
  <c r="F62"/>
  <c r="C62"/>
  <c r="A62"/>
  <c r="F44"/>
  <c r="F36"/>
  <c r="G25"/>
  <c r="L25" s="1"/>
  <c r="D25"/>
  <c r="I25" s="1"/>
  <c r="B25"/>
  <c r="B51" s="1"/>
  <c r="F23"/>
  <c r="D23"/>
  <c r="I23" s="1"/>
  <c r="B23"/>
  <c r="E21"/>
  <c r="D19"/>
  <c r="I19" s="1"/>
  <c r="C18"/>
  <c r="B13"/>
  <c r="B14" s="1"/>
  <c r="G12"/>
  <c r="G346" s="1"/>
  <c r="D12"/>
  <c r="D346" s="1"/>
  <c r="B12"/>
  <c r="B346" s="1"/>
  <c r="B11"/>
  <c r="B61" s="1"/>
  <c r="C125" i="18"/>
  <c r="I123"/>
  <c r="I125" s="1"/>
  <c r="C123"/>
  <c r="C112"/>
  <c r="I110"/>
  <c r="I112" s="1"/>
  <c r="C110"/>
  <c r="C99"/>
  <c r="I97"/>
  <c r="I99" s="1"/>
  <c r="C97"/>
  <c r="I86"/>
  <c r="C86"/>
  <c r="I84"/>
  <c r="C84"/>
  <c r="A77"/>
  <c r="I68"/>
  <c r="H68"/>
  <c r="G68"/>
  <c r="F68"/>
  <c r="D68"/>
  <c r="C68"/>
  <c r="I48"/>
  <c r="H48"/>
  <c r="G48"/>
  <c r="F48"/>
  <c r="D48"/>
  <c r="C48"/>
  <c r="I28"/>
  <c r="H28"/>
  <c r="G28"/>
  <c r="F28"/>
  <c r="D28"/>
  <c r="C28"/>
  <c r="R3"/>
  <c r="R2"/>
  <c r="O2"/>
  <c r="M2"/>
  <c r="J209" i="19"/>
  <c r="I209"/>
  <c r="H209"/>
  <c r="J203"/>
  <c r="I203"/>
  <c r="H203"/>
  <c r="S198"/>
  <c r="R198"/>
  <c r="Q198"/>
  <c r="P198"/>
  <c r="J196"/>
  <c r="I196"/>
  <c r="H196"/>
  <c r="N185"/>
  <c r="C143"/>
  <c r="O115"/>
  <c r="Y111"/>
  <c r="Q105"/>
  <c r="P105"/>
  <c r="O105"/>
  <c r="P103"/>
  <c r="O103"/>
  <c r="P102"/>
  <c r="Q97"/>
  <c r="P97"/>
  <c r="P98" s="1"/>
  <c r="O97"/>
  <c r="S91"/>
  <c r="S90"/>
  <c r="S89"/>
  <c r="S88"/>
  <c r="S87"/>
  <c r="S86"/>
  <c r="S85"/>
  <c r="C86"/>
  <c r="S84"/>
  <c r="S83"/>
  <c r="S82"/>
  <c r="G81"/>
  <c r="P77"/>
  <c r="O77"/>
  <c r="AT75"/>
  <c r="AU75" s="1"/>
  <c r="AT74"/>
  <c r="AU74" s="1"/>
  <c r="AN73"/>
  <c r="AT69"/>
  <c r="AU69" s="1"/>
  <c r="AU68"/>
  <c r="AT68"/>
  <c r="AT67"/>
  <c r="AU67" s="1"/>
  <c r="AU66" s="1"/>
  <c r="CB66"/>
  <c r="CA66"/>
  <c r="BZ66"/>
  <c r="BY66"/>
  <c r="BX66"/>
  <c r="AN66"/>
  <c r="AO64"/>
  <c r="AT63"/>
  <c r="AU63" s="1"/>
  <c r="AN63"/>
  <c r="AN62"/>
  <c r="AT61"/>
  <c r="AU61" s="1"/>
  <c r="AN61"/>
  <c r="AN60"/>
  <c r="AU59"/>
  <c r="AT59"/>
  <c r="CB58"/>
  <c r="CG58" s="1"/>
  <c r="CA58"/>
  <c r="CF58" s="1"/>
  <c r="BZ58"/>
  <c r="CE58" s="1"/>
  <c r="BY58"/>
  <c r="CD58" s="1"/>
  <c r="BX58"/>
  <c r="CC58" s="1"/>
  <c r="AT57"/>
  <c r="AU57" s="1"/>
  <c r="AT55"/>
  <c r="AU55" s="1"/>
  <c r="AT53"/>
  <c r="AU53" s="1"/>
  <c r="AK51"/>
  <c r="AJ51"/>
  <c r="AI51"/>
  <c r="AU49"/>
  <c r="AT49"/>
  <c r="C49"/>
  <c r="CB48"/>
  <c r="CA48"/>
  <c r="BZ48"/>
  <c r="BY48"/>
  <c r="BX48"/>
  <c r="O45"/>
  <c r="CM44"/>
  <c r="CL44"/>
  <c r="CK44"/>
  <c r="CJ44"/>
  <c r="CI44"/>
  <c r="AT42"/>
  <c r="AU42" s="1"/>
  <c r="CB41"/>
  <c r="CG41" s="1"/>
  <c r="CG64" s="1"/>
  <c r="CM55" s="1"/>
  <c r="CA41"/>
  <c r="CF41" s="1"/>
  <c r="CF64" s="1"/>
  <c r="CL55" s="1"/>
  <c r="BZ41"/>
  <c r="CE41" s="1"/>
  <c r="BY41"/>
  <c r="CD41" s="1"/>
  <c r="BX41"/>
  <c r="AU41"/>
  <c r="AT41"/>
  <c r="AU40"/>
  <c r="AT40"/>
  <c r="AT39"/>
  <c r="AU39" s="1"/>
  <c r="CK38"/>
  <c r="CJ38"/>
  <c r="CI38"/>
  <c r="BZ38"/>
  <c r="CE38" s="1"/>
  <c r="BY38"/>
  <c r="CD38" s="1"/>
  <c r="BX38"/>
  <c r="CC38" s="1"/>
  <c r="AT38"/>
  <c r="AU38" s="1"/>
  <c r="AU37" s="1"/>
  <c r="AN37"/>
  <c r="E7"/>
  <c r="E961" i="20"/>
  <c r="C961"/>
  <c r="E960"/>
  <c r="C960"/>
  <c r="E959"/>
  <c r="C959"/>
  <c r="E958"/>
  <c r="C958"/>
  <c r="Q957"/>
  <c r="P957"/>
  <c r="E957"/>
  <c r="C957"/>
  <c r="Q956"/>
  <c r="P956"/>
  <c r="E956"/>
  <c r="C956"/>
  <c r="Q955"/>
  <c r="P955"/>
  <c r="E955"/>
  <c r="C955"/>
  <c r="Q954"/>
  <c r="P954"/>
  <c r="E954"/>
  <c r="C954"/>
  <c r="E953"/>
  <c r="C953"/>
  <c r="AH952"/>
  <c r="AG952"/>
  <c r="AF952"/>
  <c r="AE952"/>
  <c r="AD952"/>
  <c r="AC952"/>
  <c r="AB952"/>
  <c r="AA952"/>
  <c r="Z952"/>
  <c r="Y952"/>
  <c r="X952"/>
  <c r="W952"/>
  <c r="V952"/>
  <c r="U952"/>
  <c r="T952"/>
  <c r="E952"/>
  <c r="C952"/>
  <c r="E951"/>
  <c r="C951"/>
  <c r="C950"/>
  <c r="AI949"/>
  <c r="AH949"/>
  <c r="AG949"/>
  <c r="AF949"/>
  <c r="AE949"/>
  <c r="AD949"/>
  <c r="AC949"/>
  <c r="AI948"/>
  <c r="AH948"/>
  <c r="AG948"/>
  <c r="AF948"/>
  <c r="AE948"/>
  <c r="AD948"/>
  <c r="AC948"/>
  <c r="AB948"/>
  <c r="AA948"/>
  <c r="Z948"/>
  <c r="Y948"/>
  <c r="AI947"/>
  <c r="AH947"/>
  <c r="AG947"/>
  <c r="AF947"/>
  <c r="AE947"/>
  <c r="AD947"/>
  <c r="AC947"/>
  <c r="AB947"/>
  <c r="AA947"/>
  <c r="Z947"/>
  <c r="Y947"/>
  <c r="F947"/>
  <c r="E947"/>
  <c r="D947"/>
  <c r="C947"/>
  <c r="S946"/>
  <c r="R946"/>
  <c r="Q946"/>
  <c r="P946"/>
  <c r="F946"/>
  <c r="E946"/>
  <c r="D946"/>
  <c r="C946"/>
  <c r="T945"/>
  <c r="F945"/>
  <c r="E945"/>
  <c r="D945"/>
  <c r="C945"/>
  <c r="H944"/>
  <c r="F944"/>
  <c r="E944"/>
  <c r="D944"/>
  <c r="C944"/>
  <c r="H943"/>
  <c r="F943"/>
  <c r="E943"/>
  <c r="D943"/>
  <c r="C943"/>
  <c r="I942"/>
  <c r="H942"/>
  <c r="F942"/>
  <c r="E942"/>
  <c r="D942"/>
  <c r="C942"/>
  <c r="I941"/>
  <c r="H941"/>
  <c r="I940"/>
  <c r="H940"/>
  <c r="AH939"/>
  <c r="AG939"/>
  <c r="AF939"/>
  <c r="AE939"/>
  <c r="AD939"/>
  <c r="AC939"/>
  <c r="AB939"/>
  <c r="AA939"/>
  <c r="Z939"/>
  <c r="Y939"/>
  <c r="X939"/>
  <c r="W939"/>
  <c r="V939"/>
  <c r="U939"/>
  <c r="T939"/>
  <c r="S939"/>
  <c r="R939"/>
  <c r="Q939"/>
  <c r="P939"/>
  <c r="I937"/>
  <c r="K925" s="1"/>
  <c r="F937"/>
  <c r="E937"/>
  <c r="D937"/>
  <c r="C937"/>
  <c r="F936"/>
  <c r="E936"/>
  <c r="D936"/>
  <c r="C936"/>
  <c r="X935"/>
  <c r="I935"/>
  <c r="I933" s="1"/>
  <c r="I925" s="1"/>
  <c r="F935"/>
  <c r="E935"/>
  <c r="D935"/>
  <c r="C935"/>
  <c r="X934"/>
  <c r="I934"/>
  <c r="F934"/>
  <c r="E934"/>
  <c r="D934"/>
  <c r="C934"/>
  <c r="X933"/>
  <c r="N933"/>
  <c r="F933"/>
  <c r="E933"/>
  <c r="D933"/>
  <c r="C933"/>
  <c r="X932"/>
  <c r="F932"/>
  <c r="E932"/>
  <c r="D932"/>
  <c r="C932"/>
  <c r="V931"/>
  <c r="U931"/>
  <c r="I931"/>
  <c r="T930"/>
  <c r="N930"/>
  <c r="N929"/>
  <c r="I929"/>
  <c r="O928"/>
  <c r="N928"/>
  <c r="I928"/>
  <c r="I927" s="1"/>
  <c r="O927"/>
  <c r="N927"/>
  <c r="N926"/>
  <c r="L925"/>
  <c r="J925"/>
  <c r="N922"/>
  <c r="F921"/>
  <c r="C921"/>
  <c r="AC920"/>
  <c r="AB920"/>
  <c r="AA920"/>
  <c r="Z920"/>
  <c r="Y920"/>
  <c r="X920"/>
  <c r="N920"/>
  <c r="AC919"/>
  <c r="AB919"/>
  <c r="AA919"/>
  <c r="Z919"/>
  <c r="Y919"/>
  <c r="X919"/>
  <c r="AB915" s="1"/>
  <c r="O917"/>
  <c r="N917"/>
  <c r="O916"/>
  <c r="N916"/>
  <c r="O915"/>
  <c r="N915"/>
  <c r="BA895"/>
  <c r="BA894"/>
  <c r="BA893"/>
  <c r="BA892"/>
  <c r="BA891"/>
  <c r="BA890"/>
  <c r="BA889"/>
  <c r="DR888"/>
  <c r="BA888"/>
  <c r="BA887"/>
  <c r="BA886"/>
  <c r="BA885"/>
  <c r="BA884"/>
  <c r="BA883"/>
  <c r="BA882"/>
  <c r="DV866"/>
  <c r="DJ866"/>
  <c r="DG866"/>
  <c r="DA866"/>
  <c r="CX866"/>
  <c r="CL866"/>
  <c r="CI866"/>
  <c r="CC866"/>
  <c r="CA866"/>
  <c r="BA860"/>
  <c r="BA859"/>
  <c r="BA858"/>
  <c r="BA857"/>
  <c r="BA856"/>
  <c r="DR855"/>
  <c r="BA855"/>
  <c r="BA854"/>
  <c r="BA853"/>
  <c r="BA852"/>
  <c r="DS847"/>
  <c r="DP847"/>
  <c r="DM847"/>
  <c r="DG847"/>
  <c r="DD847"/>
  <c r="DA847"/>
  <c r="CU847"/>
  <c r="CR847"/>
  <c r="CO847"/>
  <c r="CI847"/>
  <c r="CF847"/>
  <c r="CC847"/>
  <c r="CA847"/>
  <c r="DS866" s="1"/>
  <c r="BT835"/>
  <c r="BT893" s="1"/>
  <c r="BS835"/>
  <c r="BS893" s="1"/>
  <c r="BR835"/>
  <c r="BR893" s="1"/>
  <c r="BQ835"/>
  <c r="BQ893" s="1"/>
  <c r="BP835"/>
  <c r="BP893" s="1"/>
  <c r="BO835"/>
  <c r="BO893" s="1"/>
  <c r="BN835"/>
  <c r="BN893" s="1"/>
  <c r="BM835"/>
  <c r="BM893" s="1"/>
  <c r="BL835"/>
  <c r="BL893" s="1"/>
  <c r="BK835"/>
  <c r="BK893" s="1"/>
  <c r="BJ835"/>
  <c r="BJ893" s="1"/>
  <c r="BI835"/>
  <c r="BI893" s="1"/>
  <c r="BH835"/>
  <c r="BH893" s="1"/>
  <c r="BG835"/>
  <c r="BG893" s="1"/>
  <c r="BF835"/>
  <c r="BF893" s="1"/>
  <c r="BE835"/>
  <c r="BE893" s="1"/>
  <c r="AY835"/>
  <c r="BD893" s="1"/>
  <c r="AV835"/>
  <c r="AS835"/>
  <c r="AP835"/>
  <c r="BT834"/>
  <c r="BT892" s="1"/>
  <c r="BS834"/>
  <c r="BS892" s="1"/>
  <c r="BR834"/>
  <c r="BR892" s="1"/>
  <c r="BQ834"/>
  <c r="BQ892" s="1"/>
  <c r="BP834"/>
  <c r="BP892" s="1"/>
  <c r="BO834"/>
  <c r="BO892" s="1"/>
  <c r="BN834"/>
  <c r="BN892" s="1"/>
  <c r="BM834"/>
  <c r="BM892" s="1"/>
  <c r="BL834"/>
  <c r="BL892" s="1"/>
  <c r="BK834"/>
  <c r="BK892" s="1"/>
  <c r="BJ834"/>
  <c r="BJ892" s="1"/>
  <c r="BI834"/>
  <c r="BI892" s="1"/>
  <c r="BH834"/>
  <c r="BH892" s="1"/>
  <c r="BG834"/>
  <c r="BG892" s="1"/>
  <c r="BF834"/>
  <c r="BF892" s="1"/>
  <c r="BE834"/>
  <c r="BE892" s="1"/>
  <c r="AY834"/>
  <c r="BD892" s="1"/>
  <c r="AV834"/>
  <c r="AS834"/>
  <c r="AP834"/>
  <c r="BT833"/>
  <c r="BT891" s="1"/>
  <c r="BS833"/>
  <c r="BS891" s="1"/>
  <c r="BR833"/>
  <c r="BR891" s="1"/>
  <c r="BQ833"/>
  <c r="BQ891" s="1"/>
  <c r="BP833"/>
  <c r="BP891" s="1"/>
  <c r="BO833"/>
  <c r="BO891" s="1"/>
  <c r="BN833"/>
  <c r="BN891" s="1"/>
  <c r="BM833"/>
  <c r="BM891" s="1"/>
  <c r="BL833"/>
  <c r="BL891" s="1"/>
  <c r="BK833"/>
  <c r="BK891" s="1"/>
  <c r="BJ833"/>
  <c r="BJ891" s="1"/>
  <c r="BI833"/>
  <c r="BI891" s="1"/>
  <c r="BH833"/>
  <c r="BH891" s="1"/>
  <c r="BG833"/>
  <c r="BG891" s="1"/>
  <c r="BF833"/>
  <c r="BF891" s="1"/>
  <c r="BE833"/>
  <c r="BE891" s="1"/>
  <c r="AY833"/>
  <c r="BD891" s="1"/>
  <c r="AV833"/>
  <c r="AS833"/>
  <c r="AP833"/>
  <c r="BT832"/>
  <c r="BT890" s="1"/>
  <c r="BS832"/>
  <c r="BS890" s="1"/>
  <c r="BR832"/>
  <c r="BR890" s="1"/>
  <c r="BQ832"/>
  <c r="BQ890" s="1"/>
  <c r="BP832"/>
  <c r="BP890" s="1"/>
  <c r="BO832"/>
  <c r="BO890" s="1"/>
  <c r="BN832"/>
  <c r="BN890" s="1"/>
  <c r="BM832"/>
  <c r="BM890" s="1"/>
  <c r="BL832"/>
  <c r="BL890" s="1"/>
  <c r="BK832"/>
  <c r="BK890" s="1"/>
  <c r="BJ832"/>
  <c r="BJ890" s="1"/>
  <c r="BI832"/>
  <c r="BI890" s="1"/>
  <c r="BH832"/>
  <c r="BH890" s="1"/>
  <c r="BG832"/>
  <c r="BG890" s="1"/>
  <c r="BF832"/>
  <c r="BF890" s="1"/>
  <c r="BE832"/>
  <c r="BE890" s="1"/>
  <c r="AY832"/>
  <c r="BD890" s="1"/>
  <c r="AV832"/>
  <c r="AS832"/>
  <c r="AP832"/>
  <c r="BT831"/>
  <c r="BT889" s="1"/>
  <c r="BS831"/>
  <c r="BS889" s="1"/>
  <c r="BR831"/>
  <c r="BR889" s="1"/>
  <c r="BQ831"/>
  <c r="BQ889" s="1"/>
  <c r="BP831"/>
  <c r="BP889" s="1"/>
  <c r="BO831"/>
  <c r="BO889" s="1"/>
  <c r="BN831"/>
  <c r="BN889" s="1"/>
  <c r="BM831"/>
  <c r="BM889" s="1"/>
  <c r="BL831"/>
  <c r="BL889" s="1"/>
  <c r="BK831"/>
  <c r="BK889" s="1"/>
  <c r="BJ831"/>
  <c r="BJ889" s="1"/>
  <c r="BI831"/>
  <c r="BI889" s="1"/>
  <c r="BH831"/>
  <c r="BH889" s="1"/>
  <c r="BG831"/>
  <c r="BG889" s="1"/>
  <c r="BF831"/>
  <c r="BF889" s="1"/>
  <c r="BE831"/>
  <c r="BE889" s="1"/>
  <c r="AY831"/>
  <c r="BD889" s="1"/>
  <c r="AV831"/>
  <c r="AS831"/>
  <c r="AP831"/>
  <c r="BT830"/>
  <c r="BT888" s="1"/>
  <c r="BS830"/>
  <c r="BS888" s="1"/>
  <c r="BR830"/>
  <c r="BR888" s="1"/>
  <c r="BQ830"/>
  <c r="BQ888" s="1"/>
  <c r="BP830"/>
  <c r="BP888" s="1"/>
  <c r="BO830"/>
  <c r="BO888" s="1"/>
  <c r="BN830"/>
  <c r="BN888" s="1"/>
  <c r="BM830"/>
  <c r="BM888" s="1"/>
  <c r="BL830"/>
  <c r="BL888" s="1"/>
  <c r="BK830"/>
  <c r="BK888" s="1"/>
  <c r="BJ830"/>
  <c r="BJ888" s="1"/>
  <c r="BI830"/>
  <c r="BI888" s="1"/>
  <c r="BH830"/>
  <c r="BH888" s="1"/>
  <c r="BG830"/>
  <c r="BG888" s="1"/>
  <c r="BF830"/>
  <c r="BF888" s="1"/>
  <c r="BE830"/>
  <c r="BE888" s="1"/>
  <c r="AY830"/>
  <c r="BD888" s="1"/>
  <c r="AV830"/>
  <c r="AS830"/>
  <c r="AP830"/>
  <c r="BT829"/>
  <c r="BT887" s="1"/>
  <c r="BS829"/>
  <c r="BS887" s="1"/>
  <c r="BR829"/>
  <c r="BR887" s="1"/>
  <c r="BQ829"/>
  <c r="BQ887" s="1"/>
  <c r="BP829"/>
  <c r="BP887" s="1"/>
  <c r="BO829"/>
  <c r="BO887" s="1"/>
  <c r="BN829"/>
  <c r="BN887" s="1"/>
  <c r="BM829"/>
  <c r="BM887" s="1"/>
  <c r="BL829"/>
  <c r="BL887" s="1"/>
  <c r="BK829"/>
  <c r="BK887" s="1"/>
  <c r="BJ829"/>
  <c r="BJ887" s="1"/>
  <c r="BI829"/>
  <c r="BI887" s="1"/>
  <c r="BH829"/>
  <c r="BH887" s="1"/>
  <c r="BG829"/>
  <c r="BG887" s="1"/>
  <c r="BF829"/>
  <c r="BF887" s="1"/>
  <c r="BE829"/>
  <c r="BE887" s="1"/>
  <c r="AY829"/>
  <c r="BD887" s="1"/>
  <c r="AV829"/>
  <c r="AS829"/>
  <c r="AP829"/>
  <c r="BT828"/>
  <c r="BT886" s="1"/>
  <c r="BS828"/>
  <c r="BS886" s="1"/>
  <c r="BR828"/>
  <c r="BR886" s="1"/>
  <c r="BQ828"/>
  <c r="BQ886" s="1"/>
  <c r="BP828"/>
  <c r="BP886" s="1"/>
  <c r="BO828"/>
  <c r="BO886" s="1"/>
  <c r="BN828"/>
  <c r="BN886" s="1"/>
  <c r="BM828"/>
  <c r="BM886" s="1"/>
  <c r="BL828"/>
  <c r="BL886" s="1"/>
  <c r="BK828"/>
  <c r="BK886" s="1"/>
  <c r="BJ828"/>
  <c r="BJ886" s="1"/>
  <c r="BI828"/>
  <c r="BI886" s="1"/>
  <c r="BH828"/>
  <c r="BH886" s="1"/>
  <c r="BG828"/>
  <c r="BG886" s="1"/>
  <c r="BF828"/>
  <c r="BF886" s="1"/>
  <c r="BE828"/>
  <c r="BE886" s="1"/>
  <c r="BB828"/>
  <c r="AY828"/>
  <c r="BD886" s="1"/>
  <c r="AV828"/>
  <c r="AS828"/>
  <c r="AP828"/>
  <c r="BT827"/>
  <c r="BT885" s="1"/>
  <c r="BS827"/>
  <c r="BS885" s="1"/>
  <c r="BR827"/>
  <c r="BR885" s="1"/>
  <c r="BQ827"/>
  <c r="BQ885" s="1"/>
  <c r="BP827"/>
  <c r="BP885" s="1"/>
  <c r="BO827"/>
  <c r="BO885" s="1"/>
  <c r="BN827"/>
  <c r="BN885" s="1"/>
  <c r="BM827"/>
  <c r="BM885" s="1"/>
  <c r="BL827"/>
  <c r="BL885" s="1"/>
  <c r="BK827"/>
  <c r="BK885" s="1"/>
  <c r="BJ827"/>
  <c r="BJ885" s="1"/>
  <c r="BI827"/>
  <c r="BI885" s="1"/>
  <c r="BH827"/>
  <c r="BH885" s="1"/>
  <c r="BG827"/>
  <c r="BG885" s="1"/>
  <c r="BF827"/>
  <c r="BF885" s="1"/>
  <c r="BE827"/>
  <c r="BE885" s="1"/>
  <c r="BB827"/>
  <c r="AY827"/>
  <c r="BD885" s="1"/>
  <c r="AV827"/>
  <c r="AS827"/>
  <c r="AP827"/>
  <c r="BT826"/>
  <c r="BS826"/>
  <c r="BS884" s="1"/>
  <c r="BR826"/>
  <c r="BQ826"/>
  <c r="BQ884" s="1"/>
  <c r="BP826"/>
  <c r="BP884" s="1"/>
  <c r="BO826"/>
  <c r="BN826"/>
  <c r="BN884" s="1"/>
  <c r="BM826"/>
  <c r="BM884" s="1"/>
  <c r="BL826"/>
  <c r="BK826"/>
  <c r="BK884" s="1"/>
  <c r="BJ826"/>
  <c r="BI826"/>
  <c r="BI884" s="1"/>
  <c r="BH826"/>
  <c r="BH884" s="1"/>
  <c r="BG826"/>
  <c r="BG884" s="1"/>
  <c r="BF826"/>
  <c r="BF884" s="1"/>
  <c r="BE826"/>
  <c r="BE884" s="1"/>
  <c r="AY826"/>
  <c r="BD884" s="1"/>
  <c r="AV826"/>
  <c r="AS826"/>
  <c r="AP826"/>
  <c r="AM762"/>
  <c r="BE761"/>
  <c r="AM751"/>
  <c r="AM750"/>
  <c r="AL745"/>
  <c r="AL746" s="1"/>
  <c r="AL747" s="1"/>
  <c r="AL748" s="1"/>
  <c r="AL749" s="1"/>
  <c r="AL750" s="1"/>
  <c r="AL751" s="1"/>
  <c r="AL752" s="1"/>
  <c r="AL755" s="1"/>
  <c r="AL756" s="1"/>
  <c r="AL757" s="1"/>
  <c r="AL758" s="1"/>
  <c r="AL744"/>
  <c r="AL743"/>
  <c r="AM742"/>
  <c r="AL699"/>
  <c r="AL700" s="1"/>
  <c r="AL701" s="1"/>
  <c r="AL702" s="1"/>
  <c r="AL703" s="1"/>
  <c r="AL704" s="1"/>
  <c r="AL705" s="1"/>
  <c r="AL706" s="1"/>
  <c r="AL707" s="1"/>
  <c r="AL708" s="1"/>
  <c r="AL709" s="1"/>
  <c r="AL710" s="1"/>
  <c r="AL713" s="1"/>
  <c r="AL714" s="1"/>
  <c r="AL715" s="1"/>
  <c r="AL716" s="1"/>
  <c r="AL717" s="1"/>
  <c r="AL718" s="1"/>
  <c r="AL719" s="1"/>
  <c r="AL720" s="1"/>
  <c r="AL721" s="1"/>
  <c r="AL725" s="1"/>
  <c r="AM695"/>
  <c r="BE693"/>
  <c r="AM692"/>
  <c r="BB682"/>
  <c r="AY682"/>
  <c r="AV682"/>
  <c r="AS682"/>
  <c r="AX682" s="1"/>
  <c r="AP682"/>
  <c r="AU682" s="1"/>
  <c r="AN682"/>
  <c r="AR682" s="1"/>
  <c r="AM682"/>
  <c r="AL682"/>
  <c r="BB681"/>
  <c r="AY681"/>
  <c r="AV681"/>
  <c r="AS681"/>
  <c r="BA681" s="1"/>
  <c r="AP681"/>
  <c r="AU681" s="1"/>
  <c r="AN681"/>
  <c r="AR681" s="1"/>
  <c r="AM681"/>
  <c r="AL681"/>
  <c r="AN680"/>
  <c r="AM680"/>
  <c r="AL680"/>
  <c r="AN678"/>
  <c r="AM678"/>
  <c r="AL678"/>
  <c r="AN675"/>
  <c r="AO675" s="1"/>
  <c r="AM675"/>
  <c r="AL675"/>
  <c r="AN674"/>
  <c r="AM674"/>
  <c r="AL674"/>
  <c r="AN673"/>
  <c r="AM673"/>
  <c r="AL673"/>
  <c r="AN672"/>
  <c r="AM672"/>
  <c r="AL672"/>
  <c r="AN671"/>
  <c r="AO671" s="1"/>
  <c r="AM671"/>
  <c r="AL671"/>
  <c r="AO670"/>
  <c r="AN670"/>
  <c r="AM670"/>
  <c r="AL670"/>
  <c r="BB669"/>
  <c r="AY669"/>
  <c r="BD669" s="1"/>
  <c r="AV669"/>
  <c r="AS669"/>
  <c r="AP669"/>
  <c r="AN669"/>
  <c r="AL669"/>
  <c r="BB668"/>
  <c r="AY668"/>
  <c r="AV668"/>
  <c r="AS668"/>
  <c r="AP668"/>
  <c r="AN668"/>
  <c r="AL668"/>
  <c r="AN667"/>
  <c r="AM667"/>
  <c r="AL667"/>
  <c r="BE666"/>
  <c r="AN666"/>
  <c r="AM666"/>
  <c r="AL666"/>
  <c r="AN665"/>
  <c r="AM665"/>
  <c r="AL665"/>
  <c r="AN663"/>
  <c r="AO663" s="1"/>
  <c r="AM663"/>
  <c r="AL663"/>
  <c r="AN661"/>
  <c r="AM661"/>
  <c r="AL661"/>
  <c r="AN660"/>
  <c r="AO672" s="1"/>
  <c r="AM660"/>
  <c r="AL660"/>
  <c r="AN657"/>
  <c r="AM657"/>
  <c r="AL657"/>
  <c r="AN656"/>
  <c r="AM656"/>
  <c r="AL656"/>
  <c r="AN654"/>
  <c r="AM654"/>
  <c r="AL654"/>
  <c r="AN653"/>
  <c r="AM653"/>
  <c r="AL653"/>
  <c r="AM652"/>
  <c r="AL652"/>
  <c r="AN651"/>
  <c r="AM651"/>
  <c r="AL651"/>
  <c r="AN650"/>
  <c r="AM650"/>
  <c r="AL650"/>
  <c r="AN649"/>
  <c r="AM649"/>
  <c r="AL649"/>
  <c r="AN648"/>
  <c r="AM648"/>
  <c r="AL648"/>
  <c r="BT643"/>
  <c r="BS643"/>
  <c r="BR643"/>
  <c r="BQ643"/>
  <c r="BP643"/>
  <c r="BO643"/>
  <c r="BN643"/>
  <c r="BM643"/>
  <c r="BL643"/>
  <c r="BK643"/>
  <c r="BJ643"/>
  <c r="BI643"/>
  <c r="BH643"/>
  <c r="BG643"/>
  <c r="BF643"/>
  <c r="BE643"/>
  <c r="BB643"/>
  <c r="AY643"/>
  <c r="BD643" s="1"/>
  <c r="AX643"/>
  <c r="AV643"/>
  <c r="AS643"/>
  <c r="BA643" s="1"/>
  <c r="AP643"/>
  <c r="AN643"/>
  <c r="AM643"/>
  <c r="AN642"/>
  <c r="AM642"/>
  <c r="AM800" s="1"/>
  <c r="BA876" s="1"/>
  <c r="AL642"/>
  <c r="AN641"/>
  <c r="AN644" s="1"/>
  <c r="AM641"/>
  <c r="AM799" s="1"/>
  <c r="BA875" s="1"/>
  <c r="AL641"/>
  <c r="AN640"/>
  <c r="AM640"/>
  <c r="AM798" s="1"/>
  <c r="BA874" s="1"/>
  <c r="AL640"/>
  <c r="AN639"/>
  <c r="AM639"/>
  <c r="AM797" s="1"/>
  <c r="BA873" s="1"/>
  <c r="AL639"/>
  <c r="AN638"/>
  <c r="AN637"/>
  <c r="AM637"/>
  <c r="AM796" s="1"/>
  <c r="BA872" s="1"/>
  <c r="AL637"/>
  <c r="AN636"/>
  <c r="AM636"/>
  <c r="AM795" s="1"/>
  <c r="BA871" s="1"/>
  <c r="AL636"/>
  <c r="BB635"/>
  <c r="AY635"/>
  <c r="AV635"/>
  <c r="AU635"/>
  <c r="AS635"/>
  <c r="AR635"/>
  <c r="AP635"/>
  <c r="AN635"/>
  <c r="AM635"/>
  <c r="AL635"/>
  <c r="AN634"/>
  <c r="AM634"/>
  <c r="AL634"/>
  <c r="AN633"/>
  <c r="AM633"/>
  <c r="AL633"/>
  <c r="AN630"/>
  <c r="AM630"/>
  <c r="AM793" s="1"/>
  <c r="BA870" s="1"/>
  <c r="AL630"/>
  <c r="AN629"/>
  <c r="AN631" s="1"/>
  <c r="AM629"/>
  <c r="AM792" s="1"/>
  <c r="BA869" s="1"/>
  <c r="AL629"/>
  <c r="AN628"/>
  <c r="AM628"/>
  <c r="AM791" s="1"/>
  <c r="BA868" s="1"/>
  <c r="AL628"/>
  <c r="AN627"/>
  <c r="AM627"/>
  <c r="AL627"/>
  <c r="AN626"/>
  <c r="AM626"/>
  <c r="AM790" s="1"/>
  <c r="BA867" s="1"/>
  <c r="AL626"/>
  <c r="AN625"/>
  <c r="AM625"/>
  <c r="AL625"/>
  <c r="AN624"/>
  <c r="AM624"/>
  <c r="AL624"/>
  <c r="AN623"/>
  <c r="AM623"/>
  <c r="AL623"/>
  <c r="BB622"/>
  <c r="AY622"/>
  <c r="AV622"/>
  <c r="AS622"/>
  <c r="AX622" s="1"/>
  <c r="AP622"/>
  <c r="AN622"/>
  <c r="AM622"/>
  <c r="AL622"/>
  <c r="AN621"/>
  <c r="AM621"/>
  <c r="AL621"/>
  <c r="AN620"/>
  <c r="AM620"/>
  <c r="AL620"/>
  <c r="AN619"/>
  <c r="AM619"/>
  <c r="AL619"/>
  <c r="AN615"/>
  <c r="AN702" s="1"/>
  <c r="AM615"/>
  <c r="AL615"/>
  <c r="AL614"/>
  <c r="BT613"/>
  <c r="BS613"/>
  <c r="BR613"/>
  <c r="BQ613"/>
  <c r="BP613"/>
  <c r="BO613"/>
  <c r="BN613"/>
  <c r="BM613"/>
  <c r="BL613"/>
  <c r="BK613"/>
  <c r="BJ613"/>
  <c r="BI613"/>
  <c r="BH613"/>
  <c r="BG613"/>
  <c r="BF613"/>
  <c r="BE613"/>
  <c r="BB613"/>
  <c r="AY613"/>
  <c r="BD613" s="1"/>
  <c r="AV613"/>
  <c r="AU613"/>
  <c r="AS613"/>
  <c r="AX613" s="1"/>
  <c r="AR613"/>
  <c r="AP613"/>
  <c r="AN613"/>
  <c r="AM613"/>
  <c r="AN612"/>
  <c r="AN614" s="1"/>
  <c r="AM612"/>
  <c r="AM818" s="1"/>
  <c r="BA881" s="1"/>
  <c r="AL611"/>
  <c r="BT610"/>
  <c r="BS610"/>
  <c r="BR610"/>
  <c r="BQ610"/>
  <c r="BP610"/>
  <c r="BO610"/>
  <c r="BN610"/>
  <c r="BM610"/>
  <c r="BL610"/>
  <c r="BK610"/>
  <c r="BJ610"/>
  <c r="BI610"/>
  <c r="BH610"/>
  <c r="BG610"/>
  <c r="BF610"/>
  <c r="BE610"/>
  <c r="BB610"/>
  <c r="AY610"/>
  <c r="AV610"/>
  <c r="AS610"/>
  <c r="BA610" s="1"/>
  <c r="AP610"/>
  <c r="AN610"/>
  <c r="AR610" s="1"/>
  <c r="AN609"/>
  <c r="AM609"/>
  <c r="AM817" s="1"/>
  <c r="BA880" s="1"/>
  <c r="AL608"/>
  <c r="BT607"/>
  <c r="BS607"/>
  <c r="BR607"/>
  <c r="BQ607"/>
  <c r="BP607"/>
  <c r="BO607"/>
  <c r="BN607"/>
  <c r="BM607"/>
  <c r="BL607"/>
  <c r="BK607"/>
  <c r="BJ607"/>
  <c r="BI607"/>
  <c r="BH607"/>
  <c r="BG607"/>
  <c r="BF607"/>
  <c r="BE607"/>
  <c r="BD607"/>
  <c r="BB607"/>
  <c r="AY607"/>
  <c r="AV607"/>
  <c r="AX607" s="1"/>
  <c r="AS607"/>
  <c r="AP607"/>
  <c r="AU607" s="1"/>
  <c r="AN607"/>
  <c r="AN606"/>
  <c r="AM606"/>
  <c r="AM816" s="1"/>
  <c r="BA879" s="1"/>
  <c r="BT604"/>
  <c r="BS604"/>
  <c r="BR604"/>
  <c r="BQ604"/>
  <c r="BP604"/>
  <c r="BO604"/>
  <c r="BN604"/>
  <c r="BM604"/>
  <c r="BL604"/>
  <c r="BK604"/>
  <c r="BJ604"/>
  <c r="BI604"/>
  <c r="BH604"/>
  <c r="BG604"/>
  <c r="BF604"/>
  <c r="BE604"/>
  <c r="BB604"/>
  <c r="AY604"/>
  <c r="AV604"/>
  <c r="AU604"/>
  <c r="AS604"/>
  <c r="BA604" s="1"/>
  <c r="AR604"/>
  <c r="AP604"/>
  <c r="AN604"/>
  <c r="AN603"/>
  <c r="AM603"/>
  <c r="AL603"/>
  <c r="AN602"/>
  <c r="AM602"/>
  <c r="AL602"/>
  <c r="AL601"/>
  <c r="BT600"/>
  <c r="BS600"/>
  <c r="BR600"/>
  <c r="BQ600"/>
  <c r="BP600"/>
  <c r="BO600"/>
  <c r="BN600"/>
  <c r="BM600"/>
  <c r="BL600"/>
  <c r="BK600"/>
  <c r="BJ600"/>
  <c r="BI600"/>
  <c r="BH600"/>
  <c r="BG600"/>
  <c r="BF600"/>
  <c r="BE600"/>
  <c r="BD600"/>
  <c r="BB600"/>
  <c r="AY600"/>
  <c r="AV600"/>
  <c r="AS600"/>
  <c r="BA600" s="1"/>
  <c r="AP600"/>
  <c r="AN600"/>
  <c r="AR600" s="1"/>
  <c r="AM600"/>
  <c r="AN599"/>
  <c r="AM599"/>
  <c r="AM815" s="1"/>
  <c r="AN596"/>
  <c r="AM596"/>
  <c r="AM813" s="1"/>
  <c r="BA878" s="1"/>
  <c r="AL596"/>
  <c r="AN595"/>
  <c r="AM595"/>
  <c r="AM812" s="1"/>
  <c r="BA877" s="1"/>
  <c r="AL595"/>
  <c r="AN594"/>
  <c r="AM594"/>
  <c r="AL594"/>
  <c r="BT592"/>
  <c r="BS592"/>
  <c r="BR592"/>
  <c r="BQ592"/>
  <c r="BP592"/>
  <c r="BO592"/>
  <c r="BN592"/>
  <c r="BM592"/>
  <c r="BL592"/>
  <c r="BK592"/>
  <c r="BJ592"/>
  <c r="BI592"/>
  <c r="BH592"/>
  <c r="BG592"/>
  <c r="BF592"/>
  <c r="BE592"/>
  <c r="BB592"/>
  <c r="AY592"/>
  <c r="AX592"/>
  <c r="AV592"/>
  <c r="AU592"/>
  <c r="AS592"/>
  <c r="AP592"/>
  <c r="AN592"/>
  <c r="AM592"/>
  <c r="AN591"/>
  <c r="AM591"/>
  <c r="AL591"/>
  <c r="AN590"/>
  <c r="AM590"/>
  <c r="AL590"/>
  <c r="AN588"/>
  <c r="AM588"/>
  <c r="AL588"/>
  <c r="AN587"/>
  <c r="AM587"/>
  <c r="AL587"/>
  <c r="AM586"/>
  <c r="AL586"/>
  <c r="BT584"/>
  <c r="BS584"/>
  <c r="BR584"/>
  <c r="BQ584"/>
  <c r="BP584"/>
  <c r="BO584"/>
  <c r="BN584"/>
  <c r="BM584"/>
  <c r="BL584"/>
  <c r="BK584"/>
  <c r="BJ584"/>
  <c r="BI584"/>
  <c r="BH584"/>
  <c r="BG584"/>
  <c r="BF584"/>
  <c r="BE584"/>
  <c r="BE581"/>
  <c r="AS581"/>
  <c r="T574"/>
  <c r="Q573"/>
  <c r="N573"/>
  <c r="K573"/>
  <c r="H573"/>
  <c r="E573"/>
  <c r="C573"/>
  <c r="B573"/>
  <c r="Q572"/>
  <c r="N572"/>
  <c r="K572"/>
  <c r="H572"/>
  <c r="E572"/>
  <c r="C572"/>
  <c r="B572"/>
  <c r="Q571"/>
  <c r="N571"/>
  <c r="K571"/>
  <c r="H571"/>
  <c r="E571"/>
  <c r="C571"/>
  <c r="B571"/>
  <c r="Q570"/>
  <c r="N570"/>
  <c r="K570"/>
  <c r="H570"/>
  <c r="E570"/>
  <c r="C570"/>
  <c r="B570"/>
  <c r="C566"/>
  <c r="B566"/>
  <c r="C565"/>
  <c r="B565"/>
  <c r="B562"/>
  <c r="B560"/>
  <c r="C559"/>
  <c r="B559"/>
  <c r="B558"/>
  <c r="C557"/>
  <c r="B557"/>
  <c r="B556"/>
  <c r="C555"/>
  <c r="B555"/>
  <c r="C554"/>
  <c r="B554"/>
  <c r="B553"/>
  <c r="B551"/>
  <c r="B550"/>
  <c r="B549"/>
  <c r="B548"/>
  <c r="C547"/>
  <c r="B547"/>
  <c r="B544"/>
  <c r="B543"/>
  <c r="B542"/>
  <c r="B541"/>
  <c r="B540"/>
  <c r="C539"/>
  <c r="B539"/>
  <c r="B538"/>
  <c r="B537"/>
  <c r="B536"/>
  <c r="C535"/>
  <c r="B535"/>
  <c r="B534"/>
  <c r="C533"/>
  <c r="B533"/>
  <c r="T529"/>
  <c r="B529"/>
  <c r="T527"/>
  <c r="Q526"/>
  <c r="N526"/>
  <c r="K526"/>
  <c r="H526"/>
  <c r="E526"/>
  <c r="C526"/>
  <c r="B526"/>
  <c r="Q525"/>
  <c r="N525"/>
  <c r="K525"/>
  <c r="H525"/>
  <c r="E525"/>
  <c r="C525"/>
  <c r="B525"/>
  <c r="Q524"/>
  <c r="N524"/>
  <c r="K524"/>
  <c r="H524"/>
  <c r="E524"/>
  <c r="C524"/>
  <c r="B524"/>
  <c r="T523"/>
  <c r="Q523"/>
  <c r="N523"/>
  <c r="K523"/>
  <c r="H523"/>
  <c r="E523"/>
  <c r="C523"/>
  <c r="B523"/>
  <c r="C519"/>
  <c r="B519"/>
  <c r="C518"/>
  <c r="B518"/>
  <c r="B515"/>
  <c r="B513"/>
  <c r="C512"/>
  <c r="B512"/>
  <c r="B511"/>
  <c r="C510"/>
  <c r="B510"/>
  <c r="C509"/>
  <c r="B509"/>
  <c r="C508"/>
  <c r="B508"/>
  <c r="C507"/>
  <c r="B507"/>
  <c r="B506"/>
  <c r="C504"/>
  <c r="B504"/>
  <c r="B503"/>
  <c r="B502"/>
  <c r="B501"/>
  <c r="C500"/>
  <c r="B500"/>
  <c r="B497"/>
  <c r="C496"/>
  <c r="B496"/>
  <c r="B495"/>
  <c r="C494"/>
  <c r="B494"/>
  <c r="B493"/>
  <c r="C492"/>
  <c r="B492"/>
  <c r="B491"/>
  <c r="B490"/>
  <c r="B489"/>
  <c r="B488"/>
  <c r="B487"/>
  <c r="C486"/>
  <c r="B486"/>
  <c r="T482"/>
  <c r="B482"/>
  <c r="U479"/>
  <c r="U478" s="1"/>
  <c r="T479"/>
  <c r="T573" s="1"/>
  <c r="T572" s="1"/>
  <c r="Q479"/>
  <c r="N479"/>
  <c r="K479"/>
  <c r="H479"/>
  <c r="E479"/>
  <c r="C479"/>
  <c r="B479"/>
  <c r="AA478"/>
  <c r="AA431" s="1"/>
  <c r="Z478"/>
  <c r="Q478"/>
  <c r="N478"/>
  <c r="K478"/>
  <c r="H478"/>
  <c r="E478"/>
  <c r="C478"/>
  <c r="B478"/>
  <c r="U477"/>
  <c r="U571" s="1"/>
  <c r="T477"/>
  <c r="Q477"/>
  <c r="N477"/>
  <c r="K477"/>
  <c r="H477"/>
  <c r="E477"/>
  <c r="C477"/>
  <c r="B477"/>
  <c r="U476"/>
  <c r="U570" s="1"/>
  <c r="T476"/>
  <c r="T570" s="1"/>
  <c r="Q476"/>
  <c r="N476"/>
  <c r="K476"/>
  <c r="H476"/>
  <c r="E476"/>
  <c r="C476"/>
  <c r="B476"/>
  <c r="U472"/>
  <c r="U519" s="1"/>
  <c r="E472"/>
  <c r="C470"/>
  <c r="C517" s="1"/>
  <c r="C469"/>
  <c r="C563" s="1"/>
  <c r="C468"/>
  <c r="C515" s="1"/>
  <c r="C467"/>
  <c r="C561" s="1"/>
  <c r="C466"/>
  <c r="E465"/>
  <c r="C464"/>
  <c r="E463"/>
  <c r="E557" s="1"/>
  <c r="C462"/>
  <c r="C556" s="1"/>
  <c r="C459"/>
  <c r="C553" s="1"/>
  <c r="C458"/>
  <c r="C457"/>
  <c r="C551" s="1"/>
  <c r="C456"/>
  <c r="C503" s="1"/>
  <c r="C455"/>
  <c r="C454"/>
  <c r="C548" s="1"/>
  <c r="C450"/>
  <c r="C449"/>
  <c r="C543" s="1"/>
  <c r="C448"/>
  <c r="C447"/>
  <c r="C541" s="1"/>
  <c r="C446"/>
  <c r="C493" s="1"/>
  <c r="C445"/>
  <c r="C444"/>
  <c r="C538" s="1"/>
  <c r="C441"/>
  <c r="C488" s="1"/>
  <c r="C440"/>
  <c r="C534" s="1"/>
  <c r="T435"/>
  <c r="B435"/>
  <c r="T433"/>
  <c r="Z431"/>
  <c r="Y431"/>
  <c r="E425"/>
  <c r="Q424"/>
  <c r="N424"/>
  <c r="K424"/>
  <c r="H424"/>
  <c r="E424"/>
  <c r="C424"/>
  <c r="Q423"/>
  <c r="Q425" s="1"/>
  <c r="N423"/>
  <c r="N425" s="1"/>
  <c r="K423"/>
  <c r="K425" s="1"/>
  <c r="H423"/>
  <c r="H425" s="1"/>
  <c r="E423"/>
  <c r="C423"/>
  <c r="C425" s="1"/>
  <c r="U419"/>
  <c r="T419"/>
  <c r="B419"/>
  <c r="B418"/>
  <c r="B415"/>
  <c r="B413"/>
  <c r="B412"/>
  <c r="B411"/>
  <c r="B410"/>
  <c r="B409"/>
  <c r="B408"/>
  <c r="B407"/>
  <c r="B406"/>
  <c r="B404"/>
  <c r="B403"/>
  <c r="B402"/>
  <c r="B401"/>
  <c r="B400"/>
  <c r="B397"/>
  <c r="B396"/>
  <c r="B395"/>
  <c r="B394"/>
  <c r="B393"/>
  <c r="B392"/>
  <c r="B391"/>
  <c r="B388"/>
  <c r="B387"/>
  <c r="B386"/>
  <c r="U376"/>
  <c r="V376" s="1"/>
  <c r="W376" s="1"/>
  <c r="X376" s="1"/>
  <c r="Y376" s="1"/>
  <c r="Z376" s="1"/>
  <c r="AA376" s="1"/>
  <c r="AB376" s="1"/>
  <c r="AC376" s="1"/>
  <c r="AD376" s="1"/>
  <c r="AE376" s="1"/>
  <c r="AF376" s="1"/>
  <c r="AG376" s="1"/>
  <c r="AH376" s="1"/>
  <c r="AI376" s="1"/>
  <c r="AI374"/>
  <c r="AI372"/>
  <c r="AH372"/>
  <c r="AG372"/>
  <c r="AF372"/>
  <c r="AE372"/>
  <c r="AD372"/>
  <c r="AC372"/>
  <c r="AB372"/>
  <c r="AA372"/>
  <c r="Z372"/>
  <c r="Y372"/>
  <c r="X372"/>
  <c r="W372"/>
  <c r="V372"/>
  <c r="U372"/>
  <c r="T372"/>
  <c r="T373" s="1"/>
  <c r="U366"/>
  <c r="V366" s="1"/>
  <c r="W366" s="1"/>
  <c r="X366" s="1"/>
  <c r="Y366" s="1"/>
  <c r="Z366" s="1"/>
  <c r="AA366" s="1"/>
  <c r="AB366" s="1"/>
  <c r="AC366" s="1"/>
  <c r="AD366" s="1"/>
  <c r="AE366" s="1"/>
  <c r="AF366" s="1"/>
  <c r="AG366" s="1"/>
  <c r="AH366" s="1"/>
  <c r="AI366" s="1"/>
  <c r="AI364"/>
  <c r="AI380" s="1"/>
  <c r="AI362"/>
  <c r="AH362"/>
  <c r="AG362"/>
  <c r="AF362"/>
  <c r="AE362"/>
  <c r="AD362"/>
  <c r="AC362"/>
  <c r="AB362"/>
  <c r="AA362"/>
  <c r="Z362"/>
  <c r="Y362"/>
  <c r="X362"/>
  <c r="W362"/>
  <c r="V362"/>
  <c r="U362"/>
  <c r="T362"/>
  <c r="T363" s="1"/>
  <c r="W356"/>
  <c r="X356" s="1"/>
  <c r="Y356" s="1"/>
  <c r="Z356" s="1"/>
  <c r="AA356" s="1"/>
  <c r="AB356" s="1"/>
  <c r="AC356" s="1"/>
  <c r="AD356" s="1"/>
  <c r="AE356" s="1"/>
  <c r="AF356" s="1"/>
  <c r="AG356" s="1"/>
  <c r="AH356" s="1"/>
  <c r="AI356" s="1"/>
  <c r="U356"/>
  <c r="V356" s="1"/>
  <c r="B356"/>
  <c r="B355"/>
  <c r="AI354"/>
  <c r="B354"/>
  <c r="B353"/>
  <c r="AI352"/>
  <c r="AH352"/>
  <c r="AG352"/>
  <c r="AF352"/>
  <c r="AE352"/>
  <c r="AD352"/>
  <c r="AC352"/>
  <c r="AB352"/>
  <c r="AA352"/>
  <c r="Z352"/>
  <c r="Y352"/>
  <c r="X352"/>
  <c r="W352"/>
  <c r="V352"/>
  <c r="U352"/>
  <c r="T352"/>
  <c r="T353" s="1"/>
  <c r="B352"/>
  <c r="B351"/>
  <c r="B350"/>
  <c r="C346"/>
  <c r="V336"/>
  <c r="W336" s="1"/>
  <c r="X336" s="1"/>
  <c r="Y336" s="1"/>
  <c r="Z336" s="1"/>
  <c r="AA336" s="1"/>
  <c r="AB336" s="1"/>
  <c r="AC336" s="1"/>
  <c r="AD336" s="1"/>
  <c r="AE336" s="1"/>
  <c r="AF336" s="1"/>
  <c r="AG336" s="1"/>
  <c r="AH336" s="1"/>
  <c r="AI336" s="1"/>
  <c r="U336"/>
  <c r="AI334"/>
  <c r="AI332"/>
  <c r="AH332"/>
  <c r="AG332"/>
  <c r="AF332"/>
  <c r="AE332"/>
  <c r="AD332"/>
  <c r="AC332"/>
  <c r="AB332"/>
  <c r="AA332"/>
  <c r="Z332"/>
  <c r="Y332"/>
  <c r="X332"/>
  <c r="W332"/>
  <c r="V332"/>
  <c r="U332"/>
  <c r="T332"/>
  <c r="T333" s="1"/>
  <c r="V326"/>
  <c r="W326" s="1"/>
  <c r="X326" s="1"/>
  <c r="Y326" s="1"/>
  <c r="Z326" s="1"/>
  <c r="AA326" s="1"/>
  <c r="AB326" s="1"/>
  <c r="AC326" s="1"/>
  <c r="AD326" s="1"/>
  <c r="AE326" s="1"/>
  <c r="AF326" s="1"/>
  <c r="AG326" s="1"/>
  <c r="AH326" s="1"/>
  <c r="AI326" s="1"/>
  <c r="U326"/>
  <c r="AI324"/>
  <c r="AI322"/>
  <c r="AH322"/>
  <c r="AG322"/>
  <c r="AF322"/>
  <c r="AE322"/>
  <c r="AD322"/>
  <c r="AC322"/>
  <c r="AB322"/>
  <c r="AA322"/>
  <c r="Z322"/>
  <c r="Y322"/>
  <c r="X322"/>
  <c r="W322"/>
  <c r="V322"/>
  <c r="U322"/>
  <c r="T322"/>
  <c r="T323" s="1"/>
  <c r="V316"/>
  <c r="W316" s="1"/>
  <c r="X316" s="1"/>
  <c r="Y316" s="1"/>
  <c r="Z316" s="1"/>
  <c r="AA316" s="1"/>
  <c r="AB316" s="1"/>
  <c r="AC316" s="1"/>
  <c r="AD316" s="1"/>
  <c r="AE316" s="1"/>
  <c r="AF316" s="1"/>
  <c r="AG316" s="1"/>
  <c r="AH316" s="1"/>
  <c r="AI316" s="1"/>
  <c r="U316"/>
  <c r="B316"/>
  <c r="B315"/>
  <c r="AI314"/>
  <c r="AI340" s="1"/>
  <c r="B314"/>
  <c r="B313"/>
  <c r="AI312"/>
  <c r="AH312"/>
  <c r="AG312"/>
  <c r="AF312"/>
  <c r="AE312"/>
  <c r="AD312"/>
  <c r="AC312"/>
  <c r="AB312"/>
  <c r="AA312"/>
  <c r="Z312"/>
  <c r="Y312"/>
  <c r="X312"/>
  <c r="W312"/>
  <c r="V312"/>
  <c r="U312"/>
  <c r="T312"/>
  <c r="T313" s="1"/>
  <c r="B312"/>
  <c r="B311"/>
  <c r="B310"/>
  <c r="AB304"/>
  <c r="Z304"/>
  <c r="Y304"/>
  <c r="X304"/>
  <c r="AI304" s="1"/>
  <c r="W304"/>
  <c r="AH304" s="1"/>
  <c r="V304"/>
  <c r="AG304" s="1"/>
  <c r="T304"/>
  <c r="AE304" s="1"/>
  <c r="S304"/>
  <c r="AA304" s="1"/>
  <c r="AI275"/>
  <c r="AH275"/>
  <c r="AG275"/>
  <c r="AF275"/>
  <c r="AE275"/>
  <c r="AD275"/>
  <c r="AC275"/>
  <c r="AB275"/>
  <c r="AA275"/>
  <c r="Z275"/>
  <c r="Y275"/>
  <c r="X275"/>
  <c r="W275"/>
  <c r="V275"/>
  <c r="U275"/>
  <c r="T275"/>
  <c r="AI273"/>
  <c r="AH273"/>
  <c r="AG273"/>
  <c r="AF273"/>
  <c r="AE273"/>
  <c r="AD273"/>
  <c r="AC273"/>
  <c r="AC293" s="1"/>
  <c r="AB273"/>
  <c r="AB293" s="1"/>
  <c r="AA273"/>
  <c r="Z273"/>
  <c r="Y273"/>
  <c r="X273"/>
  <c r="W273"/>
  <c r="V273"/>
  <c r="U273"/>
  <c r="T273"/>
  <c r="C263"/>
  <c r="C262"/>
  <c r="D258"/>
  <c r="D257"/>
  <c r="D256"/>
  <c r="C251"/>
  <c r="E271" s="1"/>
  <c r="C250"/>
  <c r="D246"/>
  <c r="D245"/>
  <c r="D244"/>
  <c r="R240"/>
  <c r="C224"/>
  <c r="B224"/>
  <c r="C223"/>
  <c r="C222"/>
  <c r="C220"/>
  <c r="C219"/>
  <c r="T208"/>
  <c r="AI206"/>
  <c r="AH206"/>
  <c r="AG206"/>
  <c r="AF206"/>
  <c r="AE206"/>
  <c r="AD206"/>
  <c r="AC206"/>
  <c r="AB206"/>
  <c r="AA206"/>
  <c r="Z206"/>
  <c r="Y206"/>
  <c r="X206"/>
  <c r="W206"/>
  <c r="V206"/>
  <c r="U206"/>
  <c r="T206"/>
  <c r="N206"/>
  <c r="K206"/>
  <c r="H206"/>
  <c r="E206"/>
  <c r="AI205"/>
  <c r="AH205"/>
  <c r="AG205"/>
  <c r="AF205"/>
  <c r="AE205"/>
  <c r="AD205"/>
  <c r="AC205"/>
  <c r="AB205"/>
  <c r="AA205"/>
  <c r="Z205"/>
  <c r="Y205"/>
  <c r="X205"/>
  <c r="W205"/>
  <c r="V205"/>
  <c r="U205"/>
  <c r="T205"/>
  <c r="N205"/>
  <c r="K205"/>
  <c r="H205"/>
  <c r="E205"/>
  <c r="AI204"/>
  <c r="AH204"/>
  <c r="AG204"/>
  <c r="AF204"/>
  <c r="AE204"/>
  <c r="AD204"/>
  <c r="AC204"/>
  <c r="AB204"/>
  <c r="AA204"/>
  <c r="Z204"/>
  <c r="Y204"/>
  <c r="X204"/>
  <c r="W204"/>
  <c r="V204"/>
  <c r="U204"/>
  <c r="T204"/>
  <c r="N204"/>
  <c r="K204"/>
  <c r="H204"/>
  <c r="E204"/>
  <c r="AI203"/>
  <c r="AH203"/>
  <c r="AG203"/>
  <c r="AF203"/>
  <c r="AE203"/>
  <c r="AD203"/>
  <c r="AC203"/>
  <c r="AB203"/>
  <c r="AA203"/>
  <c r="Z203"/>
  <c r="Y203"/>
  <c r="X203"/>
  <c r="W203"/>
  <c r="V203"/>
  <c r="U203"/>
  <c r="T203"/>
  <c r="N203"/>
  <c r="K203"/>
  <c r="H203"/>
  <c r="E203"/>
  <c r="AI202"/>
  <c r="AH202"/>
  <c r="AG202"/>
  <c r="AF202"/>
  <c r="AE202"/>
  <c r="AD202"/>
  <c r="AC202"/>
  <c r="AB202"/>
  <c r="AA202"/>
  <c r="Z202"/>
  <c r="Y202"/>
  <c r="X202"/>
  <c r="W202"/>
  <c r="V202"/>
  <c r="U202"/>
  <c r="T202"/>
  <c r="N202"/>
  <c r="K202"/>
  <c r="H202"/>
  <c r="E202"/>
  <c r="AI201"/>
  <c r="AH201"/>
  <c r="AG201"/>
  <c r="AF201"/>
  <c r="AE201"/>
  <c r="AD201"/>
  <c r="AC201"/>
  <c r="AB201"/>
  <c r="AA201"/>
  <c r="Z201"/>
  <c r="Y201"/>
  <c r="X201"/>
  <c r="W201"/>
  <c r="V201"/>
  <c r="U201"/>
  <c r="T201"/>
  <c r="N201"/>
  <c r="K201"/>
  <c r="H201"/>
  <c r="E201"/>
  <c r="AI200"/>
  <c r="AH200"/>
  <c r="AG200"/>
  <c r="AF200"/>
  <c r="AE200"/>
  <c r="AD200"/>
  <c r="AC200"/>
  <c r="AB200"/>
  <c r="AA200"/>
  <c r="Z200"/>
  <c r="Y200"/>
  <c r="X200"/>
  <c r="W200"/>
  <c r="V200"/>
  <c r="U200"/>
  <c r="T200"/>
  <c r="N200"/>
  <c r="K200"/>
  <c r="H200"/>
  <c r="E200"/>
  <c r="AI199"/>
  <c r="AH199"/>
  <c r="AG199"/>
  <c r="AF199"/>
  <c r="AE199"/>
  <c r="AD199"/>
  <c r="AC199"/>
  <c r="AB199"/>
  <c r="AA199"/>
  <c r="Z199"/>
  <c r="Y199"/>
  <c r="X199"/>
  <c r="W199"/>
  <c r="V199"/>
  <c r="U199"/>
  <c r="T199"/>
  <c r="Q199"/>
  <c r="N199"/>
  <c r="K199"/>
  <c r="H199"/>
  <c r="E199"/>
  <c r="AI198"/>
  <c r="AH198"/>
  <c r="AG198"/>
  <c r="AF198"/>
  <c r="AE198"/>
  <c r="AD198"/>
  <c r="AC198"/>
  <c r="AB198"/>
  <c r="AA198"/>
  <c r="Z198"/>
  <c r="Y198"/>
  <c r="X198"/>
  <c r="W198"/>
  <c r="V198"/>
  <c r="U198"/>
  <c r="T198"/>
  <c r="Q198"/>
  <c r="N198"/>
  <c r="K198"/>
  <c r="H198"/>
  <c r="E198"/>
  <c r="AI197"/>
  <c r="AH197"/>
  <c r="AG197"/>
  <c r="AF197"/>
  <c r="AE197"/>
  <c r="AD197"/>
  <c r="AC197"/>
  <c r="AB197"/>
  <c r="AA197"/>
  <c r="Z197"/>
  <c r="Y197"/>
  <c r="X197"/>
  <c r="W197"/>
  <c r="V197"/>
  <c r="U197"/>
  <c r="T197"/>
  <c r="N197"/>
  <c r="K197"/>
  <c r="H197"/>
  <c r="E197"/>
  <c r="B189"/>
  <c r="B188"/>
  <c r="B187"/>
  <c r="B186"/>
  <c r="B184"/>
  <c r="B183"/>
  <c r="B178"/>
  <c r="B177"/>
  <c r="B176"/>
  <c r="B175"/>
  <c r="Q174"/>
  <c r="N174"/>
  <c r="K174"/>
  <c r="H174"/>
  <c r="E174"/>
  <c r="B171"/>
  <c r="B170"/>
  <c r="B169"/>
  <c r="B168"/>
  <c r="B167"/>
  <c r="B166"/>
  <c r="B164"/>
  <c r="B163"/>
  <c r="B162"/>
  <c r="B161"/>
  <c r="N160"/>
  <c r="K160"/>
  <c r="H160"/>
  <c r="E160"/>
  <c r="C155"/>
  <c r="N154"/>
  <c r="K154"/>
  <c r="H154"/>
  <c r="E154"/>
  <c r="E139"/>
  <c r="AI135"/>
  <c r="AH135"/>
  <c r="AG135"/>
  <c r="AF135"/>
  <c r="AE135"/>
  <c r="AD135"/>
  <c r="AC135"/>
  <c r="AB135"/>
  <c r="AA135"/>
  <c r="Z135"/>
  <c r="Y135"/>
  <c r="X135"/>
  <c r="W135"/>
  <c r="V135"/>
  <c r="U135"/>
  <c r="T135"/>
  <c r="B134"/>
  <c r="AM763" s="1"/>
  <c r="B133"/>
  <c r="T132"/>
  <c r="Q125"/>
  <c r="N125"/>
  <c r="H125"/>
  <c r="E125"/>
  <c r="Q124"/>
  <c r="N124"/>
  <c r="K124"/>
  <c r="H124"/>
  <c r="E124"/>
  <c r="C124"/>
  <c r="C125" s="1"/>
  <c r="T123"/>
  <c r="T124" s="1"/>
  <c r="S98"/>
  <c r="P98"/>
  <c r="M98"/>
  <c r="J98"/>
  <c r="G98"/>
  <c r="S97"/>
  <c r="P97"/>
  <c r="M97"/>
  <c r="J97"/>
  <c r="G97"/>
  <c r="S92"/>
  <c r="P92"/>
  <c r="M92"/>
  <c r="J92"/>
  <c r="G92"/>
  <c r="D92"/>
  <c r="S91"/>
  <c r="P91"/>
  <c r="M91"/>
  <c r="J91"/>
  <c r="G91"/>
  <c r="D91"/>
  <c r="D90"/>
  <c r="D88"/>
  <c r="D86"/>
  <c r="D85"/>
  <c r="D84"/>
  <c r="D83"/>
  <c r="D82"/>
  <c r="D81"/>
  <c r="S80"/>
  <c r="P80"/>
  <c r="M80"/>
  <c r="J80"/>
  <c r="G80"/>
  <c r="D80"/>
  <c r="S79"/>
  <c r="P79"/>
  <c r="M79"/>
  <c r="J79"/>
  <c r="G79"/>
  <c r="D79"/>
  <c r="D78"/>
  <c r="U77"/>
  <c r="V77" s="1"/>
  <c r="D77"/>
  <c r="D76"/>
  <c r="D74"/>
  <c r="C73"/>
  <c r="C75" s="1"/>
  <c r="D72"/>
  <c r="D71"/>
  <c r="C58"/>
  <c r="S51"/>
  <c r="P51"/>
  <c r="M51"/>
  <c r="J51"/>
  <c r="G51"/>
  <c r="C48"/>
  <c r="AI39"/>
  <c r="BT622" s="1"/>
  <c r="S39"/>
  <c r="P39"/>
  <c r="M39"/>
  <c r="J39"/>
  <c r="G39"/>
  <c r="C26"/>
  <c r="C34" s="1"/>
  <c r="AI16"/>
  <c r="AH16"/>
  <c r="AG16"/>
  <c r="AF16"/>
  <c r="AE16"/>
  <c r="AD16"/>
  <c r="AC16"/>
  <c r="AB16"/>
  <c r="AA16"/>
  <c r="Z16"/>
  <c r="Y16"/>
  <c r="X16"/>
  <c r="W16"/>
  <c r="V16"/>
  <c r="U16"/>
  <c r="T16"/>
  <c r="E15"/>
  <c r="E112" s="1"/>
  <c r="T13"/>
  <c r="C13"/>
  <c r="C133" s="1"/>
  <c r="B13"/>
  <c r="AM581" s="1"/>
  <c r="C234" i="21"/>
  <c r="E226"/>
  <c r="C226"/>
  <c r="B224"/>
  <c r="E217"/>
  <c r="E208"/>
  <c r="R206"/>
  <c r="Q206"/>
  <c r="P206"/>
  <c r="O206"/>
  <c r="N206"/>
  <c r="M206"/>
  <c r="L206"/>
  <c r="K206"/>
  <c r="J206"/>
  <c r="I206"/>
  <c r="H206"/>
  <c r="E206"/>
  <c r="C206"/>
  <c r="R205"/>
  <c r="Q205"/>
  <c r="P205"/>
  <c r="O205"/>
  <c r="N205"/>
  <c r="M205"/>
  <c r="L205"/>
  <c r="K205"/>
  <c r="J205"/>
  <c r="I205"/>
  <c r="H205"/>
  <c r="E205"/>
  <c r="C205"/>
  <c r="R204"/>
  <c r="Q204"/>
  <c r="P204"/>
  <c r="O204"/>
  <c r="N204"/>
  <c r="M204"/>
  <c r="L204"/>
  <c r="K204"/>
  <c r="J204"/>
  <c r="I204"/>
  <c r="H204"/>
  <c r="E204"/>
  <c r="C204"/>
  <c r="R203"/>
  <c r="Q203"/>
  <c r="P203"/>
  <c r="O203"/>
  <c r="N203"/>
  <c r="M203"/>
  <c r="L203"/>
  <c r="K203"/>
  <c r="J203"/>
  <c r="I203"/>
  <c r="H203"/>
  <c r="E203"/>
  <c r="C203"/>
  <c r="R202"/>
  <c r="Q202"/>
  <c r="P202"/>
  <c r="O202"/>
  <c r="N202"/>
  <c r="M202"/>
  <c r="L202"/>
  <c r="K202"/>
  <c r="J202"/>
  <c r="I202"/>
  <c r="H202"/>
  <c r="E202"/>
  <c r="C202"/>
  <c r="R201"/>
  <c r="Q201"/>
  <c r="P201"/>
  <c r="O201"/>
  <c r="N201"/>
  <c r="M201"/>
  <c r="L201"/>
  <c r="K201"/>
  <c r="J201"/>
  <c r="I201"/>
  <c r="H201"/>
  <c r="E201"/>
  <c r="C201"/>
  <c r="R200"/>
  <c r="Q200"/>
  <c r="P200"/>
  <c r="O200"/>
  <c r="N200"/>
  <c r="M200"/>
  <c r="L200"/>
  <c r="K200"/>
  <c r="J200"/>
  <c r="I200"/>
  <c r="H200"/>
  <c r="E200"/>
  <c r="C200"/>
  <c r="R199"/>
  <c r="Q199"/>
  <c r="P199"/>
  <c r="O199"/>
  <c r="N199"/>
  <c r="M199"/>
  <c r="L199"/>
  <c r="K199"/>
  <c r="J199"/>
  <c r="I199"/>
  <c r="H199"/>
  <c r="E199"/>
  <c r="C199"/>
  <c r="R198"/>
  <c r="Q198"/>
  <c r="P198"/>
  <c r="O198"/>
  <c r="N198"/>
  <c r="M198"/>
  <c r="L198"/>
  <c r="K198"/>
  <c r="J198"/>
  <c r="I198"/>
  <c r="H198"/>
  <c r="E198"/>
  <c r="C198"/>
  <c r="R197"/>
  <c r="Q197"/>
  <c r="P197"/>
  <c r="O197"/>
  <c r="N197"/>
  <c r="M197"/>
  <c r="L197"/>
  <c r="K197"/>
  <c r="J197"/>
  <c r="I197"/>
  <c r="H197"/>
  <c r="E197"/>
  <c r="C197"/>
  <c r="B189"/>
  <c r="B188"/>
  <c r="B187"/>
  <c r="B186"/>
  <c r="B184"/>
  <c r="B183"/>
  <c r="B178"/>
  <c r="B177"/>
  <c r="B176"/>
  <c r="B175"/>
  <c r="C174"/>
  <c r="B171"/>
  <c r="B170"/>
  <c r="B169"/>
  <c r="B168"/>
  <c r="B167"/>
  <c r="B166"/>
  <c r="B164"/>
  <c r="B163"/>
  <c r="B162"/>
  <c r="B161"/>
  <c r="C160"/>
  <c r="R154"/>
  <c r="Q154"/>
  <c r="P154"/>
  <c r="O154"/>
  <c r="N154"/>
  <c r="M154"/>
  <c r="L154"/>
  <c r="K154"/>
  <c r="J154"/>
  <c r="I154"/>
  <c r="H154"/>
  <c r="C154"/>
  <c r="R153"/>
  <c r="Q153"/>
  <c r="P153"/>
  <c r="O153"/>
  <c r="N153"/>
  <c r="M153"/>
  <c r="L153"/>
  <c r="K153"/>
  <c r="J153"/>
  <c r="I153"/>
  <c r="H153"/>
  <c r="B140"/>
  <c r="R135"/>
  <c r="Q135"/>
  <c r="P135"/>
  <c r="O135"/>
  <c r="N135"/>
  <c r="M135"/>
  <c r="L135"/>
  <c r="K135"/>
  <c r="J135"/>
  <c r="I135"/>
  <c r="H135"/>
  <c r="G135"/>
  <c r="E135"/>
  <c r="B134"/>
  <c r="E133"/>
  <c r="B133"/>
  <c r="G132"/>
  <c r="C125"/>
  <c r="C124"/>
  <c r="C123"/>
  <c r="E122"/>
  <c r="C122"/>
  <c r="E121"/>
  <c r="C121"/>
  <c r="E120"/>
  <c r="C120"/>
  <c r="E119"/>
  <c r="C119"/>
  <c r="E118"/>
  <c r="C118"/>
  <c r="E117"/>
  <c r="C117"/>
  <c r="E116"/>
  <c r="C116"/>
  <c r="E115"/>
  <c r="C115"/>
  <c r="E114"/>
  <c r="C114"/>
  <c r="E113"/>
  <c r="C113"/>
  <c r="E109"/>
  <c r="C92"/>
  <c r="C91"/>
  <c r="E77"/>
  <c r="E17"/>
  <c r="E16"/>
  <c r="E14"/>
  <c r="R13"/>
  <c r="Q13"/>
  <c r="P13"/>
  <c r="O13"/>
  <c r="N13"/>
  <c r="M13"/>
  <c r="L13"/>
  <c r="K13"/>
  <c r="G12" s="1"/>
  <c r="J13"/>
  <c r="I13"/>
  <c r="H13"/>
  <c r="G13"/>
  <c r="E13"/>
  <c r="C13"/>
  <c r="C12"/>
  <c r="F120" i="22"/>
  <c r="E120"/>
  <c r="D120"/>
  <c r="C120"/>
  <c r="B120"/>
  <c r="A112"/>
  <c r="K100"/>
  <c r="I100"/>
  <c r="G100"/>
  <c r="L95"/>
  <c r="K95"/>
  <c r="L94"/>
  <c r="K94"/>
  <c r="O93"/>
  <c r="L93"/>
  <c r="K93"/>
  <c r="G93"/>
  <c r="O92"/>
  <c r="L92"/>
  <c r="K92"/>
  <c r="O91"/>
  <c r="L91"/>
  <c r="K91"/>
  <c r="E91"/>
  <c r="O90"/>
  <c r="L90"/>
  <c r="K90"/>
  <c r="P89"/>
  <c r="O89"/>
  <c r="L89"/>
  <c r="K89"/>
  <c r="E89"/>
  <c r="O88"/>
  <c r="L88"/>
  <c r="K88"/>
  <c r="E88"/>
  <c r="O87"/>
  <c r="L87"/>
  <c r="K87"/>
  <c r="P86"/>
  <c r="O86"/>
  <c r="I99" s="1"/>
  <c r="L86"/>
  <c r="K86"/>
  <c r="H69"/>
  <c r="H68"/>
  <c r="G68"/>
  <c r="F68"/>
  <c r="D68"/>
  <c r="A68"/>
  <c r="C68" s="1"/>
  <c r="H67"/>
  <c r="G67"/>
  <c r="F67"/>
  <c r="D67"/>
  <c r="C67"/>
  <c r="B67"/>
  <c r="A67"/>
  <c r="H66"/>
  <c r="G66"/>
  <c r="F66"/>
  <c r="D66"/>
  <c r="C66"/>
  <c r="B66"/>
  <c r="A66"/>
  <c r="H65"/>
  <c r="G65"/>
  <c r="F65"/>
  <c r="D65"/>
  <c r="C65"/>
  <c r="B65"/>
  <c r="A65"/>
  <c r="H64"/>
  <c r="G64"/>
  <c r="F64"/>
  <c r="D64"/>
  <c r="C64"/>
  <c r="B64"/>
  <c r="A64"/>
  <c r="H63"/>
  <c r="G63"/>
  <c r="F63"/>
  <c r="D63"/>
  <c r="C63"/>
  <c r="B63"/>
  <c r="A63"/>
  <c r="H62"/>
  <c r="G62"/>
  <c r="F62"/>
  <c r="D62"/>
  <c r="C62"/>
  <c r="B62"/>
  <c r="A62"/>
  <c r="H61"/>
  <c r="G61"/>
  <c r="F61"/>
  <c r="D61"/>
  <c r="C61"/>
  <c r="B61"/>
  <c r="A61"/>
  <c r="H60"/>
  <c r="G60"/>
  <c r="F60"/>
  <c r="D60"/>
  <c r="B60"/>
  <c r="A60"/>
  <c r="C60" s="1"/>
  <c r="H59"/>
  <c r="G59"/>
  <c r="F59"/>
  <c r="D59"/>
  <c r="C59"/>
  <c r="A59"/>
  <c r="B59" s="1"/>
  <c r="H58"/>
  <c r="G58"/>
  <c r="F58"/>
  <c r="D58"/>
  <c r="C58"/>
  <c r="B58"/>
  <c r="A58"/>
  <c r="H57"/>
  <c r="G57"/>
  <c r="F57"/>
  <c r="D57"/>
  <c r="C57"/>
  <c r="A57"/>
  <c r="B57" s="1"/>
  <c r="H56"/>
  <c r="G56"/>
  <c r="F56"/>
  <c r="D56"/>
  <c r="B56"/>
  <c r="A56"/>
  <c r="C56" s="1"/>
  <c r="H55"/>
  <c r="G55"/>
  <c r="F55"/>
  <c r="D55"/>
  <c r="C55"/>
  <c r="B55"/>
  <c r="A55"/>
  <c r="H54"/>
  <c r="G54"/>
  <c r="F54"/>
  <c r="D54"/>
  <c r="D70" s="1"/>
  <c r="C54"/>
  <c r="B54"/>
  <c r="A54"/>
  <c r="H53"/>
  <c r="D53"/>
  <c r="C53"/>
  <c r="B53"/>
  <c r="E90" s="1"/>
  <c r="H52"/>
  <c r="H51"/>
  <c r="C48"/>
  <c r="R43"/>
  <c r="Q43"/>
  <c r="P43"/>
  <c r="T4"/>
  <c r="A4"/>
  <c r="L2"/>
  <c r="B2"/>
  <c r="E10" s="1"/>
  <c r="C15" i="27"/>
  <c r="B15" s="1"/>
  <c r="G14" i="25"/>
  <c r="G390" i="51" s="1"/>
  <c r="C14" i="25"/>
  <c r="B390" i="51" s="1"/>
  <c r="G13" i="25"/>
  <c r="C13"/>
  <c r="B389" i="51" s="1"/>
  <c r="G12" i="25"/>
  <c r="C12"/>
  <c r="B388" i="51" s="1"/>
  <c r="G11" i="25"/>
  <c r="C11"/>
  <c r="B387" i="51" s="1"/>
  <c r="G10" i="25"/>
  <c r="G386" i="51" s="1"/>
  <c r="C10" i="25"/>
  <c r="B386" i="51" s="1"/>
  <c r="G9" i="25"/>
  <c r="C9"/>
  <c r="B385" i="51" s="1"/>
  <c r="G8" i="25"/>
  <c r="G384" i="51" s="1"/>
  <c r="C8" i="25"/>
  <c r="B384" i="51" s="1"/>
  <c r="G7" i="25"/>
  <c r="C7"/>
  <c r="B383" i="51" s="1"/>
  <c r="G6" i="25"/>
  <c r="G382" i="51" s="1"/>
  <c r="C6" i="25"/>
  <c r="B382" i="51" s="1"/>
  <c r="G5" i="25"/>
  <c r="C5"/>
  <c r="K30" i="26"/>
  <c r="G23"/>
  <c r="G21"/>
  <c r="G20"/>
  <c r="G22" s="1"/>
  <c r="F19"/>
  <c r="D19"/>
  <c r="B19"/>
  <c r="A6"/>
  <c r="G56" i="27"/>
  <c r="G55"/>
  <c r="G54"/>
  <c r="G53"/>
  <c r="G52"/>
  <c r="G51"/>
  <c r="G50"/>
  <c r="G49"/>
  <c r="G48"/>
  <c r="G47"/>
  <c r="G46"/>
  <c r="G45"/>
  <c r="G44"/>
  <c r="G43"/>
  <c r="G42"/>
  <c r="G41"/>
  <c r="G40"/>
  <c r="G39"/>
  <c r="G38"/>
  <c r="G37"/>
  <c r="G36"/>
  <c r="G35"/>
  <c r="G34"/>
  <c r="G33"/>
  <c r="G32"/>
  <c r="G31"/>
  <c r="G30"/>
  <c r="G29"/>
  <c r="G28"/>
  <c r="G27"/>
  <c r="G26"/>
  <c r="G25"/>
  <c r="G24"/>
  <c r="G23"/>
  <c r="G22"/>
  <c r="G21"/>
  <c r="G20"/>
  <c r="G19"/>
  <c r="G18"/>
  <c r="B18"/>
  <c r="G17"/>
  <c r="G16"/>
  <c r="G15"/>
  <c r="G14"/>
  <c r="G13"/>
  <c r="G12"/>
  <c r="G11"/>
  <c r="G10"/>
  <c r="G9"/>
  <c r="G8"/>
  <c r="G7"/>
  <c r="G6"/>
  <c r="D6"/>
  <c r="L2" s="1"/>
  <c r="C13" s="1"/>
  <c r="B13" s="1"/>
  <c r="G89" i="22"/>
  <c r="G90"/>
  <c r="G87"/>
  <c r="G91"/>
  <c r="G86"/>
  <c r="G88"/>
  <c r="G92"/>
  <c r="A86" l="1"/>
  <c r="B76"/>
  <c r="E123" i="21"/>
  <c r="BD622" i="20"/>
  <c r="AS803"/>
  <c r="AX669"/>
  <c r="AU669"/>
  <c r="AX668"/>
  <c r="D73"/>
  <c r="BA622"/>
  <c r="BD668"/>
  <c r="C59"/>
  <c r="D42" s="1"/>
  <c r="Z915"/>
  <c r="U298"/>
  <c r="C506"/>
  <c r="AU73" i="19"/>
  <c r="H12" i="25"/>
  <c r="H388" i="51" s="1"/>
  <c r="G388"/>
  <c r="F7" i="25"/>
  <c r="F383" i="51" s="1"/>
  <c r="G383"/>
  <c r="M27" i="26"/>
  <c r="G387" i="51"/>
  <c r="F5" i="25"/>
  <c r="F381" i="51" s="1"/>
  <c r="G381"/>
  <c r="F9" i="25"/>
  <c r="F385" i="51" s="1"/>
  <c r="G385"/>
  <c r="M29" i="26"/>
  <c r="G389" i="51"/>
  <c r="B5" i="25"/>
  <c r="M8" i="26" s="1"/>
  <c r="N82" i="19" s="1"/>
  <c r="B381" i="51"/>
  <c r="D8" i="22"/>
  <c r="M23" i="26"/>
  <c r="F11" i="25"/>
  <c r="F387" i="51" s="1"/>
  <c r="F10" i="22"/>
  <c r="D5" i="25"/>
  <c r="C381" i="51" s="1"/>
  <c r="A10" i="22"/>
  <c r="E9"/>
  <c r="H4" i="58"/>
  <c r="M25" i="26"/>
  <c r="E7" i="22"/>
  <c r="M21" i="26"/>
  <c r="D7" i="22"/>
  <c r="G10"/>
  <c r="X281" i="20"/>
  <c r="N28" i="26"/>
  <c r="F10" i="25"/>
  <c r="F386" i="51" s="1"/>
  <c r="D13" i="25"/>
  <c r="C389" i="51" s="1"/>
  <c r="B7" i="25"/>
  <c r="B10"/>
  <c r="A386" i="51" s="1"/>
  <c r="B13" i="25"/>
  <c r="A389" i="51" s="1"/>
  <c r="B14" i="25"/>
  <c r="A390" i="51" s="1"/>
  <c r="F6" i="25"/>
  <c r="F382" i="51" s="1"/>
  <c r="H9" i="25"/>
  <c r="H385" i="51" s="1"/>
  <c r="U296" i="20"/>
  <c r="M28" i="26"/>
  <c r="X294" i="20"/>
  <c r="D9" i="25"/>
  <c r="C385" i="51" s="1"/>
  <c r="B12" i="25"/>
  <c r="A388" i="51" s="1"/>
  <c r="B6" i="25"/>
  <c r="A382" i="51" s="1"/>
  <c r="F8" i="25"/>
  <c r="F384" i="51" s="1"/>
  <c r="H11" i="25"/>
  <c r="F14"/>
  <c r="F390" i="51" s="1"/>
  <c r="B8" i="25"/>
  <c r="M11" i="26" s="1"/>
  <c r="N85" i="19" s="1"/>
  <c r="H7" i="25"/>
  <c r="B11"/>
  <c r="F13"/>
  <c r="F389" i="51" s="1"/>
  <c r="G9" i="22"/>
  <c r="AB295" i="20"/>
  <c r="U289"/>
  <c r="D8" i="25"/>
  <c r="C384" i="51" s="1"/>
  <c r="F12" i="25"/>
  <c r="F388" i="51" s="1"/>
  <c r="I388" s="1"/>
  <c r="H13" i="25"/>
  <c r="H389" i="51" s="1"/>
  <c r="U288" i="20"/>
  <c r="D9" i="22"/>
  <c r="U286" i="20"/>
  <c r="U301"/>
  <c r="H5" i="25"/>
  <c r="H381" i="51" s="1"/>
  <c r="E8" i="22"/>
  <c r="U284" i="20"/>
  <c r="U300"/>
  <c r="B9" i="25"/>
  <c r="A385" i="51" s="1"/>
  <c r="L9" i="25"/>
  <c r="C6" i="3" s="1"/>
  <c r="AC281" i="20"/>
  <c r="M24" i="26"/>
  <c r="D11" i="25"/>
  <c r="C387" i="51" s="1"/>
  <c r="U281" i="20"/>
  <c r="U295"/>
  <c r="AC280"/>
  <c r="AC294"/>
  <c r="B13" i="21"/>
  <c r="H15" i="20"/>
  <c r="R938" s="1"/>
  <c r="AI302"/>
  <c r="AI296"/>
  <c r="U287"/>
  <c r="U294"/>
  <c r="U299"/>
  <c r="AB297"/>
  <c r="AH295"/>
  <c r="AF293"/>
  <c r="T154"/>
  <c r="E154" i="21" s="1"/>
  <c r="C15" i="20"/>
  <c r="C112" s="1"/>
  <c r="AA297"/>
  <c r="AI297"/>
  <c r="AF280"/>
  <c r="U285"/>
  <c r="U297"/>
  <c r="AA302"/>
  <c r="AI300"/>
  <c r="X293"/>
  <c r="AB300"/>
  <c r="AD294"/>
  <c r="X280"/>
  <c r="U283"/>
  <c r="U293"/>
  <c r="CA38" i="19"/>
  <c r="CF38" s="1"/>
  <c r="K76" i="22"/>
  <c r="AB302" i="20"/>
  <c r="U280"/>
  <c r="U282"/>
  <c r="U290"/>
  <c r="AF294"/>
  <c r="U302"/>
  <c r="Q15"/>
  <c r="Q438" s="1"/>
  <c r="AA294"/>
  <c r="AI294"/>
  <c r="AF281"/>
  <c r="CL38" i="19"/>
  <c r="AL51"/>
  <c r="AA915" i="20"/>
  <c r="F14" i="16"/>
  <c r="B16"/>
  <c r="D51"/>
  <c r="F51"/>
  <c r="H13"/>
  <c r="H25"/>
  <c r="C30"/>
  <c r="E33"/>
  <c r="H36"/>
  <c r="C40"/>
  <c r="E43"/>
  <c r="H46"/>
  <c r="B140"/>
  <c r="B37" s="1"/>
  <c r="J419"/>
  <c r="S418"/>
  <c r="AB417"/>
  <c r="D417"/>
  <c r="M416"/>
  <c r="V415"/>
  <c r="AE414"/>
  <c r="G414"/>
  <c r="M419"/>
  <c r="V418"/>
  <c r="AE417"/>
  <c r="G417"/>
  <c r="P416"/>
  <c r="Y415"/>
  <c r="B415"/>
  <c r="J414"/>
  <c r="P419"/>
  <c r="Y418"/>
  <c r="B418"/>
  <c r="J417"/>
  <c r="S416"/>
  <c r="AB415"/>
  <c r="D415"/>
  <c r="M414"/>
  <c r="S419"/>
  <c r="AB418"/>
  <c r="D418"/>
  <c r="M417"/>
  <c r="V416"/>
  <c r="AE415"/>
  <c r="G415"/>
  <c r="P414"/>
  <c r="V419"/>
  <c r="AE418"/>
  <c r="G418"/>
  <c r="P417"/>
  <c r="Y416"/>
  <c r="B416"/>
  <c r="J415"/>
  <c r="S414"/>
  <c r="Y419"/>
  <c r="B419"/>
  <c r="J418"/>
  <c r="S417"/>
  <c r="AB416"/>
  <c r="D416"/>
  <c r="M415"/>
  <c r="V414"/>
  <c r="AB419"/>
  <c r="D419"/>
  <c r="M418"/>
  <c r="V417"/>
  <c r="AE416"/>
  <c r="G416"/>
  <c r="P415"/>
  <c r="Y414"/>
  <c r="B414"/>
  <c r="AE419"/>
  <c r="G419"/>
  <c r="P418"/>
  <c r="Y417"/>
  <c r="B417"/>
  <c r="J416"/>
  <c r="S415"/>
  <c r="AB414"/>
  <c r="D414"/>
  <c r="F12"/>
  <c r="G13"/>
  <c r="H14"/>
  <c r="B18"/>
  <c r="C19"/>
  <c r="E23"/>
  <c r="H27"/>
  <c r="B30"/>
  <c r="C31"/>
  <c r="E35"/>
  <c r="H37"/>
  <c r="C41"/>
  <c r="D43"/>
  <c r="B199"/>
  <c r="B38" s="1"/>
  <c r="F38" s="1"/>
  <c r="P412"/>
  <c r="Y411"/>
  <c r="B411"/>
  <c r="J410"/>
  <c r="S409"/>
  <c r="AB408"/>
  <c r="D408"/>
  <c r="M407"/>
  <c r="S412"/>
  <c r="AB411"/>
  <c r="D411"/>
  <c r="M410"/>
  <c r="V409"/>
  <c r="AE408"/>
  <c r="G408"/>
  <c r="P407"/>
  <c r="V412"/>
  <c r="AE411"/>
  <c r="G411"/>
  <c r="P410"/>
  <c r="Y409"/>
  <c r="B409"/>
  <c r="J408"/>
  <c r="S407"/>
  <c r="Y412"/>
  <c r="B412"/>
  <c r="J411"/>
  <c r="S410"/>
  <c r="AB409"/>
  <c r="D409"/>
  <c r="M408"/>
  <c r="V407"/>
  <c r="AB412"/>
  <c r="D412"/>
  <c r="M411"/>
  <c r="V410"/>
  <c r="AE409"/>
  <c r="G409"/>
  <c r="P408"/>
  <c r="Y407"/>
  <c r="B407"/>
  <c r="AE412"/>
  <c r="G412"/>
  <c r="P411"/>
  <c r="Y410"/>
  <c r="B410"/>
  <c r="J409"/>
  <c r="S408"/>
  <c r="AB407"/>
  <c r="D407"/>
  <c r="J412"/>
  <c r="S411"/>
  <c r="AB410"/>
  <c r="D410"/>
  <c r="M409"/>
  <c r="V408"/>
  <c r="AE407"/>
  <c r="G407"/>
  <c r="M412"/>
  <c r="V411"/>
  <c r="AE410"/>
  <c r="G410"/>
  <c r="P409"/>
  <c r="Y408"/>
  <c r="B408"/>
  <c r="J407"/>
  <c r="E12"/>
  <c r="F13"/>
  <c r="H16"/>
  <c r="B19"/>
  <c r="C21"/>
  <c r="E24"/>
  <c r="F25"/>
  <c r="H29"/>
  <c r="B31"/>
  <c r="F31" s="1"/>
  <c r="C33"/>
  <c r="H38"/>
  <c r="C43"/>
  <c r="E44"/>
  <c r="G54"/>
  <c r="G57"/>
  <c r="B81"/>
  <c r="V405"/>
  <c r="AE404"/>
  <c r="G404"/>
  <c r="P403"/>
  <c r="Y402"/>
  <c r="B402"/>
  <c r="J401"/>
  <c r="S400"/>
  <c r="Y405"/>
  <c r="B405"/>
  <c r="J404"/>
  <c r="S403"/>
  <c r="AB402"/>
  <c r="D402"/>
  <c r="M401"/>
  <c r="V400"/>
  <c r="AB405"/>
  <c r="D405"/>
  <c r="M404"/>
  <c r="V403"/>
  <c r="AE402"/>
  <c r="G402"/>
  <c r="P401"/>
  <c r="Y400"/>
  <c r="B400"/>
  <c r="AE405"/>
  <c r="G405"/>
  <c r="P404"/>
  <c r="Y403"/>
  <c r="B403"/>
  <c r="J402"/>
  <c r="S401"/>
  <c r="AB400"/>
  <c r="D400"/>
  <c r="J405"/>
  <c r="S404"/>
  <c r="AB403"/>
  <c r="D403"/>
  <c r="M402"/>
  <c r="V401"/>
  <c r="AE400"/>
  <c r="G400"/>
  <c r="M405"/>
  <c r="V404"/>
  <c r="AE403"/>
  <c r="G403"/>
  <c r="P402"/>
  <c r="Y401"/>
  <c r="B401"/>
  <c r="J400"/>
  <c r="P405"/>
  <c r="Y404"/>
  <c r="B404"/>
  <c r="J403"/>
  <c r="S402"/>
  <c r="AB401"/>
  <c r="D401"/>
  <c r="M400"/>
  <c r="S405"/>
  <c r="AB404"/>
  <c r="D404"/>
  <c r="M403"/>
  <c r="V402"/>
  <c r="AE401"/>
  <c r="G401"/>
  <c r="P400"/>
  <c r="L12"/>
  <c r="E13"/>
  <c r="H18"/>
  <c r="C23"/>
  <c r="D24"/>
  <c r="E25"/>
  <c r="H30"/>
  <c r="C35"/>
  <c r="E36"/>
  <c r="H40"/>
  <c r="B43"/>
  <c r="E46"/>
  <c r="D54"/>
  <c r="D57"/>
  <c r="C384"/>
  <c r="AB398"/>
  <c r="D398"/>
  <c r="M397"/>
  <c r="V396"/>
  <c r="AE395"/>
  <c r="G395"/>
  <c r="P394"/>
  <c r="Y393"/>
  <c r="B393"/>
  <c r="AE398"/>
  <c r="G398"/>
  <c r="P397"/>
  <c r="Y396"/>
  <c r="B396"/>
  <c r="J395"/>
  <c r="S394"/>
  <c r="AB393"/>
  <c r="D393"/>
  <c r="J398"/>
  <c r="S397"/>
  <c r="AB396"/>
  <c r="D396"/>
  <c r="M395"/>
  <c r="V394"/>
  <c r="AE393"/>
  <c r="G393"/>
  <c r="M398"/>
  <c r="V397"/>
  <c r="AE396"/>
  <c r="G396"/>
  <c r="P395"/>
  <c r="Y394"/>
  <c r="B394"/>
  <c r="J393"/>
  <c r="P398"/>
  <c r="Y397"/>
  <c r="B397"/>
  <c r="J396"/>
  <c r="S395"/>
  <c r="AB394"/>
  <c r="D394"/>
  <c r="M393"/>
  <c r="S398"/>
  <c r="AB397"/>
  <c r="D397"/>
  <c r="M396"/>
  <c r="V395"/>
  <c r="AE394"/>
  <c r="G394"/>
  <c r="P393"/>
  <c r="V398"/>
  <c r="AE397"/>
  <c r="G397"/>
  <c r="P396"/>
  <c r="Y395"/>
  <c r="B395"/>
  <c r="J394"/>
  <c r="S393"/>
  <c r="Y398"/>
  <c r="B398"/>
  <c r="J397"/>
  <c r="S396"/>
  <c r="AB395"/>
  <c r="D395"/>
  <c r="M394"/>
  <c r="V393"/>
  <c r="D11"/>
  <c r="C12"/>
  <c r="D13"/>
  <c r="E14"/>
  <c r="H19"/>
  <c r="C24"/>
  <c r="E27"/>
  <c r="H31"/>
  <c r="E37"/>
  <c r="H41"/>
  <c r="C44"/>
  <c r="B53"/>
  <c r="B392" s="1"/>
  <c r="B54"/>
  <c r="B57"/>
  <c r="B289"/>
  <c r="B235"/>
  <c r="B153"/>
  <c r="B262"/>
  <c r="B192"/>
  <c r="B207"/>
  <c r="B179"/>
  <c r="B166"/>
  <c r="B120"/>
  <c r="J357"/>
  <c r="C13"/>
  <c r="E16"/>
  <c r="H21"/>
  <c r="B24"/>
  <c r="C25"/>
  <c r="E29"/>
  <c r="H33"/>
  <c r="C36"/>
  <c r="E38"/>
  <c r="H43"/>
  <c r="C46"/>
  <c r="B133"/>
  <c r="M379"/>
  <c r="P379" s="1"/>
  <c r="S379" s="1"/>
  <c r="V379" s="1"/>
  <c r="Y379" s="1"/>
  <c r="AB379" s="1"/>
  <c r="AE379" s="1"/>
  <c r="AH379" s="1"/>
  <c r="AK379" s="1"/>
  <c r="AN379" s="1"/>
  <c r="AQ379" s="1"/>
  <c r="AT379" s="1"/>
  <c r="I12"/>
  <c r="C14"/>
  <c r="E18"/>
  <c r="H23"/>
  <c r="C27"/>
  <c r="E30"/>
  <c r="H35"/>
  <c r="C37"/>
  <c r="E40"/>
  <c r="G43"/>
  <c r="B94"/>
  <c r="J208"/>
  <c r="J12" s="1"/>
  <c r="M236"/>
  <c r="J290"/>
  <c r="J263"/>
  <c r="Q98" i="19"/>
  <c r="H12" i="16"/>
  <c r="C16"/>
  <c r="D18"/>
  <c r="E19"/>
  <c r="H24"/>
  <c r="C29"/>
  <c r="E31"/>
  <c r="C38"/>
  <c r="E41"/>
  <c r="H44"/>
  <c r="B107"/>
  <c r="G238"/>
  <c r="G250"/>
  <c r="G273"/>
  <c r="S310"/>
  <c r="G239"/>
  <c r="G263"/>
  <c r="D264"/>
  <c r="D273"/>
  <c r="D294"/>
  <c r="J301"/>
  <c r="J312"/>
  <c r="G240"/>
  <c r="J243"/>
  <c r="M258"/>
  <c r="D272"/>
  <c r="J291"/>
  <c r="D293"/>
  <c r="G270"/>
  <c r="D271"/>
  <c r="G300"/>
  <c r="J230"/>
  <c r="G244"/>
  <c r="D270"/>
  <c r="G290"/>
  <c r="G386"/>
  <c r="J386" s="1"/>
  <c r="M386" s="1"/>
  <c r="P386" s="1"/>
  <c r="S386" s="1"/>
  <c r="V386" s="1"/>
  <c r="Y386" s="1"/>
  <c r="AB386" s="1"/>
  <c r="AE386" s="1"/>
  <c r="AH386" s="1"/>
  <c r="AK386" s="1"/>
  <c r="AN386" s="1"/>
  <c r="AQ386" s="1"/>
  <c r="AT386" s="1"/>
  <c r="M237"/>
  <c r="G245"/>
  <c r="J246"/>
  <c r="M247"/>
  <c r="V256"/>
  <c r="AI37" i="19"/>
  <c r="CC41"/>
  <c r="D25" i="20"/>
  <c r="D24"/>
  <c r="D23"/>
  <c r="D22"/>
  <c r="D21"/>
  <c r="D20"/>
  <c r="D19"/>
  <c r="D33"/>
  <c r="D32"/>
  <c r="D31"/>
  <c r="D30"/>
  <c r="D29"/>
  <c r="D28"/>
  <c r="D27"/>
  <c r="C35"/>
  <c r="D34"/>
  <c r="D97"/>
  <c r="T126"/>
  <c r="E126" i="21" s="1"/>
  <c r="T125" i="20"/>
  <c r="E125" i="21" s="1"/>
  <c r="E124"/>
  <c r="D45" i="20"/>
  <c r="D43"/>
  <c r="D49"/>
  <c r="D56"/>
  <c r="D39"/>
  <c r="D38"/>
  <c r="D36"/>
  <c r="BG666"/>
  <c r="V208"/>
  <c r="W77"/>
  <c r="Q953"/>
  <c r="D58"/>
  <c r="AY762"/>
  <c r="BB762" s="1"/>
  <c r="AM694"/>
  <c r="AY581"/>
  <c r="BF666"/>
  <c r="U208"/>
  <c r="D75"/>
  <c r="C126"/>
  <c r="H485"/>
  <c r="H438"/>
  <c r="AS583"/>
  <c r="H270"/>
  <c r="Q938"/>
  <c r="Q945"/>
  <c r="AP583"/>
  <c r="E428"/>
  <c r="E422"/>
  <c r="E438"/>
  <c r="E532"/>
  <c r="E485"/>
  <c r="E345"/>
  <c r="E218"/>
  <c r="E270"/>
  <c r="E247"/>
  <c r="E259"/>
  <c r="E238"/>
  <c r="AN741"/>
  <c r="AN737"/>
  <c r="D26"/>
  <c r="C87"/>
  <c r="C93"/>
  <c r="U123"/>
  <c r="K125"/>
  <c r="C438"/>
  <c r="H134"/>
  <c r="E134"/>
  <c r="Z280"/>
  <c r="AH280"/>
  <c r="Z281"/>
  <c r="AH281"/>
  <c r="Z282"/>
  <c r="AH282"/>
  <c r="Z283"/>
  <c r="AH283"/>
  <c r="Z284"/>
  <c r="AH284"/>
  <c r="Z285"/>
  <c r="AH285"/>
  <c r="Z286"/>
  <c r="AH286"/>
  <c r="Z287"/>
  <c r="AH287"/>
  <c r="Z288"/>
  <c r="AH288"/>
  <c r="Z289"/>
  <c r="AH289"/>
  <c r="Z290"/>
  <c r="AH290"/>
  <c r="Z293"/>
  <c r="AH293"/>
  <c r="Z294"/>
  <c r="AH294"/>
  <c r="Z295"/>
  <c r="Z296"/>
  <c r="AH296"/>
  <c r="Z297"/>
  <c r="AH297"/>
  <c r="Z298"/>
  <c r="AH298"/>
  <c r="Z299"/>
  <c r="AH299"/>
  <c r="Z300"/>
  <c r="AH300"/>
  <c r="Z301"/>
  <c r="AH301"/>
  <c r="Z302"/>
  <c r="AH302"/>
  <c r="Y280"/>
  <c r="AG280"/>
  <c r="Y281"/>
  <c r="AG281"/>
  <c r="Y282"/>
  <c r="AG282"/>
  <c r="Y283"/>
  <c r="AG283"/>
  <c r="Y284"/>
  <c r="AG284"/>
  <c r="Y285"/>
  <c r="AG285"/>
  <c r="Y286"/>
  <c r="AG286"/>
  <c r="Y287"/>
  <c r="AG287"/>
  <c r="Y288"/>
  <c r="AG288"/>
  <c r="Y289"/>
  <c r="AG289"/>
  <c r="Y290"/>
  <c r="AG290"/>
  <c r="Y293"/>
  <c r="AG293"/>
  <c r="Y294"/>
  <c r="AG294"/>
  <c r="Y295"/>
  <c r="AG295"/>
  <c r="Y296"/>
  <c r="AG296"/>
  <c r="Y297"/>
  <c r="AG297"/>
  <c r="Y298"/>
  <c r="AG298"/>
  <c r="Y299"/>
  <c r="AG299"/>
  <c r="Y300"/>
  <c r="AG300"/>
  <c r="Y301"/>
  <c r="AG301"/>
  <c r="Y302"/>
  <c r="AG302"/>
  <c r="BE783"/>
  <c r="X282"/>
  <c r="AF282"/>
  <c r="X283"/>
  <c r="AF283"/>
  <c r="X284"/>
  <c r="AF284"/>
  <c r="X285"/>
  <c r="AF285"/>
  <c r="X286"/>
  <c r="AF286"/>
  <c r="X287"/>
  <c r="AF287"/>
  <c r="X288"/>
  <c r="AF288"/>
  <c r="X289"/>
  <c r="AF289"/>
  <c r="X290"/>
  <c r="AF290"/>
  <c r="X295"/>
  <c r="AF295"/>
  <c r="X296"/>
  <c r="AF296"/>
  <c r="X297"/>
  <c r="AF297"/>
  <c r="X298"/>
  <c r="AF298"/>
  <c r="X299"/>
  <c r="AF299"/>
  <c r="X300"/>
  <c r="AF300"/>
  <c r="X301"/>
  <c r="AF301"/>
  <c r="X302"/>
  <c r="AF302"/>
  <c r="W280"/>
  <c r="AE280"/>
  <c r="W281"/>
  <c r="AE281"/>
  <c r="W282"/>
  <c r="AE282"/>
  <c r="W283"/>
  <c r="AE283"/>
  <c r="W284"/>
  <c r="AE284"/>
  <c r="W285"/>
  <c r="AE285"/>
  <c r="W286"/>
  <c r="AE286"/>
  <c r="W287"/>
  <c r="AE287"/>
  <c r="W288"/>
  <c r="AE288"/>
  <c r="W289"/>
  <c r="AE289"/>
  <c r="W290"/>
  <c r="AE290"/>
  <c r="W293"/>
  <c r="AE293"/>
  <c r="W294"/>
  <c r="AE294"/>
  <c r="W295"/>
  <c r="AE295"/>
  <c r="W296"/>
  <c r="AE296"/>
  <c r="W297"/>
  <c r="AE297"/>
  <c r="W298"/>
  <c r="AE298"/>
  <c r="W299"/>
  <c r="AE299"/>
  <c r="W300"/>
  <c r="AE300"/>
  <c r="W301"/>
  <c r="AE301"/>
  <c r="W302"/>
  <c r="AE302"/>
  <c r="AD304"/>
  <c r="T274"/>
  <c r="U274" s="1"/>
  <c r="V274" s="1"/>
  <c r="W274" s="1"/>
  <c r="X274" s="1"/>
  <c r="Y274" s="1"/>
  <c r="Z274" s="1"/>
  <c r="AA274" s="1"/>
  <c r="AB274" s="1"/>
  <c r="AC274" s="1"/>
  <c r="AD274" s="1"/>
  <c r="AE274" s="1"/>
  <c r="AF274" s="1"/>
  <c r="AG274" s="1"/>
  <c r="AH274" s="1"/>
  <c r="AI274" s="1"/>
  <c r="V280"/>
  <c r="AD280"/>
  <c r="V281"/>
  <c r="AD281"/>
  <c r="V282"/>
  <c r="AD282"/>
  <c r="V283"/>
  <c r="AD283"/>
  <c r="V284"/>
  <c r="AD284"/>
  <c r="V285"/>
  <c r="AD285"/>
  <c r="V286"/>
  <c r="AD286"/>
  <c r="V287"/>
  <c r="AD287"/>
  <c r="V288"/>
  <c r="AD288"/>
  <c r="V289"/>
  <c r="AD289"/>
  <c r="V290"/>
  <c r="AD290"/>
  <c r="V293"/>
  <c r="AD293"/>
  <c r="V294"/>
  <c r="V295"/>
  <c r="AD295"/>
  <c r="V296"/>
  <c r="AD296"/>
  <c r="V297"/>
  <c r="AD297"/>
  <c r="V298"/>
  <c r="AD298"/>
  <c r="V299"/>
  <c r="AD299"/>
  <c r="V300"/>
  <c r="AD300"/>
  <c r="V301"/>
  <c r="AD301"/>
  <c r="V302"/>
  <c r="AD302"/>
  <c r="U304"/>
  <c r="AF304" s="1"/>
  <c r="AC304"/>
  <c r="AC282"/>
  <c r="AC283"/>
  <c r="AC284"/>
  <c r="AC285"/>
  <c r="AC286"/>
  <c r="AC287"/>
  <c r="AC288"/>
  <c r="AC289"/>
  <c r="AC290"/>
  <c r="AC295"/>
  <c r="AC296"/>
  <c r="AC297"/>
  <c r="AC298"/>
  <c r="AC299"/>
  <c r="AC300"/>
  <c r="AC301"/>
  <c r="AC302"/>
  <c r="T280"/>
  <c r="AB280"/>
  <c r="T281"/>
  <c r="AB281"/>
  <c r="T282"/>
  <c r="AB282"/>
  <c r="T283"/>
  <c r="AB283"/>
  <c r="T284"/>
  <c r="AB284"/>
  <c r="T285"/>
  <c r="AB285"/>
  <c r="T286"/>
  <c r="AB286"/>
  <c r="T287"/>
  <c r="AB287"/>
  <c r="T288"/>
  <c r="AB288"/>
  <c r="T289"/>
  <c r="AB289"/>
  <c r="T290"/>
  <c r="AB290"/>
  <c r="T293"/>
  <c r="T294"/>
  <c r="AB294"/>
  <c r="T295"/>
  <c r="T296"/>
  <c r="AB296"/>
  <c r="T297"/>
  <c r="T298"/>
  <c r="AB298"/>
  <c r="T299"/>
  <c r="AB299"/>
  <c r="T300"/>
  <c r="T301"/>
  <c r="AB301"/>
  <c r="T302"/>
  <c r="AA280"/>
  <c r="AI280"/>
  <c r="AA281"/>
  <c r="AI281"/>
  <c r="AA282"/>
  <c r="AI282"/>
  <c r="AA283"/>
  <c r="AI283"/>
  <c r="AA284"/>
  <c r="AI284"/>
  <c r="AA285"/>
  <c r="AI285"/>
  <c r="AA286"/>
  <c r="AI286"/>
  <c r="AA287"/>
  <c r="AI287"/>
  <c r="AA288"/>
  <c r="AI288"/>
  <c r="AA289"/>
  <c r="AI289"/>
  <c r="AA290"/>
  <c r="AI290"/>
  <c r="AA293"/>
  <c r="AI293"/>
  <c r="AA295"/>
  <c r="AI295"/>
  <c r="AA296"/>
  <c r="AA298"/>
  <c r="AI298"/>
  <c r="AA299"/>
  <c r="AI299"/>
  <c r="AA300"/>
  <c r="AA301"/>
  <c r="AI301"/>
  <c r="E566"/>
  <c r="E519"/>
  <c r="T571"/>
  <c r="T524"/>
  <c r="C491"/>
  <c r="C558"/>
  <c r="C511"/>
  <c r="T478"/>
  <c r="C564"/>
  <c r="C495"/>
  <c r="C542"/>
  <c r="C552"/>
  <c r="C505"/>
  <c r="U573"/>
  <c r="U572" s="1"/>
  <c r="U526"/>
  <c r="U525" s="1"/>
  <c r="V472"/>
  <c r="AB478"/>
  <c r="C501"/>
  <c r="U523"/>
  <c r="C540"/>
  <c r="C562"/>
  <c r="E512"/>
  <c r="E559"/>
  <c r="C487"/>
  <c r="E510"/>
  <c r="C550"/>
  <c r="BL697"/>
  <c r="BL764"/>
  <c r="BT697"/>
  <c r="BT764"/>
  <c r="C514"/>
  <c r="U524"/>
  <c r="U566"/>
  <c r="C549"/>
  <c r="C502"/>
  <c r="C516"/>
  <c r="C544"/>
  <c r="C497"/>
  <c r="C513"/>
  <c r="C560"/>
  <c r="T526"/>
  <c r="T525" s="1"/>
  <c r="BI697"/>
  <c r="BI764"/>
  <c r="BQ697"/>
  <c r="BQ764"/>
  <c r="AN593"/>
  <c r="BA592"/>
  <c r="AN597"/>
  <c r="BE764"/>
  <c r="BE697"/>
  <c r="BM697"/>
  <c r="BM764"/>
  <c r="BD592"/>
  <c r="AR607"/>
  <c r="AX600"/>
  <c r="AN605"/>
  <c r="AO668"/>
  <c r="AR668"/>
  <c r="AN676"/>
  <c r="BK764"/>
  <c r="BK697"/>
  <c r="BS764"/>
  <c r="BS697"/>
  <c r="BD610"/>
  <c r="AR622"/>
  <c r="AU622"/>
  <c r="AO665"/>
  <c r="BE837"/>
  <c r="BE895" s="1"/>
  <c r="BE757"/>
  <c r="AO673"/>
  <c r="AR592"/>
  <c r="AX610"/>
  <c r="AN730"/>
  <c r="AN727"/>
  <c r="AN726"/>
  <c r="AO661"/>
  <c r="AP768"/>
  <c r="AO678"/>
  <c r="BH764"/>
  <c r="BH697"/>
  <c r="BP764"/>
  <c r="BP697"/>
  <c r="AN601"/>
  <c r="AU600"/>
  <c r="AR643"/>
  <c r="AU643"/>
  <c r="AN589"/>
  <c r="BA607"/>
  <c r="BG764"/>
  <c r="BG697"/>
  <c r="BO764"/>
  <c r="BO697"/>
  <c r="BD604"/>
  <c r="AN608"/>
  <c r="AU610"/>
  <c r="AN632"/>
  <c r="BF764"/>
  <c r="BF697"/>
  <c r="BN764"/>
  <c r="BN697"/>
  <c r="BB789"/>
  <c r="BB783"/>
  <c r="BA669"/>
  <c r="AO681"/>
  <c r="AS789"/>
  <c r="AS783"/>
  <c r="BD681"/>
  <c r="BA613"/>
  <c r="BA635"/>
  <c r="AO660"/>
  <c r="AO667"/>
  <c r="AV803"/>
  <c r="AR669"/>
  <c r="AN725"/>
  <c r="AN729" s="1"/>
  <c r="AO682"/>
  <c r="AN724"/>
  <c r="AN721"/>
  <c r="AN719"/>
  <c r="AN747"/>
  <c r="AN718"/>
  <c r="AN717"/>
  <c r="AN716"/>
  <c r="AN713"/>
  <c r="AN611"/>
  <c r="AN704"/>
  <c r="AY783"/>
  <c r="AY789"/>
  <c r="BB803"/>
  <c r="AX604"/>
  <c r="AO666"/>
  <c r="AO674"/>
  <c r="AO680"/>
  <c r="BJ697"/>
  <c r="BJ764"/>
  <c r="BR697"/>
  <c r="BR764"/>
  <c r="AP783"/>
  <c r="AP789"/>
  <c r="AL724"/>
  <c r="AL727"/>
  <c r="AN645"/>
  <c r="AX635"/>
  <c r="AN707"/>
  <c r="BA668"/>
  <c r="AO669"/>
  <c r="AP803"/>
  <c r="AU668"/>
  <c r="AV789"/>
  <c r="AV783"/>
  <c r="BD635"/>
  <c r="AN662"/>
  <c r="BD682"/>
  <c r="AX681"/>
  <c r="BA682"/>
  <c r="AY803"/>
  <c r="BL884"/>
  <c r="BT884"/>
  <c r="BJ884"/>
  <c r="BR884"/>
  <c r="CX847"/>
  <c r="DV847"/>
  <c r="CR866"/>
  <c r="DP866"/>
  <c r="CO866"/>
  <c r="DM866"/>
  <c r="BO884"/>
  <c r="CL847"/>
  <c r="DJ847"/>
  <c r="CF866"/>
  <c r="DD866"/>
  <c r="CU866"/>
  <c r="W945"/>
  <c r="K77" i="21"/>
  <c r="K208" s="1"/>
  <c r="G206"/>
  <c r="G202"/>
  <c r="G198"/>
  <c r="L77"/>
  <c r="L208" s="1"/>
  <c r="M77"/>
  <c r="M208" s="1"/>
  <c r="G205"/>
  <c r="G201"/>
  <c r="G197"/>
  <c r="N77"/>
  <c r="N208" s="1"/>
  <c r="O77"/>
  <c r="O208" s="1"/>
  <c r="G77"/>
  <c r="G208"/>
  <c r="G204"/>
  <c r="G200"/>
  <c r="G154"/>
  <c r="P77"/>
  <c r="P208" s="1"/>
  <c r="H77"/>
  <c r="H208" s="1"/>
  <c r="G226"/>
  <c r="Q77"/>
  <c r="Q208" s="1"/>
  <c r="I77"/>
  <c r="I208" s="1"/>
  <c r="G203"/>
  <c r="G199"/>
  <c r="G123"/>
  <c r="R77"/>
  <c r="R208" s="1"/>
  <c r="J77"/>
  <c r="J208" s="1"/>
  <c r="G99" i="22"/>
  <c r="C70"/>
  <c r="B70"/>
  <c r="G7"/>
  <c r="G8"/>
  <c r="D10"/>
  <c r="B68"/>
  <c r="F7"/>
  <c r="F8"/>
  <c r="C10"/>
  <c r="C7"/>
  <c r="C8"/>
  <c r="F9"/>
  <c r="C9"/>
  <c r="E9" i="25"/>
  <c r="M17" i="26"/>
  <c r="M13"/>
  <c r="N87" i="19" s="1"/>
  <c r="M15" i="26"/>
  <c r="N89" i="19" s="1"/>
  <c r="E12" i="25"/>
  <c r="A6"/>
  <c r="M9" i="26"/>
  <c r="N83" i="19" s="1"/>
  <c r="N27" i="26"/>
  <c r="M14"/>
  <c r="N88" i="19" s="1"/>
  <c r="M26" i="26"/>
  <c r="E6" i="25"/>
  <c r="D7"/>
  <c r="C383" i="51" s="1"/>
  <c r="E14" i="25"/>
  <c r="M22" i="26"/>
  <c r="D6" i="25"/>
  <c r="C382" i="51" s="1"/>
  <c r="H10" i="25"/>
  <c r="H386" i="51" s="1"/>
  <c r="E13" i="25"/>
  <c r="D14"/>
  <c r="C390" i="51" s="1"/>
  <c r="N16" i="26"/>
  <c r="O90" i="19" s="1"/>
  <c r="H8" i="25"/>
  <c r="H384" i="51" s="1"/>
  <c r="D12" i="25"/>
  <c r="E10"/>
  <c r="H6"/>
  <c r="H382" i="51" s="1"/>
  <c r="D10" i="25"/>
  <c r="C386" i="51" s="1"/>
  <c r="H14" i="25"/>
  <c r="H390" i="51" s="1"/>
  <c r="N14" i="26"/>
  <c r="O88" i="19" s="1"/>
  <c r="M30" i="26"/>
  <c r="C12" i="27"/>
  <c r="B12" s="1"/>
  <c r="D7"/>
  <c r="AU8" i="51" s="1"/>
  <c r="D9" i="27"/>
  <c r="BL5" i="51" s="1"/>
  <c r="D8" i="27"/>
  <c r="G24" i="26" s="1"/>
  <c r="D10" i="27"/>
  <c r="E2" i="1" s="1"/>
  <c r="H428" i="20" l="1"/>
  <c r="D6" i="22" s="1"/>
  <c r="H247" i="20"/>
  <c r="H345"/>
  <c r="R945"/>
  <c r="R948" s="1"/>
  <c r="H218"/>
  <c r="H532"/>
  <c r="H259"/>
  <c r="H422"/>
  <c r="H594" s="1"/>
  <c r="N15"/>
  <c r="B2" i="66" s="1"/>
  <c r="H238" i="20"/>
  <c r="D54"/>
  <c r="D41"/>
  <c r="D59"/>
  <c r="D53"/>
  <c r="D40"/>
  <c r="D98"/>
  <c r="D48"/>
  <c r="D52"/>
  <c r="D51"/>
  <c r="D47"/>
  <c r="D50"/>
  <c r="D46"/>
  <c r="D37"/>
  <c r="D57"/>
  <c r="D44"/>
  <c r="D55"/>
  <c r="Q112"/>
  <c r="C345"/>
  <c r="C532"/>
  <c r="C485"/>
  <c r="P945"/>
  <c r="C247"/>
  <c r="P938"/>
  <c r="P940" s="1"/>
  <c r="C259"/>
  <c r="AN583"/>
  <c r="AN696" s="1"/>
  <c r="C238"/>
  <c r="C428"/>
  <c r="C522" s="1"/>
  <c r="C218"/>
  <c r="C422"/>
  <c r="C578" s="1"/>
  <c r="Q259"/>
  <c r="E5" i="25"/>
  <c r="A5"/>
  <c r="Q88" i="19"/>
  <c r="B2" i="2"/>
  <c r="D385" i="51"/>
  <c r="A381"/>
  <c r="N8" i="26"/>
  <c r="O82" i="19" s="1"/>
  <c r="I389" i="51"/>
  <c r="D382"/>
  <c r="D390"/>
  <c r="I385"/>
  <c r="I384"/>
  <c r="I382"/>
  <c r="AV8"/>
  <c r="BI5"/>
  <c r="L11" i="25"/>
  <c r="C8" i="3" s="1"/>
  <c r="H387" i="51"/>
  <c r="I387" s="1"/>
  <c r="I390"/>
  <c r="I386"/>
  <c r="E8" i="25"/>
  <c r="A384" i="51"/>
  <c r="D384" s="1"/>
  <c r="D381"/>
  <c r="N15" i="26"/>
  <c r="O89" i="19" s="1"/>
  <c r="C388" i="51"/>
  <c r="D388" s="1"/>
  <c r="L7" i="25"/>
  <c r="C4" i="3" s="1"/>
  <c r="H383" i="51"/>
  <c r="I383" s="1"/>
  <c r="M10" i="26"/>
  <c r="N84" i="19" s="1"/>
  <c r="A383" i="51"/>
  <c r="D383" s="1"/>
  <c r="E11" i="25"/>
  <c r="A387" i="51"/>
  <c r="D387" s="1"/>
  <c r="I381"/>
  <c r="D386"/>
  <c r="D389"/>
  <c r="Q82" i="19"/>
  <c r="A7" i="25"/>
  <c r="A8" s="1"/>
  <c r="E7"/>
  <c r="Q89" i="19"/>
  <c r="D2" i="2"/>
  <c r="C2"/>
  <c r="E2"/>
  <c r="A2"/>
  <c r="Q247" i="20"/>
  <c r="Q422"/>
  <c r="Q594" s="1"/>
  <c r="B2" i="1"/>
  <c r="B2" i="53"/>
  <c r="Q238" i="20"/>
  <c r="E914"/>
  <c r="Q345"/>
  <c r="BB583"/>
  <c r="BB696" s="1"/>
  <c r="Q485"/>
  <c r="Q134"/>
  <c r="Q428"/>
  <c r="F6" i="22" s="1"/>
  <c r="AN728" i="20"/>
  <c r="Q532"/>
  <c r="N21" i="26"/>
  <c r="Q218" i="20"/>
  <c r="Q270"/>
  <c r="S2" i="1"/>
  <c r="N9" i="26"/>
  <c r="O83" i="19" s="1"/>
  <c r="N11" i="26"/>
  <c r="O85" i="19" s="1"/>
  <c r="B8" i="2"/>
  <c r="B5"/>
  <c r="L6" i="25"/>
  <c r="C3" i="3" s="1"/>
  <c r="L10" i="25"/>
  <c r="C7" i="3" s="1"/>
  <c r="L12" i="25"/>
  <c r="C9" i="3" s="1"/>
  <c r="M16" i="26"/>
  <c r="N90" i="19" s="1"/>
  <c r="C2" i="53"/>
  <c r="P2" i="1"/>
  <c r="N13" i="26"/>
  <c r="O87" i="19" s="1"/>
  <c r="N29" i="26"/>
  <c r="Q90" i="19" s="1"/>
  <c r="B9" i="2"/>
  <c r="L14" i="25"/>
  <c r="C11" i="3" s="1"/>
  <c r="N17" i="26"/>
  <c r="F4" i="3"/>
  <c r="E4"/>
  <c r="D4"/>
  <c r="A4"/>
  <c r="B4"/>
  <c r="N10" i="26"/>
  <c r="O84" i="19" s="1"/>
  <c r="B6" i="2"/>
  <c r="L13" i="25"/>
  <c r="C10" i="3" s="1"/>
  <c r="B4" i="2"/>
  <c r="B6" i="3"/>
  <c r="A6"/>
  <c r="F6"/>
  <c r="D6"/>
  <c r="E6"/>
  <c r="N23" i="26"/>
  <c r="Q84" i="19" s="1"/>
  <c r="N25" i="26"/>
  <c r="Q86" i="19" s="1"/>
  <c r="L8" i="25"/>
  <c r="C5" i="3" s="1"/>
  <c r="B3" i="2"/>
  <c r="B7"/>
  <c r="F8" i="3"/>
  <c r="D8"/>
  <c r="E8"/>
  <c r="B8"/>
  <c r="A8"/>
  <c r="A9" i="25"/>
  <c r="A10" s="1"/>
  <c r="A11" s="1"/>
  <c r="A12" s="1"/>
  <c r="A13" s="1"/>
  <c r="M12" i="26"/>
  <c r="N86" i="19" s="1"/>
  <c r="N12" i="26"/>
  <c r="O86" i="19" s="1"/>
  <c r="D2" i="58"/>
  <c r="A5" i="26"/>
  <c r="C1" i="15"/>
  <c r="B6" i="19"/>
  <c r="I4" i="58"/>
  <c r="K15" i="20"/>
  <c r="AM51" i="19"/>
  <c r="CM38"/>
  <c r="CB38"/>
  <c r="CG38" s="1"/>
  <c r="H112" i="20"/>
  <c r="L76" i="22"/>
  <c r="A87"/>
  <c r="C76"/>
  <c r="A90"/>
  <c r="F76"/>
  <c r="O76"/>
  <c r="J346" i="16"/>
  <c r="K38"/>
  <c r="K29"/>
  <c r="K16"/>
  <c r="K37"/>
  <c r="K27"/>
  <c r="K14"/>
  <c r="J13"/>
  <c r="R97" i="19"/>
  <c r="R98" s="1"/>
  <c r="K46" i="16"/>
  <c r="K36"/>
  <c r="K25"/>
  <c r="K13"/>
  <c r="K44"/>
  <c r="K24"/>
  <c r="K12"/>
  <c r="J43"/>
  <c r="K35"/>
  <c r="K23"/>
  <c r="K43"/>
  <c r="K33"/>
  <c r="K21"/>
  <c r="M12"/>
  <c r="J57"/>
  <c r="J54"/>
  <c r="K41"/>
  <c r="K31"/>
  <c r="K19"/>
  <c r="K40"/>
  <c r="K30"/>
  <c r="K18"/>
  <c r="O12"/>
  <c r="M264"/>
  <c r="M209"/>
  <c r="P237"/>
  <c r="M291"/>
  <c r="B156"/>
  <c r="B158"/>
  <c r="F43"/>
  <c r="O113" i="19"/>
  <c r="C378" i="16"/>
  <c r="G299"/>
  <c r="J245"/>
  <c r="G272"/>
  <c r="G217"/>
  <c r="G24" s="1"/>
  <c r="I13"/>
  <c r="D14"/>
  <c r="F16"/>
  <c r="B21"/>
  <c r="O99" i="19"/>
  <c r="D378" i="16"/>
  <c r="E378"/>
  <c r="J273"/>
  <c r="J218"/>
  <c r="J25" s="1"/>
  <c r="M246"/>
  <c r="J300"/>
  <c r="G267"/>
  <c r="G212"/>
  <c r="G19" s="1"/>
  <c r="J240"/>
  <c r="G294"/>
  <c r="G266"/>
  <c r="G211"/>
  <c r="G18" s="1"/>
  <c r="G293"/>
  <c r="J239"/>
  <c r="Q113" i="19"/>
  <c r="L43" i="16"/>
  <c r="B197"/>
  <c r="B195"/>
  <c r="I24"/>
  <c r="P106" i="19"/>
  <c r="B84" i="16"/>
  <c r="B86"/>
  <c r="F30"/>
  <c r="O111" i="19"/>
  <c r="I51" i="16"/>
  <c r="G51"/>
  <c r="M274"/>
  <c r="P247"/>
  <c r="M219"/>
  <c r="M301"/>
  <c r="J297"/>
  <c r="J270"/>
  <c r="M243"/>
  <c r="J215"/>
  <c r="B110"/>
  <c r="B112"/>
  <c r="P101" i="19"/>
  <c r="I18" i="16"/>
  <c r="B99"/>
  <c r="B97"/>
  <c r="V310"/>
  <c r="V283"/>
  <c r="Y256"/>
  <c r="V228"/>
  <c r="G298"/>
  <c r="J244"/>
  <c r="G271"/>
  <c r="G216"/>
  <c r="G23" s="1"/>
  <c r="M285"/>
  <c r="M230"/>
  <c r="P258"/>
  <c r="M312"/>
  <c r="B184"/>
  <c r="B182"/>
  <c r="L13"/>
  <c r="G265"/>
  <c r="J238"/>
  <c r="G210"/>
  <c r="G14" s="1"/>
  <c r="G292"/>
  <c r="M263"/>
  <c r="M208"/>
  <c r="P236"/>
  <c r="M290"/>
  <c r="B138"/>
  <c r="B136"/>
  <c r="O106" i="19"/>
  <c r="F24" i="16"/>
  <c r="B171"/>
  <c r="B169"/>
  <c r="J250"/>
  <c r="G277"/>
  <c r="G222"/>
  <c r="G304"/>
  <c r="B123"/>
  <c r="B125"/>
  <c r="F19"/>
  <c r="O102" i="19"/>
  <c r="O101"/>
  <c r="F18" i="16"/>
  <c r="F37"/>
  <c r="O109" i="19"/>
  <c r="B257" i="16"/>
  <c r="B255"/>
  <c r="B254"/>
  <c r="D423"/>
  <c r="D426" s="1"/>
  <c r="D289"/>
  <c r="D235"/>
  <c r="D153"/>
  <c r="D262"/>
  <c r="D192"/>
  <c r="D207"/>
  <c r="D179"/>
  <c r="D133"/>
  <c r="D166"/>
  <c r="D120"/>
  <c r="J358"/>
  <c r="D30"/>
  <c r="D107"/>
  <c r="D94"/>
  <c r="D61"/>
  <c r="D53"/>
  <c r="D392" s="1"/>
  <c r="G11"/>
  <c r="D81"/>
  <c r="D31"/>
  <c r="I31" s="1"/>
  <c r="I43"/>
  <c r="P113" i="19"/>
  <c r="O325" i="16"/>
  <c r="R940" i="20"/>
  <c r="R941"/>
  <c r="C443"/>
  <c r="C253"/>
  <c r="C265"/>
  <c r="C264" s="1"/>
  <c r="V566"/>
  <c r="V519"/>
  <c r="V419"/>
  <c r="W472"/>
  <c r="U124"/>
  <c r="V123"/>
  <c r="E569"/>
  <c r="E522"/>
  <c r="E475"/>
  <c r="C6" i="22"/>
  <c r="K5" s="1"/>
  <c r="R947" i="20"/>
  <c r="BH666"/>
  <c r="W208"/>
  <c r="X77"/>
  <c r="AL729"/>
  <c r="AL726"/>
  <c r="AN701"/>
  <c r="AB431"/>
  <c r="AC478"/>
  <c r="C89"/>
  <c r="D87"/>
  <c r="E602"/>
  <c r="E586"/>
  <c r="E594"/>
  <c r="E578"/>
  <c r="AY583"/>
  <c r="P948"/>
  <c r="P947"/>
  <c r="AO676"/>
  <c r="AN735"/>
  <c r="AN705"/>
  <c r="AN736"/>
  <c r="AN683"/>
  <c r="D93"/>
  <c r="AN706"/>
  <c r="AN646"/>
  <c r="AO645" s="1"/>
  <c r="AN699"/>
  <c r="H602"/>
  <c r="H578"/>
  <c r="H586"/>
  <c r="AP763"/>
  <c r="AP696"/>
  <c r="AO662"/>
  <c r="AN664"/>
  <c r="C475"/>
  <c r="Q940"/>
  <c r="Q941"/>
  <c r="BF837"/>
  <c r="BF895" s="1"/>
  <c r="BF757"/>
  <c r="Q602"/>
  <c r="AP714"/>
  <c r="AN734"/>
  <c r="AN698"/>
  <c r="AN598"/>
  <c r="C602"/>
  <c r="C594"/>
  <c r="C586"/>
  <c r="Q948"/>
  <c r="Q947"/>
  <c r="AS696"/>
  <c r="AS763"/>
  <c r="Q569"/>
  <c r="Q522"/>
  <c r="BG837"/>
  <c r="BG895" s="1"/>
  <c r="BG757"/>
  <c r="H123" i="21"/>
  <c r="G124"/>
  <c r="B73" i="22"/>
  <c r="G73"/>
  <c r="B74"/>
  <c r="G74"/>
  <c r="B22" i="25"/>
  <c r="N22" i="26"/>
  <c r="Q83" i="19" s="1"/>
  <c r="N24" i="26"/>
  <c r="Q85" i="19" s="1"/>
  <c r="N26" i="26"/>
  <c r="Q87" i="19" s="1"/>
  <c r="L5" i="25"/>
  <c r="C2" i="3" s="1"/>
  <c r="N30" i="26"/>
  <c r="Q91" i="19" s="1"/>
  <c r="D15" i="25"/>
  <c r="C391" i="51" s="1"/>
  <c r="D391" s="1"/>
  <c r="C20" i="27"/>
  <c r="B20" s="1"/>
  <c r="C19"/>
  <c r="B19" s="1"/>
  <c r="N270" i="20" l="1"/>
  <c r="P941"/>
  <c r="C15" i="21"/>
  <c r="H569" i="20"/>
  <c r="E76" i="22"/>
  <c r="A50" s="1"/>
  <c r="N345" i="20"/>
  <c r="H522"/>
  <c r="H475"/>
  <c r="S945"/>
  <c r="S947" s="1"/>
  <c r="Q586"/>
  <c r="Q578"/>
  <c r="R949"/>
  <c r="Q475"/>
  <c r="N259"/>
  <c r="N428"/>
  <c r="N522" s="1"/>
  <c r="B2" i="67"/>
  <c r="B10" s="1"/>
  <c r="C569" i="20"/>
  <c r="N112"/>
  <c r="C112" i="21" s="1"/>
  <c r="N422" i="20"/>
  <c r="B27" i="66"/>
  <c r="C27" s="1"/>
  <c r="T15" i="20"/>
  <c r="I913" s="1"/>
  <c r="N438"/>
  <c r="S938"/>
  <c r="S941" s="1"/>
  <c r="B27" i="67"/>
  <c r="C27" s="1"/>
  <c r="N134" i="20"/>
  <c r="C134" i="21" s="1"/>
  <c r="N238" i="20"/>
  <c r="BD851"/>
  <c r="BE851" s="1"/>
  <c r="BF851" s="1"/>
  <c r="BG851" s="1"/>
  <c r="BH851" s="1"/>
  <c r="BI851" s="1"/>
  <c r="BJ851" s="1"/>
  <c r="BK851" s="1"/>
  <c r="BL851" s="1"/>
  <c r="BM851" s="1"/>
  <c r="BN851" s="1"/>
  <c r="BO851" s="1"/>
  <c r="BP851" s="1"/>
  <c r="BQ851" s="1"/>
  <c r="BR851" s="1"/>
  <c r="BS851" s="1"/>
  <c r="BT851" s="1"/>
  <c r="N76" i="22"/>
  <c r="N218" i="20"/>
  <c r="C218" i="21" s="1"/>
  <c r="N532" i="20"/>
  <c r="A89" i="22"/>
  <c r="N247" i="20"/>
  <c r="N485"/>
  <c r="P949"/>
  <c r="B10" i="66"/>
  <c r="C2"/>
  <c r="Q949" i="20"/>
  <c r="BB763"/>
  <c r="I392" i="51"/>
  <c r="D392"/>
  <c r="B2" i="3"/>
  <c r="A2"/>
  <c r="F2"/>
  <c r="D2"/>
  <c r="E2"/>
  <c r="B2" i="52"/>
  <c r="C2"/>
  <c r="B10" i="3"/>
  <c r="A10"/>
  <c r="F10"/>
  <c r="E10"/>
  <c r="D10"/>
  <c r="A9" i="2"/>
  <c r="D9"/>
  <c r="C9"/>
  <c r="E9"/>
  <c r="C7"/>
  <c r="D7"/>
  <c r="A7"/>
  <c r="E7"/>
  <c r="B5" i="3"/>
  <c r="E5"/>
  <c r="F5"/>
  <c r="A5"/>
  <c r="D5"/>
  <c r="F8" i="58"/>
  <c r="E4" i="51"/>
  <c r="H16" i="20"/>
  <c r="B87" i="22" s="1"/>
  <c r="N18" i="26"/>
  <c r="D3" i="3"/>
  <c r="B3"/>
  <c r="F3"/>
  <c r="A3"/>
  <c r="E3"/>
  <c r="Q16" i="20"/>
  <c r="B90" i="22" s="1"/>
  <c r="G4" i="51"/>
  <c r="G1" s="1"/>
  <c r="H5" i="23" s="1"/>
  <c r="E9" i="59" s="1"/>
  <c r="H8" i="58"/>
  <c r="N16" i="20"/>
  <c r="G8" i="58"/>
  <c r="A6" i="2"/>
  <c r="C6"/>
  <c r="D6"/>
  <c r="E6"/>
  <c r="D7" i="3"/>
  <c r="E7"/>
  <c r="B7"/>
  <c r="F7"/>
  <c r="A7"/>
  <c r="A8" i="2"/>
  <c r="C8"/>
  <c r="D8"/>
  <c r="E8"/>
  <c r="D11" i="3"/>
  <c r="F11"/>
  <c r="E11"/>
  <c r="B11"/>
  <c r="A11"/>
  <c r="A3" i="2"/>
  <c r="D3"/>
  <c r="E3"/>
  <c r="C3"/>
  <c r="D4"/>
  <c r="E4"/>
  <c r="C4"/>
  <c r="A4"/>
  <c r="B9" i="3"/>
  <c r="F9"/>
  <c r="A9"/>
  <c r="D9"/>
  <c r="E9"/>
  <c r="E5" i="2"/>
  <c r="C5"/>
  <c r="D5"/>
  <c r="A5"/>
  <c r="B16" i="25"/>
  <c r="A14"/>
  <c r="AG18" i="19"/>
  <c r="C184"/>
  <c r="B94"/>
  <c r="B139" s="1"/>
  <c r="B45"/>
  <c r="AG11"/>
  <c r="N10"/>
  <c r="B14" i="21"/>
  <c r="B132" s="1"/>
  <c r="B14" i="20"/>
  <c r="J1" i="17"/>
  <c r="C85" i="19"/>
  <c r="P942" i="20"/>
  <c r="K112"/>
  <c r="A88" i="22"/>
  <c r="C105" s="1"/>
  <c r="M76"/>
  <c r="D76"/>
  <c r="K345" i="20"/>
  <c r="K532"/>
  <c r="K438"/>
  <c r="K134"/>
  <c r="K422"/>
  <c r="K428"/>
  <c r="K259"/>
  <c r="K485"/>
  <c r="K247"/>
  <c r="K218"/>
  <c r="AV583"/>
  <c r="P953"/>
  <c r="K270"/>
  <c r="R942"/>
  <c r="B200" i="16"/>
  <c r="B49" s="1"/>
  <c r="F49" s="1"/>
  <c r="L14"/>
  <c r="G16"/>
  <c r="D99"/>
  <c r="D96"/>
  <c r="D97" s="1"/>
  <c r="P312"/>
  <c r="P285"/>
  <c r="P230"/>
  <c r="S258"/>
  <c r="Y310"/>
  <c r="Y283"/>
  <c r="AB256"/>
  <c r="Y228"/>
  <c r="C327"/>
  <c r="B256" s="1"/>
  <c r="B228" s="1"/>
  <c r="B311"/>
  <c r="B284"/>
  <c r="B229"/>
  <c r="P301"/>
  <c r="P274"/>
  <c r="S247"/>
  <c r="P219"/>
  <c r="L18"/>
  <c r="Q101" i="19"/>
  <c r="O25" i="16"/>
  <c r="R105" i="19"/>
  <c r="O43" i="16"/>
  <c r="R113" i="19"/>
  <c r="B201" i="16"/>
  <c r="D171"/>
  <c r="D168"/>
  <c r="D169" s="1"/>
  <c r="D197"/>
  <c r="D194"/>
  <c r="D195" s="1"/>
  <c r="B309"/>
  <c r="B282"/>
  <c r="B227"/>
  <c r="M273"/>
  <c r="M218"/>
  <c r="M25" s="1"/>
  <c r="P246"/>
  <c r="M300"/>
  <c r="I14"/>
  <c r="D16"/>
  <c r="B141"/>
  <c r="B48" s="1"/>
  <c r="F48" s="1"/>
  <c r="J359"/>
  <c r="G289"/>
  <c r="G235"/>
  <c r="G153"/>
  <c r="G262"/>
  <c r="G192"/>
  <c r="G207"/>
  <c r="G179"/>
  <c r="G133"/>
  <c r="G166"/>
  <c r="G120"/>
  <c r="G107"/>
  <c r="G31"/>
  <c r="L31" s="1"/>
  <c r="G94"/>
  <c r="G30"/>
  <c r="G61"/>
  <c r="G53"/>
  <c r="G392" s="1"/>
  <c r="J11"/>
  <c r="G81"/>
  <c r="D125"/>
  <c r="D122"/>
  <c r="D123" s="1"/>
  <c r="D257"/>
  <c r="D256" s="1"/>
  <c r="D228" s="1"/>
  <c r="D255"/>
  <c r="D254"/>
  <c r="B281"/>
  <c r="B226"/>
  <c r="B308"/>
  <c r="J298"/>
  <c r="M244"/>
  <c r="J271"/>
  <c r="J216"/>
  <c r="J23" s="1"/>
  <c r="M239"/>
  <c r="J266"/>
  <c r="J211"/>
  <c r="J18" s="1"/>
  <c r="J293"/>
  <c r="B142"/>
  <c r="D83"/>
  <c r="D84" s="1"/>
  <c r="D86"/>
  <c r="D155"/>
  <c r="D158"/>
  <c r="J304"/>
  <c r="M250"/>
  <c r="J277"/>
  <c r="J222"/>
  <c r="P263"/>
  <c r="P208"/>
  <c r="S236"/>
  <c r="P290"/>
  <c r="B27"/>
  <c r="F21"/>
  <c r="N43"/>
  <c r="N33"/>
  <c r="N21"/>
  <c r="P12"/>
  <c r="N41"/>
  <c r="N31"/>
  <c r="N19"/>
  <c r="N40"/>
  <c r="N30"/>
  <c r="N18"/>
  <c r="R12"/>
  <c r="S97" i="19"/>
  <c r="S98" s="1"/>
  <c r="N38" i="16"/>
  <c r="N29"/>
  <c r="N16"/>
  <c r="N37"/>
  <c r="N27"/>
  <c r="N14"/>
  <c r="M13"/>
  <c r="N46"/>
  <c r="N36"/>
  <c r="N25"/>
  <c r="N13"/>
  <c r="N44"/>
  <c r="N24"/>
  <c r="N12"/>
  <c r="M57"/>
  <c r="M54"/>
  <c r="M43"/>
  <c r="N35"/>
  <c r="N23"/>
  <c r="L23"/>
  <c r="Q103" i="19"/>
  <c r="Q102"/>
  <c r="L19" i="16"/>
  <c r="O100" i="19"/>
  <c r="O104"/>
  <c r="O107" s="1"/>
  <c r="I30" i="16"/>
  <c r="P111" i="19"/>
  <c r="D184" i="16"/>
  <c r="D181"/>
  <c r="D182" s="1"/>
  <c r="M297"/>
  <c r="M270"/>
  <c r="P243"/>
  <c r="M215"/>
  <c r="M346" s="1"/>
  <c r="J294"/>
  <c r="J267"/>
  <c r="J212"/>
  <c r="J19" s="1"/>
  <c r="M240"/>
  <c r="J217"/>
  <c r="J24" s="1"/>
  <c r="J299"/>
  <c r="M245"/>
  <c r="J272"/>
  <c r="P264"/>
  <c r="P209"/>
  <c r="S237"/>
  <c r="P291"/>
  <c r="L24"/>
  <c r="Q106" i="19"/>
  <c r="D112" i="16"/>
  <c r="D109"/>
  <c r="D110" s="1"/>
  <c r="D138"/>
  <c r="D135"/>
  <c r="D136" s="1"/>
  <c r="J265"/>
  <c r="M238"/>
  <c r="J210"/>
  <c r="J14" s="1"/>
  <c r="J292"/>
  <c r="J51"/>
  <c r="L51"/>
  <c r="O13"/>
  <c r="E423"/>
  <c r="E426" s="1"/>
  <c r="Q942" i="20"/>
  <c r="N569"/>
  <c r="U126"/>
  <c r="U125"/>
  <c r="AO646"/>
  <c r="AO641"/>
  <c r="AO635"/>
  <c r="AO623"/>
  <c r="AO639"/>
  <c r="AO633"/>
  <c r="AO629"/>
  <c r="AO621"/>
  <c r="AO642"/>
  <c r="AO636"/>
  <c r="AO624"/>
  <c r="AO637"/>
  <c r="AO625"/>
  <c r="AO634"/>
  <c r="AO643"/>
  <c r="AO627"/>
  <c r="AO631"/>
  <c r="AO630"/>
  <c r="AO619"/>
  <c r="AO644"/>
  <c r="AO622"/>
  <c r="AO620"/>
  <c r="AO640"/>
  <c r="AO628"/>
  <c r="AO638"/>
  <c r="AO626"/>
  <c r="AO683"/>
  <c r="N602"/>
  <c r="N586"/>
  <c r="N578"/>
  <c r="N594"/>
  <c r="V124"/>
  <c r="W123"/>
  <c r="T946"/>
  <c r="T385"/>
  <c r="T422"/>
  <c r="T351"/>
  <c r="T218"/>
  <c r="U15"/>
  <c r="U951" s="1"/>
  <c r="E15" i="21"/>
  <c r="M5" i="22"/>
  <c r="L5"/>
  <c r="C11"/>
  <c r="W519" i="20"/>
  <c r="W566"/>
  <c r="W419"/>
  <c r="X472"/>
  <c r="C490"/>
  <c r="C442"/>
  <c r="C537"/>
  <c r="W31" i="21"/>
  <c r="G15" s="1"/>
  <c r="C64" i="20"/>
  <c r="D89"/>
  <c r="C252"/>
  <c r="C347"/>
  <c r="AC431"/>
  <c r="AD478"/>
  <c r="BH837"/>
  <c r="BH895" s="1"/>
  <c r="BH757"/>
  <c r="AO632"/>
  <c r="AN720"/>
  <c r="AN677"/>
  <c r="AO664"/>
  <c r="AN733"/>
  <c r="AN700"/>
  <c r="AN616"/>
  <c r="AO598" s="1"/>
  <c r="CA893"/>
  <c r="CA865"/>
  <c r="CA846"/>
  <c r="AY763"/>
  <c r="AY696"/>
  <c r="AL730"/>
  <c r="AL733" s="1"/>
  <c r="AL734" s="1"/>
  <c r="AL735" s="1"/>
  <c r="AL736" s="1"/>
  <c r="AL737" s="1"/>
  <c r="AL738" s="1"/>
  <c r="AL739" s="1"/>
  <c r="AL728"/>
  <c r="BI666"/>
  <c r="X208"/>
  <c r="Y77"/>
  <c r="I123" i="21"/>
  <c r="H124"/>
  <c r="G126"/>
  <c r="G125"/>
  <c r="B19" i="25"/>
  <c r="Q944" i="20" l="1"/>
  <c r="S948"/>
  <c r="R944"/>
  <c r="N475"/>
  <c r="E6" i="22"/>
  <c r="S940" i="20"/>
  <c r="T112"/>
  <c r="E112" i="21" s="1"/>
  <c r="T259" i="20"/>
  <c r="T134"/>
  <c r="T160" s="1"/>
  <c r="E160" i="21" s="1"/>
  <c r="G160" s="1"/>
  <c r="T345" i="20"/>
  <c r="T951"/>
  <c r="P76" i="22"/>
  <c r="T311" i="20"/>
  <c r="T938"/>
  <c r="B35" i="67"/>
  <c r="T270" i="20"/>
  <c r="BE583"/>
  <c r="CC846" s="1"/>
  <c r="G76" i="22"/>
  <c r="T428" i="20"/>
  <c r="B35" i="66"/>
  <c r="C2" i="67"/>
  <c r="D2" s="1"/>
  <c r="C10" i="66"/>
  <c r="B50" s="1"/>
  <c r="D2"/>
  <c r="D27"/>
  <c r="C35"/>
  <c r="C35" i="67"/>
  <c r="D27"/>
  <c r="E1" i="51"/>
  <c r="F5" i="23" s="1"/>
  <c r="I9" i="59" s="1"/>
  <c r="K1" i="51"/>
  <c r="F6" i="23" s="1"/>
  <c r="M1" i="51"/>
  <c r="H6" i="23" s="1"/>
  <c r="G256" i="51"/>
  <c r="H326" i="23" s="1"/>
  <c r="G144" i="51"/>
  <c r="H181" i="23" s="1"/>
  <c r="G128" i="51"/>
  <c r="H163" i="23" s="1"/>
  <c r="G112" i="51"/>
  <c r="H145" i="23" s="1"/>
  <c r="G96" i="51"/>
  <c r="H127" i="23" s="1"/>
  <c r="G80" i="51"/>
  <c r="H110" i="23" s="1"/>
  <c r="G122" i="51"/>
  <c r="H156" i="23" s="1"/>
  <c r="G230" i="51"/>
  <c r="G210"/>
  <c r="G194"/>
  <c r="H247" i="23" s="1"/>
  <c r="G178" i="51"/>
  <c r="H223" i="23" s="1"/>
  <c r="G162" i="51"/>
  <c r="G151"/>
  <c r="H189" i="23" s="1"/>
  <c r="G62" i="51"/>
  <c r="H87" i="23" s="1"/>
  <c r="G25" i="51"/>
  <c r="H39" i="23" s="1"/>
  <c r="G74" i="51"/>
  <c r="H104" i="23" s="1"/>
  <c r="G16" i="51"/>
  <c r="H29" i="23" s="1"/>
  <c r="G52" i="51"/>
  <c r="G6"/>
  <c r="H18" i="23" s="1"/>
  <c r="H11" i="58" s="1"/>
  <c r="G106" i="51"/>
  <c r="H137" i="23" s="1"/>
  <c r="G149" i="51"/>
  <c r="H187" i="23" s="1"/>
  <c r="G138" i="51"/>
  <c r="H174" i="23" s="1"/>
  <c r="G90" i="51"/>
  <c r="G19"/>
  <c r="H32" i="23" s="1"/>
  <c r="G212" i="51"/>
  <c r="H271" i="23" s="1"/>
  <c r="G104" i="51"/>
  <c r="H135" i="23" s="1"/>
  <c r="G33" i="51"/>
  <c r="H48" i="23" s="1"/>
  <c r="G238" i="51"/>
  <c r="H306" i="23" s="1"/>
  <c r="G164" i="51"/>
  <c r="H207" i="23" s="1"/>
  <c r="G146" i="51"/>
  <c r="G370"/>
  <c r="G306"/>
  <c r="H388" i="23" s="1"/>
  <c r="G288" i="51"/>
  <c r="H367" i="23" s="1"/>
  <c r="G259" i="51"/>
  <c r="G316"/>
  <c r="H399" i="23" s="1"/>
  <c r="G245" i="51"/>
  <c r="H314" i="23" s="1"/>
  <c r="G275" i="51"/>
  <c r="G350"/>
  <c r="H435" i="23" s="1"/>
  <c r="G263" i="51"/>
  <c r="H335" i="23" s="1"/>
  <c r="G371" i="51"/>
  <c r="G277"/>
  <c r="H352" i="23" s="1"/>
  <c r="G352" i="51"/>
  <c r="H437" i="23" s="1"/>
  <c r="G304" i="51"/>
  <c r="H386" i="23" s="1"/>
  <c r="G294" i="51"/>
  <c r="G257"/>
  <c r="H327" i="23" s="1"/>
  <c r="G337" i="51"/>
  <c r="H421" i="23" s="1"/>
  <c r="G258" i="51"/>
  <c r="G228"/>
  <c r="H288" i="23" s="1"/>
  <c r="G170" i="51"/>
  <c r="H213" i="23" s="1"/>
  <c r="G31" i="51"/>
  <c r="H46" i="23" s="1"/>
  <c r="G120" i="51"/>
  <c r="G50"/>
  <c r="H69" i="23" s="1"/>
  <c r="G98" i="51"/>
  <c r="H129" i="23" s="1"/>
  <c r="G346" i="51"/>
  <c r="H431" i="23" s="1"/>
  <c r="G356" i="51"/>
  <c r="H442" i="23" s="1"/>
  <c r="G274" i="51"/>
  <c r="H348" i="23" s="1"/>
  <c r="G365" i="51"/>
  <c r="G333"/>
  <c r="H417" i="23" s="1"/>
  <c r="G254" i="51"/>
  <c r="H324" i="23" s="1"/>
  <c r="G326" i="51"/>
  <c r="H410" i="23" s="1"/>
  <c r="G276" i="51"/>
  <c r="H351" i="23" s="1"/>
  <c r="G351" i="51"/>
  <c r="H436" i="23" s="1"/>
  <c r="G319" i="51"/>
  <c r="H402" i="23" s="1"/>
  <c r="G298" i="51"/>
  <c r="H377" i="23" s="1"/>
  <c r="G270" i="51"/>
  <c r="H344" i="23" s="1"/>
  <c r="G305" i="51"/>
  <c r="H387" i="23" s="1"/>
  <c r="G271" i="51"/>
  <c r="H345" i="23" s="1"/>
  <c r="G208" i="51"/>
  <c r="H265" i="23" s="1"/>
  <c r="G176" i="51"/>
  <c r="H219" i="23" s="1"/>
  <c r="G118" i="51"/>
  <c r="H151" i="23" s="1"/>
  <c r="G86" i="51"/>
  <c r="H116" i="23" s="1"/>
  <c r="E25" i="59" s="1"/>
  <c r="G35" i="51"/>
  <c r="H50" i="23" s="1"/>
  <c r="G221" i="51"/>
  <c r="H281" i="23" s="1"/>
  <c r="G169" i="51"/>
  <c r="H212" i="23" s="1"/>
  <c r="G103" i="51"/>
  <c r="H134" i="23" s="1"/>
  <c r="G63" i="51"/>
  <c r="H88" i="23" s="1"/>
  <c r="G34" i="51"/>
  <c r="H49" i="23" s="1"/>
  <c r="G315" i="51"/>
  <c r="H398" i="23" s="1"/>
  <c r="G231" i="51"/>
  <c r="H292" i="23" s="1"/>
  <c r="G179" i="51"/>
  <c r="H224" i="23" s="1"/>
  <c r="G105" i="51"/>
  <c r="H136" i="23" s="1"/>
  <c r="G233" i="51"/>
  <c r="H294" i="23" s="1"/>
  <c r="G157" i="51"/>
  <c r="H198" i="23" s="1"/>
  <c r="G91" i="51"/>
  <c r="H122" i="23" s="1"/>
  <c r="G44" i="51"/>
  <c r="H60" i="23" s="1"/>
  <c r="G30" i="51"/>
  <c r="H45" i="23" s="1"/>
  <c r="G214" i="51"/>
  <c r="G182"/>
  <c r="G60"/>
  <c r="H85" i="23" s="1"/>
  <c r="G37" i="51"/>
  <c r="H52" i="23" s="1"/>
  <c r="G199" i="51"/>
  <c r="G23"/>
  <c r="H37" i="23" s="1"/>
  <c r="G196" i="51"/>
  <c r="H249" i="23" s="1"/>
  <c r="G244" i="51"/>
  <c r="H313" i="23" s="1"/>
  <c r="G374" i="51"/>
  <c r="G322"/>
  <c r="H405" i="23" s="1"/>
  <c r="G332" i="51"/>
  <c r="H416" i="23" s="1"/>
  <c r="G261" i="51"/>
  <c r="H333" i="23" s="1"/>
  <c r="G366" i="51"/>
  <c r="G269"/>
  <c r="H343" i="23" s="1"/>
  <c r="G368" i="51"/>
  <c r="G320"/>
  <c r="H403" i="23" s="1"/>
  <c r="G249" i="51"/>
  <c r="H318" i="23" s="1"/>
  <c r="G361" i="51"/>
  <c r="H447" i="23" s="1"/>
  <c r="G329" i="51"/>
  <c r="H413" i="23" s="1"/>
  <c r="G250" i="51"/>
  <c r="H319" i="23" s="1"/>
  <c r="G220" i="51"/>
  <c r="H280" i="23" s="1"/>
  <c r="G209" i="51"/>
  <c r="H266" i="23" s="1"/>
  <c r="G143" i="51"/>
  <c r="H180" i="23" s="1"/>
  <c r="G79" i="51"/>
  <c r="H109" i="23" s="1"/>
  <c r="G155" i="51"/>
  <c r="H196" i="23" s="1"/>
  <c r="G145" i="51"/>
  <c r="G81"/>
  <c r="H111" i="23" s="1"/>
  <c r="G32" i="51"/>
  <c r="H47" i="23" s="1"/>
  <c r="G307" i="51"/>
  <c r="G197"/>
  <c r="H250" i="23" s="1"/>
  <c r="G131" i="51"/>
  <c r="H166" i="23" s="1"/>
  <c r="G67" i="51"/>
  <c r="G45"/>
  <c r="H61" i="23" s="1"/>
  <c r="G264" i="51"/>
  <c r="G226"/>
  <c r="H286" i="23" s="1"/>
  <c r="G116" i="51"/>
  <c r="H149" i="23" s="1"/>
  <c r="G84" i="51"/>
  <c r="H114" i="23" s="1"/>
  <c r="G331" i="51"/>
  <c r="H415" i="23" s="1"/>
  <c r="G175" i="51"/>
  <c r="H218" i="23" s="1"/>
  <c r="G186" i="51"/>
  <c r="H238" i="23" s="1"/>
  <c r="G27" i="51"/>
  <c r="H42" i="23" s="1"/>
  <c r="G232" i="51"/>
  <c r="H293" i="23" s="1"/>
  <c r="G72" i="51"/>
  <c r="H102" i="23" s="1"/>
  <c r="G136" i="51"/>
  <c r="H172" i="23" s="1"/>
  <c r="G130" i="51"/>
  <c r="H165" i="23" s="1"/>
  <c r="G362" i="51"/>
  <c r="H448" i="23" s="1"/>
  <c r="G280" i="51"/>
  <c r="H355" i="23" s="1"/>
  <c r="G251" i="51"/>
  <c r="H320" i="23" s="1"/>
  <c r="G308" i="51"/>
  <c r="H391" i="23" s="1"/>
  <c r="G290" i="51"/>
  <c r="H369" i="23" s="1"/>
  <c r="G357" i="51"/>
  <c r="H443" i="23" s="1"/>
  <c r="G325" i="51"/>
  <c r="H409" i="23" s="1"/>
  <c r="G342" i="51"/>
  <c r="H427" i="23" s="1"/>
  <c r="G292" i="51"/>
  <c r="G255"/>
  <c r="H325" i="23" s="1"/>
  <c r="G343" i="51"/>
  <c r="H428" i="23" s="1"/>
  <c r="G311" i="51"/>
  <c r="H394" i="23" s="1"/>
  <c r="G344" i="51"/>
  <c r="H429" i="23" s="1"/>
  <c r="G299" i="51"/>
  <c r="H378" i="23" s="1"/>
  <c r="G286" i="51"/>
  <c r="G373"/>
  <c r="G295"/>
  <c r="G200"/>
  <c r="H254" i="23" s="1"/>
  <c r="G168" i="51"/>
  <c r="H211" i="23" s="1"/>
  <c r="G142" i="51"/>
  <c r="H179" i="23" s="1"/>
  <c r="H183" s="1"/>
  <c r="G82" i="51"/>
  <c r="H112" i="23" s="1"/>
  <c r="G338" i="51"/>
  <c r="H422" i="23" s="1"/>
  <c r="G348" i="51"/>
  <c r="H433" i="23" s="1"/>
  <c r="G291" i="51"/>
  <c r="G318"/>
  <c r="H401" i="23" s="1"/>
  <c r="G268" i="51"/>
  <c r="G293"/>
  <c r="H372" i="23" s="1"/>
  <c r="G353" i="51"/>
  <c r="G321"/>
  <c r="H404" i="23" s="1"/>
  <c r="G53" i="51"/>
  <c r="H73" i="23" s="1"/>
  <c r="G273" i="51"/>
  <c r="H347" i="23" s="1"/>
  <c r="G161" i="51"/>
  <c r="H203" i="23" s="1"/>
  <c r="G95" i="51"/>
  <c r="H126" i="23" s="1"/>
  <c r="G26" i="51"/>
  <c r="G223"/>
  <c r="H283" i="23" s="1"/>
  <c r="G171" i="51"/>
  <c r="H214" i="23" s="1"/>
  <c r="G97" i="51"/>
  <c r="H128" i="23" s="1"/>
  <c r="G225" i="51"/>
  <c r="H285" i="23" s="1"/>
  <c r="G213" i="51"/>
  <c r="H272" i="23" s="1"/>
  <c r="E40" i="65" s="1"/>
  <c r="G147" i="51"/>
  <c r="G83"/>
  <c r="H113" i="23" s="1"/>
  <c r="G47" i="51"/>
  <c r="H63" i="23" s="1"/>
  <c r="E19" i="59" s="1"/>
  <c r="G22" i="51"/>
  <c r="H36" i="23" s="1"/>
  <c r="E15" i="59" s="1"/>
  <c r="G218" i="51"/>
  <c r="H278" i="23" s="1"/>
  <c r="G153" i="51"/>
  <c r="G140"/>
  <c r="H176" i="23" s="1"/>
  <c r="G108" i="51"/>
  <c r="H139" i="23" s="1"/>
  <c r="G76" i="51"/>
  <c r="H106" i="23" s="1"/>
  <c r="G64" i="51"/>
  <c r="H90" i="23" s="1"/>
  <c r="G29" i="51"/>
  <c r="H44" i="23" s="1"/>
  <c r="G9" i="51"/>
  <c r="H21" i="23" s="1"/>
  <c r="G281" i="51"/>
  <c r="G191"/>
  <c r="H244" i="23" s="1"/>
  <c r="G202" i="51"/>
  <c r="H256" i="23" s="1"/>
  <c r="G260" i="51"/>
  <c r="H332" i="23" s="1"/>
  <c r="G180" i="51"/>
  <c r="H225" i="23" s="1"/>
  <c r="G88" i="51"/>
  <c r="H118" i="23" s="1"/>
  <c r="G216" i="51"/>
  <c r="H276" i="23" s="1"/>
  <c r="G314" i="51"/>
  <c r="H397" i="23" s="1"/>
  <c r="G324" i="51"/>
  <c r="H408" i="23" s="1"/>
  <c r="G253" i="51"/>
  <c r="H323" i="23" s="1"/>
  <c r="G369" i="51"/>
  <c r="H455" i="23" s="1"/>
  <c r="E92" i="59" s="1"/>
  <c r="F92" s="1"/>
  <c r="G349" i="51"/>
  <c r="H434" i="23" s="1"/>
  <c r="G317" i="51"/>
  <c r="H400" i="23" s="1"/>
  <c r="G358" i="51"/>
  <c r="H444" i="23" s="1"/>
  <c r="G367" i="51"/>
  <c r="G335"/>
  <c r="H419" i="23" s="1"/>
  <c r="G303" i="51"/>
  <c r="H385" i="23" s="1"/>
  <c r="G372" i="51"/>
  <c r="G222"/>
  <c r="H282" i="23" s="1"/>
  <c r="G375" i="51"/>
  <c r="G51"/>
  <c r="H70" i="23" s="1"/>
  <c r="G114" i="51"/>
  <c r="H147" i="23" s="1"/>
  <c r="G354" i="51"/>
  <c r="H440" i="23" s="1"/>
  <c r="G301" i="51"/>
  <c r="G272"/>
  <c r="H346" i="23" s="1"/>
  <c r="G243" i="51"/>
  <c r="H312" i="23" s="1"/>
  <c r="G364" i="51"/>
  <c r="H450" i="23" s="1"/>
  <c r="G282" i="51"/>
  <c r="H359" i="23" s="1"/>
  <c r="G283" i="51"/>
  <c r="H360" i="23" s="1"/>
  <c r="G334" i="51"/>
  <c r="H418" i="23" s="1"/>
  <c r="G284" i="51"/>
  <c r="H361" i="23" s="1"/>
  <c r="G247" i="51"/>
  <c r="H316" i="23" s="1"/>
  <c r="G285" i="51"/>
  <c r="G278"/>
  <c r="H353" i="23" s="1"/>
  <c r="G345" i="51"/>
  <c r="H430" i="23" s="1"/>
  <c r="G300" i="51"/>
  <c r="H379" i="23" s="1"/>
  <c r="G266" i="51"/>
  <c r="G236"/>
  <c r="H304" i="23" s="1"/>
  <c r="G55" i="51"/>
  <c r="H76" i="23" s="1"/>
  <c r="G240" i="51"/>
  <c r="H308" i="23" s="1"/>
  <c r="G229" i="51"/>
  <c r="H289" i="23" s="1"/>
  <c r="G177" i="51"/>
  <c r="G111"/>
  <c r="H144" i="23" s="1"/>
  <c r="G239" i="51"/>
  <c r="H307" i="23" s="1"/>
  <c r="G187" i="51"/>
  <c r="H239" i="23" s="1"/>
  <c r="G150" i="51"/>
  <c r="H188" i="23" s="1"/>
  <c r="G113" i="51"/>
  <c r="H146" i="23" s="1"/>
  <c r="G49" i="51"/>
  <c r="H68" i="23" s="1"/>
  <c r="G39" i="51"/>
  <c r="H54" i="23" s="1"/>
  <c r="G165" i="51"/>
  <c r="H208" i="23" s="1"/>
  <c r="G152" i="51"/>
  <c r="H190" i="23" s="1"/>
  <c r="G99" i="51"/>
  <c r="H130" i="23" s="1"/>
  <c r="G38" i="51"/>
  <c r="H53" i="23" s="1"/>
  <c r="G15" i="51"/>
  <c r="H28" i="23" s="1"/>
  <c r="G132" i="51"/>
  <c r="H167" i="23" s="1"/>
  <c r="G100" i="51"/>
  <c r="H131" i="23" s="1"/>
  <c r="G68" i="51"/>
  <c r="G11"/>
  <c r="G219"/>
  <c r="H279" i="23" s="1"/>
  <c r="G207" i="51"/>
  <c r="H264" i="23" s="1"/>
  <c r="G66" i="51"/>
  <c r="H93" i="23" s="1"/>
  <c r="G184" i="51"/>
  <c r="H236" i="23" s="1"/>
  <c r="G57" i="51"/>
  <c r="H81" i="23" s="1"/>
  <c r="G127" i="51"/>
  <c r="G203"/>
  <c r="H257" i="23" s="1"/>
  <c r="G129" i="51"/>
  <c r="H164" i="23" s="1"/>
  <c r="G7" i="51"/>
  <c r="H19" i="23" s="1"/>
  <c r="G83" i="70" s="1"/>
  <c r="G181" i="51"/>
  <c r="H226" i="23" s="1"/>
  <c r="G234" i="51"/>
  <c r="H295" i="23" s="1"/>
  <c r="G124" i="51"/>
  <c r="H158" i="23" s="1"/>
  <c r="G59" i="51"/>
  <c r="G13"/>
  <c r="H26" i="23" s="1"/>
  <c r="G235" i="51"/>
  <c r="G117"/>
  <c r="H150" i="23" s="1"/>
  <c r="G40" i="51"/>
  <c r="H55" i="23" s="1"/>
  <c r="G204" i="51"/>
  <c r="G341"/>
  <c r="H426" i="23" s="1"/>
  <c r="G327" i="51"/>
  <c r="H411" i="23" s="1"/>
  <c r="G360" i="51"/>
  <c r="H446" i="23" s="1"/>
  <c r="E88" i="59" s="1"/>
  <c r="G312" i="51"/>
  <c r="H395" i="23" s="1"/>
  <c r="G265" i="51"/>
  <c r="G192"/>
  <c r="H245" i="23" s="1"/>
  <c r="G110" i="51"/>
  <c r="G237"/>
  <c r="H305" i="23" s="1"/>
  <c r="G185" i="51"/>
  <c r="H237" i="23" s="1"/>
  <c r="G107" i="51"/>
  <c r="H138" i="23" s="1"/>
  <c r="G174" i="51"/>
  <c r="H217" i="23" s="1"/>
  <c r="G215" i="51"/>
  <c r="H275" i="23" s="1"/>
  <c r="G93" i="51"/>
  <c r="H124" i="23" s="1"/>
  <c r="G156" i="51"/>
  <c r="H197" i="23" s="1"/>
  <c r="E37" i="59" s="1"/>
  <c r="G262" i="51"/>
  <c r="H334" i="23" s="1"/>
  <c r="G70" i="51"/>
  <c r="H100" i="23" s="1"/>
  <c r="G323" i="51"/>
  <c r="G135"/>
  <c r="G211"/>
  <c r="G137"/>
  <c r="H173" i="23" s="1"/>
  <c r="G189" i="51"/>
  <c r="G61"/>
  <c r="H86" i="23" s="1"/>
  <c r="G14" i="51"/>
  <c r="H27" i="23" s="1"/>
  <c r="G198" i="51"/>
  <c r="H251" i="23" s="1"/>
  <c r="G246" i="51"/>
  <c r="H315" i="23" s="1"/>
  <c r="G167" i="51"/>
  <c r="H210" i="23" s="1"/>
  <c r="G133" i="51"/>
  <c r="H168" i="23" s="1"/>
  <c r="G69" i="51"/>
  <c r="G28"/>
  <c r="H43" i="23" s="1"/>
  <c r="G17" i="51"/>
  <c r="H30" i="23" s="1"/>
  <c r="G297" i="51"/>
  <c r="H376" i="23" s="1"/>
  <c r="G313" i="51"/>
  <c r="H396" i="23" s="1"/>
  <c r="G160" i="51"/>
  <c r="H202" i="23" s="1"/>
  <c r="E40" i="59" s="1"/>
  <c r="F40" s="1"/>
  <c r="G94" i="51"/>
  <c r="H125" i="23" s="1"/>
  <c r="E32" i="59" s="1"/>
  <c r="G217" i="51"/>
  <c r="H277" i="23" s="1"/>
  <c r="G87" i="51"/>
  <c r="H117" i="23" s="1"/>
  <c r="G347" i="51"/>
  <c r="H432" i="23" s="1"/>
  <c r="E87" i="59" s="1"/>
  <c r="F87" s="1"/>
  <c r="G163" i="51"/>
  <c r="H206" i="23" s="1"/>
  <c r="G89" i="51"/>
  <c r="H119" i="23" s="1"/>
  <c r="G139" i="51"/>
  <c r="H175" i="23" s="1"/>
  <c r="E27" i="59" s="1"/>
  <c r="G252" i="51"/>
  <c r="G158"/>
  <c r="G21"/>
  <c r="H35" i="23" s="1"/>
  <c r="G109" i="51"/>
  <c r="H141" i="23" s="1"/>
  <c r="G42" i="51"/>
  <c r="H58" i="23" s="1"/>
  <c r="G18" i="51"/>
  <c r="H31" i="23" s="1"/>
  <c r="G188" i="51"/>
  <c r="H240" i="23" s="1"/>
  <c r="G310" i="51"/>
  <c r="H393" i="23" s="1"/>
  <c r="G359" i="51"/>
  <c r="H445" i="23" s="1"/>
  <c r="G328" i="51"/>
  <c r="H412" i="23" s="1"/>
  <c r="G193" i="51"/>
  <c r="H246" i="23" s="1"/>
  <c r="G248" i="51"/>
  <c r="H317" i="23" s="1"/>
  <c r="G65" i="51"/>
  <c r="G339"/>
  <c r="G115"/>
  <c r="H148" i="23" s="1"/>
  <c r="G43" i="51"/>
  <c r="H59" i="23" s="1"/>
  <c r="G92" i="51"/>
  <c r="H123" i="23" s="1"/>
  <c r="G363" i="51"/>
  <c r="H449" i="23" s="1"/>
  <c r="G85" i="51"/>
  <c r="H115" i="23" s="1"/>
  <c r="G336" i="51"/>
  <c r="H420" i="23" s="1"/>
  <c r="G241" i="51"/>
  <c r="H309" i="23" s="1"/>
  <c r="G279" i="51"/>
  <c r="H354" i="23" s="1"/>
  <c r="G78" i="51"/>
  <c r="H108" i="23" s="1"/>
  <c r="G355" i="51"/>
  <c r="H441" i="23" s="1"/>
  <c r="E83" i="59" s="1"/>
  <c r="G119" i="51"/>
  <c r="H152" i="23" s="1"/>
  <c r="G195" i="51"/>
  <c r="H248" i="23" s="1"/>
  <c r="G121" i="51"/>
  <c r="H155" i="23" s="1"/>
  <c r="G173" i="51"/>
  <c r="H216" i="23" s="1"/>
  <c r="G46" i="51"/>
  <c r="H62" i="23" s="1"/>
  <c r="G206" i="51"/>
  <c r="H263" i="23" s="1"/>
  <c r="G8" i="51"/>
  <c r="H20" i="23" s="1"/>
  <c r="G227" i="51"/>
  <c r="H287" i="23" s="1"/>
  <c r="G125" i="51"/>
  <c r="H159" i="23" s="1"/>
  <c r="G20" i="51"/>
  <c r="G224"/>
  <c r="H284" i="23" s="1"/>
  <c r="G340" i="51"/>
  <c r="G309"/>
  <c r="H392" i="23" s="1"/>
  <c r="G287" i="51"/>
  <c r="H365" i="23" s="1"/>
  <c r="G242" i="51"/>
  <c r="G126"/>
  <c r="H160" i="23" s="1"/>
  <c r="G102" i="51"/>
  <c r="H133" i="23" s="1"/>
  <c r="G54" i="51"/>
  <c r="H74" i="23" s="1"/>
  <c r="G201" i="51"/>
  <c r="H255" i="23" s="1"/>
  <c r="G71" i="51"/>
  <c r="H101" i="23" s="1"/>
  <c r="G41" i="51"/>
  <c r="G73"/>
  <c r="H103" i="23" s="1"/>
  <c r="G48" i="51"/>
  <c r="H64" i="23" s="1"/>
  <c r="G24" i="51"/>
  <c r="H38" i="23" s="1"/>
  <c r="G123" i="51"/>
  <c r="H157" i="23" s="1"/>
  <c r="G166" i="51"/>
  <c r="H209" i="23" s="1"/>
  <c r="G10" i="51"/>
  <c r="H22" i="23" s="1"/>
  <c r="G159" i="51"/>
  <c r="H201" i="23" s="1"/>
  <c r="G101" i="51"/>
  <c r="H132" i="23" s="1"/>
  <c r="G172" i="51"/>
  <c r="H215" i="23" s="1"/>
  <c r="G330" i="51"/>
  <c r="H414" i="23" s="1"/>
  <c r="G134" i="51"/>
  <c r="H169" i="23" s="1"/>
  <c r="G56" i="51"/>
  <c r="H80" i="23" s="1"/>
  <c r="G289" i="51"/>
  <c r="G205"/>
  <c r="H262" i="23" s="1"/>
  <c r="G75" i="51"/>
  <c r="H105" i="23" s="1"/>
  <c r="G190" i="51"/>
  <c r="H243" i="23" s="1"/>
  <c r="G58" i="51"/>
  <c r="H82" i="23" s="1"/>
  <c r="G12" i="51"/>
  <c r="H25" i="23" s="1"/>
  <c r="G183" i="51"/>
  <c r="H235" i="23" s="1"/>
  <c r="G141" i="51"/>
  <c r="G77"/>
  <c r="H107" i="23" s="1"/>
  <c r="G36" i="51"/>
  <c r="H51" i="23" s="1"/>
  <c r="H4" i="51"/>
  <c r="H1" s="1"/>
  <c r="I5" i="23" s="1"/>
  <c r="G1" i="53"/>
  <c r="C4" i="51"/>
  <c r="F4"/>
  <c r="E224"/>
  <c r="F284" i="23" s="1"/>
  <c r="E204" i="51"/>
  <c r="E188"/>
  <c r="F240" i="23" s="1"/>
  <c r="E172" i="51"/>
  <c r="F215" i="23" s="1"/>
  <c r="C39" i="69" s="1"/>
  <c r="E156" i="51"/>
  <c r="F197" i="23" s="1"/>
  <c r="E140" i="51"/>
  <c r="F176" i="23" s="1"/>
  <c r="C30" i="69" s="1"/>
  <c r="E124" i="51"/>
  <c r="F158" i="23" s="1"/>
  <c r="E108" i="51"/>
  <c r="F139" i="23" s="1"/>
  <c r="E92" i="51"/>
  <c r="F123" i="23" s="1"/>
  <c r="E76" i="51"/>
  <c r="F106" i="23" s="1"/>
  <c r="C22" i="69" s="1"/>
  <c r="E9" i="51"/>
  <c r="F21" i="23" s="1"/>
  <c r="E226" i="51"/>
  <c r="F286" i="23" s="1"/>
  <c r="E206" i="51"/>
  <c r="F263" i="23" s="1"/>
  <c r="E190" i="51"/>
  <c r="F243" i="23" s="1"/>
  <c r="E174" i="51"/>
  <c r="F217" i="23" s="1"/>
  <c r="E158" i="51"/>
  <c r="E146"/>
  <c r="E130"/>
  <c r="F165" i="23" s="1"/>
  <c r="E114" i="51"/>
  <c r="F147" i="23" s="1"/>
  <c r="E98" i="51"/>
  <c r="F129" i="23" s="1"/>
  <c r="E82" i="51"/>
  <c r="F112" i="23" s="1"/>
  <c r="E66" i="51"/>
  <c r="F93" i="23" s="1"/>
  <c r="E58" i="51"/>
  <c r="F82" i="23" s="1"/>
  <c r="E21" i="51"/>
  <c r="F35" i="23" s="1"/>
  <c r="E11" i="51"/>
  <c r="E8"/>
  <c r="F20" i="23" s="1"/>
  <c r="E6" i="51"/>
  <c r="E37"/>
  <c r="F52" i="23" s="1"/>
  <c r="E13" i="51"/>
  <c r="F26" i="23" s="1"/>
  <c r="E258" i="51"/>
  <c r="E198"/>
  <c r="F251" i="23" s="1"/>
  <c r="E242" i="51"/>
  <c r="E12"/>
  <c r="F25" i="23" s="1"/>
  <c r="E64" i="51"/>
  <c r="F90" i="23" s="1"/>
  <c r="E84" i="51"/>
  <c r="F114" i="23" s="1"/>
  <c r="E90" i="51"/>
  <c r="E218"/>
  <c r="F278" i="23" s="1"/>
  <c r="E262" i="51"/>
  <c r="F334" i="23" s="1"/>
  <c r="E59" i="51"/>
  <c r="E196"/>
  <c r="F249" i="23" s="1"/>
  <c r="E356" i="51"/>
  <c r="F442" i="23" s="1"/>
  <c r="E274" i="51"/>
  <c r="F348" i="23" s="1"/>
  <c r="E245" i="51"/>
  <c r="F314" i="23" s="1"/>
  <c r="E366" i="51"/>
  <c r="E284"/>
  <c r="F361" i="23" s="1"/>
  <c r="E285" i="51"/>
  <c r="E336"/>
  <c r="F420" i="23" s="1"/>
  <c r="E286" i="51"/>
  <c r="E249"/>
  <c r="F318" i="23" s="1"/>
  <c r="E287" i="51"/>
  <c r="F365" i="23" s="1"/>
  <c r="E280" i="51"/>
  <c r="F355" i="23" s="1"/>
  <c r="E347" i="51"/>
  <c r="F432" i="23" s="1"/>
  <c r="E238" i="51"/>
  <c r="F306" i="23" s="1"/>
  <c r="E214" i="51"/>
  <c r="E100"/>
  <c r="F131" i="23" s="1"/>
  <c r="E248" i="51"/>
  <c r="F317" i="23" s="1"/>
  <c r="E16" i="51"/>
  <c r="F29" i="23" s="1"/>
  <c r="E332" i="51"/>
  <c r="F416" i="23" s="1"/>
  <c r="E342" i="51"/>
  <c r="F427" i="23" s="1"/>
  <c r="E343" i="51"/>
  <c r="F428" i="23" s="1"/>
  <c r="E311" i="51"/>
  <c r="F394" i="23" s="1"/>
  <c r="E298" i="51"/>
  <c r="F377" i="23" s="1"/>
  <c r="E264" i="51"/>
  <c r="E312"/>
  <c r="F395" i="23" s="1"/>
  <c r="E299" i="51"/>
  <c r="F378" i="23" s="1"/>
  <c r="E361" i="51"/>
  <c r="F447" i="23" s="1"/>
  <c r="E329" i="51"/>
  <c r="F413" i="23" s="1"/>
  <c r="E330" i="51"/>
  <c r="F414" i="23" s="1"/>
  <c r="E315" i="51"/>
  <c r="F398" i="23" s="1"/>
  <c r="E281" i="51"/>
  <c r="E186"/>
  <c r="F238" i="23" s="1"/>
  <c r="E128" i="51"/>
  <c r="F163" i="23" s="1"/>
  <c r="E96" i="51"/>
  <c r="F127" i="23" s="1"/>
  <c r="E50" i="51"/>
  <c r="F69" i="23" s="1"/>
  <c r="E155" i="51"/>
  <c r="F196" i="23" s="1"/>
  <c r="E89" i="51"/>
  <c r="F119" i="23" s="1"/>
  <c r="C34" i="69" s="1"/>
  <c r="E165" i="51"/>
  <c r="F208" i="23" s="1"/>
  <c r="E91" i="51"/>
  <c r="F122" i="23" s="1"/>
  <c r="E44" i="51"/>
  <c r="F60" i="23" s="1"/>
  <c r="E341" i="51"/>
  <c r="F426" i="23" s="1"/>
  <c r="E219" i="51"/>
  <c r="F279" i="23" s="1"/>
  <c r="E207" i="51"/>
  <c r="F264" i="23" s="1"/>
  <c r="E141" i="51"/>
  <c r="E77"/>
  <c r="F107" i="23" s="1"/>
  <c r="C23" i="69" s="1"/>
  <c r="E192" i="51"/>
  <c r="F245" i="23" s="1"/>
  <c r="E160" i="51"/>
  <c r="F202" i="23" s="1"/>
  <c r="I40" i="59" s="1"/>
  <c r="J40" s="1"/>
  <c r="E365" i="51"/>
  <c r="E185"/>
  <c r="F237" i="23" s="1"/>
  <c r="E74" i="51"/>
  <c r="F104" i="23" s="1"/>
  <c r="C20" i="69" s="1"/>
  <c r="E138" i="51"/>
  <c r="F174" i="23" s="1"/>
  <c r="E234" i="51"/>
  <c r="F295" i="23" s="1"/>
  <c r="E29" i="51"/>
  <c r="F44" i="23" s="1"/>
  <c r="C6" i="69" s="1"/>
  <c r="E180" i="51"/>
  <c r="F225" i="23" s="1"/>
  <c r="E308" i="51"/>
  <c r="F391" i="23" s="1"/>
  <c r="E290" i="51"/>
  <c r="F369" i="23" s="1"/>
  <c r="E261" i="51"/>
  <c r="F333" i="23" s="1"/>
  <c r="E318" i="51"/>
  <c r="F401" i="23" s="1"/>
  <c r="E247" i="51"/>
  <c r="F316" i="23" s="1"/>
  <c r="E277" i="51"/>
  <c r="F352" i="23" s="1"/>
  <c r="E352" i="51"/>
  <c r="F437" i="23" s="1"/>
  <c r="E265" i="51"/>
  <c r="E373"/>
  <c r="E279"/>
  <c r="F354" i="23" s="1"/>
  <c r="E354" i="51"/>
  <c r="F440" i="23" s="1"/>
  <c r="E306" i="51"/>
  <c r="F388" i="23" s="1"/>
  <c r="E259" i="51"/>
  <c r="F331" i="23" s="1"/>
  <c r="E339" i="51"/>
  <c r="E260"/>
  <c r="F332" i="23" s="1"/>
  <c r="E240" i="51"/>
  <c r="F308" i="23" s="1"/>
  <c r="E230" i="51"/>
  <c r="E51"/>
  <c r="F70" i="23" s="1"/>
  <c r="E195" i="51"/>
  <c r="F248" i="23" s="1"/>
  <c r="E129" i="51"/>
  <c r="F164" i="23" s="1"/>
  <c r="E65" i="51"/>
  <c r="E24"/>
  <c r="F38" i="23" s="1"/>
  <c r="E317" i="51"/>
  <c r="F400" i="23" s="1"/>
  <c r="E205" i="51"/>
  <c r="F262" i="23" s="1"/>
  <c r="E131" i="51"/>
  <c r="F166" i="23" s="1"/>
  <c r="E67" i="51"/>
  <c r="E45"/>
  <c r="F61" i="23" s="1"/>
  <c r="E183" i="51"/>
  <c r="F235" i="23" s="1"/>
  <c r="E117" i="51"/>
  <c r="F150" i="23" s="1"/>
  <c r="E20" i="51"/>
  <c r="E236"/>
  <c r="F304" i="23" s="1"/>
  <c r="E126" i="51"/>
  <c r="F160" i="23" s="1"/>
  <c r="E94" i="51"/>
  <c r="F125" i="23" s="1"/>
  <c r="E53" i="51"/>
  <c r="F73" i="23" s="1"/>
  <c r="E27" i="51"/>
  <c r="F42" i="23" s="1"/>
  <c r="E237" i="51"/>
  <c r="F305" i="23" s="1"/>
  <c r="E161" i="51"/>
  <c r="F203" i="23" s="1"/>
  <c r="E166" i="51"/>
  <c r="F209" i="23" s="1"/>
  <c r="E116" i="51"/>
  <c r="F149" i="23" s="1"/>
  <c r="E232" i="51"/>
  <c r="F293" i="23" s="1"/>
  <c r="E250" i="51"/>
  <c r="F319" i="23" s="1"/>
  <c r="E348" i="51"/>
  <c r="F433" i="23" s="1"/>
  <c r="E358" i="51"/>
  <c r="F444" i="23" s="1"/>
  <c r="E276" i="51"/>
  <c r="F351" i="23" s="1"/>
  <c r="E367" i="51"/>
  <c r="E335"/>
  <c r="F419" i="23" s="1"/>
  <c r="E303" i="51"/>
  <c r="E256"/>
  <c r="F326" i="23" s="1"/>
  <c r="E328" i="51"/>
  <c r="F412" i="23" s="1"/>
  <c r="E278" i="51"/>
  <c r="F353" i="23" s="1"/>
  <c r="E241" i="51"/>
  <c r="F309" i="23" s="1"/>
  <c r="E353" i="51"/>
  <c r="E321"/>
  <c r="F404" i="23" s="1"/>
  <c r="E300" i="51"/>
  <c r="F379" i="23" s="1"/>
  <c r="E370" i="51"/>
  <c r="E272"/>
  <c r="F346" i="23" s="1"/>
  <c r="E307" i="51"/>
  <c r="E273"/>
  <c r="F347" i="23" s="1"/>
  <c r="E210" i="51"/>
  <c r="E178"/>
  <c r="F223" i="23" s="1"/>
  <c r="E60" i="51"/>
  <c r="F85" i="23" s="1"/>
  <c r="E122" i="51"/>
  <c r="F156" i="23" s="1"/>
  <c r="E31" i="51"/>
  <c r="F46" i="23" s="1"/>
  <c r="E164" i="51"/>
  <c r="F207" i="23" s="1"/>
  <c r="I41" i="59" s="1"/>
  <c r="E216" i="51"/>
  <c r="F276" i="23" s="1"/>
  <c r="E324" i="51"/>
  <c r="F408" i="23" s="1"/>
  <c r="E334" i="51"/>
  <c r="F418" i="23" s="1"/>
  <c r="E263" i="51"/>
  <c r="F335" i="23" s="1"/>
  <c r="E269" i="51"/>
  <c r="F343" i="23" s="1"/>
  <c r="E368" i="51"/>
  <c r="E304"/>
  <c r="F386" i="23" s="1"/>
  <c r="E271" i="51"/>
  <c r="F345" i="23" s="1"/>
  <c r="E322" i="51"/>
  <c r="F405" i="23" s="1"/>
  <c r="E251" i="51"/>
  <c r="F320" i="23" s="1"/>
  <c r="E363" i="51"/>
  <c r="F449" i="23" s="1"/>
  <c r="E331" i="51"/>
  <c r="F415" i="23" s="1"/>
  <c r="E252" i="51"/>
  <c r="E222"/>
  <c r="F282" i="23" s="1"/>
  <c r="E40" i="51"/>
  <c r="F55" i="23" s="1"/>
  <c r="E357" i="51"/>
  <c r="F443" i="23" s="1"/>
  <c r="E211" i="51"/>
  <c r="E145"/>
  <c r="E81"/>
  <c r="F111" i="23" s="1"/>
  <c r="E157" i="51"/>
  <c r="F198" i="23" s="1"/>
  <c r="I38" i="59" s="1"/>
  <c r="E147" i="51"/>
  <c r="E83"/>
  <c r="F113" i="23" s="1"/>
  <c r="E47" i="51"/>
  <c r="F63" i="23" s="1"/>
  <c r="I19" i="59" s="1"/>
  <c r="E199" i="51"/>
  <c r="E133"/>
  <c r="F168" i="23" s="1"/>
  <c r="E69" i="51"/>
  <c r="E36"/>
  <c r="F51" i="23" s="1"/>
  <c r="E228" i="51"/>
  <c r="F288" i="23" s="1"/>
  <c r="E118" i="51"/>
  <c r="F151" i="23" s="1"/>
  <c r="E86" i="51"/>
  <c r="F116" i="23" s="1"/>
  <c r="E55" i="51"/>
  <c r="F76" i="23" s="1"/>
  <c r="E217" i="51"/>
  <c r="F277" i="23" s="1"/>
  <c r="E177" i="51"/>
  <c r="E182"/>
  <c r="E23"/>
  <c r="F37" i="23" s="1"/>
  <c r="E68" i="51"/>
  <c r="E132"/>
  <c r="F167" i="23" s="1"/>
  <c r="E364" i="51"/>
  <c r="F450" i="23" s="1"/>
  <c r="E282" i="51"/>
  <c r="F359" i="23" s="1"/>
  <c r="E253" i="51"/>
  <c r="F323" i="23" s="1"/>
  <c r="E310" i="51"/>
  <c r="F393" i="23" s="1"/>
  <c r="E292" i="51"/>
  <c r="E359"/>
  <c r="F445" i="23" s="1"/>
  <c r="E327" i="51"/>
  <c r="F411" i="23" s="1"/>
  <c r="E344" i="51"/>
  <c r="F429" i="23" s="1"/>
  <c r="E294" i="51"/>
  <c r="E257"/>
  <c r="F327" i="23" s="1"/>
  <c r="E345" i="51"/>
  <c r="F430" i="23" s="1"/>
  <c r="E313" i="51"/>
  <c r="F396" i="23" s="1"/>
  <c r="E106" i="51"/>
  <c r="F137" i="23" s="1"/>
  <c r="E212" i="51"/>
  <c r="F271" i="23" s="1"/>
  <c r="E340" i="51"/>
  <c r="E350"/>
  <c r="F435" i="23" s="1"/>
  <c r="E268" i="51"/>
  <c r="E371"/>
  <c r="E293"/>
  <c r="F372" i="23" s="1"/>
  <c r="E320" i="51"/>
  <c r="F403" i="23" s="1"/>
  <c r="E270" i="51"/>
  <c r="F344" i="23" s="1"/>
  <c r="E295" i="51"/>
  <c r="E355"/>
  <c r="F441" i="23" s="1"/>
  <c r="I83" i="59" s="1"/>
  <c r="J83" s="1"/>
  <c r="E323" i="51"/>
  <c r="E254"/>
  <c r="F324" i="23" s="1"/>
  <c r="E325" i="51"/>
  <c r="F409" i="23" s="1"/>
  <c r="E163" i="51"/>
  <c r="F206" i="23" s="1"/>
  <c r="E97" i="51"/>
  <c r="F128" i="23" s="1"/>
  <c r="E48" i="51"/>
  <c r="F64" i="23" s="1"/>
  <c r="E7" i="51"/>
  <c r="F19" i="23" s="1"/>
  <c r="E83" i="70" s="1"/>
  <c r="E225" i="51"/>
  <c r="F285" i="23" s="1"/>
  <c r="E173" i="51"/>
  <c r="F216" i="23" s="1"/>
  <c r="C40" i="69" s="1"/>
  <c r="E99" i="51"/>
  <c r="F130" i="23" s="1"/>
  <c r="E227" i="51"/>
  <c r="F287" i="23" s="1"/>
  <c r="E215" i="51"/>
  <c r="F275" i="23" s="1"/>
  <c r="E85" i="51"/>
  <c r="F115" i="23" s="1"/>
  <c r="C24" i="69" s="1"/>
  <c r="E220" i="51"/>
  <c r="F280" i="23" s="1"/>
  <c r="E142" i="51"/>
  <c r="F179" i="23" s="1"/>
  <c r="E110" i="51"/>
  <c r="E78"/>
  <c r="F108" i="23" s="1"/>
  <c r="E57" i="51"/>
  <c r="F81" i="23" s="1"/>
  <c r="E193" i="51"/>
  <c r="F246" i="23" s="1"/>
  <c r="E255" i="51"/>
  <c r="F325" i="23" s="1"/>
  <c r="E360" i="51"/>
  <c r="F446" i="23" s="1"/>
  <c r="I88" i="59" s="1"/>
  <c r="J88" s="1"/>
  <c r="E136" i="51"/>
  <c r="F172" i="23" s="1"/>
  <c r="E231" i="51"/>
  <c r="F292" i="23" s="1"/>
  <c r="E179" i="51"/>
  <c r="F224" i="23" s="1"/>
  <c r="E152" i="51"/>
  <c r="F190" i="23" s="1"/>
  <c r="E30" i="51"/>
  <c r="F45" i="23" s="1"/>
  <c r="E291" i="51"/>
  <c r="F371" i="23" s="1"/>
  <c r="I62" i="59" s="1"/>
  <c r="E101" i="51"/>
  <c r="F132" i="23" s="1"/>
  <c r="E102" i="51"/>
  <c r="F133" i="23" s="1"/>
  <c r="C33" i="69" s="1"/>
  <c r="E209" i="51"/>
  <c r="F266" i="23" s="1"/>
  <c r="E103" i="51"/>
  <c r="F134" i="23" s="1"/>
  <c r="E26" i="51"/>
  <c r="E372"/>
  <c r="E144"/>
  <c r="F181" i="23" s="1"/>
  <c r="E88" i="51"/>
  <c r="F118" i="23" s="1"/>
  <c r="E105" i="51"/>
  <c r="F136" i="23" s="1"/>
  <c r="E233" i="51"/>
  <c r="F294" i="23" s="1"/>
  <c r="E181" i="51"/>
  <c r="F226" i="23" s="1"/>
  <c r="E107" i="51"/>
  <c r="F138" i="23" s="1"/>
  <c r="E309" i="51"/>
  <c r="F392" i="23" s="1"/>
  <c r="E235" i="51"/>
  <c r="E159"/>
  <c r="F201" i="23" s="1"/>
  <c r="E333" i="51"/>
  <c r="F417" i="23" s="1"/>
  <c r="E143" i="51"/>
  <c r="F180" i="23" s="1"/>
  <c r="E79" i="51"/>
  <c r="F109" i="23" s="1"/>
  <c r="C25" i="69" s="1"/>
  <c r="E351" i="51"/>
  <c r="F436" i="23" s="1"/>
  <c r="E337" i="51"/>
  <c r="F421" i="23" s="1"/>
  <c r="E362" i="51"/>
  <c r="F448" i="23" s="1"/>
  <c r="E314" i="51"/>
  <c r="F397" i="23" s="1"/>
  <c r="E194" i="51"/>
  <c r="F247" i="23" s="1"/>
  <c r="E149" i="51"/>
  <c r="E112"/>
  <c r="F145" i="23" s="1"/>
  <c r="E239" i="51"/>
  <c r="F307" i="23" s="1"/>
  <c r="E187" i="51"/>
  <c r="F239" i="23" s="1"/>
  <c r="E61" i="51"/>
  <c r="F86" i="23" s="1"/>
  <c r="E38" i="51"/>
  <c r="F53" i="23" s="1"/>
  <c r="E109" i="51"/>
  <c r="F141" i="23" s="1"/>
  <c r="E246" i="51"/>
  <c r="F315" i="23" s="1"/>
  <c r="E176" i="51"/>
  <c r="F219" i="23" s="1"/>
  <c r="C41" i="69" s="1"/>
  <c r="E19" i="51"/>
  <c r="F32" i="23" s="1"/>
  <c r="E119" i="51"/>
  <c r="F152" i="23" s="1"/>
  <c r="E41" i="51"/>
  <c r="E151"/>
  <c r="F189" i="23" s="1"/>
  <c r="E297" i="51"/>
  <c r="F376" i="23" s="1"/>
  <c r="F380" s="1"/>
  <c r="E374" i="51"/>
  <c r="E202"/>
  <c r="F256" i="23" s="1"/>
  <c r="E72" i="51"/>
  <c r="F102" i="23" s="1"/>
  <c r="C19" i="69" s="1"/>
  <c r="E137" i="51"/>
  <c r="F173" i="23" s="1"/>
  <c r="E32" i="51"/>
  <c r="F47" i="23" s="1"/>
  <c r="E213" i="51"/>
  <c r="F272" i="23" s="1"/>
  <c r="E139" i="51"/>
  <c r="F175" i="23" s="1"/>
  <c r="I27" i="59" s="1"/>
  <c r="E14" i="51"/>
  <c r="F27" i="23" s="1"/>
  <c r="E191" i="51"/>
  <c r="F244" i="23" s="1"/>
  <c r="E42" i="51"/>
  <c r="F58" i="23" s="1"/>
  <c r="E17" i="51"/>
  <c r="F30" i="23" s="1"/>
  <c r="E200" i="51"/>
  <c r="F254" i="23" s="1"/>
  <c r="E169" i="51"/>
  <c r="F212" i="23" s="1"/>
  <c r="E95" i="51"/>
  <c r="F126" i="23" s="1"/>
  <c r="C31" i="69" s="1"/>
  <c r="E162" i="51"/>
  <c r="E120"/>
  <c r="E113"/>
  <c r="F146" i="23" s="1"/>
  <c r="E349" i="51"/>
  <c r="F434" i="23" s="1"/>
  <c r="E189" i="51"/>
  <c r="E115"/>
  <c r="F148" i="23" s="1"/>
  <c r="E43" i="51"/>
  <c r="F59" i="23" s="1"/>
  <c r="E15" i="51"/>
  <c r="F28" i="23" s="1"/>
  <c r="E167" i="51"/>
  <c r="F210" i="23" s="1"/>
  <c r="E18" i="51"/>
  <c r="F31" i="23" s="1"/>
  <c r="E134" i="51"/>
  <c r="F169" i="23" s="1"/>
  <c r="E70" i="51"/>
  <c r="F100" i="23" s="1"/>
  <c r="E221" i="51"/>
  <c r="F281" i="23" s="1"/>
  <c r="E135" i="51"/>
  <c r="E71"/>
  <c r="F101" i="23" s="1"/>
  <c r="I28" i="59" s="1"/>
  <c r="E25" i="51"/>
  <c r="F39" i="23" s="1"/>
  <c r="E326" i="51"/>
  <c r="F410" i="23" s="1"/>
  <c r="E288" i="51"/>
  <c r="F367" i="23" s="1"/>
  <c r="E170" i="51"/>
  <c r="F213" i="23" s="1"/>
  <c r="I42" i="59" s="1"/>
  <c r="E52" i="51"/>
  <c r="E223"/>
  <c r="F283" i="23" s="1"/>
  <c r="E171" i="51"/>
  <c r="F214" i="23" s="1"/>
  <c r="E39" i="51"/>
  <c r="F54" i="23" s="1"/>
  <c r="C15" i="69" s="1"/>
  <c r="E46" i="51"/>
  <c r="F62" i="23" s="1"/>
  <c r="E22" i="51"/>
  <c r="F36" i="23" s="1"/>
  <c r="I15" i="59" s="1"/>
  <c r="E93" i="51"/>
  <c r="F124" i="23" s="1"/>
  <c r="E266" i="51"/>
  <c r="E184"/>
  <c r="F236" i="23" s="1"/>
  <c r="E54" i="51"/>
  <c r="F74" i="23" s="1"/>
  <c r="E201" i="51"/>
  <c r="F255" i="23" s="1"/>
  <c r="E111" i="51"/>
  <c r="F144" i="23" s="1"/>
  <c r="E34" i="51"/>
  <c r="F49" i="23" s="1"/>
  <c r="C7" i="69" s="1"/>
  <c r="E62" i="51"/>
  <c r="F87" i="23" s="1"/>
  <c r="E369" i="51"/>
  <c r="F455" i="23" s="1"/>
  <c r="I92" i="59" s="1"/>
  <c r="E153" i="51"/>
  <c r="E316"/>
  <c r="F399" i="23" s="1"/>
  <c r="E338" i="51"/>
  <c r="F422" i="23" s="1"/>
  <c r="E243" i="51"/>
  <c r="F312" i="23" s="1"/>
  <c r="E80" i="51"/>
  <c r="F110" i="23" s="1"/>
  <c r="E275" i="51"/>
  <c r="E121"/>
  <c r="F155" i="23" s="1"/>
  <c r="E197" i="51"/>
  <c r="F250" i="23" s="1"/>
  <c r="E123" i="51"/>
  <c r="F157" i="23" s="1"/>
  <c r="E175" i="51"/>
  <c r="F218" i="23" s="1"/>
  <c r="C43" i="69" s="1"/>
  <c r="E208" i="51"/>
  <c r="F265" i="23" s="1"/>
  <c r="E56" i="51"/>
  <c r="F80" i="23" s="1"/>
  <c r="E283" i="51"/>
  <c r="F360" i="23" s="1"/>
  <c r="E229" i="51"/>
  <c r="F289" i="23" s="1"/>
  <c r="C56" i="69" s="1"/>
  <c r="E87" i="51"/>
  <c r="F117" i="23" s="1"/>
  <c r="E10" i="51"/>
  <c r="F22" i="23" s="1"/>
  <c r="E319" i="51"/>
  <c r="F402" i="23" s="1"/>
  <c r="E305" i="51"/>
  <c r="F387" i="23" s="1"/>
  <c r="E346" i="51"/>
  <c r="F431" i="23" s="1"/>
  <c r="I86" i="59" s="1"/>
  <c r="E301" i="51"/>
  <c r="E375"/>
  <c r="E289"/>
  <c r="E244"/>
  <c r="F313" i="23" s="1"/>
  <c r="E104" i="51"/>
  <c r="F135" i="23" s="1"/>
  <c r="E33" i="51"/>
  <c r="F48" i="23" s="1"/>
  <c r="E203" i="51"/>
  <c r="F257" i="23" s="1"/>
  <c r="E150" i="51"/>
  <c r="F188" i="23" s="1"/>
  <c r="E73" i="51"/>
  <c r="F103" i="23" s="1"/>
  <c r="E49" i="51"/>
  <c r="F68" i="23" s="1"/>
  <c r="E75" i="51"/>
  <c r="F105" i="23" s="1"/>
  <c r="C21" i="69" s="1"/>
  <c r="E125" i="51"/>
  <c r="F159" i="23" s="1"/>
  <c r="E28" i="51"/>
  <c r="F43" i="23" s="1"/>
  <c r="C13" i="69" s="1"/>
  <c r="E168" i="51"/>
  <c r="F211" i="23" s="1"/>
  <c r="E35" i="51"/>
  <c r="F50" i="23" s="1"/>
  <c r="E127" i="51"/>
  <c r="E63"/>
  <c r="F88" i="23" s="1"/>
  <c r="H1" i="53"/>
  <c r="K16" i="20"/>
  <c r="I8" i="58"/>
  <c r="E1" i="53"/>
  <c r="C16" i="21"/>
  <c r="B89" i="22"/>
  <c r="L913" i="20"/>
  <c r="F1" i="53"/>
  <c r="E8" i="58"/>
  <c r="D4" i="51"/>
  <c r="E16" i="20"/>
  <c r="B86" i="22" s="1"/>
  <c r="K6" s="1"/>
  <c r="C12" s="1"/>
  <c r="N95" i="19"/>
  <c r="N45"/>
  <c r="AM582" i="20"/>
  <c r="B332" i="16"/>
  <c r="C326" s="1"/>
  <c r="A10" s="1"/>
  <c r="A3" i="22"/>
  <c r="B132" i="20"/>
  <c r="K594"/>
  <c r="K586"/>
  <c r="K602"/>
  <c r="K578"/>
  <c r="K569"/>
  <c r="K522"/>
  <c r="K475"/>
  <c r="U946"/>
  <c r="H189" i="58"/>
  <c r="Q36" i="20"/>
  <c r="H380" i="58"/>
  <c r="H180"/>
  <c r="H369"/>
  <c r="Q69" i="20"/>
  <c r="AV696"/>
  <c r="AV763"/>
  <c r="R951"/>
  <c r="Q952"/>
  <c r="Q951"/>
  <c r="R952"/>
  <c r="S942"/>
  <c r="D201" i="16"/>
  <c r="O14"/>
  <c r="J16"/>
  <c r="P346"/>
  <c r="P57"/>
  <c r="P54"/>
  <c r="Q46"/>
  <c r="Q36"/>
  <c r="Q25"/>
  <c r="Q13"/>
  <c r="Q44"/>
  <c r="Q24"/>
  <c r="Q12"/>
  <c r="P43"/>
  <c r="Q35"/>
  <c r="Q23"/>
  <c r="Q43"/>
  <c r="Q33"/>
  <c r="Q21"/>
  <c r="S12"/>
  <c r="T97" i="19"/>
  <c r="T98" s="1"/>
  <c r="Q41" i="16"/>
  <c r="Q31"/>
  <c r="Q19"/>
  <c r="Q40"/>
  <c r="Q30"/>
  <c r="Q18"/>
  <c r="U12"/>
  <c r="Q38"/>
  <c r="Q29"/>
  <c r="Q16"/>
  <c r="Q37"/>
  <c r="Q27"/>
  <c r="Q14"/>
  <c r="P13"/>
  <c r="R13"/>
  <c r="M293"/>
  <c r="P239"/>
  <c r="M266"/>
  <c r="M211"/>
  <c r="M18" s="1"/>
  <c r="D308"/>
  <c r="D281"/>
  <c r="D226"/>
  <c r="G138"/>
  <c r="G135"/>
  <c r="G136" s="1"/>
  <c r="V258"/>
  <c r="S312"/>
  <c r="S285"/>
  <c r="S230"/>
  <c r="G21"/>
  <c r="L16"/>
  <c r="Q99" i="19"/>
  <c r="D142" i="16"/>
  <c r="O23"/>
  <c r="R103" i="19"/>
  <c r="C328" i="16"/>
  <c r="B283" s="1"/>
  <c r="M51"/>
  <c r="O51"/>
  <c r="S291"/>
  <c r="S264"/>
  <c r="S209"/>
  <c r="V237"/>
  <c r="R102" i="19"/>
  <c r="O19" i="16"/>
  <c r="J166"/>
  <c r="J120"/>
  <c r="J360"/>
  <c r="J289"/>
  <c r="J235"/>
  <c r="J153"/>
  <c r="J262"/>
  <c r="J192"/>
  <c r="J207"/>
  <c r="J179"/>
  <c r="J133"/>
  <c r="J81"/>
  <c r="J107"/>
  <c r="J94"/>
  <c r="J31"/>
  <c r="O31" s="1"/>
  <c r="J61"/>
  <c r="J53"/>
  <c r="J392" s="1"/>
  <c r="J30"/>
  <c r="M11"/>
  <c r="G171"/>
  <c r="G168"/>
  <c r="G169" s="1"/>
  <c r="D199"/>
  <c r="D38" s="1"/>
  <c r="I38" s="1"/>
  <c r="F423"/>
  <c r="F426" s="1"/>
  <c r="P240"/>
  <c r="M294"/>
  <c r="M267"/>
  <c r="M212"/>
  <c r="M19" s="1"/>
  <c r="O18"/>
  <c r="R101" i="19"/>
  <c r="Y311" i="16"/>
  <c r="G83"/>
  <c r="G84" s="1"/>
  <c r="G86"/>
  <c r="G125"/>
  <c r="G122"/>
  <c r="G123" s="1"/>
  <c r="G257"/>
  <c r="G256" s="1"/>
  <c r="G228" s="1"/>
  <c r="G255"/>
  <c r="G254"/>
  <c r="R25"/>
  <c r="S105" i="19"/>
  <c r="D156" i="16"/>
  <c r="D200" s="1"/>
  <c r="D49" s="1"/>
  <c r="I49" s="1"/>
  <c r="R106" i="19"/>
  <c r="O24" i="16"/>
  <c r="S113" i="19"/>
  <c r="R43" i="16"/>
  <c r="S263"/>
  <c r="S208"/>
  <c r="V236"/>
  <c r="S290"/>
  <c r="G112"/>
  <c r="G109"/>
  <c r="G110" s="1"/>
  <c r="G155"/>
  <c r="G158"/>
  <c r="P273"/>
  <c r="P218"/>
  <c r="P25" s="1"/>
  <c r="S246"/>
  <c r="P300"/>
  <c r="AB310"/>
  <c r="AB283"/>
  <c r="AE256"/>
  <c r="AB228"/>
  <c r="S301"/>
  <c r="S274"/>
  <c r="V247"/>
  <c r="S219"/>
  <c r="M272"/>
  <c r="M217"/>
  <c r="M24" s="1"/>
  <c r="M299"/>
  <c r="P245"/>
  <c r="S243"/>
  <c r="P215"/>
  <c r="P297"/>
  <c r="P270"/>
  <c r="F27"/>
  <c r="B47"/>
  <c r="M304"/>
  <c r="P250"/>
  <c r="M277"/>
  <c r="M222"/>
  <c r="M216"/>
  <c r="M23" s="1"/>
  <c r="M298"/>
  <c r="P244"/>
  <c r="M271"/>
  <c r="G99"/>
  <c r="G96"/>
  <c r="G97" s="1"/>
  <c r="G197"/>
  <c r="G194"/>
  <c r="G195" s="1"/>
  <c r="D141"/>
  <c r="D48" s="1"/>
  <c r="I48" s="1"/>
  <c r="B35"/>
  <c r="D309"/>
  <c r="D282"/>
  <c r="D227"/>
  <c r="G184"/>
  <c r="G181"/>
  <c r="G182" s="1"/>
  <c r="M265"/>
  <c r="P238"/>
  <c r="M210"/>
  <c r="M14" s="1"/>
  <c r="M292"/>
  <c r="D229"/>
  <c r="D311"/>
  <c r="D310" s="1"/>
  <c r="D284"/>
  <c r="L30"/>
  <c r="Q111" i="19"/>
  <c r="D21" i="16"/>
  <c r="I16"/>
  <c r="P99" i="19"/>
  <c r="C329" i="16"/>
  <c r="B310" s="1"/>
  <c r="D140"/>
  <c r="D37" s="1"/>
  <c r="I37" s="1"/>
  <c r="O6" i="22"/>
  <c r="D48"/>
  <c r="D11"/>
  <c r="L6"/>
  <c r="D12" s="1"/>
  <c r="S28"/>
  <c r="N6"/>
  <c r="T321" i="20"/>
  <c r="T317"/>
  <c r="T331"/>
  <c r="T941"/>
  <c r="T940"/>
  <c r="W124"/>
  <c r="X123"/>
  <c r="S949"/>
  <c r="M6" i="22"/>
  <c r="E11"/>
  <c r="E48"/>
  <c r="T234" i="20"/>
  <c r="E218" i="21"/>
  <c r="T532" i="20"/>
  <c r="T438"/>
  <c r="T485"/>
  <c r="T247"/>
  <c r="AN652"/>
  <c r="E471"/>
  <c r="C225"/>
  <c r="C67"/>
  <c r="D64" s="1"/>
  <c r="X519"/>
  <c r="X566"/>
  <c r="Y472"/>
  <c r="X419"/>
  <c r="BE763"/>
  <c r="O11" i="19" s="1"/>
  <c r="N4" i="68" s="1"/>
  <c r="N36" s="1"/>
  <c r="T569" i="20"/>
  <c r="T475"/>
  <c r="T522"/>
  <c r="AO677"/>
  <c r="AN679"/>
  <c r="G218" i="21"/>
  <c r="G112"/>
  <c r="G134"/>
  <c r="C536" i="20"/>
  <c r="C489"/>
  <c r="U955"/>
  <c r="U958" s="1"/>
  <c r="U938"/>
  <c r="I914"/>
  <c r="BF583"/>
  <c r="U428"/>
  <c r="U422"/>
  <c r="U385"/>
  <c r="U351"/>
  <c r="U259"/>
  <c r="U345"/>
  <c r="U311"/>
  <c r="U218"/>
  <c r="U234" s="1"/>
  <c r="U270"/>
  <c r="V15"/>
  <c r="U112"/>
  <c r="U134"/>
  <c r="U160" s="1"/>
  <c r="T594"/>
  <c r="T602"/>
  <c r="T578"/>
  <c r="T586"/>
  <c r="BI837"/>
  <c r="BI895" s="1"/>
  <c r="BI757"/>
  <c r="T248"/>
  <c r="T260"/>
  <c r="T357"/>
  <c r="T371"/>
  <c r="T361"/>
  <c r="AE478"/>
  <c r="AD431"/>
  <c r="BJ666"/>
  <c r="Y208"/>
  <c r="Z77"/>
  <c r="AN751"/>
  <c r="AN703"/>
  <c r="AO613"/>
  <c r="AO610"/>
  <c r="AN617"/>
  <c r="AO600"/>
  <c r="AO595"/>
  <c r="AO612"/>
  <c r="AO606"/>
  <c r="AO616"/>
  <c r="AO594"/>
  <c r="AO586"/>
  <c r="AO587"/>
  <c r="AO592"/>
  <c r="AO591"/>
  <c r="AO607"/>
  <c r="AO588"/>
  <c r="AO596"/>
  <c r="AO599"/>
  <c r="AO609"/>
  <c r="AO614"/>
  <c r="AO602"/>
  <c r="AO603"/>
  <c r="AO590"/>
  <c r="AO604"/>
  <c r="AO615"/>
  <c r="AO608"/>
  <c r="AO601"/>
  <c r="AO593"/>
  <c r="AO611"/>
  <c r="AO605"/>
  <c r="AO597"/>
  <c r="AO589"/>
  <c r="C49" i="22"/>
  <c r="C111"/>
  <c r="C103"/>
  <c r="E134" i="21"/>
  <c r="V125" i="20"/>
  <c r="V126"/>
  <c r="H126" i="21"/>
  <c r="H125"/>
  <c r="J123"/>
  <c r="I124"/>
  <c r="BE696" i="20" l="1"/>
  <c r="F153" i="23"/>
  <c r="I26" i="59" s="1"/>
  <c r="CC865" i="20"/>
  <c r="CC893"/>
  <c r="H204" i="23"/>
  <c r="E28" i="59"/>
  <c r="I95"/>
  <c r="O95" s="1"/>
  <c r="H252" i="23"/>
  <c r="E46" i="59" s="1"/>
  <c r="H33" i="23"/>
  <c r="E13" i="59" s="1"/>
  <c r="F13" s="1"/>
  <c r="C10" i="67"/>
  <c r="B51" s="1"/>
  <c r="H380" i="23"/>
  <c r="H371"/>
  <c r="E62" i="59" s="1"/>
  <c r="F62" s="1"/>
  <c r="F204" i="23"/>
  <c r="H95"/>
  <c r="H97" s="1"/>
  <c r="H329"/>
  <c r="E54" i="59" s="1"/>
  <c r="F260" i="23"/>
  <c r="I44" i="59"/>
  <c r="C49" i="69"/>
  <c r="F290" i="23"/>
  <c r="I51" i="59"/>
  <c r="F221" i="23"/>
  <c r="I39" i="59"/>
  <c r="C42" i="69"/>
  <c r="O41" i="59"/>
  <c r="J41"/>
  <c r="F267" i="23"/>
  <c r="I47" i="59"/>
  <c r="C55" i="69"/>
  <c r="C38"/>
  <c r="C39" i="65"/>
  <c r="I37" i="59"/>
  <c r="F28"/>
  <c r="H290" i="23"/>
  <c r="E51" i="59"/>
  <c r="F15"/>
  <c r="F321" i="23"/>
  <c r="F329"/>
  <c r="I54" i="59" s="1"/>
  <c r="E95"/>
  <c r="F95" s="1"/>
  <c r="E20"/>
  <c r="E86"/>
  <c r="O26"/>
  <c r="J26"/>
  <c r="J28"/>
  <c r="O28"/>
  <c r="F142" i="23"/>
  <c r="I31" i="59"/>
  <c r="C32" i="69"/>
  <c r="C29" s="1"/>
  <c r="F252" i="23"/>
  <c r="I46" i="59" s="1"/>
  <c r="C48" i="69"/>
  <c r="H71" i="23"/>
  <c r="E18" i="59"/>
  <c r="H389" i="23"/>
  <c r="E3" i="65"/>
  <c r="E68" i="59"/>
  <c r="H56" i="23"/>
  <c r="E16" i="59"/>
  <c r="H199" i="23"/>
  <c r="E39" i="65"/>
  <c r="E36" i="59"/>
  <c r="F25"/>
  <c r="H40" i="23"/>
  <c r="E17" i="59"/>
  <c r="E3" i="70"/>
  <c r="F7" i="23"/>
  <c r="E2" i="70" s="1"/>
  <c r="D10" i="66"/>
  <c r="C50" s="1"/>
  <c r="E2"/>
  <c r="I32" i="59"/>
  <c r="F406" i="23"/>
  <c r="I73" i="59" s="1"/>
  <c r="H423" i="23"/>
  <c r="H406"/>
  <c r="E73" i="59" s="1"/>
  <c r="H302" i="23"/>
  <c r="E53" i="59" s="1"/>
  <c r="F40" i="23"/>
  <c r="I17" i="59"/>
  <c r="C58" i="69"/>
  <c r="C50"/>
  <c r="F83" i="23"/>
  <c r="I22" i="59" s="1"/>
  <c r="C8" i="69"/>
  <c r="H221" i="23"/>
  <c r="E39" i="59"/>
  <c r="F37"/>
  <c r="H7" i="23"/>
  <c r="G2" i="70" s="1"/>
  <c r="I6" i="23"/>
  <c r="I7" s="1"/>
  <c r="G3" i="70"/>
  <c r="B1" i="71" s="1"/>
  <c r="F177" i="23"/>
  <c r="F423"/>
  <c r="F95"/>
  <c r="F97" s="1"/>
  <c r="F451"/>
  <c r="F452" s="1"/>
  <c r="H321"/>
  <c r="O15" i="59"/>
  <c r="J15"/>
  <c r="O27"/>
  <c r="J27"/>
  <c r="F273" i="23"/>
  <c r="I49" i="59"/>
  <c r="C40" i="65"/>
  <c r="F56" i="23"/>
  <c r="I16" i="59"/>
  <c r="C12" i="69"/>
  <c r="C11" s="1"/>
  <c r="C37" i="65"/>
  <c r="I82" i="59"/>
  <c r="F438" i="23"/>
  <c r="I78" i="59"/>
  <c r="H273" i="23"/>
  <c r="E49" i="59"/>
  <c r="E2" i="67"/>
  <c r="D10"/>
  <c r="C51" s="1"/>
  <c r="F161" i="23"/>
  <c r="I33" i="59" s="1"/>
  <c r="F302" i="23"/>
  <c r="I53" i="59" s="1"/>
  <c r="F183" i="23"/>
  <c r="I24" i="59" s="1"/>
  <c r="F170" i="23"/>
  <c r="I30" i="59" s="1"/>
  <c r="F364" i="23"/>
  <c r="F368" s="1"/>
  <c r="I60" i="59" s="1"/>
  <c r="I14"/>
  <c r="H153" i="23"/>
  <c r="E26" i="59" s="1"/>
  <c r="H83" i="23"/>
  <c r="E22" i="59" s="1"/>
  <c r="H91" i="23"/>
  <c r="E21" i="59" s="1"/>
  <c r="H451" i="23"/>
  <c r="E89" i="59" s="1"/>
  <c r="F89" s="1"/>
  <c r="E42"/>
  <c r="O92"/>
  <c r="J92"/>
  <c r="O38"/>
  <c r="J38"/>
  <c r="F233" i="23"/>
  <c r="I43" i="59" s="1"/>
  <c r="C47" i="69"/>
  <c r="F241" i="23"/>
  <c r="I45" i="59"/>
  <c r="H241" i="23"/>
  <c r="E45" i="59"/>
  <c r="F83"/>
  <c r="F27"/>
  <c r="H120" i="23"/>
  <c r="E24" i="59"/>
  <c r="E6" i="65"/>
  <c r="E7" s="1"/>
  <c r="E69" i="59"/>
  <c r="F69" s="1"/>
  <c r="D35" i="66"/>
  <c r="E27"/>
  <c r="F357" i="23"/>
  <c r="I61" i="59" s="1"/>
  <c r="F33" i="23"/>
  <c r="I13" i="59" s="1"/>
  <c r="H362" i="23"/>
  <c r="E59" i="59" s="1"/>
  <c r="H336" i="23"/>
  <c r="E50" i="59" s="1"/>
  <c r="H364" i="23"/>
  <c r="H368" s="1"/>
  <c r="E60" i="59" s="1"/>
  <c r="F60" s="1"/>
  <c r="E74"/>
  <c r="F74" s="1"/>
  <c r="H177" i="23"/>
  <c r="O42" i="59"/>
  <c r="J42"/>
  <c r="F91" i="23"/>
  <c r="I21" i="59" s="1"/>
  <c r="C5" i="69"/>
  <c r="H438" i="23"/>
  <c r="E78" i="59"/>
  <c r="E10" i="65"/>
  <c r="E79" i="59"/>
  <c r="E38" i="65"/>
  <c r="E38" i="59"/>
  <c r="I58"/>
  <c r="F453" i="23"/>
  <c r="F336"/>
  <c r="I50" i="59" s="1"/>
  <c r="H23" i="23"/>
  <c r="H233"/>
  <c r="E43" i="59" s="1"/>
  <c r="H170" i="23"/>
  <c r="E30" i="59" s="1"/>
  <c r="I69"/>
  <c r="C57" i="69"/>
  <c r="F120" i="23"/>
  <c r="F71"/>
  <c r="I18" i="59"/>
  <c r="F342" i="23"/>
  <c r="F335" i="58" s="1"/>
  <c r="I25" i="59"/>
  <c r="C26" i="69"/>
  <c r="C18" s="1"/>
  <c r="F199" i="23"/>
  <c r="B19" i="67"/>
  <c r="B6" i="64"/>
  <c r="B19" i="66"/>
  <c r="C38" i="65"/>
  <c r="I36" i="59"/>
  <c r="I79"/>
  <c r="F18" i="23"/>
  <c r="F23" s="1"/>
  <c r="F32" i="59"/>
  <c r="H142" i="23"/>
  <c r="E31" i="59"/>
  <c r="I20"/>
  <c r="H310" i="23"/>
  <c r="E58" i="59"/>
  <c r="J86"/>
  <c r="O86"/>
  <c r="F187" i="23"/>
  <c r="F191" s="1"/>
  <c r="O62" i="59"/>
  <c r="J62"/>
  <c r="J19"/>
  <c r="O19"/>
  <c r="F385" i="23"/>
  <c r="F380" i="58" s="1"/>
  <c r="H267" i="23"/>
  <c r="E47" i="59"/>
  <c r="E11" i="65"/>
  <c r="E82" i="59"/>
  <c r="F19"/>
  <c r="H342" i="23"/>
  <c r="H335" i="58" s="1"/>
  <c r="H260" i="23"/>
  <c r="E44" i="59"/>
  <c r="D35" i="67"/>
  <c r="E27"/>
  <c r="I74" i="59"/>
  <c r="F362" i="23"/>
  <c r="I59" i="59" s="1"/>
  <c r="F310" i="23"/>
  <c r="I87" i="59"/>
  <c r="H161" i="23"/>
  <c r="E33" i="59" s="1"/>
  <c r="E14"/>
  <c r="H453" i="23"/>
  <c r="H357"/>
  <c r="E61" i="59" s="1"/>
  <c r="E41"/>
  <c r="H191" i="23"/>
  <c r="E5" i="51"/>
  <c r="C121" i="22"/>
  <c r="C122" s="1"/>
  <c r="F6" i="58"/>
  <c r="L1" i="51"/>
  <c r="G6" i="23" s="1"/>
  <c r="F1" i="51"/>
  <c r="G5" i="23" s="1"/>
  <c r="G9" i="59" s="1"/>
  <c r="J1" i="51"/>
  <c r="E6" i="23" s="1"/>
  <c r="D1" i="51"/>
  <c r="E5" i="23" s="1"/>
  <c r="K9" i="59" s="1"/>
  <c r="G5" i="51"/>
  <c r="H6" i="58"/>
  <c r="E121" i="22"/>
  <c r="E122" s="1"/>
  <c r="N1" i="51"/>
  <c r="P6" i="22"/>
  <c r="F265" i="51"/>
  <c r="F147"/>
  <c r="F131"/>
  <c r="G166" i="23" s="1"/>
  <c r="F115" i="51"/>
  <c r="G148" i="23" s="1"/>
  <c r="F99" i="51"/>
  <c r="G130" i="23" s="1"/>
  <c r="G123" i="58" s="1"/>
  <c r="F83" i="51"/>
  <c r="G113" i="23" s="1"/>
  <c r="F67" i="51"/>
  <c r="F61"/>
  <c r="G86" i="23" s="1"/>
  <c r="F44" i="51"/>
  <c r="G60" i="23" s="1"/>
  <c r="F22" i="51"/>
  <c r="G36" i="23" s="1"/>
  <c r="G15" i="59" s="1"/>
  <c r="H15" s="1"/>
  <c r="F211" i="51"/>
  <c r="F195"/>
  <c r="G248" i="23" s="1"/>
  <c r="F233" i="51"/>
  <c r="G294" i="23" s="1"/>
  <c r="G287" i="58" s="1"/>
  <c r="F213" i="51"/>
  <c r="G272" i="23" s="1"/>
  <c r="F197" i="51"/>
  <c r="G250" i="23" s="1"/>
  <c r="F181" i="51"/>
  <c r="G226" i="23" s="1"/>
  <c r="F165" i="51"/>
  <c r="G208" i="23" s="1"/>
  <c r="F45" i="51"/>
  <c r="G61" i="23" s="1"/>
  <c r="F7" i="51"/>
  <c r="G19" i="23" s="1"/>
  <c r="F83" i="70" s="1"/>
  <c r="F48" i="51"/>
  <c r="G64" i="23" s="1"/>
  <c r="F26" i="51"/>
  <c r="F231"/>
  <c r="G292" i="23" s="1"/>
  <c r="F179" i="51"/>
  <c r="G224" i="23" s="1"/>
  <c r="F163" i="51"/>
  <c r="G206" i="23" s="1"/>
  <c r="F152" i="51"/>
  <c r="G190" i="23" s="1"/>
  <c r="F39" i="51"/>
  <c r="G54" i="23" s="1"/>
  <c r="D15" i="69" s="1"/>
  <c r="F173" i="51"/>
  <c r="G216" i="23" s="1"/>
  <c r="D40" i="69" s="1"/>
  <c r="F81" i="51"/>
  <c r="G111" i="23" s="1"/>
  <c r="F123" i="51"/>
  <c r="G157" i="23" s="1"/>
  <c r="G150" i="58" s="1"/>
  <c r="F331" i="51"/>
  <c r="G415" i="23" s="1"/>
  <c r="F341" i="51"/>
  <c r="G426" i="23" s="1"/>
  <c r="F342" i="51"/>
  <c r="G427" i="23" s="1"/>
  <c r="F310" i="51"/>
  <c r="G393" i="23" s="1"/>
  <c r="F297" i="51"/>
  <c r="G376" i="23" s="1"/>
  <c r="F263" i="51"/>
  <c r="G335" i="23" s="1"/>
  <c r="F311" i="51"/>
  <c r="G394" i="23" s="1"/>
  <c r="F298" i="51"/>
  <c r="G377" i="23" s="1"/>
  <c r="F360" i="51"/>
  <c r="G446" i="23" s="1"/>
  <c r="G88" i="59" s="1"/>
  <c r="F328" i="51"/>
  <c r="G412" i="23" s="1"/>
  <c r="F329" i="51"/>
  <c r="G413" i="23" s="1"/>
  <c r="F370" i="51"/>
  <c r="F314"/>
  <c r="G397" i="23" s="1"/>
  <c r="F280" i="51"/>
  <c r="G355" i="23" s="1"/>
  <c r="F261" i="51"/>
  <c r="G333" i="23" s="1"/>
  <c r="F185" i="51"/>
  <c r="G237" i="23" s="1"/>
  <c r="G230" i="58" s="1"/>
  <c r="F127" i="51"/>
  <c r="F129"/>
  <c r="G164" i="23" s="1"/>
  <c r="F46" i="51"/>
  <c r="G62" i="23" s="1"/>
  <c r="F171" i="51"/>
  <c r="G214" i="23" s="1"/>
  <c r="F223" i="51"/>
  <c r="G283" i="23" s="1"/>
  <c r="F307" i="51"/>
  <c r="F289"/>
  <c r="F260"/>
  <c r="G332" i="23" s="1"/>
  <c r="F317" i="51"/>
  <c r="G400" i="23" s="1"/>
  <c r="F246" i="51"/>
  <c r="G315" i="23" s="1"/>
  <c r="F276" i="51"/>
  <c r="G351" i="23" s="1"/>
  <c r="F351" i="51"/>
  <c r="G436" i="23" s="1"/>
  <c r="F264" i="51"/>
  <c r="F372"/>
  <c r="F278"/>
  <c r="G353" i="23" s="1"/>
  <c r="F353" i="51"/>
  <c r="F305"/>
  <c r="G387" i="23" s="1"/>
  <c r="F295" i="51"/>
  <c r="F258"/>
  <c r="F338"/>
  <c r="G422" i="23" s="1"/>
  <c r="F259" i="51"/>
  <c r="F229"/>
  <c r="G289" i="23" s="1"/>
  <c r="D56" i="69" s="1"/>
  <c r="F63" i="51"/>
  <c r="G88" i="23" s="1"/>
  <c r="F194" i="51"/>
  <c r="G247" i="23" s="1"/>
  <c r="F128" i="51"/>
  <c r="G163" i="23" s="1"/>
  <c r="F51" i="51"/>
  <c r="G70" i="23" s="1"/>
  <c r="F253" i="51"/>
  <c r="G323" i="23" s="1"/>
  <c r="F216" i="51"/>
  <c r="G276" i="23" s="1"/>
  <c r="F204" i="51"/>
  <c r="F130"/>
  <c r="G165" i="23" s="1"/>
  <c r="F66" i="51"/>
  <c r="G93" i="23" s="1"/>
  <c r="F31" i="51"/>
  <c r="G46" i="23" s="1"/>
  <c r="G39" i="58" s="1"/>
  <c r="F182" i="51"/>
  <c r="F116"/>
  <c r="G149" i="23" s="1"/>
  <c r="F10" i="51"/>
  <c r="G22" i="23" s="1"/>
  <c r="F257" i="51"/>
  <c r="G327" i="23" s="1"/>
  <c r="F235" i="51"/>
  <c r="F125"/>
  <c r="G159" i="23" s="1"/>
  <c r="F93" i="51"/>
  <c r="G124" i="23" s="1"/>
  <c r="F236" i="51"/>
  <c r="G304" i="23" s="1"/>
  <c r="F189" i="51"/>
  <c r="F75"/>
  <c r="G105" i="23" s="1"/>
  <c r="D21" i="69" s="1"/>
  <c r="F139" i="51"/>
  <c r="G175" i="23" s="1"/>
  <c r="G27" i="59" s="1"/>
  <c r="E38" i="60" s="1"/>
  <c r="F15" i="51"/>
  <c r="G28" i="23" s="1"/>
  <c r="F347" i="51"/>
  <c r="G432" i="23" s="1"/>
  <c r="F369" i="51"/>
  <c r="G455" i="23" s="1"/>
  <c r="G92" i="59" s="1"/>
  <c r="F357" i="51"/>
  <c r="G443" i="23" s="1"/>
  <c r="F275" i="51"/>
  <c r="F366"/>
  <c r="F334"/>
  <c r="G418" i="23" s="1"/>
  <c r="F255" i="51"/>
  <c r="G325" i="23" s="1"/>
  <c r="F327" i="51"/>
  <c r="G411" i="23" s="1"/>
  <c r="F277" i="51"/>
  <c r="G352" i="23" s="1"/>
  <c r="F240" i="51"/>
  <c r="G308" i="23" s="1"/>
  <c r="F352" i="51"/>
  <c r="G437" i="23" s="1"/>
  <c r="F320" i="51"/>
  <c r="G403" i="23" s="1"/>
  <c r="G398" i="58" s="1"/>
  <c r="F299" i="51"/>
  <c r="G378" i="23" s="1"/>
  <c r="F271" i="51"/>
  <c r="G345" i="23" s="1"/>
  <c r="F306" i="51"/>
  <c r="G388" i="23" s="1"/>
  <c r="F272" i="51"/>
  <c r="G346" i="23" s="1"/>
  <c r="F209" i="51"/>
  <c r="G266" i="23" s="1"/>
  <c r="F177" i="51"/>
  <c r="F119"/>
  <c r="G152" i="23" s="1"/>
  <c r="F87" i="51"/>
  <c r="G117" i="23" s="1"/>
  <c r="G110" i="58" s="1"/>
  <c r="F308" i="51"/>
  <c r="G391" i="23" s="1"/>
  <c r="F222" i="51"/>
  <c r="G282" i="23" s="1"/>
  <c r="F170" i="51"/>
  <c r="G213" i="23" s="1"/>
  <c r="F104" i="51"/>
  <c r="G135" i="23" s="1"/>
  <c r="F52" i="51"/>
  <c r="F364"/>
  <c r="G450" i="23" s="1"/>
  <c r="F232" i="51"/>
  <c r="G293" i="23" s="1"/>
  <c r="F180" i="51"/>
  <c r="G225" i="23" s="1"/>
  <c r="G218" i="58" s="1"/>
  <c r="F106" i="51"/>
  <c r="G137" i="23" s="1"/>
  <c r="F234" i="51"/>
  <c r="G295" i="23" s="1"/>
  <c r="F158" i="51"/>
  <c r="F92"/>
  <c r="G123" i="23" s="1"/>
  <c r="F58" i="51"/>
  <c r="G82" i="23" s="1"/>
  <c r="F11" i="51"/>
  <c r="F215"/>
  <c r="G275" i="23" s="1"/>
  <c r="F183" i="51"/>
  <c r="G235" i="23" s="1"/>
  <c r="F200" i="51"/>
  <c r="G254" i="23" s="1"/>
  <c r="F97" i="51"/>
  <c r="G128" i="23" s="1"/>
  <c r="F38" i="51"/>
  <c r="G53" i="23" s="1"/>
  <c r="F375" i="51"/>
  <c r="F323"/>
  <c r="F333"/>
  <c r="G417" i="23" s="1"/>
  <c r="F262" i="51"/>
  <c r="G334" i="23" s="1"/>
  <c r="F268" i="51"/>
  <c r="F367"/>
  <c r="F303"/>
  <c r="F270"/>
  <c r="G344" i="23" s="1"/>
  <c r="F321" i="51"/>
  <c r="G404" i="23" s="1"/>
  <c r="F250" i="51"/>
  <c r="G319" i="23" s="1"/>
  <c r="F362" i="51"/>
  <c r="G448" i="23" s="1"/>
  <c r="F330" i="51"/>
  <c r="G414" i="23" s="1"/>
  <c r="F251" i="51"/>
  <c r="G320" i="23" s="1"/>
  <c r="G313" i="58" s="1"/>
  <c r="F221" i="51"/>
  <c r="G281" i="23" s="1"/>
  <c r="F205" i="51"/>
  <c r="G262" i="23" s="1"/>
  <c r="F145" i="51"/>
  <c r="F91"/>
  <c r="G122" i="23" s="1"/>
  <c r="F187" i="51"/>
  <c r="G239" i="23" s="1"/>
  <c r="F239" i="51"/>
  <c r="G307" i="23" s="1"/>
  <c r="F363" i="51"/>
  <c r="G449" i="23" s="1"/>
  <c r="F281" i="51"/>
  <c r="F252"/>
  <c r="F309"/>
  <c r="G392" i="23" s="1"/>
  <c r="F291" i="51"/>
  <c r="F358"/>
  <c r="G444" i="23" s="1"/>
  <c r="F326" i="51"/>
  <c r="G410" i="23" s="1"/>
  <c r="F343" i="51"/>
  <c r="G428" i="23" s="1"/>
  <c r="F293" i="51"/>
  <c r="G372" i="23" s="1"/>
  <c r="F256" i="51"/>
  <c r="G326" i="23" s="1"/>
  <c r="G319" i="58" s="1"/>
  <c r="F344" i="51"/>
  <c r="G429" i="23" s="1"/>
  <c r="F312" i="51"/>
  <c r="G395" i="23" s="1"/>
  <c r="F345" i="51"/>
  <c r="G430" i="23" s="1"/>
  <c r="F300" i="51"/>
  <c r="G379" i="23" s="1"/>
  <c r="F287" i="51"/>
  <c r="G365" i="23" s="1"/>
  <c r="F374" i="51"/>
  <c r="F201"/>
  <c r="G255" i="23" s="1"/>
  <c r="F169" i="51"/>
  <c r="G212" i="23" s="1"/>
  <c r="G205" i="58" s="1"/>
  <c r="F143" i="51"/>
  <c r="G180" i="23" s="1"/>
  <c r="F111" i="51"/>
  <c r="G144" i="23" s="1"/>
  <c r="F79" i="51"/>
  <c r="G109" i="23" s="1"/>
  <c r="D25" i="69" s="1"/>
  <c r="F238" i="51"/>
  <c r="G306" i="23" s="1"/>
  <c r="F186" i="51"/>
  <c r="G238" i="23" s="1"/>
  <c r="F120" i="51"/>
  <c r="F40"/>
  <c r="G55" i="23" s="1"/>
  <c r="F332" i="51"/>
  <c r="G416" i="23" s="1"/>
  <c r="G411" i="58" s="1"/>
  <c r="F196" i="51"/>
  <c r="G249" i="23" s="1"/>
  <c r="F122" i="51"/>
  <c r="G156" i="23" s="1"/>
  <c r="F23" i="51"/>
  <c r="G37" i="23" s="1"/>
  <c r="F274" i="51"/>
  <c r="G348" i="23" s="1"/>
  <c r="F174" i="51"/>
  <c r="G217" i="23" s="1"/>
  <c r="F108" i="51"/>
  <c r="G139" i="23" s="1"/>
  <c r="F60" i="51"/>
  <c r="G85" i="23" s="1"/>
  <c r="F13" i="51"/>
  <c r="G26" i="23" s="1"/>
  <c r="G19" i="58" s="1"/>
  <c r="F241" i="51"/>
  <c r="G309" i="23" s="1"/>
  <c r="F207" i="51"/>
  <c r="G264" i="23" s="1"/>
  <c r="F175" i="51"/>
  <c r="G218" i="23" s="1"/>
  <c r="D43" i="69" s="1"/>
  <c r="F42" i="51"/>
  <c r="G58" i="23" s="1"/>
  <c r="F18" i="51"/>
  <c r="G31" i="23" s="1"/>
  <c r="F228" i="51"/>
  <c r="G288" i="23" s="1"/>
  <c r="F47" i="51"/>
  <c r="G63" i="23" s="1"/>
  <c r="G19" i="59" s="1"/>
  <c r="F225" i="51"/>
  <c r="G285" i="23" s="1"/>
  <c r="G278" i="58" s="1"/>
  <c r="F65" i="51"/>
  <c r="F24"/>
  <c r="G38" i="23" s="1"/>
  <c r="F339" i="51"/>
  <c r="F349"/>
  <c r="G434" i="23" s="1"/>
  <c r="F292" i="51"/>
  <c r="F319"/>
  <c r="G402" i="23" s="1"/>
  <c r="F269" i="51"/>
  <c r="G343" i="23" s="1"/>
  <c r="F294" i="51"/>
  <c r="F43"/>
  <c r="G59" i="23" s="1"/>
  <c r="F157" i="51"/>
  <c r="G198" i="23" s="1"/>
  <c r="F113" i="51"/>
  <c r="G146" i="23" s="1"/>
  <c r="F107" i="51"/>
  <c r="G138" i="23" s="1"/>
  <c r="F150" i="51"/>
  <c r="G188" i="23" s="1"/>
  <c r="F155" i="51"/>
  <c r="G196" i="23" s="1"/>
  <c r="F315" i="51"/>
  <c r="G398" i="23" s="1"/>
  <c r="F325" i="51"/>
  <c r="G409" i="23" s="1"/>
  <c r="G404" i="58" s="1"/>
  <c r="F254" i="51"/>
  <c r="G324" i="23" s="1"/>
  <c r="F350" i="51"/>
  <c r="G435" i="23" s="1"/>
  <c r="F318" i="51"/>
  <c r="G401" i="23" s="1"/>
  <c r="F371" i="51"/>
  <c r="F359"/>
  <c r="G445" i="23" s="1"/>
  <c r="F368" i="51"/>
  <c r="F336"/>
  <c r="G420" i="23" s="1"/>
  <c r="F304" i="51"/>
  <c r="G386" i="23" s="1"/>
  <c r="F373" i="51"/>
  <c r="F361"/>
  <c r="G447" i="23" s="1"/>
  <c r="F337" i="51"/>
  <c r="G421" i="23" s="1"/>
  <c r="F313" i="51"/>
  <c r="G396" i="23" s="1"/>
  <c r="F266" i="51"/>
  <c r="F242"/>
  <c r="F288"/>
  <c r="G367" i="23" s="1"/>
  <c r="F243" i="51"/>
  <c r="G312" i="23" s="1"/>
  <c r="F193" i="51"/>
  <c r="G246" i="23" s="1"/>
  <c r="F161" i="51"/>
  <c r="G203" i="23" s="1"/>
  <c r="F135" i="51"/>
  <c r="F103"/>
  <c r="G134" i="23" s="1"/>
  <c r="F71" i="51"/>
  <c r="G101" i="23" s="1"/>
  <c r="F202" i="51"/>
  <c r="G256" i="23" s="1"/>
  <c r="F149" i="51"/>
  <c r="F136"/>
  <c r="G172" i="23" s="1"/>
  <c r="F72" i="51"/>
  <c r="G102" i="23" s="1"/>
  <c r="D19" i="69" s="1"/>
  <c r="F212" i="51"/>
  <c r="G271" i="23" s="1"/>
  <c r="F138" i="51"/>
  <c r="G174" i="23" s="1"/>
  <c r="F74" i="51"/>
  <c r="G104" i="23" s="1"/>
  <c r="D20" i="69" s="1"/>
  <c r="F62" i="51"/>
  <c r="G87" i="23" s="1"/>
  <c r="F190" i="51"/>
  <c r="G243" i="23" s="1"/>
  <c r="F124" i="51"/>
  <c r="G158" i="23" s="1"/>
  <c r="F199" i="51"/>
  <c r="F167"/>
  <c r="G210" i="23" s="1"/>
  <c r="B89" i="66" s="1"/>
  <c r="F20" i="51"/>
  <c r="F168"/>
  <c r="G211" i="23" s="1"/>
  <c r="F365" i="51"/>
  <c r="G451" i="23" s="1"/>
  <c r="F34" i="51"/>
  <c r="G49" i="23" s="1"/>
  <c r="D7" i="69" s="1"/>
  <c r="F50" i="51"/>
  <c r="G69" i="23" s="1"/>
  <c r="F206" i="51"/>
  <c r="G263" i="23" s="1"/>
  <c r="F76" i="51"/>
  <c r="G106" i="23" s="1"/>
  <c r="D22" i="69" s="1"/>
  <c r="F29" i="51"/>
  <c r="G44" i="23" s="1"/>
  <c r="D6" i="69" s="1"/>
  <c r="F9" i="51"/>
  <c r="G21" i="23" s="1"/>
  <c r="F191" i="51"/>
  <c r="G244" i="23" s="1"/>
  <c r="F36" i="51"/>
  <c r="G51" i="23" s="1"/>
  <c r="F184" i="51"/>
  <c r="G236" i="23" s="1"/>
  <c r="F142" i="51"/>
  <c r="G179" i="23" s="1"/>
  <c r="F78" i="51"/>
  <c r="G108" i="23" s="1"/>
  <c r="F54" i="51"/>
  <c r="G74" i="23" s="1"/>
  <c r="G67" i="58" s="1"/>
  <c r="F355" i="51"/>
  <c r="G441" i="23" s="1"/>
  <c r="G83" i="59" s="1"/>
  <c r="H83" s="1"/>
  <c r="F244" i="51"/>
  <c r="G313" i="23" s="1"/>
  <c r="F346" i="51"/>
  <c r="G431" i="23" s="1"/>
  <c r="F301" i="51"/>
  <c r="F210"/>
  <c r="F80"/>
  <c r="G110" i="23" s="1"/>
  <c r="F25" i="51"/>
  <c r="G39" i="23" s="1"/>
  <c r="F156" i="51"/>
  <c r="G197" i="23" s="1"/>
  <c r="F82" i="51"/>
  <c r="G112" i="23" s="1"/>
  <c r="F132" i="51"/>
  <c r="G167" i="23" s="1"/>
  <c r="F59" i="51"/>
  <c r="F12"/>
  <c r="G25" i="23" s="1"/>
  <c r="F85" i="51"/>
  <c r="G115" i="23" s="1"/>
  <c r="D24" i="69" s="1"/>
  <c r="F17" i="51"/>
  <c r="G30" i="23" s="1"/>
  <c r="F118" i="51"/>
  <c r="G151" i="23" s="1"/>
  <c r="F55" i="51"/>
  <c r="G76" i="23" s="1"/>
  <c r="G69" i="58" s="1"/>
  <c r="F27" i="51"/>
  <c r="G42" i="23" s="1"/>
  <c r="F32" i="51"/>
  <c r="G47" i="23" s="1"/>
  <c r="F73" i="51"/>
  <c r="G103" i="23" s="1"/>
  <c r="F283" i="51"/>
  <c r="G360" i="23" s="1"/>
  <c r="F285" i="51"/>
  <c r="F354"/>
  <c r="G440" i="23" s="1"/>
  <c r="F41" i="51"/>
  <c r="F162"/>
  <c r="F324"/>
  <c r="G408" i="23" s="1"/>
  <c r="F214" i="51"/>
  <c r="F84"/>
  <c r="G114" i="23" s="1"/>
  <c r="F37" i="51"/>
  <c r="G52" i="23" s="1"/>
  <c r="F219" i="51"/>
  <c r="G279" i="23" s="1"/>
  <c r="F109" i="51"/>
  <c r="G141" i="23" s="1"/>
  <c r="F348" i="51"/>
  <c r="G433" i="23" s="1"/>
  <c r="F192" i="51"/>
  <c r="G245" i="23" s="1"/>
  <c r="G238" i="58" s="1"/>
  <c r="F94" i="51"/>
  <c r="G125" i="23" s="1"/>
  <c r="F56" i="51"/>
  <c r="G80" i="23" s="1"/>
  <c r="F30" i="51"/>
  <c r="G45" i="23" s="1"/>
  <c r="F121" i="51"/>
  <c r="G155" i="23" s="1"/>
  <c r="F273" i="51"/>
  <c r="G347" i="23" s="1"/>
  <c r="F237" i="51"/>
  <c r="G305" i="23" s="1"/>
  <c r="F245" i="51"/>
  <c r="G314" i="23" s="1"/>
  <c r="F112" i="51"/>
  <c r="G145" i="23" s="1"/>
  <c r="G138" i="58" s="1"/>
  <c r="F188" i="51"/>
  <c r="G240" i="23" s="1"/>
  <c r="F114" i="51"/>
  <c r="G147" i="23" s="1"/>
  <c r="F247" i="51"/>
  <c r="G316" i="23" s="1"/>
  <c r="F166" i="51"/>
  <c r="G209" i="23" s="1"/>
  <c r="F64" i="51"/>
  <c r="G90" i="23" s="1"/>
  <c r="F133" i="51"/>
  <c r="G168" i="23" s="1"/>
  <c r="F69" i="51"/>
  <c r="F220"/>
  <c r="G280" i="23" s="1"/>
  <c r="G273" i="58" s="1"/>
  <c r="F134" i="51"/>
  <c r="G169" i="23" s="1"/>
  <c r="F70" i="51"/>
  <c r="G100" i="23" s="1"/>
  <c r="F57" i="51"/>
  <c r="G81" i="23" s="1"/>
  <c r="F203" i="51"/>
  <c r="G257" i="23" s="1"/>
  <c r="F284" i="51"/>
  <c r="G361" i="23" s="1"/>
  <c r="F279" i="51"/>
  <c r="G354" i="23" s="1"/>
  <c r="F322" i="51"/>
  <c r="G405" i="23" s="1"/>
  <c r="F249" i="51"/>
  <c r="G318" i="23" s="1"/>
  <c r="G311" i="58" s="1"/>
  <c r="F95" i="51"/>
  <c r="G126" i="23" s="1"/>
  <c r="D31" i="69" s="1"/>
  <c r="F340" i="51"/>
  <c r="F88"/>
  <c r="G118" i="23" s="1"/>
  <c r="F33" i="51"/>
  <c r="G48" i="23" s="1"/>
  <c r="F164" i="51"/>
  <c r="G207" i="23" s="1"/>
  <c r="G41" i="59" s="1"/>
  <c r="F90" i="51"/>
  <c r="F218"/>
  <c r="G278" i="23" s="1"/>
  <c r="F140" i="51"/>
  <c r="G176" i="23" s="1"/>
  <c r="D30" i="69" s="1"/>
  <c r="F159" i="51"/>
  <c r="G201" i="23" s="1"/>
  <c r="F110" i="51"/>
  <c r="F19"/>
  <c r="G32" i="23" s="1"/>
  <c r="F89" i="51"/>
  <c r="G119" i="23" s="1"/>
  <c r="D34" i="69" s="1"/>
  <c r="F286" i="51"/>
  <c r="G364" i="23" s="1"/>
  <c r="G368" s="1"/>
  <c r="F144" i="51"/>
  <c r="G181" i="23" s="1"/>
  <c r="F146" i="51"/>
  <c r="F356"/>
  <c r="G442" i="23" s="1"/>
  <c r="G437" i="58" s="1"/>
  <c r="F198" i="51"/>
  <c r="G251" i="23" s="1"/>
  <c r="F68" i="51"/>
  <c r="F21"/>
  <c r="G35" i="23" s="1"/>
  <c r="F227" i="51"/>
  <c r="G287" i="23" s="1"/>
  <c r="F117" i="51"/>
  <c r="G150" i="23" s="1"/>
  <c r="F28" i="51"/>
  <c r="G43" i="23" s="1"/>
  <c r="D13" i="69" s="1"/>
  <c r="F176" i="51"/>
  <c r="G219" i="23" s="1"/>
  <c r="D41" i="69" s="1"/>
  <c r="F86" i="51"/>
  <c r="G116" i="23" s="1"/>
  <c r="F14" i="51"/>
  <c r="G27" i="23" s="1"/>
  <c r="F137" i="51"/>
  <c r="G173" i="23" s="1"/>
  <c r="F335" i="51"/>
  <c r="G419" i="23" s="1"/>
  <c r="F217" i="51"/>
  <c r="G277" i="23" s="1"/>
  <c r="F96" i="51"/>
  <c r="G127" i="23" s="1"/>
  <c r="F282" i="51"/>
  <c r="G359" i="23" s="1"/>
  <c r="F224" i="51"/>
  <c r="G284" i="23" s="1"/>
  <c r="F172" i="51"/>
  <c r="G215" i="23" s="1"/>
  <c r="D39" i="69" s="1"/>
  <c r="F98" i="51"/>
  <c r="G129" i="23" s="1"/>
  <c r="F226" i="51"/>
  <c r="G286" i="23" s="1"/>
  <c r="F141" i="51"/>
  <c r="F77"/>
  <c r="G107" i="23" s="1"/>
  <c r="D23" i="69" s="1"/>
  <c r="F126" i="51"/>
  <c r="G160" i="23" s="1"/>
  <c r="F35" i="51"/>
  <c r="G50" i="23" s="1"/>
  <c r="F49" i="51"/>
  <c r="G68" i="23" s="1"/>
  <c r="F248" i="51"/>
  <c r="G317" i="23" s="1"/>
  <c r="G310" i="58" s="1"/>
  <c r="F290" i="51"/>
  <c r="G369" i="23" s="1"/>
  <c r="F230" i="51"/>
  <c r="F178"/>
  <c r="G223" i="23" s="1"/>
  <c r="F16" i="51"/>
  <c r="G29" i="23" s="1"/>
  <c r="F151" i="51"/>
  <c r="G189" i="23" s="1"/>
  <c r="F6" i="51"/>
  <c r="F153"/>
  <c r="F100"/>
  <c r="G131" i="23" s="1"/>
  <c r="G124" i="58" s="1"/>
  <c r="F8" i="51"/>
  <c r="G20" i="23" s="1"/>
  <c r="F101" i="51"/>
  <c r="G132" i="23" s="1"/>
  <c r="F316" i="51"/>
  <c r="G399" i="23" s="1"/>
  <c r="F208" i="51"/>
  <c r="G265" i="23" s="1"/>
  <c r="F160" i="51"/>
  <c r="G202" i="23" s="1"/>
  <c r="G40" i="59" s="1"/>
  <c r="F102" i="51"/>
  <c r="G133" i="23" s="1"/>
  <c r="D33" i="69" s="1"/>
  <c r="F53" i="51"/>
  <c r="G73" i="23" s="1"/>
  <c r="F105" i="51"/>
  <c r="G136" i="23" s="1"/>
  <c r="G129" i="58" s="1"/>
  <c r="D247" i="51"/>
  <c r="E316" i="23" s="1"/>
  <c r="D133" i="51"/>
  <c r="E168" i="23" s="1"/>
  <c r="D117" i="51"/>
  <c r="E150" i="23" s="1"/>
  <c r="D101" i="51"/>
  <c r="E132" i="23" s="1"/>
  <c r="D85" i="51"/>
  <c r="E115" i="23" s="1"/>
  <c r="D69" i="51"/>
  <c r="D30"/>
  <c r="E45" i="23" s="1"/>
  <c r="D14" i="51"/>
  <c r="E27" i="23" s="1"/>
  <c r="D83" i="51"/>
  <c r="E113" i="23" s="1"/>
  <c r="D67" i="51"/>
  <c r="D44"/>
  <c r="E60" i="23" s="1"/>
  <c r="D235" i="51"/>
  <c r="D219"/>
  <c r="E279" i="23" s="1"/>
  <c r="D215" i="51"/>
  <c r="E275" i="23" s="1"/>
  <c r="D199" i="51"/>
  <c r="D183"/>
  <c r="E235" i="23" s="1"/>
  <c r="D167" i="51"/>
  <c r="E210" i="23" s="1"/>
  <c r="D36" i="51"/>
  <c r="E51" i="23" s="1"/>
  <c r="D15" i="51"/>
  <c r="E28" i="23" s="1"/>
  <c r="D147" i="51"/>
  <c r="D99"/>
  <c r="E130" i="23" s="1"/>
  <c r="D22" i="51"/>
  <c r="E36" i="23" s="1"/>
  <c r="D115" i="51"/>
  <c r="E148" i="23" s="1"/>
  <c r="D61" i="51"/>
  <c r="E86" i="23" s="1"/>
  <c r="D18" i="51"/>
  <c r="E31" i="23" s="1"/>
  <c r="D131" i="51"/>
  <c r="E166" i="23" s="1"/>
  <c r="D152" i="51"/>
  <c r="E190" i="23" s="1"/>
  <c r="D175" i="51"/>
  <c r="E218" i="23" s="1"/>
  <c r="D47" i="51"/>
  <c r="E63" i="23" s="1"/>
  <c r="D125" i="51"/>
  <c r="E159" i="23" s="1"/>
  <c r="D43" i="51"/>
  <c r="E59" i="23" s="1"/>
  <c r="D205" i="51"/>
  <c r="E262" i="23" s="1"/>
  <c r="D17" i="51"/>
  <c r="E30" i="23" s="1"/>
  <c r="D317" i="51"/>
  <c r="E400" i="23" s="1"/>
  <c r="D327" i="51"/>
  <c r="E411" i="23" s="1"/>
  <c r="D298" i="51"/>
  <c r="E377" i="23" s="1"/>
  <c r="D256" i="51"/>
  <c r="E326" i="23" s="1"/>
  <c r="D352" i="51"/>
  <c r="E437" i="23" s="1"/>
  <c r="D320" i="51"/>
  <c r="E403" i="23" s="1"/>
  <c r="D373" i="51"/>
  <c r="D361"/>
  <c r="E447" i="23" s="1"/>
  <c r="D338" i="51"/>
  <c r="E422" i="23" s="1"/>
  <c r="D306" i="51"/>
  <c r="E388" i="23" s="1"/>
  <c r="D375" i="51"/>
  <c r="D363"/>
  <c r="E449" i="23" s="1"/>
  <c r="D339" i="51"/>
  <c r="D315"/>
  <c r="E398" i="23" s="1"/>
  <c r="D244" i="51"/>
  <c r="E313" i="23" s="1"/>
  <c r="D290" i="51"/>
  <c r="E369" i="23" s="1"/>
  <c r="D245" i="51"/>
  <c r="E314" i="23" s="1"/>
  <c r="D195" i="51"/>
  <c r="E248" i="23" s="1"/>
  <c r="D163" i="51"/>
  <c r="E206" i="23" s="1"/>
  <c r="D150" i="51"/>
  <c r="E188" i="23" s="1"/>
  <c r="D137" i="51"/>
  <c r="E173" i="23" s="1"/>
  <c r="D191" i="51"/>
  <c r="E244" i="23" s="1"/>
  <c r="D157" i="51"/>
  <c r="E198" i="23" s="1"/>
  <c r="D77" i="51"/>
  <c r="E107" i="23" s="1"/>
  <c r="D141" i="51"/>
  <c r="D139"/>
  <c r="E175" i="23" s="1"/>
  <c r="D357" i="51"/>
  <c r="E443" i="23" s="1"/>
  <c r="D275" i="51"/>
  <c r="D246"/>
  <c r="E315" i="23" s="1"/>
  <c r="D367" i="51"/>
  <c r="D303"/>
  <c r="E385" i="23" s="1"/>
  <c r="E380" i="58" s="1"/>
  <c r="D285" i="51"/>
  <c r="D286"/>
  <c r="D337"/>
  <c r="E421" i="23" s="1"/>
  <c r="D287" i="51"/>
  <c r="E365" i="23" s="1"/>
  <c r="D250" i="51"/>
  <c r="E319" i="23" s="1"/>
  <c r="D288" i="51"/>
  <c r="E367" i="23" s="1"/>
  <c r="D281" i="51"/>
  <c r="D348"/>
  <c r="E433" i="23" s="1"/>
  <c r="D239" i="51"/>
  <c r="E307" i="23" s="1"/>
  <c r="D342" i="51"/>
  <c r="E427" i="23" s="1"/>
  <c r="D232" i="51"/>
  <c r="E293" i="23" s="1"/>
  <c r="D180" i="51"/>
  <c r="E225" i="23" s="1"/>
  <c r="D114" i="51"/>
  <c r="E147" i="23" s="1"/>
  <c r="D23" i="51"/>
  <c r="E37" i="23" s="1"/>
  <c r="D190" i="51"/>
  <c r="E243" i="23" s="1"/>
  <c r="D153" i="51"/>
  <c r="D116"/>
  <c r="E149" i="23" s="1"/>
  <c r="D8" i="51"/>
  <c r="E20" i="23" s="1"/>
  <c r="D255" i="51"/>
  <c r="E325" i="23" s="1"/>
  <c r="D168" i="51"/>
  <c r="E211" i="23" s="1"/>
  <c r="D102" i="51"/>
  <c r="E133" i="23" s="1"/>
  <c r="D57" i="51"/>
  <c r="E81" i="23" s="1"/>
  <c r="D19" i="51"/>
  <c r="E32" i="23" s="1"/>
  <c r="D135" i="51"/>
  <c r="D103"/>
  <c r="E134" i="23" s="1"/>
  <c r="D71" i="51"/>
  <c r="E101" i="23" s="1"/>
  <c r="D26" i="51"/>
  <c r="D222"/>
  <c r="E282" i="23" s="1"/>
  <c r="D210" i="51"/>
  <c r="D42"/>
  <c r="E58" i="23" s="1"/>
  <c r="D46" i="51"/>
  <c r="E62" i="23" s="1"/>
  <c r="D91" i="51"/>
  <c r="E122" i="23" s="1"/>
  <c r="D333" i="51"/>
  <c r="E417" i="23" s="1"/>
  <c r="D343" i="51"/>
  <c r="E428" i="23" s="1"/>
  <c r="D344" i="51"/>
  <c r="E429" i="23" s="1"/>
  <c r="D312" i="51"/>
  <c r="E395" i="23" s="1"/>
  <c r="D299" i="51"/>
  <c r="E378" i="23" s="1"/>
  <c r="D265" i="51"/>
  <c r="D313"/>
  <c r="E396" i="23" s="1"/>
  <c r="D300" i="51"/>
  <c r="E379" i="23" s="1"/>
  <c r="D362" i="51"/>
  <c r="E448" i="23" s="1"/>
  <c r="D330" i="51"/>
  <c r="E414" i="23" s="1"/>
  <c r="D331" i="51"/>
  <c r="E415" i="23" s="1"/>
  <c r="D316" i="51"/>
  <c r="E399" i="23" s="1"/>
  <c r="D282" i="51"/>
  <c r="E359" i="23" s="1"/>
  <c r="D187" i="51"/>
  <c r="E239" i="23" s="1"/>
  <c r="D155" i="51"/>
  <c r="E196" i="23" s="1"/>
  <c r="D129" i="51"/>
  <c r="E164" i="23" s="1"/>
  <c r="D97" i="51"/>
  <c r="E128" i="23" s="1"/>
  <c r="D65" i="51"/>
  <c r="D263"/>
  <c r="E335" i="23" s="1"/>
  <c r="D156" i="51"/>
  <c r="E197" i="23" s="1"/>
  <c r="D90" i="51"/>
  <c r="D218"/>
  <c r="E278" i="23" s="1"/>
  <c r="D166" i="51"/>
  <c r="E209" i="23" s="1"/>
  <c r="D92" i="51"/>
  <c r="E123" i="23" s="1"/>
  <c r="D58" i="51"/>
  <c r="E82" i="23" s="1"/>
  <c r="D21" i="51"/>
  <c r="E35" i="23" s="1"/>
  <c r="D9" i="51"/>
  <c r="E21" i="23" s="1"/>
  <c r="D220" i="51"/>
  <c r="E280" i="23" s="1"/>
  <c r="D208" i="51"/>
  <c r="E265" i="23" s="1"/>
  <c r="D142" i="51"/>
  <c r="E179" i="23" s="1"/>
  <c r="D78" i="51"/>
  <c r="E108" i="23" s="1"/>
  <c r="D193" i="51"/>
  <c r="E246" i="23" s="1"/>
  <c r="D161" i="51"/>
  <c r="E203" i="23" s="1"/>
  <c r="D268" i="51"/>
  <c r="E342" i="23" s="1"/>
  <c r="D186" i="51"/>
  <c r="E238" i="23" s="1"/>
  <c r="D207" i="51"/>
  <c r="E264" i="23" s="1"/>
  <c r="D189" i="51"/>
  <c r="D93"/>
  <c r="E124" i="23" s="1"/>
  <c r="D309" i="51"/>
  <c r="E392" i="23" s="1"/>
  <c r="D291" i="51"/>
  <c r="D262"/>
  <c r="E334" i="23" s="1"/>
  <c r="D371" i="51"/>
  <c r="D319"/>
  <c r="E402" i="23" s="1"/>
  <c r="D248" i="51"/>
  <c r="E317" i="23" s="1"/>
  <c r="D278" i="51"/>
  <c r="E353" i="23" s="1"/>
  <c r="D353" i="51"/>
  <c r="D266"/>
  <c r="D374"/>
  <c r="D280"/>
  <c r="E355" i="23" s="1"/>
  <c r="D355" i="51"/>
  <c r="E441" i="23" s="1"/>
  <c r="D307" i="51"/>
  <c r="D260"/>
  <c r="E332" i="23" s="1"/>
  <c r="D340" i="51"/>
  <c r="D261"/>
  <c r="E333" i="23" s="1"/>
  <c r="D231" i="51"/>
  <c r="E292" i="23" s="1"/>
  <c r="D227" i="51"/>
  <c r="E287" i="23" s="1"/>
  <c r="D225" i="51"/>
  <c r="E285" i="23" s="1"/>
  <c r="D38" i="51"/>
  <c r="E53" i="23" s="1"/>
  <c r="D123" i="51"/>
  <c r="E157" i="23" s="1"/>
  <c r="D349" i="51"/>
  <c r="E434" i="23" s="1"/>
  <c r="D359" i="51"/>
  <c r="E445" i="23" s="1"/>
  <c r="D277" i="51"/>
  <c r="E352" i="23" s="1"/>
  <c r="D368" i="51"/>
  <c r="D336"/>
  <c r="E420" i="23" s="1"/>
  <c r="D304" i="51"/>
  <c r="E386" i="23" s="1"/>
  <c r="D257" i="51"/>
  <c r="E327" i="23" s="1"/>
  <c r="D329" i="51"/>
  <c r="E413" i="23" s="1"/>
  <c r="D279" i="51"/>
  <c r="E354" i="23" s="1"/>
  <c r="D242" i="51"/>
  <c r="D354"/>
  <c r="E440" i="23" s="1"/>
  <c r="D322" i="51"/>
  <c r="E405" i="23" s="1"/>
  <c r="D301" i="51"/>
  <c r="D273"/>
  <c r="E347" i="23" s="1"/>
  <c r="D308" i="51"/>
  <c r="E391" i="23" s="1"/>
  <c r="D274" i="51"/>
  <c r="E348" i="23" s="1"/>
  <c r="D211" i="51"/>
  <c r="D179"/>
  <c r="E224" i="23" s="1"/>
  <c r="D121" i="51"/>
  <c r="E155" i="23" s="1"/>
  <c r="D89" i="51"/>
  <c r="E119" i="23" s="1"/>
  <c r="D224" i="51"/>
  <c r="E284" i="23" s="1"/>
  <c r="D172" i="51"/>
  <c r="E215" i="23" s="1"/>
  <c r="D106" i="51"/>
  <c r="E137" i="23" s="1"/>
  <c r="D234" i="51"/>
  <c r="E295" i="23" s="1"/>
  <c r="D182" i="51"/>
  <c r="D108"/>
  <c r="E139" i="23" s="1"/>
  <c r="D60" i="51"/>
  <c r="E85" i="23" s="1"/>
  <c r="D37" i="51"/>
  <c r="E52" i="23" s="1"/>
  <c r="D11" i="51"/>
  <c r="D358"/>
  <c r="E444" i="23" s="1"/>
  <c r="D236" i="51"/>
  <c r="E304" i="23" s="1"/>
  <c r="D160" i="51"/>
  <c r="E202" i="23" s="1"/>
  <c r="D94" i="51"/>
  <c r="E125" i="23" s="1"/>
  <c r="D185" i="51"/>
  <c r="E237" i="23" s="1"/>
  <c r="D243" i="51"/>
  <c r="E312" i="23" s="1"/>
  <c r="D202" i="51"/>
  <c r="E256" i="23" s="1"/>
  <c r="D159" i="51"/>
  <c r="E201" i="23" s="1"/>
  <c r="D109" i="51"/>
  <c r="E141" i="23" s="1"/>
  <c r="D75" i="51"/>
  <c r="E105" i="23" s="1"/>
  <c r="D325" i="51"/>
  <c r="E409" i="23" s="1"/>
  <c r="D335" i="51"/>
  <c r="E419" i="23" s="1"/>
  <c r="D264" i="51"/>
  <c r="D270"/>
  <c r="E344" i="23" s="1"/>
  <c r="D305" i="51"/>
  <c r="E387" i="23" s="1"/>
  <c r="D272" i="51"/>
  <c r="E346" i="23" s="1"/>
  <c r="D173" i="51"/>
  <c r="E216" i="23" s="1"/>
  <c r="D20" i="51"/>
  <c r="D24"/>
  <c r="E38" i="23" s="1"/>
  <c r="D365" i="51"/>
  <c r="D283"/>
  <c r="E360" i="23" s="1"/>
  <c r="D254" i="51"/>
  <c r="E324" i="23" s="1"/>
  <c r="D311" i="51"/>
  <c r="E394" i="23" s="1"/>
  <c r="D293" i="51"/>
  <c r="E372" i="23" s="1"/>
  <c r="D240" i="51"/>
  <c r="E308" i="23" s="1"/>
  <c r="D360" i="51"/>
  <c r="E446" i="23" s="1"/>
  <c r="D328" i="51"/>
  <c r="E412" i="23" s="1"/>
  <c r="D345" i="51"/>
  <c r="E430" i="23" s="1"/>
  <c r="D295" i="51"/>
  <c r="D258"/>
  <c r="D346"/>
  <c r="E431" i="23" s="1"/>
  <c r="D314" i="51"/>
  <c r="E397" i="23" s="1"/>
  <c r="D347" i="51"/>
  <c r="E432" i="23" s="1"/>
  <c r="D289" i="51"/>
  <c r="D203"/>
  <c r="E257" i="23" s="1"/>
  <c r="D171" i="51"/>
  <c r="E214" i="23" s="1"/>
  <c r="D145" i="51"/>
  <c r="D113"/>
  <c r="E146" i="23" s="1"/>
  <c r="D81" i="51"/>
  <c r="E111" i="23" s="1"/>
  <c r="D32" i="51"/>
  <c r="E47" i="23" s="1"/>
  <c r="D216" i="51"/>
  <c r="E276" i="23" s="1"/>
  <c r="D188" i="51"/>
  <c r="E240" i="23" s="1"/>
  <c r="D122" i="51"/>
  <c r="E156" i="23" s="1"/>
  <c r="D31" i="51"/>
  <c r="E46" i="23" s="1"/>
  <c r="D284" i="51"/>
  <c r="E361" i="23" s="1"/>
  <c r="D198" i="51"/>
  <c r="E251" i="23" s="1"/>
  <c r="D124" i="51"/>
  <c r="E158" i="23" s="1"/>
  <c r="D13" i="51"/>
  <c r="E26" i="23" s="1"/>
  <c r="D326" i="51"/>
  <c r="E410" i="23" s="1"/>
  <c r="D176" i="51"/>
  <c r="E219" i="23" s="1"/>
  <c r="D110" i="51"/>
  <c r="D54"/>
  <c r="E74" i="23" s="1"/>
  <c r="D27" i="51"/>
  <c r="E42" i="23" s="1"/>
  <c r="D209" i="51"/>
  <c r="E266" i="23" s="1"/>
  <c r="D177" i="51"/>
  <c r="D34"/>
  <c r="E49" i="23" s="1"/>
  <c r="D350" i="51"/>
  <c r="E435" i="23" s="1"/>
  <c r="D249" i="51"/>
  <c r="E318" i="23" s="1"/>
  <c r="D230" i="51"/>
  <c r="D341"/>
  <c r="E426" i="23" s="1"/>
  <c r="D253" i="51"/>
  <c r="E323" i="23" s="1"/>
  <c r="D223" i="51"/>
  <c r="E283" i="23" s="1"/>
  <c r="D105" i="51"/>
  <c r="E136" i="23" s="1"/>
  <c r="D292" i="51"/>
  <c r="D204"/>
  <c r="D151"/>
  <c r="E189" i="23" s="1"/>
  <c r="D74" i="51"/>
  <c r="E104" i="23" s="1"/>
  <c r="D76" i="51"/>
  <c r="E106" i="23" s="1"/>
  <c r="D126" i="51"/>
  <c r="E160" i="23" s="1"/>
  <c r="D56" i="51"/>
  <c r="E80" i="23" s="1"/>
  <c r="D169" i="51"/>
  <c r="E212" i="23" s="1"/>
  <c r="D318" i="51"/>
  <c r="E401" i="23" s="1"/>
  <c r="D162" i="51"/>
  <c r="D128"/>
  <c r="E163" i="23" s="1"/>
  <c r="D297" i="51"/>
  <c r="E376" i="23" s="1"/>
  <c r="D269" i="51"/>
  <c r="E343" i="23" s="1"/>
  <c r="D271" i="51"/>
  <c r="E345" i="23" s="1"/>
  <c r="D39" i="51"/>
  <c r="E54" i="23" s="1"/>
  <c r="D310" i="51"/>
  <c r="E393" i="23" s="1"/>
  <c r="D130" i="51"/>
  <c r="E165" i="23" s="1"/>
  <c r="D206" i="51"/>
  <c r="E263" i="23" s="1"/>
  <c r="D132" i="51"/>
  <c r="E167" i="23" s="1"/>
  <c r="D59" i="51"/>
  <c r="D10"/>
  <c r="E22" i="23" s="1"/>
  <c r="D184" i="51"/>
  <c r="E236" i="23" s="1"/>
  <c r="D35" i="51"/>
  <c r="E50" i="23" s="1"/>
  <c r="D237" i="51"/>
  <c r="E305" i="23" s="1"/>
  <c r="D217" i="51"/>
  <c r="E277" i="23" s="1"/>
  <c r="D127" i="51"/>
  <c r="D63"/>
  <c r="E88" i="23" s="1"/>
  <c r="D41" i="51"/>
  <c r="D238"/>
  <c r="E306" i="23" s="1"/>
  <c r="D104" i="51"/>
  <c r="E135" i="23" s="1"/>
  <c r="D40" i="51"/>
  <c r="E55" i="23" s="1"/>
  <c r="D16" i="51"/>
  <c r="E29" i="23" s="1"/>
  <c r="D197" i="51"/>
  <c r="E250" i="23" s="1"/>
  <c r="D369" i="51"/>
  <c r="E455" i="23" s="1"/>
  <c r="D212" i="51"/>
  <c r="E271" i="23" s="1"/>
  <c r="D82" i="51"/>
  <c r="E112" i="23" s="1"/>
  <c r="D334" i="51"/>
  <c r="E418" i="23" s="1"/>
  <c r="D158" i="51"/>
  <c r="D84"/>
  <c r="E114" i="23" s="1"/>
  <c r="D12" i="51"/>
  <c r="E25" i="23" s="1"/>
  <c r="D241" i="51"/>
  <c r="E309" i="23" s="1"/>
  <c r="D134" i="51"/>
  <c r="E169" i="23" s="1"/>
  <c r="D87" i="51"/>
  <c r="E117" i="23" s="1"/>
  <c r="D144" i="51"/>
  <c r="E181" i="23" s="1"/>
  <c r="D80" i="51"/>
  <c r="E110" i="23" s="1"/>
  <c r="D323" i="51"/>
  <c r="D356"/>
  <c r="E442" i="23" s="1"/>
  <c r="D48" i="51"/>
  <c r="E64" i="23" s="1"/>
  <c r="D164" i="51"/>
  <c r="E207" i="23" s="1"/>
  <c r="D64" i="51"/>
  <c r="E90" i="23" s="1"/>
  <c r="D86" i="51"/>
  <c r="E116" i="23" s="1"/>
  <c r="D221" i="51"/>
  <c r="E281" i="23" s="1"/>
  <c r="D111" i="51"/>
  <c r="E144" i="23" s="1"/>
  <c r="D194" i="51"/>
  <c r="E247" i="23" s="1"/>
  <c r="D149" i="51"/>
  <c r="E187" i="23" s="1"/>
  <c r="D120" i="51"/>
  <c r="D28"/>
  <c r="E43" i="23" s="1"/>
  <c r="D233" i="51"/>
  <c r="E294" i="23" s="1"/>
  <c r="D372" i="51"/>
  <c r="D364"/>
  <c r="E450" i="23" s="1"/>
  <c r="D73" i="51"/>
  <c r="E103" i="23" s="1"/>
  <c r="D49" i="51"/>
  <c r="E68" i="23" s="1"/>
  <c r="D251" i="51"/>
  <c r="E320" i="23" s="1"/>
  <c r="D138" i="51"/>
  <c r="E174" i="23" s="1"/>
  <c r="D62" i="51"/>
  <c r="E87" i="23" s="1"/>
  <c r="D214" i="51"/>
  <c r="D140"/>
  <c r="E176" i="23" s="1"/>
  <c r="D192" i="51"/>
  <c r="E245" i="23" s="1"/>
  <c r="D201" i="51"/>
  <c r="E255" i="23" s="1"/>
  <c r="D259" i="51"/>
  <c r="E331" i="23" s="1"/>
  <c r="D170" i="51"/>
  <c r="E213" i="23" s="1"/>
  <c r="D96" i="51"/>
  <c r="E127" i="23" s="1"/>
  <c r="D50" i="51"/>
  <c r="E69" i="23" s="1"/>
  <c r="D33" i="51"/>
  <c r="E48" i="23" s="1"/>
  <c r="D181" i="51"/>
  <c r="E226" i="23" s="1"/>
  <c r="D294" i="51"/>
  <c r="D321"/>
  <c r="E404" i="23" s="1"/>
  <c r="D370" i="51"/>
  <c r="D324"/>
  <c r="E408" i="23" s="1"/>
  <c r="D196" i="51"/>
  <c r="E249" i="23" s="1"/>
  <c r="D66" i="51"/>
  <c r="E93" i="23" s="1"/>
  <c r="D366" i="51"/>
  <c r="D68"/>
  <c r="D118"/>
  <c r="E151" i="23" s="1"/>
  <c r="D95" i="51"/>
  <c r="E126" i="23" s="1"/>
  <c r="D136" i="51"/>
  <c r="E172" i="23" s="1"/>
  <c r="D72" i="51"/>
  <c r="E102" i="23" s="1"/>
  <c r="D51" i="51"/>
  <c r="E70" i="23" s="1"/>
  <c r="D332" i="51"/>
  <c r="E416" i="23" s="1"/>
  <c r="D146" i="51"/>
  <c r="D6"/>
  <c r="E18" i="23" s="1"/>
  <c r="D276" i="51"/>
  <c r="E351" i="23" s="1"/>
  <c r="D200" i="51"/>
  <c r="E254" i="23" s="1"/>
  <c r="D70" i="51"/>
  <c r="E100" i="23" s="1"/>
  <c r="D53" i="51"/>
  <c r="E73" i="23" s="1"/>
  <c r="D229" i="51"/>
  <c r="E289" i="23" s="1"/>
  <c r="D119" i="51"/>
  <c r="E152" i="23" s="1"/>
  <c r="D178" i="51"/>
  <c r="E223" i="23" s="1"/>
  <c r="D112" i="51"/>
  <c r="E145" i="23" s="1"/>
  <c r="D52" i="51"/>
  <c r="D213"/>
  <c r="E272" i="23" s="1"/>
  <c r="D107" i="51"/>
  <c r="E138" i="23" s="1"/>
  <c r="D351" i="51"/>
  <c r="E436" i="23" s="1"/>
  <c r="D252" i="51"/>
  <c r="D98"/>
  <c r="E129" i="23" s="1"/>
  <c r="D226" i="51"/>
  <c r="E286" i="23" s="1"/>
  <c r="D174" i="51"/>
  <c r="E217" i="23" s="1"/>
  <c r="D100" i="51"/>
  <c r="E131" i="23" s="1"/>
  <c r="D29" i="51"/>
  <c r="E44" i="23" s="1"/>
  <c r="D228" i="51"/>
  <c r="E288" i="23" s="1"/>
  <c r="D55" i="51"/>
  <c r="E76" i="23" s="1"/>
  <c r="D143" i="51"/>
  <c r="E180" i="23" s="1"/>
  <c r="D79" i="51"/>
  <c r="E109" i="23" s="1"/>
  <c r="D88" i="51"/>
  <c r="E118" i="23" s="1"/>
  <c r="D25" i="51"/>
  <c r="E39" i="23" s="1"/>
  <c r="D7" i="51"/>
  <c r="E19" i="23" s="1"/>
  <c r="D45" i="51"/>
  <c r="E61" i="23" s="1"/>
  <c r="D165" i="51"/>
  <c r="E208" i="23" s="1"/>
  <c r="H69" i="20"/>
  <c r="AS657" s="1"/>
  <c r="F369" i="58"/>
  <c r="H36" i="20"/>
  <c r="AS619" s="1"/>
  <c r="F189" i="58"/>
  <c r="H231" i="51"/>
  <c r="I292" i="23" s="1"/>
  <c r="H211" i="51"/>
  <c r="H195"/>
  <c r="H179"/>
  <c r="H163"/>
  <c r="I206" i="23" s="1"/>
  <c r="H135" i="51"/>
  <c r="H119"/>
  <c r="H103"/>
  <c r="H87"/>
  <c r="H71"/>
  <c r="I101" i="23" s="1"/>
  <c r="H48" i="51"/>
  <c r="H26"/>
  <c r="H18"/>
  <c r="I31" i="23" s="1"/>
  <c r="H39" i="51"/>
  <c r="H251"/>
  <c r="H237"/>
  <c r="H221"/>
  <c r="H201"/>
  <c r="H185"/>
  <c r="H169"/>
  <c r="H137"/>
  <c r="H121"/>
  <c r="I155" i="23" s="1"/>
  <c r="H105" i="51"/>
  <c r="H89"/>
  <c r="H73"/>
  <c r="I103" i="23" s="1"/>
  <c r="H49" i="51"/>
  <c r="H34"/>
  <c r="H32"/>
  <c r="H7"/>
  <c r="H17"/>
  <c r="H97"/>
  <c r="H203"/>
  <c r="H193"/>
  <c r="H79"/>
  <c r="H143"/>
  <c r="H63"/>
  <c r="H345"/>
  <c r="I430" i="23" s="1"/>
  <c r="H355" i="51"/>
  <c r="H273"/>
  <c r="H364"/>
  <c r="H332"/>
  <c r="H325"/>
  <c r="H275"/>
  <c r="H350"/>
  <c r="H318"/>
  <c r="H297"/>
  <c r="H269"/>
  <c r="H304"/>
  <c r="H270"/>
  <c r="H207"/>
  <c r="H175"/>
  <c r="H117"/>
  <c r="H81"/>
  <c r="H145"/>
  <c r="H187"/>
  <c r="I239" i="23" s="1"/>
  <c r="I232" i="58" s="1"/>
  <c r="H373" i="51"/>
  <c r="H321"/>
  <c r="H331"/>
  <c r="H260"/>
  <c r="H365"/>
  <c r="H268"/>
  <c r="I342" i="23" s="1"/>
  <c r="H367" i="51"/>
  <c r="H319"/>
  <c r="H248"/>
  <c r="H360"/>
  <c r="H328"/>
  <c r="H249"/>
  <c r="H301"/>
  <c r="H219"/>
  <c r="H306"/>
  <c r="I388" i="23" s="1"/>
  <c r="H208" i="51"/>
  <c r="H142"/>
  <c r="I179" i="23" s="1"/>
  <c r="H78" i="51"/>
  <c r="H362"/>
  <c r="H144"/>
  <c r="H80"/>
  <c r="H52"/>
  <c r="H16"/>
  <c r="H196"/>
  <c r="H130"/>
  <c r="H66"/>
  <c r="I93" i="23" s="1"/>
  <c r="H225" i="51"/>
  <c r="H147"/>
  <c r="H115"/>
  <c r="H83"/>
  <c r="H47"/>
  <c r="H14"/>
  <c r="H174"/>
  <c r="H209"/>
  <c r="H95"/>
  <c r="H239"/>
  <c r="H361"/>
  <c r="I447" i="23" s="1"/>
  <c r="H279" i="51"/>
  <c r="H250"/>
  <c r="H307"/>
  <c r="H289"/>
  <c r="H356"/>
  <c r="H324"/>
  <c r="I408" i="23" s="1"/>
  <c r="H341" i="51"/>
  <c r="I426" i="23" s="1"/>
  <c r="H291" i="51"/>
  <c r="H254"/>
  <c r="H342"/>
  <c r="H310"/>
  <c r="H343"/>
  <c r="I428" i="23" s="1"/>
  <c r="H298" i="51"/>
  <c r="H285"/>
  <c r="H372"/>
  <c r="H294"/>
  <c r="H199"/>
  <c r="H167"/>
  <c r="H141"/>
  <c r="H109"/>
  <c r="H77"/>
  <c r="H36"/>
  <c r="H236"/>
  <c r="I304" i="23" s="1"/>
  <c r="H184" i="51"/>
  <c r="H118"/>
  <c r="I151" i="23" s="1"/>
  <c r="H35" i="51"/>
  <c r="H194"/>
  <c r="H120"/>
  <c r="H354"/>
  <c r="I440" i="23" s="1"/>
  <c r="H172" i="51"/>
  <c r="H106"/>
  <c r="H31"/>
  <c r="I46" i="23" s="1"/>
  <c r="H205" i="51"/>
  <c r="I262" i="23" s="1"/>
  <c r="H173" i="51"/>
  <c r="H61"/>
  <c r="H38"/>
  <c r="H15"/>
  <c r="H226"/>
  <c r="H214"/>
  <c r="H65"/>
  <c r="H129"/>
  <c r="H229"/>
  <c r="H150"/>
  <c r="H171"/>
  <c r="H41"/>
  <c r="H337"/>
  <c r="H347"/>
  <c r="I432" i="23" s="1"/>
  <c r="H290" i="51"/>
  <c r="H317"/>
  <c r="H292"/>
  <c r="H352"/>
  <c r="H320"/>
  <c r="H243"/>
  <c r="I312" i="23" s="1"/>
  <c r="H161" i="51"/>
  <c r="H24"/>
  <c r="I38" i="23" s="1"/>
  <c r="H111" i="51"/>
  <c r="I144" i="23" s="1"/>
  <c r="H223" i="51"/>
  <c r="H313"/>
  <c r="H295"/>
  <c r="H266"/>
  <c r="H375"/>
  <c r="H323"/>
  <c r="H252"/>
  <c r="H348"/>
  <c r="H316"/>
  <c r="H357"/>
  <c r="H366"/>
  <c r="H334"/>
  <c r="H371"/>
  <c r="H359"/>
  <c r="H335"/>
  <c r="H311"/>
  <c r="H264"/>
  <c r="H240"/>
  <c r="H286"/>
  <c r="H241"/>
  <c r="H191"/>
  <c r="H159"/>
  <c r="I201" i="23" s="1"/>
  <c r="H133" i="51"/>
  <c r="I168" i="23" s="1"/>
  <c r="H101" i="51"/>
  <c r="H69"/>
  <c r="H200"/>
  <c r="I254" i="23" s="1"/>
  <c r="H134" i="51"/>
  <c r="H70"/>
  <c r="I100" i="23" s="1"/>
  <c r="H54" i="51"/>
  <c r="H370"/>
  <c r="H280"/>
  <c r="H210"/>
  <c r="H136"/>
  <c r="I172" i="23" s="1"/>
  <c r="H72" i="51"/>
  <c r="H322"/>
  <c r="H188"/>
  <c r="H122"/>
  <c r="H374"/>
  <c r="H197"/>
  <c r="H165"/>
  <c r="H346"/>
  <c r="H113"/>
  <c r="H155"/>
  <c r="I196" i="23" s="1"/>
  <c r="H353" i="51"/>
  <c r="H300"/>
  <c r="H271"/>
  <c r="H242"/>
  <c r="H363"/>
  <c r="H281"/>
  <c r="H282"/>
  <c r="H369"/>
  <c r="H333"/>
  <c r="H283"/>
  <c r="I360" i="23" s="1"/>
  <c r="H246" i="51"/>
  <c r="I315" i="23" s="1"/>
  <c r="H284" i="51"/>
  <c r="H177"/>
  <c r="H253"/>
  <c r="I323" i="23" s="1"/>
  <c r="H20" i="51"/>
  <c r="H217"/>
  <c r="H127"/>
  <c r="H329"/>
  <c r="H339"/>
  <c r="H340"/>
  <c r="H308"/>
  <c r="I391" i="23" s="1"/>
  <c r="H261" i="51"/>
  <c r="I333" i="23" s="1"/>
  <c r="H309" i="51"/>
  <c r="H358"/>
  <c r="H326"/>
  <c r="H327"/>
  <c r="H312"/>
  <c r="H278"/>
  <c r="H215"/>
  <c r="I275" i="23" s="1"/>
  <c r="H183" i="51"/>
  <c r="I235" i="23" s="1"/>
  <c r="H125" i="51"/>
  <c r="H93"/>
  <c r="I124" i="23" s="1"/>
  <c r="H42" i="51"/>
  <c r="I58" i="23" s="1"/>
  <c r="H288" i="51"/>
  <c r="H86"/>
  <c r="I116" i="23" s="1"/>
  <c r="H56" i="51"/>
  <c r="H162"/>
  <c r="H88"/>
  <c r="I118" i="23" s="1"/>
  <c r="H25" i="51"/>
  <c r="I39" i="23" s="1"/>
  <c r="H204" i="51"/>
  <c r="H138"/>
  <c r="H74"/>
  <c r="H62"/>
  <c r="H6"/>
  <c r="I18" i="23" s="1"/>
  <c r="H247" i="51"/>
  <c r="H189"/>
  <c r="H157"/>
  <c r="H44"/>
  <c r="H314"/>
  <c r="H182"/>
  <c r="H262"/>
  <c r="H351"/>
  <c r="H303"/>
  <c r="I385" i="23" s="1"/>
  <c r="H256" i="51"/>
  <c r="H344"/>
  <c r="H299"/>
  <c r="H85"/>
  <c r="H102"/>
  <c r="H19"/>
  <c r="H230"/>
  <c r="H178"/>
  <c r="I223" i="23" s="1"/>
  <c r="H104" i="51"/>
  <c r="H51"/>
  <c r="H232"/>
  <c r="H156"/>
  <c r="I197" i="23" s="1"/>
  <c r="H213" i="51"/>
  <c r="I272" i="23" s="1"/>
  <c r="H92" i="51"/>
  <c r="H64"/>
  <c r="H37"/>
  <c r="H13"/>
  <c r="H257"/>
  <c r="H227"/>
  <c r="H160"/>
  <c r="I202" i="23" s="1"/>
  <c r="H53" i="51"/>
  <c r="I73" i="23" s="1"/>
  <c r="H330" i="51"/>
  <c r="H33"/>
  <c r="H212"/>
  <c r="I271" i="23" s="1"/>
  <c r="I264" i="58" s="1"/>
  <c r="H82" i="51"/>
  <c r="H152"/>
  <c r="H107"/>
  <c r="H190"/>
  <c r="I243" i="23" s="1"/>
  <c r="H166" i="51"/>
  <c r="H132"/>
  <c r="H68"/>
  <c r="H263"/>
  <c r="H258"/>
  <c r="H265"/>
  <c r="H235"/>
  <c r="H110"/>
  <c r="H55"/>
  <c r="H27"/>
  <c r="I42" i="23" s="1"/>
  <c r="H238" i="51"/>
  <c r="H186"/>
  <c r="H112"/>
  <c r="H164"/>
  <c r="H131"/>
  <c r="H67"/>
  <c r="H43"/>
  <c r="H218"/>
  <c r="H108"/>
  <c r="H245"/>
  <c r="H274"/>
  <c r="H277"/>
  <c r="H338"/>
  <c r="H192"/>
  <c r="H57"/>
  <c r="I81" i="23" s="1"/>
  <c r="I74" i="58" s="1"/>
  <c r="H40" i="51"/>
  <c r="H216"/>
  <c r="H114"/>
  <c r="H91"/>
  <c r="I122" i="23" s="1"/>
  <c r="H45" i="51"/>
  <c r="H84"/>
  <c r="H29"/>
  <c r="I44" i="23" s="1"/>
  <c r="H8" i="51"/>
  <c r="H287"/>
  <c r="H315"/>
  <c r="H276"/>
  <c r="I351" i="23" s="1"/>
  <c r="H220" i="51"/>
  <c r="H168"/>
  <c r="H90"/>
  <c r="H255"/>
  <c r="H181"/>
  <c r="H46"/>
  <c r="H22"/>
  <c r="H198"/>
  <c r="H153"/>
  <c r="H124"/>
  <c r="H58"/>
  <c r="H9"/>
  <c r="H305"/>
  <c r="I387" i="23" s="1"/>
  <c r="I382" i="58" s="1"/>
  <c r="H368" i="51"/>
  <c r="H259"/>
  <c r="I331" i="23" s="1"/>
  <c r="H94" i="51"/>
  <c r="H222"/>
  <c r="H170"/>
  <c r="H96"/>
  <c r="H272"/>
  <c r="H224"/>
  <c r="I284" i="23" s="1"/>
  <c r="H146" i="51"/>
  <c r="H139"/>
  <c r="H75"/>
  <c r="H158"/>
  <c r="H100"/>
  <c r="H59"/>
  <c r="H10"/>
  <c r="H293"/>
  <c r="H28"/>
  <c r="H228"/>
  <c r="H176"/>
  <c r="I219" i="23" s="1"/>
  <c r="H149" i="51"/>
  <c r="I187" i="23" s="1"/>
  <c r="I180" i="58" s="1"/>
  <c r="H151" i="51"/>
  <c r="H98"/>
  <c r="H23"/>
  <c r="H99"/>
  <c r="H30"/>
  <c r="H206"/>
  <c r="H140"/>
  <c r="H76"/>
  <c r="H60"/>
  <c r="H21"/>
  <c r="H11"/>
  <c r="H244"/>
  <c r="H349"/>
  <c r="I434" i="23" s="1"/>
  <c r="H336" i="51"/>
  <c r="H126"/>
  <c r="H202"/>
  <c r="H128"/>
  <c r="H50"/>
  <c r="H180"/>
  <c r="H233"/>
  <c r="H123"/>
  <c r="H234"/>
  <c r="H116"/>
  <c r="H12"/>
  <c r="I25" i="23" s="1"/>
  <c r="BB835" i="20"/>
  <c r="Q197"/>
  <c r="G65" i="70" s="1"/>
  <c r="B65" s="1"/>
  <c r="BB826" i="20"/>
  <c r="Q205"/>
  <c r="G73" i="70" s="1"/>
  <c r="B73" s="1"/>
  <c r="BB831" i="20"/>
  <c r="Q200"/>
  <c r="G68" i="70" s="1"/>
  <c r="B68" s="1"/>
  <c r="BB834" i="20"/>
  <c r="Q203"/>
  <c r="G71" i="70" s="1"/>
  <c r="B71" s="1"/>
  <c r="BB832" i="20"/>
  <c r="Q206"/>
  <c r="G74" i="70" s="1"/>
  <c r="B74" s="1"/>
  <c r="BB833" i="20"/>
  <c r="Q201"/>
  <c r="G69" i="70" s="1"/>
  <c r="B69" s="1"/>
  <c r="Q154" i="20"/>
  <c r="G22" i="70" s="1"/>
  <c r="B22" s="1"/>
  <c r="BB829" i="20"/>
  <c r="Q204"/>
  <c r="G72" i="70" s="1"/>
  <c r="B72" s="1"/>
  <c r="Q160" i="20"/>
  <c r="G28" i="70" s="1"/>
  <c r="B28" s="1"/>
  <c r="BB830" i="20"/>
  <c r="Q202"/>
  <c r="G70" i="70" s="1"/>
  <c r="B70" s="1"/>
  <c r="H241" i="58"/>
  <c r="H23"/>
  <c r="H53"/>
  <c r="H104"/>
  <c r="H121"/>
  <c r="H139"/>
  <c r="H157"/>
  <c r="H337"/>
  <c r="H300"/>
  <c r="H108"/>
  <c r="H125"/>
  <c r="H143"/>
  <c r="H237"/>
  <c r="H393"/>
  <c r="H414"/>
  <c r="H310"/>
  <c r="H338"/>
  <c r="H426"/>
  <c r="H348"/>
  <c r="H439"/>
  <c r="H202"/>
  <c r="H428"/>
  <c r="H275"/>
  <c r="H128"/>
  <c r="H83"/>
  <c r="H43"/>
  <c r="H371"/>
  <c r="H432"/>
  <c r="H415"/>
  <c r="H398"/>
  <c r="H201"/>
  <c r="H141"/>
  <c r="H52"/>
  <c r="H130"/>
  <c r="H207"/>
  <c r="H298"/>
  <c r="H15"/>
  <c r="H69"/>
  <c r="H107"/>
  <c r="H124"/>
  <c r="H142"/>
  <c r="H160"/>
  <c r="H203"/>
  <c r="H436"/>
  <c r="H340"/>
  <c r="H389"/>
  <c r="H391"/>
  <c r="H400"/>
  <c r="H396"/>
  <c r="H256"/>
  <c r="H395"/>
  <c r="H174"/>
  <c r="H103"/>
  <c r="H286"/>
  <c r="H233"/>
  <c r="H306"/>
  <c r="H79"/>
  <c r="H140"/>
  <c r="H276"/>
  <c r="H14"/>
  <c r="H44"/>
  <c r="H257"/>
  <c r="H410"/>
  <c r="H431"/>
  <c r="H443"/>
  <c r="H411"/>
  <c r="H102"/>
  <c r="H119"/>
  <c r="H173"/>
  <c r="H22"/>
  <c r="H54"/>
  <c r="H80"/>
  <c r="H42"/>
  <c r="H61"/>
  <c r="H406"/>
  <c r="H345"/>
  <c r="H301"/>
  <c r="H416"/>
  <c r="H417"/>
  <c r="H339"/>
  <c r="H288"/>
  <c r="H438"/>
  <c r="H404"/>
  <c r="H437"/>
  <c r="H120"/>
  <c r="H362"/>
  <c r="H311"/>
  <c r="H218"/>
  <c r="H327"/>
  <c r="H287"/>
  <c r="H131"/>
  <c r="H75"/>
  <c r="H101"/>
  <c r="H118"/>
  <c r="H153"/>
  <c r="H282"/>
  <c r="H45"/>
  <c r="H21"/>
  <c r="H358"/>
  <c r="H392"/>
  <c r="H405"/>
  <c r="H244"/>
  <c r="H394"/>
  <c r="H249"/>
  <c r="H441"/>
  <c r="H424"/>
  <c r="H407"/>
  <c r="H390"/>
  <c r="H30"/>
  <c r="H100"/>
  <c r="H134"/>
  <c r="H250"/>
  <c r="H182"/>
  <c r="H122"/>
  <c r="H320"/>
  <c r="H365"/>
  <c r="H319"/>
  <c r="H442"/>
  <c r="H408"/>
  <c r="H360"/>
  <c r="H430"/>
  <c r="H67"/>
  <c r="H99"/>
  <c r="H116"/>
  <c r="H132"/>
  <c r="H151"/>
  <c r="H169"/>
  <c r="H217"/>
  <c r="H25"/>
  <c r="H57"/>
  <c r="H20"/>
  <c r="H29"/>
  <c r="H110"/>
  <c r="H127"/>
  <c r="H145"/>
  <c r="H211"/>
  <c r="H444"/>
  <c r="H397"/>
  <c r="H372"/>
  <c r="H347"/>
  <c r="H409"/>
  <c r="H388"/>
  <c r="H279"/>
  <c r="H445"/>
  <c r="H354"/>
  <c r="H271"/>
  <c r="H111"/>
  <c r="H278"/>
  <c r="H274"/>
  <c r="H302"/>
  <c r="H38"/>
  <c r="H299"/>
  <c r="H19"/>
  <c r="H105"/>
  <c r="H158"/>
  <c r="H73"/>
  <c r="H126"/>
  <c r="H162"/>
  <c r="H440"/>
  <c r="H399"/>
  <c r="H313"/>
  <c r="H413"/>
  <c r="H387"/>
  <c r="H240"/>
  <c r="H242"/>
  <c r="H200"/>
  <c r="H183"/>
  <c r="H168"/>
  <c r="H98"/>
  <c r="H81"/>
  <c r="H129"/>
  <c r="H318"/>
  <c r="H204"/>
  <c r="H446"/>
  <c r="H40"/>
  <c r="H46"/>
  <c r="H166"/>
  <c r="H229"/>
  <c r="H280"/>
  <c r="H138"/>
  <c r="H208"/>
  <c r="H307"/>
  <c r="H159"/>
  <c r="H309"/>
  <c r="H272"/>
  <c r="H231"/>
  <c r="H209"/>
  <c r="H269"/>
  <c r="H239"/>
  <c r="H41"/>
  <c r="H281"/>
  <c r="H210"/>
  <c r="H243"/>
  <c r="H123"/>
  <c r="H106"/>
  <c r="H149"/>
  <c r="H205"/>
  <c r="H259"/>
  <c r="H36"/>
  <c r="H312"/>
  <c r="H56"/>
  <c r="H273"/>
  <c r="H341"/>
  <c r="H219"/>
  <c r="H88"/>
  <c r="H167"/>
  <c r="H328"/>
  <c r="H150"/>
  <c r="H55"/>
  <c r="H112"/>
  <c r="H230"/>
  <c r="H317"/>
  <c r="H97"/>
  <c r="H412"/>
  <c r="H48"/>
  <c r="H238"/>
  <c r="H346"/>
  <c r="H196"/>
  <c r="H248"/>
  <c r="H13"/>
  <c r="G5"/>
  <c r="G274"/>
  <c r="G298"/>
  <c r="G345"/>
  <c r="G242"/>
  <c r="G441"/>
  <c r="G400"/>
  <c r="G395"/>
  <c r="G237"/>
  <c r="G241"/>
  <c r="G327"/>
  <c r="G388"/>
  <c r="G57"/>
  <c r="G128"/>
  <c r="G271"/>
  <c r="G79"/>
  <c r="G103"/>
  <c r="G120"/>
  <c r="G174"/>
  <c r="G83"/>
  <c r="G38"/>
  <c r="G15"/>
  <c r="G40"/>
  <c r="G158"/>
  <c r="G29"/>
  <c r="G394"/>
  <c r="G415"/>
  <c r="G339"/>
  <c r="G203"/>
  <c r="G391"/>
  <c r="G276"/>
  <c r="G207"/>
  <c r="G328"/>
  <c r="G309"/>
  <c r="G413"/>
  <c r="G389"/>
  <c r="G347"/>
  <c r="G23"/>
  <c r="G36"/>
  <c r="G75"/>
  <c r="G102"/>
  <c r="G119"/>
  <c r="G173"/>
  <c r="G14"/>
  <c r="G106"/>
  <c r="G141"/>
  <c r="G159"/>
  <c r="G341"/>
  <c r="G390"/>
  <c r="G371"/>
  <c r="G426"/>
  <c r="G392"/>
  <c r="G446"/>
  <c r="G272"/>
  <c r="G257"/>
  <c r="G318"/>
  <c r="G101"/>
  <c r="G118"/>
  <c r="G153"/>
  <c r="G299"/>
  <c r="G140"/>
  <c r="G183"/>
  <c r="G233"/>
  <c r="G432"/>
  <c r="G444"/>
  <c r="G306"/>
  <c r="G399"/>
  <c r="G365"/>
  <c r="G440"/>
  <c r="G396"/>
  <c r="G358"/>
  <c r="G160"/>
  <c r="G44"/>
  <c r="G125"/>
  <c r="G130"/>
  <c r="G248"/>
  <c r="G100"/>
  <c r="G134"/>
  <c r="G282"/>
  <c r="G25"/>
  <c r="G200"/>
  <c r="G300"/>
  <c r="G362"/>
  <c r="G407"/>
  <c r="G346"/>
  <c r="G302"/>
  <c r="G417"/>
  <c r="G340"/>
  <c r="G121"/>
  <c r="G219"/>
  <c r="G397"/>
  <c r="G281"/>
  <c r="G20"/>
  <c r="G122"/>
  <c r="G22"/>
  <c r="G428"/>
  <c r="G360"/>
  <c r="G393"/>
  <c r="G387"/>
  <c r="G43"/>
  <c r="G21"/>
  <c r="G424"/>
  <c r="G320"/>
  <c r="G443"/>
  <c r="G409"/>
  <c r="G436"/>
  <c r="G412"/>
  <c r="G211"/>
  <c r="G217"/>
  <c r="G139"/>
  <c r="G209"/>
  <c r="G405"/>
  <c r="G210"/>
  <c r="G41"/>
  <c r="G98"/>
  <c r="G131"/>
  <c r="G168"/>
  <c r="G275"/>
  <c r="G45"/>
  <c r="G105"/>
  <c r="G445"/>
  <c r="G337"/>
  <c r="G348"/>
  <c r="G410"/>
  <c r="G438"/>
  <c r="G280"/>
  <c r="G372"/>
  <c r="G416"/>
  <c r="G312"/>
  <c r="G112"/>
  <c r="G42"/>
  <c r="G307"/>
  <c r="G270"/>
  <c r="G430"/>
  <c r="G406"/>
  <c r="G338"/>
  <c r="G279"/>
  <c r="G56"/>
  <c r="G30"/>
  <c r="G111"/>
  <c r="G46"/>
  <c r="G74"/>
  <c r="G97"/>
  <c r="G167"/>
  <c r="G196"/>
  <c r="G239"/>
  <c r="G259"/>
  <c r="G157"/>
  <c r="G243"/>
  <c r="G201"/>
  <c r="G431"/>
  <c r="G250"/>
  <c r="G166"/>
  <c r="G414"/>
  <c r="G202"/>
  <c r="G108"/>
  <c r="G116"/>
  <c r="G408"/>
  <c r="G104"/>
  <c r="G439"/>
  <c r="G73"/>
  <c r="G127"/>
  <c r="G162"/>
  <c r="G231"/>
  <c r="G142"/>
  <c r="G80"/>
  <c r="G126"/>
  <c r="G52"/>
  <c r="G269"/>
  <c r="G317"/>
  <c r="G149"/>
  <c r="G13"/>
  <c r="G249"/>
  <c r="G204"/>
  <c r="G53"/>
  <c r="G48"/>
  <c r="G301"/>
  <c r="G244"/>
  <c r="G107"/>
  <c r="G54"/>
  <c r="G61"/>
  <c r="G55"/>
  <c r="G145"/>
  <c r="G286"/>
  <c r="G354"/>
  <c r="G81"/>
  <c r="G288"/>
  <c r="G151"/>
  <c r="G132"/>
  <c r="G143"/>
  <c r="G229"/>
  <c r="G240"/>
  <c r="G256"/>
  <c r="B226" i="20"/>
  <c r="L914"/>
  <c r="E142" i="19"/>
  <c r="E48"/>
  <c r="D45" i="68" s="1"/>
  <c r="I45" s="1"/>
  <c r="I57" s="1"/>
  <c r="C142" i="19"/>
  <c r="B88" i="22"/>
  <c r="C48" i="19"/>
  <c r="B45" i="68" s="1"/>
  <c r="G45" s="1"/>
  <c r="G57" s="1"/>
  <c r="B234" i="20"/>
  <c r="F5" i="58"/>
  <c r="F39"/>
  <c r="F36"/>
  <c r="F104"/>
  <c r="F119"/>
  <c r="F157"/>
  <c r="F282"/>
  <c r="F75"/>
  <c r="F270"/>
  <c r="F19"/>
  <c r="F69"/>
  <c r="F183"/>
  <c r="F399"/>
  <c r="F338"/>
  <c r="F411"/>
  <c r="F281"/>
  <c r="F269"/>
  <c r="F398"/>
  <c r="F280"/>
  <c r="F46"/>
  <c r="F44"/>
  <c r="F145"/>
  <c r="F240"/>
  <c r="F328"/>
  <c r="F241"/>
  <c r="F271"/>
  <c r="F287"/>
  <c r="F103"/>
  <c r="F118"/>
  <c r="F25"/>
  <c r="F299"/>
  <c r="F311"/>
  <c r="F436"/>
  <c r="F238"/>
  <c r="F242"/>
  <c r="F158"/>
  <c r="F424"/>
  <c r="F244"/>
  <c r="F202"/>
  <c r="F23"/>
  <c r="F56"/>
  <c r="F239"/>
  <c r="F30"/>
  <c r="F207"/>
  <c r="F101"/>
  <c r="F339"/>
  <c r="F67"/>
  <c r="F83"/>
  <c r="F319"/>
  <c r="F309"/>
  <c r="F395"/>
  <c r="F416"/>
  <c r="F358"/>
  <c r="F312"/>
  <c r="F340"/>
  <c r="F428"/>
  <c r="F204"/>
  <c r="F205"/>
  <c r="F318"/>
  <c r="F139"/>
  <c r="F153"/>
  <c r="F275"/>
  <c r="F337"/>
  <c r="F15"/>
  <c r="F438"/>
  <c r="F391"/>
  <c r="F372"/>
  <c r="F393"/>
  <c r="F273"/>
  <c r="F105"/>
  <c r="F407"/>
  <c r="F440"/>
  <c r="F406"/>
  <c r="F389"/>
  <c r="F288"/>
  <c r="F417"/>
  <c r="F272"/>
  <c r="F257"/>
  <c r="F38"/>
  <c r="F88"/>
  <c r="F107"/>
  <c r="F300"/>
  <c r="F127"/>
  <c r="F166"/>
  <c r="F346"/>
  <c r="F231"/>
  <c r="F259"/>
  <c r="F138"/>
  <c r="F274"/>
  <c r="F298"/>
  <c r="F360"/>
  <c r="F57"/>
  <c r="F173"/>
  <c r="F14"/>
  <c r="F40"/>
  <c r="F327"/>
  <c r="F412"/>
  <c r="F445"/>
  <c r="F307"/>
  <c r="F229"/>
  <c r="F371"/>
  <c r="F233"/>
  <c r="F149"/>
  <c r="F432"/>
  <c r="F443"/>
  <c r="F74"/>
  <c r="F230"/>
  <c r="F310"/>
  <c r="F43"/>
  <c r="F99"/>
  <c r="F116"/>
  <c r="F132"/>
  <c r="F151"/>
  <c r="F169"/>
  <c r="F278"/>
  <c r="F53"/>
  <c r="F313"/>
  <c r="F54"/>
  <c r="F80"/>
  <c r="F387"/>
  <c r="F408"/>
  <c r="F347"/>
  <c r="F341"/>
  <c r="F196"/>
  <c r="F249"/>
  <c r="F98"/>
  <c r="F131"/>
  <c r="F150"/>
  <c r="F168"/>
  <c r="F250"/>
  <c r="F302"/>
  <c r="F121"/>
  <c r="F102"/>
  <c r="F276"/>
  <c r="F345"/>
  <c r="F394"/>
  <c r="F167"/>
  <c r="F97"/>
  <c r="F41"/>
  <c r="F415"/>
  <c r="F430"/>
  <c r="F413"/>
  <c r="F396"/>
  <c r="F325"/>
  <c r="F306"/>
  <c r="F426"/>
  <c r="F248"/>
  <c r="F217"/>
  <c r="F120"/>
  <c r="F174"/>
  <c r="F45"/>
  <c r="F20"/>
  <c r="F404"/>
  <c r="F444"/>
  <c r="F410"/>
  <c r="F437"/>
  <c r="F362"/>
  <c r="F286"/>
  <c r="F218"/>
  <c r="F140"/>
  <c r="F441"/>
  <c r="F431"/>
  <c r="F414"/>
  <c r="F397"/>
  <c r="F256"/>
  <c r="F210"/>
  <c r="F211"/>
  <c r="F21"/>
  <c r="F159"/>
  <c r="F409"/>
  <c r="F125"/>
  <c r="F61"/>
  <c r="F142"/>
  <c r="F320"/>
  <c r="F162"/>
  <c r="F106"/>
  <c r="F365"/>
  <c r="F439"/>
  <c r="F237"/>
  <c r="F203"/>
  <c r="F100"/>
  <c r="F42"/>
  <c r="F141"/>
  <c r="F79"/>
  <c r="F22"/>
  <c r="F55"/>
  <c r="F112"/>
  <c r="F388"/>
  <c r="F129"/>
  <c r="F13"/>
  <c r="F219"/>
  <c r="F143"/>
  <c r="F29"/>
  <c r="F124"/>
  <c r="F160"/>
  <c r="F110"/>
  <c r="F128"/>
  <c r="F73"/>
  <c r="F317"/>
  <c r="F126"/>
  <c r="F354"/>
  <c r="F243"/>
  <c r="F200"/>
  <c r="F122"/>
  <c r="F405"/>
  <c r="F123"/>
  <c r="F279"/>
  <c r="F392"/>
  <c r="F108"/>
  <c r="F348"/>
  <c r="F52"/>
  <c r="F209"/>
  <c r="F201"/>
  <c r="F208"/>
  <c r="F130"/>
  <c r="F48"/>
  <c r="F390"/>
  <c r="F400"/>
  <c r="F134"/>
  <c r="F81"/>
  <c r="F301"/>
  <c r="D1" i="53"/>
  <c r="V29" i="21"/>
  <c r="W29" s="1"/>
  <c r="B226"/>
  <c r="B234"/>
  <c r="AM693" i="20"/>
  <c r="AM761"/>
  <c r="BW845"/>
  <c r="BZ864"/>
  <c r="I161" i="58"/>
  <c r="CB57" i="19"/>
  <c r="CG57" s="1"/>
  <c r="I115" i="58"/>
  <c r="I66"/>
  <c r="I144"/>
  <c r="CB59" i="19"/>
  <c r="CG59" s="1"/>
  <c r="I86" i="58"/>
  <c r="I51"/>
  <c r="I255"/>
  <c r="CM45" i="19"/>
  <c r="CI61"/>
  <c r="AI46"/>
  <c r="AH11"/>
  <c r="AI11" s="1"/>
  <c r="AJ11" s="1"/>
  <c r="AK11" s="1"/>
  <c r="AL11" s="1"/>
  <c r="AM11" s="1"/>
  <c r="AN11" s="1"/>
  <c r="AO11" s="1"/>
  <c r="AP11" s="1"/>
  <c r="AQ11" s="1"/>
  <c r="AR11" s="1"/>
  <c r="AS11" s="1"/>
  <c r="AT11" s="1"/>
  <c r="BB657" i="20"/>
  <c r="BB619"/>
  <c r="I172" i="58"/>
  <c r="I427"/>
  <c r="I31"/>
  <c r="CB45" i="19"/>
  <c r="CG45" s="1"/>
  <c r="I109" i="58"/>
  <c r="I190"/>
  <c r="K37" i="20"/>
  <c r="I403" i="58"/>
  <c r="I316"/>
  <c r="E369"/>
  <c r="E69" i="20"/>
  <c r="I265" i="58"/>
  <c r="K50" i="20"/>
  <c r="I199" i="58"/>
  <c r="I18"/>
  <c r="I425"/>
  <c r="I308"/>
  <c r="K53" i="20"/>
  <c r="I442" i="58"/>
  <c r="T942" i="20"/>
  <c r="E189" i="58"/>
  <c r="E36" i="20"/>
  <c r="E143" i="19"/>
  <c r="E49"/>
  <c r="I165" i="58"/>
  <c r="I435"/>
  <c r="K76" i="20"/>
  <c r="CB55" i="19"/>
  <c r="CG55" s="1"/>
  <c r="I96" i="58"/>
  <c r="I111"/>
  <c r="I137"/>
  <c r="I285"/>
  <c r="I216"/>
  <c r="H364"/>
  <c r="Q63" i="20"/>
  <c r="I386" i="58"/>
  <c r="I194"/>
  <c r="I24"/>
  <c r="CB43" i="19"/>
  <c r="CG43" s="1"/>
  <c r="I335" i="58"/>
  <c r="I268"/>
  <c r="K49" i="20"/>
  <c r="I353" i="58"/>
  <c r="I421"/>
  <c r="K72" i="20"/>
  <c r="I297" i="58"/>
  <c r="I423"/>
  <c r="I236"/>
  <c r="I11"/>
  <c r="I195"/>
  <c r="CM42" i="19"/>
  <c r="I93" i="58"/>
  <c r="I305"/>
  <c r="E11"/>
  <c r="E180"/>
  <c r="E335"/>
  <c r="I37"/>
  <c r="I277"/>
  <c r="I380"/>
  <c r="I228"/>
  <c r="I344"/>
  <c r="I94"/>
  <c r="CB53" i="19"/>
  <c r="CG53" s="1"/>
  <c r="I39" i="58"/>
  <c r="C149" i="19"/>
  <c r="I212" i="58"/>
  <c r="CM43" i="19"/>
  <c r="I35" i="58"/>
  <c r="CB47" i="19"/>
  <c r="CG47" s="1"/>
  <c r="I429" i="58"/>
  <c r="R14" i="16"/>
  <c r="M16"/>
  <c r="P304"/>
  <c r="S250"/>
  <c r="P277"/>
  <c r="P222"/>
  <c r="AE228"/>
  <c r="AE310"/>
  <c r="AE283"/>
  <c r="AH256"/>
  <c r="G308"/>
  <c r="G281"/>
  <c r="G226"/>
  <c r="J254"/>
  <c r="R111" i="19"/>
  <c r="O30" i="16"/>
  <c r="J184"/>
  <c r="J181"/>
  <c r="J182" s="1"/>
  <c r="J122"/>
  <c r="J123" s="1"/>
  <c r="J125"/>
  <c r="G156"/>
  <c r="G200" s="1"/>
  <c r="G49" s="1"/>
  <c r="L49" s="1"/>
  <c r="G140"/>
  <c r="G37" s="1"/>
  <c r="L37" s="1"/>
  <c r="P100" i="19"/>
  <c r="P104"/>
  <c r="P107" s="1"/>
  <c r="S240" i="16"/>
  <c r="P294"/>
  <c r="P267"/>
  <c r="P212"/>
  <c r="P19" s="1"/>
  <c r="M207"/>
  <c r="M179"/>
  <c r="M133"/>
  <c r="M166"/>
  <c r="J361"/>
  <c r="M289"/>
  <c r="M235"/>
  <c r="M153"/>
  <c r="M262"/>
  <c r="M192"/>
  <c r="M31"/>
  <c r="R31" s="1"/>
  <c r="M81"/>
  <c r="M30"/>
  <c r="M107"/>
  <c r="M94"/>
  <c r="M120"/>
  <c r="M61"/>
  <c r="M53"/>
  <c r="M392" s="1"/>
  <c r="P11"/>
  <c r="G423"/>
  <c r="G426" s="1"/>
  <c r="J138"/>
  <c r="J135"/>
  <c r="J136" s="1"/>
  <c r="Q104" i="19"/>
  <c r="Q107" s="1"/>
  <c r="Q100"/>
  <c r="R99"/>
  <c r="J21" i="16"/>
  <c r="O16"/>
  <c r="G201"/>
  <c r="G141"/>
  <c r="G48" s="1"/>
  <c r="L48" s="1"/>
  <c r="V290"/>
  <c r="V263"/>
  <c r="V208"/>
  <c r="V12" s="1"/>
  <c r="Y236"/>
  <c r="J83"/>
  <c r="J84" s="1"/>
  <c r="J86"/>
  <c r="P293"/>
  <c r="S239"/>
  <c r="P266"/>
  <c r="P211"/>
  <c r="P18" s="1"/>
  <c r="G142"/>
  <c r="R23"/>
  <c r="S103" i="19"/>
  <c r="T105"/>
  <c r="U25" i="16"/>
  <c r="J112"/>
  <c r="J109"/>
  <c r="J110" s="1"/>
  <c r="J257"/>
  <c r="J256" s="1"/>
  <c r="J228" s="1"/>
  <c r="M257"/>
  <c r="J255"/>
  <c r="Y258"/>
  <c r="V312"/>
  <c r="V285"/>
  <c r="V230"/>
  <c r="S106" i="19"/>
  <c r="R24" i="16"/>
  <c r="S300"/>
  <c r="S273"/>
  <c r="S218"/>
  <c r="S25" s="1"/>
  <c r="V246"/>
  <c r="S102" i="19"/>
  <c r="R19" i="16"/>
  <c r="J99"/>
  <c r="J96"/>
  <c r="J97" s="1"/>
  <c r="J158"/>
  <c r="J155"/>
  <c r="V291"/>
  <c r="V264"/>
  <c r="V209"/>
  <c r="Y237"/>
  <c r="S101" i="19"/>
  <c r="R18" i="16"/>
  <c r="P271"/>
  <c r="P216"/>
  <c r="P23" s="1"/>
  <c r="P298"/>
  <c r="S244"/>
  <c r="D251"/>
  <c r="D223" s="1"/>
  <c r="D35" s="1"/>
  <c r="F47"/>
  <c r="B50"/>
  <c r="B58" s="1"/>
  <c r="O119" i="19" s="1"/>
  <c r="B29" i="16"/>
  <c r="D278"/>
  <c r="D305"/>
  <c r="V301"/>
  <c r="V274"/>
  <c r="Y247"/>
  <c r="V219"/>
  <c r="T40"/>
  <c r="T30"/>
  <c r="T18"/>
  <c r="X12"/>
  <c r="S57"/>
  <c r="S54"/>
  <c r="T38"/>
  <c r="T29"/>
  <c r="T16"/>
  <c r="T37"/>
  <c r="T27"/>
  <c r="T14"/>
  <c r="S13"/>
  <c r="T46"/>
  <c r="T36"/>
  <c r="T25"/>
  <c r="T13"/>
  <c r="T44"/>
  <c r="T24"/>
  <c r="T12"/>
  <c r="U97" i="19"/>
  <c r="U98" s="1"/>
  <c r="S43" i="16"/>
  <c r="T35"/>
  <c r="T23"/>
  <c r="T43"/>
  <c r="T33"/>
  <c r="T21"/>
  <c r="T41"/>
  <c r="T31"/>
  <c r="T19"/>
  <c r="P292"/>
  <c r="P265"/>
  <c r="S238"/>
  <c r="P210"/>
  <c r="O108" i="19"/>
  <c r="B55" i="16"/>
  <c r="B40"/>
  <c r="F35"/>
  <c r="P272"/>
  <c r="P217"/>
  <c r="P24" s="1"/>
  <c r="P299"/>
  <c r="S245"/>
  <c r="G229"/>
  <c r="G311"/>
  <c r="G284"/>
  <c r="J197"/>
  <c r="J194"/>
  <c r="J195" s="1"/>
  <c r="U13"/>
  <c r="P14"/>
  <c r="U14" s="1"/>
  <c r="T113" i="19"/>
  <c r="U43" i="16"/>
  <c r="D283"/>
  <c r="D27"/>
  <c r="I21"/>
  <c r="S270"/>
  <c r="V243"/>
  <c r="S215"/>
  <c r="S346" s="1"/>
  <c r="S297"/>
  <c r="G309"/>
  <c r="G282"/>
  <c r="G227"/>
  <c r="J168"/>
  <c r="J169" s="1"/>
  <c r="J171"/>
  <c r="P51"/>
  <c r="R51"/>
  <c r="G27"/>
  <c r="L21"/>
  <c r="G199"/>
  <c r="G38" s="1"/>
  <c r="L38" s="1"/>
  <c r="AB311"/>
  <c r="U248" i="20"/>
  <c r="U260"/>
  <c r="V260" s="1"/>
  <c r="U357"/>
  <c r="T354"/>
  <c r="U371"/>
  <c r="U361"/>
  <c r="U353"/>
  <c r="E234" i="21"/>
  <c r="G234" s="1"/>
  <c r="T327" i="20"/>
  <c r="AN655"/>
  <c r="AO652" s="1"/>
  <c r="V955"/>
  <c r="V958" s="1"/>
  <c r="E565"/>
  <c r="E518"/>
  <c r="D49" i="22"/>
  <c r="D111"/>
  <c r="D103"/>
  <c r="U321" i="20"/>
  <c r="U317"/>
  <c r="U331"/>
  <c r="T314"/>
  <c r="U313"/>
  <c r="T337"/>
  <c r="Q6" i="22"/>
  <c r="AN750" i="20"/>
  <c r="BJ837"/>
  <c r="BJ895" s="1"/>
  <c r="BJ757"/>
  <c r="T377"/>
  <c r="CF893"/>
  <c r="CF846"/>
  <c r="CF865"/>
  <c r="BF763"/>
  <c r="P11" i="19" s="1"/>
  <c r="O4" i="68" s="1"/>
  <c r="O36" s="1"/>
  <c r="BF696" i="20"/>
  <c r="U941"/>
  <c r="U940"/>
  <c r="Y566"/>
  <c r="Z472"/>
  <c r="Y519"/>
  <c r="Y419"/>
  <c r="D63"/>
  <c r="D62"/>
  <c r="D61"/>
  <c r="D60"/>
  <c r="D66"/>
  <c r="D65"/>
  <c r="D67"/>
  <c r="C70"/>
  <c r="W125"/>
  <c r="W126"/>
  <c r="AF478"/>
  <c r="AE431"/>
  <c r="T367"/>
  <c r="U522"/>
  <c r="U475"/>
  <c r="U569"/>
  <c r="G6" i="22"/>
  <c r="AO679" i="20"/>
  <c r="BE789"/>
  <c r="R6" i="22"/>
  <c r="F71"/>
  <c r="E12"/>
  <c r="X124" i="20"/>
  <c r="Y123"/>
  <c r="BK666"/>
  <c r="Z208"/>
  <c r="AA77"/>
  <c r="V938"/>
  <c r="BG583"/>
  <c r="V428"/>
  <c r="V422"/>
  <c r="V351"/>
  <c r="V345"/>
  <c r="V270"/>
  <c r="V385"/>
  <c r="V259"/>
  <c r="V311"/>
  <c r="V218"/>
  <c r="V234" s="1"/>
  <c r="V134"/>
  <c r="V160" s="1"/>
  <c r="W15"/>
  <c r="V112"/>
  <c r="V951"/>
  <c r="V946"/>
  <c r="U602"/>
  <c r="U578"/>
  <c r="U594"/>
  <c r="U586"/>
  <c r="E111" i="22"/>
  <c r="E103"/>
  <c r="E49"/>
  <c r="U532" i="20"/>
  <c r="U438"/>
  <c r="U485"/>
  <c r="U247"/>
  <c r="J124" i="21"/>
  <c r="K123"/>
  <c r="I126"/>
  <c r="I125"/>
  <c r="G208" i="58" l="1"/>
  <c r="G169"/>
  <c r="G99"/>
  <c r="J95" i="59"/>
  <c r="H7" i="58"/>
  <c r="E29" i="59"/>
  <c r="F180" i="58"/>
  <c r="F184" i="23"/>
  <c r="C4" i="69"/>
  <c r="I52" i="59"/>
  <c r="I48" s="1"/>
  <c r="CM41" i="19"/>
  <c r="I364" i="23"/>
  <c r="G14" i="59"/>
  <c r="C46" i="69"/>
  <c r="E52" i="59"/>
  <c r="F52" s="1"/>
  <c r="C37" i="69"/>
  <c r="F12" i="23"/>
  <c r="F471" s="1"/>
  <c r="I89" i="59"/>
  <c r="I85" s="1"/>
  <c r="G86"/>
  <c r="G362" i="23"/>
  <c r="G59" i="59" s="1"/>
  <c r="H59" s="1"/>
  <c r="F337" i="23"/>
  <c r="T342" i="20"/>
  <c r="G204" i="23"/>
  <c r="B81" i="66" s="1"/>
  <c r="G423" i="23"/>
  <c r="E364"/>
  <c r="U364" s="1"/>
  <c r="G42" i="59"/>
  <c r="E27" i="60" s="1"/>
  <c r="F11" i="58"/>
  <c r="F50" i="59"/>
  <c r="F33"/>
  <c r="O60"/>
  <c r="J60"/>
  <c r="J46"/>
  <c r="O46"/>
  <c r="O33"/>
  <c r="J33"/>
  <c r="I295" i="23"/>
  <c r="I288" i="58" s="1"/>
  <c r="I420" i="23"/>
  <c r="I415" i="58" s="1"/>
  <c r="I263" i="23"/>
  <c r="I256" i="58" s="1"/>
  <c r="I288" i="23"/>
  <c r="I281" i="58" s="1"/>
  <c r="I175" i="23"/>
  <c r="I168" i="58" s="1"/>
  <c r="I36" i="23"/>
  <c r="U36" s="1"/>
  <c r="I398"/>
  <c r="I393" i="58" s="1"/>
  <c r="I276" i="23"/>
  <c r="I269" i="58" s="1"/>
  <c r="I139" i="23"/>
  <c r="I132" i="58" s="1"/>
  <c r="I306" i="23"/>
  <c r="U306" s="1"/>
  <c r="I48"/>
  <c r="I41" i="58" s="1"/>
  <c r="I90" i="23"/>
  <c r="I83" i="58" s="1"/>
  <c r="I436" i="23"/>
  <c r="I431" i="58" s="1"/>
  <c r="I80" i="23"/>
  <c r="I73" i="58" s="1"/>
  <c r="I353" i="23"/>
  <c r="I346" i="58" s="1"/>
  <c r="I361" i="23"/>
  <c r="I354" i="58" s="1"/>
  <c r="I250" i="23"/>
  <c r="I243" i="58" s="1"/>
  <c r="I355" i="23"/>
  <c r="I348" i="58" s="1"/>
  <c r="I419" i="23"/>
  <c r="I414" i="58" s="1"/>
  <c r="I137" i="23"/>
  <c r="I130" i="58" s="1"/>
  <c r="I307" i="23"/>
  <c r="I300" i="58" s="1"/>
  <c r="I181" i="23"/>
  <c r="I174" i="58" s="1"/>
  <c r="I318" i="23"/>
  <c r="I311" i="58" s="1"/>
  <c r="I332" i="23"/>
  <c r="I325" i="58" s="1"/>
  <c r="I218" i="23"/>
  <c r="U218" s="1"/>
  <c r="I180"/>
  <c r="I173" i="58" s="1"/>
  <c r="I49" i="23"/>
  <c r="K23" i="20" s="1"/>
  <c r="I237" i="23"/>
  <c r="I230" i="58" s="1"/>
  <c r="I64" i="23"/>
  <c r="I57" i="58" s="1"/>
  <c r="I248" i="23"/>
  <c r="I241" i="58" s="1"/>
  <c r="U44" i="23"/>
  <c r="B6" i="69"/>
  <c r="U254" i="23"/>
  <c r="E260"/>
  <c r="K44" i="59"/>
  <c r="G29" i="60" s="1"/>
  <c r="B49" i="69"/>
  <c r="U144" i="23"/>
  <c r="E153"/>
  <c r="K58" i="59"/>
  <c r="B22" i="69"/>
  <c r="U426" i="23"/>
  <c r="E438"/>
  <c r="K78" i="59"/>
  <c r="K32"/>
  <c r="U197" i="23"/>
  <c r="B39" i="65"/>
  <c r="K37" i="59"/>
  <c r="G49" i="60" s="1"/>
  <c r="E221" i="23"/>
  <c r="U206"/>
  <c r="K39" i="59"/>
  <c r="B42" i="69"/>
  <c r="B43"/>
  <c r="G71" i="23"/>
  <c r="G18" i="59"/>
  <c r="E20" i="60" s="1"/>
  <c r="G142" i="23"/>
  <c r="G31" i="59"/>
  <c r="D32" i="69"/>
  <c r="B87" i="66"/>
  <c r="D38" i="69"/>
  <c r="D3" i="70"/>
  <c r="E7" i="23"/>
  <c r="D2" i="70" s="1"/>
  <c r="F61" i="59"/>
  <c r="B15" i="66"/>
  <c r="B44"/>
  <c r="B40" s="1"/>
  <c r="O18" i="59"/>
  <c r="J18"/>
  <c r="F30"/>
  <c r="F26"/>
  <c r="E10" i="67"/>
  <c r="D51" s="1"/>
  <c r="F2"/>
  <c r="O17" i="59"/>
  <c r="J17"/>
  <c r="O73"/>
  <c r="J73"/>
  <c r="I72"/>
  <c r="F88"/>
  <c r="F68"/>
  <c r="E70"/>
  <c r="E100"/>
  <c r="O31"/>
  <c r="J31"/>
  <c r="J37"/>
  <c r="O37"/>
  <c r="U272" i="23"/>
  <c r="U103"/>
  <c r="U46"/>
  <c r="U430"/>
  <c r="E451"/>
  <c r="E452" s="1"/>
  <c r="U434"/>
  <c r="G161"/>
  <c r="B85" i="66" s="1"/>
  <c r="C86" s="1"/>
  <c r="G33" i="23"/>
  <c r="G13" i="59" s="1"/>
  <c r="H452" i="23"/>
  <c r="I29" i="59"/>
  <c r="I149" i="23"/>
  <c r="I142" i="58" s="1"/>
  <c r="I160" i="23"/>
  <c r="I153" i="58" s="1"/>
  <c r="I176" i="23"/>
  <c r="I169" i="58" s="1"/>
  <c r="I105" i="23"/>
  <c r="I98" i="58" s="1"/>
  <c r="I125" i="23"/>
  <c r="U125" s="1"/>
  <c r="I251"/>
  <c r="I244" i="58" s="1"/>
  <c r="I147" i="23"/>
  <c r="I140" i="58" s="1"/>
  <c r="I314" i="23"/>
  <c r="I307" i="58" s="1"/>
  <c r="I238" i="23"/>
  <c r="I231" i="58" s="1"/>
  <c r="I335" i="23"/>
  <c r="I328" i="58" s="1"/>
  <c r="I52" i="23"/>
  <c r="I45" i="58" s="1"/>
  <c r="I316" i="23"/>
  <c r="I309" i="58" s="1"/>
  <c r="I449" i="23"/>
  <c r="I444" i="58" s="1"/>
  <c r="I208" i="23"/>
  <c r="I201" i="58" s="1"/>
  <c r="I132" i="23"/>
  <c r="U132" s="1"/>
  <c r="I394"/>
  <c r="I389" i="58" s="1"/>
  <c r="I433" i="23"/>
  <c r="I428" i="58" s="1"/>
  <c r="I369" i="23"/>
  <c r="I362" i="58" s="1"/>
  <c r="I236" i="23"/>
  <c r="I229" i="58" s="1"/>
  <c r="I148" i="23"/>
  <c r="I141" i="58" s="1"/>
  <c r="I110" i="23"/>
  <c r="U110" s="1"/>
  <c r="I150"/>
  <c r="I143" i="58" s="1"/>
  <c r="I435" i="23"/>
  <c r="I430" i="58" s="1"/>
  <c r="I88" i="23"/>
  <c r="I81" i="58" s="1"/>
  <c r="I47" i="23"/>
  <c r="C151" i="19" s="1"/>
  <c r="I212" i="23"/>
  <c r="I205" i="58" s="1"/>
  <c r="I224" i="23"/>
  <c r="U224" s="1"/>
  <c r="B38" i="69"/>
  <c r="U100" i="23"/>
  <c r="E120"/>
  <c r="U172"/>
  <c r="E177"/>
  <c r="U331"/>
  <c r="E336"/>
  <c r="K50" i="59" s="1"/>
  <c r="E329" i="23"/>
  <c r="U323"/>
  <c r="E56"/>
  <c r="U42"/>
  <c r="K16" i="59"/>
  <c r="B12" i="69"/>
  <c r="B31"/>
  <c r="E362" i="23"/>
  <c r="K19" i="59"/>
  <c r="B55" i="69"/>
  <c r="O40" i="59"/>
  <c r="N40"/>
  <c r="H40"/>
  <c r="N41"/>
  <c r="F26" i="60"/>
  <c r="H41" i="59"/>
  <c r="D57" i="69"/>
  <c r="F41" i="59"/>
  <c r="E26" i="60"/>
  <c r="O87" i="59"/>
  <c r="J87"/>
  <c r="F44"/>
  <c r="J69"/>
  <c r="O69"/>
  <c r="E35"/>
  <c r="F35" s="1"/>
  <c r="F38"/>
  <c r="F45"/>
  <c r="F17"/>
  <c r="J44"/>
  <c r="O44"/>
  <c r="I273" i="23"/>
  <c r="I266" i="58" s="1"/>
  <c r="I371" i="23"/>
  <c r="I364" i="58" s="1"/>
  <c r="I451" i="23"/>
  <c r="U360"/>
  <c r="U139"/>
  <c r="G28" i="59"/>
  <c r="G87"/>
  <c r="G380" i="23"/>
  <c r="C11" i="65"/>
  <c r="I256" i="23"/>
  <c r="I249" i="58" s="1"/>
  <c r="I106" i="23"/>
  <c r="U106" s="1"/>
  <c r="I282"/>
  <c r="I275" i="58" s="1"/>
  <c r="I280" i="23"/>
  <c r="U280" s="1"/>
  <c r="I348"/>
  <c r="I341" i="58" s="1"/>
  <c r="I145" i="23"/>
  <c r="I138" i="58" s="1"/>
  <c r="I112" i="23"/>
  <c r="I105" i="58" s="1"/>
  <c r="I26" i="23"/>
  <c r="I19" i="58" s="1"/>
  <c r="I135" i="23"/>
  <c r="I128" i="58" s="1"/>
  <c r="I326" i="23"/>
  <c r="I319" i="58" s="1"/>
  <c r="I431" i="23"/>
  <c r="I426" i="58" s="1"/>
  <c r="I399" i="23"/>
  <c r="U399" s="1"/>
  <c r="I283"/>
  <c r="I276" i="58" s="1"/>
  <c r="I400" i="23"/>
  <c r="I395" i="58" s="1"/>
  <c r="I164" i="23"/>
  <c r="I157" i="58" s="1"/>
  <c r="I324" i="23"/>
  <c r="U324" s="1"/>
  <c r="I354"/>
  <c r="I113"/>
  <c r="I106" i="58" s="1"/>
  <c r="I279" i="23"/>
  <c r="U279" s="1"/>
  <c r="I111"/>
  <c r="I104" i="58" s="1"/>
  <c r="I401" i="23"/>
  <c r="I396" i="58" s="1"/>
  <c r="I19" i="23"/>
  <c r="CB42" i="19" s="1"/>
  <c r="I173" i="23"/>
  <c r="I166" i="58" s="1"/>
  <c r="U73" i="23"/>
  <c r="E83"/>
  <c r="K22" i="59" s="1"/>
  <c r="G24" i="60" s="1"/>
  <c r="B8" i="69"/>
  <c r="B19"/>
  <c r="U408" i="23"/>
  <c r="E423"/>
  <c r="K42" i="59"/>
  <c r="E191" i="23"/>
  <c r="B15" i="69"/>
  <c r="U312" i="23"/>
  <c r="E321"/>
  <c r="E91"/>
  <c r="B5" i="69"/>
  <c r="E161" i="23"/>
  <c r="U155"/>
  <c r="U440"/>
  <c r="B37" i="65"/>
  <c r="B11"/>
  <c r="K82" i="59"/>
  <c r="E183" i="23"/>
  <c r="K24" i="59" s="1"/>
  <c r="U179" i="23"/>
  <c r="U58"/>
  <c r="E71"/>
  <c r="K18" i="59"/>
  <c r="G20" i="60" s="1"/>
  <c r="K15" i="59"/>
  <c r="U275" i="23"/>
  <c r="E290"/>
  <c r="K51" i="59"/>
  <c r="G53" i="60" s="1"/>
  <c r="G18" i="23"/>
  <c r="G23" s="1"/>
  <c r="N59" i="59"/>
  <c r="F59" i="60"/>
  <c r="G452" i="23"/>
  <c r="B75" i="66" s="1"/>
  <c r="D37" i="65"/>
  <c r="G82" i="59"/>
  <c r="G252" i="23"/>
  <c r="G46" i="59" s="1"/>
  <c r="D48" i="69"/>
  <c r="G199" i="23"/>
  <c r="D38" i="65"/>
  <c r="E36"/>
  <c r="B22" i="66"/>
  <c r="B47" s="1"/>
  <c r="B7" i="64"/>
  <c r="B22" i="67"/>
  <c r="B47" s="1"/>
  <c r="G36" i="59"/>
  <c r="N92"/>
  <c r="H92"/>
  <c r="O22"/>
  <c r="J22"/>
  <c r="F31"/>
  <c r="E42" i="60"/>
  <c r="O36" i="59"/>
  <c r="J36"/>
  <c r="I35"/>
  <c r="F349" i="23"/>
  <c r="I57" i="59"/>
  <c r="O58"/>
  <c r="J58"/>
  <c r="G58" i="60"/>
  <c r="F78" i="59"/>
  <c r="E77"/>
  <c r="F77" s="1"/>
  <c r="F54"/>
  <c r="F16"/>
  <c r="O50"/>
  <c r="J50"/>
  <c r="U80" i="23"/>
  <c r="U283"/>
  <c r="U333"/>
  <c r="U124"/>
  <c r="U239"/>
  <c r="U81"/>
  <c r="U315"/>
  <c r="G183"/>
  <c r="C6" i="65"/>
  <c r="C7" s="1"/>
  <c r="N83" i="59"/>
  <c r="I163" i="23"/>
  <c r="I156" i="58" s="1"/>
  <c r="I85" i="23"/>
  <c r="I78" i="58" s="1"/>
  <c r="I189" i="23"/>
  <c r="I182" i="58" s="1"/>
  <c r="I131" i="23"/>
  <c r="I124" i="58" s="1"/>
  <c r="I213" i="23"/>
  <c r="U213" s="1"/>
  <c r="I158"/>
  <c r="I151" i="58" s="1"/>
  <c r="I211" i="23"/>
  <c r="U211" s="1"/>
  <c r="I61"/>
  <c r="I54" i="58" s="1"/>
  <c r="I352" i="23"/>
  <c r="U352" s="1"/>
  <c r="I207"/>
  <c r="I190"/>
  <c r="I183" i="58" s="1"/>
  <c r="I327" i="23"/>
  <c r="I70"/>
  <c r="K22" i="20" s="1"/>
  <c r="I429" i="23"/>
  <c r="K81" i="20" s="1"/>
  <c r="L81" s="1"/>
  <c r="I198" i="23"/>
  <c r="K38" i="20" s="1"/>
  <c r="I159" i="23"/>
  <c r="CB60" i="19" s="1"/>
  <c r="CG60" s="1"/>
  <c r="I392" i="23"/>
  <c r="I387" i="58" s="1"/>
  <c r="I359" i="23"/>
  <c r="I362" s="1"/>
  <c r="I146"/>
  <c r="U146" s="1"/>
  <c r="I102"/>
  <c r="CB54" i="19" s="1"/>
  <c r="CG54" s="1"/>
  <c r="I308" i="23"/>
  <c r="I301" i="58" s="1"/>
  <c r="I443" i="23"/>
  <c r="U443" s="1"/>
  <c r="I396"/>
  <c r="I391" i="58" s="1"/>
  <c r="I289" i="23"/>
  <c r="I282" i="58" s="1"/>
  <c r="I216" i="23"/>
  <c r="I209" i="58" s="1"/>
  <c r="I50" i="23"/>
  <c r="I43" i="58" s="1"/>
  <c r="I210" i="23"/>
  <c r="I203" i="58" s="1"/>
  <c r="I427" i="23"/>
  <c r="I319"/>
  <c r="U319" s="1"/>
  <c r="I63"/>
  <c r="U63" s="1"/>
  <c r="I29"/>
  <c r="I22" i="58" s="1"/>
  <c r="I376" i="23"/>
  <c r="K69" i="20" s="1"/>
  <c r="I441" i="23"/>
  <c r="I436" i="58" s="1"/>
  <c r="I30" i="23"/>
  <c r="I23" i="58" s="1"/>
  <c r="I54" i="23"/>
  <c r="CB46" i="19" s="1"/>
  <c r="CG46" s="1"/>
  <c r="B56" i="69"/>
  <c r="U64" i="23"/>
  <c r="B24" i="69"/>
  <c r="U25" i="23"/>
  <c r="E33"/>
  <c r="B57" i="69"/>
  <c r="U431" i="23"/>
  <c r="K86" i="59"/>
  <c r="U387" i="23"/>
  <c r="B6" i="65"/>
  <c r="K69" i="59"/>
  <c r="U52" i="23"/>
  <c r="U292"/>
  <c r="E302"/>
  <c r="E199"/>
  <c r="U196"/>
  <c r="B5" i="64"/>
  <c r="B38" i="65"/>
  <c r="K36" i="59"/>
  <c r="U243" i="23"/>
  <c r="E252"/>
  <c r="K46" i="59" s="1"/>
  <c r="B48" i="69"/>
  <c r="K95" i="59"/>
  <c r="K20"/>
  <c r="G22" i="60" s="1"/>
  <c r="G83" i="23"/>
  <c r="G22" i="59" s="1"/>
  <c r="D8" i="69"/>
  <c r="G40" i="23"/>
  <c r="B77" i="66" s="1"/>
  <c r="G17" i="59"/>
  <c r="G187" i="23"/>
  <c r="G191" s="1"/>
  <c r="N19" i="59"/>
  <c r="F21" i="60"/>
  <c r="H19" i="59"/>
  <c r="G91" i="23"/>
  <c r="G21" i="59" s="1"/>
  <c r="E23" i="60" s="1"/>
  <c r="D5" i="69"/>
  <c r="G290" i="23"/>
  <c r="G51" i="59"/>
  <c r="E53" i="60" s="1"/>
  <c r="J54" i="59"/>
  <c r="O54"/>
  <c r="F27" i="67"/>
  <c r="E35"/>
  <c r="F82" i="59"/>
  <c r="E81"/>
  <c r="F81" s="1"/>
  <c r="J20"/>
  <c r="O20"/>
  <c r="O25"/>
  <c r="J25"/>
  <c r="F22"/>
  <c r="E35" i="66"/>
  <c r="F27"/>
  <c r="F21" i="59"/>
  <c r="J53"/>
  <c r="O53"/>
  <c r="O82"/>
  <c r="J82"/>
  <c r="I81"/>
  <c r="O49"/>
  <c r="J49"/>
  <c r="C10" i="71"/>
  <c r="E10" s="1"/>
  <c r="C3"/>
  <c r="E3" s="1"/>
  <c r="C8"/>
  <c r="E8" s="1"/>
  <c r="C18"/>
  <c r="E18" s="1"/>
  <c r="C9"/>
  <c r="E9" s="1"/>
  <c r="C6"/>
  <c r="E6" s="1"/>
  <c r="H268" i="23"/>
  <c r="E15" i="65"/>
  <c r="I453" i="23"/>
  <c r="U180"/>
  <c r="U70"/>
  <c r="U394"/>
  <c r="E453"/>
  <c r="G58" i="59"/>
  <c r="E58" i="60" s="1"/>
  <c r="G60" i="59"/>
  <c r="C10" i="65"/>
  <c r="E8"/>
  <c r="I69" i="23"/>
  <c r="CB44" i="19" s="1"/>
  <c r="CG44" s="1"/>
  <c r="I35" i="23"/>
  <c r="I28" i="58" s="1"/>
  <c r="I129" i="23"/>
  <c r="I122" i="58" s="1"/>
  <c r="I127" i="23"/>
  <c r="I120" i="58" s="1"/>
  <c r="I82" i="23"/>
  <c r="I75" i="58" s="1"/>
  <c r="I114" i="23"/>
  <c r="I107" i="58" s="1"/>
  <c r="I422" i="23"/>
  <c r="U422" s="1"/>
  <c r="I166"/>
  <c r="I159" i="58" s="1"/>
  <c r="I138" i="23"/>
  <c r="U138" s="1"/>
  <c r="I287"/>
  <c r="I280" i="58" s="1"/>
  <c r="I293" i="23"/>
  <c r="I286" i="58" s="1"/>
  <c r="I378" i="23"/>
  <c r="I371" i="58" s="1"/>
  <c r="I60" i="23"/>
  <c r="I53" i="58" s="1"/>
  <c r="I444" i="23"/>
  <c r="I439" i="58" s="1"/>
  <c r="I277" i="23"/>
  <c r="I270" i="58" s="1"/>
  <c r="I455" i="23"/>
  <c r="K88" i="20" s="1"/>
  <c r="I405" i="23"/>
  <c r="U405" s="1"/>
  <c r="I169"/>
  <c r="I162" i="58" s="1"/>
  <c r="I437" i="23"/>
  <c r="I432" i="58" s="1"/>
  <c r="I188" i="23"/>
  <c r="U188" s="1"/>
  <c r="I86"/>
  <c r="I79" i="58" s="1"/>
  <c r="I247" i="23"/>
  <c r="U247" s="1"/>
  <c r="I393"/>
  <c r="U393" s="1"/>
  <c r="I27"/>
  <c r="I20" i="58" s="1"/>
  <c r="I249" i="23"/>
  <c r="U249" s="1"/>
  <c r="I265"/>
  <c r="U265" s="1"/>
  <c r="I402"/>
  <c r="I397" i="58" s="1"/>
  <c r="I343" i="23"/>
  <c r="U343" s="1"/>
  <c r="I347"/>
  <c r="I340" i="58" s="1"/>
  <c r="I128" i="23"/>
  <c r="I121" i="58" s="1"/>
  <c r="I136" i="23"/>
  <c r="U136" s="1"/>
  <c r="I320"/>
  <c r="U320" s="1"/>
  <c r="I152"/>
  <c r="I145" i="58" s="1"/>
  <c r="B25" i="69"/>
  <c r="U93" i="23"/>
  <c r="B13" i="69"/>
  <c r="U207" i="23"/>
  <c r="K41" i="59"/>
  <c r="U49" i="23"/>
  <c r="B33" i="69"/>
  <c r="B7"/>
  <c r="U201" i="23"/>
  <c r="E204"/>
  <c r="E142"/>
  <c r="U122"/>
  <c r="K31" i="59"/>
  <c r="G42" i="60" s="1"/>
  <c r="E389" i="23"/>
  <c r="B3" i="65"/>
  <c r="K68" i="59"/>
  <c r="K38"/>
  <c r="U262" i="23"/>
  <c r="E267"/>
  <c r="K47" i="59"/>
  <c r="G32" i="60" s="1"/>
  <c r="E241" i="23"/>
  <c r="U235"/>
  <c r="K45" i="59"/>
  <c r="G25"/>
  <c r="D26" i="69"/>
  <c r="D18" s="1"/>
  <c r="D39" i="65"/>
  <c r="G37" i="59"/>
  <c r="G342" i="23"/>
  <c r="G335" i="58" s="1"/>
  <c r="G241" i="23"/>
  <c r="G45" i="59"/>
  <c r="F46"/>
  <c r="O79"/>
  <c r="J79"/>
  <c r="J61"/>
  <c r="O61"/>
  <c r="O43"/>
  <c r="J43"/>
  <c r="F51"/>
  <c r="O47"/>
  <c r="J47"/>
  <c r="O51"/>
  <c r="J51"/>
  <c r="I199" i="23"/>
  <c r="I192" i="58" s="1"/>
  <c r="U250" i="23"/>
  <c r="U401"/>
  <c r="U284"/>
  <c r="U420"/>
  <c r="E371"/>
  <c r="U164"/>
  <c r="U27"/>
  <c r="D29" i="69"/>
  <c r="G177" i="23"/>
  <c r="G321"/>
  <c r="G74" i="59"/>
  <c r="G95"/>
  <c r="G310" i="23"/>
  <c r="G336"/>
  <c r="G50" i="59" s="1"/>
  <c r="E21" i="60"/>
  <c r="H12" i="23"/>
  <c r="H471" s="1"/>
  <c r="I225"/>
  <c r="I37"/>
  <c r="U37" s="1"/>
  <c r="I22"/>
  <c r="I15" i="58" s="1"/>
  <c r="I346" i="23"/>
  <c r="U346" s="1"/>
  <c r="I21"/>
  <c r="I14" i="58" s="1"/>
  <c r="I325" i="23"/>
  <c r="I318" i="58" s="1"/>
  <c r="I245" i="23"/>
  <c r="I238" i="58" s="1"/>
  <c r="I95" i="23"/>
  <c r="C152" i="19" s="1"/>
  <c r="I115" i="23"/>
  <c r="U115" s="1"/>
  <c r="I397"/>
  <c r="U397" s="1"/>
  <c r="I174"/>
  <c r="I410"/>
  <c r="U410" s="1"/>
  <c r="I417"/>
  <c r="I412" i="58" s="1"/>
  <c r="I240" i="23"/>
  <c r="I233" i="58" s="1"/>
  <c r="I309" i="23"/>
  <c r="I302" i="58" s="1"/>
  <c r="I418" i="23"/>
  <c r="U418" s="1"/>
  <c r="I403"/>
  <c r="U403" s="1"/>
  <c r="I214"/>
  <c r="K45" i="20" s="1"/>
  <c r="I53" i="23"/>
  <c r="I46" i="58" s="1"/>
  <c r="I141" i="23"/>
  <c r="I134" i="58" s="1"/>
  <c r="I217" i="23"/>
  <c r="U217" s="1"/>
  <c r="I165"/>
  <c r="U165" s="1"/>
  <c r="I317"/>
  <c r="I310" i="58" s="1"/>
  <c r="I386" i="23"/>
  <c r="K71" i="20" s="1"/>
  <c r="I450" i="23"/>
  <c r="I445" i="58" s="1"/>
  <c r="I257" i="23"/>
  <c r="I250" i="58" s="1"/>
  <c r="I119" i="23"/>
  <c r="I112" i="58" s="1"/>
  <c r="I305" i="23"/>
  <c r="I298" i="58" s="1"/>
  <c r="I134" i="23"/>
  <c r="I127" i="58" s="1"/>
  <c r="K54" i="59"/>
  <c r="G56" i="60" s="1"/>
  <c r="U223" i="23"/>
  <c r="E233"/>
  <c r="U455"/>
  <c r="K92" i="59"/>
  <c r="U432" i="23"/>
  <c r="K87" i="59"/>
  <c r="U216" i="23"/>
  <c r="B40" i="69"/>
  <c r="B39"/>
  <c r="B34"/>
  <c r="K33" i="59"/>
  <c r="B23" i="69"/>
  <c r="U447" i="23"/>
  <c r="K89" i="59"/>
  <c r="G56" i="23"/>
  <c r="G16" i="59"/>
  <c r="D12" i="69"/>
  <c r="D11" s="1"/>
  <c r="G260" i="23"/>
  <c r="G44" i="59"/>
  <c r="E29" i="60" s="1"/>
  <c r="D49" i="69"/>
  <c r="B57" i="66"/>
  <c r="B82" s="1"/>
  <c r="G69" i="59"/>
  <c r="O88"/>
  <c r="H88"/>
  <c r="N88"/>
  <c r="F14"/>
  <c r="E17" i="60"/>
  <c r="F389" i="23"/>
  <c r="F424" s="1"/>
  <c r="I68" i="59"/>
  <c r="C3" i="65"/>
  <c r="F268" i="23"/>
  <c r="F338" s="1"/>
  <c r="C15" i="65"/>
  <c r="J13" i="59"/>
  <c r="O13"/>
  <c r="J30"/>
  <c r="O30"/>
  <c r="J78"/>
  <c r="O78"/>
  <c r="I77"/>
  <c r="F73"/>
  <c r="E72"/>
  <c r="F72" s="1"/>
  <c r="E10" i="66"/>
  <c r="D50" s="1"/>
  <c r="F2"/>
  <c r="E48" i="60"/>
  <c r="F36" i="59"/>
  <c r="F18"/>
  <c r="F20"/>
  <c r="U118" i="23"/>
  <c r="U48"/>
  <c r="U90"/>
  <c r="U263"/>
  <c r="U435"/>
  <c r="U276"/>
  <c r="U308"/>
  <c r="U347"/>
  <c r="U355"/>
  <c r="U307"/>
  <c r="U369"/>
  <c r="U31"/>
  <c r="U210"/>
  <c r="U113"/>
  <c r="U316"/>
  <c r="G32" i="59"/>
  <c r="G453" i="23"/>
  <c r="G406"/>
  <c r="G170"/>
  <c r="G30" i="59" s="1"/>
  <c r="E41" i="60" s="1"/>
  <c r="G302" i="23"/>
  <c r="G53" i="59" s="1"/>
  <c r="E55" i="60" s="1"/>
  <c r="C8" i="65"/>
  <c r="N15" i="59"/>
  <c r="C54" i="69"/>
  <c r="I294" i="23"/>
  <c r="I287" i="58" s="1"/>
  <c r="I313" i="23"/>
  <c r="U313" s="1"/>
  <c r="I130"/>
  <c r="U130" s="1"/>
  <c r="I372"/>
  <c r="U372" s="1"/>
  <c r="I226"/>
  <c r="I219" i="58" s="1"/>
  <c r="I20" i="23"/>
  <c r="I13" i="58" s="1"/>
  <c r="I59" i="23"/>
  <c r="U59" s="1"/>
  <c r="I76"/>
  <c r="U76" s="1"/>
  <c r="I209"/>
  <c r="U209" s="1"/>
  <c r="I133"/>
  <c r="U133" s="1"/>
  <c r="I104"/>
  <c r="I97" i="58" s="1"/>
  <c r="I367" i="23"/>
  <c r="U367" s="1"/>
  <c r="I411"/>
  <c r="I406" i="58" s="1"/>
  <c r="I413" i="23"/>
  <c r="U413" s="1"/>
  <c r="I379"/>
  <c r="U379" s="1"/>
  <c r="I156"/>
  <c r="I74"/>
  <c r="I67" i="58" s="1"/>
  <c r="I244" i="23"/>
  <c r="U244" s="1"/>
  <c r="I28"/>
  <c r="I21" i="58" s="1"/>
  <c r="I107" i="23"/>
  <c r="U107" s="1"/>
  <c r="I377"/>
  <c r="U377" s="1"/>
  <c r="I442"/>
  <c r="U442" s="1"/>
  <c r="I266"/>
  <c r="U266" s="1"/>
  <c r="I108"/>
  <c r="U108" s="1"/>
  <c r="I446"/>
  <c r="K84" i="20" s="1"/>
  <c r="I404" i="23"/>
  <c r="U404" s="1"/>
  <c r="I344"/>
  <c r="U344" s="1"/>
  <c r="I416"/>
  <c r="U416" s="1"/>
  <c r="I246"/>
  <c r="U246" s="1"/>
  <c r="I281"/>
  <c r="U281" s="1"/>
  <c r="I117"/>
  <c r="K29" i="20" s="1"/>
  <c r="AV603" s="1"/>
  <c r="E40" i="23"/>
  <c r="U39"/>
  <c r="K17" i="59"/>
  <c r="E23" i="23"/>
  <c r="U18"/>
  <c r="U176"/>
  <c r="B30" i="69"/>
  <c r="U116" i="23"/>
  <c r="K25" i="59"/>
  <c r="B26" i="69"/>
  <c r="E273" i="23"/>
  <c r="U271"/>
  <c r="B40" i="65"/>
  <c r="C35" s="1"/>
  <c r="K49" i="59"/>
  <c r="G51" i="60" s="1"/>
  <c r="E170" i="23"/>
  <c r="U163"/>
  <c r="U219"/>
  <c r="B41" i="69"/>
  <c r="K88" i="59"/>
  <c r="U105" i="23"/>
  <c r="B21" i="69"/>
  <c r="E310" i="23"/>
  <c r="U304"/>
  <c r="U391"/>
  <c r="E406"/>
  <c r="U441"/>
  <c r="B9" i="65"/>
  <c r="C9"/>
  <c r="E9"/>
  <c r="K83" i="59"/>
  <c r="L83" s="1"/>
  <c r="E349" i="23"/>
  <c r="K57" i="59"/>
  <c r="K14"/>
  <c r="B32" i="69"/>
  <c r="U101" i="23"/>
  <c r="K28" i="59"/>
  <c r="U427" i="23"/>
  <c r="B10" i="65"/>
  <c r="K79" i="59"/>
  <c r="G120" i="23"/>
  <c r="B91" i="66"/>
  <c r="G24" i="59"/>
  <c r="G273" i="23"/>
  <c r="D40" i="65"/>
  <c r="G49" i="59"/>
  <c r="E51" i="60" s="1"/>
  <c r="B21" i="67"/>
  <c r="B21" i="66"/>
  <c r="G38" i="59"/>
  <c r="E50" i="60" s="1"/>
  <c r="G267" i="23"/>
  <c r="G47" i="59"/>
  <c r="E32" i="60" s="1"/>
  <c r="G385" i="23"/>
  <c r="U385" s="1"/>
  <c r="G438"/>
  <c r="B73" i="66" s="1"/>
  <c r="B74" s="1"/>
  <c r="B67"/>
  <c r="G78" i="59"/>
  <c r="F3" i="70"/>
  <c r="G7" i="23"/>
  <c r="F2" i="70" s="1"/>
  <c r="O74" i="59"/>
  <c r="J74"/>
  <c r="F58"/>
  <c r="F98" i="23"/>
  <c r="F185" s="1"/>
  <c r="I12" i="59"/>
  <c r="B44" i="67"/>
  <c r="B40" s="1"/>
  <c r="B15"/>
  <c r="I23" i="59"/>
  <c r="J24"/>
  <c r="O24"/>
  <c r="H98" i="23"/>
  <c r="E12" i="59"/>
  <c r="E59" i="60"/>
  <c r="F59" i="59"/>
  <c r="F42"/>
  <c r="O16"/>
  <c r="G18" i="60"/>
  <c r="J16" i="59"/>
  <c r="F39"/>
  <c r="F53"/>
  <c r="F86"/>
  <c r="E85"/>
  <c r="F85" s="1"/>
  <c r="J39"/>
  <c r="O39"/>
  <c r="U145" i="23"/>
  <c r="U88"/>
  <c r="U189"/>
  <c r="U137"/>
  <c r="U327"/>
  <c r="U53"/>
  <c r="U428"/>
  <c r="U20"/>
  <c r="U314"/>
  <c r="U400"/>
  <c r="E95"/>
  <c r="K29" i="59" s="1"/>
  <c r="U168" i="23"/>
  <c r="G89" i="59"/>
  <c r="G153" i="23"/>
  <c r="G26" i="59" s="1"/>
  <c r="E37" i="60" s="1"/>
  <c r="G33" i="59"/>
  <c r="E44" i="60" s="1"/>
  <c r="G95" i="23"/>
  <c r="G29" i="59" s="1"/>
  <c r="H184" i="23"/>
  <c r="H337"/>
  <c r="H424"/>
  <c r="I157"/>
  <c r="I150" i="58" s="1"/>
  <c r="I45" i="23"/>
  <c r="I38" i="58" s="1"/>
  <c r="I43" i="23"/>
  <c r="U43" s="1"/>
  <c r="I62"/>
  <c r="U62" s="1"/>
  <c r="I365"/>
  <c r="U365" s="1"/>
  <c r="I55"/>
  <c r="U55" s="1"/>
  <c r="I278"/>
  <c r="U278" s="1"/>
  <c r="I167"/>
  <c r="U167" s="1"/>
  <c r="I414"/>
  <c r="U414" s="1"/>
  <c r="I123"/>
  <c r="I116" i="58" s="1"/>
  <c r="I32" i="23"/>
  <c r="U32" s="1"/>
  <c r="I334"/>
  <c r="I336" s="1"/>
  <c r="I329" i="58" s="1"/>
  <c r="I87" i="23"/>
  <c r="U87" s="1"/>
  <c r="I395"/>
  <c r="I390" i="58" s="1"/>
  <c r="I345" i="23"/>
  <c r="U345" s="1"/>
  <c r="I445"/>
  <c r="K82" i="20" s="1"/>
  <c r="AV671" s="1"/>
  <c r="I203" i="23"/>
  <c r="U203" s="1"/>
  <c r="I421"/>
  <c r="I286"/>
  <c r="U286" s="1"/>
  <c r="I215"/>
  <c r="U215" s="1"/>
  <c r="I51"/>
  <c r="U51" s="1"/>
  <c r="I126"/>
  <c r="I119" i="58" s="1"/>
  <c r="I285" i="23"/>
  <c r="K54" i="20" s="1"/>
  <c r="I448" i="23"/>
  <c r="K83" i="20" s="1"/>
  <c r="K177" s="1"/>
  <c r="I412" i="23"/>
  <c r="I407" i="58" s="1"/>
  <c r="I415" i="23"/>
  <c r="I264"/>
  <c r="I409"/>
  <c r="I404" i="58" s="1"/>
  <c r="I109" i="23"/>
  <c r="U109" s="1"/>
  <c r="I68"/>
  <c r="U68" s="1"/>
  <c r="I255"/>
  <c r="U255" s="1"/>
  <c r="U19"/>
  <c r="D83" i="70"/>
  <c r="U351" i="23"/>
  <c r="E357"/>
  <c r="K52" i="59"/>
  <c r="U376" i="23"/>
  <c r="E380"/>
  <c r="B20" i="69"/>
  <c r="B50"/>
  <c r="K74" i="59"/>
  <c r="U202" i="23"/>
  <c r="K40" i="59"/>
  <c r="U295" i="23"/>
  <c r="B58" i="69"/>
  <c r="U175" i="23"/>
  <c r="K27" i="59"/>
  <c r="G233" i="23"/>
  <c r="G43" i="59" s="1"/>
  <c r="E28" i="60" s="1"/>
  <c r="D47" i="69"/>
  <c r="F17" i="60"/>
  <c r="N14" i="59"/>
  <c r="H14"/>
  <c r="N86"/>
  <c r="H86"/>
  <c r="N27"/>
  <c r="F38" i="60"/>
  <c r="H27" i="59"/>
  <c r="G79"/>
  <c r="H79" s="1"/>
  <c r="G221" i="23"/>
  <c r="G214" i="58" s="1"/>
  <c r="G39" i="59"/>
  <c r="D42" i="69"/>
  <c r="D50"/>
  <c r="D58"/>
  <c r="F29" i="59"/>
  <c r="O59"/>
  <c r="J59"/>
  <c r="H349" i="23"/>
  <c r="E57" i="59"/>
  <c r="F47"/>
  <c r="Y4" i="64"/>
  <c r="AA4" s="1"/>
  <c r="B16"/>
  <c r="Y15" s="1"/>
  <c r="AA15" s="1"/>
  <c r="F43" i="59"/>
  <c r="F79"/>
  <c r="J21"/>
  <c r="O21"/>
  <c r="F24"/>
  <c r="E23"/>
  <c r="J45"/>
  <c r="G30" i="60"/>
  <c r="O45" i="59"/>
  <c r="O14"/>
  <c r="J14"/>
  <c r="E48"/>
  <c r="F49"/>
  <c r="G43" i="60"/>
  <c r="O32" i="59"/>
  <c r="J32"/>
  <c r="U131" i="23"/>
  <c r="U151"/>
  <c r="U245"/>
  <c r="U38"/>
  <c r="U348"/>
  <c r="U402"/>
  <c r="U238"/>
  <c r="U293"/>
  <c r="U388"/>
  <c r="U190"/>
  <c r="U150"/>
  <c r="G20" i="59"/>
  <c r="G371" i="23"/>
  <c r="G62" i="59" s="1"/>
  <c r="B92" i="66"/>
  <c r="G329" i="23"/>
  <c r="G54" i="59" s="1"/>
  <c r="G357" i="23"/>
  <c r="G61" i="59" s="1"/>
  <c r="F7" i="58"/>
  <c r="H17" i="20"/>
  <c r="F5" i="51"/>
  <c r="G6" i="58"/>
  <c r="D121" i="22"/>
  <c r="D122" s="1"/>
  <c r="D5" i="51"/>
  <c r="B121" i="22"/>
  <c r="B122" s="1"/>
  <c r="E6" i="58"/>
  <c r="H5" i="51"/>
  <c r="F121" i="22"/>
  <c r="F122" s="1"/>
  <c r="I6" i="58"/>
  <c r="I32"/>
  <c r="I206"/>
  <c r="I247"/>
  <c r="K20" i="20"/>
  <c r="AV588" s="1"/>
  <c r="I95" i="58"/>
  <c r="I422"/>
  <c r="I152"/>
  <c r="I63"/>
  <c r="I383"/>
  <c r="I355"/>
  <c r="I352"/>
  <c r="I369"/>
  <c r="I148"/>
  <c r="Q86" i="20"/>
  <c r="BB675" s="1"/>
  <c r="CB62" i="19"/>
  <c r="CG62" s="1"/>
  <c r="G369" i="58"/>
  <c r="N69" i="20"/>
  <c r="N36"/>
  <c r="G189" i="58"/>
  <c r="I189"/>
  <c r="I258"/>
  <c r="K36" i="20"/>
  <c r="M36" s="1"/>
  <c r="I117" i="58"/>
  <c r="F329"/>
  <c r="H54" i="20"/>
  <c r="F277" i="58"/>
  <c r="F255"/>
  <c r="F31"/>
  <c r="BY45" i="19"/>
  <c r="CD45" s="1"/>
  <c r="BY60"/>
  <c r="CD60" s="1"/>
  <c r="F152" i="58"/>
  <c r="CJ43" i="19"/>
  <c r="F212" i="58"/>
  <c r="H72" i="20"/>
  <c r="F382" i="58"/>
  <c r="F115"/>
  <c r="CJ45" i="19"/>
  <c r="F232" i="58"/>
  <c r="H82" i="20"/>
  <c r="F427" i="58"/>
  <c r="H22" i="20"/>
  <c r="F63" i="58"/>
  <c r="H45" i="20"/>
  <c r="F206" i="58"/>
  <c r="F86"/>
  <c r="F90"/>
  <c r="G353"/>
  <c r="N66" i="20"/>
  <c r="N88"/>
  <c r="G450" i="58"/>
  <c r="G26"/>
  <c r="G18"/>
  <c r="G370"/>
  <c r="G199"/>
  <c r="N38" i="20"/>
  <c r="G191" i="58"/>
  <c r="G228"/>
  <c r="N20" i="20"/>
  <c r="G32" i="58"/>
  <c r="N82" i="20"/>
  <c r="G427" i="58"/>
  <c r="CL47" i="19"/>
  <c r="H258" i="58"/>
  <c r="H268"/>
  <c r="H86"/>
  <c r="H90"/>
  <c r="H353"/>
  <c r="Q66" i="20"/>
  <c r="H12" i="58"/>
  <c r="CA42" i="19"/>
  <c r="CA60"/>
  <c r="CF60" s="1"/>
  <c r="H152" i="58"/>
  <c r="H228"/>
  <c r="H305"/>
  <c r="H325"/>
  <c r="H329"/>
  <c r="H386"/>
  <c r="F446"/>
  <c r="F37"/>
  <c r="H23" i="20"/>
  <c r="M23" s="1"/>
  <c r="CJ42" i="19"/>
  <c r="F195" i="58"/>
  <c r="F425"/>
  <c r="H84" i="20"/>
  <c r="M84" s="1"/>
  <c r="BY44" i="19"/>
  <c r="CD44" s="1"/>
  <c r="F62" i="58"/>
  <c r="F285"/>
  <c r="BY43" i="19"/>
  <c r="CD43" s="1"/>
  <c r="F24" i="58"/>
  <c r="H20" i="20"/>
  <c r="M20" s="1"/>
  <c r="F32" i="58"/>
  <c r="F386"/>
  <c r="H66" i="20"/>
  <c r="F353" i="58"/>
  <c r="N29" i="20"/>
  <c r="G109" i="58"/>
  <c r="G258"/>
  <c r="CK47" i="19"/>
  <c r="BZ45"/>
  <c r="CE45" s="1"/>
  <c r="G31" i="58"/>
  <c r="BZ57" i="19"/>
  <c r="CE57" s="1"/>
  <c r="G161" i="58"/>
  <c r="G181"/>
  <c r="M72" i="22"/>
  <c r="G184" i="58"/>
  <c r="G247"/>
  <c r="G236"/>
  <c r="G115"/>
  <c r="G255"/>
  <c r="BZ43" i="19"/>
  <c r="CE43" s="1"/>
  <c r="G24" i="58"/>
  <c r="BZ47" i="19"/>
  <c r="CE47" s="1"/>
  <c r="G35" i="58"/>
  <c r="BZ59" i="19"/>
  <c r="CE59" s="1"/>
  <c r="G144" i="58"/>
  <c r="G297"/>
  <c r="G66"/>
  <c r="CK41" i="19"/>
  <c r="N37" i="20"/>
  <c r="G190" i="58"/>
  <c r="G305"/>
  <c r="CA44" i="19"/>
  <c r="CF44" s="1"/>
  <c r="H62" i="58"/>
  <c r="CA55" i="19"/>
  <c r="CF55" s="1"/>
  <c r="H96" i="58"/>
  <c r="H216"/>
  <c r="H148"/>
  <c r="H236"/>
  <c r="H316"/>
  <c r="H322"/>
  <c r="CA43" i="19"/>
  <c r="CF43" s="1"/>
  <c r="H24" i="58"/>
  <c r="H194"/>
  <c r="H172"/>
  <c r="H66"/>
  <c r="Q54" i="20"/>
  <c r="H277" i="58"/>
  <c r="Q72" i="20"/>
  <c r="H382" i="58"/>
  <c r="Q78" i="20"/>
  <c r="H422" i="58"/>
  <c r="H247"/>
  <c r="F228"/>
  <c r="BY57" i="19"/>
  <c r="CD57" s="1"/>
  <c r="F161" i="58"/>
  <c r="F28"/>
  <c r="F33"/>
  <c r="F199"/>
  <c r="F214"/>
  <c r="F316"/>
  <c r="F322"/>
  <c r="F18"/>
  <c r="F26"/>
  <c r="H38" i="20"/>
  <c r="F191" i="58"/>
  <c r="J60" i="19"/>
  <c r="J154"/>
  <c r="J48"/>
  <c r="J142"/>
  <c r="G170" i="58"/>
  <c r="G165"/>
  <c r="G216"/>
  <c r="BZ46" i="19"/>
  <c r="CE46" s="1"/>
  <c r="G47" i="58"/>
  <c r="N54" i="20"/>
  <c r="G277" i="58"/>
  <c r="BZ53" i="19"/>
  <c r="CE53" s="1"/>
  <c r="G94" i="58"/>
  <c r="N72" i="20"/>
  <c r="G382" i="58"/>
  <c r="G418"/>
  <c r="G403"/>
  <c r="G344"/>
  <c r="G381"/>
  <c r="N90" i="20"/>
  <c r="G383" i="58"/>
  <c r="BZ62" i="19"/>
  <c r="CE62" s="1"/>
  <c r="G117" i="58"/>
  <c r="G172"/>
  <c r="N49" i="20"/>
  <c r="G264" i="58"/>
  <c r="N81" i="20"/>
  <c r="G421" i="58"/>
  <c r="CL43" i="19"/>
  <c r="H212" i="58"/>
  <c r="Q81" i="20"/>
  <c r="H433" i="58"/>
  <c r="H421"/>
  <c r="Q23" i="20"/>
  <c r="H37" i="58"/>
  <c r="H435"/>
  <c r="Q76" i="20"/>
  <c r="H447" i="58"/>
  <c r="Q82" i="20"/>
  <c r="H427" i="58"/>
  <c r="H199"/>
  <c r="H264"/>
  <c r="Q49" i="20"/>
  <c r="H344" i="58"/>
  <c r="CL45" i="19"/>
  <c r="H232" i="58"/>
  <c r="H74"/>
  <c r="E152" i="19"/>
  <c r="Q45" i="20"/>
  <c r="H206" i="58"/>
  <c r="H78" i="20"/>
  <c r="F422" i="58"/>
  <c r="F194"/>
  <c r="F381"/>
  <c r="H71" i="20"/>
  <c r="M71" s="1"/>
  <c r="AM56" i="19" s="1"/>
  <c r="BY46"/>
  <c r="CD46" s="1"/>
  <c r="F47" i="58"/>
  <c r="BY62" i="19"/>
  <c r="CD62" s="1"/>
  <c r="F117" i="58"/>
  <c r="H85" i="20"/>
  <c r="F423" i="58"/>
  <c r="F403"/>
  <c r="F418"/>
  <c r="H37" i="20"/>
  <c r="M37" s="1"/>
  <c r="CJ41" i="19"/>
  <c r="F190" i="58"/>
  <c r="G336"/>
  <c r="G78"/>
  <c r="G84"/>
  <c r="N45" i="20"/>
  <c r="G206" i="58"/>
  <c r="G51"/>
  <c r="G28"/>
  <c r="G265"/>
  <c r="N50" i="20"/>
  <c r="G182" i="58"/>
  <c r="M43" i="22"/>
  <c r="N76" i="20"/>
  <c r="G435" i="58"/>
  <c r="H195"/>
  <c r="CL42" i="19"/>
  <c r="H93" i="58"/>
  <c r="Q28" i="20"/>
  <c r="Q50"/>
  <c r="H265" i="58"/>
  <c r="E149" i="19"/>
  <c r="H39" i="58"/>
  <c r="H381"/>
  <c r="Q71" i="20"/>
  <c r="H181" i="58"/>
  <c r="H184"/>
  <c r="F78"/>
  <c r="F84"/>
  <c r="F305"/>
  <c r="F314"/>
  <c r="BY55" i="19"/>
  <c r="CD55" s="1"/>
  <c r="F96" i="58"/>
  <c r="F216"/>
  <c r="F247"/>
  <c r="F181"/>
  <c r="F184"/>
  <c r="L72" i="22"/>
  <c r="O72" s="1"/>
  <c r="F137" i="58"/>
  <c r="F421"/>
  <c r="F433"/>
  <c r="H81" i="20"/>
  <c r="M81" s="1"/>
  <c r="BY54" i="19"/>
  <c r="CD54" s="1"/>
  <c r="F95" i="58"/>
  <c r="N86" i="20"/>
  <c r="G442" i="58"/>
  <c r="G316"/>
  <c r="G355"/>
  <c r="N62" i="20"/>
  <c r="G352" i="58"/>
  <c r="G386"/>
  <c r="G152"/>
  <c r="BZ60" i="19"/>
  <c r="CE60" s="1"/>
  <c r="CK45"/>
  <c r="G232" i="58"/>
  <c r="N84" i="20"/>
  <c r="G425" i="58"/>
  <c r="H403"/>
  <c r="H418"/>
  <c r="H109"/>
  <c r="Q29" i="20"/>
  <c r="CA53" i="19"/>
  <c r="CF53" s="1"/>
  <c r="H94" i="58"/>
  <c r="Q22" i="20"/>
  <c r="H63" i="58"/>
  <c r="H28"/>
  <c r="H78"/>
  <c r="H84"/>
  <c r="Q62" i="20"/>
  <c r="H352" i="58"/>
  <c r="H355"/>
  <c r="CA57" i="19"/>
  <c r="CF57" s="1"/>
  <c r="H161" i="58"/>
  <c r="F336"/>
  <c r="F93"/>
  <c r="H28" i="20"/>
  <c r="H29"/>
  <c r="F109" i="58"/>
  <c r="F357"/>
  <c r="F258"/>
  <c r="CJ47" i="19"/>
  <c r="H62" i="20"/>
  <c r="F352" i="58"/>
  <c r="F355"/>
  <c r="F435"/>
  <c r="H76" i="20"/>
  <c r="H154" i="19"/>
  <c r="H60"/>
  <c r="H142"/>
  <c r="H48"/>
  <c r="G96" i="58"/>
  <c r="BZ55" i="19"/>
  <c r="CE55" s="1"/>
  <c r="N22" i="20"/>
  <c r="G63" i="58"/>
  <c r="G285"/>
  <c r="N78" i="20"/>
  <c r="G422" i="58"/>
  <c r="N83" i="20"/>
  <c r="G429" i="58"/>
  <c r="G148"/>
  <c r="G137"/>
  <c r="G357"/>
  <c r="H115"/>
  <c r="H255"/>
  <c r="CL41" i="19"/>
  <c r="Q37" i="20"/>
  <c r="H190" i="58"/>
  <c r="H336"/>
  <c r="Q85" i="20"/>
  <c r="H423" i="58"/>
  <c r="H165"/>
  <c r="H170"/>
  <c r="Q53" i="20"/>
  <c r="H308" i="58"/>
  <c r="E151" i="19"/>
  <c r="CA47"/>
  <c r="CF47" s="1"/>
  <c r="H35" i="58"/>
  <c r="H18"/>
  <c r="H26"/>
  <c r="E5"/>
  <c r="H50" i="20"/>
  <c r="M50" s="1"/>
  <c r="F265" i="58"/>
  <c r="F297"/>
  <c r="BY59" i="19"/>
  <c r="CD59" s="1"/>
  <c r="F144" i="58"/>
  <c r="F111"/>
  <c r="BY53" i="19"/>
  <c r="CD53" s="1"/>
  <c r="F94" i="58"/>
  <c r="F383"/>
  <c r="H90" i="20"/>
  <c r="F370" i="58"/>
  <c r="BY47" i="19"/>
  <c r="CD47" s="1"/>
  <c r="F49" i="58"/>
  <c r="F35"/>
  <c r="F182"/>
  <c r="L43" i="22"/>
  <c r="O43" s="1"/>
  <c r="F429" i="58"/>
  <c r="H83" i="20"/>
  <c r="F308" i="58"/>
  <c r="H53" i="20"/>
  <c r="K167" s="1"/>
  <c r="H56"/>
  <c r="H49"/>
  <c r="M49" s="1"/>
  <c r="F264" i="58"/>
  <c r="F442"/>
  <c r="F156"/>
  <c r="CK42" i="19"/>
  <c r="G195" i="58"/>
  <c r="N23" i="20"/>
  <c r="G37" i="58"/>
  <c r="CK43" i="19"/>
  <c r="G212" i="58"/>
  <c r="N85" i="20"/>
  <c r="G423" i="58"/>
  <c r="G268"/>
  <c r="G62"/>
  <c r="BZ44" i="19"/>
  <c r="CE44" s="1"/>
  <c r="G12" i="58"/>
  <c r="BZ42" i="19"/>
  <c r="G93" i="58"/>
  <c r="N53" i="20"/>
  <c r="G308" i="58"/>
  <c r="H297"/>
  <c r="H156"/>
  <c r="Q90" i="20"/>
  <c r="H383" i="58"/>
  <c r="CA59" i="19"/>
  <c r="CF59" s="1"/>
  <c r="H144" i="58"/>
  <c r="CA62" i="19"/>
  <c r="CF62" s="1"/>
  <c r="H117" i="58"/>
  <c r="CA54" i="19"/>
  <c r="CF54" s="1"/>
  <c r="H95" i="58"/>
  <c r="Q83" i="20"/>
  <c r="H429" i="58"/>
  <c r="H370"/>
  <c r="H32"/>
  <c r="Q20" i="20"/>
  <c r="X29" i="21"/>
  <c r="W32"/>
  <c r="G16" s="1"/>
  <c r="X30"/>
  <c r="X31" s="1"/>
  <c r="H15" s="1"/>
  <c r="F165" i="58"/>
  <c r="F170"/>
  <c r="F148"/>
  <c r="F12"/>
  <c r="BY42" i="19"/>
  <c r="H77" i="20"/>
  <c r="F448" i="58"/>
  <c r="H88" i="20"/>
  <c r="F450" i="58"/>
  <c r="F51"/>
  <c r="F66"/>
  <c r="F236"/>
  <c r="F344"/>
  <c r="F268"/>
  <c r="F283"/>
  <c r="F172"/>
  <c r="BZ54" i="19"/>
  <c r="CE54" s="1"/>
  <c r="G95" i="58"/>
  <c r="G325"/>
  <c r="G194"/>
  <c r="G86"/>
  <c r="G156"/>
  <c r="E169" i="19"/>
  <c r="H270" i="58"/>
  <c r="CA46" i="19"/>
  <c r="CF46" s="1"/>
  <c r="H47" i="58"/>
  <c r="H285"/>
  <c r="H51"/>
  <c r="Q38" i="20"/>
  <c r="H191" i="58"/>
  <c r="Q88" i="20"/>
  <c r="H450" i="58"/>
  <c r="H137"/>
  <c r="Q84" i="20"/>
  <c r="H425" i="58"/>
  <c r="CA45" i="19"/>
  <c r="CF45" s="1"/>
  <c r="H31" i="58"/>
  <c r="AP619" i="20"/>
  <c r="J36"/>
  <c r="G36"/>
  <c r="E152"/>
  <c r="D20" i="70" s="1"/>
  <c r="E158" i="20"/>
  <c r="D26" i="70" s="1"/>
  <c r="H158" i="20"/>
  <c r="E26" i="70" s="1"/>
  <c r="H152" i="20"/>
  <c r="E20" i="70" s="1"/>
  <c r="K155" i="20"/>
  <c r="L76"/>
  <c r="AV665"/>
  <c r="CG42" i="19"/>
  <c r="CB49"/>
  <c r="CB50" s="1"/>
  <c r="K263" i="20"/>
  <c r="AV634"/>
  <c r="AV637"/>
  <c r="CJ61" i="19"/>
  <c r="O96"/>
  <c r="AL46"/>
  <c r="L91" i="20"/>
  <c r="L71"/>
  <c r="L80"/>
  <c r="L79"/>
  <c r="L92"/>
  <c r="K73"/>
  <c r="D77" i="22"/>
  <c r="K439" i="20"/>
  <c r="K447"/>
  <c r="K454"/>
  <c r="K453"/>
  <c r="K441"/>
  <c r="K468"/>
  <c r="K445"/>
  <c r="K440"/>
  <c r="K449"/>
  <c r="K444"/>
  <c r="K446"/>
  <c r="K450"/>
  <c r="K460"/>
  <c r="K448"/>
  <c r="AV660"/>
  <c r="AV633"/>
  <c r="K251"/>
  <c r="AV620"/>
  <c r="K250"/>
  <c r="K176"/>
  <c r="K63"/>
  <c r="L83"/>
  <c r="AV672"/>
  <c r="Q223"/>
  <c r="BB651"/>
  <c r="L84"/>
  <c r="K178"/>
  <c r="AV673"/>
  <c r="AV619"/>
  <c r="K158"/>
  <c r="AV678"/>
  <c r="L88"/>
  <c r="AV594"/>
  <c r="K144"/>
  <c r="L72"/>
  <c r="AV661"/>
  <c r="AP657"/>
  <c r="G69"/>
  <c r="J69"/>
  <c r="T382"/>
  <c r="E88" i="58"/>
  <c r="AV639" i="20"/>
  <c r="M54"/>
  <c r="J156" i="16"/>
  <c r="J200" s="1"/>
  <c r="J49" s="1"/>
  <c r="O49" s="1"/>
  <c r="B59"/>
  <c r="O118" i="19" s="1"/>
  <c r="J141" i="16"/>
  <c r="J48" s="1"/>
  <c r="O48" s="1"/>
  <c r="I35"/>
  <c r="P108" i="19"/>
  <c r="D55" i="16"/>
  <c r="V346"/>
  <c r="V43"/>
  <c r="W35"/>
  <c r="W23"/>
  <c r="W43"/>
  <c r="W33"/>
  <c r="W21"/>
  <c r="V57"/>
  <c r="V54"/>
  <c r="W41"/>
  <c r="W31"/>
  <c r="W19"/>
  <c r="W40"/>
  <c r="W30"/>
  <c r="W18"/>
  <c r="AA12"/>
  <c r="W38"/>
  <c r="W29"/>
  <c r="W16"/>
  <c r="W37"/>
  <c r="W27"/>
  <c r="W14"/>
  <c r="V13"/>
  <c r="V97" i="19"/>
  <c r="V98" s="1"/>
  <c r="W46" i="16"/>
  <c r="W36"/>
  <c r="W25"/>
  <c r="W13"/>
  <c r="W44"/>
  <c r="W24"/>
  <c r="W12"/>
  <c r="L27"/>
  <c r="J284"/>
  <c r="J283" s="1"/>
  <c r="M256"/>
  <c r="M228" s="1"/>
  <c r="J229"/>
  <c r="J311"/>
  <c r="J310" s="1"/>
  <c r="Y291"/>
  <c r="Y264"/>
  <c r="Y209"/>
  <c r="AB237"/>
  <c r="P257"/>
  <c r="M284"/>
  <c r="P284" s="1"/>
  <c r="S284" s="1"/>
  <c r="V284" s="1"/>
  <c r="Y284" s="1"/>
  <c r="AB284" s="1"/>
  <c r="AE284" s="1"/>
  <c r="AH284" s="1"/>
  <c r="M229"/>
  <c r="M311"/>
  <c r="P311" s="1"/>
  <c r="S311" s="1"/>
  <c r="V311" s="1"/>
  <c r="M197"/>
  <c r="M194"/>
  <c r="M195" s="1"/>
  <c r="M181"/>
  <c r="M182" s="1"/>
  <c r="M184"/>
  <c r="S99" i="19"/>
  <c r="M21" i="16"/>
  <c r="R16"/>
  <c r="P16"/>
  <c r="J142"/>
  <c r="I27"/>
  <c r="T106" i="19"/>
  <c r="U24" i="16"/>
  <c r="J227"/>
  <c r="J309"/>
  <c r="J282"/>
  <c r="P262"/>
  <c r="P192"/>
  <c r="P207"/>
  <c r="P179"/>
  <c r="P166"/>
  <c r="P120"/>
  <c r="J362"/>
  <c r="P289"/>
  <c r="P235"/>
  <c r="P153"/>
  <c r="P61"/>
  <c r="P53"/>
  <c r="P392" s="1"/>
  <c r="S11"/>
  <c r="P81"/>
  <c r="P133"/>
  <c r="P31"/>
  <c r="U31" s="1"/>
  <c r="P30"/>
  <c r="P107"/>
  <c r="P94"/>
  <c r="H423"/>
  <c r="H426" s="1"/>
  <c r="M135"/>
  <c r="M136" s="1"/>
  <c r="M138"/>
  <c r="S292"/>
  <c r="S265"/>
  <c r="V238"/>
  <c r="S210"/>
  <c r="S14"/>
  <c r="X14" s="1"/>
  <c r="X13"/>
  <c r="Y301"/>
  <c r="Y274"/>
  <c r="AB247"/>
  <c r="Y219"/>
  <c r="Y230"/>
  <c r="AB258"/>
  <c r="Y312"/>
  <c r="Y285"/>
  <c r="S293"/>
  <c r="V239"/>
  <c r="S266"/>
  <c r="S211"/>
  <c r="S18" s="1"/>
  <c r="M83"/>
  <c r="M84" s="1"/>
  <c r="M86"/>
  <c r="M171"/>
  <c r="M168"/>
  <c r="M169" s="1"/>
  <c r="AH228"/>
  <c r="AH310"/>
  <c r="AH283"/>
  <c r="AK256"/>
  <c r="J201"/>
  <c r="S272"/>
  <c r="S217"/>
  <c r="S24" s="1"/>
  <c r="S299"/>
  <c r="V245"/>
  <c r="U105" i="19"/>
  <c r="X25" i="16"/>
  <c r="S111" i="19"/>
  <c r="R30" i="16"/>
  <c r="V240"/>
  <c r="S294"/>
  <c r="S267"/>
  <c r="S212"/>
  <c r="S19" s="1"/>
  <c r="AE311"/>
  <c r="AH311" s="1"/>
  <c r="J199"/>
  <c r="J38" s="1"/>
  <c r="O38" s="1"/>
  <c r="V270"/>
  <c r="Y243"/>
  <c r="V215"/>
  <c r="V297"/>
  <c r="X43"/>
  <c r="U113" i="19"/>
  <c r="O117"/>
  <c r="F50" i="16"/>
  <c r="T103" i="19"/>
  <c r="U23" i="16"/>
  <c r="V300"/>
  <c r="V273"/>
  <c r="V218"/>
  <c r="V25" s="1"/>
  <c r="Y246"/>
  <c r="U18"/>
  <c r="T101" i="19"/>
  <c r="R104"/>
  <c r="R107" s="1"/>
  <c r="R100"/>
  <c r="M112" i="16"/>
  <c r="M109"/>
  <c r="M110" s="1"/>
  <c r="S304"/>
  <c r="V250"/>
  <c r="S277"/>
  <c r="S222"/>
  <c r="U51"/>
  <c r="S51"/>
  <c r="O110" i="19"/>
  <c r="O112" s="1"/>
  <c r="O114" s="1"/>
  <c r="O116" s="1"/>
  <c r="P115" s="1"/>
  <c r="F29" i="16"/>
  <c r="B33"/>
  <c r="AB236"/>
  <c r="Y290"/>
  <c r="Y263"/>
  <c r="Y208"/>
  <c r="Y12" s="1"/>
  <c r="J27"/>
  <c r="O21"/>
  <c r="M99"/>
  <c r="M96"/>
  <c r="M97" s="1"/>
  <c r="G310"/>
  <c r="M255"/>
  <c r="F40"/>
  <c r="B56"/>
  <c r="O120" i="19" s="1"/>
  <c r="V244" i="16"/>
  <c r="S271"/>
  <c r="S216"/>
  <c r="S23" s="1"/>
  <c r="S298"/>
  <c r="M125"/>
  <c r="M122"/>
  <c r="M123" s="1"/>
  <c r="M158"/>
  <c r="M155"/>
  <c r="U19"/>
  <c r="T102" i="19"/>
  <c r="M254" i="16"/>
  <c r="J308"/>
  <c r="J281"/>
  <c r="J226"/>
  <c r="G283"/>
  <c r="J140"/>
  <c r="J37" s="1"/>
  <c r="O37" s="1"/>
  <c r="V569" i="20"/>
  <c r="V475"/>
  <c r="V522"/>
  <c r="X126"/>
  <c r="X125"/>
  <c r="Z566"/>
  <c r="AA472"/>
  <c r="Z519"/>
  <c r="Z419"/>
  <c r="BF789"/>
  <c r="V602"/>
  <c r="V594"/>
  <c r="V586"/>
  <c r="V578"/>
  <c r="Z123"/>
  <c r="Y124"/>
  <c r="U327"/>
  <c r="U323"/>
  <c r="T324"/>
  <c r="T325" s="1"/>
  <c r="W938"/>
  <c r="BH583"/>
  <c r="W428"/>
  <c r="W422"/>
  <c r="W218"/>
  <c r="W234" s="1"/>
  <c r="W270"/>
  <c r="W351"/>
  <c r="W385"/>
  <c r="W259"/>
  <c r="W345"/>
  <c r="W311"/>
  <c r="W134"/>
  <c r="W160" s="1"/>
  <c r="X15"/>
  <c r="W112"/>
  <c r="V361"/>
  <c r="V357"/>
  <c r="V353"/>
  <c r="U354"/>
  <c r="V371"/>
  <c r="W951"/>
  <c r="U942"/>
  <c r="W955"/>
  <c r="W958" s="1"/>
  <c r="BK837"/>
  <c r="BK895" s="1"/>
  <c r="BK757"/>
  <c r="U337"/>
  <c r="U333"/>
  <c r="T334"/>
  <c r="T335" s="1"/>
  <c r="T355"/>
  <c r="V532"/>
  <c r="V438"/>
  <c r="V485"/>
  <c r="V247"/>
  <c r="T315"/>
  <c r="U377"/>
  <c r="U373"/>
  <c r="T374"/>
  <c r="T375" s="1"/>
  <c r="W946"/>
  <c r="W260"/>
  <c r="V941"/>
  <c r="V940"/>
  <c r="BL666"/>
  <c r="AA208"/>
  <c r="AB77"/>
  <c r="AG478"/>
  <c r="AF431"/>
  <c r="U367"/>
  <c r="U363"/>
  <c r="T364"/>
  <c r="T365" s="1"/>
  <c r="U314"/>
  <c r="V313"/>
  <c r="V321"/>
  <c r="V317"/>
  <c r="V331"/>
  <c r="CI893"/>
  <c r="CI865"/>
  <c r="CI846"/>
  <c r="BG696"/>
  <c r="BG763"/>
  <c r="Q11" i="19" s="1"/>
  <c r="P4" i="68" s="1"/>
  <c r="P36" s="1"/>
  <c r="AN709" i="20"/>
  <c r="AN710" s="1"/>
  <c r="AN745"/>
  <c r="AN708"/>
  <c r="AO655"/>
  <c r="AN658"/>
  <c r="AO650"/>
  <c r="AO648"/>
  <c r="AO654"/>
  <c r="AO651"/>
  <c r="AO653"/>
  <c r="AO649"/>
  <c r="V248"/>
  <c r="K124" i="21"/>
  <c r="L123"/>
  <c r="J126"/>
  <c r="J125"/>
  <c r="AV591" i="20" l="1"/>
  <c r="M22"/>
  <c r="K85"/>
  <c r="L85" s="1"/>
  <c r="U335" i="23"/>
  <c r="O89" i="59"/>
  <c r="O52"/>
  <c r="K152" i="20"/>
  <c r="K175"/>
  <c r="AV670"/>
  <c r="AW670" s="1"/>
  <c r="U429" i="23"/>
  <c r="U181"/>
  <c r="I274" i="58"/>
  <c r="J89" i="59"/>
  <c r="U26" i="23"/>
  <c r="J52" i="59"/>
  <c r="U212" i="23"/>
  <c r="I191" i="58"/>
  <c r="U325" i="23"/>
  <c r="U112"/>
  <c r="F27" i="60"/>
  <c r="U318" i="23"/>
  <c r="U444"/>
  <c r="I183"/>
  <c r="U47"/>
  <c r="U21"/>
  <c r="E36" i="60"/>
  <c r="K194" i="20"/>
  <c r="G329" i="58"/>
  <c r="H42" i="59"/>
  <c r="U240" i="23"/>
  <c r="E368"/>
  <c r="K60" i="59" s="1"/>
  <c r="U353" i="23"/>
  <c r="U248"/>
  <c r="N42" i="59"/>
  <c r="G17" i="60"/>
  <c r="I177" i="23"/>
  <c r="I170" i="58" s="1"/>
  <c r="U398" i="23"/>
  <c r="U433"/>
  <c r="G447" i="58"/>
  <c r="U149" i="23"/>
  <c r="U257"/>
  <c r="M29" i="20"/>
  <c r="U60" i="23"/>
  <c r="U86"/>
  <c r="U111"/>
  <c r="U382" i="20"/>
  <c r="U117" i="23"/>
  <c r="U35"/>
  <c r="U129"/>
  <c r="U450"/>
  <c r="I267"/>
  <c r="K47" i="20" s="1"/>
  <c r="AV630" s="1"/>
  <c r="U342" i="23"/>
  <c r="I339" i="58"/>
  <c r="N71" i="20"/>
  <c r="M82"/>
  <c r="U436" i="23"/>
  <c r="I317" i="58"/>
  <c r="U288" i="23"/>
  <c r="U361"/>
  <c r="G88" i="58"/>
  <c r="K192" i="20"/>
  <c r="I204" i="23"/>
  <c r="K40" i="20" s="1"/>
  <c r="U30" i="23"/>
  <c r="U411"/>
  <c r="U198"/>
  <c r="U28"/>
  <c r="L82" i="20"/>
  <c r="K168"/>
  <c r="U166" i="23"/>
  <c r="U386"/>
  <c r="U158"/>
  <c r="U237"/>
  <c r="I321"/>
  <c r="M83" i="20"/>
  <c r="G433" i="58"/>
  <c r="U157" i="23"/>
  <c r="I306" i="58"/>
  <c r="U396" i="23"/>
  <c r="I204" i="58"/>
  <c r="U251" i="23"/>
  <c r="U332"/>
  <c r="I102" i="58"/>
  <c r="U287" i="23"/>
  <c r="U152"/>
  <c r="U148"/>
  <c r="AV621" i="20"/>
  <c r="AV704" s="1"/>
  <c r="K262"/>
  <c r="U160" i="23"/>
  <c r="K193" i="20"/>
  <c r="B93" i="66"/>
  <c r="I80" i="58"/>
  <c r="U448" i="23"/>
  <c r="M38" i="20"/>
  <c r="U82" i="23"/>
  <c r="I62" i="58"/>
  <c r="I345"/>
  <c r="I338"/>
  <c r="I97" i="23"/>
  <c r="I90" i="58" s="1"/>
  <c r="U141" i="23"/>
  <c r="I248" i="58"/>
  <c r="I25"/>
  <c r="U208" i="23"/>
  <c r="O85" i="59"/>
  <c r="J85"/>
  <c r="U104" i="23"/>
  <c r="I257" i="58"/>
  <c r="I409"/>
  <c r="U417" i="23"/>
  <c r="U256"/>
  <c r="U147"/>
  <c r="U412"/>
  <c r="I408" i="58"/>
  <c r="I158"/>
  <c r="U392" i="23"/>
  <c r="I394" i="58"/>
  <c r="I299"/>
  <c r="I278"/>
  <c r="R86" i="20"/>
  <c r="G52" i="59"/>
  <c r="N52" s="1"/>
  <c r="U29" i="23"/>
  <c r="I312" i="58"/>
  <c r="I126"/>
  <c r="U169" i="23"/>
  <c r="I405" i="58"/>
  <c r="U154" i="20"/>
  <c r="K159"/>
  <c r="K90"/>
  <c r="AV680" s="1"/>
  <c r="I271" i="58"/>
  <c r="I99"/>
  <c r="U226" i="23"/>
  <c r="U128"/>
  <c r="I161"/>
  <c r="I154" i="58" s="1"/>
  <c r="I413"/>
  <c r="I131"/>
  <c r="U54" i="23"/>
  <c r="U326"/>
  <c r="I196" i="58"/>
  <c r="I273"/>
  <c r="I153" i="23"/>
  <c r="I237" i="58"/>
  <c r="I233" i="23"/>
  <c r="I226" i="58" s="1"/>
  <c r="I400"/>
  <c r="K78" i="20"/>
  <c r="M78" s="1"/>
  <c r="I406" i="23"/>
  <c r="U406" s="1"/>
  <c r="U390" s="1"/>
  <c r="I329"/>
  <c r="I322" i="58" s="1"/>
  <c r="M53" i="20"/>
  <c r="I83" i="23"/>
  <c r="I76" i="58" s="1"/>
  <c r="I310" i="23"/>
  <c r="I303" i="58" s="1"/>
  <c r="I207"/>
  <c r="I30"/>
  <c r="I40" i="23"/>
  <c r="U40" s="1"/>
  <c r="U34" s="1"/>
  <c r="U305"/>
  <c r="U114"/>
  <c r="I217" i="58"/>
  <c r="U156" i="23"/>
  <c r="U409"/>
  <c r="I279" i="58"/>
  <c r="I36"/>
  <c r="I399"/>
  <c r="I23" i="23"/>
  <c r="B17" s="1"/>
  <c r="I381" i="58"/>
  <c r="I88"/>
  <c r="I242"/>
  <c r="I47"/>
  <c r="I139"/>
  <c r="I12"/>
  <c r="I29"/>
  <c r="AV674" i="20"/>
  <c r="U294" i="23"/>
  <c r="I357"/>
  <c r="K61" i="20" s="1"/>
  <c r="I302" i="23"/>
  <c r="U302" s="1"/>
  <c r="U291" s="1"/>
  <c r="I241"/>
  <c r="K41" i="20" s="1"/>
  <c r="I125" i="58"/>
  <c r="G322"/>
  <c r="I423" i="23"/>
  <c r="I418" i="58" s="1"/>
  <c r="I44"/>
  <c r="I358"/>
  <c r="I437"/>
  <c r="I392"/>
  <c r="I221" i="23"/>
  <c r="K44" i="20" s="1"/>
  <c r="AV627" s="1"/>
  <c r="F23" i="69"/>
  <c r="F25"/>
  <c r="F19"/>
  <c r="F21"/>
  <c r="D8" i="65"/>
  <c r="G180" i="58"/>
  <c r="D54" i="69"/>
  <c r="E60" s="1"/>
  <c r="F56" i="60"/>
  <c r="H54" i="59"/>
  <c r="N54"/>
  <c r="E56" i="60"/>
  <c r="N22" i="59"/>
  <c r="F24" i="60"/>
  <c r="H22" i="59"/>
  <c r="E24" i="60"/>
  <c r="M69" i="20"/>
  <c r="AV657"/>
  <c r="AX657" s="1"/>
  <c r="K27"/>
  <c r="AV599" s="1"/>
  <c r="I146" i="58"/>
  <c r="L60" i="59"/>
  <c r="P60"/>
  <c r="G36" i="60"/>
  <c r="F52"/>
  <c r="H50" i="59"/>
  <c r="N50"/>
  <c r="E52" i="60"/>
  <c r="N29" i="59"/>
  <c r="F40" i="60"/>
  <c r="H29" i="59"/>
  <c r="E40" i="60"/>
  <c r="P46" i="59"/>
  <c r="L46"/>
  <c r="G31" i="60"/>
  <c r="P50" i="59"/>
  <c r="L50"/>
  <c r="G52" i="60"/>
  <c r="H46" i="59"/>
  <c r="F31" i="60"/>
  <c r="N46" i="59"/>
  <c r="E31" i="60"/>
  <c r="I350" i="58"/>
  <c r="K162" i="20"/>
  <c r="M45"/>
  <c r="AV628"/>
  <c r="K346"/>
  <c r="N61" i="59"/>
  <c r="F60" i="60"/>
  <c r="H61" i="59"/>
  <c r="E55"/>
  <c r="F55" s="1"/>
  <c r="F48"/>
  <c r="H39"/>
  <c r="N39"/>
  <c r="F25" i="60"/>
  <c r="P40" i="59"/>
  <c r="L40"/>
  <c r="K30"/>
  <c r="N53"/>
  <c r="F55" i="60"/>
  <c r="H53" i="59"/>
  <c r="I100"/>
  <c r="O100" s="1"/>
  <c r="O68"/>
  <c r="J68"/>
  <c r="I70"/>
  <c r="N16"/>
  <c r="F18" i="60"/>
  <c r="H16" i="59"/>
  <c r="L92"/>
  <c r="P92"/>
  <c r="Y3" i="64"/>
  <c r="AA3" s="1"/>
  <c r="B15"/>
  <c r="Y14" s="1"/>
  <c r="AA14" s="1"/>
  <c r="F6" i="65"/>
  <c r="B7"/>
  <c r="F7" s="1"/>
  <c r="G268" i="23"/>
  <c r="D15" i="65"/>
  <c r="L82" i="59"/>
  <c r="P82"/>
  <c r="K81"/>
  <c r="J29"/>
  <c r="G40" i="60"/>
  <c r="O29" i="59"/>
  <c r="P44"/>
  <c r="L44"/>
  <c r="U415" i="23"/>
  <c r="D46" i="69"/>
  <c r="U95" i="23"/>
  <c r="B29" i="69"/>
  <c r="I110" i="58"/>
  <c r="I337"/>
  <c r="I259"/>
  <c r="I372"/>
  <c r="I52"/>
  <c r="I123"/>
  <c r="U134" i="23"/>
  <c r="I252"/>
  <c r="U252" s="1"/>
  <c r="U242" s="1"/>
  <c r="D6" i="65"/>
  <c r="F22" i="69"/>
  <c r="U123" i="23"/>
  <c r="U69"/>
  <c r="CM47" i="19"/>
  <c r="I240" i="58"/>
  <c r="U45" i="23"/>
  <c r="I170"/>
  <c r="U170" s="1"/>
  <c r="U162" s="1"/>
  <c r="U173"/>
  <c r="U50"/>
  <c r="I349"/>
  <c r="B4" i="69"/>
  <c r="U187" i="23"/>
  <c r="U83"/>
  <c r="U72" s="1"/>
  <c r="U449"/>
  <c r="U445"/>
  <c r="U135"/>
  <c r="U236"/>
  <c r="B37" i="69"/>
  <c r="U395" i="23"/>
  <c r="U419"/>
  <c r="I438"/>
  <c r="I433" i="58" s="1"/>
  <c r="N26" i="59"/>
  <c r="E60" i="60"/>
  <c r="I211" i="58"/>
  <c r="J23" i="59"/>
  <c r="O23"/>
  <c r="H47"/>
  <c r="N47"/>
  <c r="F32" i="60"/>
  <c r="G23" i="59"/>
  <c r="F36" i="60"/>
  <c r="H24" i="59"/>
  <c r="N24"/>
  <c r="P28"/>
  <c r="L28"/>
  <c r="G39" i="60"/>
  <c r="G2" i="66"/>
  <c r="F10"/>
  <c r="E50" s="1"/>
  <c r="H69" i="59"/>
  <c r="N69"/>
  <c r="D16" i="69"/>
  <c r="E16"/>
  <c r="N37" i="59"/>
  <c r="F49" i="60"/>
  <c r="H37" i="59"/>
  <c r="E49" i="60"/>
  <c r="L31" i="59"/>
  <c r="P31"/>
  <c r="F58" i="60"/>
  <c r="N58" i="59"/>
  <c r="H58"/>
  <c r="L20"/>
  <c r="P20"/>
  <c r="B4" i="64"/>
  <c r="B14" s="1"/>
  <c r="L69" i="59"/>
  <c r="P69"/>
  <c r="J35"/>
  <c r="O35"/>
  <c r="D35" i="65"/>
  <c r="L15" i="59"/>
  <c r="P15"/>
  <c r="H31"/>
  <c r="F42" i="60"/>
  <c r="N31" i="59"/>
  <c r="BF783" i="20"/>
  <c r="N79" i="59"/>
  <c r="I443" i="58"/>
  <c r="I208"/>
  <c r="I440"/>
  <c r="I327"/>
  <c r="I160"/>
  <c r="I55"/>
  <c r="I452" i="23"/>
  <c r="U452" s="1"/>
  <c r="U439" s="1"/>
  <c r="I71"/>
  <c r="I210" i="58"/>
  <c r="I398"/>
  <c r="I108"/>
  <c r="I218"/>
  <c r="U267" i="23"/>
  <c r="U261" s="1"/>
  <c r="U127"/>
  <c r="I56" i="58"/>
  <c r="I438"/>
  <c r="K62" i="20"/>
  <c r="I424" i="58"/>
  <c r="I200"/>
  <c r="U437" i="23"/>
  <c r="I33"/>
  <c r="I26" i="58" s="1"/>
  <c r="U183" i="23"/>
  <c r="U178" s="1"/>
  <c r="I347" i="58"/>
  <c r="U359" i="23"/>
  <c r="I40" i="58"/>
  <c r="I103"/>
  <c r="I118"/>
  <c r="U282" i="23"/>
  <c r="U354"/>
  <c r="U61"/>
  <c r="F57" i="59"/>
  <c r="H454" i="23"/>
  <c r="H456" s="1"/>
  <c r="H370" s="1"/>
  <c r="H373" s="1"/>
  <c r="H459"/>
  <c r="P25" i="59"/>
  <c r="L25"/>
  <c r="N32"/>
  <c r="H32"/>
  <c r="F43" i="60"/>
  <c r="E43"/>
  <c r="C16" i="65"/>
  <c r="D27" i="69"/>
  <c r="E27"/>
  <c r="L33" i="59"/>
  <c r="P33"/>
  <c r="L87"/>
  <c r="P87"/>
  <c r="L47"/>
  <c r="P47"/>
  <c r="N60"/>
  <c r="H60"/>
  <c r="I55"/>
  <c r="O48"/>
  <c r="J48"/>
  <c r="G27" i="67"/>
  <c r="F35"/>
  <c r="P36" i="59"/>
  <c r="L36"/>
  <c r="K13"/>
  <c r="U362" i="23"/>
  <c r="U358" s="1"/>
  <c r="K59" i="59"/>
  <c r="E184" i="23"/>
  <c r="O72" i="59"/>
  <c r="J72"/>
  <c r="L39"/>
  <c r="P39"/>
  <c r="P78"/>
  <c r="L78"/>
  <c r="K77"/>
  <c r="G380" i="58"/>
  <c r="G337" i="23"/>
  <c r="I411" i="58"/>
  <c r="I101"/>
  <c r="I100"/>
  <c r="I149"/>
  <c r="I360"/>
  <c r="I69"/>
  <c r="I365"/>
  <c r="U285" i="23"/>
  <c r="I120"/>
  <c r="U120" s="1"/>
  <c r="U99" s="1"/>
  <c r="U309"/>
  <c r="I129" i="58"/>
  <c r="I388"/>
  <c r="C169" i="19"/>
  <c r="I417" i="58"/>
  <c r="U174" i="23"/>
  <c r="G12" i="60"/>
  <c r="I91" i="23"/>
  <c r="I84" i="58" s="1"/>
  <c r="U159" i="23"/>
  <c r="I191"/>
  <c r="I184" i="58" s="1"/>
  <c r="B76" i="66"/>
  <c r="U102" i="23"/>
  <c r="U22"/>
  <c r="N20" i="59"/>
  <c r="F22" i="60"/>
  <c r="H20" i="59"/>
  <c r="N89"/>
  <c r="H89"/>
  <c r="G389" i="23"/>
  <c r="G424" s="1"/>
  <c r="D3" i="65"/>
  <c r="C4" i="71" s="1"/>
  <c r="E4" s="1"/>
  <c r="B55" i="66"/>
  <c r="B58" s="1"/>
  <c r="G68" i="59"/>
  <c r="K73"/>
  <c r="N74"/>
  <c r="H74"/>
  <c r="G349" i="23"/>
  <c r="G57" i="59"/>
  <c r="N57" s="1"/>
  <c r="E424" i="23"/>
  <c r="N21" i="59"/>
  <c r="F23" i="60"/>
  <c r="H21" i="59"/>
  <c r="P22"/>
  <c r="L22"/>
  <c r="O57"/>
  <c r="G57" i="60"/>
  <c r="J57" i="59"/>
  <c r="L24"/>
  <c r="P24"/>
  <c r="N13"/>
  <c r="H13"/>
  <c r="U153" i="23"/>
  <c r="U143" s="1"/>
  <c r="K26" i="59"/>
  <c r="U241" i="23"/>
  <c r="U234" s="1"/>
  <c r="E97"/>
  <c r="E98" s="1"/>
  <c r="G97"/>
  <c r="G98" s="1"/>
  <c r="U453"/>
  <c r="U119"/>
  <c r="I260"/>
  <c r="U260" s="1"/>
  <c r="U253" s="1"/>
  <c r="I142"/>
  <c r="U142" s="1"/>
  <c r="U121" s="1"/>
  <c r="D11" i="65"/>
  <c r="F11" s="1"/>
  <c r="B18" i="69"/>
  <c r="U378" i="23"/>
  <c r="U225"/>
  <c r="U74"/>
  <c r="U126"/>
  <c r="L27" i="59"/>
  <c r="G38" i="60"/>
  <c r="P27" i="59"/>
  <c r="U357" i="23"/>
  <c r="U350" s="1"/>
  <c r="K61" i="59"/>
  <c r="F37" i="60"/>
  <c r="H26" i="59"/>
  <c r="F51" i="60"/>
  <c r="N49" i="59"/>
  <c r="H49"/>
  <c r="L79"/>
  <c r="P79"/>
  <c r="P57"/>
  <c r="L57"/>
  <c r="E337" i="23"/>
  <c r="U273"/>
  <c r="U270" s="1"/>
  <c r="P17" i="59"/>
  <c r="L17"/>
  <c r="P54"/>
  <c r="L54"/>
  <c r="N95"/>
  <c r="H95"/>
  <c r="Y5" i="64"/>
  <c r="AA5" s="1"/>
  <c r="B17"/>
  <c r="Y16" s="1"/>
  <c r="AA16" s="1"/>
  <c r="L51" i="59"/>
  <c r="P51"/>
  <c r="L19"/>
  <c r="G21" i="60"/>
  <c r="P19" i="59"/>
  <c r="G2" i="67"/>
  <c r="F10"/>
  <c r="E51" s="1"/>
  <c r="P32" i="59"/>
  <c r="L32"/>
  <c r="U421" i="23"/>
  <c r="G25" i="60"/>
  <c r="U446" i="23"/>
  <c r="I239" i="58"/>
  <c r="I441"/>
  <c r="I370"/>
  <c r="I202"/>
  <c r="U334" i="23"/>
  <c r="U277"/>
  <c r="I368"/>
  <c r="U368" s="1"/>
  <c r="U363" s="1"/>
  <c r="I313" i="58"/>
  <c r="I336"/>
  <c r="I181"/>
  <c r="I450"/>
  <c r="D4" i="69"/>
  <c r="E18" i="60"/>
  <c r="F24" i="69"/>
  <c r="F20"/>
  <c r="U317" i="23"/>
  <c r="D37" i="69"/>
  <c r="I42" i="58"/>
  <c r="H62" i="59"/>
  <c r="N62"/>
  <c r="N33"/>
  <c r="F44" i="60"/>
  <c r="H33" i="59"/>
  <c r="F468" i="23"/>
  <c r="F466"/>
  <c r="F467"/>
  <c r="F465"/>
  <c r="B16" i="67"/>
  <c r="B46"/>
  <c r="B41" s="1"/>
  <c r="L88" i="59"/>
  <c r="P88"/>
  <c r="K12"/>
  <c r="J77"/>
  <c r="O77"/>
  <c r="N44"/>
  <c r="F29" i="60"/>
  <c r="H44" i="59"/>
  <c r="N45"/>
  <c r="F30" i="60"/>
  <c r="H45" i="59"/>
  <c r="P45"/>
  <c r="L45"/>
  <c r="L68"/>
  <c r="K100"/>
  <c r="P100" s="1"/>
  <c r="K70"/>
  <c r="P68"/>
  <c r="N17"/>
  <c r="F19" i="60"/>
  <c r="H17" i="59"/>
  <c r="K53"/>
  <c r="K48" s="1"/>
  <c r="G81"/>
  <c r="H82"/>
  <c r="N82"/>
  <c r="B8" i="65"/>
  <c r="F8" s="1"/>
  <c r="N28" i="59"/>
  <c r="F39" i="60"/>
  <c r="H28" i="59"/>
  <c r="E39" i="60"/>
  <c r="E75" i="59"/>
  <c r="F70"/>
  <c r="P58"/>
  <c r="L58"/>
  <c r="I56" i="23"/>
  <c r="U56" s="1"/>
  <c r="U41" s="1"/>
  <c r="D10" i="65"/>
  <c r="F10" s="1"/>
  <c r="I61" i="58"/>
  <c r="I410"/>
  <c r="I416"/>
  <c r="I48"/>
  <c r="H185" i="23"/>
  <c r="I167" i="58"/>
  <c r="B46" i="69"/>
  <c r="U289" i="23"/>
  <c r="I320" i="58"/>
  <c r="G11"/>
  <c r="U321" i="23"/>
  <c r="U311" s="1"/>
  <c r="I272" i="58"/>
  <c r="E30" i="60"/>
  <c r="U177" i="23"/>
  <c r="U171" s="1"/>
  <c r="U264"/>
  <c r="U214"/>
  <c r="P29" i="59"/>
  <c r="L29"/>
  <c r="L74"/>
  <c r="P74"/>
  <c r="P52"/>
  <c r="L52"/>
  <c r="E11"/>
  <c r="F11" s="1"/>
  <c r="F12"/>
  <c r="F67" i="60"/>
  <c r="I11" i="59"/>
  <c r="J12"/>
  <c r="O12"/>
  <c r="H78"/>
  <c r="G77"/>
  <c r="B16" i="66"/>
  <c r="B46"/>
  <c r="B41" s="1"/>
  <c r="L14" i="59"/>
  <c r="P14"/>
  <c r="B59" i="66"/>
  <c r="B88" s="1"/>
  <c r="G73" i="59"/>
  <c r="P89"/>
  <c r="L89"/>
  <c r="K43"/>
  <c r="K35" s="1"/>
  <c r="U371" i="23"/>
  <c r="K62" i="59"/>
  <c r="N25"/>
  <c r="F12" i="60"/>
  <c r="H25" i="59"/>
  <c r="E12" i="60"/>
  <c r="N51" i="59"/>
  <c r="F53" i="60"/>
  <c r="H51" i="59"/>
  <c r="U199" i="23"/>
  <c r="U195" s="1"/>
  <c r="E268"/>
  <c r="B15" i="65"/>
  <c r="P86" i="59"/>
  <c r="K85"/>
  <c r="L86"/>
  <c r="N36"/>
  <c r="F48" i="60"/>
  <c r="G35" i="59"/>
  <c r="H36"/>
  <c r="G12"/>
  <c r="U71" i="23"/>
  <c r="U57" s="1"/>
  <c r="E12"/>
  <c r="H87" i="59"/>
  <c r="N87"/>
  <c r="P16"/>
  <c r="L16"/>
  <c r="G12" i="23"/>
  <c r="G471" s="1"/>
  <c r="B79" i="66"/>
  <c r="B80" s="1"/>
  <c r="G85" i="59"/>
  <c r="E22" i="60"/>
  <c r="U204" i="23"/>
  <c r="U200" s="1"/>
  <c r="I380"/>
  <c r="I373" i="58" s="1"/>
  <c r="G48" i="60"/>
  <c r="U85" i="23"/>
  <c r="I389"/>
  <c r="B54" i="69"/>
  <c r="G19" i="60"/>
  <c r="G44"/>
  <c r="F23" i="59"/>
  <c r="N43"/>
  <c r="F28" i="60"/>
  <c r="H43" i="59"/>
  <c r="F50" i="60"/>
  <c r="N38" i="59"/>
  <c r="H38"/>
  <c r="G184" i="23"/>
  <c r="G177" i="58" s="1"/>
  <c r="B83" i="66"/>
  <c r="C84" s="1"/>
  <c r="P49" i="59"/>
  <c r="L49"/>
  <c r="N30"/>
  <c r="F41" i="60"/>
  <c r="H30" i="59"/>
  <c r="F459" i="23"/>
  <c r="I97" i="59" s="1"/>
  <c r="F454" i="23"/>
  <c r="F456" s="1"/>
  <c r="F370" s="1"/>
  <c r="B70" i="66"/>
  <c r="D35" i="69"/>
  <c r="E35"/>
  <c r="P38" i="59"/>
  <c r="L38"/>
  <c r="G50" i="60"/>
  <c r="L41" i="59"/>
  <c r="P41"/>
  <c r="G26" i="60"/>
  <c r="O81" i="59"/>
  <c r="J81"/>
  <c r="F35" i="66"/>
  <c r="G27"/>
  <c r="P95" i="59"/>
  <c r="L95"/>
  <c r="P18"/>
  <c r="L18"/>
  <c r="K21"/>
  <c r="P42"/>
  <c r="L42"/>
  <c r="G27" i="60"/>
  <c r="F20"/>
  <c r="H18" i="59"/>
  <c r="N18"/>
  <c r="P37"/>
  <c r="L37"/>
  <c r="E25" i="60"/>
  <c r="D9" i="65"/>
  <c r="F9" s="1"/>
  <c r="G54" i="60"/>
  <c r="F26" i="69"/>
  <c r="H338" i="23"/>
  <c r="N78" i="59"/>
  <c r="I290" i="23"/>
  <c r="U290" s="1"/>
  <c r="U274" s="1"/>
  <c r="E19" i="60"/>
  <c r="B11" i="69"/>
  <c r="U336" i="23"/>
  <c r="U330" s="1"/>
  <c r="E35" i="65"/>
  <c r="U451" i="23"/>
  <c r="K66" i="20"/>
  <c r="U342"/>
  <c r="V942"/>
  <c r="H239"/>
  <c r="AS584"/>
  <c r="C87" i="22"/>
  <c r="L7" s="1"/>
  <c r="H135" i="20"/>
  <c r="G7" i="58"/>
  <c r="N17" i="20"/>
  <c r="E7" i="58"/>
  <c r="E17" i="20"/>
  <c r="I357" i="58"/>
  <c r="I7"/>
  <c r="K17" i="20"/>
  <c r="E124" i="58"/>
  <c r="E110"/>
  <c r="E243"/>
  <c r="E42"/>
  <c r="E162"/>
  <c r="E424"/>
  <c r="E153"/>
  <c r="E45"/>
  <c r="E183"/>
  <c r="E362"/>
  <c r="E244"/>
  <c r="E348"/>
  <c r="E346"/>
  <c r="E271"/>
  <c r="E338"/>
  <c r="E365"/>
  <c r="E439"/>
  <c r="E313"/>
  <c r="E86"/>
  <c r="E79"/>
  <c r="E317"/>
  <c r="E436"/>
  <c r="E400"/>
  <c r="E20"/>
  <c r="E287"/>
  <c r="E438"/>
  <c r="E167"/>
  <c r="K77" i="20"/>
  <c r="I448" i="58"/>
  <c r="E143"/>
  <c r="E127"/>
  <c r="E159"/>
  <c r="E112"/>
  <c r="E69"/>
  <c r="E310"/>
  <c r="E15"/>
  <c r="E168"/>
  <c r="E395"/>
  <c r="E67"/>
  <c r="E41"/>
  <c r="E116"/>
  <c r="E237"/>
  <c r="E416"/>
  <c r="E53"/>
  <c r="E142"/>
  <c r="E278"/>
  <c r="E341"/>
  <c r="E105"/>
  <c r="E100"/>
  <c r="E337"/>
  <c r="E200"/>
  <c r="E169"/>
  <c r="E390"/>
  <c r="E339"/>
  <c r="E217"/>
  <c r="E108"/>
  <c r="E219"/>
  <c r="E299"/>
  <c r="E44"/>
  <c r="E145"/>
  <c r="E21"/>
  <c r="E73"/>
  <c r="E406"/>
  <c r="E358"/>
  <c r="E54"/>
  <c r="E98"/>
  <c r="E327"/>
  <c r="E120"/>
  <c r="E311"/>
  <c r="E121"/>
  <c r="E231"/>
  <c r="E444"/>
  <c r="E392"/>
  <c r="E139"/>
  <c r="E209"/>
  <c r="E122"/>
  <c r="E210"/>
  <c r="E320"/>
  <c r="E279"/>
  <c r="E241"/>
  <c r="E160"/>
  <c r="E141"/>
  <c r="E318"/>
  <c r="E345"/>
  <c r="E43"/>
  <c r="E14"/>
  <c r="E393"/>
  <c r="E40"/>
  <c r="E166"/>
  <c r="E238"/>
  <c r="E80"/>
  <c r="E81"/>
  <c r="E300"/>
  <c r="E275"/>
  <c r="E201"/>
  <c r="E75"/>
  <c r="E151"/>
  <c r="E398"/>
  <c r="E428"/>
  <c r="E131"/>
  <c r="E140"/>
  <c r="E239"/>
  <c r="E38"/>
  <c r="E412"/>
  <c r="E286"/>
  <c r="E301"/>
  <c r="E405"/>
  <c r="E132"/>
  <c r="E39"/>
  <c r="E48"/>
  <c r="E328"/>
  <c r="E126"/>
  <c r="E128"/>
  <c r="E150"/>
  <c r="E118"/>
  <c r="E61"/>
  <c r="E325"/>
  <c r="E397"/>
  <c r="E248"/>
  <c r="E56"/>
  <c r="E123"/>
  <c r="E298"/>
  <c r="E242"/>
  <c r="E138"/>
  <c r="E309"/>
  <c r="E394"/>
  <c r="E431"/>
  <c r="E340"/>
  <c r="E158"/>
  <c r="E256"/>
  <c r="E13"/>
  <c r="E443"/>
  <c r="E57"/>
  <c r="E319"/>
  <c r="E103"/>
  <c r="E22"/>
  <c r="E426"/>
  <c r="E306"/>
  <c r="E203"/>
  <c r="E29"/>
  <c r="E107"/>
  <c r="E129"/>
  <c r="E414"/>
  <c r="E101"/>
  <c r="E415"/>
  <c r="E46"/>
  <c r="E347"/>
  <c r="E208"/>
  <c r="E249"/>
  <c r="E440"/>
  <c r="E196"/>
  <c r="E288"/>
  <c r="E413"/>
  <c r="E207"/>
  <c r="E404"/>
  <c r="E83"/>
  <c r="E55"/>
  <c r="E204"/>
  <c r="E205"/>
  <c r="E396"/>
  <c r="E30"/>
  <c r="E437"/>
  <c r="E102"/>
  <c r="E281"/>
  <c r="E302"/>
  <c r="E174"/>
  <c r="E23"/>
  <c r="E272"/>
  <c r="E104"/>
  <c r="E97"/>
  <c r="E229"/>
  <c r="E125"/>
  <c r="E230"/>
  <c r="E273"/>
  <c r="E307"/>
  <c r="E111"/>
  <c r="E407"/>
  <c r="E430"/>
  <c r="E134"/>
  <c r="E280"/>
  <c r="E372"/>
  <c r="E388"/>
  <c r="E106"/>
  <c r="E274"/>
  <c r="E218"/>
  <c r="E312"/>
  <c r="E391"/>
  <c r="E417"/>
  <c r="E74"/>
  <c r="E157"/>
  <c r="E269"/>
  <c r="E282"/>
  <c r="E233"/>
  <c r="E257"/>
  <c r="E432"/>
  <c r="E445"/>
  <c r="E119"/>
  <c r="E130"/>
  <c r="E371"/>
  <c r="E19"/>
  <c r="E270"/>
  <c r="E442"/>
  <c r="E211"/>
  <c r="E202"/>
  <c r="E399"/>
  <c r="E409"/>
  <c r="E250"/>
  <c r="E389"/>
  <c r="E259"/>
  <c r="E276"/>
  <c r="E99"/>
  <c r="E52"/>
  <c r="E441"/>
  <c r="E360"/>
  <c r="E25"/>
  <c r="E387"/>
  <c r="E173"/>
  <c r="E240"/>
  <c r="E408"/>
  <c r="E354"/>
  <c r="E36"/>
  <c r="E410"/>
  <c r="E411"/>
  <c r="E149"/>
  <c r="I446"/>
  <c r="K86" i="20"/>
  <c r="K153"/>
  <c r="K156" s="1"/>
  <c r="AV739" s="1"/>
  <c r="T69"/>
  <c r="S69"/>
  <c r="P69"/>
  <c r="C69" i="21"/>
  <c r="AY657" i="20"/>
  <c r="AY619"/>
  <c r="Q152"/>
  <c r="G20" i="70" s="1"/>
  <c r="N158" i="20"/>
  <c r="C36" i="21"/>
  <c r="P36" i="20"/>
  <c r="N152"/>
  <c r="Q158"/>
  <c r="G26" i="70" s="1"/>
  <c r="S36" i="20"/>
  <c r="H86"/>
  <c r="AS675" s="1"/>
  <c r="F447" i="58"/>
  <c r="H61" i="20"/>
  <c r="F350" i="58"/>
  <c r="F266"/>
  <c r="F330"/>
  <c r="E172"/>
  <c r="BX57" i="19"/>
  <c r="CC57" s="1"/>
  <c r="E161" i="58"/>
  <c r="E255"/>
  <c r="E137"/>
  <c r="E66" i="20"/>
  <c r="E353" i="58"/>
  <c r="E78"/>
  <c r="K72" i="22"/>
  <c r="N72" s="1"/>
  <c r="E181" i="58"/>
  <c r="E38" i="20"/>
  <c r="E191" i="58"/>
  <c r="E47"/>
  <c r="BX46" i="19"/>
  <c r="CC46" s="1"/>
  <c r="E216" i="58"/>
  <c r="Q167" i="20"/>
  <c r="G35" i="70" s="1"/>
  <c r="BB637" i="20"/>
  <c r="M21" i="22"/>
  <c r="AY667" i="20"/>
  <c r="N179"/>
  <c r="C78" i="21"/>
  <c r="S78" i="20"/>
  <c r="O78"/>
  <c r="H222"/>
  <c r="AS650"/>
  <c r="L63" i="22"/>
  <c r="O63" s="1"/>
  <c r="P62" i="20"/>
  <c r="F113" i="58"/>
  <c r="F177"/>
  <c r="BY63" i="19"/>
  <c r="CD63" s="1"/>
  <c r="BY61"/>
  <c r="CD61" s="1"/>
  <c r="M20" i="22"/>
  <c r="AY673" i="20"/>
  <c r="N178"/>
  <c r="S84"/>
  <c r="C84" i="21"/>
  <c r="O84" i="20"/>
  <c r="M63" i="22"/>
  <c r="AY650" i="20"/>
  <c r="S62"/>
  <c r="N222"/>
  <c r="C222" i="21" s="1"/>
  <c r="C62"/>
  <c r="AS670" i="20"/>
  <c r="H175"/>
  <c r="E43" i="70" s="1"/>
  <c r="I81" i="20"/>
  <c r="L16" i="22"/>
  <c r="P81" i="20"/>
  <c r="H43"/>
  <c r="F253" i="58"/>
  <c r="Q449" i="20"/>
  <c r="R91"/>
  <c r="Q447"/>
  <c r="R79"/>
  <c r="Q445"/>
  <c r="Q440"/>
  <c r="Q448"/>
  <c r="Q439"/>
  <c r="E4" i="65" s="1"/>
  <c r="R92" i="20"/>
  <c r="Q454"/>
  <c r="Q441"/>
  <c r="R80"/>
  <c r="Q460"/>
  <c r="F77" i="22"/>
  <c r="Q468" i="20"/>
  <c r="Q450"/>
  <c r="Q73"/>
  <c r="BB660"/>
  <c r="BC675" s="1"/>
  <c r="Q446"/>
  <c r="R71"/>
  <c r="Q453"/>
  <c r="Q444"/>
  <c r="H73"/>
  <c r="M73" s="1"/>
  <c r="H448"/>
  <c r="AS660"/>
  <c r="AX660" s="1"/>
  <c r="I71"/>
  <c r="H439"/>
  <c r="C4" i="65" s="1"/>
  <c r="H445" i="20"/>
  <c r="I79"/>
  <c r="H468"/>
  <c r="H444"/>
  <c r="I91"/>
  <c r="H460"/>
  <c r="H441"/>
  <c r="H446"/>
  <c r="H440"/>
  <c r="H453"/>
  <c r="H449"/>
  <c r="H450"/>
  <c r="H454"/>
  <c r="I80"/>
  <c r="C77" i="22"/>
  <c r="H447" i="20"/>
  <c r="I92"/>
  <c r="D104" i="22"/>
  <c r="L8"/>
  <c r="P71" i="20"/>
  <c r="AK56" i="19" s="1"/>
  <c r="Q162" i="20"/>
  <c r="G30" i="70" s="1"/>
  <c r="BB628" i="20"/>
  <c r="Q346"/>
  <c r="Q159"/>
  <c r="G27" i="70" s="1"/>
  <c r="Q153" i="20"/>
  <c r="G21" i="70" s="1"/>
  <c r="BB633" i="20"/>
  <c r="Q251"/>
  <c r="N168"/>
  <c r="S54"/>
  <c r="C54" i="21"/>
  <c r="AY639" i="20"/>
  <c r="Q42"/>
  <c r="H226" i="58"/>
  <c r="N47" i="20"/>
  <c r="G260" i="58"/>
  <c r="AS588" i="20"/>
  <c r="AV822" s="1"/>
  <c r="P20"/>
  <c r="H283" i="58"/>
  <c r="Q57" i="20"/>
  <c r="G234" i="58"/>
  <c r="N41" i="20"/>
  <c r="H44"/>
  <c r="H57"/>
  <c r="BB678"/>
  <c r="R88"/>
  <c r="H31"/>
  <c r="F154" i="58"/>
  <c r="BB588" i="20"/>
  <c r="Q193"/>
  <c r="G61" i="70" s="1"/>
  <c r="Q52" i="20"/>
  <c r="H303" i="58"/>
  <c r="H137" i="20"/>
  <c r="E5" i="70" s="1"/>
  <c r="H195" i="20"/>
  <c r="E63" i="70" s="1"/>
  <c r="I90" i="20"/>
  <c r="AS680"/>
  <c r="L13" i="22"/>
  <c r="P90" i="20"/>
  <c r="F303" i="58"/>
  <c r="H52" i="20"/>
  <c r="E37" i="58"/>
  <c r="E23" i="20"/>
  <c r="E386" i="58"/>
  <c r="BX43" i="19"/>
  <c r="CC43" s="1"/>
  <c r="E24" i="58"/>
  <c r="E156"/>
  <c r="E115"/>
  <c r="BX45" i="19"/>
  <c r="CC45" s="1"/>
  <c r="E31" i="58"/>
  <c r="E49" i="20"/>
  <c r="E264" i="58"/>
  <c r="H192"/>
  <c r="N65" i="20"/>
  <c r="G361" i="58"/>
  <c r="AS603" i="20"/>
  <c r="AX603" s="1"/>
  <c r="P29"/>
  <c r="Q194"/>
  <c r="G62" i="70" s="1"/>
  <c r="BB591" i="20"/>
  <c r="H384" i="58"/>
  <c r="S50" i="20"/>
  <c r="AY634"/>
  <c r="N263"/>
  <c r="C50" i="21"/>
  <c r="F192" i="58"/>
  <c r="H266"/>
  <c r="H330"/>
  <c r="Q155" i="20"/>
  <c r="G23" i="70" s="1"/>
  <c r="BB665" i="20"/>
  <c r="R76"/>
  <c r="G176" i="58"/>
  <c r="N33" i="20"/>
  <c r="G350" i="58"/>
  <c r="N61" i="20"/>
  <c r="H41"/>
  <c r="F234" i="58"/>
  <c r="BB661" i="20"/>
  <c r="R72"/>
  <c r="G314" i="58"/>
  <c r="N56" i="20"/>
  <c r="N52"/>
  <c r="G303" i="58"/>
  <c r="I84" i="20"/>
  <c r="H178"/>
  <c r="E46" i="70" s="1"/>
  <c r="AS673" i="20"/>
  <c r="AX673" s="1"/>
  <c r="P84"/>
  <c r="Q74"/>
  <c r="H401" i="58"/>
  <c r="AY588" i="20"/>
  <c r="N193"/>
  <c r="S20"/>
  <c r="C20" i="21"/>
  <c r="H176" i="20"/>
  <c r="E44" i="70" s="1"/>
  <c r="I82" i="20"/>
  <c r="AS671"/>
  <c r="AX671" s="1"/>
  <c r="L17" i="22"/>
  <c r="P82" i="20"/>
  <c r="AS639"/>
  <c r="P54"/>
  <c r="N44"/>
  <c r="N40"/>
  <c r="G197" i="58"/>
  <c r="F64"/>
  <c r="H357"/>
  <c r="G16"/>
  <c r="N18" i="20"/>
  <c r="H177"/>
  <c r="E45" i="70" s="1"/>
  <c r="I83" i="20"/>
  <c r="AS672"/>
  <c r="AX672" s="1"/>
  <c r="P83"/>
  <c r="BX53" i="19"/>
  <c r="CC53" s="1"/>
  <c r="E94" i="58"/>
  <c r="E148"/>
  <c r="E247"/>
  <c r="E51"/>
  <c r="E81" i="20"/>
  <c r="E421" i="58"/>
  <c r="E53" i="20"/>
  <c r="E308" i="58"/>
  <c r="E20" i="20"/>
  <c r="E32" i="58"/>
  <c r="E54" i="20"/>
  <c r="E277" i="58"/>
  <c r="E45" i="20"/>
  <c r="E206" i="58"/>
  <c r="E448"/>
  <c r="E77" i="20"/>
  <c r="E199" i="58"/>
  <c r="E85" i="20"/>
  <c r="E423" i="58"/>
  <c r="E88" i="20"/>
  <c r="E450" i="58"/>
  <c r="E285"/>
  <c r="BX44" i="19"/>
  <c r="CC44" s="1"/>
  <c r="E62" i="58"/>
  <c r="AY672" i="20"/>
  <c r="N177"/>
  <c r="S83"/>
  <c r="C83" i="21"/>
  <c r="O83" i="20"/>
  <c r="CA63" i="19"/>
  <c r="CF63" s="1"/>
  <c r="CA61"/>
  <c r="CF61" s="1"/>
  <c r="H113" i="58"/>
  <c r="H177"/>
  <c r="S45" i="20"/>
  <c r="AY628"/>
  <c r="N346"/>
  <c r="C45" i="21"/>
  <c r="N162" i="20"/>
  <c r="AS620"/>
  <c r="AX620" s="1"/>
  <c r="H250"/>
  <c r="L45" i="22"/>
  <c r="P37" i="20"/>
  <c r="I78"/>
  <c r="AS667"/>
  <c r="L21" i="22"/>
  <c r="P78" i="20"/>
  <c r="Q40"/>
  <c r="H197" i="58"/>
  <c r="Q31" i="20"/>
  <c r="H154" i="58"/>
  <c r="N43" i="20"/>
  <c r="G253" i="58"/>
  <c r="G373"/>
  <c r="N68" i="20"/>
  <c r="H19"/>
  <c r="F16" i="58"/>
  <c r="H18" i="20"/>
  <c r="Y30" i="21"/>
  <c r="Y31" s="1"/>
  <c r="I15" s="1"/>
  <c r="Y29"/>
  <c r="X32"/>
  <c r="H16" s="1"/>
  <c r="Q30" i="20"/>
  <c r="H163" i="58"/>
  <c r="BZ49" i="19"/>
  <c r="BZ50" s="1"/>
  <c r="CE42"/>
  <c r="AY674" i="20"/>
  <c r="S85"/>
  <c r="O85"/>
  <c r="C85" i="21"/>
  <c r="F373" i="58"/>
  <c r="H68" i="20"/>
  <c r="E165" i="58"/>
  <c r="E109"/>
  <c r="E29" i="20"/>
  <c r="E268" i="58"/>
  <c r="E82" i="20"/>
  <c r="E427" i="58"/>
  <c r="E50" i="20"/>
  <c r="E265" i="58"/>
  <c r="E152"/>
  <c r="BX60" i="19"/>
  <c r="CC60" s="1"/>
  <c r="E316" i="58"/>
  <c r="E78" i="20"/>
  <c r="E422" i="58"/>
  <c r="E72" i="20"/>
  <c r="E382" i="58"/>
  <c r="Q60" i="20"/>
  <c r="H342" i="58"/>
  <c r="H135"/>
  <c r="Q32" i="20"/>
  <c r="L35" i="22"/>
  <c r="AS602" i="20"/>
  <c r="H462"/>
  <c r="H461"/>
  <c r="G401" i="58"/>
  <c r="N74" i="20"/>
  <c r="AY675"/>
  <c r="O86"/>
  <c r="S86"/>
  <c r="C86" i="21"/>
  <c r="BB634" i="20"/>
  <c r="Q263"/>
  <c r="Q61"/>
  <c r="H350" i="58"/>
  <c r="R82" i="20"/>
  <c r="BB671"/>
  <c r="Q176"/>
  <c r="G44" i="70" s="1"/>
  <c r="R81" i="20"/>
  <c r="BB670"/>
  <c r="Q175"/>
  <c r="G43" i="70" s="1"/>
  <c r="G330" i="58"/>
  <c r="G266"/>
  <c r="R78" i="20"/>
  <c r="BB667"/>
  <c r="Q179"/>
  <c r="G47" i="70" s="1"/>
  <c r="G76" i="58"/>
  <c r="Q41" i="20"/>
  <c r="H234" i="58"/>
  <c r="AY671" i="20"/>
  <c r="M17" i="22"/>
  <c r="N176" i="20"/>
  <c r="C82" i="21"/>
  <c r="O82" i="20"/>
  <c r="S82"/>
  <c r="AS591"/>
  <c r="P22"/>
  <c r="I72"/>
  <c r="AS661"/>
  <c r="L9" i="22"/>
  <c r="P72" i="20"/>
  <c r="Q27"/>
  <c r="H146" i="58"/>
  <c r="H295"/>
  <c r="Q55" i="20"/>
  <c r="H33"/>
  <c r="F176" i="58"/>
  <c r="H25" i="20"/>
  <c r="L33" i="22" s="1"/>
  <c r="O33" s="1"/>
  <c r="F76" i="58"/>
  <c r="BY49" i="19"/>
  <c r="BY50" s="1"/>
  <c r="CD42"/>
  <c r="R83" i="20"/>
  <c r="Q177"/>
  <c r="G45" i="70" s="1"/>
  <c r="BB672" i="20"/>
  <c r="Q137"/>
  <c r="G5" i="70" s="1"/>
  <c r="BB680" i="20"/>
  <c r="Q195"/>
  <c r="G63" i="70" s="1"/>
  <c r="R90" i="20"/>
  <c r="N28"/>
  <c r="BZ61" i="19"/>
  <c r="CE61" s="1"/>
  <c r="BZ63"/>
  <c r="CE63" s="1"/>
  <c r="G113" i="58"/>
  <c r="F163"/>
  <c r="H30" i="20"/>
  <c r="AS637"/>
  <c r="AV796" s="1"/>
  <c r="P53"/>
  <c r="E66" i="58"/>
  <c r="E258"/>
  <c r="CI47" i="19"/>
  <c r="E84" i="20"/>
  <c r="E425" i="58"/>
  <c r="E228"/>
  <c r="E381"/>
  <c r="E71" i="20"/>
  <c r="E37"/>
  <c r="CI41" i="19"/>
  <c r="E190" i="58"/>
  <c r="E12"/>
  <c r="BX42" i="19"/>
  <c r="H49" i="58"/>
  <c r="Q24" i="20"/>
  <c r="R85"/>
  <c r="BB674"/>
  <c r="N31"/>
  <c r="G154" i="58"/>
  <c r="S22" i="20"/>
  <c r="AY591"/>
  <c r="N194"/>
  <c r="C22" i="21"/>
  <c r="AS665" i="20"/>
  <c r="H155"/>
  <c r="E23" i="70" s="1"/>
  <c r="I76" i="20"/>
  <c r="L19" i="22"/>
  <c r="P76" i="20"/>
  <c r="H63"/>
  <c r="M63" s="1"/>
  <c r="F364" i="58"/>
  <c r="Q19" i="20"/>
  <c r="E148" i="19"/>
  <c r="H33" i="58"/>
  <c r="E150" i="19"/>
  <c r="G448" i="58"/>
  <c r="N77" i="20"/>
  <c r="M53" i="22"/>
  <c r="AY633" i="20"/>
  <c r="N251"/>
  <c r="N159"/>
  <c r="S49"/>
  <c r="N153"/>
  <c r="F21" i="70" s="1"/>
  <c r="C49" i="21"/>
  <c r="E104" i="22"/>
  <c r="M8"/>
  <c r="T449" i="20"/>
  <c r="N468"/>
  <c r="T453"/>
  <c r="T460"/>
  <c r="T463"/>
  <c r="T264"/>
  <c r="U264" s="1"/>
  <c r="V264" s="1"/>
  <c r="W264" s="1"/>
  <c r="X264" s="1"/>
  <c r="Y264" s="1"/>
  <c r="Z264" s="1"/>
  <c r="AA264" s="1"/>
  <c r="AB264" s="1"/>
  <c r="AC264" s="1"/>
  <c r="AD264" s="1"/>
  <c r="AE264" s="1"/>
  <c r="AF264" s="1"/>
  <c r="AG264" s="1"/>
  <c r="AH264" s="1"/>
  <c r="AI264" s="1"/>
  <c r="N453"/>
  <c r="C71" i="21"/>
  <c r="T459" i="20"/>
  <c r="C8" i="66" s="1"/>
  <c r="C33" s="1"/>
  <c r="N447" i="20"/>
  <c r="T457"/>
  <c r="N460"/>
  <c r="T446"/>
  <c r="T271"/>
  <c r="E77" i="22"/>
  <c r="N73" i="20"/>
  <c r="T470"/>
  <c r="T448"/>
  <c r="T458"/>
  <c r="T467"/>
  <c r="T469"/>
  <c r="N449"/>
  <c r="O79"/>
  <c r="T252"/>
  <c r="U252" s="1"/>
  <c r="V252" s="1"/>
  <c r="W252" s="1"/>
  <c r="X252" s="1"/>
  <c r="Y252" s="1"/>
  <c r="Z252" s="1"/>
  <c r="AA252" s="1"/>
  <c r="AB252" s="1"/>
  <c r="AC252" s="1"/>
  <c r="AD252" s="1"/>
  <c r="AE252" s="1"/>
  <c r="AF252" s="1"/>
  <c r="AG252" s="1"/>
  <c r="AH252" s="1"/>
  <c r="AI252" s="1"/>
  <c r="T462"/>
  <c r="N440"/>
  <c r="T441"/>
  <c r="C5" i="66" s="1"/>
  <c r="C30" s="1"/>
  <c r="T464" i="20"/>
  <c r="N439"/>
  <c r="T445"/>
  <c r="O92"/>
  <c r="T466"/>
  <c r="T346"/>
  <c r="U346" s="1"/>
  <c r="T465"/>
  <c r="N454"/>
  <c r="T461"/>
  <c r="T439"/>
  <c r="C3" i="66" s="1"/>
  <c r="C28" s="1"/>
  <c r="AY660" i="20"/>
  <c r="T447"/>
  <c r="T471"/>
  <c r="O71"/>
  <c r="O80"/>
  <c r="N444"/>
  <c r="T468"/>
  <c r="T450"/>
  <c r="T440"/>
  <c r="C4" i="66" s="1"/>
  <c r="C29" s="1"/>
  <c r="N450" i="20"/>
  <c r="N441"/>
  <c r="O91"/>
  <c r="T455"/>
  <c r="S71"/>
  <c r="AL56" i="19" s="1"/>
  <c r="N448" i="20"/>
  <c r="T454"/>
  <c r="C6" i="66" s="1"/>
  <c r="C31" s="1"/>
  <c r="T444" i="20"/>
  <c r="T456"/>
  <c r="C7" i="66" s="1"/>
  <c r="C32" s="1"/>
  <c r="T442" i="20"/>
  <c r="N445"/>
  <c r="N446"/>
  <c r="U277"/>
  <c r="V277" s="1"/>
  <c r="W277" s="1"/>
  <c r="X277" s="1"/>
  <c r="Y277" s="1"/>
  <c r="Z277" s="1"/>
  <c r="AA277" s="1"/>
  <c r="AB277" s="1"/>
  <c r="AC277" s="1"/>
  <c r="AD277" s="1"/>
  <c r="AE277" s="1"/>
  <c r="AF277" s="1"/>
  <c r="AG277" s="1"/>
  <c r="AH277" s="1"/>
  <c r="AI277" s="1"/>
  <c r="M9" i="22"/>
  <c r="AY661" i="20"/>
  <c r="C72" i="21"/>
  <c r="O72" i="20"/>
  <c r="G226" i="58"/>
  <c r="N42" i="20"/>
  <c r="H262"/>
  <c r="AS621"/>
  <c r="P38"/>
  <c r="Q33"/>
  <c r="H176" i="58"/>
  <c r="Q46" i="20"/>
  <c r="H245" i="58"/>
  <c r="E165" i="19"/>
  <c r="CL46"/>
  <c r="CL51" s="1"/>
  <c r="CL54" s="1"/>
  <c r="CL56" s="1"/>
  <c r="AL58" s="1"/>
  <c r="E166"/>
  <c r="G49" i="58"/>
  <c r="N24" i="20"/>
  <c r="CK46" i="19"/>
  <c r="CK51" s="1"/>
  <c r="CK54" s="1"/>
  <c r="N46" i="20"/>
  <c r="G245" i="58"/>
  <c r="H74" i="20"/>
  <c r="F401" i="58"/>
  <c r="AS594" i="20"/>
  <c r="AX594" s="1"/>
  <c r="P23"/>
  <c r="BB654"/>
  <c r="Q224"/>
  <c r="T66"/>
  <c r="M67" i="22"/>
  <c r="AY654" i="20"/>
  <c r="S66"/>
  <c r="N224"/>
  <c r="C224" i="21" s="1"/>
  <c r="C66"/>
  <c r="H47" i="20"/>
  <c r="F260" i="58"/>
  <c r="R84" i="20"/>
  <c r="BB673"/>
  <c r="Q178"/>
  <c r="G46" i="70" s="1"/>
  <c r="N30" i="20"/>
  <c r="G163" i="58"/>
  <c r="AS666" i="20"/>
  <c r="H126"/>
  <c r="H208"/>
  <c r="E76" i="70" s="1"/>
  <c r="I77" i="20"/>
  <c r="H218" i="21"/>
  <c r="H234" s="1"/>
  <c r="H112"/>
  <c r="H134"/>
  <c r="G283" i="58"/>
  <c r="N57" i="20"/>
  <c r="AS641"/>
  <c r="L56" i="22"/>
  <c r="O56" s="1"/>
  <c r="E93" i="58"/>
  <c r="BX54" i="19"/>
  <c r="CC54" s="1"/>
  <c r="E95" i="58"/>
  <c r="E18"/>
  <c r="BX47" i="19"/>
  <c r="CC47" s="1"/>
  <c r="E35" i="58"/>
  <c r="E90" i="20"/>
  <c r="E383" i="58"/>
  <c r="E297"/>
  <c r="BX59" i="19"/>
  <c r="CC59" s="1"/>
  <c r="E144" i="58"/>
  <c r="H260"/>
  <c r="Q47" i="20"/>
  <c r="H65"/>
  <c r="F361" i="58"/>
  <c r="BB602" i="20"/>
  <c r="Q462"/>
  <c r="Q461"/>
  <c r="F146" i="58"/>
  <c r="H27" i="20"/>
  <c r="M19" i="22"/>
  <c r="AY665" i="20"/>
  <c r="O76"/>
  <c r="C76" i="21"/>
  <c r="N155" i="20"/>
  <c r="F23" i="70" s="1"/>
  <c r="N21" i="20"/>
  <c r="G64" i="58"/>
  <c r="I85" i="20"/>
  <c r="AS674"/>
  <c r="P85"/>
  <c r="F197" i="58"/>
  <c r="H40" i="20"/>
  <c r="M40" s="1"/>
  <c r="M13" i="22"/>
  <c r="AY680" i="20"/>
  <c r="N195"/>
  <c r="N137"/>
  <c r="C90" i="21"/>
  <c r="O90" i="20"/>
  <c r="S90"/>
  <c r="Q43"/>
  <c r="H253" i="58"/>
  <c r="G192"/>
  <c r="AS654" i="20"/>
  <c r="H224"/>
  <c r="L67" i="22"/>
  <c r="O67" s="1"/>
  <c r="P66" i="20"/>
  <c r="H55"/>
  <c r="F295" i="58"/>
  <c r="Q56" i="20"/>
  <c r="BB641" s="1"/>
  <c r="H314" i="58"/>
  <c r="E170" i="19"/>
  <c r="M45" i="22"/>
  <c r="S38" i="20"/>
  <c r="AY621"/>
  <c r="N262"/>
  <c r="C38" i="21"/>
  <c r="M23" i="22"/>
  <c r="Q139" i="20"/>
  <c r="G7" i="70" s="1"/>
  <c r="O88" i="20"/>
  <c r="T139"/>
  <c r="E139" i="21" s="1"/>
  <c r="G139" s="1"/>
  <c r="C88"/>
  <c r="AY678" i="20"/>
  <c r="H24"/>
  <c r="H21"/>
  <c r="H64" i="58"/>
  <c r="Q21" i="20"/>
  <c r="F245" i="58"/>
  <c r="H46" i="20"/>
  <c r="CJ46" i="19"/>
  <c r="CJ51" s="1"/>
  <c r="CJ54" s="1"/>
  <c r="N167" i="20"/>
  <c r="S53"/>
  <c r="C53" i="21"/>
  <c r="AY637" i="20"/>
  <c r="H251"/>
  <c r="AS633"/>
  <c r="AX633" s="1"/>
  <c r="L53" i="22"/>
  <c r="P49" i="20"/>
  <c r="AS634"/>
  <c r="BA634" s="1"/>
  <c r="H263"/>
  <c r="P50"/>
  <c r="CI42" i="19"/>
  <c r="E195" i="58"/>
  <c r="CI45" i="19"/>
  <c r="E232" i="58"/>
  <c r="E344"/>
  <c r="E236"/>
  <c r="E28"/>
  <c r="BX62" i="19"/>
  <c r="CC62" s="1"/>
  <c r="E117" i="58"/>
  <c r="E22" i="20"/>
  <c r="E63" i="58"/>
  <c r="CI43" i="19"/>
  <c r="E212" i="58"/>
  <c r="N27" i="20"/>
  <c r="G146" i="58"/>
  <c r="H60" i="20"/>
  <c r="F342" i="58"/>
  <c r="Q192" i="20"/>
  <c r="G60" i="70" s="1"/>
  <c r="BB603" i="20"/>
  <c r="H42"/>
  <c r="F226" i="58"/>
  <c r="Q77" i="20"/>
  <c r="H448" i="58"/>
  <c r="H214"/>
  <c r="Q44" i="20"/>
  <c r="Q144"/>
  <c r="G12" i="70" s="1"/>
  <c r="BB594" i="20"/>
  <c r="M16" i="22"/>
  <c r="N175" i="20"/>
  <c r="F43" i="70" s="1"/>
  <c r="S81" i="20"/>
  <c r="O81"/>
  <c r="C81" i="21"/>
  <c r="AY670" i="20"/>
  <c r="H76" i="58"/>
  <c r="Q25" i="20"/>
  <c r="N32"/>
  <c r="G135" i="58"/>
  <c r="CA49" i="19"/>
  <c r="CA50" s="1"/>
  <c r="CF42"/>
  <c r="AS628" i="20"/>
  <c r="H346"/>
  <c r="P45"/>
  <c r="H32"/>
  <c r="F135" i="58"/>
  <c r="BB621" i="20"/>
  <c r="Q262"/>
  <c r="N139"/>
  <c r="I88"/>
  <c r="K139"/>
  <c r="AS678"/>
  <c r="L23" i="22"/>
  <c r="P88" i="20"/>
  <c r="H373" i="58"/>
  <c r="Q68" i="20"/>
  <c r="BB656" s="1"/>
  <c r="AY594"/>
  <c r="S23"/>
  <c r="N144"/>
  <c r="C23" i="21"/>
  <c r="BX55" i="19"/>
  <c r="CC55" s="1"/>
  <c r="E96" i="58"/>
  <c r="E336"/>
  <c r="E305"/>
  <c r="E76" i="20"/>
  <c r="E435" i="58"/>
  <c r="K43" i="22"/>
  <c r="N43" s="1"/>
  <c r="E182" i="58"/>
  <c r="E194"/>
  <c r="E370"/>
  <c r="E83" i="20"/>
  <c r="E429" i="58"/>
  <c r="E403"/>
  <c r="E62" i="20"/>
  <c r="E352" i="58"/>
  <c r="BB620" i="20"/>
  <c r="Q250"/>
  <c r="N55"/>
  <c r="G295" i="58"/>
  <c r="BB650" i="20"/>
  <c r="Q222"/>
  <c r="G33" i="58"/>
  <c r="N19" i="20"/>
  <c r="F384" i="58"/>
  <c r="N63" i="20"/>
  <c r="G364" i="58"/>
  <c r="Q168" i="20"/>
  <c r="G36" i="70" s="1"/>
  <c r="BB639" i="20"/>
  <c r="AY620"/>
  <c r="N250"/>
  <c r="S37"/>
  <c r="S29"/>
  <c r="AY603"/>
  <c r="N192"/>
  <c r="F60" i="70" s="1"/>
  <c r="C29" i="21"/>
  <c r="Q18" i="20"/>
  <c r="H16" i="58"/>
  <c r="AW661" i="20"/>
  <c r="AV806"/>
  <c r="AW672"/>
  <c r="AW671"/>
  <c r="AV805"/>
  <c r="K493"/>
  <c r="K540"/>
  <c r="K501"/>
  <c r="K548"/>
  <c r="AU657"/>
  <c r="AR657"/>
  <c r="K544"/>
  <c r="K497"/>
  <c r="K547"/>
  <c r="K500"/>
  <c r="AV623"/>
  <c r="K554"/>
  <c r="K507"/>
  <c r="K488"/>
  <c r="K535"/>
  <c r="CK61" i="19"/>
  <c r="AM46"/>
  <c r="P96"/>
  <c r="K542" i="20"/>
  <c r="K495"/>
  <c r="K515"/>
  <c r="K562"/>
  <c r="AW669"/>
  <c r="AW668"/>
  <c r="AV724"/>
  <c r="AV725"/>
  <c r="AV721"/>
  <c r="AV713"/>
  <c r="AV662"/>
  <c r="AV716"/>
  <c r="AW660"/>
  <c r="AV717"/>
  <c r="AW681"/>
  <c r="AW682"/>
  <c r="AV719"/>
  <c r="AV718"/>
  <c r="AV747"/>
  <c r="M82" i="22" s="1"/>
  <c r="K539" i="20"/>
  <c r="K492"/>
  <c r="L73"/>
  <c r="AV737"/>
  <c r="AV741"/>
  <c r="T380"/>
  <c r="T39" s="1"/>
  <c r="E39" i="21" s="1"/>
  <c r="AV807" i="20"/>
  <c r="AW673"/>
  <c r="K487"/>
  <c r="K534"/>
  <c r="AV797"/>
  <c r="AX639"/>
  <c r="K543"/>
  <c r="K496"/>
  <c r="K486"/>
  <c r="K533"/>
  <c r="AX588"/>
  <c r="AW665"/>
  <c r="AR619"/>
  <c r="AU619"/>
  <c r="AP787"/>
  <c r="AP781"/>
  <c r="AS781"/>
  <c r="AS787"/>
  <c r="AV821"/>
  <c r="AW674"/>
  <c r="AW678"/>
  <c r="AV787"/>
  <c r="AV781"/>
  <c r="AX619"/>
  <c r="K223"/>
  <c r="AV651"/>
  <c r="K538"/>
  <c r="K491"/>
  <c r="K494"/>
  <c r="K541"/>
  <c r="M156" i="16"/>
  <c r="M200" s="1"/>
  <c r="M49" s="1"/>
  <c r="R49" s="1"/>
  <c r="M201"/>
  <c r="Z37"/>
  <c r="Z27"/>
  <c r="Z14"/>
  <c r="Y13"/>
  <c r="Z46"/>
  <c r="Z36"/>
  <c r="Z25"/>
  <c r="Z13"/>
  <c r="Z44"/>
  <c r="Z24"/>
  <c r="Z12"/>
  <c r="Y57"/>
  <c r="Y54"/>
  <c r="Y43"/>
  <c r="Z35"/>
  <c r="Z23"/>
  <c r="Z43"/>
  <c r="Z33"/>
  <c r="Z21"/>
  <c r="Z41"/>
  <c r="Z31"/>
  <c r="Z19"/>
  <c r="Z40"/>
  <c r="Z30"/>
  <c r="Z18"/>
  <c r="AD12"/>
  <c r="W97" i="19"/>
  <c r="W98" s="1"/>
  <c r="Z38" i="16"/>
  <c r="Z29"/>
  <c r="Z16"/>
  <c r="Y244"/>
  <c r="V271"/>
  <c r="V216"/>
  <c r="V23" s="1"/>
  <c r="V298"/>
  <c r="F33"/>
  <c r="B41"/>
  <c r="AE236"/>
  <c r="AB290"/>
  <c r="AB263"/>
  <c r="AB208"/>
  <c r="AB12" s="1"/>
  <c r="V292"/>
  <c r="V265"/>
  <c r="Y238"/>
  <c r="V210"/>
  <c r="P138"/>
  <c r="P135"/>
  <c r="P136" s="1"/>
  <c r="M199"/>
  <c r="M38" s="1"/>
  <c r="R38" s="1"/>
  <c r="M140"/>
  <c r="M37" s="1"/>
  <c r="R37" s="1"/>
  <c r="I423"/>
  <c r="I426" s="1"/>
  <c r="S16"/>
  <c r="X23"/>
  <c r="U103" i="19"/>
  <c r="X19" i="16"/>
  <c r="U102" i="19"/>
  <c r="V299" i="16"/>
  <c r="Y245"/>
  <c r="V272"/>
  <c r="V217"/>
  <c r="V24" s="1"/>
  <c r="AK283"/>
  <c r="AN256"/>
  <c r="AK228"/>
  <c r="AK310"/>
  <c r="AB230"/>
  <c r="AE258"/>
  <c r="AB312"/>
  <c r="AB285"/>
  <c r="P21"/>
  <c r="U16"/>
  <c r="T99" i="19"/>
  <c r="M141" i="16"/>
  <c r="M48" s="1"/>
  <c r="R48" s="1"/>
  <c r="AA25"/>
  <c r="V105" i="19"/>
  <c r="U30" i="16"/>
  <c r="T111" i="19"/>
  <c r="AK311" i="16"/>
  <c r="M142"/>
  <c r="P255"/>
  <c r="M227"/>
  <c r="M309"/>
  <c r="M282"/>
  <c r="P112"/>
  <c r="P109"/>
  <c r="P110" s="1"/>
  <c r="P155"/>
  <c r="P158"/>
  <c r="P194"/>
  <c r="P195" s="1"/>
  <c r="P197"/>
  <c r="AE237"/>
  <c r="AB291"/>
  <c r="AB264"/>
  <c r="AB209"/>
  <c r="M226"/>
  <c r="P254"/>
  <c r="M308"/>
  <c r="M281"/>
  <c r="AB246"/>
  <c r="Y300"/>
  <c r="Y273"/>
  <c r="Y218"/>
  <c r="Y25" s="1"/>
  <c r="O27"/>
  <c r="V51"/>
  <c r="X51"/>
  <c r="P99"/>
  <c r="P96"/>
  <c r="P97" s="1"/>
  <c r="S257"/>
  <c r="P229"/>
  <c r="M283"/>
  <c r="V222"/>
  <c r="V304"/>
  <c r="Y250"/>
  <c r="V277"/>
  <c r="V293"/>
  <c r="Y239"/>
  <c r="V266"/>
  <c r="V211"/>
  <c r="V18" s="1"/>
  <c r="P184"/>
  <c r="P181"/>
  <c r="P182" s="1"/>
  <c r="AK284"/>
  <c r="V212"/>
  <c r="V19" s="1"/>
  <c r="Y240"/>
  <c r="V294"/>
  <c r="V267"/>
  <c r="AE247"/>
  <c r="AB219"/>
  <c r="AB301"/>
  <c r="AB274"/>
  <c r="S262"/>
  <c r="S192"/>
  <c r="S207"/>
  <c r="S179"/>
  <c r="S133"/>
  <c r="S166"/>
  <c r="S120"/>
  <c r="S289"/>
  <c r="J363"/>
  <c r="S235"/>
  <c r="S153"/>
  <c r="S61"/>
  <c r="S53"/>
  <c r="S392" s="1"/>
  <c r="V11"/>
  <c r="J423" s="1"/>
  <c r="J426" s="1"/>
  <c r="S81"/>
  <c r="S107"/>
  <c r="S31"/>
  <c r="X31" s="1"/>
  <c r="S94"/>
  <c r="S30"/>
  <c r="P171"/>
  <c r="P168"/>
  <c r="P169" s="1"/>
  <c r="S104" i="19"/>
  <c r="S107" s="1"/>
  <c r="S100"/>
  <c r="AA43" i="16"/>
  <c r="V113" i="19"/>
  <c r="Y270" i="16"/>
  <c r="AB243"/>
  <c r="Y215"/>
  <c r="Y346" s="1"/>
  <c r="Y297"/>
  <c r="X24"/>
  <c r="U106" i="19"/>
  <c r="X18" i="16"/>
  <c r="U101" i="19"/>
  <c r="P83" i="16"/>
  <c r="P84" s="1"/>
  <c r="P86"/>
  <c r="P122"/>
  <c r="P123" s="1"/>
  <c r="P125"/>
  <c r="M27"/>
  <c r="R21"/>
  <c r="AA13"/>
  <c r="V14"/>
  <c r="AA14" s="1"/>
  <c r="M310"/>
  <c r="V337" i="20"/>
  <c r="V333"/>
  <c r="U334"/>
  <c r="U335" s="1"/>
  <c r="AH478"/>
  <c r="AG431"/>
  <c r="W331"/>
  <c r="V314"/>
  <c r="W313"/>
  <c r="W321"/>
  <c r="W317"/>
  <c r="W522"/>
  <c r="W569"/>
  <c r="W475"/>
  <c r="T341"/>
  <c r="U315"/>
  <c r="AA123"/>
  <c r="Z124"/>
  <c r="X260"/>
  <c r="Y260" s="1"/>
  <c r="X946"/>
  <c r="V363"/>
  <c r="V367"/>
  <c r="U364"/>
  <c r="U365" s="1"/>
  <c r="X938"/>
  <c r="BI583"/>
  <c r="X428"/>
  <c r="X422"/>
  <c r="X385"/>
  <c r="X311"/>
  <c r="X218"/>
  <c r="X234" s="1"/>
  <c r="X270"/>
  <c r="X351"/>
  <c r="X259"/>
  <c r="X345"/>
  <c r="X134"/>
  <c r="X160" s="1"/>
  <c r="Y15"/>
  <c r="Y946" s="1"/>
  <c r="X112"/>
  <c r="X955"/>
  <c r="X958" s="1"/>
  <c r="X951"/>
  <c r="Y126"/>
  <c r="Y125"/>
  <c r="AA566"/>
  <c r="AA519"/>
  <c r="AA419"/>
  <c r="AB472"/>
  <c r="AN749"/>
  <c r="AN748"/>
  <c r="V323"/>
  <c r="V327"/>
  <c r="U324"/>
  <c r="U325" s="1"/>
  <c r="BG789"/>
  <c r="BL837"/>
  <c r="BL895" s="1"/>
  <c r="BL757"/>
  <c r="W371"/>
  <c r="W361"/>
  <c r="W353"/>
  <c r="W357"/>
  <c r="V354"/>
  <c r="W532"/>
  <c r="W438"/>
  <c r="W485"/>
  <c r="W247"/>
  <c r="W941"/>
  <c r="W940"/>
  <c r="T340"/>
  <c r="BM666"/>
  <c r="AB208"/>
  <c r="AC77"/>
  <c r="T381"/>
  <c r="T51" s="1"/>
  <c r="U355"/>
  <c r="W248"/>
  <c r="V377"/>
  <c r="V373"/>
  <c r="U374"/>
  <c r="U375" s="1"/>
  <c r="CL893"/>
  <c r="CL865"/>
  <c r="BH763"/>
  <c r="R11" i="19" s="1"/>
  <c r="CL846" i="20"/>
  <c r="BH696"/>
  <c r="V477"/>
  <c r="V476"/>
  <c r="V479"/>
  <c r="K126" i="21"/>
  <c r="K125"/>
  <c r="L124"/>
  <c r="M123"/>
  <c r="U423" i="23" l="1"/>
  <c r="U407" s="1"/>
  <c r="U349"/>
  <c r="U341" s="1"/>
  <c r="U91"/>
  <c r="U84" s="1"/>
  <c r="AV804" i="20"/>
  <c r="K74"/>
  <c r="I176" i="58"/>
  <c r="K33" i="20"/>
  <c r="AV615" s="1"/>
  <c r="AX670"/>
  <c r="I401" i="58"/>
  <c r="AX591" i="20"/>
  <c r="M85"/>
  <c r="N60"/>
  <c r="G342" i="58"/>
  <c r="F54" i="60"/>
  <c r="L74" i="20"/>
  <c r="K75"/>
  <c r="K87" s="1"/>
  <c r="G384" i="58"/>
  <c r="K470" i="20"/>
  <c r="K517" s="1"/>
  <c r="H52" i="59"/>
  <c r="I260" i="58"/>
  <c r="I361"/>
  <c r="K459" i="20"/>
  <c r="K553" s="1"/>
  <c r="U161" i="23"/>
  <c r="U154" s="1"/>
  <c r="K52" i="20"/>
  <c r="AV636" s="1"/>
  <c r="AV638" s="1"/>
  <c r="K31"/>
  <c r="AV609" s="1"/>
  <c r="I197" i="58"/>
  <c r="D60" i="69"/>
  <c r="K56" i="20"/>
  <c r="C170" i="19"/>
  <c r="I314" i="58"/>
  <c r="M27" i="20"/>
  <c r="K42"/>
  <c r="AV625" s="1"/>
  <c r="E54" i="60"/>
  <c r="AX637" i="20"/>
  <c r="AX674"/>
  <c r="AX621"/>
  <c r="I447" i="58"/>
  <c r="G48" i="59"/>
  <c r="H48" s="1"/>
  <c r="M90" i="20"/>
  <c r="U233" i="23"/>
  <c r="U222" s="1"/>
  <c r="K195" i="20"/>
  <c r="K196" s="1"/>
  <c r="K164"/>
  <c r="U33" i="23"/>
  <c r="U24" s="1"/>
  <c r="L78" i="20"/>
  <c r="L90"/>
  <c r="M31"/>
  <c r="K68"/>
  <c r="AV656" s="1"/>
  <c r="K23" i="59"/>
  <c r="I214" i="58"/>
  <c r="AX680" i="20"/>
  <c r="AW680"/>
  <c r="AV766"/>
  <c r="AV824"/>
  <c r="AV825" s="1"/>
  <c r="AV823"/>
  <c r="M68"/>
  <c r="K65"/>
  <c r="AV653" s="1"/>
  <c r="U310" i="23"/>
  <c r="U303" s="1"/>
  <c r="I234" i="58"/>
  <c r="I16"/>
  <c r="I268" i="23"/>
  <c r="I261" i="58" s="1"/>
  <c r="K18" i="20"/>
  <c r="AV586" s="1"/>
  <c r="G90" i="58"/>
  <c r="F3" i="65"/>
  <c r="AV667" i="20"/>
  <c r="H179"/>
  <c r="E47" i="70" s="1"/>
  <c r="K456" i="20"/>
  <c r="U23" i="23"/>
  <c r="K137" i="20"/>
  <c r="K564"/>
  <c r="K458"/>
  <c r="K552" s="1"/>
  <c r="H374" i="23"/>
  <c r="H11" s="1"/>
  <c r="H10" s="1"/>
  <c r="BB676" i="20"/>
  <c r="M41"/>
  <c r="K146"/>
  <c r="AV624"/>
  <c r="M61"/>
  <c r="AV649"/>
  <c r="K220"/>
  <c r="K55"/>
  <c r="AV640" s="1"/>
  <c r="I295" i="58"/>
  <c r="I86" i="20"/>
  <c r="K25"/>
  <c r="E45" i="60"/>
  <c r="U221" i="23"/>
  <c r="U205" s="1"/>
  <c r="C148" i="19"/>
  <c r="I33" i="58"/>
  <c r="C150" i="19"/>
  <c r="K19" i="20"/>
  <c r="K186"/>
  <c r="H146" i="19" s="1"/>
  <c r="B68" i="66"/>
  <c r="B78"/>
  <c r="U329" i="23"/>
  <c r="U322" s="1"/>
  <c r="U438"/>
  <c r="U425" s="1"/>
  <c r="I98"/>
  <c r="CB56" i="19" s="1"/>
  <c r="CG56" s="1"/>
  <c r="BG783" i="20"/>
  <c r="L20" i="22"/>
  <c r="K212" i="20"/>
  <c r="G185" i="23"/>
  <c r="G466" s="1"/>
  <c r="B5" i="67"/>
  <c r="B30" s="1"/>
  <c r="B5" i="66"/>
  <c r="B30" s="1"/>
  <c r="C176" i="21"/>
  <c r="F44" i="70"/>
  <c r="C177" i="21"/>
  <c r="F45" i="70"/>
  <c r="C193" i="21"/>
  <c r="F61" i="70"/>
  <c r="C178" i="21"/>
  <c r="F46" i="70"/>
  <c r="G35" i="66"/>
  <c r="H27"/>
  <c r="O97" i="59"/>
  <c r="J97"/>
  <c r="L43"/>
  <c r="P43"/>
  <c r="G28" i="60"/>
  <c r="F75" i="59"/>
  <c r="E98"/>
  <c r="F98" s="1"/>
  <c r="E91"/>
  <c r="L70"/>
  <c r="P70"/>
  <c r="K43" i="20"/>
  <c r="I253" i="58"/>
  <c r="P26" i="59"/>
  <c r="L26"/>
  <c r="G37" i="60"/>
  <c r="E459" i="23"/>
  <c r="E454"/>
  <c r="H68" i="59"/>
  <c r="G70"/>
  <c r="N68"/>
  <c r="G100"/>
  <c r="N100" s="1"/>
  <c r="P13"/>
  <c r="L13"/>
  <c r="J70"/>
  <c r="I75"/>
  <c r="O70"/>
  <c r="V342" i="20"/>
  <c r="U380"/>
  <c r="U39" s="1"/>
  <c r="BF622" s="1"/>
  <c r="V154"/>
  <c r="BA628"/>
  <c r="E34" i="59"/>
  <c r="F34" s="1"/>
  <c r="C144" i="21"/>
  <c r="F12" i="70"/>
  <c r="C195" i="21"/>
  <c r="F63" i="70"/>
  <c r="C194" i="21"/>
  <c r="F62" i="70"/>
  <c r="B14" i="66"/>
  <c r="B39" s="1"/>
  <c r="B14" i="67"/>
  <c r="B39" s="1"/>
  <c r="F15" i="23"/>
  <c r="F14" s="1"/>
  <c r="D41" i="65"/>
  <c r="I63" i="59"/>
  <c r="H2" i="67"/>
  <c r="G10"/>
  <c r="K32" i="20"/>
  <c r="AV612" s="1"/>
  <c r="AV614" s="1"/>
  <c r="I135" i="58"/>
  <c r="H15" i="23"/>
  <c r="H14" s="1"/>
  <c r="E63" i="59"/>
  <c r="H2" i="66"/>
  <c r="G10"/>
  <c r="P30" i="59"/>
  <c r="L30"/>
  <c r="G41" i="60"/>
  <c r="G45" s="1"/>
  <c r="I337" i="23"/>
  <c r="I330" i="58" s="1"/>
  <c r="C137" i="21"/>
  <c r="F5" i="70"/>
  <c r="B4" i="67"/>
  <c r="B29" s="1"/>
  <c r="B4" i="66"/>
  <c r="B29" s="1"/>
  <c r="C179" i="21"/>
  <c r="F47" i="70"/>
  <c r="P48" i="59"/>
  <c r="K55"/>
  <c r="L48"/>
  <c r="N35"/>
  <c r="H35"/>
  <c r="L62"/>
  <c r="P62"/>
  <c r="I34"/>
  <c r="J11"/>
  <c r="O11"/>
  <c r="H468" i="23"/>
  <c r="H466"/>
  <c r="H467"/>
  <c r="H465"/>
  <c r="K11" i="59"/>
  <c r="K34" s="1"/>
  <c r="P12"/>
  <c r="G67" i="60"/>
  <c r="L12" i="59"/>
  <c r="P73"/>
  <c r="K72"/>
  <c r="L73"/>
  <c r="P59"/>
  <c r="L59"/>
  <c r="G59" i="60"/>
  <c r="H27" i="67"/>
  <c r="G35"/>
  <c r="E97" i="59"/>
  <c r="E20" i="65"/>
  <c r="E17"/>
  <c r="N23" i="59"/>
  <c r="H23"/>
  <c r="K30" i="20"/>
  <c r="M30" s="1"/>
  <c r="I163" i="58"/>
  <c r="C166" i="19"/>
  <c r="CM46"/>
  <c r="CM51" s="1"/>
  <c r="CM54" s="1"/>
  <c r="CM56" s="1"/>
  <c r="AM58" s="1"/>
  <c r="C165"/>
  <c r="K46" i="20"/>
  <c r="AV629" s="1"/>
  <c r="I245" i="58"/>
  <c r="G338" i="23"/>
  <c r="G331" i="58" s="1"/>
  <c r="Q96" i="19"/>
  <c r="Q4" i="68"/>
  <c r="Q36" s="1"/>
  <c r="C158" i="21"/>
  <c r="F26" i="70"/>
  <c r="B26" s="1"/>
  <c r="E338" i="23"/>
  <c r="B90" i="66"/>
  <c r="B72"/>
  <c r="L23" i="59"/>
  <c r="P23"/>
  <c r="P77"/>
  <c r="L77"/>
  <c r="I12" i="23"/>
  <c r="I64" i="58"/>
  <c r="K21" i="20"/>
  <c r="K143" s="1"/>
  <c r="D7" i="65"/>
  <c r="C5" i="71"/>
  <c r="F27" i="69"/>
  <c r="F373" i="23"/>
  <c r="U191"/>
  <c r="U186" s="1"/>
  <c r="F45" i="60"/>
  <c r="C159" i="21"/>
  <c r="F27" i="70"/>
  <c r="C167" i="21"/>
  <c r="F35" i="70"/>
  <c r="C162" i="21"/>
  <c r="F30" i="70"/>
  <c r="E14" i="65"/>
  <c r="E16"/>
  <c r="I424" i="23"/>
  <c r="U424" s="1"/>
  <c r="I384" i="58"/>
  <c r="G72" i="59"/>
  <c r="N73"/>
  <c r="H73"/>
  <c r="I49" i="58"/>
  <c r="K24" i="20"/>
  <c r="AV595" s="1"/>
  <c r="D9" i="69"/>
  <c r="E9"/>
  <c r="M62" i="20"/>
  <c r="AV650"/>
  <c r="AX650" s="1"/>
  <c r="K222"/>
  <c r="F15" i="65"/>
  <c r="U97" i="23"/>
  <c r="U92" s="1"/>
  <c r="B3" i="67"/>
  <c r="B28" s="1"/>
  <c r="B3" i="66"/>
  <c r="B28" s="1"/>
  <c r="D4" i="65"/>
  <c r="G11" i="59"/>
  <c r="G34" s="1"/>
  <c r="E67" i="60"/>
  <c r="N12" i="59"/>
  <c r="H12"/>
  <c r="D44" i="69"/>
  <c r="E44"/>
  <c r="G454" i="23"/>
  <c r="G456" s="1"/>
  <c r="G459"/>
  <c r="G97" i="59" s="1"/>
  <c r="H97" s="1"/>
  <c r="P35"/>
  <c r="L35"/>
  <c r="K60" i="20"/>
  <c r="M60" s="1"/>
  <c r="I342" i="58"/>
  <c r="C168" i="21"/>
  <c r="F36" i="70"/>
  <c r="C152" i="21"/>
  <c r="F20" i="70"/>
  <c r="B20" s="1"/>
  <c r="M66" i="20"/>
  <c r="K224"/>
  <c r="AV654"/>
  <c r="AX654" s="1"/>
  <c r="P21" i="59"/>
  <c r="L21"/>
  <c r="G23" i="60"/>
  <c r="N85" i="59"/>
  <c r="H85"/>
  <c r="P85"/>
  <c r="L85"/>
  <c r="N77"/>
  <c r="H77"/>
  <c r="P53"/>
  <c r="L53"/>
  <c r="G55" i="60"/>
  <c r="P61" i="59"/>
  <c r="L61"/>
  <c r="G60" i="60"/>
  <c r="F57"/>
  <c r="H57" i="59"/>
  <c r="D52" i="69"/>
  <c r="E52"/>
  <c r="L81" i="59"/>
  <c r="P81"/>
  <c r="E57" i="60"/>
  <c r="C139" i="21"/>
  <c r="F7" i="70"/>
  <c r="K57" i="20"/>
  <c r="M57" s="1"/>
  <c r="I283" i="58"/>
  <c r="E471" i="23"/>
  <c r="N81" i="59"/>
  <c r="H81"/>
  <c r="E185" i="23"/>
  <c r="B60" i="66"/>
  <c r="B66"/>
  <c r="I184" i="23"/>
  <c r="I177" i="58" s="1"/>
  <c r="CB63" i="19"/>
  <c r="CG63" s="1"/>
  <c r="CB61"/>
  <c r="CG61" s="1"/>
  <c r="I113" i="58"/>
  <c r="K28" i="20"/>
  <c r="O55" i="59"/>
  <c r="J55"/>
  <c r="U389" i="23"/>
  <c r="U380"/>
  <c r="K505" i="20"/>
  <c r="AV791"/>
  <c r="BE622"/>
  <c r="M88"/>
  <c r="M76"/>
  <c r="M72"/>
  <c r="AV773"/>
  <c r="AS764"/>
  <c r="AS697"/>
  <c r="C17" i="21"/>
  <c r="C89" i="22"/>
  <c r="M7" s="1"/>
  <c r="O21" s="1"/>
  <c r="AY584" i="20"/>
  <c r="N135"/>
  <c r="C135" i="21" s="1"/>
  <c r="N239" i="20"/>
  <c r="E135"/>
  <c r="AP584"/>
  <c r="E239"/>
  <c r="C86" i="22"/>
  <c r="K7" s="1"/>
  <c r="C17" i="20"/>
  <c r="P86"/>
  <c r="K135"/>
  <c r="C88" i="22"/>
  <c r="AV584" i="20"/>
  <c r="AV743" s="1"/>
  <c r="M83" i="22" s="1"/>
  <c r="M77" i="20"/>
  <c r="AV666"/>
  <c r="K208"/>
  <c r="K126"/>
  <c r="L77"/>
  <c r="AS605"/>
  <c r="AS701" s="1"/>
  <c r="E329" i="58"/>
  <c r="E26"/>
  <c r="E170"/>
  <c r="E90"/>
  <c r="E447"/>
  <c r="E433"/>
  <c r="E84"/>
  <c r="E357"/>
  <c r="E418"/>
  <c r="E76"/>
  <c r="E355"/>
  <c r="E322"/>
  <c r="E184"/>
  <c r="L86" i="20"/>
  <c r="AV675"/>
  <c r="K179"/>
  <c r="K180" s="1"/>
  <c r="BA588"/>
  <c r="M86"/>
  <c r="U69"/>
  <c r="BE657"/>
  <c r="E69" i="21"/>
  <c r="BA654" i="20"/>
  <c r="U250"/>
  <c r="BA657"/>
  <c r="BD657"/>
  <c r="Q196"/>
  <c r="G64" i="70" s="1"/>
  <c r="BB808" i="20"/>
  <c r="CA889"/>
  <c r="BD619"/>
  <c r="AY787"/>
  <c r="CA883" s="1"/>
  <c r="CE883" s="1"/>
  <c r="AY781"/>
  <c r="CA881" s="1"/>
  <c r="CE881" s="1"/>
  <c r="BB787"/>
  <c r="BA619"/>
  <c r="BB781"/>
  <c r="V249"/>
  <c r="BA639"/>
  <c r="BC676"/>
  <c r="BC674"/>
  <c r="N25"/>
  <c r="AY596" s="1"/>
  <c r="G91" i="58"/>
  <c r="BC661" i="20"/>
  <c r="BC665"/>
  <c r="BB773"/>
  <c r="BC678"/>
  <c r="BA650"/>
  <c r="BB797"/>
  <c r="H470"/>
  <c r="H517" s="1"/>
  <c r="AX634"/>
  <c r="AV788"/>
  <c r="H58"/>
  <c r="L80" i="22" s="1"/>
  <c r="M10"/>
  <c r="Q156" i="20"/>
  <c r="BB821"/>
  <c r="M74"/>
  <c r="E25"/>
  <c r="BA591"/>
  <c r="AV782"/>
  <c r="BB791"/>
  <c r="AY821"/>
  <c r="BD603"/>
  <c r="M64" i="22"/>
  <c r="S63" i="20"/>
  <c r="AY651"/>
  <c r="BD651" s="1"/>
  <c r="N223"/>
  <c r="C223" i="21" s="1"/>
  <c r="C63"/>
  <c r="M54" i="22"/>
  <c r="N169" i="20"/>
  <c r="S55"/>
  <c r="C55" i="21"/>
  <c r="AY640" i="20"/>
  <c r="AS612"/>
  <c r="L39" i="22"/>
  <c r="O39" s="1"/>
  <c r="P32" i="20"/>
  <c r="E106" i="22"/>
  <c r="S60" i="20"/>
  <c r="N219"/>
  <c r="AY648"/>
  <c r="C60" i="21"/>
  <c r="M61" i="22"/>
  <c r="D106"/>
  <c r="AS648" i="20"/>
  <c r="H219"/>
  <c r="L61" i="22"/>
  <c r="O61" s="1"/>
  <c r="P60" i="20"/>
  <c r="O53" i="22"/>
  <c r="AS629" i="20"/>
  <c r="L50" i="22"/>
  <c r="O50" s="1"/>
  <c r="P46" i="20"/>
  <c r="E303" i="58"/>
  <c r="E52" i="20"/>
  <c r="N495"/>
  <c r="N542"/>
  <c r="T562"/>
  <c r="T515"/>
  <c r="U468"/>
  <c r="T415"/>
  <c r="T508"/>
  <c r="T555"/>
  <c r="U461"/>
  <c r="T408"/>
  <c r="U464"/>
  <c r="T558"/>
  <c r="T511"/>
  <c r="T411"/>
  <c r="T514"/>
  <c r="U467"/>
  <c r="T561"/>
  <c r="T414"/>
  <c r="N554"/>
  <c r="N507"/>
  <c r="T554"/>
  <c r="T507"/>
  <c r="T407"/>
  <c r="T28" s="1"/>
  <c r="U460"/>
  <c r="AS741"/>
  <c r="D44" i="22" s="1"/>
  <c r="AS737" i="20"/>
  <c r="K463"/>
  <c r="N463"/>
  <c r="L38" i="22"/>
  <c r="O38" s="1"/>
  <c r="AS606" i="20"/>
  <c r="H464"/>
  <c r="P30"/>
  <c r="Q186"/>
  <c r="G54" i="70" s="1"/>
  <c r="O78" i="22"/>
  <c r="BB599" i="20"/>
  <c r="BC670"/>
  <c r="BB804"/>
  <c r="H556"/>
  <c r="H509"/>
  <c r="J72"/>
  <c r="G72"/>
  <c r="AP661"/>
  <c r="F72"/>
  <c r="K9" i="22"/>
  <c r="E263" i="20"/>
  <c r="J50"/>
  <c r="AP634"/>
  <c r="G50"/>
  <c r="O45" i="22"/>
  <c r="D38"/>
  <c r="J81" i="20"/>
  <c r="E175"/>
  <c r="D43" i="70" s="1"/>
  <c r="B43" s="1"/>
  <c r="F81" i="20"/>
  <c r="AP670"/>
  <c r="K16" i="22"/>
  <c r="G81" i="20"/>
  <c r="Q65"/>
  <c r="H361" i="58"/>
  <c r="AT673" i="20"/>
  <c r="AS807"/>
  <c r="BA673"/>
  <c r="Q22" i="22"/>
  <c r="Q10"/>
  <c r="D13" s="1"/>
  <c r="Q17"/>
  <c r="Q23"/>
  <c r="Q14"/>
  <c r="Q13"/>
  <c r="Q15"/>
  <c r="Q21"/>
  <c r="Q9"/>
  <c r="Q12"/>
  <c r="D14" s="1"/>
  <c r="Q20"/>
  <c r="Q11"/>
  <c r="Q19"/>
  <c r="Q24"/>
  <c r="D16" s="1"/>
  <c r="Q16"/>
  <c r="Q8"/>
  <c r="Q18"/>
  <c r="H496" i="20"/>
  <c r="H543"/>
  <c r="H562"/>
  <c r="H515"/>
  <c r="Q538"/>
  <c r="Q491"/>
  <c r="Q534"/>
  <c r="Q487"/>
  <c r="E226" i="58"/>
  <c r="E42" i="20"/>
  <c r="AS649"/>
  <c r="AX649" s="1"/>
  <c r="H220"/>
  <c r="L62" i="22"/>
  <c r="O62" s="1"/>
  <c r="P61" i="20"/>
  <c r="H469"/>
  <c r="BD634"/>
  <c r="BD650"/>
  <c r="C192" i="21"/>
  <c r="N196" i="20"/>
  <c r="BB768"/>
  <c r="BE768"/>
  <c r="CC868" s="1"/>
  <c r="AZ678"/>
  <c r="CA861"/>
  <c r="BB605"/>
  <c r="BB701" s="1"/>
  <c r="C57" i="21"/>
  <c r="S57" i="20"/>
  <c r="M57" i="22"/>
  <c r="AY642" i="20"/>
  <c r="N171"/>
  <c r="AS837"/>
  <c r="AT666"/>
  <c r="AY595"/>
  <c r="N183"/>
  <c r="F51" i="70" s="1"/>
  <c r="S24" i="20"/>
  <c r="C24" i="21"/>
  <c r="M31" i="22"/>
  <c r="BB615" i="20"/>
  <c r="BB702" s="1"/>
  <c r="T33"/>
  <c r="AZ661"/>
  <c r="CA849"/>
  <c r="T501"/>
  <c r="C6" i="67" s="1"/>
  <c r="C31" s="1"/>
  <c r="T548" i="20"/>
  <c r="U454"/>
  <c r="D6" i="66" s="1"/>
  <c r="D31" s="1"/>
  <c r="T401" i="20"/>
  <c r="U450"/>
  <c r="T544"/>
  <c r="T397"/>
  <c r="T497"/>
  <c r="T486"/>
  <c r="C3" i="67" s="1"/>
  <c r="C28" s="1"/>
  <c r="T533" i="20"/>
  <c r="T386"/>
  <c r="T71" s="1"/>
  <c r="U439"/>
  <c r="D3" i="66" s="1"/>
  <c r="D28" s="1"/>
  <c r="N486" i="20"/>
  <c r="N533"/>
  <c r="T416"/>
  <c r="U469"/>
  <c r="T563"/>
  <c r="T516"/>
  <c r="T493"/>
  <c r="T540"/>
  <c r="U446"/>
  <c r="T393"/>
  <c r="T410"/>
  <c r="T30" s="1"/>
  <c r="T510"/>
  <c r="U463"/>
  <c r="T557"/>
  <c r="C153" i="21"/>
  <c r="N156" i="20"/>
  <c r="F24" i="70" s="1"/>
  <c r="C31" i="21"/>
  <c r="M37" i="22"/>
  <c r="AY609" i="20"/>
  <c r="Q465"/>
  <c r="N466"/>
  <c r="N188"/>
  <c r="S31"/>
  <c r="E41"/>
  <c r="E234" i="58"/>
  <c r="H508" i="20"/>
  <c r="H555"/>
  <c r="E2" i="53"/>
  <c r="BY52" i="19"/>
  <c r="F91" i="58"/>
  <c r="BY56" i="19"/>
  <c r="CD56" s="1"/>
  <c r="Q188" i="20"/>
  <c r="G56" i="70" s="1"/>
  <c r="BB609" i="20"/>
  <c r="Q466"/>
  <c r="AY791"/>
  <c r="BD868" s="1"/>
  <c r="BD628"/>
  <c r="K23" i="22"/>
  <c r="F88" i="20"/>
  <c r="G88"/>
  <c r="J88"/>
  <c r="H139"/>
  <c r="E7" i="70" s="1"/>
  <c r="AP678" i="20"/>
  <c r="H162"/>
  <c r="E30" i="70" s="1"/>
  <c r="E162" i="20"/>
  <c r="D30" i="70" s="1"/>
  <c r="J45" i="20"/>
  <c r="AP628"/>
  <c r="AS791" s="1"/>
  <c r="E346"/>
  <c r="G45"/>
  <c r="BZ56" i="19"/>
  <c r="CE56" s="1"/>
  <c r="BZ52"/>
  <c r="E86" i="20"/>
  <c r="E179" s="1"/>
  <c r="D47" i="70" s="1"/>
  <c r="E446" i="58"/>
  <c r="E74" i="20"/>
  <c r="E401" i="58"/>
  <c r="AS766" i="20"/>
  <c r="AT680"/>
  <c r="AS824"/>
  <c r="BA680"/>
  <c r="Q58"/>
  <c r="Q166"/>
  <c r="G34" i="70" s="1"/>
  <c r="BB636" i="20"/>
  <c r="AS627"/>
  <c r="L47" i="22"/>
  <c r="O47" s="1"/>
  <c r="P44" i="20"/>
  <c r="M44"/>
  <c r="K148"/>
  <c r="H544"/>
  <c r="H497"/>
  <c r="H538"/>
  <c r="H491"/>
  <c r="I73"/>
  <c r="H75"/>
  <c r="P73"/>
  <c r="Q562"/>
  <c r="Q515"/>
  <c r="Q542"/>
  <c r="Q495"/>
  <c r="L51" i="22"/>
  <c r="O51" s="1"/>
  <c r="AS626" i="20"/>
  <c r="P43"/>
  <c r="E47"/>
  <c r="E260" i="58"/>
  <c r="BD621" i="20"/>
  <c r="BA637"/>
  <c r="H456"/>
  <c r="Q180"/>
  <c r="G48" i="70" s="1"/>
  <c r="BA603" i="20"/>
  <c r="BM57" i="19"/>
  <c r="H194" i="20"/>
  <c r="E62" i="70" s="1"/>
  <c r="J22" i="20"/>
  <c r="AP591"/>
  <c r="E194"/>
  <c r="D62" i="70" s="1"/>
  <c r="G22" i="20"/>
  <c r="AS595"/>
  <c r="L31" i="22"/>
  <c r="O31" s="1"/>
  <c r="P24" i="20"/>
  <c r="T261"/>
  <c r="T265"/>
  <c r="U262"/>
  <c r="U38" s="1"/>
  <c r="BF621" s="1"/>
  <c r="T262"/>
  <c r="U261"/>
  <c r="V261"/>
  <c r="AS640"/>
  <c r="L54" i="22"/>
  <c r="O54" s="1"/>
  <c r="P55" i="20"/>
  <c r="Q161"/>
  <c r="G29" i="70" s="1"/>
  <c r="BB626" i="20"/>
  <c r="L46" i="22"/>
  <c r="O46" s="1"/>
  <c r="AS623" i="20"/>
  <c r="P40"/>
  <c r="C155" i="21"/>
  <c r="AY737" i="20"/>
  <c r="D43" i="62" s="1"/>
  <c r="F43" s="1"/>
  <c r="AY741" i="20"/>
  <c r="E44" i="22" s="1"/>
  <c r="Q556" i="20"/>
  <c r="Q509"/>
  <c r="AS630"/>
  <c r="P47"/>
  <c r="T491"/>
  <c r="T538"/>
  <c r="U444"/>
  <c r="T391"/>
  <c r="T487"/>
  <c r="C4" i="67" s="1"/>
  <c r="C29" s="1"/>
  <c r="U440" i="20"/>
  <c r="D4" i="66" s="1"/>
  <c r="D29" s="1"/>
  <c r="T387" i="20"/>
  <c r="T534"/>
  <c r="AY724"/>
  <c r="AZ668"/>
  <c r="AY747"/>
  <c r="N82" i="22" s="1"/>
  <c r="AY717" i="20"/>
  <c r="AZ669"/>
  <c r="AY721"/>
  <c r="D38" i="62" s="1"/>
  <c r="F38" s="1"/>
  <c r="AZ682" i="20"/>
  <c r="AZ660"/>
  <c r="AY662"/>
  <c r="AY716"/>
  <c r="AZ681"/>
  <c r="AY713"/>
  <c r="AY719"/>
  <c r="D36" i="62" s="1"/>
  <c r="F36" s="1"/>
  <c r="AY725" i="20"/>
  <c r="BD660"/>
  <c r="CA848"/>
  <c r="AY718"/>
  <c r="T539"/>
  <c r="T392"/>
  <c r="U445"/>
  <c r="T492"/>
  <c r="N543"/>
  <c r="N496"/>
  <c r="T272"/>
  <c r="U271"/>
  <c r="C28" i="21"/>
  <c r="M35" i="22"/>
  <c r="P28" i="20"/>
  <c r="N462"/>
  <c r="N461"/>
  <c r="S28"/>
  <c r="N94"/>
  <c r="C94" i="21" s="1"/>
  <c r="N95" i="20"/>
  <c r="Q94"/>
  <c r="AY602"/>
  <c r="BB684" s="1"/>
  <c r="Q95"/>
  <c r="Q182" s="1"/>
  <c r="G50" i="70" s="1"/>
  <c r="L10" i="22"/>
  <c r="Q220" i="20"/>
  <c r="T61"/>
  <c r="BB649"/>
  <c r="BB648"/>
  <c r="Q219"/>
  <c r="T60"/>
  <c r="AZ674"/>
  <c r="BD674"/>
  <c r="AS586"/>
  <c r="H26"/>
  <c r="L29" i="22"/>
  <c r="P18" i="20"/>
  <c r="M47" i="22"/>
  <c r="N148" i="20"/>
  <c r="C44" i="21"/>
  <c r="AY627" i="20"/>
  <c r="AT671"/>
  <c r="AS805"/>
  <c r="BA671"/>
  <c r="R74"/>
  <c r="BB663"/>
  <c r="BC663" s="1"/>
  <c r="E266" i="58"/>
  <c r="E330"/>
  <c r="AS642" i="20"/>
  <c r="AS644" s="1"/>
  <c r="P57"/>
  <c r="H548"/>
  <c r="H501"/>
  <c r="H495"/>
  <c r="H542"/>
  <c r="Q544"/>
  <c r="Q497"/>
  <c r="Q533"/>
  <c r="Q486"/>
  <c r="AY807"/>
  <c r="AZ673"/>
  <c r="BD673"/>
  <c r="BB796"/>
  <c r="CA56" i="19"/>
  <c r="CF56" s="1"/>
  <c r="CA52"/>
  <c r="H91" i="58"/>
  <c r="E60" i="20"/>
  <c r="E342" i="58"/>
  <c r="CA856" i="20"/>
  <c r="AY804"/>
  <c r="AY676"/>
  <c r="AZ676" s="1"/>
  <c r="AZ670"/>
  <c r="BD670"/>
  <c r="S44"/>
  <c r="BB627"/>
  <c r="Q148"/>
  <c r="G16" i="70" s="1"/>
  <c r="E350" i="58"/>
  <c r="E61" i="20"/>
  <c r="AS590"/>
  <c r="H457"/>
  <c r="L32" i="22"/>
  <c r="O32" s="1"/>
  <c r="P21" i="20"/>
  <c r="M21"/>
  <c r="M32" i="22"/>
  <c r="N143" i="20"/>
  <c r="AY590"/>
  <c r="N457"/>
  <c r="C21" i="21"/>
  <c r="S21" i="20"/>
  <c r="Q555"/>
  <c r="Q508"/>
  <c r="M50" i="22"/>
  <c r="N163" i="20"/>
  <c r="S46"/>
  <c r="C46" i="21"/>
  <c r="AY629" i="20"/>
  <c r="Q163"/>
  <c r="G31" i="70" s="1"/>
  <c r="BB629" i="20"/>
  <c r="T503"/>
  <c r="C7" i="67" s="1"/>
  <c r="C32" s="1"/>
  <c r="T550" i="20"/>
  <c r="T403"/>
  <c r="U456"/>
  <c r="D7" i="66" s="1"/>
  <c r="D32" s="1"/>
  <c r="N544" i="20"/>
  <c r="N497"/>
  <c r="T541"/>
  <c r="U447"/>
  <c r="T394"/>
  <c r="T494"/>
  <c r="N547"/>
  <c r="N500"/>
  <c r="N126"/>
  <c r="C126" i="21" s="1"/>
  <c r="P77" i="20"/>
  <c r="AY666"/>
  <c r="N208"/>
  <c r="O77"/>
  <c r="C77" i="21"/>
  <c r="BX49" i="19"/>
  <c r="BX50" s="1"/>
  <c r="CC42"/>
  <c r="Q169" i="20"/>
  <c r="G37" i="70" s="1"/>
  <c r="BB640" i="20"/>
  <c r="Q146"/>
  <c r="G14" i="70" s="1"/>
  <c r="BB624" i="20"/>
  <c r="N459"/>
  <c r="M11" i="22"/>
  <c r="S74" i="20"/>
  <c r="O74"/>
  <c r="C74" i="21"/>
  <c r="N456" i="20"/>
  <c r="N470"/>
  <c r="AY663"/>
  <c r="N467"/>
  <c r="N458"/>
  <c r="N469"/>
  <c r="H192"/>
  <c r="E60" i="70" s="1"/>
  <c r="AP603" i="20"/>
  <c r="J29"/>
  <c r="E192"/>
  <c r="D60" i="70" s="1"/>
  <c r="G29" i="20"/>
  <c r="I134" i="21"/>
  <c r="I112"/>
  <c r="I218"/>
  <c r="I234" s="1"/>
  <c r="M51" i="22"/>
  <c r="N161" i="20"/>
  <c r="F29" i="70" s="1"/>
  <c r="S43" i="20"/>
  <c r="C43" i="21"/>
  <c r="AY626" i="20"/>
  <c r="G53"/>
  <c r="AP637"/>
  <c r="H167"/>
  <c r="E35" i="70" s="1"/>
  <c r="J53" i="20"/>
  <c r="E167"/>
  <c r="D35" i="70" s="1"/>
  <c r="E154" i="58"/>
  <c r="E31" i="20"/>
  <c r="N212"/>
  <c r="C18" i="21"/>
  <c r="M29" i="22"/>
  <c r="S18" i="20"/>
  <c r="AY586"/>
  <c r="M46" i="22"/>
  <c r="N48" i="20"/>
  <c r="S40"/>
  <c r="N145"/>
  <c r="C40" i="21"/>
  <c r="AY623" i="20"/>
  <c r="Q170"/>
  <c r="G38" i="70" s="1"/>
  <c r="P56" i="20"/>
  <c r="M56" i="22"/>
  <c r="N170" i="20"/>
  <c r="S56"/>
  <c r="C56" i="21"/>
  <c r="AY641" i="20"/>
  <c r="BA641" s="1"/>
  <c r="M40" i="22"/>
  <c r="M68" s="1"/>
  <c r="S33" i="20"/>
  <c r="C33" i="21"/>
  <c r="AY615" i="20"/>
  <c r="E159"/>
  <c r="D27" i="70" s="1"/>
  <c r="AP633" i="20"/>
  <c r="E153"/>
  <c r="D21" i="70" s="1"/>
  <c r="E251" i="20"/>
  <c r="G49"/>
  <c r="H159"/>
  <c r="E27" i="70" s="1"/>
  <c r="H153" i="20"/>
  <c r="K53" i="22"/>
  <c r="J49" i="20"/>
  <c r="H507"/>
  <c r="H554"/>
  <c r="AS721"/>
  <c r="AS713"/>
  <c r="AT682"/>
  <c r="AT681"/>
  <c r="AS747"/>
  <c r="L82" i="22" s="1"/>
  <c r="AS725" i="20"/>
  <c r="C26" i="65" s="1"/>
  <c r="AS719" i="20"/>
  <c r="AS716"/>
  <c r="AS717"/>
  <c r="AS662"/>
  <c r="AX662" s="1"/>
  <c r="AT668"/>
  <c r="AS724"/>
  <c r="AS718"/>
  <c r="AT669"/>
  <c r="AT660"/>
  <c r="BA660"/>
  <c r="Q75"/>
  <c r="R73"/>
  <c r="Q496"/>
  <c r="Q543"/>
  <c r="E262"/>
  <c r="AP621"/>
  <c r="J38"/>
  <c r="G38"/>
  <c r="E27"/>
  <c r="H186" s="1"/>
  <c r="E54" i="70" s="1"/>
  <c r="E146" i="58"/>
  <c r="H467" i="20"/>
  <c r="Q212"/>
  <c r="G80" i="70" s="1"/>
  <c r="C2" i="20"/>
  <c r="Q26"/>
  <c r="BB586"/>
  <c r="AY704"/>
  <c r="CA890"/>
  <c r="BD620"/>
  <c r="K63" i="22"/>
  <c r="N63" s="1"/>
  <c r="AP650" i="20"/>
  <c r="J62"/>
  <c r="E222"/>
  <c r="G62"/>
  <c r="E40"/>
  <c r="E197" i="58"/>
  <c r="BD594" i="20"/>
  <c r="AY773"/>
  <c r="BD856" s="1"/>
  <c r="AS625"/>
  <c r="L48" i="22"/>
  <c r="O48" s="1"/>
  <c r="P42" i="20"/>
  <c r="G261" i="58"/>
  <c r="AY766" i="20"/>
  <c r="AZ680"/>
  <c r="CA853"/>
  <c r="CE853" s="1"/>
  <c r="AY824"/>
  <c r="BD883" s="1"/>
  <c r="BD680"/>
  <c r="E361" i="58"/>
  <c r="E65" i="20"/>
  <c r="E49" i="58"/>
  <c r="E24" i="20"/>
  <c r="H183" s="1"/>
  <c r="E51" i="70" s="1"/>
  <c r="U66" i="20"/>
  <c r="E66" i="21"/>
  <c r="T224" i="20"/>
  <c r="E224" i="21" s="1"/>
  <c r="G224" s="1"/>
  <c r="BE654" i="20"/>
  <c r="T489"/>
  <c r="T490" s="1"/>
  <c r="T443"/>
  <c r="T390" s="1"/>
  <c r="T389"/>
  <c r="U442"/>
  <c r="T536"/>
  <c r="T537" s="1"/>
  <c r="N535"/>
  <c r="N488"/>
  <c r="T518"/>
  <c r="T565"/>
  <c r="U471"/>
  <c r="T418"/>
  <c r="T513"/>
  <c r="U466"/>
  <c r="T560"/>
  <c r="T413"/>
  <c r="C73" i="21"/>
  <c r="S73" i="20"/>
  <c r="N75"/>
  <c r="O73"/>
  <c r="R12" i="22"/>
  <c r="E14" s="1"/>
  <c r="R9"/>
  <c r="R22"/>
  <c r="R24"/>
  <c r="E16" s="1"/>
  <c r="B51"/>
  <c r="R8"/>
  <c r="R20"/>
  <c r="R11"/>
  <c r="R18"/>
  <c r="R15"/>
  <c r="R19"/>
  <c r="R21"/>
  <c r="R23"/>
  <c r="R10"/>
  <c r="E13" s="1"/>
  <c r="R16"/>
  <c r="R17"/>
  <c r="R14"/>
  <c r="R13"/>
  <c r="T53"/>
  <c r="S53"/>
  <c r="L64"/>
  <c r="O64" s="1"/>
  <c r="H223" i="20"/>
  <c r="P63"/>
  <c r="AS651"/>
  <c r="AX651" s="1"/>
  <c r="AY823"/>
  <c r="BD855" s="1"/>
  <c r="BD591"/>
  <c r="E18"/>
  <c r="E16" i="58"/>
  <c r="AP660" i="20"/>
  <c r="G71"/>
  <c r="AI56" i="19" s="1"/>
  <c r="E454" i="20"/>
  <c r="B77" i="22"/>
  <c r="E468" i="20"/>
  <c r="E444"/>
  <c r="C104" i="22"/>
  <c r="F91" i="20"/>
  <c r="E446"/>
  <c r="E460"/>
  <c r="K8" i="22"/>
  <c r="E453" i="20"/>
  <c r="E73"/>
  <c r="F71"/>
  <c r="E449"/>
  <c r="F92"/>
  <c r="E447"/>
  <c r="E445"/>
  <c r="F80"/>
  <c r="E448"/>
  <c r="J71"/>
  <c r="AJ56" i="19" s="1"/>
  <c r="E440" i="20"/>
  <c r="E439"/>
  <c r="B4" i="65" s="1"/>
  <c r="F4" s="1"/>
  <c r="E441" i="20"/>
  <c r="E450"/>
  <c r="F79"/>
  <c r="L40" i="22"/>
  <c r="AS615" i="20"/>
  <c r="AX615" s="1"/>
  <c r="P33"/>
  <c r="CA857"/>
  <c r="BD675"/>
  <c r="AZ675"/>
  <c r="Z29" i="21"/>
  <c r="Y32"/>
  <c r="I16" s="1"/>
  <c r="Z30"/>
  <c r="Z31" s="1"/>
  <c r="J15" s="1"/>
  <c r="AT667" i="20"/>
  <c r="AS784"/>
  <c r="AS808"/>
  <c r="BA667"/>
  <c r="E295" i="58"/>
  <c r="E55" i="20"/>
  <c r="H169" s="1"/>
  <c r="E37" i="70" s="1"/>
  <c r="J77" i="20"/>
  <c r="F77"/>
  <c r="AP666"/>
  <c r="E126"/>
  <c r="E208"/>
  <c r="D76" i="70" s="1"/>
  <c r="G77" i="20"/>
  <c r="AY822"/>
  <c r="BD853" s="1"/>
  <c r="BD588"/>
  <c r="N58"/>
  <c r="N166"/>
  <c r="F34" i="70" s="1"/>
  <c r="C52" i="21"/>
  <c r="S52" i="20"/>
  <c r="AY636"/>
  <c r="M55" i="22"/>
  <c r="F331" i="58"/>
  <c r="F261"/>
  <c r="AT675" i="20"/>
  <c r="BA675"/>
  <c r="Q171"/>
  <c r="G39" i="70" s="1"/>
  <c r="BB642" i="20"/>
  <c r="BD639"/>
  <c r="AY797"/>
  <c r="BD873" s="1"/>
  <c r="H535"/>
  <c r="H488"/>
  <c r="BB719"/>
  <c r="BC660"/>
  <c r="BB716"/>
  <c r="BB718"/>
  <c r="BB713"/>
  <c r="BB717"/>
  <c r="BB662"/>
  <c r="BC681"/>
  <c r="BB725"/>
  <c r="E26" i="65" s="1"/>
  <c r="BC669" i="20"/>
  <c r="BB724"/>
  <c r="BC668"/>
  <c r="BB747"/>
  <c r="O82" i="22" s="1"/>
  <c r="BC682" i="20"/>
  <c r="BB721"/>
  <c r="Q548"/>
  <c r="Q501"/>
  <c r="AT670"/>
  <c r="AS804"/>
  <c r="AS676"/>
  <c r="BA670"/>
  <c r="BD667"/>
  <c r="AZ667"/>
  <c r="AY808"/>
  <c r="AY784"/>
  <c r="CA880" s="1"/>
  <c r="CE880" s="1"/>
  <c r="K67" i="22"/>
  <c r="N67" s="1"/>
  <c r="E224" i="20"/>
  <c r="G66"/>
  <c r="AP654"/>
  <c r="J66"/>
  <c r="K145"/>
  <c r="AX628"/>
  <c r="M47"/>
  <c r="BB823"/>
  <c r="T253"/>
  <c r="T250"/>
  <c r="T37" s="1"/>
  <c r="U249"/>
  <c r="T249"/>
  <c r="AK62" i="19"/>
  <c r="N455" i="20"/>
  <c r="S19"/>
  <c r="AY587"/>
  <c r="C19" i="21"/>
  <c r="N142" i="20"/>
  <c r="M30" i="22"/>
  <c r="E314" i="58"/>
  <c r="E56" i="20"/>
  <c r="BB596"/>
  <c r="E46"/>
  <c r="E245" i="58"/>
  <c r="CI46" i="19"/>
  <c r="CI51" s="1"/>
  <c r="CI54" s="1"/>
  <c r="BD637" i="20"/>
  <c r="AY796"/>
  <c r="BD872" s="1"/>
  <c r="Q143"/>
  <c r="G11" i="70" s="1"/>
  <c r="BB590" i="20"/>
  <c r="Q457"/>
  <c r="G456" i="58"/>
  <c r="AS599" i="20"/>
  <c r="AX599" s="1"/>
  <c r="L78" i="22"/>
  <c r="L36"/>
  <c r="O36" s="1"/>
  <c r="P27" i="20"/>
  <c r="AP680"/>
  <c r="E195"/>
  <c r="D63" i="70" s="1"/>
  <c r="E137" i="20"/>
  <c r="D5" i="70" s="1"/>
  <c r="B5" s="1"/>
  <c r="F90" i="20"/>
  <c r="K13" i="22"/>
  <c r="G90" i="20"/>
  <c r="J90"/>
  <c r="BX63" i="19"/>
  <c r="CC63" s="1"/>
  <c r="BX61"/>
  <c r="CC61" s="1"/>
  <c r="E113" i="58"/>
  <c r="E28" i="20"/>
  <c r="BB807"/>
  <c r="BC673"/>
  <c r="H459"/>
  <c r="I74"/>
  <c r="L11" i="22"/>
  <c r="O11" s="1"/>
  <c r="AS663" i="20"/>
  <c r="P74"/>
  <c r="AY625"/>
  <c r="M48" i="22"/>
  <c r="N147" i="20"/>
  <c r="S42"/>
  <c r="C42" i="21"/>
  <c r="N492" i="20"/>
  <c r="N539"/>
  <c r="T509"/>
  <c r="T556"/>
  <c r="U462"/>
  <c r="T409"/>
  <c r="T417"/>
  <c r="T564"/>
  <c r="T517"/>
  <c r="U470"/>
  <c r="T553"/>
  <c r="U459"/>
  <c r="D8" i="66" s="1"/>
  <c r="D33" s="1"/>
  <c r="T406" i="20"/>
  <c r="T506"/>
  <c r="C8" i="67" s="1"/>
  <c r="C33" s="1"/>
  <c r="T496" i="20"/>
  <c r="U449"/>
  <c r="T543"/>
  <c r="T396"/>
  <c r="BD633"/>
  <c r="AY782"/>
  <c r="AY788"/>
  <c r="CA884" s="1"/>
  <c r="CE884" s="1"/>
  <c r="E384" i="58"/>
  <c r="BC672" i="20"/>
  <c r="BB806"/>
  <c r="BD671"/>
  <c r="AY805"/>
  <c r="AZ671"/>
  <c r="G419" i="58"/>
  <c r="G454"/>
  <c r="BB805" i="20"/>
  <c r="BC671"/>
  <c r="Q189"/>
  <c r="G57" i="70" s="1"/>
  <c r="BB612" i="20"/>
  <c r="E283" i="58"/>
  <c r="E57" i="20"/>
  <c r="AS704"/>
  <c r="BA620"/>
  <c r="J20"/>
  <c r="E193"/>
  <c r="D61" i="70" s="1"/>
  <c r="G20" i="20"/>
  <c r="H193"/>
  <c r="E61" i="70" s="1"/>
  <c r="AP588" i="20"/>
  <c r="E253" i="58"/>
  <c r="E43" i="20"/>
  <c r="AY649"/>
  <c r="N220"/>
  <c r="C220" i="21" s="1"/>
  <c r="S61" i="20"/>
  <c r="C61" i="21"/>
  <c r="M62" i="22"/>
  <c r="E30" i="20"/>
  <c r="E163" i="58"/>
  <c r="AS636" i="20"/>
  <c r="AX636" s="1"/>
  <c r="L55" i="22"/>
  <c r="O55" s="1"/>
  <c r="P52" i="20"/>
  <c r="K465"/>
  <c r="H466"/>
  <c r="L37" i="22"/>
  <c r="O37" s="1"/>
  <c r="N465" i="20"/>
  <c r="AS609"/>
  <c r="AX609" s="1"/>
  <c r="P31"/>
  <c r="Q147"/>
  <c r="G15" i="70" s="1"/>
  <c r="BB625" i="20"/>
  <c r="H494"/>
  <c r="H541"/>
  <c r="H540"/>
  <c r="H493"/>
  <c r="H533"/>
  <c r="H486"/>
  <c r="Q493"/>
  <c r="Q540"/>
  <c r="Q535"/>
  <c r="Q488"/>
  <c r="Q494"/>
  <c r="Q541"/>
  <c r="E33"/>
  <c r="E176" i="58"/>
  <c r="H180" i="20"/>
  <c r="E48" i="70" s="1"/>
  <c r="E68" i="20"/>
  <c r="E373" i="58"/>
  <c r="K19" i="22"/>
  <c r="J76" i="20"/>
  <c r="F76"/>
  <c r="AP665"/>
  <c r="G76"/>
  <c r="AY612"/>
  <c r="S32"/>
  <c r="N189"/>
  <c r="C32" i="21"/>
  <c r="M39" i="22"/>
  <c r="Q126" i="20"/>
  <c r="Q208"/>
  <c r="G76" i="70" s="1"/>
  <c r="R77" i="20"/>
  <c r="BB666"/>
  <c r="M36" i="22"/>
  <c r="N186" i="20"/>
  <c r="F54" i="70" s="1"/>
  <c r="S27" i="20"/>
  <c r="N78" i="22"/>
  <c r="C27" i="21"/>
  <c r="AY599" i="20"/>
  <c r="N271"/>
  <c r="K271"/>
  <c r="H456" i="58"/>
  <c r="Q164" i="20"/>
  <c r="G32" i="70" s="1"/>
  <c r="BB630" i="20"/>
  <c r="N540"/>
  <c r="N493"/>
  <c r="T502"/>
  <c r="U455"/>
  <c r="T549"/>
  <c r="T402"/>
  <c r="T512"/>
  <c r="T559"/>
  <c r="U465"/>
  <c r="T412"/>
  <c r="T31" s="1"/>
  <c r="N487"/>
  <c r="N534"/>
  <c r="T542"/>
  <c r="T495"/>
  <c r="T395"/>
  <c r="U448"/>
  <c r="N541"/>
  <c r="N494"/>
  <c r="N562"/>
  <c r="N515"/>
  <c r="AL62" i="19"/>
  <c r="BB587" i="20"/>
  <c r="Q455"/>
  <c r="Q142"/>
  <c r="G10" i="70" s="1"/>
  <c r="Q183" i="20"/>
  <c r="G51" i="70" s="1"/>
  <c r="BB595" i="20"/>
  <c r="E192" i="58"/>
  <c r="AS596" i="20"/>
  <c r="P25"/>
  <c r="E364" i="58"/>
  <c r="E63" i="20"/>
  <c r="AT661"/>
  <c r="BA661"/>
  <c r="O35" i="22"/>
  <c r="G78" i="20"/>
  <c r="F78"/>
  <c r="K21" i="22"/>
  <c r="E155" i="20"/>
  <c r="D23" i="70" s="1"/>
  <c r="B23" s="1"/>
  <c r="AP667" i="20"/>
  <c r="J78"/>
  <c r="J82"/>
  <c r="G82"/>
  <c r="K17" i="22"/>
  <c r="N17" s="1"/>
  <c r="AP671" i="20"/>
  <c r="F82"/>
  <c r="E176"/>
  <c r="D44" i="70" s="1"/>
  <c r="B44" s="1"/>
  <c r="Q187" i="20"/>
  <c r="G55" i="70" s="1"/>
  <c r="BB606" i="20"/>
  <c r="Q464"/>
  <c r="S68"/>
  <c r="C68" i="21"/>
  <c r="AY656" i="20"/>
  <c r="BD656" s="1"/>
  <c r="E214" i="58"/>
  <c r="E44" i="20"/>
  <c r="AT672"/>
  <c r="AS806"/>
  <c r="BA672"/>
  <c r="F456" i="58"/>
  <c r="AS624" i="20"/>
  <c r="L49" i="22"/>
  <c r="O49" s="1"/>
  <c r="P41" i="20"/>
  <c r="H419" i="58"/>
  <c r="H454"/>
  <c r="H261"/>
  <c r="H331"/>
  <c r="N146" i="20"/>
  <c r="F14" i="70" s="1"/>
  <c r="C41" i="21"/>
  <c r="AY624" i="20"/>
  <c r="M49" i="22"/>
  <c r="S41" i="20"/>
  <c r="H487"/>
  <c r="H534"/>
  <c r="H539"/>
  <c r="H492"/>
  <c r="BB704"/>
  <c r="BD654"/>
  <c r="Q271"/>
  <c r="F419" i="58"/>
  <c r="F454"/>
  <c r="J83" i="20"/>
  <c r="F83"/>
  <c r="AP672"/>
  <c r="E177"/>
  <c r="D45" i="70" s="1"/>
  <c r="G83" i="20"/>
  <c r="AT678"/>
  <c r="AY768"/>
  <c r="CA868" s="1"/>
  <c r="CE868" s="1"/>
  <c r="AV768"/>
  <c r="BA678"/>
  <c r="N180"/>
  <c r="C175" i="21"/>
  <c r="E33" i="58"/>
  <c r="E19" i="20"/>
  <c r="BA633"/>
  <c r="G71" i="22"/>
  <c r="E38"/>
  <c r="S45"/>
  <c r="T45"/>
  <c r="AT674" i="20"/>
  <c r="BA674"/>
  <c r="CA858"/>
  <c r="AZ665"/>
  <c r="L66" i="22"/>
  <c r="O66" s="1"/>
  <c r="AS653" i="20"/>
  <c r="AX653" s="1"/>
  <c r="K472"/>
  <c r="P65"/>
  <c r="N472"/>
  <c r="H160" i="21"/>
  <c r="H159"/>
  <c r="Q463" i="20"/>
  <c r="N187"/>
  <c r="C30" i="21"/>
  <c r="M38" i="22"/>
  <c r="S30" i="20"/>
  <c r="AY606"/>
  <c r="N464"/>
  <c r="N538"/>
  <c r="N491"/>
  <c r="N548"/>
  <c r="N501"/>
  <c r="T488"/>
  <c r="C5" i="67" s="1"/>
  <c r="C30" s="1"/>
  <c r="U441" i="20"/>
  <c r="D5" i="66" s="1"/>
  <c r="D30" s="1"/>
  <c r="T535" i="20"/>
  <c r="T388"/>
  <c r="T405"/>
  <c r="U458"/>
  <c r="T552"/>
  <c r="T505"/>
  <c r="T551"/>
  <c r="T404"/>
  <c r="T504"/>
  <c r="U457"/>
  <c r="T400"/>
  <c r="T547"/>
  <c r="T500"/>
  <c r="U453"/>
  <c r="AT665"/>
  <c r="BA665"/>
  <c r="J37"/>
  <c r="AP620"/>
  <c r="E250"/>
  <c r="K45" i="22"/>
  <c r="G37" i="20"/>
  <c r="E178"/>
  <c r="D46" i="70" s="1"/>
  <c r="B46" s="1"/>
  <c r="G84" i="20"/>
  <c r="AP673"/>
  <c r="F84"/>
  <c r="J84"/>
  <c r="BC680"/>
  <c r="BB766"/>
  <c r="BB824"/>
  <c r="BC667"/>
  <c r="BB784"/>
  <c r="AS656"/>
  <c r="P68"/>
  <c r="AJ62" i="19"/>
  <c r="H455" i="20"/>
  <c r="AS587"/>
  <c r="L30" i="22"/>
  <c r="O30" s="1"/>
  <c r="M19" i="20"/>
  <c r="P19"/>
  <c r="Q48"/>
  <c r="O79" i="22" s="1"/>
  <c r="Q145" i="20"/>
  <c r="G13" i="70" s="1"/>
  <c r="BB623" i="20"/>
  <c r="AY806"/>
  <c r="AZ672"/>
  <c r="BD672"/>
  <c r="F85"/>
  <c r="J85"/>
  <c r="G85"/>
  <c r="AP674"/>
  <c r="E168"/>
  <c r="D36" i="70" s="1"/>
  <c r="G54" i="20"/>
  <c r="AP639"/>
  <c r="H168"/>
  <c r="E36" i="70" s="1"/>
  <c r="J54" i="20"/>
  <c r="E64" i="58"/>
  <c r="E21" i="20"/>
  <c r="BB741"/>
  <c r="BB737"/>
  <c r="C65" i="21"/>
  <c r="T65" i="20"/>
  <c r="M66" i="22"/>
  <c r="AY653" i="20"/>
  <c r="Q472"/>
  <c r="N228"/>
  <c r="E32"/>
  <c r="E135" i="58"/>
  <c r="J23" i="20"/>
  <c r="E144"/>
  <c r="D12" i="70" s="1"/>
  <c r="G23" i="20"/>
  <c r="AP594"/>
  <c r="H144"/>
  <c r="E12" i="70" s="1"/>
  <c r="AY630" i="20"/>
  <c r="S47"/>
  <c r="N164"/>
  <c r="C47" i="21"/>
  <c r="BB782" i="20"/>
  <c r="BB788"/>
  <c r="H547"/>
  <c r="H500"/>
  <c r="Q500"/>
  <c r="Q547"/>
  <c r="Q507"/>
  <c r="Q554"/>
  <c r="Q539"/>
  <c r="Q492"/>
  <c r="H164"/>
  <c r="E32" i="70" s="1"/>
  <c r="AX661" i="20"/>
  <c r="BA594"/>
  <c r="BA621"/>
  <c r="H458"/>
  <c r="H48"/>
  <c r="L57" i="22"/>
  <c r="O57" s="1"/>
  <c r="BB822" i="20"/>
  <c r="AW662"/>
  <c r="AV601"/>
  <c r="AV815"/>
  <c r="AV792"/>
  <c r="AV631"/>
  <c r="AX629"/>
  <c r="M81" i="22"/>
  <c r="K265" i="20"/>
  <c r="K264" s="1"/>
  <c r="K253"/>
  <c r="K443"/>
  <c r="AV702"/>
  <c r="V382"/>
  <c r="J25"/>
  <c r="G25"/>
  <c r="E184"/>
  <c r="D52" i="70" s="1"/>
  <c r="AP596" i="20"/>
  <c r="H184"/>
  <c r="E52" i="70" s="1"/>
  <c r="K33" i="22"/>
  <c r="N33" s="1"/>
  <c r="AV611" i="20"/>
  <c r="W942"/>
  <c r="U340"/>
  <c r="U37" s="1"/>
  <c r="BB715"/>
  <c r="AY715"/>
  <c r="P156" i="16"/>
  <c r="P200" s="1"/>
  <c r="P49" s="1"/>
  <c r="U49" s="1"/>
  <c r="P142"/>
  <c r="AB346"/>
  <c r="AC41"/>
  <c r="AC31"/>
  <c r="AC19"/>
  <c r="AC40"/>
  <c r="AC30"/>
  <c r="AC18"/>
  <c r="AG12"/>
  <c r="AC38"/>
  <c r="AC29"/>
  <c r="AC16"/>
  <c r="AC37"/>
  <c r="AC27"/>
  <c r="AC14"/>
  <c r="AB13"/>
  <c r="AB57"/>
  <c r="AB54"/>
  <c r="AC46"/>
  <c r="AC36"/>
  <c r="AC25"/>
  <c r="AC13"/>
  <c r="AC44"/>
  <c r="AC24"/>
  <c r="AC12"/>
  <c r="AB43"/>
  <c r="AC35"/>
  <c r="AC23"/>
  <c r="AC43"/>
  <c r="AC33"/>
  <c r="AC21"/>
  <c r="X97" i="19"/>
  <c r="X98" s="1"/>
  <c r="S99" i="16"/>
  <c r="S96"/>
  <c r="S97" s="1"/>
  <c r="S197"/>
  <c r="S194"/>
  <c r="S195" s="1"/>
  <c r="Y267"/>
  <c r="Y212"/>
  <c r="Y19" s="1"/>
  <c r="AB240"/>
  <c r="Y294"/>
  <c r="Y211"/>
  <c r="Y18" s="1"/>
  <c r="Y293"/>
  <c r="AB239"/>
  <c r="Y266"/>
  <c r="Y51"/>
  <c r="AA51"/>
  <c r="X30"/>
  <c r="U111" i="19"/>
  <c r="S155" i="16"/>
  <c r="S158"/>
  <c r="AA24"/>
  <c r="V106" i="19"/>
  <c r="U99"/>
  <c r="S21" i="16"/>
  <c r="X16"/>
  <c r="Y292"/>
  <c r="Y265"/>
  <c r="AB238"/>
  <c r="Y210"/>
  <c r="Y14" s="1"/>
  <c r="R27"/>
  <c r="S184"/>
  <c r="S181"/>
  <c r="S182" s="1"/>
  <c r="V101" i="19"/>
  <c r="AA18" i="16"/>
  <c r="AE246"/>
  <c r="AB300"/>
  <c r="AB273"/>
  <c r="AB218"/>
  <c r="AB25" s="1"/>
  <c r="AE209"/>
  <c r="AH237"/>
  <c r="AE291"/>
  <c r="AE264"/>
  <c r="P27"/>
  <c r="U21"/>
  <c r="B46"/>
  <c r="F41"/>
  <c r="S138"/>
  <c r="S135"/>
  <c r="S136" s="1"/>
  <c r="AE274"/>
  <c r="AH247"/>
  <c r="AE219"/>
  <c r="AE301"/>
  <c r="AN283"/>
  <c r="AN284" s="1"/>
  <c r="AQ256"/>
  <c r="AN228"/>
  <c r="AN310"/>
  <c r="AN311" s="1"/>
  <c r="AH236"/>
  <c r="AE290"/>
  <c r="AE263"/>
  <c r="AE208"/>
  <c r="AE12" s="1"/>
  <c r="V235"/>
  <c r="V153"/>
  <c r="J364"/>
  <c r="V262"/>
  <c r="V192"/>
  <c r="V207"/>
  <c r="V179"/>
  <c r="V133"/>
  <c r="V166"/>
  <c r="V289"/>
  <c r="V94"/>
  <c r="V31"/>
  <c r="AA31" s="1"/>
  <c r="V61"/>
  <c r="V53"/>
  <c r="V392" s="1"/>
  <c r="V30"/>
  <c r="Y11"/>
  <c r="V81"/>
  <c r="V120"/>
  <c r="V107"/>
  <c r="S171"/>
  <c r="S168"/>
  <c r="S169" s="1"/>
  <c r="T104" i="19"/>
  <c r="T107" s="1"/>
  <c r="T100"/>
  <c r="AD13" i="16"/>
  <c r="P140"/>
  <c r="P37" s="1"/>
  <c r="U37" s="1"/>
  <c r="P199"/>
  <c r="P38" s="1"/>
  <c r="U38" s="1"/>
  <c r="AB297"/>
  <c r="AB270"/>
  <c r="AE243"/>
  <c r="AB215"/>
  <c r="S83"/>
  <c r="S86"/>
  <c r="S125"/>
  <c r="S122"/>
  <c r="S123" s="1"/>
  <c r="Y277"/>
  <c r="Y222"/>
  <c r="Y304"/>
  <c r="AB250"/>
  <c r="V257"/>
  <c r="S229"/>
  <c r="W105" i="19"/>
  <c r="AD25" i="16"/>
  <c r="P282"/>
  <c r="S255"/>
  <c r="P227"/>
  <c r="P309"/>
  <c r="Y298"/>
  <c r="AB244"/>
  <c r="Y271"/>
  <c r="Y216"/>
  <c r="Y23" s="1"/>
  <c r="P141"/>
  <c r="P48" s="1"/>
  <c r="U48" s="1"/>
  <c r="S112"/>
  <c r="S109"/>
  <c r="S110" s="1"/>
  <c r="P201"/>
  <c r="V102" i="19"/>
  <c r="AA19" i="16"/>
  <c r="P226"/>
  <c r="S254"/>
  <c r="P308"/>
  <c r="P281"/>
  <c r="AE285"/>
  <c r="AE230"/>
  <c r="AH258"/>
  <c r="AE312"/>
  <c r="Y299"/>
  <c r="AB245"/>
  <c r="Y272"/>
  <c r="Y217"/>
  <c r="Y24" s="1"/>
  <c r="V103" i="19"/>
  <c r="AA23" i="16"/>
  <c r="AD43"/>
  <c r="W113" i="19"/>
  <c r="V16" i="16"/>
  <c r="W367" i="20"/>
  <c r="V364"/>
  <c r="V365" s="1"/>
  <c r="W363"/>
  <c r="V571"/>
  <c r="V524"/>
  <c r="V430"/>
  <c r="BE635"/>
  <c r="E51" i="21"/>
  <c r="W354" i="20"/>
  <c r="X353"/>
  <c r="X371"/>
  <c r="X361"/>
  <c r="X357"/>
  <c r="X941"/>
  <c r="X940"/>
  <c r="Z126"/>
  <c r="Z125"/>
  <c r="CO893"/>
  <c r="CO846"/>
  <c r="CO865"/>
  <c r="BI696"/>
  <c r="BI763"/>
  <c r="S11" i="19" s="1"/>
  <c r="U381" i="20"/>
  <c r="U51" s="1"/>
  <c r="BF635" s="1"/>
  <c r="W373"/>
  <c r="W377"/>
  <c r="V374"/>
  <c r="V375" s="1"/>
  <c r="V570"/>
  <c r="V523"/>
  <c r="W476"/>
  <c r="V429"/>
  <c r="V526"/>
  <c r="V525" s="1"/>
  <c r="V478"/>
  <c r="V431" s="1"/>
  <c r="V432"/>
  <c r="V573"/>
  <c r="V572" s="1"/>
  <c r="BH789"/>
  <c r="H39" i="21"/>
  <c r="K39"/>
  <c r="P39"/>
  <c r="L39"/>
  <c r="G39"/>
  <c r="I39"/>
  <c r="M39"/>
  <c r="O39"/>
  <c r="Q39"/>
  <c r="N39"/>
  <c r="J39"/>
  <c r="R39"/>
  <c r="X569" i="20"/>
  <c r="X475"/>
  <c r="X522"/>
  <c r="W477"/>
  <c r="W479"/>
  <c r="X479" s="1"/>
  <c r="W333"/>
  <c r="W337"/>
  <c r="V334"/>
  <c r="V335" s="1"/>
  <c r="X248"/>
  <c r="Y248" s="1"/>
  <c r="BM837"/>
  <c r="BM895" s="1"/>
  <c r="BM757"/>
  <c r="AB419"/>
  <c r="AB566"/>
  <c r="AC472"/>
  <c r="AB519"/>
  <c r="Y938"/>
  <c r="BJ583"/>
  <c r="Y428"/>
  <c r="Y422"/>
  <c r="Y345"/>
  <c r="Y311"/>
  <c r="Y218"/>
  <c r="Y234" s="1"/>
  <c r="Y270"/>
  <c r="Y385"/>
  <c r="Y351"/>
  <c r="Y259"/>
  <c r="Y134"/>
  <c r="Y160" s="1"/>
  <c r="Z15"/>
  <c r="Y112"/>
  <c r="Y955"/>
  <c r="Y958" s="1"/>
  <c r="Y951"/>
  <c r="X532"/>
  <c r="X485"/>
  <c r="X438"/>
  <c r="X247"/>
  <c r="V355"/>
  <c r="BN666"/>
  <c r="AC208"/>
  <c r="AD77"/>
  <c r="W314"/>
  <c r="X313"/>
  <c r="X321"/>
  <c r="X317"/>
  <c r="X331"/>
  <c r="W327"/>
  <c r="V324"/>
  <c r="V325" s="1"/>
  <c r="W323"/>
  <c r="AI478"/>
  <c r="AI431" s="1"/>
  <c r="AH431"/>
  <c r="Z260"/>
  <c r="AB123"/>
  <c r="AA124"/>
  <c r="U341"/>
  <c r="V315"/>
  <c r="L125" i="21"/>
  <c r="L126"/>
  <c r="M124"/>
  <c r="N123"/>
  <c r="K93" i="20" l="1"/>
  <c r="AM52" i="19" s="1"/>
  <c r="P58" i="20"/>
  <c r="M75"/>
  <c r="K467"/>
  <c r="K469"/>
  <c r="D79" i="22"/>
  <c r="T90" i="20"/>
  <c r="T195" s="1"/>
  <c r="E195" i="21" s="1"/>
  <c r="G195" s="1"/>
  <c r="AX624" i="20"/>
  <c r="K136"/>
  <c r="K138" s="1"/>
  <c r="K188"/>
  <c r="K466"/>
  <c r="AV841"/>
  <c r="AV663"/>
  <c r="B63" i="70"/>
  <c r="K166" i="20"/>
  <c r="AV818"/>
  <c r="L75"/>
  <c r="K506"/>
  <c r="M33"/>
  <c r="W342"/>
  <c r="M52"/>
  <c r="M56"/>
  <c r="AV641"/>
  <c r="K170"/>
  <c r="O9" i="22"/>
  <c r="N21"/>
  <c r="U268" i="23"/>
  <c r="M42" i="20"/>
  <c r="N13" i="22"/>
  <c r="N8"/>
  <c r="BB841" i="20"/>
  <c r="N48" i="59"/>
  <c r="K147" i="20"/>
  <c r="K149" s="1"/>
  <c r="G55" i="59"/>
  <c r="H55" s="1"/>
  <c r="BD676" i="20"/>
  <c r="N19" i="22"/>
  <c r="AX595" i="20"/>
  <c r="T263"/>
  <c r="B62" i="70"/>
  <c r="B30"/>
  <c r="G465" i="23"/>
  <c r="K228" i="20"/>
  <c r="K503"/>
  <c r="K550"/>
  <c r="N23" i="22"/>
  <c r="M46" i="20"/>
  <c r="AV812"/>
  <c r="AX640"/>
  <c r="K163"/>
  <c r="M65"/>
  <c r="AV775"/>
  <c r="AV784"/>
  <c r="AV785" s="1"/>
  <c r="AW667"/>
  <c r="G467" i="23"/>
  <c r="AX667" i="20"/>
  <c r="M18"/>
  <c r="CB52" i="19"/>
  <c r="AX586" i="20"/>
  <c r="C25" i="21"/>
  <c r="AM62" i="19"/>
  <c r="AV587" i="20"/>
  <c r="AV589" s="1"/>
  <c r="AV698" s="1"/>
  <c r="K455"/>
  <c r="M25"/>
  <c r="AV596"/>
  <c r="AX596" s="1"/>
  <c r="K187"/>
  <c r="M12" i="22"/>
  <c r="M22" s="1"/>
  <c r="M24" s="1"/>
  <c r="AV798" i="20"/>
  <c r="K142"/>
  <c r="S25"/>
  <c r="K169"/>
  <c r="W154"/>
  <c r="B7" i="70"/>
  <c r="N184" i="20"/>
  <c r="F52" i="70" s="1"/>
  <c r="M55" i="20"/>
  <c r="K189"/>
  <c r="H463" i="23"/>
  <c r="K184" i="20"/>
  <c r="I91" i="58"/>
  <c r="AX612" i="20"/>
  <c r="B45" i="70"/>
  <c r="Q184" i="20"/>
  <c r="G52" i="70" s="1"/>
  <c r="M24" i="20"/>
  <c r="N26"/>
  <c r="B60" i="70"/>
  <c r="B47"/>
  <c r="M32" i="20"/>
  <c r="U98" i="23"/>
  <c r="B61" i="70"/>
  <c r="G468" i="23"/>
  <c r="N34" i="59"/>
  <c r="H34"/>
  <c r="BF620" i="20"/>
  <c r="D22" i="66"/>
  <c r="D22" i="67"/>
  <c r="D47" s="1"/>
  <c r="R96" i="19"/>
  <c r="R4" i="68"/>
  <c r="R36" s="1"/>
  <c r="C145" i="21"/>
  <c r="F13" i="70"/>
  <c r="B8" i="67"/>
  <c r="B33" s="1"/>
  <c r="B8" i="66"/>
  <c r="B33" s="1"/>
  <c r="F374" i="23"/>
  <c r="F11" s="1"/>
  <c r="F10" s="1"/>
  <c r="F463" s="1"/>
  <c r="C14" i="65"/>
  <c r="B16"/>
  <c r="K97" i="59"/>
  <c r="B20" i="65"/>
  <c r="M33" i="22"/>
  <c r="O8"/>
  <c r="I185" i="23"/>
  <c r="U185" s="1"/>
  <c r="C187" i="21"/>
  <c r="F55" i="70"/>
  <c r="C147" i="21"/>
  <c r="F15" i="70"/>
  <c r="AV642" i="20"/>
  <c r="K171"/>
  <c r="K172" s="1"/>
  <c r="K58"/>
  <c r="I471" i="23"/>
  <c r="I456" i="58"/>
  <c r="N97" i="59"/>
  <c r="F97"/>
  <c r="N16" i="22"/>
  <c r="I338" i="23"/>
  <c r="I331" i="58" s="1"/>
  <c r="C189" i="21"/>
  <c r="F57" i="70"/>
  <c r="C142" i="21"/>
  <c r="F10" i="70"/>
  <c r="C22" i="67"/>
  <c r="C47" s="1"/>
  <c r="C163" i="21"/>
  <c r="F31" i="70"/>
  <c r="C143" i="21"/>
  <c r="F11" i="70"/>
  <c r="AV648" i="20"/>
  <c r="K219"/>
  <c r="K221" s="1"/>
  <c r="D16" i="65"/>
  <c r="D47" i="62" s="1"/>
  <c r="F47" s="1"/>
  <c r="P72" i="59"/>
  <c r="L72"/>
  <c r="I91"/>
  <c r="O75"/>
  <c r="J75"/>
  <c r="I98"/>
  <c r="E456" i="23"/>
  <c r="U184"/>
  <c r="K75" i="59"/>
  <c r="C148" i="21"/>
  <c r="F16" i="70"/>
  <c r="C188" i="21"/>
  <c r="F56" i="70"/>
  <c r="C169" i="21"/>
  <c r="F37" i="70"/>
  <c r="I454" i="23"/>
  <c r="U454" s="1"/>
  <c r="I459"/>
  <c r="I454" i="58" s="1"/>
  <c r="I419"/>
  <c r="AV590" i="20"/>
  <c r="AV593" s="1"/>
  <c r="K457"/>
  <c r="K26"/>
  <c r="M26" s="1"/>
  <c r="M43"/>
  <c r="K161"/>
  <c r="K48"/>
  <c r="M79" i="22" s="1"/>
  <c r="AV626" i="20"/>
  <c r="B12" i="70"/>
  <c r="C180" i="21"/>
  <c r="F48" i="70"/>
  <c r="H156" i="20"/>
  <c r="E21" i="70"/>
  <c r="B21" s="1"/>
  <c r="C196" i="21"/>
  <c r="F64" i="70"/>
  <c r="BB739" i="20"/>
  <c r="G24" i="70"/>
  <c r="O63" i="59"/>
  <c r="J63"/>
  <c r="F62" i="60"/>
  <c r="F79" s="1"/>
  <c r="I56" i="59"/>
  <c r="G75"/>
  <c r="H70"/>
  <c r="N70"/>
  <c r="BA656" i="20"/>
  <c r="B35" i="70"/>
  <c r="E472" i="23"/>
  <c r="C16" i="27" s="1"/>
  <c r="B16" s="1"/>
  <c r="K183" i="20"/>
  <c r="D26" i="65"/>
  <c r="B6" i="67"/>
  <c r="B31" s="1"/>
  <c r="B6" i="66"/>
  <c r="B31" s="1"/>
  <c r="D33" i="62"/>
  <c r="F33" s="1"/>
  <c r="G370" i="23"/>
  <c r="C13" i="71"/>
  <c r="N72" i="59"/>
  <c r="H72"/>
  <c r="E5" i="71"/>
  <c r="C7"/>
  <c r="E7" s="1"/>
  <c r="L11" i="59"/>
  <c r="P11"/>
  <c r="J34"/>
  <c r="O34"/>
  <c r="F63"/>
  <c r="E56"/>
  <c r="I2" i="67"/>
  <c r="H10"/>
  <c r="C170" i="21"/>
  <c r="F38" i="70"/>
  <c r="C171" i="21"/>
  <c r="F39" i="70"/>
  <c r="L34" i="59"/>
  <c r="P34"/>
  <c r="L55"/>
  <c r="P55"/>
  <c r="H10" i="66"/>
  <c r="I2"/>
  <c r="B27" i="70"/>
  <c r="C164" i="21"/>
  <c r="F32" i="70"/>
  <c r="C212" i="21"/>
  <c r="F80" i="70"/>
  <c r="C208" i="21"/>
  <c r="F76" i="70"/>
  <c r="B76" s="1"/>
  <c r="K462" i="20"/>
  <c r="AV602"/>
  <c r="K461"/>
  <c r="M28"/>
  <c r="M78" i="22"/>
  <c r="K95" i="20"/>
  <c r="K182" s="1"/>
  <c r="K94"/>
  <c r="H11" i="59"/>
  <c r="N11"/>
  <c r="AV606" i="20"/>
  <c r="K464"/>
  <c r="H35" i="67"/>
  <c r="I27"/>
  <c r="F91" i="59"/>
  <c r="E93"/>
  <c r="I27" i="66"/>
  <c r="H35"/>
  <c r="B36" i="70"/>
  <c r="O20" i="22"/>
  <c r="AX665" i="20"/>
  <c r="AX678"/>
  <c r="W382"/>
  <c r="O19" i="22"/>
  <c r="O16"/>
  <c r="N9"/>
  <c r="O13"/>
  <c r="AP764" i="20"/>
  <c r="AP697"/>
  <c r="O23" i="22"/>
  <c r="N15"/>
  <c r="N18"/>
  <c r="AY697" i="20"/>
  <c r="AY764"/>
  <c r="AN584"/>
  <c r="C239"/>
  <c r="C16"/>
  <c r="O18" i="22"/>
  <c r="O15"/>
  <c r="O17"/>
  <c r="AV697" i="20"/>
  <c r="AV764"/>
  <c r="AX666"/>
  <c r="AW666"/>
  <c r="AV837"/>
  <c r="E177" i="58"/>
  <c r="AV808" i="20"/>
  <c r="AV809" s="1"/>
  <c r="AV676"/>
  <c r="AX675"/>
  <c r="AW675"/>
  <c r="BA625"/>
  <c r="BF657"/>
  <c r="V69"/>
  <c r="K20" i="22"/>
  <c r="N20" s="1"/>
  <c r="F2" i="53"/>
  <c r="BG782" i="20"/>
  <c r="CI882" s="1"/>
  <c r="CN882" s="1"/>
  <c r="O69" i="21"/>
  <c r="M69"/>
  <c r="K69"/>
  <c r="I69"/>
  <c r="J69"/>
  <c r="H69"/>
  <c r="L69"/>
  <c r="G69"/>
  <c r="Q69"/>
  <c r="R69"/>
  <c r="N69"/>
  <c r="P69"/>
  <c r="AX625" i="20"/>
  <c r="BA642"/>
  <c r="BB774"/>
  <c r="BA623"/>
  <c r="V153"/>
  <c r="BA596"/>
  <c r="BB776"/>
  <c r="AY730"/>
  <c r="E28" i="22" s="1"/>
  <c r="AS730" i="20"/>
  <c r="BB813"/>
  <c r="H564"/>
  <c r="AV795"/>
  <c r="E90" i="21"/>
  <c r="O90" s="1"/>
  <c r="O195" s="1"/>
  <c r="BB825" i="20"/>
  <c r="BA653"/>
  <c r="BA624"/>
  <c r="H196"/>
  <c r="E64" i="70" s="1"/>
  <c r="BB790" i="20"/>
  <c r="BE680"/>
  <c r="BE824" s="1"/>
  <c r="BE883" s="1"/>
  <c r="T29"/>
  <c r="T94" s="1"/>
  <c r="E94" i="21" s="1"/>
  <c r="E196" i="20"/>
  <c r="D64" i="70" s="1"/>
  <c r="Q149" i="20"/>
  <c r="H185"/>
  <c r="E53" i="70" s="1"/>
  <c r="E37" i="21"/>
  <c r="M37" s="1"/>
  <c r="BE620" i="20"/>
  <c r="C38" i="22"/>
  <c r="N45"/>
  <c r="Q510" i="20"/>
  <c r="Q557"/>
  <c r="J43"/>
  <c r="E161"/>
  <c r="D29" i="70" s="1"/>
  <c r="G43" i="20"/>
  <c r="AP626"/>
  <c r="H161"/>
  <c r="E29" i="70" s="1"/>
  <c r="K51" i="22"/>
  <c r="N51" s="1"/>
  <c r="Q66" i="21"/>
  <c r="Q224" s="1"/>
  <c r="P66"/>
  <c r="P224" s="1"/>
  <c r="L66"/>
  <c r="L224" s="1"/>
  <c r="K66"/>
  <c r="K224" s="1"/>
  <c r="M66"/>
  <c r="M224" s="1"/>
  <c r="R66"/>
  <c r="R224" s="1"/>
  <c r="J66"/>
  <c r="J224" s="1"/>
  <c r="H66"/>
  <c r="H224" s="1"/>
  <c r="O66"/>
  <c r="O224" s="1"/>
  <c r="N66"/>
  <c r="N224" s="1"/>
  <c r="I66"/>
  <c r="I224" s="1"/>
  <c r="G66"/>
  <c r="AU621" i="20"/>
  <c r="AR621"/>
  <c r="D25" i="22"/>
  <c r="AY790" i="20"/>
  <c r="BD626"/>
  <c r="S50" i="22"/>
  <c r="T50"/>
  <c r="U387" i="20"/>
  <c r="U534"/>
  <c r="U487"/>
  <c r="D4" i="67" s="1"/>
  <c r="D29" s="1"/>
  <c r="V440" i="20"/>
  <c r="E4" i="66" s="1"/>
  <c r="E29" s="1"/>
  <c r="L79" i="22"/>
  <c r="P48" i="20"/>
  <c r="BE653"/>
  <c r="T228"/>
  <c r="E228" i="21" s="1"/>
  <c r="G228" s="1"/>
  <c r="E65"/>
  <c r="U65" i="20"/>
  <c r="AR673"/>
  <c r="AP807"/>
  <c r="AQ673"/>
  <c r="AU673"/>
  <c r="V441"/>
  <c r="E5" i="66" s="1"/>
  <c r="E30" s="1"/>
  <c r="U388" i="20"/>
  <c r="U535"/>
  <c r="U488"/>
  <c r="D5" i="67" s="1"/>
  <c r="D30" s="1"/>
  <c r="AR672" i="20"/>
  <c r="AQ672"/>
  <c r="AU672"/>
  <c r="AP806"/>
  <c r="Q265"/>
  <c r="Q264" s="1"/>
  <c r="Q253"/>
  <c r="Q443"/>
  <c r="O81" i="22"/>
  <c r="AP627" i="20"/>
  <c r="H148"/>
  <c r="E16" i="70" s="1"/>
  <c r="K47" i="22"/>
  <c r="N47" s="1"/>
  <c r="E148" i="20"/>
  <c r="D16" i="70" s="1"/>
  <c r="J44" i="20"/>
  <c r="G44"/>
  <c r="T36" i="22"/>
  <c r="S36"/>
  <c r="G68" i="20"/>
  <c r="J68"/>
  <c r="AP656"/>
  <c r="K559"/>
  <c r="K512"/>
  <c r="BB614"/>
  <c r="BB818"/>
  <c r="BD625"/>
  <c r="AY776"/>
  <c r="BD859" s="1"/>
  <c r="AS601"/>
  <c r="AX601" s="1"/>
  <c r="BA599"/>
  <c r="AR654"/>
  <c r="AU654"/>
  <c r="AY795"/>
  <c r="AY638"/>
  <c r="BD636"/>
  <c r="E544"/>
  <c r="E497"/>
  <c r="E541"/>
  <c r="E494"/>
  <c r="E493"/>
  <c r="E540"/>
  <c r="AQ681"/>
  <c r="AP662"/>
  <c r="AP719"/>
  <c r="AP725"/>
  <c r="AR660"/>
  <c r="AU660"/>
  <c r="AP747"/>
  <c r="K82" i="22" s="1"/>
  <c r="AP724" i="20"/>
  <c r="AP718"/>
  <c r="AQ660"/>
  <c r="AP716"/>
  <c r="AQ682"/>
  <c r="AP717"/>
  <c r="AQ669"/>
  <c r="AP713"/>
  <c r="AQ668"/>
  <c r="AP721"/>
  <c r="N136"/>
  <c r="F4" i="70" s="1"/>
  <c r="N93" i="20"/>
  <c r="N87"/>
  <c r="O75"/>
  <c r="E79" i="22"/>
  <c r="S75" i="20"/>
  <c r="C75" i="21"/>
  <c r="U518" i="20"/>
  <c r="V471"/>
  <c r="U418"/>
  <c r="U565"/>
  <c r="E228"/>
  <c r="H228"/>
  <c r="K66" i="22"/>
  <c r="N66" s="1"/>
  <c r="AP653" i="20"/>
  <c r="H472"/>
  <c r="G65"/>
  <c r="J65"/>
  <c r="J40"/>
  <c r="G40"/>
  <c r="AP623"/>
  <c r="AS774" s="1"/>
  <c r="E48"/>
  <c r="H145"/>
  <c r="E13" i="70" s="1"/>
  <c r="K46" i="22"/>
  <c r="N46" s="1"/>
  <c r="E145" i="20"/>
  <c r="D13" i="70" s="1"/>
  <c r="N81" i="22"/>
  <c r="N253" i="20"/>
  <c r="N265"/>
  <c r="N264" s="1"/>
  <c r="N443"/>
  <c r="AT662"/>
  <c r="AS664"/>
  <c r="BA662"/>
  <c r="AY714"/>
  <c r="D37" i="62" s="1"/>
  <c r="F37" s="1"/>
  <c r="AV714" i="20"/>
  <c r="AS743"/>
  <c r="AS821"/>
  <c r="AU603"/>
  <c r="AP821"/>
  <c r="AR603"/>
  <c r="AY792"/>
  <c r="BD869" s="1"/>
  <c r="AY631"/>
  <c r="BD629"/>
  <c r="G2" i="53"/>
  <c r="Q17" i="20"/>
  <c r="H178" i="58"/>
  <c r="AS823" i="20"/>
  <c r="AU591"/>
  <c r="AR591"/>
  <c r="AP823"/>
  <c r="BA627"/>
  <c r="AX627"/>
  <c r="AV777"/>
  <c r="AY813"/>
  <c r="BD878" s="1"/>
  <c r="BD596"/>
  <c r="N513"/>
  <c r="N560"/>
  <c r="U510"/>
  <c r="U557"/>
  <c r="V463"/>
  <c r="U410"/>
  <c r="U30" s="1"/>
  <c r="J146" i="19"/>
  <c r="Q190" i="20"/>
  <c r="G58" i="70" s="1"/>
  <c r="AS614" i="20"/>
  <c r="BA612"/>
  <c r="BB785"/>
  <c r="BB707"/>
  <c r="AX656"/>
  <c r="L58" i="22"/>
  <c r="O58" s="1"/>
  <c r="Q502" i="20"/>
  <c r="Q549"/>
  <c r="AS589"/>
  <c r="AV771"/>
  <c r="BA587"/>
  <c r="AX587"/>
  <c r="U552"/>
  <c r="U505"/>
  <c r="U405"/>
  <c r="V458"/>
  <c r="K64" i="22"/>
  <c r="N64" s="1"/>
  <c r="E223" i="20"/>
  <c r="E227" s="1"/>
  <c r="E216" s="1"/>
  <c r="E215" s="1"/>
  <c r="AP651"/>
  <c r="J63"/>
  <c r="G63"/>
  <c r="AS611"/>
  <c r="AX611" s="1"/>
  <c r="BA609"/>
  <c r="S32" i="22"/>
  <c r="T32"/>
  <c r="AY816" i="20"/>
  <c r="BD879" s="1"/>
  <c r="AY608"/>
  <c r="BD606"/>
  <c r="N566"/>
  <c r="N519"/>
  <c r="AY775"/>
  <c r="BD624"/>
  <c r="BB771"/>
  <c r="BB589"/>
  <c r="N190"/>
  <c r="C186" i="21"/>
  <c r="H513" i="20"/>
  <c r="H560"/>
  <c r="CA882"/>
  <c r="CE882" s="1"/>
  <c r="AY785"/>
  <c r="U506"/>
  <c r="D8" i="67" s="1"/>
  <c r="D33" s="1"/>
  <c r="V459" i="20"/>
  <c r="E8" i="66" s="1"/>
  <c r="E33" s="1"/>
  <c r="U553" i="20"/>
  <c r="U406"/>
  <c r="T48" i="22"/>
  <c r="S48"/>
  <c r="T30"/>
  <c r="S30"/>
  <c r="BF782" i="20"/>
  <c r="CF882" s="1"/>
  <c r="CK882" s="1"/>
  <c r="U153"/>
  <c r="T55" i="22"/>
  <c r="S55"/>
  <c r="E539" i="20"/>
  <c r="E492"/>
  <c r="E507"/>
  <c r="E554"/>
  <c r="CE890"/>
  <c r="CA891"/>
  <c r="CE891" s="1"/>
  <c r="H561"/>
  <c r="H514"/>
  <c r="CC886"/>
  <c r="AY841"/>
  <c r="BD586"/>
  <c r="C161" i="21"/>
  <c r="N165" i="20"/>
  <c r="N550"/>
  <c r="N503"/>
  <c r="BA666"/>
  <c r="AZ666"/>
  <c r="AY837"/>
  <c r="BD895" s="1"/>
  <c r="BD627"/>
  <c r="BB777"/>
  <c r="K61" i="22"/>
  <c r="N61" s="1"/>
  <c r="C106"/>
  <c r="AP648" i="20"/>
  <c r="E219"/>
  <c r="G60"/>
  <c r="J60"/>
  <c r="BA602"/>
  <c r="AY685"/>
  <c r="AY811" s="1"/>
  <c r="CA870" s="1"/>
  <c r="CE870" s="1"/>
  <c r="AY684"/>
  <c r="BD602"/>
  <c r="AY605"/>
  <c r="T35" i="22"/>
  <c r="S35"/>
  <c r="M41"/>
  <c r="U391" i="20"/>
  <c r="U538"/>
  <c r="U491"/>
  <c r="V444"/>
  <c r="BB817"/>
  <c r="BB611"/>
  <c r="S31" i="22"/>
  <c r="T31"/>
  <c r="AY800" i="20"/>
  <c r="BD876" s="1"/>
  <c r="BD642"/>
  <c r="H563"/>
  <c r="H516"/>
  <c r="G42"/>
  <c r="AP625"/>
  <c r="AS776" s="1"/>
  <c r="H147"/>
  <c r="E15" i="70" s="1"/>
  <c r="K48" i="22"/>
  <c r="N48" s="1"/>
  <c r="J42" i="20"/>
  <c r="E147"/>
  <c r="D15" i="70" s="1"/>
  <c r="BB653" i="20"/>
  <c r="BD653" s="1"/>
  <c r="S65"/>
  <c r="Q228"/>
  <c r="AU661"/>
  <c r="AQ661"/>
  <c r="AR661"/>
  <c r="K510"/>
  <c r="K557"/>
  <c r="U411"/>
  <c r="U511"/>
  <c r="V464"/>
  <c r="U558"/>
  <c r="AS631"/>
  <c r="AX631" s="1"/>
  <c r="BA629"/>
  <c r="BA630"/>
  <c r="AV776"/>
  <c r="L41" i="22"/>
  <c r="O41" s="1"/>
  <c r="BA651" i="20"/>
  <c r="BB798"/>
  <c r="Q221"/>
  <c r="Q230" s="1"/>
  <c r="Q207" s="1"/>
  <c r="Q165"/>
  <c r="G33" i="70" s="1"/>
  <c r="L52" i="22"/>
  <c r="T38" i="20"/>
  <c r="C22" i="66" s="1"/>
  <c r="U263" i="20"/>
  <c r="H550"/>
  <c r="H503"/>
  <c r="G178" i="58"/>
  <c r="AQ678" i="20"/>
  <c r="AS768"/>
  <c r="AR678"/>
  <c r="AU678"/>
  <c r="Q513"/>
  <c r="Q560"/>
  <c r="T84"/>
  <c r="T72"/>
  <c r="T83"/>
  <c r="T42"/>
  <c r="T82"/>
  <c r="G77" i="22"/>
  <c r="T923" i="20"/>
  <c r="T19"/>
  <c r="T81"/>
  <c r="T74"/>
  <c r="BE660"/>
  <c r="T86"/>
  <c r="T85"/>
  <c r="E71" i="21"/>
  <c r="U501" i="20"/>
  <c r="D6" i="67" s="1"/>
  <c r="D31" s="1"/>
  <c r="U401" i="20"/>
  <c r="U548"/>
  <c r="V454"/>
  <c r="E6" i="66" s="1"/>
  <c r="E31" s="1"/>
  <c r="BB815" i="20"/>
  <c r="BB601"/>
  <c r="N557"/>
  <c r="N510"/>
  <c r="T54" i="22"/>
  <c r="S54"/>
  <c r="M58"/>
  <c r="BA626" i="20"/>
  <c r="BA649"/>
  <c r="AP773"/>
  <c r="AU594"/>
  <c r="AS773"/>
  <c r="AR594"/>
  <c r="AP704"/>
  <c r="AR620"/>
  <c r="AU620"/>
  <c r="U404"/>
  <c r="V457"/>
  <c r="U504"/>
  <c r="U551"/>
  <c r="N511"/>
  <c r="N558"/>
  <c r="AI62" i="19"/>
  <c r="E142" i="20"/>
  <c r="D10" i="70" s="1"/>
  <c r="AP587" i="20"/>
  <c r="AS771" s="1"/>
  <c r="E455"/>
  <c r="J19"/>
  <c r="G19"/>
  <c r="H142"/>
  <c r="E10" i="70" s="1"/>
  <c r="K30" i="22"/>
  <c r="N30" s="1"/>
  <c r="S49"/>
  <c r="T49"/>
  <c r="E464" i="20"/>
  <c r="G30"/>
  <c r="H187"/>
  <c r="E55" i="70" s="1"/>
  <c r="K38" i="22"/>
  <c r="N38" s="1"/>
  <c r="J30" i="20"/>
  <c r="AP606"/>
  <c r="E187"/>
  <c r="D55" i="70" s="1"/>
  <c r="H463" i="20"/>
  <c r="AR588"/>
  <c r="AS822"/>
  <c r="AP822"/>
  <c r="AU588"/>
  <c r="J57"/>
  <c r="G57"/>
  <c r="AP642"/>
  <c r="H171"/>
  <c r="E39" i="70" s="1"/>
  <c r="E171" i="20"/>
  <c r="D39" i="70" s="1"/>
  <c r="G449" i="58"/>
  <c r="U556" i="20"/>
  <c r="U509"/>
  <c r="U409"/>
  <c r="V462"/>
  <c r="T153"/>
  <c r="BE782"/>
  <c r="CC882" s="1"/>
  <c r="CH882" s="1"/>
  <c r="BB664"/>
  <c r="BC662"/>
  <c r="K54" i="22"/>
  <c r="N54" s="1"/>
  <c r="E169" i="20"/>
  <c r="D37" i="70" s="1"/>
  <c r="J55" i="20"/>
  <c r="G55"/>
  <c r="AP640"/>
  <c r="AA30" i="21"/>
  <c r="AA31" s="1"/>
  <c r="K15" s="1"/>
  <c r="AA29"/>
  <c r="Z32"/>
  <c r="J16" s="1"/>
  <c r="L68" i="22"/>
  <c r="O68" s="1"/>
  <c r="O40"/>
  <c r="P22"/>
  <c r="P16"/>
  <c r="P13"/>
  <c r="P8"/>
  <c r="P14"/>
  <c r="P21"/>
  <c r="P23"/>
  <c r="P18"/>
  <c r="P15"/>
  <c r="P11"/>
  <c r="P9"/>
  <c r="P20"/>
  <c r="P10"/>
  <c r="C13" s="1"/>
  <c r="P12"/>
  <c r="C14" s="1"/>
  <c r="P24"/>
  <c r="C16" s="1"/>
  <c r="P19"/>
  <c r="P17"/>
  <c r="E548" i="20"/>
  <c r="E501"/>
  <c r="U489"/>
  <c r="V442"/>
  <c r="U389"/>
  <c r="U536"/>
  <c r="J24"/>
  <c r="AP595"/>
  <c r="E183"/>
  <c r="D51" i="70" s="1"/>
  <c r="B51" s="1"/>
  <c r="G24" i="20"/>
  <c r="K31" i="22"/>
  <c r="N31" s="1"/>
  <c r="T56"/>
  <c r="S56"/>
  <c r="T46"/>
  <c r="M52"/>
  <c r="S46"/>
  <c r="N564" i="20"/>
  <c r="N517"/>
  <c r="U541"/>
  <c r="U494"/>
  <c r="U394"/>
  <c r="V447"/>
  <c r="BB792"/>
  <c r="BB631"/>
  <c r="BB632" s="1"/>
  <c r="S47" i="22"/>
  <c r="T47"/>
  <c r="U60" i="20"/>
  <c r="BE648"/>
  <c r="E60" i="21"/>
  <c r="T219" i="20"/>
  <c r="U492"/>
  <c r="V445"/>
  <c r="U539"/>
  <c r="U392"/>
  <c r="AY743"/>
  <c r="BB714"/>
  <c r="BE714"/>
  <c r="T50"/>
  <c r="U265"/>
  <c r="Q566"/>
  <c r="Q519"/>
  <c r="E143"/>
  <c r="D11" i="70" s="1"/>
  <c r="H143" i="20"/>
  <c r="E11" i="70" s="1"/>
  <c r="K32" i="22"/>
  <c r="N32" s="1"/>
  <c r="J21" i="20"/>
  <c r="AP590"/>
  <c r="E457"/>
  <c r="G21"/>
  <c r="AU674"/>
  <c r="AR674"/>
  <c r="AQ674"/>
  <c r="H549"/>
  <c r="H502"/>
  <c r="CA895"/>
  <c r="CE858"/>
  <c r="H449" i="58"/>
  <c r="Q558" i="20"/>
  <c r="Q511"/>
  <c r="U395"/>
  <c r="U495"/>
  <c r="U542"/>
  <c r="V448"/>
  <c r="S39" i="22"/>
  <c r="T39"/>
  <c r="N559" i="20"/>
  <c r="N512"/>
  <c r="L81" i="22"/>
  <c r="H265" i="20"/>
  <c r="H264" s="1"/>
  <c r="H443"/>
  <c r="H253"/>
  <c r="H553"/>
  <c r="H506"/>
  <c r="H170"/>
  <c r="E38" i="70" s="1"/>
  <c r="K56" i="22"/>
  <c r="N56" s="1"/>
  <c r="J56" i="20"/>
  <c r="E170"/>
  <c r="D38" i="70" s="1"/>
  <c r="G56" i="20"/>
  <c r="AP641"/>
  <c r="N80" i="22"/>
  <c r="S58" i="20"/>
  <c r="N59"/>
  <c r="C58" i="21"/>
  <c r="AS702" i="20"/>
  <c r="BA615"/>
  <c r="E542"/>
  <c r="E495"/>
  <c r="E500"/>
  <c r="E547"/>
  <c r="U513"/>
  <c r="U560"/>
  <c r="U413"/>
  <c r="V466"/>
  <c r="U224"/>
  <c r="BF654"/>
  <c r="V66"/>
  <c r="N53" i="22"/>
  <c r="AY702" i="20"/>
  <c r="BD615"/>
  <c r="S48"/>
  <c r="C48" i="21"/>
  <c r="N79" i="22"/>
  <c r="H188" i="20"/>
  <c r="E56" i="70" s="1"/>
  <c r="K37" i="22"/>
  <c r="N37" s="1"/>
  <c r="H465" i="20"/>
  <c r="E188"/>
  <c r="D56" i="70" s="1"/>
  <c r="J31" i="20"/>
  <c r="AP609"/>
  <c r="AS817" s="1"/>
  <c r="E466"/>
  <c r="G31"/>
  <c r="AZ663"/>
  <c r="BD663"/>
  <c r="CA851"/>
  <c r="CE851" s="1"/>
  <c r="CE856"/>
  <c r="CA874"/>
  <c r="CE874" s="1"/>
  <c r="N509"/>
  <c r="N556"/>
  <c r="AS597"/>
  <c r="BA595"/>
  <c r="I75"/>
  <c r="H87"/>
  <c r="C79" i="22"/>
  <c r="H93" i="20"/>
  <c r="H136"/>
  <c r="P75"/>
  <c r="BZ64" i="19"/>
  <c r="BZ67"/>
  <c r="BZ68" s="1"/>
  <c r="CE52"/>
  <c r="CE64" s="1"/>
  <c r="CK55" s="1"/>
  <c r="CK56" s="1"/>
  <c r="AK58" s="1"/>
  <c r="BM59" s="1"/>
  <c r="AP624" i="20"/>
  <c r="H146"/>
  <c r="E14" i="70" s="1"/>
  <c r="K49" i="22"/>
  <c r="N49" s="1"/>
  <c r="J41" i="20"/>
  <c r="E146"/>
  <c r="D14" i="70" s="1"/>
  <c r="G41" i="20"/>
  <c r="AY739"/>
  <c r="C156" i="21"/>
  <c r="V439" i="20"/>
  <c r="E3" i="66" s="1"/>
  <c r="E28" s="1"/>
  <c r="U386" i="20"/>
  <c r="U71" s="1"/>
  <c r="U533"/>
  <c r="U486"/>
  <c r="D3" i="67" s="1"/>
  <c r="D28" s="1"/>
  <c r="BE615" i="20"/>
  <c r="BE702" s="1"/>
  <c r="U33"/>
  <c r="E33" i="21"/>
  <c r="K10" i="22"/>
  <c r="N10" s="1"/>
  <c r="U562" i="20"/>
  <c r="V468"/>
  <c r="U415"/>
  <c r="U515"/>
  <c r="AS707"/>
  <c r="BA648"/>
  <c r="AY825"/>
  <c r="BD882"/>
  <c r="AV817"/>
  <c r="BB793"/>
  <c r="BM63" i="19"/>
  <c r="BB775" i="20"/>
  <c r="BB685"/>
  <c r="BB811" s="1"/>
  <c r="F178" i="58"/>
  <c r="U540" i="20"/>
  <c r="U493"/>
  <c r="V446"/>
  <c r="U393"/>
  <c r="U544"/>
  <c r="U497"/>
  <c r="V450"/>
  <c r="U397"/>
  <c r="AS608"/>
  <c r="BA606"/>
  <c r="E180"/>
  <c r="D48" i="70" s="1"/>
  <c r="BB809" i="20"/>
  <c r="T91"/>
  <c r="AY793"/>
  <c r="BD870" s="1"/>
  <c r="BD630"/>
  <c r="V465"/>
  <c r="U412"/>
  <c r="U31" s="1"/>
  <c r="U512"/>
  <c r="U559"/>
  <c r="BB772"/>
  <c r="BB593"/>
  <c r="BB699" s="1"/>
  <c r="AR650"/>
  <c r="AU650"/>
  <c r="N553"/>
  <c r="N506"/>
  <c r="H189"/>
  <c r="E57" i="70" s="1"/>
  <c r="K39" i="22"/>
  <c r="N39" s="1"/>
  <c r="AP612" i="20"/>
  <c r="E189"/>
  <c r="D57" i="70" s="1"/>
  <c r="J32" i="20"/>
  <c r="G32"/>
  <c r="F449" i="58"/>
  <c r="BB812" i="20"/>
  <c r="BB597"/>
  <c r="BE609"/>
  <c r="BE611" s="1"/>
  <c r="E31" i="21"/>
  <c r="AY815" i="20"/>
  <c r="AY601"/>
  <c r="BD599"/>
  <c r="AU665"/>
  <c r="AQ665"/>
  <c r="AR665"/>
  <c r="K40" i="22"/>
  <c r="J33" i="20"/>
  <c r="G33"/>
  <c r="AP615"/>
  <c r="U496"/>
  <c r="U396"/>
  <c r="U543"/>
  <c r="V449"/>
  <c r="AQ680"/>
  <c r="AR680"/>
  <c r="AP824"/>
  <c r="AU680"/>
  <c r="AP766"/>
  <c r="Q504"/>
  <c r="Q551"/>
  <c r="C166" i="21"/>
  <c r="N172" i="20"/>
  <c r="AQ666"/>
  <c r="AP837"/>
  <c r="AU666"/>
  <c r="AR666"/>
  <c r="E534"/>
  <c r="E487"/>
  <c r="E491"/>
  <c r="E538"/>
  <c r="BX56" i="19"/>
  <c r="CC56" s="1"/>
  <c r="BX52"/>
  <c r="E91" i="58"/>
  <c r="AP782" i="20"/>
  <c r="AR633"/>
  <c r="AS782"/>
  <c r="AS785" s="1"/>
  <c r="AS788"/>
  <c r="AU633"/>
  <c r="AP788"/>
  <c r="N505"/>
  <c r="N552"/>
  <c r="M14" i="22"/>
  <c r="AS593" i="20"/>
  <c r="AS727" s="1"/>
  <c r="BA590"/>
  <c r="CA886"/>
  <c r="CE886" s="1"/>
  <c r="BA586"/>
  <c r="BE57" i="19"/>
  <c r="AR56" s="1"/>
  <c r="BA57"/>
  <c r="AQ56" s="1"/>
  <c r="AW57"/>
  <c r="AP56" s="1"/>
  <c r="BI57"/>
  <c r="AS56" s="1"/>
  <c r="J47" i="20"/>
  <c r="E164"/>
  <c r="D32" i="70" s="1"/>
  <c r="G47" i="20"/>
  <c r="AP630"/>
  <c r="O80" i="22"/>
  <c r="Q59" i="20"/>
  <c r="R48" s="1"/>
  <c r="J86"/>
  <c r="G86"/>
  <c r="AP675"/>
  <c r="F86"/>
  <c r="BY67" i="19"/>
  <c r="BY68" s="1"/>
  <c r="CD52"/>
  <c r="CD64" s="1"/>
  <c r="CJ55" s="1"/>
  <c r="CJ56" s="1"/>
  <c r="AJ58" s="1"/>
  <c r="BY64"/>
  <c r="S37" i="22"/>
  <c r="T37"/>
  <c r="AY812" i="20"/>
  <c r="BD595"/>
  <c r="AY597"/>
  <c r="H558"/>
  <c r="H511"/>
  <c r="BE602"/>
  <c r="E28" i="21"/>
  <c r="T95" i="20"/>
  <c r="AV793"/>
  <c r="AV774"/>
  <c r="AY809"/>
  <c r="BD649"/>
  <c r="T92"/>
  <c r="AY777"/>
  <c r="BD860" s="1"/>
  <c r="BA640"/>
  <c r="BB816"/>
  <c r="BB608"/>
  <c r="T70" i="22"/>
  <c r="C228" i="21"/>
  <c r="S70" i="22"/>
  <c r="AS638" i="20"/>
  <c r="AX638" s="1"/>
  <c r="BA636"/>
  <c r="J134" i="21"/>
  <c r="J218"/>
  <c r="J234" s="1"/>
  <c r="J112"/>
  <c r="G73" i="20"/>
  <c r="J73"/>
  <c r="E75"/>
  <c r="F73"/>
  <c r="I159" i="21"/>
  <c r="I160"/>
  <c r="K62" i="22"/>
  <c r="N62" s="1"/>
  <c r="AP649" i="20"/>
  <c r="E220"/>
  <c r="J61"/>
  <c r="G61"/>
  <c r="AS797"/>
  <c r="AR639"/>
  <c r="AP797"/>
  <c r="AU639"/>
  <c r="U547"/>
  <c r="U500"/>
  <c r="V453"/>
  <c r="U400"/>
  <c r="AR671"/>
  <c r="AQ671"/>
  <c r="AU671"/>
  <c r="AP805"/>
  <c r="AP741"/>
  <c r="C44" i="22" s="1"/>
  <c r="AP737" i="20"/>
  <c r="AT663"/>
  <c r="BA663"/>
  <c r="H163"/>
  <c r="E31" i="70" s="1"/>
  <c r="K50" i="22"/>
  <c r="N50" s="1"/>
  <c r="J46" i="20"/>
  <c r="G46"/>
  <c r="AP629"/>
  <c r="E163"/>
  <c r="D31" i="70" s="1"/>
  <c r="AY589" i="20"/>
  <c r="AY771"/>
  <c r="BD852" s="1"/>
  <c r="BD587"/>
  <c r="E486"/>
  <c r="E533"/>
  <c r="E496"/>
  <c r="E543"/>
  <c r="H212"/>
  <c r="E80" i="70" s="1"/>
  <c r="B80" s="1"/>
  <c r="K29" i="22"/>
  <c r="N29" s="1"/>
  <c r="J18" i="20"/>
  <c r="E26"/>
  <c r="AP586"/>
  <c r="O77" i="22"/>
  <c r="Q34" i="20"/>
  <c r="N77" i="22"/>
  <c r="S26" i="20"/>
  <c r="N34"/>
  <c r="C26" i="21"/>
  <c r="AP796" i="20"/>
  <c r="AU637"/>
  <c r="AR637"/>
  <c r="AS796"/>
  <c r="N516"/>
  <c r="N563"/>
  <c r="U550"/>
  <c r="V456"/>
  <c r="E7" i="66" s="1"/>
  <c r="E32" s="1"/>
  <c r="U503" i="20"/>
  <c r="D7" i="67" s="1"/>
  <c r="D32" s="1"/>
  <c r="U403" i="20"/>
  <c r="AY772"/>
  <c r="BD854" s="1"/>
  <c r="AY593"/>
  <c r="AY726" s="1"/>
  <c r="AY728" s="1"/>
  <c r="BD590"/>
  <c r="H551"/>
  <c r="H504"/>
  <c r="CA64" i="19"/>
  <c r="CA67"/>
  <c r="CA68" s="1"/>
  <c r="CF52"/>
  <c r="L77" i="22"/>
  <c r="H34" i="20"/>
  <c r="D18" i="22" s="1"/>
  <c r="P26" i="20"/>
  <c r="T220"/>
  <c r="E220" i="21" s="1"/>
  <c r="G220" s="1"/>
  <c r="BE649" i="20"/>
  <c r="U61"/>
  <c r="E61" i="21"/>
  <c r="BE788" i="20"/>
  <c r="CC884" s="1"/>
  <c r="T159"/>
  <c r="E159" i="21" s="1"/>
  <c r="G159" s="1"/>
  <c r="T276" i="20"/>
  <c r="CA850"/>
  <c r="CB858"/>
  <c r="CB862"/>
  <c r="CE848"/>
  <c r="O13" i="19" s="1"/>
  <c r="N6" i="68" s="1"/>
  <c r="N38" s="1"/>
  <c r="CB857" i="20"/>
  <c r="CB856"/>
  <c r="CB853"/>
  <c r="CB850"/>
  <c r="CB848"/>
  <c r="CB849"/>
  <c r="CB851"/>
  <c r="CB852"/>
  <c r="CB854"/>
  <c r="CB861"/>
  <c r="CB860"/>
  <c r="AU628"/>
  <c r="AP791"/>
  <c r="AR628"/>
  <c r="T33" i="22"/>
  <c r="S33"/>
  <c r="AY817" i="20"/>
  <c r="BD880" s="1"/>
  <c r="BD609"/>
  <c r="AY611"/>
  <c r="BE606"/>
  <c r="BE608" s="1"/>
  <c r="E30" i="21"/>
  <c r="C183"/>
  <c r="N185" i="20"/>
  <c r="AU670"/>
  <c r="AP804"/>
  <c r="AQ670"/>
  <c r="AR670"/>
  <c r="AR634"/>
  <c r="AU634"/>
  <c r="U407"/>
  <c r="U28" s="1"/>
  <c r="U507"/>
  <c r="V460"/>
  <c r="U554"/>
  <c r="U514"/>
  <c r="V467"/>
  <c r="U561"/>
  <c r="U414"/>
  <c r="G52"/>
  <c r="E58"/>
  <c r="AP636"/>
  <c r="AS795" s="1"/>
  <c r="H166"/>
  <c r="E34" i="70" s="1"/>
  <c r="K55" i="22"/>
  <c r="N55" s="1"/>
  <c r="J52" i="20"/>
  <c r="E166"/>
  <c r="D34" i="70" s="1"/>
  <c r="N221" i="20"/>
  <c r="C219" i="21"/>
  <c r="AX630" i="20"/>
  <c r="AX623"/>
  <c r="AS809"/>
  <c r="E156"/>
  <c r="Q172"/>
  <c r="G40" i="70" s="1"/>
  <c r="E456" i="58"/>
  <c r="E419"/>
  <c r="N502" i="20"/>
  <c r="N549"/>
  <c r="E515"/>
  <c r="E562"/>
  <c r="N561"/>
  <c r="N514"/>
  <c r="L12" i="22"/>
  <c r="O10"/>
  <c r="N555" i="20"/>
  <c r="N508"/>
  <c r="E25" i="22"/>
  <c r="CA899" i="20"/>
  <c r="H552"/>
  <c r="H505"/>
  <c r="S38" i="22"/>
  <c r="T38"/>
  <c r="K566" i="20"/>
  <c r="K519"/>
  <c r="N149"/>
  <c r="F17" i="70" s="1"/>
  <c r="C146" i="21"/>
  <c r="AU667" i="20"/>
  <c r="AQ667"/>
  <c r="AR667"/>
  <c r="AP784"/>
  <c r="E261" i="58"/>
  <c r="U402" i="20"/>
  <c r="V455"/>
  <c r="U549"/>
  <c r="U502"/>
  <c r="BC666"/>
  <c r="BB837"/>
  <c r="AY818"/>
  <c r="BD881" s="1"/>
  <c r="AY614"/>
  <c r="BD612"/>
  <c r="U417"/>
  <c r="V470"/>
  <c r="U564"/>
  <c r="U517"/>
  <c r="K35" i="22"/>
  <c r="E461" i="20"/>
  <c r="J28"/>
  <c r="E95"/>
  <c r="E182" s="1"/>
  <c r="D50" i="70" s="1"/>
  <c r="E94" i="20"/>
  <c r="AP602"/>
  <c r="H94"/>
  <c r="G28"/>
  <c r="H95"/>
  <c r="H182" s="1"/>
  <c r="E50" i="70" s="1"/>
  <c r="E462" i="20"/>
  <c r="AT676"/>
  <c r="BA676"/>
  <c r="BB644"/>
  <c r="BB800"/>
  <c r="CA875"/>
  <c r="CE875" s="1"/>
  <c r="CE857"/>
  <c r="E535"/>
  <c r="E488"/>
  <c r="K36" i="22"/>
  <c r="N36" s="1"/>
  <c r="J27" i="20"/>
  <c r="AP599"/>
  <c r="E186"/>
  <c r="D54" i="70" s="1"/>
  <c r="B54" s="1"/>
  <c r="K78" i="22"/>
  <c r="G27" i="20"/>
  <c r="Q136"/>
  <c r="Q93"/>
  <c r="Q87"/>
  <c r="F79" i="22"/>
  <c r="R75" i="20"/>
  <c r="AY799"/>
  <c r="BD875" s="1"/>
  <c r="BD641"/>
  <c r="AY644"/>
  <c r="BB799"/>
  <c r="AY774"/>
  <c r="BD857" s="1"/>
  <c r="BD623"/>
  <c r="T29" i="22"/>
  <c r="M34"/>
  <c r="M42" s="1"/>
  <c r="S29"/>
  <c r="T51"/>
  <c r="S51"/>
  <c r="N551" i="20"/>
  <c r="N504"/>
  <c r="L34" i="22"/>
  <c r="O29"/>
  <c r="C95" i="21"/>
  <c r="N182" i="20"/>
  <c r="F50" i="70" s="1"/>
  <c r="U272" i="20"/>
  <c r="V271"/>
  <c r="AZ662"/>
  <c r="AY664"/>
  <c r="BD662"/>
  <c r="BB795"/>
  <c r="BB638"/>
  <c r="F74"/>
  <c r="B470"/>
  <c r="G74"/>
  <c r="AP663"/>
  <c r="E458"/>
  <c r="B458"/>
  <c r="B467"/>
  <c r="E467"/>
  <c r="B469"/>
  <c r="K11" i="22"/>
  <c r="N11" s="1"/>
  <c r="E459" i="20"/>
  <c r="E456"/>
  <c r="E470"/>
  <c r="J74"/>
  <c r="E469"/>
  <c r="Q559"/>
  <c r="Q512"/>
  <c r="U563"/>
  <c r="U516"/>
  <c r="V469"/>
  <c r="U416"/>
  <c r="CA901"/>
  <c r="S57" i="22"/>
  <c r="T57"/>
  <c r="O17" i="19"/>
  <c r="CH868" i="20"/>
  <c r="U508"/>
  <c r="V461"/>
  <c r="U408"/>
  <c r="U555"/>
  <c r="BD648"/>
  <c r="AY707"/>
  <c r="AY798"/>
  <c r="BD874" s="1"/>
  <c r="BD640"/>
  <c r="CA894"/>
  <c r="K57" i="22"/>
  <c r="N57" s="1"/>
  <c r="T251" i="20"/>
  <c r="H271"/>
  <c r="H59"/>
  <c r="I48" s="1"/>
  <c r="L87"/>
  <c r="K89"/>
  <c r="M87"/>
  <c r="K230"/>
  <c r="H171" i="19"/>
  <c r="AR596" i="20"/>
  <c r="AU596"/>
  <c r="AP813"/>
  <c r="AS813"/>
  <c r="K252"/>
  <c r="K347"/>
  <c r="X942"/>
  <c r="K490"/>
  <c r="K537"/>
  <c r="K442"/>
  <c r="AX614"/>
  <c r="AV632"/>
  <c r="H76" i="19"/>
  <c r="AV778" i="20"/>
  <c r="X477"/>
  <c r="X430" s="1"/>
  <c r="S156" i="16"/>
  <c r="S200" s="1"/>
  <c r="S49" s="1"/>
  <c r="X49" s="1"/>
  <c r="S201"/>
  <c r="AQ311"/>
  <c r="AF44"/>
  <c r="AF24"/>
  <c r="AF12"/>
  <c r="Y97" i="19"/>
  <c r="Y98" s="1"/>
  <c r="AE43" i="16"/>
  <c r="AF35"/>
  <c r="AF23"/>
  <c r="AF43"/>
  <c r="AF33"/>
  <c r="AF21"/>
  <c r="AF41"/>
  <c r="AF31"/>
  <c r="AF19"/>
  <c r="AF40"/>
  <c r="AF30"/>
  <c r="AF18"/>
  <c r="AJ12"/>
  <c r="AE57"/>
  <c r="AE54"/>
  <c r="AF38"/>
  <c r="AF29"/>
  <c r="AF16"/>
  <c r="AF37"/>
  <c r="AF27"/>
  <c r="AF14"/>
  <c r="AE13"/>
  <c r="AF46"/>
  <c r="AF36"/>
  <c r="AF25"/>
  <c r="AF13"/>
  <c r="AD14"/>
  <c r="Y16"/>
  <c r="AQ284"/>
  <c r="AB266"/>
  <c r="AB211"/>
  <c r="AB18" s="1"/>
  <c r="AB293"/>
  <c r="AE239"/>
  <c r="AG13"/>
  <c r="AH274"/>
  <c r="AK247"/>
  <c r="AH219"/>
  <c r="AH301"/>
  <c r="AB51"/>
  <c r="AD51"/>
  <c r="AH208"/>
  <c r="AH12" s="1"/>
  <c r="AK236"/>
  <c r="AH290"/>
  <c r="AH263"/>
  <c r="W106" i="19"/>
  <c r="AD24" i="16"/>
  <c r="W103" i="19"/>
  <c r="AD23" i="16"/>
  <c r="AE297"/>
  <c r="AE270"/>
  <c r="AH243"/>
  <c r="AE215"/>
  <c r="AE346" s="1"/>
  <c r="V111" i="19"/>
  <c r="AA30" i="16"/>
  <c r="V184"/>
  <c r="V181"/>
  <c r="V182" s="1"/>
  <c r="B351"/>
  <c r="O122" i="19"/>
  <c r="D44" i="16"/>
  <c r="F46"/>
  <c r="U100" i="19"/>
  <c r="U104"/>
  <c r="U107" s="1"/>
  <c r="AD19" i="16"/>
  <c r="W102" i="19"/>
  <c r="AG43" i="16"/>
  <c r="X113" i="19"/>
  <c r="AB299" i="16"/>
  <c r="AE245"/>
  <c r="AB272"/>
  <c r="AB217"/>
  <c r="AB24" s="1"/>
  <c r="S281"/>
  <c r="S226"/>
  <c r="V254"/>
  <c r="S308"/>
  <c r="AB298"/>
  <c r="AE244"/>
  <c r="AB271"/>
  <c r="AB216"/>
  <c r="AB23" s="1"/>
  <c r="U27"/>
  <c r="AE218"/>
  <c r="AE25" s="1"/>
  <c r="AH246"/>
  <c r="AE300"/>
  <c r="AE273"/>
  <c r="Y289"/>
  <c r="Y235"/>
  <c r="Y153"/>
  <c r="J365"/>
  <c r="Y262"/>
  <c r="Y192"/>
  <c r="Y207"/>
  <c r="Y179"/>
  <c r="Y166"/>
  <c r="Y120"/>
  <c r="Y107"/>
  <c r="Y94"/>
  <c r="Y61"/>
  <c r="Y53"/>
  <c r="Y392" s="1"/>
  <c r="AB11"/>
  <c r="Y133"/>
  <c r="Y31"/>
  <c r="AD31" s="1"/>
  <c r="Y81"/>
  <c r="Y30"/>
  <c r="K423"/>
  <c r="K426" s="1"/>
  <c r="V138"/>
  <c r="V135"/>
  <c r="V136" s="1"/>
  <c r="AG25"/>
  <c r="X105" i="19"/>
  <c r="S27" i="16"/>
  <c r="X21"/>
  <c r="AB267"/>
  <c r="AB212"/>
  <c r="AB19" s="1"/>
  <c r="AE240"/>
  <c r="AB294"/>
  <c r="S282"/>
  <c r="V255"/>
  <c r="S227"/>
  <c r="S309"/>
  <c r="V86"/>
  <c r="V83"/>
  <c r="V171"/>
  <c r="V168"/>
  <c r="V169" s="1"/>
  <c r="S140"/>
  <c r="S37" s="1"/>
  <c r="X37" s="1"/>
  <c r="AB210"/>
  <c r="AB14" s="1"/>
  <c r="AB292"/>
  <c r="AB265"/>
  <c r="AE238"/>
  <c r="V197"/>
  <c r="V194"/>
  <c r="V195" s="1"/>
  <c r="AH285"/>
  <c r="AH230"/>
  <c r="AK258"/>
  <c r="AH312"/>
  <c r="V125"/>
  <c r="V122"/>
  <c r="V123" s="1"/>
  <c r="V155"/>
  <c r="V158"/>
  <c r="AQ283"/>
  <c r="AT256"/>
  <c r="AQ228"/>
  <c r="AQ310"/>
  <c r="AH264"/>
  <c r="AH209"/>
  <c r="AK237"/>
  <c r="AH291"/>
  <c r="W101" i="19"/>
  <c r="AD18" i="16"/>
  <c r="S84"/>
  <c r="S141" s="1"/>
  <c r="S48" s="1"/>
  <c r="X48" s="1"/>
  <c r="S199"/>
  <c r="S38" s="1"/>
  <c r="X38" s="1"/>
  <c r="V21"/>
  <c r="AA16"/>
  <c r="V99" i="19"/>
  <c r="Y257" i="16"/>
  <c r="V229"/>
  <c r="AB277"/>
  <c r="AB222"/>
  <c r="AB304"/>
  <c r="AE250"/>
  <c r="V112"/>
  <c r="V109"/>
  <c r="V110" s="1"/>
  <c r="V96"/>
  <c r="V97" s="1"/>
  <c r="V99"/>
  <c r="S142"/>
  <c r="X573" i="20"/>
  <c r="Y479"/>
  <c r="X478"/>
  <c r="X431" s="1"/>
  <c r="X526"/>
  <c r="X432"/>
  <c r="Z248"/>
  <c r="AA248" s="1"/>
  <c r="AB248" s="1"/>
  <c r="Z938"/>
  <c r="BK583"/>
  <c r="Z428"/>
  <c r="Z422"/>
  <c r="Z351"/>
  <c r="Z345"/>
  <c r="Z311"/>
  <c r="Z218"/>
  <c r="Z234" s="1"/>
  <c r="Z270"/>
  <c r="Z385"/>
  <c r="Z259"/>
  <c r="Z112"/>
  <c r="Z134"/>
  <c r="Z160" s="1"/>
  <c r="AA15"/>
  <c r="AA946" s="1"/>
  <c r="Z955"/>
  <c r="Z958" s="1"/>
  <c r="Z946"/>
  <c r="Z951"/>
  <c r="X314"/>
  <c r="Y313"/>
  <c r="Y321"/>
  <c r="Y317"/>
  <c r="Y331"/>
  <c r="I51" i="21"/>
  <c r="M51"/>
  <c r="Q51"/>
  <c r="L51"/>
  <c r="H51"/>
  <c r="N51"/>
  <c r="P51"/>
  <c r="J51"/>
  <c r="G51"/>
  <c r="R51"/>
  <c r="O51"/>
  <c r="K51"/>
  <c r="V380" i="20"/>
  <c r="V39" s="1"/>
  <c r="BG622" s="1"/>
  <c r="AA260"/>
  <c r="AC519"/>
  <c r="AC566"/>
  <c r="AC419"/>
  <c r="AD472"/>
  <c r="X571"/>
  <c r="AB124"/>
  <c r="AC123"/>
  <c r="BN837"/>
  <c r="BN895" s="1"/>
  <c r="BN757"/>
  <c r="W429"/>
  <c r="W570"/>
  <c r="X476"/>
  <c r="W523"/>
  <c r="V340"/>
  <c r="AA126"/>
  <c r="AA125"/>
  <c r="X327"/>
  <c r="X323"/>
  <c r="W324"/>
  <c r="W325" s="1"/>
  <c r="Y485"/>
  <c r="Y532"/>
  <c r="Y438"/>
  <c r="Y247"/>
  <c r="Y940"/>
  <c r="Y941"/>
  <c r="BH783"/>
  <c r="BO666"/>
  <c r="AD208"/>
  <c r="AE77"/>
  <c r="Y371"/>
  <c r="Y361"/>
  <c r="Y353"/>
  <c r="Y357"/>
  <c r="X354"/>
  <c r="CR893"/>
  <c r="CR865"/>
  <c r="CR846"/>
  <c r="BJ696"/>
  <c r="BJ763"/>
  <c r="T11" i="19" s="1"/>
  <c r="X377" i="20"/>
  <c r="W374"/>
  <c r="W375" s="1"/>
  <c r="X373"/>
  <c r="V341"/>
  <c r="Y569"/>
  <c r="Y522"/>
  <c r="Y475"/>
  <c r="W364"/>
  <c r="X367"/>
  <c r="X363"/>
  <c r="W315"/>
  <c r="X315" s="1"/>
  <c r="V381"/>
  <c r="V51" s="1"/>
  <c r="BG635" s="1"/>
  <c r="W355"/>
  <c r="X337"/>
  <c r="W334"/>
  <c r="W335" s="1"/>
  <c r="X333"/>
  <c r="W524"/>
  <c r="W571"/>
  <c r="W430"/>
  <c r="BI789"/>
  <c r="W573"/>
  <c r="W572" s="1"/>
  <c r="W478"/>
  <c r="W431" s="1"/>
  <c r="W526"/>
  <c r="W525" s="1"/>
  <c r="W432"/>
  <c r="N124" i="21"/>
  <c r="O123"/>
  <c r="M125"/>
  <c r="M126"/>
  <c r="K514" i="20" l="1"/>
  <c r="K561"/>
  <c r="K560"/>
  <c r="K513"/>
  <c r="AW663"/>
  <c r="AV664"/>
  <c r="AV726"/>
  <c r="AV728" s="1"/>
  <c r="AV727"/>
  <c r="AV730"/>
  <c r="AX663"/>
  <c r="K563"/>
  <c r="K516"/>
  <c r="BD611"/>
  <c r="AV677"/>
  <c r="K150"/>
  <c r="AV683"/>
  <c r="L93"/>
  <c r="AM54" i="19" s="1"/>
  <c r="AX590" i="20"/>
  <c r="AX664"/>
  <c r="Q37" i="21"/>
  <c r="AV772" i="20"/>
  <c r="M93"/>
  <c r="AV740"/>
  <c r="BB814"/>
  <c r="BE603"/>
  <c r="BE821" s="1"/>
  <c r="BE882" s="1"/>
  <c r="X382"/>
  <c r="AX641"/>
  <c r="AV799"/>
  <c r="B52" i="70"/>
  <c r="Y477" i="20"/>
  <c r="Y430" s="1"/>
  <c r="M48"/>
  <c r="N55" i="59"/>
  <c r="X524" i="20"/>
  <c r="C184" i="21"/>
  <c r="B34" i="70"/>
  <c r="B15"/>
  <c r="Q185" i="20"/>
  <c r="G53" i="70" s="1"/>
  <c r="K165" i="20"/>
  <c r="B31" i="70"/>
  <c r="K190" i="20"/>
  <c r="CB64" i="19"/>
  <c r="CG52"/>
  <c r="CB67"/>
  <c r="CB68" s="1"/>
  <c r="AV597" i="20"/>
  <c r="AV598" s="1"/>
  <c r="AV700" s="1"/>
  <c r="B14" i="70"/>
  <c r="K185" i="20"/>
  <c r="E185"/>
  <c r="D53" i="70" s="1"/>
  <c r="U459" i="23"/>
  <c r="AV813" i="20"/>
  <c r="AV814" s="1"/>
  <c r="B29" i="70"/>
  <c r="K502" i="20"/>
  <c r="K549"/>
  <c r="U91"/>
  <c r="BF681" s="1"/>
  <c r="F63" i="60"/>
  <c r="B38" i="70"/>
  <c r="E29" i="21"/>
  <c r="O29" s="1"/>
  <c r="X154" i="20"/>
  <c r="D28" i="22"/>
  <c r="D29" s="1"/>
  <c r="C28" i="65"/>
  <c r="J27" i="66"/>
  <c r="J35" s="1"/>
  <c r="I35"/>
  <c r="K551" i="20"/>
  <c r="K504"/>
  <c r="AX648"/>
  <c r="AV707"/>
  <c r="C47" i="66"/>
  <c r="AP739" i="20"/>
  <c r="D24" i="70"/>
  <c r="D26" i="22"/>
  <c r="C27" i="65"/>
  <c r="K508" i="20"/>
  <c r="K555"/>
  <c r="AS739"/>
  <c r="E24" i="70"/>
  <c r="K34" i="20"/>
  <c r="M34" s="1"/>
  <c r="M77" i="22"/>
  <c r="J98" i="59"/>
  <c r="O98"/>
  <c r="P97"/>
  <c r="L97"/>
  <c r="D47" i="66"/>
  <c r="AX606" i="20"/>
  <c r="AV816"/>
  <c r="AV819" s="1"/>
  <c r="AV608"/>
  <c r="AX608" s="1"/>
  <c r="F56" i="59"/>
  <c r="E64"/>
  <c r="F64" s="1"/>
  <c r="I64"/>
  <c r="J56"/>
  <c r="O56"/>
  <c r="E370" i="23"/>
  <c r="B13" i="70"/>
  <c r="B32"/>
  <c r="C172" i="21"/>
  <c r="F40" i="70"/>
  <c r="C165" i="21"/>
  <c r="F33" i="70"/>
  <c r="K511" i="20"/>
  <c r="K558"/>
  <c r="J2" i="67"/>
  <c r="J10" s="1"/>
  <c r="I10"/>
  <c r="H75" i="59"/>
  <c r="G98"/>
  <c r="N75"/>
  <c r="G91"/>
  <c r="AV800" i="20"/>
  <c r="AV644"/>
  <c r="AX642"/>
  <c r="B56" i="70"/>
  <c r="B37"/>
  <c r="U338" i="23"/>
  <c r="CI65" i="19"/>
  <c r="N10" i="68"/>
  <c r="N42" s="1"/>
  <c r="Q138" i="20"/>
  <c r="G4" i="70"/>
  <c r="E153" i="21"/>
  <c r="G153" s="1"/>
  <c r="C19" i="67"/>
  <c r="C44" s="1"/>
  <c r="C19" i="66"/>
  <c r="C44" s="1"/>
  <c r="D19" i="67"/>
  <c r="D44" s="1"/>
  <c r="D19" i="66"/>
  <c r="D44" s="1"/>
  <c r="C25" i="22"/>
  <c r="B26" i="65"/>
  <c r="E19" i="67"/>
  <c r="E44" s="1"/>
  <c r="E19" i="66"/>
  <c r="I456" i="23"/>
  <c r="I449" i="58"/>
  <c r="B11" i="70"/>
  <c r="B55"/>
  <c r="AX602" i="20"/>
  <c r="AV605"/>
  <c r="AV685"/>
  <c r="AV811" s="1"/>
  <c r="AV684"/>
  <c r="S96" i="19"/>
  <c r="S4" i="68"/>
  <c r="S36" s="1"/>
  <c r="C185" i="21"/>
  <c r="F53" i="70"/>
  <c r="H138" i="20"/>
  <c r="E4" i="70"/>
  <c r="C190" i="21"/>
  <c r="F58" i="70"/>
  <c r="I35" i="67"/>
  <c r="J27"/>
  <c r="J35" s="1"/>
  <c r="AV790" i="20"/>
  <c r="AV794" s="1"/>
  <c r="AX626"/>
  <c r="K98" i="59"/>
  <c r="P75"/>
  <c r="L75"/>
  <c r="K91"/>
  <c r="M58" i="20"/>
  <c r="M80" i="22"/>
  <c r="K59" i="20"/>
  <c r="M59" s="1"/>
  <c r="B10" i="70"/>
  <c r="B57"/>
  <c r="F16" i="65"/>
  <c r="Q209" i="20"/>
  <c r="G75" i="70"/>
  <c r="I10" i="66"/>
  <c r="J2"/>
  <c r="J10" s="1"/>
  <c r="G15" i="23"/>
  <c r="G14" s="1"/>
  <c r="E41" i="65"/>
  <c r="G63" i="59"/>
  <c r="G373" i="23"/>
  <c r="I93" i="59"/>
  <c r="O91"/>
  <c r="J91"/>
  <c r="I468" i="23"/>
  <c r="I466"/>
  <c r="C17" i="27" s="1"/>
  <c r="B17" s="1"/>
  <c r="I467" i="23"/>
  <c r="C22" i="27" s="1"/>
  <c r="I465" i="23"/>
  <c r="C21" i="27" s="1"/>
  <c r="I178" i="58"/>
  <c r="H2" i="53"/>
  <c r="BD614" i="20"/>
  <c r="B39" i="70"/>
  <c r="Q150" i="20"/>
  <c r="G18" i="70" s="1"/>
  <c r="G17"/>
  <c r="D28" i="65"/>
  <c r="D35" i="62"/>
  <c r="F35" s="1"/>
  <c r="F93" i="59"/>
  <c r="E11" i="60"/>
  <c r="E14" s="1"/>
  <c r="E33" s="1"/>
  <c r="K509" i="20"/>
  <c r="K556"/>
  <c r="E13" i="71"/>
  <c r="C14"/>
  <c r="E14" s="1"/>
  <c r="AV734" i="20"/>
  <c r="AV699"/>
  <c r="B50" i="70"/>
  <c r="B16"/>
  <c r="AA951" i="20"/>
  <c r="W380"/>
  <c r="W39" s="1"/>
  <c r="BH622" s="1"/>
  <c r="AY727"/>
  <c r="C10" i="19"/>
  <c r="E10"/>
  <c r="D10"/>
  <c r="S77" i="20"/>
  <c r="AN744"/>
  <c r="AN743"/>
  <c r="AN697"/>
  <c r="AW757"/>
  <c r="AW745"/>
  <c r="BB645"/>
  <c r="BB706" s="1"/>
  <c r="AV779"/>
  <c r="AV738" s="1"/>
  <c r="T192"/>
  <c r="E192" i="21" s="1"/>
  <c r="G192" s="1"/>
  <c r="E331" i="58"/>
  <c r="BD597" i="20"/>
  <c r="D2" i="53"/>
  <c r="E454" i="58"/>
  <c r="AX676" i="20"/>
  <c r="AW676"/>
  <c r="Q90" i="21"/>
  <c r="Q195" s="1"/>
  <c r="BG657" i="20"/>
  <c r="W69"/>
  <c r="K58" i="22"/>
  <c r="N58" s="1"/>
  <c r="BB705" i="20"/>
  <c r="BB736"/>
  <c r="E25" i="65" s="1"/>
  <c r="BB735" i="20"/>
  <c r="E24" i="65" s="1"/>
  <c r="G90" i="21"/>
  <c r="N90"/>
  <c r="N195" s="1"/>
  <c r="M90"/>
  <c r="M195" s="1"/>
  <c r="I90"/>
  <c r="I195" s="1"/>
  <c r="K90"/>
  <c r="K195" s="1"/>
  <c r="J90"/>
  <c r="J195" s="1"/>
  <c r="P90"/>
  <c r="P195" s="1"/>
  <c r="L90"/>
  <c r="L195" s="1"/>
  <c r="R90"/>
  <c r="R195" s="1"/>
  <c r="S88" i="20"/>
  <c r="S76"/>
  <c r="Q469"/>
  <c r="Q458"/>
  <c r="Q470"/>
  <c r="Q467"/>
  <c r="Q456"/>
  <c r="Q459"/>
  <c r="S72"/>
  <c r="AT56" i="19"/>
  <c r="AU56" s="1"/>
  <c r="H90" i="21"/>
  <c r="H195" s="1"/>
  <c r="AP730" i="20"/>
  <c r="H32" i="19" s="1"/>
  <c r="AS729" i="20"/>
  <c r="K34" i="22"/>
  <c r="N34" s="1"/>
  <c r="BB794" i="20"/>
  <c r="M59" i="22"/>
  <c r="E165" i="20"/>
  <c r="D33" i="70" s="1"/>
  <c r="BB819" i="20"/>
  <c r="AS598"/>
  <c r="AS700" s="1"/>
  <c r="H190"/>
  <c r="T137"/>
  <c r="E137" i="21" s="1"/>
  <c r="G137" s="1"/>
  <c r="V507" i="20"/>
  <c r="W460"/>
  <c r="V554"/>
  <c r="V407"/>
  <c r="V28" s="1"/>
  <c r="J26"/>
  <c r="K77" i="22"/>
  <c r="G26" i="20"/>
  <c r="E34"/>
  <c r="C18" i="22" s="1"/>
  <c r="BX67" i="19"/>
  <c r="BX68" s="1"/>
  <c r="BX64"/>
  <c r="CC52"/>
  <c r="CC64" s="1"/>
  <c r="CI55" s="1"/>
  <c r="CI56" s="1"/>
  <c r="AI58" s="1"/>
  <c r="AY819" i="20"/>
  <c r="CA871"/>
  <c r="CE871" s="1"/>
  <c r="T176"/>
  <c r="E176" i="21" s="1"/>
  <c r="G176" s="1"/>
  <c r="BE671" i="20"/>
  <c r="E82" i="21"/>
  <c r="E561" i="20"/>
  <c r="E514"/>
  <c r="R30" i="22"/>
  <c r="R32"/>
  <c r="R39"/>
  <c r="R34"/>
  <c r="R36"/>
  <c r="R40"/>
  <c r="R37"/>
  <c r="R29"/>
  <c r="R42"/>
  <c r="D51"/>
  <c r="R31"/>
  <c r="R38"/>
  <c r="R35"/>
  <c r="R41"/>
  <c r="R33"/>
  <c r="AS815" i="20"/>
  <c r="AP815"/>
  <c r="AR599"/>
  <c r="AP601"/>
  <c r="AU599"/>
  <c r="V502"/>
  <c r="W455"/>
  <c r="V402"/>
  <c r="V549"/>
  <c r="O27" i="19"/>
  <c r="N20" i="68" s="1"/>
  <c r="N52" s="1"/>
  <c r="CH884" i="20"/>
  <c r="AP841"/>
  <c r="AS841"/>
  <c r="AU586"/>
  <c r="AR586"/>
  <c r="AP702"/>
  <c r="AR615"/>
  <c r="AU615"/>
  <c r="W450"/>
  <c r="V397"/>
  <c r="V497"/>
  <c r="V544"/>
  <c r="BA63" i="19"/>
  <c r="AQ62" s="1"/>
  <c r="AW63"/>
  <c r="AP62" s="1"/>
  <c r="AT62" s="1"/>
  <c r="AU62" s="1"/>
  <c r="BE63"/>
  <c r="AR62" s="1"/>
  <c r="BI63"/>
  <c r="AS62" s="1"/>
  <c r="V386" i="20"/>
  <c r="V71" s="1"/>
  <c r="V533"/>
  <c r="V486"/>
  <c r="E3" i="67" s="1"/>
  <c r="E28" s="1"/>
  <c r="W439" i="20"/>
  <c r="F3" i="66" s="1"/>
  <c r="F28" s="1"/>
  <c r="AS775" i="20"/>
  <c r="AU624"/>
  <c r="AP775"/>
  <c r="AR624"/>
  <c r="H89"/>
  <c r="M89" s="1"/>
  <c r="I87"/>
  <c r="P87"/>
  <c r="J60" i="21"/>
  <c r="J219" s="1"/>
  <c r="G60"/>
  <c r="K60"/>
  <c r="K219" s="1"/>
  <c r="N60"/>
  <c r="N219" s="1"/>
  <c r="P60"/>
  <c r="P219" s="1"/>
  <c r="I60"/>
  <c r="I219" s="1"/>
  <c r="M60"/>
  <c r="M219" s="1"/>
  <c r="R60"/>
  <c r="R219" s="1"/>
  <c r="Q60"/>
  <c r="Q219" s="1"/>
  <c r="H60"/>
  <c r="H219" s="1"/>
  <c r="L60"/>
  <c r="L219" s="1"/>
  <c r="O60"/>
  <c r="O219" s="1"/>
  <c r="G71"/>
  <c r="L71"/>
  <c r="M71"/>
  <c r="K71"/>
  <c r="I71"/>
  <c r="H71"/>
  <c r="R71"/>
  <c r="P71"/>
  <c r="J71"/>
  <c r="Q71"/>
  <c r="O71"/>
  <c r="N71"/>
  <c r="W444" i="20"/>
  <c r="V391"/>
  <c r="V538"/>
  <c r="V491"/>
  <c r="AU651"/>
  <c r="AR651"/>
  <c r="K79" i="22"/>
  <c r="G48" i="20"/>
  <c r="J48"/>
  <c r="AP743"/>
  <c r="AS714"/>
  <c r="V488"/>
  <c r="E5" i="67" s="1"/>
  <c r="E30" s="1"/>
  <c r="V388" i="20"/>
  <c r="W441"/>
  <c r="F5" i="66" s="1"/>
  <c r="F30" s="1"/>
  <c r="V535" i="20"/>
  <c r="G37" i="21"/>
  <c r="J37"/>
  <c r="H172" i="20"/>
  <c r="E40" i="70" s="1"/>
  <c r="BD601" i="20"/>
  <c r="U92"/>
  <c r="BF682" s="1"/>
  <c r="BD608"/>
  <c r="AP825"/>
  <c r="U95"/>
  <c r="U182" s="1"/>
  <c r="BF602"/>
  <c r="E26" i="22"/>
  <c r="E29" s="1"/>
  <c r="CA900" i="20"/>
  <c r="O47"/>
  <c r="C59" i="21"/>
  <c r="O38" i="20"/>
  <c r="O39"/>
  <c r="O44"/>
  <c r="O41"/>
  <c r="O51"/>
  <c r="O37"/>
  <c r="O46"/>
  <c r="O98"/>
  <c r="O54"/>
  <c r="O53"/>
  <c r="O49"/>
  <c r="O36"/>
  <c r="E81" i="22"/>
  <c r="O45" i="20"/>
  <c r="O40"/>
  <c r="O59"/>
  <c r="O50"/>
  <c r="S59"/>
  <c r="O52"/>
  <c r="O55"/>
  <c r="O56"/>
  <c r="O42"/>
  <c r="O57"/>
  <c r="O43"/>
  <c r="K112" i="21"/>
  <c r="K134"/>
  <c r="K218"/>
  <c r="K234" s="1"/>
  <c r="BE724" i="20"/>
  <c r="BE747"/>
  <c r="P82" i="22" s="1"/>
  <c r="BE713" i="20"/>
  <c r="BE721"/>
  <c r="BE719"/>
  <c r="BE718"/>
  <c r="BE717"/>
  <c r="BE716"/>
  <c r="BE725"/>
  <c r="CC848"/>
  <c r="B405"/>
  <c r="B505"/>
  <c r="B552"/>
  <c r="Q89"/>
  <c r="R87"/>
  <c r="V61"/>
  <c r="U220"/>
  <c r="BF649"/>
  <c r="J31" i="21"/>
  <c r="I31"/>
  <c r="Q31"/>
  <c r="M31"/>
  <c r="K31"/>
  <c r="R31"/>
  <c r="G31"/>
  <c r="L31"/>
  <c r="O31"/>
  <c r="H31"/>
  <c r="P31"/>
  <c r="N31"/>
  <c r="BE681" i="20"/>
  <c r="E91" i="21"/>
  <c r="Q33"/>
  <c r="H33"/>
  <c r="O33"/>
  <c r="K33"/>
  <c r="N33"/>
  <c r="P33"/>
  <c r="I33"/>
  <c r="J33"/>
  <c r="M33"/>
  <c r="R33"/>
  <c r="G33"/>
  <c r="L33"/>
  <c r="BB720" i="20"/>
  <c r="BB765"/>
  <c r="BB767" s="1"/>
  <c r="BB677"/>
  <c r="BC664"/>
  <c r="BE675"/>
  <c r="E86" i="21"/>
  <c r="BI59" i="19"/>
  <c r="AS58" s="1"/>
  <c r="BA59"/>
  <c r="AQ58" s="1"/>
  <c r="BE59"/>
  <c r="AR58" s="1"/>
  <c r="AW59"/>
  <c r="AP58" s="1"/>
  <c r="AT58" s="1"/>
  <c r="AU58" s="1"/>
  <c r="H512" i="20"/>
  <c r="H559"/>
  <c r="BE674"/>
  <c r="E85" i="21"/>
  <c r="BB598" i="20"/>
  <c r="BB698"/>
  <c r="BB734"/>
  <c r="AP774"/>
  <c r="AR623"/>
  <c r="AU623"/>
  <c r="B563"/>
  <c r="B416"/>
  <c r="B516"/>
  <c r="C182" i="21"/>
  <c r="N191" i="20"/>
  <c r="AP605"/>
  <c r="AU602"/>
  <c r="AS684"/>
  <c r="AR602"/>
  <c r="AS685"/>
  <c r="AS811" s="1"/>
  <c r="AP684"/>
  <c r="AP685"/>
  <c r="AP811" s="1"/>
  <c r="V417"/>
  <c r="V564"/>
  <c r="W470"/>
  <c r="V517"/>
  <c r="J159" i="21"/>
  <c r="J160"/>
  <c r="E178" i="58"/>
  <c r="V559" i="20"/>
  <c r="W465"/>
  <c r="V512"/>
  <c r="V412"/>
  <c r="V31" s="1"/>
  <c r="BG609" s="1"/>
  <c r="U83"/>
  <c r="BF660"/>
  <c r="U74"/>
  <c r="U72"/>
  <c r="U82"/>
  <c r="U42"/>
  <c r="BF625" s="1"/>
  <c r="U19"/>
  <c r="U85"/>
  <c r="BF674" s="1"/>
  <c r="U923"/>
  <c r="U86"/>
  <c r="BF675" s="1"/>
  <c r="U84"/>
  <c r="U81"/>
  <c r="W466"/>
  <c r="V560"/>
  <c r="V413"/>
  <c r="V513"/>
  <c r="H490"/>
  <c r="H442"/>
  <c r="H537"/>
  <c r="AU590"/>
  <c r="AS772"/>
  <c r="AP593"/>
  <c r="AP727" s="1"/>
  <c r="B27" i="65" s="1"/>
  <c r="AR590" i="20"/>
  <c r="AP772"/>
  <c r="E50" i="21"/>
  <c r="BE634" i="20"/>
  <c r="E219" i="21"/>
  <c r="G219" s="1"/>
  <c r="T221" i="20"/>
  <c r="V541"/>
  <c r="V494"/>
  <c r="V394"/>
  <c r="W447"/>
  <c r="L59" i="22"/>
  <c r="O52"/>
  <c r="AY701" i="20"/>
  <c r="BA605"/>
  <c r="BD605"/>
  <c r="AP707"/>
  <c r="AR648"/>
  <c r="AU648"/>
  <c r="AS720"/>
  <c r="AS765"/>
  <c r="AS767" s="1"/>
  <c r="AS677"/>
  <c r="AT664"/>
  <c r="BA664"/>
  <c r="AR653"/>
  <c r="AU653"/>
  <c r="BD871"/>
  <c r="AY801"/>
  <c r="Q347"/>
  <c r="Q252"/>
  <c r="AU626"/>
  <c r="AR626"/>
  <c r="AS790"/>
  <c r="AP790"/>
  <c r="AS825"/>
  <c r="O37" i="21"/>
  <c r="R37"/>
  <c r="E190" i="20"/>
  <c r="BB778"/>
  <c r="BB779" s="1"/>
  <c r="BB738" s="1"/>
  <c r="H149"/>
  <c r="O48"/>
  <c r="I36"/>
  <c r="I49"/>
  <c r="I38"/>
  <c r="I59"/>
  <c r="I45"/>
  <c r="I98"/>
  <c r="C81" i="22"/>
  <c r="I37" i="20"/>
  <c r="I50"/>
  <c r="I56"/>
  <c r="I51"/>
  <c r="P59"/>
  <c r="I54"/>
  <c r="I53"/>
  <c r="I39"/>
  <c r="I55"/>
  <c r="I42"/>
  <c r="I40"/>
  <c r="I57"/>
  <c r="I52"/>
  <c r="I47"/>
  <c r="I46"/>
  <c r="I43"/>
  <c r="I44"/>
  <c r="I58"/>
  <c r="I41"/>
  <c r="V555"/>
  <c r="W461"/>
  <c r="V408"/>
  <c r="V508"/>
  <c r="E552"/>
  <c r="E505"/>
  <c r="O97"/>
  <c r="O28"/>
  <c r="N35"/>
  <c r="O29"/>
  <c r="S34"/>
  <c r="O20"/>
  <c r="O27"/>
  <c r="O26"/>
  <c r="O23"/>
  <c r="C34" i="21"/>
  <c r="O21" i="20"/>
  <c r="O30"/>
  <c r="O24"/>
  <c r="O34"/>
  <c r="O22"/>
  <c r="O33"/>
  <c r="O31"/>
  <c r="E107" i="22"/>
  <c r="O32" i="20"/>
  <c r="O19"/>
  <c r="O25"/>
  <c r="E80" i="22"/>
  <c r="O18" i="20"/>
  <c r="W453"/>
  <c r="V547"/>
  <c r="V500"/>
  <c r="V400"/>
  <c r="N40" i="22"/>
  <c r="K68"/>
  <c r="N68" s="1"/>
  <c r="AR612" i="20"/>
  <c r="AS818"/>
  <c r="AP614"/>
  <c r="AP818"/>
  <c r="AU612"/>
  <c r="BF615"/>
  <c r="BF702" s="1"/>
  <c r="V33"/>
  <c r="BA597"/>
  <c r="V552"/>
  <c r="V505"/>
  <c r="V405"/>
  <c r="W458"/>
  <c r="D39" i="22"/>
  <c r="L83"/>
  <c r="N89" i="20"/>
  <c r="E18" i="22" s="1"/>
  <c r="O87" i="20"/>
  <c r="S87"/>
  <c r="C87" i="21"/>
  <c r="BD877" i="20"/>
  <c r="AY814"/>
  <c r="N83" i="22"/>
  <c r="E39"/>
  <c r="CA896" i="20"/>
  <c r="V404"/>
  <c r="V504"/>
  <c r="W457"/>
  <c r="V551"/>
  <c r="B561"/>
  <c r="B414"/>
  <c r="B514"/>
  <c r="N61" i="21"/>
  <c r="N220" s="1"/>
  <c r="K61"/>
  <c r="K220" s="1"/>
  <c r="L61"/>
  <c r="L220" s="1"/>
  <c r="P61"/>
  <c r="P220" s="1"/>
  <c r="G61"/>
  <c r="Q61"/>
  <c r="Q220" s="1"/>
  <c r="H61"/>
  <c r="H220" s="1"/>
  <c r="O61"/>
  <c r="O220" s="1"/>
  <c r="I61"/>
  <c r="I220" s="1"/>
  <c r="J61"/>
  <c r="J220" s="1"/>
  <c r="M61"/>
  <c r="M220" s="1"/>
  <c r="R61"/>
  <c r="R220" s="1"/>
  <c r="U253" i="20"/>
  <c r="U251"/>
  <c r="B564"/>
  <c r="B417"/>
  <c r="B517"/>
  <c r="U159"/>
  <c r="BF788"/>
  <c r="CF884" s="1"/>
  <c r="O12" i="22"/>
  <c r="L14"/>
  <c r="O14" s="1"/>
  <c r="L22"/>
  <c r="E449" i="58"/>
  <c r="W467" i="20"/>
  <c r="V561"/>
  <c r="V514"/>
  <c r="V414"/>
  <c r="T305"/>
  <c r="T49" s="1"/>
  <c r="U278"/>
  <c r="U276"/>
  <c r="I26"/>
  <c r="I29"/>
  <c r="I20"/>
  <c r="I23"/>
  <c r="I22"/>
  <c r="I34"/>
  <c r="I97"/>
  <c r="I28"/>
  <c r="D107" i="22"/>
  <c r="C80"/>
  <c r="I30" i="20"/>
  <c r="I24"/>
  <c r="I33"/>
  <c r="I31"/>
  <c r="H35"/>
  <c r="I27"/>
  <c r="I32"/>
  <c r="I18"/>
  <c r="I21"/>
  <c r="I25"/>
  <c r="I19"/>
  <c r="P34"/>
  <c r="BA593"/>
  <c r="AY699"/>
  <c r="BD593"/>
  <c r="R23"/>
  <c r="R19"/>
  <c r="R28"/>
  <c r="Q35"/>
  <c r="R33"/>
  <c r="R22"/>
  <c r="R18"/>
  <c r="R20"/>
  <c r="R32"/>
  <c r="R26"/>
  <c r="R97"/>
  <c r="F80" i="22"/>
  <c r="R24" i="20"/>
  <c r="R21"/>
  <c r="R29"/>
  <c r="R30"/>
  <c r="R34"/>
  <c r="R25"/>
  <c r="R31"/>
  <c r="R27"/>
  <c r="AU630"/>
  <c r="AS793"/>
  <c r="AP793"/>
  <c r="AR630"/>
  <c r="F451" i="58"/>
  <c r="BF609" i="20"/>
  <c r="BA608"/>
  <c r="V562"/>
  <c r="W468"/>
  <c r="V515"/>
  <c r="V415"/>
  <c r="AJ52" i="19"/>
  <c r="AS683" i="20"/>
  <c r="I93"/>
  <c r="AJ54" i="19" s="1"/>
  <c r="P93" i="20"/>
  <c r="AU609"/>
  <c r="AP611"/>
  <c r="AP817"/>
  <c r="AR609"/>
  <c r="AU641"/>
  <c r="AP644"/>
  <c r="AS799"/>
  <c r="AP799"/>
  <c r="AR641"/>
  <c r="H252"/>
  <c r="H347"/>
  <c r="V395"/>
  <c r="V495"/>
  <c r="V542"/>
  <c r="W448"/>
  <c r="E551"/>
  <c r="E504"/>
  <c r="AP816"/>
  <c r="AP608"/>
  <c r="AU606"/>
  <c r="AS816"/>
  <c r="AR606"/>
  <c r="E253"/>
  <c r="E265"/>
  <c r="E264" s="1"/>
  <c r="E443"/>
  <c r="K81" i="22"/>
  <c r="CI73" i="19"/>
  <c r="BE587" i="20"/>
  <c r="BE771" s="1"/>
  <c r="BE852" s="1"/>
  <c r="E19" i="21"/>
  <c r="T142" i="20"/>
  <c r="E142" i="21" s="1"/>
  <c r="G142" s="1"/>
  <c r="T20" i="20"/>
  <c r="BE621"/>
  <c r="E38" i="21"/>
  <c r="W464" i="20"/>
  <c r="V411"/>
  <c r="V558"/>
  <c r="V511"/>
  <c r="AU625"/>
  <c r="AR625"/>
  <c r="AP776"/>
  <c r="H221"/>
  <c r="H230" s="1"/>
  <c r="H207" s="1"/>
  <c r="E221"/>
  <c r="O32" i="19"/>
  <c r="N25" i="68" s="1"/>
  <c r="N57" s="1"/>
  <c r="BA614" i="20"/>
  <c r="H566"/>
  <c r="H519"/>
  <c r="BD638"/>
  <c r="AY645"/>
  <c r="Q442"/>
  <c r="Q537"/>
  <c r="Q490"/>
  <c r="Q65" i="21"/>
  <c r="P65"/>
  <c r="N65"/>
  <c r="O65"/>
  <c r="L65"/>
  <c r="M65"/>
  <c r="H65"/>
  <c r="G65"/>
  <c r="R65"/>
  <c r="R228" s="1"/>
  <c r="J65"/>
  <c r="I65"/>
  <c r="K65"/>
  <c r="D27" i="22"/>
  <c r="U29" i="20"/>
  <c r="AY729"/>
  <c r="L37" i="21"/>
  <c r="AP785" i="20"/>
  <c r="U90"/>
  <c r="H165"/>
  <c r="E33" i="70" s="1"/>
  <c r="E564" i="20"/>
  <c r="E517"/>
  <c r="E508"/>
  <c r="E555"/>
  <c r="AY698"/>
  <c r="BD589"/>
  <c r="AY734"/>
  <c r="E23" i="22" s="1"/>
  <c r="AY598" i="20"/>
  <c r="BE672"/>
  <c r="BE806" s="1"/>
  <c r="T177"/>
  <c r="E177" i="21" s="1"/>
  <c r="G177" s="1"/>
  <c r="E83"/>
  <c r="AS734" i="20"/>
  <c r="D23" i="22" s="1"/>
  <c r="AS698" i="20"/>
  <c r="BA589"/>
  <c r="AX589"/>
  <c r="C149" i="21"/>
  <c r="N150" i="20"/>
  <c r="AU636"/>
  <c r="AR636"/>
  <c r="AP795"/>
  <c r="AP638"/>
  <c r="BE682"/>
  <c r="BE817" s="1"/>
  <c r="BE880" s="1"/>
  <c r="T188"/>
  <c r="E188" i="21" s="1"/>
  <c r="G188" s="1"/>
  <c r="E92"/>
  <c r="AP676" i="20"/>
  <c r="AU675"/>
  <c r="AQ675"/>
  <c r="AR675"/>
  <c r="AP808"/>
  <c r="AP809" s="1"/>
  <c r="K12" i="22"/>
  <c r="N12" s="1"/>
  <c r="E553" i="20"/>
  <c r="E506"/>
  <c r="V272"/>
  <c r="W271"/>
  <c r="BA644"/>
  <c r="BD644"/>
  <c r="Q30" i="21"/>
  <c r="J30"/>
  <c r="H30"/>
  <c r="G30"/>
  <c r="P30"/>
  <c r="R30"/>
  <c r="O30"/>
  <c r="I30"/>
  <c r="K30"/>
  <c r="M30"/>
  <c r="N30"/>
  <c r="L30"/>
  <c r="CE850" i="20"/>
  <c r="CA852"/>
  <c r="AP631"/>
  <c r="AP632" s="1"/>
  <c r="AU629"/>
  <c r="AR629"/>
  <c r="AP792"/>
  <c r="AS792"/>
  <c r="AR649"/>
  <c r="AU649"/>
  <c r="BE685"/>
  <c r="BE811" s="1"/>
  <c r="CC870" s="1"/>
  <c r="O18" i="19" s="1"/>
  <c r="E560" i="20"/>
  <c r="E513"/>
  <c r="V392"/>
  <c r="V539"/>
  <c r="V492"/>
  <c r="W445"/>
  <c r="AU595"/>
  <c r="AR595"/>
  <c r="AS812"/>
  <c r="AP812"/>
  <c r="AP814" s="1"/>
  <c r="AP597"/>
  <c r="W462"/>
  <c r="V556"/>
  <c r="V409"/>
  <c r="V509"/>
  <c r="AR642"/>
  <c r="AU642"/>
  <c r="AS800"/>
  <c r="AP800"/>
  <c r="T175"/>
  <c r="E175" i="21" s="1"/>
  <c r="G175" s="1"/>
  <c r="E81"/>
  <c r="BE670" i="20"/>
  <c r="BE804" s="1"/>
  <c r="BE673"/>
  <c r="BE807" s="1"/>
  <c r="T178"/>
  <c r="E178" i="21" s="1"/>
  <c r="G178" s="1"/>
  <c r="E84"/>
  <c r="V262" i="20"/>
  <c r="V38" s="1"/>
  <c r="BG621" s="1"/>
  <c r="V265"/>
  <c r="U50"/>
  <c r="BF634" s="1"/>
  <c r="W261"/>
  <c r="BA611"/>
  <c r="V510"/>
  <c r="V557"/>
  <c r="V410"/>
  <c r="V30" s="1"/>
  <c r="W463"/>
  <c r="AY632"/>
  <c r="BD631"/>
  <c r="V418"/>
  <c r="V565"/>
  <c r="V518"/>
  <c r="W471"/>
  <c r="N138"/>
  <c r="C136" i="21"/>
  <c r="AQ662" i="20"/>
  <c r="AU662"/>
  <c r="AR662"/>
  <c r="AP664"/>
  <c r="U228"/>
  <c r="V65"/>
  <c r="BF653"/>
  <c r="V387"/>
  <c r="V534"/>
  <c r="V487"/>
  <c r="E4" i="67" s="1"/>
  <c r="E29" s="1"/>
  <c r="W440" i="20"/>
  <c r="F4" i="66" s="1"/>
  <c r="F29" s="1"/>
  <c r="BB801" i="20"/>
  <c r="K37" i="21"/>
  <c r="I37"/>
  <c r="E172" i="20"/>
  <c r="D40" i="70" s="1"/>
  <c r="BD664" i="20"/>
  <c r="AZ664"/>
  <c r="AY677"/>
  <c r="AY765"/>
  <c r="AY767" s="1"/>
  <c r="AY720"/>
  <c r="AL52" i="19"/>
  <c r="R93" i="20"/>
  <c r="AL54" i="19" s="1"/>
  <c r="BB683" i="20"/>
  <c r="E509"/>
  <c r="E556"/>
  <c r="T182"/>
  <c r="E182" i="21" s="1"/>
  <c r="G182" s="1"/>
  <c r="E95"/>
  <c r="E511" i="20"/>
  <c r="E558"/>
  <c r="AR587"/>
  <c r="AU587"/>
  <c r="AP589"/>
  <c r="AP771"/>
  <c r="N252"/>
  <c r="N347"/>
  <c r="BA601"/>
  <c r="L42" i="22"/>
  <c r="O34"/>
  <c r="K80"/>
  <c r="G58" i="20"/>
  <c r="J58"/>
  <c r="E59"/>
  <c r="V550"/>
  <c r="W456"/>
  <c r="F7" i="66" s="1"/>
  <c r="F32" s="1"/>
  <c r="V403" i="20"/>
  <c r="V503"/>
  <c r="E7" i="67" s="1"/>
  <c r="E32" s="1"/>
  <c r="E87" i="20"/>
  <c r="F75"/>
  <c r="J75"/>
  <c r="E136"/>
  <c r="E93"/>
  <c r="AI52" i="19" s="1"/>
  <c r="B79" i="22"/>
  <c r="G75" i="20"/>
  <c r="V60"/>
  <c r="U219"/>
  <c r="BF648"/>
  <c r="AB29" i="21"/>
  <c r="AA32"/>
  <c r="K16" s="1"/>
  <c r="AB30"/>
  <c r="AB31" s="1"/>
  <c r="L15" s="1"/>
  <c r="G451" i="58"/>
  <c r="E549" i="20"/>
  <c r="E502"/>
  <c r="BE625"/>
  <c r="E42" i="21"/>
  <c r="AR656" i="20"/>
  <c r="AU656"/>
  <c r="E563"/>
  <c r="E516"/>
  <c r="BA638"/>
  <c r="AS645"/>
  <c r="V536"/>
  <c r="V389"/>
  <c r="W442"/>
  <c r="V489"/>
  <c r="W459"/>
  <c r="F8" i="66" s="1"/>
  <c r="F33" s="1"/>
  <c r="V506" i="20"/>
  <c r="E8" i="67" s="1"/>
  <c r="E33" s="1"/>
  <c r="V406" i="20"/>
  <c r="V553"/>
  <c r="N490"/>
  <c r="N442"/>
  <c r="N537"/>
  <c r="V563"/>
  <c r="V416"/>
  <c r="W469"/>
  <c r="V516"/>
  <c r="E503"/>
  <c r="E550"/>
  <c r="AQ663"/>
  <c r="AU663"/>
  <c r="AR663"/>
  <c r="K41" i="22"/>
  <c r="N41" s="1"/>
  <c r="N35"/>
  <c r="S62"/>
  <c r="T62"/>
  <c r="N230" i="20"/>
  <c r="C221" i="21"/>
  <c r="P28"/>
  <c r="J28"/>
  <c r="L28"/>
  <c r="H28"/>
  <c r="O28"/>
  <c r="M28"/>
  <c r="G28"/>
  <c r="G95" s="1"/>
  <c r="N28"/>
  <c r="R28"/>
  <c r="I28"/>
  <c r="K28"/>
  <c r="Q28"/>
  <c r="R38" i="20"/>
  <c r="R45"/>
  <c r="R47"/>
  <c r="R51"/>
  <c r="R59"/>
  <c r="R54"/>
  <c r="R43"/>
  <c r="R56"/>
  <c r="R40"/>
  <c r="R39"/>
  <c r="R36"/>
  <c r="R46"/>
  <c r="R98"/>
  <c r="R50"/>
  <c r="R41"/>
  <c r="F81" i="22"/>
  <c r="R37" i="20"/>
  <c r="R55"/>
  <c r="R58"/>
  <c r="R44"/>
  <c r="R57"/>
  <c r="R53"/>
  <c r="R42"/>
  <c r="R52"/>
  <c r="R49"/>
  <c r="AS726"/>
  <c r="AS728" s="1"/>
  <c r="AS699"/>
  <c r="AX593"/>
  <c r="W449"/>
  <c r="V496"/>
  <c r="V396"/>
  <c r="V543"/>
  <c r="V540"/>
  <c r="V493"/>
  <c r="W446"/>
  <c r="V393"/>
  <c r="W66"/>
  <c r="V224"/>
  <c r="BG654"/>
  <c r="H451" i="58"/>
  <c r="AU640" i="20"/>
  <c r="AP798"/>
  <c r="AS798"/>
  <c r="AR640"/>
  <c r="H510"/>
  <c r="H557"/>
  <c r="V501"/>
  <c r="E6" i="67" s="1"/>
  <c r="E31" s="1"/>
  <c r="V401" i="20"/>
  <c r="V548"/>
  <c r="W454"/>
  <c r="F6" i="66" s="1"/>
  <c r="F31" s="1"/>
  <c r="T41" i="20"/>
  <c r="E74" i="21"/>
  <c r="BE663" i="20"/>
  <c r="CC851" s="1"/>
  <c r="CH851" s="1"/>
  <c r="T46"/>
  <c r="T73"/>
  <c r="BE661"/>
  <c r="E72" i="21"/>
  <c r="T44" i="20"/>
  <c r="T23"/>
  <c r="T40"/>
  <c r="T21"/>
  <c r="AS632"/>
  <c r="BA631"/>
  <c r="AY778"/>
  <c r="AY779" s="1"/>
  <c r="BD858"/>
  <c r="BD861" s="1"/>
  <c r="BF606"/>
  <c r="U187"/>
  <c r="J147" i="19"/>
  <c r="C110"/>
  <c r="H157"/>
  <c r="C119"/>
  <c r="J103"/>
  <c r="H143"/>
  <c r="E110"/>
  <c r="C155"/>
  <c r="D101"/>
  <c r="C18"/>
  <c r="E155"/>
  <c r="I109"/>
  <c r="E70"/>
  <c r="D67" i="68" s="1"/>
  <c r="E16" i="19"/>
  <c r="C134"/>
  <c r="E103"/>
  <c r="C58"/>
  <c r="B55" i="68" s="1"/>
  <c r="C37" i="19"/>
  <c r="E18"/>
  <c r="E156"/>
  <c r="C111"/>
  <c r="C67"/>
  <c r="B64" i="68" s="1"/>
  <c r="H53" i="19"/>
  <c r="G50" i="68" s="1"/>
  <c r="I29" i="19"/>
  <c r="H25" i="68" s="1"/>
  <c r="H109" s="1"/>
  <c r="D12" i="19"/>
  <c r="C130"/>
  <c r="I98"/>
  <c r="E54"/>
  <c r="D51" i="68" s="1"/>
  <c r="J29" i="19"/>
  <c r="I25" i="68" s="1"/>
  <c r="I109" s="1"/>
  <c r="E12" i="19"/>
  <c r="D117"/>
  <c r="J98"/>
  <c r="J52"/>
  <c r="I49" i="68" s="1"/>
  <c r="H17" i="19"/>
  <c r="G13" i="68" s="1"/>
  <c r="E124" i="19"/>
  <c r="D102"/>
  <c r="J49"/>
  <c r="I46" i="68" s="1"/>
  <c r="I25" i="19"/>
  <c r="C9"/>
  <c r="I111"/>
  <c r="C77"/>
  <c r="B74" i="68" s="1"/>
  <c r="I14" i="19"/>
  <c r="H10" i="68" s="1"/>
  <c r="E171" i="19"/>
  <c r="J157"/>
  <c r="H50"/>
  <c r="G47" i="68" s="1"/>
  <c r="H25" i="19"/>
  <c r="Q135" i="20"/>
  <c r="J104" i="19"/>
  <c r="I102"/>
  <c r="I11"/>
  <c r="H7" i="68" s="1"/>
  <c r="J11" i="19"/>
  <c r="I7" i="68" s="1"/>
  <c r="J129" i="19"/>
  <c r="C117"/>
  <c r="I17"/>
  <c r="H13" i="68" s="1"/>
  <c r="J149" i="19"/>
  <c r="J111"/>
  <c r="C164"/>
  <c r="I120"/>
  <c r="C106"/>
  <c r="E146"/>
  <c r="D112"/>
  <c r="C158"/>
  <c r="D132"/>
  <c r="C103"/>
  <c r="I41"/>
  <c r="D223" s="1"/>
  <c r="E20"/>
  <c r="E162"/>
  <c r="H112"/>
  <c r="C79"/>
  <c r="B76" i="68" s="1"/>
  <c r="J41" i="19"/>
  <c r="E223" s="1"/>
  <c r="D18"/>
  <c r="J144"/>
  <c r="J109"/>
  <c r="C60"/>
  <c r="B57" i="68" s="1"/>
  <c r="C40" i="19"/>
  <c r="D21"/>
  <c r="E163"/>
  <c r="J112"/>
  <c r="E71"/>
  <c r="D68" i="68" s="1"/>
  <c r="C54" i="19"/>
  <c r="B51" i="68" s="1"/>
  <c r="C32" i="19"/>
  <c r="C14"/>
  <c r="E134"/>
  <c r="C100"/>
  <c r="H55"/>
  <c r="G52" i="68" s="1"/>
  <c r="D32" i="19"/>
  <c r="D14"/>
  <c r="D100"/>
  <c r="H54"/>
  <c r="G51" i="68" s="1"/>
  <c r="E19" i="19"/>
  <c r="E131"/>
  <c r="D104"/>
  <c r="J54"/>
  <c r="I51" i="68" s="1"/>
  <c r="C27" i="19"/>
  <c r="J10"/>
  <c r="I6" i="68" s="1"/>
  <c r="J113" i="19"/>
  <c r="J81"/>
  <c r="I32"/>
  <c r="C16"/>
  <c r="BB584" i="20"/>
  <c r="BD666" s="1"/>
  <c r="E125" i="19"/>
  <c r="H147"/>
  <c r="C26"/>
  <c r="J23"/>
  <c r="E213" s="1"/>
  <c r="J50"/>
  <c r="I47" i="68" s="1"/>
  <c r="H80" i="19"/>
  <c r="C105"/>
  <c r="D131"/>
  <c r="D109"/>
  <c r="D120"/>
  <c r="D121" s="1"/>
  <c r="E176"/>
  <c r="J175"/>
  <c r="D103"/>
  <c r="E53"/>
  <c r="D50" i="68" s="1"/>
  <c r="J42" i="19"/>
  <c r="C22"/>
  <c r="I113"/>
  <c r="C65"/>
  <c r="B62" i="68" s="1"/>
  <c r="E157" i="19"/>
  <c r="C113"/>
  <c r="C177"/>
  <c r="C124"/>
  <c r="E107"/>
  <c r="E154"/>
  <c r="E113"/>
  <c r="C162"/>
  <c r="J143"/>
  <c r="H104"/>
  <c r="E59"/>
  <c r="D56" i="68" s="1"/>
  <c r="I23" i="19"/>
  <c r="D213" s="1"/>
  <c r="E168"/>
  <c r="E172" s="1"/>
  <c r="E118"/>
  <c r="I97"/>
  <c r="H42"/>
  <c r="C21"/>
  <c r="C156"/>
  <c r="I112"/>
  <c r="E61"/>
  <c r="D58" i="68" s="1"/>
  <c r="I42" i="19"/>
  <c r="H24"/>
  <c r="C215" s="1"/>
  <c r="E179"/>
  <c r="I118"/>
  <c r="C76"/>
  <c r="B73" i="68" s="1"/>
  <c r="E55" i="19"/>
  <c r="D52" i="68" s="1"/>
  <c r="D37" i="19"/>
  <c r="E15"/>
  <c r="E145"/>
  <c r="J101"/>
  <c r="J62"/>
  <c r="C36"/>
  <c r="H15"/>
  <c r="G11" i="68" s="1"/>
  <c r="C102" i="19"/>
  <c r="J55"/>
  <c r="I52" i="68" s="1"/>
  <c r="D22" i="19"/>
  <c r="C147"/>
  <c r="E105"/>
  <c r="J56"/>
  <c r="I53" i="68" s="1"/>
  <c r="J28" i="19"/>
  <c r="E212" s="1"/>
  <c r="D13"/>
  <c r="C118"/>
  <c r="E97"/>
  <c r="J17"/>
  <c r="I13" i="68" s="1"/>
  <c r="Q239" i="20"/>
  <c r="J159" i="19"/>
  <c r="D110"/>
  <c r="I105"/>
  <c r="C123"/>
  <c r="J116"/>
  <c r="I9"/>
  <c r="I21" s="1"/>
  <c r="I16"/>
  <c r="H12" i="68" s="1"/>
  <c r="E37" i="19"/>
  <c r="H56"/>
  <c r="G53" i="68" s="1"/>
  <c r="I30" i="19"/>
  <c r="H41"/>
  <c r="C223" s="1"/>
  <c r="E132"/>
  <c r="E79"/>
  <c r="D76" i="68" s="1"/>
  <c r="H62" i="19"/>
  <c r="E51"/>
  <c r="D48" i="68" s="1"/>
  <c r="C13" i="19"/>
  <c r="E104"/>
  <c r="J163"/>
  <c r="I103"/>
  <c r="E130"/>
  <c r="C112"/>
  <c r="E164"/>
  <c r="D119"/>
  <c r="C175"/>
  <c r="H159"/>
  <c r="H109"/>
  <c r="H68"/>
  <c r="E27"/>
  <c r="E9"/>
  <c r="H129"/>
  <c r="E101"/>
  <c r="C53"/>
  <c r="B50" i="68" s="1"/>
  <c r="D26" i="19"/>
  <c r="H9"/>
  <c r="H21" s="1"/>
  <c r="C71"/>
  <c r="B68" i="68" s="1"/>
  <c r="C52" i="19"/>
  <c r="B49" i="68" s="1"/>
  <c r="D28" i="19"/>
  <c r="C12"/>
  <c r="I125"/>
  <c r="H98"/>
  <c r="E60"/>
  <c r="D57" i="68" s="1"/>
  <c r="D40" i="19"/>
  <c r="C19"/>
  <c r="C157"/>
  <c r="D111"/>
  <c r="E66"/>
  <c r="D63" i="68" s="1"/>
  <c r="E40" i="19"/>
  <c r="D19"/>
  <c r="J150"/>
  <c r="D105"/>
  <c r="J64"/>
  <c r="I10"/>
  <c r="H6" i="68" s="1"/>
  <c r="H111" i="19"/>
  <c r="C75"/>
  <c r="B72" i="68" s="1"/>
  <c r="J15" i="19"/>
  <c r="I11" i="68" s="1"/>
  <c r="C132" i="19"/>
  <c r="J102"/>
  <c r="C59"/>
  <c r="B56" i="68" s="1"/>
  <c r="H23" i="19"/>
  <c r="C213" s="1"/>
  <c r="N12" i="20"/>
  <c r="C70" i="19"/>
  <c r="B67" i="68" s="1"/>
  <c r="C28" i="19"/>
  <c r="J13"/>
  <c r="H163"/>
  <c r="C107"/>
  <c r="E36"/>
  <c r="D9"/>
  <c r="H175"/>
  <c r="D125"/>
  <c r="J105"/>
  <c r="C146"/>
  <c r="H116"/>
  <c r="E177"/>
  <c r="D124"/>
  <c r="D106"/>
  <c r="H148"/>
  <c r="D118"/>
  <c r="E77"/>
  <c r="D74" i="68" s="1"/>
  <c r="C31" i="19"/>
  <c r="J14"/>
  <c r="I10" i="68" s="1"/>
  <c r="H144" i="19"/>
  <c r="I104"/>
  <c r="C61"/>
  <c r="B58" i="68" s="1"/>
  <c r="E29" i="19"/>
  <c r="I13"/>
  <c r="C125"/>
  <c r="J97"/>
  <c r="C55"/>
  <c r="B52" i="68" s="1"/>
  <c r="E31" i="19"/>
  <c r="D15"/>
  <c r="D134"/>
  <c r="I101"/>
  <c r="J63"/>
  <c r="C51"/>
  <c r="B48" i="68" s="1"/>
  <c r="I24" i="19"/>
  <c r="D215" s="1"/>
  <c r="C90" i="22"/>
  <c r="E119" i="19"/>
  <c r="E76"/>
  <c r="D73" i="68" s="1"/>
  <c r="H52" i="19"/>
  <c r="G49" i="68" s="1"/>
  <c r="J24" i="19"/>
  <c r="E215" s="1"/>
  <c r="E111"/>
  <c r="D36"/>
  <c r="E14"/>
  <c r="E117"/>
  <c r="D97"/>
  <c r="I37"/>
  <c r="C20"/>
  <c r="J158"/>
  <c r="H105"/>
  <c r="E68"/>
  <c r="D65" i="68" s="1"/>
  <c r="D27" i="19"/>
  <c r="H11"/>
  <c r="G7" i="68" s="1"/>
  <c r="H117" i="19"/>
  <c r="J117"/>
  <c r="E65"/>
  <c r="D62" i="68" s="1"/>
  <c r="H99" i="19"/>
  <c r="H63"/>
  <c r="E123"/>
  <c r="H149"/>
  <c r="J16"/>
  <c r="I12" i="68" s="1"/>
  <c r="H158" i="19"/>
  <c r="H14"/>
  <c r="G10" i="68" s="1"/>
  <c r="D20" i="19"/>
  <c r="D29"/>
  <c r="D123"/>
  <c r="J99"/>
  <c r="E67"/>
  <c r="D64" i="68" s="1"/>
  <c r="E32" i="19"/>
  <c r="E147"/>
  <c r="C179"/>
  <c r="D130"/>
  <c r="D107"/>
  <c r="C154"/>
  <c r="I117"/>
  <c r="H102"/>
  <c r="C131"/>
  <c r="C109"/>
  <c r="H150"/>
  <c r="E120"/>
  <c r="E121" s="1"/>
  <c r="H97"/>
  <c r="D16"/>
  <c r="J148"/>
  <c r="E106"/>
  <c r="J68"/>
  <c r="I65" i="68" s="1"/>
  <c r="D31" i="19"/>
  <c r="C15"/>
  <c r="I129"/>
  <c r="I99"/>
  <c r="E57"/>
  <c r="D54" i="68" s="1"/>
  <c r="H16" i="19"/>
  <c r="G12" i="68" s="1"/>
  <c r="C145" i="19"/>
  <c r="H103"/>
  <c r="C66"/>
  <c r="B63" i="68" s="1"/>
  <c r="E52" i="19"/>
  <c r="D49" i="68" s="1"/>
  <c r="E28" i="19"/>
  <c r="J9"/>
  <c r="J21" s="1"/>
  <c r="J80"/>
  <c r="J53"/>
  <c r="I50" i="68" s="1"/>
  <c r="H28" i="19"/>
  <c r="H10"/>
  <c r="G6" i="68" s="1"/>
  <c r="H113" i="19"/>
  <c r="C97"/>
  <c r="H49"/>
  <c r="G46" i="68" s="1"/>
  <c r="I15" i="19"/>
  <c r="H11" i="68" s="1"/>
  <c r="C120" i="19"/>
  <c r="C121" s="1"/>
  <c r="E100"/>
  <c r="E22"/>
  <c r="E175"/>
  <c r="E109"/>
  <c r="E75"/>
  <c r="D72" i="68" s="1"/>
  <c r="C29" i="19"/>
  <c r="E13"/>
  <c r="C171"/>
  <c r="E102"/>
  <c r="C168"/>
  <c r="C176"/>
  <c r="C163"/>
  <c r="E26"/>
  <c r="E58"/>
  <c r="D55" i="68" s="1"/>
  <c r="H64" i="19"/>
  <c r="C104"/>
  <c r="C68"/>
  <c r="B65" i="68" s="1"/>
  <c r="C101" i="19"/>
  <c r="D113"/>
  <c r="E112"/>
  <c r="C57"/>
  <c r="B54" i="68" s="1"/>
  <c r="H29" i="19"/>
  <c r="G25" i="68" s="1"/>
  <c r="G109" s="1"/>
  <c r="E21" i="19"/>
  <c r="E158"/>
  <c r="H81"/>
  <c r="J25"/>
  <c r="AK52"/>
  <c r="BM52" s="1"/>
  <c r="O93" i="20"/>
  <c r="AK54" i="19" s="1"/>
  <c r="C93" i="21"/>
  <c r="AY683" i="20"/>
  <c r="S93"/>
  <c r="AS777"/>
  <c r="AR627"/>
  <c r="AP777"/>
  <c r="AU627"/>
  <c r="BD867"/>
  <c r="AY794"/>
  <c r="P37" i="21"/>
  <c r="AS814" i="20"/>
  <c r="O58"/>
  <c r="BE707"/>
  <c r="BB836"/>
  <c r="BB838" s="1"/>
  <c r="BB839" s="1"/>
  <c r="N37" i="21"/>
  <c r="H37"/>
  <c r="T187" i="20"/>
  <c r="E187" i="21" s="1"/>
  <c r="G187" s="1"/>
  <c r="K52" i="22"/>
  <c r="E149" i="20"/>
  <c r="AP729"/>
  <c r="AV735"/>
  <c r="AV736"/>
  <c r="AV705"/>
  <c r="BI783"/>
  <c r="AW677"/>
  <c r="AV679"/>
  <c r="AV744"/>
  <c r="AW683"/>
  <c r="AV752"/>
  <c r="AV746"/>
  <c r="K207"/>
  <c r="K209" s="1"/>
  <c r="K210" s="1"/>
  <c r="AV836"/>
  <c r="AV838" s="1"/>
  <c r="AV839" s="1"/>
  <c r="Y942"/>
  <c r="AS836"/>
  <c r="AS838" s="1"/>
  <c r="AS839" s="1"/>
  <c r="K489"/>
  <c r="K536"/>
  <c r="D78" i="22"/>
  <c r="L89" i="20"/>
  <c r="AM60" i="19" s="1"/>
  <c r="X342" i="20"/>
  <c r="V156" i="16"/>
  <c r="V200" s="1"/>
  <c r="V49" s="1"/>
  <c r="AA49" s="1"/>
  <c r="V199"/>
  <c r="V38" s="1"/>
  <c r="AA38" s="1"/>
  <c r="AG14"/>
  <c r="AB16"/>
  <c r="AI38"/>
  <c r="AI29"/>
  <c r="AI16"/>
  <c r="AI37"/>
  <c r="AI27"/>
  <c r="AI14"/>
  <c r="AH13"/>
  <c r="Z97" i="19"/>
  <c r="Z98" s="1"/>
  <c r="AI46" i="16"/>
  <c r="AI36"/>
  <c r="AI25"/>
  <c r="AI13"/>
  <c r="AI44"/>
  <c r="AI24"/>
  <c r="AI12"/>
  <c r="AH43"/>
  <c r="AI35"/>
  <c r="AI23"/>
  <c r="AI43"/>
  <c r="AI33"/>
  <c r="AI21"/>
  <c r="AH57"/>
  <c r="AH54"/>
  <c r="AI41"/>
  <c r="AI31"/>
  <c r="AI19"/>
  <c r="AI40"/>
  <c r="AI30"/>
  <c r="AI18"/>
  <c r="AM12"/>
  <c r="AT310"/>
  <c r="AT311" s="1"/>
  <c r="AT283"/>
  <c r="AT284" s="1"/>
  <c r="AT228"/>
  <c r="AH273"/>
  <c r="AH218"/>
  <c r="AH25" s="1"/>
  <c r="AK246"/>
  <c r="AH300"/>
  <c r="I44"/>
  <c r="D47"/>
  <c r="AE265"/>
  <c r="AH238"/>
  <c r="AE210"/>
  <c r="AE292"/>
  <c r="AB289"/>
  <c r="AB235"/>
  <c r="AB153"/>
  <c r="J366"/>
  <c r="AB262"/>
  <c r="AB192"/>
  <c r="AB207"/>
  <c r="AB179"/>
  <c r="AB133"/>
  <c r="AB166"/>
  <c r="AB120"/>
  <c r="AB30"/>
  <c r="AB107"/>
  <c r="AB94"/>
  <c r="AB61"/>
  <c r="AB53"/>
  <c r="AB392" s="1"/>
  <c r="AE11"/>
  <c r="AB81"/>
  <c r="AB31"/>
  <c r="AG31" s="1"/>
  <c r="L423"/>
  <c r="L426" s="1"/>
  <c r="V84"/>
  <c r="V141" s="1"/>
  <c r="V48" s="1"/>
  <c r="AA48" s="1"/>
  <c r="AE267"/>
  <c r="AE212"/>
  <c r="AE19" s="1"/>
  <c r="AH240"/>
  <c r="AE294"/>
  <c r="AK274"/>
  <c r="AN247"/>
  <c r="AK219"/>
  <c r="AK301"/>
  <c r="Y138"/>
  <c r="Y135"/>
  <c r="Y136" s="1"/>
  <c r="Y184"/>
  <c r="Y181"/>
  <c r="Y182" s="1"/>
  <c r="AE298"/>
  <c r="AH244"/>
  <c r="AE271"/>
  <c r="AE216"/>
  <c r="AE23" s="1"/>
  <c r="AE299"/>
  <c r="AH245"/>
  <c r="AE272"/>
  <c r="AE217"/>
  <c r="AE24" s="1"/>
  <c r="X101" i="19"/>
  <c r="AG18" i="16"/>
  <c r="Y171"/>
  <c r="Y168"/>
  <c r="Y169" s="1"/>
  <c r="AG51"/>
  <c r="AE51"/>
  <c r="V27"/>
  <c r="AA21"/>
  <c r="V282"/>
  <c r="Y255"/>
  <c r="V227"/>
  <c r="V309"/>
  <c r="X27"/>
  <c r="Y86"/>
  <c r="Y83"/>
  <c r="Y122"/>
  <c r="Y123" s="1"/>
  <c r="Y125"/>
  <c r="AG23"/>
  <c r="X103" i="19"/>
  <c r="AG24" i="16"/>
  <c r="X106" i="19"/>
  <c r="AE266" i="16"/>
  <c r="AE211"/>
  <c r="AE18" s="1"/>
  <c r="AE293"/>
  <c r="AH239"/>
  <c r="Y197"/>
  <c r="Y194"/>
  <c r="Y195" s="1"/>
  <c r="AH250"/>
  <c r="AE277"/>
  <c r="AE222"/>
  <c r="AE304"/>
  <c r="AK264"/>
  <c r="AK209"/>
  <c r="AN237"/>
  <c r="AK291"/>
  <c r="AD30"/>
  <c r="W111" i="19"/>
  <c r="Y112" i="16"/>
  <c r="Y109"/>
  <c r="Y110" s="1"/>
  <c r="Y155"/>
  <c r="Y158"/>
  <c r="V104" i="19"/>
  <c r="V107" s="1"/>
  <c r="V100"/>
  <c r="Y99" i="16"/>
  <c r="Y96"/>
  <c r="Y97" s="1"/>
  <c r="AK263"/>
  <c r="AK208"/>
  <c r="AK12" s="1"/>
  <c r="AN236"/>
  <c r="AK290"/>
  <c r="Y21"/>
  <c r="AD16"/>
  <c r="W99" i="19"/>
  <c r="Y113"/>
  <c r="AJ43" i="16"/>
  <c r="V201"/>
  <c r="AB257"/>
  <c r="Y229"/>
  <c r="AK285"/>
  <c r="AK230"/>
  <c r="AN258"/>
  <c r="AK312"/>
  <c r="AG19"/>
  <c r="X102" i="19"/>
  <c r="AJ25" i="16"/>
  <c r="Y105" i="19"/>
  <c r="V281" i="16"/>
  <c r="V226"/>
  <c r="Y254"/>
  <c r="V308"/>
  <c r="AH297"/>
  <c r="AH270"/>
  <c r="AK243"/>
  <c r="AH215"/>
  <c r="AH346" s="1"/>
  <c r="AJ13"/>
  <c r="AE14"/>
  <c r="AJ14" s="1"/>
  <c r="V140"/>
  <c r="V37" s="1"/>
  <c r="AA37" s="1"/>
  <c r="V142"/>
  <c r="X364" i="20"/>
  <c r="Y367"/>
  <c r="Y363"/>
  <c r="BJ789"/>
  <c r="X523"/>
  <c r="X570"/>
  <c r="X429"/>
  <c r="Y476"/>
  <c r="Z331"/>
  <c r="Y314"/>
  <c r="Y315" s="1"/>
  <c r="Z313"/>
  <c r="Z321"/>
  <c r="Z317"/>
  <c r="X572"/>
  <c r="Y572" s="1"/>
  <c r="Z572" s="1"/>
  <c r="AA572" s="1"/>
  <c r="AB572" s="1"/>
  <c r="AC572" s="1"/>
  <c r="AD572" s="1"/>
  <c r="AE572" s="1"/>
  <c r="AF572" s="1"/>
  <c r="AG572" s="1"/>
  <c r="AH572" s="1"/>
  <c r="AI572" s="1"/>
  <c r="X355"/>
  <c r="BO837"/>
  <c r="BO895" s="1"/>
  <c r="BO757"/>
  <c r="AC248"/>
  <c r="AD248" s="1"/>
  <c r="Z479"/>
  <c r="Y432"/>
  <c r="W341"/>
  <c r="W340"/>
  <c r="AB126"/>
  <c r="AB125"/>
  <c r="AD566"/>
  <c r="AD419"/>
  <c r="AE472"/>
  <c r="AD519"/>
  <c r="Z940"/>
  <c r="Z941"/>
  <c r="BP666"/>
  <c r="AE208"/>
  <c r="AF77"/>
  <c r="Y327"/>
  <c r="Y323"/>
  <c r="X324"/>
  <c r="X325" s="1"/>
  <c r="Z532"/>
  <c r="Z485"/>
  <c r="Z438"/>
  <c r="Z247"/>
  <c r="CU893"/>
  <c r="CU865"/>
  <c r="CU846"/>
  <c r="BK696"/>
  <c r="BK763"/>
  <c r="U11" i="19" s="1"/>
  <c r="X525" i="20"/>
  <c r="Y525" s="1"/>
  <c r="Z525" s="1"/>
  <c r="AA525" s="1"/>
  <c r="AB525" s="1"/>
  <c r="AC525" s="1"/>
  <c r="AD525" s="1"/>
  <c r="AE525" s="1"/>
  <c r="AF525" s="1"/>
  <c r="AG525" s="1"/>
  <c r="AH525" s="1"/>
  <c r="AI525" s="1"/>
  <c r="AC124"/>
  <c r="AD123"/>
  <c r="Y524"/>
  <c r="Z477"/>
  <c r="AB260"/>
  <c r="AC260" s="1"/>
  <c r="Z569"/>
  <c r="Z522"/>
  <c r="Z475"/>
  <c r="W365"/>
  <c r="X365" s="1"/>
  <c r="Y337"/>
  <c r="Y333"/>
  <c r="X334"/>
  <c r="X335" s="1"/>
  <c r="Z361"/>
  <c r="Z357"/>
  <c r="Y354"/>
  <c r="Z371"/>
  <c r="Z353"/>
  <c r="X374"/>
  <c r="X375" s="1"/>
  <c r="Y377"/>
  <c r="Y373"/>
  <c r="AA938"/>
  <c r="BL583"/>
  <c r="AA428"/>
  <c r="AA422"/>
  <c r="AA259"/>
  <c r="AA345"/>
  <c r="AA311"/>
  <c r="AA218"/>
  <c r="AA234" s="1"/>
  <c r="AA270"/>
  <c r="AA351"/>
  <c r="AA385"/>
  <c r="AB15"/>
  <c r="AA112"/>
  <c r="AA134"/>
  <c r="AA160" s="1"/>
  <c r="AA955"/>
  <c r="AA958" s="1"/>
  <c r="N126" i="21"/>
  <c r="N125"/>
  <c r="P123"/>
  <c r="O124"/>
  <c r="H29" l="1"/>
  <c r="H192" s="1"/>
  <c r="I29"/>
  <c r="J192" s="1"/>
  <c r="H165" i="19"/>
  <c r="AV720" i="20"/>
  <c r="AV765"/>
  <c r="AV767" s="1"/>
  <c r="AW664"/>
  <c r="P29" i="21"/>
  <c r="U188" i="20"/>
  <c r="H166" i="19"/>
  <c r="H71"/>
  <c r="G68" i="68" s="1"/>
  <c r="V90" i="20"/>
  <c r="AV729"/>
  <c r="H164" i="19"/>
  <c r="H69"/>
  <c r="G66" i="68" s="1"/>
  <c r="AX597" i="20"/>
  <c r="K191"/>
  <c r="Q191"/>
  <c r="G59" i="70" s="1"/>
  <c r="R29" i="21"/>
  <c r="J29"/>
  <c r="K29"/>
  <c r="BB820" i="20"/>
  <c r="K42" i="22"/>
  <c r="BE605" i="20"/>
  <c r="BE701" s="1"/>
  <c r="L29" i="21"/>
  <c r="L192" s="1"/>
  <c r="M29"/>
  <c r="N192" s="1"/>
  <c r="BE684" i="20"/>
  <c r="N29" i="21"/>
  <c r="Q29"/>
  <c r="Q94" s="1"/>
  <c r="C26" i="22"/>
  <c r="G29" i="21"/>
  <c r="AV801" i="20"/>
  <c r="H118" i="19"/>
  <c r="H119" s="1"/>
  <c r="H121" s="1"/>
  <c r="H30"/>
  <c r="C219" s="1"/>
  <c r="BM55"/>
  <c r="BE55" s="1"/>
  <c r="AR54" s="1"/>
  <c r="Y571" i="20"/>
  <c r="H120" i="19"/>
  <c r="Y526" i="20"/>
  <c r="Z526" s="1"/>
  <c r="AA526" s="1"/>
  <c r="AB526" s="1"/>
  <c r="AC526" s="1"/>
  <c r="AD526" s="1"/>
  <c r="AE526" s="1"/>
  <c r="AF526" s="1"/>
  <c r="AG526" s="1"/>
  <c r="AH526" s="1"/>
  <c r="AI526" s="1"/>
  <c r="B59" i="68"/>
  <c r="B53"/>
  <c r="I48"/>
  <c r="I59" s="1"/>
  <c r="AV733" i="20"/>
  <c r="G48" i="68"/>
  <c r="G59" s="1"/>
  <c r="Y342" i="20"/>
  <c r="H24" i="68"/>
  <c r="H209" i="20"/>
  <c r="E75" i="70"/>
  <c r="E202" i="19"/>
  <c r="D28" i="68"/>
  <c r="D108"/>
  <c r="D146" s="1"/>
  <c r="C192" i="19"/>
  <c r="B95" i="68"/>
  <c r="B133" s="1"/>
  <c r="B15"/>
  <c r="E198" i="19"/>
  <c r="D23" i="68"/>
  <c r="B52" i="65" s="1"/>
  <c r="D103" i="68"/>
  <c r="D141" s="1"/>
  <c r="D187" i="19"/>
  <c r="C9" i="68"/>
  <c r="C89"/>
  <c r="C127" s="1"/>
  <c r="C194" i="19"/>
  <c r="B17" i="68"/>
  <c r="B97"/>
  <c r="B135" s="1"/>
  <c r="B22"/>
  <c r="B102"/>
  <c r="H19" i="61"/>
  <c r="H21" s="1"/>
  <c r="H23" s="1"/>
  <c r="I24" i="68"/>
  <c r="I8"/>
  <c r="D188" i="19"/>
  <c r="C10" i="68"/>
  <c r="C90"/>
  <c r="C128" s="1"/>
  <c r="C14"/>
  <c r="C94"/>
  <c r="C185" i="19"/>
  <c r="H185" s="1"/>
  <c r="B123" i="68"/>
  <c r="G123" s="1"/>
  <c r="G137" s="1"/>
  <c r="B5"/>
  <c r="G5" s="1"/>
  <c r="G17" s="1"/>
  <c r="B85"/>
  <c r="G85" s="1"/>
  <c r="G99" s="1"/>
  <c r="I370" i="23"/>
  <c r="U370" s="1"/>
  <c r="I451" i="58"/>
  <c r="J64" i="59"/>
  <c r="O64"/>
  <c r="G8" i="68"/>
  <c r="C27"/>
  <c r="C107"/>
  <c r="D107"/>
  <c r="D27"/>
  <c r="E185" i="19"/>
  <c r="J185" s="1"/>
  <c r="D85" i="68"/>
  <c r="I85" s="1"/>
  <c r="I99" s="1"/>
  <c r="D123"/>
  <c r="I123" s="1"/>
  <c r="I137" s="1"/>
  <c r="D5"/>
  <c r="H147"/>
  <c r="F6" i="70"/>
  <c r="D33" i="65"/>
  <c r="C191" i="21"/>
  <c r="F59" i="70"/>
  <c r="N98" i="59"/>
  <c r="H98"/>
  <c r="D102" i="68"/>
  <c r="D22"/>
  <c r="C189" i="19"/>
  <c r="B91" i="68"/>
  <c r="B129" s="1"/>
  <c r="B11"/>
  <c r="D189" i="19"/>
  <c r="C91" i="68"/>
  <c r="C129" s="1"/>
  <c r="C11"/>
  <c r="E204" i="19"/>
  <c r="D112" i="68"/>
  <c r="D32"/>
  <c r="D199" i="19"/>
  <c r="C24" i="68"/>
  <c r="C104"/>
  <c r="C142" s="1"/>
  <c r="D205" i="19"/>
  <c r="C33" i="68"/>
  <c r="C113"/>
  <c r="C151" s="1"/>
  <c r="C202" i="19"/>
  <c r="B108" i="68"/>
  <c r="B146" s="1"/>
  <c r="B28"/>
  <c r="I77"/>
  <c r="I60"/>
  <c r="C88"/>
  <c r="C8"/>
  <c r="E191" i="20"/>
  <c r="D59" i="70" s="1"/>
  <c r="D58"/>
  <c r="L58" i="20"/>
  <c r="L51"/>
  <c r="L50"/>
  <c r="L41"/>
  <c r="D81" i="22"/>
  <c r="L44" i="20"/>
  <c r="L43"/>
  <c r="L59"/>
  <c r="L39"/>
  <c r="L36"/>
  <c r="L55"/>
  <c r="L38"/>
  <c r="L57"/>
  <c r="L48"/>
  <c r="L98"/>
  <c r="L45"/>
  <c r="L42"/>
  <c r="L52"/>
  <c r="L47"/>
  <c r="L54"/>
  <c r="L53"/>
  <c r="L40"/>
  <c r="L56"/>
  <c r="L37"/>
  <c r="L49"/>
  <c r="L46"/>
  <c r="L26"/>
  <c r="L28"/>
  <c r="L32"/>
  <c r="L21"/>
  <c r="K35"/>
  <c r="M35" s="1"/>
  <c r="L20"/>
  <c r="L29"/>
  <c r="L24"/>
  <c r="L97"/>
  <c r="D80" i="22"/>
  <c r="L27" i="20"/>
  <c r="L18"/>
  <c r="L34"/>
  <c r="L19"/>
  <c r="L25"/>
  <c r="L31"/>
  <c r="L33"/>
  <c r="L23"/>
  <c r="L30"/>
  <c r="L22"/>
  <c r="G147" i="68"/>
  <c r="C200" i="19"/>
  <c r="B105" i="68"/>
  <c r="B143" s="1"/>
  <c r="B25"/>
  <c r="E199" i="19"/>
  <c r="D24" i="68"/>
  <c r="D104"/>
  <c r="D142" s="1"/>
  <c r="D193" i="19"/>
  <c r="C16" i="68"/>
  <c r="C96"/>
  <c r="C134" s="1"/>
  <c r="I74"/>
  <c r="I73"/>
  <c r="D66"/>
  <c r="C193" i="19"/>
  <c r="B16" i="68"/>
  <c r="B96"/>
  <c r="B134" s="1"/>
  <c r="G60"/>
  <c r="G77"/>
  <c r="D185" i="19"/>
  <c r="I185" s="1"/>
  <c r="C85" i="68"/>
  <c r="H85" s="1"/>
  <c r="H99" s="1"/>
  <c r="C123"/>
  <c r="H123" s="1"/>
  <c r="H137" s="1"/>
  <c r="C5"/>
  <c r="H5" s="1"/>
  <c r="B8"/>
  <c r="B88"/>
  <c r="D195" i="19"/>
  <c r="C18" i="68"/>
  <c r="C98"/>
  <c r="C136" s="1"/>
  <c r="E189" i="19"/>
  <c r="D91" i="68"/>
  <c r="D129" s="1"/>
  <c r="D11"/>
  <c r="D220" i="19"/>
  <c r="H28" i="68"/>
  <c r="H112" s="1"/>
  <c r="H150" s="1"/>
  <c r="E192" i="19"/>
  <c r="D15" i="68"/>
  <c r="D95"/>
  <c r="D133" s="1"/>
  <c r="C188" i="19"/>
  <c r="B90" i="68"/>
  <c r="B128" s="1"/>
  <c r="B10"/>
  <c r="E193" i="19"/>
  <c r="D16" i="68"/>
  <c r="D96"/>
  <c r="D134" s="1"/>
  <c r="C205" i="19"/>
  <c r="B33" i="68"/>
  <c r="B113"/>
  <c r="B151" s="1"/>
  <c r="B14"/>
  <c r="B94"/>
  <c r="D34" i="62"/>
  <c r="F34" s="1"/>
  <c r="F32" s="1"/>
  <c r="B7" i="67"/>
  <c r="B32" s="1"/>
  <c r="B7" i="66"/>
  <c r="B32" s="1"/>
  <c r="D27" i="65"/>
  <c r="D29" s="1"/>
  <c r="N91" i="59"/>
  <c r="H91"/>
  <c r="G93"/>
  <c r="E15" i="23"/>
  <c r="E14" s="1"/>
  <c r="C41" i="65"/>
  <c r="K63" i="59"/>
  <c r="E373" i="23"/>
  <c r="D53" i="68"/>
  <c r="H8"/>
  <c r="T96" i="19"/>
  <c r="T4" i="68"/>
  <c r="T36" s="1"/>
  <c r="E194" i="19"/>
  <c r="D97" i="68"/>
  <c r="D135" s="1"/>
  <c r="D17"/>
  <c r="E187" i="19"/>
  <c r="D9" i="68"/>
  <c r="D89"/>
  <c r="D127" s="1"/>
  <c r="D200" i="19"/>
  <c r="C105" i="68"/>
  <c r="C143" s="1"/>
  <c r="C25"/>
  <c r="E200" i="19"/>
  <c r="D25" i="68"/>
  <c r="D105"/>
  <c r="D143" s="1"/>
  <c r="D116"/>
  <c r="D154" s="1"/>
  <c r="D36"/>
  <c r="C187" i="19"/>
  <c r="B9" i="68"/>
  <c r="B89"/>
  <c r="B127" s="1"/>
  <c r="E205" i="19"/>
  <c r="D113" i="68"/>
  <c r="D151" s="1"/>
  <c r="D33"/>
  <c r="C190" i="19"/>
  <c r="B92" i="68"/>
  <c r="B130" s="1"/>
  <c r="B12"/>
  <c r="C208" i="19"/>
  <c r="B36" i="68"/>
  <c r="B116"/>
  <c r="B154" s="1"/>
  <c r="D94"/>
  <c r="D14"/>
  <c r="E138" i="20"/>
  <c r="D4" i="70"/>
  <c r="C23" i="66"/>
  <c r="C48" s="1"/>
  <c r="C23" i="67"/>
  <c r="C48" s="1"/>
  <c r="H150" i="20"/>
  <c r="E17" i="70"/>
  <c r="C28" i="22"/>
  <c r="C29" s="1"/>
  <c r="B28" i="65"/>
  <c r="L98" i="59"/>
  <c r="P98"/>
  <c r="E6" i="70"/>
  <c r="C33" i="65"/>
  <c r="Y154" i="20"/>
  <c r="U456" i="23"/>
  <c r="AV820" i="20"/>
  <c r="E150"/>
  <c r="D18" i="70" s="1"/>
  <c r="D17"/>
  <c r="D190" i="19"/>
  <c r="C92" i="68"/>
  <c r="C130" s="1"/>
  <c r="C12"/>
  <c r="D214" i="19"/>
  <c r="H9" i="68"/>
  <c r="B69"/>
  <c r="G75"/>
  <c r="C220" i="19"/>
  <c r="G28" i="68"/>
  <c r="G112" s="1"/>
  <c r="G150" s="1"/>
  <c r="D192" i="19"/>
  <c r="C15" i="68"/>
  <c r="C95"/>
  <c r="C133" s="1"/>
  <c r="C22"/>
  <c r="C102"/>
  <c r="C195" i="19"/>
  <c r="B18" i="68"/>
  <c r="B98"/>
  <c r="B136" s="1"/>
  <c r="D194" i="19"/>
  <c r="C97" i="68"/>
  <c r="C135" s="1"/>
  <c r="C17"/>
  <c r="C150" i="21"/>
  <c r="F18" i="70"/>
  <c r="H63" i="59"/>
  <c r="E62" i="60"/>
  <c r="G56" i="59"/>
  <c r="N63"/>
  <c r="AX605" i="20"/>
  <c r="AV701"/>
  <c r="AV616"/>
  <c r="AV756" s="1"/>
  <c r="F26" i="65"/>
  <c r="BB740" i="20"/>
  <c r="G6" i="70"/>
  <c r="E33" i="65"/>
  <c r="AX644" i="20"/>
  <c r="AV645"/>
  <c r="AX645" s="1"/>
  <c r="D59" i="68"/>
  <c r="C29" i="65"/>
  <c r="D204" i="19"/>
  <c r="C112" i="68"/>
  <c r="C32"/>
  <c r="C199" i="19"/>
  <c r="B24" i="68"/>
  <c r="B104"/>
  <c r="B142" s="1"/>
  <c r="D219" i="19"/>
  <c r="H26" i="68"/>
  <c r="H110" s="1"/>
  <c r="H148" s="1"/>
  <c r="I147"/>
  <c r="I75"/>
  <c r="D69"/>
  <c r="CI63" i="19"/>
  <c r="N11" i="68"/>
  <c r="N43" s="1"/>
  <c r="H191" i="20"/>
  <c r="E59" i="70" s="1"/>
  <c r="E58"/>
  <c r="G374" i="23"/>
  <c r="G11" s="1"/>
  <c r="G10" s="1"/>
  <c r="G463" s="1"/>
  <c r="D14" i="65"/>
  <c r="D41" i="62" s="1"/>
  <c r="F41" s="1"/>
  <c r="B60" i="68"/>
  <c r="G72" s="1"/>
  <c r="I64"/>
  <c r="E195" i="19"/>
  <c r="D18" i="68"/>
  <c r="D98"/>
  <c r="D136" s="1"/>
  <c r="C212" i="19"/>
  <c r="G24" i="68"/>
  <c r="D198" i="19"/>
  <c r="C103" i="68"/>
  <c r="C141" s="1"/>
  <c r="C23"/>
  <c r="E188" i="19"/>
  <c r="D10" i="68"/>
  <c r="D90"/>
  <c r="D128" s="1"/>
  <c r="B27"/>
  <c r="B107"/>
  <c r="E214" i="19"/>
  <c r="I9" i="68"/>
  <c r="I20" s="1"/>
  <c r="C116"/>
  <c r="C154" s="1"/>
  <c r="C36"/>
  <c r="H70" i="19"/>
  <c r="G65" i="68"/>
  <c r="G67" s="1"/>
  <c r="C204" i="19"/>
  <c r="B112" i="68"/>
  <c r="B32"/>
  <c r="G73"/>
  <c r="B66"/>
  <c r="G74"/>
  <c r="C198" i="19"/>
  <c r="B103" i="68"/>
  <c r="B141" s="1"/>
  <c r="B23"/>
  <c r="D202" i="19"/>
  <c r="C108" i="68"/>
  <c r="C146" s="1"/>
  <c r="C28"/>
  <c r="D8"/>
  <c r="D88"/>
  <c r="E190" i="19"/>
  <c r="D92" i="68"/>
  <c r="D130" s="1"/>
  <c r="D12"/>
  <c r="G11" i="60"/>
  <c r="G14" s="1"/>
  <c r="G33" s="1"/>
  <c r="O93" i="59"/>
  <c r="J93"/>
  <c r="Q210" i="20"/>
  <c r="G78" i="70" s="1"/>
  <c r="G77"/>
  <c r="P91" i="59"/>
  <c r="K93"/>
  <c r="L91"/>
  <c r="E44" i="66"/>
  <c r="Y382" i="20"/>
  <c r="BB646"/>
  <c r="H51" i="19"/>
  <c r="H57" s="1"/>
  <c r="P228" i="21"/>
  <c r="P192"/>
  <c r="BH657" i="20"/>
  <c r="X69"/>
  <c r="U94"/>
  <c r="I119" i="19"/>
  <c r="I121" s="1"/>
  <c r="V92" i="20"/>
  <c r="BG682" s="1"/>
  <c r="BG817" s="1"/>
  <c r="BG880" s="1"/>
  <c r="E159" i="19"/>
  <c r="N228" i="21"/>
  <c r="C172" i="19"/>
  <c r="E114"/>
  <c r="AS801" i="20"/>
  <c r="AR632"/>
  <c r="AU632"/>
  <c r="Q517"/>
  <c r="Q564"/>
  <c r="Q514"/>
  <c r="Q561"/>
  <c r="Q503"/>
  <c r="Q550"/>
  <c r="AS733"/>
  <c r="E27" i="22"/>
  <c r="Q553" i="20"/>
  <c r="Q506"/>
  <c r="AP726"/>
  <c r="AP728" s="1"/>
  <c r="BB726"/>
  <c r="BB728" s="1"/>
  <c r="BD665"/>
  <c r="BD678"/>
  <c r="BB730"/>
  <c r="E28" i="65" s="1"/>
  <c r="BD661" i="20"/>
  <c r="R48" i="22"/>
  <c r="R58"/>
  <c r="R55"/>
  <c r="R54"/>
  <c r="R59"/>
  <c r="R49"/>
  <c r="R50"/>
  <c r="R47"/>
  <c r="R45"/>
  <c r="R51"/>
  <c r="R46"/>
  <c r="R52"/>
  <c r="E37" s="1"/>
  <c r="R53"/>
  <c r="R57"/>
  <c r="R56"/>
  <c r="H221" i="21"/>
  <c r="H230" s="1"/>
  <c r="H207" s="1"/>
  <c r="H209" s="1"/>
  <c r="Q563" i="20"/>
  <c r="Q516"/>
  <c r="AY820"/>
  <c r="Q552"/>
  <c r="Q505"/>
  <c r="J145" i="19"/>
  <c r="J151" s="1"/>
  <c r="J100"/>
  <c r="BA598" i="20"/>
  <c r="E62" i="19"/>
  <c r="E126"/>
  <c r="Q228" i="21"/>
  <c r="AS616" i="20"/>
  <c r="AT614" s="1"/>
  <c r="E153" i="19"/>
  <c r="J228" i="21"/>
  <c r="Q221"/>
  <c r="Q230" s="1"/>
  <c r="Q207" s="1"/>
  <c r="Q209" s="1"/>
  <c r="J221"/>
  <c r="J230" s="1"/>
  <c r="J207" s="1"/>
  <c r="J209" s="1"/>
  <c r="AX598" i="20"/>
  <c r="AS778"/>
  <c r="AS779" s="1"/>
  <c r="AS738" s="1"/>
  <c r="D42" i="22" s="1"/>
  <c r="E167" i="19"/>
  <c r="E173" s="1"/>
  <c r="C122"/>
  <c r="O228" i="21"/>
  <c r="L221"/>
  <c r="L230" s="1"/>
  <c r="L207" s="1"/>
  <c r="L209" s="1"/>
  <c r="D122" i="19"/>
  <c r="BF707" i="20"/>
  <c r="C159" i="19"/>
  <c r="BE633" i="20"/>
  <c r="CC890" s="1"/>
  <c r="E49" i="21"/>
  <c r="BE52" i="19"/>
  <c r="AR52" s="1"/>
  <c r="BA52"/>
  <c r="AQ52" s="1"/>
  <c r="BI52"/>
  <c r="AS52" s="1"/>
  <c r="AW52"/>
  <c r="AP52" s="1"/>
  <c r="AT52" s="1"/>
  <c r="AU52" s="1"/>
  <c r="AU51" s="1"/>
  <c r="Q95" i="21"/>
  <c r="Q182" s="1"/>
  <c r="BE816" i="20"/>
  <c r="BE879" s="1"/>
  <c r="CC853"/>
  <c r="CH853" s="1"/>
  <c r="BE766"/>
  <c r="W386"/>
  <c r="W71" s="1"/>
  <c r="X439"/>
  <c r="G3" i="66" s="1"/>
  <c r="G28" s="1"/>
  <c r="W486" i="20"/>
  <c r="F3" i="67" s="1"/>
  <c r="F28" s="1"/>
  <c r="W533" i="20"/>
  <c r="BE629"/>
  <c r="BE792" s="1"/>
  <c r="BE869" s="1"/>
  <c r="T163"/>
  <c r="E163" i="21" s="1"/>
  <c r="G163" s="1"/>
  <c r="E46"/>
  <c r="H95"/>
  <c r="H182" s="1"/>
  <c r="W516" i="20"/>
  <c r="W416"/>
  <c r="W563"/>
  <c r="X469"/>
  <c r="BG606"/>
  <c r="BC677"/>
  <c r="BB679"/>
  <c r="W391"/>
  <c r="W538"/>
  <c r="W491"/>
  <c r="X444"/>
  <c r="E73" i="21"/>
  <c r="T75" i="20"/>
  <c r="AU644"/>
  <c r="AR644"/>
  <c r="X458"/>
  <c r="W505"/>
  <c r="W405"/>
  <c r="W552"/>
  <c r="C35" i="21"/>
  <c r="S35" i="20"/>
  <c r="M95" i="21"/>
  <c r="M182" s="1"/>
  <c r="W541" i="20"/>
  <c r="W394"/>
  <c r="W494"/>
  <c r="X447"/>
  <c r="H37" i="19"/>
  <c r="H125"/>
  <c r="C39" i="22"/>
  <c r="K83"/>
  <c r="AY752" i="20"/>
  <c r="AY746"/>
  <c r="AZ683"/>
  <c r="E112" i="22"/>
  <c r="BD683" i="20"/>
  <c r="AY744"/>
  <c r="D46" i="62" s="1"/>
  <c r="F46" s="1"/>
  <c r="C218" i="19"/>
  <c r="C186"/>
  <c r="C17"/>
  <c r="D23"/>
  <c r="D191"/>
  <c r="CA869" i="20"/>
  <c r="CE869" s="1"/>
  <c r="AY738"/>
  <c r="E42" i="22" s="1"/>
  <c r="L72" i="21"/>
  <c r="L73" s="1"/>
  <c r="P72"/>
  <c r="P73" s="1"/>
  <c r="J72"/>
  <c r="J73" s="1"/>
  <c r="O72"/>
  <c r="O73" s="1"/>
  <c r="K72"/>
  <c r="K73" s="1"/>
  <c r="R72"/>
  <c r="R73" s="1"/>
  <c r="Q72"/>
  <c r="Q73" s="1"/>
  <c r="M72"/>
  <c r="M73" s="1"/>
  <c r="I72"/>
  <c r="I73" s="1"/>
  <c r="G72"/>
  <c r="G73" s="1"/>
  <c r="H72"/>
  <c r="H73" s="1"/>
  <c r="N72"/>
  <c r="N73" s="1"/>
  <c r="C230"/>
  <c r="N207" i="20"/>
  <c r="F75" i="70" s="1"/>
  <c r="AY836" i="20"/>
  <c r="J42" i="21"/>
  <c r="Q42"/>
  <c r="R42"/>
  <c r="O42"/>
  <c r="H42"/>
  <c r="M42"/>
  <c r="P42"/>
  <c r="N42"/>
  <c r="G42"/>
  <c r="L42"/>
  <c r="I42"/>
  <c r="K42"/>
  <c r="AB32"/>
  <c r="L16" s="1"/>
  <c r="AC30"/>
  <c r="AC31" s="1"/>
  <c r="M15" s="1"/>
  <c r="AC29"/>
  <c r="BD677" i="20"/>
  <c r="AY679"/>
  <c r="AZ677"/>
  <c r="V195"/>
  <c r="BG680"/>
  <c r="W392"/>
  <c r="W492"/>
  <c r="X445"/>
  <c r="W539"/>
  <c r="CH870"/>
  <c r="CA860"/>
  <c r="CA854"/>
  <c r="CE852"/>
  <c r="X271"/>
  <c r="W272"/>
  <c r="V278"/>
  <c r="V276"/>
  <c r="U305"/>
  <c r="U49" s="1"/>
  <c r="BG615"/>
  <c r="BG702" s="1"/>
  <c r="W33"/>
  <c r="Q50" i="22"/>
  <c r="Q54"/>
  <c r="Q48"/>
  <c r="Q53"/>
  <c r="O59"/>
  <c r="Q59"/>
  <c r="Q49"/>
  <c r="Q56"/>
  <c r="Q47"/>
  <c r="Q51"/>
  <c r="Q57"/>
  <c r="Q46"/>
  <c r="Q58"/>
  <c r="Q55"/>
  <c r="Q52"/>
  <c r="D37" s="1"/>
  <c r="Q45"/>
  <c r="Q50" i="21"/>
  <c r="I50"/>
  <c r="G50"/>
  <c r="M50"/>
  <c r="H50"/>
  <c r="L50"/>
  <c r="J50"/>
  <c r="O50"/>
  <c r="K50"/>
  <c r="R50"/>
  <c r="P50"/>
  <c r="N50"/>
  <c r="U177" i="20"/>
  <c r="BF672"/>
  <c r="BF806" s="1"/>
  <c r="M85" i="21"/>
  <c r="I85"/>
  <c r="N85"/>
  <c r="P85"/>
  <c r="K85"/>
  <c r="O85"/>
  <c r="H85"/>
  <c r="Q85"/>
  <c r="G85"/>
  <c r="L85"/>
  <c r="J85"/>
  <c r="R85"/>
  <c r="J86"/>
  <c r="R86"/>
  <c r="G86"/>
  <c r="I86"/>
  <c r="L86"/>
  <c r="P86"/>
  <c r="Q86"/>
  <c r="N86"/>
  <c r="K86"/>
  <c r="H86"/>
  <c r="M86"/>
  <c r="O86"/>
  <c r="I28" i="19"/>
  <c r="D212" s="1"/>
  <c r="I116"/>
  <c r="W554" i="20"/>
  <c r="W407"/>
  <c r="W28" s="1"/>
  <c r="X460"/>
  <c r="W507"/>
  <c r="C108" i="19"/>
  <c r="D114"/>
  <c r="K221" i="21"/>
  <c r="K230" s="1"/>
  <c r="K207" s="1"/>
  <c r="K209" s="1"/>
  <c r="E122" i="19"/>
  <c r="D126"/>
  <c r="D127" s="1"/>
  <c r="C167"/>
  <c r="C69"/>
  <c r="V263" i="20"/>
  <c r="I228" i="21"/>
  <c r="P35" i="20"/>
  <c r="K192" i="21"/>
  <c r="O221"/>
  <c r="O230" s="1"/>
  <c r="O207" s="1"/>
  <c r="O209" s="1"/>
  <c r="N221"/>
  <c r="N230" s="1"/>
  <c r="N207" s="1"/>
  <c r="N209" s="1"/>
  <c r="AP778" i="20"/>
  <c r="AP779" s="1"/>
  <c r="AP738" s="1"/>
  <c r="C42" i="22" s="1"/>
  <c r="AS819" i="20"/>
  <c r="AS820" s="1"/>
  <c r="U192"/>
  <c r="BF603"/>
  <c r="BF821" s="1"/>
  <c r="BF882" s="1"/>
  <c r="V29"/>
  <c r="CC899"/>
  <c r="D218" i="19"/>
  <c r="I31"/>
  <c r="W557" i="20"/>
  <c r="W510"/>
  <c r="X463"/>
  <c r="W410"/>
  <c r="W30" s="1"/>
  <c r="E201" i="19"/>
  <c r="E33"/>
  <c r="D17"/>
  <c r="D186"/>
  <c r="BE662" i="20"/>
  <c r="BE664" s="1"/>
  <c r="BE726"/>
  <c r="BE728" s="1"/>
  <c r="CC849"/>
  <c r="BE730"/>
  <c r="CC901" s="1"/>
  <c r="BE727"/>
  <c r="CC900" s="1"/>
  <c r="BG788"/>
  <c r="CI884" s="1"/>
  <c r="V159"/>
  <c r="L24" i="22"/>
  <c r="O24" s="1"/>
  <c r="O22"/>
  <c r="E208" i="19"/>
  <c r="E38"/>
  <c r="C30"/>
  <c r="C197"/>
  <c r="J12"/>
  <c r="J18" s="1"/>
  <c r="E216" s="1"/>
  <c r="E211"/>
  <c r="E23"/>
  <c r="E191"/>
  <c r="E44" i="21"/>
  <c r="T148" i="20"/>
  <c r="E148" i="21" s="1"/>
  <c r="G148" s="1"/>
  <c r="BE627" i="20"/>
  <c r="BE777" s="1"/>
  <c r="BE860" s="1"/>
  <c r="W401"/>
  <c r="X454"/>
  <c r="G6" i="66" s="1"/>
  <c r="G31" s="1"/>
  <c r="W501" i="20"/>
  <c r="F6" i="67" s="1"/>
  <c r="F31" s="1"/>
  <c r="W548" i="20"/>
  <c r="W393"/>
  <c r="X446"/>
  <c r="W493"/>
  <c r="W540"/>
  <c r="N95" i="21"/>
  <c r="N182" s="1"/>
  <c r="N94"/>
  <c r="N536" i="20"/>
  <c r="N489"/>
  <c r="F59"/>
  <c r="F49"/>
  <c r="F55"/>
  <c r="F42"/>
  <c r="F38"/>
  <c r="F46"/>
  <c r="F50"/>
  <c r="F51"/>
  <c r="F54"/>
  <c r="F52"/>
  <c r="F53"/>
  <c r="F58"/>
  <c r="F39"/>
  <c r="F37"/>
  <c r="F40"/>
  <c r="F44"/>
  <c r="F98"/>
  <c r="J59"/>
  <c r="F45"/>
  <c r="F57"/>
  <c r="G59"/>
  <c r="F47"/>
  <c r="B81" i="22"/>
  <c r="F36" i="20"/>
  <c r="F41"/>
  <c r="F43"/>
  <c r="F56"/>
  <c r="W534"/>
  <c r="W387"/>
  <c r="W487"/>
  <c r="F4" i="67" s="1"/>
  <c r="F29" s="1"/>
  <c r="X440" i="20"/>
  <c r="G4" i="66" s="1"/>
  <c r="G29" s="1"/>
  <c r="AU631" i="20"/>
  <c r="AR631"/>
  <c r="H38" i="21"/>
  <c r="J38"/>
  <c r="I38"/>
  <c r="O38"/>
  <c r="K38"/>
  <c r="G38"/>
  <c r="P38"/>
  <c r="R38"/>
  <c r="M38"/>
  <c r="N38"/>
  <c r="Q38"/>
  <c r="L38"/>
  <c r="E442" i="20"/>
  <c r="E490"/>
  <c r="E537"/>
  <c r="E451" i="58"/>
  <c r="O89" i="20"/>
  <c r="AK60" i="19" s="1"/>
  <c r="S89" i="20"/>
  <c r="E78" i="22"/>
  <c r="C89" i="21"/>
  <c r="H536" i="20"/>
  <c r="H489"/>
  <c r="BF716"/>
  <c r="BF724"/>
  <c r="BF721"/>
  <c r="CF848"/>
  <c r="BF719"/>
  <c r="BF725"/>
  <c r="BF718"/>
  <c r="BF747"/>
  <c r="BF713"/>
  <c r="BF717"/>
  <c r="BB733"/>
  <c r="E30" i="65" s="1"/>
  <c r="BB700" i="20"/>
  <c r="BB616"/>
  <c r="C62" i="19"/>
  <c r="I100"/>
  <c r="I106" s="1"/>
  <c r="H145"/>
  <c r="H151" s="1"/>
  <c r="AP801" i="20"/>
  <c r="K228" i="21"/>
  <c r="BD632" i="20"/>
  <c r="AS794"/>
  <c r="P221" i="21"/>
  <c r="P230" s="1"/>
  <c r="P207" s="1"/>
  <c r="P209" s="1"/>
  <c r="AP819" i="20"/>
  <c r="AP820" s="1"/>
  <c r="C201" i="19"/>
  <c r="C33"/>
  <c r="BB752" i="20"/>
  <c r="BB744"/>
  <c r="BC683"/>
  <c r="BB746"/>
  <c r="Q19" i="21"/>
  <c r="J19"/>
  <c r="O19"/>
  <c r="L19"/>
  <c r="P19"/>
  <c r="I19"/>
  <c r="H19"/>
  <c r="M19"/>
  <c r="G19"/>
  <c r="K19"/>
  <c r="K142" s="1"/>
  <c r="N19"/>
  <c r="R19"/>
  <c r="AP699" i="20"/>
  <c r="AU593"/>
  <c r="AR593"/>
  <c r="W517"/>
  <c r="W417"/>
  <c r="W564"/>
  <c r="X470"/>
  <c r="O95" i="21"/>
  <c r="O182" s="1"/>
  <c r="O94"/>
  <c r="J87" i="20"/>
  <c r="E89"/>
  <c r="F87"/>
  <c r="G87"/>
  <c r="X462"/>
  <c r="W409"/>
  <c r="W556"/>
  <c r="W509"/>
  <c r="AR676"/>
  <c r="AQ676"/>
  <c r="AU676"/>
  <c r="AS752"/>
  <c r="D36" i="22" s="1"/>
  <c r="AS744" i="20"/>
  <c r="AS746"/>
  <c r="I39" i="19" s="1"/>
  <c r="AT683" i="20"/>
  <c r="D112" i="22"/>
  <c r="BA683" i="20"/>
  <c r="W61"/>
  <c r="BG649"/>
  <c r="V220"/>
  <c r="F26"/>
  <c r="F25"/>
  <c r="B80" i="22"/>
  <c r="F29" i="20"/>
  <c r="F21"/>
  <c r="F24"/>
  <c r="F31"/>
  <c r="J34"/>
  <c r="F34"/>
  <c r="F20"/>
  <c r="F33"/>
  <c r="F97"/>
  <c r="F22"/>
  <c r="E35"/>
  <c r="F19"/>
  <c r="F30"/>
  <c r="F23"/>
  <c r="F28"/>
  <c r="F27"/>
  <c r="C107" i="22"/>
  <c r="C109" s="1"/>
  <c r="C43" s="1"/>
  <c r="F18" i="20"/>
  <c r="G34"/>
  <c r="F32"/>
  <c r="H241"/>
  <c r="N241"/>
  <c r="E241"/>
  <c r="C241"/>
  <c r="Q241"/>
  <c r="Q64"/>
  <c r="H363" i="58"/>
  <c r="E347" i="20"/>
  <c r="E252"/>
  <c r="BE743"/>
  <c r="BF714"/>
  <c r="D197" i="19"/>
  <c r="D30"/>
  <c r="BF816" i="20"/>
  <c r="BF879" s="1"/>
  <c r="BF608"/>
  <c r="T144"/>
  <c r="E144" i="21" s="1"/>
  <c r="G144" s="1"/>
  <c r="BE594" i="20"/>
  <c r="BE773" s="1"/>
  <c r="BE856" s="1"/>
  <c r="E23" i="21"/>
  <c r="E41"/>
  <c r="T146" i="20"/>
  <c r="E146" i="21" s="1"/>
  <c r="G146" s="1"/>
  <c r="BE624" i="20"/>
  <c r="BE775" s="1"/>
  <c r="BE858" s="1"/>
  <c r="R95" i="21"/>
  <c r="R182" s="1"/>
  <c r="P95"/>
  <c r="P182" s="1"/>
  <c r="P94"/>
  <c r="X442" i="20"/>
  <c r="W489"/>
  <c r="W389"/>
  <c r="W536"/>
  <c r="L218" i="21"/>
  <c r="L234" s="1"/>
  <c r="L112"/>
  <c r="L134"/>
  <c r="H101" i="19"/>
  <c r="AP683" i="20"/>
  <c r="J93"/>
  <c r="F93"/>
  <c r="AI54" i="19" s="1"/>
  <c r="G93" i="20"/>
  <c r="H13" i="19"/>
  <c r="AR664" i="20"/>
  <c r="AP677"/>
  <c r="AQ664"/>
  <c r="AP720"/>
  <c r="AU664"/>
  <c r="AP765"/>
  <c r="AP767" s="1"/>
  <c r="AR638"/>
  <c r="AP645"/>
  <c r="AU638"/>
  <c r="AY646"/>
  <c r="AZ632" s="1"/>
  <c r="BD645"/>
  <c r="AY706"/>
  <c r="E229"/>
  <c r="E231" s="1"/>
  <c r="E233" s="1"/>
  <c r="E230"/>
  <c r="W411"/>
  <c r="W511"/>
  <c r="X464"/>
  <c r="W558"/>
  <c r="AU611"/>
  <c r="AR611"/>
  <c r="W415"/>
  <c r="W515"/>
  <c r="W562"/>
  <c r="X468"/>
  <c r="X467"/>
  <c r="W561"/>
  <c r="W414"/>
  <c r="W514"/>
  <c r="U178"/>
  <c r="BF673"/>
  <c r="BF807" s="1"/>
  <c r="U46"/>
  <c r="U41"/>
  <c r="BF663"/>
  <c r="CF851" s="1"/>
  <c r="CK851" s="1"/>
  <c r="R89"/>
  <c r="AL60" i="19" s="1"/>
  <c r="F78" i="22"/>
  <c r="I89" i="20"/>
  <c r="AJ60" i="19" s="1"/>
  <c r="C78" i="22"/>
  <c r="E105"/>
  <c r="E109" s="1"/>
  <c r="E43" s="1"/>
  <c r="P89" i="20"/>
  <c r="V84"/>
  <c r="V72"/>
  <c r="V85"/>
  <c r="BG674" s="1"/>
  <c r="V86"/>
  <c r="BG675" s="1"/>
  <c r="V923"/>
  <c r="V83"/>
  <c r="V82"/>
  <c r="V81"/>
  <c r="BG660"/>
  <c r="V74"/>
  <c r="V19"/>
  <c r="V42"/>
  <c r="BG625" s="1"/>
  <c r="W497"/>
  <c r="X450"/>
  <c r="W397"/>
  <c r="W544"/>
  <c r="V95"/>
  <c r="V182" s="1"/>
  <c r="BG602"/>
  <c r="E56" i="19"/>
  <c r="U221" i="20"/>
  <c r="U230" s="1"/>
  <c r="U207" s="1"/>
  <c r="U209" s="1"/>
  <c r="BG611"/>
  <c r="E108" i="19"/>
  <c r="C153"/>
  <c r="C160" s="1"/>
  <c r="C114"/>
  <c r="H100"/>
  <c r="H106" s="1"/>
  <c r="D108"/>
  <c r="E72"/>
  <c r="L228" i="21"/>
  <c r="AP794" i="20"/>
  <c r="Q192" i="21"/>
  <c r="I221"/>
  <c r="I230" s="1"/>
  <c r="I207" s="1"/>
  <c r="I209" s="1"/>
  <c r="AS705" i="20"/>
  <c r="AS735"/>
  <c r="AS736"/>
  <c r="BA632"/>
  <c r="AU597"/>
  <c r="AR597"/>
  <c r="M92" i="21"/>
  <c r="M188" s="1"/>
  <c r="J92"/>
  <c r="J188" s="1"/>
  <c r="I92"/>
  <c r="I188" s="1"/>
  <c r="R92"/>
  <c r="R188" s="1"/>
  <c r="N92"/>
  <c r="N188" s="1"/>
  <c r="L92"/>
  <c r="H92"/>
  <c r="H188" s="1"/>
  <c r="Q92"/>
  <c r="Q188" s="1"/>
  <c r="K92"/>
  <c r="K188" s="1"/>
  <c r="P92"/>
  <c r="P188" s="1"/>
  <c r="O92"/>
  <c r="O188" s="1"/>
  <c r="G92"/>
  <c r="W512" i="20"/>
  <c r="W559"/>
  <c r="X465"/>
  <c r="W412"/>
  <c r="W31" s="1"/>
  <c r="BH609" s="1"/>
  <c r="BH611" s="1"/>
  <c r="BF685"/>
  <c r="BF811" s="1"/>
  <c r="CF870" s="1"/>
  <c r="P18" i="19" s="1"/>
  <c r="AP598" i="20"/>
  <c r="AP733" s="1"/>
  <c r="AP698"/>
  <c r="AU589"/>
  <c r="AP734"/>
  <c r="C23" i="22" s="1"/>
  <c r="AR589" i="20"/>
  <c r="BF817"/>
  <c r="BF880" s="1"/>
  <c r="BF611"/>
  <c r="AS679"/>
  <c r="AX679" s="1"/>
  <c r="AT677"/>
  <c r="BA677"/>
  <c r="J91" i="21"/>
  <c r="O91"/>
  <c r="L91"/>
  <c r="H91"/>
  <c r="H187" s="1"/>
  <c r="N91"/>
  <c r="G91"/>
  <c r="I91"/>
  <c r="M91"/>
  <c r="R91"/>
  <c r="K91"/>
  <c r="Q91"/>
  <c r="P91"/>
  <c r="CD860" i="20"/>
  <c r="CD852"/>
  <c r="CD849"/>
  <c r="CD856"/>
  <c r="CD848"/>
  <c r="CD857"/>
  <c r="CD850"/>
  <c r="CD854"/>
  <c r="O15" i="19" s="1"/>
  <c r="N8" i="68" s="1"/>
  <c r="N40" s="1"/>
  <c r="CD861" i="20"/>
  <c r="CD851"/>
  <c r="CH848"/>
  <c r="P13" i="19" s="1"/>
  <c r="O6" i="68" s="1"/>
  <c r="O38" s="1"/>
  <c r="CD862" i="20"/>
  <c r="O12" i="19"/>
  <c r="N5" i="68" s="1"/>
  <c r="N37" s="1"/>
  <c r="CD853" i="20"/>
  <c r="CD858"/>
  <c r="W549"/>
  <c r="W402"/>
  <c r="X455"/>
  <c r="W502"/>
  <c r="E197" i="19"/>
  <c r="E30"/>
  <c r="AY736" i="20"/>
  <c r="AY735"/>
  <c r="AY705"/>
  <c r="P83" i="21"/>
  <c r="P177" s="1"/>
  <c r="R83"/>
  <c r="R177" s="1"/>
  <c r="M83"/>
  <c r="M177" s="1"/>
  <c r="G83"/>
  <c r="K83"/>
  <c r="K177" s="1"/>
  <c r="J83"/>
  <c r="J177" s="1"/>
  <c r="Q83"/>
  <c r="Q177" s="1"/>
  <c r="I83"/>
  <c r="I177" s="1"/>
  <c r="H83"/>
  <c r="H177" s="1"/>
  <c r="N83"/>
  <c r="N177" s="1"/>
  <c r="O83"/>
  <c r="O177" s="1"/>
  <c r="L83"/>
  <c r="L177" s="1"/>
  <c r="T193" i="20"/>
  <c r="E193" i="21" s="1"/>
  <c r="G193" s="1"/>
  <c r="E20"/>
  <c r="BE588" i="20"/>
  <c r="X461"/>
  <c r="W408"/>
  <c r="W555"/>
  <c r="W508"/>
  <c r="N52" i="22"/>
  <c r="K59"/>
  <c r="D201" i="19"/>
  <c r="D33"/>
  <c r="J162"/>
  <c r="J67"/>
  <c r="J51"/>
  <c r="J57" s="1"/>
  <c r="E218"/>
  <c r="T145" i="20"/>
  <c r="E145" i="21" s="1"/>
  <c r="G145" s="1"/>
  <c r="BE623" i="20"/>
  <c r="BE774" s="1"/>
  <c r="BE857" s="1"/>
  <c r="E40" i="21"/>
  <c r="M74"/>
  <c r="I74"/>
  <c r="Q74"/>
  <c r="G74"/>
  <c r="J74"/>
  <c r="K74"/>
  <c r="H74"/>
  <c r="O74"/>
  <c r="P74"/>
  <c r="N74"/>
  <c r="L74"/>
  <c r="R74"/>
  <c r="W224" i="20"/>
  <c r="X66"/>
  <c r="BH654"/>
  <c r="W543"/>
  <c r="W396"/>
  <c r="X449"/>
  <c r="W496"/>
  <c r="I95" i="21"/>
  <c r="I182" s="1"/>
  <c r="I94"/>
  <c r="J95"/>
  <c r="J182" s="1"/>
  <c r="J94"/>
  <c r="X456" i="20"/>
  <c r="G7" i="66" s="1"/>
  <c r="G32" s="1"/>
  <c r="W403" i="20"/>
  <c r="W550"/>
  <c r="W503"/>
  <c r="F7" i="67" s="1"/>
  <c r="F32" s="1"/>
  <c r="G84" i="21"/>
  <c r="R84"/>
  <c r="R178" s="1"/>
  <c r="H84"/>
  <c r="H178" s="1"/>
  <c r="J84"/>
  <c r="J178" s="1"/>
  <c r="I84"/>
  <c r="I178" s="1"/>
  <c r="L84"/>
  <c r="L178" s="1"/>
  <c r="P84"/>
  <c r="P178" s="1"/>
  <c r="Q84"/>
  <c r="Q178" s="1"/>
  <c r="O84"/>
  <c r="O178" s="1"/>
  <c r="K84"/>
  <c r="K178" s="1"/>
  <c r="M84"/>
  <c r="M178" s="1"/>
  <c r="N84"/>
  <c r="N178" s="1"/>
  <c r="U137" i="20"/>
  <c r="U195"/>
  <c r="BF680"/>
  <c r="Q489"/>
  <c r="Q536"/>
  <c r="AU608"/>
  <c r="AR608"/>
  <c r="E221" i="21"/>
  <c r="G221" s="1"/>
  <c r="T230" i="20"/>
  <c r="U175"/>
  <c r="BF670"/>
  <c r="BF804" s="1"/>
  <c r="U23"/>
  <c r="U73"/>
  <c r="U75" s="1"/>
  <c r="BF661"/>
  <c r="U21"/>
  <c r="U40"/>
  <c r="U44"/>
  <c r="K159" i="21"/>
  <c r="K160"/>
  <c r="W388" i="20"/>
  <c r="W488"/>
  <c r="F5" i="67" s="1"/>
  <c r="F30" s="1"/>
  <c r="W535" i="20"/>
  <c r="X441"/>
  <c r="G5" i="66" s="1"/>
  <c r="G30" s="1"/>
  <c r="AU601" i="20"/>
  <c r="AR601"/>
  <c r="AX632"/>
  <c r="E127" i="19"/>
  <c r="AP705" i="20"/>
  <c r="AP735"/>
  <c r="E69" i="19"/>
  <c r="C72"/>
  <c r="C38"/>
  <c r="M228" i="21"/>
  <c r="V91" i="20"/>
  <c r="BG681" s="1"/>
  <c r="G94" i="21"/>
  <c r="O192"/>
  <c r="F48" i="20"/>
  <c r="M221" i="21"/>
  <c r="M230" s="1"/>
  <c r="M207" s="1"/>
  <c r="M209" s="1"/>
  <c r="V219" i="20"/>
  <c r="W60"/>
  <c r="BG648"/>
  <c r="C138" i="21"/>
  <c r="AY740" i="20"/>
  <c r="D40" i="62" s="1"/>
  <c r="F40" s="1"/>
  <c r="BE805" i="20"/>
  <c r="BE758"/>
  <c r="BB727"/>
  <c r="E27" i="65" s="1"/>
  <c r="BB743" i="20"/>
  <c r="BB764"/>
  <c r="BB697"/>
  <c r="AS646"/>
  <c r="AT645" s="1"/>
  <c r="AS706"/>
  <c r="BA645"/>
  <c r="BF587"/>
  <c r="BF771" s="1"/>
  <c r="BF852" s="1"/>
  <c r="U142"/>
  <c r="CJ73" i="19"/>
  <c r="U20" i="20"/>
  <c r="G82" i="21"/>
  <c r="K82"/>
  <c r="K176" s="1"/>
  <c r="I82"/>
  <c r="I176" s="1"/>
  <c r="J82"/>
  <c r="J176" s="1"/>
  <c r="M82"/>
  <c r="M176" s="1"/>
  <c r="O82"/>
  <c r="O176" s="1"/>
  <c r="L82"/>
  <c r="L176" s="1"/>
  <c r="P82"/>
  <c r="P176" s="1"/>
  <c r="N82"/>
  <c r="N176" s="1"/>
  <c r="Q82"/>
  <c r="Q176" s="1"/>
  <c r="R82"/>
  <c r="R176" s="1"/>
  <c r="H82"/>
  <c r="H176" s="1"/>
  <c r="I12" i="19"/>
  <c r="I18" s="1"/>
  <c r="D216" s="1"/>
  <c r="D211"/>
  <c r="C191"/>
  <c r="C23"/>
  <c r="P81" i="21"/>
  <c r="P175" s="1"/>
  <c r="K81"/>
  <c r="K175" s="1"/>
  <c r="Q81"/>
  <c r="Q175" s="1"/>
  <c r="O81"/>
  <c r="O175" s="1"/>
  <c r="J81"/>
  <c r="J175" s="1"/>
  <c r="I81"/>
  <c r="I175" s="1"/>
  <c r="M81"/>
  <c r="M175" s="1"/>
  <c r="L81"/>
  <c r="L175" s="1"/>
  <c r="G81"/>
  <c r="H81"/>
  <c r="H175" s="1"/>
  <c r="R81"/>
  <c r="R175" s="1"/>
  <c r="N81"/>
  <c r="N175" s="1"/>
  <c r="X448" i="20"/>
  <c r="W542"/>
  <c r="W495"/>
  <c r="W395"/>
  <c r="W249"/>
  <c r="V253"/>
  <c r="V250"/>
  <c r="H12" i="19"/>
  <c r="H18" s="1"/>
  <c r="C216" s="1"/>
  <c r="C211"/>
  <c r="D208"/>
  <c r="D38"/>
  <c r="E17"/>
  <c r="E186"/>
  <c r="E21" i="21"/>
  <c r="T22" i="20"/>
  <c r="T143"/>
  <c r="E143" i="21" s="1"/>
  <c r="G143" s="1"/>
  <c r="CI74" i="19"/>
  <c r="CI75" s="1"/>
  <c r="BE590" i="20"/>
  <c r="K95" i="21"/>
  <c r="K182" s="1"/>
  <c r="K94"/>
  <c r="L95"/>
  <c r="L182" s="1"/>
  <c r="X459" i="20"/>
  <c r="G8" i="66" s="1"/>
  <c r="G33" s="1"/>
  <c r="W406" i="20"/>
  <c r="W553"/>
  <c r="W506"/>
  <c r="F8" i="67" s="1"/>
  <c r="F33" s="1"/>
  <c r="G363" i="58"/>
  <c r="N64" i="20"/>
  <c r="Q41" i="22"/>
  <c r="Q39"/>
  <c r="Q36"/>
  <c r="Q30"/>
  <c r="Q38"/>
  <c r="Q35"/>
  <c r="Q37"/>
  <c r="Q42"/>
  <c r="Q34"/>
  <c r="Q33"/>
  <c r="O42"/>
  <c r="Q29"/>
  <c r="Q40"/>
  <c r="Q32"/>
  <c r="Q31"/>
  <c r="W65" i="20"/>
  <c r="BG653"/>
  <c r="V228"/>
  <c r="W418"/>
  <c r="W565"/>
  <c r="W518"/>
  <c r="X471"/>
  <c r="K14" i="22"/>
  <c r="N14" s="1"/>
  <c r="K22"/>
  <c r="N22" s="1"/>
  <c r="AY700" i="20"/>
  <c r="AY616"/>
  <c r="BD598"/>
  <c r="AY733"/>
  <c r="F363" i="58"/>
  <c r="H64" i="20"/>
  <c r="P27" i="19"/>
  <c r="O20" i="68" s="1"/>
  <c r="O52" s="1"/>
  <c r="CK884" i="20"/>
  <c r="W404"/>
  <c r="W504"/>
  <c r="X457"/>
  <c r="W551"/>
  <c r="AU614"/>
  <c r="AR614"/>
  <c r="W400"/>
  <c r="W500"/>
  <c r="W547"/>
  <c r="X453"/>
  <c r="W413"/>
  <c r="W92" s="1"/>
  <c r="BH682" s="1"/>
  <c r="BH817" s="1"/>
  <c r="BH880" s="1"/>
  <c r="W513"/>
  <c r="X466"/>
  <c r="W560"/>
  <c r="U176"/>
  <c r="BF671"/>
  <c r="AP701"/>
  <c r="AU605"/>
  <c r="AR605"/>
  <c r="J106" i="19"/>
  <c r="AP736" i="20"/>
  <c r="AX683"/>
  <c r="AX677"/>
  <c r="C56" i="19"/>
  <c r="C126"/>
  <c r="C127" s="1"/>
  <c r="H228" i="21"/>
  <c r="R221"/>
  <c r="R230" s="1"/>
  <c r="R207" s="1"/>
  <c r="R209" s="1"/>
  <c r="BJ783" i="20"/>
  <c r="P40" i="22"/>
  <c r="P32"/>
  <c r="P30"/>
  <c r="P42"/>
  <c r="P35"/>
  <c r="P33"/>
  <c r="P31"/>
  <c r="P39"/>
  <c r="N42"/>
  <c r="P36"/>
  <c r="P38"/>
  <c r="P34"/>
  <c r="P37"/>
  <c r="P41"/>
  <c r="P29"/>
  <c r="H173" i="19"/>
  <c r="H78"/>
  <c r="AW679" i="20"/>
  <c r="Y156" i="16"/>
  <c r="Y200" s="1"/>
  <c r="Y49" s="1"/>
  <c r="AD49" s="1"/>
  <c r="Y84"/>
  <c r="Y141" s="1"/>
  <c r="Y48" s="1"/>
  <c r="AD48" s="1"/>
  <c r="AK346"/>
  <c r="AL43"/>
  <c r="AL33"/>
  <c r="AL21"/>
  <c r="AL41"/>
  <c r="AL31"/>
  <c r="AL19"/>
  <c r="AL40"/>
  <c r="AL30"/>
  <c r="AL18"/>
  <c r="AP12"/>
  <c r="AA97" i="19"/>
  <c r="AA98" s="1"/>
  <c r="AL38" i="16"/>
  <c r="AL29"/>
  <c r="AL16"/>
  <c r="AL37"/>
  <c r="AL27"/>
  <c r="AL14"/>
  <c r="AK13"/>
  <c r="AL46"/>
  <c r="AL36"/>
  <c r="AL25"/>
  <c r="AL13"/>
  <c r="AL44"/>
  <c r="AL24"/>
  <c r="AL12"/>
  <c r="AK57"/>
  <c r="AK54"/>
  <c r="AK43"/>
  <c r="AL35"/>
  <c r="AL23"/>
  <c r="AH51"/>
  <c r="AJ51"/>
  <c r="AB112"/>
  <c r="AB109"/>
  <c r="AB110" s="1"/>
  <c r="AJ24"/>
  <c r="Y106" i="19"/>
  <c r="AN301" i="16"/>
  <c r="AN274"/>
  <c r="AQ247"/>
  <c r="AN219"/>
  <c r="AB99"/>
  <c r="AB96"/>
  <c r="AB97" s="1"/>
  <c r="AB197"/>
  <c r="AB194"/>
  <c r="AB195" s="1"/>
  <c r="AH265"/>
  <c r="AK238"/>
  <c r="AH210"/>
  <c r="AH292"/>
  <c r="AB21"/>
  <c r="AG16"/>
  <c r="X99" i="19"/>
  <c r="W100"/>
  <c r="W104"/>
  <c r="W107" s="1"/>
  <c r="AA27" i="16"/>
  <c r="AH14"/>
  <c r="AM14" s="1"/>
  <c r="AM13"/>
  <c r="AE16"/>
  <c r="Y281"/>
  <c r="Y226"/>
  <c r="AB254"/>
  <c r="Y308"/>
  <c r="AN312"/>
  <c r="AN285"/>
  <c r="AN230"/>
  <c r="AQ258"/>
  <c r="AH298"/>
  <c r="AK244"/>
  <c r="AH271"/>
  <c r="AH216"/>
  <c r="AH23" s="1"/>
  <c r="AB184"/>
  <c r="AB181"/>
  <c r="AB182" s="1"/>
  <c r="AM25"/>
  <c r="Z105" i="19"/>
  <c r="Y199" i="16"/>
  <c r="Y38" s="1"/>
  <c r="AD38" s="1"/>
  <c r="Y142"/>
  <c r="AE289"/>
  <c r="AE235"/>
  <c r="AE153"/>
  <c r="J367"/>
  <c r="AE262"/>
  <c r="AE192"/>
  <c r="AE207"/>
  <c r="AE179"/>
  <c r="AE133"/>
  <c r="AE166"/>
  <c r="AE120"/>
  <c r="AE107"/>
  <c r="AE31"/>
  <c r="AJ31" s="1"/>
  <c r="AE94"/>
  <c r="AE30"/>
  <c r="AJ30" s="1"/>
  <c r="AE61"/>
  <c r="AE53"/>
  <c r="AE392" s="1"/>
  <c r="AH11"/>
  <c r="AE81"/>
  <c r="M423"/>
  <c r="M426" s="1"/>
  <c r="AB138"/>
  <c r="AB135"/>
  <c r="AB136" s="1"/>
  <c r="AK273"/>
  <c r="AK218"/>
  <c r="AK25" s="1"/>
  <c r="AN246"/>
  <c r="AK300"/>
  <c r="AM43"/>
  <c r="Z113" i="19"/>
  <c r="Y140" i="16"/>
  <c r="Y37" s="1"/>
  <c r="AD37" s="1"/>
  <c r="AD21"/>
  <c r="Y27"/>
  <c r="AN264"/>
  <c r="AN209"/>
  <c r="AQ237"/>
  <c r="AN291"/>
  <c r="AH304"/>
  <c r="AK250"/>
  <c r="AH277"/>
  <c r="AH222"/>
  <c r="AJ18"/>
  <c r="Y101" i="19"/>
  <c r="Y309" i="16"/>
  <c r="Y282"/>
  <c r="AB255"/>
  <c r="Y227"/>
  <c r="AJ23"/>
  <c r="Y103" i="19"/>
  <c r="Y102"/>
  <c r="AJ19" i="16"/>
  <c r="AB83"/>
  <c r="AB86"/>
  <c r="AB171"/>
  <c r="AB168"/>
  <c r="AB169" s="1"/>
  <c r="Y201"/>
  <c r="AN263"/>
  <c r="AN208"/>
  <c r="AN12" s="1"/>
  <c r="AQ236"/>
  <c r="AN290"/>
  <c r="AH294"/>
  <c r="AH267"/>
  <c r="AH212"/>
  <c r="AH19" s="1"/>
  <c r="AK240"/>
  <c r="AB125"/>
  <c r="AB122"/>
  <c r="AB123" s="1"/>
  <c r="AB155"/>
  <c r="AB158"/>
  <c r="AK297"/>
  <c r="AK270"/>
  <c r="AN243"/>
  <c r="AK215"/>
  <c r="AB229"/>
  <c r="AE257"/>
  <c r="AK239"/>
  <c r="AH266"/>
  <c r="AH211"/>
  <c r="AH18" s="1"/>
  <c r="AH293"/>
  <c r="AH217"/>
  <c r="AH24" s="1"/>
  <c r="AH299"/>
  <c r="AK245"/>
  <c r="AH272"/>
  <c r="AG30"/>
  <c r="X111" i="19"/>
  <c r="D29" i="16"/>
  <c r="D36"/>
  <c r="I47"/>
  <c r="D50"/>
  <c r="D58" s="1"/>
  <c r="P119" i="19" s="1"/>
  <c r="G251" i="16"/>
  <c r="G223" s="1"/>
  <c r="G35" s="1"/>
  <c r="G278"/>
  <c r="G305"/>
  <c r="X341" i="20"/>
  <c r="AA371"/>
  <c r="Z354"/>
  <c r="AA361"/>
  <c r="AA353"/>
  <c r="AA357"/>
  <c r="CX893"/>
  <c r="CX865"/>
  <c r="CX846"/>
  <c r="BL763"/>
  <c r="V11" i="19" s="1"/>
  <c r="BL696" i="20"/>
  <c r="AA479"/>
  <c r="Z432"/>
  <c r="X340"/>
  <c r="W381"/>
  <c r="W51" s="1"/>
  <c r="BH635" s="1"/>
  <c r="AA532"/>
  <c r="AA485"/>
  <c r="AA438"/>
  <c r="AA247"/>
  <c r="AA569"/>
  <c r="AA522"/>
  <c r="AA475"/>
  <c r="Z363"/>
  <c r="Y364"/>
  <c r="Y365" s="1"/>
  <c r="Z367"/>
  <c r="BQ666"/>
  <c r="AF208"/>
  <c r="AG77"/>
  <c r="X381"/>
  <c r="X51" s="1"/>
  <c r="BI635" s="1"/>
  <c r="Y355"/>
  <c r="Z337"/>
  <c r="Z333"/>
  <c r="Y334"/>
  <c r="Y335" s="1"/>
  <c r="Z942"/>
  <c r="AE248"/>
  <c r="Z571"/>
  <c r="Z430"/>
  <c r="Z524"/>
  <c r="AA477"/>
  <c r="Y573"/>
  <c r="Z573" s="1"/>
  <c r="AA573" s="1"/>
  <c r="AB573" s="1"/>
  <c r="AC573" s="1"/>
  <c r="AD573" s="1"/>
  <c r="AE573" s="1"/>
  <c r="AF573" s="1"/>
  <c r="AG573" s="1"/>
  <c r="AH573" s="1"/>
  <c r="AI573" s="1"/>
  <c r="AA331"/>
  <c r="Z314"/>
  <c r="Z315" s="1"/>
  <c r="AA313"/>
  <c r="AA321"/>
  <c r="AA317"/>
  <c r="AB938"/>
  <c r="BM583"/>
  <c r="AB385"/>
  <c r="AB428"/>
  <c r="AB422"/>
  <c r="AB259"/>
  <c r="AB345"/>
  <c r="AB311"/>
  <c r="AB218"/>
  <c r="AB234" s="1"/>
  <c r="AB270"/>
  <c r="AB351"/>
  <c r="AC15"/>
  <c r="AB112"/>
  <c r="AB134"/>
  <c r="AB160" s="1"/>
  <c r="AB946"/>
  <c r="AB951"/>
  <c r="AB955"/>
  <c r="AB958" s="1"/>
  <c r="AE519"/>
  <c r="AE566"/>
  <c r="AE419"/>
  <c r="AF472"/>
  <c r="Z323"/>
  <c r="Y324"/>
  <c r="Y325" s="1"/>
  <c r="Z327"/>
  <c r="AC126"/>
  <c r="AC125"/>
  <c r="BK789"/>
  <c r="Y570"/>
  <c r="Y429"/>
  <c r="Z476"/>
  <c r="Y523"/>
  <c r="X380"/>
  <c r="X39" s="1"/>
  <c r="BI622" s="1"/>
  <c r="Y374"/>
  <c r="Z377"/>
  <c r="Z373"/>
  <c r="AA940"/>
  <c r="AA941"/>
  <c r="AD260"/>
  <c r="AD124"/>
  <c r="AE123"/>
  <c r="BP837"/>
  <c r="BP895" s="1"/>
  <c r="BP757"/>
  <c r="Q123" i="21"/>
  <c r="P124"/>
  <c r="O126"/>
  <c r="O125"/>
  <c r="H167" i="19" l="1"/>
  <c r="E63"/>
  <c r="M192" i="21"/>
  <c r="H72" i="19"/>
  <c r="I192" i="21"/>
  <c r="G69" i="68"/>
  <c r="G26"/>
  <c r="G110" s="1"/>
  <c r="G148" s="1"/>
  <c r="G149" s="1"/>
  <c r="G151" s="1"/>
  <c r="L94" i="21"/>
  <c r="H31" i="19"/>
  <c r="H33" s="1"/>
  <c r="G29" i="68" s="1"/>
  <c r="M94" i="21"/>
  <c r="H94"/>
  <c r="Y380" i="20"/>
  <c r="Y39" s="1"/>
  <c r="BJ622" s="1"/>
  <c r="R94" i="21"/>
  <c r="AP740" i="20"/>
  <c r="R192" i="21"/>
  <c r="E29" i="65"/>
  <c r="V188" i="20"/>
  <c r="AW55" i="19"/>
  <c r="AP54" s="1"/>
  <c r="AT54" s="1"/>
  <c r="AU54" s="1"/>
  <c r="BA55"/>
  <c r="AQ54" s="1"/>
  <c r="G54" i="68"/>
  <c r="G61" s="1"/>
  <c r="BI55" i="19"/>
  <c r="AS54" s="1"/>
  <c r="B17" i="70"/>
  <c r="C173" i="19"/>
  <c r="C128"/>
  <c r="E196"/>
  <c r="B70" i="68"/>
  <c r="G71" s="1"/>
  <c r="D70"/>
  <c r="I54"/>
  <c r="I61" s="1"/>
  <c r="G111"/>
  <c r="G113" s="1"/>
  <c r="C27" i="22"/>
  <c r="AT593" i="20"/>
  <c r="AT601"/>
  <c r="C21" i="22"/>
  <c r="B25" i="65"/>
  <c r="D22" i="22"/>
  <c r="C30" i="65"/>
  <c r="E34"/>
  <c r="E21"/>
  <c r="C34"/>
  <c r="C21"/>
  <c r="H38" i="68" s="1"/>
  <c r="C20" i="65"/>
  <c r="C17"/>
  <c r="H33" i="68"/>
  <c r="L4" i="64"/>
  <c r="L15" s="1"/>
  <c r="H35" i="68"/>
  <c r="C29"/>
  <c r="I15" i="23"/>
  <c r="I373"/>
  <c r="U373" s="1"/>
  <c r="K64" i="20"/>
  <c r="Q226" s="1"/>
  <c r="Q234" s="1"/>
  <c r="I363" i="58"/>
  <c r="H210" i="20"/>
  <c r="E78" i="70" s="1"/>
  <c r="E77"/>
  <c r="Z154" i="20"/>
  <c r="B13" i="68"/>
  <c r="D20" i="22"/>
  <c r="C24" i="65"/>
  <c r="AS740" i="20"/>
  <c r="E18" i="70"/>
  <c r="B126" i="68"/>
  <c r="B131" s="1"/>
  <c r="B93"/>
  <c r="I5"/>
  <c r="E3" i="69"/>
  <c r="E10" s="1"/>
  <c r="E2" i="65"/>
  <c r="C145" i="68"/>
  <c r="C147" s="1"/>
  <c r="C109"/>
  <c r="G33"/>
  <c r="K3" i="64"/>
  <c r="K14" s="1"/>
  <c r="B26" i="68"/>
  <c r="D206" i="19"/>
  <c r="C114" i="68"/>
  <c r="C152" s="1"/>
  <c r="C34"/>
  <c r="C206" i="19"/>
  <c r="B114" i="68"/>
  <c r="B152" s="1"/>
  <c r="B34"/>
  <c r="E21" i="22"/>
  <c r="D30" i="62"/>
  <c r="F30" s="1"/>
  <c r="D25" i="65"/>
  <c r="D21" i="22"/>
  <c r="C25" i="65"/>
  <c r="E206" i="19"/>
  <c r="D114" i="68"/>
  <c r="D152" s="1"/>
  <c r="D34"/>
  <c r="D126"/>
  <c r="D131" s="1"/>
  <c r="D93"/>
  <c r="AV646" i="20"/>
  <c r="AV706"/>
  <c r="L63" i="59"/>
  <c r="P63"/>
  <c r="K56"/>
  <c r="G62" i="60"/>
  <c r="D109" i="68"/>
  <c r="D145"/>
  <c r="D147" s="1"/>
  <c r="B106"/>
  <c r="B140"/>
  <c r="B144" s="1"/>
  <c r="F27" i="65"/>
  <c r="H149" i="68"/>
  <c r="H151" s="1"/>
  <c r="C19"/>
  <c r="U96" i="19"/>
  <c r="U4" i="68"/>
  <c r="U36" s="1"/>
  <c r="E20" i="22"/>
  <c r="D24" i="65"/>
  <c r="D29" i="62"/>
  <c r="F29" s="1"/>
  <c r="C214" i="19"/>
  <c r="G9" i="68"/>
  <c r="G34" s="1"/>
  <c r="G117" s="1"/>
  <c r="G155" s="1"/>
  <c r="AW598" i="20"/>
  <c r="AW610"/>
  <c r="AW603"/>
  <c r="AW615"/>
  <c r="AW609"/>
  <c r="AW597"/>
  <c r="AW592"/>
  <c r="AW602"/>
  <c r="AW586"/>
  <c r="AW605"/>
  <c r="AW611"/>
  <c r="AW616"/>
  <c r="AW600"/>
  <c r="AW595"/>
  <c r="AW606"/>
  <c r="AW607"/>
  <c r="AW594"/>
  <c r="AW589"/>
  <c r="AW604"/>
  <c r="AW588"/>
  <c r="AW593"/>
  <c r="AW608"/>
  <c r="AV703"/>
  <c r="AW590"/>
  <c r="AV617"/>
  <c r="AW601"/>
  <c r="AW614"/>
  <c r="AW613"/>
  <c r="AW587"/>
  <c r="AW596"/>
  <c r="AV751"/>
  <c r="AW591"/>
  <c r="AW599"/>
  <c r="AW612"/>
  <c r="H34" i="68"/>
  <c r="H117" s="1"/>
  <c r="H155" s="1"/>
  <c r="C26"/>
  <c r="K4" i="64"/>
  <c r="K15" s="1"/>
  <c r="H20" i="68"/>
  <c r="H37"/>
  <c r="H118" s="1"/>
  <c r="H156" s="1"/>
  <c r="D132"/>
  <c r="D137" s="1"/>
  <c r="D99"/>
  <c r="E374" i="23"/>
  <c r="B14" i="65"/>
  <c r="F14" s="1"/>
  <c r="C126" i="68"/>
  <c r="C131" s="1"/>
  <c r="C93"/>
  <c r="D106"/>
  <c r="D140"/>
  <c r="D144" s="1"/>
  <c r="I34"/>
  <c r="I117" s="1"/>
  <c r="I155" s="1"/>
  <c r="L5" i="64"/>
  <c r="L16" s="1"/>
  <c r="I35" i="68"/>
  <c r="D29"/>
  <c r="C132"/>
  <c r="C137" s="1"/>
  <c r="C99"/>
  <c r="H111"/>
  <c r="H113" s="1"/>
  <c r="G27"/>
  <c r="P93" i="59"/>
  <c r="L93"/>
  <c r="B29" i="68"/>
  <c r="C106"/>
  <c r="C140"/>
  <c r="C144" s="1"/>
  <c r="D150"/>
  <c r="D26"/>
  <c r="H8" i="61"/>
  <c r="Z10" i="64"/>
  <c r="K5"/>
  <c r="K16" s="1"/>
  <c r="I33" i="68"/>
  <c r="Z342" i="20"/>
  <c r="F28" i="65"/>
  <c r="D19" i="68"/>
  <c r="D60"/>
  <c r="C13"/>
  <c r="E36" i="22"/>
  <c r="D45" i="62"/>
  <c r="F45" s="1"/>
  <c r="F44" s="1"/>
  <c r="B150" i="68"/>
  <c r="B109"/>
  <c r="B145"/>
  <c r="B147" s="1"/>
  <c r="D6" i="70"/>
  <c r="B33" i="65"/>
  <c r="D13" i="68"/>
  <c r="B14" i="63"/>
  <c r="H14" i="68"/>
  <c r="H19"/>
  <c r="D21" i="65"/>
  <c r="D20"/>
  <c r="D34"/>
  <c r="C15" i="71"/>
  <c r="D17" i="65"/>
  <c r="G14" i="68"/>
  <c r="G19"/>
  <c r="B29" i="65"/>
  <c r="F29" s="1"/>
  <c r="BF633" i="20"/>
  <c r="CF890" s="1"/>
  <c r="CJ72" i="19" s="1"/>
  <c r="D23" i="66"/>
  <c r="D48" s="1"/>
  <c r="D23" i="67"/>
  <c r="CJ63" i="19"/>
  <c r="O11" i="68"/>
  <c r="O43" s="1"/>
  <c r="C150"/>
  <c r="E79" i="60"/>
  <c r="E63"/>
  <c r="E65" s="1"/>
  <c r="E69" s="1"/>
  <c r="E70" s="1"/>
  <c r="F11"/>
  <c r="F14" s="1"/>
  <c r="F33" s="1"/>
  <c r="F65" s="1"/>
  <c r="F69" s="1"/>
  <c r="F70" s="1"/>
  <c r="N93" i="59"/>
  <c r="H93"/>
  <c r="I14" i="68"/>
  <c r="I19"/>
  <c r="B19"/>
  <c r="E22" i="22"/>
  <c r="D30" i="65"/>
  <c r="D31" i="62"/>
  <c r="F31" s="1"/>
  <c r="C20" i="22"/>
  <c r="B24" i="65"/>
  <c r="C22" i="22"/>
  <c r="B30" i="65"/>
  <c r="I33" i="19"/>
  <c r="H29" i="68" s="1"/>
  <c r="H27"/>
  <c r="I37"/>
  <c r="I118" s="1"/>
  <c r="I156" s="1"/>
  <c r="H10" i="61"/>
  <c r="H56" i="59"/>
  <c r="N56"/>
  <c r="G64"/>
  <c r="B132" i="68"/>
  <c r="B137" s="1"/>
  <c r="B99"/>
  <c r="H17"/>
  <c r="AS703" i="20"/>
  <c r="D33" i="22" s="1"/>
  <c r="AT587" i="20"/>
  <c r="J120" i="19"/>
  <c r="J32"/>
  <c r="AA942" i="20"/>
  <c r="Y340"/>
  <c r="E160" i="19"/>
  <c r="J30"/>
  <c r="I26" i="68" s="1"/>
  <c r="I110" s="1"/>
  <c r="J118" i="19"/>
  <c r="J119" s="1"/>
  <c r="AT616" i="20"/>
  <c r="J37" i="19"/>
  <c r="J125"/>
  <c r="AT591" i="20"/>
  <c r="BC645"/>
  <c r="BC635"/>
  <c r="BC637"/>
  <c r="BC629"/>
  <c r="BC631"/>
  <c r="BC621"/>
  <c r="BC639"/>
  <c r="BC630"/>
  <c r="BC640"/>
  <c r="BC625"/>
  <c r="BC627"/>
  <c r="BC633"/>
  <c r="BC624"/>
  <c r="BC623"/>
  <c r="BC641"/>
  <c r="BC620"/>
  <c r="BC626"/>
  <c r="BC632"/>
  <c r="BC646"/>
  <c r="BC619"/>
  <c r="BC636"/>
  <c r="BC643"/>
  <c r="BC634"/>
  <c r="BC644"/>
  <c r="BC622"/>
  <c r="BC628"/>
  <c r="BC642"/>
  <c r="BC638"/>
  <c r="D128" i="19"/>
  <c r="W90" i="20"/>
  <c r="BH680" s="1"/>
  <c r="AT598"/>
  <c r="AT609"/>
  <c r="W188"/>
  <c r="C63" i="19"/>
  <c r="E73"/>
  <c r="W91" i="20"/>
  <c r="BH681" s="1"/>
  <c r="AT603"/>
  <c r="D196" i="19"/>
  <c r="BG707" i="20"/>
  <c r="H142" i="21"/>
  <c r="K75"/>
  <c r="K93" s="1"/>
  <c r="N75"/>
  <c r="N136" s="1"/>
  <c r="Q137"/>
  <c r="AT589" i="20"/>
  <c r="M137" i="21"/>
  <c r="AT611" i="20"/>
  <c r="E115" i="19"/>
  <c r="AT608" i="20"/>
  <c r="AT615"/>
  <c r="AT600"/>
  <c r="Y69"/>
  <c r="BI657"/>
  <c r="AT597"/>
  <c r="AS751"/>
  <c r="C83" i="22" s="1"/>
  <c r="AT588" i="20"/>
  <c r="AX616"/>
  <c r="BF836"/>
  <c r="BF894" s="1"/>
  <c r="D115" i="19"/>
  <c r="AT599" i="20"/>
  <c r="AS617"/>
  <c r="J71" i="19"/>
  <c r="I68" i="68" s="1"/>
  <c r="J166" i="19"/>
  <c r="I142" i="21"/>
  <c r="AT594" i="20"/>
  <c r="AT612"/>
  <c r="Q142" i="21"/>
  <c r="AT602" i="20"/>
  <c r="AT613"/>
  <c r="AT592"/>
  <c r="CH849"/>
  <c r="CE849"/>
  <c r="Q187" i="21"/>
  <c r="AT595" i="20"/>
  <c r="AT590"/>
  <c r="AT596"/>
  <c r="N142" i="21"/>
  <c r="AT604" i="20"/>
  <c r="AT606"/>
  <c r="AT586"/>
  <c r="L142" i="21"/>
  <c r="AT605" i="20"/>
  <c r="AT607"/>
  <c r="AT610"/>
  <c r="L75" i="21"/>
  <c r="L136" s="1"/>
  <c r="E203" i="19"/>
  <c r="I75" i="21"/>
  <c r="I93" s="1"/>
  <c r="C115" i="19"/>
  <c r="M75" i="21"/>
  <c r="M93" s="1"/>
  <c r="M142"/>
  <c r="AP769" i="20"/>
  <c r="AP770" s="1"/>
  <c r="AP780" s="1"/>
  <c r="AP786" s="1"/>
  <c r="E140"/>
  <c r="T54"/>
  <c r="T68"/>
  <c r="R241"/>
  <c r="T25"/>
  <c r="T24"/>
  <c r="T47"/>
  <c r="T424"/>
  <c r="U424" s="1"/>
  <c r="V424" s="1"/>
  <c r="W424" s="1"/>
  <c r="X424" s="1"/>
  <c r="Y424" s="1"/>
  <c r="Z424" s="1"/>
  <c r="AA424" s="1"/>
  <c r="AB424" s="1"/>
  <c r="AC424" s="1"/>
  <c r="AD424" s="1"/>
  <c r="AE424" s="1"/>
  <c r="AF424" s="1"/>
  <c r="AG424" s="1"/>
  <c r="AH424" s="1"/>
  <c r="AI424" s="1"/>
  <c r="T53"/>
  <c r="T57"/>
  <c r="T55"/>
  <c r="T79"/>
  <c r="T80"/>
  <c r="T45"/>
  <c r="T43"/>
  <c r="T27"/>
  <c r="T52"/>
  <c r="T56"/>
  <c r="T32"/>
  <c r="AZ679"/>
  <c r="AY756"/>
  <c r="BD679"/>
  <c r="BE772"/>
  <c r="BE854" s="1"/>
  <c r="W219"/>
  <c r="BH648"/>
  <c r="X60"/>
  <c r="U93"/>
  <c r="U136"/>
  <c r="U138" s="1"/>
  <c r="R187" i="21"/>
  <c r="R137"/>
  <c r="J187"/>
  <c r="J137"/>
  <c r="X559" i="20"/>
  <c r="Y465"/>
  <c r="X412"/>
  <c r="X31" s="1"/>
  <c r="BI609" s="1"/>
  <c r="BI611" s="1"/>
  <c r="X512"/>
  <c r="G41" i="21"/>
  <c r="I41"/>
  <c r="Q41"/>
  <c r="L41"/>
  <c r="P41"/>
  <c r="J41"/>
  <c r="H41"/>
  <c r="O41"/>
  <c r="M41"/>
  <c r="K41"/>
  <c r="N41"/>
  <c r="R41"/>
  <c r="X510" i="20"/>
  <c r="Y463"/>
  <c r="X410"/>
  <c r="X30" s="1"/>
  <c r="X557"/>
  <c r="V305"/>
  <c r="W278"/>
  <c r="W276"/>
  <c r="Y458"/>
  <c r="X552"/>
  <c r="X405"/>
  <c r="X505"/>
  <c r="CI72" i="19"/>
  <c r="CH890" i="20"/>
  <c r="J75" i="21"/>
  <c r="BM61" i="19"/>
  <c r="L188" i="21"/>
  <c r="BF805" i="20"/>
  <c r="BF758"/>
  <c r="BF594"/>
  <c r="BF773" s="1"/>
  <c r="BF856" s="1"/>
  <c r="U144"/>
  <c r="E64"/>
  <c r="E363" i="58"/>
  <c r="X500" i="20"/>
  <c r="Y453"/>
  <c r="X400"/>
  <c r="X547"/>
  <c r="BF588"/>
  <c r="U193"/>
  <c r="BC757"/>
  <c r="BC745"/>
  <c r="BF726"/>
  <c r="BF728" s="1"/>
  <c r="CF849"/>
  <c r="CK849" s="1"/>
  <c r="BF730"/>
  <c r="CF901" s="1"/>
  <c r="BF727"/>
  <c r="CF900" s="1"/>
  <c r="X224"/>
  <c r="Y66"/>
  <c r="BI654"/>
  <c r="P50" i="22"/>
  <c r="P59"/>
  <c r="P58"/>
  <c r="P52"/>
  <c r="C37" s="1"/>
  <c r="P53"/>
  <c r="P49"/>
  <c r="P45"/>
  <c r="P57"/>
  <c r="P51"/>
  <c r="N59"/>
  <c r="P54"/>
  <c r="P47"/>
  <c r="P48"/>
  <c r="P56"/>
  <c r="P46"/>
  <c r="P55"/>
  <c r="K187" i="21"/>
  <c r="K137"/>
  <c r="H366" i="58"/>
  <c r="G35" i="20"/>
  <c r="J35"/>
  <c r="BH649"/>
  <c r="W220"/>
  <c r="X61"/>
  <c r="J89"/>
  <c r="F89"/>
  <c r="AI60" i="19" s="1"/>
  <c r="D105" i="22"/>
  <c r="D109" s="1"/>
  <c r="D43" s="1"/>
  <c r="B78"/>
  <c r="G89" i="20"/>
  <c r="J173" i="19"/>
  <c r="J78"/>
  <c r="BH606" i="20"/>
  <c r="V192"/>
  <c r="BG603"/>
  <c r="BG821" s="1"/>
  <c r="BG882" s="1"/>
  <c r="W29"/>
  <c r="V94"/>
  <c r="Q49" i="21"/>
  <c r="L49"/>
  <c r="G49"/>
  <c r="O49"/>
  <c r="M49"/>
  <c r="P49"/>
  <c r="K49"/>
  <c r="R49"/>
  <c r="J49"/>
  <c r="H49"/>
  <c r="I49"/>
  <c r="N49"/>
  <c r="T423" i="20"/>
  <c r="CC850"/>
  <c r="O137" i="21"/>
  <c r="H75"/>
  <c r="D203" i="19"/>
  <c r="G75" i="21"/>
  <c r="G93" s="1"/>
  <c r="O187"/>
  <c r="BF662" i="20"/>
  <c r="BF664" s="1"/>
  <c r="C34" i="19"/>
  <c r="P75" i="21"/>
  <c r="C73" i="19"/>
  <c r="V137" i="20"/>
  <c r="AZ598"/>
  <c r="AZ607"/>
  <c r="AZ586"/>
  <c r="AZ606"/>
  <c r="AZ611"/>
  <c r="AY703"/>
  <c r="AZ593"/>
  <c r="AZ613"/>
  <c r="AZ591"/>
  <c r="AZ615"/>
  <c r="AZ601"/>
  <c r="BD616"/>
  <c r="AY617"/>
  <c r="AY755" s="1"/>
  <c r="AZ608"/>
  <c r="AZ599"/>
  <c r="AZ604"/>
  <c r="AZ588"/>
  <c r="AZ587"/>
  <c r="AZ614"/>
  <c r="AZ610"/>
  <c r="AZ592"/>
  <c r="AZ596"/>
  <c r="AZ605"/>
  <c r="AZ594"/>
  <c r="AZ612"/>
  <c r="AZ590"/>
  <c r="AZ603"/>
  <c r="AZ609"/>
  <c r="AZ597"/>
  <c r="AZ595"/>
  <c r="AZ616"/>
  <c r="AZ600"/>
  <c r="BA616"/>
  <c r="AZ602"/>
  <c r="AZ589"/>
  <c r="AY751"/>
  <c r="X389"/>
  <c r="Y442"/>
  <c r="X536"/>
  <c r="X489"/>
  <c r="J44" i="21"/>
  <c r="I44"/>
  <c r="P44"/>
  <c r="R44"/>
  <c r="O44"/>
  <c r="M44"/>
  <c r="Q44"/>
  <c r="L44"/>
  <c r="H44"/>
  <c r="G44"/>
  <c r="K44"/>
  <c r="N44"/>
  <c r="X504" i="20"/>
  <c r="X551"/>
  <c r="Y457"/>
  <c r="X404"/>
  <c r="X565"/>
  <c r="X518"/>
  <c r="Y471"/>
  <c r="X418"/>
  <c r="S64"/>
  <c r="Q229"/>
  <c r="N225"/>
  <c r="AY652"/>
  <c r="T63"/>
  <c r="E133" i="19"/>
  <c r="E135" s="1"/>
  <c r="C64" i="21"/>
  <c r="T62" i="20"/>
  <c r="Q471"/>
  <c r="N67"/>
  <c r="E17" i="22" s="1"/>
  <c r="M65"/>
  <c r="E39" i="19"/>
  <c r="W153" i="20"/>
  <c r="BH782"/>
  <c r="CL882" s="1"/>
  <c r="CQ882" s="1"/>
  <c r="AT621"/>
  <c r="AT620"/>
  <c r="AT626"/>
  <c r="AT633"/>
  <c r="AT624"/>
  <c r="AT627"/>
  <c r="AT619"/>
  <c r="AT628"/>
  <c r="AT644"/>
  <c r="AT636"/>
  <c r="AT640"/>
  <c r="AT629"/>
  <c r="AT635"/>
  <c r="AT641"/>
  <c r="AT646"/>
  <c r="AT622"/>
  <c r="AT639"/>
  <c r="AT643"/>
  <c r="AT637"/>
  <c r="AT642"/>
  <c r="AT634"/>
  <c r="AT625"/>
  <c r="AT630"/>
  <c r="AT623"/>
  <c r="BA646"/>
  <c r="AT638"/>
  <c r="AT631"/>
  <c r="X488"/>
  <c r="G5" i="67" s="1"/>
  <c r="G30" s="1"/>
  <c r="Y441" i="20"/>
  <c r="H5" i="66" s="1"/>
  <c r="H30" s="1"/>
  <c r="X388" i="20"/>
  <c r="X535"/>
  <c r="CJ74" i="19"/>
  <c r="CJ75" s="1"/>
  <c r="U22" i="20"/>
  <c r="U143"/>
  <c r="BF590"/>
  <c r="BF772" s="1"/>
  <c r="BF854" s="1"/>
  <c r="P20" i="21"/>
  <c r="L20"/>
  <c r="Q20"/>
  <c r="M20"/>
  <c r="K20"/>
  <c r="H20"/>
  <c r="R20"/>
  <c r="I20"/>
  <c r="J20"/>
  <c r="N20"/>
  <c r="O20"/>
  <c r="G20"/>
  <c r="L187"/>
  <c r="L137"/>
  <c r="CK870" i="20"/>
  <c r="Y450"/>
  <c r="X397"/>
  <c r="X497"/>
  <c r="X544"/>
  <c r="V177"/>
  <c r="BG672"/>
  <c r="BG806" s="1"/>
  <c r="E232"/>
  <c r="AP836"/>
  <c r="AP838" s="1"/>
  <c r="AP839" s="1"/>
  <c r="E207"/>
  <c r="H460" i="58"/>
  <c r="H459"/>
  <c r="CG857" i="20"/>
  <c r="CG862"/>
  <c r="CG858"/>
  <c r="CG856"/>
  <c r="CK848"/>
  <c r="Q13" i="19" s="1"/>
  <c r="P6" i="68" s="1"/>
  <c r="P38" s="1"/>
  <c r="CG850" i="20"/>
  <c r="CG854"/>
  <c r="P15" i="19" s="1"/>
  <c r="O8" i="68" s="1"/>
  <c r="O40" s="1"/>
  <c r="CG860" i="20"/>
  <c r="CG849"/>
  <c r="CG851"/>
  <c r="CG853"/>
  <c r="P12" i="19"/>
  <c r="O5" i="68" s="1"/>
  <c r="O37" s="1"/>
  <c r="CG848" i="20"/>
  <c r="CG852"/>
  <c r="CG861"/>
  <c r="X261"/>
  <c r="V50"/>
  <c r="BG634" s="1"/>
  <c r="W262"/>
  <c r="W38" s="1"/>
  <c r="BH621" s="1"/>
  <c r="W265"/>
  <c r="CA862"/>
  <c r="CE862" s="1"/>
  <c r="CE860"/>
  <c r="D34" i="19"/>
  <c r="C203"/>
  <c r="C196"/>
  <c r="J170"/>
  <c r="O83" i="22"/>
  <c r="J76" i="19"/>
  <c r="D41" i="22"/>
  <c r="D35"/>
  <c r="D34"/>
  <c r="D15" s="1"/>
  <c r="F459" i="58"/>
  <c r="F460"/>
  <c r="C23" i="27"/>
  <c r="G366" i="58"/>
  <c r="U145" i="20"/>
  <c r="BF623"/>
  <c r="BF774" s="1"/>
  <c r="BF857" s="1"/>
  <c r="Y456"/>
  <c r="H7" i="66" s="1"/>
  <c r="H32" s="1"/>
  <c r="X550" i="20"/>
  <c r="X403"/>
  <c r="X503"/>
  <c r="G7" i="67" s="1"/>
  <c r="G32" s="1"/>
  <c r="L40" i="21"/>
  <c r="K40"/>
  <c r="R40"/>
  <c r="O40"/>
  <c r="M40"/>
  <c r="G40"/>
  <c r="H40"/>
  <c r="J40"/>
  <c r="I40"/>
  <c r="N40"/>
  <c r="P40"/>
  <c r="Q40"/>
  <c r="BE822" i="20"/>
  <c r="BE589"/>
  <c r="BE698" s="1"/>
  <c r="P187" i="21"/>
  <c r="P137"/>
  <c r="V176" i="20"/>
  <c r="BG671"/>
  <c r="AP646"/>
  <c r="AU645"/>
  <c r="AP706"/>
  <c r="AR645"/>
  <c r="Q67"/>
  <c r="BB652"/>
  <c r="BB655" s="1"/>
  <c r="BC652" s="1"/>
  <c r="Q225"/>
  <c r="E178" i="19"/>
  <c r="E180" s="1"/>
  <c r="E78"/>
  <c r="BC598" i="20"/>
  <c r="BB703"/>
  <c r="J75" i="19" s="1"/>
  <c r="BC607" i="20"/>
  <c r="BC599"/>
  <c r="BC597"/>
  <c r="BC591"/>
  <c r="BC609"/>
  <c r="BC592"/>
  <c r="BC616"/>
  <c r="BC586"/>
  <c r="BC590"/>
  <c r="BC594"/>
  <c r="BB751"/>
  <c r="BC603"/>
  <c r="BC615"/>
  <c r="BC596"/>
  <c r="BC611"/>
  <c r="BC588"/>
  <c r="BC606"/>
  <c r="BC610"/>
  <c r="BC613"/>
  <c r="BC605"/>
  <c r="BC612"/>
  <c r="BC601"/>
  <c r="BC614"/>
  <c r="BC593"/>
  <c r="BC600"/>
  <c r="BC595"/>
  <c r="BC587"/>
  <c r="BC608"/>
  <c r="BB617"/>
  <c r="BB750" s="1"/>
  <c r="BC589"/>
  <c r="BC604"/>
  <c r="BC602"/>
  <c r="E536"/>
  <c r="E489"/>
  <c r="X548"/>
  <c r="Y454"/>
  <c r="H6" i="66" s="1"/>
  <c r="H31" s="1"/>
  <c r="X501" i="20"/>
  <c r="G6" i="67" s="1"/>
  <c r="G31" s="1"/>
  <c r="X401" i="20"/>
  <c r="Q27" i="19"/>
  <c r="P20" i="68" s="1"/>
  <c r="P52" s="1"/>
  <c r="CN884" i="20"/>
  <c r="BH615"/>
  <c r="BH702" s="1"/>
  <c r="X33"/>
  <c r="CA867"/>
  <c r="CE854"/>
  <c r="BG766"/>
  <c r="BG824"/>
  <c r="BG883" s="1"/>
  <c r="CI853"/>
  <c r="CN853" s="1"/>
  <c r="I127" i="19"/>
  <c r="J39"/>
  <c r="J127"/>
  <c r="X541" i="20"/>
  <c r="Y447"/>
  <c r="X494"/>
  <c r="X394"/>
  <c r="X538"/>
  <c r="Y444"/>
  <c r="X391"/>
  <c r="X491"/>
  <c r="X516"/>
  <c r="X563"/>
  <c r="Y469"/>
  <c r="X416"/>
  <c r="H137" i="21"/>
  <c r="BF684" i="20"/>
  <c r="V221"/>
  <c r="V230" s="1"/>
  <c r="V207" s="1"/>
  <c r="V209" s="1"/>
  <c r="J142" i="21"/>
  <c r="E34" i="19"/>
  <c r="BE729" i="20"/>
  <c r="R75" i="21"/>
  <c r="O75"/>
  <c r="C24" i="19"/>
  <c r="X560" i="20"/>
  <c r="X513"/>
  <c r="Y466"/>
  <c r="X413"/>
  <c r="F366" i="58"/>
  <c r="X65" i="20"/>
  <c r="BH653"/>
  <c r="W228"/>
  <c r="G459" i="58"/>
  <c r="G460"/>
  <c r="N21" i="21"/>
  <c r="H21"/>
  <c r="G21"/>
  <c r="M21"/>
  <c r="J21"/>
  <c r="L21"/>
  <c r="R21"/>
  <c r="O21"/>
  <c r="P21"/>
  <c r="I21"/>
  <c r="I143" s="1"/>
  <c r="K21"/>
  <c r="Q21"/>
  <c r="V37" i="20"/>
  <c r="V251"/>
  <c r="BF627"/>
  <c r="BF777" s="1"/>
  <c r="BF860" s="1"/>
  <c r="U148"/>
  <c r="BE836"/>
  <c r="T207"/>
  <c r="E230" i="21"/>
  <c r="G230" s="1"/>
  <c r="X408" i="20"/>
  <c r="X508"/>
  <c r="Y461"/>
  <c r="X555"/>
  <c r="N187" i="21"/>
  <c r="N137"/>
  <c r="V175" i="20"/>
  <c r="BG670"/>
  <c r="BG804" s="1"/>
  <c r="BF629"/>
  <c r="BF792" s="1"/>
  <c r="BF869" s="1"/>
  <c r="U163"/>
  <c r="X556"/>
  <c r="X509"/>
  <c r="X409"/>
  <c r="Y462"/>
  <c r="CF899"/>
  <c r="X387"/>
  <c r="X534"/>
  <c r="Y440"/>
  <c r="H4" i="66" s="1"/>
  <c r="H29" s="1"/>
  <c r="X487" i="20"/>
  <c r="G4" i="67" s="1"/>
  <c r="G29" s="1"/>
  <c r="M112" i="21"/>
  <c r="M218"/>
  <c r="M234" s="1"/>
  <c r="M134"/>
  <c r="BF605" i="20"/>
  <c r="BF701" s="1"/>
  <c r="O142" i="21"/>
  <c r="D24" i="19"/>
  <c r="V187" i="20"/>
  <c r="C112" i="22"/>
  <c r="AP752" i="20"/>
  <c r="C36" i="22" s="1"/>
  <c r="AP746" i="20"/>
  <c r="AP744"/>
  <c r="AU683"/>
  <c r="AQ683"/>
  <c r="AR683"/>
  <c r="Q23" i="21"/>
  <c r="J23"/>
  <c r="H23"/>
  <c r="L23"/>
  <c r="I23"/>
  <c r="K23"/>
  <c r="R23"/>
  <c r="P23"/>
  <c r="G23"/>
  <c r="O23"/>
  <c r="M23"/>
  <c r="N23"/>
  <c r="X493" i="20"/>
  <c r="Y446"/>
  <c r="X393"/>
  <c r="X540"/>
  <c r="AS652"/>
  <c r="H67"/>
  <c r="D17" i="22" s="1"/>
  <c r="K229" i="20"/>
  <c r="L65" i="22"/>
  <c r="H225" i="20"/>
  <c r="N229"/>
  <c r="D133" i="19"/>
  <c r="D135" s="1"/>
  <c r="D39"/>
  <c r="P64" i="20"/>
  <c r="K24" i="22"/>
  <c r="N24" s="1"/>
  <c r="X506" i="20"/>
  <c r="G8" i="67" s="1"/>
  <c r="G33" s="1"/>
  <c r="X553" i="20"/>
  <c r="X406"/>
  <c r="Y459"/>
  <c r="H8" i="66" s="1"/>
  <c r="H33" s="1"/>
  <c r="BE591" i="20"/>
  <c r="BE823" s="1"/>
  <c r="BE855" s="1"/>
  <c r="T194"/>
  <c r="E22" i="21"/>
  <c r="BF824" i="20"/>
  <c r="BF883" s="1"/>
  <c r="CF853"/>
  <c r="CK853" s="1"/>
  <c r="BF766"/>
  <c r="X496"/>
  <c r="X396"/>
  <c r="X543"/>
  <c r="Y449"/>
  <c r="AT679"/>
  <c r="AS756"/>
  <c r="BA679"/>
  <c r="AP616"/>
  <c r="AQ598" s="1"/>
  <c r="AP700"/>
  <c r="AU598"/>
  <c r="AR598"/>
  <c r="BG717"/>
  <c r="BG716"/>
  <c r="BG713"/>
  <c r="CI848"/>
  <c r="BG725"/>
  <c r="BG719"/>
  <c r="BG724"/>
  <c r="BG747"/>
  <c r="BG718"/>
  <c r="BG721"/>
  <c r="BG673"/>
  <c r="BG807" s="1"/>
  <c r="V178"/>
  <c r="U146"/>
  <c r="BF624"/>
  <c r="BF775" s="1"/>
  <c r="BF858" s="1"/>
  <c r="X515"/>
  <c r="Y468"/>
  <c r="X415"/>
  <c r="X562"/>
  <c r="X511"/>
  <c r="Y464"/>
  <c r="X411"/>
  <c r="X558"/>
  <c r="AZ645"/>
  <c r="BD646"/>
  <c r="AZ621"/>
  <c r="AZ636"/>
  <c r="AZ638"/>
  <c r="AZ629"/>
  <c r="AZ642"/>
  <c r="AZ622"/>
  <c r="AZ635"/>
  <c r="AZ619"/>
  <c r="AZ640"/>
  <c r="AZ634"/>
  <c r="AZ644"/>
  <c r="AZ646"/>
  <c r="AZ627"/>
  <c r="AZ626"/>
  <c r="AZ623"/>
  <c r="AZ628"/>
  <c r="AZ631"/>
  <c r="AZ639"/>
  <c r="AZ620"/>
  <c r="AZ633"/>
  <c r="AZ641"/>
  <c r="AZ625"/>
  <c r="AZ630"/>
  <c r="AZ624"/>
  <c r="AZ643"/>
  <c r="AZ637"/>
  <c r="AU677"/>
  <c r="AQ677"/>
  <c r="AP679"/>
  <c r="AR677"/>
  <c r="L159" i="21"/>
  <c r="L160"/>
  <c r="X417" i="20"/>
  <c r="Y470"/>
  <c r="X517"/>
  <c r="X564"/>
  <c r="W95"/>
  <c r="W182" s="1"/>
  <c r="BH602"/>
  <c r="Y271"/>
  <c r="X272"/>
  <c r="AC32" i="21"/>
  <c r="M16" s="1"/>
  <c r="AD29"/>
  <c r="AD30"/>
  <c r="AD31" s="1"/>
  <c r="N15" s="1"/>
  <c r="N209" i="20"/>
  <c r="F77" i="70" s="1"/>
  <c r="C207" i="21"/>
  <c r="E34" i="22"/>
  <c r="E15" s="1"/>
  <c r="E41"/>
  <c r="E35"/>
  <c r="T93" i="20"/>
  <c r="E75" i="21"/>
  <c r="T136" i="20"/>
  <c r="G79" i="22"/>
  <c r="BG816" i="20"/>
  <c r="BG879" s="1"/>
  <c r="BG608"/>
  <c r="M46" i="21"/>
  <c r="L46"/>
  <c r="I46"/>
  <c r="O46"/>
  <c r="N46"/>
  <c r="Q46"/>
  <c r="J46"/>
  <c r="K46"/>
  <c r="R46"/>
  <c r="P46"/>
  <c r="G46"/>
  <c r="H46"/>
  <c r="W81" i="20"/>
  <c r="W74"/>
  <c r="W72"/>
  <c r="W85"/>
  <c r="BH674" s="1"/>
  <c r="W42"/>
  <c r="BH625" s="1"/>
  <c r="W84"/>
  <c r="W19"/>
  <c r="W923"/>
  <c r="BH660"/>
  <c r="W86"/>
  <c r="BH675" s="1"/>
  <c r="W83"/>
  <c r="W82"/>
  <c r="M187" i="21"/>
  <c r="AT632" i="20"/>
  <c r="R142" i="21"/>
  <c r="E24" i="19"/>
  <c r="BG587" i="20"/>
  <c r="V142"/>
  <c r="V20"/>
  <c r="CK73" i="19"/>
  <c r="CC896" i="20"/>
  <c r="P83" i="22"/>
  <c r="BG714" i="20"/>
  <c r="BF743"/>
  <c r="CF896" s="1"/>
  <c r="BB756"/>
  <c r="BC679"/>
  <c r="Y448"/>
  <c r="X542"/>
  <c r="X495"/>
  <c r="X395"/>
  <c r="BB729"/>
  <c r="J164" i="19"/>
  <c r="J165" s="1"/>
  <c r="J69"/>
  <c r="X549" i="20"/>
  <c r="X402"/>
  <c r="Y455"/>
  <c r="X502"/>
  <c r="I187" i="21"/>
  <c r="I137"/>
  <c r="BG685" i="20"/>
  <c r="BG811" s="1"/>
  <c r="CI870" s="1"/>
  <c r="Q18" i="19" s="1"/>
  <c r="BG663" i="20"/>
  <c r="CI851" s="1"/>
  <c r="CN851" s="1"/>
  <c r="V46"/>
  <c r="V41"/>
  <c r="V40"/>
  <c r="V21"/>
  <c r="BG661"/>
  <c r="V73"/>
  <c r="V75" s="1"/>
  <c r="V23"/>
  <c r="V44"/>
  <c r="X414"/>
  <c r="Y467"/>
  <c r="X561"/>
  <c r="X514"/>
  <c r="BE765"/>
  <c r="BE767" s="1"/>
  <c r="BE720"/>
  <c r="X407"/>
  <c r="X28" s="1"/>
  <c r="Y460"/>
  <c r="X507"/>
  <c r="X554"/>
  <c r="BH788"/>
  <c r="CL884" s="1"/>
  <c r="W159"/>
  <c r="X492"/>
  <c r="X539"/>
  <c r="X392"/>
  <c r="Y445"/>
  <c r="BD894"/>
  <c r="BD896" s="1"/>
  <c r="CA876"/>
  <c r="CE876" s="1"/>
  <c r="AY838"/>
  <c r="AY839" s="1"/>
  <c r="X386"/>
  <c r="X71" s="1"/>
  <c r="Y439"/>
  <c r="H3" i="66" s="1"/>
  <c r="H28" s="1"/>
  <c r="X533" i="20"/>
  <c r="X486"/>
  <c r="G3" i="67" s="1"/>
  <c r="G28" s="1"/>
  <c r="P142" i="21"/>
  <c r="E128" i="19"/>
  <c r="Q75" i="21"/>
  <c r="Z382" i="20"/>
  <c r="AB142" i="16"/>
  <c r="AB199"/>
  <c r="AB38" s="1"/>
  <c r="AG38" s="1"/>
  <c r="AN57"/>
  <c r="AN54"/>
  <c r="AO46"/>
  <c r="AO36"/>
  <c r="AO25"/>
  <c r="AO13"/>
  <c r="AO44"/>
  <c r="AO24"/>
  <c r="AO12"/>
  <c r="AN43"/>
  <c r="AO35"/>
  <c r="AO23"/>
  <c r="AO43"/>
  <c r="AO33"/>
  <c r="AO21"/>
  <c r="AB97" i="19"/>
  <c r="AB98" s="1"/>
  <c r="AO41" i="16"/>
  <c r="AO31"/>
  <c r="AO19"/>
  <c r="AO40"/>
  <c r="AO30"/>
  <c r="AO18"/>
  <c r="AS12"/>
  <c r="AO38"/>
  <c r="AO29"/>
  <c r="AO16"/>
  <c r="AO37"/>
  <c r="AO27"/>
  <c r="AO14"/>
  <c r="AN13"/>
  <c r="AM23"/>
  <c r="Z103" i="19"/>
  <c r="AE229" i="16"/>
  <c r="AH257"/>
  <c r="AN273"/>
  <c r="AN218"/>
  <c r="AN25" s="1"/>
  <c r="AQ246"/>
  <c r="AN300"/>
  <c r="AH166"/>
  <c r="AH120"/>
  <c r="AH289"/>
  <c r="AH235"/>
  <c r="AH153"/>
  <c r="J368"/>
  <c r="AH262"/>
  <c r="AH192"/>
  <c r="AH207"/>
  <c r="AH179"/>
  <c r="AH133"/>
  <c r="AH81"/>
  <c r="AH107"/>
  <c r="AH94"/>
  <c r="AH31"/>
  <c r="AM31" s="1"/>
  <c r="AH61"/>
  <c r="AH53"/>
  <c r="AH392" s="1"/>
  <c r="AH30"/>
  <c r="AK11"/>
  <c r="N423"/>
  <c r="AE171"/>
  <c r="AE168"/>
  <c r="AE169" s="1"/>
  <c r="AB27"/>
  <c r="AG21"/>
  <c r="AA113" i="19"/>
  <c r="AP43" i="16"/>
  <c r="AB156"/>
  <c r="AB200" s="1"/>
  <c r="AB49" s="1"/>
  <c r="AG49" s="1"/>
  <c r="I50"/>
  <c r="P117" i="19"/>
  <c r="AK293" i="16"/>
  <c r="AN239"/>
  <c r="AK266"/>
  <c r="AK211"/>
  <c r="AK18" s="1"/>
  <c r="AE83"/>
  <c r="AE86"/>
  <c r="AE125"/>
  <c r="AE122"/>
  <c r="AE123" s="1"/>
  <c r="AE155"/>
  <c r="AE158"/>
  <c r="AB201"/>
  <c r="Q108" i="19"/>
  <c r="G55" i="16"/>
  <c r="L35"/>
  <c r="Z102" i="19"/>
  <c r="AM19" i="16"/>
  <c r="AQ291"/>
  <c r="AQ264"/>
  <c r="AQ209"/>
  <c r="AT237"/>
  <c r="AE112"/>
  <c r="AE109"/>
  <c r="AE110" s="1"/>
  <c r="X100" i="19"/>
  <c r="X104"/>
  <c r="X107" s="1"/>
  <c r="P110"/>
  <c r="I29" i="16"/>
  <c r="D33"/>
  <c r="AM18"/>
  <c r="Z101" i="19"/>
  <c r="AN240" i="16"/>
  <c r="AK294"/>
  <c r="AK267"/>
  <c r="AK212"/>
  <c r="AK19" s="1"/>
  <c r="AT258"/>
  <c r="AQ312"/>
  <c r="AQ285"/>
  <c r="AQ230"/>
  <c r="AE21"/>
  <c r="AJ16"/>
  <c r="Y99" i="19"/>
  <c r="AK51" i="16"/>
  <c r="AM51"/>
  <c r="AH16"/>
  <c r="AB140"/>
  <c r="AB37" s="1"/>
  <c r="AG37" s="1"/>
  <c r="AD27"/>
  <c r="AE99"/>
  <c r="AE96"/>
  <c r="AE97" s="1"/>
  <c r="AE197"/>
  <c r="AE194"/>
  <c r="AE195" s="1"/>
  <c r="AQ301"/>
  <c r="AQ274"/>
  <c r="AT247"/>
  <c r="AQ219"/>
  <c r="AB84"/>
  <c r="AB141" s="1"/>
  <c r="AB48" s="1"/>
  <c r="AG48" s="1"/>
  <c r="AK272"/>
  <c r="AK217"/>
  <c r="AK24" s="1"/>
  <c r="AK299"/>
  <c r="AN245"/>
  <c r="AP25"/>
  <c r="AA105" i="19"/>
  <c r="AE138" i="16"/>
  <c r="AE135"/>
  <c r="AE136" s="1"/>
  <c r="I36"/>
  <c r="P109" i="19"/>
  <c r="D40" i="16"/>
  <c r="Z106" i="19"/>
  <c r="AM24" i="16"/>
  <c r="AQ243"/>
  <c r="AN215"/>
  <c r="AN346" s="1"/>
  <c r="AN297"/>
  <c r="AN270"/>
  <c r="AB309"/>
  <c r="AB282"/>
  <c r="AE255"/>
  <c r="AB227"/>
  <c r="AK304"/>
  <c r="AN250"/>
  <c r="AK277"/>
  <c r="AK222"/>
  <c r="AK216"/>
  <c r="AK23" s="1"/>
  <c r="AK298"/>
  <c r="AN244"/>
  <c r="AK271"/>
  <c r="AK265"/>
  <c r="AN238"/>
  <c r="AK210"/>
  <c r="AK14" s="1"/>
  <c r="AK292"/>
  <c r="AP13"/>
  <c r="AQ263"/>
  <c r="AQ208"/>
  <c r="AQ12" s="1"/>
  <c r="AT236"/>
  <c r="AQ290"/>
  <c r="AE184"/>
  <c r="AE181"/>
  <c r="AE182" s="1"/>
  <c r="AB308"/>
  <c r="AB281"/>
  <c r="AB226"/>
  <c r="AE254"/>
  <c r="D59"/>
  <c r="P118" i="19" s="1"/>
  <c r="Y341" i="20"/>
  <c r="AD125"/>
  <c r="AD126"/>
  <c r="AC938"/>
  <c r="BN583"/>
  <c r="AC428"/>
  <c r="AC422"/>
  <c r="AC385"/>
  <c r="AC351"/>
  <c r="AC259"/>
  <c r="AC345"/>
  <c r="AC311"/>
  <c r="AC218"/>
  <c r="AC234" s="1"/>
  <c r="AC270"/>
  <c r="AD15"/>
  <c r="AC112"/>
  <c r="AC134"/>
  <c r="AC160" s="1"/>
  <c r="AC946"/>
  <c r="AC951"/>
  <c r="Z523"/>
  <c r="Z570"/>
  <c r="Z429"/>
  <c r="AA476"/>
  <c r="BL789"/>
  <c r="BK783"/>
  <c r="AF519"/>
  <c r="AG472"/>
  <c r="AF566"/>
  <c r="AF419"/>
  <c r="AA327"/>
  <c r="Z324"/>
  <c r="AA323"/>
  <c r="BR666"/>
  <c r="AG208"/>
  <c r="AH77"/>
  <c r="AA367"/>
  <c r="Z364"/>
  <c r="Z365" s="1"/>
  <c r="AA363"/>
  <c r="AB321"/>
  <c r="AB317"/>
  <c r="AB331"/>
  <c r="AA314"/>
  <c r="AA315" s="1"/>
  <c r="AB313"/>
  <c r="AB479"/>
  <c r="AA432"/>
  <c r="AC955"/>
  <c r="AC958" s="1"/>
  <c r="Y375"/>
  <c r="AE260"/>
  <c r="AB941"/>
  <c r="AB940"/>
  <c r="AF248"/>
  <c r="DA865"/>
  <c r="DA893"/>
  <c r="DA846"/>
  <c r="BM696"/>
  <c r="BM763"/>
  <c r="W11" i="19" s="1"/>
  <c r="AE124" i="20"/>
  <c r="AF123"/>
  <c r="AA354"/>
  <c r="AB353"/>
  <c r="AB357"/>
  <c r="AB371"/>
  <c r="AB361"/>
  <c r="AB532"/>
  <c r="AB438"/>
  <c r="AB485"/>
  <c r="AB247"/>
  <c r="AA333"/>
  <c r="Z334"/>
  <c r="Z335" s="1"/>
  <c r="AA337"/>
  <c r="Z355"/>
  <c r="AB569"/>
  <c r="AB522"/>
  <c r="AB475"/>
  <c r="AA571"/>
  <c r="AA524"/>
  <c r="AA430"/>
  <c r="AB477"/>
  <c r="BQ837"/>
  <c r="BQ895" s="1"/>
  <c r="BQ757"/>
  <c r="AA373"/>
  <c r="Z374"/>
  <c r="AA377"/>
  <c r="P126" i="21"/>
  <c r="P125"/>
  <c r="R123"/>
  <c r="R124" s="1"/>
  <c r="Q124"/>
  <c r="AX617" i="20" l="1"/>
  <c r="C20" i="68"/>
  <c r="H32" s="1"/>
  <c r="H116" s="1"/>
  <c r="H154" s="1"/>
  <c r="C138"/>
  <c r="CK890" i="20"/>
  <c r="BG684"/>
  <c r="D20" i="68"/>
  <c r="I32" s="1"/>
  <c r="I116" s="1"/>
  <c r="I154" s="1"/>
  <c r="BG605" i="20"/>
  <c r="BG701" s="1"/>
  <c r="D138" i="68"/>
  <c r="G35"/>
  <c r="X92" i="20"/>
  <c r="BI682" s="1"/>
  <c r="BI817" s="1"/>
  <c r="BI880" s="1"/>
  <c r="AS755"/>
  <c r="I124" i="19"/>
  <c r="D100" i="68"/>
  <c r="AS750" i="20"/>
  <c r="D31" i="22" s="1"/>
  <c r="BF729" i="20"/>
  <c r="F24" i="65"/>
  <c r="I71" i="68"/>
  <c r="C110"/>
  <c r="L138" i="21"/>
  <c r="F30" i="65"/>
  <c r="I123" i="19"/>
  <c r="D110" i="68"/>
  <c r="F28" i="62"/>
  <c r="I36" i="19"/>
  <c r="W187" i="20"/>
  <c r="D148" i="68"/>
  <c r="D30"/>
  <c r="C11" i="66"/>
  <c r="C11" i="67"/>
  <c r="C115" i="68"/>
  <c r="C35"/>
  <c r="C38" s="1"/>
  <c r="BG620" i="20"/>
  <c r="E22" i="66"/>
  <c r="E22" i="67"/>
  <c r="E47" s="1"/>
  <c r="E81" i="19"/>
  <c r="D75" i="68"/>
  <c r="D78" s="1"/>
  <c r="I62" s="1"/>
  <c r="N64" i="59"/>
  <c r="H64"/>
  <c r="D48" i="67"/>
  <c r="G21" i="68"/>
  <c r="K225" i="20"/>
  <c r="C178" i="19"/>
  <c r="C180" s="1"/>
  <c r="C78"/>
  <c r="K67" i="20"/>
  <c r="M67" s="1"/>
  <c r="AV652"/>
  <c r="AV655" s="1"/>
  <c r="AW652" s="1"/>
  <c r="B138" i="68"/>
  <c r="F20" i="65"/>
  <c r="CK63" i="19"/>
  <c r="P11" i="68"/>
  <c r="P43" s="1"/>
  <c r="E209" i="20"/>
  <c r="D75" i="70"/>
  <c r="B75" s="1"/>
  <c r="BF683" i="20"/>
  <c r="BF744" s="1"/>
  <c r="D11" i="66"/>
  <c r="D11" i="67"/>
  <c r="H21" i="68"/>
  <c r="E11" i="23"/>
  <c r="E10" s="1"/>
  <c r="E463" s="1"/>
  <c r="AW632" i="20"/>
  <c r="AW622"/>
  <c r="AW631"/>
  <c r="AW643"/>
  <c r="AW619"/>
  <c r="AW626"/>
  <c r="AW644"/>
  <c r="AW639"/>
  <c r="AW641"/>
  <c r="AW624"/>
  <c r="AW620"/>
  <c r="AW640"/>
  <c r="AW629"/>
  <c r="AX646"/>
  <c r="AW645"/>
  <c r="AW628"/>
  <c r="AW636"/>
  <c r="AW633"/>
  <c r="AW627"/>
  <c r="AW637"/>
  <c r="AW642"/>
  <c r="AW635"/>
  <c r="AW630"/>
  <c r="AW646"/>
  <c r="AW621"/>
  <c r="AW623"/>
  <c r="AW638"/>
  <c r="AW634"/>
  <c r="AW625"/>
  <c r="B110" i="68"/>
  <c r="F25" i="65"/>
  <c r="J70" i="19"/>
  <c r="J72" s="1"/>
  <c r="I66" i="68"/>
  <c r="I67" s="1"/>
  <c r="I69" s="1"/>
  <c r="I21"/>
  <c r="B148"/>
  <c r="D35"/>
  <c r="D38" s="1"/>
  <c r="I22" s="1"/>
  <c r="D115"/>
  <c r="E220" i="19"/>
  <c r="I28" i="68"/>
  <c r="I112" s="1"/>
  <c r="I150" s="1"/>
  <c r="D42" i="62"/>
  <c r="F42" s="1"/>
  <c r="F39" s="1"/>
  <c r="C17" i="71"/>
  <c r="E17" s="1"/>
  <c r="H74" i="19"/>
  <c r="H169"/>
  <c r="D83" i="22"/>
  <c r="H170" i="19"/>
  <c r="H75"/>
  <c r="B100" i="68"/>
  <c r="F19" i="67"/>
  <c r="F44" s="1"/>
  <c r="F19" i="66"/>
  <c r="F44" s="1"/>
  <c r="I72" i="68"/>
  <c r="G20"/>
  <c r="G37"/>
  <c r="G118" s="1"/>
  <c r="G156" s="1"/>
  <c r="P56" i="59"/>
  <c r="L56"/>
  <c r="K64"/>
  <c r="I17" i="68"/>
  <c r="I38"/>
  <c r="Z375" i="20"/>
  <c r="Z381" s="1"/>
  <c r="Z51" s="1"/>
  <c r="BK635" s="1"/>
  <c r="H12" i="61"/>
  <c r="H14" s="1"/>
  <c r="B30" i="68"/>
  <c r="C30"/>
  <c r="V96" i="19"/>
  <c r="V4" i="68"/>
  <c r="V36" s="1"/>
  <c r="E15" i="71"/>
  <c r="C16"/>
  <c r="E16" s="1"/>
  <c r="B34" i="65"/>
  <c r="B21"/>
  <c r="F21" s="1"/>
  <c r="B17"/>
  <c r="F17" s="1"/>
  <c r="AV750" i="20"/>
  <c r="AV755"/>
  <c r="G79" i="60"/>
  <c r="G63"/>
  <c r="G65" s="1"/>
  <c r="G69" s="1"/>
  <c r="G70" s="1"/>
  <c r="E36" i="69"/>
  <c r="E45" s="1"/>
  <c r="E53" s="1"/>
  <c r="E17"/>
  <c r="E28"/>
  <c r="I14" i="23"/>
  <c r="I459" i="58" s="1"/>
  <c r="I460"/>
  <c r="C100" i="68"/>
  <c r="B20"/>
  <c r="E141" i="20"/>
  <c r="D8" i="70"/>
  <c r="I148" i="68"/>
  <c r="I149" s="1"/>
  <c r="I111"/>
  <c r="E13" i="65"/>
  <c r="E19"/>
  <c r="E23"/>
  <c r="A7" i="64"/>
  <c r="N2" i="65"/>
  <c r="W2" s="1"/>
  <c r="I374" i="23"/>
  <c r="U374" s="1"/>
  <c r="I366" i="58"/>
  <c r="C148" i="68"/>
  <c r="M64" i="20"/>
  <c r="AA382"/>
  <c r="J121" i="19"/>
  <c r="I35"/>
  <c r="D221" s="1"/>
  <c r="BG836" i="20"/>
  <c r="BG894" s="1"/>
  <c r="W221"/>
  <c r="W230" s="1"/>
  <c r="W207" s="1"/>
  <c r="W209" s="1"/>
  <c r="AB942"/>
  <c r="E219" i="19"/>
  <c r="J31"/>
  <c r="D32" i="22"/>
  <c r="K136" i="21"/>
  <c r="K138" s="1"/>
  <c r="BF838" i="20"/>
  <c r="X91"/>
  <c r="BI681" s="1"/>
  <c r="R144" i="21"/>
  <c r="I136"/>
  <c r="I138" s="1"/>
  <c r="J167" i="19"/>
  <c r="W94" i="20"/>
  <c r="W137"/>
  <c r="W195"/>
  <c r="H144" i="21"/>
  <c r="I64" i="20"/>
  <c r="CF850"/>
  <c r="CK850" s="1"/>
  <c r="N93" i="21"/>
  <c r="I148"/>
  <c r="J146"/>
  <c r="R148"/>
  <c r="J144"/>
  <c r="N163"/>
  <c r="X90" i="20"/>
  <c r="BI680" s="1"/>
  <c r="L148" i="21"/>
  <c r="L193"/>
  <c r="P146"/>
  <c r="M143"/>
  <c r="O146"/>
  <c r="M148"/>
  <c r="H145"/>
  <c r="Q148"/>
  <c r="L93"/>
  <c r="BJ657" i="20"/>
  <c r="Z69"/>
  <c r="BB758"/>
  <c r="I145" i="21"/>
  <c r="L145"/>
  <c r="J193"/>
  <c r="P193"/>
  <c r="R146"/>
  <c r="I146"/>
  <c r="M136"/>
  <c r="M138" s="1"/>
  <c r="W263" i="20"/>
  <c r="Y261" s="1"/>
  <c r="I193" i="21"/>
  <c r="M144"/>
  <c r="O143"/>
  <c r="BB745" i="20"/>
  <c r="J171" i="19" s="1"/>
  <c r="P163" i="21"/>
  <c r="L163"/>
  <c r="P145"/>
  <c r="R145"/>
  <c r="I163"/>
  <c r="Q143"/>
  <c r="Q144"/>
  <c r="L143"/>
  <c r="R193"/>
  <c r="N146"/>
  <c r="O144"/>
  <c r="R143"/>
  <c r="BH707" i="20"/>
  <c r="N193" i="21"/>
  <c r="L144"/>
  <c r="R163"/>
  <c r="H143"/>
  <c r="P148"/>
  <c r="H146"/>
  <c r="H193"/>
  <c r="Y502" i="20"/>
  <c r="Z455"/>
  <c r="Y402"/>
  <c r="Y549"/>
  <c r="AU679"/>
  <c r="AP756"/>
  <c r="AQ679"/>
  <c r="AR679"/>
  <c r="Y388"/>
  <c r="Y488"/>
  <c r="H5" i="67" s="1"/>
  <c r="H30" s="1"/>
  <c r="Y535" i="20"/>
  <c r="Z441"/>
  <c r="I5" i="66" s="1"/>
  <c r="I30" s="1"/>
  <c r="BD652" i="20"/>
  <c r="AY655"/>
  <c r="H367" i="58"/>
  <c r="E366"/>
  <c r="Y557" i="20"/>
  <c r="Y410"/>
  <c r="Y30" s="1"/>
  <c r="BJ606" s="1"/>
  <c r="BJ608" s="1"/>
  <c r="Y510"/>
  <c r="Z463"/>
  <c r="Y412"/>
  <c r="Y31" s="1"/>
  <c r="Y512"/>
  <c r="Y559"/>
  <c r="Z465"/>
  <c r="Z467"/>
  <c r="Y561"/>
  <c r="Y514"/>
  <c r="Y414"/>
  <c r="BG624"/>
  <c r="BG775" s="1"/>
  <c r="BG858" s="1"/>
  <c r="V146"/>
  <c r="AE30" i="21"/>
  <c r="AE31" s="1"/>
  <c r="O15" s="1"/>
  <c r="AE29"/>
  <c r="AD32"/>
  <c r="N16" s="1"/>
  <c r="Y396" i="20"/>
  <c r="Y543"/>
  <c r="Z449"/>
  <c r="Y496"/>
  <c r="E194" i="21"/>
  <c r="G194" s="1"/>
  <c r="T196" i="20"/>
  <c r="H127" i="19"/>
  <c r="H39"/>
  <c r="Y509" i="20"/>
  <c r="Y409"/>
  <c r="Y556"/>
  <c r="Z462"/>
  <c r="BE838"/>
  <c r="BE894"/>
  <c r="Y394"/>
  <c r="Y541"/>
  <c r="Y494"/>
  <c r="Z447"/>
  <c r="Y401"/>
  <c r="Z454"/>
  <c r="I6" i="66" s="1"/>
  <c r="I31" s="1"/>
  <c r="Y548" i="20"/>
  <c r="Y501"/>
  <c r="H6" i="67" s="1"/>
  <c r="H31" s="1"/>
  <c r="BG805" i="20"/>
  <c r="BG758"/>
  <c r="B140"/>
  <c r="AM769"/>
  <c r="S72" i="22"/>
  <c r="S73"/>
  <c r="T73"/>
  <c r="E63" i="21"/>
  <c r="T223" i="20"/>
  <c r="E223" i="21" s="1"/>
  <c r="G223" s="1"/>
  <c r="BE651" i="20"/>
  <c r="T229"/>
  <c r="AP652"/>
  <c r="H229"/>
  <c r="J64"/>
  <c r="E67"/>
  <c r="G64"/>
  <c r="K65" i="22"/>
  <c r="C133" i="19"/>
  <c r="C135" s="1"/>
  <c r="E225" i="20"/>
  <c r="H227" s="1"/>
  <c r="H216" s="1"/>
  <c r="H215" s="1"/>
  <c r="C39" i="19"/>
  <c r="J136" i="21"/>
  <c r="J138" s="1"/>
  <c r="J93"/>
  <c r="BE668" i="20"/>
  <c r="T174"/>
  <c r="U79"/>
  <c r="E79" i="21"/>
  <c r="BB658" i="20"/>
  <c r="H163" i="21"/>
  <c r="O163"/>
  <c r="N144"/>
  <c r="N138"/>
  <c r="P143"/>
  <c r="N143"/>
  <c r="N145"/>
  <c r="K145"/>
  <c r="O193"/>
  <c r="Q193"/>
  <c r="K148"/>
  <c r="CB872" i="20"/>
  <c r="CB889"/>
  <c r="CB871"/>
  <c r="CB885"/>
  <c r="CB886"/>
  <c r="CB877"/>
  <c r="CB882"/>
  <c r="CB880"/>
  <c r="CB874"/>
  <c r="CB883"/>
  <c r="CB876"/>
  <c r="CB875"/>
  <c r="CB868"/>
  <c r="CA872"/>
  <c r="CB891"/>
  <c r="CB870"/>
  <c r="CB869"/>
  <c r="CB890"/>
  <c r="CE867"/>
  <c r="CB867"/>
  <c r="CB881"/>
  <c r="CB887"/>
  <c r="CB878"/>
  <c r="CB879"/>
  <c r="CB884"/>
  <c r="Q136" i="21"/>
  <c r="Q138" s="1"/>
  <c r="Q93"/>
  <c r="R27" i="19"/>
  <c r="Q20" i="68" s="1"/>
  <c r="Q52" s="1"/>
  <c r="CQ884" i="20"/>
  <c r="BG623"/>
  <c r="BG774" s="1"/>
  <c r="BG857" s="1"/>
  <c r="V145"/>
  <c r="BH747"/>
  <c r="CL848"/>
  <c r="BH719"/>
  <c r="BH717"/>
  <c r="BH713"/>
  <c r="BH725"/>
  <c r="CL899" s="1"/>
  <c r="BH718"/>
  <c r="BH716"/>
  <c r="BH721"/>
  <c r="BH724"/>
  <c r="BH670"/>
  <c r="BH804" s="1"/>
  <c r="W175"/>
  <c r="T138"/>
  <c r="E138" i="21" s="1"/>
  <c r="G138" s="1"/>
  <c r="E136"/>
  <c r="G136" s="1"/>
  <c r="N218"/>
  <c r="N234" s="1"/>
  <c r="N112"/>
  <c r="N134"/>
  <c r="M22"/>
  <c r="O22"/>
  <c r="H22"/>
  <c r="L22"/>
  <c r="N22"/>
  <c r="I22"/>
  <c r="J22"/>
  <c r="R22"/>
  <c r="K22"/>
  <c r="G22"/>
  <c r="Q22"/>
  <c r="P22"/>
  <c r="M160"/>
  <c r="M159"/>
  <c r="E207"/>
  <c r="G207" s="1"/>
  <c r="T209" i="20"/>
  <c r="E209" i="21" s="1"/>
  <c r="G209" s="1"/>
  <c r="Z469" i="20"/>
  <c r="Y416"/>
  <c r="Y563"/>
  <c r="Y516"/>
  <c r="AQ632"/>
  <c r="AQ635"/>
  <c r="AQ637"/>
  <c r="AQ625"/>
  <c r="AQ640"/>
  <c r="AQ622"/>
  <c r="AQ619"/>
  <c r="AQ636"/>
  <c r="AQ638"/>
  <c r="AQ643"/>
  <c r="AQ620"/>
  <c r="AQ626"/>
  <c r="AQ644"/>
  <c r="AQ646"/>
  <c r="AQ639"/>
  <c r="AQ642"/>
  <c r="AQ631"/>
  <c r="AR646"/>
  <c r="AQ634"/>
  <c r="AQ623"/>
  <c r="AQ630"/>
  <c r="AQ627"/>
  <c r="AQ633"/>
  <c r="AQ621"/>
  <c r="AQ629"/>
  <c r="AQ641"/>
  <c r="AQ624"/>
  <c r="AU646"/>
  <c r="AQ628"/>
  <c r="E83" i="22"/>
  <c r="J35" i="19"/>
  <c r="E221" s="1"/>
  <c r="E32" i="22"/>
  <c r="J123" i="19"/>
  <c r="CA898" i="20"/>
  <c r="BF720"/>
  <c r="BF765"/>
  <c r="BF767" s="1"/>
  <c r="W192"/>
  <c r="BH603"/>
  <c r="BH821" s="1"/>
  <c r="BH882" s="1"/>
  <c r="X29"/>
  <c r="BF822"/>
  <c r="BF589"/>
  <c r="BF698" s="1"/>
  <c r="BE61" i="19"/>
  <c r="AR60" s="1"/>
  <c r="BA61"/>
  <c r="AQ60" s="1"/>
  <c r="AW61"/>
  <c r="AP60" s="1"/>
  <c r="AT60" s="1"/>
  <c r="AU60" s="1"/>
  <c r="BI61"/>
  <c r="AS60" s="1"/>
  <c r="Z458" i="20"/>
  <c r="Y505"/>
  <c r="Y552"/>
  <c r="Y405"/>
  <c r="BE669"/>
  <c r="CC857" s="1"/>
  <c r="U80"/>
  <c r="E80" i="21"/>
  <c r="U25" i="20"/>
  <c r="E25" i="21"/>
  <c r="BE596" i="20"/>
  <c r="BE813" s="1"/>
  <c r="BE878" s="1"/>
  <c r="T184"/>
  <c r="E184" i="21" s="1"/>
  <c r="G184" s="1"/>
  <c r="BC650" i="20"/>
  <c r="I144" i="21"/>
  <c r="M193"/>
  <c r="N148"/>
  <c r="BE683" i="20"/>
  <c r="E93" i="21"/>
  <c r="Y560" i="20"/>
  <c r="Y413"/>
  <c r="Y513"/>
  <c r="Z466"/>
  <c r="E207" i="19"/>
  <c r="E209" s="1"/>
  <c r="E42"/>
  <c r="X219" i="20"/>
  <c r="Y60"/>
  <c r="BI648"/>
  <c r="X84"/>
  <c r="X81"/>
  <c r="X85"/>
  <c r="BI674" s="1"/>
  <c r="BI660"/>
  <c r="X42"/>
  <c r="BI625" s="1"/>
  <c r="X83"/>
  <c r="X82"/>
  <c r="X72"/>
  <c r="X19"/>
  <c r="X74"/>
  <c r="X86"/>
  <c r="BI675" s="1"/>
  <c r="X923"/>
  <c r="V143"/>
  <c r="BG590"/>
  <c r="CK74" i="19"/>
  <c r="CK75" s="1"/>
  <c r="V22" i="20"/>
  <c r="W41"/>
  <c r="BH663"/>
  <c r="CL851" s="1"/>
  <c r="CQ851" s="1"/>
  <c r="W46"/>
  <c r="N210"/>
  <c r="C209" i="21"/>
  <c r="Y562" i="20"/>
  <c r="Z468"/>
  <c r="Y415"/>
  <c r="Y515"/>
  <c r="L69" i="22"/>
  <c r="O65"/>
  <c r="Y393" i="20"/>
  <c r="Y493"/>
  <c r="Y540"/>
  <c r="Z446"/>
  <c r="F367" i="58"/>
  <c r="R136" i="21"/>
  <c r="R138" s="1"/>
  <c r="R93"/>
  <c r="Z471" i="20"/>
  <c r="Y418"/>
  <c r="Y565"/>
  <c r="Y518"/>
  <c r="BA617"/>
  <c r="AY750"/>
  <c r="E31" i="22" s="1"/>
  <c r="BD617" i="20"/>
  <c r="T425"/>
  <c r="T78" s="1"/>
  <c r="U423"/>
  <c r="Z66"/>
  <c r="Y224"/>
  <c r="BJ654"/>
  <c r="E460" i="58"/>
  <c r="E459"/>
  <c r="T162" i="20"/>
  <c r="E162" i="21" s="1"/>
  <c r="G162" s="1"/>
  <c r="BE628" i="20"/>
  <c r="BE791" s="1"/>
  <c r="BE868" s="1"/>
  <c r="E45" i="21"/>
  <c r="U45" i="20"/>
  <c r="U24"/>
  <c r="E24" i="21"/>
  <c r="BE595" i="20"/>
  <c r="T183"/>
  <c r="BC651"/>
  <c r="Q163" i="21"/>
  <c r="K144"/>
  <c r="K143"/>
  <c r="AQ645" i="20"/>
  <c r="Q145" i="21"/>
  <c r="O145"/>
  <c r="K193"/>
  <c r="O148"/>
  <c r="M146"/>
  <c r="BB755" i="20"/>
  <c r="Y417"/>
  <c r="Y517"/>
  <c r="Z470"/>
  <c r="Y564"/>
  <c r="G367" i="58"/>
  <c r="BE656" i="20"/>
  <c r="E68" i="21"/>
  <c r="U68" i="20"/>
  <c r="Y386"/>
  <c r="Y71" s="1"/>
  <c r="Z439"/>
  <c r="I3" i="66" s="1"/>
  <c r="I28" s="1"/>
  <c r="Y486" i="20"/>
  <c r="H3" i="67" s="1"/>
  <c r="H28" s="1"/>
  <c r="Y533" i="20"/>
  <c r="CI849"/>
  <c r="CN849" s="1"/>
  <c r="BG727"/>
  <c r="CI900" s="1"/>
  <c r="BG730"/>
  <c r="CI901" s="1"/>
  <c r="BG726"/>
  <c r="BG728" s="1"/>
  <c r="BG662"/>
  <c r="BG664" s="1"/>
  <c r="CN870"/>
  <c r="W177"/>
  <c r="BH672"/>
  <c r="BH806" s="1"/>
  <c r="W23"/>
  <c r="W21"/>
  <c r="W73"/>
  <c r="W75" s="1"/>
  <c r="W40"/>
  <c r="W44"/>
  <c r="BH661"/>
  <c r="N227"/>
  <c r="N231" s="1"/>
  <c r="K227"/>
  <c r="K216" s="1"/>
  <c r="K215" s="1"/>
  <c r="Y65"/>
  <c r="X228"/>
  <c r="BI653"/>
  <c r="O93" i="21"/>
  <c r="O136"/>
  <c r="O138" s="1"/>
  <c r="BE853" i="20"/>
  <c r="BE825"/>
  <c r="Y503"/>
  <c r="H7" i="67" s="1"/>
  <c r="H32" s="1"/>
  <c r="Y403" i="20"/>
  <c r="Y550"/>
  <c r="Z456"/>
  <c r="I7" i="66" s="1"/>
  <c r="I32" s="1"/>
  <c r="BF591" i="20"/>
  <c r="U194"/>
  <c r="U196" s="1"/>
  <c r="U210" s="1"/>
  <c r="BE650"/>
  <c r="T222"/>
  <c r="E222" i="21" s="1"/>
  <c r="G222" s="1"/>
  <c r="E62"/>
  <c r="Y389" i="20"/>
  <c r="Y536"/>
  <c r="Z442"/>
  <c r="Y489"/>
  <c r="J124" i="19"/>
  <c r="J36"/>
  <c r="E33" i="22"/>
  <c r="P136" i="21"/>
  <c r="P138" s="1"/>
  <c r="P93"/>
  <c r="CC852" i="20"/>
  <c r="CH850"/>
  <c r="T161"/>
  <c r="U43"/>
  <c r="E43" i="21"/>
  <c r="BE626" i="20"/>
  <c r="BE790" s="1"/>
  <c r="BE867" s="1"/>
  <c r="U47"/>
  <c r="E47" i="21"/>
  <c r="BE630" i="20"/>
  <c r="T164"/>
  <c r="E164" i="21" s="1"/>
  <c r="G164" s="1"/>
  <c r="BC649" i="20"/>
  <c r="BC654"/>
  <c r="J163" i="21"/>
  <c r="M145"/>
  <c r="K146"/>
  <c r="BH587" i="20"/>
  <c r="W20"/>
  <c r="W142"/>
  <c r="BE640"/>
  <c r="BE798" s="1"/>
  <c r="BE874" s="1"/>
  <c r="E55" i="21"/>
  <c r="U55" i="20"/>
  <c r="T169"/>
  <c r="E169" i="21" s="1"/>
  <c r="G169" s="1"/>
  <c r="V136" i="20"/>
  <c r="V138" s="1"/>
  <c r="V93"/>
  <c r="BG771"/>
  <c r="BG852" s="1"/>
  <c r="W176"/>
  <c r="BH671"/>
  <c r="BH685"/>
  <c r="BH811" s="1"/>
  <c r="CL870" s="1"/>
  <c r="R18" i="19" s="1"/>
  <c r="Q11" i="68" s="1"/>
  <c r="Q43" s="1"/>
  <c r="Y391" i="20"/>
  <c r="Z444"/>
  <c r="Y538"/>
  <c r="Y491"/>
  <c r="AP802"/>
  <c r="AP810" s="1"/>
  <c r="AP840" s="1"/>
  <c r="AP842" s="1"/>
  <c r="E173"/>
  <c r="Q565"/>
  <c r="Q518"/>
  <c r="BI649"/>
  <c r="X220"/>
  <c r="Y61"/>
  <c r="X276"/>
  <c r="W305"/>
  <c r="X278"/>
  <c r="P78" i="22"/>
  <c r="E27" i="21"/>
  <c r="U27" i="20"/>
  <c r="BE599"/>
  <c r="T186"/>
  <c r="BC648"/>
  <c r="BC655"/>
  <c r="K163" i="21"/>
  <c r="P144"/>
  <c r="J143"/>
  <c r="BH836" i="20"/>
  <c r="Q146" i="21"/>
  <c r="BE593" i="20"/>
  <c r="BE699" s="1"/>
  <c r="BG629"/>
  <c r="BG792" s="1"/>
  <c r="BG869" s="1"/>
  <c r="V163"/>
  <c r="CI899"/>
  <c r="D207" i="19"/>
  <c r="D209" s="1"/>
  <c r="D42"/>
  <c r="J74"/>
  <c r="J169"/>
  <c r="F83" i="22"/>
  <c r="E32" i="21"/>
  <c r="U32" i="20"/>
  <c r="BE612"/>
  <c r="T189"/>
  <c r="E189" i="21" s="1"/>
  <c r="G189" s="1"/>
  <c r="X95" i="20"/>
  <c r="X182" s="1"/>
  <c r="BI602"/>
  <c r="BG594"/>
  <c r="BG773" s="1"/>
  <c r="BG856" s="1"/>
  <c r="V144"/>
  <c r="Y272"/>
  <c r="Z271"/>
  <c r="CL853"/>
  <c r="CQ853" s="1"/>
  <c r="BH824"/>
  <c r="BH883" s="1"/>
  <c r="BH766"/>
  <c r="BG743"/>
  <c r="CI896" s="1"/>
  <c r="BH714"/>
  <c r="C229" i="21"/>
  <c r="Y387" i="20"/>
  <c r="Z440"/>
  <c r="I4" i="66" s="1"/>
  <c r="I29" s="1"/>
  <c r="Y534" i="20"/>
  <c r="Y487"/>
  <c r="H4" i="67" s="1"/>
  <c r="H29" s="1"/>
  <c r="Y555" i="20"/>
  <c r="Y408"/>
  <c r="Z461"/>
  <c r="Y508"/>
  <c r="W250"/>
  <c r="W37" s="1"/>
  <c r="X249"/>
  <c r="V49"/>
  <c r="W253"/>
  <c r="O64"/>
  <c r="O66"/>
  <c r="O63"/>
  <c r="C67" i="21"/>
  <c r="O67" i="20"/>
  <c r="N70"/>
  <c r="C70" i="21" s="1"/>
  <c r="S67" i="20"/>
  <c r="O62"/>
  <c r="E82" i="22"/>
  <c r="O61" i="20"/>
  <c r="O65"/>
  <c r="O60"/>
  <c r="H136" i="21"/>
  <c r="H138" s="1"/>
  <c r="H93"/>
  <c r="BH608" i="20"/>
  <c r="BH816"/>
  <c r="BH879" s="1"/>
  <c r="T58"/>
  <c r="T166"/>
  <c r="U52"/>
  <c r="BE636"/>
  <c r="E52" i="21"/>
  <c r="BE637" i="20"/>
  <c r="BE796" s="1"/>
  <c r="BE872" s="1"/>
  <c r="E53" i="21"/>
  <c r="U53" i="20"/>
  <c r="T167"/>
  <c r="E167" i="21" s="1"/>
  <c r="G167" s="1"/>
  <c r="BC653" i="20"/>
  <c r="BB708"/>
  <c r="M163" i="21"/>
  <c r="L146"/>
  <c r="I67" i="20"/>
  <c r="I65"/>
  <c r="I62"/>
  <c r="C82" i="22"/>
  <c r="I63" i="20"/>
  <c r="I61"/>
  <c r="I66"/>
  <c r="H70"/>
  <c r="I60"/>
  <c r="P67"/>
  <c r="Y539"/>
  <c r="Y492"/>
  <c r="Z445"/>
  <c r="Y392"/>
  <c r="Y554"/>
  <c r="Z460"/>
  <c r="Y407"/>
  <c r="Y28" s="1"/>
  <c r="Y507"/>
  <c r="BG627"/>
  <c r="BG777" s="1"/>
  <c r="BG860" s="1"/>
  <c r="V148"/>
  <c r="Y542"/>
  <c r="Y395"/>
  <c r="Z448"/>
  <c r="Y495"/>
  <c r="BG588"/>
  <c r="BG822" s="1"/>
  <c r="V193"/>
  <c r="W178"/>
  <c r="BH673"/>
  <c r="BH807" s="1"/>
  <c r="BI788"/>
  <c r="CO884" s="1"/>
  <c r="X159"/>
  <c r="Y411"/>
  <c r="Y558"/>
  <c r="Z464"/>
  <c r="Y511"/>
  <c r="CJ862"/>
  <c r="CJ851"/>
  <c r="CN848"/>
  <c r="R13" i="19" s="1"/>
  <c r="Q6" i="68" s="1"/>
  <c r="Q38" s="1"/>
  <c r="CJ852" i="20"/>
  <c r="CJ849"/>
  <c r="CJ848"/>
  <c r="CJ861"/>
  <c r="CJ860"/>
  <c r="CJ850"/>
  <c r="Q12" i="19"/>
  <c r="P5" i="68" s="1"/>
  <c r="P37" s="1"/>
  <c r="CJ858" i="20"/>
  <c r="CJ857"/>
  <c r="CJ854"/>
  <c r="Q15" i="19" s="1"/>
  <c r="P8" i="68" s="1"/>
  <c r="P40" s="1"/>
  <c r="CJ856" i="20"/>
  <c r="CJ853"/>
  <c r="AQ596"/>
  <c r="AQ592"/>
  <c r="AQ591"/>
  <c r="AQ586"/>
  <c r="AQ610"/>
  <c r="AQ607"/>
  <c r="AP751"/>
  <c r="AQ615"/>
  <c r="AQ604"/>
  <c r="AP703"/>
  <c r="AQ616"/>
  <c r="AQ590"/>
  <c r="AQ602"/>
  <c r="AQ594"/>
  <c r="AQ603"/>
  <c r="AR616"/>
  <c r="AQ613"/>
  <c r="AP617"/>
  <c r="AP755" s="1"/>
  <c r="AQ606"/>
  <c r="AQ614"/>
  <c r="AU616"/>
  <c r="AQ600"/>
  <c r="AQ595"/>
  <c r="AQ587"/>
  <c r="AQ612"/>
  <c r="AQ599"/>
  <c r="AQ609"/>
  <c r="AQ588"/>
  <c r="AQ593"/>
  <c r="AQ597"/>
  <c r="AQ601"/>
  <c r="AQ611"/>
  <c r="AQ589"/>
  <c r="AQ608"/>
  <c r="AQ605"/>
  <c r="Y553"/>
  <c r="Y506"/>
  <c r="H8" i="67" s="1"/>
  <c r="H33" s="1"/>
  <c r="Z459" i="20"/>
  <c r="I8" i="66" s="1"/>
  <c r="I33" s="1"/>
  <c r="Y406" i="20"/>
  <c r="AS655"/>
  <c r="BA652"/>
  <c r="C35" i="22"/>
  <c r="C41"/>
  <c r="C34"/>
  <c r="C15" s="1"/>
  <c r="Y33" i="20"/>
  <c r="BI615"/>
  <c r="BI702" s="1"/>
  <c r="R64"/>
  <c r="R65"/>
  <c r="R60"/>
  <c r="R61"/>
  <c r="R63"/>
  <c r="R66"/>
  <c r="R67"/>
  <c r="F82" i="22"/>
  <c r="R62" i="20"/>
  <c r="Q70"/>
  <c r="Y544"/>
  <c r="Y497"/>
  <c r="Z450"/>
  <c r="Y397"/>
  <c r="T68" i="22"/>
  <c r="S68"/>
  <c r="M69"/>
  <c r="Q227" i="20"/>
  <c r="C225" i="21"/>
  <c r="Y551" i="20"/>
  <c r="Y504"/>
  <c r="Z457"/>
  <c r="Y404"/>
  <c r="BI606"/>
  <c r="Z453"/>
  <c r="Y400"/>
  <c r="Y547"/>
  <c r="Y500"/>
  <c r="T170"/>
  <c r="E170" i="21" s="1"/>
  <c r="G170" s="1"/>
  <c r="U56" i="20"/>
  <c r="E56" i="21"/>
  <c r="BE641" i="20"/>
  <c r="E57" i="21"/>
  <c r="BE642" i="20"/>
  <c r="BE800" s="1"/>
  <c r="BE876" s="1"/>
  <c r="T171"/>
  <c r="E171" i="21" s="1"/>
  <c r="G171" s="1"/>
  <c r="U57" i="20"/>
  <c r="T168"/>
  <c r="E168" i="21" s="1"/>
  <c r="G168" s="1"/>
  <c r="E54"/>
  <c r="U54" i="20"/>
  <c r="BE639"/>
  <c r="BE797" s="1"/>
  <c r="BE873" s="1"/>
  <c r="T347"/>
  <c r="T76" s="1"/>
  <c r="BB757"/>
  <c r="J65" i="19" s="1"/>
  <c r="BB709" i="20"/>
  <c r="BB710" s="1"/>
  <c r="BB748" s="1"/>
  <c r="J145" i="21"/>
  <c r="H148"/>
  <c r="J148"/>
  <c r="AA154" i="20"/>
  <c r="AW655"/>
  <c r="AV708"/>
  <c r="AV709"/>
  <c r="AV710" s="1"/>
  <c r="AV745"/>
  <c r="AV658"/>
  <c r="AW650"/>
  <c r="AW654"/>
  <c r="AW648"/>
  <c r="AW653"/>
  <c r="AW649"/>
  <c r="AW651"/>
  <c r="AV757"/>
  <c r="AV758"/>
  <c r="AA342"/>
  <c r="AE142" i="16"/>
  <c r="AE199"/>
  <c r="AE38" s="1"/>
  <c r="AJ38" s="1"/>
  <c r="AR40"/>
  <c r="AR30"/>
  <c r="AR18"/>
  <c r="AV12"/>
  <c r="AQ57"/>
  <c r="AQ54"/>
  <c r="AR38"/>
  <c r="AR29"/>
  <c r="AR16"/>
  <c r="AR37"/>
  <c r="AR27"/>
  <c r="AR14"/>
  <c r="AQ13"/>
  <c r="AR46"/>
  <c r="AR36"/>
  <c r="AR25"/>
  <c r="AR13"/>
  <c r="AR44"/>
  <c r="AR24"/>
  <c r="AR12"/>
  <c r="AC97" i="19"/>
  <c r="AC98" s="1"/>
  <c r="AQ43" i="16"/>
  <c r="AR35"/>
  <c r="AR23"/>
  <c r="AR43"/>
  <c r="AR33"/>
  <c r="AR21"/>
  <c r="AR41"/>
  <c r="AR31"/>
  <c r="AR19"/>
  <c r="AP14"/>
  <c r="AK16"/>
  <c r="AH158"/>
  <c r="AH155"/>
  <c r="AN292"/>
  <c r="AN265"/>
  <c r="AQ238"/>
  <c r="AN210"/>
  <c r="AN14" s="1"/>
  <c r="AN304"/>
  <c r="AQ250"/>
  <c r="AN277"/>
  <c r="AN222"/>
  <c r="Z99" i="19"/>
  <c r="AH21" i="16"/>
  <c r="AM16"/>
  <c r="I33"/>
  <c r="D41"/>
  <c r="AT291"/>
  <c r="AT264"/>
  <c r="AT209"/>
  <c r="AH99"/>
  <c r="AH96"/>
  <c r="AH97" s="1"/>
  <c r="AB105" i="19"/>
  <c r="AS25" i="16"/>
  <c r="AE308"/>
  <c r="AE281"/>
  <c r="AE226"/>
  <c r="AH254"/>
  <c r="AT290"/>
  <c r="AT263"/>
  <c r="AT208"/>
  <c r="AT12" s="1"/>
  <c r="AA106" i="19"/>
  <c r="AP24" i="16"/>
  <c r="AQ300"/>
  <c r="AQ273"/>
  <c r="AQ218"/>
  <c r="AQ25" s="1"/>
  <c r="AT246"/>
  <c r="AT312"/>
  <c r="AT285"/>
  <c r="AT230"/>
  <c r="AH112"/>
  <c r="AH109"/>
  <c r="AH110" s="1"/>
  <c r="AN293"/>
  <c r="AQ239"/>
  <c r="AN266"/>
  <c r="AN211"/>
  <c r="AN18" s="1"/>
  <c r="AG27"/>
  <c r="AH197"/>
  <c r="AH194"/>
  <c r="AH195" s="1"/>
  <c r="AS13"/>
  <c r="AB113" i="19"/>
  <c r="AS43" i="16"/>
  <c r="P112" i="19"/>
  <c r="P114" s="1"/>
  <c r="P116" s="1"/>
  <c r="Q115" s="1"/>
  <c r="AP23" i="16"/>
  <c r="AA103" i="19"/>
  <c r="D56" i="16"/>
  <c r="P120" i="19" s="1"/>
  <c r="I40" i="16"/>
  <c r="AN272"/>
  <c r="AN217"/>
  <c r="AN24" s="1"/>
  <c r="AN299"/>
  <c r="AQ245"/>
  <c r="AE27"/>
  <c r="AJ21"/>
  <c r="AQ240"/>
  <c r="AN294"/>
  <c r="AN267"/>
  <c r="AN212"/>
  <c r="AN19" s="1"/>
  <c r="AH168"/>
  <c r="AH169" s="1"/>
  <c r="AH171"/>
  <c r="AE309"/>
  <c r="AE282"/>
  <c r="AH255"/>
  <c r="AE227"/>
  <c r="AT301"/>
  <c r="AT274"/>
  <c r="AT219"/>
  <c r="AA101" i="19"/>
  <c r="AP18" i="16"/>
  <c r="Z111" i="19"/>
  <c r="AM30" i="16"/>
  <c r="AH184"/>
  <c r="AH181"/>
  <c r="AH182" s="1"/>
  <c r="AH122"/>
  <c r="AH123" s="1"/>
  <c r="AH125"/>
  <c r="AE156"/>
  <c r="AE200" s="1"/>
  <c r="AE49" s="1"/>
  <c r="AJ49" s="1"/>
  <c r="AN271"/>
  <c r="AN216"/>
  <c r="AN23" s="1"/>
  <c r="AN298"/>
  <c r="AQ244"/>
  <c r="Y104" i="19"/>
  <c r="Y107" s="1"/>
  <c r="Y100"/>
  <c r="AK207" i="16"/>
  <c r="AK179"/>
  <c r="AK133"/>
  <c r="AK166"/>
  <c r="AK289"/>
  <c r="AK235"/>
  <c r="AK153"/>
  <c r="J369"/>
  <c r="AK262"/>
  <c r="AK192"/>
  <c r="AK120"/>
  <c r="AK31"/>
  <c r="AP31" s="1"/>
  <c r="AK81"/>
  <c r="AK30"/>
  <c r="AK107"/>
  <c r="AK94"/>
  <c r="AK61"/>
  <c r="AK53"/>
  <c r="AK392" s="1"/>
  <c r="AN11"/>
  <c r="O423"/>
  <c r="AH138"/>
  <c r="AH135"/>
  <c r="AH136" s="1"/>
  <c r="AE201"/>
  <c r="AE140"/>
  <c r="AE37" s="1"/>
  <c r="AQ270"/>
  <c r="AT243"/>
  <c r="AQ215"/>
  <c r="AQ346" s="1"/>
  <c r="AQ297"/>
  <c r="AN51"/>
  <c r="AP51"/>
  <c r="AA102" i="19"/>
  <c r="AP19" i="16"/>
  <c r="AH83"/>
  <c r="AH86"/>
  <c r="AH229"/>
  <c r="AK257"/>
  <c r="AE84"/>
  <c r="AE141" s="1"/>
  <c r="AE48" s="1"/>
  <c r="AJ48" s="1"/>
  <c r="AA355" i="20"/>
  <c r="AB363"/>
  <c r="AA364"/>
  <c r="AB367"/>
  <c r="AG248"/>
  <c r="AA523"/>
  <c r="AB476"/>
  <c r="AA570"/>
  <c r="AA429"/>
  <c r="AD938"/>
  <c r="BO583"/>
  <c r="AD428"/>
  <c r="AD422"/>
  <c r="AD351"/>
  <c r="AD345"/>
  <c r="AD270"/>
  <c r="AD385"/>
  <c r="AD259"/>
  <c r="AD311"/>
  <c r="AD218"/>
  <c r="AD234" s="1"/>
  <c r="AD134"/>
  <c r="AD160" s="1"/>
  <c r="AE15"/>
  <c r="AD112"/>
  <c r="AD955"/>
  <c r="AD958" s="1"/>
  <c r="AD951"/>
  <c r="AD946"/>
  <c r="BL783"/>
  <c r="AC532"/>
  <c r="AC438"/>
  <c r="AC485"/>
  <c r="AC247"/>
  <c r="Z340"/>
  <c r="Z325"/>
  <c r="Z341" s="1"/>
  <c r="AE125"/>
  <c r="AE126"/>
  <c r="AC357"/>
  <c r="AB354"/>
  <c r="AC371"/>
  <c r="AC361"/>
  <c r="AC353"/>
  <c r="AB571"/>
  <c r="AB524"/>
  <c r="AC477"/>
  <c r="AB430"/>
  <c r="AC479"/>
  <c r="AB432"/>
  <c r="AA324"/>
  <c r="AB327"/>
  <c r="AB323"/>
  <c r="AF124"/>
  <c r="AG123"/>
  <c r="AF260"/>
  <c r="BR837"/>
  <c r="BR895" s="1"/>
  <c r="BR757"/>
  <c r="Z380"/>
  <c r="Z39" s="1"/>
  <c r="BK622" s="1"/>
  <c r="AB337"/>
  <c r="AA334"/>
  <c r="AA335" s="1"/>
  <c r="AB333"/>
  <c r="AC941"/>
  <c r="AC940"/>
  <c r="BS666"/>
  <c r="AH208"/>
  <c r="AI77"/>
  <c r="AG566"/>
  <c r="AG519"/>
  <c r="AH472"/>
  <c r="AG419"/>
  <c r="DD893"/>
  <c r="DD846"/>
  <c r="DD865"/>
  <c r="BN763"/>
  <c r="X11" i="19" s="1"/>
  <c r="BN696" i="20"/>
  <c r="Y381"/>
  <c r="Y51" s="1"/>
  <c r="BJ635" s="1"/>
  <c r="BM789"/>
  <c r="AC321"/>
  <c r="AC317"/>
  <c r="AC331"/>
  <c r="AB314"/>
  <c r="AC313"/>
  <c r="AB377"/>
  <c r="AA374"/>
  <c r="AB373"/>
  <c r="AC569"/>
  <c r="AC522"/>
  <c r="AC475"/>
  <c r="R126" i="21"/>
  <c r="R125"/>
  <c r="Q126"/>
  <c r="Q125"/>
  <c r="CF852" i="20" l="1"/>
  <c r="CK852" s="1"/>
  <c r="AA375"/>
  <c r="H31" i="68"/>
  <c r="H115" s="1"/>
  <c r="H153" s="1"/>
  <c r="X188" i="20"/>
  <c r="I31" i="68"/>
  <c r="I115" s="1"/>
  <c r="I153" s="1"/>
  <c r="F49" i="62"/>
  <c r="F50" s="1"/>
  <c r="W50" i="20"/>
  <c r="BH634" s="1"/>
  <c r="X262"/>
  <c r="X263" s="1"/>
  <c r="X265"/>
  <c r="BG838"/>
  <c r="X195"/>
  <c r="J77" i="19"/>
  <c r="X187" i="20"/>
  <c r="D40" i="68"/>
  <c r="J172" i="19"/>
  <c r="BF752" i="20"/>
  <c r="D80" i="68"/>
  <c r="BF746" i="20"/>
  <c r="X137"/>
  <c r="X94"/>
  <c r="C40" i="68"/>
  <c r="I151"/>
  <c r="C36" i="66"/>
  <c r="AX652" i="20"/>
  <c r="H22" i="68"/>
  <c r="BH620" i="20"/>
  <c r="F22" i="67"/>
  <c r="F47" s="1"/>
  <c r="F22" i="66"/>
  <c r="BG683" i="20"/>
  <c r="BG752" s="1"/>
  <c r="E11" i="66"/>
  <c r="E11" i="67"/>
  <c r="C81" i="19"/>
  <c r="B75" i="68"/>
  <c r="B78" s="1"/>
  <c r="C36" i="67"/>
  <c r="W96" i="19"/>
  <c r="W4" i="68"/>
  <c r="W36" s="1"/>
  <c r="J33" i="19"/>
  <c r="I29" i="68" s="1"/>
  <c r="I27"/>
  <c r="L64" i="59"/>
  <c r="P64"/>
  <c r="E210" i="20"/>
  <c r="D78" i="70" s="1"/>
  <c r="D77"/>
  <c r="L66" i="20"/>
  <c r="L62"/>
  <c r="L64"/>
  <c r="D82" i="22"/>
  <c r="L67" i="20"/>
  <c r="L63"/>
  <c r="K70"/>
  <c r="L65"/>
  <c r="L60"/>
  <c r="L61"/>
  <c r="C153" i="68"/>
  <c r="C156" s="1"/>
  <c r="C158" s="1"/>
  <c r="C118"/>
  <c r="C120" s="1"/>
  <c r="BG633" i="20"/>
  <c r="CI890" s="1"/>
  <c r="E23" i="67"/>
  <c r="E23" i="66"/>
  <c r="E48" s="1"/>
  <c r="E181" i="20"/>
  <c r="D41" i="70"/>
  <c r="A17" i="64"/>
  <c r="J5"/>
  <c r="G32" i="68"/>
  <c r="G116" s="1"/>
  <c r="G154" s="1"/>
  <c r="D153"/>
  <c r="D156" s="1"/>
  <c r="D158" s="1"/>
  <c r="D118"/>
  <c r="D120" s="1"/>
  <c r="C210" i="21"/>
  <c r="F78" i="70"/>
  <c r="E151" i="20"/>
  <c r="D9" i="70"/>
  <c r="B115" i="68"/>
  <c r="B35"/>
  <c r="B38" s="1"/>
  <c r="G22" s="1"/>
  <c r="I11" i="23"/>
  <c r="I367" i="58"/>
  <c r="D36" i="66"/>
  <c r="E47"/>
  <c r="D36" i="67"/>
  <c r="I113" i="68"/>
  <c r="G31"/>
  <c r="G115" s="1"/>
  <c r="G153" s="1"/>
  <c r="X221" i="20"/>
  <c r="X230" s="1"/>
  <c r="X207" s="1"/>
  <c r="X209" s="1"/>
  <c r="F64"/>
  <c r="C17" i="22"/>
  <c r="BE839" i="20"/>
  <c r="J194" i="21"/>
  <c r="J196" s="1"/>
  <c r="J210" s="1"/>
  <c r="AA69" i="20"/>
  <c r="BK657"/>
  <c r="O194" i="21"/>
  <c r="O196" s="1"/>
  <c r="O210" s="1"/>
  <c r="Q194"/>
  <c r="Q196" s="1"/>
  <c r="Q210" s="1"/>
  <c r="BB749" i="20"/>
  <c r="N194" i="21"/>
  <c r="N196" s="1"/>
  <c r="N210" s="1"/>
  <c r="CI850" i="20"/>
  <c r="CI852" s="1"/>
  <c r="J160" i="19"/>
  <c r="BG589" i="20"/>
  <c r="BG698" s="1"/>
  <c r="T227"/>
  <c r="E227" i="21" s="1"/>
  <c r="G227" s="1"/>
  <c r="K231" i="20"/>
  <c r="K233" s="1"/>
  <c r="I194" i="21"/>
  <c r="I196" s="1"/>
  <c r="I210" s="1"/>
  <c r="Y92" i="20"/>
  <c r="BJ682" s="1"/>
  <c r="Y91"/>
  <c r="BJ681" s="1"/>
  <c r="BJ816" s="1"/>
  <c r="BJ879" s="1"/>
  <c r="BH605"/>
  <c r="BH701" s="1"/>
  <c r="M194" i="21"/>
  <c r="M196" s="1"/>
  <c r="M210" s="1"/>
  <c r="G57"/>
  <c r="K57"/>
  <c r="N57"/>
  <c r="O57"/>
  <c r="P57"/>
  <c r="Q57"/>
  <c r="M57"/>
  <c r="R57"/>
  <c r="J57"/>
  <c r="H57"/>
  <c r="L57"/>
  <c r="I57"/>
  <c r="Z534" i="20"/>
  <c r="Z487"/>
  <c r="I4" i="67" s="1"/>
  <c r="I29" s="1"/>
  <c r="AA440" i="20"/>
  <c r="J4" i="66" s="1"/>
  <c r="J29" s="1"/>
  <c r="Z387" i="20"/>
  <c r="BH627"/>
  <c r="BH777" s="1"/>
  <c r="BH860" s="1"/>
  <c r="W148"/>
  <c r="Z486"/>
  <c r="I3" i="67" s="1"/>
  <c r="I28" s="1"/>
  <c r="AA439" i="20"/>
  <c r="J3" i="66" s="1"/>
  <c r="J28" s="1"/>
  <c r="Z386" i="20"/>
  <c r="Z71" s="1"/>
  <c r="Z533"/>
  <c r="BI661"/>
  <c r="X44"/>
  <c r="X73"/>
  <c r="X75" s="1"/>
  <c r="X40"/>
  <c r="X23"/>
  <c r="X21"/>
  <c r="V80"/>
  <c r="BF669"/>
  <c r="CF857" s="1"/>
  <c r="Z496"/>
  <c r="AA449"/>
  <c r="Z543"/>
  <c r="Z396"/>
  <c r="Z510"/>
  <c r="AA463"/>
  <c r="Z557"/>
  <c r="Z410"/>
  <c r="Z30" s="1"/>
  <c r="AZ652"/>
  <c r="AY708"/>
  <c r="AZ651"/>
  <c r="AZ648"/>
  <c r="AZ654"/>
  <c r="AZ650"/>
  <c r="AY658"/>
  <c r="AY757"/>
  <c r="BD655"/>
  <c r="AZ655"/>
  <c r="AY758"/>
  <c r="AZ653"/>
  <c r="AY745"/>
  <c r="AZ649"/>
  <c r="AY709"/>
  <c r="T155"/>
  <c r="BE665"/>
  <c r="T87"/>
  <c r="E76" i="21"/>
  <c r="Z507" i="20"/>
  <c r="Z407"/>
  <c r="Z28" s="1"/>
  <c r="AA460"/>
  <c r="Z554"/>
  <c r="V53"/>
  <c r="U167"/>
  <c r="BF637"/>
  <c r="BF796" s="1"/>
  <c r="BF872" s="1"/>
  <c r="BI782"/>
  <c r="CO882" s="1"/>
  <c r="CT882" s="1"/>
  <c r="X153"/>
  <c r="T190"/>
  <c r="E190" i="21" s="1"/>
  <c r="G190" s="1"/>
  <c r="E186"/>
  <c r="G186" s="1"/>
  <c r="Z61" i="20"/>
  <c r="Y220"/>
  <c r="BJ649"/>
  <c r="BF626"/>
  <c r="BF790" s="1"/>
  <c r="U161"/>
  <c r="V43"/>
  <c r="AA470"/>
  <c r="Z417"/>
  <c r="Z517"/>
  <c r="Z564"/>
  <c r="E229" i="21"/>
  <c r="G229" s="1"/>
  <c r="BG853" i="20"/>
  <c r="Y95"/>
  <c r="Y182" s="1"/>
  <c r="BJ602"/>
  <c r="P80" i="22"/>
  <c r="E58" i="21"/>
  <c r="BI685" i="20"/>
  <c r="BI811" s="1"/>
  <c r="CO870" s="1"/>
  <c r="S18" i="19" s="1"/>
  <c r="R11" i="68" s="1"/>
  <c r="R43" s="1"/>
  <c r="X305" i="20"/>
  <c r="Y276"/>
  <c r="Y278"/>
  <c r="Q43" i="21"/>
  <c r="P43"/>
  <c r="N43"/>
  <c r="K43"/>
  <c r="J43"/>
  <c r="O43"/>
  <c r="I43"/>
  <c r="G43"/>
  <c r="R43"/>
  <c r="R161" s="1"/>
  <c r="H43"/>
  <c r="M43"/>
  <c r="L43"/>
  <c r="L161" s="1"/>
  <c r="BH662" i="20"/>
  <c r="BH664" s="1"/>
  <c r="CL849"/>
  <c r="CQ849" s="1"/>
  <c r="BH726"/>
  <c r="BH728" s="1"/>
  <c r="BH727"/>
  <c r="BH730"/>
  <c r="CL901" s="1"/>
  <c r="E183" i="21"/>
  <c r="G183" s="1"/>
  <c r="T185" i="20"/>
  <c r="F376" i="58"/>
  <c r="AX8" i="51"/>
  <c r="BH624" i="20"/>
  <c r="BH775" s="1"/>
  <c r="BH858" s="1"/>
  <c r="W146"/>
  <c r="BI587"/>
  <c r="BI771" s="1"/>
  <c r="BI852" s="1"/>
  <c r="X142"/>
  <c r="X20"/>
  <c r="BI673"/>
  <c r="BI807" s="1"/>
  <c r="X178"/>
  <c r="L80" i="21"/>
  <c r="M80"/>
  <c r="O80"/>
  <c r="K80"/>
  <c r="J80"/>
  <c r="R80"/>
  <c r="N80"/>
  <c r="G80"/>
  <c r="Q80"/>
  <c r="P80"/>
  <c r="H80"/>
  <c r="I80"/>
  <c r="N159"/>
  <c r="N160"/>
  <c r="BE803" i="20"/>
  <c r="BE676"/>
  <c r="AR652"/>
  <c r="AU652"/>
  <c r="AP655"/>
  <c r="AA447"/>
  <c r="Z541"/>
  <c r="Z494"/>
  <c r="Z394"/>
  <c r="BJ609"/>
  <c r="H376" i="58"/>
  <c r="AZ8" i="51"/>
  <c r="R194" i="21"/>
  <c r="R196" s="1"/>
  <c r="R210" s="1"/>
  <c r="Y90" i="20"/>
  <c r="Q216"/>
  <c r="Q215" s="1"/>
  <c r="BE755"/>
  <c r="BE597"/>
  <c r="BE756"/>
  <c r="BE812"/>
  <c r="Z497"/>
  <c r="Z544"/>
  <c r="Z397"/>
  <c r="AA450"/>
  <c r="Z33"/>
  <c r="BJ615"/>
  <c r="BJ702" s="1"/>
  <c r="Z406"/>
  <c r="Z553"/>
  <c r="Z506"/>
  <c r="I8" i="67" s="1"/>
  <c r="I33" s="1"/>
  <c r="AA459" i="20"/>
  <c r="J8" i="66" s="1"/>
  <c r="J33" s="1"/>
  <c r="T172" i="20"/>
  <c r="E172" i="21" s="1"/>
  <c r="G172" s="1"/>
  <c r="E166"/>
  <c r="G166" s="1"/>
  <c r="BH758" i="20"/>
  <c r="BH805"/>
  <c r="R55" i="21"/>
  <c r="I55"/>
  <c r="O55"/>
  <c r="J55"/>
  <c r="H55"/>
  <c r="Q55"/>
  <c r="L55"/>
  <c r="N55"/>
  <c r="G55"/>
  <c r="M55"/>
  <c r="P55"/>
  <c r="P169" s="1"/>
  <c r="K55"/>
  <c r="K169" s="1"/>
  <c r="C227"/>
  <c r="N233" i="20"/>
  <c r="N216"/>
  <c r="G376" i="58"/>
  <c r="AY8" i="51"/>
  <c r="Q62" i="22"/>
  <c r="Q68"/>
  <c r="Q66"/>
  <c r="Q67"/>
  <c r="Q69"/>
  <c r="Q63"/>
  <c r="Q61"/>
  <c r="O69"/>
  <c r="L70"/>
  <c r="O70" s="1"/>
  <c r="Q64"/>
  <c r="Q65"/>
  <c r="BI663" i="20"/>
  <c r="CO851" s="1"/>
  <c r="CT851" s="1"/>
  <c r="X46"/>
  <c r="X41"/>
  <c r="BI670"/>
  <c r="BI804" s="1"/>
  <c r="X175"/>
  <c r="V25"/>
  <c r="BF596"/>
  <c r="BF813" s="1"/>
  <c r="BF878" s="1"/>
  <c r="U184"/>
  <c r="Z563"/>
  <c r="Z516"/>
  <c r="AA469"/>
  <c r="Z416"/>
  <c r="R12" i="19"/>
  <c r="Q5" i="68" s="1"/>
  <c r="Q37" s="1"/>
  <c r="CM852" i="20"/>
  <c r="CM853"/>
  <c r="CM848"/>
  <c r="CM849"/>
  <c r="CM851"/>
  <c r="CM850"/>
  <c r="CM857"/>
  <c r="CM861"/>
  <c r="CM860"/>
  <c r="CQ848"/>
  <c r="S13" i="19" s="1"/>
  <c r="R6" i="68" s="1"/>
  <c r="R38" s="1"/>
  <c r="CM862" i="20"/>
  <c r="CM858"/>
  <c r="CM854"/>
  <c r="R15" i="19" s="1"/>
  <c r="Q8" i="68" s="1"/>
  <c r="Q40" s="1"/>
  <c r="CM856" i="20"/>
  <c r="E174" i="21"/>
  <c r="G174" s="1"/>
  <c r="W251" i="20"/>
  <c r="K194" i="21"/>
  <c r="K196" s="1"/>
  <c r="K210" s="1"/>
  <c r="H231" i="20"/>
  <c r="H232" s="1"/>
  <c r="U171"/>
  <c r="V57"/>
  <c r="BF642"/>
  <c r="BF800" s="1"/>
  <c r="BF876" s="1"/>
  <c r="C32" i="22"/>
  <c r="H123" i="19"/>
  <c r="H35"/>
  <c r="C221" s="1"/>
  <c r="B83" i="22"/>
  <c r="Z411" i="20"/>
  <c r="Z558"/>
  <c r="AA464"/>
  <c r="Z511"/>
  <c r="V52"/>
  <c r="BF636"/>
  <c r="U58"/>
  <c r="U166"/>
  <c r="CQ870"/>
  <c r="BF640"/>
  <c r="BF798" s="1"/>
  <c r="BF874" s="1"/>
  <c r="U169"/>
  <c r="V55"/>
  <c r="U164"/>
  <c r="BF630"/>
  <c r="V47"/>
  <c r="N62" i="21"/>
  <c r="N222" s="1"/>
  <c r="H62"/>
  <c r="H222" s="1"/>
  <c r="K62"/>
  <c r="K222" s="1"/>
  <c r="R62"/>
  <c r="R222" s="1"/>
  <c r="O62"/>
  <c r="O222" s="1"/>
  <c r="P62"/>
  <c r="P222" s="1"/>
  <c r="L62"/>
  <c r="L222" s="1"/>
  <c r="M62"/>
  <c r="M222" s="1"/>
  <c r="I62"/>
  <c r="I222" s="1"/>
  <c r="Q62"/>
  <c r="Q222" s="1"/>
  <c r="G62"/>
  <c r="J62"/>
  <c r="J222" s="1"/>
  <c r="BE667" i="20"/>
  <c r="E78" i="21"/>
  <c r="T179" i="20"/>
  <c r="E179" i="21" s="1"/>
  <c r="G179" s="1"/>
  <c r="BH629" i="20"/>
  <c r="BH792" s="1"/>
  <c r="BH869" s="1"/>
  <c r="W163"/>
  <c r="Z413"/>
  <c r="Z560"/>
  <c r="AA466"/>
  <c r="Z513"/>
  <c r="BE752"/>
  <c r="BE746"/>
  <c r="BE744"/>
  <c r="R25" i="21"/>
  <c r="N25"/>
  <c r="I25"/>
  <c r="J25"/>
  <c r="M25"/>
  <c r="P25"/>
  <c r="Q25"/>
  <c r="H25"/>
  <c r="O25"/>
  <c r="G25"/>
  <c r="L25"/>
  <c r="K25"/>
  <c r="K184" s="1"/>
  <c r="Z405" i="20"/>
  <c r="AA458"/>
  <c r="Z505"/>
  <c r="Z552"/>
  <c r="U174"/>
  <c r="BF668"/>
  <c r="V79"/>
  <c r="C42" i="19"/>
  <c r="C207"/>
  <c r="C209" s="1"/>
  <c r="Z548" i="20"/>
  <c r="Z501"/>
  <c r="I6" i="67" s="1"/>
  <c r="I31" s="1"/>
  <c r="AA454" i="20"/>
  <c r="J6" i="66" s="1"/>
  <c r="J31" s="1"/>
  <c r="Z401" i="20"/>
  <c r="Z409"/>
  <c r="Z556"/>
  <c r="Z509"/>
  <c r="AA462"/>
  <c r="E196" i="21"/>
  <c r="G196" s="1"/>
  <c r="T210" i="20"/>
  <c r="E210" i="21" s="1"/>
  <c r="G210" s="1"/>
  <c r="O134"/>
  <c r="O218"/>
  <c r="O234" s="1"/>
  <c r="O112"/>
  <c r="Z502" i="20"/>
  <c r="Z402"/>
  <c r="AA455"/>
  <c r="Z549"/>
  <c r="Z547"/>
  <c r="AA453"/>
  <c r="Z500"/>
  <c r="Z400"/>
  <c r="Z551"/>
  <c r="Z504"/>
  <c r="AA457"/>
  <c r="Z404"/>
  <c r="AS745"/>
  <c r="AS658"/>
  <c r="AT655"/>
  <c r="AT654"/>
  <c r="AT648"/>
  <c r="AT653"/>
  <c r="AT651"/>
  <c r="AT649"/>
  <c r="AS709"/>
  <c r="AS708"/>
  <c r="AT650"/>
  <c r="AS757"/>
  <c r="AS758"/>
  <c r="BA655"/>
  <c r="BE638"/>
  <c r="BE795"/>
  <c r="S64" i="22"/>
  <c r="S74" s="1"/>
  <c r="T64"/>
  <c r="C231" i="21"/>
  <c r="N232" i="20"/>
  <c r="BJ788"/>
  <c r="CR884" s="1"/>
  <c r="Y159"/>
  <c r="N32" i="21"/>
  <c r="H32"/>
  <c r="O32"/>
  <c r="J32"/>
  <c r="R32"/>
  <c r="M32"/>
  <c r="L32"/>
  <c r="G32"/>
  <c r="Q32"/>
  <c r="I32"/>
  <c r="I189" s="1"/>
  <c r="K32"/>
  <c r="P32"/>
  <c r="I47"/>
  <c r="R47"/>
  <c r="Q47"/>
  <c r="J47"/>
  <c r="H47"/>
  <c r="M47"/>
  <c r="K47"/>
  <c r="L47"/>
  <c r="P47"/>
  <c r="G47"/>
  <c r="O47"/>
  <c r="N47"/>
  <c r="Z65" i="20"/>
  <c r="BJ653"/>
  <c r="Y228"/>
  <c r="W144"/>
  <c r="BH594"/>
  <c r="BH773" s="1"/>
  <c r="BH856" s="1"/>
  <c r="K45" i="21"/>
  <c r="M45"/>
  <c r="I45"/>
  <c r="Q45"/>
  <c r="O45"/>
  <c r="J45"/>
  <c r="N45"/>
  <c r="R45"/>
  <c r="L45"/>
  <c r="P45"/>
  <c r="H45"/>
  <c r="G45"/>
  <c r="U425" i="20"/>
  <c r="U78" s="1"/>
  <c r="V423"/>
  <c r="Z565"/>
  <c r="Z518"/>
  <c r="AA471"/>
  <c r="Z418"/>
  <c r="BI724"/>
  <c r="BI721"/>
  <c r="BI725"/>
  <c r="CO899" s="1"/>
  <c r="BI719"/>
  <c r="CO848"/>
  <c r="BI718"/>
  <c r="BI747"/>
  <c r="BI716"/>
  <c r="BI717"/>
  <c r="BI713"/>
  <c r="X192"/>
  <c r="Y29"/>
  <c r="BI603"/>
  <c r="BI821" s="1"/>
  <c r="BI882" s="1"/>
  <c r="G79" i="21"/>
  <c r="R79"/>
  <c r="K79"/>
  <c r="H79"/>
  <c r="M79"/>
  <c r="P79"/>
  <c r="Q79"/>
  <c r="J79"/>
  <c r="L79"/>
  <c r="I79"/>
  <c r="N79"/>
  <c r="O79"/>
  <c r="F61" i="20"/>
  <c r="F62"/>
  <c r="F66"/>
  <c r="G67"/>
  <c r="E70"/>
  <c r="F67"/>
  <c r="F65"/>
  <c r="F63"/>
  <c r="J67"/>
  <c r="F60"/>
  <c r="B82" i="22"/>
  <c r="AF29" i="21"/>
  <c r="AE32"/>
  <c r="O16" s="1"/>
  <c r="AF30"/>
  <c r="AF31" s="1"/>
  <c r="P15" s="1"/>
  <c r="AA465" i="20"/>
  <c r="Z412"/>
  <c r="Z31" s="1"/>
  <c r="Z512"/>
  <c r="Z559"/>
  <c r="E367" i="58"/>
  <c r="H194" i="21"/>
  <c r="H196" s="1"/>
  <c r="H210" s="1"/>
  <c r="P54"/>
  <c r="Q54"/>
  <c r="K54"/>
  <c r="G54"/>
  <c r="N54"/>
  <c r="L54"/>
  <c r="I54"/>
  <c r="H54"/>
  <c r="O54"/>
  <c r="J54"/>
  <c r="M54"/>
  <c r="R54"/>
  <c r="V56" i="20"/>
  <c r="U170"/>
  <c r="BF641"/>
  <c r="Z539"/>
  <c r="AA445"/>
  <c r="Z492"/>
  <c r="Z392"/>
  <c r="O52" i="21"/>
  <c r="G52"/>
  <c r="P52"/>
  <c r="K52"/>
  <c r="J52"/>
  <c r="H52"/>
  <c r="R52"/>
  <c r="I52"/>
  <c r="N52"/>
  <c r="L52"/>
  <c r="Q52"/>
  <c r="M52"/>
  <c r="Z508" i="20"/>
  <c r="AA461"/>
  <c r="Z555"/>
  <c r="Z408"/>
  <c r="Z272"/>
  <c r="AA271"/>
  <c r="BF612"/>
  <c r="U189"/>
  <c r="V32"/>
  <c r="P27" i="21"/>
  <c r="J27"/>
  <c r="I27"/>
  <c r="L27"/>
  <c r="R27"/>
  <c r="K27"/>
  <c r="M27"/>
  <c r="O27"/>
  <c r="Q27"/>
  <c r="Q186" s="1"/>
  <c r="N27"/>
  <c r="G27"/>
  <c r="H27"/>
  <c r="BE631" i="20"/>
  <c r="BE793"/>
  <c r="CH852"/>
  <c r="CC854"/>
  <c r="BH590"/>
  <c r="W22"/>
  <c r="W143"/>
  <c r="G68" i="21"/>
  <c r="I68"/>
  <c r="M68"/>
  <c r="O68"/>
  <c r="J68"/>
  <c r="P68"/>
  <c r="K68"/>
  <c r="Q68"/>
  <c r="L68"/>
  <c r="N68"/>
  <c r="R68"/>
  <c r="H68"/>
  <c r="BF628" i="20"/>
  <c r="BF791" s="1"/>
  <c r="BF868" s="1"/>
  <c r="U162"/>
  <c r="V45"/>
  <c r="AA66"/>
  <c r="BK654"/>
  <c r="Z224"/>
  <c r="BF853"/>
  <c r="BI714"/>
  <c r="BH743"/>
  <c r="CL896" s="1"/>
  <c r="I63" i="21"/>
  <c r="I223" s="1"/>
  <c r="J63"/>
  <c r="J223" s="1"/>
  <c r="Q63"/>
  <c r="Q223" s="1"/>
  <c r="H63"/>
  <c r="H223" s="1"/>
  <c r="P63"/>
  <c r="P223" s="1"/>
  <c r="G63"/>
  <c r="R63"/>
  <c r="R223" s="1"/>
  <c r="L63"/>
  <c r="L223" s="1"/>
  <c r="N63"/>
  <c r="N223" s="1"/>
  <c r="O63"/>
  <c r="O223" s="1"/>
  <c r="M63"/>
  <c r="M223" s="1"/>
  <c r="K63"/>
  <c r="K223" s="1"/>
  <c r="Z414" i="20"/>
  <c r="AA467"/>
  <c r="Z561"/>
  <c r="Z514"/>
  <c r="AX655"/>
  <c r="AT652"/>
  <c r="Q231"/>
  <c r="Q232" s="1"/>
  <c r="BG729"/>
  <c r="BH684"/>
  <c r="P194" i="21"/>
  <c r="P196" s="1"/>
  <c r="P210" s="1"/>
  <c r="L194"/>
  <c r="L196" s="1"/>
  <c r="L210" s="1"/>
  <c r="BG591" i="20"/>
  <c r="BG823" s="1"/>
  <c r="BG855" s="1"/>
  <c r="V194"/>
  <c r="V196" s="1"/>
  <c r="V210" s="1"/>
  <c r="U168"/>
  <c r="BF639"/>
  <c r="BF797" s="1"/>
  <c r="BF873" s="1"/>
  <c r="U347"/>
  <c r="V54"/>
  <c r="K56" i="21"/>
  <c r="N56"/>
  <c r="M56"/>
  <c r="O56"/>
  <c r="L56"/>
  <c r="J56"/>
  <c r="G56"/>
  <c r="I56"/>
  <c r="P56"/>
  <c r="Q56"/>
  <c r="H56"/>
  <c r="R56"/>
  <c r="BI816" i="20"/>
  <c r="BI879" s="1"/>
  <c r="BI608"/>
  <c r="R69" i="22"/>
  <c r="M70"/>
  <c r="G51"/>
  <c r="R66"/>
  <c r="R68"/>
  <c r="R67"/>
  <c r="R64"/>
  <c r="R62"/>
  <c r="R65"/>
  <c r="R63"/>
  <c r="R61"/>
  <c r="AR617" i="20"/>
  <c r="AP750"/>
  <c r="C31" i="22" s="1"/>
  <c r="AU617" i="20"/>
  <c r="H36" i="19"/>
  <c r="H124"/>
  <c r="C33" i="22"/>
  <c r="BE614" i="20"/>
  <c r="BE818"/>
  <c r="BE881" s="1"/>
  <c r="BH838"/>
  <c r="BH894"/>
  <c r="BF599"/>
  <c r="U186"/>
  <c r="V27"/>
  <c r="BH771"/>
  <c r="BH852" s="1"/>
  <c r="Z489"/>
  <c r="AA442"/>
  <c r="Z389"/>
  <c r="Z536"/>
  <c r="AA456"/>
  <c r="J7" i="66" s="1"/>
  <c r="J32" s="1"/>
  <c r="Z403" i="20"/>
  <c r="Z550"/>
  <c r="Z503"/>
  <c r="I7" i="67" s="1"/>
  <c r="I32" s="1"/>
  <c r="W93" i="20"/>
  <c r="W136"/>
  <c r="W138" s="1"/>
  <c r="V68"/>
  <c r="BF656"/>
  <c r="BF595"/>
  <c r="U183"/>
  <c r="V24"/>
  <c r="BG772"/>
  <c r="BG854" s="1"/>
  <c r="BI672"/>
  <c r="BI806" s="1"/>
  <c r="X177"/>
  <c r="K69" i="22"/>
  <c r="N65"/>
  <c r="Z388" i="20"/>
  <c r="Z488"/>
  <c r="I5" i="67" s="1"/>
  <c r="I30" s="1"/>
  <c r="Z535" i="20"/>
  <c r="AA441"/>
  <c r="J5" i="66" s="1"/>
  <c r="J30" s="1"/>
  <c r="BI707" i="20"/>
  <c r="BI836"/>
  <c r="BE799"/>
  <c r="BE875" s="1"/>
  <c r="BE644"/>
  <c r="S27" i="19"/>
  <c r="R20" i="68" s="1"/>
  <c r="R52" s="1"/>
  <c r="CT884" i="20"/>
  <c r="Z542"/>
  <c r="AA448"/>
  <c r="Z395"/>
  <c r="Z495"/>
  <c r="H53" i="21"/>
  <c r="O53"/>
  <c r="P53"/>
  <c r="Q53"/>
  <c r="J53"/>
  <c r="N53"/>
  <c r="G53"/>
  <c r="R53"/>
  <c r="K53"/>
  <c r="M53"/>
  <c r="L53"/>
  <c r="I53"/>
  <c r="BE815" i="20"/>
  <c r="BE601"/>
  <c r="Z538"/>
  <c r="AA444"/>
  <c r="Z391"/>
  <c r="Z491"/>
  <c r="W193"/>
  <c r="BH588"/>
  <c r="BH822" s="1"/>
  <c r="BH853" s="1"/>
  <c r="T165"/>
  <c r="E165" i="21" s="1"/>
  <c r="G165" s="1"/>
  <c r="E161"/>
  <c r="G161" s="1"/>
  <c r="BF823" i="20"/>
  <c r="BF855" s="1"/>
  <c r="BF593"/>
  <c r="BF699" s="1"/>
  <c r="BH623"/>
  <c r="BH774" s="1"/>
  <c r="BH857" s="1"/>
  <c r="W145"/>
  <c r="BG720"/>
  <c r="BG765"/>
  <c r="BG767" s="1"/>
  <c r="Y923"/>
  <c r="Y42"/>
  <c r="BJ625" s="1"/>
  <c r="Y85"/>
  <c r="BJ674" s="1"/>
  <c r="Y86"/>
  <c r="BJ675" s="1"/>
  <c r="Y19"/>
  <c r="Y84"/>
  <c r="Y72"/>
  <c r="Y83"/>
  <c r="Y82"/>
  <c r="Y74"/>
  <c r="Y81"/>
  <c r="BJ660"/>
  <c r="Q24" i="21"/>
  <c r="N24"/>
  <c r="J24"/>
  <c r="P24"/>
  <c r="R24"/>
  <c r="O24"/>
  <c r="M24"/>
  <c r="H24"/>
  <c r="G24"/>
  <c r="K24"/>
  <c r="I24"/>
  <c r="L24"/>
  <c r="Z540" i="20"/>
  <c r="Z493"/>
  <c r="AA446"/>
  <c r="Z393"/>
  <c r="Z415"/>
  <c r="Z562"/>
  <c r="Z515"/>
  <c r="AA468"/>
  <c r="X176"/>
  <c r="BI671"/>
  <c r="BJ648"/>
  <c r="Z60"/>
  <c r="Y219"/>
  <c r="CO853"/>
  <c r="CT853" s="1"/>
  <c r="BI766"/>
  <c r="BI824"/>
  <c r="BI883" s="1"/>
  <c r="CC875"/>
  <c r="CH875" s="1"/>
  <c r="CH857"/>
  <c r="CE872"/>
  <c r="H172" i="19"/>
  <c r="H77"/>
  <c r="CN890" i="20"/>
  <c r="CK72" i="19"/>
  <c r="AB342" i="20"/>
  <c r="AB382"/>
  <c r="H65" i="19"/>
  <c r="H160"/>
  <c r="AV749" i="20"/>
  <c r="AV748"/>
  <c r="AC942"/>
  <c r="AB154"/>
  <c r="AH84" i="16"/>
  <c r="AH141" s="1"/>
  <c r="AH48" s="1"/>
  <c r="AM48" s="1"/>
  <c r="AS14"/>
  <c r="AN16"/>
  <c r="AT346"/>
  <c r="AT43"/>
  <c r="AU35"/>
  <c r="AU23"/>
  <c r="AU43"/>
  <c r="AU33"/>
  <c r="AU21"/>
  <c r="AT57"/>
  <c r="AT54"/>
  <c r="AU41"/>
  <c r="AU31"/>
  <c r="AU19"/>
  <c r="AU40"/>
  <c r="AU30"/>
  <c r="AU18"/>
  <c r="AU38"/>
  <c r="AU29"/>
  <c r="AU16"/>
  <c r="AU37"/>
  <c r="AU27"/>
  <c r="AU14"/>
  <c r="AT13"/>
  <c r="AU46"/>
  <c r="AU36"/>
  <c r="AU25"/>
  <c r="AU13"/>
  <c r="AU44"/>
  <c r="AU24"/>
  <c r="AU12"/>
  <c r="AQ14"/>
  <c r="AV14" s="1"/>
  <c r="AV13"/>
  <c r="AJ37"/>
  <c r="Y120" i="19"/>
  <c r="J370" i="16"/>
  <c r="AN262"/>
  <c r="AN192"/>
  <c r="AN207"/>
  <c r="AN179"/>
  <c r="AN166"/>
  <c r="AN120"/>
  <c r="AN289"/>
  <c r="AN235"/>
  <c r="AN153"/>
  <c r="AN61"/>
  <c r="AN53"/>
  <c r="AN392" s="1"/>
  <c r="AQ11"/>
  <c r="AN81"/>
  <c r="AN31"/>
  <c r="AS31" s="1"/>
  <c r="AN30"/>
  <c r="AN133"/>
  <c r="AN107"/>
  <c r="AN94"/>
  <c r="P423"/>
  <c r="AK125"/>
  <c r="AK122"/>
  <c r="AK123" s="1"/>
  <c r="AK135"/>
  <c r="AK136" s="1"/>
  <c r="AK138"/>
  <c r="AS18"/>
  <c r="AB101" i="19"/>
  <c r="AQ304" i="16"/>
  <c r="AT250"/>
  <c r="AQ277"/>
  <c r="AQ222"/>
  <c r="AV43"/>
  <c r="AC113" i="19"/>
  <c r="AH199" i="16"/>
  <c r="AH38" s="1"/>
  <c r="AM38" s="1"/>
  <c r="AK171"/>
  <c r="AK168"/>
  <c r="AK169" s="1"/>
  <c r="AB103" i="19"/>
  <c r="AS23" i="16"/>
  <c r="AS19"/>
  <c r="AB102" i="19"/>
  <c r="AB106"/>
  <c r="AS24" i="16"/>
  <c r="AH140"/>
  <c r="AH37" s="1"/>
  <c r="AH156"/>
  <c r="AH200" s="1"/>
  <c r="AH49" s="1"/>
  <c r="AM49" s="1"/>
  <c r="AT270"/>
  <c r="AT215"/>
  <c r="AT297"/>
  <c r="AK83"/>
  <c r="AK86"/>
  <c r="Z104" i="19"/>
  <c r="Z107" s="1"/>
  <c r="Z100"/>
  <c r="AH142" i="16"/>
  <c r="AA111" i="19"/>
  <c r="AP30" i="16"/>
  <c r="AT244"/>
  <c r="AQ271"/>
  <c r="AQ216"/>
  <c r="AQ23" s="1"/>
  <c r="AQ298"/>
  <c r="AQ272"/>
  <c r="AQ217"/>
  <c r="AQ24" s="1"/>
  <c r="AQ299"/>
  <c r="AT245"/>
  <c r="AK112"/>
  <c r="AK109"/>
  <c r="AK110" s="1"/>
  <c r="AK158"/>
  <c r="AK155"/>
  <c r="AJ27"/>
  <c r="AC105" i="19"/>
  <c r="AV25" i="16"/>
  <c r="AK254"/>
  <c r="AH308"/>
  <c r="AH281"/>
  <c r="AH226"/>
  <c r="AH27"/>
  <c r="AM21"/>
  <c r="AQ292"/>
  <c r="AQ265"/>
  <c r="AT238"/>
  <c r="AQ210"/>
  <c r="AN257"/>
  <c r="AK229"/>
  <c r="AS51"/>
  <c r="AQ51"/>
  <c r="AK99"/>
  <c r="AK96"/>
  <c r="AK97" s="1"/>
  <c r="AT300"/>
  <c r="AT273"/>
  <c r="AT218"/>
  <c r="AT25" s="1"/>
  <c r="AA99" i="19"/>
  <c r="AK21" i="16"/>
  <c r="AP16"/>
  <c r="AT240"/>
  <c r="AQ294"/>
  <c r="AQ267"/>
  <c r="AQ212"/>
  <c r="AQ19" s="1"/>
  <c r="AQ293"/>
  <c r="AT239"/>
  <c r="AQ266"/>
  <c r="AQ211"/>
  <c r="AQ18" s="1"/>
  <c r="AK197"/>
  <c r="AK194"/>
  <c r="AK195" s="1"/>
  <c r="AK181"/>
  <c r="AK182" s="1"/>
  <c r="AK184"/>
  <c r="AK255"/>
  <c r="AH227"/>
  <c r="AH309"/>
  <c r="AH282"/>
  <c r="D46"/>
  <c r="I41"/>
  <c r="AH201"/>
  <c r="AH566" i="20"/>
  <c r="AH519"/>
  <c r="AI472"/>
  <c r="AH419"/>
  <c r="AB570"/>
  <c r="AB523"/>
  <c r="AC476"/>
  <c r="AB429"/>
  <c r="BM783"/>
  <c r="AA325"/>
  <c r="AC432"/>
  <c r="AD479"/>
  <c r="AD477"/>
  <c r="AC571"/>
  <c r="AC430"/>
  <c r="AC524"/>
  <c r="AB324"/>
  <c r="AC327"/>
  <c r="AC323"/>
  <c r="BN789"/>
  <c r="AA365"/>
  <c r="AD438"/>
  <c r="AD532"/>
  <c r="AD485"/>
  <c r="AD247"/>
  <c r="AH248"/>
  <c r="AA380"/>
  <c r="AA39" s="1"/>
  <c r="BL622" s="1"/>
  <c r="BS837"/>
  <c r="BS895" s="1"/>
  <c r="BS757"/>
  <c r="AD941"/>
  <c r="AD940"/>
  <c r="Y926"/>
  <c r="T931"/>
  <c r="AA340"/>
  <c r="AB334"/>
  <c r="AB335" s="1"/>
  <c r="AC337"/>
  <c r="AC333"/>
  <c r="AF126"/>
  <c r="AF125"/>
  <c r="AC314"/>
  <c r="AD313"/>
  <c r="AD321"/>
  <c r="AD317"/>
  <c r="AD331"/>
  <c r="DG893"/>
  <c r="DG865"/>
  <c r="DG846"/>
  <c r="BO696"/>
  <c r="BO763"/>
  <c r="Y11" i="19" s="1"/>
  <c r="AD569" i="20"/>
  <c r="AD522"/>
  <c r="AD475"/>
  <c r="AB355"/>
  <c r="BT666"/>
  <c r="AI208"/>
  <c r="AG260"/>
  <c r="AH123"/>
  <c r="AG124"/>
  <c r="AC377"/>
  <c r="AC373"/>
  <c r="AB374"/>
  <c r="AC367"/>
  <c r="AC363"/>
  <c r="AB364"/>
  <c r="AE938"/>
  <c r="BP583"/>
  <c r="AE428"/>
  <c r="AE422"/>
  <c r="AE218"/>
  <c r="AE234" s="1"/>
  <c r="AE351"/>
  <c r="AE270"/>
  <c r="AE385"/>
  <c r="AE345"/>
  <c r="AE259"/>
  <c r="AE311"/>
  <c r="AE134"/>
  <c r="AE160" s="1"/>
  <c r="AF15"/>
  <c r="AE112"/>
  <c r="AE946"/>
  <c r="AE955"/>
  <c r="AE958" s="1"/>
  <c r="AE951"/>
  <c r="AD361"/>
  <c r="AD357"/>
  <c r="AC354"/>
  <c r="AD371"/>
  <c r="AD353"/>
  <c r="AB315"/>
  <c r="CF854" l="1"/>
  <c r="CF867" s="1"/>
  <c r="AB375"/>
  <c r="AB381" s="1"/>
  <c r="AB51" s="1"/>
  <c r="BM635" s="1"/>
  <c r="BG746"/>
  <c r="I174" i="21"/>
  <c r="X38" i="20"/>
  <c r="BI621" s="1"/>
  <c r="Q174" i="21"/>
  <c r="AC315" i="20"/>
  <c r="AC154"/>
  <c r="BG744"/>
  <c r="H168" i="21"/>
  <c r="R174"/>
  <c r="AC382" i="20"/>
  <c r="N183" i="21"/>
  <c r="B40" i="68"/>
  <c r="R170" i="21"/>
  <c r="O170"/>
  <c r="I10" i="23"/>
  <c r="I376" i="58"/>
  <c r="D49" i="70"/>
  <c r="E36" i="66"/>
  <c r="C20" i="67"/>
  <c r="C20" i="66"/>
  <c r="E36" i="67"/>
  <c r="X96" i="19"/>
  <c r="X4" i="68"/>
  <c r="X36" s="1"/>
  <c r="BH683" i="20"/>
  <c r="BH746" s="1"/>
  <c r="F11" i="66"/>
  <c r="F11" i="67"/>
  <c r="E157" i="20"/>
  <c r="D25" i="70" s="1"/>
  <c r="D19"/>
  <c r="X5" i="64"/>
  <c r="J16"/>
  <c r="X16" s="1"/>
  <c r="B80" i="68"/>
  <c r="G62"/>
  <c r="R171" i="21"/>
  <c r="G19" i="67"/>
  <c r="G44" s="1"/>
  <c r="G19" i="66"/>
  <c r="G44" s="1"/>
  <c r="B153" i="68"/>
  <c r="B156" s="1"/>
  <c r="B158" s="1"/>
  <c r="B118"/>
  <c r="B120" s="1"/>
  <c r="E48" i="67"/>
  <c r="F47" i="66"/>
  <c r="L162" i="21"/>
  <c r="M170"/>
  <c r="I161"/>
  <c r="L169"/>
  <c r="U185" i="20"/>
  <c r="K174" i="21"/>
  <c r="K232" i="20"/>
  <c r="AV802" s="1"/>
  <c r="AV810" s="1"/>
  <c r="H233"/>
  <c r="H140" s="1"/>
  <c r="E8" i="70" s="1"/>
  <c r="P184" i="21"/>
  <c r="J174"/>
  <c r="T231" i="20"/>
  <c r="P162" i="21"/>
  <c r="Q164"/>
  <c r="T180" i="20"/>
  <c r="E180" i="21" s="1"/>
  <c r="G180" s="1"/>
  <c r="CN850" i="20"/>
  <c r="K183" i="21"/>
  <c r="K185" s="1"/>
  <c r="M167"/>
  <c r="R164"/>
  <c r="M189"/>
  <c r="I169"/>
  <c r="K186"/>
  <c r="O189"/>
  <c r="BL657" i="20"/>
  <c r="AB69"/>
  <c r="H167" i="21"/>
  <c r="L174"/>
  <c r="R162"/>
  <c r="I164"/>
  <c r="R189"/>
  <c r="Z90" i="20"/>
  <c r="Z92"/>
  <c r="BK682" s="1"/>
  <c r="Y188"/>
  <c r="M171" i="21"/>
  <c r="Q167"/>
  <c r="J184"/>
  <c r="L170"/>
  <c r="O174"/>
  <c r="H174"/>
  <c r="H162"/>
  <c r="J164"/>
  <c r="M184"/>
  <c r="R169"/>
  <c r="Q161"/>
  <c r="H161"/>
  <c r="R183"/>
  <c r="BG593" i="20"/>
  <c r="BG699" s="1"/>
  <c r="O169" i="21"/>
  <c r="M161"/>
  <c r="I170"/>
  <c r="R186"/>
  <c r="L164"/>
  <c r="P189"/>
  <c r="R184"/>
  <c r="H183"/>
  <c r="O167"/>
  <c r="L167"/>
  <c r="I186"/>
  <c r="I190" s="1"/>
  <c r="M168"/>
  <c r="K168"/>
  <c r="M174"/>
  <c r="CL850" i="20"/>
  <c r="CL852" s="1"/>
  <c r="K161" i="21"/>
  <c r="P171"/>
  <c r="L183"/>
  <c r="P183"/>
  <c r="I167"/>
  <c r="R168"/>
  <c r="P174"/>
  <c r="O162"/>
  <c r="M164"/>
  <c r="H189"/>
  <c r="Y187" i="20"/>
  <c r="P170" i="21"/>
  <c r="BF825" i="20"/>
  <c r="BF839" s="1"/>
  <c r="M186" i="21"/>
  <c r="I168"/>
  <c r="J171"/>
  <c r="O186"/>
  <c r="K162"/>
  <c r="O164"/>
  <c r="L189"/>
  <c r="M169"/>
  <c r="P161"/>
  <c r="L171"/>
  <c r="N161"/>
  <c r="C726" i="57"/>
  <c r="G375" i="58"/>
  <c r="CC858" i="20"/>
  <c r="BE677"/>
  <c r="BF815"/>
  <c r="BF601"/>
  <c r="V347"/>
  <c r="W54"/>
  <c r="V168"/>
  <c r="BG639"/>
  <c r="BG797" s="1"/>
  <c r="BG873" s="1"/>
  <c r="BG612"/>
  <c r="V189"/>
  <c r="W32"/>
  <c r="J58" i="21"/>
  <c r="J166"/>
  <c r="P112"/>
  <c r="P134"/>
  <c r="P218"/>
  <c r="P234" s="1"/>
  <c r="CW884" i="20"/>
  <c r="T27" i="19"/>
  <c r="S20" i="68" s="1"/>
  <c r="S52" s="1"/>
  <c r="AA402" i="20"/>
  <c r="AA502"/>
  <c r="AA549"/>
  <c r="AB455"/>
  <c r="AB462"/>
  <c r="AA509"/>
  <c r="AA409"/>
  <c r="AA556"/>
  <c r="BE784"/>
  <c r="CC880" s="1"/>
  <c r="BE808"/>
  <c r="BE809" s="1"/>
  <c r="BG640"/>
  <c r="BG798" s="1"/>
  <c r="BG874" s="1"/>
  <c r="V169"/>
  <c r="W55"/>
  <c r="V58"/>
  <c r="V166"/>
  <c r="BG636"/>
  <c r="W52"/>
  <c r="V184"/>
  <c r="BG596"/>
  <c r="BG813" s="1"/>
  <c r="BG878" s="1"/>
  <c r="W25"/>
  <c r="AA553"/>
  <c r="AA506"/>
  <c r="J8" i="67" s="1"/>
  <c r="J33" s="1"/>
  <c r="AB459" i="20"/>
  <c r="AA406"/>
  <c r="Y137"/>
  <c r="Y195"/>
  <c r="BJ680"/>
  <c r="CT870"/>
  <c r="BF867"/>
  <c r="T88"/>
  <c r="T89" s="1"/>
  <c r="E89" i="21" s="1"/>
  <c r="E87"/>
  <c r="AA543" i="20"/>
  <c r="AA396"/>
  <c r="AA496"/>
  <c r="AB449"/>
  <c r="X148"/>
  <c r="BI627"/>
  <c r="BI777" s="1"/>
  <c r="BI860" s="1"/>
  <c r="N174" i="21"/>
  <c r="M162"/>
  <c r="AA515" i="20"/>
  <c r="AB468"/>
  <c r="AA415"/>
  <c r="AA562"/>
  <c r="AA560"/>
  <c r="AA413"/>
  <c r="AA513"/>
  <c r="AB466"/>
  <c r="AB447"/>
  <c r="AA541"/>
  <c r="AA494"/>
  <c r="AA394"/>
  <c r="E185" i="21"/>
  <c r="G185" s="1"/>
  <c r="T191" i="20"/>
  <c r="E191" i="21" s="1"/>
  <c r="G191" s="1"/>
  <c r="BI727" i="20"/>
  <c r="BI730"/>
  <c r="CO901" s="1"/>
  <c r="BI662"/>
  <c r="BI664" s="1"/>
  <c r="CO849"/>
  <c r="CT849" s="1"/>
  <c r="BI726"/>
  <c r="BI728" s="1"/>
  <c r="AV769"/>
  <c r="AV770" s="1"/>
  <c r="AV780" s="1"/>
  <c r="AV786" s="1"/>
  <c r="K140"/>
  <c r="CC871"/>
  <c r="BE819"/>
  <c r="BI805"/>
  <c r="BI758"/>
  <c r="BJ663"/>
  <c r="CR851" s="1"/>
  <c r="CW851" s="1"/>
  <c r="Y46"/>
  <c r="Y41"/>
  <c r="AA395"/>
  <c r="AA542"/>
  <c r="AA495"/>
  <c r="AB448"/>
  <c r="AA536"/>
  <c r="AA489"/>
  <c r="AB442"/>
  <c r="AA389"/>
  <c r="BH772"/>
  <c r="BH854" s="1"/>
  <c r="AA555"/>
  <c r="AA508"/>
  <c r="AB461"/>
  <c r="AA408"/>
  <c r="H58" i="21"/>
  <c r="H166"/>
  <c r="AA392" i="20"/>
  <c r="AB445"/>
  <c r="AA492"/>
  <c r="AA539"/>
  <c r="AA412"/>
  <c r="AA31" s="1"/>
  <c r="AA559"/>
  <c r="AA512"/>
  <c r="AB465"/>
  <c r="AA552"/>
  <c r="AA405"/>
  <c r="AB458"/>
  <c r="AA505"/>
  <c r="H78" i="21"/>
  <c r="H179" s="1"/>
  <c r="P78"/>
  <c r="P179" s="1"/>
  <c r="G78"/>
  <c r="O78"/>
  <c r="O179" s="1"/>
  <c r="J78"/>
  <c r="J179" s="1"/>
  <c r="R78"/>
  <c r="R179" s="1"/>
  <c r="N78"/>
  <c r="N179" s="1"/>
  <c r="Q78"/>
  <c r="Q179" s="1"/>
  <c r="K78"/>
  <c r="K179" s="1"/>
  <c r="M78"/>
  <c r="M179" s="1"/>
  <c r="I78"/>
  <c r="I179" s="1"/>
  <c r="I180" s="1"/>
  <c r="L78"/>
  <c r="L179" s="1"/>
  <c r="BF638" i="20"/>
  <c r="BF795"/>
  <c r="X250"/>
  <c r="X251" s="1"/>
  <c r="Y249"/>
  <c r="W49"/>
  <c r="X253"/>
  <c r="CI854"/>
  <c r="CN852"/>
  <c r="C364" i="57"/>
  <c r="F375" i="58"/>
  <c r="BH765" i="20"/>
  <c r="BH767" s="1"/>
  <c r="BH720"/>
  <c r="Q76" i="21"/>
  <c r="O76"/>
  <c r="N76"/>
  <c r="R76"/>
  <c r="K76"/>
  <c r="H76"/>
  <c r="L76"/>
  <c r="J76"/>
  <c r="I76"/>
  <c r="M76"/>
  <c r="G76"/>
  <c r="P76"/>
  <c r="X93" i="20"/>
  <c r="X136"/>
  <c r="X138" s="1"/>
  <c r="O183" i="21"/>
  <c r="N167"/>
  <c r="U190" i="20"/>
  <c r="U191" s="1"/>
  <c r="K170" i="21"/>
  <c r="P186"/>
  <c r="O168"/>
  <c r="P168"/>
  <c r="I162"/>
  <c r="N164"/>
  <c r="Q233" i="20"/>
  <c r="CC856"/>
  <c r="J161" i="21"/>
  <c r="BI684" i="20"/>
  <c r="U165"/>
  <c r="Y176"/>
  <c r="BJ671"/>
  <c r="AA488"/>
  <c r="J5" i="67" s="1"/>
  <c r="J30" s="1"/>
  <c r="AB441" i="20"/>
  <c r="AA388"/>
  <c r="AA535"/>
  <c r="AA493"/>
  <c r="AB446"/>
  <c r="AA393"/>
  <c r="AA540"/>
  <c r="BJ670"/>
  <c r="BJ804" s="1"/>
  <c r="Y175"/>
  <c r="W68"/>
  <c r="BG656"/>
  <c r="BG599"/>
  <c r="V186"/>
  <c r="W27"/>
  <c r="V162"/>
  <c r="W45"/>
  <c r="BG628"/>
  <c r="BG791" s="1"/>
  <c r="BG868" s="1"/>
  <c r="W194"/>
  <c r="W196" s="1"/>
  <c r="W210" s="1"/>
  <c r="BH591"/>
  <c r="BH823" s="1"/>
  <c r="BH855" s="1"/>
  <c r="R58" i="21"/>
  <c r="R166"/>
  <c r="BK609" i="20"/>
  <c r="BI743"/>
  <c r="CO896" s="1"/>
  <c r="BJ714"/>
  <c r="BK653"/>
  <c r="AA65"/>
  <c r="Z228"/>
  <c r="AA504"/>
  <c r="AA404"/>
  <c r="AB457"/>
  <c r="AA551"/>
  <c r="BF793"/>
  <c r="BF870" s="1"/>
  <c r="BF631"/>
  <c r="AA544"/>
  <c r="AA497"/>
  <c r="AB450"/>
  <c r="AA397"/>
  <c r="BG626"/>
  <c r="BG790" s="1"/>
  <c r="V161"/>
  <c r="W43"/>
  <c r="BI623"/>
  <c r="BI774" s="1"/>
  <c r="BI857" s="1"/>
  <c r="X145"/>
  <c r="BH589"/>
  <c r="BH698" s="1"/>
  <c r="J167" i="21"/>
  <c r="BJ707" i="20"/>
  <c r="M183" i="21"/>
  <c r="Q170"/>
  <c r="N170"/>
  <c r="N186"/>
  <c r="J186"/>
  <c r="J168"/>
  <c r="Q168"/>
  <c r="Q162"/>
  <c r="H164"/>
  <c r="Q189"/>
  <c r="Q190" s="1"/>
  <c r="N189"/>
  <c r="BE645" i="20"/>
  <c r="BE706" s="1"/>
  <c r="Q184" i="21"/>
  <c r="J169"/>
  <c r="O161"/>
  <c r="BG825" i="20"/>
  <c r="BG839" s="1"/>
  <c r="H171" i="21"/>
  <c r="K171"/>
  <c r="C232"/>
  <c r="AY802" i="20"/>
  <c r="N173"/>
  <c r="F41" i="70" s="1"/>
  <c r="CC867" i="20"/>
  <c r="CH854"/>
  <c r="O14" i="19"/>
  <c r="N7" i="68" s="1"/>
  <c r="BK648" i="20"/>
  <c r="AA60"/>
  <c r="Z219"/>
  <c r="BJ719"/>
  <c r="BJ717"/>
  <c r="BJ718"/>
  <c r="BJ716"/>
  <c r="BJ713"/>
  <c r="BJ725"/>
  <c r="BJ724"/>
  <c r="BJ747"/>
  <c r="BJ721"/>
  <c r="CR848"/>
  <c r="AA391"/>
  <c r="AA538"/>
  <c r="AB444"/>
  <c r="AA491"/>
  <c r="BI894"/>
  <c r="BI838"/>
  <c r="P64" i="22"/>
  <c r="K70"/>
  <c r="N70" s="1"/>
  <c r="P66"/>
  <c r="N69"/>
  <c r="P67"/>
  <c r="P69"/>
  <c r="P62"/>
  <c r="P68"/>
  <c r="P61"/>
  <c r="P65"/>
  <c r="P63"/>
  <c r="Z261" i="20"/>
  <c r="X50"/>
  <c r="BI634" s="1"/>
  <c r="Y265"/>
  <c r="Y262"/>
  <c r="AB66"/>
  <c r="AA224"/>
  <c r="BL654"/>
  <c r="I58" i="21"/>
  <c r="I166"/>
  <c r="BF667" i="20"/>
  <c r="BF808" s="1"/>
  <c r="U179"/>
  <c r="U180" s="1"/>
  <c r="BE871"/>
  <c r="BE801"/>
  <c r="O160" i="21"/>
  <c r="O159"/>
  <c r="AA548" i="20"/>
  <c r="AB454"/>
  <c r="AA501"/>
  <c r="J6" i="67" s="1"/>
  <c r="J31" s="1"/>
  <c r="AA401" i="20"/>
  <c r="BG630"/>
  <c r="V164"/>
  <c r="W47"/>
  <c r="AA33"/>
  <c r="BK615"/>
  <c r="BK702" s="1"/>
  <c r="Z276"/>
  <c r="Y305"/>
  <c r="Z278"/>
  <c r="AA517"/>
  <c r="AA417"/>
  <c r="AA564"/>
  <c r="AB470"/>
  <c r="BK602"/>
  <c r="BK685" s="1"/>
  <c r="BK811" s="1"/>
  <c r="CU870" s="1"/>
  <c r="U18" i="19" s="1"/>
  <c r="T11" i="68" s="1"/>
  <c r="T43" s="1"/>
  <c r="Z95" i="20"/>
  <c r="Z182" s="1"/>
  <c r="J126" i="19"/>
  <c r="CA897" i="20"/>
  <c r="J38" i="19"/>
  <c r="E222" s="1"/>
  <c r="X144" i="20"/>
  <c r="BI594"/>
  <c r="BI773" s="1"/>
  <c r="BI856" s="1"/>
  <c r="R167" i="21"/>
  <c r="H170"/>
  <c r="H184"/>
  <c r="U172" i="20"/>
  <c r="H169" i="21"/>
  <c r="Y94" i="20"/>
  <c r="N171" i="21"/>
  <c r="BJ672" i="20"/>
  <c r="BJ806" s="1"/>
  <c r="Y177"/>
  <c r="BJ587"/>
  <c r="Y142"/>
  <c r="Y20"/>
  <c r="BF755"/>
  <c r="BF597"/>
  <c r="BF812"/>
  <c r="BF756"/>
  <c r="AB456"/>
  <c r="AA403"/>
  <c r="AA550"/>
  <c r="AA503"/>
  <c r="J7" i="67" s="1"/>
  <c r="J32" s="1"/>
  <c r="BK788" i="20"/>
  <c r="CU884" s="1"/>
  <c r="Z159"/>
  <c r="N58" i="21"/>
  <c r="N166"/>
  <c r="O166"/>
  <c r="O58"/>
  <c r="Y192" i="20"/>
  <c r="BJ603"/>
  <c r="BJ821" s="1"/>
  <c r="BJ882" s="1"/>
  <c r="Z29"/>
  <c r="V425"/>
  <c r="V78" s="1"/>
  <c r="W423"/>
  <c r="D46" i="22"/>
  <c r="AS710" i="20"/>
  <c r="I38" i="19"/>
  <c r="D222" s="1"/>
  <c r="I126"/>
  <c r="H173" i="20"/>
  <c r="AS802"/>
  <c r="AS810" s="1"/>
  <c r="BI629"/>
  <c r="BI792" s="1"/>
  <c r="BI869" s="1"/>
  <c r="X163"/>
  <c r="AY769"/>
  <c r="N140"/>
  <c r="C233" i="21"/>
  <c r="T66" i="22"/>
  <c r="T74" s="1"/>
  <c r="BJ611" i="20"/>
  <c r="BJ817"/>
  <c r="BJ880" s="1"/>
  <c r="CL900"/>
  <c r="BH729"/>
  <c r="AA507"/>
  <c r="AA554"/>
  <c r="AA407"/>
  <c r="AA28" s="1"/>
  <c r="AB460"/>
  <c r="AA557"/>
  <c r="AB463"/>
  <c r="AA410"/>
  <c r="AA30" s="1"/>
  <c r="AA510"/>
  <c r="X143"/>
  <c r="X22"/>
  <c r="BI590"/>
  <c r="BI772" s="1"/>
  <c r="BI854" s="1"/>
  <c r="AA486"/>
  <c r="J3" i="67" s="1"/>
  <c r="J28" s="1"/>
  <c r="AA386" i="20"/>
  <c r="AA71" s="1"/>
  <c r="AB439"/>
  <c r="AA533"/>
  <c r="Q183" i="21"/>
  <c r="K167"/>
  <c r="BI605" i="20"/>
  <c r="BI701" s="1"/>
  <c r="H186" i="21"/>
  <c r="L186"/>
  <c r="J162"/>
  <c r="K164"/>
  <c r="K189"/>
  <c r="O184"/>
  <c r="Z91" i="20"/>
  <c r="BK681" s="1"/>
  <c r="Q169" i="21"/>
  <c r="I171"/>
  <c r="O171"/>
  <c r="AB467" i="20"/>
  <c r="AA514"/>
  <c r="AA561"/>
  <c r="AA414"/>
  <c r="M166" i="21"/>
  <c r="M58"/>
  <c r="BF799" i="20"/>
  <c r="BF875" s="1"/>
  <c r="BF644"/>
  <c r="AB471"/>
  <c r="AA418"/>
  <c r="AA565"/>
  <c r="AA518"/>
  <c r="I26" i="19"/>
  <c r="D217" s="1"/>
  <c r="I114"/>
  <c r="BJ673" i="20"/>
  <c r="BJ807" s="1"/>
  <c r="Y178"/>
  <c r="AA272"/>
  <c r="AB271"/>
  <c r="L58" i="21"/>
  <c r="L166"/>
  <c r="W56" i="20"/>
  <c r="BG641"/>
  <c r="V170"/>
  <c r="CP853"/>
  <c r="CP861"/>
  <c r="CP851"/>
  <c r="CP857"/>
  <c r="CP860"/>
  <c r="CP850"/>
  <c r="CP848"/>
  <c r="CP854"/>
  <c r="S15" i="19" s="1"/>
  <c r="R8" i="68" s="1"/>
  <c r="R40" s="1"/>
  <c r="CP856" i="20"/>
  <c r="CP858"/>
  <c r="CT848"/>
  <c r="T13" i="19" s="1"/>
  <c r="S6" i="68" s="1"/>
  <c r="S38" s="1"/>
  <c r="S12" i="19"/>
  <c r="R5" i="68" s="1"/>
  <c r="R37" s="1"/>
  <c r="CP852" i="20"/>
  <c r="CP862"/>
  <c r="CP849"/>
  <c r="AA400"/>
  <c r="AA547"/>
  <c r="AA500"/>
  <c r="AB453"/>
  <c r="Z195"/>
  <c r="BK680"/>
  <c r="BF803"/>
  <c r="BF676"/>
  <c r="AB469"/>
  <c r="AA563"/>
  <c r="AA416"/>
  <c r="AA516"/>
  <c r="BI624"/>
  <c r="BI775" s="1"/>
  <c r="BI858" s="1"/>
  <c r="X146"/>
  <c r="C216" i="21"/>
  <c r="N215" i="20"/>
  <c r="C215" i="21" s="1"/>
  <c r="BJ685" i="20"/>
  <c r="BJ811" s="1"/>
  <c r="CR870" s="1"/>
  <c r="T18" i="19" s="1"/>
  <c r="S11" i="68" s="1"/>
  <c r="S43" s="1"/>
  <c r="BK649" i="20"/>
  <c r="Z220"/>
  <c r="AA61"/>
  <c r="E46" i="22"/>
  <c r="AY710" i="20"/>
  <c r="BG669"/>
  <c r="CI857" s="1"/>
  <c r="W80"/>
  <c r="Z84"/>
  <c r="Z83"/>
  <c r="Z82"/>
  <c r="Z923"/>
  <c r="Z85"/>
  <c r="BK674" s="1"/>
  <c r="Z81"/>
  <c r="Z74"/>
  <c r="BK660"/>
  <c r="Z19"/>
  <c r="Z42"/>
  <c r="BK625" s="1"/>
  <c r="Z72"/>
  <c r="Z86"/>
  <c r="BK675" s="1"/>
  <c r="G58" i="21"/>
  <c r="N168"/>
  <c r="N162"/>
  <c r="J189"/>
  <c r="N184"/>
  <c r="K166"/>
  <c r="K58"/>
  <c r="T233" i="20"/>
  <c r="E231" i="21"/>
  <c r="G231" s="1"/>
  <c r="T232" i="20"/>
  <c r="AA534"/>
  <c r="AA387"/>
  <c r="AA487"/>
  <c r="J4" i="67" s="1"/>
  <c r="J29" s="1"/>
  <c r="AB440" i="20"/>
  <c r="Y40"/>
  <c r="Y73"/>
  <c r="Y75" s="1"/>
  <c r="Y23"/>
  <c r="Y21"/>
  <c r="BJ661"/>
  <c r="Y44"/>
  <c r="V183"/>
  <c r="W24"/>
  <c r="BG595"/>
  <c r="BB802"/>
  <c r="BB810" s="1"/>
  <c r="Q173"/>
  <c r="BE870"/>
  <c r="BE794"/>
  <c r="BF614"/>
  <c r="BF818"/>
  <c r="BF881" s="1"/>
  <c r="Q166" i="21"/>
  <c r="Q58"/>
  <c r="P58"/>
  <c r="P166"/>
  <c r="E376" i="58"/>
  <c r="AW8" i="51"/>
  <c r="AG29" i="21"/>
  <c r="AF32"/>
  <c r="P16" s="1"/>
  <c r="AG30"/>
  <c r="AG31" s="1"/>
  <c r="Q15" s="1"/>
  <c r="BG668" i="20"/>
  <c r="V174"/>
  <c r="W79"/>
  <c r="AA511"/>
  <c r="AA411"/>
  <c r="AA558"/>
  <c r="AB464"/>
  <c r="W57"/>
  <c r="BG642"/>
  <c r="BG800" s="1"/>
  <c r="BG876" s="1"/>
  <c r="V171"/>
  <c r="BE814"/>
  <c r="BE877"/>
  <c r="C364" i="56"/>
  <c r="H375" i="58"/>
  <c r="AQ652" i="20"/>
  <c r="AR655"/>
  <c r="AP658"/>
  <c r="AP757"/>
  <c r="AP745"/>
  <c r="AP758"/>
  <c r="AP709"/>
  <c r="AQ654"/>
  <c r="AQ649"/>
  <c r="AP708"/>
  <c r="AQ648"/>
  <c r="AU655"/>
  <c r="AQ653"/>
  <c r="AQ655"/>
  <c r="AQ650"/>
  <c r="AQ651"/>
  <c r="X193"/>
  <c r="BI588"/>
  <c r="BG637"/>
  <c r="BG796" s="1"/>
  <c r="BG872" s="1"/>
  <c r="W53"/>
  <c r="V167"/>
  <c r="E155" i="21"/>
  <c r="G155" s="1"/>
  <c r="BE741" i="20"/>
  <c r="BE737"/>
  <c r="J114" i="19"/>
  <c r="J26"/>
  <c r="E217" s="1"/>
  <c r="BK606" i="20"/>
  <c r="CK857"/>
  <c r="CF875"/>
  <c r="CK875" s="1"/>
  <c r="I183" i="21"/>
  <c r="J183"/>
  <c r="J185" s="1"/>
  <c r="P167"/>
  <c r="J170"/>
  <c r="L168"/>
  <c r="P164"/>
  <c r="L184"/>
  <c r="I184"/>
  <c r="N169"/>
  <c r="Y221" i="20"/>
  <c r="Y230" s="1"/>
  <c r="Y207" s="1"/>
  <c r="Y209" s="1"/>
  <c r="Q171" i="21"/>
  <c r="AB380" i="20"/>
  <c r="AB39" s="1"/>
  <c r="BM622" s="1"/>
  <c r="AB340"/>
  <c r="AB365"/>
  <c r="AA381"/>
  <c r="AA51" s="1"/>
  <c r="BL635" s="1"/>
  <c r="AC342"/>
  <c r="AK140" i="16"/>
  <c r="AK37" s="1"/>
  <c r="AP37" s="1"/>
  <c r="AK27"/>
  <c r="AP21"/>
  <c r="AV18"/>
  <c r="AC101" i="19"/>
  <c r="AT292" i="16"/>
  <c r="AT265"/>
  <c r="AT210"/>
  <c r="AT14" s="1"/>
  <c r="AT16" s="1"/>
  <c r="AT21" s="1"/>
  <c r="AT27" s="1"/>
  <c r="AK226"/>
  <c r="AN254"/>
  <c r="AK308"/>
  <c r="AK281"/>
  <c r="AN112"/>
  <c r="AN109"/>
  <c r="AN110" s="1"/>
  <c r="AN155"/>
  <c r="AN158"/>
  <c r="AK201"/>
  <c r="D351"/>
  <c r="I46"/>
  <c r="P122" i="19"/>
  <c r="G44" i="16"/>
  <c r="AV24"/>
  <c r="AC106" i="19"/>
  <c r="AN99" i="16"/>
  <c r="AN96"/>
  <c r="AN97" s="1"/>
  <c r="AN194"/>
  <c r="AN195" s="1"/>
  <c r="AN197"/>
  <c r="AN21"/>
  <c r="AS16"/>
  <c r="AB99" i="19"/>
  <c r="AQ16" i="16"/>
  <c r="AK199"/>
  <c r="AK38" s="1"/>
  <c r="AP38" s="1"/>
  <c r="AV19"/>
  <c r="AC102" i="19"/>
  <c r="AQ257" i="16"/>
  <c r="AN229"/>
  <c r="AM27"/>
  <c r="AT299"/>
  <c r="AT272"/>
  <c r="AT217"/>
  <c r="AT24" s="1"/>
  <c r="J371"/>
  <c r="AQ262"/>
  <c r="AQ192"/>
  <c r="AQ207"/>
  <c r="AQ179"/>
  <c r="AQ133"/>
  <c r="AQ166"/>
  <c r="AQ120"/>
  <c r="AQ289"/>
  <c r="AQ235"/>
  <c r="AQ153"/>
  <c r="AQ61"/>
  <c r="AQ53"/>
  <c r="AQ392" s="1"/>
  <c r="AT11"/>
  <c r="AQ81"/>
  <c r="AQ107"/>
  <c r="AQ31"/>
  <c r="AV31" s="1"/>
  <c r="AQ94"/>
  <c r="AQ30"/>
  <c r="Q423"/>
  <c r="AN184"/>
  <c r="AN181"/>
  <c r="AN182" s="1"/>
  <c r="AT293"/>
  <c r="AT266"/>
  <c r="AT211"/>
  <c r="AT18" s="1"/>
  <c r="AA104" i="19"/>
  <c r="AA107" s="1"/>
  <c r="AA100"/>
  <c r="AT271" i="16"/>
  <c r="AT216"/>
  <c r="AT23" s="1"/>
  <c r="AT298"/>
  <c r="AM37"/>
  <c r="Z120" i="19"/>
  <c r="AN83" i="16"/>
  <c r="AN86"/>
  <c r="AN171"/>
  <c r="AN168"/>
  <c r="AN169" s="1"/>
  <c r="AK84"/>
  <c r="AK141" s="1"/>
  <c r="AK48" s="1"/>
  <c r="AP48" s="1"/>
  <c r="AK142"/>
  <c r="AN255"/>
  <c r="AK227"/>
  <c r="AK309"/>
  <c r="AK282"/>
  <c r="AT51"/>
  <c r="AV51"/>
  <c r="AT222"/>
  <c r="AT304"/>
  <c r="AT277"/>
  <c r="AN122"/>
  <c r="AN123" s="1"/>
  <c r="AN125"/>
  <c r="AV23"/>
  <c r="AC103" i="19"/>
  <c r="AS30" i="16"/>
  <c r="AB111" i="19"/>
  <c r="AT212" i="16"/>
  <c r="AT19" s="1"/>
  <c r="AT294"/>
  <c r="AT267"/>
  <c r="AN138"/>
  <c r="AN135"/>
  <c r="AN136" s="1"/>
  <c r="AK156"/>
  <c r="AK200" s="1"/>
  <c r="AK49" s="1"/>
  <c r="AP49" s="1"/>
  <c r="AE371" i="20"/>
  <c r="AE357"/>
  <c r="AD354"/>
  <c r="AE361"/>
  <c r="AE353"/>
  <c r="AG126"/>
  <c r="AG125"/>
  <c r="BO789"/>
  <c r="AD323"/>
  <c r="AC324"/>
  <c r="AD327"/>
  <c r="AC355"/>
  <c r="DJ893"/>
  <c r="DJ865"/>
  <c r="DJ846"/>
  <c r="BP763"/>
  <c r="Z11" i="19" s="1"/>
  <c r="BP696" i="20"/>
  <c r="AF938"/>
  <c r="BQ583"/>
  <c r="AF428"/>
  <c r="AF422"/>
  <c r="AF385"/>
  <c r="AF311"/>
  <c r="AF218"/>
  <c r="AF234" s="1"/>
  <c r="AF351"/>
  <c r="AF270"/>
  <c r="AF345"/>
  <c r="AF259"/>
  <c r="AF134"/>
  <c r="AF160" s="1"/>
  <c r="AG15"/>
  <c r="AF112"/>
  <c r="AF946"/>
  <c r="AF951"/>
  <c r="AF955"/>
  <c r="AF958" s="1"/>
  <c r="BT837"/>
  <c r="BT895" s="1"/>
  <c r="BT757"/>
  <c r="AI248"/>
  <c r="AB325"/>
  <c r="AA341"/>
  <c r="AD571"/>
  <c r="AD524"/>
  <c r="AE477"/>
  <c r="AD430"/>
  <c r="AD432"/>
  <c r="AE479"/>
  <c r="AC570"/>
  <c r="AC523"/>
  <c r="AD476"/>
  <c r="AC429"/>
  <c r="BN783"/>
  <c r="AC334"/>
  <c r="AC335" s="1"/>
  <c r="AD337"/>
  <c r="AD333"/>
  <c r="AD377"/>
  <c r="AD373"/>
  <c r="AC374"/>
  <c r="AH260"/>
  <c r="AE438"/>
  <c r="AE532"/>
  <c r="AE485"/>
  <c r="AE247"/>
  <c r="AI123"/>
  <c r="AI124" s="1"/>
  <c r="AH124"/>
  <c r="AD363"/>
  <c r="AD367"/>
  <c r="AC364"/>
  <c r="AI566"/>
  <c r="AI519"/>
  <c r="AI419"/>
  <c r="AE941"/>
  <c r="AE940"/>
  <c r="AE331"/>
  <c r="AD314"/>
  <c r="AE313"/>
  <c r="AE321"/>
  <c r="AE317"/>
  <c r="AE522"/>
  <c r="AE569"/>
  <c r="AE475"/>
  <c r="AD942"/>
  <c r="CK854" l="1"/>
  <c r="P14" i="19"/>
  <c r="O7" i="68" s="1"/>
  <c r="O39" s="1"/>
  <c r="R165" i="21"/>
  <c r="V190" i="20"/>
  <c r="Q180" i="21"/>
  <c r="CQ850" i="20"/>
  <c r="R180" i="21"/>
  <c r="N185"/>
  <c r="K173" i="20"/>
  <c r="K181" s="1"/>
  <c r="P180" i="21"/>
  <c r="AD382" i="20"/>
  <c r="M185" i="21"/>
  <c r="BH752" i="20"/>
  <c r="BH744"/>
  <c r="AH154"/>
  <c r="AS769"/>
  <c r="AS770" s="1"/>
  <c r="AS780" s="1"/>
  <c r="AS786" s="1"/>
  <c r="AS840" s="1"/>
  <c r="AS842" s="1"/>
  <c r="L185" i="21"/>
  <c r="AC340" i="20"/>
  <c r="I463" i="23"/>
  <c r="E464" s="1"/>
  <c r="C14" i="27" s="1"/>
  <c r="B14" s="1"/>
  <c r="B21" s="1"/>
  <c r="BA8" i="51" s="1"/>
  <c r="C2" i="56"/>
  <c r="I375" i="58"/>
  <c r="Q181" i="20"/>
  <c r="G49" i="70" s="1"/>
  <c r="G41"/>
  <c r="H181" i="20"/>
  <c r="E49" i="70" s="1"/>
  <c r="E41"/>
  <c r="N39" i="68"/>
  <c r="C45" i="67"/>
  <c r="C17"/>
  <c r="B52" s="1"/>
  <c r="C15"/>
  <c r="B53" s="1"/>
  <c r="Y96" i="19"/>
  <c r="Y4" i="68"/>
  <c r="Y36" s="1"/>
  <c r="F23" i="67"/>
  <c r="F23" i="66"/>
  <c r="C45"/>
  <c r="C15"/>
  <c r="C17"/>
  <c r="B51" s="1"/>
  <c r="E211" i="20"/>
  <c r="AC380"/>
  <c r="AC39" s="1"/>
  <c r="BN622" s="1"/>
  <c r="L165" i="21"/>
  <c r="AC325" i="20"/>
  <c r="AC341" s="1"/>
  <c r="CF856"/>
  <c r="CK856" s="1"/>
  <c r="N471"/>
  <c r="N518" s="1"/>
  <c r="F8" i="70"/>
  <c r="BI683" i="20"/>
  <c r="G11" i="66"/>
  <c r="G11" i="67"/>
  <c r="F36" i="66"/>
  <c r="F36" i="67"/>
  <c r="Q937" i="20"/>
  <c r="R937"/>
  <c r="AB341"/>
  <c r="K180" i="21"/>
  <c r="H180"/>
  <c r="K141" i="20"/>
  <c r="K151" s="1"/>
  <c r="K157" s="1"/>
  <c r="K471"/>
  <c r="H141"/>
  <c r="H471"/>
  <c r="L180" i="21"/>
  <c r="J180"/>
  <c r="I185"/>
  <c r="M190"/>
  <c r="L190"/>
  <c r="CO850" i="20"/>
  <c r="CT850" s="1"/>
  <c r="O190" i="21"/>
  <c r="K190"/>
  <c r="K191" s="1"/>
  <c r="P185"/>
  <c r="BE820" i="20"/>
  <c r="I165" i="21"/>
  <c r="CI62" i="19"/>
  <c r="K165" i="21"/>
  <c r="M180"/>
  <c r="O180"/>
  <c r="H190"/>
  <c r="O165"/>
  <c r="R185"/>
  <c r="BM657" i="20"/>
  <c r="AC69"/>
  <c r="BF809"/>
  <c r="H165" i="21"/>
  <c r="Q172"/>
  <c r="Z221" i="20"/>
  <c r="Z230" s="1"/>
  <c r="Z207" s="1"/>
  <c r="Z209" s="1"/>
  <c r="Z188"/>
  <c r="G78" i="22"/>
  <c r="P190" i="21"/>
  <c r="G87"/>
  <c r="R190"/>
  <c r="P165"/>
  <c r="N165"/>
  <c r="BJ605" i="20"/>
  <c r="BJ701" s="1"/>
  <c r="M165" i="21"/>
  <c r="I191"/>
  <c r="AA91" i="20"/>
  <c r="BL681" s="1"/>
  <c r="H185" i="21"/>
  <c r="Q165"/>
  <c r="CZ870" i="20"/>
  <c r="M172" i="21"/>
  <c r="BH825" i="20"/>
  <c r="BH839" s="1"/>
  <c r="J165" i="21"/>
  <c r="BH593" i="20"/>
  <c r="BH699" s="1"/>
  <c r="V185"/>
  <c r="O172" i="21"/>
  <c r="AV840" i="20"/>
  <c r="AV842" s="1"/>
  <c r="BF794"/>
  <c r="AA90"/>
  <c r="BL680" s="1"/>
  <c r="AB386"/>
  <c r="AB71" s="1"/>
  <c r="AB533"/>
  <c r="AC439"/>
  <c r="AB486"/>
  <c r="AB510"/>
  <c r="AC463"/>
  <c r="AB557"/>
  <c r="AB410"/>
  <c r="AB30" s="1"/>
  <c r="BM606" s="1"/>
  <c r="BM608" s="1"/>
  <c r="AA29"/>
  <c r="Z192"/>
  <c r="BK603"/>
  <c r="Z94"/>
  <c r="BH668"/>
  <c r="X79"/>
  <c r="W174"/>
  <c r="BJ594"/>
  <c r="BJ773" s="1"/>
  <c r="BJ856" s="1"/>
  <c r="Y144"/>
  <c r="BL606"/>
  <c r="BG667"/>
  <c r="BG808" s="1"/>
  <c r="V179"/>
  <c r="V180" s="1"/>
  <c r="AB538"/>
  <c r="AC444"/>
  <c r="AB391"/>
  <c r="AB491"/>
  <c r="BJ743"/>
  <c r="CR896" s="1"/>
  <c r="BK714"/>
  <c r="I155" i="21"/>
  <c r="I87"/>
  <c r="Q87"/>
  <c r="Q155"/>
  <c r="CI867" i="20"/>
  <c r="CN854"/>
  <c r="Q14" i="19"/>
  <c r="P7" i="68" s="1"/>
  <c r="AC442" i="20"/>
  <c r="AB489"/>
  <c r="AB389"/>
  <c r="AB536"/>
  <c r="BJ629"/>
  <c r="BJ792" s="1"/>
  <c r="BJ869" s="1"/>
  <c r="Y163"/>
  <c r="U139"/>
  <c r="E88" i="21"/>
  <c r="T147" i="20"/>
  <c r="BE678"/>
  <c r="BG638"/>
  <c r="BG795"/>
  <c r="Z187"/>
  <c r="P172" i="21"/>
  <c r="R172"/>
  <c r="N180"/>
  <c r="BI822" i="20"/>
  <c r="BI589"/>
  <c r="BI698" s="1"/>
  <c r="CZ884"/>
  <c r="U27" i="19"/>
  <c r="T20" i="68" s="1"/>
  <c r="T52" s="1"/>
  <c r="J155" i="21"/>
  <c r="J87"/>
  <c r="BG614" i="20"/>
  <c r="BG818"/>
  <c r="BG881" s="1"/>
  <c r="BK816"/>
  <c r="BK879" s="1"/>
  <c r="BK608"/>
  <c r="X53"/>
  <c r="W167"/>
  <c r="BH637"/>
  <c r="BH796" s="1"/>
  <c r="BH872" s="1"/>
  <c r="H114" i="19"/>
  <c r="E13" i="20"/>
  <c r="D13" i="21" s="1"/>
  <c r="H26" i="19"/>
  <c r="C217" s="1"/>
  <c r="BJ590" i="20"/>
  <c r="BJ772" s="1"/>
  <c r="BJ854" s="1"/>
  <c r="Y143"/>
  <c r="Y22"/>
  <c r="BK670"/>
  <c r="BK804" s="1"/>
  <c r="Z175"/>
  <c r="AY748"/>
  <c r="AY749"/>
  <c r="BL788"/>
  <c r="CX884" s="1"/>
  <c r="AA159"/>
  <c r="AB418"/>
  <c r="AB518"/>
  <c r="AB565"/>
  <c r="AC471"/>
  <c r="AB514"/>
  <c r="AB414"/>
  <c r="AC467"/>
  <c r="AB561"/>
  <c r="X423"/>
  <c r="W425"/>
  <c r="W78" s="1"/>
  <c r="BF877"/>
  <c r="BF814"/>
  <c r="CR899"/>
  <c r="BK611"/>
  <c r="BK817"/>
  <c r="BK880" s="1"/>
  <c r="CG872"/>
  <c r="CG886"/>
  <c r="CK867"/>
  <c r="CG869"/>
  <c r="CG871"/>
  <c r="CG870"/>
  <c r="CG867"/>
  <c r="CG882"/>
  <c r="CG876"/>
  <c r="CG883"/>
  <c r="CG890"/>
  <c r="CG877"/>
  <c r="CG885"/>
  <c r="CG884"/>
  <c r="CG887"/>
  <c r="CG891"/>
  <c r="CG874"/>
  <c r="CG878"/>
  <c r="CG868"/>
  <c r="CG889"/>
  <c r="CG879"/>
  <c r="CG880"/>
  <c r="CG881"/>
  <c r="CG875"/>
  <c r="AB535"/>
  <c r="AB488"/>
  <c r="AC441"/>
  <c r="AB388"/>
  <c r="BB769"/>
  <c r="BB770" s="1"/>
  <c r="BB780" s="1"/>
  <c r="BB786" s="1"/>
  <c r="BB840" s="1"/>
  <c r="BB842" s="1"/>
  <c r="Q140"/>
  <c r="M155" i="21"/>
  <c r="M87"/>
  <c r="O155"/>
  <c r="O87"/>
  <c r="AB559" i="20"/>
  <c r="AC465"/>
  <c r="AB412"/>
  <c r="AB31" s="1"/>
  <c r="BM609" s="1"/>
  <c r="BM611" s="1"/>
  <c r="AB512"/>
  <c r="Y146"/>
  <c r="BJ624"/>
  <c r="BJ775" s="1"/>
  <c r="BJ858" s="1"/>
  <c r="CH871"/>
  <c r="O19" i="19"/>
  <c r="N12" i="68" s="1"/>
  <c r="N44" s="1"/>
  <c r="BH636" i="20"/>
  <c r="X52"/>
  <c r="W166"/>
  <c r="CH880"/>
  <c r="O24" i="19"/>
  <c r="BH612" i="20"/>
  <c r="W189"/>
  <c r="X32"/>
  <c r="CF871"/>
  <c r="BF819"/>
  <c r="BE896"/>
  <c r="BK707"/>
  <c r="H172" i="21"/>
  <c r="AA92" i="20"/>
  <c r="AA278"/>
  <c r="AA276"/>
  <c r="Z305"/>
  <c r="AB501"/>
  <c r="AC454"/>
  <c r="AB548"/>
  <c r="AB401"/>
  <c r="BJ805"/>
  <c r="BJ758"/>
  <c r="AB506"/>
  <c r="AC459"/>
  <c r="AB406"/>
  <c r="AB553"/>
  <c r="CC895"/>
  <c r="CH858"/>
  <c r="H38" i="19"/>
  <c r="C222" s="1"/>
  <c r="H126"/>
  <c r="C365" i="56"/>
  <c r="C366" s="1"/>
  <c r="C367" s="1"/>
  <c r="C368" s="1"/>
  <c r="C369" s="1"/>
  <c r="C370" s="1"/>
  <c r="C371" s="1"/>
  <c r="C372" s="1"/>
  <c r="C373" s="1"/>
  <c r="C374" s="1"/>
  <c r="C375" s="1"/>
  <c r="C376" s="1"/>
  <c r="C377" s="1"/>
  <c r="C378" s="1"/>
  <c r="C379" s="1"/>
  <c r="C380" s="1"/>
  <c r="C381" s="1"/>
  <c r="C382" s="1"/>
  <c r="B364"/>
  <c r="B365" s="1"/>
  <c r="B366" s="1"/>
  <c r="B367" s="1"/>
  <c r="B368" s="1"/>
  <c r="B369" s="1"/>
  <c r="B370" s="1"/>
  <c r="B371" s="1"/>
  <c r="B372" s="1"/>
  <c r="B373" s="1"/>
  <c r="B374" s="1"/>
  <c r="B375" s="1"/>
  <c r="B376" s="1"/>
  <c r="B377" s="1"/>
  <c r="B378" s="1"/>
  <c r="B379" s="1"/>
  <c r="B380" s="1"/>
  <c r="B381" s="1"/>
  <c r="B382" s="1"/>
  <c r="B383" s="1"/>
  <c r="B384" s="1"/>
  <c r="B385" s="1"/>
  <c r="B386" s="1"/>
  <c r="B387" s="1"/>
  <c r="B388" s="1"/>
  <c r="B389" s="1"/>
  <c r="B390" s="1"/>
  <c r="B391" s="1"/>
  <c r="B392" s="1"/>
  <c r="B393" s="1"/>
  <c r="B394" s="1"/>
  <c r="B395" s="1"/>
  <c r="B396" s="1"/>
  <c r="B397" s="1"/>
  <c r="B398" s="1"/>
  <c r="B399" s="1"/>
  <c r="B400" s="1"/>
  <c r="B401" s="1"/>
  <c r="B402" s="1"/>
  <c r="B403" s="1"/>
  <c r="B404" s="1"/>
  <c r="B405" s="1"/>
  <c r="B406" s="1"/>
  <c r="B407" s="1"/>
  <c r="B408" s="1"/>
  <c r="B409" s="1"/>
  <c r="B410" s="1"/>
  <c r="B411" s="1"/>
  <c r="B412" s="1"/>
  <c r="B413" s="1"/>
  <c r="B414" s="1"/>
  <c r="B415" s="1"/>
  <c r="B416" s="1"/>
  <c r="B417" s="1"/>
  <c r="C2" i="57"/>
  <c r="E375" i="58"/>
  <c r="BJ662" i="20"/>
  <c r="BJ664" s="1"/>
  <c r="BJ727"/>
  <c r="CR900" s="1"/>
  <c r="CR849"/>
  <c r="BJ726"/>
  <c r="BJ728" s="1"/>
  <c r="BJ730"/>
  <c r="CR901" s="1"/>
  <c r="AB534"/>
  <c r="AB487"/>
  <c r="AC440"/>
  <c r="AB387"/>
  <c r="Z46"/>
  <c r="BK663"/>
  <c r="CU851" s="1"/>
  <c r="CZ851" s="1"/>
  <c r="Z41"/>
  <c r="CN857"/>
  <c r="CI875"/>
  <c r="CN875" s="1"/>
  <c r="CW870"/>
  <c r="AC469"/>
  <c r="AB563"/>
  <c r="AB516"/>
  <c r="AB416"/>
  <c r="AC271"/>
  <c r="AB272"/>
  <c r="AY770"/>
  <c r="AY780" s="1"/>
  <c r="AY786" s="1"/>
  <c r="CA877"/>
  <c r="BG631"/>
  <c r="BG793"/>
  <c r="BG870" s="1"/>
  <c r="Y38"/>
  <c r="BJ621" s="1"/>
  <c r="Y263"/>
  <c r="AA219"/>
  <c r="AB60"/>
  <c r="BL648"/>
  <c r="Y253"/>
  <c r="X49"/>
  <c r="Z249"/>
  <c r="Y250"/>
  <c r="Y37" s="1"/>
  <c r="AC450"/>
  <c r="AB544"/>
  <c r="AB497"/>
  <c r="AB397"/>
  <c r="AB404"/>
  <c r="AB551"/>
  <c r="AC457"/>
  <c r="AB504"/>
  <c r="BH656"/>
  <c r="X68"/>
  <c r="CC874"/>
  <c r="CH856"/>
  <c r="CC860"/>
  <c r="CH860" s="1"/>
  <c r="N155" i="21"/>
  <c r="N87"/>
  <c r="CO900" i="20"/>
  <c r="BI729"/>
  <c r="I172" i="21"/>
  <c r="V172" i="20"/>
  <c r="T64"/>
  <c r="T225" s="1"/>
  <c r="CC876"/>
  <c r="K172" i="21"/>
  <c r="Q185"/>
  <c r="Q191" s="1"/>
  <c r="N172"/>
  <c r="BJ836" i="20"/>
  <c r="BF645"/>
  <c r="BF706" s="1"/>
  <c r="AG32" i="21"/>
  <c r="Q16" s="1"/>
  <c r="AH29"/>
  <c r="AH32" s="1"/>
  <c r="R16" s="1"/>
  <c r="AH30"/>
  <c r="AH31" s="1"/>
  <c r="R15" s="1"/>
  <c r="BJ627" i="20"/>
  <c r="BJ777" s="1"/>
  <c r="BJ860" s="1"/>
  <c r="Y148"/>
  <c r="BK719"/>
  <c r="BK718"/>
  <c r="BK717"/>
  <c r="BK713"/>
  <c r="BK724"/>
  <c r="BK725"/>
  <c r="BK747"/>
  <c r="CU848"/>
  <c r="BK716"/>
  <c r="BK721"/>
  <c r="X80"/>
  <c r="BH669"/>
  <c r="CL857" s="1"/>
  <c r="AB547"/>
  <c r="AB500"/>
  <c r="AC453"/>
  <c r="AB400"/>
  <c r="BI591"/>
  <c r="X194"/>
  <c r="X196" s="1"/>
  <c r="X210" s="1"/>
  <c r="N141"/>
  <c r="F9" i="70" s="1"/>
  <c r="C140" i="21"/>
  <c r="AS749" i="20"/>
  <c r="AS748"/>
  <c r="AB403"/>
  <c r="AB503"/>
  <c r="AC456"/>
  <c r="AB550"/>
  <c r="AC66"/>
  <c r="AB224"/>
  <c r="BM654"/>
  <c r="BH628"/>
  <c r="BH791" s="1"/>
  <c r="BH868" s="1"/>
  <c r="W162"/>
  <c r="X45"/>
  <c r="P155" i="21"/>
  <c r="P87"/>
  <c r="R155"/>
  <c r="R87"/>
  <c r="C365" i="57"/>
  <c r="C366" s="1"/>
  <c r="C367" s="1"/>
  <c r="C368" s="1"/>
  <c r="C369" s="1"/>
  <c r="C370" s="1"/>
  <c r="C371" s="1"/>
  <c r="C372" s="1"/>
  <c r="C373" s="1"/>
  <c r="C374" s="1"/>
  <c r="C375" s="1"/>
  <c r="C376" s="1"/>
  <c r="C377" s="1"/>
  <c r="C378" s="1"/>
  <c r="C379" s="1"/>
  <c r="C380" s="1"/>
  <c r="C381" s="1"/>
  <c r="C382" s="1"/>
  <c r="C383" s="1"/>
  <c r="C384" s="1"/>
  <c r="B364"/>
  <c r="B365" s="1"/>
  <c r="B366" s="1"/>
  <c r="B367" s="1"/>
  <c r="B368" s="1"/>
  <c r="B369" s="1"/>
  <c r="B370" s="1"/>
  <c r="B371" s="1"/>
  <c r="B372" s="1"/>
  <c r="B373" s="1"/>
  <c r="B374" s="1"/>
  <c r="B375" s="1"/>
  <c r="B376" s="1"/>
  <c r="B377" s="1"/>
  <c r="B378" s="1"/>
  <c r="B379" s="1"/>
  <c r="B380" s="1"/>
  <c r="B381" s="1"/>
  <c r="B382" s="1"/>
  <c r="B383" s="1"/>
  <c r="B384" s="1"/>
  <c r="B385" s="1"/>
  <c r="B386" s="1"/>
  <c r="B387" s="1"/>
  <c r="B388" s="1"/>
  <c r="B389" s="1"/>
  <c r="B390" s="1"/>
  <c r="B391" s="1"/>
  <c r="B392" s="1"/>
  <c r="B393" s="1"/>
  <c r="B394" s="1"/>
  <c r="B395" s="1"/>
  <c r="B396" s="1"/>
  <c r="B397" s="1"/>
  <c r="B398" s="1"/>
  <c r="B399" s="1"/>
  <c r="B400" s="1"/>
  <c r="B401" s="1"/>
  <c r="B402" s="1"/>
  <c r="B403" s="1"/>
  <c r="B404" s="1"/>
  <c r="B405" s="1"/>
  <c r="B406" s="1"/>
  <c r="B407" s="1"/>
  <c r="B408" s="1"/>
  <c r="B409" s="1"/>
  <c r="B410" s="1"/>
  <c r="B411" s="1"/>
  <c r="B412" s="1"/>
  <c r="B413" s="1"/>
  <c r="B414" s="1"/>
  <c r="B415" s="1"/>
  <c r="B416" s="1"/>
  <c r="B417" s="1"/>
  <c r="BF801" i="20"/>
  <c r="BF871"/>
  <c r="AB492"/>
  <c r="AB539"/>
  <c r="AB392"/>
  <c r="AC445"/>
  <c r="AB513"/>
  <c r="AC466"/>
  <c r="AB560"/>
  <c r="AB413"/>
  <c r="CR853"/>
  <c r="CW853" s="1"/>
  <c r="BJ766"/>
  <c r="BJ824"/>
  <c r="BJ883" s="1"/>
  <c r="N190" i="21"/>
  <c r="J172"/>
  <c r="C46" i="22"/>
  <c r="AP710" i="20"/>
  <c r="AB411"/>
  <c r="AC464"/>
  <c r="AB511"/>
  <c r="AB558"/>
  <c r="BE769"/>
  <c r="E233" i="21"/>
  <c r="G233" s="1"/>
  <c r="T140" i="20"/>
  <c r="Z20"/>
  <c r="Z142"/>
  <c r="BK587"/>
  <c r="BK771" s="1"/>
  <c r="BK852" s="1"/>
  <c r="Z178"/>
  <c r="BK673"/>
  <c r="BK807" s="1"/>
  <c r="BL602"/>
  <c r="AA95"/>
  <c r="AA182" s="1"/>
  <c r="BJ771"/>
  <c r="BJ852" s="1"/>
  <c r="W164"/>
  <c r="X47"/>
  <c r="BH630"/>
  <c r="AY810"/>
  <c r="CA878"/>
  <c r="CE878" s="1"/>
  <c r="BG867"/>
  <c r="BG815"/>
  <c r="BG601"/>
  <c r="BI752"/>
  <c r="BI746"/>
  <c r="BI744"/>
  <c r="K155" i="21"/>
  <c r="K87"/>
  <c r="X37" i="20"/>
  <c r="AB405"/>
  <c r="AC458"/>
  <c r="AB552"/>
  <c r="AB505"/>
  <c r="BI765"/>
  <c r="BI767" s="1"/>
  <c r="BI720"/>
  <c r="AC447"/>
  <c r="AB394"/>
  <c r="AB541"/>
  <c r="AB494"/>
  <c r="W184"/>
  <c r="X25"/>
  <c r="BH596"/>
  <c r="BH813" s="1"/>
  <c r="BH878" s="1"/>
  <c r="AB502"/>
  <c r="AB549"/>
  <c r="AC455"/>
  <c r="AB402"/>
  <c r="W347"/>
  <c r="X54"/>
  <c r="BH639"/>
  <c r="BH797" s="1"/>
  <c r="BH873" s="1"/>
  <c r="W168"/>
  <c r="B726" i="57"/>
  <c r="B727" s="1"/>
  <c r="B728" s="1"/>
  <c r="B729" s="1"/>
  <c r="B730" s="1"/>
  <c r="B731" s="1"/>
  <c r="B732" s="1"/>
  <c r="B733" s="1"/>
  <c r="B734" s="1"/>
  <c r="B735" s="1"/>
  <c r="B736" s="1"/>
  <c r="B737" s="1"/>
  <c r="B738" s="1"/>
  <c r="B739" s="1"/>
  <c r="B740" s="1"/>
  <c r="B741" s="1"/>
  <c r="B742" s="1"/>
  <c r="B743" s="1"/>
  <c r="B744" s="1"/>
  <c r="B745" s="1"/>
  <c r="B746" s="1"/>
  <c r="B747" s="1"/>
  <c r="B748" s="1"/>
  <c r="B749" s="1"/>
  <c r="B750" s="1"/>
  <c r="B751" s="1"/>
  <c r="B752" s="1"/>
  <c r="B753" s="1"/>
  <c r="B754" s="1"/>
  <c r="B755" s="1"/>
  <c r="B756" s="1"/>
  <c r="B757" s="1"/>
  <c r="B758" s="1"/>
  <c r="B759" s="1"/>
  <c r="B760" s="1"/>
  <c r="B761" s="1"/>
  <c r="B762" s="1"/>
  <c r="B763" s="1"/>
  <c r="B764" s="1"/>
  <c r="B765" s="1"/>
  <c r="B766" s="1"/>
  <c r="B767" s="1"/>
  <c r="B768" s="1"/>
  <c r="B769" s="1"/>
  <c r="B770" s="1"/>
  <c r="B771" s="1"/>
  <c r="B772" s="1"/>
  <c r="B773" s="1"/>
  <c r="B774" s="1"/>
  <c r="B775" s="1"/>
  <c r="B776" s="1"/>
  <c r="B777" s="1"/>
  <c r="B778" s="1"/>
  <c r="B779" s="1"/>
  <c r="C727"/>
  <c r="C728" s="1"/>
  <c r="C729" s="1"/>
  <c r="C730" s="1"/>
  <c r="C731" s="1"/>
  <c r="C732" s="1"/>
  <c r="C733" s="1"/>
  <c r="C734" s="1"/>
  <c r="C735" s="1"/>
  <c r="C736" s="1"/>
  <c r="C737" s="1"/>
  <c r="C738" s="1"/>
  <c r="C739" s="1"/>
  <c r="C740" s="1"/>
  <c r="C741" s="1"/>
  <c r="C742" s="1"/>
  <c r="C743" s="1"/>
  <c r="C744" s="1"/>
  <c r="C745" s="1"/>
  <c r="BJ684" i="20"/>
  <c r="Z137"/>
  <c r="L172" i="21"/>
  <c r="J190"/>
  <c r="J191" s="1"/>
  <c r="Y93" i="20"/>
  <c r="Y136"/>
  <c r="Y138" s="1"/>
  <c r="BH642"/>
  <c r="BH800" s="1"/>
  <c r="BH876" s="1"/>
  <c r="X57"/>
  <c r="W171"/>
  <c r="Q112" i="21"/>
  <c r="Q218"/>
  <c r="Q234" s="1"/>
  <c r="Q134"/>
  <c r="BH595" i="20"/>
  <c r="W183"/>
  <c r="X24"/>
  <c r="BK672"/>
  <c r="BK806" s="1"/>
  <c r="Z177"/>
  <c r="W170"/>
  <c r="BH641"/>
  <c r="X56"/>
  <c r="AB554"/>
  <c r="AB507"/>
  <c r="AB407"/>
  <c r="AB28" s="1"/>
  <c r="AC460"/>
  <c r="AB517"/>
  <c r="AB564"/>
  <c r="AB417"/>
  <c r="AC470"/>
  <c r="AB33"/>
  <c r="BL615"/>
  <c r="BL702" s="1"/>
  <c r="CS860"/>
  <c r="CS849"/>
  <c r="CS851"/>
  <c r="CS858"/>
  <c r="CS852"/>
  <c r="CS854"/>
  <c r="T15" i="19" s="1"/>
  <c r="S8" i="68" s="1"/>
  <c r="S40" s="1"/>
  <c r="CS862" i="20"/>
  <c r="CW848"/>
  <c r="U13" i="19" s="1"/>
  <c r="T6" i="68" s="1"/>
  <c r="T38" s="1"/>
  <c r="CS861" i="20"/>
  <c r="CS856"/>
  <c r="CS848"/>
  <c r="CS850"/>
  <c r="CS853"/>
  <c r="T12" i="19"/>
  <c r="S5" i="68" s="1"/>
  <c r="S37" s="1"/>
  <c r="CS857" i="20"/>
  <c r="N181"/>
  <c r="C173" i="21"/>
  <c r="AB393" i="20"/>
  <c r="AB493"/>
  <c r="AB540"/>
  <c r="AC446"/>
  <c r="H87" i="21"/>
  <c r="H155"/>
  <c r="BJ782" i="20"/>
  <c r="CR882" s="1"/>
  <c r="CW882" s="1"/>
  <c r="Y153"/>
  <c r="AB542"/>
  <c r="AB495"/>
  <c r="AB395"/>
  <c r="AC448"/>
  <c r="AB562"/>
  <c r="AB515"/>
  <c r="AC468"/>
  <c r="AB415"/>
  <c r="AB543"/>
  <c r="AB496"/>
  <c r="AC449"/>
  <c r="AB396"/>
  <c r="BH640"/>
  <c r="BH798" s="1"/>
  <c r="BH874" s="1"/>
  <c r="W169"/>
  <c r="X55"/>
  <c r="AB556"/>
  <c r="AC462"/>
  <c r="AB409"/>
  <c r="AB509"/>
  <c r="P159" i="21"/>
  <c r="P160"/>
  <c r="V165" i="20"/>
  <c r="AA220"/>
  <c r="AB61"/>
  <c r="BL649"/>
  <c r="BG803"/>
  <c r="BG809" s="1"/>
  <c r="BG676"/>
  <c r="BG812"/>
  <c r="BG755"/>
  <c r="BG597"/>
  <c r="BG756"/>
  <c r="BJ623"/>
  <c r="BJ774" s="1"/>
  <c r="BJ857" s="1"/>
  <c r="Y145"/>
  <c r="BE802"/>
  <c r="CC878" s="1"/>
  <c r="T173"/>
  <c r="E173" i="21" s="1"/>
  <c r="G173" s="1"/>
  <c r="E232"/>
  <c r="G232" s="1"/>
  <c r="BK661" i="20"/>
  <c r="Z44"/>
  <c r="Z40"/>
  <c r="Z23"/>
  <c r="Z21"/>
  <c r="Z73"/>
  <c r="Z75" s="1"/>
  <c r="BK671"/>
  <c r="Z176"/>
  <c r="CU853"/>
  <c r="CZ853" s="1"/>
  <c r="BK766"/>
  <c r="BK824"/>
  <c r="BK883" s="1"/>
  <c r="BG644"/>
  <c r="BG799"/>
  <c r="BG875" s="1"/>
  <c r="AA86"/>
  <c r="BL675" s="1"/>
  <c r="AA82"/>
  <c r="AA85"/>
  <c r="BL674" s="1"/>
  <c r="AA923"/>
  <c r="AA19"/>
  <c r="AA84"/>
  <c r="AA81"/>
  <c r="AA83"/>
  <c r="BL660"/>
  <c r="AA72"/>
  <c r="AA74"/>
  <c r="AA42"/>
  <c r="BL625" s="1"/>
  <c r="Y193"/>
  <c r="BJ588"/>
  <c r="BJ822" s="1"/>
  <c r="BJ853" s="1"/>
  <c r="CH867"/>
  <c r="CD872"/>
  <c r="CD891"/>
  <c r="CD879"/>
  <c r="CD885"/>
  <c r="CD880"/>
  <c r="CD871"/>
  <c r="CD868"/>
  <c r="CD890"/>
  <c r="CD869"/>
  <c r="CD875"/>
  <c r="CD889"/>
  <c r="CD874"/>
  <c r="CD870"/>
  <c r="CD884"/>
  <c r="CD883"/>
  <c r="CD876"/>
  <c r="CD877"/>
  <c r="CD882"/>
  <c r="CD867"/>
  <c r="CD886"/>
  <c r="CD881"/>
  <c r="CD887"/>
  <c r="CD878"/>
  <c r="W161"/>
  <c r="X43"/>
  <c r="BH626"/>
  <c r="BH790" s="1"/>
  <c r="BH867" s="1"/>
  <c r="CQ852"/>
  <c r="CL854"/>
  <c r="BL653"/>
  <c r="AA228"/>
  <c r="AB65"/>
  <c r="BH599"/>
  <c r="W186"/>
  <c r="X27"/>
  <c r="L155" i="21"/>
  <c r="L87"/>
  <c r="BH633" i="20"/>
  <c r="CL890" s="1"/>
  <c r="CQ890" s="1"/>
  <c r="W58"/>
  <c r="BL609"/>
  <c r="AB555"/>
  <c r="AB508"/>
  <c r="AB408"/>
  <c r="AC461"/>
  <c r="O185" i="21"/>
  <c r="C383" i="56"/>
  <c r="AF154" i="20"/>
  <c r="AD342"/>
  <c r="AA120" i="19"/>
  <c r="AN156" i="16"/>
  <c r="AN200" s="1"/>
  <c r="AN49" s="1"/>
  <c r="AS49" s="1"/>
  <c r="AQ83"/>
  <c r="AQ86"/>
  <c r="AQ171"/>
  <c r="AQ168"/>
  <c r="AQ169" s="1"/>
  <c r="AQ112"/>
  <c r="AQ109"/>
  <c r="AQ110" s="1"/>
  <c r="AQ125"/>
  <c r="AQ122"/>
  <c r="AQ123" s="1"/>
  <c r="AB104" i="19"/>
  <c r="AB107" s="1"/>
  <c r="AB100"/>
  <c r="AN226" i="16"/>
  <c r="AQ254"/>
  <c r="AN308"/>
  <c r="AN281"/>
  <c r="AP27"/>
  <c r="AN201"/>
  <c r="AC99" i="19"/>
  <c r="AQ21" i="16"/>
  <c r="AV16"/>
  <c r="AQ99"/>
  <c r="AQ96"/>
  <c r="AQ97" s="1"/>
  <c r="AN140"/>
  <c r="AN37" s="1"/>
  <c r="AN282"/>
  <c r="AQ255"/>
  <c r="AN227"/>
  <c r="AN309"/>
  <c r="AV30"/>
  <c r="AC111" i="19"/>
  <c r="AQ155" i="16"/>
  <c r="AQ158"/>
  <c r="AQ197"/>
  <c r="AQ194"/>
  <c r="AQ195" s="1"/>
  <c r="AN84"/>
  <c r="AN141" s="1"/>
  <c r="AN48" s="1"/>
  <c r="AS48" s="1"/>
  <c r="AN142"/>
  <c r="AQ184"/>
  <c r="AQ181"/>
  <c r="AQ182" s="1"/>
  <c r="L44"/>
  <c r="G47"/>
  <c r="AT235"/>
  <c r="AT153"/>
  <c r="J372"/>
  <c r="AT262"/>
  <c r="AT192"/>
  <c r="AT207"/>
  <c r="AT179"/>
  <c r="AT133"/>
  <c r="AT166"/>
  <c r="AT289"/>
  <c r="AT94"/>
  <c r="AT120"/>
  <c r="AT31"/>
  <c r="AT61"/>
  <c r="AT53"/>
  <c r="AT392" s="1"/>
  <c r="AT30"/>
  <c r="AT81"/>
  <c r="AT107"/>
  <c r="R423"/>
  <c r="AQ138"/>
  <c r="AQ135"/>
  <c r="AQ136" s="1"/>
  <c r="AT257"/>
  <c r="AT229" s="1"/>
  <c r="AQ229"/>
  <c r="AN27"/>
  <c r="AS21"/>
  <c r="AN199"/>
  <c r="AN38" s="1"/>
  <c r="AS38" s="1"/>
  <c r="AI260" i="20"/>
  <c r="AH126"/>
  <c r="AH125"/>
  <c r="DM893"/>
  <c r="DM846"/>
  <c r="DM865"/>
  <c r="BQ763"/>
  <c r="AA11" i="19" s="1"/>
  <c r="BQ696" i="20"/>
  <c r="AI154"/>
  <c r="AE354"/>
  <c r="AF353"/>
  <c r="AF357"/>
  <c r="AF371"/>
  <c r="AF361"/>
  <c r="AF569"/>
  <c r="AF522"/>
  <c r="AF475"/>
  <c r="BP789"/>
  <c r="AG154"/>
  <c r="AD154"/>
  <c r="AE327"/>
  <c r="AD324"/>
  <c r="AE323"/>
  <c r="AF479"/>
  <c r="AE432"/>
  <c r="AD355"/>
  <c r="AC365"/>
  <c r="AE154"/>
  <c r="AC375"/>
  <c r="AG938"/>
  <c r="BR583"/>
  <c r="AG428"/>
  <c r="AG422"/>
  <c r="AG311"/>
  <c r="AG218"/>
  <c r="AG234" s="1"/>
  <c r="AG385"/>
  <c r="AG351"/>
  <c r="AG270"/>
  <c r="AG345"/>
  <c r="AG259"/>
  <c r="AG134"/>
  <c r="AG160" s="1"/>
  <c r="AH15"/>
  <c r="AG112"/>
  <c r="AG955"/>
  <c r="AG958" s="1"/>
  <c r="AG951"/>
  <c r="AG946"/>
  <c r="AF532"/>
  <c r="AF485"/>
  <c r="AF438"/>
  <c r="AF247"/>
  <c r="AE373"/>
  <c r="AE377"/>
  <c r="AD374"/>
  <c r="AD375" s="1"/>
  <c r="AE314"/>
  <c r="AF313"/>
  <c r="AF331"/>
  <c r="AF321"/>
  <c r="AF317"/>
  <c r="AE942"/>
  <c r="AE571"/>
  <c r="AE524"/>
  <c r="AF477"/>
  <c r="AE430"/>
  <c r="BO783"/>
  <c r="AE333"/>
  <c r="AE337"/>
  <c r="AD334"/>
  <c r="AD335" s="1"/>
  <c r="AI126"/>
  <c r="AI125"/>
  <c r="AD570"/>
  <c r="AD523"/>
  <c r="AE476"/>
  <c r="AD429"/>
  <c r="AF941"/>
  <c r="AF940"/>
  <c r="AE367"/>
  <c r="AE382" s="1"/>
  <c r="AD364"/>
  <c r="AE363"/>
  <c r="AD315"/>
  <c r="AD325" l="1"/>
  <c r="CJ62" i="19"/>
  <c r="O191" i="21"/>
  <c r="BK836" i="20"/>
  <c r="BK894" s="1"/>
  <c r="W190"/>
  <c r="V191"/>
  <c r="CO852"/>
  <c r="N191" i="21"/>
  <c r="W165" i="20"/>
  <c r="L191" i="21"/>
  <c r="K211" i="20"/>
  <c r="K213" s="1"/>
  <c r="B41" i="70"/>
  <c r="AD365" i="20"/>
  <c r="AD381" s="1"/>
  <c r="AD51" s="1"/>
  <c r="BO635" s="1"/>
  <c r="Y251"/>
  <c r="Z250" s="1"/>
  <c r="CF874"/>
  <c r="CK874" s="1"/>
  <c r="M191" i="21"/>
  <c r="AD380" i="20"/>
  <c r="AD39" s="1"/>
  <c r="BO622" s="1"/>
  <c r="G23" i="66"/>
  <c r="G48" s="1"/>
  <c r="G23" i="67"/>
  <c r="G48" s="1"/>
  <c r="P39" i="68"/>
  <c r="G36" i="66"/>
  <c r="BJ620" i="20"/>
  <c r="H22" i="66"/>
  <c r="H22" i="67"/>
  <c r="H47" s="1"/>
  <c r="G36"/>
  <c r="F48"/>
  <c r="BP783" i="20"/>
  <c r="BJ683"/>
  <c r="BJ744" s="1"/>
  <c r="H11" i="66"/>
  <c r="H11" i="67"/>
  <c r="F48" i="66"/>
  <c r="B2" i="56"/>
  <c r="B3" s="1"/>
  <c r="B4" s="1"/>
  <c r="B5" s="1"/>
  <c r="B6" s="1"/>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B240" s="1"/>
  <c r="B241" s="1"/>
  <c r="B242" s="1"/>
  <c r="B243" s="1"/>
  <c r="B244" s="1"/>
  <c r="B245" s="1"/>
  <c r="B246" s="1"/>
  <c r="B247" s="1"/>
  <c r="B248" s="1"/>
  <c r="B249" s="1"/>
  <c r="B250" s="1"/>
  <c r="B251" s="1"/>
  <c r="B252" s="1"/>
  <c r="B253" s="1"/>
  <c r="B254" s="1"/>
  <c r="B255" s="1"/>
  <c r="B256" s="1"/>
  <c r="B257" s="1"/>
  <c r="B258" s="1"/>
  <c r="B259" s="1"/>
  <c r="B260" s="1"/>
  <c r="B261" s="1"/>
  <c r="B262" s="1"/>
  <c r="B263" s="1"/>
  <c r="B264" s="1"/>
  <c r="B265" s="1"/>
  <c r="B266" s="1"/>
  <c r="B267" s="1"/>
  <c r="B268" s="1"/>
  <c r="B269" s="1"/>
  <c r="B270" s="1"/>
  <c r="B271" s="1"/>
  <c r="B272" s="1"/>
  <c r="B273" s="1"/>
  <c r="B274" s="1"/>
  <c r="B275" s="1"/>
  <c r="B276" s="1"/>
  <c r="B277" s="1"/>
  <c r="B278" s="1"/>
  <c r="B279" s="1"/>
  <c r="B280" s="1"/>
  <c r="B281" s="1"/>
  <c r="B282" s="1"/>
  <c r="B283" s="1"/>
  <c r="B284" s="1"/>
  <c r="B285" s="1"/>
  <c r="B286" s="1"/>
  <c r="B287" s="1"/>
  <c r="B288" s="1"/>
  <c r="B289" s="1"/>
  <c r="B290" s="1"/>
  <c r="B291" s="1"/>
  <c r="B292" s="1"/>
  <c r="B293" s="1"/>
  <c r="B294" s="1"/>
  <c r="B295" s="1"/>
  <c r="B296" s="1"/>
  <c r="B297" s="1"/>
  <c r="B298" s="1"/>
  <c r="B299" s="1"/>
  <c r="B300" s="1"/>
  <c r="B301" s="1"/>
  <c r="B302" s="1"/>
  <c r="B303" s="1"/>
  <c r="B304" s="1"/>
  <c r="B305" s="1"/>
  <c r="B306" s="1"/>
  <c r="B307" s="1"/>
  <c r="B308" s="1"/>
  <c r="B309" s="1"/>
  <c r="B310" s="1"/>
  <c r="B311" s="1"/>
  <c r="B312" s="1"/>
  <c r="B313" s="1"/>
  <c r="B314" s="1"/>
  <c r="B315" s="1"/>
  <c r="B316" s="1"/>
  <c r="B317" s="1"/>
  <c r="B318" s="1"/>
  <c r="B319" s="1"/>
  <c r="B320" s="1"/>
  <c r="B321" s="1"/>
  <c r="B322" s="1"/>
  <c r="B323" s="1"/>
  <c r="B324" s="1"/>
  <c r="B325" s="1"/>
  <c r="B326" s="1"/>
  <c r="B327" s="1"/>
  <c r="B328" s="1"/>
  <c r="B329" s="1"/>
  <c r="B330" s="1"/>
  <c r="B331" s="1"/>
  <c r="B332" s="1"/>
  <c r="B333" s="1"/>
  <c r="B334" s="1"/>
  <c r="B335" s="1"/>
  <c r="B336" s="1"/>
  <c r="B337" s="1"/>
  <c r="B338" s="1"/>
  <c r="B339" s="1"/>
  <c r="B340" s="1"/>
  <c r="B341" s="1"/>
  <c r="B342" s="1"/>
  <c r="B343" s="1"/>
  <c r="B344" s="1"/>
  <c r="B345" s="1"/>
  <c r="B346" s="1"/>
  <c r="B347" s="1"/>
  <c r="B348" s="1"/>
  <c r="B349" s="1"/>
  <c r="B350" s="1"/>
  <c r="B351" s="1"/>
  <c r="B352" s="1"/>
  <c r="B353" s="1"/>
  <c r="B354" s="1"/>
  <c r="B355" s="1"/>
  <c r="B356" s="1"/>
  <c r="B357" s="1"/>
  <c r="B358" s="1"/>
  <c r="B359" s="1"/>
  <c r="B360" s="1"/>
  <c r="B361" s="1"/>
  <c r="B362" s="1"/>
  <c r="B363" s="1"/>
  <c r="C3"/>
  <c r="C4" s="1"/>
  <c r="C5" s="1"/>
  <c r="C6" s="1"/>
  <c r="C7" s="1"/>
  <c r="C8" s="1"/>
  <c r="C9" s="1"/>
  <c r="C10" s="1"/>
  <c r="C11" s="1"/>
  <c r="C12" s="1"/>
  <c r="C13" s="1"/>
  <c r="C14" s="1"/>
  <c r="C15" s="1"/>
  <c r="C16" s="1"/>
  <c r="C17" s="1"/>
  <c r="C18" s="1"/>
  <c r="C19" s="1"/>
  <c r="C20" s="1"/>
  <c r="C21" s="1"/>
  <c r="C22" s="1"/>
  <c r="C23" s="1"/>
  <c r="Z96" i="19"/>
  <c r="Z4" i="68"/>
  <c r="Z36" s="1"/>
  <c r="C181" i="21"/>
  <c r="F49" i="70"/>
  <c r="C42" i="66"/>
  <c r="C40"/>
  <c r="N565" i="20"/>
  <c r="H19" i="66"/>
  <c r="H44" s="1"/>
  <c r="H19" i="67"/>
  <c r="H44" s="1"/>
  <c r="BI620" i="20"/>
  <c r="G22" i="67"/>
  <c r="G47" s="1"/>
  <c r="G22" i="66"/>
  <c r="B52"/>
  <c r="N63" i="68"/>
  <c r="C42" i="67"/>
  <c r="C40"/>
  <c r="Q141" i="20"/>
  <c r="G8" i="70"/>
  <c r="B8" s="1"/>
  <c r="H151" i="20"/>
  <c r="E9" i="70"/>
  <c r="O36" i="19"/>
  <c r="N17" i="68"/>
  <c r="E213" i="20"/>
  <c r="D81" i="70" s="1"/>
  <c r="D79"/>
  <c r="K565" i="20"/>
  <c r="K518"/>
  <c r="R191" i="21"/>
  <c r="H518" i="20"/>
  <c r="H565"/>
  <c r="AE342"/>
  <c r="P191" i="21"/>
  <c r="H191"/>
  <c r="CK62" i="19"/>
  <c r="BN657" i="20"/>
  <c r="AD69"/>
  <c r="CI856"/>
  <c r="CN856" s="1"/>
  <c r="CF876"/>
  <c r="AA187"/>
  <c r="AA221"/>
  <c r="AA230" s="1"/>
  <c r="AA207" s="1"/>
  <c r="AA209" s="1"/>
  <c r="AA195"/>
  <c r="BJ589"/>
  <c r="BJ698" s="1"/>
  <c r="BL707"/>
  <c r="AY840"/>
  <c r="AY842" s="1"/>
  <c r="BL682"/>
  <c r="CX853" s="1"/>
  <c r="DC853" s="1"/>
  <c r="AA188"/>
  <c r="BH818"/>
  <c r="BH881" s="1"/>
  <c r="BH614"/>
  <c r="BI853"/>
  <c r="T149"/>
  <c r="E147" i="21"/>
  <c r="G147" s="1"/>
  <c r="AC536" i="20"/>
  <c r="AC389"/>
  <c r="AC489"/>
  <c r="AD442"/>
  <c r="BL816"/>
  <c r="BL879" s="1"/>
  <c r="BL608"/>
  <c r="AC410"/>
  <c r="AC30" s="1"/>
  <c r="AD463"/>
  <c r="AC510"/>
  <c r="AC557"/>
  <c r="AA73"/>
  <c r="AA75" s="1"/>
  <c r="BL661"/>
  <c r="AA44"/>
  <c r="AA40"/>
  <c r="AA23"/>
  <c r="AA21"/>
  <c r="AA176"/>
  <c r="BL671"/>
  <c r="CU849"/>
  <c r="BK727"/>
  <c r="CU900" s="1"/>
  <c r="BK726"/>
  <c r="BK728" s="1"/>
  <c r="BK730"/>
  <c r="CU901" s="1"/>
  <c r="BI640"/>
  <c r="BI798" s="1"/>
  <c r="BI874" s="1"/>
  <c r="X169"/>
  <c r="Y55"/>
  <c r="AC562"/>
  <c r="AC515"/>
  <c r="AD468"/>
  <c r="AC415"/>
  <c r="B780" i="57"/>
  <c r="B781"/>
  <c r="B782" s="1"/>
  <c r="B783" s="1"/>
  <c r="B784" s="1"/>
  <c r="B785" s="1"/>
  <c r="B786" s="1"/>
  <c r="B787" s="1"/>
  <c r="B788" s="1"/>
  <c r="B789" s="1"/>
  <c r="B790" s="1"/>
  <c r="B791" s="1"/>
  <c r="B792" s="1"/>
  <c r="B793" s="1"/>
  <c r="B794" s="1"/>
  <c r="B795" s="1"/>
  <c r="B796" s="1"/>
  <c r="B797" s="1"/>
  <c r="B798" s="1"/>
  <c r="B799" s="1"/>
  <c r="B800" s="1"/>
  <c r="B801" s="1"/>
  <c r="B802" s="1"/>
  <c r="B803" s="1"/>
  <c r="B804" s="1"/>
  <c r="B805" s="1"/>
  <c r="B806" s="1"/>
  <c r="B807" s="1"/>
  <c r="B808" s="1"/>
  <c r="B809" s="1"/>
  <c r="B810" s="1"/>
  <c r="B811" s="1"/>
  <c r="B812" s="1"/>
  <c r="B813" s="1"/>
  <c r="B814" s="1"/>
  <c r="B815" s="1"/>
  <c r="B816" s="1"/>
  <c r="B817" s="1"/>
  <c r="B818" s="1"/>
  <c r="B819" s="1"/>
  <c r="B820" s="1"/>
  <c r="B821" s="1"/>
  <c r="B822" s="1"/>
  <c r="B823" s="1"/>
  <c r="B824" s="1"/>
  <c r="B825" s="1"/>
  <c r="B826" s="1"/>
  <c r="B827" s="1"/>
  <c r="B828" s="1"/>
  <c r="B829" s="1"/>
  <c r="B830" s="1"/>
  <c r="B831" s="1"/>
  <c r="B832" s="1"/>
  <c r="B833" s="1"/>
  <c r="B834" s="1"/>
  <c r="B835" s="1"/>
  <c r="B836" s="1"/>
  <c r="B837" s="1"/>
  <c r="B838" s="1"/>
  <c r="B839" s="1"/>
  <c r="B840" s="1"/>
  <c r="B841" s="1"/>
  <c r="B842" s="1"/>
  <c r="B843" s="1"/>
  <c r="B844" s="1"/>
  <c r="B845" s="1"/>
  <c r="B846" s="1"/>
  <c r="B847" s="1"/>
  <c r="B848" s="1"/>
  <c r="B849" s="1"/>
  <c r="B850" s="1"/>
  <c r="B851" s="1"/>
  <c r="B852" s="1"/>
  <c r="B853" s="1"/>
  <c r="B854" s="1"/>
  <c r="B855" s="1"/>
  <c r="B856" s="1"/>
  <c r="B857" s="1"/>
  <c r="B858" s="1"/>
  <c r="B859" s="1"/>
  <c r="B860" s="1"/>
  <c r="B861" s="1"/>
  <c r="B862" s="1"/>
  <c r="B863" s="1"/>
  <c r="B864" s="1"/>
  <c r="B865" s="1"/>
  <c r="B866" s="1"/>
  <c r="B867" s="1"/>
  <c r="B868" s="1"/>
  <c r="B869" s="1"/>
  <c r="B870" s="1"/>
  <c r="B871" s="1"/>
  <c r="B872" s="1"/>
  <c r="B873" s="1"/>
  <c r="B874" s="1"/>
  <c r="B875" s="1"/>
  <c r="B876" s="1"/>
  <c r="B877" s="1"/>
  <c r="B878" s="1"/>
  <c r="B879" s="1"/>
  <c r="B880" s="1"/>
  <c r="B881" s="1"/>
  <c r="B882" s="1"/>
  <c r="B883" s="1"/>
  <c r="B884" s="1"/>
  <c r="B885" s="1"/>
  <c r="B886" s="1"/>
  <c r="B887" s="1"/>
  <c r="B888" s="1"/>
  <c r="B889" s="1"/>
  <c r="B890" s="1"/>
  <c r="B891" s="1"/>
  <c r="B892" s="1"/>
  <c r="B893" s="1"/>
  <c r="B894" s="1"/>
  <c r="B895" s="1"/>
  <c r="B896" s="1"/>
  <c r="B897" s="1"/>
  <c r="B898" s="1"/>
  <c r="B899" s="1"/>
  <c r="B900" s="1"/>
  <c r="B901" s="1"/>
  <c r="B902" s="1"/>
  <c r="B903" s="1"/>
  <c r="B904" s="1"/>
  <c r="B905" s="1"/>
  <c r="B906" s="1"/>
  <c r="B907" s="1"/>
  <c r="B908" s="1"/>
  <c r="B909" s="1"/>
  <c r="B910" s="1"/>
  <c r="B911" s="1"/>
  <c r="B912" s="1"/>
  <c r="B913" s="1"/>
  <c r="B914" s="1"/>
  <c r="B915" s="1"/>
  <c r="B916" s="1"/>
  <c r="B917" s="1"/>
  <c r="B918" s="1"/>
  <c r="B919" s="1"/>
  <c r="B920" s="1"/>
  <c r="B921" s="1"/>
  <c r="B922" s="1"/>
  <c r="B923" s="1"/>
  <c r="B924" s="1"/>
  <c r="B925" s="1"/>
  <c r="B926" s="1"/>
  <c r="B927" s="1"/>
  <c r="B928" s="1"/>
  <c r="B929" s="1"/>
  <c r="B930" s="1"/>
  <c r="B931" s="1"/>
  <c r="B932" s="1"/>
  <c r="B933" s="1"/>
  <c r="B934" s="1"/>
  <c r="B935" s="1"/>
  <c r="B936" s="1"/>
  <c r="B937" s="1"/>
  <c r="B938" s="1"/>
  <c r="B939" s="1"/>
  <c r="B940" s="1"/>
  <c r="B941" s="1"/>
  <c r="B942" s="1"/>
  <c r="B943" s="1"/>
  <c r="B944" s="1"/>
  <c r="B945" s="1"/>
  <c r="B946" s="1"/>
  <c r="B947" s="1"/>
  <c r="B948" s="1"/>
  <c r="B949" s="1"/>
  <c r="B950" s="1"/>
  <c r="B951" s="1"/>
  <c r="B952" s="1"/>
  <c r="B953" s="1"/>
  <c r="B954" s="1"/>
  <c r="B955" s="1"/>
  <c r="B956" s="1"/>
  <c r="B957" s="1"/>
  <c r="B958" s="1"/>
  <c r="B959" s="1"/>
  <c r="B960" s="1"/>
  <c r="B961" s="1"/>
  <c r="B962" s="1"/>
  <c r="B963" s="1"/>
  <c r="B964" s="1"/>
  <c r="B965" s="1"/>
  <c r="B966" s="1"/>
  <c r="B967" s="1"/>
  <c r="B968" s="1"/>
  <c r="B969" s="1"/>
  <c r="B970" s="1"/>
  <c r="B971" s="1"/>
  <c r="B972" s="1"/>
  <c r="B973" s="1"/>
  <c r="B974" s="1"/>
  <c r="B975" s="1"/>
  <c r="B976" s="1"/>
  <c r="B977" s="1"/>
  <c r="B978" s="1"/>
  <c r="B979" s="1"/>
  <c r="B980" s="1"/>
  <c r="B981" s="1"/>
  <c r="B982" s="1"/>
  <c r="B983" s="1"/>
  <c r="B984" s="1"/>
  <c r="B985" s="1"/>
  <c r="B986" s="1"/>
  <c r="B987" s="1"/>
  <c r="B988" s="1"/>
  <c r="B989" s="1"/>
  <c r="B990" s="1"/>
  <c r="B991" s="1"/>
  <c r="B992" s="1"/>
  <c r="B993" s="1"/>
  <c r="B994" s="1"/>
  <c r="B995" s="1"/>
  <c r="B996" s="1"/>
  <c r="B997" s="1"/>
  <c r="B998" s="1"/>
  <c r="B999" s="1"/>
  <c r="B1000" s="1"/>
  <c r="B1001" s="1"/>
  <c r="B1002" s="1"/>
  <c r="B1003" s="1"/>
  <c r="B1004" s="1"/>
  <c r="B1005" s="1"/>
  <c r="B1006" s="1"/>
  <c r="B1007" s="1"/>
  <c r="B1008" s="1"/>
  <c r="B1009" s="1"/>
  <c r="B1010" s="1"/>
  <c r="B1011" s="1"/>
  <c r="B1012" s="1"/>
  <c r="B1013" s="1"/>
  <c r="B1014" s="1"/>
  <c r="B1015" s="1"/>
  <c r="B1016" s="1"/>
  <c r="B1017" s="1"/>
  <c r="B1018" s="1"/>
  <c r="B1019" s="1"/>
  <c r="B1020" s="1"/>
  <c r="CH876" i="20"/>
  <c r="O21" i="19"/>
  <c r="N14" i="68" s="1"/>
  <c r="N46" s="1"/>
  <c r="CE877" i="20"/>
  <c r="CA879"/>
  <c r="AC487"/>
  <c r="AC534"/>
  <c r="AC387"/>
  <c r="AD440"/>
  <c r="X425"/>
  <c r="X78" s="1"/>
  <c r="Y423"/>
  <c r="BE679"/>
  <c r="BE776"/>
  <c r="CC861"/>
  <c r="CE861" s="1"/>
  <c r="BF768"/>
  <c r="CF868" s="1"/>
  <c r="BL824"/>
  <c r="BL883" s="1"/>
  <c r="BE652"/>
  <c r="BE655" s="1"/>
  <c r="BE745" s="1"/>
  <c r="CC897" s="1"/>
  <c r="W185"/>
  <c r="W191" s="1"/>
  <c r="BG794"/>
  <c r="BL685"/>
  <c r="BL811" s="1"/>
  <c r="CX870" s="1"/>
  <c r="V18" i="19" s="1"/>
  <c r="U11" i="68" s="1"/>
  <c r="U43" s="1"/>
  <c r="AD461" i="20"/>
  <c r="AC408"/>
  <c r="AC555"/>
  <c r="AC508"/>
  <c r="CQ854"/>
  <c r="CL867"/>
  <c r="R14" i="19"/>
  <c r="Q7" i="68" s="1"/>
  <c r="AA41" i="20"/>
  <c r="BL663"/>
  <c r="CX851" s="1"/>
  <c r="DC851" s="1"/>
  <c r="AA46"/>
  <c r="BK627"/>
  <c r="BK777" s="1"/>
  <c r="BK860" s="1"/>
  <c r="Z148"/>
  <c r="AB95"/>
  <c r="AB182" s="1"/>
  <c r="BM602"/>
  <c r="X183"/>
  <c r="BI595"/>
  <c r="Y24"/>
  <c r="AD447"/>
  <c r="AC541"/>
  <c r="AC494"/>
  <c r="AC394"/>
  <c r="E140" i="21"/>
  <c r="G140" s="1"/>
  <c r="T141" i="20"/>
  <c r="E141" i="21" s="1"/>
  <c r="G141" s="1"/>
  <c r="AC513" i="20"/>
  <c r="AD466"/>
  <c r="AC413"/>
  <c r="AC560"/>
  <c r="B418" i="57"/>
  <c r="B419"/>
  <c r="B420" s="1"/>
  <c r="B421" s="1"/>
  <c r="B422" s="1"/>
  <c r="B423" s="1"/>
  <c r="B424" s="1"/>
  <c r="B425" s="1"/>
  <c r="B426" s="1"/>
  <c r="B427" s="1"/>
  <c r="B428" s="1"/>
  <c r="B429" s="1"/>
  <c r="B430" s="1"/>
  <c r="B431" s="1"/>
  <c r="B432" s="1"/>
  <c r="B433" s="1"/>
  <c r="B434" s="1"/>
  <c r="B435" s="1"/>
  <c r="B436" s="1"/>
  <c r="B437" s="1"/>
  <c r="B438" s="1"/>
  <c r="B439" s="1"/>
  <c r="B440" s="1"/>
  <c r="B441" s="1"/>
  <c r="B442" s="1"/>
  <c r="B443" s="1"/>
  <c r="B444" s="1"/>
  <c r="B445" s="1"/>
  <c r="B446" s="1"/>
  <c r="B447" s="1"/>
  <c r="B448" s="1"/>
  <c r="B449" s="1"/>
  <c r="B450" s="1"/>
  <c r="B451" s="1"/>
  <c r="B452" s="1"/>
  <c r="B453" s="1"/>
  <c r="B454" s="1"/>
  <c r="B455" s="1"/>
  <c r="B456" s="1"/>
  <c r="B457" s="1"/>
  <c r="B458" s="1"/>
  <c r="B459" s="1"/>
  <c r="B460" s="1"/>
  <c r="B461" s="1"/>
  <c r="B462" s="1"/>
  <c r="B463" s="1"/>
  <c r="B464" s="1"/>
  <c r="B465" s="1"/>
  <c r="B466" s="1"/>
  <c r="B467" s="1"/>
  <c r="B468" s="1"/>
  <c r="B469" s="1"/>
  <c r="B470" s="1"/>
  <c r="B471" s="1"/>
  <c r="B472" s="1"/>
  <c r="B473" s="1"/>
  <c r="B474" s="1"/>
  <c r="B475" s="1"/>
  <c r="B476" s="1"/>
  <c r="B477" s="1"/>
  <c r="B478" s="1"/>
  <c r="B479" s="1"/>
  <c r="B480" s="1"/>
  <c r="B481" s="1"/>
  <c r="B482" s="1"/>
  <c r="B483" s="1"/>
  <c r="B484" s="1"/>
  <c r="B485" s="1"/>
  <c r="B486" s="1"/>
  <c r="B487" s="1"/>
  <c r="B488" s="1"/>
  <c r="B489" s="1"/>
  <c r="B490" s="1"/>
  <c r="B491" s="1"/>
  <c r="B492" s="1"/>
  <c r="B493" s="1"/>
  <c r="B494" s="1"/>
  <c r="B495" s="1"/>
  <c r="B496" s="1"/>
  <c r="B497" s="1"/>
  <c r="B498" s="1"/>
  <c r="B499" s="1"/>
  <c r="B500" s="1"/>
  <c r="B501" s="1"/>
  <c r="B502" s="1"/>
  <c r="B503" s="1"/>
  <c r="B504" s="1"/>
  <c r="B505" s="1"/>
  <c r="B506" s="1"/>
  <c r="B507" s="1"/>
  <c r="B508" s="1"/>
  <c r="B509" s="1"/>
  <c r="B510" s="1"/>
  <c r="B511" s="1"/>
  <c r="B512" s="1"/>
  <c r="B513" s="1"/>
  <c r="B514" s="1"/>
  <c r="B515" s="1"/>
  <c r="B516" s="1"/>
  <c r="B517" s="1"/>
  <c r="B518" s="1"/>
  <c r="B519" s="1"/>
  <c r="B520" s="1"/>
  <c r="B521" s="1"/>
  <c r="B522" s="1"/>
  <c r="B523" s="1"/>
  <c r="B524" s="1"/>
  <c r="B525" s="1"/>
  <c r="B526" s="1"/>
  <c r="B527" s="1"/>
  <c r="B528" s="1"/>
  <c r="B529" s="1"/>
  <c r="B530" s="1"/>
  <c r="B531" s="1"/>
  <c r="B532" s="1"/>
  <c r="B533" s="1"/>
  <c r="B534" s="1"/>
  <c r="B535" s="1"/>
  <c r="B536" s="1"/>
  <c r="B537" s="1"/>
  <c r="B538" s="1"/>
  <c r="B539" s="1"/>
  <c r="B540" s="1"/>
  <c r="B541" s="1"/>
  <c r="B542" s="1"/>
  <c r="B543" s="1"/>
  <c r="B544" s="1"/>
  <c r="B545" s="1"/>
  <c r="B546" s="1"/>
  <c r="B547" s="1"/>
  <c r="B548" s="1"/>
  <c r="B549" s="1"/>
  <c r="B550" s="1"/>
  <c r="B551" s="1"/>
  <c r="B552" s="1"/>
  <c r="B553" s="1"/>
  <c r="B554" s="1"/>
  <c r="B555" s="1"/>
  <c r="B556" s="1"/>
  <c r="B557" s="1"/>
  <c r="B558" s="1"/>
  <c r="B559" s="1"/>
  <c r="B560" s="1"/>
  <c r="B561" s="1"/>
  <c r="B562" s="1"/>
  <c r="B563" s="1"/>
  <c r="B564" s="1"/>
  <c r="B565" s="1"/>
  <c r="B566" s="1"/>
  <c r="B567" s="1"/>
  <c r="B568" s="1"/>
  <c r="B569" s="1"/>
  <c r="B570" s="1"/>
  <c r="B571" s="1"/>
  <c r="B572" s="1"/>
  <c r="B573" s="1"/>
  <c r="B574" s="1"/>
  <c r="B575" s="1"/>
  <c r="B576" s="1"/>
  <c r="B577" s="1"/>
  <c r="B578" s="1"/>
  <c r="B579" s="1"/>
  <c r="B580" s="1"/>
  <c r="B581" s="1"/>
  <c r="B582" s="1"/>
  <c r="B583" s="1"/>
  <c r="B584" s="1"/>
  <c r="B585" s="1"/>
  <c r="B586" s="1"/>
  <c r="B587" s="1"/>
  <c r="B588" s="1"/>
  <c r="B589" s="1"/>
  <c r="B590" s="1"/>
  <c r="B591" s="1"/>
  <c r="B592" s="1"/>
  <c r="B593" s="1"/>
  <c r="B594" s="1"/>
  <c r="B595" s="1"/>
  <c r="B596" s="1"/>
  <c r="B597" s="1"/>
  <c r="B598" s="1"/>
  <c r="B599" s="1"/>
  <c r="B600" s="1"/>
  <c r="B601" s="1"/>
  <c r="B602" s="1"/>
  <c r="B603" s="1"/>
  <c r="B604" s="1"/>
  <c r="B605" s="1"/>
  <c r="B606" s="1"/>
  <c r="B607" s="1"/>
  <c r="B608" s="1"/>
  <c r="B609" s="1"/>
  <c r="B610" s="1"/>
  <c r="B611" s="1"/>
  <c r="B612" s="1"/>
  <c r="B613" s="1"/>
  <c r="B614" s="1"/>
  <c r="B615" s="1"/>
  <c r="B616" s="1"/>
  <c r="B617" s="1"/>
  <c r="B618" s="1"/>
  <c r="B619" s="1"/>
  <c r="B620" s="1"/>
  <c r="B621" s="1"/>
  <c r="B622" s="1"/>
  <c r="B623" s="1"/>
  <c r="B624" s="1"/>
  <c r="B625" s="1"/>
  <c r="B626" s="1"/>
  <c r="B627" s="1"/>
  <c r="B628" s="1"/>
  <c r="B629" s="1"/>
  <c r="B630" s="1"/>
  <c r="B631" s="1"/>
  <c r="B632" s="1"/>
  <c r="B633" s="1"/>
  <c r="B634" s="1"/>
  <c r="B635" s="1"/>
  <c r="B636" s="1"/>
  <c r="B637" s="1"/>
  <c r="B638" s="1"/>
  <c r="B639" s="1"/>
  <c r="B640" s="1"/>
  <c r="B641" s="1"/>
  <c r="B642" s="1"/>
  <c r="B643" s="1"/>
  <c r="B644" s="1"/>
  <c r="B645" s="1"/>
  <c r="B646" s="1"/>
  <c r="B647" s="1"/>
  <c r="B648" s="1"/>
  <c r="B649" s="1"/>
  <c r="B650" s="1"/>
  <c r="B651" s="1"/>
  <c r="B652" s="1"/>
  <c r="B653" s="1"/>
  <c r="B654" s="1"/>
  <c r="B655" s="1"/>
  <c r="B656" s="1"/>
  <c r="B657" s="1"/>
  <c r="B658" s="1"/>
  <c r="CU899" i="20"/>
  <c r="R134" i="21"/>
  <c r="R218"/>
  <c r="R234" s="1"/>
  <c r="R112"/>
  <c r="X58" i="20"/>
  <c r="BI633"/>
  <c r="AC563"/>
  <c r="AC516"/>
  <c r="AD469"/>
  <c r="AC416"/>
  <c r="BJ765"/>
  <c r="BJ767" s="1"/>
  <c r="BJ720"/>
  <c r="Y32"/>
  <c r="BI612"/>
  <c r="X189"/>
  <c r="BH667"/>
  <c r="BH808" s="1"/>
  <c r="W179"/>
  <c r="W180" s="1"/>
  <c r="BJ591"/>
  <c r="Y194"/>
  <c r="Y196" s="1"/>
  <c r="Y210" s="1"/>
  <c r="X167"/>
  <c r="BI637"/>
  <c r="BI796" s="1"/>
  <c r="BI872" s="1"/>
  <c r="Y53"/>
  <c r="BH676"/>
  <c r="BH803"/>
  <c r="U62"/>
  <c r="U222" s="1"/>
  <c r="BG645"/>
  <c r="BG706" s="1"/>
  <c r="BK662"/>
  <c r="BK664" s="1"/>
  <c r="BM615"/>
  <c r="BM702" s="1"/>
  <c r="AC33"/>
  <c r="CQ857"/>
  <c r="CL875"/>
  <c r="CQ875" s="1"/>
  <c r="BK623"/>
  <c r="BK774" s="1"/>
  <c r="BK857" s="1"/>
  <c r="Z145"/>
  <c r="BM649"/>
  <c r="AB220"/>
  <c r="AC61"/>
  <c r="AC409"/>
  <c r="AD462"/>
  <c r="AC556"/>
  <c r="AC509"/>
  <c r="AC554"/>
  <c r="AD460"/>
  <c r="AC507"/>
  <c r="AC407"/>
  <c r="AC28" s="1"/>
  <c r="BI642"/>
  <c r="BI800" s="1"/>
  <c r="BI876" s="1"/>
  <c r="X171"/>
  <c r="Y57"/>
  <c r="AC549"/>
  <c r="AC402"/>
  <c r="AD455"/>
  <c r="AC502"/>
  <c r="CI871"/>
  <c r="BG819"/>
  <c r="BK588"/>
  <c r="Z193"/>
  <c r="AP748"/>
  <c r="AP749"/>
  <c r="AC500"/>
  <c r="AC547"/>
  <c r="AD453"/>
  <c r="AC400"/>
  <c r="AC404"/>
  <c r="AD457"/>
  <c r="AC504"/>
  <c r="AC551"/>
  <c r="Z153"/>
  <c r="BK782"/>
  <c r="CU882" s="1"/>
  <c r="CZ882" s="1"/>
  <c r="BK629"/>
  <c r="BK792" s="1"/>
  <c r="BK869" s="1"/>
  <c r="Z163"/>
  <c r="P19" i="19"/>
  <c r="O12" i="68" s="1"/>
  <c r="O44" s="1"/>
  <c r="CK871" i="20"/>
  <c r="BH638"/>
  <c r="BH795"/>
  <c r="AC535"/>
  <c r="AC388"/>
  <c r="AC488"/>
  <c r="AD441"/>
  <c r="BG871"/>
  <c r="BG801"/>
  <c r="BI668"/>
  <c r="X174"/>
  <c r="Y79"/>
  <c r="AA192"/>
  <c r="BL603"/>
  <c r="BL821" s="1"/>
  <c r="BL882" s="1"/>
  <c r="AB29"/>
  <c r="AA94"/>
  <c r="AB84"/>
  <c r="AB83"/>
  <c r="AB82"/>
  <c r="AB923"/>
  <c r="AB81"/>
  <c r="AB74"/>
  <c r="AB85"/>
  <c r="BM674" s="1"/>
  <c r="BM660"/>
  <c r="AB19"/>
  <c r="AB72"/>
  <c r="AB86"/>
  <c r="BM675" s="1"/>
  <c r="AB42"/>
  <c r="BM625" s="1"/>
  <c r="U63"/>
  <c r="U229" s="1"/>
  <c r="BI599"/>
  <c r="X186"/>
  <c r="Y27"/>
  <c r="BH755"/>
  <c r="BH812"/>
  <c r="BH756"/>
  <c r="BH597"/>
  <c r="BL587"/>
  <c r="AA20"/>
  <c r="AA142"/>
  <c r="Z144"/>
  <c r="BK594"/>
  <c r="BK773" s="1"/>
  <c r="BK856" s="1"/>
  <c r="Y45"/>
  <c r="BI628"/>
  <c r="BI791" s="1"/>
  <c r="BI868" s="1"/>
  <c r="X162"/>
  <c r="CV860"/>
  <c r="CV854"/>
  <c r="U15" i="19" s="1"/>
  <c r="T8" i="68" s="1"/>
  <c r="T40" s="1"/>
  <c r="CV858" i="20"/>
  <c r="CV848"/>
  <c r="CV851"/>
  <c r="U12" i="19"/>
  <c r="T5" i="68" s="1"/>
  <c r="T37" s="1"/>
  <c r="CV852" i="20"/>
  <c r="CV850"/>
  <c r="CV853"/>
  <c r="CV862"/>
  <c r="CV856"/>
  <c r="CZ848"/>
  <c r="V13" i="19" s="1"/>
  <c r="U6" i="68" s="1"/>
  <c r="U38" s="1"/>
  <c r="CV849" i="20"/>
  <c r="CV857"/>
  <c r="CV861"/>
  <c r="CW849"/>
  <c r="CR850"/>
  <c r="AB276"/>
  <c r="AA305"/>
  <c r="AB278"/>
  <c r="BI636"/>
  <c r="X166"/>
  <c r="Y52"/>
  <c r="AC512"/>
  <c r="AC412"/>
  <c r="AC31" s="1"/>
  <c r="AD465"/>
  <c r="AC559"/>
  <c r="AC518"/>
  <c r="AD471"/>
  <c r="AC418"/>
  <c r="AC565"/>
  <c r="AC538"/>
  <c r="AC491"/>
  <c r="AD444"/>
  <c r="AC391"/>
  <c r="T67"/>
  <c r="E67" i="21" s="1"/>
  <c r="AB90" i="20"/>
  <c r="AB91"/>
  <c r="AB92"/>
  <c r="BF896"/>
  <c r="BF820"/>
  <c r="AB228"/>
  <c r="AC65"/>
  <c r="BM653"/>
  <c r="BL673"/>
  <c r="BL807" s="1"/>
  <c r="AA178"/>
  <c r="CO854"/>
  <c r="CT852"/>
  <c r="Z22"/>
  <c r="BK590"/>
  <c r="BK772" s="1"/>
  <c r="BK854" s="1"/>
  <c r="Z143"/>
  <c r="AC396"/>
  <c r="AC543"/>
  <c r="AC496"/>
  <c r="AD449"/>
  <c r="AC505"/>
  <c r="AD458"/>
  <c r="AC552"/>
  <c r="AC405"/>
  <c r="X164"/>
  <c r="Y47"/>
  <c r="BI630"/>
  <c r="AC411"/>
  <c r="AD464"/>
  <c r="AC511"/>
  <c r="AC558"/>
  <c r="AC550"/>
  <c r="AD456"/>
  <c r="AC403"/>
  <c r="AC503"/>
  <c r="BI823"/>
  <c r="BI855" s="1"/>
  <c r="BI593"/>
  <c r="BI699" s="1"/>
  <c r="BJ838"/>
  <c r="BJ894"/>
  <c r="AC397"/>
  <c r="AC497"/>
  <c r="AC544"/>
  <c r="AD450"/>
  <c r="Y50"/>
  <c r="BJ634" s="1"/>
  <c r="Z262"/>
  <c r="Z263" s="1"/>
  <c r="Z265"/>
  <c r="AA261"/>
  <c r="Z146"/>
  <c r="BK624"/>
  <c r="BK775" s="1"/>
  <c r="BK858" s="1"/>
  <c r="B418" i="56"/>
  <c r="B419"/>
  <c r="B420" s="1"/>
  <c r="B421" s="1"/>
  <c r="B422" s="1"/>
  <c r="B423" s="1"/>
  <c r="B424" s="1"/>
  <c r="B425" s="1"/>
  <c r="B426" s="1"/>
  <c r="B427" s="1"/>
  <c r="B428" s="1"/>
  <c r="B429" s="1"/>
  <c r="B430" s="1"/>
  <c r="B431" s="1"/>
  <c r="B432" s="1"/>
  <c r="B433" s="1"/>
  <c r="B434" s="1"/>
  <c r="B435" s="1"/>
  <c r="B436" s="1"/>
  <c r="B437" s="1"/>
  <c r="B438" s="1"/>
  <c r="B439" s="1"/>
  <c r="B440" s="1"/>
  <c r="B441" s="1"/>
  <c r="B442" s="1"/>
  <c r="B443" s="1"/>
  <c r="B444" s="1"/>
  <c r="B445" s="1"/>
  <c r="B446" s="1"/>
  <c r="B447" s="1"/>
  <c r="B448" s="1"/>
  <c r="B449" s="1"/>
  <c r="B450" s="1"/>
  <c r="B451" s="1"/>
  <c r="B452" s="1"/>
  <c r="B453" s="1"/>
  <c r="B454" s="1"/>
  <c r="B455" s="1"/>
  <c r="B456" s="1"/>
  <c r="B457" s="1"/>
  <c r="B458" s="1"/>
  <c r="B459" s="1"/>
  <c r="B460" s="1"/>
  <c r="B461" s="1"/>
  <c r="B462" s="1"/>
  <c r="B463" s="1"/>
  <c r="B464" s="1"/>
  <c r="B465" s="1"/>
  <c r="B466" s="1"/>
  <c r="B467" s="1"/>
  <c r="B468" s="1"/>
  <c r="B469" s="1"/>
  <c r="B470" s="1"/>
  <c r="B471" s="1"/>
  <c r="B472" s="1"/>
  <c r="B473" s="1"/>
  <c r="B474" s="1"/>
  <c r="B475" s="1"/>
  <c r="B476" s="1"/>
  <c r="B477" s="1"/>
  <c r="B478" s="1"/>
  <c r="B479" s="1"/>
  <c r="B480" s="1"/>
  <c r="B481" s="1"/>
  <c r="B482" s="1"/>
  <c r="B483" s="1"/>
  <c r="B484" s="1"/>
  <c r="B485" s="1"/>
  <c r="B486" s="1"/>
  <c r="B487" s="1"/>
  <c r="B488" s="1"/>
  <c r="B489" s="1"/>
  <c r="B490" s="1"/>
  <c r="B491" s="1"/>
  <c r="B492" s="1"/>
  <c r="B493" s="1"/>
  <c r="B494" s="1"/>
  <c r="B495" s="1"/>
  <c r="B496" s="1"/>
  <c r="B497" s="1"/>
  <c r="B498" s="1"/>
  <c r="B499" s="1"/>
  <c r="B500" s="1"/>
  <c r="B501" s="1"/>
  <c r="B502" s="1"/>
  <c r="B503" s="1"/>
  <c r="B504" s="1"/>
  <c r="B505" s="1"/>
  <c r="B506" s="1"/>
  <c r="B507" s="1"/>
  <c r="B508" s="1"/>
  <c r="B509" s="1"/>
  <c r="B510" s="1"/>
  <c r="B511" s="1"/>
  <c r="B512" s="1"/>
  <c r="B513" s="1"/>
  <c r="B514" s="1"/>
  <c r="B515" s="1"/>
  <c r="B516" s="1"/>
  <c r="B517" s="1"/>
  <c r="B518" s="1"/>
  <c r="B519" s="1"/>
  <c r="B520" s="1"/>
  <c r="B521" s="1"/>
  <c r="B522" s="1"/>
  <c r="B523" s="1"/>
  <c r="B524" s="1"/>
  <c r="B525" s="1"/>
  <c r="B526" s="1"/>
  <c r="B527" s="1"/>
  <c r="B528" s="1"/>
  <c r="B529" s="1"/>
  <c r="B530" s="1"/>
  <c r="B531" s="1"/>
  <c r="B532" s="1"/>
  <c r="B533" s="1"/>
  <c r="B534" s="1"/>
  <c r="B535" s="1"/>
  <c r="B536" s="1"/>
  <c r="B537" s="1"/>
  <c r="B538" s="1"/>
  <c r="B539" s="1"/>
  <c r="B540" s="1"/>
  <c r="B541" s="1"/>
  <c r="B542" s="1"/>
  <c r="B543" s="1"/>
  <c r="B544" s="1"/>
  <c r="B545" s="1"/>
  <c r="B546" s="1"/>
  <c r="B547" s="1"/>
  <c r="B548" s="1"/>
  <c r="B549" s="1"/>
  <c r="B550" s="1"/>
  <c r="B551" s="1"/>
  <c r="B552" s="1"/>
  <c r="B553" s="1"/>
  <c r="B554" s="1"/>
  <c r="B555" s="1"/>
  <c r="B556" s="1"/>
  <c r="B557" s="1"/>
  <c r="B558" s="1"/>
  <c r="B559" s="1"/>
  <c r="B560" s="1"/>
  <c r="B561" s="1"/>
  <c r="B562" s="1"/>
  <c r="B563" s="1"/>
  <c r="B564" s="1"/>
  <c r="B565" s="1"/>
  <c r="B566" s="1"/>
  <c r="B567" s="1"/>
  <c r="B568" s="1"/>
  <c r="B569" s="1"/>
  <c r="B570" s="1"/>
  <c r="B571" s="1"/>
  <c r="B572" s="1"/>
  <c r="B573" s="1"/>
  <c r="B574" s="1"/>
  <c r="B575" s="1"/>
  <c r="B576" s="1"/>
  <c r="B577" s="1"/>
  <c r="B578" s="1"/>
  <c r="B579" s="1"/>
  <c r="B580" s="1"/>
  <c r="B581" s="1"/>
  <c r="B582" s="1"/>
  <c r="B583" s="1"/>
  <c r="B584" s="1"/>
  <c r="B585" s="1"/>
  <c r="B586" s="1"/>
  <c r="B587" s="1"/>
  <c r="B588" s="1"/>
  <c r="B589" s="1"/>
  <c r="B590" s="1"/>
  <c r="B591" s="1"/>
  <c r="B592" s="1"/>
  <c r="B593" s="1"/>
  <c r="B594" s="1"/>
  <c r="B595" s="1"/>
  <c r="B596" s="1"/>
  <c r="B597" s="1"/>
  <c r="B598" s="1"/>
  <c r="B599" s="1"/>
  <c r="B600" s="1"/>
  <c r="B601" s="1"/>
  <c r="B602" s="1"/>
  <c r="B603" s="1"/>
  <c r="B604" s="1"/>
  <c r="B605" s="1"/>
  <c r="B606" s="1"/>
  <c r="B607" s="1"/>
  <c r="B608" s="1"/>
  <c r="B609" s="1"/>
  <c r="B610" s="1"/>
  <c r="B611" s="1"/>
  <c r="B612" s="1"/>
  <c r="B613" s="1"/>
  <c r="B614" s="1"/>
  <c r="B615" s="1"/>
  <c r="B616" s="1"/>
  <c r="B617" s="1"/>
  <c r="B618" s="1"/>
  <c r="B619" s="1"/>
  <c r="B620" s="1"/>
  <c r="B621" s="1"/>
  <c r="B622" s="1"/>
  <c r="B623" s="1"/>
  <c r="B624" s="1"/>
  <c r="B625" s="1"/>
  <c r="B626" s="1"/>
  <c r="B627" s="1"/>
  <c r="B628" s="1"/>
  <c r="B629" s="1"/>
  <c r="B630" s="1"/>
  <c r="B631" s="1"/>
  <c r="B632" s="1"/>
  <c r="B633" s="1"/>
  <c r="B634" s="1"/>
  <c r="B635" s="1"/>
  <c r="B636" s="1"/>
  <c r="B637" s="1"/>
  <c r="B638" s="1"/>
  <c r="B639" s="1"/>
  <c r="B640" s="1"/>
  <c r="B641" s="1"/>
  <c r="B642" s="1"/>
  <c r="B643" s="1"/>
  <c r="B644" s="1"/>
  <c r="B645" s="1"/>
  <c r="B646" s="1"/>
  <c r="B647" s="1"/>
  <c r="B648" s="1"/>
  <c r="B649" s="1"/>
  <c r="B650" s="1"/>
  <c r="B651" s="1"/>
  <c r="B652" s="1"/>
  <c r="B653" s="1"/>
  <c r="B654" s="1"/>
  <c r="B655" s="1"/>
  <c r="B656" s="1"/>
  <c r="B657" s="1"/>
  <c r="B658" s="1"/>
  <c r="AD459" i="20"/>
  <c r="AC406"/>
  <c r="AC553"/>
  <c r="AC506"/>
  <c r="CJ885"/>
  <c r="CJ879"/>
  <c r="CJ877"/>
  <c r="CJ882"/>
  <c r="CJ875"/>
  <c r="CJ887"/>
  <c r="CJ872"/>
  <c r="CJ878"/>
  <c r="CJ891"/>
  <c r="CJ883"/>
  <c r="CJ884"/>
  <c r="CJ890"/>
  <c r="CJ880"/>
  <c r="CJ881"/>
  <c r="CJ874"/>
  <c r="CN867"/>
  <c r="CJ876"/>
  <c r="CJ870"/>
  <c r="CJ868"/>
  <c r="CJ867"/>
  <c r="CJ871"/>
  <c r="CJ889"/>
  <c r="CJ869"/>
  <c r="CJ886"/>
  <c r="BK821"/>
  <c r="BK882" s="1"/>
  <c r="BK684"/>
  <c r="BK605"/>
  <c r="BK701" s="1"/>
  <c r="AC486"/>
  <c r="AD439"/>
  <c r="AC386"/>
  <c r="AC71" s="1"/>
  <c r="AC533"/>
  <c r="E64" i="21"/>
  <c r="I64" s="1"/>
  <c r="W172" i="20"/>
  <c r="CC877"/>
  <c r="BE770"/>
  <c r="BL611"/>
  <c r="BH815"/>
  <c r="BH601"/>
  <c r="BL670"/>
  <c r="BL804" s="1"/>
  <c r="AA175"/>
  <c r="Z93"/>
  <c r="Z136"/>
  <c r="Z138" s="1"/>
  <c r="O29" i="19"/>
  <c r="N22" i="68" s="1"/>
  <c r="N54" s="1"/>
  <c r="CH878" i="20"/>
  <c r="AC495"/>
  <c r="AD448"/>
  <c r="AC395"/>
  <c r="AC542"/>
  <c r="AC540"/>
  <c r="AC493"/>
  <c r="AD446"/>
  <c r="AC393"/>
  <c r="BH644"/>
  <c r="BH799"/>
  <c r="BH875" s="1"/>
  <c r="Y54"/>
  <c r="X168"/>
  <c r="BI639"/>
  <c r="BI797" s="1"/>
  <c r="BI873" s="1"/>
  <c r="X347"/>
  <c r="BH631"/>
  <c r="BH793"/>
  <c r="BH870" s="1"/>
  <c r="BI656"/>
  <c r="Y68"/>
  <c r="AD271"/>
  <c r="AC272"/>
  <c r="BJ729"/>
  <c r="BL717"/>
  <c r="BL716"/>
  <c r="BL713"/>
  <c r="BL725"/>
  <c r="CX899" s="1"/>
  <c r="BL747"/>
  <c r="BL724"/>
  <c r="CX848"/>
  <c r="BL718"/>
  <c r="BL721"/>
  <c r="BL719"/>
  <c r="BG877"/>
  <c r="BG814"/>
  <c r="AC492"/>
  <c r="AC539"/>
  <c r="AC392"/>
  <c r="AD445"/>
  <c r="BL714"/>
  <c r="BK743"/>
  <c r="CU896" s="1"/>
  <c r="Y43"/>
  <c r="BI626"/>
  <c r="BI790" s="1"/>
  <c r="X161"/>
  <c r="AA177"/>
  <c r="BL672"/>
  <c r="BL806" s="1"/>
  <c r="BK805"/>
  <c r="BK758"/>
  <c r="AC417"/>
  <c r="AD470"/>
  <c r="AC564"/>
  <c r="AC517"/>
  <c r="BI641"/>
  <c r="X170"/>
  <c r="Y56"/>
  <c r="Q159" i="21"/>
  <c r="Q160"/>
  <c r="Y25" i="20"/>
  <c r="BI596"/>
  <c r="BI813" s="1"/>
  <c r="BI878" s="1"/>
  <c r="X184"/>
  <c r="BN654"/>
  <c r="AC224"/>
  <c r="AD66"/>
  <c r="N151"/>
  <c r="C141" i="21"/>
  <c r="BI669" i="20"/>
  <c r="CO857" s="1"/>
  <c r="Y80"/>
  <c r="O22" i="19"/>
  <c r="N15" i="68" s="1"/>
  <c r="N47" s="1"/>
  <c r="CH874" i="20"/>
  <c r="AC60"/>
  <c r="AB219"/>
  <c r="BM648"/>
  <c r="BM788"/>
  <c r="DA884" s="1"/>
  <c r="AB159"/>
  <c r="B2" i="57"/>
  <c r="B3" s="1"/>
  <c r="B4" s="1"/>
  <c r="B5" s="1"/>
  <c r="B6" s="1"/>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B240" s="1"/>
  <c r="B241" s="1"/>
  <c r="B242" s="1"/>
  <c r="B243" s="1"/>
  <c r="B244" s="1"/>
  <c r="B245" s="1"/>
  <c r="B246" s="1"/>
  <c r="B247" s="1"/>
  <c r="B248" s="1"/>
  <c r="B249" s="1"/>
  <c r="B250" s="1"/>
  <c r="B251" s="1"/>
  <c r="B252" s="1"/>
  <c r="B253" s="1"/>
  <c r="B254" s="1"/>
  <c r="B255" s="1"/>
  <c r="B256" s="1"/>
  <c r="B257" s="1"/>
  <c r="B258" s="1"/>
  <c r="B259" s="1"/>
  <c r="B260" s="1"/>
  <c r="B261" s="1"/>
  <c r="B262" s="1"/>
  <c r="B263" s="1"/>
  <c r="B264" s="1"/>
  <c r="B265" s="1"/>
  <c r="B266" s="1"/>
  <c r="B267" s="1"/>
  <c r="B268" s="1"/>
  <c r="B269" s="1"/>
  <c r="B270" s="1"/>
  <c r="B271" s="1"/>
  <c r="B272" s="1"/>
  <c r="B273" s="1"/>
  <c r="B274" s="1"/>
  <c r="B275" s="1"/>
  <c r="B276" s="1"/>
  <c r="B277" s="1"/>
  <c r="B278" s="1"/>
  <c r="B279" s="1"/>
  <c r="B280" s="1"/>
  <c r="B281" s="1"/>
  <c r="B282" s="1"/>
  <c r="B283" s="1"/>
  <c r="B284" s="1"/>
  <c r="B285" s="1"/>
  <c r="B286" s="1"/>
  <c r="B287" s="1"/>
  <c r="B288" s="1"/>
  <c r="B289" s="1"/>
  <c r="B290" s="1"/>
  <c r="B291" s="1"/>
  <c r="B292" s="1"/>
  <c r="B293" s="1"/>
  <c r="B294" s="1"/>
  <c r="B295" s="1"/>
  <c r="B296" s="1"/>
  <c r="B297" s="1"/>
  <c r="B298" s="1"/>
  <c r="B299" s="1"/>
  <c r="B300" s="1"/>
  <c r="B301" s="1"/>
  <c r="B302" s="1"/>
  <c r="B303" s="1"/>
  <c r="B304" s="1"/>
  <c r="B305" s="1"/>
  <c r="B306" s="1"/>
  <c r="B307" s="1"/>
  <c r="B308" s="1"/>
  <c r="B309" s="1"/>
  <c r="B310" s="1"/>
  <c r="B311" s="1"/>
  <c r="B312" s="1"/>
  <c r="B313" s="1"/>
  <c r="B314" s="1"/>
  <c r="B315" s="1"/>
  <c r="B316" s="1"/>
  <c r="B317" s="1"/>
  <c r="B318" s="1"/>
  <c r="B319" s="1"/>
  <c r="B320" s="1"/>
  <c r="B321" s="1"/>
  <c r="B322" s="1"/>
  <c r="B323" s="1"/>
  <c r="B324" s="1"/>
  <c r="B325" s="1"/>
  <c r="B326" s="1"/>
  <c r="B327" s="1"/>
  <c r="B328" s="1"/>
  <c r="B329" s="1"/>
  <c r="B330" s="1"/>
  <c r="B331" s="1"/>
  <c r="B332" s="1"/>
  <c r="B333" s="1"/>
  <c r="B334" s="1"/>
  <c r="B335" s="1"/>
  <c r="B336" s="1"/>
  <c r="B337" s="1"/>
  <c r="B338" s="1"/>
  <c r="B339" s="1"/>
  <c r="B340" s="1"/>
  <c r="B341" s="1"/>
  <c r="B342" s="1"/>
  <c r="B343" s="1"/>
  <c r="B344" s="1"/>
  <c r="B345" s="1"/>
  <c r="B346" s="1"/>
  <c r="B347" s="1"/>
  <c r="B348" s="1"/>
  <c r="B349" s="1"/>
  <c r="B350" s="1"/>
  <c r="B351" s="1"/>
  <c r="B352" s="1"/>
  <c r="B353" s="1"/>
  <c r="B354" s="1"/>
  <c r="B355" s="1"/>
  <c r="B356" s="1"/>
  <c r="B357" s="1"/>
  <c r="B358" s="1"/>
  <c r="B359" s="1"/>
  <c r="B360" s="1"/>
  <c r="B361" s="1"/>
  <c r="B362" s="1"/>
  <c r="B363" s="1"/>
  <c r="C3"/>
  <c r="C4" s="1"/>
  <c r="C5" s="1"/>
  <c r="C6" s="1"/>
  <c r="C7" s="1"/>
  <c r="C8" s="1"/>
  <c r="C9" s="1"/>
  <c r="C10" s="1"/>
  <c r="C11" s="1"/>
  <c r="C12" s="1"/>
  <c r="C13" s="1"/>
  <c r="C14" s="1"/>
  <c r="C15" s="1"/>
  <c r="C16" s="1"/>
  <c r="C17" s="1"/>
  <c r="C18" s="1"/>
  <c r="C19" s="1"/>
  <c r="C20" s="1"/>
  <c r="C21" s="1"/>
  <c r="C22" s="1"/>
  <c r="C23" s="1"/>
  <c r="AD454" i="20"/>
  <c r="AC548"/>
  <c r="AC501"/>
  <c r="AC401"/>
  <c r="AD467"/>
  <c r="AC414"/>
  <c r="AC561"/>
  <c r="AC514"/>
  <c r="V27" i="19"/>
  <c r="U20" i="68" s="1"/>
  <c r="U52" s="1"/>
  <c r="DC884" i="20"/>
  <c r="G88" i="21"/>
  <c r="M88"/>
  <c r="R88"/>
  <c r="R89" s="1"/>
  <c r="N88"/>
  <c r="O88"/>
  <c r="L88"/>
  <c r="L89" s="1"/>
  <c r="Q88"/>
  <c r="H88"/>
  <c r="K88"/>
  <c r="I88"/>
  <c r="P88"/>
  <c r="J88"/>
  <c r="J89" s="1"/>
  <c r="AA137" i="20"/>
  <c r="C384" i="56"/>
  <c r="C385" i="57"/>
  <c r="C746"/>
  <c r="E225" i="21"/>
  <c r="G225" s="1"/>
  <c r="H227" s="1"/>
  <c r="AF942" i="20"/>
  <c r="AC381"/>
  <c r="AC51" s="1"/>
  <c r="BN635" s="1"/>
  <c r="AE355"/>
  <c r="AQ156" i="16"/>
  <c r="AQ200" s="1"/>
  <c r="AQ49" s="1"/>
  <c r="AV49" s="1"/>
  <c r="AQ199"/>
  <c r="AQ38" s="1"/>
  <c r="AV38" s="1"/>
  <c r="AT112"/>
  <c r="AT109"/>
  <c r="AT110" s="1"/>
  <c r="AT155"/>
  <c r="AT158"/>
  <c r="AQ27"/>
  <c r="AV21"/>
  <c r="AT96"/>
  <c r="AT97" s="1"/>
  <c r="AT99"/>
  <c r="AQ281"/>
  <c r="AQ226"/>
  <c r="AT254"/>
  <c r="AQ308"/>
  <c r="AQ201"/>
  <c r="AT125"/>
  <c r="AT122"/>
  <c r="AT123" s="1"/>
  <c r="AQ140"/>
  <c r="AQ37" s="1"/>
  <c r="AQ84"/>
  <c r="AQ141" s="1"/>
  <c r="AQ48" s="1"/>
  <c r="AV48" s="1"/>
  <c r="AQ282"/>
  <c r="AT255"/>
  <c r="AQ227"/>
  <c r="AQ309"/>
  <c r="AT197"/>
  <c r="AT194"/>
  <c r="AT195" s="1"/>
  <c r="AQ142"/>
  <c r="AT184"/>
  <c r="AT181"/>
  <c r="AT182" s="1"/>
  <c r="AT138"/>
  <c r="AT135"/>
  <c r="AT136" s="1"/>
  <c r="G50"/>
  <c r="G58" s="1"/>
  <c r="Q119" i="19" s="1"/>
  <c r="G29" i="16"/>
  <c r="L47"/>
  <c r="G36"/>
  <c r="J251"/>
  <c r="J223" s="1"/>
  <c r="J35" s="1"/>
  <c r="J278"/>
  <c r="J305"/>
  <c r="AS27"/>
  <c r="AT86"/>
  <c r="AT83"/>
  <c r="AT171"/>
  <c r="AT168"/>
  <c r="AT169" s="1"/>
  <c r="AB120" i="19"/>
  <c r="AS37" i="16"/>
  <c r="AC100" i="19"/>
  <c r="AC104"/>
  <c r="AC107" s="1"/>
  <c r="AG485" i="20"/>
  <c r="AG438"/>
  <c r="AG532"/>
  <c r="AG247"/>
  <c r="AF377"/>
  <c r="AE374"/>
  <c r="AE375" s="1"/>
  <c r="AF373"/>
  <c r="AG361"/>
  <c r="AG353"/>
  <c r="AG357"/>
  <c r="AF354"/>
  <c r="AG371"/>
  <c r="AF367"/>
  <c r="AF382" s="1"/>
  <c r="AF363"/>
  <c r="AE364"/>
  <c r="BQ789"/>
  <c r="AD340"/>
  <c r="AE570"/>
  <c r="AE429"/>
  <c r="AE523"/>
  <c r="AF476"/>
  <c r="AF337"/>
  <c r="AE334"/>
  <c r="AF333"/>
  <c r="AG940"/>
  <c r="AG941"/>
  <c r="AG479"/>
  <c r="AF432"/>
  <c r="AF327"/>
  <c r="AF323"/>
  <c r="AE324"/>
  <c r="AE340" s="1"/>
  <c r="AD341"/>
  <c r="AE315"/>
  <c r="AG522"/>
  <c r="AG569"/>
  <c r="AG475"/>
  <c r="DP893"/>
  <c r="DP865"/>
  <c r="DP846"/>
  <c r="BR763"/>
  <c r="AB11" i="19" s="1"/>
  <c r="BR696" i="20"/>
  <c r="AF314"/>
  <c r="AG313"/>
  <c r="AG331"/>
  <c r="AG321"/>
  <c r="AG317"/>
  <c r="AH938"/>
  <c r="BS583"/>
  <c r="AH428"/>
  <c r="AH422"/>
  <c r="AH351"/>
  <c r="AH345"/>
  <c r="AH311"/>
  <c r="AH218"/>
  <c r="AH234" s="1"/>
  <c r="AH385"/>
  <c r="AH270"/>
  <c r="AH259"/>
  <c r="AH112"/>
  <c r="AH134"/>
  <c r="AH160" s="1"/>
  <c r="AI15"/>
  <c r="AH951"/>
  <c r="U950" s="1"/>
  <c r="AH955"/>
  <c r="AH958" s="1"/>
  <c r="AH946"/>
  <c r="AF571"/>
  <c r="AF524"/>
  <c r="AG477"/>
  <c r="AF430"/>
  <c r="BK838" l="1"/>
  <c r="BF650"/>
  <c r="AA249"/>
  <c r="Y49"/>
  <c r="H23" i="67" s="1"/>
  <c r="H48" s="1"/>
  <c r="Z253" i="20"/>
  <c r="AE365"/>
  <c r="BG896"/>
  <c r="CO890"/>
  <c r="CT890" s="1"/>
  <c r="BJ746"/>
  <c r="L64" i="21"/>
  <c r="M229" s="1"/>
  <c r="BJ752" i="20"/>
  <c r="CI874"/>
  <c r="AE380"/>
  <c r="AE39" s="1"/>
  <c r="BP622" s="1"/>
  <c r="AF342"/>
  <c r="BL766"/>
  <c r="P22" i="19"/>
  <c r="O15" i="68" s="1"/>
  <c r="O47" s="1"/>
  <c r="BL817" i="20"/>
  <c r="BL880" s="1"/>
  <c r="BL836"/>
  <c r="BL838" s="1"/>
  <c r="Q39" i="68"/>
  <c r="H157" i="20"/>
  <c r="E19" i="70"/>
  <c r="AF355" i="20"/>
  <c r="BK683"/>
  <c r="BK746" s="1"/>
  <c r="I11" i="67"/>
  <c r="I11" i="66"/>
  <c r="N49" i="68"/>
  <c r="N29"/>
  <c r="N61" s="1"/>
  <c r="I19" i="67"/>
  <c r="I44" s="1"/>
  <c r="I19" i="66"/>
  <c r="I44" s="1"/>
  <c r="H47"/>
  <c r="F19" i="70"/>
  <c r="B12" i="66"/>
  <c r="B37" s="1"/>
  <c r="B12" i="67"/>
  <c r="B37" s="1"/>
  <c r="H23" i="66"/>
  <c r="H48" s="1"/>
  <c r="H36"/>
  <c r="AC91" i="20"/>
  <c r="BN681" s="1"/>
  <c r="Q151"/>
  <c r="G9" i="70"/>
  <c r="H36" i="67"/>
  <c r="AA96" i="19"/>
  <c r="AA4" i="68"/>
  <c r="AA36" s="1"/>
  <c r="G47" i="66"/>
  <c r="CL856" i="20"/>
  <c r="CQ856" s="1"/>
  <c r="BE709"/>
  <c r="BE710" s="1"/>
  <c r="BE748" s="1"/>
  <c r="BE708"/>
  <c r="U223"/>
  <c r="U227" s="1"/>
  <c r="U231" s="1"/>
  <c r="U232" s="1"/>
  <c r="BK729"/>
  <c r="G82" i="22"/>
  <c r="AE69" i="20"/>
  <c r="BO657"/>
  <c r="BH645"/>
  <c r="BH706" s="1"/>
  <c r="X172"/>
  <c r="P21" i="19"/>
  <c r="O14" i="68" s="1"/>
  <c r="O46" s="1"/>
  <c r="CK876" i="20"/>
  <c r="CI876"/>
  <c r="Q21" i="19" s="1"/>
  <c r="P14" i="68" s="1"/>
  <c r="P46" s="1"/>
  <c r="J64" i="21"/>
  <c r="J225" s="1"/>
  <c r="K227" s="1"/>
  <c r="BH809" i="20"/>
  <c r="BL684"/>
  <c r="X165"/>
  <c r="BI825"/>
  <c r="BI839" s="1"/>
  <c r="B659" i="56"/>
  <c r="B660"/>
  <c r="B661" s="1"/>
  <c r="B662" s="1"/>
  <c r="B663" s="1"/>
  <c r="B664" s="1"/>
  <c r="B665" s="1"/>
  <c r="B666" s="1"/>
  <c r="B667" s="1"/>
  <c r="B668" s="1"/>
  <c r="B669" s="1"/>
  <c r="B670" s="1"/>
  <c r="B671" s="1"/>
  <c r="B672" s="1"/>
  <c r="B673" s="1"/>
  <c r="B674" s="1"/>
  <c r="B675" s="1"/>
  <c r="B676" s="1"/>
  <c r="B677" s="1"/>
  <c r="B678" s="1"/>
  <c r="B679" s="1"/>
  <c r="B680" s="1"/>
  <c r="B681" s="1"/>
  <c r="B682" s="1"/>
  <c r="B683" s="1"/>
  <c r="B684" s="1"/>
  <c r="B685" s="1"/>
  <c r="B686" s="1"/>
  <c r="B687" s="1"/>
  <c r="B688" s="1"/>
  <c r="B689" s="1"/>
  <c r="B690" s="1"/>
  <c r="B691" s="1"/>
  <c r="B692" s="1"/>
  <c r="B693" s="1"/>
  <c r="B694" s="1"/>
  <c r="B695" s="1"/>
  <c r="B696" s="1"/>
  <c r="B697" s="1"/>
  <c r="B698" s="1"/>
  <c r="B699" s="1"/>
  <c r="B700" s="1"/>
  <c r="B701" s="1"/>
  <c r="B702" s="1"/>
  <c r="B703" s="1"/>
  <c r="B704" s="1"/>
  <c r="B705" s="1"/>
  <c r="B706" s="1"/>
  <c r="B707" s="1"/>
  <c r="B708" s="1"/>
  <c r="B709" s="1"/>
  <c r="B710" s="1"/>
  <c r="B711" s="1"/>
  <c r="B712" s="1"/>
  <c r="B713" s="1"/>
  <c r="B714" s="1"/>
  <c r="B715" s="1"/>
  <c r="B716" s="1"/>
  <c r="B717" s="1"/>
  <c r="B718" s="1"/>
  <c r="B719" s="1"/>
  <c r="B720" s="1"/>
  <c r="B721" s="1"/>
  <c r="B722" s="1"/>
  <c r="B723" s="1"/>
  <c r="B724" s="1"/>
  <c r="B725" s="1"/>
  <c r="AD543" i="20"/>
  <c r="AD496"/>
  <c r="AE449"/>
  <c r="AD396"/>
  <c r="BK591"/>
  <c r="Z194"/>
  <c r="Z196" s="1"/>
  <c r="Z210" s="1"/>
  <c r="BN609"/>
  <c r="CR852"/>
  <c r="CW850"/>
  <c r="BL771"/>
  <c r="BL852" s="1"/>
  <c r="BL894"/>
  <c r="AB46"/>
  <c r="AB41"/>
  <c r="BM663"/>
  <c r="DA851" s="1"/>
  <c r="DF851" s="1"/>
  <c r="AE453"/>
  <c r="AD500"/>
  <c r="AD547"/>
  <c r="AD400"/>
  <c r="CN871"/>
  <c r="Q19" i="19"/>
  <c r="P12" i="68" s="1"/>
  <c r="P44" s="1"/>
  <c r="BJ823" i="20"/>
  <c r="BJ593"/>
  <c r="BJ699" s="1"/>
  <c r="R159" i="21"/>
  <c r="R160"/>
  <c r="BI755" i="20"/>
  <c r="BI597"/>
  <c r="BI756"/>
  <c r="BI812"/>
  <c r="AD508"/>
  <c r="AE461"/>
  <c r="AD555"/>
  <c r="AD408"/>
  <c r="Z423"/>
  <c r="Y425"/>
  <c r="Y78" s="1"/>
  <c r="CE879"/>
  <c r="CA885"/>
  <c r="AA148"/>
  <c r="BL627"/>
  <c r="BL777" s="1"/>
  <c r="BL860" s="1"/>
  <c r="BH794"/>
  <c r="BI795"/>
  <c r="BI638"/>
  <c r="BL782"/>
  <c r="CX882" s="1"/>
  <c r="DC882" s="1"/>
  <c r="AA153"/>
  <c r="CK868"/>
  <c r="P17" i="19"/>
  <c r="L139" i="21"/>
  <c r="K147"/>
  <c r="K149" s="1"/>
  <c r="K150" s="1"/>
  <c r="BJ641" i="20"/>
  <c r="Y170"/>
  <c r="Z56"/>
  <c r="AD539"/>
  <c r="AE445"/>
  <c r="AD492"/>
  <c r="AD392"/>
  <c r="AD497"/>
  <c r="AD544"/>
  <c r="AE450"/>
  <c r="AD397"/>
  <c r="BI667"/>
  <c r="BI808" s="1"/>
  <c r="X179"/>
  <c r="X180" s="1"/>
  <c r="BL662"/>
  <c r="BL664" s="1"/>
  <c r="BL730"/>
  <c r="CX901" s="1"/>
  <c r="BL727"/>
  <c r="BL726"/>
  <c r="BL728" s="1"/>
  <c r="CX849"/>
  <c r="AE442"/>
  <c r="AD536"/>
  <c r="AD389"/>
  <c r="AD489"/>
  <c r="I89" i="21"/>
  <c r="J139"/>
  <c r="I147"/>
  <c r="I149" s="1"/>
  <c r="I150" s="1"/>
  <c r="P147"/>
  <c r="P149" s="1"/>
  <c r="P150" s="1"/>
  <c r="P89"/>
  <c r="Q139"/>
  <c r="AD514" i="20"/>
  <c r="AE467"/>
  <c r="AD414"/>
  <c r="AD561"/>
  <c r="W27" i="19"/>
  <c r="V20" i="68" s="1"/>
  <c r="V52" s="1"/>
  <c r="DF884" i="20"/>
  <c r="AD493"/>
  <c r="AD540"/>
  <c r="AE446"/>
  <c r="AD393"/>
  <c r="AD486"/>
  <c r="AD533"/>
  <c r="AD386"/>
  <c r="AD71" s="1"/>
  <c r="AE439"/>
  <c r="AD553"/>
  <c r="AD506"/>
  <c r="AE459"/>
  <c r="AD406"/>
  <c r="Z38"/>
  <c r="BK621" s="1"/>
  <c r="AD558"/>
  <c r="AD411"/>
  <c r="AE464"/>
  <c r="AD511"/>
  <c r="AD491"/>
  <c r="AE444"/>
  <c r="AD391"/>
  <c r="AD538"/>
  <c r="AD559"/>
  <c r="AD512"/>
  <c r="AE465"/>
  <c r="AD412"/>
  <c r="AD31" s="1"/>
  <c r="AC276"/>
  <c r="AB305"/>
  <c r="AC278"/>
  <c r="AA193"/>
  <c r="BL588"/>
  <c r="BL822" s="1"/>
  <c r="BL853" s="1"/>
  <c r="BI815"/>
  <c r="BI601"/>
  <c r="AB192"/>
  <c r="BM603"/>
  <c r="BM821" s="1"/>
  <c r="BM882" s="1"/>
  <c r="AC29"/>
  <c r="AD488"/>
  <c r="AE441"/>
  <c r="AD535"/>
  <c r="AD388"/>
  <c r="AD413"/>
  <c r="AE466"/>
  <c r="AD513"/>
  <c r="AD560"/>
  <c r="Z24"/>
  <c r="BJ595"/>
  <c r="Y183"/>
  <c r="BL629"/>
  <c r="BL792" s="1"/>
  <c r="BL869" s="1"/>
  <c r="AA163"/>
  <c r="AD562"/>
  <c r="AD515"/>
  <c r="AE468"/>
  <c r="AD415"/>
  <c r="AA145"/>
  <c r="BL623"/>
  <c r="BL774" s="1"/>
  <c r="BL857" s="1"/>
  <c r="K64" i="21"/>
  <c r="K225" s="1"/>
  <c r="L227" s="1"/>
  <c r="X185" i="20"/>
  <c r="P64" i="21"/>
  <c r="P225" s="1"/>
  <c r="Q227" s="1"/>
  <c r="R64"/>
  <c r="R225" s="1"/>
  <c r="R147"/>
  <c r="R149" s="1"/>
  <c r="R150" s="1"/>
  <c r="AD418" i="20"/>
  <c r="AD565"/>
  <c r="AD518"/>
  <c r="AE471"/>
  <c r="BM672"/>
  <c r="BM806" s="1"/>
  <c r="AB177"/>
  <c r="G89" i="21"/>
  <c r="H139"/>
  <c r="BO654" i="20"/>
  <c r="AD224"/>
  <c r="AE66"/>
  <c r="CH877"/>
  <c r="O30" i="19"/>
  <c r="N23" i="68" s="1"/>
  <c r="N55" s="1"/>
  <c r="BI631" i="20"/>
  <c r="BI793"/>
  <c r="BI870" s="1"/>
  <c r="AB175"/>
  <c r="BM670"/>
  <c r="BM804" s="1"/>
  <c r="Z57"/>
  <c r="BJ642"/>
  <c r="BJ800" s="1"/>
  <c r="BJ876" s="1"/>
  <c r="Y171"/>
  <c r="AD416"/>
  <c r="AD516"/>
  <c r="AE469"/>
  <c r="AD563"/>
  <c r="BL624"/>
  <c r="BL775" s="1"/>
  <c r="BL858" s="1"/>
  <c r="AA146"/>
  <c r="M89" i="21"/>
  <c r="N139"/>
  <c r="M147"/>
  <c r="M149" s="1"/>
  <c r="M150" s="1"/>
  <c r="N157" i="20"/>
  <c r="C151" i="21"/>
  <c r="K139"/>
  <c r="J147"/>
  <c r="J149" s="1"/>
  <c r="J150" s="1"/>
  <c r="N89"/>
  <c r="O139"/>
  <c r="N147"/>
  <c r="N149" s="1"/>
  <c r="N150" s="1"/>
  <c r="CT857" i="20"/>
  <c r="CO875"/>
  <c r="CT875" s="1"/>
  <c r="BJ596"/>
  <c r="BJ813" s="1"/>
  <c r="BJ878" s="1"/>
  <c r="Y184"/>
  <c r="Z25"/>
  <c r="AD564"/>
  <c r="AD417"/>
  <c r="AE470"/>
  <c r="AD517"/>
  <c r="BJ626"/>
  <c r="BJ790" s="1"/>
  <c r="Z43"/>
  <c r="Y161"/>
  <c r="BM714"/>
  <c r="BL743"/>
  <c r="CX896" s="1"/>
  <c r="AC81"/>
  <c r="BN660"/>
  <c r="AC72"/>
  <c r="AC42"/>
  <c r="BN625" s="1"/>
  <c r="AC85"/>
  <c r="BN674" s="1"/>
  <c r="AC923"/>
  <c r="AC74"/>
  <c r="AC84"/>
  <c r="AC19"/>
  <c r="AC83"/>
  <c r="AC86"/>
  <c r="BN675" s="1"/>
  <c r="AC82"/>
  <c r="AD505"/>
  <c r="AE458"/>
  <c r="AD552"/>
  <c r="AD405"/>
  <c r="AD65"/>
  <c r="AC228"/>
  <c r="BN653"/>
  <c r="BM717"/>
  <c r="BM725"/>
  <c r="DA899" s="1"/>
  <c r="BM716"/>
  <c r="DA848"/>
  <c r="BM718"/>
  <c r="BM724"/>
  <c r="BM747"/>
  <c r="BM721"/>
  <c r="BM719"/>
  <c r="BM713"/>
  <c r="BK822"/>
  <c r="BK853" s="1"/>
  <c r="BK589"/>
  <c r="BK698" s="1"/>
  <c r="AE455"/>
  <c r="AD502"/>
  <c r="AD549"/>
  <c r="AD402"/>
  <c r="AD507"/>
  <c r="AE460"/>
  <c r="AD407"/>
  <c r="AD28" s="1"/>
  <c r="AD554"/>
  <c r="AD494"/>
  <c r="AD541"/>
  <c r="AD394"/>
  <c r="AE447"/>
  <c r="BE859"/>
  <c r="BE861" s="1"/>
  <c r="BE778"/>
  <c r="BE779" s="1"/>
  <c r="BL594"/>
  <c r="BL773" s="1"/>
  <c r="BL856" s="1"/>
  <c r="AA144"/>
  <c r="BN606"/>
  <c r="E149" i="21"/>
  <c r="G149" s="1"/>
  <c r="T150" i="20"/>
  <c r="G64" i="21"/>
  <c r="H229" s="1"/>
  <c r="H231" s="1"/>
  <c r="H232" s="1"/>
  <c r="H173" s="1"/>
  <c r="M64"/>
  <c r="M67" s="1"/>
  <c r="H64"/>
  <c r="I229" s="1"/>
  <c r="X190" i="20"/>
  <c r="BM707"/>
  <c r="AC92"/>
  <c r="BN682" s="1"/>
  <c r="BJ669"/>
  <c r="CR857" s="1"/>
  <c r="Z80"/>
  <c r="BI867"/>
  <c r="CL871"/>
  <c r="BH819"/>
  <c r="BJ599"/>
  <c r="Y186"/>
  <c r="Z27"/>
  <c r="BM587"/>
  <c r="AB142"/>
  <c r="AB20"/>
  <c r="AB178"/>
  <c r="BM673"/>
  <c r="BM807" s="1"/>
  <c r="AD404"/>
  <c r="AE457"/>
  <c r="AD551"/>
  <c r="AD504"/>
  <c r="BK765"/>
  <c r="BK767" s="1"/>
  <c r="BK720"/>
  <c r="BJ612"/>
  <c r="Y189"/>
  <c r="Z32"/>
  <c r="CC862"/>
  <c r="CH862" s="1"/>
  <c r="CH861"/>
  <c r="AA22"/>
  <c r="AA143"/>
  <c r="BL590"/>
  <c r="BL772" s="1"/>
  <c r="BL854" s="1"/>
  <c r="AD557"/>
  <c r="AD510"/>
  <c r="AE463"/>
  <c r="AD410"/>
  <c r="AD30" s="1"/>
  <c r="BO606" s="1"/>
  <c r="BO608" s="1"/>
  <c r="BG820"/>
  <c r="AB221"/>
  <c r="AB230" s="1"/>
  <c r="AB207" s="1"/>
  <c r="AB209" s="1"/>
  <c r="K89" i="21"/>
  <c r="B1022" i="57"/>
  <c r="B1023" s="1"/>
  <c r="B1024" s="1"/>
  <c r="B1025" s="1"/>
  <c r="B1026" s="1"/>
  <c r="B1027" s="1"/>
  <c r="B1028" s="1"/>
  <c r="B1029" s="1"/>
  <c r="B1030" s="1"/>
  <c r="B1031" s="1"/>
  <c r="B1032" s="1"/>
  <c r="B1033" s="1"/>
  <c r="B1034" s="1"/>
  <c r="B1035" s="1"/>
  <c r="B1036" s="1"/>
  <c r="B1037" s="1"/>
  <c r="B1038" s="1"/>
  <c r="B1039" s="1"/>
  <c r="B1040" s="1"/>
  <c r="B1041" s="1"/>
  <c r="B1042" s="1"/>
  <c r="B1043" s="1"/>
  <c r="B1044" s="1"/>
  <c r="B1045" s="1"/>
  <c r="B1046" s="1"/>
  <c r="B1047" s="1"/>
  <c r="B1048" s="1"/>
  <c r="B1049" s="1"/>
  <c r="B1050" s="1"/>
  <c r="B1051" s="1"/>
  <c r="B1052" s="1"/>
  <c r="B1053" s="1"/>
  <c r="B1054" s="1"/>
  <c r="B1055" s="1"/>
  <c r="B1056" s="1"/>
  <c r="B1057" s="1"/>
  <c r="B1058" s="1"/>
  <c r="B1059" s="1"/>
  <c r="B1060" s="1"/>
  <c r="B1061" s="1"/>
  <c r="B1062" s="1"/>
  <c r="B1063" s="1"/>
  <c r="B1064" s="1"/>
  <c r="B1065" s="1"/>
  <c r="B1066" s="1"/>
  <c r="B1067" s="1"/>
  <c r="B1068" s="1"/>
  <c r="B1069" s="1"/>
  <c r="B1070" s="1"/>
  <c r="B1071" s="1"/>
  <c r="B1072" s="1"/>
  <c r="B1073" s="1"/>
  <c r="B1074" s="1"/>
  <c r="B1075" s="1"/>
  <c r="B1076" s="1"/>
  <c r="B1077" s="1"/>
  <c r="B1078" s="1"/>
  <c r="B1079" s="1"/>
  <c r="B1080" s="1"/>
  <c r="B1081" s="1"/>
  <c r="B1082" s="1"/>
  <c r="B1083" s="1"/>
  <c r="B1084" s="1"/>
  <c r="B1085" s="1"/>
  <c r="B1086" s="1"/>
  <c r="B1087" s="1"/>
  <c r="B1021"/>
  <c r="Z50" i="20"/>
  <c r="BK634" s="1"/>
  <c r="AA265"/>
  <c r="AB261"/>
  <c r="AA262"/>
  <c r="AA38" s="1"/>
  <c r="BL621" s="1"/>
  <c r="BI818"/>
  <c r="BI881" s="1"/>
  <c r="BI614"/>
  <c r="B659" i="57"/>
  <c r="B660"/>
  <c r="B661" s="1"/>
  <c r="B662" s="1"/>
  <c r="B663" s="1"/>
  <c r="B664" s="1"/>
  <c r="B665" s="1"/>
  <c r="B666" s="1"/>
  <c r="B667" s="1"/>
  <c r="B668" s="1"/>
  <c r="B669" s="1"/>
  <c r="B670" s="1"/>
  <c r="B671" s="1"/>
  <c r="B672" s="1"/>
  <c r="B673" s="1"/>
  <c r="B674" s="1"/>
  <c r="B675" s="1"/>
  <c r="B676" s="1"/>
  <c r="B677" s="1"/>
  <c r="B678" s="1"/>
  <c r="B679" s="1"/>
  <c r="B680" s="1"/>
  <c r="B681" s="1"/>
  <c r="B682" s="1"/>
  <c r="B683" s="1"/>
  <c r="B684" s="1"/>
  <c r="B685" s="1"/>
  <c r="B686" s="1"/>
  <c r="B687" s="1"/>
  <c r="B688" s="1"/>
  <c r="B689" s="1"/>
  <c r="B690" s="1"/>
  <c r="B691" s="1"/>
  <c r="B692" s="1"/>
  <c r="B693" s="1"/>
  <c r="B694" s="1"/>
  <c r="B695" s="1"/>
  <c r="B696" s="1"/>
  <c r="B697" s="1"/>
  <c r="B698" s="1"/>
  <c r="B699" s="1"/>
  <c r="B700" s="1"/>
  <c r="B701" s="1"/>
  <c r="B702" s="1"/>
  <c r="B703" s="1"/>
  <c r="B704" s="1"/>
  <c r="B705" s="1"/>
  <c r="B706" s="1"/>
  <c r="B707" s="1"/>
  <c r="B708" s="1"/>
  <c r="B709" s="1"/>
  <c r="B710" s="1"/>
  <c r="B711" s="1"/>
  <c r="B712" s="1"/>
  <c r="B713" s="1"/>
  <c r="B714" s="1"/>
  <c r="B715" s="1"/>
  <c r="B716" s="1"/>
  <c r="B717" s="1"/>
  <c r="B718" s="1"/>
  <c r="B719" s="1"/>
  <c r="B720" s="1"/>
  <c r="B721" s="1"/>
  <c r="B722" s="1"/>
  <c r="B723" s="1"/>
  <c r="B724" s="1"/>
  <c r="B725" s="1"/>
  <c r="BM685" i="20"/>
  <c r="BM811" s="1"/>
  <c r="DA870" s="1"/>
  <c r="W18" i="19" s="1"/>
  <c r="V11" i="68" s="1"/>
  <c r="V43" s="1"/>
  <c r="CM870" i="20"/>
  <c r="CM882"/>
  <c r="CM889"/>
  <c r="CM881"/>
  <c r="CM876"/>
  <c r="CM885"/>
  <c r="CM890"/>
  <c r="CM879"/>
  <c r="CM871"/>
  <c r="CM880"/>
  <c r="CM868"/>
  <c r="CM883"/>
  <c r="CM884"/>
  <c r="CM872"/>
  <c r="CM874"/>
  <c r="CQ867"/>
  <c r="CM867"/>
  <c r="CM887"/>
  <c r="CM891"/>
  <c r="CM877"/>
  <c r="CM878"/>
  <c r="CM869"/>
  <c r="CM875"/>
  <c r="CM886"/>
  <c r="BL805"/>
  <c r="BL758"/>
  <c r="BL605"/>
  <c r="BL701" s="1"/>
  <c r="O89" i="21"/>
  <c r="O147"/>
  <c r="O149" s="1"/>
  <c r="O150" s="1"/>
  <c r="P139"/>
  <c r="L147"/>
  <c r="L149" s="1"/>
  <c r="L150" s="1"/>
  <c r="M139"/>
  <c r="BJ656" i="20"/>
  <c r="Z68"/>
  <c r="AD542"/>
  <c r="AE448"/>
  <c r="AD495"/>
  <c r="AD395"/>
  <c r="Q22" i="19"/>
  <c r="P15" i="68" s="1"/>
  <c r="P47" s="1"/>
  <c r="CN874" i="20"/>
  <c r="AB195"/>
  <c r="BM680"/>
  <c r="AB137"/>
  <c r="AB44"/>
  <c r="AB40"/>
  <c r="AB23"/>
  <c r="AB21"/>
  <c r="BM661"/>
  <c r="AB73"/>
  <c r="AB75" s="1"/>
  <c r="BI803"/>
  <c r="BI676"/>
  <c r="BN602"/>
  <c r="AC95"/>
  <c r="AC182" s="1"/>
  <c r="AD61"/>
  <c r="AC220"/>
  <c r="BN649"/>
  <c r="BJ637"/>
  <c r="BJ796" s="1"/>
  <c r="BJ872" s="1"/>
  <c r="Y167"/>
  <c r="Z53"/>
  <c r="AD487"/>
  <c r="AE440"/>
  <c r="AD534"/>
  <c r="AD387"/>
  <c r="Q147" i="21"/>
  <c r="Q149" s="1"/>
  <c r="Q150" s="1"/>
  <c r="R139"/>
  <c r="Q89"/>
  <c r="AD548" i="20"/>
  <c r="AD401"/>
  <c r="AD501"/>
  <c r="AE454"/>
  <c r="BI799"/>
  <c r="BI875" s="1"/>
  <c r="BI644"/>
  <c r="AE271"/>
  <c r="AD272"/>
  <c r="Y347"/>
  <c r="Z54"/>
  <c r="Y168"/>
  <c r="BJ639"/>
  <c r="BJ797" s="1"/>
  <c r="BJ873" s="1"/>
  <c r="AD403"/>
  <c r="AE456"/>
  <c r="AD550"/>
  <c r="AD503"/>
  <c r="BM681"/>
  <c r="BM816" s="1"/>
  <c r="BM879" s="1"/>
  <c r="AB187"/>
  <c r="Z45"/>
  <c r="BJ628"/>
  <c r="BJ791" s="1"/>
  <c r="BJ868" s="1"/>
  <c r="Y162"/>
  <c r="BH814"/>
  <c r="BH877"/>
  <c r="BM671"/>
  <c r="AB176"/>
  <c r="BH801"/>
  <c r="BH871"/>
  <c r="Y58"/>
  <c r="BJ633"/>
  <c r="AD33"/>
  <c r="BN615"/>
  <c r="BN702" s="1"/>
  <c r="H89" i="21"/>
  <c r="I139"/>
  <c r="H147"/>
  <c r="H149" s="1"/>
  <c r="H150" s="1"/>
  <c r="AD60" i="20"/>
  <c r="AC219"/>
  <c r="BN648"/>
  <c r="CY861"/>
  <c r="CY857"/>
  <c r="CY849"/>
  <c r="CY853"/>
  <c r="CY854"/>
  <c r="V15" i="19" s="1"/>
  <c r="U8" i="68" s="1"/>
  <c r="U40" s="1"/>
  <c r="CY851" i="20"/>
  <c r="CY850"/>
  <c r="CY860"/>
  <c r="CY852"/>
  <c r="DC848"/>
  <c r="W13" i="19" s="1"/>
  <c r="V6" i="68" s="1"/>
  <c r="V38" s="1"/>
  <c r="CY858" i="20"/>
  <c r="CY856"/>
  <c r="CY848"/>
  <c r="V12" i="19"/>
  <c r="U5" i="68" s="1"/>
  <c r="U37" s="1"/>
  <c r="CY862" i="20"/>
  <c r="AC159"/>
  <c r="BN788"/>
  <c r="DD884" s="1"/>
  <c r="BJ630"/>
  <c r="Z47"/>
  <c r="Y164"/>
  <c r="CO867"/>
  <c r="CT854"/>
  <c r="S14" i="19"/>
  <c r="R7" i="68" s="1"/>
  <c r="BM682" i="20"/>
  <c r="BM817" s="1"/>
  <c r="BM880" s="1"/>
  <c r="AB188"/>
  <c r="Z52"/>
  <c r="BJ636"/>
  <c r="Y166"/>
  <c r="Z79"/>
  <c r="BJ668"/>
  <c r="Y174"/>
  <c r="Z37"/>
  <c r="Z251"/>
  <c r="AD509"/>
  <c r="AE462"/>
  <c r="AD556"/>
  <c r="AD409"/>
  <c r="DC870"/>
  <c r="BJ640"/>
  <c r="BJ798" s="1"/>
  <c r="BJ874" s="1"/>
  <c r="Y169"/>
  <c r="Z55"/>
  <c r="CZ849"/>
  <c r="CU850"/>
  <c r="AA93"/>
  <c r="AA136"/>
  <c r="AA138" s="1"/>
  <c r="O64" i="21"/>
  <c r="P229" s="1"/>
  <c r="N64"/>
  <c r="N225" s="1"/>
  <c r="O227" s="1"/>
  <c r="BF651" i="20"/>
  <c r="AC90"/>
  <c r="Q64" i="21"/>
  <c r="R229" s="1"/>
  <c r="AB94" i="20"/>
  <c r="C385" i="56"/>
  <c r="C24"/>
  <c r="C24" i="57"/>
  <c r="C747"/>
  <c r="C386"/>
  <c r="L225" i="21"/>
  <c r="M227" s="1"/>
  <c r="BQ783" i="20"/>
  <c r="I67" i="21"/>
  <c r="I225"/>
  <c r="J227" s="1"/>
  <c r="J229"/>
  <c r="AT140" i="16"/>
  <c r="AT37" s="1"/>
  <c r="AT142"/>
  <c r="AT282"/>
  <c r="AT227"/>
  <c r="AT309"/>
  <c r="G59"/>
  <c r="Q118" i="19" s="1"/>
  <c r="L36" i="16"/>
  <c r="Q109" i="19"/>
  <c r="G40" i="16"/>
  <c r="O35"/>
  <c r="R108" i="19"/>
  <c r="J55" i="16"/>
  <c r="AT199"/>
  <c r="AT38" s="1"/>
  <c r="AT84"/>
  <c r="AT141" s="1"/>
  <c r="AT48" s="1"/>
  <c r="AT156"/>
  <c r="AT200" s="1"/>
  <c r="AT49" s="1"/>
  <c r="L50"/>
  <c r="Q117" i="19"/>
  <c r="AC120"/>
  <c r="AV37" i="16"/>
  <c r="AT281"/>
  <c r="AT226"/>
  <c r="AT308"/>
  <c r="AT201"/>
  <c r="L29"/>
  <c r="Q110" i="19"/>
  <c r="G33" i="16"/>
  <c r="AV27"/>
  <c r="AE381" i="20"/>
  <c r="AE51" s="1"/>
  <c r="BP635" s="1"/>
  <c r="AH361"/>
  <c r="AH357"/>
  <c r="AH371"/>
  <c r="AH353"/>
  <c r="AG354"/>
  <c r="AG524"/>
  <c r="AG430"/>
  <c r="AG571"/>
  <c r="AH477"/>
  <c r="AG314"/>
  <c r="AH313"/>
  <c r="AH331"/>
  <c r="AH321"/>
  <c r="AH317"/>
  <c r="AE335"/>
  <c r="BR789"/>
  <c r="AH532"/>
  <c r="AH485"/>
  <c r="AH438"/>
  <c r="AH247"/>
  <c r="AH940"/>
  <c r="AH941"/>
  <c r="AF315"/>
  <c r="AG942"/>
  <c r="AE325"/>
  <c r="AH522"/>
  <c r="AH569"/>
  <c r="AH475"/>
  <c r="AG327"/>
  <c r="AG323"/>
  <c r="AF324"/>
  <c r="AG377"/>
  <c r="AG373"/>
  <c r="AF374"/>
  <c r="DS893"/>
  <c r="DS865"/>
  <c r="DS846"/>
  <c r="BS763"/>
  <c r="AC11" i="19" s="1"/>
  <c r="BS696" i="20"/>
  <c r="AF570"/>
  <c r="AF523"/>
  <c r="AF429"/>
  <c r="AG476"/>
  <c r="AG337"/>
  <c r="AG333"/>
  <c r="AF334"/>
  <c r="BT583"/>
  <c r="AI428"/>
  <c r="AI422"/>
  <c r="AI259"/>
  <c r="AI311"/>
  <c r="AI351"/>
  <c r="AI218"/>
  <c r="AI234" s="1"/>
  <c r="AI385"/>
  <c r="AI270"/>
  <c r="AI345"/>
  <c r="AI112"/>
  <c r="AI134"/>
  <c r="AI951"/>
  <c r="AI955"/>
  <c r="AI958" s="1"/>
  <c r="AI946"/>
  <c r="AH479"/>
  <c r="AG432"/>
  <c r="AG367"/>
  <c r="AG363"/>
  <c r="AF364"/>
  <c r="AF365" s="1"/>
  <c r="P67" i="21" l="1"/>
  <c r="L67"/>
  <c r="Q229"/>
  <c r="Q231" s="1"/>
  <c r="Q232" s="1"/>
  <c r="Q173" s="1"/>
  <c r="J67"/>
  <c r="AF335" i="20"/>
  <c r="K67" i="21"/>
  <c r="K229"/>
  <c r="K231" s="1"/>
  <c r="K232" s="1"/>
  <c r="K173" s="1"/>
  <c r="BK744" i="20"/>
  <c r="AC187"/>
  <c r="BK752"/>
  <c r="I36" i="66"/>
  <c r="R39" i="68"/>
  <c r="BK620" i="20"/>
  <c r="I22" i="66"/>
  <c r="I22" i="67"/>
  <c r="I47" s="1"/>
  <c r="Q157" i="20"/>
  <c r="G19" i="70"/>
  <c r="H211" i="20"/>
  <c r="E25" i="70"/>
  <c r="BL683" i="20"/>
  <c r="BL746" s="1"/>
  <c r="J11" i="66"/>
  <c r="J11" i="67"/>
  <c r="J19"/>
  <c r="J44" s="1"/>
  <c r="J19" i="66"/>
  <c r="J44" s="1"/>
  <c r="AB96" i="19"/>
  <c r="AB4" i="68"/>
  <c r="AB36" s="1"/>
  <c r="F25" i="70"/>
  <c r="B13" i="66"/>
  <c r="B38" s="1"/>
  <c r="B13" i="67"/>
  <c r="B38" s="1"/>
  <c r="CJ65" i="19"/>
  <c r="O10" i="68"/>
  <c r="O42" s="1"/>
  <c r="I36" i="67"/>
  <c r="AF340" i="20"/>
  <c r="AE341"/>
  <c r="CO856"/>
  <c r="CT856" s="1"/>
  <c r="AD90"/>
  <c r="AD195" s="1"/>
  <c r="AC94"/>
  <c r="CL874"/>
  <c r="CQ874" s="1"/>
  <c r="O67" i="21"/>
  <c r="H67"/>
  <c r="H225"/>
  <c r="I227" s="1"/>
  <c r="I231" s="1"/>
  <c r="I232" s="1"/>
  <c r="I173" s="1"/>
  <c r="BI794" i="20"/>
  <c r="BN707"/>
  <c r="BE749"/>
  <c r="CN876"/>
  <c r="AF69"/>
  <c r="BP657"/>
  <c r="O229" i="21"/>
  <c r="O231" s="1"/>
  <c r="O232" s="1"/>
  <c r="O173" s="1"/>
  <c r="L229"/>
  <c r="L231" s="1"/>
  <c r="L232" s="1"/>
  <c r="L173" s="1"/>
  <c r="BI645" i="20"/>
  <c r="BI706" s="1"/>
  <c r="BI809"/>
  <c r="X191"/>
  <c r="G67" i="21"/>
  <c r="Q225"/>
  <c r="R227" s="1"/>
  <c r="R231" s="1"/>
  <c r="R232" s="1"/>
  <c r="R173" s="1"/>
  <c r="Y165" i="20"/>
  <c r="Q67" i="21"/>
  <c r="BH820" i="20"/>
  <c r="M231" i="21"/>
  <c r="M232" s="1"/>
  <c r="M173" s="1"/>
  <c r="AE272" i="20"/>
  <c r="AF271"/>
  <c r="AB193"/>
  <c r="BM588"/>
  <c r="BM822" s="1"/>
  <c r="BM853" s="1"/>
  <c r="AE407"/>
  <c r="AE28" s="1"/>
  <c r="AF460"/>
  <c r="AE507"/>
  <c r="AE554"/>
  <c r="AF66"/>
  <c r="AE224"/>
  <c r="BP654"/>
  <c r="AD276"/>
  <c r="AC305"/>
  <c r="AD278"/>
  <c r="AE406"/>
  <c r="AF459"/>
  <c r="AE553"/>
  <c r="AE506"/>
  <c r="AF446"/>
  <c r="AE493"/>
  <c r="AE540"/>
  <c r="AE393"/>
  <c r="AE539"/>
  <c r="AE392"/>
  <c r="AE492"/>
  <c r="AF445"/>
  <c r="BI877"/>
  <c r="BI814"/>
  <c r="Z49"/>
  <c r="AA253"/>
  <c r="AA250"/>
  <c r="AB249"/>
  <c r="DI884"/>
  <c r="X27" i="19"/>
  <c r="W20" i="68" s="1"/>
  <c r="W52" s="1"/>
  <c r="R22" i="19"/>
  <c r="Q15" i="68" s="1"/>
  <c r="Q47" s="1"/>
  <c r="BM805" i="20"/>
  <c r="BM758"/>
  <c r="BO788"/>
  <c r="DG884" s="1"/>
  <c r="AD159"/>
  <c r="BJ818"/>
  <c r="BJ881" s="1"/>
  <c r="BJ614"/>
  <c r="R19" i="19"/>
  <c r="Q12" i="68" s="1"/>
  <c r="Q44" s="1"/>
  <c r="CQ871" i="20"/>
  <c r="BO602"/>
  <c r="AD95"/>
  <c r="AD182" s="1"/>
  <c r="AE552"/>
  <c r="AF458"/>
  <c r="AE505"/>
  <c r="AE405"/>
  <c r="AA25"/>
  <c r="BK596"/>
  <c r="BK813" s="1"/>
  <c r="BK878" s="1"/>
  <c r="Z184"/>
  <c r="AE415"/>
  <c r="AF468"/>
  <c r="AE562"/>
  <c r="AE515"/>
  <c r="AC192"/>
  <c r="BN603"/>
  <c r="BN821" s="1"/>
  <c r="BN882" s="1"/>
  <c r="AD29"/>
  <c r="AE491"/>
  <c r="AE538"/>
  <c r="AF444"/>
  <c r="AE391"/>
  <c r="AE514"/>
  <c r="AE414"/>
  <c r="AF467"/>
  <c r="AE561"/>
  <c r="BL765"/>
  <c r="BL767" s="1"/>
  <c r="BL720"/>
  <c r="BJ855"/>
  <c r="BJ825"/>
  <c r="BJ839" s="1"/>
  <c r="AB146"/>
  <c r="BM624"/>
  <c r="BM775" s="1"/>
  <c r="BM858" s="1"/>
  <c r="N67" i="21"/>
  <c r="AC188" i="20"/>
  <c r="BK640"/>
  <c r="BK798" s="1"/>
  <c r="BK874" s="1"/>
  <c r="Z169"/>
  <c r="AA55"/>
  <c r="BK636"/>
  <c r="Z166"/>
  <c r="AA52"/>
  <c r="BJ631"/>
  <c r="BJ793"/>
  <c r="BJ870" s="1"/>
  <c r="BM627"/>
  <c r="BM777" s="1"/>
  <c r="BM860" s="1"/>
  <c r="AB148"/>
  <c r="AE495"/>
  <c r="AF448"/>
  <c r="AE395"/>
  <c r="AE542"/>
  <c r="DF848"/>
  <c r="X13" i="19" s="1"/>
  <c r="W6" i="68" s="1"/>
  <c r="W38" s="1"/>
  <c r="DB860" i="20"/>
  <c r="DB851"/>
  <c r="DB848"/>
  <c r="DB852"/>
  <c r="DB862"/>
  <c r="DB857"/>
  <c r="DB858"/>
  <c r="DB849"/>
  <c r="DB861"/>
  <c r="DB850"/>
  <c r="DB854"/>
  <c r="W15" i="19" s="1"/>
  <c r="V8" i="68" s="1"/>
  <c r="V40" s="1"/>
  <c r="DB853" i="20"/>
  <c r="W12" i="19"/>
  <c r="V5" i="68" s="1"/>
  <c r="V37" s="1"/>
  <c r="DB856" i="20"/>
  <c r="BN663"/>
  <c r="DD851" s="1"/>
  <c r="DI851" s="1"/>
  <c r="AC41"/>
  <c r="AC46"/>
  <c r="BK642"/>
  <c r="BK800" s="1"/>
  <c r="BK876" s="1"/>
  <c r="Z171"/>
  <c r="AA57"/>
  <c r="AA24"/>
  <c r="BK595"/>
  <c r="Z183"/>
  <c r="AE508"/>
  <c r="AE555"/>
  <c r="AE408"/>
  <c r="AF461"/>
  <c r="CW852"/>
  <c r="CR854"/>
  <c r="BM824"/>
  <c r="BM883" s="1"/>
  <c r="DA853"/>
  <c r="DF853" s="1"/>
  <c r="BM766"/>
  <c r="CC869"/>
  <c r="BE738"/>
  <c r="BE780"/>
  <c r="AE556"/>
  <c r="AE409"/>
  <c r="AF462"/>
  <c r="AE509"/>
  <c r="BJ638"/>
  <c r="BJ795"/>
  <c r="BK630"/>
  <c r="Z164"/>
  <c r="AA47"/>
  <c r="Z168"/>
  <c r="BK639"/>
  <c r="BK797" s="1"/>
  <c r="BK873" s="1"/>
  <c r="Z347"/>
  <c r="AA54"/>
  <c r="BN685"/>
  <c r="BN811" s="1"/>
  <c r="DD870" s="1"/>
  <c r="X18" i="19" s="1"/>
  <c r="W11" i="68" s="1"/>
  <c r="W43" s="1"/>
  <c r="BM623" i="20"/>
  <c r="BM774" s="1"/>
  <c r="BM857" s="1"/>
  <c r="AB145"/>
  <c r="AE510"/>
  <c r="AE557"/>
  <c r="AE410"/>
  <c r="AE30" s="1"/>
  <c r="AF463"/>
  <c r="BK612"/>
  <c r="AA32"/>
  <c r="Z189"/>
  <c r="BJ815"/>
  <c r="BJ601"/>
  <c r="AE502"/>
  <c r="AF455"/>
  <c r="AE549"/>
  <c r="AE402"/>
  <c r="AC178"/>
  <c r="BN673"/>
  <c r="BN807" s="1"/>
  <c r="BN670"/>
  <c r="BN804" s="1"/>
  <c r="AC175"/>
  <c r="BJ812"/>
  <c r="BJ756"/>
  <c r="BJ597"/>
  <c r="BJ755"/>
  <c r="AE488"/>
  <c r="AE388"/>
  <c r="AE535"/>
  <c r="AF441"/>
  <c r="CX900"/>
  <c r="BL729"/>
  <c r="AE547"/>
  <c r="AE400"/>
  <c r="AE500"/>
  <c r="AF453"/>
  <c r="AA263"/>
  <c r="CL876"/>
  <c r="BM743"/>
  <c r="DA896" s="1"/>
  <c r="BN714"/>
  <c r="BN817"/>
  <c r="BN880" s="1"/>
  <c r="BN611"/>
  <c r="BK637"/>
  <c r="BK796" s="1"/>
  <c r="BK872" s="1"/>
  <c r="Z167"/>
  <c r="AA53"/>
  <c r="BN680"/>
  <c r="AC137"/>
  <c r="AC195"/>
  <c r="CZ850"/>
  <c r="CU852"/>
  <c r="AA45"/>
  <c r="Z162"/>
  <c r="BK628"/>
  <c r="BK791" s="1"/>
  <c r="BK868" s="1"/>
  <c r="AE487"/>
  <c r="AE534"/>
  <c r="AE387"/>
  <c r="AF440"/>
  <c r="BM594"/>
  <c r="BM773" s="1"/>
  <c r="BM856" s="1"/>
  <c r="AB144"/>
  <c r="AE551"/>
  <c r="AE504"/>
  <c r="AF457"/>
  <c r="AE404"/>
  <c r="BN816"/>
  <c r="BN879" s="1"/>
  <c r="BN608"/>
  <c r="AE65"/>
  <c r="AD228"/>
  <c r="BO653"/>
  <c r="AC20"/>
  <c r="AC142"/>
  <c r="BN587"/>
  <c r="BN771" s="1"/>
  <c r="BN852" s="1"/>
  <c r="BN719"/>
  <c r="DD848"/>
  <c r="BN713"/>
  <c r="BN747"/>
  <c r="BN721"/>
  <c r="BN717"/>
  <c r="BN716"/>
  <c r="BN725"/>
  <c r="BN718"/>
  <c r="BN724"/>
  <c r="AE564"/>
  <c r="AE417"/>
  <c r="AF470"/>
  <c r="AE517"/>
  <c r="AD42"/>
  <c r="BO625" s="1"/>
  <c r="AD85"/>
  <c r="BO674" s="1"/>
  <c r="AD81"/>
  <c r="AD84"/>
  <c r="AD83"/>
  <c r="AD82"/>
  <c r="AD923"/>
  <c r="AD86"/>
  <c r="BO675" s="1"/>
  <c r="BO660"/>
  <c r="AD72"/>
  <c r="AD74"/>
  <c r="AD19"/>
  <c r="BJ644"/>
  <c r="BJ799"/>
  <c r="BJ875" s="1"/>
  <c r="BI801"/>
  <c r="BI871"/>
  <c r="AE396"/>
  <c r="AE543"/>
  <c r="AF449"/>
  <c r="AE496"/>
  <c r="Y172"/>
  <c r="BH896"/>
  <c r="BM684"/>
  <c r="Y190"/>
  <c r="Y185"/>
  <c r="BL589"/>
  <c r="BL698" s="1"/>
  <c r="CE885"/>
  <c r="CA887"/>
  <c r="CE887" s="1"/>
  <c r="BO680"/>
  <c r="BK668"/>
  <c r="Z174"/>
  <c r="AA79"/>
  <c r="CP882"/>
  <c r="CP881"/>
  <c r="CP877"/>
  <c r="CP880"/>
  <c r="CP870"/>
  <c r="CP869"/>
  <c r="CP875"/>
  <c r="CP868"/>
  <c r="CP891"/>
  <c r="CP887"/>
  <c r="CP890"/>
  <c r="CP883"/>
  <c r="CP884"/>
  <c r="CP872"/>
  <c r="CP879"/>
  <c r="CP867"/>
  <c r="CP871"/>
  <c r="CP876"/>
  <c r="CP874"/>
  <c r="CP889"/>
  <c r="CT867"/>
  <c r="CP886"/>
  <c r="CP878"/>
  <c r="CP885"/>
  <c r="AE548"/>
  <c r="AE401"/>
  <c r="AF454"/>
  <c r="AE501"/>
  <c r="AD220"/>
  <c r="AE61"/>
  <c r="BO649"/>
  <c r="BM590"/>
  <c r="AB143"/>
  <c r="AB22"/>
  <c r="DF870"/>
  <c r="AA27"/>
  <c r="Z186"/>
  <c r="BK599"/>
  <c r="CR875"/>
  <c r="CW875" s="1"/>
  <c r="CW857"/>
  <c r="AC177"/>
  <c r="BN672"/>
  <c r="BN806" s="1"/>
  <c r="AC23"/>
  <c r="AC44"/>
  <c r="BN661"/>
  <c r="AC21"/>
  <c r="AC40"/>
  <c r="BI819"/>
  <c r="CO871"/>
  <c r="AE486"/>
  <c r="AE386"/>
  <c r="AE71" s="1"/>
  <c r="AF439"/>
  <c r="AE533"/>
  <c r="DC849"/>
  <c r="CX850"/>
  <c r="AE544"/>
  <c r="AF450"/>
  <c r="AE497"/>
  <c r="AE397"/>
  <c r="AA423"/>
  <c r="Z425"/>
  <c r="Z78" s="1"/>
  <c r="R67" i="21"/>
  <c r="AD91" i="20"/>
  <c r="BK656"/>
  <c r="AA68"/>
  <c r="AB163"/>
  <c r="BM629"/>
  <c r="BM792" s="1"/>
  <c r="BM869" s="1"/>
  <c r="BJ676"/>
  <c r="BJ803"/>
  <c r="AD219"/>
  <c r="BO648"/>
  <c r="AE60"/>
  <c r="CR890"/>
  <c r="CW890" s="1"/>
  <c r="BM662"/>
  <c r="BM664" s="1"/>
  <c r="DA849"/>
  <c r="BM730"/>
  <c r="DA901" s="1"/>
  <c r="BM726"/>
  <c r="BM728" s="1"/>
  <c r="BM727"/>
  <c r="DA900" s="1"/>
  <c r="BL591"/>
  <c r="BL823" s="1"/>
  <c r="AA194"/>
  <c r="AA196" s="1"/>
  <c r="AA210" s="1"/>
  <c r="BM771"/>
  <c r="BM852" s="1"/>
  <c r="AA80"/>
  <c r="BK669"/>
  <c r="CU857" s="1"/>
  <c r="E150" i="21"/>
  <c r="G150" s="1"/>
  <c r="BE740" i="20"/>
  <c r="T151"/>
  <c r="AE541"/>
  <c r="AE494"/>
  <c r="AF447"/>
  <c r="AE394"/>
  <c r="BJ867"/>
  <c r="N211"/>
  <c r="F79" i="70" s="1"/>
  <c r="C157" i="21"/>
  <c r="AE559" i="20"/>
  <c r="AF465"/>
  <c r="AE512"/>
  <c r="AE412"/>
  <c r="AE31" s="1"/>
  <c r="BP609" s="1"/>
  <c r="BP611" s="1"/>
  <c r="AE411"/>
  <c r="AE558"/>
  <c r="AE511"/>
  <c r="AF464"/>
  <c r="AE389"/>
  <c r="AF442"/>
  <c r="AE536"/>
  <c r="AE489"/>
  <c r="AA56"/>
  <c r="BK641"/>
  <c r="Z170"/>
  <c r="Y179"/>
  <c r="Y180" s="1"/>
  <c r="BJ667"/>
  <c r="BJ808" s="1"/>
  <c r="BK823"/>
  <c r="BK593"/>
  <c r="BK699" s="1"/>
  <c r="N229" i="21"/>
  <c r="O225"/>
  <c r="P227" s="1"/>
  <c r="P231" s="1"/>
  <c r="P232" s="1"/>
  <c r="P173" s="1"/>
  <c r="M225"/>
  <c r="N227" s="1"/>
  <c r="AC221" i="20"/>
  <c r="AC230" s="1"/>
  <c r="AC207" s="1"/>
  <c r="AC209" s="1"/>
  <c r="BM605"/>
  <c r="BM701" s="1"/>
  <c r="BM836"/>
  <c r="AC73"/>
  <c r="AC75" s="1"/>
  <c r="AD92"/>
  <c r="BO682" s="1"/>
  <c r="BO615"/>
  <c r="BO702" s="1"/>
  <c r="AE33"/>
  <c r="AE503"/>
  <c r="AF456"/>
  <c r="AE403"/>
  <c r="AE550"/>
  <c r="AB136"/>
  <c r="AB138" s="1"/>
  <c r="AB93"/>
  <c r="BM683" s="1"/>
  <c r="BN671"/>
  <c r="AC176"/>
  <c r="AA43"/>
  <c r="Z161"/>
  <c r="BK626"/>
  <c r="BK790" s="1"/>
  <c r="BK867" s="1"/>
  <c r="AF469"/>
  <c r="AE516"/>
  <c r="AE563"/>
  <c r="AE416"/>
  <c r="AE418"/>
  <c r="AE565"/>
  <c r="AE518"/>
  <c r="AF471"/>
  <c r="AE513"/>
  <c r="AE413"/>
  <c r="AF466"/>
  <c r="AE560"/>
  <c r="BO609"/>
  <c r="C386" i="56"/>
  <c r="C25"/>
  <c r="C387" i="57"/>
  <c r="C25"/>
  <c r="C748"/>
  <c r="J231" i="21"/>
  <c r="J232" s="1"/>
  <c r="J173" s="1"/>
  <c r="U173" i="20"/>
  <c r="BF802"/>
  <c r="CF878" s="1"/>
  <c r="AG342"/>
  <c r="U233"/>
  <c r="AG382"/>
  <c r="BR783"/>
  <c r="AF325"/>
  <c r="AH942"/>
  <c r="H233" i="21"/>
  <c r="H140" s="1"/>
  <c r="H141" s="1"/>
  <c r="H151" s="1"/>
  <c r="L40" i="16"/>
  <c r="G56"/>
  <c r="Q120" i="19" s="1"/>
  <c r="G41" i="16"/>
  <c r="L33"/>
  <c r="Q112" i="19"/>
  <c r="Q114" s="1"/>
  <c r="Q116" s="1"/>
  <c r="R115" s="1"/>
  <c r="AH337" i="20"/>
  <c r="AH333"/>
  <c r="AG334"/>
  <c r="AH363"/>
  <c r="AG364"/>
  <c r="AG365" s="1"/>
  <c r="AH367"/>
  <c r="AH323"/>
  <c r="AH327"/>
  <c r="AG324"/>
  <c r="AI331"/>
  <c r="AH314"/>
  <c r="AI313"/>
  <c r="AI321"/>
  <c r="AI317"/>
  <c r="AH571"/>
  <c r="AH430"/>
  <c r="AH524"/>
  <c r="AI477"/>
  <c r="AI371"/>
  <c r="AI361"/>
  <c r="AI353"/>
  <c r="AI357"/>
  <c r="AH354"/>
  <c r="AH377"/>
  <c r="AH373"/>
  <c r="AG374"/>
  <c r="AF375"/>
  <c r="AI160"/>
  <c r="AI485"/>
  <c r="AI532"/>
  <c r="AI438"/>
  <c r="AI247"/>
  <c r="AG570"/>
  <c r="AG429"/>
  <c r="AG523"/>
  <c r="AH476"/>
  <c r="AG355"/>
  <c r="X926"/>
  <c r="U945"/>
  <c r="V945"/>
  <c r="DV893"/>
  <c r="DV865"/>
  <c r="DV846"/>
  <c r="BT763"/>
  <c r="AD11" i="19" s="1"/>
  <c r="BT696" i="20"/>
  <c r="BS789"/>
  <c r="AG315"/>
  <c r="AI479"/>
  <c r="AI432" s="1"/>
  <c r="AH432"/>
  <c r="AI569"/>
  <c r="AI475"/>
  <c r="AI522"/>
  <c r="AF380"/>
  <c r="AF39" s="1"/>
  <c r="BQ622" s="1"/>
  <c r="BL744" l="1"/>
  <c r="AF341"/>
  <c r="AG335"/>
  <c r="BL752"/>
  <c r="BS783"/>
  <c r="CO874"/>
  <c r="CT874" s="1"/>
  <c r="C12" i="66"/>
  <c r="C37" s="1"/>
  <c r="C12" i="67"/>
  <c r="C37" s="1"/>
  <c r="AC96" i="19"/>
  <c r="AC4" i="68"/>
  <c r="AC36" s="1"/>
  <c r="AG380" i="20"/>
  <c r="AG39" s="1"/>
  <c r="BR622" s="1"/>
  <c r="J36" i="66"/>
  <c r="J36" i="67"/>
  <c r="I47" i="66"/>
  <c r="AH342" i="20"/>
  <c r="M233" i="21"/>
  <c r="M140" s="1"/>
  <c r="M141" s="1"/>
  <c r="M151" s="1"/>
  <c r="I23" i="66"/>
  <c r="I48" s="1"/>
  <c r="I23" i="67"/>
  <c r="I48" s="1"/>
  <c r="Q211" i="20"/>
  <c r="G25" i="70"/>
  <c r="AE90" i="20"/>
  <c r="BP680" s="1"/>
  <c r="H213"/>
  <c r="E81" i="70" s="1"/>
  <c r="E79"/>
  <c r="AG340" i="20"/>
  <c r="Z190"/>
  <c r="BN684"/>
  <c r="BM729"/>
  <c r="BQ657"/>
  <c r="AG69"/>
  <c r="BJ645"/>
  <c r="BJ706" s="1"/>
  <c r="BI896"/>
  <c r="AE92"/>
  <c r="BP682" s="1"/>
  <c r="BP817" s="1"/>
  <c r="BP880" s="1"/>
  <c r="N231" i="21"/>
  <c r="N232" s="1"/>
  <c r="N173" s="1"/>
  <c r="Q233"/>
  <c r="Q140" s="1"/>
  <c r="Q141" s="1"/>
  <c r="Q151" s="1"/>
  <c r="AE91" i="20"/>
  <c r="BP681" s="1"/>
  <c r="Y191"/>
  <c r="CR856"/>
  <c r="CR874" s="1"/>
  <c r="BO707"/>
  <c r="CO876"/>
  <c r="S21" i="19" s="1"/>
  <c r="R14" i="68" s="1"/>
  <c r="R46" s="1"/>
  <c r="AE188" i="20"/>
  <c r="O233" i="21"/>
  <c r="O140" s="1"/>
  <c r="O141" s="1"/>
  <c r="O151" s="1"/>
  <c r="P233"/>
  <c r="P140" s="1"/>
  <c r="P141" s="1"/>
  <c r="P151" s="1"/>
  <c r="BM589" i="20"/>
  <c r="BM698" s="1"/>
  <c r="Z185"/>
  <c r="BN836"/>
  <c r="BN894" s="1"/>
  <c r="L233" i="21"/>
  <c r="L140" s="1"/>
  <c r="L141" s="1"/>
  <c r="L151" s="1"/>
  <c r="BJ794" i="20"/>
  <c r="AD221"/>
  <c r="AD230" s="1"/>
  <c r="AD207" s="1"/>
  <c r="AD209" s="1"/>
  <c r="BN605"/>
  <c r="BN701" s="1"/>
  <c r="AC93"/>
  <c r="BN683" s="1"/>
  <c r="AC136"/>
  <c r="AC138" s="1"/>
  <c r="BL669"/>
  <c r="CX857" s="1"/>
  <c r="AB80"/>
  <c r="DF849"/>
  <c r="DA850"/>
  <c r="Z179"/>
  <c r="Z180" s="1"/>
  <c r="BK667"/>
  <c r="BK808" s="1"/>
  <c r="DD849"/>
  <c r="DI849" s="1"/>
  <c r="BN730"/>
  <c r="DD901" s="1"/>
  <c r="BN727"/>
  <c r="DD900" s="1"/>
  <c r="BN726"/>
  <c r="BN728" s="1"/>
  <c r="BK803"/>
  <c r="BK676"/>
  <c r="BO587"/>
  <c r="BO771" s="1"/>
  <c r="BO852" s="1"/>
  <c r="AD142"/>
  <c r="AD20"/>
  <c r="BO673"/>
  <c r="BO807" s="1"/>
  <c r="AD178"/>
  <c r="BN743"/>
  <c r="DD896" s="1"/>
  <c r="BO714"/>
  <c r="AF65"/>
  <c r="AE228"/>
  <c r="BP653"/>
  <c r="CU854"/>
  <c r="CZ852"/>
  <c r="AG453"/>
  <c r="AF500"/>
  <c r="AF547"/>
  <c r="AF400"/>
  <c r="BL630"/>
  <c r="AA164"/>
  <c r="AB47"/>
  <c r="BL642"/>
  <c r="BL800" s="1"/>
  <c r="BL876" s="1"/>
  <c r="AB57"/>
  <c r="AA171"/>
  <c r="BL640"/>
  <c r="BL798" s="1"/>
  <c r="BL874" s="1"/>
  <c r="AA169"/>
  <c r="AB55"/>
  <c r="AF391"/>
  <c r="AF538"/>
  <c r="AG444"/>
  <c r="AF491"/>
  <c r="AF515"/>
  <c r="AF562"/>
  <c r="AG468"/>
  <c r="AF415"/>
  <c r="AB153"/>
  <c r="BM782"/>
  <c r="DA882" s="1"/>
  <c r="DF882" s="1"/>
  <c r="AF553"/>
  <c r="AG459"/>
  <c r="AF406"/>
  <c r="AF506"/>
  <c r="AF513"/>
  <c r="AF413"/>
  <c r="AG466"/>
  <c r="AF560"/>
  <c r="BM752"/>
  <c r="BM744"/>
  <c r="BM746"/>
  <c r="AA170"/>
  <c r="BL641"/>
  <c r="AB56"/>
  <c r="CZ857"/>
  <c r="CU875"/>
  <c r="CZ875" s="1"/>
  <c r="BN590"/>
  <c r="AC143"/>
  <c r="AC22"/>
  <c r="BK815"/>
  <c r="BK601"/>
  <c r="AD177"/>
  <c r="BO672"/>
  <c r="BO806" s="1"/>
  <c r="BL628"/>
  <c r="BL791" s="1"/>
  <c r="BL868" s="1"/>
  <c r="AB45"/>
  <c r="AA162"/>
  <c r="AA50"/>
  <c r="BL634" s="1"/>
  <c r="AB265"/>
  <c r="AB262"/>
  <c r="AB38" s="1"/>
  <c r="BM621" s="1"/>
  <c r="AC261"/>
  <c r="CR871"/>
  <c r="BJ819"/>
  <c r="CR867"/>
  <c r="T14" i="19"/>
  <c r="S7" i="68" s="1"/>
  <c r="CW854" i="20"/>
  <c r="BL595"/>
  <c r="AB24"/>
  <c r="AA183"/>
  <c r="AF495"/>
  <c r="AG448"/>
  <c r="AF542"/>
  <c r="AF395"/>
  <c r="BK795"/>
  <c r="BK638"/>
  <c r="AF505"/>
  <c r="AF552"/>
  <c r="AF405"/>
  <c r="AG458"/>
  <c r="BQ654"/>
  <c r="AG66"/>
  <c r="AF224"/>
  <c r="BP788"/>
  <c r="DJ884" s="1"/>
  <c r="AE159"/>
  <c r="BJ809"/>
  <c r="BL593"/>
  <c r="BL699" s="1"/>
  <c r="AF61"/>
  <c r="AE220"/>
  <c r="BP649"/>
  <c r="BN758"/>
  <c r="BN805"/>
  <c r="BK644"/>
  <c r="BK799"/>
  <c r="BK875" s="1"/>
  <c r="BO681"/>
  <c r="BO816" s="1"/>
  <c r="BO879" s="1"/>
  <c r="AD187"/>
  <c r="CX852"/>
  <c r="DC850"/>
  <c r="BN623"/>
  <c r="BN774" s="1"/>
  <c r="BN857" s="1"/>
  <c r="AC145"/>
  <c r="BM772"/>
  <c r="BM854" s="1"/>
  <c r="BL668"/>
  <c r="AA174"/>
  <c r="AB79"/>
  <c r="BO671"/>
  <c r="AD176"/>
  <c r="R21" i="19"/>
  <c r="Q14" i="68" s="1"/>
  <c r="Q46" s="1"/>
  <c r="CQ876" i="20"/>
  <c r="AF488"/>
  <c r="AG441"/>
  <c r="AF535"/>
  <c r="AF388"/>
  <c r="AF509"/>
  <c r="AG462"/>
  <c r="AF556"/>
  <c r="AF409"/>
  <c r="BK755"/>
  <c r="BK597"/>
  <c r="BK812"/>
  <c r="BK756"/>
  <c r="AF539"/>
  <c r="AG445"/>
  <c r="AF492"/>
  <c r="AF392"/>
  <c r="AF272"/>
  <c r="AG271"/>
  <c r="Z172"/>
  <c r="AF564"/>
  <c r="AF417"/>
  <c r="AG470"/>
  <c r="AF517"/>
  <c r="AC193"/>
  <c r="BN588"/>
  <c r="BL637"/>
  <c r="BL796" s="1"/>
  <c r="BL872" s="1"/>
  <c r="AA167"/>
  <c r="AB53"/>
  <c r="BJ877"/>
  <c r="BJ814"/>
  <c r="BL636"/>
  <c r="AA166"/>
  <c r="AB52"/>
  <c r="AF540"/>
  <c r="AF393"/>
  <c r="AG446"/>
  <c r="AF493"/>
  <c r="BN662"/>
  <c r="BN664" s="1"/>
  <c r="BO817"/>
  <c r="BO880" s="1"/>
  <c r="BO611"/>
  <c r="BP615"/>
  <c r="BP702" s="1"/>
  <c r="AF33"/>
  <c r="N213"/>
  <c r="C211" i="21"/>
  <c r="BL626" i="20"/>
  <c r="BL790" s="1"/>
  <c r="BL867" s="1"/>
  <c r="AB43"/>
  <c r="AA161"/>
  <c r="AF558"/>
  <c r="AG464"/>
  <c r="AF511"/>
  <c r="AF411"/>
  <c r="E151" i="21"/>
  <c r="G151" s="1"/>
  <c r="T36" i="20"/>
  <c r="T18"/>
  <c r="BL855"/>
  <c r="BL825"/>
  <c r="BL839" s="1"/>
  <c r="AF60"/>
  <c r="AE219"/>
  <c r="BP648"/>
  <c r="AB68"/>
  <c r="BL656"/>
  <c r="AF397"/>
  <c r="AF497"/>
  <c r="AG450"/>
  <c r="AF544"/>
  <c r="CT871"/>
  <c r="S19" i="19"/>
  <c r="R12" i="68" s="1"/>
  <c r="R44" s="1"/>
  <c r="AB194" i="20"/>
  <c r="AB196" s="1"/>
  <c r="AB210" s="1"/>
  <c r="BM591"/>
  <c r="BM823" s="1"/>
  <c r="AF404"/>
  <c r="AF504"/>
  <c r="AG457"/>
  <c r="AF551"/>
  <c r="BN766"/>
  <c r="DD853"/>
  <c r="DI853" s="1"/>
  <c r="BN824"/>
  <c r="BN883" s="1"/>
  <c r="S22" i="19"/>
  <c r="R15" i="68" s="1"/>
  <c r="R47" s="1"/>
  <c r="AG455" i="20"/>
  <c r="AF549"/>
  <c r="AF502"/>
  <c r="AF402"/>
  <c r="BP606"/>
  <c r="BL639"/>
  <c r="BL797" s="1"/>
  <c r="BL873" s="1"/>
  <c r="AA347"/>
  <c r="AA168"/>
  <c r="AB54"/>
  <c r="AC146"/>
  <c r="BN624"/>
  <c r="BN775" s="1"/>
  <c r="BN858" s="1"/>
  <c r="AF561"/>
  <c r="AF514"/>
  <c r="AG467"/>
  <c r="AF414"/>
  <c r="AA184"/>
  <c r="AB25"/>
  <c r="BL596"/>
  <c r="BL813" s="1"/>
  <c r="BL878" s="1"/>
  <c r="AD305"/>
  <c r="AE278"/>
  <c r="AE276"/>
  <c r="AD188"/>
  <c r="BI820"/>
  <c r="AG456"/>
  <c r="AF550"/>
  <c r="AF403"/>
  <c r="AF503"/>
  <c r="AF548"/>
  <c r="AF501"/>
  <c r="AF401"/>
  <c r="AG454"/>
  <c r="BO747"/>
  <c r="BO724"/>
  <c r="BO725"/>
  <c r="BO718"/>
  <c r="BO721"/>
  <c r="BO716"/>
  <c r="BO717"/>
  <c r="BO719"/>
  <c r="DG848"/>
  <c r="BO713"/>
  <c r="AF557"/>
  <c r="AG463"/>
  <c r="AF510"/>
  <c r="AF410"/>
  <c r="AF30" s="1"/>
  <c r="BQ606" s="1"/>
  <c r="BQ608" s="1"/>
  <c r="DI870"/>
  <c r="BJ801"/>
  <c r="BJ871"/>
  <c r="CH869"/>
  <c r="CC872"/>
  <c r="O16" i="19"/>
  <c r="AC163" i="20"/>
  <c r="BN629"/>
  <c r="BN792" s="1"/>
  <c r="BN869" s="1"/>
  <c r="AD192"/>
  <c r="BO603"/>
  <c r="BO821" s="1"/>
  <c r="BO882" s="1"/>
  <c r="AE29"/>
  <c r="Z58"/>
  <c r="BK633"/>
  <c r="BP602"/>
  <c r="AE95"/>
  <c r="AE182" s="1"/>
  <c r="Z165"/>
  <c r="AD137"/>
  <c r="AD94"/>
  <c r="AG471"/>
  <c r="AF565"/>
  <c r="AF418"/>
  <c r="AF518"/>
  <c r="BM838"/>
  <c r="BM894"/>
  <c r="BK855"/>
  <c r="BK825"/>
  <c r="BK839" s="1"/>
  <c r="AG442"/>
  <c r="AF536"/>
  <c r="AF489"/>
  <c r="AF389"/>
  <c r="AF512"/>
  <c r="AG465"/>
  <c r="AF412"/>
  <c r="AF31" s="1"/>
  <c r="AF559"/>
  <c r="AE42"/>
  <c r="BP625" s="1"/>
  <c r="AE923"/>
  <c r="AE86"/>
  <c r="BP675" s="1"/>
  <c r="AE83"/>
  <c r="BP660"/>
  <c r="AE74"/>
  <c r="AE84"/>
  <c r="AE82"/>
  <c r="AE19"/>
  <c r="AE72"/>
  <c r="AE81"/>
  <c r="AE85"/>
  <c r="BP674" s="1"/>
  <c r="BN594"/>
  <c r="BN773" s="1"/>
  <c r="BN856" s="1"/>
  <c r="AC144"/>
  <c r="AD73"/>
  <c r="AD75" s="1"/>
  <c r="AD23"/>
  <c r="BO661"/>
  <c r="AD44"/>
  <c r="AD40"/>
  <c r="AD21"/>
  <c r="DD899"/>
  <c r="BK614"/>
  <c r="BK818"/>
  <c r="BK881" s="1"/>
  <c r="BK631"/>
  <c r="BK793"/>
  <c r="BK870" s="1"/>
  <c r="BO685"/>
  <c r="BO811" s="1"/>
  <c r="DG870" s="1"/>
  <c r="Y18" i="19" s="1"/>
  <c r="X11" i="68" s="1"/>
  <c r="X43" s="1"/>
  <c r="AF407" i="20"/>
  <c r="AF28" s="1"/>
  <c r="AG460"/>
  <c r="AF554"/>
  <c r="AF507"/>
  <c r="AF416"/>
  <c r="AF563"/>
  <c r="AG469"/>
  <c r="AF516"/>
  <c r="AG447"/>
  <c r="AF494"/>
  <c r="AF394"/>
  <c r="AF541"/>
  <c r="BM720"/>
  <c r="BM765"/>
  <c r="BM767" s="1"/>
  <c r="AB423"/>
  <c r="AA425"/>
  <c r="AA78" s="1"/>
  <c r="AF533"/>
  <c r="AF486"/>
  <c r="AG439"/>
  <c r="AF386"/>
  <c r="AF71" s="1"/>
  <c r="AC148"/>
  <c r="BN627"/>
  <c r="BN777" s="1"/>
  <c r="BN860" s="1"/>
  <c r="BL599"/>
  <c r="AA186"/>
  <c r="AB27"/>
  <c r="BO824"/>
  <c r="BO883" s="1"/>
  <c r="AF496"/>
  <c r="AF396"/>
  <c r="AG449"/>
  <c r="AF543"/>
  <c r="BO663"/>
  <c r="DG851" s="1"/>
  <c r="DL851" s="1"/>
  <c r="AD46"/>
  <c r="AD41"/>
  <c r="BO670"/>
  <c r="BO804" s="1"/>
  <c r="AD175"/>
  <c r="DE853"/>
  <c r="DE856"/>
  <c r="DE848"/>
  <c r="DI848"/>
  <c r="Y13" i="19" s="1"/>
  <c r="X6" i="68" s="1"/>
  <c r="X38" s="1"/>
  <c r="DE857" i="20"/>
  <c r="DE861"/>
  <c r="X12" i="19"/>
  <c r="W5" i="68" s="1"/>
  <c r="W37" s="1"/>
  <c r="DE854" i="20"/>
  <c r="X15" i="19" s="1"/>
  <c r="W8" i="68" s="1"/>
  <c r="W40" s="1"/>
  <c r="DE858" i="20"/>
  <c r="DE860"/>
  <c r="DE851"/>
  <c r="DE849"/>
  <c r="DE862"/>
  <c r="DE852"/>
  <c r="DE850"/>
  <c r="AF534"/>
  <c r="AF487"/>
  <c r="AG440"/>
  <c r="AF387"/>
  <c r="AB32"/>
  <c r="AA189"/>
  <c r="BL612"/>
  <c r="AF408"/>
  <c r="AF508"/>
  <c r="AF555"/>
  <c r="AG461"/>
  <c r="Y27" i="19"/>
  <c r="X20" i="68" s="1"/>
  <c r="X52" s="1"/>
  <c r="DL884" i="20"/>
  <c r="AA251"/>
  <c r="AA37"/>
  <c r="C387" i="56"/>
  <c r="C26"/>
  <c r="C388" i="57"/>
  <c r="C26"/>
  <c r="C749"/>
  <c r="K233" i="21"/>
  <c r="K140" s="1"/>
  <c r="K141" s="1"/>
  <c r="K151" s="1"/>
  <c r="U140" i="20"/>
  <c r="U141" s="1"/>
  <c r="BF769"/>
  <c r="CK878"/>
  <c r="P29" i="19"/>
  <c r="O22" i="68" s="1"/>
  <c r="O54" s="1"/>
  <c r="AG375" i="20"/>
  <c r="AG381" s="1"/>
  <c r="AG51" s="1"/>
  <c r="BR635" s="1"/>
  <c r="R233" i="21"/>
  <c r="R140" s="1"/>
  <c r="R141" s="1"/>
  <c r="R151" s="1"/>
  <c r="J233"/>
  <c r="J140" s="1"/>
  <c r="J141" s="1"/>
  <c r="J151" s="1"/>
  <c r="AH382" i="20"/>
  <c r="I233" i="21"/>
  <c r="I140" s="1"/>
  <c r="I141" s="1"/>
  <c r="I151" s="1"/>
  <c r="G46" i="16"/>
  <c r="L41"/>
  <c r="AI327" i="20"/>
  <c r="AH324"/>
  <c r="AI323"/>
  <c r="AG325"/>
  <c r="AG341" s="1"/>
  <c r="AH315"/>
  <c r="BT789"/>
  <c r="AF381"/>
  <c r="AF51" s="1"/>
  <c r="BQ635" s="1"/>
  <c r="AH523"/>
  <c r="AH570"/>
  <c r="AH429"/>
  <c r="AI476"/>
  <c r="AI373"/>
  <c r="AH374"/>
  <c r="AI377"/>
  <c r="AI524"/>
  <c r="AI571"/>
  <c r="AI430"/>
  <c r="AH355"/>
  <c r="AI367"/>
  <c r="AH364"/>
  <c r="AH365" s="1"/>
  <c r="AI363"/>
  <c r="AI333"/>
  <c r="AI337"/>
  <c r="AH334"/>
  <c r="AH335" s="1"/>
  <c r="AE195" l="1"/>
  <c r="BT783"/>
  <c r="C21" i="67"/>
  <c r="C21" i="66"/>
  <c r="C213" i="21"/>
  <c r="F81" i="70"/>
  <c r="C14" i="66"/>
  <c r="C39" s="1"/>
  <c r="C14" i="67"/>
  <c r="C39" s="1"/>
  <c r="S39" i="68"/>
  <c r="AH375" i="20"/>
  <c r="AI375" s="1"/>
  <c r="O20" i="19"/>
  <c r="N9" i="68"/>
  <c r="Q213" i="20"/>
  <c r="G81" i="70" s="1"/>
  <c r="G79"/>
  <c r="BL620" i="20"/>
  <c r="J22" i="66"/>
  <c r="J22" i="67"/>
  <c r="J47" s="1"/>
  <c r="AI335" i="20"/>
  <c r="AI342"/>
  <c r="AH340"/>
  <c r="Z191"/>
  <c r="BO605"/>
  <c r="BO701" s="1"/>
  <c r="N233" i="21"/>
  <c r="N140" s="1"/>
  <c r="N141" s="1"/>
  <c r="N151" s="1"/>
  <c r="BO836" i="20"/>
  <c r="BO894" s="1"/>
  <c r="AE187"/>
  <c r="CW856"/>
  <c r="CT876"/>
  <c r="AE221"/>
  <c r="AE230" s="1"/>
  <c r="AE207" s="1"/>
  <c r="AE209" s="1"/>
  <c r="CU856"/>
  <c r="CZ856" s="1"/>
  <c r="BO684"/>
  <c r="BR657"/>
  <c r="AH69"/>
  <c r="CR876"/>
  <c r="CW876" s="1"/>
  <c r="AE137"/>
  <c r="BO766"/>
  <c r="AB263"/>
  <c r="AC265" s="1"/>
  <c r="BN838"/>
  <c r="DG853"/>
  <c r="DL853" s="1"/>
  <c r="BK809"/>
  <c r="AF74"/>
  <c r="AF84"/>
  <c r="AF19"/>
  <c r="AF923"/>
  <c r="AF81"/>
  <c r="AF86"/>
  <c r="BQ675" s="1"/>
  <c r="AF83"/>
  <c r="BQ660"/>
  <c r="AF42"/>
  <c r="BQ625" s="1"/>
  <c r="AF85"/>
  <c r="BQ674" s="1"/>
  <c r="AF82"/>
  <c r="AF72"/>
  <c r="AD145"/>
  <c r="BO623"/>
  <c r="BO774" s="1"/>
  <c r="BO857" s="1"/>
  <c r="BP670"/>
  <c r="BP804" s="1"/>
  <c r="AE175"/>
  <c r="CU890"/>
  <c r="CZ890" s="1"/>
  <c r="BK645"/>
  <c r="BK706" s="1"/>
  <c r="CC879"/>
  <c r="CH879" s="1"/>
  <c r="CH872"/>
  <c r="AG510"/>
  <c r="AG557"/>
  <c r="AG410"/>
  <c r="AG30" s="1"/>
  <c r="AH463"/>
  <c r="BQ615"/>
  <c r="BQ702" s="1"/>
  <c r="AG33"/>
  <c r="BO758"/>
  <c r="BO805"/>
  <c r="AC24"/>
  <c r="AB183"/>
  <c r="BM595"/>
  <c r="AC45"/>
  <c r="AB162"/>
  <c r="BM628"/>
  <c r="BM791" s="1"/>
  <c r="BM868" s="1"/>
  <c r="BN772"/>
  <c r="BN854" s="1"/>
  <c r="AG538"/>
  <c r="AG491"/>
  <c r="AH444"/>
  <c r="AG391"/>
  <c r="AG516"/>
  <c r="AH469"/>
  <c r="AG563"/>
  <c r="AG416"/>
  <c r="DL870"/>
  <c r="AD22"/>
  <c r="BO590"/>
  <c r="BO772" s="1"/>
  <c r="BO854" s="1"/>
  <c r="AD143"/>
  <c r="BP672"/>
  <c r="BP806" s="1"/>
  <c r="AE177"/>
  <c r="BP685"/>
  <c r="BP811" s="1"/>
  <c r="DJ870" s="1"/>
  <c r="Z18" i="19" s="1"/>
  <c r="Y11" i="68" s="1"/>
  <c r="Y43" s="1"/>
  <c r="CI64" i="19"/>
  <c r="CI66" s="1"/>
  <c r="O38" s="1"/>
  <c r="BP608" i="20"/>
  <c r="BP816"/>
  <c r="BP879" s="1"/>
  <c r="AG493"/>
  <c r="AG393"/>
  <c r="AG540"/>
  <c r="AH446"/>
  <c r="AC53"/>
  <c r="AB167"/>
  <c r="BM637"/>
  <c r="BM796" s="1"/>
  <c r="BM872" s="1"/>
  <c r="AG492"/>
  <c r="AH445"/>
  <c r="AG392"/>
  <c r="AG539"/>
  <c r="AH462"/>
  <c r="AG556"/>
  <c r="AG509"/>
  <c r="AG409"/>
  <c r="AG406"/>
  <c r="AH459"/>
  <c r="AG553"/>
  <c r="AG506"/>
  <c r="BM642"/>
  <c r="BM800" s="1"/>
  <c r="BM876" s="1"/>
  <c r="AC57"/>
  <c r="AB171"/>
  <c r="AH453"/>
  <c r="AG400"/>
  <c r="AG547"/>
  <c r="AG500"/>
  <c r="DF850"/>
  <c r="DA852"/>
  <c r="BP707"/>
  <c r="AF91"/>
  <c r="AA185"/>
  <c r="BP718"/>
  <c r="DJ848"/>
  <c r="BP713"/>
  <c r="BP717"/>
  <c r="BP721"/>
  <c r="BP725"/>
  <c r="DJ899" s="1"/>
  <c r="BP719"/>
  <c r="BP716"/>
  <c r="BP747"/>
  <c r="BP724"/>
  <c r="AF276"/>
  <c r="AE305"/>
  <c r="AF278"/>
  <c r="BM656"/>
  <c r="AC68"/>
  <c r="AC194"/>
  <c r="AC196" s="1"/>
  <c r="AC210" s="1"/>
  <c r="BN591"/>
  <c r="BN823" s="1"/>
  <c r="BN855" s="1"/>
  <c r="CU874"/>
  <c r="T22" i="19"/>
  <c r="S15" i="68" s="1"/>
  <c r="S47" s="1"/>
  <c r="CW874" i="20"/>
  <c r="BN729"/>
  <c r="BJ896"/>
  <c r="BK794"/>
  <c r="AG408"/>
  <c r="AG555"/>
  <c r="AH461"/>
  <c r="AG508"/>
  <c r="BQ602"/>
  <c r="AF95"/>
  <c r="AF182" s="1"/>
  <c r="AG512"/>
  <c r="AH465"/>
  <c r="AG412"/>
  <c r="AG31" s="1"/>
  <c r="AG559"/>
  <c r="AG514"/>
  <c r="AG561"/>
  <c r="AG414"/>
  <c r="AH467"/>
  <c r="BE619"/>
  <c r="U537"/>
  <c r="E36" i="21"/>
  <c r="T158" i="20"/>
  <c r="U443"/>
  <c r="U390" s="1"/>
  <c r="U76" s="1"/>
  <c r="T152"/>
  <c r="U490"/>
  <c r="T48"/>
  <c r="BN765"/>
  <c r="BN767" s="1"/>
  <c r="BN720"/>
  <c r="AG517"/>
  <c r="AG417"/>
  <c r="AG564"/>
  <c r="AH470"/>
  <c r="AG552"/>
  <c r="AG405"/>
  <c r="AH458"/>
  <c r="AG505"/>
  <c r="AH448"/>
  <c r="AG495"/>
  <c r="AG395"/>
  <c r="AG542"/>
  <c r="BP766"/>
  <c r="BP824"/>
  <c r="BP883" s="1"/>
  <c r="DJ853"/>
  <c r="DO853" s="1"/>
  <c r="CU871"/>
  <c r="BK819"/>
  <c r="BJ820"/>
  <c r="AF90"/>
  <c r="DD850"/>
  <c r="AG534"/>
  <c r="AG387"/>
  <c r="AH440"/>
  <c r="AG487"/>
  <c r="AG496"/>
  <c r="AH449"/>
  <c r="AG543"/>
  <c r="AG396"/>
  <c r="BL815"/>
  <c r="BL601"/>
  <c r="AC423"/>
  <c r="AB425"/>
  <c r="AB78" s="1"/>
  <c r="AE46"/>
  <c r="AE41"/>
  <c r="BP663"/>
  <c r="DJ851" s="1"/>
  <c r="DO851" s="1"/>
  <c r="BM825"/>
  <c r="BM839" s="1"/>
  <c r="BM855"/>
  <c r="BL667"/>
  <c r="BL808" s="1"/>
  <c r="AA179"/>
  <c r="AA180" s="1"/>
  <c r="AG554"/>
  <c r="AG407"/>
  <c r="AG28" s="1"/>
  <c r="AH460"/>
  <c r="AG507"/>
  <c r="AD93"/>
  <c r="BO683" s="1"/>
  <c r="AD136"/>
  <c r="AD138" s="1"/>
  <c r="BP673"/>
  <c r="BP807" s="1"/>
  <c r="AE178"/>
  <c r="BQ609"/>
  <c r="AG548"/>
  <c r="AH454"/>
  <c r="AG501"/>
  <c r="AG401"/>
  <c r="T212"/>
  <c r="E212" i="21" s="1"/>
  <c r="G212" s="1"/>
  <c r="T26" i="20"/>
  <c r="E18" i="21"/>
  <c r="BE586" i="20"/>
  <c r="AC43"/>
  <c r="AB161"/>
  <c r="BM626"/>
  <c r="BM790" s="1"/>
  <c r="BM867" s="1"/>
  <c r="BL795"/>
  <c r="BL638"/>
  <c r="BQ788"/>
  <c r="DM884" s="1"/>
  <c r="AF159"/>
  <c r="CS885"/>
  <c r="CS886"/>
  <c r="CW867"/>
  <c r="CS880"/>
  <c r="CS871"/>
  <c r="CS883"/>
  <c r="CS890"/>
  <c r="CS877"/>
  <c r="CS878"/>
  <c r="CS870"/>
  <c r="CS867"/>
  <c r="CS881"/>
  <c r="CS869"/>
  <c r="CS872"/>
  <c r="CS889"/>
  <c r="CS891"/>
  <c r="CS868"/>
  <c r="CS887"/>
  <c r="CS874"/>
  <c r="CS879"/>
  <c r="CS876"/>
  <c r="CS882"/>
  <c r="CS884"/>
  <c r="CS875"/>
  <c r="BL799"/>
  <c r="BL875" s="1"/>
  <c r="BL644"/>
  <c r="AG415"/>
  <c r="AH468"/>
  <c r="AG562"/>
  <c r="AG515"/>
  <c r="AF228"/>
  <c r="BQ653"/>
  <c r="AG65"/>
  <c r="BN744"/>
  <c r="BN752"/>
  <c r="BN746"/>
  <c r="AA190"/>
  <c r="BM593"/>
  <c r="BM699" s="1"/>
  <c r="AB189"/>
  <c r="AC32"/>
  <c r="BM612"/>
  <c r="BM599"/>
  <c r="AB186"/>
  <c r="AC27"/>
  <c r="AH447"/>
  <c r="AG394"/>
  <c r="AG494"/>
  <c r="AG541"/>
  <c r="BO594"/>
  <c r="BO773" s="1"/>
  <c r="BO856" s="1"/>
  <c r="AD144"/>
  <c r="BP671"/>
  <c r="AE176"/>
  <c r="DH860"/>
  <c r="DH850"/>
  <c r="DH856"/>
  <c r="DH857"/>
  <c r="DL848"/>
  <c r="Z13" i="19" s="1"/>
  <c r="Y6" i="68" s="1"/>
  <c r="Y38" s="1"/>
  <c r="Y12" i="19"/>
  <c r="X5" i="68" s="1"/>
  <c r="X37" s="1"/>
  <c r="DH853" i="20"/>
  <c r="DH849"/>
  <c r="DH852"/>
  <c r="DH848"/>
  <c r="DH851"/>
  <c r="DH861"/>
  <c r="DH858"/>
  <c r="DH862"/>
  <c r="DH854"/>
  <c r="Y15" i="19" s="1"/>
  <c r="X8" i="68" s="1"/>
  <c r="X40" s="1"/>
  <c r="AG503" i="20"/>
  <c r="AH456"/>
  <c r="AG403"/>
  <c r="AG550"/>
  <c r="AG402"/>
  <c r="AG502"/>
  <c r="AG549"/>
  <c r="AH455"/>
  <c r="AG272"/>
  <c r="AH271"/>
  <c r="AG488"/>
  <c r="AG388"/>
  <c r="AH441"/>
  <c r="AG535"/>
  <c r="BL676"/>
  <c r="BL803"/>
  <c r="AG224"/>
  <c r="BR654"/>
  <c r="AH66"/>
  <c r="AB170"/>
  <c r="AC56"/>
  <c r="BM641"/>
  <c r="AC55"/>
  <c r="BM640"/>
  <c r="BM798" s="1"/>
  <c r="BM874" s="1"/>
  <c r="AB169"/>
  <c r="BL793"/>
  <c r="BL870" s="1"/>
  <c r="BL631"/>
  <c r="AA165"/>
  <c r="AA172"/>
  <c r="AF92"/>
  <c r="BQ682" s="1"/>
  <c r="AB253"/>
  <c r="AC249"/>
  <c r="AB250"/>
  <c r="AA49"/>
  <c r="BO629"/>
  <c r="BO792" s="1"/>
  <c r="BO869" s="1"/>
  <c r="AD163"/>
  <c r="BO662"/>
  <c r="BO664" s="1"/>
  <c r="BO727"/>
  <c r="DG900" s="1"/>
  <c r="DG849"/>
  <c r="BO726"/>
  <c r="BO728" s="1"/>
  <c r="BO730"/>
  <c r="DG901" s="1"/>
  <c r="BP587"/>
  <c r="BP771" s="1"/>
  <c r="BP852" s="1"/>
  <c r="AE142"/>
  <c r="AE20"/>
  <c r="AG389"/>
  <c r="AH442"/>
  <c r="AG489"/>
  <c r="AG536"/>
  <c r="AH471"/>
  <c r="AG418"/>
  <c r="AG518"/>
  <c r="AG565"/>
  <c r="AE192"/>
  <c r="BP603"/>
  <c r="BP821" s="1"/>
  <c r="BP882" s="1"/>
  <c r="AF29"/>
  <c r="AE94"/>
  <c r="BP714"/>
  <c r="BO743"/>
  <c r="DG896" s="1"/>
  <c r="BM596"/>
  <c r="BM813" s="1"/>
  <c r="BM878" s="1"/>
  <c r="AC25"/>
  <c r="AB184"/>
  <c r="BM639"/>
  <c r="BM797" s="1"/>
  <c r="BM873" s="1"/>
  <c r="AB347"/>
  <c r="AB168"/>
  <c r="AC54"/>
  <c r="AG551"/>
  <c r="AH457"/>
  <c r="AG404"/>
  <c r="AG504"/>
  <c r="AG544"/>
  <c r="AH450"/>
  <c r="AG397"/>
  <c r="AG497"/>
  <c r="AC52"/>
  <c r="AB166"/>
  <c r="BM636"/>
  <c r="BN822"/>
  <c r="BN589"/>
  <c r="BN698" s="1"/>
  <c r="BK877"/>
  <c r="BK814"/>
  <c r="AG61"/>
  <c r="BQ649"/>
  <c r="AF220"/>
  <c r="BK871"/>
  <c r="BK801"/>
  <c r="AG413"/>
  <c r="AH466"/>
  <c r="AG513"/>
  <c r="AG560"/>
  <c r="CX875"/>
  <c r="DC875" s="1"/>
  <c r="DC857"/>
  <c r="BL818"/>
  <c r="BL881" s="1"/>
  <c r="BL614"/>
  <c r="BO624"/>
  <c r="BO775" s="1"/>
  <c r="BO858" s="1"/>
  <c r="AD146"/>
  <c r="AG486"/>
  <c r="AH439"/>
  <c r="AG533"/>
  <c r="AG386"/>
  <c r="AG71" s="1"/>
  <c r="BO627"/>
  <c r="BO777" s="1"/>
  <c r="BO860" s="1"/>
  <c r="AD148"/>
  <c r="AE73"/>
  <c r="AE75" s="1"/>
  <c r="AE21"/>
  <c r="AE40"/>
  <c r="BP661"/>
  <c r="AE44"/>
  <c r="AE23"/>
  <c r="DG899"/>
  <c r="AG60"/>
  <c r="AF219"/>
  <c r="BQ648"/>
  <c r="AG558"/>
  <c r="AG511"/>
  <c r="AH464"/>
  <c r="AG411"/>
  <c r="AC79"/>
  <c r="AB174"/>
  <c r="BM668"/>
  <c r="CX854"/>
  <c r="DC852"/>
  <c r="Z27" i="19"/>
  <c r="Y20" i="68" s="1"/>
  <c r="Y52" s="1"/>
  <c r="DO884" i="20"/>
  <c r="BL755"/>
  <c r="BL756"/>
  <c r="BL597"/>
  <c r="BL812"/>
  <c r="T19" i="19"/>
  <c r="S12" i="68" s="1"/>
  <c r="S44" s="1"/>
  <c r="CW871" i="20"/>
  <c r="BM630"/>
  <c r="AC47"/>
  <c r="AB164"/>
  <c r="CU867"/>
  <c r="U14" i="19"/>
  <c r="T7" i="68" s="1"/>
  <c r="CZ854" i="20"/>
  <c r="AD193"/>
  <c r="BO588"/>
  <c r="BM669"/>
  <c r="DA857" s="1"/>
  <c r="AC80"/>
  <c r="C388" i="56"/>
  <c r="C27"/>
  <c r="C389" i="57"/>
  <c r="C27"/>
  <c r="C750"/>
  <c r="AI382" i="20"/>
  <c r="BF770"/>
  <c r="CF877"/>
  <c r="G351" i="16"/>
  <c r="J44"/>
  <c r="L46"/>
  <c r="Q122" i="19"/>
  <c r="AH380" i="20"/>
  <c r="AH39" s="1"/>
  <c r="BS622" s="1"/>
  <c r="AH325"/>
  <c r="AH341" s="1"/>
  <c r="AI365"/>
  <c r="AI570"/>
  <c r="AI523"/>
  <c r="AI429"/>
  <c r="AH381"/>
  <c r="AH51" s="1"/>
  <c r="BS635" s="1"/>
  <c r="AI355"/>
  <c r="AI315"/>
  <c r="AI325" l="1"/>
  <c r="AI341" s="1"/>
  <c r="AI381"/>
  <c r="AI51" s="1"/>
  <c r="BT635" s="1"/>
  <c r="J47" i="66"/>
  <c r="C24" i="67"/>
  <c r="C16"/>
  <c r="C46"/>
  <c r="C46" i="66"/>
  <c r="C41" s="1"/>
  <c r="C16"/>
  <c r="C24"/>
  <c r="BP836" i="20"/>
  <c r="BP838" s="1"/>
  <c r="T39" i="68"/>
  <c r="N41"/>
  <c r="N45" s="1"/>
  <c r="N48" s="1"/>
  <c r="N13"/>
  <c r="J23" i="66"/>
  <c r="J48" s="1"/>
  <c r="J23" i="67"/>
  <c r="J48" s="1"/>
  <c r="BO838" i="20"/>
  <c r="AG92"/>
  <c r="BR682" s="1"/>
  <c r="T21" i="19"/>
  <c r="S14" i="68" s="1"/>
  <c r="S46" s="1"/>
  <c r="AF221" i="20"/>
  <c r="AF230" s="1"/>
  <c r="AF207" s="1"/>
  <c r="AF209" s="1"/>
  <c r="BS657"/>
  <c r="AI69"/>
  <c r="BT657" s="1"/>
  <c r="AC262"/>
  <c r="AC38" s="1"/>
  <c r="BN621" s="1"/>
  <c r="AD261"/>
  <c r="AB50"/>
  <c r="BM634" s="1"/>
  <c r="CX856"/>
  <c r="CX874" s="1"/>
  <c r="AB190"/>
  <c r="BL809"/>
  <c r="BK820"/>
  <c r="BL794"/>
  <c r="AB185"/>
  <c r="BK896"/>
  <c r="AB165"/>
  <c r="BO822"/>
  <c r="BO589"/>
  <c r="BO698" s="1"/>
  <c r="AE144"/>
  <c r="BP594"/>
  <c r="BP773" s="1"/>
  <c r="BP856" s="1"/>
  <c r="AI271"/>
  <c r="AI272" s="1"/>
  <c r="AH272"/>
  <c r="AH503"/>
  <c r="AH403"/>
  <c r="AH550"/>
  <c r="AI456"/>
  <c r="AH541"/>
  <c r="AI447"/>
  <c r="AH394"/>
  <c r="AH494"/>
  <c r="BL871"/>
  <c r="BL801"/>
  <c r="BQ685"/>
  <c r="BQ811" s="1"/>
  <c r="DM870" s="1"/>
  <c r="AA18" i="19" s="1"/>
  <c r="Z11" i="68" s="1"/>
  <c r="Z43" s="1"/>
  <c r="BN642" i="20"/>
  <c r="BN800" s="1"/>
  <c r="BN876" s="1"/>
  <c r="AC171"/>
  <c r="AD57"/>
  <c r="AC167"/>
  <c r="BN637"/>
  <c r="BN796" s="1"/>
  <c r="BN872" s="1"/>
  <c r="AD53"/>
  <c r="CI67" i="19"/>
  <c r="O23"/>
  <c r="AD194" i="20"/>
  <c r="AD196" s="1"/>
  <c r="AD210" s="1"/>
  <c r="BO591"/>
  <c r="AH391"/>
  <c r="AI444"/>
  <c r="AH538"/>
  <c r="AH491"/>
  <c r="BM755"/>
  <c r="BM597"/>
  <c r="BM756"/>
  <c r="BM812"/>
  <c r="BR606"/>
  <c r="DA875"/>
  <c r="DF875" s="1"/>
  <c r="DF857"/>
  <c r="BM631"/>
  <c r="BM793"/>
  <c r="AH61"/>
  <c r="AG220"/>
  <c r="BR649"/>
  <c r="AC168"/>
  <c r="BN639"/>
  <c r="BN797" s="1"/>
  <c r="BN873" s="1"/>
  <c r="AD54"/>
  <c r="AC347"/>
  <c r="AH565"/>
  <c r="AH418"/>
  <c r="AI471"/>
  <c r="AH518"/>
  <c r="AB37"/>
  <c r="BM620" s="1"/>
  <c r="AB251"/>
  <c r="T59"/>
  <c r="E48" i="21"/>
  <c r="P79" i="22"/>
  <c r="AH514" i="20"/>
  <c r="AH561"/>
  <c r="AI467"/>
  <c r="AH414"/>
  <c r="AC162"/>
  <c r="BN628"/>
  <c r="BN791" s="1"/>
  <c r="BN868" s="1"/>
  <c r="AD45"/>
  <c r="AH410"/>
  <c r="AH30" s="1"/>
  <c r="AH510"/>
  <c r="AH557"/>
  <c r="AI463"/>
  <c r="BQ747"/>
  <c r="BQ717"/>
  <c r="BQ724"/>
  <c r="BQ721"/>
  <c r="BQ718"/>
  <c r="BQ716"/>
  <c r="BQ713"/>
  <c r="BQ719"/>
  <c r="BQ725"/>
  <c r="DM848"/>
  <c r="AG91"/>
  <c r="BR681" s="1"/>
  <c r="AH411"/>
  <c r="AH511"/>
  <c r="AI464"/>
  <c r="AH558"/>
  <c r="BN669"/>
  <c r="DD857" s="1"/>
  <c r="AD80"/>
  <c r="AC164"/>
  <c r="AD47"/>
  <c r="BN630"/>
  <c r="AC166"/>
  <c r="BN636"/>
  <c r="AD52"/>
  <c r="BL633"/>
  <c r="AA58"/>
  <c r="AI66"/>
  <c r="BS654"/>
  <c r="AH224"/>
  <c r="DR884"/>
  <c r="AA27" i="19"/>
  <c r="Z20" i="68" s="1"/>
  <c r="Z52" s="1"/>
  <c r="E26" i="21"/>
  <c r="P77" i="22"/>
  <c r="T34" i="20"/>
  <c r="AD423"/>
  <c r="AC425"/>
  <c r="AC78" s="1"/>
  <c r="AH387"/>
  <c r="AH487"/>
  <c r="AI440"/>
  <c r="AH534"/>
  <c r="AH552"/>
  <c r="AI458"/>
  <c r="AH405"/>
  <c r="AH505"/>
  <c r="BE704"/>
  <c r="P81" i="22" s="1"/>
  <c r="BE632" i="20"/>
  <c r="BE734"/>
  <c r="BE787"/>
  <c r="CC889"/>
  <c r="CE889" s="1"/>
  <c r="BE781"/>
  <c r="AD68"/>
  <c r="BN656"/>
  <c r="BQ681"/>
  <c r="BQ816" s="1"/>
  <c r="BQ879" s="1"/>
  <c r="AF187"/>
  <c r="AH547"/>
  <c r="AH400"/>
  <c r="AI453"/>
  <c r="AH500"/>
  <c r="AF41"/>
  <c r="AF46"/>
  <c r="BQ663"/>
  <c r="DM851" s="1"/>
  <c r="DR851" s="1"/>
  <c r="BO729"/>
  <c r="AG90"/>
  <c r="AG923"/>
  <c r="AG19"/>
  <c r="AG86"/>
  <c r="BR675" s="1"/>
  <c r="AG84"/>
  <c r="AG74"/>
  <c r="AG85"/>
  <c r="BR674" s="1"/>
  <c r="BR660"/>
  <c r="AG83"/>
  <c r="AG82"/>
  <c r="AG42"/>
  <c r="BR625" s="1"/>
  <c r="AG81"/>
  <c r="AG72"/>
  <c r="AG73" s="1"/>
  <c r="AC153"/>
  <c r="BN782"/>
  <c r="DD882" s="1"/>
  <c r="DI882" s="1"/>
  <c r="BL819"/>
  <c r="CX871"/>
  <c r="BQ672"/>
  <c r="BQ806" s="1"/>
  <c r="AF177"/>
  <c r="AH60"/>
  <c r="AG219"/>
  <c r="BR648"/>
  <c r="AE93"/>
  <c r="BP683" s="1"/>
  <c r="AE136"/>
  <c r="AE138" s="1"/>
  <c r="AI466"/>
  <c r="AH560"/>
  <c r="AH513"/>
  <c r="AH413"/>
  <c r="AH404"/>
  <c r="AI457"/>
  <c r="AH504"/>
  <c r="AH551"/>
  <c r="AH388"/>
  <c r="AH488"/>
  <c r="AH535"/>
  <c r="AI441"/>
  <c r="AD32"/>
  <c r="AC189"/>
  <c r="BN612"/>
  <c r="J18" i="21"/>
  <c r="L18"/>
  <c r="P18"/>
  <c r="M18"/>
  <c r="N18"/>
  <c r="G18"/>
  <c r="G26" s="1"/>
  <c r="G34" s="1"/>
  <c r="K18"/>
  <c r="Q18"/>
  <c r="O18"/>
  <c r="I18"/>
  <c r="H18"/>
  <c r="R18"/>
  <c r="BM667" i="20"/>
  <c r="BM808" s="1"/>
  <c r="AB179"/>
  <c r="AB180" s="1"/>
  <c r="U19" i="19"/>
  <c r="T12" i="68" s="1"/>
  <c r="T44" s="1"/>
  <c r="CZ871" i="20"/>
  <c r="AH412"/>
  <c r="AH31" s="1"/>
  <c r="BS609" s="1"/>
  <c r="BS611" s="1"/>
  <c r="AH512"/>
  <c r="AI465"/>
  <c r="AH559"/>
  <c r="AH516"/>
  <c r="AH416"/>
  <c r="AH563"/>
  <c r="AI469"/>
  <c r="BR615"/>
  <c r="BR702" s="1"/>
  <c r="AH33"/>
  <c r="AF178"/>
  <c r="BQ673"/>
  <c r="BQ807" s="1"/>
  <c r="AB172"/>
  <c r="AF188"/>
  <c r="CU876"/>
  <c r="AA191"/>
  <c r="CV883"/>
  <c r="CV867"/>
  <c r="CV878"/>
  <c r="CV886"/>
  <c r="CZ867"/>
  <c r="CV874"/>
  <c r="CV880"/>
  <c r="CV887"/>
  <c r="CV875"/>
  <c r="CV882"/>
  <c r="CV881"/>
  <c r="CV872"/>
  <c r="CV891"/>
  <c r="CV879"/>
  <c r="CV869"/>
  <c r="CV877"/>
  <c r="CV884"/>
  <c r="CV889"/>
  <c r="CV885"/>
  <c r="CV871"/>
  <c r="CV870"/>
  <c r="CV868"/>
  <c r="CV890"/>
  <c r="CV876"/>
  <c r="BP590"/>
  <c r="AE22"/>
  <c r="AE143"/>
  <c r="BM795"/>
  <c r="BM638"/>
  <c r="BN596"/>
  <c r="BN813" s="1"/>
  <c r="BN878" s="1"/>
  <c r="AC184"/>
  <c r="AD25"/>
  <c r="AE193"/>
  <c r="BP588"/>
  <c r="BP822" s="1"/>
  <c r="BP853" s="1"/>
  <c r="BN641"/>
  <c r="AD56"/>
  <c r="AC170"/>
  <c r="BM614"/>
  <c r="BM818"/>
  <c r="BM881" s="1"/>
  <c r="BR653"/>
  <c r="AG228"/>
  <c r="AH65"/>
  <c r="BE841"/>
  <c r="BE598"/>
  <c r="CF886"/>
  <c r="BQ817"/>
  <c r="BQ880" s="1"/>
  <c r="BQ611"/>
  <c r="BR602"/>
  <c r="AG95"/>
  <c r="AG182" s="1"/>
  <c r="AE163"/>
  <c r="BP629"/>
  <c r="BP792" s="1"/>
  <c r="BP869" s="1"/>
  <c r="AH395"/>
  <c r="AI448"/>
  <c r="AH542"/>
  <c r="AH495"/>
  <c r="Q36" i="21"/>
  <c r="L36"/>
  <c r="M36"/>
  <c r="G36"/>
  <c r="G48" s="1"/>
  <c r="G59" s="1"/>
  <c r="J36"/>
  <c r="O36"/>
  <c r="H36"/>
  <c r="N36"/>
  <c r="P36"/>
  <c r="K36"/>
  <c r="I36"/>
  <c r="R36"/>
  <c r="BR609" i="20"/>
  <c r="AH406"/>
  <c r="AI459"/>
  <c r="AH553"/>
  <c r="AH506"/>
  <c r="AI445"/>
  <c r="AH392"/>
  <c r="AH539"/>
  <c r="AH492"/>
  <c r="AF176"/>
  <c r="BQ671"/>
  <c r="AF142"/>
  <c r="BQ587"/>
  <c r="BQ771" s="1"/>
  <c r="BQ852" s="1"/>
  <c r="AF20"/>
  <c r="BN593"/>
  <c r="BN699" s="1"/>
  <c r="AD79"/>
  <c r="AC174"/>
  <c r="BN668"/>
  <c r="BP623"/>
  <c r="BP774" s="1"/>
  <c r="BP857" s="1"/>
  <c r="AE145"/>
  <c r="BN853"/>
  <c r="BN825"/>
  <c r="BN839" s="1"/>
  <c r="BO765"/>
  <c r="BO767" s="1"/>
  <c r="BO720"/>
  <c r="BM799"/>
  <c r="BM875" s="1"/>
  <c r="BM644"/>
  <c r="BM815"/>
  <c r="BM601"/>
  <c r="AD43"/>
  <c r="AC161"/>
  <c r="BN626"/>
  <c r="BN790" s="1"/>
  <c r="AI460"/>
  <c r="AH554"/>
  <c r="AH407"/>
  <c r="AH28" s="1"/>
  <c r="AH507"/>
  <c r="BP624"/>
  <c r="BP775" s="1"/>
  <c r="BP858" s="1"/>
  <c r="AE146"/>
  <c r="AH396"/>
  <c r="AH543"/>
  <c r="AH496"/>
  <c r="AI449"/>
  <c r="T181"/>
  <c r="E181" i="21" s="1"/>
  <c r="G181" s="1"/>
  <c r="E158"/>
  <c r="G158" s="1"/>
  <c r="U22" i="19"/>
  <c r="T15" i="68" s="1"/>
  <c r="T47" s="1"/>
  <c r="CZ874" i="20"/>
  <c r="DK854"/>
  <c r="Z15" i="19" s="1"/>
  <c r="Y8" i="68" s="1"/>
  <c r="Y40" s="1"/>
  <c r="DK856" i="20"/>
  <c r="DK862"/>
  <c r="DK849"/>
  <c r="DO848"/>
  <c r="AA13" i="19" s="1"/>
  <c r="Z6" i="68" s="1"/>
  <c r="Z38" s="1"/>
  <c r="Z12" i="19"/>
  <c r="Y5" i="68" s="1"/>
  <c r="Y37" s="1"/>
  <c r="DK850" i="20"/>
  <c r="DK860"/>
  <c r="DK852"/>
  <c r="DK851"/>
  <c r="DK853"/>
  <c r="DK848"/>
  <c r="DK858"/>
  <c r="DK861"/>
  <c r="DK857"/>
  <c r="DO870"/>
  <c r="AF73"/>
  <c r="AF75" s="1"/>
  <c r="BQ661"/>
  <c r="AF44"/>
  <c r="AF21"/>
  <c r="AF40"/>
  <c r="AF23"/>
  <c r="BQ707"/>
  <c r="BL877"/>
  <c r="BL814"/>
  <c r="BM676"/>
  <c r="BM803"/>
  <c r="BP662"/>
  <c r="BP664" s="1"/>
  <c r="DJ849"/>
  <c r="DO849" s="1"/>
  <c r="BP726"/>
  <c r="BP728" s="1"/>
  <c r="BP730"/>
  <c r="DJ901" s="1"/>
  <c r="BP727"/>
  <c r="AH386"/>
  <c r="AH71" s="1"/>
  <c r="AH486"/>
  <c r="AH533"/>
  <c r="AI439"/>
  <c r="AH389"/>
  <c r="AH536"/>
  <c r="AH489"/>
  <c r="AI442"/>
  <c r="AC169"/>
  <c r="AD55"/>
  <c r="BN640"/>
  <c r="BN798" s="1"/>
  <c r="BN874" s="1"/>
  <c r="AH402"/>
  <c r="AH549"/>
  <c r="AI455"/>
  <c r="AH502"/>
  <c r="BP805"/>
  <c r="BP758"/>
  <c r="AH548"/>
  <c r="AH501"/>
  <c r="AI454"/>
  <c r="AH401"/>
  <c r="AF195"/>
  <c r="AF137"/>
  <c r="BQ680"/>
  <c r="U155"/>
  <c r="U87"/>
  <c r="U88" s="1"/>
  <c r="U147" s="1"/>
  <c r="U149" s="1"/>
  <c r="U150" s="1"/>
  <c r="BF665"/>
  <c r="AH508"/>
  <c r="AH408"/>
  <c r="AH555"/>
  <c r="AI461"/>
  <c r="AG276"/>
  <c r="AF305"/>
  <c r="AG278"/>
  <c r="BP743"/>
  <c r="DJ896" s="1"/>
  <c r="BQ714"/>
  <c r="AD24"/>
  <c r="BN595"/>
  <c r="AC183"/>
  <c r="BQ670"/>
  <c r="BQ804" s="1"/>
  <c r="AF175"/>
  <c r="BP684"/>
  <c r="V14" i="19"/>
  <c r="U7" i="68" s="1"/>
  <c r="DC854" i="20"/>
  <c r="CX867"/>
  <c r="BP627"/>
  <c r="BP777" s="1"/>
  <c r="BP860" s="1"/>
  <c r="AE148"/>
  <c r="AC263"/>
  <c r="AH497"/>
  <c r="AH397"/>
  <c r="AH544"/>
  <c r="AI450"/>
  <c r="AF192"/>
  <c r="BQ603"/>
  <c r="BQ821" s="1"/>
  <c r="BQ882" s="1"/>
  <c r="AG29"/>
  <c r="AF94"/>
  <c r="DL849"/>
  <c r="DG850"/>
  <c r="AG159"/>
  <c r="BR788"/>
  <c r="DP884" s="1"/>
  <c r="BN599"/>
  <c r="AD27"/>
  <c r="AC186"/>
  <c r="AH562"/>
  <c r="AH515"/>
  <c r="AH415"/>
  <c r="AI468"/>
  <c r="BO752"/>
  <c r="BO746"/>
  <c r="BO744"/>
  <c r="DD852"/>
  <c r="DI850"/>
  <c r="AH517"/>
  <c r="AH564"/>
  <c r="AI470"/>
  <c r="AH417"/>
  <c r="E152" i="21"/>
  <c r="G152" s="1"/>
  <c r="T156" i="20"/>
  <c r="DA854"/>
  <c r="DF852"/>
  <c r="AH409"/>
  <c r="AH509"/>
  <c r="AH556"/>
  <c r="AI462"/>
  <c r="AH393"/>
  <c r="AH540"/>
  <c r="AH493"/>
  <c r="AI446"/>
  <c r="BP605"/>
  <c r="BP701" s="1"/>
  <c r="C389" i="56"/>
  <c r="C28"/>
  <c r="C390" i="57"/>
  <c r="C28"/>
  <c r="C751"/>
  <c r="CK877" i="20"/>
  <c r="P30" i="19"/>
  <c r="O23" i="68" s="1"/>
  <c r="O55" s="1"/>
  <c r="O44" i="16"/>
  <c r="J47"/>
  <c r="AG188" i="20" l="1"/>
  <c r="DC856"/>
  <c r="BP894"/>
  <c r="U39" i="68"/>
  <c r="C49" i="67"/>
  <c r="C41"/>
  <c r="D20"/>
  <c r="D20" i="66"/>
  <c r="N16" i="68"/>
  <c r="DA856" i="20"/>
  <c r="DF856" s="1"/>
  <c r="U89"/>
  <c r="U64" s="1"/>
  <c r="U225" s="1"/>
  <c r="BF678"/>
  <c r="BG768" s="1"/>
  <c r="CI868" s="1"/>
  <c r="AC185"/>
  <c r="BL896"/>
  <c r="V139"/>
  <c r="BQ836"/>
  <c r="BQ894" s="1"/>
  <c r="AB191"/>
  <c r="AC190"/>
  <c r="AG94"/>
  <c r="AG75"/>
  <c r="AG93" s="1"/>
  <c r="BR683" s="1"/>
  <c r="AH91"/>
  <c r="BS681" s="1"/>
  <c r="CX876"/>
  <c r="V21" i="19" s="1"/>
  <c r="U14" i="68" s="1"/>
  <c r="U46" s="1"/>
  <c r="BP589" i="20"/>
  <c r="BP698" s="1"/>
  <c r="BL820"/>
  <c r="AG221"/>
  <c r="AG230" s="1"/>
  <c r="AG207" s="1"/>
  <c r="AG209" s="1"/>
  <c r="AG187"/>
  <c r="AH92"/>
  <c r="BF741"/>
  <c r="BF737"/>
  <c r="AH95"/>
  <c r="AH182" s="1"/>
  <c r="BS602"/>
  <c r="V22" i="19"/>
  <c r="U15" i="68" s="1"/>
  <c r="U47" s="1"/>
  <c r="DC874" i="20"/>
  <c r="Q158" i="21"/>
  <c r="Q181" s="1"/>
  <c r="Q48"/>
  <c r="Q59" s="1"/>
  <c r="Q152"/>
  <c r="Q156" s="1"/>
  <c r="Q157" s="1"/>
  <c r="BP772" i="20"/>
  <c r="BP854" s="1"/>
  <c r="BS615"/>
  <c r="BS702" s="1"/>
  <c r="AI33"/>
  <c r="BT615" s="1"/>
  <c r="BT702" s="1"/>
  <c r="I212" i="21"/>
  <c r="I26"/>
  <c r="I34" s="1"/>
  <c r="L26"/>
  <c r="L34" s="1"/>
  <c r="L212"/>
  <c r="AI560" i="20"/>
  <c r="AI513"/>
  <c r="AI413"/>
  <c r="V19" i="19"/>
  <c r="U12" i="68" s="1"/>
  <c r="U44" s="1"/>
  <c r="DC871" i="20"/>
  <c r="AG177"/>
  <c r="BR672"/>
  <c r="BR806" s="1"/>
  <c r="BR680"/>
  <c r="AG137"/>
  <c r="AG195"/>
  <c r="AI534"/>
  <c r="AI487"/>
  <c r="AI387"/>
  <c r="BN638"/>
  <c r="BN795"/>
  <c r="AI558"/>
  <c r="AI411"/>
  <c r="AI511"/>
  <c r="AI510"/>
  <c r="AI557"/>
  <c r="AI410"/>
  <c r="AI30" s="1"/>
  <c r="AI514"/>
  <c r="AI561"/>
  <c r="AI414"/>
  <c r="BO642"/>
  <c r="BO800" s="1"/>
  <c r="BO876" s="1"/>
  <c r="AD171"/>
  <c r="AE57"/>
  <c r="AH159"/>
  <c r="BS788"/>
  <c r="DS884" s="1"/>
  <c r="AE55"/>
  <c r="BO640"/>
  <c r="BO798" s="1"/>
  <c r="BO874" s="1"/>
  <c r="AD169"/>
  <c r="BQ590"/>
  <c r="BQ772" s="1"/>
  <c r="BQ854" s="1"/>
  <c r="AF143"/>
  <c r="AF22"/>
  <c r="BM819"/>
  <c r="DA871"/>
  <c r="K158" i="21"/>
  <c r="K181" s="1"/>
  <c r="K152"/>
  <c r="K156" s="1"/>
  <c r="K157" s="1"/>
  <c r="K48"/>
  <c r="K59" s="1"/>
  <c r="L48"/>
  <c r="L59" s="1"/>
  <c r="L158"/>
  <c r="L181" s="1"/>
  <c r="L152"/>
  <c r="L156" s="1"/>
  <c r="L157" s="1"/>
  <c r="AI65" i="20"/>
  <c r="BS653"/>
  <c r="AH228"/>
  <c r="BP591"/>
  <c r="BP823" s="1"/>
  <c r="AE194"/>
  <c r="AE196" s="1"/>
  <c r="AE210" s="1"/>
  <c r="AI512"/>
  <c r="AI412"/>
  <c r="AI31" s="1"/>
  <c r="BT609" s="1"/>
  <c r="BT611" s="1"/>
  <c r="AI559"/>
  <c r="H26" i="21"/>
  <c r="H34" s="1"/>
  <c r="H212"/>
  <c r="P212"/>
  <c r="P26"/>
  <c r="P34" s="1"/>
  <c r="BR671" i="20"/>
  <c r="AG176"/>
  <c r="CC883"/>
  <c r="BE810"/>
  <c r="AE52"/>
  <c r="BO636"/>
  <c r="AD166"/>
  <c r="DM899"/>
  <c r="BR816"/>
  <c r="BR879" s="1"/>
  <c r="BR608"/>
  <c r="AI538"/>
  <c r="AI391"/>
  <c r="AI491"/>
  <c r="BO853"/>
  <c r="AH90"/>
  <c r="DJ850"/>
  <c r="AH19"/>
  <c r="AH83"/>
  <c r="AH82"/>
  <c r="AH923"/>
  <c r="AH84"/>
  <c r="AH81"/>
  <c r="AH74"/>
  <c r="BS660"/>
  <c r="AH72"/>
  <c r="AH86"/>
  <c r="BS675" s="1"/>
  <c r="AH42"/>
  <c r="BS625" s="1"/>
  <c r="AH85"/>
  <c r="BS674" s="1"/>
  <c r="P158" i="21"/>
  <c r="P181" s="1"/>
  <c r="P152"/>
  <c r="P156" s="1"/>
  <c r="P157" s="1"/>
  <c r="P48"/>
  <c r="P59" s="1"/>
  <c r="DL850" i="20"/>
  <c r="DG852"/>
  <c r="CF858"/>
  <c r="BF677"/>
  <c r="BF784"/>
  <c r="CF880" s="1"/>
  <c r="BQ623"/>
  <c r="BQ774" s="1"/>
  <c r="BQ857" s="1"/>
  <c r="AF145"/>
  <c r="AF193"/>
  <c r="BQ588"/>
  <c r="AI492"/>
  <c r="AI539"/>
  <c r="AI392"/>
  <c r="I152" i="21"/>
  <c r="I156" s="1"/>
  <c r="I157" s="1"/>
  <c r="I48"/>
  <c r="I59" s="1"/>
  <c r="I158"/>
  <c r="I181" s="1"/>
  <c r="M152"/>
  <c r="M156" s="1"/>
  <c r="M157" s="1"/>
  <c r="M158"/>
  <c r="M181" s="1"/>
  <c r="M48"/>
  <c r="M59" s="1"/>
  <c r="BN644" i="20"/>
  <c r="BN799"/>
  <c r="BN875" s="1"/>
  <c r="R212" i="21"/>
  <c r="R26"/>
  <c r="R34" s="1"/>
  <c r="M26"/>
  <c r="M34" s="1"/>
  <c r="M212"/>
  <c r="AG20" i="20"/>
  <c r="AG142"/>
  <c r="BR587"/>
  <c r="BR771" s="1"/>
  <c r="BR852" s="1"/>
  <c r="AI547"/>
  <c r="AI500"/>
  <c r="AI400"/>
  <c r="CC891"/>
  <c r="CH889"/>
  <c r="CI71" i="19"/>
  <c r="CI76" s="1"/>
  <c r="BL645" i="20"/>
  <c r="BL706" s="1"/>
  <c r="CX890"/>
  <c r="DC890" s="1"/>
  <c r="DI857"/>
  <c r="DD875"/>
  <c r="DI875" s="1"/>
  <c r="DN850"/>
  <c r="DN853"/>
  <c r="DN860"/>
  <c r="DN849"/>
  <c r="DR848"/>
  <c r="AB13" i="19" s="1"/>
  <c r="AA6" i="68" s="1"/>
  <c r="AA38" s="1"/>
  <c r="DN854" i="20"/>
  <c r="AA15" i="19" s="1"/>
  <c r="Z8" i="68" s="1"/>
  <c r="Z40" s="1"/>
  <c r="DN857" i="20"/>
  <c r="DN848"/>
  <c r="DN851"/>
  <c r="DN862"/>
  <c r="DN858"/>
  <c r="AA12" i="19"/>
  <c r="Z5" i="68" s="1"/>
  <c r="Z37" s="1"/>
  <c r="DN852" i="20"/>
  <c r="DN856"/>
  <c r="DN861"/>
  <c r="AD249"/>
  <c r="AC253"/>
  <c r="AC250"/>
  <c r="AC251" s="1"/>
  <c r="AB49"/>
  <c r="BM809"/>
  <c r="AI540"/>
  <c r="AI493"/>
  <c r="AI393"/>
  <c r="AD262"/>
  <c r="AD38" s="1"/>
  <c r="BO621" s="1"/>
  <c r="AE261"/>
  <c r="AC50"/>
  <c r="BN634" s="1"/>
  <c r="AD265"/>
  <c r="AI501"/>
  <c r="AI401"/>
  <c r="AI548"/>
  <c r="BE700"/>
  <c r="BE616"/>
  <c r="BE733"/>
  <c r="AI388"/>
  <c r="AI488"/>
  <c r="AI535"/>
  <c r="AH219"/>
  <c r="BS648"/>
  <c r="AI60"/>
  <c r="BR670"/>
  <c r="BR804" s="1"/>
  <c r="AG175"/>
  <c r="CC881"/>
  <c r="BE785"/>
  <c r="BE786" s="1"/>
  <c r="AI405"/>
  <c r="AI505"/>
  <c r="AI552"/>
  <c r="T35"/>
  <c r="E35" i="21" s="1"/>
  <c r="E34"/>
  <c r="T70" i="20"/>
  <c r="E70" i="21" s="1"/>
  <c r="G80" i="22"/>
  <c r="AE80" i="20"/>
  <c r="BO669"/>
  <c r="DG857" s="1"/>
  <c r="G81" i="22"/>
  <c r="E59" i="21"/>
  <c r="BO637" i="20"/>
  <c r="BO796" s="1"/>
  <c r="BO872" s="1"/>
  <c r="AD167"/>
  <c r="AE53"/>
  <c r="BQ684"/>
  <c r="AF148"/>
  <c r="BQ627"/>
  <c r="BQ777" s="1"/>
  <c r="BQ860" s="1"/>
  <c r="AI415"/>
  <c r="AI562"/>
  <c r="AI515"/>
  <c r="AI533"/>
  <c r="AI386"/>
  <c r="AI71" s="1"/>
  <c r="AI486"/>
  <c r="AF144"/>
  <c r="BQ594"/>
  <c r="BQ773" s="1"/>
  <c r="BQ856" s="1"/>
  <c r="R152" i="21"/>
  <c r="R156" s="1"/>
  <c r="R157" s="1"/>
  <c r="R158"/>
  <c r="R181" s="1"/>
  <c r="R48"/>
  <c r="R59" s="1"/>
  <c r="BM801" i="20"/>
  <c r="BM871"/>
  <c r="BO639"/>
  <c r="BO797" s="1"/>
  <c r="BO873" s="1"/>
  <c r="AD347"/>
  <c r="AE54"/>
  <c r="AD168"/>
  <c r="AI509"/>
  <c r="AI409"/>
  <c r="AI556"/>
  <c r="DU884"/>
  <c r="AB27" i="19"/>
  <c r="AA20" i="68" s="1"/>
  <c r="AA52" s="1"/>
  <c r="AI497" i="20"/>
  <c r="AI544"/>
  <c r="AI397"/>
  <c r="CY875"/>
  <c r="DC867"/>
  <c r="CY885"/>
  <c r="CY891"/>
  <c r="CY879"/>
  <c r="CY886"/>
  <c r="CY869"/>
  <c r="CY880"/>
  <c r="CY872"/>
  <c r="CY889"/>
  <c r="CY870"/>
  <c r="CY883"/>
  <c r="CY877"/>
  <c r="CY884"/>
  <c r="CY887"/>
  <c r="CY876"/>
  <c r="CY878"/>
  <c r="CY868"/>
  <c r="CY890"/>
  <c r="CY874"/>
  <c r="CY871"/>
  <c r="CY881"/>
  <c r="CY867"/>
  <c r="CY882"/>
  <c r="BO595"/>
  <c r="AD183"/>
  <c r="AE24"/>
  <c r="AD174"/>
  <c r="BO668"/>
  <c r="AE79"/>
  <c r="BR817"/>
  <c r="BR880" s="1"/>
  <c r="BR611"/>
  <c r="J48" i="21"/>
  <c r="J59" s="1"/>
  <c r="J152"/>
  <c r="J156" s="1"/>
  <c r="J157" s="1"/>
  <c r="J158"/>
  <c r="J181" s="1"/>
  <c r="CH886" i="20"/>
  <c r="P32" i="19"/>
  <c r="O25" i="68" s="1"/>
  <c r="O57" s="1"/>
  <c r="G70" i="21"/>
  <c r="G35"/>
  <c r="AE32" i="20"/>
  <c r="BO612"/>
  <c r="AD189"/>
  <c r="AG21"/>
  <c r="BR661"/>
  <c r="BR662" s="1"/>
  <c r="AG44"/>
  <c r="AG40"/>
  <c r="AG23"/>
  <c r="BR673"/>
  <c r="BR807" s="1"/>
  <c r="AG178"/>
  <c r="AF146"/>
  <c r="BQ624"/>
  <c r="BQ775" s="1"/>
  <c r="BQ858" s="1"/>
  <c r="BO656"/>
  <c r="AE68"/>
  <c r="AD425"/>
  <c r="AD78" s="1"/>
  <c r="AE423"/>
  <c r="AI224"/>
  <c r="BT654"/>
  <c r="BO628"/>
  <c r="BO791" s="1"/>
  <c r="BO868" s="1"/>
  <c r="AD162"/>
  <c r="AE45"/>
  <c r="DR870"/>
  <c r="AI503"/>
  <c r="AI403"/>
  <c r="AI550"/>
  <c r="AC165"/>
  <c r="AI417"/>
  <c r="AI517"/>
  <c r="AI564"/>
  <c r="BP765"/>
  <c r="BP767" s="1"/>
  <c r="BP720"/>
  <c r="AE43"/>
  <c r="AD161"/>
  <c r="BO626"/>
  <c r="BO790" s="1"/>
  <c r="BO641"/>
  <c r="AD170"/>
  <c r="AE56"/>
  <c r="N26" i="21"/>
  <c r="N34" s="1"/>
  <c r="N212"/>
  <c r="BN815" i="20"/>
  <c r="BN601"/>
  <c r="BN812"/>
  <c r="BN756"/>
  <c r="BN597"/>
  <c r="BN755"/>
  <c r="AI502"/>
  <c r="AI549"/>
  <c r="AI402"/>
  <c r="BN867"/>
  <c r="O48" i="21"/>
  <c r="O59" s="1"/>
  <c r="O158"/>
  <c r="O181" s="1"/>
  <c r="O152"/>
  <c r="O156" s="1"/>
  <c r="O157" s="1"/>
  <c r="AI395" i="20"/>
  <c r="AI495"/>
  <c r="AI542"/>
  <c r="K26" i="21"/>
  <c r="K34" s="1"/>
  <c r="K212"/>
  <c r="AI551" i="20"/>
  <c r="AI504"/>
  <c r="AI404"/>
  <c r="BR663"/>
  <c r="DP851" s="1"/>
  <c r="DU851" s="1"/>
  <c r="AG46"/>
  <c r="AG41"/>
  <c r="AF163"/>
  <c r="BQ629"/>
  <c r="BQ792" s="1"/>
  <c r="BQ869" s="1"/>
  <c r="BN667"/>
  <c r="BN808" s="1"/>
  <c r="AC179"/>
  <c r="BO630"/>
  <c r="AE47"/>
  <c r="AD164"/>
  <c r="BS606"/>
  <c r="AH187"/>
  <c r="BM870"/>
  <c r="BM794"/>
  <c r="AC180"/>
  <c r="BR707"/>
  <c r="BQ605"/>
  <c r="BQ701" s="1"/>
  <c r="BE739"/>
  <c r="T157"/>
  <c r="E156" i="21"/>
  <c r="G156" s="1"/>
  <c r="BO599" i="20"/>
  <c r="AD186"/>
  <c r="AE27"/>
  <c r="AI508"/>
  <c r="AI555"/>
  <c r="AI408"/>
  <c r="AF93"/>
  <c r="BQ683" s="1"/>
  <c r="AF136"/>
  <c r="AF138" s="1"/>
  <c r="AI407"/>
  <c r="AI28" s="1"/>
  <c r="AI554"/>
  <c r="AI507"/>
  <c r="BN676"/>
  <c r="BN803"/>
  <c r="H152" i="21"/>
  <c r="H156" s="1"/>
  <c r="H157" s="1"/>
  <c r="H158"/>
  <c r="H181" s="1"/>
  <c r="H48"/>
  <c r="H59" s="1"/>
  <c r="CZ876" i="20"/>
  <c r="U21" i="19"/>
  <c r="T14" i="68" s="1"/>
  <c r="T46" s="1"/>
  <c r="AI416" i="20"/>
  <c r="AI516"/>
  <c r="AI563"/>
  <c r="Q212" i="21"/>
  <c r="Q26"/>
  <c r="Q34" s="1"/>
  <c r="BN818" i="20"/>
  <c r="BN881" s="1"/>
  <c r="BN614"/>
  <c r="BP752"/>
  <c r="BP744"/>
  <c r="BP746"/>
  <c r="BN793"/>
  <c r="BN870" s="1"/>
  <c r="BN631"/>
  <c r="AI61"/>
  <c r="BS649"/>
  <c r="AH220"/>
  <c r="AI494"/>
  <c r="AI394"/>
  <c r="AI541"/>
  <c r="DA867"/>
  <c r="DF854"/>
  <c r="W14" i="19"/>
  <c r="V7" i="68" s="1"/>
  <c r="DD854" i="20"/>
  <c r="DI852"/>
  <c r="AG192"/>
  <c r="BR603"/>
  <c r="BR821" s="1"/>
  <c r="BR882" s="1"/>
  <c r="AH29"/>
  <c r="AH276"/>
  <c r="AG305"/>
  <c r="AH278"/>
  <c r="BQ766"/>
  <c r="DM853"/>
  <c r="DR853" s="1"/>
  <c r="BQ824"/>
  <c r="BQ883" s="1"/>
  <c r="AI389"/>
  <c r="AI489"/>
  <c r="AI536"/>
  <c r="DJ900"/>
  <c r="BP729"/>
  <c r="BQ662"/>
  <c r="BQ664" s="1"/>
  <c r="BQ730"/>
  <c r="DM901" s="1"/>
  <c r="BQ726"/>
  <c r="BQ728" s="1"/>
  <c r="DM849"/>
  <c r="DR849" s="1"/>
  <c r="BQ727"/>
  <c r="DM900" s="1"/>
  <c r="AI396"/>
  <c r="AI496"/>
  <c r="AI543"/>
  <c r="BQ758"/>
  <c r="BQ805"/>
  <c r="AI506"/>
  <c r="AI406"/>
  <c r="AI553"/>
  <c r="N48" i="21"/>
  <c r="N59" s="1"/>
  <c r="N158"/>
  <c r="N181" s="1"/>
  <c r="N152"/>
  <c r="N156" s="1"/>
  <c r="N157" s="1"/>
  <c r="BR685" i="20"/>
  <c r="BR811" s="1"/>
  <c r="DP870" s="1"/>
  <c r="AB18" i="19" s="1"/>
  <c r="AA11" i="68" s="1"/>
  <c r="AA43" s="1"/>
  <c r="AD184" i="20"/>
  <c r="BO596"/>
  <c r="BO813" s="1"/>
  <c r="BO878" s="1"/>
  <c r="AE25"/>
  <c r="O212" i="21"/>
  <c r="O26"/>
  <c r="O34" s="1"/>
  <c r="J212"/>
  <c r="J26"/>
  <c r="J34" s="1"/>
  <c r="BR747" i="20"/>
  <c r="BR725"/>
  <c r="BR718"/>
  <c r="BR721"/>
  <c r="BR724"/>
  <c r="DP848"/>
  <c r="BR719"/>
  <c r="BR717"/>
  <c r="BR713"/>
  <c r="BR716"/>
  <c r="BE705"/>
  <c r="BE736"/>
  <c r="BE735"/>
  <c r="BE646"/>
  <c r="BR714"/>
  <c r="BQ743"/>
  <c r="DM896" s="1"/>
  <c r="AI418"/>
  <c r="AI518"/>
  <c r="AI565"/>
  <c r="BM877"/>
  <c r="BM814"/>
  <c r="BO823"/>
  <c r="BO855" s="1"/>
  <c r="BO593"/>
  <c r="BO699" s="1"/>
  <c r="AI159"/>
  <c r="BT788"/>
  <c r="DV884" s="1"/>
  <c r="AD27" i="19" s="1"/>
  <c r="AC20" i="68" s="1"/>
  <c r="AC52" s="1"/>
  <c r="AC172" i="20"/>
  <c r="C390" i="56"/>
  <c r="C29"/>
  <c r="C391" i="57"/>
  <c r="C29"/>
  <c r="C752"/>
  <c r="BF776" i="20"/>
  <c r="CF861"/>
  <c r="CK861" s="1"/>
  <c r="BF652"/>
  <c r="BF655" s="1"/>
  <c r="BF740"/>
  <c r="U151"/>
  <c r="O47" i="16"/>
  <c r="J36"/>
  <c r="J50"/>
  <c r="J29"/>
  <c r="M251"/>
  <c r="M223" s="1"/>
  <c r="M35" s="1"/>
  <c r="M305"/>
  <c r="M278"/>
  <c r="AD263" i="20" l="1"/>
  <c r="AF261" s="1"/>
  <c r="AD190"/>
  <c r="D12" i="66"/>
  <c r="D37" s="1"/>
  <c r="D12" i="67"/>
  <c r="D37" s="1"/>
  <c r="V39" i="68"/>
  <c r="C13" i="66"/>
  <c r="C38" s="1"/>
  <c r="C13" i="67"/>
  <c r="C38" s="1"/>
  <c r="D45"/>
  <c r="D17"/>
  <c r="C52" s="1"/>
  <c r="D15"/>
  <c r="C53" s="1"/>
  <c r="D45" i="66"/>
  <c r="D15"/>
  <c r="D17"/>
  <c r="C51" s="1"/>
  <c r="BF679" i="20"/>
  <c r="DA874"/>
  <c r="DF874" s="1"/>
  <c r="V63"/>
  <c r="BG651" s="1"/>
  <c r="V62"/>
  <c r="BG650" s="1"/>
  <c r="U67"/>
  <c r="AC191"/>
  <c r="BQ838"/>
  <c r="DD856"/>
  <c r="DI856" s="1"/>
  <c r="BE840"/>
  <c r="BE842" s="1"/>
  <c r="K211" i="21"/>
  <c r="K213" s="1"/>
  <c r="AG136" i="20"/>
  <c r="AG138" s="1"/>
  <c r="DC876"/>
  <c r="BR746"/>
  <c r="BR744"/>
  <c r="BR752"/>
  <c r="AH221"/>
  <c r="AH230" s="1"/>
  <c r="AH207" s="1"/>
  <c r="AH209" s="1"/>
  <c r="DA876"/>
  <c r="DF876" s="1"/>
  <c r="BN809"/>
  <c r="P211" i="21"/>
  <c r="P213" s="1"/>
  <c r="O211"/>
  <c r="O213" s="1"/>
  <c r="BR664" i="20"/>
  <c r="BR765" s="1"/>
  <c r="BM820"/>
  <c r="Q211" i="21"/>
  <c r="Q213" s="1"/>
  <c r="H211"/>
  <c r="H213" s="1"/>
  <c r="BR836" i="20"/>
  <c r="BR894" s="1"/>
  <c r="M211" i="21"/>
  <c r="M213" s="1"/>
  <c r="BQ729" i="20"/>
  <c r="R211" i="21"/>
  <c r="R213" s="1"/>
  <c r="L211"/>
  <c r="L213" s="1"/>
  <c r="AI92" i="20"/>
  <c r="BS682"/>
  <c r="BS817" s="1"/>
  <c r="BS880" s="1"/>
  <c r="AH188"/>
  <c r="AI90"/>
  <c r="AI195" s="1"/>
  <c r="DP899"/>
  <c r="BO631"/>
  <c r="BO793"/>
  <c r="BO870" s="1"/>
  <c r="BR627"/>
  <c r="BR777" s="1"/>
  <c r="BR860" s="1"/>
  <c r="AG148"/>
  <c r="BS671"/>
  <c r="AH176"/>
  <c r="BO638"/>
  <c r="BO795"/>
  <c r="W19" i="19"/>
  <c r="V12" i="68" s="1"/>
  <c r="V44" s="1"/>
  <c r="DF871" i="20"/>
  <c r="DX884"/>
  <c r="AC27" i="19"/>
  <c r="AB20" i="68" s="1"/>
  <c r="AB52" s="1"/>
  <c r="BT606" i="20"/>
  <c r="AH94"/>
  <c r="BS603"/>
  <c r="BS821" s="1"/>
  <c r="BS882" s="1"/>
  <c r="AH192"/>
  <c r="AI29"/>
  <c r="AE164"/>
  <c r="AF47"/>
  <c r="BP630"/>
  <c r="N35" i="21"/>
  <c r="N70"/>
  <c r="BO667" i="20"/>
  <c r="BO808" s="1"/>
  <c r="AD179"/>
  <c r="AD180" s="1"/>
  <c r="AG145"/>
  <c r="BR623"/>
  <c r="BR774" s="1"/>
  <c r="BR857" s="1"/>
  <c r="BO755"/>
  <c r="BO812"/>
  <c r="BO756"/>
  <c r="BO597"/>
  <c r="CK880"/>
  <c r="P24" i="19"/>
  <c r="AE169" i="20"/>
  <c r="AF55"/>
  <c r="BP640"/>
  <c r="BP798" s="1"/>
  <c r="BP874" s="1"/>
  <c r="I70" i="21"/>
  <c r="I35"/>
  <c r="BS707" i="20"/>
  <c r="DM850"/>
  <c r="I211" i="21"/>
  <c r="I213" s="1"/>
  <c r="AD172" i="20"/>
  <c r="AF56"/>
  <c r="BP641"/>
  <c r="AE170"/>
  <c r="BP656"/>
  <c r="AF68"/>
  <c r="BP596"/>
  <c r="BP813" s="1"/>
  <c r="BP878" s="1"/>
  <c r="AE184"/>
  <c r="AF25"/>
  <c r="AI278"/>
  <c r="AH305"/>
  <c r="AI276"/>
  <c r="AI305" s="1"/>
  <c r="DB871"/>
  <c r="DB876"/>
  <c r="DB886"/>
  <c r="DB868"/>
  <c r="DB891"/>
  <c r="DB875"/>
  <c r="DB874"/>
  <c r="DB879"/>
  <c r="DB884"/>
  <c r="DB890"/>
  <c r="DB869"/>
  <c r="DB885"/>
  <c r="DB872"/>
  <c r="DB883"/>
  <c r="DB889"/>
  <c r="DB887"/>
  <c r="DB882"/>
  <c r="DF867"/>
  <c r="DB878"/>
  <c r="DB880"/>
  <c r="DB867"/>
  <c r="DB877"/>
  <c r="DB870"/>
  <c r="DB881"/>
  <c r="BR629"/>
  <c r="BR792" s="1"/>
  <c r="BR869" s="1"/>
  <c r="AG163"/>
  <c r="AE425"/>
  <c r="AE78" s="1"/>
  <c r="AF423"/>
  <c r="AG144"/>
  <c r="BR594"/>
  <c r="BR773" s="1"/>
  <c r="BR856" s="1"/>
  <c r="AI219"/>
  <c r="BT648"/>
  <c r="AF153"/>
  <c r="AE153"/>
  <c r="AD153"/>
  <c r="BO782"/>
  <c r="DG882" s="1"/>
  <c r="DL882" s="1"/>
  <c r="AG153"/>
  <c r="AI153"/>
  <c r="AH153"/>
  <c r="R70" i="21"/>
  <c r="R35"/>
  <c r="BS673" i="20"/>
  <c r="BS807" s="1"/>
  <c r="AH178"/>
  <c r="P70" i="21"/>
  <c r="P35"/>
  <c r="BP825" i="20"/>
  <c r="BP839" s="1"/>
  <c r="BP855"/>
  <c r="BN871"/>
  <c r="BN801"/>
  <c r="L35" i="21"/>
  <c r="L70"/>
  <c r="J211"/>
  <c r="J213" s="1"/>
  <c r="AD185" i="20"/>
  <c r="BO825"/>
  <c r="BO839" s="1"/>
  <c r="BS816"/>
  <c r="BS879" s="1"/>
  <c r="BS608"/>
  <c r="DD871"/>
  <c r="BN819"/>
  <c r="AF32"/>
  <c r="BP612"/>
  <c r="AE189"/>
  <c r="BE617"/>
  <c r="BE750" s="1"/>
  <c r="BE751"/>
  <c r="BE703"/>
  <c r="BR805"/>
  <c r="BR758"/>
  <c r="BR824"/>
  <c r="BR883" s="1"/>
  <c r="DP853"/>
  <c r="DU853" s="1"/>
  <c r="BR766"/>
  <c r="T211"/>
  <c r="E157" i="21"/>
  <c r="G157" s="1"/>
  <c r="AE161" i="20"/>
  <c r="AF43"/>
  <c r="BP626"/>
  <c r="BP790" s="1"/>
  <c r="O34" i="19"/>
  <c r="CH891" i="20"/>
  <c r="M35" i="21"/>
  <c r="M70"/>
  <c r="DQ862" i="20"/>
  <c r="DQ848"/>
  <c r="DQ861"/>
  <c r="DQ851"/>
  <c r="AB12" i="19"/>
  <c r="AA5" i="68" s="1"/>
  <c r="AA37" s="1"/>
  <c r="DQ860" i="20"/>
  <c r="DQ850"/>
  <c r="DQ849"/>
  <c r="DQ852"/>
  <c r="DQ857"/>
  <c r="DQ853"/>
  <c r="DU848"/>
  <c r="AC13" i="19" s="1"/>
  <c r="AB6" i="68" s="1"/>
  <c r="AB38" s="1"/>
  <c r="DQ854" i="20"/>
  <c r="DQ858"/>
  <c r="DQ856"/>
  <c r="O35" i="21"/>
  <c r="O70"/>
  <c r="AI220" i="20"/>
  <c r="BT649"/>
  <c r="Q70" i="21"/>
  <c r="Q35"/>
  <c r="K35"/>
  <c r="K70"/>
  <c r="BO614" i="20"/>
  <c r="BO818"/>
  <c r="BO881" s="1"/>
  <c r="AI86"/>
  <c r="BT675" s="1"/>
  <c r="AI81"/>
  <c r="AI72"/>
  <c r="AI84"/>
  <c r="AI85"/>
  <c r="BT674" s="1"/>
  <c r="BT660"/>
  <c r="AI42"/>
  <c r="BT625" s="1"/>
  <c r="AI83"/>
  <c r="AI74"/>
  <c r="AI923"/>
  <c r="AI82"/>
  <c r="AI19"/>
  <c r="AF53"/>
  <c r="AE167"/>
  <c r="BP637"/>
  <c r="BP796" s="1"/>
  <c r="BP872" s="1"/>
  <c r="AC37"/>
  <c r="BN620" s="1"/>
  <c r="BS663"/>
  <c r="DS851" s="1"/>
  <c r="DX851" s="1"/>
  <c r="AH41"/>
  <c r="AH46"/>
  <c r="AH195"/>
  <c r="BS680"/>
  <c r="AH137"/>
  <c r="AE265"/>
  <c r="BE658"/>
  <c r="N211" i="21"/>
  <c r="N213" s="1"/>
  <c r="BN794" i="20"/>
  <c r="AD165"/>
  <c r="BM896"/>
  <c r="AI91"/>
  <c r="BT681" s="1"/>
  <c r="BQ746"/>
  <c r="BQ744"/>
  <c r="BQ752"/>
  <c r="BR624"/>
  <c r="BR775" s="1"/>
  <c r="BR858" s="1"/>
  <c r="AG146"/>
  <c r="AE183"/>
  <c r="AF24"/>
  <c r="BP595"/>
  <c r="AH175"/>
  <c r="BS670"/>
  <c r="BS804" s="1"/>
  <c r="DU870"/>
  <c r="BQ720"/>
  <c r="BQ765"/>
  <c r="BQ767" s="1"/>
  <c r="DD867"/>
  <c r="DI854"/>
  <c r="X14" i="19"/>
  <c r="W7" i="68" s="1"/>
  <c r="AI95" i="20"/>
  <c r="AI182" s="1"/>
  <c r="BT602"/>
  <c r="BO815"/>
  <c r="BO601"/>
  <c r="BN814"/>
  <c r="BN877"/>
  <c r="BO867"/>
  <c r="BO676"/>
  <c r="BO803"/>
  <c r="BO809" s="1"/>
  <c r="CC885"/>
  <c r="CC894"/>
  <c r="CH881"/>
  <c r="O25" i="19"/>
  <c r="N18" i="68" s="1"/>
  <c r="AB58" i="20"/>
  <c r="BM633"/>
  <c r="AG193"/>
  <c r="BR588"/>
  <c r="BQ822"/>
  <c r="BQ589"/>
  <c r="BQ698" s="1"/>
  <c r="BS725"/>
  <c r="BS721"/>
  <c r="BS718"/>
  <c r="BS716"/>
  <c r="BS719"/>
  <c r="BS717"/>
  <c r="BS747"/>
  <c r="BS724"/>
  <c r="BS713"/>
  <c r="DS848"/>
  <c r="DO850"/>
  <c r="DJ852"/>
  <c r="O26" i="19"/>
  <c r="N19" i="68" s="1"/>
  <c r="N51" s="1"/>
  <c r="CH883" i="20"/>
  <c r="AD50"/>
  <c r="BO634" s="1"/>
  <c r="BP593"/>
  <c r="BP699" s="1"/>
  <c r="BO644"/>
  <c r="BO799"/>
  <c r="BO875" s="1"/>
  <c r="AG143"/>
  <c r="AG22"/>
  <c r="BR590"/>
  <c r="BR772" s="1"/>
  <c r="BR854" s="1"/>
  <c r="BP668"/>
  <c r="AE174"/>
  <c r="AF79"/>
  <c r="AF80"/>
  <c r="BP669"/>
  <c r="DJ857" s="1"/>
  <c r="AD250"/>
  <c r="AD37" s="1"/>
  <c r="BO620" s="1"/>
  <c r="AC49"/>
  <c r="AD253"/>
  <c r="AE249"/>
  <c r="BP782" s="1"/>
  <c r="DJ882" s="1"/>
  <c r="DO882" s="1"/>
  <c r="DG854"/>
  <c r="DL852"/>
  <c r="AH73"/>
  <c r="AH75" s="1"/>
  <c r="BS661"/>
  <c r="AH44"/>
  <c r="AH40"/>
  <c r="AH23"/>
  <c r="AH21"/>
  <c r="BS587"/>
  <c r="AH142"/>
  <c r="AH20"/>
  <c r="BQ591"/>
  <c r="AF194"/>
  <c r="AF196" s="1"/>
  <c r="AF210" s="1"/>
  <c r="BP642"/>
  <c r="BP800" s="1"/>
  <c r="BP876" s="1"/>
  <c r="AE171"/>
  <c r="AF57"/>
  <c r="BS685"/>
  <c r="BS811" s="1"/>
  <c r="DS870" s="1"/>
  <c r="AC18" i="19" s="1"/>
  <c r="AB11" i="68" s="1"/>
  <c r="AB43" s="1"/>
  <c r="BR684" i="20"/>
  <c r="J35" i="21"/>
  <c r="J70"/>
  <c r="BR743" i="20"/>
  <c r="DP896" s="1"/>
  <c r="BS714"/>
  <c r="AF27"/>
  <c r="AE186"/>
  <c r="BP599"/>
  <c r="AE162"/>
  <c r="AF45"/>
  <c r="BP628"/>
  <c r="BP791" s="1"/>
  <c r="BP868" s="1"/>
  <c r="DP849"/>
  <c r="BR726"/>
  <c r="BR728" s="1"/>
  <c r="BR727"/>
  <c r="DP900" s="1"/>
  <c r="BR730"/>
  <c r="DP901" s="1"/>
  <c r="AE347"/>
  <c r="AE168"/>
  <c r="AF54"/>
  <c r="BP639"/>
  <c r="BP797" s="1"/>
  <c r="BP873" s="1"/>
  <c r="DG875"/>
  <c r="DL875" s="1"/>
  <c r="DL857"/>
  <c r="CF895"/>
  <c r="CK858"/>
  <c r="CF860"/>
  <c r="CK860" s="1"/>
  <c r="AH177"/>
  <c r="BS672"/>
  <c r="BS806" s="1"/>
  <c r="BP636"/>
  <c r="AE166"/>
  <c r="AF52"/>
  <c r="H70" i="21"/>
  <c r="H35"/>
  <c r="BT653" i="20"/>
  <c r="AI228"/>
  <c r="BR605"/>
  <c r="BR701" s="1"/>
  <c r="C391" i="56"/>
  <c r="C30"/>
  <c r="C392" i="57"/>
  <c r="C30"/>
  <c r="C753"/>
  <c r="U36" i="20"/>
  <c r="U18"/>
  <c r="BF708"/>
  <c r="BF709"/>
  <c r="BF710" s="1"/>
  <c r="BF745"/>
  <c r="CF897" s="1"/>
  <c r="BF778"/>
  <c r="BF779" s="1"/>
  <c r="BF859"/>
  <c r="BF861" s="1"/>
  <c r="Q17" i="19"/>
  <c r="CN868" i="20"/>
  <c r="O36" i="16"/>
  <c r="R109" i="19"/>
  <c r="J40" i="16"/>
  <c r="R117" i="19"/>
  <c r="O50" i="16"/>
  <c r="J59"/>
  <c r="R118" i="19" s="1"/>
  <c r="J58" i="16"/>
  <c r="R119" i="19" s="1"/>
  <c r="O29" i="16"/>
  <c r="R110" i="19"/>
  <c r="J33" i="16"/>
  <c r="R35"/>
  <c r="S108" i="19"/>
  <c r="M55" i="16"/>
  <c r="AD191" i="20" l="1"/>
  <c r="AE262"/>
  <c r="AE263" s="1"/>
  <c r="AE50" s="1"/>
  <c r="BP634" s="1"/>
  <c r="V222"/>
  <c r="AE185"/>
  <c r="D21" i="67"/>
  <c r="D21" i="66"/>
  <c r="O35" i="19"/>
  <c r="N27" i="68"/>
  <c r="P36" i="19"/>
  <c r="O17" i="68"/>
  <c r="D40" i="67"/>
  <c r="D42"/>
  <c r="N21" i="68"/>
  <c r="N24" s="1"/>
  <c r="N26" s="1"/>
  <c r="AE190" i="20"/>
  <c r="D40" i="66"/>
  <c r="D42"/>
  <c r="CK65" i="19"/>
  <c r="P10" i="68"/>
  <c r="P42" s="1"/>
  <c r="C52" i="66"/>
  <c r="O63" i="68"/>
  <c r="W39"/>
  <c r="D14" i="66"/>
  <c r="D39" s="1"/>
  <c r="D14" i="67"/>
  <c r="D39" s="1"/>
  <c r="N50" i="68"/>
  <c r="N53" s="1"/>
  <c r="N56" s="1"/>
  <c r="N58" s="1"/>
  <c r="N30"/>
  <c r="N62" s="1"/>
  <c r="BS605" i="20"/>
  <c r="BS701" s="1"/>
  <c r="BN820"/>
  <c r="V229"/>
  <c r="V223"/>
  <c r="W22" i="19"/>
  <c r="V15" i="68" s="1"/>
  <c r="V47" s="1"/>
  <c r="BT680" i="20"/>
  <c r="BT824" s="1"/>
  <c r="BT883" s="1"/>
  <c r="DG856"/>
  <c r="DL856" s="1"/>
  <c r="DD874"/>
  <c r="DI874" s="1"/>
  <c r="W21" i="19"/>
  <c r="V14" i="68" s="1"/>
  <c r="V46" s="1"/>
  <c r="CF862" i="20"/>
  <c r="CK862" s="1"/>
  <c r="AI221"/>
  <c r="AI230" s="1"/>
  <c r="AI207" s="1"/>
  <c r="AI209" s="1"/>
  <c r="BR838"/>
  <c r="BR767"/>
  <c r="BR720"/>
  <c r="BS684"/>
  <c r="BS836"/>
  <c r="BS838" s="1"/>
  <c r="BN896"/>
  <c r="BO794"/>
  <c r="BT682"/>
  <c r="BT817" s="1"/>
  <c r="BT880" s="1"/>
  <c r="AI188"/>
  <c r="BS588"/>
  <c r="BS822" s="1"/>
  <c r="BS853" s="1"/>
  <c r="AH193"/>
  <c r="AH93"/>
  <c r="BS683" s="1"/>
  <c r="AH136"/>
  <c r="AH138" s="1"/>
  <c r="BQ669"/>
  <c r="DM857" s="1"/>
  <c r="AG80"/>
  <c r="BS743"/>
  <c r="DS896" s="1"/>
  <c r="BT714"/>
  <c r="CI70" i="19"/>
  <c r="CI77" s="1"/>
  <c r="O37"/>
  <c r="AI47" s="1"/>
  <c r="O28"/>
  <c r="O31" s="1"/>
  <c r="O33" s="1"/>
  <c r="BP597" i="20"/>
  <c r="BP812"/>
  <c r="BP755"/>
  <c r="BP756"/>
  <c r="BT670"/>
  <c r="BT804" s="1"/>
  <c r="AI175"/>
  <c r="BQ626"/>
  <c r="BQ790" s="1"/>
  <c r="AF161"/>
  <c r="AG43"/>
  <c r="BP614"/>
  <c r="BP818"/>
  <c r="BP881" s="1"/>
  <c r="BP799"/>
  <c r="BP875" s="1"/>
  <c r="BP644"/>
  <c r="BO877"/>
  <c r="BO814"/>
  <c r="BP631"/>
  <c r="BP793"/>
  <c r="BP870" s="1"/>
  <c r="BS758"/>
  <c r="BS805"/>
  <c r="BP815"/>
  <c r="BP601"/>
  <c r="BQ823"/>
  <c r="BQ855" s="1"/>
  <c r="BQ593"/>
  <c r="BQ699" s="1"/>
  <c r="BS730"/>
  <c r="DS901" s="1"/>
  <c r="BS727"/>
  <c r="DS900" s="1"/>
  <c r="DS849"/>
  <c r="BS726"/>
  <c r="BS728" s="1"/>
  <c r="DO857"/>
  <c r="DJ875"/>
  <c r="DO875" s="1"/>
  <c r="DT853"/>
  <c r="DT849"/>
  <c r="DT857"/>
  <c r="DT854"/>
  <c r="AC15" i="19" s="1"/>
  <c r="AB8" i="68" s="1"/>
  <c r="AB40" s="1"/>
  <c r="DT848" i="20"/>
  <c r="DT850"/>
  <c r="DT860"/>
  <c r="DT852"/>
  <c r="AC12" i="19"/>
  <c r="AB5" i="68" s="1"/>
  <c r="AB37" s="1"/>
  <c r="DT858" i="20"/>
  <c r="DT862"/>
  <c r="DX848"/>
  <c r="AD13" i="19" s="1"/>
  <c r="AC6" i="68" s="1"/>
  <c r="AC38" s="1"/>
  <c r="DT851" i="20"/>
  <c r="DT856"/>
  <c r="DT861"/>
  <c r="AH146"/>
  <c r="BS624"/>
  <c r="BS775" s="1"/>
  <c r="BS858" s="1"/>
  <c r="AI176"/>
  <c r="BT671"/>
  <c r="AI73"/>
  <c r="AI75" s="1"/>
  <c r="AI40"/>
  <c r="AI23"/>
  <c r="AI21"/>
  <c r="AI44"/>
  <c r="BT661"/>
  <c r="BT662" s="1"/>
  <c r="BP867"/>
  <c r="BT816"/>
  <c r="BT879" s="1"/>
  <c r="BT608"/>
  <c r="AI187"/>
  <c r="BR729"/>
  <c r="AG52"/>
  <c r="AF166"/>
  <c r="BQ636"/>
  <c r="AH163"/>
  <c r="BS629"/>
  <c r="BS792" s="1"/>
  <c r="BS869" s="1"/>
  <c r="AI137"/>
  <c r="BS627"/>
  <c r="BS777" s="1"/>
  <c r="BS860" s="1"/>
  <c r="AH148"/>
  <c r="DA890"/>
  <c r="DF890" s="1"/>
  <c r="BM645"/>
  <c r="BM706" s="1"/>
  <c r="BT587"/>
  <c r="BT771" s="1"/>
  <c r="BT852" s="1"/>
  <c r="AI20"/>
  <c r="AI142"/>
  <c r="BT673"/>
  <c r="BT807" s="1"/>
  <c r="AI178"/>
  <c r="BQ639"/>
  <c r="BQ797" s="1"/>
  <c r="BQ873" s="1"/>
  <c r="AG54"/>
  <c r="AF168"/>
  <c r="AF347"/>
  <c r="BQ628"/>
  <c r="BQ791" s="1"/>
  <c r="BQ868" s="1"/>
  <c r="AF162"/>
  <c r="AG45"/>
  <c r="AH145"/>
  <c r="BS623"/>
  <c r="BS774" s="1"/>
  <c r="BS857" s="1"/>
  <c r="AC58"/>
  <c r="BN633"/>
  <c r="BN645" s="1"/>
  <c r="BN706" s="1"/>
  <c r="BR591"/>
  <c r="BR823" s="1"/>
  <c r="BR855" s="1"/>
  <c r="AG194"/>
  <c r="AG196" s="1"/>
  <c r="AG210" s="1"/>
  <c r="DJ854"/>
  <c r="DO852"/>
  <c r="BT685"/>
  <c r="BT811" s="1"/>
  <c r="DV870" s="1"/>
  <c r="AD18" i="19" s="1"/>
  <c r="AC11" i="68" s="1"/>
  <c r="AC43" s="1"/>
  <c r="AF167" i="20"/>
  <c r="BQ637"/>
  <c r="BQ796" s="1"/>
  <c r="BQ872" s="1"/>
  <c r="AG53"/>
  <c r="G83" i="22"/>
  <c r="CC898" i="20"/>
  <c r="AG68"/>
  <c r="BQ656"/>
  <c r="BO871"/>
  <c r="BO801"/>
  <c r="BS766"/>
  <c r="DS853"/>
  <c r="DX853" s="1"/>
  <c r="BS824"/>
  <c r="BS883" s="1"/>
  <c r="BT707"/>
  <c r="BP795"/>
  <c r="BP638"/>
  <c r="BS594"/>
  <c r="BS773" s="1"/>
  <c r="BS856" s="1"/>
  <c r="AH144"/>
  <c r="BR822"/>
  <c r="BR589"/>
  <c r="BR698" s="1"/>
  <c r="DG871"/>
  <c r="BO819"/>
  <c r="BT717"/>
  <c r="BT725"/>
  <c r="DV899" s="1"/>
  <c r="BT724"/>
  <c r="BT721"/>
  <c r="DV848"/>
  <c r="BT747"/>
  <c r="BT719"/>
  <c r="BT716"/>
  <c r="BT718"/>
  <c r="BT713"/>
  <c r="BT743" s="1"/>
  <c r="DV896" s="1"/>
  <c r="BP667"/>
  <c r="BP808" s="1"/>
  <c r="AE179"/>
  <c r="AE180" s="1"/>
  <c r="DM852"/>
  <c r="DR850"/>
  <c r="DU849"/>
  <c r="DP850"/>
  <c r="AG57"/>
  <c r="BQ642"/>
  <c r="BQ800" s="1"/>
  <c r="BQ876" s="1"/>
  <c r="AF171"/>
  <c r="BS590"/>
  <c r="BS772" s="1"/>
  <c r="BS854" s="1"/>
  <c r="AH22"/>
  <c r="AH143"/>
  <c r="BP803"/>
  <c r="BP676"/>
  <c r="BQ853"/>
  <c r="CC887"/>
  <c r="CH885"/>
  <c r="E211" i="21"/>
  <c r="G211" s="1"/>
  <c r="T213" i="20"/>
  <c r="E213" i="21" s="1"/>
  <c r="G213" s="1"/>
  <c r="X19" i="19"/>
  <c r="W12" i="68" s="1"/>
  <c r="W44" s="1"/>
  <c r="DI871" i="20"/>
  <c r="AF425"/>
  <c r="AF78" s="1"/>
  <c r="AG423"/>
  <c r="AI94"/>
  <c r="AI192"/>
  <c r="BT603"/>
  <c r="BT821" s="1"/>
  <c r="BT882" s="1"/>
  <c r="AE172"/>
  <c r="BS662"/>
  <c r="BS664" s="1"/>
  <c r="DD876"/>
  <c r="DX870"/>
  <c r="BS771"/>
  <c r="BS852" s="1"/>
  <c r="DL854"/>
  <c r="Y14" i="19"/>
  <c r="X7" i="68" s="1"/>
  <c r="DG867" i="20"/>
  <c r="BT672"/>
  <c r="BT806" s="1"/>
  <c r="AI177"/>
  <c r="AF184"/>
  <c r="BQ596"/>
  <c r="BQ813" s="1"/>
  <c r="BQ878" s="1"/>
  <c r="AG25"/>
  <c r="AF169"/>
  <c r="AG55"/>
  <c r="BQ640"/>
  <c r="BQ798" s="1"/>
  <c r="BQ874" s="1"/>
  <c r="AF186"/>
  <c r="AG27"/>
  <c r="BQ599"/>
  <c r="BQ668"/>
  <c r="AG79"/>
  <c r="AF174"/>
  <c r="DS899"/>
  <c r="DE883"/>
  <c r="DE868"/>
  <c r="DE878"/>
  <c r="DE891"/>
  <c r="DE869"/>
  <c r="DE875"/>
  <c r="DE882"/>
  <c r="DE889"/>
  <c r="DE887"/>
  <c r="DE880"/>
  <c r="DE885"/>
  <c r="DE870"/>
  <c r="DE871"/>
  <c r="DE876"/>
  <c r="DI867"/>
  <c r="DE867"/>
  <c r="DE884"/>
  <c r="DE877"/>
  <c r="DE886"/>
  <c r="DE872"/>
  <c r="DE890"/>
  <c r="DE881"/>
  <c r="DE874"/>
  <c r="DE879"/>
  <c r="BQ595"/>
  <c r="AF183"/>
  <c r="AG24"/>
  <c r="AI41"/>
  <c r="BT663"/>
  <c r="DV851" s="1"/>
  <c r="AI46"/>
  <c r="BQ612"/>
  <c r="AF189"/>
  <c r="AG32"/>
  <c r="AF170"/>
  <c r="BQ641"/>
  <c r="AG56"/>
  <c r="BQ630"/>
  <c r="AG47"/>
  <c r="AF164"/>
  <c r="AD251"/>
  <c r="AE165"/>
  <c r="C392" i="56"/>
  <c r="C31"/>
  <c r="C393" i="57"/>
  <c r="C31"/>
  <c r="C754"/>
  <c r="U212" i="20"/>
  <c r="U26"/>
  <c r="U34" s="1"/>
  <c r="BF586"/>
  <c r="BF738"/>
  <c r="CF869"/>
  <c r="BF780"/>
  <c r="BF749"/>
  <c r="BF748"/>
  <c r="V537"/>
  <c r="V490"/>
  <c r="BF619"/>
  <c r="U48"/>
  <c r="U59" s="1"/>
  <c r="U152"/>
  <c r="U156" s="1"/>
  <c r="U158"/>
  <c r="U181" s="1"/>
  <c r="V443"/>
  <c r="V390" s="1"/>
  <c r="V76" s="1"/>
  <c r="R112" i="19"/>
  <c r="R114" s="1"/>
  <c r="R116" s="1"/>
  <c r="S115" s="1"/>
  <c r="O33" i="16"/>
  <c r="J41"/>
  <c r="O40"/>
  <c r="J56"/>
  <c r="R120" i="19" s="1"/>
  <c r="AG261" i="20" l="1"/>
  <c r="AF262"/>
  <c r="AF263" s="1"/>
  <c r="AE38"/>
  <c r="BP621" s="1"/>
  <c r="AF265"/>
  <c r="V227"/>
  <c r="AE191"/>
  <c r="DG874"/>
  <c r="DL874" s="1"/>
  <c r="D16" i="67"/>
  <c r="D46"/>
  <c r="D24"/>
  <c r="DV853" i="20"/>
  <c r="D46" i="66"/>
  <c r="D41" s="1"/>
  <c r="D16"/>
  <c r="D24"/>
  <c r="N59" i="68"/>
  <c r="N28"/>
  <c r="N60" s="1"/>
  <c r="BQ825" i="20"/>
  <c r="BQ839" s="1"/>
  <c r="X39" i="68"/>
  <c r="O49"/>
  <c r="O29"/>
  <c r="O61" s="1"/>
  <c r="V231" i="20"/>
  <c r="V232" s="1"/>
  <c r="V173" s="1"/>
  <c r="BT836"/>
  <c r="BT894" s="1"/>
  <c r="BS894"/>
  <c r="X22" i="19"/>
  <c r="W15" i="68" s="1"/>
  <c r="W47" s="1"/>
  <c r="DG876" i="20"/>
  <c r="DL876" s="1"/>
  <c r="BP794"/>
  <c r="BO896"/>
  <c r="AF185"/>
  <c r="BT766"/>
  <c r="BS589"/>
  <c r="BS698" s="1"/>
  <c r="BS729"/>
  <c r="DD890"/>
  <c r="DI890" s="1"/>
  <c r="BT684"/>
  <c r="BT623"/>
  <c r="BT774" s="1"/>
  <c r="BT857" s="1"/>
  <c r="AI145"/>
  <c r="BR599"/>
  <c r="AG186"/>
  <c r="AH27"/>
  <c r="BS591"/>
  <c r="BS823" s="1"/>
  <c r="BS855" s="1"/>
  <c r="AH194"/>
  <c r="AH196" s="1"/>
  <c r="AH210" s="1"/>
  <c r="DR852"/>
  <c r="DM854"/>
  <c r="DW858"/>
  <c r="DW854"/>
  <c r="AD15" i="19" s="1"/>
  <c r="AC8" i="68" s="1"/>
  <c r="AC40" s="1"/>
  <c r="DW848" i="20"/>
  <c r="DW856"/>
  <c r="AD12" i="19"/>
  <c r="AC5" i="68" s="1"/>
  <c r="AC37" s="1"/>
  <c r="DW852" i="20"/>
  <c r="DW862"/>
  <c r="DW857"/>
  <c r="DW850"/>
  <c r="DW853"/>
  <c r="DW849"/>
  <c r="DW860"/>
  <c r="DW851"/>
  <c r="DW861"/>
  <c r="BR853"/>
  <c r="BR825"/>
  <c r="BR839" s="1"/>
  <c r="DJ867"/>
  <c r="DO854"/>
  <c r="AB15" i="19" s="1"/>
  <c r="AA8" i="68" s="1"/>
  <c r="AA40" s="1"/>
  <c r="Z14" i="19"/>
  <c r="Y7" i="68" s="1"/>
  <c r="BR636" i="20"/>
  <c r="AG166"/>
  <c r="AH52"/>
  <c r="BT590"/>
  <c r="BT772" s="1"/>
  <c r="BT854" s="1"/>
  <c r="AI22"/>
  <c r="AI143"/>
  <c r="BP819"/>
  <c r="DJ871"/>
  <c r="BQ799"/>
  <c r="BQ875" s="1"/>
  <c r="BQ644"/>
  <c r="AG183"/>
  <c r="AH24"/>
  <c r="BR595"/>
  <c r="BQ815"/>
  <c r="BQ601"/>
  <c r="AH25"/>
  <c r="BR596"/>
  <c r="BR813" s="1"/>
  <c r="BR878" s="1"/>
  <c r="AG184"/>
  <c r="AG162"/>
  <c r="BR628"/>
  <c r="BR791" s="1"/>
  <c r="BR868" s="1"/>
  <c r="AH45"/>
  <c r="BT627"/>
  <c r="BT777" s="1"/>
  <c r="BT860" s="1"/>
  <c r="AI148"/>
  <c r="AF172"/>
  <c r="AD49"/>
  <c r="AE253"/>
  <c r="AE250"/>
  <c r="AE37" s="1"/>
  <c r="BP620" s="1"/>
  <c r="AF249"/>
  <c r="BQ782" s="1"/>
  <c r="DM882" s="1"/>
  <c r="DR882" s="1"/>
  <c r="DX849"/>
  <c r="DS850"/>
  <c r="BR641"/>
  <c r="AG170"/>
  <c r="AH56"/>
  <c r="AI146"/>
  <c r="BT624"/>
  <c r="BT775" s="1"/>
  <c r="BT858" s="1"/>
  <c r="BQ803"/>
  <c r="BQ676"/>
  <c r="Y19" i="19"/>
  <c r="X12" i="68" s="1"/>
  <c r="X44" s="1"/>
  <c r="DL871" i="20"/>
  <c r="AH68"/>
  <c r="BR656"/>
  <c r="BQ638"/>
  <c r="BQ795"/>
  <c r="BT730"/>
  <c r="DV901" s="1"/>
  <c r="BT726"/>
  <c r="BT728" s="1"/>
  <c r="DV849"/>
  <c r="DV850" s="1"/>
  <c r="DV852" s="1"/>
  <c r="BT727"/>
  <c r="CI79" i="19"/>
  <c r="O39"/>
  <c r="BT664" i="20"/>
  <c r="DJ856"/>
  <c r="AH423"/>
  <c r="AG425"/>
  <c r="AG78" s="1"/>
  <c r="BQ631"/>
  <c r="BQ793"/>
  <c r="BQ870" s="1"/>
  <c r="AG169"/>
  <c r="AH55"/>
  <c r="BR640"/>
  <c r="BR798" s="1"/>
  <c r="BR874" s="1"/>
  <c r="DU850"/>
  <c r="DP852"/>
  <c r="BQ867"/>
  <c r="AG164"/>
  <c r="AH47"/>
  <c r="BR630"/>
  <c r="AI163"/>
  <c r="BT629"/>
  <c r="BT792" s="1"/>
  <c r="BT869" s="1"/>
  <c r="DH883"/>
  <c r="DH886"/>
  <c r="DH867"/>
  <c r="DH878"/>
  <c r="DH887"/>
  <c r="DH874"/>
  <c r="DH884"/>
  <c r="DH870"/>
  <c r="DH875"/>
  <c r="DH881"/>
  <c r="DL867"/>
  <c r="DH891"/>
  <c r="DH871"/>
  <c r="DH890"/>
  <c r="DH876"/>
  <c r="DH868"/>
  <c r="DH885"/>
  <c r="DH889"/>
  <c r="DH877"/>
  <c r="DH879"/>
  <c r="DH882"/>
  <c r="DH872"/>
  <c r="DH869"/>
  <c r="DH880"/>
  <c r="BS765"/>
  <c r="BS767" s="1"/>
  <c r="BS720"/>
  <c r="AH57"/>
  <c r="AG171"/>
  <c r="BR642"/>
  <c r="BR800" s="1"/>
  <c r="BR876" s="1"/>
  <c r="BP871"/>
  <c r="BP801"/>
  <c r="AH54"/>
  <c r="AG168"/>
  <c r="BR639"/>
  <c r="BR797" s="1"/>
  <c r="BR873" s="1"/>
  <c r="AG347"/>
  <c r="BT758"/>
  <c r="BT805"/>
  <c r="BS744"/>
  <c r="BS752"/>
  <c r="BS746"/>
  <c r="BO820"/>
  <c r="BT605"/>
  <c r="BT701" s="1"/>
  <c r="BR593"/>
  <c r="BR699" s="1"/>
  <c r="AF165"/>
  <c r="BP814"/>
  <c r="BP877"/>
  <c r="BP896" s="1"/>
  <c r="AH79"/>
  <c r="AG174"/>
  <c r="BR668"/>
  <c r="AW47" i="19"/>
  <c r="AP47" s="1"/>
  <c r="AT47" s="1"/>
  <c r="AU47" s="1"/>
  <c r="BA47"/>
  <c r="AQ47" s="1"/>
  <c r="BE47"/>
  <c r="AR47" s="1"/>
  <c r="BI47"/>
  <c r="AS47" s="1"/>
  <c r="BQ614" i="20"/>
  <c r="BQ818"/>
  <c r="BQ881" s="1"/>
  <c r="X21" i="19"/>
  <c r="W14" i="68" s="1"/>
  <c r="W46" s="1"/>
  <c r="DI876" i="20"/>
  <c r="AF179"/>
  <c r="AF180" s="1"/>
  <c r="BQ667"/>
  <c r="BQ808" s="1"/>
  <c r="AI136"/>
  <c r="AI138" s="1"/>
  <c r="AI93"/>
  <c r="BT683" s="1"/>
  <c r="BR626"/>
  <c r="BR790" s="1"/>
  <c r="BR867" s="1"/>
  <c r="AH43"/>
  <c r="AG161"/>
  <c r="BP809"/>
  <c r="DM875"/>
  <c r="DR875" s="1"/>
  <c r="DR857"/>
  <c r="AH32"/>
  <c r="AG189"/>
  <c r="BR612"/>
  <c r="BQ755"/>
  <c r="BQ756"/>
  <c r="BQ812"/>
  <c r="BQ597"/>
  <c r="BR637"/>
  <c r="BR796" s="1"/>
  <c r="BR872" s="1"/>
  <c r="AG167"/>
  <c r="AH53"/>
  <c r="BT588"/>
  <c r="BT822" s="1"/>
  <c r="BT853" s="1"/>
  <c r="AI193"/>
  <c r="AI144"/>
  <c r="BT594"/>
  <c r="BT773" s="1"/>
  <c r="BT856" s="1"/>
  <c r="BR669"/>
  <c r="DP857" s="1"/>
  <c r="AH80"/>
  <c r="AF190"/>
  <c r="C393" i="56"/>
  <c r="C32"/>
  <c r="C394" i="57"/>
  <c r="C32"/>
  <c r="C755"/>
  <c r="CF889" i="20"/>
  <c r="BF632"/>
  <c r="BF734"/>
  <c r="BF781"/>
  <c r="BF704"/>
  <c r="BF787"/>
  <c r="P16" i="19"/>
  <c r="CF872" i="20"/>
  <c r="CK869"/>
  <c r="BF739"/>
  <c r="U157"/>
  <c r="U35"/>
  <c r="U70"/>
  <c r="V87"/>
  <c r="V88" s="1"/>
  <c r="V155"/>
  <c r="BG665"/>
  <c r="BF841"/>
  <c r="BF598"/>
  <c r="CI886"/>
  <c r="CK886" s="1"/>
  <c r="J46" i="16"/>
  <c r="O41"/>
  <c r="AF38" i="20" l="1"/>
  <c r="BQ621" s="1"/>
  <c r="BG802"/>
  <c r="CI878" s="1"/>
  <c r="CN878" s="1"/>
  <c r="BQ794"/>
  <c r="Y22" i="19"/>
  <c r="X15" i="68" s="1"/>
  <c r="X47" s="1"/>
  <c r="V233" i="20"/>
  <c r="BG769" s="1"/>
  <c r="CI877" s="1"/>
  <c r="P20" i="19"/>
  <c r="O9" i="68"/>
  <c r="E20" i="67"/>
  <c r="E20" i="66"/>
  <c r="Y39" i="68"/>
  <c r="D49" i="67"/>
  <c r="D41"/>
  <c r="U211" i="20"/>
  <c r="U213" s="1"/>
  <c r="D13" i="66"/>
  <c r="D38" s="1"/>
  <c r="D13" i="67"/>
  <c r="D38" s="1"/>
  <c r="DV854" i="20"/>
  <c r="AD14" i="19" s="1"/>
  <c r="AC7" i="68" s="1"/>
  <c r="BT838" i="20"/>
  <c r="BS825"/>
  <c r="BS839" s="1"/>
  <c r="Y21" i="19"/>
  <c r="X14" i="68" s="1"/>
  <c r="X46" s="1"/>
  <c r="AG185" i="20"/>
  <c r="AF191"/>
  <c r="BS593"/>
  <c r="BS699" s="1"/>
  <c r="BT589"/>
  <c r="BT698" s="1"/>
  <c r="DJ876"/>
  <c r="DO876" s="1"/>
  <c r="BT746"/>
  <c r="BT744"/>
  <c r="BT752"/>
  <c r="AH174"/>
  <c r="AI79"/>
  <c r="BS668"/>
  <c r="BS637"/>
  <c r="BS796" s="1"/>
  <c r="BS872" s="1"/>
  <c r="AH167"/>
  <c r="AI53"/>
  <c r="AI43"/>
  <c r="BS626"/>
  <c r="BS790" s="1"/>
  <c r="BS867" s="1"/>
  <c r="AH161"/>
  <c r="BR803"/>
  <c r="BR676"/>
  <c r="DV867"/>
  <c r="BR799"/>
  <c r="BR875" s="1"/>
  <c r="BR644"/>
  <c r="BR795"/>
  <c r="BR638"/>
  <c r="AI27"/>
  <c r="BS599"/>
  <c r="AH186"/>
  <c r="BR818"/>
  <c r="BR881" s="1"/>
  <c r="BR614"/>
  <c r="AU45" i="19"/>
  <c r="AU46"/>
  <c r="DV900" i="20"/>
  <c r="BT729"/>
  <c r="AG165"/>
  <c r="AG172"/>
  <c r="DU852"/>
  <c r="DP854"/>
  <c r="O40" i="19"/>
  <c r="AI48"/>
  <c r="BS656" i="20"/>
  <c r="AI68"/>
  <c r="BT656" s="1"/>
  <c r="BS641"/>
  <c r="AH170"/>
  <c r="AI56"/>
  <c r="AD58"/>
  <c r="BO633"/>
  <c r="BS636"/>
  <c r="AH166"/>
  <c r="AI52"/>
  <c r="BS669"/>
  <c r="DS857" s="1"/>
  <c r="AI80"/>
  <c r="BT669" s="1"/>
  <c r="DV857" s="1"/>
  <c r="DV875" s="1"/>
  <c r="BR815"/>
  <c r="BR601"/>
  <c r="AH171"/>
  <c r="AI57"/>
  <c r="BS642"/>
  <c r="BS800" s="1"/>
  <c r="BS876" s="1"/>
  <c r="AH169"/>
  <c r="BS640"/>
  <c r="BS798" s="1"/>
  <c r="BS874" s="1"/>
  <c r="AI55"/>
  <c r="AI24"/>
  <c r="BS595"/>
  <c r="AH183"/>
  <c r="AE251"/>
  <c r="BQ877"/>
  <c r="BQ814"/>
  <c r="AH164"/>
  <c r="BS630"/>
  <c r="AI47"/>
  <c r="BT765"/>
  <c r="BT767" s="1"/>
  <c r="BT720"/>
  <c r="AH162"/>
  <c r="AI45"/>
  <c r="BS628"/>
  <c r="BS791" s="1"/>
  <c r="BS868" s="1"/>
  <c r="BR756"/>
  <c r="BR812"/>
  <c r="BR597"/>
  <c r="BR755"/>
  <c r="BT591"/>
  <c r="AI194"/>
  <c r="AI196" s="1"/>
  <c r="AI210" s="1"/>
  <c r="DR854"/>
  <c r="DM867"/>
  <c r="AA14" i="19"/>
  <c r="Z7" i="68" s="1"/>
  <c r="DP875" i="20"/>
  <c r="DU875" s="1"/>
  <c r="DU857"/>
  <c r="BR793"/>
  <c r="BR870" s="1"/>
  <c r="BR631"/>
  <c r="DO856"/>
  <c r="DJ874"/>
  <c r="BQ871"/>
  <c r="BQ801"/>
  <c r="DM871"/>
  <c r="BQ819"/>
  <c r="DK881"/>
  <c r="DK871"/>
  <c r="DO867"/>
  <c r="DK867"/>
  <c r="DK884"/>
  <c r="DK886"/>
  <c r="DK870"/>
  <c r="DK887"/>
  <c r="DK889"/>
  <c r="DK876"/>
  <c r="DK883"/>
  <c r="DK880"/>
  <c r="DK879"/>
  <c r="DK869"/>
  <c r="DK877"/>
  <c r="DK868"/>
  <c r="DK885"/>
  <c r="DK872"/>
  <c r="DK878"/>
  <c r="DK882"/>
  <c r="DK875"/>
  <c r="DK874"/>
  <c r="DK891"/>
  <c r="DK890"/>
  <c r="BP820"/>
  <c r="BQ809"/>
  <c r="AI423"/>
  <c r="AI425" s="1"/>
  <c r="AI78" s="1"/>
  <c r="AH425"/>
  <c r="AH78" s="1"/>
  <c r="AI32"/>
  <c r="BS612"/>
  <c r="AH189"/>
  <c r="AI54"/>
  <c r="AH168"/>
  <c r="BS639"/>
  <c r="BS797" s="1"/>
  <c r="BS873" s="1"/>
  <c r="AH347"/>
  <c r="BR667"/>
  <c r="BR808" s="1"/>
  <c r="AG179"/>
  <c r="AG180" s="1"/>
  <c r="DS852"/>
  <c r="DX850"/>
  <c r="BS596"/>
  <c r="BS813" s="1"/>
  <c r="BS878" s="1"/>
  <c r="AI25"/>
  <c r="AH184"/>
  <c r="DO871"/>
  <c r="Z19" i="19"/>
  <c r="Y12" i="68" s="1"/>
  <c r="Y44" s="1"/>
  <c r="DM856" i="20"/>
  <c r="AG190"/>
  <c r="C394" i="56"/>
  <c r="C33"/>
  <c r="C756" i="57"/>
  <c r="C395"/>
  <c r="C33"/>
  <c r="CF881" i="20"/>
  <c r="BF785"/>
  <c r="BF786" s="1"/>
  <c r="BF810"/>
  <c r="CF883"/>
  <c r="BF616"/>
  <c r="BF700"/>
  <c r="BF733"/>
  <c r="CJ71" i="19"/>
  <c r="CJ76" s="1"/>
  <c r="CK889" i="20"/>
  <c r="CF891"/>
  <c r="V89"/>
  <c r="V64" s="1"/>
  <c r="BG678"/>
  <c r="V147"/>
  <c r="V149" s="1"/>
  <c r="V150" s="1"/>
  <c r="BG740" s="1"/>
  <c r="W139"/>
  <c r="Q32" i="19"/>
  <c r="P25" i="68" s="1"/>
  <c r="P57" s="1"/>
  <c r="BG741" i="20"/>
  <c r="BG737"/>
  <c r="CJ64" i="19"/>
  <c r="CJ66" s="1"/>
  <c r="BG784" i="20"/>
  <c r="CI880" s="1"/>
  <c r="CI858"/>
  <c r="BG677"/>
  <c r="CK872"/>
  <c r="CF879"/>
  <c r="BF646"/>
  <c r="BF735"/>
  <c r="BF736"/>
  <c r="BF705"/>
  <c r="J351" i="16"/>
  <c r="R122" i="19"/>
  <c r="M44" i="16"/>
  <c r="O46"/>
  <c r="AG265" i="20"/>
  <c r="AF50"/>
  <c r="BQ634" s="1"/>
  <c r="AH261"/>
  <c r="AG262"/>
  <c r="Q29" i="19" l="1"/>
  <c r="P22" i="68" s="1"/>
  <c r="P54" s="1"/>
  <c r="BG770" i="20"/>
  <c r="V140"/>
  <c r="V141" s="1"/>
  <c r="V151" s="1"/>
  <c r="O13" i="68"/>
  <c r="O41"/>
  <c r="O45" s="1"/>
  <c r="O48" s="1"/>
  <c r="E45" i="67"/>
  <c r="E15"/>
  <c r="D53" s="1"/>
  <c r="E17"/>
  <c r="D52" s="1"/>
  <c r="E45" i="66"/>
  <c r="E15"/>
  <c r="E17"/>
  <c r="D51" s="1"/>
  <c r="Z39" i="68"/>
  <c r="AC39"/>
  <c r="AG191" i="20"/>
  <c r="AH165"/>
  <c r="DM876"/>
  <c r="DR876" s="1"/>
  <c r="Z21" i="19"/>
  <c r="Y14" i="68" s="1"/>
  <c r="Y46" s="1"/>
  <c r="AH190" i="20"/>
  <c r="BT823"/>
  <c r="BT593"/>
  <c r="BT699" s="1"/>
  <c r="BS638"/>
  <c r="BS795"/>
  <c r="BI49" i="19"/>
  <c r="AS48" s="1"/>
  <c r="AW49"/>
  <c r="AP48" s="1"/>
  <c r="AT48" s="1"/>
  <c r="AU48" s="1"/>
  <c r="BA49"/>
  <c r="AQ48" s="1"/>
  <c r="BE49"/>
  <c r="AR48" s="1"/>
  <c r="BT599" i="20"/>
  <c r="AI186"/>
  <c r="BS676"/>
  <c r="BS803"/>
  <c r="BT667"/>
  <c r="BT808" s="1"/>
  <c r="AI179"/>
  <c r="AE49"/>
  <c r="AF253"/>
  <c r="AG249"/>
  <c r="BR782" s="1"/>
  <c r="DP882" s="1"/>
  <c r="DU882" s="1"/>
  <c r="AF250"/>
  <c r="BT642"/>
  <c r="BT800" s="1"/>
  <c r="BT876" s="1"/>
  <c r="AI171"/>
  <c r="BS601"/>
  <c r="BS815"/>
  <c r="AH185"/>
  <c r="BR809"/>
  <c r="AH172"/>
  <c r="BR794"/>
  <c r="DP871"/>
  <c r="BR819"/>
  <c r="AH179"/>
  <c r="AH180" s="1"/>
  <c r="BS667"/>
  <c r="BS808" s="1"/>
  <c r="Z22" i="19"/>
  <c r="Y15" i="68" s="1"/>
  <c r="Y47" s="1"/>
  <c r="DO874" i="20"/>
  <c r="AI162"/>
  <c r="BT628"/>
  <c r="BT791" s="1"/>
  <c r="BT868" s="1"/>
  <c r="BT636"/>
  <c r="AI166"/>
  <c r="AI189"/>
  <c r="BT612"/>
  <c r="DN883"/>
  <c r="DN871"/>
  <c r="DN885"/>
  <c r="DN872"/>
  <c r="DN886"/>
  <c r="DN890"/>
  <c r="DN880"/>
  <c r="DN874"/>
  <c r="DN881"/>
  <c r="DN879"/>
  <c r="DR867"/>
  <c r="DN887"/>
  <c r="DN868"/>
  <c r="DN889"/>
  <c r="DN875"/>
  <c r="DN891"/>
  <c r="DN882"/>
  <c r="DN878"/>
  <c r="DN884"/>
  <c r="DN870"/>
  <c r="DN867"/>
  <c r="DN876"/>
  <c r="DN869"/>
  <c r="DN877"/>
  <c r="DW890"/>
  <c r="DW877"/>
  <c r="DW887"/>
  <c r="DW875"/>
  <c r="DW883"/>
  <c r="DW886"/>
  <c r="DW876"/>
  <c r="DW880"/>
  <c r="DW885"/>
  <c r="DW891"/>
  <c r="DW879"/>
  <c r="DW884"/>
  <c r="DW867"/>
  <c r="DW882"/>
  <c r="DW868"/>
  <c r="DW878"/>
  <c r="DW869"/>
  <c r="DW870"/>
  <c r="DW872"/>
  <c r="DW871"/>
  <c r="DW881"/>
  <c r="DW889"/>
  <c r="DW874"/>
  <c r="DR856"/>
  <c r="DM874"/>
  <c r="DS854"/>
  <c r="DX852"/>
  <c r="BS818"/>
  <c r="BS881" s="1"/>
  <c r="BS614"/>
  <c r="DX857"/>
  <c r="DS875"/>
  <c r="DX875" s="1"/>
  <c r="AI161"/>
  <c r="BT626"/>
  <c r="BT790" s="1"/>
  <c r="AI168"/>
  <c r="AI347"/>
  <c r="BT639"/>
  <c r="BT797" s="1"/>
  <c r="BT873" s="1"/>
  <c r="AI183"/>
  <c r="BT595"/>
  <c r="DU854"/>
  <c r="AB14" i="19"/>
  <c r="AA7" i="68" s="1"/>
  <c r="DP867" i="20"/>
  <c r="BS799"/>
  <c r="BS875" s="1"/>
  <c r="BS644"/>
  <c r="BT637"/>
  <c r="BT796" s="1"/>
  <c r="BT872" s="1"/>
  <c r="AI167"/>
  <c r="AA19" i="19"/>
  <c r="Z12" i="68" s="1"/>
  <c r="Z44" s="1"/>
  <c r="DR871" i="20"/>
  <c r="BR877"/>
  <c r="BR814"/>
  <c r="BS631"/>
  <c r="BS793"/>
  <c r="AI169"/>
  <c r="BT640"/>
  <c r="BT798" s="1"/>
  <c r="BT874" s="1"/>
  <c r="BT641"/>
  <c r="AI170"/>
  <c r="AU71" i="19"/>
  <c r="AJ32" s="1"/>
  <c r="AI44"/>
  <c r="BQ896" i="20"/>
  <c r="BQ820"/>
  <c r="BT630"/>
  <c r="AI164"/>
  <c r="BR871"/>
  <c r="BR801"/>
  <c r="BT596"/>
  <c r="BT813" s="1"/>
  <c r="BT878" s="1"/>
  <c r="AI184"/>
  <c r="BS812"/>
  <c r="BS597"/>
  <c r="BS756"/>
  <c r="BS755"/>
  <c r="DG890"/>
  <c r="DL890" s="1"/>
  <c r="BO645"/>
  <c r="BO706" s="1"/>
  <c r="AI174"/>
  <c r="BT668"/>
  <c r="DP856"/>
  <c r="C395" i="56"/>
  <c r="C34"/>
  <c r="C34" i="57"/>
  <c r="C396"/>
  <c r="C757"/>
  <c r="P23" i="19"/>
  <c r="CJ67"/>
  <c r="BF617" i="20"/>
  <c r="BF750" s="1"/>
  <c r="BF703"/>
  <c r="BF751"/>
  <c r="CF898" s="1"/>
  <c r="CN877"/>
  <c r="Q30" i="19"/>
  <c r="P23" i="68" s="1"/>
  <c r="P55" s="1"/>
  <c r="CF885" i="20"/>
  <c r="CK879"/>
  <c r="CK883"/>
  <c r="P26" i="19"/>
  <c r="O19" i="68" s="1"/>
  <c r="O51" s="1"/>
  <c r="Q24" i="19"/>
  <c r="P17" i="68" s="1"/>
  <c r="CN880" i="20"/>
  <c r="CK891"/>
  <c r="P34" i="19"/>
  <c r="P25"/>
  <c r="CF894" i="20"/>
  <c r="CK881"/>
  <c r="BF658"/>
  <c r="CI860"/>
  <c r="CN858"/>
  <c r="CI895"/>
  <c r="BG652"/>
  <c r="BG655" s="1"/>
  <c r="W62"/>
  <c r="W63"/>
  <c r="V67"/>
  <c r="V225"/>
  <c r="BF840"/>
  <c r="BF842" s="1"/>
  <c r="BG679"/>
  <c r="BG776"/>
  <c r="BH768"/>
  <c r="CL868" s="1"/>
  <c r="CI861"/>
  <c r="CN861" s="1"/>
  <c r="P38" i="19"/>
  <c r="R44" i="16"/>
  <c r="M47"/>
  <c r="AG38" i="20"/>
  <c r="BR621" s="1"/>
  <c r="AG263"/>
  <c r="O16" i="68" l="1"/>
  <c r="E12" i="66"/>
  <c r="E37" s="1"/>
  <c r="E12" i="67"/>
  <c r="E37" s="1"/>
  <c r="E40"/>
  <c r="E42"/>
  <c r="P49" i="68"/>
  <c r="P29"/>
  <c r="P61" s="1"/>
  <c r="E40" i="66"/>
  <c r="E42"/>
  <c r="AA39" i="68"/>
  <c r="P35" i="19"/>
  <c r="AI65" s="1"/>
  <c r="O27" i="68"/>
  <c r="D52" i="66"/>
  <c r="P63" i="68"/>
  <c r="CJ70" i="19"/>
  <c r="CJ77" s="1"/>
  <c r="P39" s="1"/>
  <c r="O18" i="68"/>
  <c r="O50" s="1"/>
  <c r="O53" s="1"/>
  <c r="O56" s="1"/>
  <c r="O58" s="1"/>
  <c r="BR896" i="20"/>
  <c r="BS809"/>
  <c r="AH191"/>
  <c r="BR820"/>
  <c r="AA21" i="19"/>
  <c r="Z14" i="68" s="1"/>
  <c r="Z46" s="1"/>
  <c r="BT597" i="20"/>
  <c r="BT755"/>
  <c r="BT812"/>
  <c r="BT756"/>
  <c r="BT818"/>
  <c r="BT881" s="1"/>
  <c r="BT614"/>
  <c r="DS871"/>
  <c r="BS819"/>
  <c r="AE58"/>
  <c r="BP633"/>
  <c r="AI165"/>
  <c r="BT799"/>
  <c r="BT875" s="1"/>
  <c r="BT644"/>
  <c r="AI32" i="19"/>
  <c r="AJ33"/>
  <c r="AI33" s="1"/>
  <c r="BT867" i="20"/>
  <c r="AA22" i="19"/>
  <c r="Z15" i="68" s="1"/>
  <c r="Z47" s="1"/>
  <c r="DR874" i="20"/>
  <c r="BT601"/>
  <c r="BT815"/>
  <c r="BT825"/>
  <c r="BT839" s="1"/>
  <c r="BT855"/>
  <c r="AI180"/>
  <c r="BT676"/>
  <c r="DV856"/>
  <c r="DV874" s="1"/>
  <c r="AD22" i="19" s="1"/>
  <c r="AC15" i="68" s="1"/>
  <c r="AC47" s="1"/>
  <c r="BT803" i="20"/>
  <c r="BT809" s="1"/>
  <c r="DQ886"/>
  <c r="DQ890"/>
  <c r="DQ883"/>
  <c r="DQ876"/>
  <c r="DQ867"/>
  <c r="DQ880"/>
  <c r="DQ889"/>
  <c r="DQ869"/>
  <c r="DQ884"/>
  <c r="DU867"/>
  <c r="DQ872"/>
  <c r="DQ877"/>
  <c r="DQ881"/>
  <c r="DQ887"/>
  <c r="DQ874"/>
  <c r="DQ891"/>
  <c r="DQ879"/>
  <c r="DQ878"/>
  <c r="DQ875"/>
  <c r="DQ870"/>
  <c r="DQ885"/>
  <c r="DQ882"/>
  <c r="DQ871"/>
  <c r="DQ868"/>
  <c r="AC14" i="19"/>
  <c r="AB7" i="68" s="1"/>
  <c r="DX854" i="20"/>
  <c r="DS867"/>
  <c r="AI190"/>
  <c r="BS877"/>
  <c r="BS814"/>
  <c r="AF37"/>
  <c r="BQ620" s="1"/>
  <c r="DU856"/>
  <c r="DP874"/>
  <c r="BS870"/>
  <c r="BS794"/>
  <c r="BS801"/>
  <c r="BS871"/>
  <c r="DP876"/>
  <c r="AF251"/>
  <c r="DS856"/>
  <c r="BT631"/>
  <c r="BT793"/>
  <c r="BT870" s="1"/>
  <c r="BT638"/>
  <c r="BT795"/>
  <c r="DU871"/>
  <c r="AB19" i="19"/>
  <c r="AA12" i="68" s="1"/>
  <c r="AA44" s="1"/>
  <c r="AI185" i="20"/>
  <c r="AI172"/>
  <c r="C396" i="56"/>
  <c r="C35"/>
  <c r="C35" i="57"/>
  <c r="C397"/>
  <c r="C758"/>
  <c r="W222" i="20"/>
  <c r="BH650"/>
  <c r="BG778"/>
  <c r="BG779" s="1"/>
  <c r="BG859"/>
  <c r="BG861" s="1"/>
  <c r="W223"/>
  <c r="BH651"/>
  <c r="W229"/>
  <c r="Q36" i="19"/>
  <c r="P28"/>
  <c r="P31" s="1"/>
  <c r="P33" s="1"/>
  <c r="CF887" i="20"/>
  <c r="CK885"/>
  <c r="P37" i="19"/>
  <c r="AL47" s="1"/>
  <c r="R17"/>
  <c r="Q10" i="68" s="1"/>
  <c r="Q42" s="1"/>
  <c r="CQ868" i="20"/>
  <c r="CN860"/>
  <c r="CI862"/>
  <c r="CN862" s="1"/>
  <c r="V36"/>
  <c r="V18"/>
  <c r="BG708"/>
  <c r="BG709"/>
  <c r="BG710" s="1"/>
  <c r="BG745"/>
  <c r="CI897" s="1"/>
  <c r="R47" i="16"/>
  <c r="M29"/>
  <c r="M50"/>
  <c r="M58" s="1"/>
  <c r="S119" i="19" s="1"/>
  <c r="M36" i="16"/>
  <c r="P251"/>
  <c r="P223" s="1"/>
  <c r="P35" s="1"/>
  <c r="P305"/>
  <c r="P278"/>
  <c r="AH265" i="20"/>
  <c r="AG50"/>
  <c r="BR634" s="1"/>
  <c r="AI261"/>
  <c r="AH262"/>
  <c r="O21" i="68" l="1"/>
  <c r="O24" s="1"/>
  <c r="O26" s="1"/>
  <c r="O30"/>
  <c r="O62" s="1"/>
  <c r="CJ79" i="19"/>
  <c r="AL48" s="1"/>
  <c r="O28" i="68"/>
  <c r="O60" s="1"/>
  <c r="O59"/>
  <c r="E21" i="67"/>
  <c r="E21" i="66"/>
  <c r="E14"/>
  <c r="E39" s="1"/>
  <c r="E14" i="67"/>
  <c r="E39" s="1"/>
  <c r="AB39" i="68"/>
  <c r="P40" i="19"/>
  <c r="BS820" i="20"/>
  <c r="BS896"/>
  <c r="AI191"/>
  <c r="BP645"/>
  <c r="BP706" s="1"/>
  <c r="DJ890"/>
  <c r="DO890" s="1"/>
  <c r="AB21" i="19"/>
  <c r="AA14" i="68" s="1"/>
  <c r="AA46" s="1"/>
  <c r="DU876" i="20"/>
  <c r="BT877"/>
  <c r="BT814"/>
  <c r="W227"/>
  <c r="W231" s="1"/>
  <c r="W232" s="1"/>
  <c r="AH249"/>
  <c r="BS782" s="1"/>
  <c r="DS882" s="1"/>
  <c r="DX882" s="1"/>
  <c r="AF49"/>
  <c r="AG250"/>
  <c r="AG251" s="1"/>
  <c r="AG253"/>
  <c r="DX856"/>
  <c r="DS874"/>
  <c r="DV871"/>
  <c r="AD19" i="19" s="1"/>
  <c r="AC12" i="68" s="1"/>
  <c r="AC44" s="1"/>
  <c r="BT819" i="20"/>
  <c r="BT871"/>
  <c r="BT801"/>
  <c r="CH887"/>
  <c r="AB22" i="19"/>
  <c r="AA15" i="68" s="1"/>
  <c r="AA47" s="1"/>
  <c r="DU874" i="20"/>
  <c r="DT874"/>
  <c r="DT868"/>
  <c r="DT885"/>
  <c r="DT891"/>
  <c r="DT878"/>
  <c r="DT883"/>
  <c r="DT869"/>
  <c r="DT879"/>
  <c r="DT867"/>
  <c r="DT890"/>
  <c r="DX867"/>
  <c r="DT872"/>
  <c r="DT889"/>
  <c r="DT876"/>
  <c r="DT880"/>
  <c r="DT877"/>
  <c r="DT881"/>
  <c r="DT887"/>
  <c r="DT882"/>
  <c r="DT870"/>
  <c r="DT886"/>
  <c r="DT871"/>
  <c r="DT875"/>
  <c r="DT884"/>
  <c r="AC19" i="19"/>
  <c r="AB12" i="68" s="1"/>
  <c r="AB44" s="1"/>
  <c r="DX871" i="20"/>
  <c r="DS876"/>
  <c r="BT794"/>
  <c r="C397" i="56"/>
  <c r="C36"/>
  <c r="C36" i="57"/>
  <c r="C398"/>
  <c r="C759"/>
  <c r="W537" i="20"/>
  <c r="BG619"/>
  <c r="V48"/>
  <c r="V59" s="1"/>
  <c r="V152"/>
  <c r="V156" s="1"/>
  <c r="V158"/>
  <c r="V181" s="1"/>
  <c r="W490"/>
  <c r="W443"/>
  <c r="W390" s="1"/>
  <c r="W76" s="1"/>
  <c r="V212"/>
  <c r="BG586"/>
  <c r="V26"/>
  <c r="V34" s="1"/>
  <c r="CI869"/>
  <c r="BG738"/>
  <c r="BG780"/>
  <c r="BG748"/>
  <c r="BG749"/>
  <c r="S109" i="19"/>
  <c r="R36" i="16"/>
  <c r="M40"/>
  <c r="M59"/>
  <c r="S118" i="19" s="1"/>
  <c r="S110"/>
  <c r="R29" i="16"/>
  <c r="M33"/>
  <c r="S117" i="19"/>
  <c r="R50" i="16"/>
  <c r="P55"/>
  <c r="U35"/>
  <c r="T108" i="19"/>
  <c r="AH38" i="20"/>
  <c r="BS621" s="1"/>
  <c r="AH263"/>
  <c r="E16" i="67" l="1"/>
  <c r="E46"/>
  <c r="E24"/>
  <c r="E24" i="66"/>
  <c r="E46"/>
  <c r="E41" s="1"/>
  <c r="E16"/>
  <c r="BT896" i="20"/>
  <c r="BT820"/>
  <c r="DV876"/>
  <c r="AD21" i="19" s="1"/>
  <c r="AC14" i="68" s="1"/>
  <c r="AC46" s="1"/>
  <c r="AC21" i="19"/>
  <c r="AB14" i="68" s="1"/>
  <c r="AB46" s="1"/>
  <c r="DX876" i="20"/>
  <c r="BQ633"/>
  <c r="AF58"/>
  <c r="AG37"/>
  <c r="BR620" s="1"/>
  <c r="AH253"/>
  <c r="AH250"/>
  <c r="AH37" s="1"/>
  <c r="BS620" s="1"/>
  <c r="AI249"/>
  <c r="BT782" s="1"/>
  <c r="DV882" s="1"/>
  <c r="AG49"/>
  <c r="AC22" i="19"/>
  <c r="AB15" i="68" s="1"/>
  <c r="AB47" s="1"/>
  <c r="DX874" i="20"/>
  <c r="C398" i="56"/>
  <c r="C37"/>
  <c r="C399" i="57"/>
  <c r="C760"/>
  <c r="C37"/>
  <c r="W233" i="20"/>
  <c r="W140" s="1"/>
  <c r="W141" s="1"/>
  <c r="Q16" i="19"/>
  <c r="CN869" i="20"/>
  <c r="CI872"/>
  <c r="W87"/>
  <c r="W155"/>
  <c r="BH665"/>
  <c r="W173"/>
  <c r="BH802"/>
  <c r="CL878" s="1"/>
  <c r="BG739"/>
  <c r="V157"/>
  <c r="BG841"/>
  <c r="BG598"/>
  <c r="CL886"/>
  <c r="CN886" s="1"/>
  <c r="BG632"/>
  <c r="BG781"/>
  <c r="BG704"/>
  <c r="BG787"/>
  <c r="BG734"/>
  <c r="CI889"/>
  <c r="S112" i="19"/>
  <c r="S114" s="1"/>
  <c r="S116" s="1"/>
  <c r="T115" s="1"/>
  <c r="V35" i="20"/>
  <c r="V70"/>
  <c r="R40" i="16"/>
  <c r="M56"/>
  <c r="S120" i="19" s="1"/>
  <c r="M41" i="16"/>
  <c r="R33"/>
  <c r="AI265" i="20"/>
  <c r="AI262"/>
  <c r="AH50"/>
  <c r="BS634" s="1"/>
  <c r="E49" i="67" l="1"/>
  <c r="E41"/>
  <c r="Q20" i="19"/>
  <c r="P9" i="68"/>
  <c r="V211" i="20"/>
  <c r="V213" s="1"/>
  <c r="E13" i="66"/>
  <c r="E38" s="1"/>
  <c r="E13" i="67"/>
  <c r="E38" s="1"/>
  <c r="F20"/>
  <c r="F20" i="66"/>
  <c r="AH251" i="20"/>
  <c r="AI250" s="1"/>
  <c r="AI37" s="1"/>
  <c r="BT620" s="1"/>
  <c r="BR633"/>
  <c r="BR645" s="1"/>
  <c r="BR706" s="1"/>
  <c r="AG58"/>
  <c r="BQ645"/>
  <c r="BQ706" s="1"/>
  <c r="DM890"/>
  <c r="DR890" s="1"/>
  <c r="C38" i="56"/>
  <c r="C399"/>
  <c r="C400" i="57"/>
  <c r="C761"/>
  <c r="C38"/>
  <c r="BH769" i="20"/>
  <c r="BH770" s="1"/>
  <c r="BG616"/>
  <c r="BG700"/>
  <c r="BG733"/>
  <c r="BH677"/>
  <c r="CL858"/>
  <c r="BH784"/>
  <c r="CL880" s="1"/>
  <c r="R32" i="19"/>
  <c r="Q25" i="68" s="1"/>
  <c r="Q57" s="1"/>
  <c r="BG785" i="20"/>
  <c r="BG786" s="1"/>
  <c r="CI881"/>
  <c r="CK64" i="19"/>
  <c r="CK66" s="1"/>
  <c r="BG810" i="20"/>
  <c r="CI883"/>
  <c r="CI879"/>
  <c r="CN872"/>
  <c r="W88"/>
  <c r="CK71" i="19"/>
  <c r="CK76" s="1"/>
  <c r="CI891" i="20"/>
  <c r="CN889"/>
  <c r="BH737"/>
  <c r="BH741"/>
  <c r="BG735"/>
  <c r="BG646"/>
  <c r="BG736"/>
  <c r="BG705"/>
  <c r="CQ878"/>
  <c r="R29" i="19"/>
  <c r="Q22" i="68" s="1"/>
  <c r="Q54" s="1"/>
  <c r="M46" i="16"/>
  <c r="R41"/>
  <c r="AI38" i="20"/>
  <c r="BT621" s="1"/>
  <c r="AI263"/>
  <c r="AI50" s="1"/>
  <c r="F45" i="66" l="1"/>
  <c r="F17"/>
  <c r="E51" s="1"/>
  <c r="F15"/>
  <c r="P41" i="68"/>
  <c r="P45" s="1"/>
  <c r="P48" s="1"/>
  <c r="P13"/>
  <c r="F45" i="67"/>
  <c r="F15"/>
  <c r="E53" s="1"/>
  <c r="F17"/>
  <c r="E52" s="1"/>
  <c r="AH49" i="20"/>
  <c r="AI251"/>
  <c r="AI49" s="1"/>
  <c r="BT633" s="1"/>
  <c r="AI253"/>
  <c r="DP890"/>
  <c r="DU890" s="1"/>
  <c r="C39" i="56"/>
  <c r="C400"/>
  <c r="C762" i="57"/>
  <c r="C401"/>
  <c r="C39"/>
  <c r="CL877" i="20"/>
  <c r="CQ877" s="1"/>
  <c r="BG658"/>
  <c r="CN891"/>
  <c r="Q34" i="19"/>
  <c r="CN883" i="20"/>
  <c r="Q26" i="19"/>
  <c r="P19" i="68" s="1"/>
  <c r="P51" s="1"/>
  <c r="BG617" i="20"/>
  <c r="BG750" s="1"/>
  <c r="BG703"/>
  <c r="BG751"/>
  <c r="CI898" s="1"/>
  <c r="BG840"/>
  <c r="BG842" s="1"/>
  <c r="R24" i="19"/>
  <c r="CQ880" i="20"/>
  <c r="CI885"/>
  <c r="CN879"/>
  <c r="Q25" i="19"/>
  <c r="CI894" i="20"/>
  <c r="CN881"/>
  <c r="Q38" i="19"/>
  <c r="BH678" i="20"/>
  <c r="BH679" s="1"/>
  <c r="W147"/>
  <c r="W149" s="1"/>
  <c r="W150" s="1"/>
  <c r="X139"/>
  <c r="CK67" i="19"/>
  <c r="Q23"/>
  <c r="CL860" i="20"/>
  <c r="CQ858"/>
  <c r="CL895"/>
  <c r="W89"/>
  <c r="W64" s="1"/>
  <c r="M351" i="16"/>
  <c r="P44"/>
  <c r="R46"/>
  <c r="S122" i="19"/>
  <c r="BT634" i="20"/>
  <c r="F40" i="66" l="1"/>
  <c r="F42"/>
  <c r="P16" i="68"/>
  <c r="F40" i="67"/>
  <c r="F42"/>
  <c r="E52" i="66"/>
  <c r="Q63" i="68"/>
  <c r="R36" i="19"/>
  <c r="Q17" i="68"/>
  <c r="Q35" i="19"/>
  <c r="P27" i="68"/>
  <c r="CK70" i="19"/>
  <c r="CK77" s="1"/>
  <c r="Q39" s="1"/>
  <c r="P18" i="68"/>
  <c r="P50" s="1"/>
  <c r="P53" s="1"/>
  <c r="P56" s="1"/>
  <c r="P58" s="1"/>
  <c r="BT645" i="20"/>
  <c r="BT706" s="1"/>
  <c r="BS633"/>
  <c r="AH58"/>
  <c r="AI58"/>
  <c r="C401" i="56"/>
  <c r="C40"/>
  <c r="C402" i="57"/>
  <c r="C40"/>
  <c r="C763"/>
  <c r="R30" i="19"/>
  <c r="Q23" i="68" s="1"/>
  <c r="Q55" s="1"/>
  <c r="Q37" i="19"/>
  <c r="AM47" s="1"/>
  <c r="CK79"/>
  <c r="X63" i="20"/>
  <c r="W67"/>
  <c r="W225"/>
  <c r="BH652"/>
  <c r="BH655" s="1"/>
  <c r="X62"/>
  <c r="BH776"/>
  <c r="BI768"/>
  <c r="CO868" s="1"/>
  <c r="CL861"/>
  <c r="CQ861" s="1"/>
  <c r="Q28" i="19"/>
  <c r="Q31" s="1"/>
  <c r="Q33" s="1"/>
  <c r="BH740" i="20"/>
  <c r="W151"/>
  <c r="CI887"/>
  <c r="CN885"/>
  <c r="CQ860"/>
  <c r="U44" i="16"/>
  <c r="P47"/>
  <c r="DV890" i="20"/>
  <c r="P30" i="68" l="1"/>
  <c r="P62" s="1"/>
  <c r="P21"/>
  <c r="P24" s="1"/>
  <c r="P26" s="1"/>
  <c r="Q49"/>
  <c r="Q29"/>
  <c r="Q61" s="1"/>
  <c r="P59"/>
  <c r="P28"/>
  <c r="P60" s="1"/>
  <c r="F12" i="66"/>
  <c r="F37" s="1"/>
  <c r="F12" i="67"/>
  <c r="F37" s="1"/>
  <c r="DS890" i="20"/>
  <c r="DX890" s="1"/>
  <c r="BS645"/>
  <c r="BS706" s="1"/>
  <c r="CK887"/>
  <c r="C402" i="56"/>
  <c r="C41"/>
  <c r="C403" i="57"/>
  <c r="C41"/>
  <c r="C764"/>
  <c r="X222" i="20"/>
  <c r="BI650"/>
  <c r="S17" i="19"/>
  <c r="R10" i="68" s="1"/>
  <c r="R42" s="1"/>
  <c r="CT868" i="20"/>
  <c r="BH708"/>
  <c r="BH709"/>
  <c r="BH710" s="1"/>
  <c r="BH745"/>
  <c r="CL897" s="1"/>
  <c r="Q40" i="19"/>
  <c r="AM48"/>
  <c r="X223" i="20"/>
  <c r="BI651"/>
  <c r="X229"/>
  <c r="W18"/>
  <c r="W36"/>
  <c r="BH778"/>
  <c r="BH779" s="1"/>
  <c r="BH859"/>
  <c r="BH861" s="1"/>
  <c r="CL862"/>
  <c r="CQ862" s="1"/>
  <c r="U47" i="16"/>
  <c r="P29"/>
  <c r="P50"/>
  <c r="P58" s="1"/>
  <c r="T119" i="19" s="1"/>
  <c r="P36" i="16"/>
  <c r="S251"/>
  <c r="S223" s="1"/>
  <c r="S35" s="1"/>
  <c r="S305"/>
  <c r="S278"/>
  <c r="F14" i="67" l="1"/>
  <c r="F39" s="1"/>
  <c r="F14" i="66"/>
  <c r="F39" s="1"/>
  <c r="F21" i="67"/>
  <c r="F21" i="66"/>
  <c r="X227" i="20"/>
  <c r="X231" s="1"/>
  <c r="X232" s="1"/>
  <c r="C403" i="56"/>
  <c r="C42"/>
  <c r="C404" i="57"/>
  <c r="C42"/>
  <c r="C765"/>
  <c r="BH780" i="20"/>
  <c r="BH738"/>
  <c r="CL869"/>
  <c r="BH749"/>
  <c r="BH748"/>
  <c r="X443"/>
  <c r="X390" s="1"/>
  <c r="X76" s="1"/>
  <c r="W48"/>
  <c r="W59" s="1"/>
  <c r="W152"/>
  <c r="W156" s="1"/>
  <c r="W158"/>
  <c r="W181" s="1"/>
  <c r="X537"/>
  <c r="X490"/>
  <c r="BH619"/>
  <c r="W26"/>
  <c r="W34" s="1"/>
  <c r="W212"/>
  <c r="BH586"/>
  <c r="P59" i="16"/>
  <c r="T118" i="19" s="1"/>
  <c r="U50" i="16"/>
  <c r="T117" i="19"/>
  <c r="T109"/>
  <c r="U36" i="16"/>
  <c r="P40"/>
  <c r="U29"/>
  <c r="T110" i="19"/>
  <c r="P33" i="16"/>
  <c r="U108" i="19"/>
  <c r="S55" i="16"/>
  <c r="X35"/>
  <c r="F46" i="67" l="1"/>
  <c r="F16"/>
  <c r="F24"/>
  <c r="F16" i="66"/>
  <c r="F46"/>
  <c r="F41" s="1"/>
  <c r="F24"/>
  <c r="C43" i="56"/>
  <c r="C404"/>
  <c r="C766" i="57"/>
  <c r="C405"/>
  <c r="C43"/>
  <c r="X233" i="20"/>
  <c r="BH739"/>
  <c r="W157"/>
  <c r="R16" i="19"/>
  <c r="CQ869" i="20"/>
  <c r="CL872"/>
  <c r="BH734"/>
  <c r="BH632"/>
  <c r="BH704"/>
  <c r="BH781"/>
  <c r="BH787"/>
  <c r="CL889"/>
  <c r="X173"/>
  <c r="BI802"/>
  <c r="CO878" s="1"/>
  <c r="W35"/>
  <c r="W70"/>
  <c r="X87"/>
  <c r="BI665"/>
  <c r="X155"/>
  <c r="BH841"/>
  <c r="CO886"/>
  <c r="CQ886" s="1"/>
  <c r="BH598"/>
  <c r="T112" i="19"/>
  <c r="T114" s="1"/>
  <c r="T116" s="1"/>
  <c r="U115" s="1"/>
  <c r="P56" i="16"/>
  <c r="T120" i="19" s="1"/>
  <c r="U40" i="16"/>
  <c r="P41"/>
  <c r="U33"/>
  <c r="G20" i="66" l="1"/>
  <c r="G20" i="67"/>
  <c r="R20" i="19"/>
  <c r="R23" s="1"/>
  <c r="Q9" i="68"/>
  <c r="F41" i="67"/>
  <c r="F49"/>
  <c r="W211" i="20"/>
  <c r="W213" s="1"/>
  <c r="F13" i="66"/>
  <c r="F38" s="1"/>
  <c r="F13" i="67"/>
  <c r="F38" s="1"/>
  <c r="C44" i="56"/>
  <c r="C405"/>
  <c r="C767" i="57"/>
  <c r="C44"/>
  <c r="C406"/>
  <c r="X88" i="20"/>
  <c r="X89" s="1"/>
  <c r="X64" s="1"/>
  <c r="BI769"/>
  <c r="X140"/>
  <c r="X141" s="1"/>
  <c r="BH810"/>
  <c r="CL883"/>
  <c r="CL881"/>
  <c r="BH785"/>
  <c r="BH786" s="1"/>
  <c r="BI677"/>
  <c r="CO858"/>
  <c r="BI784"/>
  <c r="CO880" s="1"/>
  <c r="BI741"/>
  <c r="BI737"/>
  <c r="CQ889"/>
  <c r="CL891"/>
  <c r="S32" i="19"/>
  <c r="R25" i="68" s="1"/>
  <c r="R57" s="1"/>
  <c r="BH700" i="20"/>
  <c r="BH733"/>
  <c r="BH616"/>
  <c r="CT878"/>
  <c r="S29" i="19"/>
  <c r="R22" i="68" s="1"/>
  <c r="R54" s="1"/>
  <c r="CQ872" i="20"/>
  <c r="CL879"/>
  <c r="BH705"/>
  <c r="BH646"/>
  <c r="BH735"/>
  <c r="BH736"/>
  <c r="U41" i="16"/>
  <c r="P46"/>
  <c r="Q41" i="68" l="1"/>
  <c r="Q45" s="1"/>
  <c r="Q48" s="1"/>
  <c r="Q13"/>
  <c r="G45" i="66"/>
  <c r="G15"/>
  <c r="R63" i="68" s="1"/>
  <c r="G17" i="66"/>
  <c r="G45" i="67"/>
  <c r="G15"/>
  <c r="G17"/>
  <c r="BH658" i="20"/>
  <c r="C406" i="56"/>
  <c r="C45"/>
  <c r="C768" i="57"/>
  <c r="C407"/>
  <c r="C45"/>
  <c r="BH840" i="20"/>
  <c r="BH842" s="1"/>
  <c r="BI652"/>
  <c r="BI655" s="1"/>
  <c r="Y63"/>
  <c r="Y62"/>
  <c r="X67"/>
  <c r="X225"/>
  <c r="CT858"/>
  <c r="CO895"/>
  <c r="CO860"/>
  <c r="X147"/>
  <c r="X149" s="1"/>
  <c r="X150" s="1"/>
  <c r="BI740" s="1"/>
  <c r="Y139"/>
  <c r="BI678"/>
  <c r="S24" i="19"/>
  <c r="CT880" i="20"/>
  <c r="BI770"/>
  <c r="CO877"/>
  <c r="CQ883"/>
  <c r="R26" i="19"/>
  <c r="Q19" i="68" s="1"/>
  <c r="Q51" s="1"/>
  <c r="CQ879" i="20"/>
  <c r="CL885"/>
  <c r="BH703"/>
  <c r="BH617"/>
  <c r="BH750" s="1"/>
  <c r="BH751"/>
  <c r="CL898" s="1"/>
  <c r="CQ891"/>
  <c r="R34" i="19"/>
  <c r="R25"/>
  <c r="CL894" i="20"/>
  <c r="CQ881"/>
  <c r="P351" i="16"/>
  <c r="S44"/>
  <c r="U46"/>
  <c r="T122" i="19"/>
  <c r="S36" l="1"/>
  <c r="R17" i="68"/>
  <c r="G40" i="67"/>
  <c r="G42"/>
  <c r="Q16" i="68"/>
  <c r="G40" i="66"/>
  <c r="G42"/>
  <c r="R35" i="19"/>
  <c r="Q27" i="68"/>
  <c r="R37" i="19"/>
  <c r="Q18" i="68"/>
  <c r="Q50" s="1"/>
  <c r="Q53" s="1"/>
  <c r="Q56" s="1"/>
  <c r="Q58" s="1"/>
  <c r="R28" i="19"/>
  <c r="R31" s="1"/>
  <c r="R33" s="1"/>
  <c r="C46" i="56"/>
  <c r="C407"/>
  <c r="C769" i="57"/>
  <c r="C408"/>
  <c r="C46"/>
  <c r="Y229" i="20"/>
  <c r="Y223"/>
  <c r="BJ651"/>
  <c r="BJ768"/>
  <c r="CR868" s="1"/>
  <c r="BI776"/>
  <c r="CO861"/>
  <c r="CT861" s="1"/>
  <c r="BI679"/>
  <c r="BI709"/>
  <c r="BI710" s="1"/>
  <c r="BI745"/>
  <c r="CO897" s="1"/>
  <c r="BI708"/>
  <c r="BJ650"/>
  <c r="Y222"/>
  <c r="CQ885"/>
  <c r="CL887"/>
  <c r="CT877"/>
  <c r="S30" i="19"/>
  <c r="R23" i="68" s="1"/>
  <c r="R55" s="1"/>
  <c r="CT860" i="20"/>
  <c r="X151"/>
  <c r="X44" i="16"/>
  <c r="S47"/>
  <c r="G12" i="66" l="1"/>
  <c r="G37" s="1"/>
  <c r="G12" i="67"/>
  <c r="G37" s="1"/>
  <c r="Q30" i="68"/>
  <c r="Q62" s="1"/>
  <c r="Q59"/>
  <c r="Q28"/>
  <c r="Q60" s="1"/>
  <c r="Q21"/>
  <c r="Q24" s="1"/>
  <c r="Q26" s="1"/>
  <c r="R49"/>
  <c r="R29"/>
  <c r="R61" s="1"/>
  <c r="CN887" i="20"/>
  <c r="CO862"/>
  <c r="CT862" s="1"/>
  <c r="Y227"/>
  <c r="Y231" s="1"/>
  <c r="Y232" s="1"/>
  <c r="BJ802" s="1"/>
  <c r="CR878" s="1"/>
  <c r="C47" i="56"/>
  <c r="C408"/>
  <c r="C770" i="57"/>
  <c r="C409"/>
  <c r="C47"/>
  <c r="X18" i="20"/>
  <c r="X36"/>
  <c r="T17" i="19"/>
  <c r="S10" i="68" s="1"/>
  <c r="S42" s="1"/>
  <c r="CW868" i="20"/>
  <c r="BI778"/>
  <c r="BI779" s="1"/>
  <c r="BI859"/>
  <c r="BI861" s="1"/>
  <c r="BI749"/>
  <c r="BI748"/>
  <c r="S50" i="16"/>
  <c r="S29"/>
  <c r="S36"/>
  <c r="X47"/>
  <c r="V251"/>
  <c r="V223" s="1"/>
  <c r="V35" s="1"/>
  <c r="V305"/>
  <c r="V278"/>
  <c r="G14" i="66" l="1"/>
  <c r="G39" s="1"/>
  <c r="G14" i="67"/>
  <c r="G39" s="1"/>
  <c r="G21"/>
  <c r="G21" i="66"/>
  <c r="C409" i="56"/>
  <c r="C48"/>
  <c r="C771" i="57"/>
  <c r="C410"/>
  <c r="C48"/>
  <c r="Y173" i="20"/>
  <c r="Y233"/>
  <c r="Y140" s="1"/>
  <c r="Y141" s="1"/>
  <c r="Y443"/>
  <c r="Y390" s="1"/>
  <c r="Y76" s="1"/>
  <c r="X48"/>
  <c r="X59" s="1"/>
  <c r="BI619"/>
  <c r="X152"/>
  <c r="X156" s="1"/>
  <c r="X158"/>
  <c r="X181" s="1"/>
  <c r="Y537"/>
  <c r="Y490"/>
  <c r="CW878"/>
  <c r="T29" i="19"/>
  <c r="S22" i="68" s="1"/>
  <c r="S54" s="1"/>
  <c r="BI738" i="20"/>
  <c r="CO869"/>
  <c r="BI780"/>
  <c r="BI586"/>
  <c r="X212"/>
  <c r="X26"/>
  <c r="X34" s="1"/>
  <c r="X50" i="16"/>
  <c r="U117" i="19"/>
  <c r="S59" i="16"/>
  <c r="U118" i="19" s="1"/>
  <c r="X29" i="16"/>
  <c r="U110" i="19"/>
  <c r="S33" i="16"/>
  <c r="U109" i="19"/>
  <c r="X36" i="16"/>
  <c r="S40"/>
  <c r="V108" i="19"/>
  <c r="V55" i="16"/>
  <c r="AA35"/>
  <c r="S58"/>
  <c r="U119" i="19" s="1"/>
  <c r="G24" i="67" l="1"/>
  <c r="G16"/>
  <c r="G46"/>
  <c r="G16" i="66"/>
  <c r="G46"/>
  <c r="G41" s="1"/>
  <c r="G24"/>
  <c r="BJ769" i="20"/>
  <c r="BJ770" s="1"/>
  <c r="C49" i="56"/>
  <c r="C410"/>
  <c r="C411" i="57"/>
  <c r="C772"/>
  <c r="C49"/>
  <c r="Y155" i="20"/>
  <c r="BJ665"/>
  <c r="Y87"/>
  <c r="S16" i="19"/>
  <c r="CO872" i="20"/>
  <c r="CT869"/>
  <c r="BI704"/>
  <c r="CO889"/>
  <c r="BI734"/>
  <c r="BI787"/>
  <c r="BI781"/>
  <c r="BI632"/>
  <c r="BI739"/>
  <c r="X157"/>
  <c r="BI598"/>
  <c r="CR886"/>
  <c r="CT886" s="1"/>
  <c r="BI841"/>
  <c r="X70"/>
  <c r="X35"/>
  <c r="CR877"/>
  <c r="S56" i="16"/>
  <c r="U120" i="19" s="1"/>
  <c r="X40" i="16"/>
  <c r="X33"/>
  <c r="S41"/>
  <c r="U112" i="19"/>
  <c r="U114" s="1"/>
  <c r="U116" s="1"/>
  <c r="V115" s="1"/>
  <c r="G49" i="67" l="1"/>
  <c r="G41"/>
  <c r="H20"/>
  <c r="H20" i="66"/>
  <c r="X211" i="20"/>
  <c r="X213" s="1"/>
  <c r="G13" i="67"/>
  <c r="G38" s="1"/>
  <c r="G13" i="66"/>
  <c r="G38" s="1"/>
  <c r="S20" i="19"/>
  <c r="S23" s="1"/>
  <c r="R9" i="68"/>
  <c r="C50" i="56"/>
  <c r="C411"/>
  <c r="C412" i="57"/>
  <c r="C773"/>
  <c r="C50"/>
  <c r="BJ737" i="20"/>
  <c r="BJ741"/>
  <c r="BJ677"/>
  <c r="CR858"/>
  <c r="BJ784"/>
  <c r="CR880" s="1"/>
  <c r="BI785"/>
  <c r="BI786" s="1"/>
  <c r="CO881"/>
  <c r="CT872"/>
  <c r="CO879"/>
  <c r="CW877"/>
  <c r="T30" i="19"/>
  <c r="S23" i="68" s="1"/>
  <c r="S55" s="1"/>
  <c r="BI705" i="20"/>
  <c r="BI646"/>
  <c r="BI735"/>
  <c r="BI736"/>
  <c r="BI733"/>
  <c r="BI616"/>
  <c r="BI700"/>
  <c r="BI810"/>
  <c r="CO883"/>
  <c r="Y88"/>
  <c r="T32" i="19"/>
  <c r="S25" i="68" s="1"/>
  <c r="S57" s="1"/>
  <c r="CO891" i="20"/>
  <c r="CT889"/>
  <c r="S46" i="16"/>
  <c r="X41"/>
  <c r="H45" i="66" l="1"/>
  <c r="H15"/>
  <c r="S63" i="68" s="1"/>
  <c r="H17" i="66"/>
  <c r="R41" i="68"/>
  <c r="R45" s="1"/>
  <c r="R48" s="1"/>
  <c r="R13"/>
  <c r="H45" i="67"/>
  <c r="H15"/>
  <c r="H17"/>
  <c r="C51" i="56"/>
  <c r="C412"/>
  <c r="C774" i="57"/>
  <c r="C51"/>
  <c r="C413"/>
  <c r="CT879" i="20"/>
  <c r="CO885"/>
  <c r="S25" i="19"/>
  <c r="CO894" i="20"/>
  <c r="CT881"/>
  <c r="CT891"/>
  <c r="S34" i="19"/>
  <c r="CT883" i="20"/>
  <c r="S26" i="19"/>
  <c r="R19" i="68" s="1"/>
  <c r="R51" s="1"/>
  <c r="CR860" i="20"/>
  <c r="CW858"/>
  <c r="CR895"/>
  <c r="BI751"/>
  <c r="CO898" s="1"/>
  <c r="BI617"/>
  <c r="BI750" s="1"/>
  <c r="BI703"/>
  <c r="Z139"/>
  <c r="BJ678"/>
  <c r="Y147"/>
  <c r="Y149" s="1"/>
  <c r="Y150" s="1"/>
  <c r="T24" i="19"/>
  <c r="CW880" i="20"/>
  <c r="BI658"/>
  <c r="Y89"/>
  <c r="Y64" s="1"/>
  <c r="BI840"/>
  <c r="BI842" s="1"/>
  <c r="S351" i="16"/>
  <c r="V44"/>
  <c r="X46"/>
  <c r="U122" i="19"/>
  <c r="R53" i="68" l="1"/>
  <c r="R56" s="1"/>
  <c r="R58" s="1"/>
  <c r="H42" i="66"/>
  <c r="H40"/>
  <c r="R16" i="68"/>
  <c r="H42" i="67"/>
  <c r="H40"/>
  <c r="S35" i="19"/>
  <c r="R27" i="68"/>
  <c r="T36" i="19"/>
  <c r="S17" i="68"/>
  <c r="S37" i="19"/>
  <c r="R18" i="68"/>
  <c r="R50" s="1"/>
  <c r="S28" i="19"/>
  <c r="S31" s="1"/>
  <c r="S33" s="1"/>
  <c r="C52" i="56"/>
  <c r="C413"/>
  <c r="C775" i="57"/>
  <c r="C52"/>
  <c r="C414"/>
  <c r="CW860" i="20"/>
  <c r="BJ740"/>
  <c r="Y151"/>
  <c r="BK768"/>
  <c r="CU868" s="1"/>
  <c r="CR861"/>
  <c r="CW861" s="1"/>
  <c r="BJ776"/>
  <c r="BJ679"/>
  <c r="CO887"/>
  <c r="CT885"/>
  <c r="Z63"/>
  <c r="Y225"/>
  <c r="Z62"/>
  <c r="Y67"/>
  <c r="BJ652"/>
  <c r="BJ655" s="1"/>
  <c r="AA44" i="16"/>
  <c r="V47"/>
  <c r="R30" i="68" l="1"/>
  <c r="R62" s="1"/>
  <c r="S49"/>
  <c r="S29"/>
  <c r="S61" s="1"/>
  <c r="R59"/>
  <c r="R28"/>
  <c r="R60" s="1"/>
  <c r="H12" i="67"/>
  <c r="H37" s="1"/>
  <c r="H12" i="66"/>
  <c r="H37" s="1"/>
  <c r="R21" i="68"/>
  <c r="R24" s="1"/>
  <c r="R26" s="1"/>
  <c r="CR862" i="20"/>
  <c r="CW862" s="1"/>
  <c r="CQ887"/>
  <c r="C53" i="56"/>
  <c r="C414"/>
  <c r="C53" i="57"/>
  <c r="C415"/>
  <c r="C776"/>
  <c r="Y18" i="20"/>
  <c r="Y36"/>
  <c r="BK650"/>
  <c r="Z222"/>
  <c r="U17" i="19"/>
  <c r="T10" i="68" s="1"/>
  <c r="T42" s="1"/>
  <c r="CZ868" i="20"/>
  <c r="Z229"/>
  <c r="Z223"/>
  <c r="BK651"/>
  <c r="BJ745"/>
  <c r="CR897" s="1"/>
  <c r="BJ708"/>
  <c r="BJ709"/>
  <c r="BJ710" s="1"/>
  <c r="BJ778"/>
  <c r="BJ779" s="1"/>
  <c r="BJ859"/>
  <c r="BJ861" s="1"/>
  <c r="AA47" i="16"/>
  <c r="V50"/>
  <c r="V59" s="1"/>
  <c r="V118" i="19" s="1"/>
  <c r="V29" i="16"/>
  <c r="V36"/>
  <c r="Y251"/>
  <c r="Y223" s="1"/>
  <c r="Y35" s="1"/>
  <c r="Y278"/>
  <c r="Y305"/>
  <c r="H14" i="66" l="1"/>
  <c r="H39" s="1"/>
  <c r="H14" i="67"/>
  <c r="H39" s="1"/>
  <c r="H21"/>
  <c r="H21" i="66"/>
  <c r="Z227" i="20"/>
  <c r="Z231" s="1"/>
  <c r="Z232" s="1"/>
  <c r="Z173" s="1"/>
  <c r="C54" i="56"/>
  <c r="C415"/>
  <c r="C777" i="57"/>
  <c r="C54"/>
  <c r="C416"/>
  <c r="Y48" i="20"/>
  <c r="Y59" s="1"/>
  <c r="Z490"/>
  <c r="Z443"/>
  <c r="Z390" s="1"/>
  <c r="Z76" s="1"/>
  <c r="Z537"/>
  <c r="Y158"/>
  <c r="Y181" s="1"/>
  <c r="BJ619"/>
  <c r="Y152"/>
  <c r="Y156" s="1"/>
  <c r="Y26"/>
  <c r="Y34" s="1"/>
  <c r="BJ586"/>
  <c r="Y212"/>
  <c r="BJ748"/>
  <c r="BJ749"/>
  <c r="CR869"/>
  <c r="BJ780"/>
  <c r="BJ738"/>
  <c r="V58" i="16"/>
  <c r="V119" i="19" s="1"/>
  <c r="AA29" i="16"/>
  <c r="V110" i="19"/>
  <c r="V33" i="16"/>
  <c r="AA36"/>
  <c r="V109" i="19"/>
  <c r="V40" i="16"/>
  <c r="V117" i="19"/>
  <c r="AA50" i="16"/>
  <c r="W108" i="19"/>
  <c r="Y55" i="16"/>
  <c r="AD35"/>
  <c r="H16" i="66" l="1"/>
  <c r="H46"/>
  <c r="H41" s="1"/>
  <c r="H24"/>
  <c r="H24" i="67"/>
  <c r="H16"/>
  <c r="H46"/>
  <c r="C55" i="56"/>
  <c r="C416"/>
  <c r="C55" i="57"/>
  <c r="C417"/>
  <c r="C778"/>
  <c r="BK802" i="20"/>
  <c r="CU878" s="1"/>
  <c r="U29" i="19" s="1"/>
  <c r="T22" i="68" s="1"/>
  <c r="T54" s="1"/>
  <c r="Z233" i="20"/>
  <c r="Z140" s="1"/>
  <c r="Z141" s="1"/>
  <c r="Y35"/>
  <c r="Y70"/>
  <c r="Z87"/>
  <c r="Z155"/>
  <c r="BK665"/>
  <c r="BJ598"/>
  <c r="CU886"/>
  <c r="CW886" s="1"/>
  <c r="BJ841"/>
  <c r="T16" i="19"/>
  <c r="CW869" i="20"/>
  <c r="CR872"/>
  <c r="BJ632"/>
  <c r="BJ734"/>
  <c r="BJ704"/>
  <c r="CR889"/>
  <c r="BJ787"/>
  <c r="BJ781"/>
  <c r="BJ739"/>
  <c r="Y157"/>
  <c r="V56" i="16"/>
  <c r="V120" i="19" s="1"/>
  <c r="AA40" i="16"/>
  <c r="V41"/>
  <c r="AA33"/>
  <c r="V112" i="19"/>
  <c r="V114" s="1"/>
  <c r="V116" s="1"/>
  <c r="W115" s="1"/>
  <c r="I20" i="67" l="1"/>
  <c r="I20" i="66"/>
  <c r="H41" i="67"/>
  <c r="H49"/>
  <c r="T20" i="19"/>
  <c r="T23" s="1"/>
  <c r="S9" i="68"/>
  <c r="Y211" i="20"/>
  <c r="Y213" s="1"/>
  <c r="H13" i="66"/>
  <c r="H38" s="1"/>
  <c r="H13" i="67"/>
  <c r="H38" s="1"/>
  <c r="C417" i="56"/>
  <c r="C56"/>
  <c r="C57" s="1"/>
  <c r="C56" i="57"/>
  <c r="C57" s="1"/>
  <c r="C419"/>
  <c r="C418"/>
  <c r="C779"/>
  <c r="BK769" i="20"/>
  <c r="CU877" s="1"/>
  <c r="CZ878"/>
  <c r="CW872"/>
  <c r="CR879"/>
  <c r="Z88"/>
  <c r="Z89" s="1"/>
  <c r="Z64" s="1"/>
  <c r="BK677"/>
  <c r="BK784"/>
  <c r="CU880" s="1"/>
  <c r="CU858"/>
  <c r="BJ785"/>
  <c r="BJ786" s="1"/>
  <c r="CR881"/>
  <c r="BK741"/>
  <c r="BK737"/>
  <c r="BJ616"/>
  <c r="BJ700"/>
  <c r="BJ733"/>
  <c r="BJ735"/>
  <c r="BJ705"/>
  <c r="BJ736"/>
  <c r="BJ646"/>
  <c r="CW889"/>
  <c r="CR891"/>
  <c r="U32" i="19"/>
  <c r="T25" i="68" s="1"/>
  <c r="T57" s="1"/>
  <c r="BJ810" i="20"/>
  <c r="CR883"/>
  <c r="V46" i="16"/>
  <c r="AA41"/>
  <c r="I45" i="67" l="1"/>
  <c r="I15"/>
  <c r="I17"/>
  <c r="S41" i="68"/>
  <c r="S45" s="1"/>
  <c r="S48" s="1"/>
  <c r="S13"/>
  <c r="I45" i="66"/>
  <c r="I17"/>
  <c r="I15"/>
  <c r="T63" i="68" s="1"/>
  <c r="BJ658" i="20"/>
  <c r="C418" i="56"/>
  <c r="C419"/>
  <c r="C58"/>
  <c r="C58" i="57"/>
  <c r="C420"/>
  <c r="C780"/>
  <c r="C781"/>
  <c r="BK770" i="20"/>
  <c r="AA62"/>
  <c r="Z225"/>
  <c r="BK652"/>
  <c r="BK655" s="1"/>
  <c r="AA63"/>
  <c r="Z67"/>
  <c r="BJ840"/>
  <c r="BJ842" s="1"/>
  <c r="CW879"/>
  <c r="CR885"/>
  <c r="CU895"/>
  <c r="CU860"/>
  <c r="CZ858"/>
  <c r="CW883"/>
  <c r="T26" i="19"/>
  <c r="S19" i="68" s="1"/>
  <c r="S51" s="1"/>
  <c r="CZ877" i="20"/>
  <c r="U30" i="19"/>
  <c r="T23" i="68" s="1"/>
  <c r="T55" s="1"/>
  <c r="T25" i="19"/>
  <c r="CW881" i="20"/>
  <c r="CR894"/>
  <c r="U24" i="19"/>
  <c r="CZ880" i="20"/>
  <c r="Z147"/>
  <c r="Z149" s="1"/>
  <c r="Z150" s="1"/>
  <c r="AA139"/>
  <c r="BK678"/>
  <c r="CW891"/>
  <c r="T34" i="19"/>
  <c r="BJ617" i="20"/>
  <c r="BJ750" s="1"/>
  <c r="BJ751"/>
  <c r="CR898" s="1"/>
  <c r="BJ703"/>
  <c r="V351" i="16"/>
  <c r="V122" i="19"/>
  <c r="Y44" i="16"/>
  <c r="AA46"/>
  <c r="I42" i="67" l="1"/>
  <c r="I40"/>
  <c r="T35" i="19"/>
  <c r="S27" i="68"/>
  <c r="S16"/>
  <c r="T37" i="19"/>
  <c r="S18" i="68"/>
  <c r="S50" s="1"/>
  <c r="S53" s="1"/>
  <c r="S56" s="1"/>
  <c r="S58" s="1"/>
  <c r="I40" i="66"/>
  <c r="I42"/>
  <c r="U36" i="19"/>
  <c r="T17" i="68"/>
  <c r="C420" i="56"/>
  <c r="C59"/>
  <c r="C59" i="57"/>
  <c r="C421"/>
  <c r="C782"/>
  <c r="BL650" i="20"/>
  <c r="AA222"/>
  <c r="CU861"/>
  <c r="CZ861" s="1"/>
  <c r="BL768"/>
  <c r="BK776"/>
  <c r="AA229"/>
  <c r="AA223"/>
  <c r="BL651"/>
  <c r="BK679"/>
  <c r="CR887"/>
  <c r="CW885"/>
  <c r="BK708"/>
  <c r="BK709"/>
  <c r="BK710" s="1"/>
  <c r="BK745"/>
  <c r="CU897" s="1"/>
  <c r="BK740"/>
  <c r="Z151"/>
  <c r="T28" i="19"/>
  <c r="T31" s="1"/>
  <c r="T33" s="1"/>
  <c r="CZ860" i="20"/>
  <c r="AD44" i="16"/>
  <c r="Y47"/>
  <c r="I12" i="66" l="1"/>
  <c r="I37" s="1"/>
  <c r="I12" i="67"/>
  <c r="I37" s="1"/>
  <c r="T49" i="68"/>
  <c r="T29"/>
  <c r="T61" s="1"/>
  <c r="S30"/>
  <c r="S62" s="1"/>
  <c r="S21"/>
  <c r="S24" s="1"/>
  <c r="S26" s="1"/>
  <c r="S59"/>
  <c r="S28"/>
  <c r="S60" s="1"/>
  <c r="AA227" i="20"/>
  <c r="AA231" s="1"/>
  <c r="AA232" s="1"/>
  <c r="CT887"/>
  <c r="C421" i="56"/>
  <c r="C60"/>
  <c r="C60" i="57"/>
  <c r="C422"/>
  <c r="C783"/>
  <c r="CU862" i="20"/>
  <c r="CZ862" s="1"/>
  <c r="Z18"/>
  <c r="Z36"/>
  <c r="BK748"/>
  <c r="BK749"/>
  <c r="BK859"/>
  <c r="BK861" s="1"/>
  <c r="BK778"/>
  <c r="BK779" s="1"/>
  <c r="CX868"/>
  <c r="Y36" i="16"/>
  <c r="AD47"/>
  <c r="Y50"/>
  <c r="Y59" s="1"/>
  <c r="W118" i="19" s="1"/>
  <c r="Y29" i="16"/>
  <c r="AB251"/>
  <c r="AB223" s="1"/>
  <c r="AB35" s="1"/>
  <c r="AB278"/>
  <c r="AB305"/>
  <c r="I14" i="66" l="1"/>
  <c r="I39" s="1"/>
  <c r="I14" i="67"/>
  <c r="I39" s="1"/>
  <c r="I21"/>
  <c r="I21" i="66"/>
  <c r="C422" i="56"/>
  <c r="C61"/>
  <c r="C61" i="57"/>
  <c r="C423"/>
  <c r="C784"/>
  <c r="AA233" i="20"/>
  <c r="BL769" s="1"/>
  <c r="Z212"/>
  <c r="BK586"/>
  <c r="Z26"/>
  <c r="Z34" s="1"/>
  <c r="V17" i="19"/>
  <c r="U10" i="68" s="1"/>
  <c r="U42" s="1"/>
  <c r="DC868" i="20"/>
  <c r="AA173"/>
  <c r="BL802"/>
  <c r="CX878" s="1"/>
  <c r="AA537"/>
  <c r="BK619"/>
  <c r="AA490"/>
  <c r="AA443"/>
  <c r="AA390" s="1"/>
  <c r="AA76" s="1"/>
  <c r="Z152"/>
  <c r="Z156" s="1"/>
  <c r="Z48"/>
  <c r="Z59" s="1"/>
  <c r="Z158"/>
  <c r="Z181" s="1"/>
  <c r="CU869"/>
  <c r="BK738"/>
  <c r="BK780"/>
  <c r="Y58" i="16"/>
  <c r="W119" i="19" s="1"/>
  <c r="W109"/>
  <c r="AD36" i="16"/>
  <c r="Y40"/>
  <c r="W117" i="19"/>
  <c r="AD50" i="16"/>
  <c r="W110" i="19"/>
  <c r="AD29" i="16"/>
  <c r="Y33"/>
  <c r="AG35"/>
  <c r="X108" i="19"/>
  <c r="AB55" i="16"/>
  <c r="I46" i="67" l="1"/>
  <c r="I24"/>
  <c r="I16"/>
  <c r="I24" i="66"/>
  <c r="I16"/>
  <c r="I46"/>
  <c r="I41" s="1"/>
  <c r="C423" i="56"/>
  <c r="C62"/>
  <c r="C62" i="57"/>
  <c r="C424"/>
  <c r="C785"/>
  <c r="AA140" i="20"/>
  <c r="AA141" s="1"/>
  <c r="BK841"/>
  <c r="CX886"/>
  <c r="CZ886" s="1"/>
  <c r="BK598"/>
  <c r="AA155"/>
  <c r="AA87"/>
  <c r="BL665"/>
  <c r="U16" i="19"/>
  <c r="CZ869" i="20"/>
  <c r="CU872"/>
  <c r="BK739"/>
  <c r="Z157"/>
  <c r="DC878"/>
  <c r="V29" i="19"/>
  <c r="U22" i="68" s="1"/>
  <c r="U54" s="1"/>
  <c r="Z70" i="20"/>
  <c r="Z35"/>
  <c r="CX877"/>
  <c r="BL770"/>
  <c r="CU889"/>
  <c r="BK734"/>
  <c r="BK781"/>
  <c r="BK632"/>
  <c r="BK704"/>
  <c r="BK787"/>
  <c r="W112" i="19"/>
  <c r="W114" s="1"/>
  <c r="W116" s="1"/>
  <c r="X115" s="1"/>
  <c r="AD40" i="16"/>
  <c r="Y56"/>
  <c r="W120" i="19" s="1"/>
  <c r="AD33" i="16"/>
  <c r="Y41"/>
  <c r="I41" i="67" l="1"/>
  <c r="I49"/>
  <c r="U20" i="19"/>
  <c r="U23" s="1"/>
  <c r="T9" i="68"/>
  <c r="Z211" i="20"/>
  <c r="Z213" s="1"/>
  <c r="I13" i="66"/>
  <c r="I38" s="1"/>
  <c r="I13" i="67"/>
  <c r="I38" s="1"/>
  <c r="J20"/>
  <c r="J20" i="66"/>
  <c r="C424" i="56"/>
  <c r="C63"/>
  <c r="C425" i="57"/>
  <c r="C63"/>
  <c r="C786"/>
  <c r="DC877" i="20"/>
  <c r="V30" i="19"/>
  <c r="U23" i="68" s="1"/>
  <c r="U55" s="1"/>
  <c r="BK700" i="20"/>
  <c r="BK733"/>
  <c r="BK616"/>
  <c r="CU879"/>
  <c r="CZ872"/>
  <c r="BL741"/>
  <c r="BL737"/>
  <c r="V32" i="19"/>
  <c r="U25" i="68" s="1"/>
  <c r="U57" s="1"/>
  <c r="CU891" i="20"/>
  <c r="CZ889"/>
  <c r="BK785"/>
  <c r="BK786" s="1"/>
  <c r="CU881"/>
  <c r="AA88"/>
  <c r="BK646"/>
  <c r="BK735"/>
  <c r="BK736"/>
  <c r="BK705"/>
  <c r="CX858"/>
  <c r="BL677"/>
  <c r="BL784"/>
  <c r="CX880" s="1"/>
  <c r="BK810"/>
  <c r="CU883"/>
  <c r="Y46" i="16"/>
  <c r="AD41"/>
  <c r="T41" i="68" l="1"/>
  <c r="T45" s="1"/>
  <c r="T48" s="1"/>
  <c r="T13"/>
  <c r="J45" i="66"/>
  <c r="J17"/>
  <c r="J15"/>
  <c r="U63" i="68" s="1"/>
  <c r="J45" i="67"/>
  <c r="J15"/>
  <c r="J17"/>
  <c r="BK658" i="20"/>
  <c r="C425" i="56"/>
  <c r="C64"/>
  <c r="C426" i="57"/>
  <c r="C64"/>
  <c r="C787"/>
  <c r="CZ883" i="20"/>
  <c r="U26" i="19"/>
  <c r="T19" i="68" s="1"/>
  <c r="T51" s="1"/>
  <c r="CZ891" i="20"/>
  <c r="U34" i="19"/>
  <c r="AB139" i="20"/>
  <c r="BL678"/>
  <c r="AA147"/>
  <c r="AA149" s="1"/>
  <c r="AA150" s="1"/>
  <c r="BK617"/>
  <c r="BK750" s="1"/>
  <c r="BK703"/>
  <c r="BK751"/>
  <c r="CU898" s="1"/>
  <c r="AA89"/>
  <c r="AA64" s="1"/>
  <c r="V24" i="19"/>
  <c r="DC880" i="20"/>
  <c r="CX895"/>
  <c r="DC858"/>
  <c r="CX860"/>
  <c r="CU885"/>
  <c r="CZ879"/>
  <c r="BK840"/>
  <c r="BK842" s="1"/>
  <c r="U25" i="19"/>
  <c r="CZ881" i="20"/>
  <c r="CU894"/>
  <c r="Y351" i="16"/>
  <c r="W122" i="19"/>
  <c r="AB44" i="16"/>
  <c r="AD46"/>
  <c r="U37" i="19" l="1"/>
  <c r="T18" i="68"/>
  <c r="T50" s="1"/>
  <c r="T53" s="1"/>
  <c r="T56" s="1"/>
  <c r="T58" s="1"/>
  <c r="V36" i="19"/>
  <c r="U17" i="68"/>
  <c r="J40" i="67"/>
  <c r="J42"/>
  <c r="T16" i="68"/>
  <c r="U35" i="19"/>
  <c r="T27" i="68"/>
  <c r="J42" i="66"/>
  <c r="J40"/>
  <c r="U28" i="19"/>
  <c r="U31" s="1"/>
  <c r="U33" s="1"/>
  <c r="C426" i="56"/>
  <c r="C65"/>
  <c r="C427" i="57"/>
  <c r="C65"/>
  <c r="C788"/>
  <c r="CZ885" i="20"/>
  <c r="CU887"/>
  <c r="BL679"/>
  <c r="CX861"/>
  <c r="DC861" s="1"/>
  <c r="BL776"/>
  <c r="BM768"/>
  <c r="DA868" s="1"/>
  <c r="DC860"/>
  <c r="AA67"/>
  <c r="AB62"/>
  <c r="AB63"/>
  <c r="AA225"/>
  <c r="BL652"/>
  <c r="BL655" s="1"/>
  <c r="BL740"/>
  <c r="AA151"/>
  <c r="AG44" i="16"/>
  <c r="AB47"/>
  <c r="T28" i="68" l="1"/>
  <c r="T60" s="1"/>
  <c r="T59"/>
  <c r="J12" i="66"/>
  <c r="J37" s="1"/>
  <c r="J12" i="67"/>
  <c r="J37" s="1"/>
  <c r="T21" i="68"/>
  <c r="T24" s="1"/>
  <c r="T26" s="1"/>
  <c r="U49"/>
  <c r="U29"/>
  <c r="U61" s="1"/>
  <c r="T30"/>
  <c r="T62" s="1"/>
  <c r="CW887" i="20"/>
  <c r="C427" i="56"/>
  <c r="C66"/>
  <c r="C428" i="57"/>
  <c r="C66"/>
  <c r="C789"/>
  <c r="AB229" i="20"/>
  <c r="AB223"/>
  <c r="BM651"/>
  <c r="BL778"/>
  <c r="BL779" s="1"/>
  <c r="BL859"/>
  <c r="BL861" s="1"/>
  <c r="W17" i="19"/>
  <c r="V10" i="68" s="1"/>
  <c r="V42" s="1"/>
  <c r="DF868" i="20"/>
  <c r="AB222"/>
  <c r="BM650"/>
  <c r="BL708"/>
  <c r="BL709"/>
  <c r="BL710" s="1"/>
  <c r="BL745"/>
  <c r="CX897" s="1"/>
  <c r="AA18"/>
  <c r="AA36"/>
  <c r="CX862"/>
  <c r="DC862" s="1"/>
  <c r="AB29" i="16"/>
  <c r="AB36"/>
  <c r="AG47"/>
  <c r="AB50"/>
  <c r="AB58" s="1"/>
  <c r="X119" i="19" s="1"/>
  <c r="AE251" i="16"/>
  <c r="AE223" s="1"/>
  <c r="AE35" s="1"/>
  <c r="AE305"/>
  <c r="AE278"/>
  <c r="J21" i="67" l="1"/>
  <c r="J21" i="66"/>
  <c r="J14"/>
  <c r="J39" s="1"/>
  <c r="J14" i="67"/>
  <c r="J39" s="1"/>
  <c r="AB227" i="20"/>
  <c r="C428" i="56"/>
  <c r="C67"/>
  <c r="C429" i="57"/>
  <c r="C67"/>
  <c r="C790"/>
  <c r="CX869" i="20"/>
  <c r="BL738"/>
  <c r="BL780"/>
  <c r="BL749"/>
  <c r="BL748"/>
  <c r="AA26"/>
  <c r="AA34" s="1"/>
  <c r="AA212"/>
  <c r="BL586"/>
  <c r="AB537"/>
  <c r="BL619"/>
  <c r="AA158"/>
  <c r="AA181" s="1"/>
  <c r="AA152"/>
  <c r="AA156" s="1"/>
  <c r="AB490"/>
  <c r="AB443"/>
  <c r="AB390" s="1"/>
  <c r="AB76" s="1"/>
  <c r="AA48"/>
  <c r="AA59" s="1"/>
  <c r="AB59" i="16"/>
  <c r="X118" i="19" s="1"/>
  <c r="X110"/>
  <c r="AG29" i="16"/>
  <c r="AB33"/>
  <c r="AG36"/>
  <c r="X109" i="19"/>
  <c r="AB40" i="16"/>
  <c r="AG50"/>
  <c r="X117" i="19"/>
  <c r="Y108"/>
  <c r="AE55" i="16"/>
  <c r="AJ35"/>
  <c r="J24" i="66" l="1"/>
  <c r="J46"/>
  <c r="J41" s="1"/>
  <c r="J16"/>
  <c r="J24" i="67"/>
  <c r="J16"/>
  <c r="J46"/>
  <c r="AB231" i="20"/>
  <c r="AB232" s="1"/>
  <c r="BM802" s="1"/>
  <c r="DA878" s="1"/>
  <c r="C68" i="56"/>
  <c r="C429"/>
  <c r="C430" i="57"/>
  <c r="C68"/>
  <c r="C791"/>
  <c r="AA70" i="20"/>
  <c r="AA35"/>
  <c r="V16" i="19"/>
  <c r="DC869" i="20"/>
  <c r="CX872"/>
  <c r="BL598"/>
  <c r="BL841"/>
  <c r="DA886"/>
  <c r="DC886" s="1"/>
  <c r="BL739"/>
  <c r="AA157"/>
  <c r="CX889"/>
  <c r="BL704"/>
  <c r="BL781"/>
  <c r="BL734"/>
  <c r="BL787"/>
  <c r="BL632"/>
  <c r="BM665"/>
  <c r="AB87"/>
  <c r="AB155"/>
  <c r="AG33" i="16"/>
  <c r="AB41"/>
  <c r="AB56"/>
  <c r="X120" i="19" s="1"/>
  <c r="AG40" i="16"/>
  <c r="X112" i="19"/>
  <c r="X114" s="1"/>
  <c r="X116" s="1"/>
  <c r="Y115" s="1"/>
  <c r="AA211" i="20" l="1"/>
  <c r="AA213" s="1"/>
  <c r="J13" i="66"/>
  <c r="J38" s="1"/>
  <c r="J13" i="67"/>
  <c r="J38" s="1"/>
  <c r="J41"/>
  <c r="J49"/>
  <c r="V20" i="19"/>
  <c r="U9" i="68"/>
  <c r="AB233" i="20"/>
  <c r="AB140" s="1"/>
  <c r="AB141" s="1"/>
  <c r="AB173"/>
  <c r="C69" i="56"/>
  <c r="C430"/>
  <c r="C431" i="57"/>
  <c r="C69"/>
  <c r="C792"/>
  <c r="BL705" i="20"/>
  <c r="BL736"/>
  <c r="BL735"/>
  <c r="BL646"/>
  <c r="V23" i="19"/>
  <c r="CX883" i="20"/>
  <c r="BL810"/>
  <c r="DA858"/>
  <c r="BM677"/>
  <c r="BM784"/>
  <c r="DA880" s="1"/>
  <c r="CX891"/>
  <c r="DC889"/>
  <c r="CX879"/>
  <c r="DC872"/>
  <c r="DF878"/>
  <c r="W29" i="19"/>
  <c r="V22" i="68" s="1"/>
  <c r="V54" s="1"/>
  <c r="AB88" i="20"/>
  <c r="AB89" s="1"/>
  <c r="AB64" s="1"/>
  <c r="BL616"/>
  <c r="BL700"/>
  <c r="BL733"/>
  <c r="BM741"/>
  <c r="BM737"/>
  <c r="BL785"/>
  <c r="BL786" s="1"/>
  <c r="CX881"/>
  <c r="W32" i="19"/>
  <c r="V25" i="68" s="1"/>
  <c r="V57" s="1"/>
  <c r="AB46" i="16"/>
  <c r="AG41"/>
  <c r="U13" i="68" l="1"/>
  <c r="U41"/>
  <c r="U45" s="1"/>
  <c r="U48" s="1"/>
  <c r="BM769" i="20"/>
  <c r="DA877" s="1"/>
  <c r="W30" i="19" s="1"/>
  <c r="V23" i="68" s="1"/>
  <c r="V55" s="1"/>
  <c r="BL658" i="20"/>
  <c r="C431" i="56"/>
  <c r="C70"/>
  <c r="C70" i="57"/>
  <c r="C432"/>
  <c r="C793"/>
  <c r="BL840" i="20"/>
  <c r="BL842" s="1"/>
  <c r="DC883"/>
  <c r="V26" i="19"/>
  <c r="U19" i="68" s="1"/>
  <c r="U51" s="1"/>
  <c r="AC139" i="20"/>
  <c r="AB147"/>
  <c r="AB149" s="1"/>
  <c r="AB150" s="1"/>
  <c r="BM678"/>
  <c r="W24" i="19"/>
  <c r="DF880" i="20"/>
  <c r="DA860"/>
  <c r="DF858"/>
  <c r="DA895"/>
  <c r="AB225"/>
  <c r="BM652"/>
  <c r="BM655" s="1"/>
  <c r="AB67"/>
  <c r="AC62"/>
  <c r="AC63"/>
  <c r="V25" i="19"/>
  <c r="DC881" i="20"/>
  <c r="CX894"/>
  <c r="BL751"/>
  <c r="CX898" s="1"/>
  <c r="BL617"/>
  <c r="BL750" s="1"/>
  <c r="BL703"/>
  <c r="DC891"/>
  <c r="V34" i="19"/>
  <c r="CX885" i="20"/>
  <c r="DC879"/>
  <c r="AB351" i="16"/>
  <c r="AG46"/>
  <c r="X122" i="19"/>
  <c r="AE44" i="16"/>
  <c r="U16" i="68" l="1"/>
  <c r="U21" s="1"/>
  <c r="U24" s="1"/>
  <c r="U26" s="1"/>
  <c r="U30"/>
  <c r="U62" s="1"/>
  <c r="V37" i="19"/>
  <c r="U18" i="68"/>
  <c r="U50" s="1"/>
  <c r="U53" s="1"/>
  <c r="U56" s="1"/>
  <c r="U58" s="1"/>
  <c r="V35" i="19"/>
  <c r="U27" i="68"/>
  <c r="W36" i="19"/>
  <c r="V17" i="68"/>
  <c r="DF877" i="20"/>
  <c r="BM770"/>
  <c r="C71" i="56"/>
  <c r="C432"/>
  <c r="C71" i="57"/>
  <c r="C433"/>
  <c r="C794"/>
  <c r="DF860" i="20"/>
  <c r="AC229"/>
  <c r="BN651"/>
  <c r="AC223"/>
  <c r="BM740"/>
  <c r="AB151"/>
  <c r="V28" i="19"/>
  <c r="V31" s="1"/>
  <c r="V33" s="1"/>
  <c r="BM776" i="20"/>
  <c r="BN768"/>
  <c r="DA861"/>
  <c r="DF861" s="1"/>
  <c r="CX887"/>
  <c r="DC885"/>
  <c r="BM745"/>
  <c r="DA897" s="1"/>
  <c r="BM708"/>
  <c r="BM709"/>
  <c r="BM710" s="1"/>
  <c r="AC222"/>
  <c r="BN650"/>
  <c r="BM679"/>
  <c r="AJ44" i="16"/>
  <c r="AE47"/>
  <c r="V49" i="68" l="1"/>
  <c r="V29"/>
  <c r="V61" s="1"/>
  <c r="U28"/>
  <c r="U60" s="1"/>
  <c r="U59"/>
  <c r="CZ887" i="20"/>
  <c r="DA862"/>
  <c r="DF862" s="1"/>
  <c r="AC227"/>
  <c r="AC231" s="1"/>
  <c r="AC232" s="1"/>
  <c r="C72" i="56"/>
  <c r="C433"/>
  <c r="C72" i="57"/>
  <c r="C434"/>
  <c r="C795"/>
  <c r="AB18" i="20"/>
  <c r="AB36"/>
  <c r="BM748"/>
  <c r="BM749"/>
  <c r="BM778"/>
  <c r="BM779" s="1"/>
  <c r="BM859"/>
  <c r="BM861" s="1"/>
  <c r="DD868"/>
  <c r="AE50" i="16"/>
  <c r="AE58" s="1"/>
  <c r="Y119" i="19" s="1"/>
  <c r="AE29" i="16"/>
  <c r="AJ47"/>
  <c r="AE36"/>
  <c r="AH251"/>
  <c r="AH223" s="1"/>
  <c r="AH35" s="1"/>
  <c r="AH278"/>
  <c r="AH305"/>
  <c r="C73" i="56" l="1"/>
  <c r="C434"/>
  <c r="C73" i="57"/>
  <c r="C435"/>
  <c r="C796"/>
  <c r="X17" i="19"/>
  <c r="W10" i="68" s="1"/>
  <c r="W42" s="1"/>
  <c r="DI868" i="20"/>
  <c r="AC233"/>
  <c r="BM586"/>
  <c r="AB26"/>
  <c r="AB34" s="1"/>
  <c r="AB212"/>
  <c r="AC173"/>
  <c r="BN802"/>
  <c r="DD878" s="1"/>
  <c r="BM619"/>
  <c r="AC490"/>
  <c r="AC443"/>
  <c r="AC390" s="1"/>
  <c r="AC76" s="1"/>
  <c r="AB48"/>
  <c r="AB59" s="1"/>
  <c r="AB158"/>
  <c r="AB181" s="1"/>
  <c r="AB152"/>
  <c r="AB156" s="1"/>
  <c r="AC537"/>
  <c r="BM738"/>
  <c r="DA869"/>
  <c r="BM780"/>
  <c r="AJ29" i="16"/>
  <c r="Y110" i="19"/>
  <c r="AE33" i="16"/>
  <c r="AJ36"/>
  <c r="Y109" i="19"/>
  <c r="AE40" i="16"/>
  <c r="AJ50"/>
  <c r="Y117" i="19"/>
  <c r="AM35" i="16"/>
  <c r="Z108" i="19"/>
  <c r="AH55" i="16"/>
  <c r="AE59"/>
  <c r="Y118" i="19" s="1"/>
  <c r="C74" i="56" l="1"/>
  <c r="C435"/>
  <c r="C436" i="57"/>
  <c r="C74"/>
  <c r="C797"/>
  <c r="AB35" i="20"/>
  <c r="AB70"/>
  <c r="W16" i="19"/>
  <c r="DA872" i="20"/>
  <c r="DF869"/>
  <c r="BM781"/>
  <c r="DA889"/>
  <c r="BM704"/>
  <c r="BM734"/>
  <c r="BM632"/>
  <c r="BM787"/>
  <c r="DD886"/>
  <c r="DF886" s="1"/>
  <c r="BM598"/>
  <c r="BM841"/>
  <c r="AC87"/>
  <c r="AC155"/>
  <c r="BN665"/>
  <c r="AC140"/>
  <c r="AC141" s="1"/>
  <c r="BN769"/>
  <c r="BM739"/>
  <c r="AB157"/>
  <c r="AB211" s="1"/>
  <c r="AB213" s="1"/>
  <c r="DI878"/>
  <c r="X29" i="19"/>
  <c r="W22" i="68" s="1"/>
  <c r="W54" s="1"/>
  <c r="AE41" i="16"/>
  <c r="Y122" i="19"/>
  <c r="AJ33" i="16"/>
  <c r="AJ40"/>
  <c r="AE56"/>
  <c r="Y112" i="19"/>
  <c r="Y114" s="1"/>
  <c r="Y116" s="1"/>
  <c r="Z115" s="1"/>
  <c r="W20" l="1"/>
  <c r="W23" s="1"/>
  <c r="V9" i="68"/>
  <c r="C75" i="56"/>
  <c r="C436"/>
  <c r="C437" i="57"/>
  <c r="C798"/>
  <c r="C75"/>
  <c r="DF889" i="20"/>
  <c r="DA891"/>
  <c r="BN784"/>
  <c r="DD880" s="1"/>
  <c r="BN677"/>
  <c r="DD858"/>
  <c r="BM785"/>
  <c r="BM786" s="1"/>
  <c r="DA881"/>
  <c r="BM646"/>
  <c r="BM735"/>
  <c r="BM736"/>
  <c r="BM705"/>
  <c r="DD877"/>
  <c r="BN770"/>
  <c r="BM810"/>
  <c r="DA883"/>
  <c r="X32" i="19"/>
  <c r="W25" i="68" s="1"/>
  <c r="W57" s="1"/>
  <c r="DF872" i="20"/>
  <c r="DA879"/>
  <c r="BM700"/>
  <c r="BM733"/>
  <c r="BM616"/>
  <c r="AC88"/>
  <c r="BN741"/>
  <c r="BN737"/>
  <c r="AE46" i="16"/>
  <c r="AJ41"/>
  <c r="V41" i="68" l="1"/>
  <c r="V45" s="1"/>
  <c r="V48" s="1"/>
  <c r="V13"/>
  <c r="C76" i="56"/>
  <c r="C437"/>
  <c r="C438" i="57"/>
  <c r="C799"/>
  <c r="C76"/>
  <c r="BM840" i="20"/>
  <c r="BM842" s="1"/>
  <c r="W25" i="19"/>
  <c r="DA894" i="20"/>
  <c r="DF881"/>
  <c r="BM703"/>
  <c r="BM751"/>
  <c r="DA898" s="1"/>
  <c r="BM617"/>
  <c r="BM750" s="1"/>
  <c r="AC147"/>
  <c r="AC149" s="1"/>
  <c r="AC150" s="1"/>
  <c r="AD139"/>
  <c r="BN678"/>
  <c r="DF891"/>
  <c r="W34" i="19"/>
  <c r="X24"/>
  <c r="DI880" i="20"/>
  <c r="DI877"/>
  <c r="X30" i="19"/>
  <c r="W23" i="68" s="1"/>
  <c r="W55" s="1"/>
  <c r="DD860" i="20"/>
  <c r="DI858"/>
  <c r="DD895"/>
  <c r="AC89"/>
  <c r="AC64" s="1"/>
  <c r="DA885"/>
  <c r="DF879"/>
  <c r="DF883"/>
  <c r="W26" i="19"/>
  <c r="BM658" i="20"/>
  <c r="AE351" i="16"/>
  <c r="A351" s="1"/>
  <c r="AH44"/>
  <c r="AJ46"/>
  <c r="V16" i="68" l="1"/>
  <c r="V21" s="1"/>
  <c r="V24" s="1"/>
  <c r="V26" s="1"/>
  <c r="V30"/>
  <c r="V62" s="1"/>
  <c r="W37" i="19"/>
  <c r="V18" i="68"/>
  <c r="V50" s="1"/>
  <c r="W35" i="19"/>
  <c r="V27" i="68"/>
  <c r="X36" i="19"/>
  <c r="W17" i="68"/>
  <c r="W28" i="19"/>
  <c r="W31" s="1"/>
  <c r="W33" s="1"/>
  <c r="V19" i="68"/>
  <c r="V51" s="1"/>
  <c r="V53" s="1"/>
  <c r="V56" s="1"/>
  <c r="V58" s="1"/>
  <c r="C438" i="56"/>
  <c r="C77"/>
  <c r="C439" i="57"/>
  <c r="C800"/>
  <c r="C77"/>
  <c r="BN740" i="20"/>
  <c r="AC151"/>
  <c r="DI860"/>
  <c r="DD862"/>
  <c r="DI862" s="1"/>
  <c r="BO768"/>
  <c r="DG868" s="1"/>
  <c r="DD861"/>
  <c r="DI861" s="1"/>
  <c r="BN776"/>
  <c r="AC67"/>
  <c r="AD63"/>
  <c r="AD62"/>
  <c r="AC225"/>
  <c r="BN652"/>
  <c r="BN655" s="1"/>
  <c r="DF885"/>
  <c r="DA887"/>
  <c r="BN679"/>
  <c r="AM44" i="16"/>
  <c r="AH47"/>
  <c r="V28" i="68" l="1"/>
  <c r="V60" s="1"/>
  <c r="V59"/>
  <c r="W49"/>
  <c r="W29"/>
  <c r="W61" s="1"/>
  <c r="DC887" i="20"/>
  <c r="C439" i="56"/>
  <c r="C78"/>
  <c r="C801" i="57"/>
  <c r="C440"/>
  <c r="C78"/>
  <c r="BN778" i="20"/>
  <c r="BN779" s="1"/>
  <c r="BN859"/>
  <c r="BN861" s="1"/>
  <c r="BO651"/>
  <c r="AD229"/>
  <c r="AD223"/>
  <c r="BN745"/>
  <c r="DD897" s="1"/>
  <c r="BN708"/>
  <c r="BN709"/>
  <c r="BN710" s="1"/>
  <c r="AD222"/>
  <c r="BO650"/>
  <c r="AC36"/>
  <c r="AC18"/>
  <c r="Y17" i="19"/>
  <c r="X10" i="68" s="1"/>
  <c r="X42" s="1"/>
  <c r="DL868" i="20"/>
  <c r="AM47" i="16"/>
  <c r="AH36"/>
  <c r="AH50"/>
  <c r="AH29"/>
  <c r="AK251"/>
  <c r="AK223" s="1"/>
  <c r="AK35" s="1"/>
  <c r="AK278"/>
  <c r="AK305"/>
  <c r="AD227" i="20" l="1"/>
  <c r="AD231" s="1"/>
  <c r="AD232" s="1"/>
  <c r="C440" i="56"/>
  <c r="C79"/>
  <c r="C802" i="57"/>
  <c r="C441"/>
  <c r="C79"/>
  <c r="BN749" i="20"/>
  <c r="BN748"/>
  <c r="BN738"/>
  <c r="DD869"/>
  <c r="BN780"/>
  <c r="AD443"/>
  <c r="AD390" s="1"/>
  <c r="AD76" s="1"/>
  <c r="BN619"/>
  <c r="AC48"/>
  <c r="AC59" s="1"/>
  <c r="AC152"/>
  <c r="AC156" s="1"/>
  <c r="AC158"/>
  <c r="AC181" s="1"/>
  <c r="AD537"/>
  <c r="AD490"/>
  <c r="AC212"/>
  <c r="AC26"/>
  <c r="AC34" s="1"/>
  <c r="BN586"/>
  <c r="Z117" i="19"/>
  <c r="AM50" i="16"/>
  <c r="AM36"/>
  <c r="Z109" i="19"/>
  <c r="AH40" i="16"/>
  <c r="AM29"/>
  <c r="Z110" i="19"/>
  <c r="AH33" i="16"/>
  <c r="AP35"/>
  <c r="AA108" i="19"/>
  <c r="AK55" i="16"/>
  <c r="AH59"/>
  <c r="Z118" i="19" s="1"/>
  <c r="AH58" i="16"/>
  <c r="Z119" i="19" s="1"/>
  <c r="C80" i="56" l="1"/>
  <c r="C441"/>
  <c r="C803" i="57"/>
  <c r="C442"/>
  <c r="C80"/>
  <c r="BO665" i="20"/>
  <c r="AD87"/>
  <c r="AD155"/>
  <c r="DG886"/>
  <c r="DI886" s="1"/>
  <c r="BN598"/>
  <c r="BN841"/>
  <c r="BN704"/>
  <c r="BN781"/>
  <c r="BN787"/>
  <c r="DD889"/>
  <c r="BN734"/>
  <c r="BN632"/>
  <c r="AD173"/>
  <c r="BO802"/>
  <c r="DG878" s="1"/>
  <c r="AD233"/>
  <c r="BN739"/>
  <c r="AC157"/>
  <c r="AC211" s="1"/>
  <c r="AC213" s="1"/>
  <c r="X16" i="19"/>
  <c r="DI869" i="20"/>
  <c r="DD872"/>
  <c r="AC35"/>
  <c r="AC70"/>
  <c r="Z112" i="19"/>
  <c r="Z114" s="1"/>
  <c r="Z116" s="1"/>
  <c r="AA115" s="1"/>
  <c r="AM40" i="16"/>
  <c r="AH56"/>
  <c r="AM33"/>
  <c r="Z122" i="19"/>
  <c r="AH41" i="16"/>
  <c r="X20" i="19" l="1"/>
  <c r="X23" s="1"/>
  <c r="W9" i="68"/>
  <c r="C442" i="56"/>
  <c r="C81"/>
  <c r="C443" i="57"/>
  <c r="C804"/>
  <c r="C81"/>
  <c r="DL878" i="20"/>
  <c r="Y29" i="19"/>
  <c r="X22" i="68" s="1"/>
  <c r="X54" s="1"/>
  <c r="DD883" i="20"/>
  <c r="BN810"/>
  <c r="DG858"/>
  <c r="BO677"/>
  <c r="BO784"/>
  <c r="DG880" s="1"/>
  <c r="DI889"/>
  <c r="DD891"/>
  <c r="AD88"/>
  <c r="BO737"/>
  <c r="BO741"/>
  <c r="BN735"/>
  <c r="BN736"/>
  <c r="BN705"/>
  <c r="BN646"/>
  <c r="Y32" i="19"/>
  <c r="X25" i="68" s="1"/>
  <c r="X57" s="1"/>
  <c r="BN616" i="20"/>
  <c r="BN733"/>
  <c r="BN700"/>
  <c r="DI872"/>
  <c r="DD879"/>
  <c r="AD140"/>
  <c r="AD141" s="1"/>
  <c r="BO769"/>
  <c r="BN785"/>
  <c r="BN786" s="1"/>
  <c r="DD881"/>
  <c r="AH46" i="16"/>
  <c r="AM41"/>
  <c r="W13" i="68" l="1"/>
  <c r="W41"/>
  <c r="W45" s="1"/>
  <c r="W48" s="1"/>
  <c r="C443" i="56"/>
  <c r="C82"/>
  <c r="C444" i="57"/>
  <c r="C805"/>
  <c r="C82"/>
  <c r="Y24" i="19"/>
  <c r="DL880" i="20"/>
  <c r="X25" i="19"/>
  <c r="DD894" i="20"/>
  <c r="DI881"/>
  <c r="DD885"/>
  <c r="DI879"/>
  <c r="BN617"/>
  <c r="BN750" s="1"/>
  <c r="BN751"/>
  <c r="DD898" s="1"/>
  <c r="BN703"/>
  <c r="DI891"/>
  <c r="X34" i="19"/>
  <c r="DI883" i="20"/>
  <c r="X26" i="19"/>
  <c r="W19" i="68" s="1"/>
  <c r="W51" s="1"/>
  <c r="DG877" i="20"/>
  <c r="BO770"/>
  <c r="AE139"/>
  <c r="AD147"/>
  <c r="AD149" s="1"/>
  <c r="AD150" s="1"/>
  <c r="BO740" s="1"/>
  <c r="BO678"/>
  <c r="BO679" s="1"/>
  <c r="DL858"/>
  <c r="DG860"/>
  <c r="DG895"/>
  <c r="BN658"/>
  <c r="BN840"/>
  <c r="BN842" s="1"/>
  <c r="AD89"/>
  <c r="AD64" s="1"/>
  <c r="AH351" i="16"/>
  <c r="AK44"/>
  <c r="AM46"/>
  <c r="W53" i="68" l="1"/>
  <c r="W56" s="1"/>
  <c r="W58" s="1"/>
  <c r="W16"/>
  <c r="W21" s="1"/>
  <c r="W24" s="1"/>
  <c r="W26" s="1"/>
  <c r="W30"/>
  <c r="W62" s="1"/>
  <c r="X35" i="19"/>
  <c r="W27" i="68"/>
  <c r="X37" i="19"/>
  <c r="W18" i="68"/>
  <c r="W50" s="1"/>
  <c r="Y36" i="19"/>
  <c r="X17" i="68"/>
  <c r="X28" i="19"/>
  <c r="X31" s="1"/>
  <c r="X33" s="1"/>
  <c r="C444" i="56"/>
  <c r="C83"/>
  <c r="C445" i="57"/>
  <c r="C806"/>
  <c r="C83"/>
  <c r="DL860" i="20"/>
  <c r="DI885"/>
  <c r="DD887"/>
  <c r="DL877"/>
  <c r="Y30" i="19"/>
  <c r="X23" i="68" s="1"/>
  <c r="X55" s="1"/>
  <c r="AD151" i="20"/>
  <c r="AE62"/>
  <c r="AD67"/>
  <c r="AE63"/>
  <c r="AD225"/>
  <c r="BO652"/>
  <c r="BO655" s="1"/>
  <c r="BO776"/>
  <c r="BP768"/>
  <c r="DJ868" s="1"/>
  <c r="DG861"/>
  <c r="DL861" s="1"/>
  <c r="AP44" i="16"/>
  <c r="AK47"/>
  <c r="X49" i="68" l="1"/>
  <c r="X29"/>
  <c r="X61" s="1"/>
  <c r="W28"/>
  <c r="W60" s="1"/>
  <c r="W59"/>
  <c r="DF887" i="20"/>
  <c r="DG862"/>
  <c r="DL862" s="1"/>
  <c r="C445" i="56"/>
  <c r="C84"/>
  <c r="C446" i="57"/>
  <c r="C807"/>
  <c r="C84"/>
  <c r="Z17" i="19"/>
  <c r="Y10" i="68" s="1"/>
  <c r="Y42" s="1"/>
  <c r="DO868" i="20"/>
  <c r="AE222"/>
  <c r="BP650"/>
  <c r="AE229"/>
  <c r="AE223"/>
  <c r="BP651"/>
  <c r="BO709"/>
  <c r="BO710" s="1"/>
  <c r="BO745"/>
  <c r="DG897" s="1"/>
  <c r="BO708"/>
  <c r="BO778"/>
  <c r="BO779" s="1"/>
  <c r="BO859"/>
  <c r="BO861" s="1"/>
  <c r="AD18"/>
  <c r="AD36"/>
  <c r="AP47" i="16"/>
  <c r="AK29"/>
  <c r="AK50"/>
  <c r="AK36"/>
  <c r="AN251"/>
  <c r="AN223" s="1"/>
  <c r="AN35" s="1"/>
  <c r="AN278"/>
  <c r="AN305"/>
  <c r="C446" i="56" l="1"/>
  <c r="C85"/>
  <c r="C808" i="57"/>
  <c r="C447"/>
  <c r="C85"/>
  <c r="AE227" i="20"/>
  <c r="AE231" s="1"/>
  <c r="AE232" s="1"/>
  <c r="BO738"/>
  <c r="DG869"/>
  <c r="BO780"/>
  <c r="AD26"/>
  <c r="AD34" s="1"/>
  <c r="AD212"/>
  <c r="BO586"/>
  <c r="AE443"/>
  <c r="AE390" s="1"/>
  <c r="AE76" s="1"/>
  <c r="BO619"/>
  <c r="AE537"/>
  <c r="AD48"/>
  <c r="AD59" s="1"/>
  <c r="AD152"/>
  <c r="AD156" s="1"/>
  <c r="AD158"/>
  <c r="AD181" s="1"/>
  <c r="AE490"/>
  <c r="BO749"/>
  <c r="BO748"/>
  <c r="AA117" i="19"/>
  <c r="AP50" i="16"/>
  <c r="AK59"/>
  <c r="AA118" i="19" s="1"/>
  <c r="AK58" i="16"/>
  <c r="AA119" i="19" s="1"/>
  <c r="AA110"/>
  <c r="AP29" i="16"/>
  <c r="AK33"/>
  <c r="AA109" i="19"/>
  <c r="AP36" i="16"/>
  <c r="AK40"/>
  <c r="AN55"/>
  <c r="AS35"/>
  <c r="AB108" i="19"/>
  <c r="C447" i="56" l="1"/>
  <c r="C86"/>
  <c r="C809" i="57"/>
  <c r="C448"/>
  <c r="C86"/>
  <c r="AE233" i="20"/>
  <c r="BP769" s="1"/>
  <c r="AD35"/>
  <c r="AD70"/>
  <c r="AE173"/>
  <c r="BP802"/>
  <c r="DJ878" s="1"/>
  <c r="AE155"/>
  <c r="BP665"/>
  <c r="AE87"/>
  <c r="BO704"/>
  <c r="DG889"/>
  <c r="BO787"/>
  <c r="BO734"/>
  <c r="BO632"/>
  <c r="BO781"/>
  <c r="Y16" i="19"/>
  <c r="DG872" i="20"/>
  <c r="DL869"/>
  <c r="BO739"/>
  <c r="AD157"/>
  <c r="AD211" s="1"/>
  <c r="AD213" s="1"/>
  <c r="DJ886"/>
  <c r="DL886" s="1"/>
  <c r="BO598"/>
  <c r="BO841"/>
  <c r="AP40" i="16"/>
  <c r="AK56"/>
  <c r="AK41"/>
  <c r="AP33"/>
  <c r="AA122" i="19"/>
  <c r="AA112"/>
  <c r="AA114" s="1"/>
  <c r="AA116" s="1"/>
  <c r="AB115" s="1"/>
  <c r="Y20" l="1"/>
  <c r="Y23" s="1"/>
  <c r="X9" i="68"/>
  <c r="AE140" i="20"/>
  <c r="AE141" s="1"/>
  <c r="C448" i="56"/>
  <c r="C87"/>
  <c r="C87" i="57"/>
  <c r="C810"/>
  <c r="C449"/>
  <c r="DL872" i="20"/>
  <c r="DG879"/>
  <c r="DJ877"/>
  <c r="BP770"/>
  <c r="BO736"/>
  <c r="BO705"/>
  <c r="BO735"/>
  <c r="BO646"/>
  <c r="DG891"/>
  <c r="DL889"/>
  <c r="BO810"/>
  <c r="DG883"/>
  <c r="DO878"/>
  <c r="Z29" i="19"/>
  <c r="Y22" i="68" s="1"/>
  <c r="Y54" s="1"/>
  <c r="BP737" i="20"/>
  <c r="BP741"/>
  <c r="BP677"/>
  <c r="DJ858"/>
  <c r="BP784"/>
  <c r="DJ880" s="1"/>
  <c r="Z32" i="19"/>
  <c r="Y25" i="68" s="1"/>
  <c r="Y57" s="1"/>
  <c r="BO733" i="20"/>
  <c r="BO616"/>
  <c r="BO700"/>
  <c r="DG881"/>
  <c r="BO785"/>
  <c r="BO786" s="1"/>
  <c r="AE88"/>
  <c r="AE89" s="1"/>
  <c r="AE64" s="1"/>
  <c r="AK46" i="16"/>
  <c r="AP41"/>
  <c r="X41" i="68" l="1"/>
  <c r="X45" s="1"/>
  <c r="X48" s="1"/>
  <c r="X13"/>
  <c r="BO840" i="20"/>
  <c r="BO842" s="1"/>
  <c r="C449" i="56"/>
  <c r="C88"/>
  <c r="C88" i="57"/>
  <c r="C811"/>
  <c r="C450"/>
  <c r="Y25" i="19"/>
  <c r="DG894" i="20"/>
  <c r="DL881"/>
  <c r="DL891"/>
  <c r="Y34" i="19"/>
  <c r="DJ860" i="20"/>
  <c r="DO858"/>
  <c r="DJ895"/>
  <c r="AE147"/>
  <c r="AE149" s="1"/>
  <c r="AE150" s="1"/>
  <c r="AF139"/>
  <c r="BP678"/>
  <c r="BP679" s="1"/>
  <c r="DL883"/>
  <c r="Y26" i="19"/>
  <c r="DG885" i="20"/>
  <c r="DL879"/>
  <c r="AE225"/>
  <c r="BP652"/>
  <c r="BP655" s="1"/>
  <c r="AE67"/>
  <c r="AF62"/>
  <c r="AF63"/>
  <c r="Z24" i="19"/>
  <c r="DO880" i="20"/>
  <c r="DO877"/>
  <c r="Z30" i="19"/>
  <c r="Y23" i="68" s="1"/>
  <c r="Y55" s="1"/>
  <c r="BO617" i="20"/>
  <c r="BO750" s="1"/>
  <c r="BO703"/>
  <c r="BO751"/>
  <c r="DG898" s="1"/>
  <c r="BO658"/>
  <c r="AK351" i="16"/>
  <c r="AN44"/>
  <c r="AP46"/>
  <c r="X16" i="68" l="1"/>
  <c r="X30"/>
  <c r="X62" s="1"/>
  <c r="Y37" i="19"/>
  <c r="X18" i="68"/>
  <c r="X50" s="1"/>
  <c r="Z36" i="19"/>
  <c r="Y17" i="68"/>
  <c r="Y28" i="19"/>
  <c r="Y31" s="1"/>
  <c r="Y33" s="1"/>
  <c r="X19" i="68"/>
  <c r="X51" s="1"/>
  <c r="Y35" i="19"/>
  <c r="X27" i="68"/>
  <c r="C89" i="56"/>
  <c r="C450"/>
  <c r="C89" i="57"/>
  <c r="C812"/>
  <c r="C451"/>
  <c r="BP740" i="20"/>
  <c r="AE151"/>
  <c r="BQ651"/>
  <c r="AF223"/>
  <c r="AF229"/>
  <c r="BP708"/>
  <c r="BP745"/>
  <c r="DJ897" s="1"/>
  <c r="BP709"/>
  <c r="BP710" s="1"/>
  <c r="DJ861"/>
  <c r="DO861" s="1"/>
  <c r="BP776"/>
  <c r="BQ768"/>
  <c r="AF222"/>
  <c r="AF227" s="1"/>
  <c r="BQ650"/>
  <c r="DO860"/>
  <c r="DG887"/>
  <c r="DL885"/>
  <c r="AS44" i="16"/>
  <c r="AN47"/>
  <c r="X21" i="68" l="1"/>
  <c r="X24" s="1"/>
  <c r="X26" s="1"/>
  <c r="X53"/>
  <c r="X56" s="1"/>
  <c r="X58" s="1"/>
  <c r="Y49"/>
  <c r="Y29"/>
  <c r="Y61" s="1"/>
  <c r="X59"/>
  <c r="X28"/>
  <c r="X60" s="1"/>
  <c r="DI887" i="20"/>
  <c r="C90" i="56"/>
  <c r="C451"/>
  <c r="C90" i="57"/>
  <c r="C813"/>
  <c r="C452"/>
  <c r="DJ862" i="20"/>
  <c r="DO862" s="1"/>
  <c r="DM868"/>
  <c r="AF231"/>
  <c r="AF232" s="1"/>
  <c r="AE36"/>
  <c r="AE18"/>
  <c r="BP778"/>
  <c r="BP779" s="1"/>
  <c r="BP859"/>
  <c r="BP861" s="1"/>
  <c r="BP749"/>
  <c r="BP748"/>
  <c r="AS47" i="16"/>
  <c r="AN29"/>
  <c r="AN50"/>
  <c r="AN58" s="1"/>
  <c r="AB119" i="19" s="1"/>
  <c r="AN36" i="16"/>
  <c r="AQ251"/>
  <c r="AQ223" s="1"/>
  <c r="AQ35" s="1"/>
  <c r="AQ305"/>
  <c r="AQ278"/>
  <c r="C452" i="56" l="1"/>
  <c r="C91"/>
  <c r="C814" i="57"/>
  <c r="C91"/>
  <c r="C453"/>
  <c r="AA17" i="19"/>
  <c r="Z10" i="68" s="1"/>
  <c r="Z42" s="1"/>
  <c r="DR868" i="20"/>
  <c r="AF233"/>
  <c r="BQ802"/>
  <c r="DM878" s="1"/>
  <c r="AF173"/>
  <c r="AE48"/>
  <c r="AE59" s="1"/>
  <c r="AE152"/>
  <c r="AE156" s="1"/>
  <c r="AE158"/>
  <c r="AE181" s="1"/>
  <c r="AF490"/>
  <c r="AF537"/>
  <c r="BP619"/>
  <c r="AF443"/>
  <c r="AF390" s="1"/>
  <c r="AF76" s="1"/>
  <c r="AE212"/>
  <c r="BP586"/>
  <c r="AE26"/>
  <c r="AE34" s="1"/>
  <c r="DJ869"/>
  <c r="BP738"/>
  <c r="BP780"/>
  <c r="AN59" i="16"/>
  <c r="AB118" i="19" s="1"/>
  <c r="AS50" i="16"/>
  <c r="AB117" i="19"/>
  <c r="AB109"/>
  <c r="AS36" i="16"/>
  <c r="AN40"/>
  <c r="AS29"/>
  <c r="AB110" i="19"/>
  <c r="AN33" i="16"/>
  <c r="AC108" i="19"/>
  <c r="AQ55" i="16"/>
  <c r="AV35"/>
  <c r="C453" i="56" l="1"/>
  <c r="C92"/>
  <c r="C92" i="57"/>
  <c r="C815"/>
  <c r="C454"/>
  <c r="Z16" i="19"/>
  <c r="DJ872" i="20"/>
  <c r="DO869"/>
  <c r="BP632"/>
  <c r="BP787"/>
  <c r="BP704"/>
  <c r="BP781"/>
  <c r="DJ889"/>
  <c r="BP734"/>
  <c r="BQ769"/>
  <c r="AF140"/>
  <c r="AF141" s="1"/>
  <c r="AF155"/>
  <c r="BQ665"/>
  <c r="AF87"/>
  <c r="DR878"/>
  <c r="AA29" i="19"/>
  <c r="Z22" i="68" s="1"/>
  <c r="Z54" s="1"/>
  <c r="BP598" i="20"/>
  <c r="DM886"/>
  <c r="DO886" s="1"/>
  <c r="BP841"/>
  <c r="AE70"/>
  <c r="AE35"/>
  <c r="BP739"/>
  <c r="AE157"/>
  <c r="AE211" s="1"/>
  <c r="AE213" s="1"/>
  <c r="AB112" i="19"/>
  <c r="AB114" s="1"/>
  <c r="AB116" s="1"/>
  <c r="AC115" s="1"/>
  <c r="AN56" i="16"/>
  <c r="AS40"/>
  <c r="AN41"/>
  <c r="AB122" i="19"/>
  <c r="AS33" i="16"/>
  <c r="Z20" i="19" l="1"/>
  <c r="Z23" s="1"/>
  <c r="Y9" i="68"/>
  <c r="C454" i="56"/>
  <c r="C93"/>
  <c r="C93" i="57"/>
  <c r="C816"/>
  <c r="C455"/>
  <c r="BP733" i="20"/>
  <c r="BP616"/>
  <c r="BP700"/>
  <c r="AA32" i="19"/>
  <c r="Z25" i="68" s="1"/>
  <c r="Z57" s="1"/>
  <c r="DM877" i="20"/>
  <c r="BQ770"/>
  <c r="DO872"/>
  <c r="DJ879"/>
  <c r="BQ741"/>
  <c r="BQ737"/>
  <c r="BP646"/>
  <c r="BP736"/>
  <c r="BP705"/>
  <c r="BP735"/>
  <c r="BQ677"/>
  <c r="DM858"/>
  <c r="BQ784"/>
  <c r="DM880" s="1"/>
  <c r="DJ883"/>
  <c r="BP810"/>
  <c r="AF88"/>
  <c r="AF89" s="1"/>
  <c r="AF64" s="1"/>
  <c r="BP785"/>
  <c r="BP786" s="1"/>
  <c r="DJ881"/>
  <c r="DO889"/>
  <c r="DJ891"/>
  <c r="AS41" i="16"/>
  <c r="AN46"/>
  <c r="Y41" i="68" l="1"/>
  <c r="Y45" s="1"/>
  <c r="Y48" s="1"/>
  <c r="Y13"/>
  <c r="C455" i="56"/>
  <c r="C94"/>
  <c r="C94" i="57"/>
  <c r="C817"/>
  <c r="C456"/>
  <c r="BP840" i="20"/>
  <c r="BP842" s="1"/>
  <c r="BP751"/>
  <c r="DJ898" s="1"/>
  <c r="BP617"/>
  <c r="BP750" s="1"/>
  <c r="BP703"/>
  <c r="DO879"/>
  <c r="DJ885"/>
  <c r="AG63"/>
  <c r="AF67"/>
  <c r="AG62"/>
  <c r="AF225"/>
  <c r="BQ652"/>
  <c r="BQ655" s="1"/>
  <c r="DR858"/>
  <c r="DM895"/>
  <c r="DM860"/>
  <c r="AA24" i="19"/>
  <c r="DR880" i="20"/>
  <c r="DO883"/>
  <c r="Z26" i="19"/>
  <c r="Y19" i="68" s="1"/>
  <c r="Y51" s="1"/>
  <c r="Z25" i="19"/>
  <c r="DJ894" i="20"/>
  <c r="DO881"/>
  <c r="DO891"/>
  <c r="Z34" i="19"/>
  <c r="BQ678" i="20"/>
  <c r="BQ679" s="1"/>
  <c r="AF147"/>
  <c r="AF149" s="1"/>
  <c r="AF150" s="1"/>
  <c r="AG139"/>
  <c r="DR877"/>
  <c r="AA30" i="19"/>
  <c r="Z23" i="68" s="1"/>
  <c r="Z55" s="1"/>
  <c r="BP658" i="20"/>
  <c r="AN351" i="16"/>
  <c r="AQ44"/>
  <c r="AS46"/>
  <c r="Z37" i="19" l="1"/>
  <c r="Y18" i="68"/>
  <c r="Y50" s="1"/>
  <c r="Y53" s="1"/>
  <c r="Y56" s="1"/>
  <c r="Y58" s="1"/>
  <c r="Y16"/>
  <c r="Z35" i="19"/>
  <c r="Y27" i="68"/>
  <c r="AA36" i="19"/>
  <c r="Z17" i="68"/>
  <c r="C456" i="56"/>
  <c r="C95"/>
  <c r="C95" i="57"/>
  <c r="C818"/>
  <c r="C457"/>
  <c r="AG222" i="20"/>
  <c r="BR650"/>
  <c r="BQ745"/>
  <c r="DM897" s="1"/>
  <c r="BQ708"/>
  <c r="BQ709"/>
  <c r="BQ710" s="1"/>
  <c r="DJ887"/>
  <c r="DO885"/>
  <c r="Z28" i="19"/>
  <c r="Z31" s="1"/>
  <c r="Z33" s="1"/>
  <c r="BQ740" i="20"/>
  <c r="AF151"/>
  <c r="AG229"/>
  <c r="BR651"/>
  <c r="AG223"/>
  <c r="BQ776"/>
  <c r="BR768"/>
  <c r="DM861"/>
  <c r="DR861" s="1"/>
  <c r="DR860"/>
  <c r="AV44" i="16"/>
  <c r="AQ47"/>
  <c r="Z49" i="68" l="1"/>
  <c r="Z29"/>
  <c r="Z61" s="1"/>
  <c r="Y21"/>
  <c r="Y24" s="1"/>
  <c r="Y26" s="1"/>
  <c r="Y28"/>
  <c r="Y60" s="1"/>
  <c r="Y59"/>
  <c r="Y30"/>
  <c r="Y62" s="1"/>
  <c r="AG227" i="20"/>
  <c r="AG231" s="1"/>
  <c r="AG232" s="1"/>
  <c r="DL887"/>
  <c r="C457" i="56"/>
  <c r="C96"/>
  <c r="C96" i="57"/>
  <c r="C458"/>
  <c r="C819"/>
  <c r="DM862" i="20"/>
  <c r="DR862" s="1"/>
  <c r="AF18"/>
  <c r="AF36"/>
  <c r="BQ748"/>
  <c r="BQ749"/>
  <c r="BQ778"/>
  <c r="BQ779" s="1"/>
  <c r="BQ859"/>
  <c r="BQ861" s="1"/>
  <c r="DP868"/>
  <c r="AQ50" i="16"/>
  <c r="AQ29"/>
  <c r="AQ36"/>
  <c r="AV47"/>
  <c r="AT251"/>
  <c r="AT223" s="1"/>
  <c r="AT35" s="1"/>
  <c r="AT278"/>
  <c r="AT305"/>
  <c r="AG233" i="20" l="1"/>
  <c r="AG140" s="1"/>
  <c r="AG141" s="1"/>
  <c r="C458" i="56"/>
  <c r="C97"/>
  <c r="C97" i="57"/>
  <c r="C459"/>
  <c r="C820"/>
  <c r="DM869" i="20"/>
  <c r="BQ738"/>
  <c r="BQ780"/>
  <c r="BQ586"/>
  <c r="AF26"/>
  <c r="AF34" s="1"/>
  <c r="AF212"/>
  <c r="AG173"/>
  <c r="BR802"/>
  <c r="DP878" s="1"/>
  <c r="AB17" i="19"/>
  <c r="AA10" i="68" s="1"/>
  <c r="AA42" s="1"/>
  <c r="DU868" i="20"/>
  <c r="AF48"/>
  <c r="AF59" s="1"/>
  <c r="AF152"/>
  <c r="AF156" s="1"/>
  <c r="AF158"/>
  <c r="AF181" s="1"/>
  <c r="AG443"/>
  <c r="AG390" s="1"/>
  <c r="AG76" s="1"/>
  <c r="AG490"/>
  <c r="AG537"/>
  <c r="BQ619"/>
  <c r="AV50" i="16"/>
  <c r="AC117" i="19"/>
  <c r="AQ59" i="16"/>
  <c r="AC118" i="19" s="1"/>
  <c r="AV29" i="16"/>
  <c r="AC110" i="19"/>
  <c r="AQ33" i="16"/>
  <c r="AC109" i="19"/>
  <c r="AV36" i="16"/>
  <c r="AQ40"/>
  <c r="AT55"/>
  <c r="AQ58"/>
  <c r="AC119" i="19" s="1"/>
  <c r="BR769" i="20" l="1"/>
  <c r="BR770" s="1"/>
  <c r="C459" i="56"/>
  <c r="C98"/>
  <c r="C821" i="57"/>
  <c r="C98"/>
  <c r="C460"/>
  <c r="BQ787" i="20"/>
  <c r="BQ704"/>
  <c r="BQ781"/>
  <c r="DM889"/>
  <c r="BQ734"/>
  <c r="BQ632"/>
  <c r="BQ598"/>
  <c r="BQ841"/>
  <c r="DP886"/>
  <c r="DR886" s="1"/>
  <c r="AA16" i="19"/>
  <c r="DM872" i="20"/>
  <c r="DR869"/>
  <c r="AF35"/>
  <c r="AF70"/>
  <c r="BQ739"/>
  <c r="AF157"/>
  <c r="AF211" s="1"/>
  <c r="AF213" s="1"/>
  <c r="AG155"/>
  <c r="BR665"/>
  <c r="AG87"/>
  <c r="DU878"/>
  <c r="AB29" i="19"/>
  <c r="AA22" i="68" s="1"/>
  <c r="AA54" s="1"/>
  <c r="AQ56" i="16"/>
  <c r="AV40"/>
  <c r="AV33"/>
  <c r="AQ41"/>
  <c r="AC122" i="19"/>
  <c r="AC112"/>
  <c r="AC114" s="1"/>
  <c r="AC116" s="1"/>
  <c r="AA20" l="1"/>
  <c r="AA23" s="1"/>
  <c r="Z9" i="68"/>
  <c r="DP877" i="20"/>
  <c r="AB30" i="19" s="1"/>
  <c r="AA23" i="68" s="1"/>
  <c r="AA55" s="1"/>
  <c r="C460" i="56"/>
  <c r="C99"/>
  <c r="C99" i="57"/>
  <c r="C822"/>
  <c r="C461"/>
  <c r="BQ785" i="20"/>
  <c r="BQ786" s="1"/>
  <c r="DM881"/>
  <c r="BQ616"/>
  <c r="BQ733"/>
  <c r="BQ700"/>
  <c r="BR737"/>
  <c r="BR741"/>
  <c r="DM891"/>
  <c r="DR889"/>
  <c r="AB32" i="19"/>
  <c r="AA25" i="68" s="1"/>
  <c r="AA57" s="1"/>
  <c r="DM879" i="20"/>
  <c r="DR872"/>
  <c r="BQ736"/>
  <c r="BQ646"/>
  <c r="BQ705"/>
  <c r="BQ735"/>
  <c r="BQ810"/>
  <c r="DM883"/>
  <c r="DP858"/>
  <c r="BR677"/>
  <c r="BR784"/>
  <c r="DP880" s="1"/>
  <c r="AG88"/>
  <c r="AQ46" i="16"/>
  <c r="AV41"/>
  <c r="Z41" i="68" l="1"/>
  <c r="Z45" s="1"/>
  <c r="Z48" s="1"/>
  <c r="Z13"/>
  <c r="DU877" i="20"/>
  <c r="C461" i="56"/>
  <c r="C100"/>
  <c r="C100" i="57"/>
  <c r="C823"/>
  <c r="C462"/>
  <c r="BQ840" i="20"/>
  <c r="BQ842" s="1"/>
  <c r="AG147"/>
  <c r="AG149" s="1"/>
  <c r="AG150" s="1"/>
  <c r="BR678"/>
  <c r="AH139"/>
  <c r="DR879"/>
  <c r="DM885"/>
  <c r="AB24" i="19"/>
  <c r="DU880" i="20"/>
  <c r="DR883"/>
  <c r="AA26" i="19"/>
  <c r="Z19" i="68" s="1"/>
  <c r="Z51" s="1"/>
  <c r="AA25" i="19"/>
  <c r="DM894" i="20"/>
  <c r="DR881"/>
  <c r="DP895"/>
  <c r="DP860"/>
  <c r="DU858"/>
  <c r="AG89"/>
  <c r="AG64" s="1"/>
  <c r="BQ751"/>
  <c r="DM898" s="1"/>
  <c r="BQ703"/>
  <c r="BQ617"/>
  <c r="BQ750" s="1"/>
  <c r="DR891"/>
  <c r="AA34" i="19"/>
  <c r="BQ658" i="20"/>
  <c r="AQ351" i="16"/>
  <c r="AT44"/>
  <c r="AT47" s="1"/>
  <c r="AV46"/>
  <c r="Z16" i="68" l="1"/>
  <c r="Z21" s="1"/>
  <c r="Z24" s="1"/>
  <c r="Z26" s="1"/>
  <c r="Z30"/>
  <c r="Z62" s="1"/>
  <c r="AB36" i="19"/>
  <c r="AA17" i="68"/>
  <c r="Z53"/>
  <c r="Z56" s="1"/>
  <c r="Z58" s="1"/>
  <c r="AA37" i="19"/>
  <c r="Z18" i="68"/>
  <c r="Z50" s="1"/>
  <c r="AA35" i="19"/>
  <c r="Z27" i="68"/>
  <c r="AA28" i="19"/>
  <c r="AA31" s="1"/>
  <c r="AA33" s="1"/>
  <c r="C462" i="56"/>
  <c r="C101"/>
  <c r="C824" i="57"/>
  <c r="C463"/>
  <c r="C101"/>
  <c r="DR885" i="20"/>
  <c r="DM887"/>
  <c r="BR740"/>
  <c r="AG151"/>
  <c r="BR652"/>
  <c r="BR655" s="1"/>
  <c r="AH62"/>
  <c r="AH63"/>
  <c r="AG67"/>
  <c r="AG225"/>
  <c r="DU860"/>
  <c r="DP862"/>
  <c r="DU862" s="1"/>
  <c r="BR776"/>
  <c r="BS768"/>
  <c r="DP861"/>
  <c r="DU861" s="1"/>
  <c r="BR679"/>
  <c r="AT50" i="16"/>
  <c r="AT58" s="1"/>
  <c r="AT29"/>
  <c r="AT33" s="1"/>
  <c r="AT36"/>
  <c r="AT40" s="1"/>
  <c r="AT56" s="1"/>
  <c r="AA49" i="68" l="1"/>
  <c r="AA29"/>
  <c r="AA61" s="1"/>
  <c r="Z59"/>
  <c r="Z28"/>
  <c r="Z60" s="1"/>
  <c r="DO887" i="20"/>
  <c r="C463" i="56"/>
  <c r="C102"/>
  <c r="C825" i="57"/>
  <c r="C464"/>
  <c r="C102"/>
  <c r="AG36" i="20"/>
  <c r="AG18"/>
  <c r="DS868"/>
  <c r="AH223"/>
  <c r="AH229"/>
  <c r="BS651"/>
  <c r="BR778"/>
  <c r="BR779" s="1"/>
  <c r="BR859"/>
  <c r="BR861" s="1"/>
  <c r="BR708"/>
  <c r="BR709"/>
  <c r="BR710" s="1"/>
  <c r="BR745"/>
  <c r="DP897" s="1"/>
  <c r="AH222"/>
  <c r="BS650"/>
  <c r="AT41" i="16"/>
  <c r="AT46" s="1"/>
  <c r="AT351" s="1"/>
  <c r="AT59"/>
  <c r="AH227" i="20" l="1"/>
  <c r="AH231" s="1"/>
  <c r="AH232" s="1"/>
  <c r="C464" i="56"/>
  <c r="C103"/>
  <c r="C826" i="57"/>
  <c r="C465"/>
  <c r="C103"/>
  <c r="BR749" i="20"/>
  <c r="BR748"/>
  <c r="AC17" i="19"/>
  <c r="AB10" i="68" s="1"/>
  <c r="AB42" s="1"/>
  <c r="DX868" i="20"/>
  <c r="BR738"/>
  <c r="DP869"/>
  <c r="BR780"/>
  <c r="AG152"/>
  <c r="AG156" s="1"/>
  <c r="AG158"/>
  <c r="AG181" s="1"/>
  <c r="AG48"/>
  <c r="AG59" s="1"/>
  <c r="AH490"/>
  <c r="AH443"/>
  <c r="AH390" s="1"/>
  <c r="AH76" s="1"/>
  <c r="AH537"/>
  <c r="BR619"/>
  <c r="AG26"/>
  <c r="AG34" s="1"/>
  <c r="BR586"/>
  <c r="AG212"/>
  <c r="C465" i="56" l="1"/>
  <c r="C104"/>
  <c r="C466" i="57"/>
  <c r="C827"/>
  <c r="C104"/>
  <c r="AH173" i="20"/>
  <c r="BS802"/>
  <c r="DS878" s="1"/>
  <c r="AH233"/>
  <c r="BR781"/>
  <c r="BR734"/>
  <c r="BR632"/>
  <c r="BR704"/>
  <c r="BR787"/>
  <c r="DP889"/>
  <c r="AB16" i="19"/>
  <c r="DP872" i="20"/>
  <c r="DU869"/>
  <c r="BR739"/>
  <c r="AG157"/>
  <c r="AG211" s="1"/>
  <c r="AG213" s="1"/>
  <c r="AG35"/>
  <c r="AG70"/>
  <c r="AH155"/>
  <c r="AH87"/>
  <c r="BS665"/>
  <c r="BR841"/>
  <c r="DS886"/>
  <c r="DU886" s="1"/>
  <c r="BR598"/>
  <c r="AB20" i="19" l="1"/>
  <c r="AB23" s="1"/>
  <c r="AA9" i="68"/>
  <c r="C466" i="56"/>
  <c r="C105"/>
  <c r="C467" i="57"/>
  <c r="C828"/>
  <c r="C105"/>
  <c r="DP879" i="20"/>
  <c r="DU872"/>
  <c r="AH88"/>
  <c r="AH140"/>
  <c r="AH141" s="1"/>
  <c r="BS769"/>
  <c r="BR785"/>
  <c r="BR786" s="1"/>
  <c r="DP881"/>
  <c r="DU889"/>
  <c r="DP891"/>
  <c r="BS677"/>
  <c r="DS858"/>
  <c r="BS784"/>
  <c r="DS880" s="1"/>
  <c r="BR733"/>
  <c r="BR616"/>
  <c r="BR700"/>
  <c r="BR646"/>
  <c r="BR735"/>
  <c r="BR736"/>
  <c r="BR705"/>
  <c r="DX878"/>
  <c r="AC29" i="19"/>
  <c r="AB22" i="68" s="1"/>
  <c r="AB54" s="1"/>
  <c r="AC32" i="19"/>
  <c r="AB25" i="68" s="1"/>
  <c r="AB57" s="1"/>
  <c r="BS741" i="20"/>
  <c r="BS737"/>
  <c r="BR810"/>
  <c r="DP883"/>
  <c r="AA41" i="68" l="1"/>
  <c r="AA45" s="1"/>
  <c r="AA48" s="1"/>
  <c r="AA13"/>
  <c r="C467" i="56"/>
  <c r="C106"/>
  <c r="C468" i="57"/>
  <c r="C829"/>
  <c r="C106"/>
  <c r="BR751" i="20"/>
  <c r="DP898" s="1"/>
  <c r="BR617"/>
  <c r="BR750" s="1"/>
  <c r="BR703"/>
  <c r="DU879"/>
  <c r="DP885"/>
  <c r="DU891"/>
  <c r="AB34" i="19"/>
  <c r="DU883" i="20"/>
  <c r="AB26" i="19"/>
  <c r="AA19" i="68" s="1"/>
  <c r="AA51" s="1"/>
  <c r="DS860" i="20"/>
  <c r="DX858"/>
  <c r="DS895"/>
  <c r="DS877"/>
  <c r="BS770"/>
  <c r="AI139"/>
  <c r="AH147"/>
  <c r="AH149" s="1"/>
  <c r="AH150" s="1"/>
  <c r="BS740" s="1"/>
  <c r="BS678"/>
  <c r="AC24" i="19"/>
  <c r="DX880" i="20"/>
  <c r="AH89"/>
  <c r="AH64" s="1"/>
  <c r="BR840"/>
  <c r="BR842" s="1"/>
  <c r="AB25" i="19"/>
  <c r="DU881" i="20"/>
  <c r="DP894"/>
  <c r="BR658"/>
  <c r="AB37" i="19" l="1"/>
  <c r="AA18" i="68"/>
  <c r="AA50" s="1"/>
  <c r="AA53" s="1"/>
  <c r="AA56" s="1"/>
  <c r="AA58" s="1"/>
  <c r="AC36" i="19"/>
  <c r="AB17" i="68"/>
  <c r="AA16"/>
  <c r="AB35" i="19"/>
  <c r="AA27" i="68"/>
  <c r="AB28" i="19"/>
  <c r="AB31" s="1"/>
  <c r="AB33" s="1"/>
  <c r="C468" i="56"/>
  <c r="C107"/>
  <c r="C469" i="57"/>
  <c r="C830"/>
  <c r="C107"/>
  <c r="BS776" i="20"/>
  <c r="BT768"/>
  <c r="DS861"/>
  <c r="DX861" s="1"/>
  <c r="DX877"/>
  <c r="AC30" i="19"/>
  <c r="AB23" i="68" s="1"/>
  <c r="AB55" s="1"/>
  <c r="DU885" i="20"/>
  <c r="DP887"/>
  <c r="AH151"/>
  <c r="DX860"/>
  <c r="AH225"/>
  <c r="BS652"/>
  <c r="BS655" s="1"/>
  <c r="AH67"/>
  <c r="AI63"/>
  <c r="AI62"/>
  <c r="BS679"/>
  <c r="AA28" i="68" l="1"/>
  <c r="AA60" s="1"/>
  <c r="AA59"/>
  <c r="AA30"/>
  <c r="AA62" s="1"/>
  <c r="AA21"/>
  <c r="AA24" s="1"/>
  <c r="AA26" s="1"/>
  <c r="AB49"/>
  <c r="AB29"/>
  <c r="AB61" s="1"/>
  <c r="DR887" i="20"/>
  <c r="DS862"/>
  <c r="DX862" s="1"/>
  <c r="C469" i="56"/>
  <c r="C108"/>
  <c r="C831" i="57"/>
  <c r="C470"/>
  <c r="C108"/>
  <c r="AH36" i="20"/>
  <c r="AH18"/>
  <c r="BS778"/>
  <c r="BS779" s="1"/>
  <c r="BS859"/>
  <c r="BS861" s="1"/>
  <c r="DV868"/>
  <c r="AD17" i="19" s="1"/>
  <c r="AC10" i="68" s="1"/>
  <c r="AC42" s="1"/>
  <c r="AI223" i="20"/>
  <c r="BT651"/>
  <c r="AI229"/>
  <c r="BS709"/>
  <c r="BS710" s="1"/>
  <c r="BS745"/>
  <c r="DS897" s="1"/>
  <c r="BS708"/>
  <c r="AI222"/>
  <c r="BT650"/>
  <c r="AI227" l="1"/>
  <c r="AI231" s="1"/>
  <c r="AI232" s="1"/>
  <c r="AI173" s="1"/>
  <c r="C470" i="56"/>
  <c r="C109"/>
  <c r="C832" i="57"/>
  <c r="C471"/>
  <c r="C109"/>
  <c r="BS738" i="20"/>
  <c r="DS869"/>
  <c r="BS780"/>
  <c r="BS748"/>
  <c r="BS749"/>
  <c r="AH26"/>
  <c r="AH34" s="1"/>
  <c r="AH212"/>
  <c r="BS586"/>
  <c r="BS619"/>
  <c r="AH152"/>
  <c r="AH156" s="1"/>
  <c r="AH158"/>
  <c r="AH181" s="1"/>
  <c r="AI443"/>
  <c r="AI390" s="1"/>
  <c r="AI76" s="1"/>
  <c r="AH48"/>
  <c r="AH59" s="1"/>
  <c r="AI537"/>
  <c r="AI490"/>
  <c r="C471" i="56" l="1"/>
  <c r="C110"/>
  <c r="C833" i="57"/>
  <c r="C472"/>
  <c r="C110"/>
  <c r="BT802" i="20"/>
  <c r="DV878" s="1"/>
  <c r="AD29" i="19" s="1"/>
  <c r="AC22" i="68" s="1"/>
  <c r="AC54" s="1"/>
  <c r="AI233" i="20"/>
  <c r="BT769" s="1"/>
  <c r="AC16" i="19"/>
  <c r="DS872" i="20"/>
  <c r="DX869"/>
  <c r="DS889"/>
  <c r="BS734"/>
  <c r="BS787"/>
  <c r="BS704"/>
  <c r="BS632"/>
  <c r="BS781"/>
  <c r="BS739"/>
  <c r="AH157"/>
  <c r="AH211" s="1"/>
  <c r="AH213" s="1"/>
  <c r="AH35"/>
  <c r="AH70"/>
  <c r="AI155"/>
  <c r="BT665"/>
  <c r="AI87"/>
  <c r="DV886"/>
  <c r="BS598"/>
  <c r="BS841"/>
  <c r="AC20" i="19" l="1"/>
  <c r="AC23" s="1"/>
  <c r="AB9" i="68"/>
  <c r="AD32" i="19"/>
  <c r="AC25" i="68" s="1"/>
  <c r="AC57" s="1"/>
  <c r="DX886" i="20"/>
  <c r="C472" i="56"/>
  <c r="C111"/>
  <c r="C834" i="57"/>
  <c r="C473"/>
  <c r="C111"/>
  <c r="AI140" i="20"/>
  <c r="AI141" s="1"/>
  <c r="AI88"/>
  <c r="BS616"/>
  <c r="BS700"/>
  <c r="BS733"/>
  <c r="DX889"/>
  <c r="DS891"/>
  <c r="DV858"/>
  <c r="BT784"/>
  <c r="DV880" s="1"/>
  <c r="AD24" i="19" s="1"/>
  <c r="BT677" i="20"/>
  <c r="DX872"/>
  <c r="DS879"/>
  <c r="DV877"/>
  <c r="AD30" i="19" s="1"/>
  <c r="AC23" i="68" s="1"/>
  <c r="AC55" s="1"/>
  <c r="BT770" i="20"/>
  <c r="BS810"/>
  <c r="DS883"/>
  <c r="DS881"/>
  <c r="BS785"/>
  <c r="BS786" s="1"/>
  <c r="BT741"/>
  <c r="BT737"/>
  <c r="BS705"/>
  <c r="BS735"/>
  <c r="BS736"/>
  <c r="BS646"/>
  <c r="AD36" i="19" l="1"/>
  <c r="AC17" i="68"/>
  <c r="AB41"/>
  <c r="AB45" s="1"/>
  <c r="AB48" s="1"/>
  <c r="AB13"/>
  <c r="BS658" i="20"/>
  <c r="C473" i="56"/>
  <c r="C112"/>
  <c r="C835" i="57"/>
  <c r="C474"/>
  <c r="C112"/>
  <c r="DX891" i="20"/>
  <c r="AC34" i="19"/>
  <c r="DX883" i="20"/>
  <c r="AC26" i="19"/>
  <c r="BT678" i="20"/>
  <c r="BT679" s="1"/>
  <c r="AI147"/>
  <c r="AI149" s="1"/>
  <c r="AI150" s="1"/>
  <c r="AC25" i="19"/>
  <c r="DS894" i="20"/>
  <c r="DX881"/>
  <c r="BS840"/>
  <c r="BS842" s="1"/>
  <c r="DV860"/>
  <c r="DV895"/>
  <c r="DX879"/>
  <c r="DS885"/>
  <c r="AI89"/>
  <c r="AI64" s="1"/>
  <c r="BS703"/>
  <c r="BS617"/>
  <c r="BS750" s="1"/>
  <c r="BS751"/>
  <c r="DS898" s="1"/>
  <c r="AC37" i="19" l="1"/>
  <c r="AB18" i="68"/>
  <c r="AB50" s="1"/>
  <c r="AC35" i="19"/>
  <c r="AB27" i="68"/>
  <c r="AC49"/>
  <c r="AC29"/>
  <c r="AC61" s="1"/>
  <c r="AB16"/>
  <c r="AC28" i="19"/>
  <c r="AC31" s="1"/>
  <c r="AC33" s="1"/>
  <c r="AB19" i="68"/>
  <c r="AB51" s="1"/>
  <c r="C474" i="56"/>
  <c r="C113"/>
  <c r="C836" i="57"/>
  <c r="C475"/>
  <c r="C113"/>
  <c r="BT776" i="20"/>
  <c r="DV861"/>
  <c r="DV862" s="1"/>
  <c r="AI225"/>
  <c r="BT652"/>
  <c r="BT655" s="1"/>
  <c r="AI67"/>
  <c r="BT740"/>
  <c r="AI151"/>
  <c r="DX885"/>
  <c r="DS887"/>
  <c r="AB53" i="68" l="1"/>
  <c r="AB56" s="1"/>
  <c r="AB58" s="1"/>
  <c r="AB30"/>
  <c r="AB62" s="1"/>
  <c r="AB28"/>
  <c r="AB60" s="1"/>
  <c r="AB59"/>
  <c r="AB21"/>
  <c r="AB24" s="1"/>
  <c r="AB26" s="1"/>
  <c r="DU887" i="20"/>
  <c r="C475" i="56"/>
  <c r="C114"/>
  <c r="C837" i="57"/>
  <c r="C476"/>
  <c r="C114"/>
  <c r="BT778" i="20"/>
  <c r="BT779" s="1"/>
  <c r="BT859"/>
  <c r="BT861" s="1"/>
  <c r="BT709"/>
  <c r="BT710" s="1"/>
  <c r="BT745"/>
  <c r="DV897" s="1"/>
  <c r="BT708"/>
  <c r="AI18"/>
  <c r="AI36"/>
  <c r="C476" i="56" l="1"/>
  <c r="C115"/>
  <c r="C838" i="57"/>
  <c r="C477"/>
  <c r="C115"/>
  <c r="DV869" i="20"/>
  <c r="BT738"/>
  <c r="BT780"/>
  <c r="AI158"/>
  <c r="AI181" s="1"/>
  <c r="AI48"/>
  <c r="AI59" s="1"/>
  <c r="BT619"/>
  <c r="AI152"/>
  <c r="AI156" s="1"/>
  <c r="BT749"/>
  <c r="BT748"/>
  <c r="AI212"/>
  <c r="AI26"/>
  <c r="AI34" s="1"/>
  <c r="BT586"/>
  <c r="C477" i="56" l="1"/>
  <c r="C116"/>
  <c r="C839" i="57"/>
  <c r="C478"/>
  <c r="C116"/>
  <c r="DV872" i="20"/>
  <c r="DV879" s="1"/>
  <c r="AD16" i="19"/>
  <c r="AI35" i="20"/>
  <c r="AI70"/>
  <c r="BT598"/>
  <c r="BT841"/>
  <c r="BT739"/>
  <c r="AI157"/>
  <c r="AI211" s="1"/>
  <c r="AI213" s="1"/>
  <c r="BT734"/>
  <c r="BT704"/>
  <c r="DV889"/>
  <c r="DV891" s="1"/>
  <c r="AD34" i="19" s="1"/>
  <c r="BT632" i="20"/>
  <c r="BT781"/>
  <c r="BT787"/>
  <c r="AD20" i="19" l="1"/>
  <c r="AD23" s="1"/>
  <c r="AC9" i="68"/>
  <c r="AD35" i="19"/>
  <c r="AC27" i="68"/>
  <c r="C478" i="56"/>
  <c r="C117"/>
  <c r="C840" i="57"/>
  <c r="C479"/>
  <c r="C117"/>
  <c r="BT616" i="20"/>
  <c r="BT700"/>
  <c r="BT733"/>
  <c r="BT705"/>
  <c r="BT735"/>
  <c r="BT646"/>
  <c r="BT736"/>
  <c r="BT785"/>
  <c r="BT786" s="1"/>
  <c r="DV881"/>
  <c r="BT810"/>
  <c r="DV883"/>
  <c r="AD26" i="19" s="1"/>
  <c r="AC19" i="68" s="1"/>
  <c r="AC51" s="1"/>
  <c r="AC59" l="1"/>
  <c r="AC28"/>
  <c r="AC60" s="1"/>
  <c r="AC13"/>
  <c r="AC41"/>
  <c r="AC45" s="1"/>
  <c r="AC48" s="1"/>
  <c r="BT840" i="20"/>
  <c r="BT842" s="1"/>
  <c r="C479" i="56"/>
  <c r="C118"/>
  <c r="C841" i="57"/>
  <c r="C480"/>
  <c r="C118"/>
  <c r="AD25" i="19"/>
  <c r="DV894" i="20"/>
  <c r="BT617"/>
  <c r="BT750" s="1"/>
  <c r="BT703"/>
  <c r="BT751"/>
  <c r="DV898" s="1"/>
  <c r="DV885"/>
  <c r="DV887" s="1"/>
  <c r="DX887" s="1"/>
  <c r="BT658"/>
  <c r="AC16" i="68" l="1"/>
  <c r="AC21" s="1"/>
  <c r="AC24" s="1"/>
  <c r="AC26" s="1"/>
  <c r="AC30"/>
  <c r="AC62" s="1"/>
  <c r="AD37" i="19"/>
  <c r="AC18" i="68"/>
  <c r="AC50" s="1"/>
  <c r="AC53" s="1"/>
  <c r="AC56" s="1"/>
  <c r="AC58" s="1"/>
  <c r="AD28" i="19"/>
  <c r="AD31" s="1"/>
  <c r="AD33" s="1"/>
  <c r="C480" i="56"/>
  <c r="C119"/>
  <c r="C842" i="57"/>
  <c r="C481"/>
  <c r="C119"/>
  <c r="C481" i="56" l="1"/>
  <c r="C120"/>
  <c r="C843" i="57"/>
  <c r="C482"/>
  <c r="C120"/>
  <c r="C482" i="56" l="1"/>
  <c r="C121"/>
  <c r="C844" i="57"/>
  <c r="C483"/>
  <c r="C121"/>
  <c r="C483" i="56" l="1"/>
  <c r="C122"/>
  <c r="C845" i="57"/>
  <c r="C484"/>
  <c r="C122"/>
  <c r="C484" i="56" l="1"/>
  <c r="C123"/>
  <c r="C846" i="57"/>
  <c r="C485"/>
  <c r="C123"/>
  <c r="C485" i="56" l="1"/>
  <c r="C124"/>
  <c r="C847" i="57"/>
  <c r="C486"/>
  <c r="C124"/>
  <c r="C486" i="56" l="1"/>
  <c r="C125"/>
  <c r="C848" i="57"/>
  <c r="C487"/>
  <c r="C125"/>
  <c r="C487" i="56" l="1"/>
  <c r="C126"/>
  <c r="C849" i="57"/>
  <c r="C488"/>
  <c r="C126"/>
  <c r="C488" i="56" l="1"/>
  <c r="C127"/>
  <c r="C850" i="57"/>
  <c r="C489"/>
  <c r="C127"/>
  <c r="C489" i="56" l="1"/>
  <c r="C128"/>
  <c r="C851" i="57"/>
  <c r="C490"/>
  <c r="C128"/>
  <c r="C490" i="56" l="1"/>
  <c r="C129"/>
  <c r="C852" i="57"/>
  <c r="C491"/>
  <c r="C129"/>
  <c r="C491" i="56" l="1"/>
  <c r="C130"/>
  <c r="C853" i="57"/>
  <c r="C492"/>
  <c r="C130"/>
  <c r="C492" i="56" l="1"/>
  <c r="C131"/>
  <c r="C854" i="57"/>
  <c r="C493"/>
  <c r="C131"/>
  <c r="C493" i="56" l="1"/>
  <c r="C132"/>
  <c r="C855" i="57"/>
  <c r="C494"/>
  <c r="C132"/>
  <c r="C494" i="56" l="1"/>
  <c r="C133"/>
  <c r="C856" i="57"/>
  <c r="C495"/>
  <c r="C133"/>
  <c r="C495" i="56" l="1"/>
  <c r="C134"/>
  <c r="C857" i="57"/>
  <c r="C496"/>
  <c r="C134"/>
  <c r="C496" i="56" l="1"/>
  <c r="C135"/>
  <c r="C858" i="57"/>
  <c r="C497"/>
  <c r="C135"/>
  <c r="C497" i="56" l="1"/>
  <c r="C136"/>
  <c r="C859" i="57"/>
  <c r="C498"/>
  <c r="C136"/>
  <c r="C498" i="56" l="1"/>
  <c r="C137"/>
  <c r="C860" i="57"/>
  <c r="C499"/>
  <c r="C137"/>
  <c r="C499" i="56" l="1"/>
  <c r="C138"/>
  <c r="C861" i="57"/>
  <c r="C500"/>
  <c r="C138"/>
  <c r="C500" i="56" l="1"/>
  <c r="C139"/>
  <c r="C862" i="57"/>
  <c r="C501"/>
  <c r="C139"/>
  <c r="C501" i="56" l="1"/>
  <c r="C140"/>
  <c r="C863" i="57"/>
  <c r="C502"/>
  <c r="C140"/>
  <c r="C502" i="56" l="1"/>
  <c r="C141"/>
  <c r="C864" i="57"/>
  <c r="C503"/>
  <c r="C141"/>
  <c r="C503" i="56" l="1"/>
  <c r="C142"/>
  <c r="C865" i="57"/>
  <c r="C504"/>
  <c r="C142"/>
  <c r="C504" i="56" l="1"/>
  <c r="C143"/>
  <c r="C866" i="57"/>
  <c r="C505"/>
  <c r="C143"/>
  <c r="C505" i="56" l="1"/>
  <c r="C144"/>
  <c r="B5" i="54" s="1"/>
  <c r="I5" s="1"/>
  <c r="C867" i="57"/>
  <c r="C506"/>
  <c r="B3" i="54" s="1"/>
  <c r="C144" i="57"/>
  <c r="B2" i="54" s="1"/>
  <c r="E3" l="1"/>
  <c r="I3"/>
  <c r="E2"/>
  <c r="I2"/>
  <c r="E5"/>
  <c r="A5"/>
  <c r="D5"/>
  <c r="F5"/>
  <c r="G5"/>
  <c r="G3"/>
  <c r="F3"/>
  <c r="A3"/>
  <c r="G2"/>
  <c r="A2"/>
  <c r="F2"/>
  <c r="C506" i="56"/>
  <c r="B6" i="54" s="1"/>
  <c r="I6" s="1"/>
  <c r="D144" i="56"/>
  <c r="C145"/>
  <c r="C868" i="57"/>
  <c r="B4" i="54" s="1"/>
  <c r="I4" s="1"/>
  <c r="C507" i="57"/>
  <c r="D506"/>
  <c r="C145"/>
  <c r="D144"/>
  <c r="E4" i="54" l="1"/>
  <c r="E6"/>
  <c r="G6"/>
  <c r="D6"/>
  <c r="F6"/>
  <c r="A6"/>
  <c r="A4"/>
  <c r="G4"/>
  <c r="F4"/>
  <c r="D506" i="56"/>
  <c r="C507"/>
  <c r="E144"/>
  <c r="D3"/>
  <c r="E3" s="1"/>
  <c r="D2"/>
  <c r="D4"/>
  <c r="E4" s="1"/>
  <c r="D5"/>
  <c r="E5" s="1"/>
  <c r="D6"/>
  <c r="E6" s="1"/>
  <c r="D7"/>
  <c r="E7" s="1"/>
  <c r="D8"/>
  <c r="E8" s="1"/>
  <c r="D9"/>
  <c r="E9" s="1"/>
  <c r="D10"/>
  <c r="E10" s="1"/>
  <c r="D11"/>
  <c r="E11" s="1"/>
  <c r="D12"/>
  <c r="E12" s="1"/>
  <c r="D13"/>
  <c r="E13" s="1"/>
  <c r="D14"/>
  <c r="E14" s="1"/>
  <c r="D15"/>
  <c r="E15" s="1"/>
  <c r="D16"/>
  <c r="E16" s="1"/>
  <c r="D17"/>
  <c r="E17" s="1"/>
  <c r="D18"/>
  <c r="E18" s="1"/>
  <c r="D19"/>
  <c r="E19" s="1"/>
  <c r="D20"/>
  <c r="E20" s="1"/>
  <c r="D21"/>
  <c r="E21" s="1"/>
  <c r="D22"/>
  <c r="E22" s="1"/>
  <c r="D23"/>
  <c r="E23" s="1"/>
  <c r="D24"/>
  <c r="E24" s="1"/>
  <c r="D25"/>
  <c r="E25" s="1"/>
  <c r="D26"/>
  <c r="E26" s="1"/>
  <c r="D27"/>
  <c r="E27" s="1"/>
  <c r="D28"/>
  <c r="E28" s="1"/>
  <c r="D29"/>
  <c r="E29" s="1"/>
  <c r="D30"/>
  <c r="E30" s="1"/>
  <c r="D31"/>
  <c r="E31" s="1"/>
  <c r="D32"/>
  <c r="E32" s="1"/>
  <c r="D33"/>
  <c r="E33" s="1"/>
  <c r="D34"/>
  <c r="E34" s="1"/>
  <c r="D35"/>
  <c r="E35" s="1"/>
  <c r="D36"/>
  <c r="E36" s="1"/>
  <c r="D37"/>
  <c r="E37" s="1"/>
  <c r="D38"/>
  <c r="E38" s="1"/>
  <c r="D39"/>
  <c r="E39" s="1"/>
  <c r="D40"/>
  <c r="E40" s="1"/>
  <c r="D41"/>
  <c r="E41" s="1"/>
  <c r="D42"/>
  <c r="E42" s="1"/>
  <c r="D43"/>
  <c r="E43" s="1"/>
  <c r="D44"/>
  <c r="E44" s="1"/>
  <c r="D45"/>
  <c r="E45" s="1"/>
  <c r="D46"/>
  <c r="E46" s="1"/>
  <c r="D47"/>
  <c r="E47" s="1"/>
  <c r="D48"/>
  <c r="E48" s="1"/>
  <c r="D49"/>
  <c r="E49" s="1"/>
  <c r="D50"/>
  <c r="E50" s="1"/>
  <c r="D51"/>
  <c r="E51" s="1"/>
  <c r="D52"/>
  <c r="E52" s="1"/>
  <c r="D53"/>
  <c r="E53" s="1"/>
  <c r="D54"/>
  <c r="E54" s="1"/>
  <c r="D55"/>
  <c r="D57"/>
  <c r="E57" s="1"/>
  <c r="D58"/>
  <c r="E58" s="1"/>
  <c r="D59"/>
  <c r="E59" s="1"/>
  <c r="D60"/>
  <c r="E60" s="1"/>
  <c r="D61"/>
  <c r="E61" s="1"/>
  <c r="D62"/>
  <c r="E62" s="1"/>
  <c r="D63"/>
  <c r="E63" s="1"/>
  <c r="D64"/>
  <c r="E64" s="1"/>
  <c r="D65"/>
  <c r="E65" s="1"/>
  <c r="D66"/>
  <c r="E66" s="1"/>
  <c r="D67"/>
  <c r="E67" s="1"/>
  <c r="D68"/>
  <c r="E68" s="1"/>
  <c r="D69"/>
  <c r="E69" s="1"/>
  <c r="D70"/>
  <c r="E70" s="1"/>
  <c r="D71"/>
  <c r="E71" s="1"/>
  <c r="D72"/>
  <c r="E72" s="1"/>
  <c r="D73"/>
  <c r="E73" s="1"/>
  <c r="D74"/>
  <c r="E74" s="1"/>
  <c r="D75"/>
  <c r="E75" s="1"/>
  <c r="D76"/>
  <c r="E76" s="1"/>
  <c r="D77"/>
  <c r="E77" s="1"/>
  <c r="D78"/>
  <c r="E78" s="1"/>
  <c r="D79"/>
  <c r="E79" s="1"/>
  <c r="D80"/>
  <c r="E80" s="1"/>
  <c r="D81"/>
  <c r="E81" s="1"/>
  <c r="D82"/>
  <c r="E82" s="1"/>
  <c r="D83"/>
  <c r="E83" s="1"/>
  <c r="D84"/>
  <c r="E84" s="1"/>
  <c r="D85"/>
  <c r="E85" s="1"/>
  <c r="D86"/>
  <c r="E86" s="1"/>
  <c r="D87"/>
  <c r="E87" s="1"/>
  <c r="D88"/>
  <c r="E88" s="1"/>
  <c r="D89"/>
  <c r="E89" s="1"/>
  <c r="D90"/>
  <c r="E90" s="1"/>
  <c r="D91"/>
  <c r="E91" s="1"/>
  <c r="D92"/>
  <c r="E92" s="1"/>
  <c r="D93"/>
  <c r="E93" s="1"/>
  <c r="D94"/>
  <c r="E94" s="1"/>
  <c r="D95"/>
  <c r="E95" s="1"/>
  <c r="D96"/>
  <c r="E96" s="1"/>
  <c r="D97"/>
  <c r="E97" s="1"/>
  <c r="D98"/>
  <c r="E98" s="1"/>
  <c r="D99"/>
  <c r="E99" s="1"/>
  <c r="D100"/>
  <c r="E100" s="1"/>
  <c r="D101"/>
  <c r="E101" s="1"/>
  <c r="D102"/>
  <c r="E102" s="1"/>
  <c r="D103"/>
  <c r="E103" s="1"/>
  <c r="D104"/>
  <c r="E104" s="1"/>
  <c r="D105"/>
  <c r="E105" s="1"/>
  <c r="D106"/>
  <c r="E106" s="1"/>
  <c r="D107"/>
  <c r="E107" s="1"/>
  <c r="D108"/>
  <c r="E108" s="1"/>
  <c r="D109"/>
  <c r="E109" s="1"/>
  <c r="D110"/>
  <c r="E110" s="1"/>
  <c r="D111"/>
  <c r="E111" s="1"/>
  <c r="D112"/>
  <c r="E112" s="1"/>
  <c r="D113"/>
  <c r="E113" s="1"/>
  <c r="D114"/>
  <c r="E114" s="1"/>
  <c r="D115"/>
  <c r="E115" s="1"/>
  <c r="D116"/>
  <c r="E116" s="1"/>
  <c r="D117"/>
  <c r="E117" s="1"/>
  <c r="D118"/>
  <c r="E118" s="1"/>
  <c r="D119"/>
  <c r="E119" s="1"/>
  <c r="D120"/>
  <c r="E120" s="1"/>
  <c r="D121"/>
  <c r="E121" s="1"/>
  <c r="D122"/>
  <c r="E122" s="1"/>
  <c r="D123"/>
  <c r="E123" s="1"/>
  <c r="D124"/>
  <c r="E124" s="1"/>
  <c r="D125"/>
  <c r="E125" s="1"/>
  <c r="D126"/>
  <c r="E126" s="1"/>
  <c r="D127"/>
  <c r="E127" s="1"/>
  <c r="D128"/>
  <c r="E128" s="1"/>
  <c r="D129"/>
  <c r="E129" s="1"/>
  <c r="D130"/>
  <c r="E130" s="1"/>
  <c r="D131"/>
  <c r="E131" s="1"/>
  <c r="D132"/>
  <c r="E132" s="1"/>
  <c r="D133"/>
  <c r="E133" s="1"/>
  <c r="D134"/>
  <c r="E134" s="1"/>
  <c r="D135"/>
  <c r="E135" s="1"/>
  <c r="D136"/>
  <c r="E136" s="1"/>
  <c r="D137"/>
  <c r="E137" s="1"/>
  <c r="D138"/>
  <c r="E138" s="1"/>
  <c r="D139"/>
  <c r="E139" s="1"/>
  <c r="D140"/>
  <c r="E140" s="1"/>
  <c r="D141"/>
  <c r="E141" s="1"/>
  <c r="D142"/>
  <c r="E142" s="1"/>
  <c r="D143"/>
  <c r="E143" s="1"/>
  <c r="D145"/>
  <c r="E145" s="1"/>
  <c r="C146"/>
  <c r="E506" i="57"/>
  <c r="D365"/>
  <c r="E365" s="1"/>
  <c r="D364"/>
  <c r="E364" s="1"/>
  <c r="D366"/>
  <c r="E366" s="1"/>
  <c r="D367"/>
  <c r="E367" s="1"/>
  <c r="D368"/>
  <c r="E368" s="1"/>
  <c r="D369"/>
  <c r="E369" s="1"/>
  <c r="D370"/>
  <c r="E370" s="1"/>
  <c r="D371"/>
  <c r="E371" s="1"/>
  <c r="D372"/>
  <c r="E372" s="1"/>
  <c r="D373"/>
  <c r="E373" s="1"/>
  <c r="D374"/>
  <c r="E374" s="1"/>
  <c r="D375"/>
  <c r="E375" s="1"/>
  <c r="D376"/>
  <c r="E376" s="1"/>
  <c r="D377"/>
  <c r="E377" s="1"/>
  <c r="D378"/>
  <c r="E378" s="1"/>
  <c r="D379"/>
  <c r="E379" s="1"/>
  <c r="D380"/>
  <c r="E380" s="1"/>
  <c r="D381"/>
  <c r="E381" s="1"/>
  <c r="D382"/>
  <c r="E382" s="1"/>
  <c r="D383"/>
  <c r="E383" s="1"/>
  <c r="D384"/>
  <c r="E384" s="1"/>
  <c r="D385"/>
  <c r="E385" s="1"/>
  <c r="D386"/>
  <c r="E386" s="1"/>
  <c r="D387"/>
  <c r="E387" s="1"/>
  <c r="D388"/>
  <c r="E388" s="1"/>
  <c r="D389"/>
  <c r="E389" s="1"/>
  <c r="D390"/>
  <c r="E390" s="1"/>
  <c r="D391"/>
  <c r="E391" s="1"/>
  <c r="D392"/>
  <c r="E392" s="1"/>
  <c r="D393"/>
  <c r="E393" s="1"/>
  <c r="D394"/>
  <c r="E394" s="1"/>
  <c r="D395"/>
  <c r="E395" s="1"/>
  <c r="D396"/>
  <c r="E396" s="1"/>
  <c r="D397"/>
  <c r="E397" s="1"/>
  <c r="D398"/>
  <c r="E398" s="1"/>
  <c r="D399"/>
  <c r="E399" s="1"/>
  <c r="D400"/>
  <c r="E400" s="1"/>
  <c r="D401"/>
  <c r="E401" s="1"/>
  <c r="D402"/>
  <c r="E402" s="1"/>
  <c r="D403"/>
  <c r="E403" s="1"/>
  <c r="D404"/>
  <c r="E404" s="1"/>
  <c r="D405"/>
  <c r="E405" s="1"/>
  <c r="D406"/>
  <c r="E406" s="1"/>
  <c r="D407"/>
  <c r="E407" s="1"/>
  <c r="D408"/>
  <c r="E408" s="1"/>
  <c r="D409"/>
  <c r="E409" s="1"/>
  <c r="D410"/>
  <c r="E410" s="1"/>
  <c r="D411"/>
  <c r="E411" s="1"/>
  <c r="D412"/>
  <c r="E412" s="1"/>
  <c r="D413"/>
  <c r="E413" s="1"/>
  <c r="D414"/>
  <c r="E414" s="1"/>
  <c r="D415"/>
  <c r="E415" s="1"/>
  <c r="D416"/>
  <c r="E416" s="1"/>
  <c r="D417"/>
  <c r="D419"/>
  <c r="E419" s="1"/>
  <c r="D420"/>
  <c r="E420" s="1"/>
  <c r="D421"/>
  <c r="E421" s="1"/>
  <c r="D422"/>
  <c r="E422" s="1"/>
  <c r="D423"/>
  <c r="E423" s="1"/>
  <c r="D424"/>
  <c r="E424" s="1"/>
  <c r="D425"/>
  <c r="E425" s="1"/>
  <c r="D426"/>
  <c r="E426" s="1"/>
  <c r="D427"/>
  <c r="E427" s="1"/>
  <c r="D428"/>
  <c r="E428" s="1"/>
  <c r="D429"/>
  <c r="E429" s="1"/>
  <c r="D430"/>
  <c r="E430" s="1"/>
  <c r="D431"/>
  <c r="E431" s="1"/>
  <c r="D432"/>
  <c r="E432" s="1"/>
  <c r="D433"/>
  <c r="E433" s="1"/>
  <c r="D434"/>
  <c r="E434" s="1"/>
  <c r="D435"/>
  <c r="E435" s="1"/>
  <c r="D436"/>
  <c r="E436" s="1"/>
  <c r="D437"/>
  <c r="E437" s="1"/>
  <c r="D438"/>
  <c r="E438" s="1"/>
  <c r="D439"/>
  <c r="E439" s="1"/>
  <c r="D440"/>
  <c r="E440" s="1"/>
  <c r="D441"/>
  <c r="E441" s="1"/>
  <c r="D442"/>
  <c r="E442" s="1"/>
  <c r="D443"/>
  <c r="E443" s="1"/>
  <c r="D444"/>
  <c r="E444" s="1"/>
  <c r="D445"/>
  <c r="E445" s="1"/>
  <c r="D446"/>
  <c r="E446" s="1"/>
  <c r="D447"/>
  <c r="E447" s="1"/>
  <c r="D448"/>
  <c r="E448" s="1"/>
  <c r="D449"/>
  <c r="E449" s="1"/>
  <c r="D450"/>
  <c r="E450" s="1"/>
  <c r="D451"/>
  <c r="E451" s="1"/>
  <c r="D452"/>
  <c r="E452" s="1"/>
  <c r="D453"/>
  <c r="E453" s="1"/>
  <c r="D454"/>
  <c r="E454" s="1"/>
  <c r="D455"/>
  <c r="E455" s="1"/>
  <c r="D456"/>
  <c r="E456" s="1"/>
  <c r="D457"/>
  <c r="E457" s="1"/>
  <c r="D458"/>
  <c r="E458" s="1"/>
  <c r="D459"/>
  <c r="E459" s="1"/>
  <c r="D460"/>
  <c r="E460" s="1"/>
  <c r="D461"/>
  <c r="E461" s="1"/>
  <c r="D462"/>
  <c r="E462" s="1"/>
  <c r="D463"/>
  <c r="E463" s="1"/>
  <c r="D464"/>
  <c r="E464" s="1"/>
  <c r="D465"/>
  <c r="E465" s="1"/>
  <c r="D466"/>
  <c r="E466" s="1"/>
  <c r="D467"/>
  <c r="E467" s="1"/>
  <c r="D468"/>
  <c r="E468" s="1"/>
  <c r="D469"/>
  <c r="E469" s="1"/>
  <c r="D470"/>
  <c r="E470" s="1"/>
  <c r="D471"/>
  <c r="E471" s="1"/>
  <c r="D472"/>
  <c r="E472" s="1"/>
  <c r="D473"/>
  <c r="E473" s="1"/>
  <c r="D474"/>
  <c r="E474" s="1"/>
  <c r="D475"/>
  <c r="E475" s="1"/>
  <c r="D476"/>
  <c r="E476" s="1"/>
  <c r="D477"/>
  <c r="E477" s="1"/>
  <c r="D478"/>
  <c r="E478" s="1"/>
  <c r="D479"/>
  <c r="E479" s="1"/>
  <c r="D480"/>
  <c r="E480" s="1"/>
  <c r="D481"/>
  <c r="E481" s="1"/>
  <c r="D482"/>
  <c r="E482" s="1"/>
  <c r="D483"/>
  <c r="E483" s="1"/>
  <c r="D484"/>
  <c r="E484" s="1"/>
  <c r="D485"/>
  <c r="E485" s="1"/>
  <c r="D486"/>
  <c r="E486" s="1"/>
  <c r="D487"/>
  <c r="E487" s="1"/>
  <c r="D488"/>
  <c r="E488" s="1"/>
  <c r="D489"/>
  <c r="E489" s="1"/>
  <c r="D490"/>
  <c r="E490" s="1"/>
  <c r="D491"/>
  <c r="E491" s="1"/>
  <c r="D492"/>
  <c r="E492" s="1"/>
  <c r="D493"/>
  <c r="E493" s="1"/>
  <c r="D494"/>
  <c r="E494" s="1"/>
  <c r="D495"/>
  <c r="E495" s="1"/>
  <c r="D496"/>
  <c r="E496" s="1"/>
  <c r="D497"/>
  <c r="E497" s="1"/>
  <c r="D498"/>
  <c r="E498" s="1"/>
  <c r="D499"/>
  <c r="E499" s="1"/>
  <c r="D500"/>
  <c r="E500" s="1"/>
  <c r="D501"/>
  <c r="E501" s="1"/>
  <c r="D502"/>
  <c r="E502" s="1"/>
  <c r="D503"/>
  <c r="E503" s="1"/>
  <c r="D504"/>
  <c r="E504" s="1"/>
  <c r="D505"/>
  <c r="E505" s="1"/>
  <c r="D868"/>
  <c r="C869"/>
  <c r="D507"/>
  <c r="E507" s="1"/>
  <c r="C508"/>
  <c r="D145"/>
  <c r="E145" s="1"/>
  <c r="C146"/>
  <c r="E144"/>
  <c r="D2"/>
  <c r="D3"/>
  <c r="E3" s="1"/>
  <c r="D4"/>
  <c r="E4" s="1"/>
  <c r="D5"/>
  <c r="E5" s="1"/>
  <c r="D6"/>
  <c r="E6" s="1"/>
  <c r="D7"/>
  <c r="E7" s="1"/>
  <c r="D8"/>
  <c r="E8" s="1"/>
  <c r="D9"/>
  <c r="E9" s="1"/>
  <c r="D10"/>
  <c r="E10" s="1"/>
  <c r="D11"/>
  <c r="E11" s="1"/>
  <c r="D12"/>
  <c r="E12" s="1"/>
  <c r="D13"/>
  <c r="E13" s="1"/>
  <c r="D14"/>
  <c r="E14" s="1"/>
  <c r="D15"/>
  <c r="E15" s="1"/>
  <c r="D16"/>
  <c r="E16" s="1"/>
  <c r="D17"/>
  <c r="E17" s="1"/>
  <c r="D18"/>
  <c r="E18" s="1"/>
  <c r="D19"/>
  <c r="E19" s="1"/>
  <c r="D20"/>
  <c r="E20" s="1"/>
  <c r="D21"/>
  <c r="E21" s="1"/>
  <c r="D22"/>
  <c r="E22" s="1"/>
  <c r="D23"/>
  <c r="E23" s="1"/>
  <c r="D24"/>
  <c r="E24" s="1"/>
  <c r="D25"/>
  <c r="E25" s="1"/>
  <c r="D26"/>
  <c r="E26" s="1"/>
  <c r="D27"/>
  <c r="E27" s="1"/>
  <c r="D28"/>
  <c r="E28" s="1"/>
  <c r="D29"/>
  <c r="E29" s="1"/>
  <c r="D30"/>
  <c r="E30" s="1"/>
  <c r="D31"/>
  <c r="E31" s="1"/>
  <c r="D32"/>
  <c r="E32" s="1"/>
  <c r="D33"/>
  <c r="E33" s="1"/>
  <c r="D34"/>
  <c r="E34" s="1"/>
  <c r="D35"/>
  <c r="E35" s="1"/>
  <c r="D36"/>
  <c r="E36" s="1"/>
  <c r="D37"/>
  <c r="E37" s="1"/>
  <c r="D38"/>
  <c r="E38" s="1"/>
  <c r="D39"/>
  <c r="E39" s="1"/>
  <c r="D40"/>
  <c r="E40" s="1"/>
  <c r="D41"/>
  <c r="E41" s="1"/>
  <c r="D42"/>
  <c r="E42" s="1"/>
  <c r="D43"/>
  <c r="E43" s="1"/>
  <c r="D44"/>
  <c r="E44" s="1"/>
  <c r="D45"/>
  <c r="E45" s="1"/>
  <c r="D46"/>
  <c r="E46" s="1"/>
  <c r="D47"/>
  <c r="E47" s="1"/>
  <c r="D48"/>
  <c r="E48" s="1"/>
  <c r="D49"/>
  <c r="E49" s="1"/>
  <c r="D50"/>
  <c r="E50" s="1"/>
  <c r="D51"/>
  <c r="E51" s="1"/>
  <c r="D52"/>
  <c r="E52" s="1"/>
  <c r="D53"/>
  <c r="E53" s="1"/>
  <c r="D54"/>
  <c r="E54" s="1"/>
  <c r="D55"/>
  <c r="D57"/>
  <c r="E57" s="1"/>
  <c r="D58"/>
  <c r="E58" s="1"/>
  <c r="D59"/>
  <c r="E59" s="1"/>
  <c r="D60"/>
  <c r="E60" s="1"/>
  <c r="D61"/>
  <c r="E61" s="1"/>
  <c r="D62"/>
  <c r="E62" s="1"/>
  <c r="D63"/>
  <c r="E63" s="1"/>
  <c r="D64"/>
  <c r="E64" s="1"/>
  <c r="D65"/>
  <c r="E65" s="1"/>
  <c r="D66"/>
  <c r="E66" s="1"/>
  <c r="D67"/>
  <c r="E67" s="1"/>
  <c r="D68"/>
  <c r="E68" s="1"/>
  <c r="D69"/>
  <c r="E69" s="1"/>
  <c r="D70"/>
  <c r="E70" s="1"/>
  <c r="D71"/>
  <c r="E71" s="1"/>
  <c r="D72"/>
  <c r="E72" s="1"/>
  <c r="D73"/>
  <c r="E73" s="1"/>
  <c r="D74"/>
  <c r="E74" s="1"/>
  <c r="D75"/>
  <c r="E75" s="1"/>
  <c r="D76"/>
  <c r="E76" s="1"/>
  <c r="D77"/>
  <c r="E77" s="1"/>
  <c r="D78"/>
  <c r="E78" s="1"/>
  <c r="D79"/>
  <c r="E79" s="1"/>
  <c r="D80"/>
  <c r="E80" s="1"/>
  <c r="D81"/>
  <c r="E81" s="1"/>
  <c r="D82"/>
  <c r="E82" s="1"/>
  <c r="D83"/>
  <c r="E83" s="1"/>
  <c r="D84"/>
  <c r="E84" s="1"/>
  <c r="D85"/>
  <c r="E85" s="1"/>
  <c r="D86"/>
  <c r="E86" s="1"/>
  <c r="D87"/>
  <c r="E87" s="1"/>
  <c r="D88"/>
  <c r="E88" s="1"/>
  <c r="D89"/>
  <c r="E89" s="1"/>
  <c r="D90"/>
  <c r="E90" s="1"/>
  <c r="D91"/>
  <c r="E91" s="1"/>
  <c r="D92"/>
  <c r="E92" s="1"/>
  <c r="D93"/>
  <c r="E93" s="1"/>
  <c r="D94"/>
  <c r="E94" s="1"/>
  <c r="D95"/>
  <c r="E95" s="1"/>
  <c r="D96"/>
  <c r="E96" s="1"/>
  <c r="D97"/>
  <c r="E97" s="1"/>
  <c r="D98"/>
  <c r="E98" s="1"/>
  <c r="D99"/>
  <c r="E99" s="1"/>
  <c r="D100"/>
  <c r="E100" s="1"/>
  <c r="D101"/>
  <c r="E101" s="1"/>
  <c r="D102"/>
  <c r="E102" s="1"/>
  <c r="D103"/>
  <c r="E103" s="1"/>
  <c r="D104"/>
  <c r="E104" s="1"/>
  <c r="D105"/>
  <c r="E105" s="1"/>
  <c r="D106"/>
  <c r="E106" s="1"/>
  <c r="D107"/>
  <c r="E107" s="1"/>
  <c r="D108"/>
  <c r="E108" s="1"/>
  <c r="D109"/>
  <c r="E109" s="1"/>
  <c r="D110"/>
  <c r="E110" s="1"/>
  <c r="D111"/>
  <c r="E111" s="1"/>
  <c r="D112"/>
  <c r="E112" s="1"/>
  <c r="D113"/>
  <c r="E113" s="1"/>
  <c r="D114"/>
  <c r="E114" s="1"/>
  <c r="D115"/>
  <c r="E115" s="1"/>
  <c r="D116"/>
  <c r="E116" s="1"/>
  <c r="D117"/>
  <c r="E117" s="1"/>
  <c r="D118"/>
  <c r="E118" s="1"/>
  <c r="D119"/>
  <c r="E119" s="1"/>
  <c r="D120"/>
  <c r="E120" s="1"/>
  <c r="D121"/>
  <c r="E121" s="1"/>
  <c r="D122"/>
  <c r="E122" s="1"/>
  <c r="D123"/>
  <c r="E123" s="1"/>
  <c r="D124"/>
  <c r="E124" s="1"/>
  <c r="D125"/>
  <c r="E125" s="1"/>
  <c r="D126"/>
  <c r="E126" s="1"/>
  <c r="D127"/>
  <c r="E127" s="1"/>
  <c r="D128"/>
  <c r="E128" s="1"/>
  <c r="D129"/>
  <c r="E129" s="1"/>
  <c r="D130"/>
  <c r="E130" s="1"/>
  <c r="D131"/>
  <c r="E131" s="1"/>
  <c r="D132"/>
  <c r="E132" s="1"/>
  <c r="D133"/>
  <c r="E133" s="1"/>
  <c r="D134"/>
  <c r="E134" s="1"/>
  <c r="D135"/>
  <c r="E135" s="1"/>
  <c r="D136"/>
  <c r="E136" s="1"/>
  <c r="D137"/>
  <c r="E137" s="1"/>
  <c r="D138"/>
  <c r="E138" s="1"/>
  <c r="D139"/>
  <c r="E139" s="1"/>
  <c r="D140"/>
  <c r="E140" s="1"/>
  <c r="D141"/>
  <c r="E141" s="1"/>
  <c r="D142"/>
  <c r="E142" s="1"/>
  <c r="D143"/>
  <c r="E143" s="1"/>
  <c r="E2" l="1"/>
  <c r="E2" i="56"/>
  <c r="E55"/>
  <c r="D56"/>
  <c r="E56" s="1"/>
  <c r="E506"/>
  <c r="D364"/>
  <c r="E364" s="1"/>
  <c r="D365"/>
  <c r="E365" s="1"/>
  <c r="D366"/>
  <c r="E366" s="1"/>
  <c r="D367"/>
  <c r="E367" s="1"/>
  <c r="D368"/>
  <c r="E368" s="1"/>
  <c r="D369"/>
  <c r="E369" s="1"/>
  <c r="D370"/>
  <c r="E370" s="1"/>
  <c r="D371"/>
  <c r="E371" s="1"/>
  <c r="D372"/>
  <c r="E372" s="1"/>
  <c r="D373"/>
  <c r="E373" s="1"/>
  <c r="D374"/>
  <c r="E374" s="1"/>
  <c r="D375"/>
  <c r="E375" s="1"/>
  <c r="D376"/>
  <c r="E376" s="1"/>
  <c r="D377"/>
  <c r="E377" s="1"/>
  <c r="D378"/>
  <c r="E378" s="1"/>
  <c r="D379"/>
  <c r="E379" s="1"/>
  <c r="D380"/>
  <c r="E380" s="1"/>
  <c r="D381"/>
  <c r="E381" s="1"/>
  <c r="D382"/>
  <c r="E382" s="1"/>
  <c r="D383"/>
  <c r="E383" s="1"/>
  <c r="D384"/>
  <c r="E384" s="1"/>
  <c r="D385"/>
  <c r="E385" s="1"/>
  <c r="D386"/>
  <c r="E386" s="1"/>
  <c r="D387"/>
  <c r="E387" s="1"/>
  <c r="D388"/>
  <c r="E388" s="1"/>
  <c r="D389"/>
  <c r="E389" s="1"/>
  <c r="D390"/>
  <c r="E390" s="1"/>
  <c r="D391"/>
  <c r="E391" s="1"/>
  <c r="D392"/>
  <c r="E392" s="1"/>
  <c r="D393"/>
  <c r="E393" s="1"/>
  <c r="D394"/>
  <c r="E394" s="1"/>
  <c r="D395"/>
  <c r="E395" s="1"/>
  <c r="D396"/>
  <c r="E396" s="1"/>
  <c r="D397"/>
  <c r="E397" s="1"/>
  <c r="D398"/>
  <c r="E398" s="1"/>
  <c r="D399"/>
  <c r="E399" s="1"/>
  <c r="D400"/>
  <c r="E400" s="1"/>
  <c r="D401"/>
  <c r="E401" s="1"/>
  <c r="D402"/>
  <c r="E402" s="1"/>
  <c r="D403"/>
  <c r="E403" s="1"/>
  <c r="D404"/>
  <c r="E404" s="1"/>
  <c r="D405"/>
  <c r="E405" s="1"/>
  <c r="D406"/>
  <c r="E406" s="1"/>
  <c r="D407"/>
  <c r="E407" s="1"/>
  <c r="D408"/>
  <c r="E408" s="1"/>
  <c r="D409"/>
  <c r="E409" s="1"/>
  <c r="D410"/>
  <c r="E410" s="1"/>
  <c r="D411"/>
  <c r="E411" s="1"/>
  <c r="D412"/>
  <c r="E412" s="1"/>
  <c r="D413"/>
  <c r="E413" s="1"/>
  <c r="D414"/>
  <c r="E414" s="1"/>
  <c r="D415"/>
  <c r="E415" s="1"/>
  <c r="D416"/>
  <c r="E416" s="1"/>
  <c r="D417"/>
  <c r="D419"/>
  <c r="E419" s="1"/>
  <c r="D420"/>
  <c r="E420" s="1"/>
  <c r="D421"/>
  <c r="E421" s="1"/>
  <c r="D422"/>
  <c r="E422" s="1"/>
  <c r="D423"/>
  <c r="E423" s="1"/>
  <c r="D424"/>
  <c r="E424" s="1"/>
  <c r="D425"/>
  <c r="E425" s="1"/>
  <c r="D426"/>
  <c r="E426" s="1"/>
  <c r="D427"/>
  <c r="E427" s="1"/>
  <c r="D428"/>
  <c r="E428" s="1"/>
  <c r="D429"/>
  <c r="E429" s="1"/>
  <c r="D430"/>
  <c r="E430" s="1"/>
  <c r="D431"/>
  <c r="E431" s="1"/>
  <c r="D432"/>
  <c r="E432" s="1"/>
  <c r="D433"/>
  <c r="E433" s="1"/>
  <c r="D434"/>
  <c r="E434" s="1"/>
  <c r="D435"/>
  <c r="E435" s="1"/>
  <c r="D436"/>
  <c r="E436" s="1"/>
  <c r="D437"/>
  <c r="E437" s="1"/>
  <c r="D438"/>
  <c r="E438" s="1"/>
  <c r="D439"/>
  <c r="E439" s="1"/>
  <c r="D440"/>
  <c r="E440" s="1"/>
  <c r="D441"/>
  <c r="E441" s="1"/>
  <c r="D442"/>
  <c r="E442" s="1"/>
  <c r="D443"/>
  <c r="E443" s="1"/>
  <c r="D444"/>
  <c r="E444" s="1"/>
  <c r="D445"/>
  <c r="E445" s="1"/>
  <c r="D446"/>
  <c r="E446" s="1"/>
  <c r="D447"/>
  <c r="E447" s="1"/>
  <c r="D448"/>
  <c r="E448" s="1"/>
  <c r="D449"/>
  <c r="E449" s="1"/>
  <c r="D450"/>
  <c r="E450" s="1"/>
  <c r="D451"/>
  <c r="E451" s="1"/>
  <c r="D452"/>
  <c r="E452" s="1"/>
  <c r="D453"/>
  <c r="E453" s="1"/>
  <c r="D454"/>
  <c r="E454" s="1"/>
  <c r="D455"/>
  <c r="E455" s="1"/>
  <c r="D456"/>
  <c r="E456" s="1"/>
  <c r="D457"/>
  <c r="E457" s="1"/>
  <c r="D458"/>
  <c r="E458" s="1"/>
  <c r="D459"/>
  <c r="E459" s="1"/>
  <c r="D460"/>
  <c r="E460" s="1"/>
  <c r="D461"/>
  <c r="E461" s="1"/>
  <c r="D462"/>
  <c r="E462" s="1"/>
  <c r="D463"/>
  <c r="E463" s="1"/>
  <c r="D464"/>
  <c r="E464" s="1"/>
  <c r="D465"/>
  <c r="E465" s="1"/>
  <c r="D466"/>
  <c r="E466" s="1"/>
  <c r="D467"/>
  <c r="E467" s="1"/>
  <c r="D468"/>
  <c r="E468" s="1"/>
  <c r="D469"/>
  <c r="E469" s="1"/>
  <c r="D470"/>
  <c r="E470" s="1"/>
  <c r="D471"/>
  <c r="E471" s="1"/>
  <c r="D472"/>
  <c r="E472" s="1"/>
  <c r="D473"/>
  <c r="E473" s="1"/>
  <c r="D474"/>
  <c r="E474" s="1"/>
  <c r="D475"/>
  <c r="E475" s="1"/>
  <c r="D476"/>
  <c r="E476" s="1"/>
  <c r="D477"/>
  <c r="E477" s="1"/>
  <c r="D478"/>
  <c r="E478" s="1"/>
  <c r="D479"/>
  <c r="E479" s="1"/>
  <c r="D480"/>
  <c r="E480" s="1"/>
  <c r="D481"/>
  <c r="E481" s="1"/>
  <c r="D482"/>
  <c r="E482" s="1"/>
  <c r="D483"/>
  <c r="E483" s="1"/>
  <c r="D484"/>
  <c r="E484" s="1"/>
  <c r="D485"/>
  <c r="E485" s="1"/>
  <c r="D486"/>
  <c r="E486" s="1"/>
  <c r="D487"/>
  <c r="E487" s="1"/>
  <c r="D488"/>
  <c r="E488" s="1"/>
  <c r="D489"/>
  <c r="E489" s="1"/>
  <c r="D490"/>
  <c r="E490" s="1"/>
  <c r="D491"/>
  <c r="E491" s="1"/>
  <c r="D492"/>
  <c r="E492" s="1"/>
  <c r="D493"/>
  <c r="E493" s="1"/>
  <c r="D494"/>
  <c r="E494" s="1"/>
  <c r="D495"/>
  <c r="E495" s="1"/>
  <c r="D496"/>
  <c r="E496" s="1"/>
  <c r="D497"/>
  <c r="E497" s="1"/>
  <c r="D498"/>
  <c r="E498" s="1"/>
  <c r="D499"/>
  <c r="E499" s="1"/>
  <c r="D500"/>
  <c r="E500" s="1"/>
  <c r="D501"/>
  <c r="E501" s="1"/>
  <c r="D502"/>
  <c r="E502" s="1"/>
  <c r="D503"/>
  <c r="E503" s="1"/>
  <c r="D504"/>
  <c r="E504" s="1"/>
  <c r="D505"/>
  <c r="E505" s="1"/>
  <c r="D146"/>
  <c r="E146" s="1"/>
  <c r="C147"/>
  <c r="D507"/>
  <c r="E507" s="1"/>
  <c r="C508"/>
  <c r="C509" i="57"/>
  <c r="D508"/>
  <c r="E508" s="1"/>
  <c r="E55"/>
  <c r="D56"/>
  <c r="E56" s="1"/>
  <c r="C147"/>
  <c r="D146"/>
  <c r="E146" s="1"/>
  <c r="E868"/>
  <c r="D726"/>
  <c r="E726" s="1"/>
  <c r="D727"/>
  <c r="E727" s="1"/>
  <c r="D728"/>
  <c r="E728" s="1"/>
  <c r="D729"/>
  <c r="E729" s="1"/>
  <c r="D730"/>
  <c r="E730" s="1"/>
  <c r="D731"/>
  <c r="E731" s="1"/>
  <c r="D732"/>
  <c r="E732" s="1"/>
  <c r="D733"/>
  <c r="E733" s="1"/>
  <c r="D734"/>
  <c r="E734" s="1"/>
  <c r="D735"/>
  <c r="E735" s="1"/>
  <c r="D736"/>
  <c r="E736" s="1"/>
  <c r="D737"/>
  <c r="E737" s="1"/>
  <c r="D738"/>
  <c r="E738" s="1"/>
  <c r="D739"/>
  <c r="E739" s="1"/>
  <c r="D740"/>
  <c r="E740" s="1"/>
  <c r="D741"/>
  <c r="E741" s="1"/>
  <c r="D742"/>
  <c r="E742" s="1"/>
  <c r="D743"/>
  <c r="E743" s="1"/>
  <c r="D744"/>
  <c r="E744" s="1"/>
  <c r="D745"/>
  <c r="E745" s="1"/>
  <c r="D746"/>
  <c r="E746" s="1"/>
  <c r="D747"/>
  <c r="E747" s="1"/>
  <c r="D748"/>
  <c r="E748" s="1"/>
  <c r="D749"/>
  <c r="E749" s="1"/>
  <c r="D750"/>
  <c r="E750" s="1"/>
  <c r="D751"/>
  <c r="E751" s="1"/>
  <c r="D752"/>
  <c r="E752" s="1"/>
  <c r="D753"/>
  <c r="E753" s="1"/>
  <c r="D754"/>
  <c r="E754" s="1"/>
  <c r="D755"/>
  <c r="E755" s="1"/>
  <c r="D756"/>
  <c r="E756" s="1"/>
  <c r="D757"/>
  <c r="E757" s="1"/>
  <c r="D758"/>
  <c r="E758" s="1"/>
  <c r="D759"/>
  <c r="E759" s="1"/>
  <c r="D760"/>
  <c r="E760" s="1"/>
  <c r="D761"/>
  <c r="E761" s="1"/>
  <c r="D762"/>
  <c r="E762" s="1"/>
  <c r="D763"/>
  <c r="E763" s="1"/>
  <c r="D764"/>
  <c r="E764" s="1"/>
  <c r="D765"/>
  <c r="E765" s="1"/>
  <c r="D766"/>
  <c r="E766" s="1"/>
  <c r="D767"/>
  <c r="E767" s="1"/>
  <c r="D768"/>
  <c r="E768" s="1"/>
  <c r="D769"/>
  <c r="E769" s="1"/>
  <c r="D770"/>
  <c r="E770" s="1"/>
  <c r="D771"/>
  <c r="E771" s="1"/>
  <c r="D772"/>
  <c r="E772" s="1"/>
  <c r="D773"/>
  <c r="E773" s="1"/>
  <c r="D774"/>
  <c r="E774" s="1"/>
  <c r="D775"/>
  <c r="E775" s="1"/>
  <c r="D776"/>
  <c r="E776" s="1"/>
  <c r="D777"/>
  <c r="E777" s="1"/>
  <c r="D778"/>
  <c r="E778" s="1"/>
  <c r="D779"/>
  <c r="D781"/>
  <c r="E781" s="1"/>
  <c r="D782"/>
  <c r="E782" s="1"/>
  <c r="D783"/>
  <c r="E783" s="1"/>
  <c r="D784"/>
  <c r="E784" s="1"/>
  <c r="D785"/>
  <c r="E785" s="1"/>
  <c r="D786"/>
  <c r="E786" s="1"/>
  <c r="D787"/>
  <c r="E787" s="1"/>
  <c r="D788"/>
  <c r="E788" s="1"/>
  <c r="D789"/>
  <c r="E789" s="1"/>
  <c r="D790"/>
  <c r="E790" s="1"/>
  <c r="D791"/>
  <c r="E791" s="1"/>
  <c r="D792"/>
  <c r="E792" s="1"/>
  <c r="D793"/>
  <c r="E793" s="1"/>
  <c r="D794"/>
  <c r="E794" s="1"/>
  <c r="D795"/>
  <c r="E795" s="1"/>
  <c r="D796"/>
  <c r="E796" s="1"/>
  <c r="D797"/>
  <c r="E797" s="1"/>
  <c r="D798"/>
  <c r="E798" s="1"/>
  <c r="D799"/>
  <c r="E799" s="1"/>
  <c r="D800"/>
  <c r="E800" s="1"/>
  <c r="D801"/>
  <c r="E801" s="1"/>
  <c r="D802"/>
  <c r="E802" s="1"/>
  <c r="D803"/>
  <c r="E803" s="1"/>
  <c r="D804"/>
  <c r="E804" s="1"/>
  <c r="D805"/>
  <c r="E805" s="1"/>
  <c r="D806"/>
  <c r="E806" s="1"/>
  <c r="D807"/>
  <c r="E807" s="1"/>
  <c r="D808"/>
  <c r="E808" s="1"/>
  <c r="D809"/>
  <c r="E809" s="1"/>
  <c r="D810"/>
  <c r="E810" s="1"/>
  <c r="D811"/>
  <c r="E811" s="1"/>
  <c r="D812"/>
  <c r="E812" s="1"/>
  <c r="D813"/>
  <c r="E813" s="1"/>
  <c r="D814"/>
  <c r="E814" s="1"/>
  <c r="D815"/>
  <c r="E815" s="1"/>
  <c r="D816"/>
  <c r="E816" s="1"/>
  <c r="D817"/>
  <c r="E817" s="1"/>
  <c r="D818"/>
  <c r="E818" s="1"/>
  <c r="D819"/>
  <c r="E819" s="1"/>
  <c r="D820"/>
  <c r="E820" s="1"/>
  <c r="D821"/>
  <c r="E821" s="1"/>
  <c r="D822"/>
  <c r="E822" s="1"/>
  <c r="D823"/>
  <c r="E823" s="1"/>
  <c r="D824"/>
  <c r="E824" s="1"/>
  <c r="D825"/>
  <c r="E825" s="1"/>
  <c r="D826"/>
  <c r="E826" s="1"/>
  <c r="D827"/>
  <c r="E827" s="1"/>
  <c r="D828"/>
  <c r="E828" s="1"/>
  <c r="D829"/>
  <c r="E829" s="1"/>
  <c r="D830"/>
  <c r="E830" s="1"/>
  <c r="D831"/>
  <c r="E831" s="1"/>
  <c r="D832"/>
  <c r="E832" s="1"/>
  <c r="D833"/>
  <c r="E833" s="1"/>
  <c r="D834"/>
  <c r="E834" s="1"/>
  <c r="D835"/>
  <c r="E835" s="1"/>
  <c r="D836"/>
  <c r="E836" s="1"/>
  <c r="D837"/>
  <c r="E837" s="1"/>
  <c r="D838"/>
  <c r="E838" s="1"/>
  <c r="D839"/>
  <c r="E839" s="1"/>
  <c r="D840"/>
  <c r="E840" s="1"/>
  <c r="D841"/>
  <c r="E841" s="1"/>
  <c r="D842"/>
  <c r="E842" s="1"/>
  <c r="D843"/>
  <c r="E843" s="1"/>
  <c r="D844"/>
  <c r="E844" s="1"/>
  <c r="D845"/>
  <c r="E845" s="1"/>
  <c r="D846"/>
  <c r="E846" s="1"/>
  <c r="D847"/>
  <c r="E847" s="1"/>
  <c r="D848"/>
  <c r="E848" s="1"/>
  <c r="D849"/>
  <c r="E849" s="1"/>
  <c r="D850"/>
  <c r="E850" s="1"/>
  <c r="D851"/>
  <c r="E851" s="1"/>
  <c r="D852"/>
  <c r="E852" s="1"/>
  <c r="D853"/>
  <c r="E853" s="1"/>
  <c r="D854"/>
  <c r="E854" s="1"/>
  <c r="D855"/>
  <c r="E855" s="1"/>
  <c r="D856"/>
  <c r="E856" s="1"/>
  <c r="D857"/>
  <c r="E857" s="1"/>
  <c r="D858"/>
  <c r="E858" s="1"/>
  <c r="D859"/>
  <c r="E859" s="1"/>
  <c r="D860"/>
  <c r="E860" s="1"/>
  <c r="D861"/>
  <c r="E861" s="1"/>
  <c r="D862"/>
  <c r="E862" s="1"/>
  <c r="D863"/>
  <c r="E863" s="1"/>
  <c r="D864"/>
  <c r="E864" s="1"/>
  <c r="D865"/>
  <c r="E865" s="1"/>
  <c r="D866"/>
  <c r="E866" s="1"/>
  <c r="D867"/>
  <c r="E867" s="1"/>
  <c r="E417"/>
  <c r="D418"/>
  <c r="E418" s="1"/>
  <c r="C870"/>
  <c r="D869"/>
  <c r="E869" s="1"/>
  <c r="E417" i="56" l="1"/>
  <c r="D418"/>
  <c r="E418" s="1"/>
  <c r="D147"/>
  <c r="E147" s="1"/>
  <c r="C148"/>
  <c r="C509"/>
  <c r="D508"/>
  <c r="E508" s="1"/>
  <c r="D509" i="57"/>
  <c r="E509" s="1"/>
  <c r="C510"/>
  <c r="D147"/>
  <c r="E147" s="1"/>
  <c r="C148"/>
  <c r="D780"/>
  <c r="E780" s="1"/>
  <c r="E779"/>
  <c r="D870"/>
  <c r="E870" s="1"/>
  <c r="C871"/>
  <c r="D509" i="56" l="1"/>
  <c r="E509" s="1"/>
  <c r="C510"/>
  <c r="D148"/>
  <c r="C149"/>
  <c r="C511" i="57"/>
  <c r="D510"/>
  <c r="E510" s="1"/>
  <c r="C149"/>
  <c r="D148"/>
  <c r="C872"/>
  <c r="D871"/>
  <c r="E871" s="1"/>
  <c r="E148" i="56" l="1"/>
  <c r="E148" i="57"/>
  <c r="D510" i="56"/>
  <c r="E510" s="1"/>
  <c r="C511"/>
  <c r="D149"/>
  <c r="E149" s="1"/>
  <c r="C150"/>
  <c r="D511" i="57"/>
  <c r="E511" s="1"/>
  <c r="C512"/>
  <c r="D149"/>
  <c r="E149" s="1"/>
  <c r="C150"/>
  <c r="D872"/>
  <c r="E872" s="1"/>
  <c r="C873"/>
  <c r="C512" i="56" l="1"/>
  <c r="D511"/>
  <c r="E511" s="1"/>
  <c r="D150"/>
  <c r="C151"/>
  <c r="C513" i="57"/>
  <c r="D512"/>
  <c r="E512" s="1"/>
  <c r="C151"/>
  <c r="D150"/>
  <c r="C874"/>
  <c r="D873"/>
  <c r="E873" s="1"/>
  <c r="E150" i="56" l="1"/>
  <c r="E150" i="57"/>
  <c r="C513" i="56"/>
  <c r="D512"/>
  <c r="E512" s="1"/>
  <c r="D151"/>
  <c r="E151" s="1"/>
  <c r="C152"/>
  <c r="D513" i="57"/>
  <c r="E513" s="1"/>
  <c r="C514"/>
  <c r="D151"/>
  <c r="E151" s="1"/>
  <c r="C152"/>
  <c r="D874"/>
  <c r="E874" s="1"/>
  <c r="C875"/>
  <c r="C514" i="56" l="1"/>
  <c r="D513"/>
  <c r="E513" s="1"/>
  <c r="D152"/>
  <c r="C153"/>
  <c r="C515" i="57"/>
  <c r="D514"/>
  <c r="E514" s="1"/>
  <c r="C153"/>
  <c r="D152"/>
  <c r="C876"/>
  <c r="D875"/>
  <c r="E875" s="1"/>
  <c r="E152" i="56" l="1"/>
  <c r="E152" i="57"/>
  <c r="D514" i="56"/>
  <c r="E514" s="1"/>
  <c r="C515"/>
  <c r="D153"/>
  <c r="E153" s="1"/>
  <c r="C154"/>
  <c r="D515" i="57"/>
  <c r="E515" s="1"/>
  <c r="C516"/>
  <c r="D876"/>
  <c r="E876" s="1"/>
  <c r="C877"/>
  <c r="D153"/>
  <c r="E153" s="1"/>
  <c r="C154"/>
  <c r="D515" i="56" l="1"/>
  <c r="E515" s="1"/>
  <c r="C516"/>
  <c r="D154"/>
  <c r="E154" s="1"/>
  <c r="C155"/>
  <c r="C517" i="57"/>
  <c r="D516"/>
  <c r="E516" s="1"/>
  <c r="C878"/>
  <c r="D877"/>
  <c r="E877" s="1"/>
  <c r="C155"/>
  <c r="D154"/>
  <c r="E154" s="1"/>
  <c r="C517" i="56" l="1"/>
  <c r="D516"/>
  <c r="E516" s="1"/>
  <c r="D155"/>
  <c r="E155" s="1"/>
  <c r="C156"/>
  <c r="D517" i="57"/>
  <c r="E517" s="1"/>
  <c r="C518"/>
  <c r="D878"/>
  <c r="E878" s="1"/>
  <c r="C879"/>
  <c r="D155"/>
  <c r="E155" s="1"/>
  <c r="C156"/>
  <c r="D517" i="56" l="1"/>
  <c r="E517" s="1"/>
  <c r="C518"/>
  <c r="D156"/>
  <c r="E156" s="1"/>
  <c r="C157"/>
  <c r="C519" i="57"/>
  <c r="D518"/>
  <c r="E518" s="1"/>
  <c r="C880"/>
  <c r="D879"/>
  <c r="E879" s="1"/>
  <c r="C157"/>
  <c r="D156"/>
  <c r="E156" s="1"/>
  <c r="D518" i="56" l="1"/>
  <c r="E518" s="1"/>
  <c r="C519"/>
  <c r="D157"/>
  <c r="E157" s="1"/>
  <c r="C158"/>
  <c r="D519" i="57"/>
  <c r="E519" s="1"/>
  <c r="C520"/>
  <c r="D880"/>
  <c r="E880" s="1"/>
  <c r="C881"/>
  <c r="D157"/>
  <c r="E157" s="1"/>
  <c r="C158"/>
  <c r="C520" i="56" l="1"/>
  <c r="D519"/>
  <c r="E519" s="1"/>
  <c r="D158"/>
  <c r="E158" s="1"/>
  <c r="C159"/>
  <c r="C882" i="57"/>
  <c r="D881"/>
  <c r="E881" s="1"/>
  <c r="C521"/>
  <c r="D520"/>
  <c r="E520" s="1"/>
  <c r="C159"/>
  <c r="D158"/>
  <c r="E158" s="1"/>
  <c r="C521" i="56" l="1"/>
  <c r="D520"/>
  <c r="E520" s="1"/>
  <c r="D159"/>
  <c r="E159" s="1"/>
  <c r="C160"/>
  <c r="D521" i="57"/>
  <c r="E521" s="1"/>
  <c r="C522"/>
  <c r="D882"/>
  <c r="E882" s="1"/>
  <c r="C883"/>
  <c r="D159"/>
  <c r="E159" s="1"/>
  <c r="C160"/>
  <c r="C522" i="56" l="1"/>
  <c r="D521"/>
  <c r="E521" s="1"/>
  <c r="D160"/>
  <c r="E160" s="1"/>
  <c r="C161"/>
  <c r="C523" i="57"/>
  <c r="D522"/>
  <c r="E522" s="1"/>
  <c r="C884"/>
  <c r="D883"/>
  <c r="E883" s="1"/>
  <c r="C161"/>
  <c r="D160"/>
  <c r="E160" s="1"/>
  <c r="D522" i="56" l="1"/>
  <c r="E522" s="1"/>
  <c r="C523"/>
  <c r="D161"/>
  <c r="E161" s="1"/>
  <c r="C162"/>
  <c r="D523" i="57"/>
  <c r="E523" s="1"/>
  <c r="C524"/>
  <c r="D884"/>
  <c r="E884" s="1"/>
  <c r="C885"/>
  <c r="D161"/>
  <c r="E161" s="1"/>
  <c r="C162"/>
  <c r="D523" i="56" l="1"/>
  <c r="E523" s="1"/>
  <c r="C524"/>
  <c r="D162"/>
  <c r="E162" s="1"/>
  <c r="C163"/>
  <c r="C525" i="57"/>
  <c r="D524"/>
  <c r="E524" s="1"/>
  <c r="C886"/>
  <c r="D885"/>
  <c r="E885" s="1"/>
  <c r="C163"/>
  <c r="D162"/>
  <c r="E162" s="1"/>
  <c r="C525" i="56" l="1"/>
  <c r="D524"/>
  <c r="E524" s="1"/>
  <c r="D163"/>
  <c r="E163" s="1"/>
  <c r="C164"/>
  <c r="D886" i="57"/>
  <c r="E886" s="1"/>
  <c r="C887"/>
  <c r="D163"/>
  <c r="E163" s="1"/>
  <c r="C164"/>
  <c r="D525"/>
  <c r="E525" s="1"/>
  <c r="C526"/>
  <c r="D525" i="56" l="1"/>
  <c r="E525" s="1"/>
  <c r="C526"/>
  <c r="D164"/>
  <c r="E164" s="1"/>
  <c r="C165"/>
  <c r="C888" i="57"/>
  <c r="D887"/>
  <c r="E887" s="1"/>
  <c r="C165"/>
  <c r="D164"/>
  <c r="E164" s="1"/>
  <c r="C527"/>
  <c r="D526"/>
  <c r="E526" s="1"/>
  <c r="D526" i="56" l="1"/>
  <c r="E526" s="1"/>
  <c r="C527"/>
  <c r="D165"/>
  <c r="E165" s="1"/>
  <c r="C166"/>
  <c r="D888" i="57"/>
  <c r="E888" s="1"/>
  <c r="C889"/>
  <c r="D165"/>
  <c r="E165" s="1"/>
  <c r="C166"/>
  <c r="D527"/>
  <c r="E527" s="1"/>
  <c r="C528"/>
  <c r="C528" i="56" l="1"/>
  <c r="D527"/>
  <c r="E527" s="1"/>
  <c r="D166"/>
  <c r="E166" s="1"/>
  <c r="C167"/>
  <c r="C890" i="57"/>
  <c r="D889"/>
  <c r="E889" s="1"/>
  <c r="C167"/>
  <c r="D166"/>
  <c r="E166" s="1"/>
  <c r="C529"/>
  <c r="D528"/>
  <c r="E528" s="1"/>
  <c r="C529" i="56" l="1"/>
  <c r="D528"/>
  <c r="E528" s="1"/>
  <c r="D167"/>
  <c r="E167" s="1"/>
  <c r="C168"/>
  <c r="D890" i="57"/>
  <c r="E890" s="1"/>
  <c r="C891"/>
  <c r="D167"/>
  <c r="E167" s="1"/>
  <c r="C168"/>
  <c r="D529"/>
  <c r="E529" s="1"/>
  <c r="C530"/>
  <c r="C530" i="56" l="1"/>
  <c r="D529"/>
  <c r="E529" s="1"/>
  <c r="D168"/>
  <c r="E168" s="1"/>
  <c r="C169"/>
  <c r="C892" i="57"/>
  <c r="D891"/>
  <c r="E891" s="1"/>
  <c r="C169"/>
  <c r="D168"/>
  <c r="E168" s="1"/>
  <c r="C531"/>
  <c r="D530"/>
  <c r="E530" s="1"/>
  <c r="D530" i="56" l="1"/>
  <c r="E530" s="1"/>
  <c r="C531"/>
  <c r="D169"/>
  <c r="E169" s="1"/>
  <c r="C170"/>
  <c r="D169" i="57"/>
  <c r="E169" s="1"/>
  <c r="C170"/>
  <c r="D892"/>
  <c r="E892" s="1"/>
  <c r="C893"/>
  <c r="D531"/>
  <c r="E531" s="1"/>
  <c r="C532"/>
  <c r="D531" i="56" l="1"/>
  <c r="E531" s="1"/>
  <c r="C532"/>
  <c r="D170"/>
  <c r="E170" s="1"/>
  <c r="C171"/>
  <c r="C171" i="57"/>
  <c r="D170"/>
  <c r="E170" s="1"/>
  <c r="C894"/>
  <c r="D893"/>
  <c r="E893" s="1"/>
  <c r="C533"/>
  <c r="D532"/>
  <c r="E532" s="1"/>
  <c r="C533" i="56" l="1"/>
  <c r="D532"/>
  <c r="E532" s="1"/>
  <c r="D171"/>
  <c r="E171" s="1"/>
  <c r="C172"/>
  <c r="D171" i="57"/>
  <c r="E171" s="1"/>
  <c r="C172"/>
  <c r="D894"/>
  <c r="E894" s="1"/>
  <c r="C895"/>
  <c r="D533"/>
  <c r="E533" s="1"/>
  <c r="C534"/>
  <c r="D533" i="56" l="1"/>
  <c r="E533" s="1"/>
  <c r="C534"/>
  <c r="D172"/>
  <c r="E172" s="1"/>
  <c r="C173"/>
  <c r="C896" i="57"/>
  <c r="D895"/>
  <c r="E895" s="1"/>
  <c r="C173"/>
  <c r="D172"/>
  <c r="E172" s="1"/>
  <c r="C535"/>
  <c r="D534"/>
  <c r="E534" s="1"/>
  <c r="D534" i="56" l="1"/>
  <c r="E534" s="1"/>
  <c r="C535"/>
  <c r="D173"/>
  <c r="E173" s="1"/>
  <c r="C174"/>
  <c r="D173" i="57"/>
  <c r="E173" s="1"/>
  <c r="C174"/>
  <c r="D535"/>
  <c r="E535" s="1"/>
  <c r="C536"/>
  <c r="D896"/>
  <c r="E896" s="1"/>
  <c r="C897"/>
  <c r="C536" i="56" l="1"/>
  <c r="D535"/>
  <c r="E535" s="1"/>
  <c r="D174"/>
  <c r="E174" s="1"/>
  <c r="C175"/>
  <c r="C175" i="57"/>
  <c r="D174"/>
  <c r="E174" s="1"/>
  <c r="C537"/>
  <c r="D536"/>
  <c r="E536" s="1"/>
  <c r="C898"/>
  <c r="D897"/>
  <c r="E897" s="1"/>
  <c r="C537" i="56" l="1"/>
  <c r="D536"/>
  <c r="E536" s="1"/>
  <c r="D175"/>
  <c r="E175" s="1"/>
  <c r="C176"/>
  <c r="D537" i="57"/>
  <c r="E537" s="1"/>
  <c r="C538"/>
  <c r="D175"/>
  <c r="E175" s="1"/>
  <c r="C176"/>
  <c r="D898"/>
  <c r="E898" s="1"/>
  <c r="C899"/>
  <c r="C538" i="56" l="1"/>
  <c r="D537"/>
  <c r="E537" s="1"/>
  <c r="D176"/>
  <c r="E176" s="1"/>
  <c r="C177"/>
  <c r="C539" i="57"/>
  <c r="D538"/>
  <c r="E538" s="1"/>
  <c r="C177"/>
  <c r="D176"/>
  <c r="E176" s="1"/>
  <c r="C900"/>
  <c r="D899"/>
  <c r="E899" s="1"/>
  <c r="D538" i="56" l="1"/>
  <c r="E538" s="1"/>
  <c r="C539"/>
  <c r="D177"/>
  <c r="E177" s="1"/>
  <c r="C178"/>
  <c r="D539" i="57"/>
  <c r="E539" s="1"/>
  <c r="C540"/>
  <c r="D177"/>
  <c r="E177" s="1"/>
  <c r="C178"/>
  <c r="D900"/>
  <c r="E900" s="1"/>
  <c r="C901"/>
  <c r="D539" i="56" l="1"/>
  <c r="E539" s="1"/>
  <c r="C540"/>
  <c r="D178"/>
  <c r="E178" s="1"/>
  <c r="C179"/>
  <c r="C541" i="57"/>
  <c r="D540"/>
  <c r="E540" s="1"/>
  <c r="C179"/>
  <c r="D178"/>
  <c r="E178" s="1"/>
  <c r="C902"/>
  <c r="D901"/>
  <c r="E901" s="1"/>
  <c r="C541" i="56" l="1"/>
  <c r="D540"/>
  <c r="E540" s="1"/>
  <c r="D179"/>
  <c r="E179" s="1"/>
  <c r="C180"/>
  <c r="D179" i="57"/>
  <c r="E179" s="1"/>
  <c r="C180"/>
  <c r="D541"/>
  <c r="E541" s="1"/>
  <c r="C542"/>
  <c r="D902"/>
  <c r="E902" s="1"/>
  <c r="C903"/>
  <c r="D541" i="56" l="1"/>
  <c r="E541" s="1"/>
  <c r="C542"/>
  <c r="D180"/>
  <c r="E180" s="1"/>
  <c r="C181"/>
  <c r="C181" i="57"/>
  <c r="D180"/>
  <c r="E180" s="1"/>
  <c r="C543"/>
  <c r="D542"/>
  <c r="E542" s="1"/>
  <c r="C904"/>
  <c r="D903"/>
  <c r="E903" s="1"/>
  <c r="D542" i="56" l="1"/>
  <c r="E542" s="1"/>
  <c r="C543"/>
  <c r="D181"/>
  <c r="E181" s="1"/>
  <c r="C182"/>
  <c r="D181" i="57"/>
  <c r="E181" s="1"/>
  <c r="C182"/>
  <c r="D543"/>
  <c r="E543" s="1"/>
  <c r="C544"/>
  <c r="D904"/>
  <c r="E904" s="1"/>
  <c r="C905"/>
  <c r="C544" i="56" l="1"/>
  <c r="D543"/>
  <c r="E543" s="1"/>
  <c r="D182"/>
  <c r="E182" s="1"/>
  <c r="C183"/>
  <c r="C545" i="57"/>
  <c r="D544"/>
  <c r="E544" s="1"/>
  <c r="C183"/>
  <c r="D182"/>
  <c r="E182" s="1"/>
  <c r="C906"/>
  <c r="D905"/>
  <c r="E905" s="1"/>
  <c r="C545" i="56" l="1"/>
  <c r="D544"/>
  <c r="E544" s="1"/>
  <c r="D183"/>
  <c r="E183" s="1"/>
  <c r="C184"/>
  <c r="D183" i="57"/>
  <c r="E183" s="1"/>
  <c r="C184"/>
  <c r="D545"/>
  <c r="E545" s="1"/>
  <c r="C546"/>
  <c r="D906"/>
  <c r="E906" s="1"/>
  <c r="C907"/>
  <c r="C546" i="56" l="1"/>
  <c r="D545"/>
  <c r="E545" s="1"/>
  <c r="D184"/>
  <c r="E184" s="1"/>
  <c r="C185"/>
  <c r="C547" i="57"/>
  <c r="D546"/>
  <c r="E546" s="1"/>
  <c r="C185"/>
  <c r="D184"/>
  <c r="E184" s="1"/>
  <c r="C908"/>
  <c r="D907"/>
  <c r="E907" s="1"/>
  <c r="D546" i="56" l="1"/>
  <c r="E546" s="1"/>
  <c r="C547"/>
  <c r="D185"/>
  <c r="E185" s="1"/>
  <c r="C186"/>
  <c r="D185" i="57"/>
  <c r="E185" s="1"/>
  <c r="C186"/>
  <c r="D547"/>
  <c r="E547" s="1"/>
  <c r="C548"/>
  <c r="D908"/>
  <c r="E908" s="1"/>
  <c r="C909"/>
  <c r="D547" i="56" l="1"/>
  <c r="E547" s="1"/>
  <c r="C548"/>
  <c r="D186"/>
  <c r="E186" s="1"/>
  <c r="C187"/>
  <c r="C187" i="57"/>
  <c r="D186"/>
  <c r="E186" s="1"/>
  <c r="C549"/>
  <c r="D548"/>
  <c r="E548" s="1"/>
  <c r="C910"/>
  <c r="D909"/>
  <c r="E909" s="1"/>
  <c r="C549" i="56" l="1"/>
  <c r="D548"/>
  <c r="E548" s="1"/>
  <c r="D187"/>
  <c r="E187" s="1"/>
  <c r="C188"/>
  <c r="D187" i="57"/>
  <c r="E187" s="1"/>
  <c r="C188"/>
  <c r="D549"/>
  <c r="E549" s="1"/>
  <c r="C550"/>
  <c r="D910"/>
  <c r="E910" s="1"/>
  <c r="C911"/>
  <c r="D549" i="56" l="1"/>
  <c r="E549" s="1"/>
  <c r="C550"/>
  <c r="D188"/>
  <c r="E188" s="1"/>
  <c r="C189"/>
  <c r="C189" i="57"/>
  <c r="D188"/>
  <c r="E188" s="1"/>
  <c r="C551"/>
  <c r="D550"/>
  <c r="E550" s="1"/>
  <c r="C912"/>
  <c r="D911"/>
  <c r="E911" s="1"/>
  <c r="D550" i="56" l="1"/>
  <c r="E550" s="1"/>
  <c r="C551"/>
  <c r="D189"/>
  <c r="E189" s="1"/>
  <c r="C190"/>
  <c r="D551" i="57"/>
  <c r="E551" s="1"/>
  <c r="C552"/>
  <c r="D912"/>
  <c r="E912" s="1"/>
  <c r="C913"/>
  <c r="D189"/>
  <c r="E189" s="1"/>
  <c r="C190"/>
  <c r="C552" i="56" l="1"/>
  <c r="D551"/>
  <c r="E551" s="1"/>
  <c r="D190"/>
  <c r="E190" s="1"/>
  <c r="C191"/>
  <c r="C553" i="57"/>
  <c r="D552"/>
  <c r="E552" s="1"/>
  <c r="C914"/>
  <c r="D913"/>
  <c r="E913" s="1"/>
  <c r="C191"/>
  <c r="D190"/>
  <c r="E190" s="1"/>
  <c r="D191" i="56" l="1"/>
  <c r="E191" s="1"/>
  <c r="C192"/>
  <c r="C553"/>
  <c r="D552"/>
  <c r="E552" s="1"/>
  <c r="D553" i="57"/>
  <c r="E553" s="1"/>
  <c r="C554"/>
  <c r="D914"/>
  <c r="E914" s="1"/>
  <c r="C915"/>
  <c r="D191"/>
  <c r="E191" s="1"/>
  <c r="C192"/>
  <c r="D192" i="56" l="1"/>
  <c r="E192" s="1"/>
  <c r="C193"/>
  <c r="C554"/>
  <c r="D553"/>
  <c r="E553" s="1"/>
  <c r="C555" i="57"/>
  <c r="D554"/>
  <c r="E554" s="1"/>
  <c r="C916"/>
  <c r="D915"/>
  <c r="E915" s="1"/>
  <c r="C193"/>
  <c r="D192"/>
  <c r="E192" s="1"/>
  <c r="D554" i="56" l="1"/>
  <c r="E554" s="1"/>
  <c r="C555"/>
  <c r="D193"/>
  <c r="E193" s="1"/>
  <c r="C194"/>
  <c r="D555" i="57"/>
  <c r="E555" s="1"/>
  <c r="C556"/>
  <c r="D916"/>
  <c r="E916" s="1"/>
  <c r="C917"/>
  <c r="D193"/>
  <c r="E193" s="1"/>
  <c r="C194"/>
  <c r="D555" i="56" l="1"/>
  <c r="E555" s="1"/>
  <c r="C556"/>
  <c r="D194"/>
  <c r="E194" s="1"/>
  <c r="C195"/>
  <c r="C557" i="57"/>
  <c r="D556"/>
  <c r="E556" s="1"/>
  <c r="C918"/>
  <c r="D917"/>
  <c r="E917" s="1"/>
  <c r="C195"/>
  <c r="D194"/>
  <c r="E194" s="1"/>
  <c r="C557" i="56" l="1"/>
  <c r="D556"/>
  <c r="E556" s="1"/>
  <c r="D195"/>
  <c r="E195" s="1"/>
  <c r="C196"/>
  <c r="D557" i="57"/>
  <c r="E557" s="1"/>
  <c r="C558"/>
  <c r="D918"/>
  <c r="E918" s="1"/>
  <c r="C919"/>
  <c r="D195"/>
  <c r="E195" s="1"/>
  <c r="C196"/>
  <c r="D557" i="56" l="1"/>
  <c r="E557" s="1"/>
  <c r="C558"/>
  <c r="D196"/>
  <c r="E196" s="1"/>
  <c r="C197"/>
  <c r="C559" i="57"/>
  <c r="D558"/>
  <c r="E558" s="1"/>
  <c r="C920"/>
  <c r="D919"/>
  <c r="E919" s="1"/>
  <c r="C197"/>
  <c r="D196"/>
  <c r="E196" s="1"/>
  <c r="D558" i="56" l="1"/>
  <c r="E558" s="1"/>
  <c r="C559"/>
  <c r="D197"/>
  <c r="E197" s="1"/>
  <c r="C198"/>
  <c r="D559" i="57"/>
  <c r="E559" s="1"/>
  <c r="C560"/>
  <c r="D920"/>
  <c r="E920" s="1"/>
  <c r="C921"/>
  <c r="D197"/>
  <c r="E197" s="1"/>
  <c r="C198"/>
  <c r="C560" i="56" l="1"/>
  <c r="D559"/>
  <c r="E559" s="1"/>
  <c r="D198"/>
  <c r="E198" s="1"/>
  <c r="C199"/>
  <c r="C561" i="57"/>
  <c r="D560"/>
  <c r="E560" s="1"/>
  <c r="C922"/>
  <c r="D921"/>
  <c r="E921" s="1"/>
  <c r="C199"/>
  <c r="D198"/>
  <c r="E198" s="1"/>
  <c r="C561" i="56" l="1"/>
  <c r="D560"/>
  <c r="E560" s="1"/>
  <c r="D199"/>
  <c r="E199" s="1"/>
  <c r="C200"/>
  <c r="D922" i="57"/>
  <c r="E922" s="1"/>
  <c r="C923"/>
  <c r="D561"/>
  <c r="E561" s="1"/>
  <c r="C562"/>
  <c r="D199"/>
  <c r="E199" s="1"/>
  <c r="C200"/>
  <c r="C562" i="56" l="1"/>
  <c r="D561"/>
  <c r="E561" s="1"/>
  <c r="D200"/>
  <c r="E200" s="1"/>
  <c r="C201"/>
  <c r="C924" i="57"/>
  <c r="D923"/>
  <c r="E923" s="1"/>
  <c r="C563"/>
  <c r="D562"/>
  <c r="E562" s="1"/>
  <c r="C201"/>
  <c r="D200"/>
  <c r="E200" s="1"/>
  <c r="D562" i="56" l="1"/>
  <c r="E562" s="1"/>
  <c r="C563"/>
  <c r="D201"/>
  <c r="E201" s="1"/>
  <c r="C202"/>
  <c r="D563" i="57"/>
  <c r="E563" s="1"/>
  <c r="C564"/>
  <c r="D924"/>
  <c r="E924" s="1"/>
  <c r="C925"/>
  <c r="D201"/>
  <c r="E201" s="1"/>
  <c r="C202"/>
  <c r="D563" i="56" l="1"/>
  <c r="E563" s="1"/>
  <c r="C564"/>
  <c r="D202"/>
  <c r="E202" s="1"/>
  <c r="C203"/>
  <c r="C565" i="57"/>
  <c r="D564"/>
  <c r="E564" s="1"/>
  <c r="C926"/>
  <c r="D925"/>
  <c r="E925" s="1"/>
  <c r="C203"/>
  <c r="D202"/>
  <c r="E202" s="1"/>
  <c r="C565" i="56" l="1"/>
  <c r="D564"/>
  <c r="E564" s="1"/>
  <c r="D203"/>
  <c r="E203" s="1"/>
  <c r="C204"/>
  <c r="D926" i="57"/>
  <c r="E926" s="1"/>
  <c r="C927"/>
  <c r="D565"/>
  <c r="E565" s="1"/>
  <c r="C566"/>
  <c r="D203"/>
  <c r="E203" s="1"/>
  <c r="C204"/>
  <c r="D565" i="56" l="1"/>
  <c r="E565" s="1"/>
  <c r="C566"/>
  <c r="D204"/>
  <c r="E204" s="1"/>
  <c r="C205"/>
  <c r="C928" i="57"/>
  <c r="D927"/>
  <c r="E927" s="1"/>
  <c r="C567"/>
  <c r="D566"/>
  <c r="E566" s="1"/>
  <c r="C205"/>
  <c r="D204"/>
  <c r="E204" s="1"/>
  <c r="D566" i="56" l="1"/>
  <c r="E566" s="1"/>
  <c r="C567"/>
  <c r="D205"/>
  <c r="E205" s="1"/>
  <c r="C206"/>
  <c r="D567" i="57"/>
  <c r="E567" s="1"/>
  <c r="C568"/>
  <c r="D928"/>
  <c r="E928" s="1"/>
  <c r="C929"/>
  <c r="D205"/>
  <c r="E205" s="1"/>
  <c r="C206"/>
  <c r="C568" i="56" l="1"/>
  <c r="D567"/>
  <c r="E567" s="1"/>
  <c r="D206"/>
  <c r="E206" s="1"/>
  <c r="C207"/>
  <c r="C569" i="57"/>
  <c r="D568"/>
  <c r="E568" s="1"/>
  <c r="C930"/>
  <c r="D929"/>
  <c r="E929" s="1"/>
  <c r="C207"/>
  <c r="D206"/>
  <c r="E206" s="1"/>
  <c r="C569" i="56" l="1"/>
  <c r="D568"/>
  <c r="E568" s="1"/>
  <c r="D207"/>
  <c r="E207" s="1"/>
  <c r="C208"/>
  <c r="D930" i="57"/>
  <c r="E930" s="1"/>
  <c r="C931"/>
  <c r="D569"/>
  <c r="E569" s="1"/>
  <c r="C570"/>
  <c r="D207"/>
  <c r="E207" s="1"/>
  <c r="C208"/>
  <c r="C570" i="56" l="1"/>
  <c r="D569"/>
  <c r="E569" s="1"/>
  <c r="D208"/>
  <c r="E208" s="1"/>
  <c r="C209"/>
  <c r="C932" i="57"/>
  <c r="D931"/>
  <c r="E931" s="1"/>
  <c r="C571"/>
  <c r="D570"/>
  <c r="E570" s="1"/>
  <c r="C209"/>
  <c r="D208"/>
  <c r="E208" s="1"/>
  <c r="D570" i="56" l="1"/>
  <c r="E570" s="1"/>
  <c r="C571"/>
  <c r="D209"/>
  <c r="E209" s="1"/>
  <c r="C210"/>
  <c r="D571" i="57"/>
  <c r="E571" s="1"/>
  <c r="C572"/>
  <c r="D932"/>
  <c r="E932" s="1"/>
  <c r="C933"/>
  <c r="D209"/>
  <c r="E209" s="1"/>
  <c r="C210"/>
  <c r="D571" i="56" l="1"/>
  <c r="E571" s="1"/>
  <c r="C572"/>
  <c r="D210"/>
  <c r="E210" s="1"/>
  <c r="C211"/>
  <c r="C573" i="57"/>
  <c r="D572"/>
  <c r="E572" s="1"/>
  <c r="C934"/>
  <c r="D933"/>
  <c r="E933" s="1"/>
  <c r="C211"/>
  <c r="D210"/>
  <c r="E210" s="1"/>
  <c r="C573" i="56" l="1"/>
  <c r="D572"/>
  <c r="E572" s="1"/>
  <c r="D211"/>
  <c r="E211" s="1"/>
  <c r="C212"/>
  <c r="D573" i="57"/>
  <c r="E573" s="1"/>
  <c r="C574"/>
  <c r="D934"/>
  <c r="E934" s="1"/>
  <c r="C935"/>
  <c r="D211"/>
  <c r="E211" s="1"/>
  <c r="C212"/>
  <c r="D573" i="56" l="1"/>
  <c r="E573" s="1"/>
  <c r="C574"/>
  <c r="D212"/>
  <c r="E212" s="1"/>
  <c r="C213"/>
  <c r="C575" i="57"/>
  <c r="D574"/>
  <c r="E574" s="1"/>
  <c r="C936"/>
  <c r="D935"/>
  <c r="E935" s="1"/>
  <c r="C213"/>
  <c r="D212"/>
  <c r="E212" s="1"/>
  <c r="D574" i="56" l="1"/>
  <c r="E574" s="1"/>
  <c r="C575"/>
  <c r="D213"/>
  <c r="E213" s="1"/>
  <c r="C214"/>
  <c r="D936" i="57"/>
  <c r="E936" s="1"/>
  <c r="C937"/>
  <c r="D575"/>
  <c r="E575" s="1"/>
  <c r="C576"/>
  <c r="D213"/>
  <c r="E213" s="1"/>
  <c r="C214"/>
  <c r="C576" i="56" l="1"/>
  <c r="D575"/>
  <c r="E575" s="1"/>
  <c r="D214"/>
  <c r="E214" s="1"/>
  <c r="C215"/>
  <c r="C938" i="57"/>
  <c r="D937"/>
  <c r="E937" s="1"/>
  <c r="D576"/>
  <c r="E576" s="1"/>
  <c r="C577"/>
  <c r="C215"/>
  <c r="D214"/>
  <c r="E214" s="1"/>
  <c r="C577" i="56" l="1"/>
  <c r="D576"/>
  <c r="E576" s="1"/>
  <c r="C216"/>
  <c r="D215"/>
  <c r="E215" s="1"/>
  <c r="D938" i="57"/>
  <c r="E938" s="1"/>
  <c r="C939"/>
  <c r="D577"/>
  <c r="E577" s="1"/>
  <c r="C578"/>
  <c r="D215"/>
  <c r="E215" s="1"/>
  <c r="C216"/>
  <c r="C578" i="56" l="1"/>
  <c r="D577"/>
  <c r="E577" s="1"/>
  <c r="C217"/>
  <c r="D216"/>
  <c r="E216" s="1"/>
  <c r="C940" i="57"/>
  <c r="D939"/>
  <c r="E939" s="1"/>
  <c r="D578"/>
  <c r="E578" s="1"/>
  <c r="C579"/>
  <c r="C217"/>
  <c r="D216"/>
  <c r="E216" s="1"/>
  <c r="C218" i="56" l="1"/>
  <c r="D217"/>
  <c r="E217" s="1"/>
  <c r="D578"/>
  <c r="E578" s="1"/>
  <c r="C579"/>
  <c r="D940" i="57"/>
  <c r="E940" s="1"/>
  <c r="C941"/>
  <c r="D579"/>
  <c r="E579" s="1"/>
  <c r="C580"/>
  <c r="D217"/>
  <c r="E217" s="1"/>
  <c r="C218"/>
  <c r="D218" i="56" l="1"/>
  <c r="E218" s="1"/>
  <c r="C219"/>
  <c r="D579"/>
  <c r="E579" s="1"/>
  <c r="C580"/>
  <c r="C942" i="57"/>
  <c r="D941"/>
  <c r="E941" s="1"/>
  <c r="D580"/>
  <c r="E580" s="1"/>
  <c r="C581"/>
  <c r="C219"/>
  <c r="D218"/>
  <c r="E218" s="1"/>
  <c r="D219" i="56" l="1"/>
  <c r="E219" s="1"/>
  <c r="C220"/>
  <c r="C581"/>
  <c r="D580"/>
  <c r="E580" s="1"/>
  <c r="D942" i="57"/>
  <c r="E942" s="1"/>
  <c r="C943"/>
  <c r="D581"/>
  <c r="E581" s="1"/>
  <c r="C582"/>
  <c r="D219"/>
  <c r="E219" s="1"/>
  <c r="C220"/>
  <c r="D581" i="56" l="1"/>
  <c r="E581" s="1"/>
  <c r="C582"/>
  <c r="C221"/>
  <c r="D220"/>
  <c r="E220" s="1"/>
  <c r="C944" i="57"/>
  <c r="D943"/>
  <c r="E943" s="1"/>
  <c r="D582"/>
  <c r="E582" s="1"/>
  <c r="C583"/>
  <c r="C221"/>
  <c r="D220"/>
  <c r="E220" s="1"/>
  <c r="D221" i="56" l="1"/>
  <c r="E221" s="1"/>
  <c r="C222"/>
  <c r="D582"/>
  <c r="E582" s="1"/>
  <c r="C583"/>
  <c r="D944" i="57"/>
  <c r="E944" s="1"/>
  <c r="C945"/>
  <c r="D583"/>
  <c r="E583" s="1"/>
  <c r="C584"/>
  <c r="D221"/>
  <c r="E221" s="1"/>
  <c r="C222"/>
  <c r="D222" i="56" l="1"/>
  <c r="E222" s="1"/>
  <c r="C223"/>
  <c r="C584"/>
  <c r="D583"/>
  <c r="E583" s="1"/>
  <c r="C946" i="57"/>
  <c r="D945"/>
  <c r="E945" s="1"/>
  <c r="D584"/>
  <c r="E584" s="1"/>
  <c r="C585"/>
  <c r="C223"/>
  <c r="D222"/>
  <c r="E222" s="1"/>
  <c r="C224" i="56" l="1"/>
  <c r="D223"/>
  <c r="E223" s="1"/>
  <c r="C585"/>
  <c r="D584"/>
  <c r="E584" s="1"/>
  <c r="D946" i="57"/>
  <c r="E946" s="1"/>
  <c r="C947"/>
  <c r="D585"/>
  <c r="E585" s="1"/>
  <c r="C586"/>
  <c r="D223"/>
  <c r="E223" s="1"/>
  <c r="C224"/>
  <c r="C225" i="56" l="1"/>
  <c r="D224"/>
  <c r="E224" s="1"/>
  <c r="C586"/>
  <c r="D585"/>
  <c r="E585" s="1"/>
  <c r="C948" i="57"/>
  <c r="D947"/>
  <c r="E947" s="1"/>
  <c r="D586"/>
  <c r="E586" s="1"/>
  <c r="C587"/>
  <c r="C225"/>
  <c r="D224"/>
  <c r="E224" s="1"/>
  <c r="C226" i="56" l="1"/>
  <c r="D225"/>
  <c r="E225" s="1"/>
  <c r="D586"/>
  <c r="E586" s="1"/>
  <c r="C587"/>
  <c r="D948" i="57"/>
  <c r="E948" s="1"/>
  <c r="C949"/>
  <c r="D587"/>
  <c r="E587" s="1"/>
  <c r="C588"/>
  <c r="D225"/>
  <c r="E225" s="1"/>
  <c r="C226"/>
  <c r="D226" i="56" l="1"/>
  <c r="E226" s="1"/>
  <c r="C227"/>
  <c r="D587"/>
  <c r="E587" s="1"/>
  <c r="C588"/>
  <c r="C950" i="57"/>
  <c r="D949"/>
  <c r="E949" s="1"/>
  <c r="D588"/>
  <c r="E588" s="1"/>
  <c r="C589"/>
  <c r="C227"/>
  <c r="D226"/>
  <c r="E226" s="1"/>
  <c r="D227" i="56" l="1"/>
  <c r="E227" s="1"/>
  <c r="C228"/>
  <c r="C589"/>
  <c r="D588"/>
  <c r="E588" s="1"/>
  <c r="D950" i="57"/>
  <c r="E950" s="1"/>
  <c r="C951"/>
  <c r="D589"/>
  <c r="E589" s="1"/>
  <c r="C590"/>
  <c r="D227"/>
  <c r="E227" s="1"/>
  <c r="C228"/>
  <c r="C229" i="56" l="1"/>
  <c r="D228"/>
  <c r="E228" s="1"/>
  <c r="D589"/>
  <c r="E589" s="1"/>
  <c r="C590"/>
  <c r="C952" i="57"/>
  <c r="D951"/>
  <c r="E951" s="1"/>
  <c r="D590"/>
  <c r="E590" s="1"/>
  <c r="C591"/>
  <c r="C229"/>
  <c r="D228"/>
  <c r="E228" s="1"/>
  <c r="D229" i="56" l="1"/>
  <c r="E229" s="1"/>
  <c r="C230"/>
  <c r="D590"/>
  <c r="E590" s="1"/>
  <c r="C591"/>
  <c r="D952" i="57"/>
  <c r="E952" s="1"/>
  <c r="C953"/>
  <c r="D591"/>
  <c r="E591" s="1"/>
  <c r="C592"/>
  <c r="D229"/>
  <c r="E229" s="1"/>
  <c r="C230"/>
  <c r="D230" i="56" l="1"/>
  <c r="E230" s="1"/>
  <c r="C231"/>
  <c r="C592"/>
  <c r="D591"/>
  <c r="E591" s="1"/>
  <c r="C954" i="57"/>
  <c r="D953"/>
  <c r="E953" s="1"/>
  <c r="D592"/>
  <c r="E592" s="1"/>
  <c r="C593"/>
  <c r="C231"/>
  <c r="D230"/>
  <c r="E230" s="1"/>
  <c r="C593" i="56" l="1"/>
  <c r="D592"/>
  <c r="E592" s="1"/>
  <c r="C232"/>
  <c r="D231"/>
  <c r="E231" s="1"/>
  <c r="D954" i="57"/>
  <c r="E954" s="1"/>
  <c r="C955"/>
  <c r="D593"/>
  <c r="E593" s="1"/>
  <c r="C594"/>
  <c r="D231"/>
  <c r="E231" s="1"/>
  <c r="C232"/>
  <c r="C594" i="56" l="1"/>
  <c r="D593"/>
  <c r="E593" s="1"/>
  <c r="C233"/>
  <c r="D232"/>
  <c r="E232" s="1"/>
  <c r="C956" i="57"/>
  <c r="D955"/>
  <c r="E955" s="1"/>
  <c r="D594"/>
  <c r="E594" s="1"/>
  <c r="C595"/>
  <c r="C233"/>
  <c r="D232"/>
  <c r="E232" s="1"/>
  <c r="C234" i="56" l="1"/>
  <c r="D233"/>
  <c r="E233" s="1"/>
  <c r="D594"/>
  <c r="E594" s="1"/>
  <c r="C595"/>
  <c r="D956" i="57"/>
  <c r="E956" s="1"/>
  <c r="C957"/>
  <c r="D595"/>
  <c r="E595" s="1"/>
  <c r="C596"/>
  <c r="D233"/>
  <c r="E233" s="1"/>
  <c r="C234"/>
  <c r="D234" i="56" l="1"/>
  <c r="E234" s="1"/>
  <c r="C235"/>
  <c r="D595"/>
  <c r="E595" s="1"/>
  <c r="C596"/>
  <c r="C958" i="57"/>
  <c r="D957"/>
  <c r="E957" s="1"/>
  <c r="D596"/>
  <c r="E596" s="1"/>
  <c r="C597"/>
  <c r="C235"/>
  <c r="D234"/>
  <c r="E234" s="1"/>
  <c r="D235" i="56" l="1"/>
  <c r="E235" s="1"/>
  <c r="C236"/>
  <c r="C597"/>
  <c r="D596"/>
  <c r="E596" s="1"/>
  <c r="D958" i="57"/>
  <c r="E958" s="1"/>
  <c r="C959"/>
  <c r="D597"/>
  <c r="E597" s="1"/>
  <c r="C598"/>
  <c r="D235"/>
  <c r="E235" s="1"/>
  <c r="C236"/>
  <c r="D597" i="56" l="1"/>
  <c r="E597" s="1"/>
  <c r="C598"/>
  <c r="C237"/>
  <c r="D236"/>
  <c r="E236" s="1"/>
  <c r="C960" i="57"/>
  <c r="D959"/>
  <c r="E959" s="1"/>
  <c r="D598"/>
  <c r="E598" s="1"/>
  <c r="C599"/>
  <c r="C237"/>
  <c r="D236"/>
  <c r="E236" s="1"/>
  <c r="D598" i="56" l="1"/>
  <c r="E598" s="1"/>
  <c r="C599"/>
  <c r="D237"/>
  <c r="E237" s="1"/>
  <c r="C238"/>
  <c r="D960" i="57"/>
  <c r="E960" s="1"/>
  <c r="C961"/>
  <c r="D599"/>
  <c r="E599" s="1"/>
  <c r="C600"/>
  <c r="D237"/>
  <c r="E237" s="1"/>
  <c r="C238"/>
  <c r="C600" i="56" l="1"/>
  <c r="D599"/>
  <c r="E599" s="1"/>
  <c r="D238"/>
  <c r="E238" s="1"/>
  <c r="C239"/>
  <c r="C962" i="57"/>
  <c r="D961"/>
  <c r="E961" s="1"/>
  <c r="D600"/>
  <c r="E600" s="1"/>
  <c r="C601"/>
  <c r="C239"/>
  <c r="D238"/>
  <c r="E238" s="1"/>
  <c r="C601" i="56" l="1"/>
  <c r="D600"/>
  <c r="E600" s="1"/>
  <c r="C240"/>
  <c r="D239"/>
  <c r="E239" s="1"/>
  <c r="D962" i="57"/>
  <c r="E962" s="1"/>
  <c r="C963"/>
  <c r="D601"/>
  <c r="E601" s="1"/>
  <c r="C602"/>
  <c r="D239"/>
  <c r="E239" s="1"/>
  <c r="C240"/>
  <c r="C241" i="56" l="1"/>
  <c r="D240"/>
  <c r="E240" s="1"/>
  <c r="C602"/>
  <c r="D601"/>
  <c r="E601" s="1"/>
  <c r="C964" i="57"/>
  <c r="D963"/>
  <c r="E963" s="1"/>
  <c r="D602"/>
  <c r="E602" s="1"/>
  <c r="C603"/>
  <c r="C241"/>
  <c r="D240"/>
  <c r="E240" s="1"/>
  <c r="D602" i="56" l="1"/>
  <c r="E602" s="1"/>
  <c r="C603"/>
  <c r="C242"/>
  <c r="D241"/>
  <c r="E241" s="1"/>
  <c r="D964" i="57"/>
  <c r="E964" s="1"/>
  <c r="C965"/>
  <c r="D603"/>
  <c r="E603" s="1"/>
  <c r="C604"/>
  <c r="D241"/>
  <c r="E241" s="1"/>
  <c r="C242"/>
  <c r="D603" i="56" l="1"/>
  <c r="E603" s="1"/>
  <c r="C604"/>
  <c r="D242"/>
  <c r="E242" s="1"/>
  <c r="C243"/>
  <c r="C966" i="57"/>
  <c r="D965"/>
  <c r="E965" s="1"/>
  <c r="D604"/>
  <c r="E604" s="1"/>
  <c r="C605"/>
  <c r="C243"/>
  <c r="D242"/>
  <c r="E242" s="1"/>
  <c r="C605" i="56" l="1"/>
  <c r="D604"/>
  <c r="E604" s="1"/>
  <c r="D243"/>
  <c r="E243" s="1"/>
  <c r="C244"/>
  <c r="D966" i="57"/>
  <c r="E966" s="1"/>
  <c r="C967"/>
  <c r="D605"/>
  <c r="E605" s="1"/>
  <c r="C606"/>
  <c r="D243"/>
  <c r="E243" s="1"/>
  <c r="C244"/>
  <c r="D605" i="56" l="1"/>
  <c r="E605" s="1"/>
  <c r="C606"/>
  <c r="C245"/>
  <c r="D244"/>
  <c r="E244" s="1"/>
  <c r="C968" i="57"/>
  <c r="D967"/>
  <c r="E967" s="1"/>
  <c r="D606"/>
  <c r="E606" s="1"/>
  <c r="C607"/>
  <c r="C245"/>
  <c r="D244"/>
  <c r="E244" s="1"/>
  <c r="D606" i="56" l="1"/>
  <c r="E606" s="1"/>
  <c r="C607"/>
  <c r="D245"/>
  <c r="E245" s="1"/>
  <c r="C246"/>
  <c r="D968" i="57"/>
  <c r="E968" s="1"/>
  <c r="C969"/>
  <c r="D607"/>
  <c r="E607" s="1"/>
  <c r="C608"/>
  <c r="D245"/>
  <c r="E245" s="1"/>
  <c r="C246"/>
  <c r="C608" i="56" l="1"/>
  <c r="D607"/>
  <c r="E607" s="1"/>
  <c r="D246"/>
  <c r="E246" s="1"/>
  <c r="C247"/>
  <c r="C970" i="57"/>
  <c r="D969"/>
  <c r="E969" s="1"/>
  <c r="D608"/>
  <c r="E608" s="1"/>
  <c r="C609"/>
  <c r="C247"/>
  <c r="D246"/>
  <c r="E246" s="1"/>
  <c r="C609" i="56" l="1"/>
  <c r="D608"/>
  <c r="E608" s="1"/>
  <c r="C248"/>
  <c r="D247"/>
  <c r="E247" s="1"/>
  <c r="D970" i="57"/>
  <c r="E970" s="1"/>
  <c r="C971"/>
  <c r="D609"/>
  <c r="E609" s="1"/>
  <c r="C610"/>
  <c r="D247"/>
  <c r="E247" s="1"/>
  <c r="C248"/>
  <c r="C610" i="56" l="1"/>
  <c r="D609"/>
  <c r="E609" s="1"/>
  <c r="C249"/>
  <c r="D248"/>
  <c r="E248" s="1"/>
  <c r="C972" i="57"/>
  <c r="D971"/>
  <c r="E971" s="1"/>
  <c r="D610"/>
  <c r="E610" s="1"/>
  <c r="C611"/>
  <c r="C249"/>
  <c r="D248"/>
  <c r="E248" s="1"/>
  <c r="C250" i="56" l="1"/>
  <c r="D249"/>
  <c r="E249" s="1"/>
  <c r="C611"/>
  <c r="D610"/>
  <c r="E610" s="1"/>
  <c r="D972" i="57"/>
  <c r="E972" s="1"/>
  <c r="C973"/>
  <c r="D611"/>
  <c r="E611" s="1"/>
  <c r="C612"/>
  <c r="D249"/>
  <c r="E249" s="1"/>
  <c r="C250"/>
  <c r="D250" i="56" l="1"/>
  <c r="E250" s="1"/>
  <c r="C251"/>
  <c r="D611"/>
  <c r="E611" s="1"/>
  <c r="C612"/>
  <c r="C974" i="57"/>
  <c r="D973"/>
  <c r="E973" s="1"/>
  <c r="D612"/>
  <c r="E612" s="1"/>
  <c r="C613"/>
  <c r="C251"/>
  <c r="D250"/>
  <c r="E250" s="1"/>
  <c r="D251" i="56" l="1"/>
  <c r="E251" s="1"/>
  <c r="C252"/>
  <c r="D612"/>
  <c r="E612" s="1"/>
  <c r="C613"/>
  <c r="D974" i="57"/>
  <c r="E974" s="1"/>
  <c r="C975"/>
  <c r="D613"/>
  <c r="E613" s="1"/>
  <c r="C614"/>
  <c r="D251"/>
  <c r="E251" s="1"/>
  <c r="C252"/>
  <c r="C253" i="56" l="1"/>
  <c r="D252"/>
  <c r="E252" s="1"/>
  <c r="D613"/>
  <c r="E613" s="1"/>
  <c r="C614"/>
  <c r="C976" i="57"/>
  <c r="D975"/>
  <c r="E975" s="1"/>
  <c r="D614"/>
  <c r="E614" s="1"/>
  <c r="C615"/>
  <c r="C253"/>
  <c r="D252"/>
  <c r="E252" s="1"/>
  <c r="D253" i="56" l="1"/>
  <c r="E253" s="1"/>
  <c r="C254"/>
  <c r="D614"/>
  <c r="E614" s="1"/>
  <c r="C615"/>
  <c r="D976" i="57"/>
  <c r="E976" s="1"/>
  <c r="C977"/>
  <c r="D615"/>
  <c r="E615" s="1"/>
  <c r="C616"/>
  <c r="D253"/>
  <c r="E253" s="1"/>
  <c r="C254"/>
  <c r="D254" i="56" l="1"/>
  <c r="E254" s="1"/>
  <c r="C255"/>
  <c r="C616"/>
  <c r="D615"/>
  <c r="E615" s="1"/>
  <c r="C978" i="57"/>
  <c r="D977"/>
  <c r="E977" s="1"/>
  <c r="D616"/>
  <c r="E616" s="1"/>
  <c r="C617"/>
  <c r="C255"/>
  <c r="D254"/>
  <c r="E254" s="1"/>
  <c r="D616" i="56" l="1"/>
  <c r="E616" s="1"/>
  <c r="C617"/>
  <c r="C256"/>
  <c r="D255"/>
  <c r="E255" s="1"/>
  <c r="D978" i="57"/>
  <c r="E978" s="1"/>
  <c r="C979"/>
  <c r="D617"/>
  <c r="E617" s="1"/>
  <c r="C618"/>
  <c r="D255"/>
  <c r="E255" s="1"/>
  <c r="C256"/>
  <c r="D617" i="56" l="1"/>
  <c r="E617" s="1"/>
  <c r="C618"/>
  <c r="C257"/>
  <c r="D256"/>
  <c r="E256" s="1"/>
  <c r="C980" i="57"/>
  <c r="D979"/>
  <c r="E979" s="1"/>
  <c r="D618"/>
  <c r="E618" s="1"/>
  <c r="C619"/>
  <c r="C257"/>
  <c r="D256"/>
  <c r="E256" s="1"/>
  <c r="C258" i="56" l="1"/>
  <c r="D257"/>
  <c r="E257" s="1"/>
  <c r="C619"/>
  <c r="D618"/>
  <c r="E618" s="1"/>
  <c r="D980" i="57"/>
  <c r="E980" s="1"/>
  <c r="C981"/>
  <c r="D619"/>
  <c r="E619" s="1"/>
  <c r="C620"/>
  <c r="D257"/>
  <c r="E257" s="1"/>
  <c r="C258"/>
  <c r="D258" i="56" l="1"/>
  <c r="E258" s="1"/>
  <c r="C259"/>
  <c r="D619"/>
  <c r="E619" s="1"/>
  <c r="C620"/>
  <c r="C982" i="57"/>
  <c r="D981"/>
  <c r="E981" s="1"/>
  <c r="D620"/>
  <c r="E620" s="1"/>
  <c r="C621"/>
  <c r="C259"/>
  <c r="D258"/>
  <c r="E258" s="1"/>
  <c r="C260" i="56" l="1"/>
  <c r="D259"/>
  <c r="E259" s="1"/>
  <c r="D620"/>
  <c r="E620" s="1"/>
  <c r="C621"/>
  <c r="D982" i="57"/>
  <c r="E982" s="1"/>
  <c r="C983"/>
  <c r="D621"/>
  <c r="E621" s="1"/>
  <c r="C622"/>
  <c r="D259"/>
  <c r="E259" s="1"/>
  <c r="C260"/>
  <c r="C261" i="56" l="1"/>
  <c r="D260"/>
  <c r="E260" s="1"/>
  <c r="D621"/>
  <c r="E621" s="1"/>
  <c r="C622"/>
  <c r="C984" i="57"/>
  <c r="D983"/>
  <c r="E983" s="1"/>
  <c r="D622"/>
  <c r="E622" s="1"/>
  <c r="C623"/>
  <c r="C261"/>
  <c r="D260"/>
  <c r="E260" s="1"/>
  <c r="D261" i="56" l="1"/>
  <c r="E261" s="1"/>
  <c r="C262"/>
  <c r="D622"/>
  <c r="E622" s="1"/>
  <c r="C623"/>
  <c r="D984" i="57"/>
  <c r="E984" s="1"/>
  <c r="C985"/>
  <c r="D623"/>
  <c r="E623" s="1"/>
  <c r="C624"/>
  <c r="D261"/>
  <c r="E261" s="1"/>
  <c r="C262"/>
  <c r="D262" i="56" l="1"/>
  <c r="E262" s="1"/>
  <c r="C263"/>
  <c r="C624"/>
  <c r="D623"/>
  <c r="E623" s="1"/>
  <c r="C986" i="57"/>
  <c r="D985"/>
  <c r="E985" s="1"/>
  <c r="D624"/>
  <c r="E624" s="1"/>
  <c r="C625"/>
  <c r="C263"/>
  <c r="D262"/>
  <c r="E262" s="1"/>
  <c r="D624" i="56" l="1"/>
  <c r="E624" s="1"/>
  <c r="C625"/>
  <c r="C264"/>
  <c r="D263"/>
  <c r="E263" s="1"/>
  <c r="D986" i="57"/>
  <c r="E986" s="1"/>
  <c r="C987"/>
  <c r="D625"/>
  <c r="E625" s="1"/>
  <c r="C626"/>
  <c r="D263"/>
  <c r="E263" s="1"/>
  <c r="C264"/>
  <c r="D625" i="56" l="1"/>
  <c r="E625" s="1"/>
  <c r="C626"/>
  <c r="C265"/>
  <c r="D264"/>
  <c r="E264" s="1"/>
  <c r="C988" i="57"/>
  <c r="D987"/>
  <c r="E987" s="1"/>
  <c r="D626"/>
  <c r="E626" s="1"/>
  <c r="C627"/>
  <c r="C265"/>
  <c r="D264"/>
  <c r="E264" s="1"/>
  <c r="C627" i="56" l="1"/>
  <c r="D626"/>
  <c r="E626" s="1"/>
  <c r="C266"/>
  <c r="D265"/>
  <c r="E265" s="1"/>
  <c r="D988" i="57"/>
  <c r="E988" s="1"/>
  <c r="C989"/>
  <c r="D627"/>
  <c r="E627" s="1"/>
  <c r="C628"/>
  <c r="D265"/>
  <c r="E265" s="1"/>
  <c r="C266"/>
  <c r="D266" i="56" l="1"/>
  <c r="E266" s="1"/>
  <c r="C267"/>
  <c r="D627"/>
  <c r="E627" s="1"/>
  <c r="C628"/>
  <c r="C990" i="57"/>
  <c r="D989"/>
  <c r="E989" s="1"/>
  <c r="D628"/>
  <c r="E628" s="1"/>
  <c r="C629"/>
  <c r="C267"/>
  <c r="D266"/>
  <c r="E266" s="1"/>
  <c r="D267" i="56" l="1"/>
  <c r="E267" s="1"/>
  <c r="C268"/>
  <c r="D628"/>
  <c r="E628" s="1"/>
  <c r="C629"/>
  <c r="D990" i="57"/>
  <c r="E990" s="1"/>
  <c r="C991"/>
  <c r="D629"/>
  <c r="E629" s="1"/>
  <c r="C630"/>
  <c r="D267"/>
  <c r="E267" s="1"/>
  <c r="C268"/>
  <c r="C269" i="56" l="1"/>
  <c r="D268"/>
  <c r="E268" s="1"/>
  <c r="D629"/>
  <c r="E629" s="1"/>
  <c r="C630"/>
  <c r="C992" i="57"/>
  <c r="D991"/>
  <c r="E991" s="1"/>
  <c r="D630"/>
  <c r="E630" s="1"/>
  <c r="C631"/>
  <c r="C269"/>
  <c r="D268"/>
  <c r="E268" s="1"/>
  <c r="D269" i="56" l="1"/>
  <c r="E269" s="1"/>
  <c r="C270"/>
  <c r="D630"/>
  <c r="E630" s="1"/>
  <c r="C631"/>
  <c r="D992" i="57"/>
  <c r="E992" s="1"/>
  <c r="C993"/>
  <c r="D631"/>
  <c r="E631" s="1"/>
  <c r="C632"/>
  <c r="D269"/>
  <c r="E269" s="1"/>
  <c r="C270"/>
  <c r="D270" i="56" l="1"/>
  <c r="E270" s="1"/>
  <c r="C271"/>
  <c r="C632"/>
  <c r="D631"/>
  <c r="E631" s="1"/>
  <c r="C994" i="57"/>
  <c r="D993"/>
  <c r="E993" s="1"/>
  <c r="D632"/>
  <c r="E632" s="1"/>
  <c r="C633"/>
  <c r="C271"/>
  <c r="D270"/>
  <c r="E270" s="1"/>
  <c r="D632" i="56" l="1"/>
  <c r="E632" s="1"/>
  <c r="C633"/>
  <c r="C272"/>
  <c r="D271"/>
  <c r="E271" s="1"/>
  <c r="D994" i="57"/>
  <c r="E994" s="1"/>
  <c r="C995"/>
  <c r="D633"/>
  <c r="E633" s="1"/>
  <c r="C634"/>
  <c r="D271"/>
  <c r="E271" s="1"/>
  <c r="C272"/>
  <c r="C273" i="56" l="1"/>
  <c r="D272"/>
  <c r="E272" s="1"/>
  <c r="D633"/>
  <c r="E633" s="1"/>
  <c r="C634"/>
  <c r="C996" i="57"/>
  <c r="D995"/>
  <c r="E995" s="1"/>
  <c r="D634"/>
  <c r="E634" s="1"/>
  <c r="C635"/>
  <c r="C273"/>
  <c r="D272"/>
  <c r="E272" s="1"/>
  <c r="C274" i="56" l="1"/>
  <c r="D273"/>
  <c r="E273" s="1"/>
  <c r="C635"/>
  <c r="D634"/>
  <c r="E634" s="1"/>
  <c r="D996" i="57"/>
  <c r="E996" s="1"/>
  <c r="C997"/>
  <c r="D635"/>
  <c r="E635" s="1"/>
  <c r="C636"/>
  <c r="D273"/>
  <c r="E273" s="1"/>
  <c r="C274"/>
  <c r="D274" i="56" l="1"/>
  <c r="E274" s="1"/>
  <c r="C275"/>
  <c r="D635"/>
  <c r="E635" s="1"/>
  <c r="C636"/>
  <c r="C998" i="57"/>
  <c r="D997"/>
  <c r="E997" s="1"/>
  <c r="D636"/>
  <c r="E636" s="1"/>
  <c r="C637"/>
  <c r="C275"/>
  <c r="D274"/>
  <c r="E274" s="1"/>
  <c r="D275" i="56" l="1"/>
  <c r="E275" s="1"/>
  <c r="C276"/>
  <c r="D636"/>
  <c r="E636" s="1"/>
  <c r="C637"/>
  <c r="D998" i="57"/>
  <c r="E998" s="1"/>
  <c r="C999"/>
  <c r="D637"/>
  <c r="E637" s="1"/>
  <c r="C638"/>
  <c r="D275"/>
  <c r="E275" s="1"/>
  <c r="C276"/>
  <c r="C277" i="56" l="1"/>
  <c r="D276"/>
  <c r="E276" s="1"/>
  <c r="D637"/>
  <c r="E637" s="1"/>
  <c r="C638"/>
  <c r="C1000" i="57"/>
  <c r="D999"/>
  <c r="E999" s="1"/>
  <c r="D638"/>
  <c r="E638" s="1"/>
  <c r="C639"/>
  <c r="C277"/>
  <c r="D276"/>
  <c r="E276" s="1"/>
  <c r="D277" i="56" l="1"/>
  <c r="E277" s="1"/>
  <c r="C278"/>
  <c r="D638"/>
  <c r="E638" s="1"/>
  <c r="C639"/>
  <c r="D1000" i="57"/>
  <c r="E1000" s="1"/>
  <c r="C1001"/>
  <c r="D639"/>
  <c r="E639" s="1"/>
  <c r="C640"/>
  <c r="D277"/>
  <c r="E277" s="1"/>
  <c r="C278"/>
  <c r="D278" i="56" l="1"/>
  <c r="E278" s="1"/>
  <c r="C279"/>
  <c r="C640"/>
  <c r="D639"/>
  <c r="E639" s="1"/>
  <c r="C1002" i="57"/>
  <c r="D1001"/>
  <c r="E1001" s="1"/>
  <c r="D640"/>
  <c r="E640" s="1"/>
  <c r="C641"/>
  <c r="C279"/>
  <c r="D278"/>
  <c r="E278" s="1"/>
  <c r="C280" i="56" l="1"/>
  <c r="D279"/>
  <c r="E279" s="1"/>
  <c r="D640"/>
  <c r="E640" s="1"/>
  <c r="C641"/>
  <c r="D1002" i="57"/>
  <c r="E1002" s="1"/>
  <c r="C1003"/>
  <c r="D641"/>
  <c r="E641" s="1"/>
  <c r="C642"/>
  <c r="D279"/>
  <c r="E279" s="1"/>
  <c r="C280"/>
  <c r="C281" i="56" l="1"/>
  <c r="D280"/>
  <c r="E280" s="1"/>
  <c r="D641"/>
  <c r="E641" s="1"/>
  <c r="C642"/>
  <c r="C1004" i="57"/>
  <c r="D1003"/>
  <c r="E1003" s="1"/>
  <c r="D642"/>
  <c r="E642" s="1"/>
  <c r="C643"/>
  <c r="C281"/>
  <c r="D280"/>
  <c r="E280" s="1"/>
  <c r="C282" i="56" l="1"/>
  <c r="D281"/>
  <c r="E281" s="1"/>
  <c r="C643"/>
  <c r="D642"/>
  <c r="E642" s="1"/>
  <c r="D1004" i="57"/>
  <c r="E1004" s="1"/>
  <c r="C1005"/>
  <c r="D643"/>
  <c r="E643" s="1"/>
  <c r="C644"/>
  <c r="D281"/>
  <c r="E281" s="1"/>
  <c r="C282"/>
  <c r="D282" i="56" l="1"/>
  <c r="E282" s="1"/>
  <c r="C283"/>
  <c r="D643"/>
  <c r="E643" s="1"/>
  <c r="C644"/>
  <c r="C1006" i="57"/>
  <c r="D1005"/>
  <c r="E1005" s="1"/>
  <c r="D644"/>
  <c r="E644" s="1"/>
  <c r="C645"/>
  <c r="C283"/>
  <c r="D282"/>
  <c r="E282" s="1"/>
  <c r="D283" i="56" l="1"/>
  <c r="E283" s="1"/>
  <c r="C284"/>
  <c r="D644"/>
  <c r="E644" s="1"/>
  <c r="C645"/>
  <c r="D1006" i="57"/>
  <c r="E1006" s="1"/>
  <c r="C1007"/>
  <c r="D645"/>
  <c r="E645" s="1"/>
  <c r="C646"/>
  <c r="D283"/>
  <c r="E283" s="1"/>
  <c r="C284"/>
  <c r="C285" i="56" l="1"/>
  <c r="D284"/>
  <c r="E284" s="1"/>
  <c r="D645"/>
  <c r="E645" s="1"/>
  <c r="C646"/>
  <c r="C1008" i="57"/>
  <c r="D1007"/>
  <c r="E1007" s="1"/>
  <c r="D646"/>
  <c r="E646" s="1"/>
  <c r="C647"/>
  <c r="C285"/>
  <c r="D284"/>
  <c r="E284" s="1"/>
  <c r="D285" i="56" l="1"/>
  <c r="E285" s="1"/>
  <c r="C286"/>
  <c r="D646"/>
  <c r="E646" s="1"/>
  <c r="C647"/>
  <c r="D1008" i="57"/>
  <c r="E1008" s="1"/>
  <c r="C1009"/>
  <c r="D647"/>
  <c r="E647" s="1"/>
  <c r="C648"/>
  <c r="D285"/>
  <c r="E285" s="1"/>
  <c r="C286"/>
  <c r="D286" i="56" l="1"/>
  <c r="E286" s="1"/>
  <c r="C287"/>
  <c r="C648"/>
  <c r="D647"/>
  <c r="E647" s="1"/>
  <c r="C1010" i="57"/>
  <c r="D1009"/>
  <c r="E1009" s="1"/>
  <c r="D648"/>
  <c r="E648" s="1"/>
  <c r="C649"/>
  <c r="C287"/>
  <c r="D286"/>
  <c r="E286" s="1"/>
  <c r="D648" i="56" l="1"/>
  <c r="E648" s="1"/>
  <c r="C649"/>
  <c r="C288"/>
  <c r="D287"/>
  <c r="E287" s="1"/>
  <c r="D1010" i="57"/>
  <c r="E1010" s="1"/>
  <c r="C1011"/>
  <c r="D649"/>
  <c r="E649" s="1"/>
  <c r="C650"/>
  <c r="D287"/>
  <c r="E287" s="1"/>
  <c r="C288"/>
  <c r="D649" i="56" l="1"/>
  <c r="E649" s="1"/>
  <c r="C650"/>
  <c r="C289"/>
  <c r="D288"/>
  <c r="E288" s="1"/>
  <c r="C1012" i="57"/>
  <c r="D1011"/>
  <c r="E1011" s="1"/>
  <c r="D650"/>
  <c r="E650" s="1"/>
  <c r="C651"/>
  <c r="C289"/>
  <c r="D288"/>
  <c r="E288" s="1"/>
  <c r="C290" i="56" l="1"/>
  <c r="D289"/>
  <c r="E289" s="1"/>
  <c r="C651"/>
  <c r="D650"/>
  <c r="E650" s="1"/>
  <c r="D1012" i="57"/>
  <c r="E1012" s="1"/>
  <c r="C1013"/>
  <c r="D651"/>
  <c r="E651" s="1"/>
  <c r="C652"/>
  <c r="D289"/>
  <c r="E289" s="1"/>
  <c r="C290"/>
  <c r="D290" i="56" l="1"/>
  <c r="E290" s="1"/>
  <c r="C291"/>
  <c r="D651"/>
  <c r="E651" s="1"/>
  <c r="C652"/>
  <c r="C1014" i="57"/>
  <c r="D1013"/>
  <c r="E1013" s="1"/>
  <c r="D652"/>
  <c r="E652" s="1"/>
  <c r="C653"/>
  <c r="C291"/>
  <c r="D290"/>
  <c r="E290" s="1"/>
  <c r="D291" i="56" l="1"/>
  <c r="E291" s="1"/>
  <c r="C292"/>
  <c r="D652"/>
  <c r="E652" s="1"/>
  <c r="C653"/>
  <c r="D1014" i="57"/>
  <c r="E1014" s="1"/>
  <c r="C1015"/>
  <c r="D653"/>
  <c r="E653" s="1"/>
  <c r="C654"/>
  <c r="D291"/>
  <c r="E291" s="1"/>
  <c r="C292"/>
  <c r="C293" i="56" l="1"/>
  <c r="D292"/>
  <c r="E292" s="1"/>
  <c r="D653"/>
  <c r="E653" s="1"/>
  <c r="C654"/>
  <c r="C1016" i="57"/>
  <c r="D1015"/>
  <c r="E1015" s="1"/>
  <c r="D654"/>
  <c r="E654" s="1"/>
  <c r="C655"/>
  <c r="C293"/>
  <c r="D292"/>
  <c r="E292" s="1"/>
  <c r="D293" i="56" l="1"/>
  <c r="E293" s="1"/>
  <c r="C294"/>
  <c r="D654"/>
  <c r="E654" s="1"/>
  <c r="C655"/>
  <c r="D1016" i="57"/>
  <c r="E1016" s="1"/>
  <c r="C1017"/>
  <c r="D655"/>
  <c r="E655" s="1"/>
  <c r="C656"/>
  <c r="D293"/>
  <c r="E293" s="1"/>
  <c r="C294"/>
  <c r="D294" i="56" l="1"/>
  <c r="E294" s="1"/>
  <c r="C295"/>
  <c r="C656"/>
  <c r="D655"/>
  <c r="E655" s="1"/>
  <c r="C1018" i="57"/>
  <c r="D1017"/>
  <c r="E1017" s="1"/>
  <c r="D656"/>
  <c r="E656" s="1"/>
  <c r="C657"/>
  <c r="C295"/>
  <c r="D294"/>
  <c r="E294" s="1"/>
  <c r="D656" i="56" l="1"/>
  <c r="E656" s="1"/>
  <c r="C657"/>
  <c r="C296"/>
  <c r="D295"/>
  <c r="E295" s="1"/>
  <c r="D1018" i="57"/>
  <c r="E1018" s="1"/>
  <c r="C1019"/>
  <c r="D657"/>
  <c r="C658"/>
  <c r="D295"/>
  <c r="C296"/>
  <c r="C297" i="56" l="1"/>
  <c r="C298" s="1"/>
  <c r="D296"/>
  <c r="D657"/>
  <c r="C658"/>
  <c r="C1020" i="57"/>
  <c r="D1019"/>
  <c r="E1019" s="1"/>
  <c r="E657"/>
  <c r="C660"/>
  <c r="D658"/>
  <c r="E658" s="1"/>
  <c r="C659"/>
  <c r="E295"/>
  <c r="C297"/>
  <c r="C298" s="1"/>
  <c r="D296"/>
  <c r="E296" s="1"/>
  <c r="D659" l="1"/>
  <c r="E659" s="1"/>
  <c r="E296" i="56"/>
  <c r="D297"/>
  <c r="E297" s="1"/>
  <c r="D298"/>
  <c r="E298" s="1"/>
  <c r="C299"/>
  <c r="E657"/>
  <c r="C660"/>
  <c r="D658"/>
  <c r="E658" s="1"/>
  <c r="C659"/>
  <c r="C1022" i="57"/>
  <c r="D1020"/>
  <c r="C1021"/>
  <c r="C299"/>
  <c r="D298"/>
  <c r="E298" s="1"/>
  <c r="D660"/>
  <c r="E660" s="1"/>
  <c r="C661"/>
  <c r="D297"/>
  <c r="E297" s="1"/>
  <c r="D659" i="56" l="1"/>
  <c r="E659" s="1"/>
  <c r="D660"/>
  <c r="E660" s="1"/>
  <c r="C661"/>
  <c r="D299"/>
  <c r="E299" s="1"/>
  <c r="C300"/>
  <c r="D1022" i="57"/>
  <c r="E1022" s="1"/>
  <c r="C1023"/>
  <c r="E1020"/>
  <c r="D1021"/>
  <c r="E1021" s="1"/>
  <c r="D299"/>
  <c r="E299" s="1"/>
  <c r="C300"/>
  <c r="D661"/>
  <c r="E661" s="1"/>
  <c r="C662"/>
  <c r="C662" i="56" l="1"/>
  <c r="D661"/>
  <c r="E661" s="1"/>
  <c r="C301"/>
  <c r="D300"/>
  <c r="E300" s="1"/>
  <c r="C1024" i="57"/>
  <c r="D1023"/>
  <c r="E1023" s="1"/>
  <c r="C301"/>
  <c r="D300"/>
  <c r="E300" s="1"/>
  <c r="D662"/>
  <c r="E662" s="1"/>
  <c r="C663"/>
  <c r="D662" i="56" l="1"/>
  <c r="E662" s="1"/>
  <c r="C663"/>
  <c r="D301"/>
  <c r="E301" s="1"/>
  <c r="C302"/>
  <c r="D301" i="57"/>
  <c r="E301" s="1"/>
  <c r="C302"/>
  <c r="D1024"/>
  <c r="E1024" s="1"/>
  <c r="C1025"/>
  <c r="D663"/>
  <c r="E663" s="1"/>
  <c r="C664"/>
  <c r="C664" i="56" l="1"/>
  <c r="D663"/>
  <c r="E663" s="1"/>
  <c r="D302"/>
  <c r="E302" s="1"/>
  <c r="C303"/>
  <c r="C303" i="57"/>
  <c r="D302"/>
  <c r="E302" s="1"/>
  <c r="C1026"/>
  <c r="D1025"/>
  <c r="E1025" s="1"/>
  <c r="C665"/>
  <c r="D664"/>
  <c r="E664" s="1"/>
  <c r="D664" i="56" l="1"/>
  <c r="E664" s="1"/>
  <c r="C665"/>
  <c r="C304"/>
  <c r="D303"/>
  <c r="E303" s="1"/>
  <c r="D303" i="57"/>
  <c r="E303" s="1"/>
  <c r="C304"/>
  <c r="D1026"/>
  <c r="E1026" s="1"/>
  <c r="C1027"/>
  <c r="D665"/>
  <c r="E665" s="1"/>
  <c r="C666"/>
  <c r="C305" i="56" l="1"/>
  <c r="D304"/>
  <c r="E304" s="1"/>
  <c r="C666"/>
  <c r="D665"/>
  <c r="E665" s="1"/>
  <c r="C305" i="57"/>
  <c r="D304"/>
  <c r="E304" s="1"/>
  <c r="C1028"/>
  <c r="D1027"/>
  <c r="E1027" s="1"/>
  <c r="D666"/>
  <c r="E666" s="1"/>
  <c r="C667"/>
  <c r="D666" i="56" l="1"/>
  <c r="E666" s="1"/>
  <c r="C667"/>
  <c r="C306"/>
  <c r="D305"/>
  <c r="E305" s="1"/>
  <c r="D1028" i="57"/>
  <c r="E1028" s="1"/>
  <c r="C1029"/>
  <c r="D305"/>
  <c r="E305" s="1"/>
  <c r="C306"/>
  <c r="D667"/>
  <c r="E667" s="1"/>
  <c r="C668"/>
  <c r="D306" i="56" l="1"/>
  <c r="E306" s="1"/>
  <c r="C307"/>
  <c r="C668"/>
  <c r="D667"/>
  <c r="E667" s="1"/>
  <c r="C307" i="57"/>
  <c r="D306"/>
  <c r="E306" s="1"/>
  <c r="C1030"/>
  <c r="D1029"/>
  <c r="E1029" s="1"/>
  <c r="D668"/>
  <c r="E668" s="1"/>
  <c r="C669"/>
  <c r="D307" i="56" l="1"/>
  <c r="E307" s="1"/>
  <c r="C308"/>
  <c r="D668"/>
  <c r="E668" s="1"/>
  <c r="C669"/>
  <c r="D1030" i="57"/>
  <c r="E1030" s="1"/>
  <c r="C1031"/>
  <c r="D307"/>
  <c r="E307" s="1"/>
  <c r="C308"/>
  <c r="D669"/>
  <c r="E669" s="1"/>
  <c r="C670"/>
  <c r="C309" i="56" l="1"/>
  <c r="D308"/>
  <c r="E308" s="1"/>
  <c r="C670"/>
  <c r="D669"/>
  <c r="E669" s="1"/>
  <c r="C1032" i="57"/>
  <c r="D1031"/>
  <c r="E1031" s="1"/>
  <c r="C309"/>
  <c r="D308"/>
  <c r="E308" s="1"/>
  <c r="D670"/>
  <c r="E670" s="1"/>
  <c r="C671"/>
  <c r="D309" i="56" l="1"/>
  <c r="E309" s="1"/>
  <c r="C310"/>
  <c r="D670"/>
  <c r="E670" s="1"/>
  <c r="C671"/>
  <c r="D309" i="57"/>
  <c r="E309" s="1"/>
  <c r="C310"/>
  <c r="D1032"/>
  <c r="E1032" s="1"/>
  <c r="C1033"/>
  <c r="D671"/>
  <c r="E671" s="1"/>
  <c r="C672"/>
  <c r="D310" i="56" l="1"/>
  <c r="E310" s="1"/>
  <c r="C311"/>
  <c r="C672"/>
  <c r="D671"/>
  <c r="E671" s="1"/>
  <c r="C311" i="57"/>
  <c r="D310"/>
  <c r="E310" s="1"/>
  <c r="C1034"/>
  <c r="D1033"/>
  <c r="E1033" s="1"/>
  <c r="D672"/>
  <c r="E672" s="1"/>
  <c r="C673"/>
  <c r="D672" i="56" l="1"/>
  <c r="E672" s="1"/>
  <c r="C673"/>
  <c r="C312"/>
  <c r="D311"/>
  <c r="E311" s="1"/>
  <c r="D311" i="57"/>
  <c r="E311" s="1"/>
  <c r="C312"/>
  <c r="D1034"/>
  <c r="E1034" s="1"/>
  <c r="C1035"/>
  <c r="D673"/>
  <c r="E673" s="1"/>
  <c r="C674"/>
  <c r="C313" i="56" l="1"/>
  <c r="D312"/>
  <c r="E312" s="1"/>
  <c r="C674"/>
  <c r="D673"/>
  <c r="E673" s="1"/>
  <c r="C313" i="57"/>
  <c r="D312"/>
  <c r="E312" s="1"/>
  <c r="C1036"/>
  <c r="D1035"/>
  <c r="E1035" s="1"/>
  <c r="D674"/>
  <c r="E674" s="1"/>
  <c r="C675"/>
  <c r="C314" i="56" l="1"/>
  <c r="D313"/>
  <c r="E313" s="1"/>
  <c r="D674"/>
  <c r="E674" s="1"/>
  <c r="C675"/>
  <c r="D1036" i="57"/>
  <c r="E1036" s="1"/>
  <c r="C1037"/>
  <c r="D313"/>
  <c r="E313" s="1"/>
  <c r="C314"/>
  <c r="D675"/>
  <c r="E675" s="1"/>
  <c r="C676"/>
  <c r="D314" i="56" l="1"/>
  <c r="E314" s="1"/>
  <c r="C315"/>
  <c r="C676"/>
  <c r="D675"/>
  <c r="E675" s="1"/>
  <c r="C1038" i="57"/>
  <c r="D1037"/>
  <c r="E1037" s="1"/>
  <c r="C315"/>
  <c r="D314"/>
  <c r="E314" s="1"/>
  <c r="D676"/>
  <c r="E676" s="1"/>
  <c r="C677"/>
  <c r="D676" i="56" l="1"/>
  <c r="E676" s="1"/>
  <c r="C677"/>
  <c r="D315"/>
  <c r="E315" s="1"/>
  <c r="C316"/>
  <c r="D315" i="57"/>
  <c r="E315" s="1"/>
  <c r="C316"/>
  <c r="D1038"/>
  <c r="E1038" s="1"/>
  <c r="C1039"/>
  <c r="D677"/>
  <c r="E677" s="1"/>
  <c r="C678"/>
  <c r="C678" i="56" l="1"/>
  <c r="D677"/>
  <c r="E677" s="1"/>
  <c r="C317"/>
  <c r="D316"/>
  <c r="E316" s="1"/>
  <c r="C317" i="57"/>
  <c r="D316"/>
  <c r="E316" s="1"/>
  <c r="C1040"/>
  <c r="D1039"/>
  <c r="E1039" s="1"/>
  <c r="D678"/>
  <c r="E678" s="1"/>
  <c r="C679"/>
  <c r="D317" i="56" l="1"/>
  <c r="E317" s="1"/>
  <c r="C318"/>
  <c r="D678"/>
  <c r="E678" s="1"/>
  <c r="C679"/>
  <c r="D317" i="57"/>
  <c r="E317" s="1"/>
  <c r="C318"/>
  <c r="D1040"/>
  <c r="E1040" s="1"/>
  <c r="C1041"/>
  <c r="D679"/>
  <c r="E679" s="1"/>
  <c r="C680"/>
  <c r="D318" i="56" l="1"/>
  <c r="E318" s="1"/>
  <c r="C319"/>
  <c r="C680"/>
  <c r="D679"/>
  <c r="E679" s="1"/>
  <c r="C319" i="57"/>
  <c r="D318"/>
  <c r="E318" s="1"/>
  <c r="C1042"/>
  <c r="D1041"/>
  <c r="E1041" s="1"/>
  <c r="D680"/>
  <c r="E680" s="1"/>
  <c r="C681"/>
  <c r="D680" i="56" l="1"/>
  <c r="E680" s="1"/>
  <c r="C681"/>
  <c r="C320"/>
  <c r="D319"/>
  <c r="E319" s="1"/>
  <c r="D1042" i="57"/>
  <c r="E1042" s="1"/>
  <c r="C1043"/>
  <c r="D319"/>
  <c r="E319" s="1"/>
  <c r="C320"/>
  <c r="D681"/>
  <c r="E681" s="1"/>
  <c r="C682"/>
  <c r="C321" i="56" l="1"/>
  <c r="D320"/>
  <c r="E320" s="1"/>
  <c r="C682"/>
  <c r="D681"/>
  <c r="E681" s="1"/>
  <c r="C1044" i="57"/>
  <c r="D1043"/>
  <c r="E1043" s="1"/>
  <c r="C321"/>
  <c r="D320"/>
  <c r="E320" s="1"/>
  <c r="D682"/>
  <c r="E682" s="1"/>
  <c r="C683"/>
  <c r="C322" i="56" l="1"/>
  <c r="D321"/>
  <c r="E321" s="1"/>
  <c r="D682"/>
  <c r="E682" s="1"/>
  <c r="C683"/>
  <c r="D321" i="57"/>
  <c r="E321" s="1"/>
  <c r="C322"/>
  <c r="D1044"/>
  <c r="E1044" s="1"/>
  <c r="C1045"/>
  <c r="D683"/>
  <c r="E683" s="1"/>
  <c r="C684"/>
  <c r="D322" i="56" l="1"/>
  <c r="E322" s="1"/>
  <c r="C323"/>
  <c r="C684"/>
  <c r="D683"/>
  <c r="E683" s="1"/>
  <c r="C323" i="57"/>
  <c r="D322"/>
  <c r="E322" s="1"/>
  <c r="C1046"/>
  <c r="D1045"/>
  <c r="E1045" s="1"/>
  <c r="D684"/>
  <c r="E684" s="1"/>
  <c r="C685"/>
  <c r="D684" i="56" l="1"/>
  <c r="E684" s="1"/>
  <c r="C685"/>
  <c r="D323"/>
  <c r="E323" s="1"/>
  <c r="C324"/>
  <c r="D323" i="57"/>
  <c r="E323" s="1"/>
  <c r="C324"/>
  <c r="D1046"/>
  <c r="E1046" s="1"/>
  <c r="C1047"/>
  <c r="D685"/>
  <c r="E685" s="1"/>
  <c r="C686"/>
  <c r="C686" i="56" l="1"/>
  <c r="D685"/>
  <c r="E685" s="1"/>
  <c r="C325"/>
  <c r="D324"/>
  <c r="E324" s="1"/>
  <c r="C325" i="57"/>
  <c r="D324"/>
  <c r="E324" s="1"/>
  <c r="C1048"/>
  <c r="D1047"/>
  <c r="E1047" s="1"/>
  <c r="D686"/>
  <c r="E686" s="1"/>
  <c r="C687"/>
  <c r="D325" i="56" l="1"/>
  <c r="E325" s="1"/>
  <c r="C326"/>
  <c r="D686"/>
  <c r="E686" s="1"/>
  <c r="C687"/>
  <c r="D1048" i="57"/>
  <c r="E1048" s="1"/>
  <c r="C1049"/>
  <c r="D325"/>
  <c r="E325" s="1"/>
  <c r="C326"/>
  <c r="D687"/>
  <c r="E687" s="1"/>
  <c r="C688"/>
  <c r="D326" i="56" l="1"/>
  <c r="E326" s="1"/>
  <c r="C327"/>
  <c r="C688"/>
  <c r="D687"/>
  <c r="E687" s="1"/>
  <c r="C1050" i="57"/>
  <c r="D1049"/>
  <c r="E1049" s="1"/>
  <c r="C327"/>
  <c r="D326"/>
  <c r="E326" s="1"/>
  <c r="D688"/>
  <c r="E688" s="1"/>
  <c r="C689"/>
  <c r="C328" i="56" l="1"/>
  <c r="D327"/>
  <c r="E327" s="1"/>
  <c r="D688"/>
  <c r="E688" s="1"/>
  <c r="C689"/>
  <c r="D1050" i="57"/>
  <c r="E1050" s="1"/>
  <c r="C1051"/>
  <c r="D327"/>
  <c r="E327" s="1"/>
  <c r="C328"/>
  <c r="D689"/>
  <c r="E689" s="1"/>
  <c r="C690"/>
  <c r="C329" i="56" l="1"/>
  <c r="D328"/>
  <c r="E328" s="1"/>
  <c r="C690"/>
  <c r="D689"/>
  <c r="E689" s="1"/>
  <c r="C1052" i="57"/>
  <c r="D1051"/>
  <c r="E1051" s="1"/>
  <c r="C329"/>
  <c r="D328"/>
  <c r="E328" s="1"/>
  <c r="D690"/>
  <c r="E690" s="1"/>
  <c r="C691"/>
  <c r="C330" i="56" l="1"/>
  <c r="D329"/>
  <c r="E329" s="1"/>
  <c r="D690"/>
  <c r="E690" s="1"/>
  <c r="C691"/>
  <c r="D329" i="57"/>
  <c r="E329" s="1"/>
  <c r="C330"/>
  <c r="D1052"/>
  <c r="E1052" s="1"/>
  <c r="C1053"/>
  <c r="D691"/>
  <c r="E691" s="1"/>
  <c r="C692"/>
  <c r="D330" i="56" l="1"/>
  <c r="E330" s="1"/>
  <c r="C331"/>
  <c r="C692"/>
  <c r="D691"/>
  <c r="E691" s="1"/>
  <c r="C331" i="57"/>
  <c r="D330"/>
  <c r="E330" s="1"/>
  <c r="C1054"/>
  <c r="D1053"/>
  <c r="E1053" s="1"/>
  <c r="D692"/>
  <c r="E692" s="1"/>
  <c r="C693"/>
  <c r="D692" i="56" l="1"/>
  <c r="E692" s="1"/>
  <c r="C693"/>
  <c r="D331"/>
  <c r="E331" s="1"/>
  <c r="C332"/>
  <c r="D1054" i="57"/>
  <c r="E1054" s="1"/>
  <c r="C1055"/>
  <c r="D331"/>
  <c r="E331" s="1"/>
  <c r="C332"/>
  <c r="D693"/>
  <c r="E693" s="1"/>
  <c r="C694"/>
  <c r="C694" i="56" l="1"/>
  <c r="D693"/>
  <c r="E693" s="1"/>
  <c r="C333"/>
  <c r="D332"/>
  <c r="E332" s="1"/>
  <c r="C1056" i="57"/>
  <c r="D1055"/>
  <c r="E1055" s="1"/>
  <c r="C333"/>
  <c r="D332"/>
  <c r="E332" s="1"/>
  <c r="D694"/>
  <c r="E694" s="1"/>
  <c r="C695"/>
  <c r="D333" i="56" l="1"/>
  <c r="E333" s="1"/>
  <c r="C334"/>
  <c r="D694"/>
  <c r="E694" s="1"/>
  <c r="C695"/>
  <c r="D333" i="57"/>
  <c r="E333" s="1"/>
  <c r="C334"/>
  <c r="D1056"/>
  <c r="E1056" s="1"/>
  <c r="C1057"/>
  <c r="D695"/>
  <c r="E695" s="1"/>
  <c r="C696"/>
  <c r="D334" i="56" l="1"/>
  <c r="E334" s="1"/>
  <c r="C335"/>
  <c r="C696"/>
  <c r="D695"/>
  <c r="E695" s="1"/>
  <c r="C335" i="57"/>
  <c r="D334"/>
  <c r="E334" s="1"/>
  <c r="C1058"/>
  <c r="D1057"/>
  <c r="E1057" s="1"/>
  <c r="D696"/>
  <c r="E696" s="1"/>
  <c r="C697"/>
  <c r="D696" i="56" l="1"/>
  <c r="E696" s="1"/>
  <c r="C697"/>
  <c r="C336"/>
  <c r="D335"/>
  <c r="E335" s="1"/>
  <c r="D1058" i="57"/>
  <c r="E1058" s="1"/>
  <c r="C1059"/>
  <c r="D335"/>
  <c r="E335" s="1"/>
  <c r="C336"/>
  <c r="D697"/>
  <c r="E697" s="1"/>
  <c r="C698"/>
  <c r="C337" i="56" l="1"/>
  <c r="D336"/>
  <c r="E336" s="1"/>
  <c r="C698"/>
  <c r="D697"/>
  <c r="E697" s="1"/>
  <c r="C1060" i="57"/>
  <c r="D1059"/>
  <c r="E1059" s="1"/>
  <c r="C337"/>
  <c r="D336"/>
  <c r="E336" s="1"/>
  <c r="D698"/>
  <c r="E698" s="1"/>
  <c r="C699"/>
  <c r="D698" i="56" l="1"/>
  <c r="E698" s="1"/>
  <c r="C699"/>
  <c r="C338"/>
  <c r="D337"/>
  <c r="E337" s="1"/>
  <c r="D337" i="57"/>
  <c r="E337" s="1"/>
  <c r="C338"/>
  <c r="D1060"/>
  <c r="E1060" s="1"/>
  <c r="C1061"/>
  <c r="D699"/>
  <c r="E699" s="1"/>
  <c r="C700"/>
  <c r="D338" i="56" l="1"/>
  <c r="E338" s="1"/>
  <c r="C339"/>
  <c r="C700"/>
  <c r="D699"/>
  <c r="E699" s="1"/>
  <c r="C339" i="57"/>
  <c r="D338"/>
  <c r="E338" s="1"/>
  <c r="C1062"/>
  <c r="D1061"/>
  <c r="E1061" s="1"/>
  <c r="D700"/>
  <c r="E700" s="1"/>
  <c r="C701"/>
  <c r="D700" i="56" l="1"/>
  <c r="E700" s="1"/>
  <c r="C701"/>
  <c r="D339"/>
  <c r="E339" s="1"/>
  <c r="C340"/>
  <c r="D1062" i="57"/>
  <c r="E1062" s="1"/>
  <c r="C1063"/>
  <c r="D339"/>
  <c r="E339" s="1"/>
  <c r="C340"/>
  <c r="D701"/>
  <c r="E701" s="1"/>
  <c r="C702"/>
  <c r="C702" i="56" l="1"/>
  <c r="D701"/>
  <c r="E701" s="1"/>
  <c r="C341"/>
  <c r="D340"/>
  <c r="E340" s="1"/>
  <c r="C1064" i="57"/>
  <c r="D1063"/>
  <c r="E1063" s="1"/>
  <c r="C341"/>
  <c r="D340"/>
  <c r="E340" s="1"/>
  <c r="D702"/>
  <c r="E702" s="1"/>
  <c r="C703"/>
  <c r="D341" i="56" l="1"/>
  <c r="E341" s="1"/>
  <c r="C342"/>
  <c r="D702"/>
  <c r="E702" s="1"/>
  <c r="C703"/>
  <c r="D341" i="57"/>
  <c r="E341" s="1"/>
  <c r="C342"/>
  <c r="D1064"/>
  <c r="E1064" s="1"/>
  <c r="C1065"/>
  <c r="D703"/>
  <c r="E703" s="1"/>
  <c r="C704"/>
  <c r="D342" i="56" l="1"/>
  <c r="E342" s="1"/>
  <c r="C343"/>
  <c r="C704"/>
  <c r="D703"/>
  <c r="E703" s="1"/>
  <c r="C343" i="57"/>
  <c r="D342"/>
  <c r="E342" s="1"/>
  <c r="C1066"/>
  <c r="D1065"/>
  <c r="E1065" s="1"/>
  <c r="D704"/>
  <c r="E704" s="1"/>
  <c r="C705"/>
  <c r="C344" i="56" l="1"/>
  <c r="D343"/>
  <c r="E343" s="1"/>
  <c r="D704"/>
  <c r="E704" s="1"/>
  <c r="C705"/>
  <c r="D343" i="57"/>
  <c r="E343" s="1"/>
  <c r="C344"/>
  <c r="D1066"/>
  <c r="E1066" s="1"/>
  <c r="C1067"/>
  <c r="D705"/>
  <c r="E705" s="1"/>
  <c r="C706"/>
  <c r="C345" i="56" l="1"/>
  <c r="D344"/>
  <c r="E344" s="1"/>
  <c r="C706"/>
  <c r="D705"/>
  <c r="E705" s="1"/>
  <c r="C345" i="57"/>
  <c r="D344"/>
  <c r="E344" s="1"/>
  <c r="C1068"/>
  <c r="D1067"/>
  <c r="E1067" s="1"/>
  <c r="D706"/>
  <c r="E706" s="1"/>
  <c r="C707"/>
  <c r="D706" i="56" l="1"/>
  <c r="E706" s="1"/>
  <c r="C707"/>
  <c r="C346"/>
  <c r="D345"/>
  <c r="E345" s="1"/>
  <c r="D1068" i="57"/>
  <c r="E1068" s="1"/>
  <c r="C1069"/>
  <c r="D345"/>
  <c r="E345" s="1"/>
  <c r="C346"/>
  <c r="D707"/>
  <c r="E707" s="1"/>
  <c r="C708"/>
  <c r="D346" i="56" l="1"/>
  <c r="E346" s="1"/>
  <c r="C347"/>
  <c r="C708"/>
  <c r="D707"/>
  <c r="E707" s="1"/>
  <c r="C1070" i="57"/>
  <c r="D1069"/>
  <c r="E1069" s="1"/>
  <c r="C347"/>
  <c r="D346"/>
  <c r="E346" s="1"/>
  <c r="D708"/>
  <c r="E708" s="1"/>
  <c r="C709"/>
  <c r="D347" i="56" l="1"/>
  <c r="E347" s="1"/>
  <c r="C348"/>
  <c r="D708"/>
  <c r="E708" s="1"/>
  <c r="C709"/>
  <c r="D347" i="57"/>
  <c r="E347" s="1"/>
  <c r="C348"/>
  <c r="D1070"/>
  <c r="E1070" s="1"/>
  <c r="C1071"/>
  <c r="D709"/>
  <c r="E709" s="1"/>
  <c r="C710"/>
  <c r="C349" i="56" l="1"/>
  <c r="D348"/>
  <c r="E348" s="1"/>
  <c r="C710"/>
  <c r="D709"/>
  <c r="E709" s="1"/>
  <c r="C349" i="57"/>
  <c r="D348"/>
  <c r="E348" s="1"/>
  <c r="C1072"/>
  <c r="D1071"/>
  <c r="E1071" s="1"/>
  <c r="D710"/>
  <c r="E710" s="1"/>
  <c r="C711"/>
  <c r="D349" i="56" l="1"/>
  <c r="E349" s="1"/>
  <c r="C350"/>
  <c r="D710"/>
  <c r="E710" s="1"/>
  <c r="C711"/>
  <c r="D1072" i="57"/>
  <c r="E1072" s="1"/>
  <c r="C1073"/>
  <c r="D349"/>
  <c r="E349" s="1"/>
  <c r="C350"/>
  <c r="D711"/>
  <c r="E711" s="1"/>
  <c r="C712"/>
  <c r="D350" i="56" l="1"/>
  <c r="E350" s="1"/>
  <c r="C351"/>
  <c r="C712"/>
  <c r="D711"/>
  <c r="E711" s="1"/>
  <c r="C1074" i="57"/>
  <c r="D1073"/>
  <c r="E1073" s="1"/>
  <c r="C351"/>
  <c r="D350"/>
  <c r="E350" s="1"/>
  <c r="D712"/>
  <c r="E712" s="1"/>
  <c r="C713"/>
  <c r="D712" i="56" l="1"/>
  <c r="E712" s="1"/>
  <c r="C713"/>
  <c r="C352"/>
  <c r="D351"/>
  <c r="E351" s="1"/>
  <c r="D351" i="57"/>
  <c r="E351" s="1"/>
  <c r="C352"/>
  <c r="D1074"/>
  <c r="E1074" s="1"/>
  <c r="C1075"/>
  <c r="D713"/>
  <c r="E713" s="1"/>
  <c r="C714"/>
  <c r="C353" i="56" l="1"/>
  <c r="D352"/>
  <c r="E352" s="1"/>
  <c r="C714"/>
  <c r="D713"/>
  <c r="E713" s="1"/>
  <c r="C353" i="57"/>
  <c r="D352"/>
  <c r="E352" s="1"/>
  <c r="C1076"/>
  <c r="D1075"/>
  <c r="E1075" s="1"/>
  <c r="D714"/>
  <c r="E714" s="1"/>
  <c r="C715"/>
  <c r="D714" i="56" l="1"/>
  <c r="E714" s="1"/>
  <c r="C715"/>
  <c r="C354"/>
  <c r="D353"/>
  <c r="E353" s="1"/>
  <c r="D1076" i="57"/>
  <c r="E1076" s="1"/>
  <c r="C1077"/>
  <c r="D353"/>
  <c r="E353" s="1"/>
  <c r="C354"/>
  <c r="D715"/>
  <c r="E715" s="1"/>
  <c r="C716"/>
  <c r="C716" i="56" l="1"/>
  <c r="D715"/>
  <c r="E715" s="1"/>
  <c r="D354"/>
  <c r="E354" s="1"/>
  <c r="C355"/>
  <c r="C1078" i="57"/>
  <c r="D1077"/>
  <c r="E1077" s="1"/>
  <c r="C355"/>
  <c r="D354"/>
  <c r="E354" s="1"/>
  <c r="D716"/>
  <c r="E716" s="1"/>
  <c r="C717"/>
  <c r="D716" i="56" l="1"/>
  <c r="E716" s="1"/>
  <c r="C717"/>
  <c r="D355"/>
  <c r="E355" s="1"/>
  <c r="C356"/>
  <c r="D355" i="57"/>
  <c r="E355" s="1"/>
  <c r="C356"/>
  <c r="D1078"/>
  <c r="E1078" s="1"/>
  <c r="C1079"/>
  <c r="D717"/>
  <c r="E717" s="1"/>
  <c r="C718"/>
  <c r="C718" i="56" l="1"/>
  <c r="D717"/>
  <c r="E717" s="1"/>
  <c r="C357"/>
  <c r="D356"/>
  <c r="E356" s="1"/>
  <c r="C1080" i="57"/>
  <c r="D1079"/>
  <c r="E1079" s="1"/>
  <c r="C357"/>
  <c r="D356"/>
  <c r="E356" s="1"/>
  <c r="D718"/>
  <c r="E718" s="1"/>
  <c r="C719"/>
  <c r="D718" i="56" l="1"/>
  <c r="E718" s="1"/>
  <c r="C719"/>
  <c r="D357"/>
  <c r="E357" s="1"/>
  <c r="C358"/>
  <c r="D357" i="57"/>
  <c r="E357" s="1"/>
  <c r="C358"/>
  <c r="D1080"/>
  <c r="E1080" s="1"/>
  <c r="C1081"/>
  <c r="D719"/>
  <c r="E719" s="1"/>
  <c r="C720"/>
  <c r="C720" i="56" l="1"/>
  <c r="D719"/>
  <c r="E719" s="1"/>
  <c r="D358"/>
  <c r="E358" s="1"/>
  <c r="C359"/>
  <c r="C359" i="57"/>
  <c r="D358"/>
  <c r="E358" s="1"/>
  <c r="C1082"/>
  <c r="D1081"/>
  <c r="E1081" s="1"/>
  <c r="D720"/>
  <c r="E720" s="1"/>
  <c r="C721"/>
  <c r="D720" i="56" l="1"/>
  <c r="E720" s="1"/>
  <c r="C721"/>
  <c r="C360"/>
  <c r="D359"/>
  <c r="E359" s="1"/>
  <c r="D359" i="57"/>
  <c r="E359" s="1"/>
  <c r="C360"/>
  <c r="D1082"/>
  <c r="E1082" s="1"/>
  <c r="C1083"/>
  <c r="D721"/>
  <c r="E721" s="1"/>
  <c r="C722"/>
  <c r="C722" i="56" l="1"/>
  <c r="D721"/>
  <c r="E721" s="1"/>
  <c r="C361"/>
  <c r="D360"/>
  <c r="E360" s="1"/>
  <c r="C361" i="57"/>
  <c r="D360"/>
  <c r="E360" s="1"/>
  <c r="C1084"/>
  <c r="D1083"/>
  <c r="E1083" s="1"/>
  <c r="D722"/>
  <c r="E722" s="1"/>
  <c r="C723"/>
  <c r="C362" i="56" l="1"/>
  <c r="D361"/>
  <c r="E361" s="1"/>
  <c r="D722"/>
  <c r="E722" s="1"/>
  <c r="C723"/>
  <c r="D1084" i="57"/>
  <c r="E1084" s="1"/>
  <c r="C1085"/>
  <c r="D361"/>
  <c r="E361" s="1"/>
  <c r="C362"/>
  <c r="D723"/>
  <c r="E723" s="1"/>
  <c r="C724"/>
  <c r="D362" i="56" l="1"/>
  <c r="E362" s="1"/>
  <c r="C363"/>
  <c r="D363" s="1"/>
  <c r="E363" s="1"/>
  <c r="C724"/>
  <c r="D723"/>
  <c r="E723" s="1"/>
  <c r="C1086" i="57"/>
  <c r="D1085"/>
  <c r="E1085" s="1"/>
  <c r="C363"/>
  <c r="D363" s="1"/>
  <c r="E363" s="1"/>
  <c r="D362"/>
  <c r="E362" s="1"/>
  <c r="D724"/>
  <c r="E724" s="1"/>
  <c r="C725"/>
  <c r="D725" s="1"/>
  <c r="E725" s="1"/>
  <c r="D724" i="56" l="1"/>
  <c r="E724" s="1"/>
  <c r="C725"/>
  <c r="D725" s="1"/>
  <c r="D1086" i="57"/>
  <c r="E1086" s="1"/>
  <c r="C1087"/>
  <c r="D1087" s="1"/>
  <c r="E725" i="56" l="1"/>
  <c r="E2" i="52"/>
  <c r="E1087" i="57"/>
  <c r="D2" i="52"/>
</calcChain>
</file>

<file path=xl/comments1.xml><?xml version="1.0" encoding="utf-8"?>
<comments xmlns="http://schemas.openxmlformats.org/spreadsheetml/2006/main">
  <authors>
    <author/>
  </authors>
  <commentList>
    <comment ref="E1" authorId="0">
      <text>
        <r>
          <rPr>
            <sz val="10"/>
            <color rgb="FF000000"/>
            <rFont val="Arial"/>
            <family val="2"/>
          </rPr>
          <t>Nota: hacer los siguientes pasos.
1.)  Generar el spread de GESTOR.
2.) Copiar como valores la hoja que se llama "Estados Financieros" en un archivo nuevo de excel.
3.) Marcar Archivo, Guardar como hoja de cálculo Google.
4.) Cambiarle el nombre al archivo a "SPREAD NOMBRE DEL CLIENTE".
5.) Copiar el ID del archivo de SPREAD NOMBRE DEL CLIENTE en la celda D1. Solo necesita copiar la parte que va entre / /.</t>
        </r>
      </text>
    </comment>
    <comment ref="D68" authorId="0">
      <text>
        <r>
          <rPr>
            <sz val="10"/>
            <color rgb="FF000000"/>
            <rFont val="Arial"/>
            <family val="2"/>
          </rPr>
          <t>Nota: las ventas son netas de gastos por descuentos comerciales condicionados.</t>
        </r>
      </text>
    </comment>
    <comment ref="D69" authorId="0">
      <text>
        <r>
          <rPr>
            <sz val="10"/>
            <color rgb="FF000000"/>
            <rFont val="Arial"/>
            <family val="2"/>
          </rPr>
          <t>Nota: el costo de ventas es neto de ingresos por descuentos comerciales condicionados.</t>
        </r>
      </text>
    </comment>
    <comment ref="D74" authorId="0">
      <text>
        <r>
          <rPr>
            <sz val="10"/>
            <color rgb="FF000000"/>
            <rFont val="Arial"/>
            <family val="2"/>
          </rPr>
          <t xml:space="preserve">Nota: se incluyen los gastos de ventas de: honorarios, contribuciones y afiliaciones, servicios, adecuaciones e instalaciones, gastos de viaje y diversos. </t>
        </r>
      </text>
    </comment>
    <comment ref="D86" authorId="0">
      <text>
        <r>
          <rPr>
            <sz val="10"/>
            <color rgb="FF000000"/>
            <rFont val="Arial"/>
            <family val="2"/>
          </rPr>
          <t>Nota: incluye los otros ingresos de: arrendamientos, servicios, dividendos, ingresos por método de participación, otros ventas y diversos.</t>
        </r>
      </text>
    </comment>
    <comment ref="D87" authorId="0">
      <text>
        <r>
          <rPr>
            <sz val="10"/>
            <color rgb="FF000000"/>
            <rFont val="Arial"/>
            <family val="2"/>
          </rPr>
          <t>Nota: incluye los otros ingresos de: utilidad por venta de PPE, utilidad por venta de inversiones, y recuperación e indemnizaciones.</t>
        </r>
      </text>
    </comment>
    <comment ref="D88" authorId="0">
      <text>
        <r>
          <rPr>
            <sz val="10"/>
            <color rgb="FF000000"/>
            <rFont val="Arial"/>
            <family val="2"/>
          </rPr>
          <t>Nota: incluye otros gastos por: pérdida por método de participación.</t>
        </r>
      </text>
    </comment>
    <comment ref="D89" authorId="0">
      <text>
        <r>
          <rPr>
            <sz val="10"/>
            <color rgb="FF000000"/>
            <rFont val="Arial"/>
            <family val="2"/>
          </rPr>
          <t>Nota: incluye otros gastos por: pérdida en venta y retiro de bienes, gastos extraordinarios, pérdida por venta de inversiones, impuesto asumido, donaciones, diversos y corrección monetaria.</t>
        </r>
      </text>
    </comment>
  </commentList>
</comments>
</file>

<file path=xl/comments2.xml><?xml version="1.0" encoding="utf-8"?>
<comments xmlns="http://schemas.openxmlformats.org/spreadsheetml/2006/main">
  <authors>
    <author/>
  </authors>
  <commentList>
    <comment ref="D62" authorId="0">
      <text>
        <r>
          <rPr>
            <sz val="10"/>
            <color rgb="FF000000"/>
            <rFont val="Arial"/>
            <family val="2"/>
          </rPr>
          <t>Nota: las diferencias que surjan en esta línea se debe conciliar en el cuadro inferior.</t>
        </r>
      </text>
    </comment>
    <comment ref="D72" authorId="0">
      <text>
        <r>
          <rPr>
            <sz val="10"/>
            <color rgb="FF000000"/>
            <rFont val="Arial"/>
            <family val="2"/>
          </rPr>
          <t>Nota: los montos de los ajustes por diferencias en utilidades retenidas se ingresan sin signo. En el caso de que la diferencia sea a favor,  es decir las utilidades retenidas crecen y no es por resultados del periodo anterior, se debe ingresar el dato en negativo.</t>
        </r>
      </text>
    </comment>
    <comment ref="D76" authorId="0">
      <text>
        <r>
          <rPr>
            <sz val="10"/>
            <color rgb="FF000000"/>
            <rFont val="Arial"/>
            <family val="2"/>
          </rPr>
          <t>Nota: entre estos ajustes están las conciliaciones de impuesto sobre la renta de periodos anteriores.</t>
        </r>
      </text>
    </comment>
  </commentList>
</comments>
</file>

<file path=xl/sharedStrings.xml><?xml version="1.0" encoding="utf-8"?>
<sst xmlns="http://schemas.openxmlformats.org/spreadsheetml/2006/main" count="6464" uniqueCount="2677">
  <si>
    <t>NIT</t>
  </si>
  <si>
    <t>RazonSocial</t>
  </si>
  <si>
    <t>Sigla</t>
  </si>
  <si>
    <t>IdTipoSociedad</t>
  </si>
  <si>
    <t>ObjetoSocial</t>
  </si>
  <si>
    <t>RepresentanteLegal</t>
  </si>
  <si>
    <t>Cargo</t>
  </si>
  <si>
    <t>IdCiudad</t>
  </si>
  <si>
    <t>Direccion</t>
  </si>
  <si>
    <t>Telefono</t>
  </si>
  <si>
    <t>Fax</t>
  </si>
  <si>
    <t>AA</t>
  </si>
  <si>
    <t>NumMatricula</t>
  </si>
  <si>
    <t>Email</t>
  </si>
  <si>
    <t>Website</t>
  </si>
  <si>
    <t>FechaFundacion</t>
  </si>
  <si>
    <t>Ley1116</t>
  </si>
  <si>
    <t>ListaClinton</t>
  </si>
  <si>
    <t>Ciiu</t>
  </si>
  <si>
    <t>Importador</t>
  </si>
  <si>
    <t>Exportador</t>
  </si>
  <si>
    <t>RevisorFiscal</t>
  </si>
  <si>
    <t>IdFuente</t>
  </si>
  <si>
    <t>Sector</t>
  </si>
  <si>
    <t>Concepto</t>
  </si>
  <si>
    <t>Moneda</t>
  </si>
  <si>
    <t>NombreMoneda</t>
  </si>
  <si>
    <t>IdPais</t>
  </si>
  <si>
    <t>Pais</t>
  </si>
  <si>
    <t>CedulaAccionista</t>
  </si>
  <si>
    <t>NombreAccionista</t>
  </si>
  <si>
    <t>ParticipacionAccionista</t>
  </si>
  <si>
    <t>IdTipoDocumento</t>
  </si>
  <si>
    <t>Nit</t>
  </si>
  <si>
    <t>NombreJunta</t>
  </si>
  <si>
    <t>DocumentoJunta</t>
  </si>
  <si>
    <t>CargoJunta</t>
  </si>
  <si>
    <t>IdTipoEjecutivo</t>
  </si>
  <si>
    <t>IdCuenta</t>
  </si>
  <si>
    <t>Anio</t>
  </si>
  <si>
    <t>Valor</t>
  </si>
  <si>
    <t>Valor2</t>
  </si>
  <si>
    <t>Comentario</t>
  </si>
  <si>
    <t>Niif</t>
  </si>
  <si>
    <t>Parcial</t>
  </si>
  <si>
    <t>Meses</t>
  </si>
  <si>
    <t>False</t>
  </si>
  <si>
    <t>Razon Social</t>
  </si>
  <si>
    <t>FechaFundacion(dd-mm-aaaa)</t>
  </si>
  <si>
    <t>InformacionGeneral</t>
  </si>
  <si>
    <t>Accionistas</t>
  </si>
  <si>
    <t>Juntas</t>
  </si>
  <si>
    <t>Balance</t>
  </si>
  <si>
    <t>BalanceParcial</t>
  </si>
  <si>
    <t>Tasa</t>
  </si>
  <si>
    <t>Tipo de Sociedad</t>
  </si>
  <si>
    <t>Validaciones</t>
  </si>
  <si>
    <t>Objeto Social</t>
  </si>
  <si>
    <t>Consolidado</t>
  </si>
  <si>
    <t>01</t>
  </si>
  <si>
    <t>Enero</t>
  </si>
  <si>
    <t>Representante Legal</t>
  </si>
  <si>
    <t>02</t>
  </si>
  <si>
    <t>Febrero</t>
  </si>
  <si>
    <t>03</t>
  </si>
  <si>
    <t>Marzo</t>
  </si>
  <si>
    <t>Ciudad</t>
  </si>
  <si>
    <t>04</t>
  </si>
  <si>
    <t>Abril</t>
  </si>
  <si>
    <t>05</t>
  </si>
  <si>
    <t>Mayo</t>
  </si>
  <si>
    <t>06</t>
  </si>
  <si>
    <t>Junio</t>
  </si>
  <si>
    <t>07</t>
  </si>
  <si>
    <t>Julio</t>
  </si>
  <si>
    <t>Matricula Mercantil</t>
  </si>
  <si>
    <t>08</t>
  </si>
  <si>
    <t>Agosto</t>
  </si>
  <si>
    <t>09</t>
  </si>
  <si>
    <t>Septiembre</t>
  </si>
  <si>
    <t>10</t>
  </si>
  <si>
    <t>Octubre</t>
  </si>
  <si>
    <t>11</t>
  </si>
  <si>
    <t>Noviembre</t>
  </si>
  <si>
    <t>12</t>
  </si>
  <si>
    <t>Diciembre</t>
  </si>
  <si>
    <t>Descripción Ciiu</t>
  </si>
  <si>
    <t>Calificacion Marc</t>
  </si>
  <si>
    <t>Garantias</t>
  </si>
  <si>
    <t>Regional</t>
  </si>
  <si>
    <t>Ejecutivo de Cuenta</t>
  </si>
  <si>
    <t>Grupo Economico</t>
  </si>
  <si>
    <t>Antecedentes</t>
  </si>
  <si>
    <t>Fact Éxito</t>
  </si>
  <si>
    <t>Fact Riesgo</t>
  </si>
  <si>
    <t>Ciclicidad</t>
  </si>
  <si>
    <t>Exportaciones</t>
  </si>
  <si>
    <t>Part. Expor</t>
  </si>
  <si>
    <t>Importaciones</t>
  </si>
  <si>
    <t>Part. Impor</t>
  </si>
  <si>
    <t>Participacion Sector</t>
  </si>
  <si>
    <t>Pais Mas CE</t>
  </si>
  <si>
    <t>Capacidad Utilizada</t>
  </si>
  <si>
    <t>Vigencia Sociedad</t>
  </si>
  <si>
    <t>Calificación Riesgo Externo</t>
  </si>
  <si>
    <t>OnservacionesDetalle OP LP</t>
  </si>
  <si>
    <t>Productos</t>
  </si>
  <si>
    <t>Clientes</t>
  </si>
  <si>
    <t>Proveedores</t>
  </si>
  <si>
    <t>Competencia</t>
  </si>
  <si>
    <t>Producto</t>
  </si>
  <si>
    <t>Participacion</t>
  </si>
  <si>
    <t>Cliente</t>
  </si>
  <si>
    <t>PartVentas</t>
  </si>
  <si>
    <t>NombrePrv</t>
  </si>
  <si>
    <t>Se acumula negativa en 529900</t>
  </si>
  <si>
    <t>Se acumula negativa en 539595</t>
  </si>
  <si>
    <t>Se acumula negativa en 98</t>
  </si>
  <si>
    <t>Se acumula en 181000</t>
  </si>
  <si>
    <t>Se acumula en 340505</t>
  </si>
  <si>
    <t>Validación Accionistas</t>
  </si>
  <si>
    <t>Competidores</t>
  </si>
  <si>
    <t>Llave</t>
  </si>
  <si>
    <t>TipoEmpresa</t>
  </si>
  <si>
    <t>Fuente</t>
  </si>
  <si>
    <t>Concordato</t>
  </si>
  <si>
    <t>CasaMatriz</t>
  </si>
  <si>
    <t>VigSociedad</t>
  </si>
  <si>
    <t>CalRiesgoEx</t>
  </si>
  <si>
    <t>CotBolsa</t>
  </si>
  <si>
    <t>IdGrupoEm</t>
  </si>
  <si>
    <t>EsCliente</t>
  </si>
  <si>
    <t>Comentarios</t>
  </si>
  <si>
    <t>IdSector</t>
  </si>
  <si>
    <t>IdSegmento</t>
  </si>
  <si>
    <t>GrupoEmpresarial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</si>
  <si>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</si>
  <si>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Documento</t>
  </si>
  <si>
    <t>Nombre</t>
  </si>
  <si>
    <t>TipoEjecutivo</t>
  </si>
  <si>
    <t>cedula</t>
  </si>
  <si>
    <t>nombre</t>
  </si>
  <si>
    <t>IdEmpresa</t>
  </si>
  <si>
    <t>IdGarantOpXRib</t>
  </si>
  <si>
    <t>NomGarantia</t>
  </si>
  <si>
    <t>DescGarantia</t>
  </si>
  <si>
    <t>IdGarantRib</t>
  </si>
  <si>
    <t>IdRib</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</si>
  <si>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</si>
  <si>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IDENTIFICACION</t>
  </si>
  <si>
    <t>TIPO_INDENTIFICACION</t>
  </si>
  <si>
    <t>NOMBRE_ENTIDAD</t>
  </si>
  <si>
    <t>CAL_COMERCIAL</t>
  </si>
  <si>
    <t>VAL_TOT_COMERCIAL</t>
  </si>
  <si>
    <t>PAR_COMERCIAL</t>
  </si>
  <si>
    <t>CAL_ARR_COMERCIAL</t>
  </si>
  <si>
    <t>PERIODO_TRIMESTRE</t>
  </si>
  <si>
    <t>PAR_ARRAS_COMERCIAL</t>
  </si>
  <si>
    <t>TIP_GARANTIA</t>
  </si>
  <si>
    <t>MONEDA</t>
  </si>
  <si>
    <t>IdOpTotXRib</t>
  </si>
  <si>
    <t>IdTiposLimites</t>
  </si>
  <si>
    <t>TiposLimite</t>
  </si>
  <si>
    <t>Observacion</t>
  </si>
  <si>
    <t>LineaCred</t>
  </si>
  <si>
    <t>OpePropuesta</t>
  </si>
  <si>
    <t>OpeSolicitados</t>
  </si>
  <si>
    <t>OpeAnterior</t>
  </si>
  <si>
    <t>DeudaActual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</si>
  <si>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</si>
  <si>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</si>
  <si>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IdMComercio</t>
  </si>
  <si>
    <t>PrCliente</t>
  </si>
  <si>
    <t>PartSector</t>
  </si>
  <si>
    <t>PricPaisExp</t>
  </si>
  <si>
    <t>PorcExp</t>
  </si>
  <si>
    <t>PricPaisImp</t>
  </si>
  <si>
    <t>PorcImpo</t>
  </si>
  <si>
    <t>IdIntalacionEmp</t>
  </si>
  <si>
    <t>Plantas</t>
  </si>
  <si>
    <t>CapUtilizada</t>
  </si>
  <si>
    <t>FechaCreacion</t>
  </si>
  <si>
    <t>IdCompetEmp</t>
  </si>
  <si>
    <t>IdProveedorEmp</t>
  </si>
  <si>
    <t>BienesPrv</t>
  </si>
  <si>
    <t>IdClienteEmp</t>
  </si>
  <si>
    <t>IdProducto</t>
  </si>
  <si>
    <t>Marca</t>
  </si>
  <si>
    <t>CodOficina</t>
  </si>
  <si>
    <t>Oficina</t>
  </si>
  <si>
    <t>CodPais</t>
  </si>
  <si>
    <t>CalMARC</t>
  </si>
  <si>
    <t>Usuario</t>
  </si>
  <si>
    <t>CiclicidadVentas</t>
  </si>
  <si>
    <t>PorcCiclicidad</t>
  </si>
  <si>
    <t>FacExito</t>
  </si>
  <si>
    <t>FacRiesgo</t>
  </si>
  <si>
    <t>Observaciones</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</si>
  <si>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</si>
  <si>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IdOpXRib</t>
  </si>
  <si>
    <t>IdOperaciones</t>
  </si>
  <si>
    <t>LimCredPropuesto</t>
  </si>
  <si>
    <t>SaldoActual</t>
  </si>
  <si>
    <t>IdRIB</t>
  </si>
  <si>
    <t>GarantPresentacion</t>
  </si>
  <si>
    <t>NUevaGarantia</t>
  </si>
  <si>
    <t>Maqueta de analisis y actualización de información empresarial en Gestor MARC II</t>
  </si>
  <si>
    <t>Documento No.</t>
  </si>
  <si>
    <t>Razón Social</t>
  </si>
  <si>
    <t>Actividad Económica</t>
  </si>
  <si>
    <t>País:</t>
  </si>
  <si>
    <t>Fecha de Presentación:</t>
  </si>
  <si>
    <t>Vigencia Actual:</t>
  </si>
  <si>
    <t>Filial:</t>
  </si>
  <si>
    <t>Vigencia Propuesta:</t>
  </si>
  <si>
    <t>Acta Aprobación:</t>
  </si>
  <si>
    <t>Calificación CIR:</t>
  </si>
  <si>
    <t>Instancia Aprobación:</t>
  </si>
  <si>
    <t>Estudiado por:</t>
  </si>
  <si>
    <t>COMPOSICIÓN ACCIONARIA</t>
  </si>
  <si>
    <t>OPERACIONES</t>
  </si>
  <si>
    <t>LÍMITES PROPUESTOS</t>
  </si>
  <si>
    <t>LÍMITES VIGENTES</t>
  </si>
  <si>
    <t>SALDO ACTUAL</t>
  </si>
  <si>
    <t>PLAZO</t>
  </si>
  <si>
    <t>GARANTIAS</t>
  </si>
  <si>
    <t>DESTINO</t>
  </si>
  <si>
    <t>Participación</t>
  </si>
  <si>
    <t>Total</t>
  </si>
  <si>
    <t>TOTAL</t>
  </si>
  <si>
    <t>JUNTA DIRECTIVA</t>
  </si>
  <si>
    <t>Ejecutivo de cuenta</t>
  </si>
  <si>
    <t>Sector Davivienda Completo:</t>
  </si>
  <si>
    <t>CIIU:</t>
  </si>
  <si>
    <t>Macrosector:</t>
  </si>
  <si>
    <t>Grupo Económico:</t>
  </si>
  <si>
    <t>Subsector:</t>
  </si>
  <si>
    <t>Actividad Económica:</t>
  </si>
  <si>
    <t>Sector:</t>
  </si>
  <si>
    <t>BREVE DESCRIPCIÓN DE LO QUE HACE LA EMPRESA</t>
  </si>
  <si>
    <t>Constitución:</t>
  </si>
  <si>
    <t>Representante Legal:</t>
  </si>
  <si>
    <t>Auditor:</t>
  </si>
  <si>
    <t>Observaciones Riesgo Ambiental</t>
  </si>
  <si>
    <t>No. de Empleados</t>
  </si>
  <si>
    <t>Administrativos</t>
  </si>
  <si>
    <t>De Ventas</t>
  </si>
  <si>
    <t>De Planta</t>
  </si>
  <si>
    <t>Total Empleados</t>
  </si>
  <si>
    <t>OBSERVACIONES</t>
  </si>
  <si>
    <t>Principales Productos y Participación %:</t>
  </si>
  <si>
    <t>Principales Proveedores y participación %:</t>
  </si>
  <si>
    <t>Principales Clientes y participación %:</t>
  </si>
  <si>
    <t>Competencia y participación de mercado %:</t>
  </si>
  <si>
    <t>LÍNEA DE CRÉDITO ROTATIVA</t>
  </si>
  <si>
    <t>CUPO MULTIDESTINO</t>
  </si>
  <si>
    <t>CUPO DE FINANCIAMIENTO DE CUENTAS POR COBRAR</t>
  </si>
  <si>
    <t>TARJETA DE CRÉDITO</t>
  </si>
  <si>
    <t>SOBREGIRO</t>
  </si>
  <si>
    <t>CREDINEGOCIO</t>
  </si>
  <si>
    <t>COMPRA DE DIVISAS</t>
  </si>
  <si>
    <t>LIBERACIÓN DE FONDOS</t>
  </si>
  <si>
    <t>PRÉSTAMO DECRECIENTE</t>
  </si>
  <si>
    <t>LINEAS DE CREDITO NO ROTATIVA</t>
  </si>
  <si>
    <t>GARANTÍAS BANCARIAS /SBLC</t>
  </si>
  <si>
    <t>INTERINO DE CONSTRUCCIÓN</t>
  </si>
  <si>
    <t>OTROS</t>
  </si>
  <si>
    <t>Macrosector</t>
  </si>
  <si>
    <t>Subsector</t>
  </si>
  <si>
    <t>Agricultura / Agropecuario / Agropecuario Primario</t>
  </si>
  <si>
    <t>Agricultura</t>
  </si>
  <si>
    <t>Agropecuario</t>
  </si>
  <si>
    <t>Agropecuario Primario</t>
  </si>
  <si>
    <t>Agricultura / Agropecuario / Banano y Plátano</t>
  </si>
  <si>
    <t>Banano y Plátano</t>
  </si>
  <si>
    <t>Agricultura / Agropecuario / Flores</t>
  </si>
  <si>
    <t>Flores</t>
  </si>
  <si>
    <t>Agricultura / Agropecuario / Frutales</t>
  </si>
  <si>
    <t>Frutales</t>
  </si>
  <si>
    <t>Agricultura / Agropecuario / Hortalizas</t>
  </si>
  <si>
    <t>Hortalizas</t>
  </si>
  <si>
    <t>Agricultura / Agropecuario / Piscícola</t>
  </si>
  <si>
    <t>Piscícola</t>
  </si>
  <si>
    <t>Agricultura / Arroz / Cultivo de Arroz</t>
  </si>
  <si>
    <t>Arroz</t>
  </si>
  <si>
    <t>Cultivo de Arroz</t>
  </si>
  <si>
    <t>Agricultura / Azúcar / Panela</t>
  </si>
  <si>
    <t>Azúcar</t>
  </si>
  <si>
    <t>Panela</t>
  </si>
  <si>
    <t>Agricultura / Azúcar / Producción de Caña</t>
  </si>
  <si>
    <t>Producción de Caña</t>
  </si>
  <si>
    <t>Agricultura / Café / Café</t>
  </si>
  <si>
    <t>Café</t>
  </si>
  <si>
    <t>Agricultura / Concentrados y Levante / Avícola</t>
  </si>
  <si>
    <t>Concentrados y Levante</t>
  </si>
  <si>
    <t>Avícola</t>
  </si>
  <si>
    <t>Agricultura / Concentrados y Levante / Porcícola</t>
  </si>
  <si>
    <t>Porcícola</t>
  </si>
  <si>
    <t>Agricultura / Ganadería / Cría, Levante y Ceba</t>
  </si>
  <si>
    <t>Ganadería</t>
  </si>
  <si>
    <t>Cría, Levante y Ceba</t>
  </si>
  <si>
    <t>Agricultura / Palma / Palma de aceite</t>
  </si>
  <si>
    <t>Palma</t>
  </si>
  <si>
    <t>Palma de aceite</t>
  </si>
  <si>
    <t>Alimentos / Ganadería / Lecherías</t>
  </si>
  <si>
    <t>Alimentos</t>
  </si>
  <si>
    <t>Lecherías</t>
  </si>
  <si>
    <t>Alimentos / Ganadería / Transformación de Carne</t>
  </si>
  <si>
    <t>Transformación de Carne</t>
  </si>
  <si>
    <t>Alimentos / Palma / Aceites y Grasas</t>
  </si>
  <si>
    <t>Aceites y Grasas</t>
  </si>
  <si>
    <t>Comercio / Alimentos Procesados / Productos Alimenticios</t>
  </si>
  <si>
    <t>Comercio</t>
  </si>
  <si>
    <t>Alimentos Procesados</t>
  </si>
  <si>
    <t>Productos Alimenticios</t>
  </si>
  <si>
    <t>Comercio / Café / CM Café</t>
  </si>
  <si>
    <t>CM Café</t>
  </si>
  <si>
    <t>Comercio / Combustibles y Lubricantes / Combustibles y Lubricantes</t>
  </si>
  <si>
    <t>Combustibles y Lubricantes</t>
  </si>
  <si>
    <t>Comercio / Comercio / Almacenes de Cadena</t>
  </si>
  <si>
    <t>Almacenes de Cadena</t>
  </si>
  <si>
    <t>Comercio / Comercio / CM Maquinaria y Equipos</t>
  </si>
  <si>
    <t>CM Maquinaria y Equipos</t>
  </si>
  <si>
    <t>Comercio / Comercio / CM Reciclaje</t>
  </si>
  <si>
    <t>CM Reciclaje</t>
  </si>
  <si>
    <t>Comercio / Comercio / Ferreterías</t>
  </si>
  <si>
    <t>Ferreterías</t>
  </si>
  <si>
    <t>Comercio / Comercio / Grandes Superficies</t>
  </si>
  <si>
    <t>Grandes Superficies</t>
  </si>
  <si>
    <t>Comercio / Comercio / Otros Productos Mayoristas</t>
  </si>
  <si>
    <t>Otros Productos Mayoristas</t>
  </si>
  <si>
    <t>Comercio / Comercio / Otros Productos Minoristas</t>
  </si>
  <si>
    <t>Otros Productos Minoristas</t>
  </si>
  <si>
    <t>Comercio / Comercio / Productos Agrícolas</t>
  </si>
  <si>
    <t>Productos Agrícolas</t>
  </si>
  <si>
    <t>Comercio / Comercio / Venta y financiación de electrodomésticos</t>
  </si>
  <si>
    <t>Venta y financiación de electrodomésticos</t>
  </si>
  <si>
    <t>Comercio / Hierro y Acero / CM Hierro y Acero</t>
  </si>
  <si>
    <t>Hierro y Acero</t>
  </si>
  <si>
    <t>CM Hierro y Acero</t>
  </si>
  <si>
    <t>Comercio / Medios y TV / CM Libros, Periódicos, Revistas y Afines</t>
  </si>
  <si>
    <t>Medios y TV</t>
  </si>
  <si>
    <t>CM Libros, Periódicos, Revistas y Afines</t>
  </si>
  <si>
    <t>Comercio / Quimicos y Derivados / Productos Químicos</t>
  </si>
  <si>
    <t>Quimicos y Derivados</t>
  </si>
  <si>
    <t>Productos Químicos</t>
  </si>
  <si>
    <t>Comercio / Salud / CM Medicamentos</t>
  </si>
  <si>
    <t>Salud</t>
  </si>
  <si>
    <t>CM Medicamentos</t>
  </si>
  <si>
    <t>Comercio / Textil y Confecciones / CM Calzado</t>
  </si>
  <si>
    <t>Textil y Confecciones</t>
  </si>
  <si>
    <t>CM Calzado</t>
  </si>
  <si>
    <t>Comercio / Textil y Confecciones / CM Confección</t>
  </si>
  <si>
    <t>CM Confección</t>
  </si>
  <si>
    <t>Comercio / Textil y Confecciones / CM Textil</t>
  </si>
  <si>
    <t>CM Textil</t>
  </si>
  <si>
    <t>Comercio / Vehículos / Autopartes y Repuestos</t>
  </si>
  <si>
    <t>Vehículos</t>
  </si>
  <si>
    <t>Autopartes y Repuestos</t>
  </si>
  <si>
    <t>Comercio / Vehículos / Vehículos</t>
  </si>
  <si>
    <t>Construcción / Construcciones y Edificaciones / Construcciones y Edificaciones</t>
  </si>
  <si>
    <t>Construcción</t>
  </si>
  <si>
    <t>Construcciones y Edificaciones</t>
  </si>
  <si>
    <t>Energía / Generación y Distribución de Energía / Distribución y Comercialización</t>
  </si>
  <si>
    <t>Energía</t>
  </si>
  <si>
    <t>Generación y Distribución de Energía</t>
  </si>
  <si>
    <t>Distribución y Comercialización</t>
  </si>
  <si>
    <t>Energía / Generación y Distribución de Energía / Generación de Energía</t>
  </si>
  <si>
    <t>Generación de Energía</t>
  </si>
  <si>
    <t>Energía / Generación y Distribución de Energía / Transmisión</t>
  </si>
  <si>
    <t>Transmisión</t>
  </si>
  <si>
    <t>Financiero / Servicios Financieros / Administradoras de Fondos de Inversión</t>
  </si>
  <si>
    <t>Financiero</t>
  </si>
  <si>
    <t>Servicios Financieros</t>
  </si>
  <si>
    <t>Administradoras de Fondos de Inversión</t>
  </si>
  <si>
    <t>Financiero / Servicios Financieros / Comisionistas y Corredores</t>
  </si>
  <si>
    <t>Comisionistas y Corredores</t>
  </si>
  <si>
    <t>Financiero / Servicios Financieros / Cooperativas</t>
  </si>
  <si>
    <t>Cooperativas</t>
  </si>
  <si>
    <t>Financiero / Servicios Financieros / Fondos Inmobiliarios</t>
  </si>
  <si>
    <t>Fondos Inmobiliarios</t>
  </si>
  <si>
    <t>Financiero / Servicios Financieros / Servicios Financieros</t>
  </si>
  <si>
    <t>Industrial / Alimentos Procesados / Alimentos Procesados y Bebidas</t>
  </si>
  <si>
    <t>Industrial</t>
  </si>
  <si>
    <t>Alimentos Procesados y Bebidas</t>
  </si>
  <si>
    <t>Industrial / Alimentos Procesados / Bebidas Alcohólicas</t>
  </si>
  <si>
    <t>Bebidas Alcohólicas</t>
  </si>
  <si>
    <t>Industrial / Arroz / Molinería</t>
  </si>
  <si>
    <t>Molinería</t>
  </si>
  <si>
    <t>Industrial / Azúcar / Ingenios Azucareros</t>
  </si>
  <si>
    <t>Ingenios Azucareros</t>
  </si>
  <si>
    <t>Industrial / Cemento y Concreto / Cemento y Concreto</t>
  </si>
  <si>
    <t>Cemento y Concreto</t>
  </si>
  <si>
    <t>Industrial / Concentrados y Levante / Alimentos Preparados para Animales</t>
  </si>
  <si>
    <t>Alimentos Preparados para Animales</t>
  </si>
  <si>
    <t>Industrial / Hierro y Acero / Metalmecánico</t>
  </si>
  <si>
    <t>Metalmecánico</t>
  </si>
  <si>
    <t>Industrial / Hierro y Acero / Producción Hierro y Acero</t>
  </si>
  <si>
    <t>Producción Hierro y Acero</t>
  </si>
  <si>
    <t>Industrial / Manufacturas Especiales / Cauchos y Derivados</t>
  </si>
  <si>
    <t>Manufacturas Especiales</t>
  </si>
  <si>
    <t>Cauchos y Derivados</t>
  </si>
  <si>
    <t>Industrial / Manufacturas Especiales / Electrodomésticos</t>
  </si>
  <si>
    <t>Electrodomésticos</t>
  </si>
  <si>
    <t>Industrial / Manufacturas Especiales / Fabricación de Maquinaria y Equipo</t>
  </si>
  <si>
    <t>Fabricación de Maquinaria y Equipo</t>
  </si>
  <si>
    <t>Industrial / Manufacturas Especiales / Manufacturas Especiales</t>
  </si>
  <si>
    <t>Industrial / Manufacturas Especiales / Materiales para Construcción</t>
  </si>
  <si>
    <t>Materiales para Construcción</t>
  </si>
  <si>
    <t>Industrial / Manufacturas Especiales / Reciclaje</t>
  </si>
  <si>
    <t>Reciclaje</t>
  </si>
  <si>
    <t>Industrial / Manufacturas Especiales / Tabaco</t>
  </si>
  <si>
    <t>Tabaco</t>
  </si>
  <si>
    <t>Industrial / Manufacturas Especiales / Vidrio y Derivados</t>
  </si>
  <si>
    <t>Vidrio y Derivados</t>
  </si>
  <si>
    <t>Industrial / Medios y TV / Impresión y Artes Graficas</t>
  </si>
  <si>
    <t>Impresión y Artes Graficas</t>
  </si>
  <si>
    <t>Industrial / Medios y TV / Periódicos y Publicaciones</t>
  </si>
  <si>
    <t>Periódicos y Publicaciones</t>
  </si>
  <si>
    <t>Industrial / Papel Carton y Empaques / Papel y Cartón</t>
  </si>
  <si>
    <t>Papel Carton y Empaques</t>
  </si>
  <si>
    <t>Papel y Cartón</t>
  </si>
  <si>
    <t>Industrial / Plásticos y Sintéticos / Plásticos y Sintéticos</t>
  </si>
  <si>
    <t>Plásticos y Sintéticos</t>
  </si>
  <si>
    <t>Industrial / Quimicos y Derivados / Línea Hogar y Aseo</t>
  </si>
  <si>
    <t>Línea Hogar y Aseo</t>
  </si>
  <si>
    <t>Industrial / Quimicos y Derivados / Pinturas y Tinturas</t>
  </si>
  <si>
    <t>Pinturas y Tinturas</t>
  </si>
  <si>
    <t>Industrial / Quimicos y Derivados / Químicos y Derivados</t>
  </si>
  <si>
    <t>Químicos y Derivados</t>
  </si>
  <si>
    <t>Industrial / Salud / Laboratorios Farmacéuticos</t>
  </si>
  <si>
    <t>Laboratorios Farmacéuticos</t>
  </si>
  <si>
    <t>Industrial / Vehículos / Autopartes y Carrocerías</t>
  </si>
  <si>
    <t>Autopartes y Carrocerías</t>
  </si>
  <si>
    <t>Industrial / Vehículos / Ensamblaje Automotriz</t>
  </si>
  <si>
    <t>Ensamblaje Automotriz</t>
  </si>
  <si>
    <t>Infraestructura / Ingeniería y Obras Civiles / Ingeniería y Obras Civiles</t>
  </si>
  <si>
    <t>Infraestructura</t>
  </si>
  <si>
    <t>Ingeniería y Obras Civiles</t>
  </si>
  <si>
    <t>Inversiones de Capitales / Servicios Financieros / Inversiones de Capitales</t>
  </si>
  <si>
    <t>Inversiones de Capitales</t>
  </si>
  <si>
    <t>Manufactura / Manufacturas Especiales / Maderas y Muebles</t>
  </si>
  <si>
    <t>Manufactura</t>
  </si>
  <si>
    <t>Maderas y Muebles</t>
  </si>
  <si>
    <t>Manufactura / Textil y Confecciones / Calzado</t>
  </si>
  <si>
    <t>Calzado</t>
  </si>
  <si>
    <t>Manufactura / Textil y Confecciones / Confección</t>
  </si>
  <si>
    <t>Confección</t>
  </si>
  <si>
    <t>Manufactura / Textil y Confecciones / Cuero, Curtiembre y Marroquinería</t>
  </si>
  <si>
    <t>Cuero, Curtiembre y Marroquinería</t>
  </si>
  <si>
    <t>Manufactura / Textil y Confecciones / Productos Textiles</t>
  </si>
  <si>
    <t>Productos Textiles</t>
  </si>
  <si>
    <t>Otros / Oficial / Entes Territoriales</t>
  </si>
  <si>
    <t>Otros</t>
  </si>
  <si>
    <t>Oficial</t>
  </si>
  <si>
    <t>Entes Territoriales</t>
  </si>
  <si>
    <t>Petróleo, Gas y Minería / Gas / Generación y Distribución de Gas</t>
  </si>
  <si>
    <t>Petróleo, Gas y Minería</t>
  </si>
  <si>
    <t>Gas</t>
  </si>
  <si>
    <t>Generación y Distribución de Gas</t>
  </si>
  <si>
    <t>Petróleo, Gas y Minería / Minería y Carbón / Minas y Carbón</t>
  </si>
  <si>
    <t>Minería y Carbón</t>
  </si>
  <si>
    <t>Minas y Carbón</t>
  </si>
  <si>
    <t>Petróleo, Gas y Minería / Minería y Carbón / Minería Básica</t>
  </si>
  <si>
    <t>Minería Básica</t>
  </si>
  <si>
    <t>Petróleo, Gas y Minería / Petróleo / Extracción Petrolera</t>
  </si>
  <si>
    <t>Petróleo</t>
  </si>
  <si>
    <t>Extracción Petrolera</t>
  </si>
  <si>
    <t>Servicios / Aduaneros y Logística / Operador Logístico y Aduanero</t>
  </si>
  <si>
    <t>Servicios</t>
  </si>
  <si>
    <t>Aduaneros y Logística</t>
  </si>
  <si>
    <t>Operador Logístico y Aduanero</t>
  </si>
  <si>
    <t>Servicios / Aduaneros y Logística / Puertos y Operadores Portuarios</t>
  </si>
  <si>
    <t>Puertos y Operadores Portuarios</t>
  </si>
  <si>
    <t>Servicios / Comunicaciones / Operadores Telefonía, Internet y TV</t>
  </si>
  <si>
    <t>Comunicaciones</t>
  </si>
  <si>
    <t>Operadores Telefonía, Internet y TV</t>
  </si>
  <si>
    <t>Servicios / Comunicaciones / Redes de Comunicación y Sistemas</t>
  </si>
  <si>
    <t>Redes de Comunicación y Sistemas</t>
  </si>
  <si>
    <t>Servicios / Educación / Educación</t>
  </si>
  <si>
    <t>Educación</t>
  </si>
  <si>
    <t>Servicios / Hotelería y Turismo / Hotelería y Turismo</t>
  </si>
  <si>
    <t>Hotelería y Turismo</t>
  </si>
  <si>
    <t>Servicios / Inmobiliarias / Inmobiliarias</t>
  </si>
  <si>
    <t>Inmobiliarias</t>
  </si>
  <si>
    <t>Servicios / Medios y TV / Radio y Televisión</t>
  </si>
  <si>
    <t>Radio y Televisión</t>
  </si>
  <si>
    <t>Servicios / Petróleo / Relacionadas Extracción Petrolera y Gas</t>
  </si>
  <si>
    <t>Relacionadas Extracción Petrolera y Gas</t>
  </si>
  <si>
    <t>Servicios / Salud / Salud</t>
  </si>
  <si>
    <t>Servicios / Servicios / Actividades de Limpieza</t>
  </si>
  <si>
    <t>Actividades de Limpieza</t>
  </si>
  <si>
    <t>Servicios / Servicios / Agencias de Viajes</t>
  </si>
  <si>
    <t>Agencias de Viajes</t>
  </si>
  <si>
    <t>Servicios / Servicios / Alquiler de Maquinaria y Equipo</t>
  </si>
  <si>
    <t>Alquiler de Maquinaria y Equipo</t>
  </si>
  <si>
    <t>Servicios / Servicios / Clubes, Restaurantes y Recreación</t>
  </si>
  <si>
    <t>Clubes, Restaurantes y Recreación</t>
  </si>
  <si>
    <t>Servicios / Servicios / Empresariales Especiales</t>
  </si>
  <si>
    <t>Empresariales Especiales</t>
  </si>
  <si>
    <t>Servicios / Servicios / Fondos de Empleados</t>
  </si>
  <si>
    <t>Fondos de Empleados</t>
  </si>
  <si>
    <t>Servicios / Servicios / Funerarios</t>
  </si>
  <si>
    <t>Funerarios</t>
  </si>
  <si>
    <t>Servicios / Servicios / Organizaciones Empresariales</t>
  </si>
  <si>
    <t>Organizaciones Empresariales</t>
  </si>
  <si>
    <t>Servicios / Servicios / Otros Servicios Personales</t>
  </si>
  <si>
    <t>Otros Servicios Personales</t>
  </si>
  <si>
    <t>Servicios / Servicios / Publicidad</t>
  </si>
  <si>
    <t>Publicidad</t>
  </si>
  <si>
    <t>Servicios / Servicios / Seguridad e Investigación</t>
  </si>
  <si>
    <t>Seguridad e Investigación</t>
  </si>
  <si>
    <t>Servicios / Servicios / Servicios de Acueducto y Aseo Público</t>
  </si>
  <si>
    <t>Servicios de Acueducto y Aseo Público</t>
  </si>
  <si>
    <t>Servicios / Servicios / Suministro de Personal</t>
  </si>
  <si>
    <t>Suministro de Personal</t>
  </si>
  <si>
    <t>Transporte / Aduaneros y Logística / Transporte Intermodal de Carga</t>
  </si>
  <si>
    <t>Transporte</t>
  </si>
  <si>
    <t>Transporte Intermodal de Carga</t>
  </si>
  <si>
    <t>Transporte / Transporte / Aéreo de Pasajeros</t>
  </si>
  <si>
    <t>Aéreo de Pasajeros</t>
  </si>
  <si>
    <t>Transporte / Transporte / Terrestre de Pasajeros</t>
  </si>
  <si>
    <t>Terrestre de Pasajeros</t>
  </si>
  <si>
    <t>Juntas Directivas</t>
  </si>
  <si>
    <t>Miembro Principal de Junta</t>
  </si>
  <si>
    <t>Nombre del Accionista</t>
  </si>
  <si>
    <t>Jerarquía</t>
  </si>
  <si>
    <t>Miembro Suplente de Junta</t>
  </si>
  <si>
    <t>Inventarios</t>
  </si>
  <si>
    <t>Dividendos</t>
  </si>
  <si>
    <t>LIQUIDEZ</t>
  </si>
  <si>
    <t>RENTABILIDAD</t>
  </si>
  <si>
    <t>Corte</t>
  </si>
  <si>
    <t>Información Anual</t>
  </si>
  <si>
    <t>Ultima Inf. Mensual Nueva</t>
  </si>
  <si>
    <t>Información Mensual Histórica</t>
  </si>
  <si>
    <t>AÑO</t>
  </si>
  <si>
    <t>Davi*II</t>
  </si>
  <si>
    <t>Meses por Periodo</t>
  </si>
  <si>
    <t>Días por Periodo</t>
  </si>
  <si>
    <t>Mes reportado a Corte</t>
  </si>
  <si>
    <t>ACTIVO</t>
  </si>
  <si>
    <t>DISPONIBLE</t>
  </si>
  <si>
    <t>Caja</t>
  </si>
  <si>
    <t>Meses Parciales</t>
  </si>
  <si>
    <t>Bancos Moneda Nacional</t>
  </si>
  <si>
    <t>Año de Parcial</t>
  </si>
  <si>
    <t>Seleccione Mes</t>
  </si>
  <si>
    <t>00</t>
  </si>
  <si>
    <t>Bancos Moneda Extranjera</t>
  </si>
  <si>
    <t>Otros - Equivalentes de efectivo</t>
  </si>
  <si>
    <t>Fondos</t>
  </si>
  <si>
    <t>SUBTOTAL DISPONIBLE</t>
  </si>
  <si>
    <t>INVERSIONES TEMPORALES</t>
  </si>
  <si>
    <t>Bonos</t>
  </si>
  <si>
    <t>Cédulas</t>
  </si>
  <si>
    <t>Certificados</t>
  </si>
  <si>
    <t xml:space="preserve">Títulos  </t>
  </si>
  <si>
    <t>Derechos Fiduciarios</t>
  </si>
  <si>
    <t>Otras Inversiones</t>
  </si>
  <si>
    <t>Ajustes por Inflación</t>
  </si>
  <si>
    <t xml:space="preserve">Provisiones  </t>
  </si>
  <si>
    <t>13</t>
  </si>
  <si>
    <t>SUBTOTAL INVERSIONES TEMPORALES</t>
  </si>
  <si>
    <t>14</t>
  </si>
  <si>
    <t>DEUDORES COMERCIALES</t>
  </si>
  <si>
    <t>15</t>
  </si>
  <si>
    <t>Clientes Nacionales</t>
  </si>
  <si>
    <t>16</t>
  </si>
  <si>
    <t>Clientes del Exterior</t>
  </si>
  <si>
    <t>17</t>
  </si>
  <si>
    <t>Cuentas Corrientes Comerciales</t>
  </si>
  <si>
    <t>18</t>
  </si>
  <si>
    <t>Otros Clientes</t>
  </si>
  <si>
    <t>Provisiones - Deterioro</t>
  </si>
  <si>
    <t>SUBTOTAL DEUDORES COMERCIALES</t>
  </si>
  <si>
    <t>CUENTAS POR COBRAR</t>
  </si>
  <si>
    <t>Vinculados Económicos</t>
  </si>
  <si>
    <t>Socios y Accionistas</t>
  </si>
  <si>
    <t>Anticipos y Avances</t>
  </si>
  <si>
    <t>Depósitos</t>
  </si>
  <si>
    <t>Promesas de Compraventa</t>
  </si>
  <si>
    <t>Ingresos por Cobrar</t>
  </si>
  <si>
    <t>Retención Sobre Contratos</t>
  </si>
  <si>
    <t>Anticipo de Impuestos y Contribuciones (Saldos a Favor)</t>
  </si>
  <si>
    <t>Reclamaciones</t>
  </si>
  <si>
    <t>Cuentas por Cobrar a Trabajadores</t>
  </si>
  <si>
    <t>Activos mantenidos para la venta</t>
  </si>
  <si>
    <t>Deudas de Difícil Cobro</t>
  </si>
  <si>
    <t>Otros Deudores</t>
  </si>
  <si>
    <t>SUBTOTAL CUENTAS POR COBRAR</t>
  </si>
  <si>
    <t>INVENTARIO COMERCIAL</t>
  </si>
  <si>
    <t>Materias Primas</t>
  </si>
  <si>
    <t>Productos en Proceso</t>
  </si>
  <si>
    <t>Cultivos en Desarrollo</t>
  </si>
  <si>
    <t>Productos Terminados</t>
  </si>
  <si>
    <t>Mercancías no Fabricadas por la Empresa</t>
  </si>
  <si>
    <t>Inventarios en Tránsito</t>
  </si>
  <si>
    <t>Depreciación</t>
  </si>
  <si>
    <t>SUBTOTAL INVENTARIO COMERCIAL</t>
  </si>
  <si>
    <t>INVENTARIO NO COMERCIAL</t>
  </si>
  <si>
    <t>Materiales, Repuestos y Accesorios</t>
  </si>
  <si>
    <t>Envases y Empaques</t>
  </si>
  <si>
    <t>Provisiones</t>
  </si>
  <si>
    <t>SUBTOTAL INVENTARIO NO COMERCIAL</t>
  </si>
  <si>
    <t>DIFERIDOS</t>
  </si>
  <si>
    <t>Gastos Pagados por Anticipado</t>
  </si>
  <si>
    <t>Cargos Diferidos</t>
  </si>
  <si>
    <t>Corrección Monetaria Diferida</t>
  </si>
  <si>
    <t>Otros Diferidos</t>
  </si>
  <si>
    <t>SUBTOTAL DIFERIDOS</t>
  </si>
  <si>
    <t>OTROS ACTIVOS CORRIENTES</t>
  </si>
  <si>
    <t>Activos financieros o Instrumentos financieros</t>
  </si>
  <si>
    <t>Otras cuentas NIIF (Biológicos y otros)</t>
  </si>
  <si>
    <t>SUBTOTAL OTROS ACTIVOS CORRIENTES</t>
  </si>
  <si>
    <t>TOTAL ACTIVO CORRIENTE</t>
  </si>
  <si>
    <t>PROPIEDAD, PLANTA Y EQUIPO</t>
  </si>
  <si>
    <t>Terrenos</t>
  </si>
  <si>
    <t>Construcciones en Curso</t>
  </si>
  <si>
    <t>Maquinaria y Equipo en Montaje</t>
  </si>
  <si>
    <t>Maquinaria y Equipo</t>
  </si>
  <si>
    <t>Equipo de Oficina</t>
  </si>
  <si>
    <t>Equipo de Computación y Comunicación</t>
  </si>
  <si>
    <t>Flota y Equipo de Transporte</t>
  </si>
  <si>
    <t>Acueductos, Plantas y Redes</t>
  </si>
  <si>
    <t>Armamento de Vigilancia</t>
  </si>
  <si>
    <t>Plantaciones Agrícolas y Forestales</t>
  </si>
  <si>
    <t>Minas y Canteras</t>
  </si>
  <si>
    <t>Pozos Artesianos</t>
  </si>
  <si>
    <t>Semovientes</t>
  </si>
  <si>
    <t>Propiedades, Planta y Equipo en Tránsito</t>
  </si>
  <si>
    <t>Depreciación Acumulada</t>
  </si>
  <si>
    <t>Amortización Acumulada</t>
  </si>
  <si>
    <t>SUBTOTAL PLANTA Y EQUIPO</t>
  </si>
  <si>
    <t>DEUDORES DE LARGO PLAZO</t>
  </si>
  <si>
    <t>Casa Matriz</t>
  </si>
  <si>
    <t>Préstamos a Particulares</t>
  </si>
  <si>
    <t>Deudores Varios</t>
  </si>
  <si>
    <t>Derechos de Recompra de Cartera Negociada</t>
  </si>
  <si>
    <t>SUBTOTAL DEUDORES DE LARGO PLAZO</t>
  </si>
  <si>
    <t>INVERSIONES PERMANENTES</t>
  </si>
  <si>
    <t>Acciones</t>
  </si>
  <si>
    <t>Cuotas o Partes de Interés Social</t>
  </si>
  <si>
    <t>Títulos</t>
  </si>
  <si>
    <t>Inversiones Obligatorias</t>
  </si>
  <si>
    <t>Cuentas en Participación</t>
  </si>
  <si>
    <t>Inversiones en Subsidiarias</t>
  </si>
  <si>
    <t>Otras inversiones</t>
  </si>
  <si>
    <t>SUBTOTAL INVERSIONES PERMANENTES</t>
  </si>
  <si>
    <t>DIFERIDOS DE LARGO PLAZO</t>
  </si>
  <si>
    <t>Impuesto Diferido</t>
  </si>
  <si>
    <t>SUBTOTAL DIFERIDOS DE LARGO PLAZO</t>
  </si>
  <si>
    <t>INTANGIBLES</t>
  </si>
  <si>
    <t>Crédito Mercantil</t>
  </si>
  <si>
    <t>Marcas</t>
  </si>
  <si>
    <t>Know How</t>
  </si>
  <si>
    <t>Depreciación y/o Amortización Acumulada</t>
  </si>
  <si>
    <t>SUBTOTAL INTANGIBLES</t>
  </si>
  <si>
    <t>OTROS ACTIVOS</t>
  </si>
  <si>
    <t>Otros activos financieros</t>
  </si>
  <si>
    <t>Activos Biológicos</t>
  </si>
  <si>
    <t>Bienes Recibidos en Dación de Pago</t>
  </si>
  <si>
    <t>Propiedades de inversión</t>
  </si>
  <si>
    <t>Otros activos</t>
  </si>
  <si>
    <t>SUBTOTAL OTROS ACTIVOS</t>
  </si>
  <si>
    <t>VALORIZACIONES</t>
  </si>
  <si>
    <t>De Inversiones</t>
  </si>
  <si>
    <t>De Propiedad, Planta y Equipo</t>
  </si>
  <si>
    <t>De Otros Activos</t>
  </si>
  <si>
    <t>SUBTOTAL VALORIZACIONES</t>
  </si>
  <si>
    <t>TOTAL ACTIVO NO CORRIENTE</t>
  </si>
  <si>
    <t>TOTAL ACTIVO</t>
  </si>
  <si>
    <t>CUENTAS DE ORDEN</t>
  </si>
  <si>
    <t>Derechos Contingentes</t>
  </si>
  <si>
    <t>Deudoras Fiscales</t>
  </si>
  <si>
    <t>Deudoras de Control</t>
  </si>
  <si>
    <t>Cuentas de Orden Acreedoras por Contra</t>
  </si>
  <si>
    <t>TOTAL CUENTAS DE ORDEN</t>
  </si>
  <si>
    <t>PASIVO</t>
  </si>
  <si>
    <t>PASIVO CORRIENTE</t>
  </si>
  <si>
    <t>OBLIGACIONES FINANCIERAS</t>
  </si>
  <si>
    <t>Entidades Financieras Nacionales</t>
  </si>
  <si>
    <t>Porción Circulante del Pasivo de Largo Plazo</t>
  </si>
  <si>
    <t>Bonos - Porción Corriente</t>
  </si>
  <si>
    <t>SUBTOTAL OBLIGACIONES FINANCIERAS</t>
  </si>
  <si>
    <t>PROVEEDORES</t>
  </si>
  <si>
    <t>Nacionales</t>
  </si>
  <si>
    <t>Del Exterior</t>
  </si>
  <si>
    <t>SUBTOTAL PROVEEDORES</t>
  </si>
  <si>
    <t>CUENTAS POR PAGAR</t>
  </si>
  <si>
    <t>A Casa Matriz</t>
  </si>
  <si>
    <t>A Compañías Vinculadas</t>
  </si>
  <si>
    <t>A Contratistas</t>
  </si>
  <si>
    <t>Costos y Gastos por Pagar</t>
  </si>
  <si>
    <t>Acreedores Oficiales</t>
  </si>
  <si>
    <t>Regalías por Pagar</t>
  </si>
  <si>
    <t>Deudas con Accionistas o Socios</t>
  </si>
  <si>
    <t>Dividendos o Participaciones por Pagar</t>
  </si>
  <si>
    <t>Retención en la Fuente</t>
  </si>
  <si>
    <t>Impuesto a las Ventas Retenido</t>
  </si>
  <si>
    <t>Impuesto Industria y Comercio Retenido</t>
  </si>
  <si>
    <t>Retenciones y Aportes de Nómina</t>
  </si>
  <si>
    <t>Acreedores Varios</t>
  </si>
  <si>
    <t>SUBTOTAL CUENTAS POR PAGAR</t>
  </si>
  <si>
    <t>IMPUESTOS POR PAGAR</t>
  </si>
  <si>
    <t>Impuesto de Renta y Complementarios</t>
  </si>
  <si>
    <t>Impuesto a las Ventas (IVA)</t>
  </si>
  <si>
    <t>Impuesto de Industria y Comercio (ICA)</t>
  </si>
  <si>
    <t>SUBTOTAL IMPUESTOS POR PAGAR</t>
  </si>
  <si>
    <t>OBLIGACIONES LABORALES</t>
  </si>
  <si>
    <t>Salarios por Pagar</t>
  </si>
  <si>
    <t>Cesantías Consolidadas</t>
  </si>
  <si>
    <t>Intereses sobre Cesantías</t>
  </si>
  <si>
    <t>Vacaciones Consolidadas</t>
  </si>
  <si>
    <t>Prestaciones Extralegales</t>
  </si>
  <si>
    <t>Otras</t>
  </si>
  <si>
    <t>SUBTOTAL OBLIGACIONES LABORALES</t>
  </si>
  <si>
    <t>PASIVOS ESTIMADOS Y PROVISIONES</t>
  </si>
  <si>
    <t>Para Costos y Gastos</t>
  </si>
  <si>
    <t>Para Obligaciones Laborales</t>
  </si>
  <si>
    <t>Para Obligaciones Fiscales</t>
  </si>
  <si>
    <t>Pensiones de Jubilación</t>
  </si>
  <si>
    <t>Para Obras de Urbanismo</t>
  </si>
  <si>
    <t>Para Mantenimiento y Reparaciones</t>
  </si>
  <si>
    <t>Para Contingencias</t>
  </si>
  <si>
    <t>Para Obligaciones de Garantías</t>
  </si>
  <si>
    <t>Otras Provisiones</t>
  </si>
  <si>
    <t>SUBTOTAL ESTIMADOS Y PROVISIONES</t>
  </si>
  <si>
    <t>PASIVOS DIFERIDOS</t>
  </si>
  <si>
    <t>Ingresos Recibidos por Anticipado</t>
  </si>
  <si>
    <t>Abonos Diferidos</t>
  </si>
  <si>
    <t>Impuestos Diferidos</t>
  </si>
  <si>
    <t>SUBTOTAL PASIVOS DIFERIDOS</t>
  </si>
  <si>
    <t>OTROS PASIVOS CORRIENTES</t>
  </si>
  <si>
    <t>Depósitos Recibidos</t>
  </si>
  <si>
    <t>Cuentas de Operación Conjunta</t>
  </si>
  <si>
    <t>Retenciones a Terceros sobre Contratos</t>
  </si>
  <si>
    <t>Instrumentos Financieros</t>
  </si>
  <si>
    <t>SUBTOTAL OTROS PASIVOS CORRIENTES</t>
  </si>
  <si>
    <t>TOTAL PASIVO CORRIENTE</t>
  </si>
  <si>
    <t>PASIVO LARGO PLAZO</t>
  </si>
  <si>
    <t>OBLIGACIONES FINANCIERAS L.P.</t>
  </si>
  <si>
    <t>Entidades Financieras (Nacionales y del Exterior)</t>
  </si>
  <si>
    <t>SUBTOTAL OBLIGACIONES FINANCIERAS L.P.</t>
  </si>
  <si>
    <t>CUENTAS POR PAGAR L.P.</t>
  </si>
  <si>
    <t>Impuestos a la Ventas Retenido</t>
  </si>
  <si>
    <t>SUBTOTAL CUENTAS POR PAGAR L.P.</t>
  </si>
  <si>
    <t>IMPUESTOS POR PAGAR L.P.</t>
  </si>
  <si>
    <t>De Renta y Complementarios</t>
  </si>
  <si>
    <t>SUBTOTAL IMPUESTOS POR PAGAR L.P.</t>
  </si>
  <si>
    <t>OBLIGACIONES LABORALES L.P.</t>
  </si>
  <si>
    <t>SUBTOTAL OBLIGACIONES LABORALES L.P.</t>
  </si>
  <si>
    <t>PASIVOS ESTIMADOS Y PROVISIONES L.P.</t>
  </si>
  <si>
    <t>SUBTOTAL ESTIMADOS Y PROVISIONES L.P.</t>
  </si>
  <si>
    <t>DIFERIDOS L.P.</t>
  </si>
  <si>
    <t>Crédito por Corrección Monetaria</t>
  </si>
  <si>
    <t>SUBTOTAL DIFERIDOS L.P.</t>
  </si>
  <si>
    <t>OTROS PASIVOS L.P.</t>
  </si>
  <si>
    <t>Bonos Obligatoriamente Convertibles en Acciones</t>
  </si>
  <si>
    <t>Bonos Pensionales</t>
  </si>
  <si>
    <t>Otros pasivos financieros</t>
  </si>
  <si>
    <t>SUBTOTAL OTROS PASIVOS L.P.</t>
  </si>
  <si>
    <t>TOTAL PASIVO LARGO PLAZO</t>
  </si>
  <si>
    <t>TOTAL PASIVO</t>
  </si>
  <si>
    <t>PATRIMONIO</t>
  </si>
  <si>
    <t>CAPITAL SOCIAL</t>
  </si>
  <si>
    <t>Capital Suscrito y Pagado</t>
  </si>
  <si>
    <t>Aportes Sociales</t>
  </si>
  <si>
    <t>Capital Asignado</t>
  </si>
  <si>
    <t>Inversión Suplementaria al Capital Asignado</t>
  </si>
  <si>
    <t>Capital de Personas Naturales</t>
  </si>
  <si>
    <t>Aportes del Estado</t>
  </si>
  <si>
    <t>Fondo Social</t>
  </si>
  <si>
    <t>SUBTOTAL CAPITAL SOCIAL</t>
  </si>
  <si>
    <t>SUPERÁVIT DE CAPITAL</t>
  </si>
  <si>
    <t>Prima en Colocación Acciones</t>
  </si>
  <si>
    <t>Donaciones</t>
  </si>
  <si>
    <t>Superávit por Método de Participación</t>
  </si>
  <si>
    <t>SUBTOTAL SUPERÁVIT DE CAPITAL</t>
  </si>
  <si>
    <t>RESERVAS</t>
  </si>
  <si>
    <t>Obligatorias</t>
  </si>
  <si>
    <t>Estatutarias</t>
  </si>
  <si>
    <t>Ocasionales</t>
  </si>
  <si>
    <t>SUBTOTAL RESERVAS</t>
  </si>
  <si>
    <t>REVALORIZACIÓN DEL PATRIMONIO</t>
  </si>
  <si>
    <t>Ajustes conversion a NIIF por primera vez / ORI</t>
  </si>
  <si>
    <t>Ajustes Moneda Extranjera / Interés minoritario</t>
  </si>
  <si>
    <t>Revalorizacion del Patrimonio</t>
  </si>
  <si>
    <t>SUBTOTAL REVALORIZACIÓN DEL PATRIMONIO</t>
  </si>
  <si>
    <t>Dividendos Decretados en Acciones</t>
  </si>
  <si>
    <t>Resultado del Ejercicio</t>
  </si>
  <si>
    <t>Resultados de Ejercicios Anteriores</t>
  </si>
  <si>
    <t>Superávit por Valorizaciones</t>
  </si>
  <si>
    <t>TOTAL PATRIMONIO</t>
  </si>
  <si>
    <t>TOTAL PASIVO Y PATRIMONIO</t>
  </si>
  <si>
    <t>Contingentes Financieros</t>
  </si>
  <si>
    <t>Acreedoras Fiscales</t>
  </si>
  <si>
    <t>Responsabilidades Contingentes y Acreedoras de Control</t>
  </si>
  <si>
    <t>Cuentas de Orden Deudoras por Contra</t>
  </si>
  <si>
    <t>Validación de Activo Vs. Pasivo + Patrimonio</t>
  </si>
  <si>
    <t>Valor descuadrado (si es positivo el descuadre esta en el Activo)</t>
  </si>
  <si>
    <t>ESTADO DE RESULTADOS</t>
  </si>
  <si>
    <t>INGRESOS</t>
  </si>
  <si>
    <t>Ingresos Nacionales</t>
  </si>
  <si>
    <t>Ingresos Por Exportaciones</t>
  </si>
  <si>
    <t>Costos</t>
  </si>
  <si>
    <r>
      <t>Depreciaciones y Amortizaciones</t>
    </r>
    <r>
      <rPr>
        <i/>
        <sz val="12"/>
        <color theme="1"/>
        <rFont val="Arial"/>
        <family val="2"/>
      </rPr>
      <t xml:space="preserve"> (Informativas para Ebitda)</t>
    </r>
  </si>
  <si>
    <t>UTILIDAD BRUTA</t>
  </si>
  <si>
    <t>GASTOS OPERACIONALES - ADMON.</t>
  </si>
  <si>
    <t>Personal</t>
  </si>
  <si>
    <t>Honorarios</t>
  </si>
  <si>
    <t>Impuestos</t>
  </si>
  <si>
    <t>Arrendamientos</t>
  </si>
  <si>
    <t>Contribuciones y Afiliaciones</t>
  </si>
  <si>
    <t>Seguros</t>
  </si>
  <si>
    <t>Gastos Legales</t>
  </si>
  <si>
    <t>Mantenimientos y Reparaciones</t>
  </si>
  <si>
    <t>Adecuaciones e Instalaciones</t>
  </si>
  <si>
    <t>Gastos de Viaje</t>
  </si>
  <si>
    <t>Diversos</t>
  </si>
  <si>
    <t>Amortización</t>
  </si>
  <si>
    <t>SUBTOTAL GASTOS OPERCIONALES - ADMON.</t>
  </si>
  <si>
    <t>GASTOS OPERACIONALES - VENTAS</t>
  </si>
  <si>
    <t>Amortizaciones</t>
  </si>
  <si>
    <r>
      <t xml:space="preserve">Provisiones / Deterioro / Ajustes Ope. Niif </t>
    </r>
    <r>
      <rPr>
        <sz val="12"/>
        <color theme="1"/>
        <rFont val="Arial"/>
        <family val="2"/>
      </rPr>
      <t>(-Utilidad; +Perdida)</t>
    </r>
  </si>
  <si>
    <t>SUBTOTAL GASTOS OPERACIONALES - VENTAS</t>
  </si>
  <si>
    <t>UTILIDAD OPERACIONAL</t>
  </si>
  <si>
    <t>INGRESOS NO OPERACIONALES</t>
  </si>
  <si>
    <t>Financieros</t>
  </si>
  <si>
    <t>Diferencia en Cambio</t>
  </si>
  <si>
    <t>Otras Ventas</t>
  </si>
  <si>
    <t>Descuentos Comerciales Condicionados</t>
  </si>
  <si>
    <t>Ingresos por Método de Participación</t>
  </si>
  <si>
    <t>Utilidad en Venta de Propiedades, Planta y Equipo</t>
  </si>
  <si>
    <t>Utilidad en Venta de Inversiones</t>
  </si>
  <si>
    <t>Recuperaciones e Indemnizaciones</t>
  </si>
  <si>
    <t>SUBTOTAL INGRESOS NO OPERACIONALES</t>
  </si>
  <si>
    <t>GASTOS NO OPERACIONALES</t>
  </si>
  <si>
    <t>Financieros - Intereses</t>
  </si>
  <si>
    <t>Gastos Bancarios - GMF (4 x 1000)</t>
  </si>
  <si>
    <t>Comisiones</t>
  </si>
  <si>
    <t>Pérdida en Venta y Retiro de Bienes</t>
  </si>
  <si>
    <t>Pérdida por Método de Participación</t>
  </si>
  <si>
    <t>Gastos Extraordinarios</t>
  </si>
  <si>
    <t>Pérdida en Venta de Inversiones</t>
  </si>
  <si>
    <t>Impuestos Asumidos</t>
  </si>
  <si>
    <t>Diversos  / Ajustes No Ope. Niif (Perdida)</t>
  </si>
  <si>
    <t>SUBTOTAL GASTOS NO OPERACIONALES</t>
  </si>
  <si>
    <t>Corrección Monetaria</t>
  </si>
  <si>
    <t>UTILIDAD ANTES DE IMPUESTOS</t>
  </si>
  <si>
    <t>UTILIDAD NETA</t>
  </si>
  <si>
    <t>DIVIDENDOS DISTRIBUIDOS</t>
  </si>
  <si>
    <t>Ebitda</t>
  </si>
  <si>
    <t>Validación Inventarios / Proveedores</t>
  </si>
  <si>
    <t>Validación información para cálculo Ebitda</t>
  </si>
  <si>
    <t>OK</t>
  </si>
  <si>
    <t>Depreciaciones - Amortizaciones</t>
  </si>
  <si>
    <t>Validación de Utilidades P&amp;G vs. Utilidades Patrimonio</t>
  </si>
  <si>
    <t>Valor descuadrado</t>
  </si>
  <si>
    <t>Validación Depreciaciones / Amortizaciones con diferencia del 40%</t>
  </si>
  <si>
    <t>Validación Pasivos Financieros vs. Gastos - Intereses</t>
  </si>
  <si>
    <t>Ingresos Operacionales con variación + o - del 30%</t>
  </si>
  <si>
    <t>Validación Patrimonio</t>
  </si>
  <si>
    <t>PAÍS</t>
  </si>
  <si>
    <t>COLGAAP</t>
  </si>
  <si>
    <t>NIIF</t>
  </si>
  <si>
    <t>HORIZONTAL (ANUALIZADO)</t>
  </si>
  <si>
    <t>VERTICAL</t>
  </si>
  <si>
    <t>Año</t>
  </si>
  <si>
    <t>CORTE</t>
  </si>
  <si>
    <t>Inflación</t>
  </si>
  <si>
    <t>DÍAS PERÍODO</t>
  </si>
  <si>
    <t>Variación TRM</t>
  </si>
  <si>
    <t>INGRESOS OPERACIONALES</t>
  </si>
  <si>
    <t>Crecimiento PIB</t>
  </si>
  <si>
    <t>COSTO DE VENTAS</t>
  </si>
  <si>
    <t>INDICADORES FINANCIEROS</t>
  </si>
  <si>
    <t>GASTOS OPERACIONALES</t>
  </si>
  <si>
    <t>Margen Bruto</t>
  </si>
  <si>
    <t>DEPRECIACIÓN Y AMORTIZACIÓN</t>
  </si>
  <si>
    <t>Margen Operacional</t>
  </si>
  <si>
    <t>EBITDA</t>
  </si>
  <si>
    <t>Margen EBITDA</t>
  </si>
  <si>
    <t>Margen Neto</t>
  </si>
  <si>
    <t xml:space="preserve">         FINANCIEROS</t>
  </si>
  <si>
    <t>Rendimiento del Patrimonio (S.V.)</t>
  </si>
  <si>
    <t xml:space="preserve">         OTROS</t>
  </si>
  <si>
    <t>Rendimiento del Activo Total (S.V.)</t>
  </si>
  <si>
    <t>Razón Corriente</t>
  </si>
  <si>
    <t>Prueba Ácida</t>
  </si>
  <si>
    <t>DIFERENCIA EN CAMBIO NETA</t>
  </si>
  <si>
    <t xml:space="preserve">Capital de Trabajo </t>
  </si>
  <si>
    <t xml:space="preserve">Capital de Trabajo Operativo </t>
  </si>
  <si>
    <t>PROVISIÓN IMPUESTOS</t>
  </si>
  <si>
    <t>EFICIENCIA</t>
  </si>
  <si>
    <t>UTILIDAD (PÉRDIDA) NETA</t>
  </si>
  <si>
    <t>Rotación de Cartera (Días)</t>
  </si>
  <si>
    <t>Rotación de Inventario (Días)</t>
  </si>
  <si>
    <t>Ciclo Operativo (Días)</t>
  </si>
  <si>
    <t>BALANCE GENERAL</t>
  </si>
  <si>
    <t>FUENTES</t>
  </si>
  <si>
    <t>USOS</t>
  </si>
  <si>
    <t>Rotación Proveedores (Días)</t>
  </si>
  <si>
    <t>Ciclo Operativo Neto (Días)</t>
  </si>
  <si>
    <t>CAJA E INVERSIONES TEMPORALES</t>
  </si>
  <si>
    <t>ENDEUDAMIENTO</t>
  </si>
  <si>
    <t>Endeudamiento Con Valorizaciones</t>
  </si>
  <si>
    <t>Endeudamiento Sin Valorizaciones</t>
  </si>
  <si>
    <t>INVENTARIO</t>
  </si>
  <si>
    <t>Endeudamiento Financiero (Sin.Val.)</t>
  </si>
  <si>
    <t>Deuda Financiera / EBITDA</t>
  </si>
  <si>
    <t>Deuda Financiera Neta / EBITDA</t>
  </si>
  <si>
    <t>Pas. Financiero / Total Patrimonio</t>
  </si>
  <si>
    <t>Pasivo Corriente / Total Pasivo</t>
  </si>
  <si>
    <t>Pas. Financiero C.P. / Total Pas. Financiero</t>
  </si>
  <si>
    <t>Pasivo Financiero / Ventas</t>
  </si>
  <si>
    <t>OTROS ACTIVOS DE LARGO PLAZO</t>
  </si>
  <si>
    <t>VIABILIDAD Y SOLVENCIA</t>
  </si>
  <si>
    <t>EBITDA / Intereses (Veces)</t>
  </si>
  <si>
    <t>EBITDA / Consumo K de Trabajo (Veces)</t>
  </si>
  <si>
    <t>Crecimiento Sostenible (S.V.)</t>
  </si>
  <si>
    <t>CUENTAS DE ORDEN DEUDORAS</t>
  </si>
  <si>
    <t>Ebitda / Servicio de la Deuda</t>
  </si>
  <si>
    <t>RESPALDO (SIN VALORIZACIONES)</t>
  </si>
  <si>
    <t>Patrimonio Tangible / Total Patrimonio</t>
  </si>
  <si>
    <t xml:space="preserve">    INDICADORES DE RIESGO CREDITICIO</t>
  </si>
  <si>
    <t xml:space="preserve">MARC </t>
  </si>
  <si>
    <t>CRC</t>
  </si>
  <si>
    <t>10% VENTAS</t>
  </si>
  <si>
    <t>5% ACTIVOS (S.V.)</t>
  </si>
  <si>
    <t>20% PATRIMONIO (S.V.)</t>
  </si>
  <si>
    <t>OTROS PASIVOS</t>
  </si>
  <si>
    <t>CIFIN - REPORTE DE ENDEUDAMIENTO GLOBAL</t>
  </si>
  <si>
    <t>Entidad</t>
  </si>
  <si>
    <t>Tendencia</t>
  </si>
  <si>
    <t>Garantía</t>
  </si>
  <si>
    <t>Calificación</t>
  </si>
  <si>
    <t>CONCILIACIÓN PATRIM.</t>
  </si>
  <si>
    <t>CAPITAL PAGADO</t>
  </si>
  <si>
    <t>CAPITAL</t>
  </si>
  <si>
    <t>RESERVA LEGAL</t>
  </si>
  <si>
    <t>DIVIDENDOS ACCIONES</t>
  </si>
  <si>
    <t>UTILIDADES DE EJERCICIOS ANTERIORES</t>
  </si>
  <si>
    <t>UTILIDAD DEL EJERCICIO</t>
  </si>
  <si>
    <t>DIVIDENDOS EFECTIVO</t>
  </si>
  <si>
    <t>REVALORIZACIÓN PATRIMONIAL</t>
  </si>
  <si>
    <t>OTROS PATRIMONIO</t>
  </si>
  <si>
    <t>RESULTADO EJERCICIO</t>
  </si>
  <si>
    <t>SUPERÁVIT POR VALORIZACIONES</t>
  </si>
  <si>
    <t>REVAL. PATRIM.</t>
  </si>
  <si>
    <t>CONCENTRACIÓN POR GRUPO FINANCIERO</t>
  </si>
  <si>
    <t>CUENTAS DE ORDEN ACREEDORAS</t>
  </si>
  <si>
    <t>AVAL</t>
  </si>
  <si>
    <t>BANCOS EXTRANJEROS</t>
  </si>
  <si>
    <t>BANCOLOMBIA</t>
  </si>
  <si>
    <t>OTROS BANCOS</t>
  </si>
  <si>
    <t>TOTAL FUENTES Y USOS</t>
  </si>
  <si>
    <t>VARIABLES PARA GRÁFICOS</t>
  </si>
  <si>
    <t>VENTAS ($MMM)</t>
  </si>
  <si>
    <t>ACTIVO CORRIENTE ($MMM)</t>
  </si>
  <si>
    <t>UTILIDAD NETA ($MMM)</t>
  </si>
  <si>
    <t>ACTIVO L.P. ($MMM)</t>
  </si>
  <si>
    <t>UTILIDAD OPERACIONAL ($MMM)</t>
  </si>
  <si>
    <t>PASIVO CORRIENTE ($MMM)</t>
  </si>
  <si>
    <t>TOTAL ACTIVO (S.V.) ($MMM)</t>
  </si>
  <si>
    <t>PASIVO L.P. ($MMM)</t>
  </si>
  <si>
    <t>TOTAL PASIVO ($MMM)</t>
  </si>
  <si>
    <t>PASIVO FINANCIERO ($MMM)</t>
  </si>
  <si>
    <t>TOTAL PATRIMONIO ($MMM)</t>
  </si>
  <si>
    <t>LEVERAGE FINANCIERO (Veces)</t>
  </si>
  <si>
    <t>ENDEUDAMIENTO S.V. (%)</t>
  </si>
  <si>
    <t>PASIVO FINANCIERO / VENTAS (%)</t>
  </si>
  <si>
    <t>VALIDACIÓN AÑOS</t>
  </si>
  <si>
    <t>COLUMNAS RESPECTIVAS EN HOJA 'CIFIN'</t>
  </si>
  <si>
    <t>FILAS DE INICIO Y TERMINACIÓN CIFIN POR EMPRESA - HOJA 'CIFIN'</t>
  </si>
  <si>
    <t>COLUMNAS REPORTE</t>
  </si>
  <si>
    <t>FILA INICIAL CIFIN</t>
  </si>
  <si>
    <t>Grupo</t>
  </si>
  <si>
    <t>FILA FINAL CIFIN</t>
  </si>
  <si>
    <t>CONTADORES DILGENCIAMIENTO CIFIN POR EMPRESA</t>
  </si>
  <si>
    <t>COLUMNAS (MACRO CREAR BALANCES)</t>
  </si>
  <si>
    <t>CELDA NOMBRE 'Res' - MACRO CREAR_BALANCES</t>
  </si>
  <si>
    <t>FILAS EMPRESA (MACRO CREAR BALANCES)</t>
  </si>
  <si>
    <t>VARIABLES CÁLCULO CRECIMIENTO SOSTENIBLE</t>
  </si>
  <si>
    <t>Crecimiento Sostenible</t>
  </si>
  <si>
    <t>M (1-Po) (1+L)</t>
  </si>
  <si>
    <t>1/T - M (1-Po) (1+L)</t>
  </si>
  <si>
    <t>MARC</t>
  </si>
  <si>
    <t>ENTIDAD</t>
  </si>
  <si>
    <t>NOMBRE MATRIZ ENTIDAD</t>
  </si>
  <si>
    <t>NOMBRE MATRIZ 2Q</t>
  </si>
  <si>
    <t>NOMBRE MATRIZ 3Q</t>
  </si>
  <si>
    <t>NOMBRE MATRIZ GAR Y CALF</t>
  </si>
  <si>
    <t>NOMBRE MATRIZ 4Q</t>
  </si>
  <si>
    <t>CIFENT1</t>
  </si>
  <si>
    <t>CIF2Q1</t>
  </si>
  <si>
    <t>CIF3Q1</t>
  </si>
  <si>
    <t>CIFGARCAL1</t>
  </si>
  <si>
    <t>CIF4Q1</t>
  </si>
  <si>
    <t>CIFENT2</t>
  </si>
  <si>
    <t>CIF2Q2</t>
  </si>
  <si>
    <t>CIF3Q2</t>
  </si>
  <si>
    <t>CIFGARCAL2</t>
  </si>
  <si>
    <t>CIF4Q2</t>
  </si>
  <si>
    <t>CIFENT3</t>
  </si>
  <si>
    <t>CIF2Q3</t>
  </si>
  <si>
    <t>CIF3Q3</t>
  </si>
  <si>
    <t>CIFGARCAL3</t>
  </si>
  <si>
    <t>CIF4Q3</t>
  </si>
  <si>
    <t>CIFENT4</t>
  </si>
  <si>
    <t>CIF2Q4</t>
  </si>
  <si>
    <t>CIF3Q4</t>
  </si>
  <si>
    <t>CIFGARCAL4</t>
  </si>
  <si>
    <t>CIF4Q4</t>
  </si>
  <si>
    <t>CIFENT5</t>
  </si>
  <si>
    <t>CIF2Q5</t>
  </si>
  <si>
    <t>CIF3Q5</t>
  </si>
  <si>
    <t>CIFGARCAL5</t>
  </si>
  <si>
    <t>CIF4Q5</t>
  </si>
  <si>
    <t>CIFENT6</t>
  </si>
  <si>
    <t>CIF2Q6</t>
  </si>
  <si>
    <t>CIF3Q6</t>
  </si>
  <si>
    <t>CIFGARCAL6</t>
  </si>
  <si>
    <t>CIF4Q6</t>
  </si>
  <si>
    <t>CIFENT7</t>
  </si>
  <si>
    <t>CIF2Q7</t>
  </si>
  <si>
    <t>CIF3Q7</t>
  </si>
  <si>
    <t>CIFGARCAL7</t>
  </si>
  <si>
    <t>CIF4Q7</t>
  </si>
  <si>
    <t>CIFENT8</t>
  </si>
  <si>
    <t>CIF2Q8</t>
  </si>
  <si>
    <t>CIF3Q8</t>
  </si>
  <si>
    <t>CIFGARCAL8</t>
  </si>
  <si>
    <t>CIF4Q8</t>
  </si>
  <si>
    <t>CIFENT9</t>
  </si>
  <si>
    <t>CIF2Q9</t>
  </si>
  <si>
    <t>CIF3Q9</t>
  </si>
  <si>
    <t>CIFGARCAL9</t>
  </si>
  <si>
    <t>CIF4Q9</t>
  </si>
  <si>
    <t>CIFENT10</t>
  </si>
  <si>
    <t>CIF2Q10</t>
  </si>
  <si>
    <t>CIF3Q10</t>
  </si>
  <si>
    <t>CIFGARCAL10</t>
  </si>
  <si>
    <t>CIF4Q10</t>
  </si>
  <si>
    <t>PROYECTADO</t>
  </si>
  <si>
    <t>MES DE CORTE</t>
  </si>
  <si>
    <t>2.1</t>
  </si>
  <si>
    <t>2.2</t>
  </si>
  <si>
    <t>PROVISIONES DEUDORES COMERCIALES</t>
  </si>
  <si>
    <t>3.1</t>
  </si>
  <si>
    <t>INVENTARIOS</t>
  </si>
  <si>
    <t>3.2</t>
  </si>
  <si>
    <t>PROVISIONES INVENTARIOS</t>
  </si>
  <si>
    <t>ANTICIPOS - IMPUESTOS</t>
  </si>
  <si>
    <t>5.1</t>
  </si>
  <si>
    <t>DEUDORES VARIOS</t>
  </si>
  <si>
    <t>5.2</t>
  </si>
  <si>
    <t>OTROS CORRIENTES</t>
  </si>
  <si>
    <t>ACTIVO CORRIENTE</t>
  </si>
  <si>
    <t>INVERSIONES EN FILIALES Y ASOCIADAS (PERMANENTES)</t>
  </si>
  <si>
    <t>7.1</t>
  </si>
  <si>
    <t>ACTIVOS FIJOS</t>
  </si>
  <si>
    <t>7.2</t>
  </si>
  <si>
    <t>DEPRECIACIÓN ACUMULADA ACTIVOS FIJOS</t>
  </si>
  <si>
    <t>INTANGIBLES NETO</t>
  </si>
  <si>
    <t>CARGOS DIFERIDOS NETO</t>
  </si>
  <si>
    <t>OTROS ACTIVOS L.P.</t>
  </si>
  <si>
    <t>TOTAL ACTIVO SIN VALORIZACIONES</t>
  </si>
  <si>
    <t>TOTAL ACTIVO CON VALORIZACIONES</t>
  </si>
  <si>
    <t>OBLIGACIONES FINANCIERAS CORRIENTES</t>
  </si>
  <si>
    <t>13.1</t>
  </si>
  <si>
    <t>OBLIGACIONES FINANCIERAS L.P. - PORCIÓN CORRIENTE</t>
  </si>
  <si>
    <t>13.2</t>
  </si>
  <si>
    <t>BONOS - PORCIÓN CORRIENTE</t>
  </si>
  <si>
    <t>13.3</t>
  </si>
  <si>
    <t>OBLIGACIONES DE LARGO PLAZO DAVIVIENDA - PORCIÓN CORRIENTE</t>
  </si>
  <si>
    <t>PASIVOS LABORALES C.P.</t>
  </si>
  <si>
    <t xml:space="preserve">IMPUESTOS POR PAGAR </t>
  </si>
  <si>
    <t>PASIVOS DIFERIDOS C.P.</t>
  </si>
  <si>
    <t>DEUDAS CON SOCIOS  C.P.</t>
  </si>
  <si>
    <t>20.1</t>
  </si>
  <si>
    <t>20.2</t>
  </si>
  <si>
    <t>21.1</t>
  </si>
  <si>
    <t>21.2</t>
  </si>
  <si>
    <t>BONOS</t>
  </si>
  <si>
    <t>21.3</t>
  </si>
  <si>
    <t>OBLIGACIONES DE LARGO PLAZO DAVIVIENDA</t>
  </si>
  <si>
    <t>22.1</t>
  </si>
  <si>
    <t>PRESTACIONES SOCIALES L.P.</t>
  </si>
  <si>
    <t>22.2</t>
  </si>
  <si>
    <t>PENSIONES DE JUBILACIÓN</t>
  </si>
  <si>
    <t>DEUDAS CON SOCIOS L.P.</t>
  </si>
  <si>
    <t>IMPUESTOS DE L.P. (DIFERIDOS)</t>
  </si>
  <si>
    <t>25.1</t>
  </si>
  <si>
    <t>PASIVOS ESTIMADOS Y PROVISIONES (DIFERIDOS)</t>
  </si>
  <si>
    <t>25.2</t>
  </si>
  <si>
    <t xml:space="preserve">OTROS PASIVOS DE LARGO PLAZO </t>
  </si>
  <si>
    <t>PASIVO L.P</t>
  </si>
  <si>
    <t xml:space="preserve">TOTAL PASIVO </t>
  </si>
  <si>
    <t>PRIMA EN COLOCACIÓN DE ACCIONES (SUPERÁVIT DE CAPITAL)</t>
  </si>
  <si>
    <t>UTILIDADES ACUMULADAS DE EJERCICIOS ANTERIORES</t>
  </si>
  <si>
    <t>CONTINGENTES FINANCIEROS (LEASING - CARTAS DE CRÉDITO ABIERTAS)</t>
  </si>
  <si>
    <t>PRUEBA CERO</t>
  </si>
  <si>
    <t>VENTAS</t>
  </si>
  <si>
    <t>GASTOS DE ADMINISTRACIÓN Y VENTAS</t>
  </si>
  <si>
    <t xml:space="preserve">UTILIDAD OPERACIONAL </t>
  </si>
  <si>
    <t>GASTOS FINANCIEROS</t>
  </si>
  <si>
    <t>CORRECCIÓN MONETARIA</t>
  </si>
  <si>
    <t>DIFERENCIA EN CAMBIO (NETA)</t>
  </si>
  <si>
    <t>41.1</t>
  </si>
  <si>
    <t>OTROS INGRESOS RECURRENTES</t>
  </si>
  <si>
    <t>41.2</t>
  </si>
  <si>
    <t>OTROS EGRESOS RECURRENTES</t>
  </si>
  <si>
    <t>41.3</t>
  </si>
  <si>
    <t>INGRESOS FINANCIEROS</t>
  </si>
  <si>
    <t>41.4</t>
  </si>
  <si>
    <t>UTILIDAD (PÉRDIDA) EN VENTA DE ACTIVOS FIJOS</t>
  </si>
  <si>
    <t>41.5</t>
  </si>
  <si>
    <t>UTILIDAD (PÉRDIDA) EN VENTA DE INVERSIONES</t>
  </si>
  <si>
    <t>41.6</t>
  </si>
  <si>
    <t>INGRESOS (EGRESOS) POR MÉTODO DE PARTICIPACIÓN</t>
  </si>
  <si>
    <t>41.7</t>
  </si>
  <si>
    <t>OTROS INGRESOS</t>
  </si>
  <si>
    <t>41.8</t>
  </si>
  <si>
    <t>OTROS EGRESOS</t>
  </si>
  <si>
    <t>UTILIDAD ANTES DE IMP.</t>
  </si>
  <si>
    <t>IMPUESTOS</t>
  </si>
  <si>
    <t>DEPRECIACIÓN</t>
  </si>
  <si>
    <t>AMORTIZACIÓN INTANGIBLES</t>
  </si>
  <si>
    <t>AMORTIZACIÓN DIFERIDOS</t>
  </si>
  <si>
    <t>INVERSIÓN EXPANSIVA EN ACT. FIJOS (CAPEX) - INCLUYE DEPRECIACIÓN ACUMULADA</t>
  </si>
  <si>
    <t>INVERSIÓN EXPANSIVA EN ACT. FIJOS (CAPEX) - SIN DEPRECIACIÓN ACUMULADA</t>
  </si>
  <si>
    <t>ACTIVOS EN MONEDA EXTRANJERA</t>
  </si>
  <si>
    <t>PASIVOS EN MONEDA EXTRANJERA</t>
  </si>
  <si>
    <t>Ç</t>
  </si>
  <si>
    <t xml:space="preserve">  OBSERVACIONES</t>
  </si>
  <si>
    <t>PAAG PROYECTADO</t>
  </si>
  <si>
    <t>AJUSTES POR INFLACIÓN DEL PERÍODO</t>
  </si>
  <si>
    <t>AJUSTE POR INFLACIÓN  INVENTARIOS</t>
  </si>
  <si>
    <t>AJUSTE POR INFLACIÓN ACTIVOS FIJOS</t>
  </si>
  <si>
    <t>AJUSTE POR INFLACIÓN DEPRECIACIÓN</t>
  </si>
  <si>
    <t>AJUSTE POR INFLACIÓN INTANGIBLES</t>
  </si>
  <si>
    <t>AJUSTE POR INFLACIÓN AMORTIZACIÓN DE INTANGIBLES</t>
  </si>
  <si>
    <t>AJUSTE POR INFLACIÓN  INVERSIONES PERMANENTES</t>
  </si>
  <si>
    <t>AJUSTE POR INFLACIÓN CARGOS DIFERIDOS</t>
  </si>
  <si>
    <t>AJUSTE POR INFLACIÓN AMORTIZACIÓN DE DIFERIDOS</t>
  </si>
  <si>
    <t>AJ. POR INF.OTROS ACTIVOS DE LARGO PLAZO (INCLUYE CORR.MON.DIF.)</t>
  </si>
  <si>
    <t>AJUSTE POR INFLACIÓN PASIVOS</t>
  </si>
  <si>
    <t>EFECTO NETO PYG AJUSTES POR INFLACIÓN</t>
  </si>
  <si>
    <t>PRUEBA AJUSTES</t>
  </si>
  <si>
    <t>+ DEPRECIACIÓN Y AMORTIZACIÓN</t>
  </si>
  <si>
    <t>-  PAGO DE IMPUESTOS</t>
  </si>
  <si>
    <t>FONDOS DESPUÉS DE IMPUESTOS Y DIVIDENDOS</t>
  </si>
  <si>
    <t>- / + CUENTAS POR COBRAR</t>
  </si>
  <si>
    <t>- / + INVENTARIOS</t>
  </si>
  <si>
    <t>- / + ANTICIPOS</t>
  </si>
  <si>
    <t>+ / - PROVEEDORES</t>
  </si>
  <si>
    <t>9.1</t>
  </si>
  <si>
    <t>+ / - PASIVOS LABORALES C.P.</t>
  </si>
  <si>
    <t>9.2</t>
  </si>
  <si>
    <t>+ / - IMPUESTOS POR PAGAR</t>
  </si>
  <si>
    <t>9.3</t>
  </si>
  <si>
    <t>+ / - CUENTAS POR PAGAR</t>
  </si>
  <si>
    <t>+ / - OTROS PASIVOS CORRIENTES OPERACIONALES*</t>
  </si>
  <si>
    <t>NECESIDADES DE CAPITAL DE TRABAJO</t>
  </si>
  <si>
    <t xml:space="preserve">FLUJO DE CAJA LIBRE OPERATIVO </t>
  </si>
  <si>
    <t>10.1</t>
  </si>
  <si>
    <t>-  AMORTIZACIÓN OBLIGACIONES FINANCIERAS CORRIENTES</t>
  </si>
  <si>
    <t>10.2</t>
  </si>
  <si>
    <t>-  AMORTIZACIÓN OBLIGACIONES FINANCIERAS L.P.</t>
  </si>
  <si>
    <t>10.2A</t>
  </si>
  <si>
    <t>- AMORTIZACIÓN DEUDA DAVIVIENDA L.P.</t>
  </si>
  <si>
    <t>10.3</t>
  </si>
  <si>
    <t>-  GASTO DE INTERÉS + DIFERENCIA EN CAMBIO SI ES NEGATIVA NETA</t>
  </si>
  <si>
    <t>- SERVICIO DE DEUDA*</t>
  </si>
  <si>
    <t>FONDOS DESPUÉS DE OPERACIONES</t>
  </si>
  <si>
    <t>+ NUEVAS OBLIGACIONES FINANCIERAS CORRIENTES</t>
  </si>
  <si>
    <t>12.1</t>
  </si>
  <si>
    <t>+ NUEVAS OBLIGACIONES FINANCIERAS L.P.</t>
  </si>
  <si>
    <t>12.2</t>
  </si>
  <si>
    <t>+ NUEVA DEUDA DAVIVIENDA L.P.</t>
  </si>
  <si>
    <t>13.4</t>
  </si>
  <si>
    <t>+ / - PASIVOS CORRIENTES NO OPERACIONALES*</t>
  </si>
  <si>
    <t>14.1</t>
  </si>
  <si>
    <t>14.2</t>
  </si>
  <si>
    <t>14.3</t>
  </si>
  <si>
    <t>14.4</t>
  </si>
  <si>
    <t>14.5</t>
  </si>
  <si>
    <t>14.6</t>
  </si>
  <si>
    <t>+ / - PASIVOS NO OPERACIONALES L.P.*</t>
  </si>
  <si>
    <t>+ / - CAPITALIZACIÓN / DESCAPITALIZACIÓN</t>
  </si>
  <si>
    <t>16.1</t>
  </si>
  <si>
    <t>+ / - OTROS INGRESOS Y EGRESOS RECURRENTES (NETO)</t>
  </si>
  <si>
    <t>16.2</t>
  </si>
  <si>
    <t>16.3</t>
  </si>
  <si>
    <t>16.4</t>
  </si>
  <si>
    <t>16.5</t>
  </si>
  <si>
    <t>16.6</t>
  </si>
  <si>
    <t>+ / - OTROS INGRESOS (EGRESOS) NETO</t>
  </si>
  <si>
    <t>+ / - INGRESOS (EGRESOS) NO OPERACIONALES*</t>
  </si>
  <si>
    <t>TOTAL FUENTES NO OPERACIONALES</t>
  </si>
  <si>
    <t>-  INVERSIÓN EXPANSIVA EN ACTIVOS FIJOS (CAPEX) - SIN DEPR. ACUM.</t>
  </si>
  <si>
    <t>18.1</t>
  </si>
  <si>
    <t>18.2</t>
  </si>
  <si>
    <t>- / + ACTIVOS CORRIENTES NO OPERACIONALES*</t>
  </si>
  <si>
    <t>19.1</t>
  </si>
  <si>
    <t>19.2</t>
  </si>
  <si>
    <t>19.3</t>
  </si>
  <si>
    <t>19.4</t>
  </si>
  <si>
    <t>- / + ACTIVOS NO OPERACIONALES L.P.*</t>
  </si>
  <si>
    <t>TOTAL USOS NO OPERACIONALES</t>
  </si>
  <si>
    <t>+ DEPRECIACIÓN ACUMULADA</t>
  </si>
  <si>
    <t>+ PROVISIONES CUENTAS POR COBRAR</t>
  </si>
  <si>
    <t>20.3</t>
  </si>
  <si>
    <t>+ PROVISIONES INVENTARIOS</t>
  </si>
  <si>
    <t>20.4</t>
  </si>
  <si>
    <t>-  DEPRECIACIÓN DEL PERÍODO</t>
  </si>
  <si>
    <t>+ DEPRECIACIONES Y PROVISIONES DE CARTERA E INVENTARIOS*</t>
  </si>
  <si>
    <t>+ AJUSTE POR INFLACIÓN INVENTARIOS</t>
  </si>
  <si>
    <t>+ AJUSTE POR INFLACIÓN ACTIVOS FIJOS</t>
  </si>
  <si>
    <t>-  AJUSTE POR INFLACIÓN DEPRECIACIÓN</t>
  </si>
  <si>
    <t>21.4</t>
  </si>
  <si>
    <t>+ AJUSTE POR INFLACIÓN INVERSIONES PERMANENTES</t>
  </si>
  <si>
    <t>21.5</t>
  </si>
  <si>
    <t>+ AJUSTE POR INFLACIÓN INTANGIBLES</t>
  </si>
  <si>
    <t>21.6</t>
  </si>
  <si>
    <t>-  AJUSTE POR INFLACIÓN AMORTIZACIÓN INTANGIBLES</t>
  </si>
  <si>
    <t>21.7</t>
  </si>
  <si>
    <t>+ AJUSTE POR INFLACIÓN CARGOS DIFERIDOS</t>
  </si>
  <si>
    <t>21.8</t>
  </si>
  <si>
    <t>-  AJUSTE POR INLFACIÓN AMORTIZACIÓN DIFERIDOS</t>
  </si>
  <si>
    <t>21.9</t>
  </si>
  <si>
    <t>+ AJUSTE POR INFLACIÓN OTROS ACTIVOS</t>
  </si>
  <si>
    <t>21.10</t>
  </si>
  <si>
    <t>-  AJUSTE POR INFLACIÓN PASIVOS</t>
  </si>
  <si>
    <t>21.11</t>
  </si>
  <si>
    <t>-  REVALORIZACIÓN PATRIMONIAL</t>
  </si>
  <si>
    <t>21.12</t>
  </si>
  <si>
    <t>-  CORRECCIÓN MONETARIA</t>
  </si>
  <si>
    <t>+ / - AJUSTES POR INFLACIÓN, REVAL. PATR. Y CORR. MON.*</t>
  </si>
  <si>
    <t>CARGOS QUE NO REPRESENTAN CAJA</t>
  </si>
  <si>
    <t>USO (FUENTE) NETO DE CAJA</t>
  </si>
  <si>
    <t>VARIACIÓN CAJA INICIAL</t>
  </si>
  <si>
    <t xml:space="preserve">PRUEBA FLUJO DE CAJA </t>
  </si>
  <si>
    <t>VALORES NEGATIVOS:   EGRESOS  - NECESIDAD DE RECURSOS (USOS)</t>
  </si>
  <si>
    <t>VALORES POSITIVOS:     INGRESOS - RECURSOS OBTENIDOS (FUENTES)</t>
  </si>
  <si>
    <t>* CUENTAS DE RESUMEN</t>
  </si>
  <si>
    <t>CONCILIACIÓN PATRIMONIAL</t>
  </si>
  <si>
    <t>PRIMA EN COLOCACION DE ACCIONES (SUPERÁVIT DE CAPITAL)</t>
  </si>
  <si>
    <t>CAPITALIZACION</t>
  </si>
  <si>
    <t>UTILIDAD EJ.ANTERIORES</t>
  </si>
  <si>
    <t>DISTRIBUCION DE DIVIDENDOS</t>
  </si>
  <si>
    <t>REVALORIZACIÓN PATRIMONIAL PERÍODO</t>
  </si>
  <si>
    <t>CAPITALIZACIÓN REVALORIZACIÓN PATRIMONIAL</t>
  </si>
  <si>
    <t>DIVIDENDOS PAGADOS ACCIONES</t>
  </si>
  <si>
    <t>APORTES DE CAPITAL</t>
  </si>
  <si>
    <t>DIVIDENDOS PAGADOS EFECTIVO</t>
  </si>
  <si>
    <t>SÓLO CORTE</t>
  </si>
  <si>
    <t>V</t>
  </si>
  <si>
    <t>H</t>
  </si>
  <si>
    <t>N/A</t>
  </si>
  <si>
    <t>MÓDULO DE PROYECCIONES</t>
  </si>
  <si>
    <t>ESTE CORTE</t>
  </si>
  <si>
    <t>NO TIENE</t>
  </si>
  <si>
    <t>PONDERACIÓN ESCOGIDA DE CADA AÑO PARA PROYECCIONES</t>
  </si>
  <si>
    <t>PONDERACIÓN</t>
  </si>
  <si>
    <t>PONDERACIÓN DEFINITIVA DE CADA AÑO PARA LAS PROYECCIONES</t>
  </si>
  <si>
    <t>SE VAN A PROYECTAR MÚLTIPLES ESCENARIOS?</t>
  </si>
  <si>
    <t>Si</t>
  </si>
  <si>
    <t>ESCENARIO A APLICAR:</t>
  </si>
  <si>
    <t>BASE</t>
  </si>
  <si>
    <t>PROYECCIÓN OBLIGACIONES FINANCIERAS VIGENTES DE LARGO PLAZO</t>
  </si>
  <si>
    <t>PLAZO PROMEDIO RESTANTE (AÑOS) - INCLUYENDO PERÍODO DE GRACIA (SI TIENE)</t>
  </si>
  <si>
    <t>SI SE MANEJA PERÍODO DE GRACIA - MES DE PAGO 1a. CUOTA</t>
  </si>
  <si>
    <t>SI SE MANEJA PERÍODO DE GRACIA - AÑO DE INICIO AMORTIZACIÓN</t>
  </si>
  <si>
    <t>% AMORTIZACIÓN ANUAL (VER A PARTIR DE LA COLUMNA T)</t>
  </si>
  <si>
    <t>AMORTIZACIÓN (VER A PARTIR DE LA COLUMNA T)</t>
  </si>
  <si>
    <t>SALDO OBLIGACIONES VIGENTES L.P. - PORCIÓN CORRIENTE</t>
  </si>
  <si>
    <t>SALDO OBLIGACIONES VIGENTES L.P.</t>
  </si>
  <si>
    <t>TASA FINANCIACIÓN OBLIGACIONES VIGENTES L.P.</t>
  </si>
  <si>
    <t>CÁLCULO INTERESES OBLIGACIONES VIGENTES L.P.</t>
  </si>
  <si>
    <t>PROYECCIÓN BONOS VIGENTES</t>
  </si>
  <si>
    <t>SALDO BONOS - PORCIÓN CORRIENTE</t>
  </si>
  <si>
    <t>SALDO BONOS L.P.</t>
  </si>
  <si>
    <t>TASA FINANCIACIÓN BONOS PRIMERA SERIE</t>
  </si>
  <si>
    <t>CÁLCULO INTERESES BONOS PRIMERA SERIE</t>
  </si>
  <si>
    <t>PROYECCIÓN NUEVAS OBLIGACIONES FINANCIERAS DE LARGO PLAZO</t>
  </si>
  <si>
    <t>MÉTODO 1: VARIACIÓN DE OBLIGACIONES FINANCIERAS L.P.</t>
  </si>
  <si>
    <t>PLAZO (AÑOS)</t>
  </si>
  <si>
    <t>VARIACIÓN OBLIGACIONES FINANCIERAS L.P.</t>
  </si>
  <si>
    <t>NUEVAS OBLIGACIONES FINANCIERAS L.P. (COLUMNA T)</t>
  </si>
  <si>
    <t>1a. AMORTIZACION DE CADA DESEMBOLSO NUEVO (COLUMNA T)</t>
  </si>
  <si>
    <t>2a. AMORTIZACION DE CADA DESEMBOLSO NUEVO (COLUMNA T)</t>
  </si>
  <si>
    <t>AMORTIZACIÓN NUEVAS OBLIGACIONES FINANCIERAS L.P. (COLUMNA T)</t>
  </si>
  <si>
    <t>SALDO ACUMULADO (COLUMNA T)</t>
  </si>
  <si>
    <t>TASA FINANCIACIÓN NUEVO ENDEUDAMIENTO LP (COLUMNA U)</t>
  </si>
  <si>
    <t>CÁLCULO INTERESES NUEVO ENDEUDAMIENTO LP (COLUMNA U)</t>
  </si>
  <si>
    <t>AMORTIZACIÓN</t>
  </si>
  <si>
    <t>PORCIÓN CORRIENTE</t>
  </si>
  <si>
    <t>CÁLCULO PORCIÓN CORRIENTE Y DE LARGO PLAZO</t>
  </si>
  <si>
    <t>L.P.</t>
  </si>
  <si>
    <t>MÉTODO 2: NUEVOS DESEMBOLSOS PROYECTADOS (HASTA 3)</t>
  </si>
  <si>
    <t>1er. DESEMBOLSO</t>
  </si>
  <si>
    <t>% AMORTIZACIÓN ANUAL</t>
  </si>
  <si>
    <t>MONTO AMORTIZADO</t>
  </si>
  <si>
    <t>SALDO PORCIÓN CORRIENTE</t>
  </si>
  <si>
    <t>SALDO L.P.</t>
  </si>
  <si>
    <t>TASA DE INTERÉS E.A.</t>
  </si>
  <si>
    <t>CÁLCULO INTERESES</t>
  </si>
  <si>
    <t>2o. DESEMBOLSO - MONTO OBLIGACIONES FINANCIERAS L.P. NUEVAS</t>
  </si>
  <si>
    <t xml:space="preserve">2o. DESEMBOLSO  </t>
  </si>
  <si>
    <t>2o. DESEMBOLSO - PLAZO (AÑOS) INCLUYENDO PERÍODO DE GRACIA (SI TIENE)</t>
  </si>
  <si>
    <t>2o. DESEMBOLSO - PERÍODO DE GRACIA (MESES)</t>
  </si>
  <si>
    <t>2o. DESEMBOLSO - MES DE DESEMBOLSO</t>
  </si>
  <si>
    <t>2o. DESEMBOLSO - AÑO DE DESEMBOLSO</t>
  </si>
  <si>
    <t>2o. DESEMBOLSO - DESTINACIÓN DEL CRÉDITO</t>
  </si>
  <si>
    <t>2o. DESEMBOLSO - AMORTIZACIÓN DE CAPITAL</t>
  </si>
  <si>
    <t>3er. DESEMBOLSO - MONTO OBLIGACIONES FINANCIERAS L.P. NUEVAS</t>
  </si>
  <si>
    <t xml:space="preserve">3er. DESEMBOLSO  </t>
  </si>
  <si>
    <t>3er. DESEMBOLSO - PLAZO (AÑOS) INCLUYENDO PERÍODO DE GRACIA (SI TIENE)</t>
  </si>
  <si>
    <t>3er. DESEMBOLSO - PERÍODO DE GRACIA (MESES)</t>
  </si>
  <si>
    <t>3er. DESEMBOLSO - MES DE DESEMBOLSO</t>
  </si>
  <si>
    <t>3er. DESEMBOLSO - AÑO DE DESEMBOLSO</t>
  </si>
  <si>
    <t>3er. DESEMBOLSO - DESTINACIÓN DEL CRÉDITO</t>
  </si>
  <si>
    <t>3er. DESEMBOLSO - AMORTIZACIÓN DE CAPITAL</t>
  </si>
  <si>
    <t>SALDO PORCIÓN CORRIENTE NUEVAS OBLIGACIONES FINANCIERAS L.P. (COL. T)</t>
  </si>
  <si>
    <t>SALDO LARGO PLAZO NUEVAS OBLIGACIONES FINANCIERAS L.P. (COLUMNA T)</t>
  </si>
  <si>
    <t>INTERESES TOTALES NUEVAS OBLIGACIONES FINANCIERAS L.P. (COLUMNA T)</t>
  </si>
  <si>
    <t>PROYECCIÓN TASA DE INTERÉS SOCIOS - CÁLCULO INTERESES</t>
  </si>
  <si>
    <t>TASA FINANCIACIÓN SOCIOS</t>
  </si>
  <si>
    <t>CÁLCULO INTERESES PASIVO CON SOCIOS</t>
  </si>
  <si>
    <t>PROYECCIÓN CRÉDITO NUEVO DAVIVIENDA L.P. (HASTA 3 DESEMBOLSOS)</t>
  </si>
  <si>
    <t>2o. DESEMBOLSO - MONTO DEL CRÉDITO</t>
  </si>
  <si>
    <t>3er. DESEMBOLSO - MONTO DEL CRÉDITO</t>
  </si>
  <si>
    <t>SALDO PORCIÓN CORRIENTE NUEVAS OBLIGACIONES L.P. DAVIVIENDA (COLUMNA T)</t>
  </si>
  <si>
    <t>SALDO LARGO PLAZO NUEVAS OBLIGACIONES L.P. DAVIVIENDA (COLUMNA T)</t>
  </si>
  <si>
    <t>INTERESES TOTALES NUEVAS OBLIGACIONES L.P. DAVIVIENDA (COLUMNA T)</t>
  </si>
  <si>
    <t>PROYECCIÓN ESTADO DE RESULTADOS (A PARTIR DE LA COLUMNA N)</t>
  </si>
  <si>
    <t>TASA FINANCIACIÓN OBLIGACIONES FINANCIERAS CORRRIENTES</t>
  </si>
  <si>
    <t>CÁLCULO INTERESES OBLIGACIONES FINANCIERAS CORRRIENTES</t>
  </si>
  <si>
    <t>PROYECCIÓN BALANCE GENERAL (A PARTIR DE LA COLUMNA N)</t>
  </si>
  <si>
    <t>PROYECCIÓN DIFERENCIA EN CAMBIO</t>
  </si>
  <si>
    <t>DIFERENCIA DE MONEDA EXTRANJERA</t>
  </si>
  <si>
    <t>VARIABLES MACROECONÓMICAS (Fuente: DANE - Banco de la República)</t>
  </si>
  <si>
    <t>TRM (COP POR 1 USD)</t>
  </si>
  <si>
    <t>PROYECCIÓN ESTADO DE RESULTADOS</t>
  </si>
  <si>
    <t>CRECIMIENTO EN VENTAS</t>
  </si>
  <si>
    <t>MARGEN BRUTO</t>
  </si>
  <si>
    <t>GASTOS DE ADMINISTRACIÓN Y VENTAS / VENTAS</t>
  </si>
  <si>
    <t>TASA DE INTERÉS OBLIGACIONES FINANCIERAS CORRIENTES</t>
  </si>
  <si>
    <t>CÁLCULO INTERESES OBLIGACIONES FINANCIERAS CORRIENTES</t>
  </si>
  <si>
    <t>INGRESOS FINANCIEROS / VENTAS</t>
  </si>
  <si>
    <t>UTILIDAD (PÉRDIDA) EN VENTA DE ACTIVOS FIJOS / VENTAS</t>
  </si>
  <si>
    <t>UTILIDAD (PÉRDIDA) EN VENTA DE INVERSIONES / VENTAS</t>
  </si>
  <si>
    <t>INGRESOS (EGRESOS) POR MÉTODO DE PARTICIPACIÓN / VENTAS</t>
  </si>
  <si>
    <t>OTROS INGRESOS / VENTAS</t>
  </si>
  <si>
    <t>OTROS EGRESOS / VENTAS</t>
  </si>
  <si>
    <t>IMPUESTOS / UTILIDAD NETA</t>
  </si>
  <si>
    <t>PROYECCIÓN BALANCE GENERAL</t>
  </si>
  <si>
    <t>CAJA (EN DÍAS DE VENTAS): AL PROYECTAR SE USA PARA GENERAR LA CAJA MÍNIMA REQUERIDA</t>
  </si>
  <si>
    <t>DÍAS CARTERA BRUTA</t>
  </si>
  <si>
    <t>PROVISIONES CUENTAS POR COBRAR  (% SOBRE LAS CUENTAS POR COBRAR)</t>
  </si>
  <si>
    <t>DÍAS INVENTARIO BRUTO</t>
  </si>
  <si>
    <t>PROVISIONES INVENTARIOS  (% SOBRE LOS INVENTARIOS)</t>
  </si>
  <si>
    <t>DÍAS PAGO</t>
  </si>
  <si>
    <t>CAPEX BRUTO ($MM)</t>
  </si>
  <si>
    <t>VARIACIÓN DEPRECIACIÓN ACUMULADA / ACTIVO FIJO BRUTO</t>
  </si>
  <si>
    <t>DEPRECIACIÓN / ACTIVO FIJO BRUTO</t>
  </si>
  <si>
    <t>VARIACIÓN INTANGIBLES</t>
  </si>
  <si>
    <t>AMORTIZACIÓN INTANGIBLES / INTANGIBLES</t>
  </si>
  <si>
    <t>VARIACIÓN DIFERIDOS</t>
  </si>
  <si>
    <t>AMORTIZACIÓN DIFERIDOS / DIFERIDOS</t>
  </si>
  <si>
    <t>IMPUESTOS POR PAGAR / VENTAS (ANUALIZADAS)</t>
  </si>
  <si>
    <t>DIVIDENDOS PAGADOS / UTILIDAD NETA EJERCICIO ANTERIOR</t>
  </si>
  <si>
    <t>VARIACIÓN REVALORIZACIÓN PATRIMONIAL</t>
  </si>
  <si>
    <t>VARIABLES MACROECONÓMICAS</t>
  </si>
  <si>
    <t>FUENTES PARA INFORMACIÓN INICIAL DE PROYECCIÓN: BANCO DE LA REPÚBLICA, DIRECCIÓN EJECUTIVA DE ESTUDIOS ECONÓMICOS, CÁLCULOS DAVIVIENDA</t>
  </si>
  <si>
    <t>VAR. %</t>
  </si>
  <si>
    <t>Indicadores Macroeconomicos (Filiales)</t>
  </si>
  <si>
    <t>MÓDULO DE IMPRESIÓN</t>
  </si>
  <si>
    <t>Costa Rica</t>
  </si>
  <si>
    <t>VARIABLES MACROECONÓMICAS (Fuente: Dpto de Filiales)</t>
  </si>
  <si>
    <t>Lista</t>
  </si>
  <si>
    <t>El Salvador</t>
  </si>
  <si>
    <t>Honduras</t>
  </si>
  <si>
    <t>Panamá</t>
  </si>
  <si>
    <t>Colombia</t>
  </si>
  <si>
    <t>DEUDORES COMERCIALES (NETO) *</t>
  </si>
  <si>
    <t>3.3</t>
  </si>
  <si>
    <t>INVENTARIOS (NETO) * A</t>
  </si>
  <si>
    <t>OTROS ACTIVOS CORRIENTES *</t>
  </si>
  <si>
    <t>6.1</t>
  </si>
  <si>
    <t>6.2</t>
  </si>
  <si>
    <t>INVERSIONES EN FILIALES Y ASOCIADAS - PERMANENTES * A</t>
  </si>
  <si>
    <t>7.3</t>
  </si>
  <si>
    <t>AJUSTE POR INFLACIÓN (ACTIVOS FIJOS - DEPRECIACIONES)</t>
  </si>
  <si>
    <t>ACTIVO FIJO NETO * A</t>
  </si>
  <si>
    <t>8.1</t>
  </si>
  <si>
    <t>8.2</t>
  </si>
  <si>
    <t>AJUSTE POR INFLACIÓN (INTANGIBLES - AMORTIZACIÓN)</t>
  </si>
  <si>
    <t>INTANGIBLES (NETO) * A</t>
  </si>
  <si>
    <t>AJUSTE POR INFLACIÓN (DIFERIDOS - AMORTIZACIÓN)</t>
  </si>
  <si>
    <t>CARGOS DIFERIDOS (NETO) * A</t>
  </si>
  <si>
    <t>OTROS ACTIVOS DE LARGO PLAZO * A</t>
  </si>
  <si>
    <t>RC</t>
  </si>
  <si>
    <t>DEPARTAMENTOS</t>
  </si>
  <si>
    <t>CC</t>
  </si>
  <si>
    <t>CF</t>
  </si>
  <si>
    <t>FILIALES</t>
  </si>
  <si>
    <t>CME</t>
  </si>
  <si>
    <t>CG</t>
  </si>
  <si>
    <t>CR</t>
  </si>
  <si>
    <t>OTROS PASIVOS CORRIENTES *</t>
  </si>
  <si>
    <t>PASIVOS LABORALES L.P. *</t>
  </si>
  <si>
    <t>25.3</t>
  </si>
  <si>
    <t>OTROS PASIVOS L.P. * A</t>
  </si>
  <si>
    <t>OTROS INGRESOS (EGRESOS) NO OPERACIONALES (NETO) *</t>
  </si>
  <si>
    <t>INVERSIÓN EXPANSIVA EN ACT. FIJOS (CAPEX) - CON DEPRECIACIÓN ACUMULADA</t>
  </si>
  <si>
    <t>A CUENTA INCLUYE AJUSTES POR INFLACIÓN</t>
  </si>
  <si>
    <t>BALANCE</t>
  </si>
  <si>
    <t>CARTERA (CON PROVISIONES)</t>
  </si>
  <si>
    <t>INVENTARIO (CON PROVISIONES)</t>
  </si>
  <si>
    <t>ACTIVO FIJO NETO</t>
  </si>
  <si>
    <t>CAPITAL PAGADO Y PRIMA EN COLOCACIÓN DE ACCIONES (SUPERÁVIT DE CAPITAL)</t>
  </si>
  <si>
    <t>REVALORIZACIÓN PATRIMONIAL / PATRIMONIO</t>
  </si>
  <si>
    <t>PATRIMONIO TANGIBLE</t>
  </si>
  <si>
    <t/>
  </si>
  <si>
    <t>PRODUCTIVIDAD</t>
  </si>
  <si>
    <t>VENTAS NETAS</t>
  </si>
  <si>
    <t>CRECIMIENTO EN VENTAS ANUALIZADAS</t>
  </si>
  <si>
    <t>CRECIMIENTO EN VENTAS CON RESPECTO AL CORTE DEL AÑO ANTERIOR (ANUALIZ.)</t>
  </si>
  <si>
    <t>MARGEN OPERACIONAL</t>
  </si>
  <si>
    <t>MARGEN EBITDA</t>
  </si>
  <si>
    <t>CARGA FINANCIERA / UTILIDAD OPERACIONAL</t>
  </si>
  <si>
    <t>MARGEN NETO</t>
  </si>
  <si>
    <t>DÍAS CARTERA SIN PROVISIONES</t>
  </si>
  <si>
    <t>DÍAS CARTERA</t>
  </si>
  <si>
    <t>DÍAS INVENTARIO SIN PROVISIONES</t>
  </si>
  <si>
    <t>DÍAS INVENTARIO</t>
  </si>
  <si>
    <t>CICLO PRODUCTIVO SIN PROVISIONES</t>
  </si>
  <si>
    <t>CICLO PRODUCTIVO</t>
  </si>
  <si>
    <t>DÍAS PROVEEDORES</t>
  </si>
  <si>
    <t xml:space="preserve">LIQUIDEZ Y SOLVENCIA </t>
  </si>
  <si>
    <t>CAPITAL DE TRABAJO</t>
  </si>
  <si>
    <t>CAPITAL DE TRABAJO OPERATIVO</t>
  </si>
  <si>
    <t>RAZÓN CORRIENTE</t>
  </si>
  <si>
    <t>PRUEBA ÁCIDA</t>
  </si>
  <si>
    <t>EBITDA / INTERESES</t>
  </si>
  <si>
    <t>EBITDA / CONSUMO CAPITAL DE TRABAJO</t>
  </si>
  <si>
    <t>FLUJO DE CAJA LIBRE OPERATIVO / SERVICIO DE DEUDA</t>
  </si>
  <si>
    <t xml:space="preserve">FLUJO DE CAJA LIBRE </t>
  </si>
  <si>
    <t>PASIVO FINANCIERO / VENTAS</t>
  </si>
  <si>
    <t>PASIVO FINANCIERO / EBITDA</t>
  </si>
  <si>
    <t>DEUDA / EBITDA</t>
  </si>
  <si>
    <t>DEUDA FINANCIERA NETA / EBITDA</t>
  </si>
  <si>
    <t>LEVERAGE TOTAL CON PATRIMONIO TANGIBLE</t>
  </si>
  <si>
    <t>LEVERAGE FINANCIERO CON PATRIMONIO TANGIBLE</t>
  </si>
  <si>
    <t>PASIVO FINANCIERO / PATRIMONIO</t>
  </si>
  <si>
    <t>ROA C.V</t>
  </si>
  <si>
    <t>ROA S.V</t>
  </si>
  <si>
    <t>ROE C.V</t>
  </si>
  <si>
    <t>ROE S.V</t>
  </si>
  <si>
    <t>- AMORTIZACIÓN OBLIGACIONES FINANCIERAS CORRIENTES</t>
  </si>
  <si>
    <t>- AMORTIZACIÓN OBLIGACIONES FINANCIERAS L.P.</t>
  </si>
  <si>
    <t>- GASTO DE INTERÉS + DIFERENCIA EN CAMBIO SI ES NEGATIVA NETA</t>
  </si>
  <si>
    <t>+ / - INGRESOS FINANCIEROS</t>
  </si>
  <si>
    <t>+ / - UTILIDAD (PÉRDIDA) EN VENTA DE ACTIVOS FIJOS</t>
  </si>
  <si>
    <t>+ / - UTILIDAD (PÉRDIDA) EN VENTA DE INVERSIONES</t>
  </si>
  <si>
    <t>+ / - INGRESOS  (EGRESOS) POR MÉTODO DE PARTICIPACIÓN</t>
  </si>
  <si>
    <t>Monedas</t>
  </si>
  <si>
    <t>COP Millones</t>
  </si>
  <si>
    <t>USD Miles</t>
  </si>
  <si>
    <t xml:space="preserve">CIFRAS EN </t>
  </si>
  <si>
    <t>V (%)</t>
  </si>
  <si>
    <t>V(%)</t>
  </si>
  <si>
    <t>H(%)</t>
  </si>
  <si>
    <t>Ventas Netas</t>
  </si>
  <si>
    <t>(-) Costo de Ventas</t>
  </si>
  <si>
    <t>Utilidad Bruta</t>
  </si>
  <si>
    <t>(-) Gastos Operacionales</t>
  </si>
  <si>
    <t>Utilidad Operacional</t>
  </si>
  <si>
    <t>Depreciaciones y Amortizaciones</t>
  </si>
  <si>
    <t>Ingresos No Operacionales</t>
  </si>
  <si>
    <t>(-) Egresos No Operacionales</t>
  </si>
  <si>
    <t>(-) Gastos Financieros</t>
  </si>
  <si>
    <t>Utilidad Antes de Impuestos</t>
  </si>
  <si>
    <t>(-) Impuestos</t>
  </si>
  <si>
    <t>Utilidad Neta</t>
  </si>
  <si>
    <t>PASIVOS Y ACTIVOS NO OPER</t>
  </si>
  <si>
    <t>Variación Capital de Trabajo</t>
  </si>
  <si>
    <t>CAPEX</t>
  </si>
  <si>
    <t>Inversiones Permanentes</t>
  </si>
  <si>
    <t>Flujo de Caja Libre</t>
  </si>
  <si>
    <t>Egresos No Operacionales</t>
  </si>
  <si>
    <t>Variación Act. y Pas. No Operativos</t>
  </si>
  <si>
    <t>Capitalizaciones</t>
  </si>
  <si>
    <t>Flujo de Caja Antes de Deuda Financiera</t>
  </si>
  <si>
    <t>Gastos Financieros</t>
  </si>
  <si>
    <t>Amortización Obligaciones Financieras C.P.</t>
  </si>
  <si>
    <t>Amortización Obligaciones Financieras L.P.</t>
  </si>
  <si>
    <t>Nuevas Obligaciones Financieras C.P.</t>
  </si>
  <si>
    <t>Nuevas Obligaciones Financieras L.P.</t>
  </si>
  <si>
    <t>Flujo Resultante</t>
  </si>
  <si>
    <t>Caja Inicial</t>
  </si>
  <si>
    <t>Caja Final</t>
  </si>
  <si>
    <t>SALDO OBLIGACIONES FINANCIERAS C.P.</t>
  </si>
  <si>
    <t>SALDO OBLIGACIONES FINANCIERAS L.P.</t>
  </si>
  <si>
    <t>SALDO TOTAL OBLIGACIONES FINANCIERAS</t>
  </si>
  <si>
    <t>FCL+Caja / Servicio de la Deuda</t>
  </si>
  <si>
    <t>No</t>
  </si>
  <si>
    <t>Deuda / EBITDA</t>
  </si>
  <si>
    <t>Endeudamiento (Sin Val.)</t>
  </si>
  <si>
    <t>Rotación de Cartera</t>
  </si>
  <si>
    <t>Rotación de Inventario</t>
  </si>
  <si>
    <t>Rotación de Proveedores</t>
  </si>
  <si>
    <t>VALIDACIONES</t>
  </si>
  <si>
    <t>DETERMINACIÓN DE NIT, NÚMERO DE EMPRESA Y MONEDA</t>
  </si>
  <si>
    <t>VISIBLE</t>
  </si>
  <si>
    <t>NO IMPRIMIR</t>
  </si>
  <si>
    <t>TODO</t>
  </si>
  <si>
    <t>NO</t>
  </si>
  <si>
    <t>IMPRIMIR</t>
  </si>
  <si>
    <t>OCULTA</t>
  </si>
  <si>
    <t>BALANCE / P&amp;G</t>
  </si>
  <si>
    <t>SENSIBILIZADO</t>
  </si>
  <si>
    <t>SI</t>
  </si>
  <si>
    <t>FILAS Y CELDAS CAJA Y VENTAS - MACRO click EN cmdAceptar (FORMULARIO frmImpBal)</t>
  </si>
  <si>
    <t>CELDAS DE COMPARACIÓN Y FILAS A OCULTAR O MOSTRAR - MACRO MOSTRAR_OCULTAR_EFICIENCIA_SIN_PROVISIONES</t>
  </si>
  <si>
    <t>AMBOS</t>
  </si>
  <si>
    <t>DATOS FINANCIEROS</t>
  </si>
  <si>
    <t>SENSIBILIZADO 2</t>
  </si>
  <si>
    <t>FLUJO DE CAJA</t>
  </si>
  <si>
    <t>AÑO INICIO IMPRESIÓN</t>
  </si>
  <si>
    <t>CELDAS PARA NOMBRES Y PARA DESOCUPAR - MACRO CREAR_BALANCES</t>
  </si>
  <si>
    <t>IMPRESIÓN DE ESCENARIOS - MACRO IMPR_PRES</t>
  </si>
  <si>
    <t>ÁREAS DE IMPRESIÓN - MACRO click EN cmdAceptar (FORMULARIO frmImpBal)</t>
  </si>
  <si>
    <t>AÑO FIN IMPRESIÓN</t>
  </si>
  <si>
    <t>No. DE SENSIBILIZACIONES A IMPRIMIR</t>
  </si>
  <si>
    <t>CAJA MÍNIMA CALCULADA</t>
  </si>
  <si>
    <t>NUEVOS DESEMBOLSOS DE LARGO PLAZO:DESTINOS Y PORCENTAJES DE AMORTIZACIÓN SEGÚN MES DE DESEMBOLSO</t>
  </si>
  <si>
    <t>FILAS A ABRIR - MACRO ABRIR_DESEMBOLSOS</t>
  </si>
  <si>
    <t>COLUMNAS - MACRO click EN cmdAceptar (FORMULARIO frmImpBal),</t>
  </si>
  <si>
    <t>COMPRA DE ACTIVOS</t>
  </si>
  <si>
    <t>AUMENTA ACTIVO FIJO BRUTO</t>
  </si>
  <si>
    <t>MACRO APLICAR_PROYECCION</t>
  </si>
  <si>
    <t>AÑOS PROYECCIÓN - MACRO APLICAR_PROYECCION, MACRO click EN cmdAceptar (FORMULARIO frmImpBal)</t>
  </si>
  <si>
    <t>CAPITALIZACION RECURSOS NUEVOS</t>
  </si>
  <si>
    <t>AUMENTA CAPITAL PAGADO</t>
  </si>
  <si>
    <t>DESEMBOLSOS NO DAVIVIENDA</t>
  </si>
  <si>
    <t>SUSTITUCIÓN PASIVOS L.P.</t>
  </si>
  <si>
    <t>AMORTIZA PASIVO L.P. VIGENTE</t>
  </si>
  <si>
    <t>SUSTITUCIÓN BONOS</t>
  </si>
  <si>
    <t>AMORTIZA BONOS VIGENTES</t>
  </si>
  <si>
    <t>RANGO AÑOS IMPRESIÓN, TOTAL FILAS DE LISTA Y DIRECCIONES DE VALORES INICIALES - LISTAS DE FORMULARIO cboDesde Y cboHasta (Initialize EN FORMULARIO frmImpBal)</t>
  </si>
  <si>
    <t>NUEVAS OBLIGACIONES FINANCIERAS - OTRAS ENTIDADES - LARGO PLAZO</t>
  </si>
  <si>
    <t>TOTALES</t>
  </si>
  <si>
    <t>FILAS A OCULTAR O MOSTRAR - MACRO MOSTRAR_OCULTAR_OBLIGS_LP_BANCAFE</t>
  </si>
  <si>
    <t>AÑO INICIO AMORTIZACIÓN, CUOTAS AMORTIZADAS 1er. AÑO Y CUOTAS TOTALES - 1er. DESEMBOLSO</t>
  </si>
  <si>
    <t>DESEMBOLSOS DAVIVIENDA</t>
  </si>
  <si>
    <t>ÁREA DE IMPRESIÓN - MACRO IMPR_RES_PROY</t>
  </si>
  <si>
    <t>DESTINO Y CÁLCULO DE INTERESES LIQUIDADOS PARA 1er. AÑO - 1er. DESEMBOLSO</t>
  </si>
  <si>
    <t>AÑO INICIO AMORTIZACIÓN, CUOTAS AMORTIZADAS 1er. AÑO Y CUOTAS TOTALES - 2o.. DESEMBOLSO</t>
  </si>
  <si>
    <t>DESTINO Y CÁLCULO DE INTERESES LIQUIDADOS PARA 1er. AÑO - 2o. DESEMBOLSO</t>
  </si>
  <si>
    <t>AÑO INICIO AMORTIZACIÓN, CUOTAS AMORTIZADAS 3er. AÑO Y CUOTAS TOTALES - 3er. DESEMBOLSO</t>
  </si>
  <si>
    <t>CONTADORES - MACRO click EN cmdAceptar (FORMULARIO frmImpBal)</t>
  </si>
  <si>
    <t>DESTINO Y CÁLCULO DE INTERESES LIQUIDADOS PARA 1er. AÑO - 3er. DESEMBOLSO</t>
  </si>
  <si>
    <t>CELDAS PARA FÓRMULAS Y COLS. PARA REEMPLAZAR - MACRO APLICAR_BENCH_GRUPO</t>
  </si>
  <si>
    <t>NUEVAS OBLIGACIONES FINANCIERAS - DAVIVIENDA - LARGO PLAZO</t>
  </si>
  <si>
    <t>LISTA PLAZO OBLIGACIONES FINANCIERAS</t>
  </si>
  <si>
    <t>DISTRIBUCIÓN DE IMPRESIÓN - MACRO IMPR_RES_PROY</t>
  </si>
  <si>
    <t>VALIDACIONES Y EQUIVALENCIAS DE MESES, PARÁMETROS DE AMORTIZACIÓN SEGÚN MES DE DESEMBOLSO</t>
  </si>
  <si>
    <t>AÑOS A PROYECTAR - MACRO APLICAR_PROYECCION</t>
  </si>
  <si>
    <t>ENERO</t>
  </si>
  <si>
    <t>MENSUAL</t>
  </si>
  <si>
    <t>FEBRERO</t>
  </si>
  <si>
    <t>TRIMESTRAL</t>
  </si>
  <si>
    <t>MARZO</t>
  </si>
  <si>
    <t>SEMESTRAL</t>
  </si>
  <si>
    <t>ABRIL</t>
  </si>
  <si>
    <t>ANUAL</t>
  </si>
  <si>
    <t>MAYO</t>
  </si>
  <si>
    <t>VALIDACIÓN AÑOS PARA PLAZO - NUEVAS OBLIGACIONES DE LARGO PLAZO</t>
  </si>
  <si>
    <t>JUNIO</t>
  </si>
  <si>
    <t>CORTES</t>
  </si>
  <si>
    <t>JULIO</t>
  </si>
  <si>
    <t>AGOSTO</t>
  </si>
  <si>
    <t>MÚLTIPLOS INFERIORES PARA PERÍODOS DE GRACIA</t>
  </si>
  <si>
    <t>SEPTIEMBRE</t>
  </si>
  <si>
    <t>OCTUBRE</t>
  </si>
  <si>
    <t>NOVIEMBRE</t>
  </si>
  <si>
    <t>DICIEMBRE</t>
  </si>
  <si>
    <t>RESUMEN PARA EMPRESAS</t>
  </si>
  <si>
    <t>P&amp;G</t>
  </si>
  <si>
    <t>Ventas</t>
  </si>
  <si>
    <t>Costos y Gastos</t>
  </si>
  <si>
    <t>DESCRIPCIÓN</t>
  </si>
  <si>
    <t>Ingresos</t>
  </si>
  <si>
    <t>Evolución en Ingresos</t>
  </si>
  <si>
    <t>Inventario</t>
  </si>
  <si>
    <t>Cuentas por cobrar</t>
  </si>
  <si>
    <t>Otros ingresos y egresos</t>
  </si>
  <si>
    <t>Diferencia en cambio</t>
  </si>
  <si>
    <t>Variación KW</t>
  </si>
  <si>
    <t>Total activo corriente</t>
  </si>
  <si>
    <t>Propiedad planta y Equipo</t>
  </si>
  <si>
    <t>%</t>
  </si>
  <si>
    <t>Diferidos e Intangibles</t>
  </si>
  <si>
    <t>INDICADORES</t>
  </si>
  <si>
    <t>Variación Inversiones Permanentes</t>
  </si>
  <si>
    <t>Otros activos L.P.</t>
  </si>
  <si>
    <t>Flujo de Caja Libre (FCL)</t>
  </si>
  <si>
    <t>Valorizaciones</t>
  </si>
  <si>
    <t>Rentabilidad</t>
  </si>
  <si>
    <t>Variación Otros Act y Pas No Ope.</t>
  </si>
  <si>
    <t>Total activo no corriente</t>
  </si>
  <si>
    <t>Otros Ingresos - (Egresos) Neto</t>
  </si>
  <si>
    <t>Margen Ebitda</t>
  </si>
  <si>
    <t>Flujo Disponible Servicio de la Deuda (FDSD)</t>
  </si>
  <si>
    <t>Obligaciones Financieras</t>
  </si>
  <si>
    <t>ROE (Con.Val.)</t>
  </si>
  <si>
    <t>Amortización de Obligaciones CP y LP</t>
  </si>
  <si>
    <t>Actividad</t>
  </si>
  <si>
    <t>Nuevos Desembolso de Obligaciones CP</t>
  </si>
  <si>
    <t>Cuentas por pagar</t>
  </si>
  <si>
    <t>Evolución en Ventas</t>
  </si>
  <si>
    <t>Nuevos Desembolso de Obligaciones LP</t>
  </si>
  <si>
    <t>Otros Pasivos</t>
  </si>
  <si>
    <t>Rotacion Cartera</t>
  </si>
  <si>
    <t>Flujo de Caja Accionistas</t>
  </si>
  <si>
    <t xml:space="preserve">MODELO DE ORIGINACIÓN </t>
  </si>
  <si>
    <t>Total pasivos corrientes</t>
  </si>
  <si>
    <t>Rotacion Inventario</t>
  </si>
  <si>
    <t>Obligaciones Financieras L.P</t>
  </si>
  <si>
    <t>Ciclo Operativo</t>
  </si>
  <si>
    <t>Otros Pasivos L.P.</t>
  </si>
  <si>
    <t>Rotación Proveedores</t>
  </si>
  <si>
    <t>Flujo de Caja Neto</t>
  </si>
  <si>
    <t>Score</t>
  </si>
  <si>
    <t>Total pasivos no corrientes</t>
  </si>
  <si>
    <t>Ciclo Neto Operativo</t>
  </si>
  <si>
    <t>Rating</t>
  </si>
  <si>
    <t>Endeudamiento</t>
  </si>
  <si>
    <t>Endeudamiento Total (Sin. Val.)</t>
  </si>
  <si>
    <t>Saldo Obligaciones Financieras</t>
  </si>
  <si>
    <t>Sector comercio</t>
  </si>
  <si>
    <t>Capital Pagado</t>
  </si>
  <si>
    <t>Endeudamiento Financiero (Sin Val.)</t>
  </si>
  <si>
    <t>Óptimo</t>
  </si>
  <si>
    <t>Bueno</t>
  </si>
  <si>
    <t>Regular</t>
  </si>
  <si>
    <t>Débil</t>
  </si>
  <si>
    <t>Superávit de Capital</t>
  </si>
  <si>
    <t>EBITDA / Gastos Financieros</t>
  </si>
  <si>
    <t>Socios y la Empresa     -    45%</t>
  </si>
  <si>
    <t>P</t>
  </si>
  <si>
    <t>Depurado</t>
  </si>
  <si>
    <t>Reservas</t>
  </si>
  <si>
    <t>FCL / Servicio de la Deuda</t>
  </si>
  <si>
    <t>Concepto de los socios</t>
  </si>
  <si>
    <t xml:space="preserve">Activos </t>
  </si>
  <si>
    <t xml:space="preserve">Calificacion </t>
  </si>
  <si>
    <t>Pasivos</t>
  </si>
  <si>
    <t>Otros Patrimonio</t>
  </si>
  <si>
    <t>Ebitda-Capex Inversión-Variación KW-TX</t>
  </si>
  <si>
    <t>Concepto de Junta Directiva</t>
  </si>
  <si>
    <t>Activo CP</t>
  </si>
  <si>
    <t>Viabilidad y Solvencia</t>
  </si>
  <si>
    <t>Serv. deuda+ (Saldo deuda CP -Cartera- Inventarios)</t>
  </si>
  <si>
    <t>Continuidad del negocio</t>
  </si>
  <si>
    <t>Ebitda / Intereses</t>
  </si>
  <si>
    <t>FCL depurado / Servicio de la Deuda Depurado</t>
  </si>
  <si>
    <t>Nivel de regulacion de la industria</t>
  </si>
  <si>
    <t>Sector industrial</t>
  </si>
  <si>
    <t>Riesgo sector</t>
  </si>
  <si>
    <t>Sector servicios</t>
  </si>
  <si>
    <t>Bancos</t>
  </si>
  <si>
    <t>Inversiones de CP</t>
  </si>
  <si>
    <t>Costos por pagar</t>
  </si>
  <si>
    <t>RESUMEN LÍMITES DE CRÉDITO
Cifras en $ MM o USD Miles</t>
  </si>
  <si>
    <t>Análisis Financiero     -     45%</t>
  </si>
  <si>
    <t>Fiscales</t>
  </si>
  <si>
    <t>Cartera</t>
  </si>
  <si>
    <t>Laborales</t>
  </si>
  <si>
    <t>INDICADOR</t>
  </si>
  <si>
    <t>Validador fuerte</t>
  </si>
  <si>
    <t>Validador Bueno</t>
  </si>
  <si>
    <t>Validador Regular</t>
  </si>
  <si>
    <t>Validador débil</t>
  </si>
  <si>
    <t xml:space="preserve">Otras cuentas por cobrar </t>
  </si>
  <si>
    <t>Anticipos</t>
  </si>
  <si>
    <t>FCL / servicio de deuda</t>
  </si>
  <si>
    <t>TIPO DE LÍMITE</t>
  </si>
  <si>
    <t>PROPUESTOS</t>
  </si>
  <si>
    <t>SOLICITADOS</t>
  </si>
  <si>
    <t>ANTERIORES</t>
  </si>
  <si>
    <t>DEUDA ACTUAL</t>
  </si>
  <si>
    <t>FCL Depurado / servicio de deuda Depurado</t>
  </si>
  <si>
    <t>Calificación MARC</t>
  </si>
  <si>
    <t>CORTO PLAZO</t>
  </si>
  <si>
    <t>Se alimentará del Rib según instrucciones de reporte que se enviarán</t>
  </si>
  <si>
    <t>Tendencia (FCL Depurado)</t>
  </si>
  <si>
    <t>suma</t>
  </si>
  <si>
    <t>S/GIRO - CANJE - REMESAS</t>
  </si>
  <si>
    <t>Check</t>
  </si>
  <si>
    <t>DERIVADOS - CONTRAPARTE</t>
  </si>
  <si>
    <t>Activo LP</t>
  </si>
  <si>
    <t>SUMA</t>
  </si>
  <si>
    <t>OPERACIONES DE L.P.  Xxx AÑOS</t>
  </si>
  <si>
    <t>Deuda Financiera / Ebitda</t>
  </si>
  <si>
    <t xml:space="preserve">PREVIAMENTE APROBADAS </t>
  </si>
  <si>
    <t>Tendencia (Deuda financiera / Ebitda)</t>
  </si>
  <si>
    <t>Inmuebles</t>
  </si>
  <si>
    <t>RIESGO TOTAL</t>
  </si>
  <si>
    <t>Pasivo Exigible</t>
  </si>
  <si>
    <t>GARANTÍA</t>
  </si>
  <si>
    <t>Tendencia (Margen EBITDA)</t>
  </si>
  <si>
    <t>Equipo de oficina</t>
  </si>
  <si>
    <t>Activo depurado</t>
  </si>
  <si>
    <t>Dinamica Ingresos</t>
  </si>
  <si>
    <t>Otros PPYE</t>
  </si>
  <si>
    <t>total</t>
  </si>
  <si>
    <t>Tendencia (Dinamica Ingresos)</t>
  </si>
  <si>
    <t>Intangibles (Leasing)</t>
  </si>
  <si>
    <t>Pasivo Exigible / Activo Depurado</t>
  </si>
  <si>
    <t>Intangibles (Marcas y otros)</t>
  </si>
  <si>
    <t>Tendencia (Activo depurado)</t>
  </si>
  <si>
    <t>Inversiones</t>
  </si>
  <si>
    <t>CÁLCULO DE FCL: Depurado / servicio de deuda</t>
  </si>
  <si>
    <t>Campo editable</t>
  </si>
  <si>
    <t>Calf</t>
  </si>
  <si>
    <t>Activos Diferidos</t>
  </si>
  <si>
    <t>(M/L)</t>
  </si>
  <si>
    <t>(M/E)</t>
  </si>
  <si>
    <t>Tendencia (Margene Neto)</t>
  </si>
  <si>
    <t>Numerador</t>
  </si>
  <si>
    <t>Prestamos a socios</t>
  </si>
  <si>
    <t>Tendencia (Rotacion de cartera)</t>
  </si>
  <si>
    <t>Capex Mant. e Inver.</t>
  </si>
  <si>
    <t>Endeudamiento Financiero  - 10%</t>
  </si>
  <si>
    <t>Total numerador</t>
  </si>
  <si>
    <t>N.A</t>
  </si>
  <si>
    <t>Endeudamiento Sistema Financiero</t>
  </si>
  <si>
    <t>FLC</t>
  </si>
  <si>
    <t>Tendencia endeudamiento</t>
  </si>
  <si>
    <t>Reporte negativo en centrales de riesgo</t>
  </si>
  <si>
    <t>Denominador</t>
  </si>
  <si>
    <t>Servicio de deuda</t>
  </si>
  <si>
    <t>Saldo deuda CP</t>
  </si>
  <si>
    <t>Saldo deuda LP</t>
  </si>
  <si>
    <t>x</t>
  </si>
  <si>
    <t>Cartera+ Inventarios</t>
  </si>
  <si>
    <t>Condicional</t>
  </si>
  <si>
    <t>Indicadores    1: Optimo, 2: Bueno, 3: Regular, 4: Debil</t>
  </si>
  <si>
    <t>Total denominador</t>
  </si>
  <si>
    <t>Deuda Neta / EBITDA</t>
  </si>
  <si>
    <t>Tendencias     1:  Positiva, 2: Estable , 3: Negativa</t>
  </si>
  <si>
    <t xml:space="preserve"> FCL: Depurado / servicio de deuda</t>
  </si>
  <si>
    <t>Part. (%)</t>
  </si>
  <si>
    <t xml:space="preserve">Principal </t>
  </si>
  <si>
    <t>Suplente</t>
  </si>
  <si>
    <t>· Nit</t>
  </si>
  <si>
    <t>· Nombre</t>
  </si>
  <si>
    <t>· Segmento al que pertenece la empresa (Emp/Corp/Pyme)</t>
  </si>
  <si>
    <t>Corp</t>
  </si>
  <si>
    <t>· Código CIIU</t>
  </si>
  <si>
    <t>· Cifín</t>
  </si>
  <si>
    <t>RESUMEN PARA EMPRESAS DE INFRAESTRUCTURA</t>
  </si>
  <si>
    <t>FLUJO DE CAJA PARA PROYECTO</t>
  </si>
  <si>
    <t>N.D</t>
  </si>
  <si>
    <t>Vinculados económicos (No com.)</t>
  </si>
  <si>
    <t>Retención sobre contratos</t>
  </si>
  <si>
    <t>Capex</t>
  </si>
  <si>
    <t>Otras cuentas por cobrar</t>
  </si>
  <si>
    <t>Anticipos y avances de Imp.</t>
  </si>
  <si>
    <t>Aportes Equity</t>
  </si>
  <si>
    <t>Rotación de Inventarios</t>
  </si>
  <si>
    <t>Deuda Financiera / (Equity + Deuda)</t>
  </si>
  <si>
    <t>Anticipos y avances recibidos</t>
  </si>
  <si>
    <t>Equity / (Equity + Deuda)</t>
  </si>
  <si>
    <t>FCLO / Servicio de la Deuda</t>
  </si>
  <si>
    <t>VALIDA Caja Final</t>
  </si>
  <si>
    <t>Vinculados económicos</t>
  </si>
  <si>
    <t>Anticipos y avances recibidos LP</t>
  </si>
  <si>
    <t>Otros Pasivos L.P. Varios</t>
  </si>
  <si>
    <t>RESUMEN CIFRAS PARA EMPRESAS MENORES O BENCHMAK</t>
  </si>
  <si>
    <t xml:space="preserve">RESULTADOS FINANCIEROS </t>
  </si>
  <si>
    <t>Empresa Benchmark</t>
  </si>
  <si>
    <t>(Cifras en $ MM)</t>
  </si>
  <si>
    <t>Caja e Inversiones temp.</t>
  </si>
  <si>
    <t>Cuentas por cobrar CP</t>
  </si>
  <si>
    <t>Otros activos CP</t>
  </si>
  <si>
    <t>PPE</t>
  </si>
  <si>
    <t>Inversiones permanentes</t>
  </si>
  <si>
    <t>Intagibles y Diferidos</t>
  </si>
  <si>
    <t>Otros activos LP</t>
  </si>
  <si>
    <t xml:space="preserve">Activo </t>
  </si>
  <si>
    <t>Obligaciones Financieras CP</t>
  </si>
  <si>
    <t>Cuentas por pagar CP</t>
  </si>
  <si>
    <t>EXPOSICIÓN TOTAL GRUPO</t>
  </si>
  <si>
    <t>Otros pasivos CP</t>
  </si>
  <si>
    <t>Obligaciones Financieras LP</t>
  </si>
  <si>
    <t>Otros Pasivos LP</t>
  </si>
  <si>
    <t>Pasivo</t>
  </si>
  <si>
    <t>Superavit de Capital</t>
  </si>
  <si>
    <t xml:space="preserve">Patrimonio </t>
  </si>
  <si>
    <t>Crecimiento Ventas</t>
  </si>
  <si>
    <t>ROE (Con Val.)</t>
  </si>
  <si>
    <t>Lista Empresas</t>
  </si>
  <si>
    <t xml:space="preserve">Deuda Financiera / Ebitda: </t>
  </si>
  <si>
    <t xml:space="preserve">EBITDA / Servicio de la Deuda      &gt; </t>
  </si>
  <si>
    <t>Patrimonio  &gt;</t>
  </si>
  <si>
    <t>FCL/Servicio deuda</t>
  </si>
  <si>
    <t xml:space="preserve">Estructura de capital de inversión XX% deuda - XX% Equity (Pari Passu); </t>
  </si>
  <si>
    <t>Endeudamiento de la empresa no puede superar el XX%</t>
  </si>
  <si>
    <t>Equity Call de los socios en caso de deficit de servicio de la deuda</t>
  </si>
  <si>
    <t>DECLARACIÓN DE RENTA</t>
  </si>
  <si>
    <t>IMPRESIÓN CODEUDORES DECLARACIÓN DE RENTA</t>
  </si>
  <si>
    <t>6.</t>
  </si>
  <si>
    <t xml:space="preserve">POLÍTICAS Y ASPECTOS LEGALES DE CRÉDITO: </t>
  </si>
  <si>
    <t>7.</t>
  </si>
  <si>
    <t>REPORTE ASOCIACIÓN BANCARIA (CIFIN)</t>
  </si>
  <si>
    <t>Reportado por las Siguientes Entidades :</t>
  </si>
  <si>
    <t>FECHA REPORTE:</t>
  </si>
  <si>
    <t>Calificación Comercial</t>
  </si>
  <si>
    <t>Vr. Total Comercial</t>
  </si>
  <si>
    <t>Participacion Comercial</t>
  </si>
  <si>
    <t>Calificación Arrastre Comercial</t>
  </si>
  <si>
    <t>Participación Arrastre Comercial</t>
  </si>
  <si>
    <t>Tipo de Garantia</t>
  </si>
  <si>
    <t>SUBTOTAL</t>
  </si>
  <si>
    <t>ANEXO - DECLARACIÓN DE RENTA CODEUDORES</t>
  </si>
  <si>
    <t>Codeudor 1</t>
  </si>
  <si>
    <t>Codeudor 2</t>
  </si>
  <si>
    <t>Acciones y Aportes</t>
  </si>
  <si>
    <t>Activos Fijos</t>
  </si>
  <si>
    <t>Otros Activos</t>
  </si>
  <si>
    <t>Total Patrimonio Bruto</t>
  </si>
  <si>
    <t>Total Patrimonio Líquido</t>
  </si>
  <si>
    <t>Total Ingresos Netos</t>
  </si>
  <si>
    <t>Renta Líquida Gravable</t>
  </si>
  <si>
    <t>Impuesto a Cargo</t>
  </si>
  <si>
    <t>Codeudor 3</t>
  </si>
  <si>
    <t>Codeudor 4</t>
  </si>
  <si>
    <t>Codeudor 5</t>
  </si>
  <si>
    <t>Codeudor 6</t>
  </si>
  <si>
    <t>Codeudor 7</t>
  </si>
  <si>
    <t>Codeudor 8</t>
  </si>
  <si>
    <t>Sin</t>
  </si>
  <si>
    <t>AGD Almacafé</t>
  </si>
  <si>
    <t>Hipoteca</t>
  </si>
  <si>
    <t>AGD Almagrario</t>
  </si>
  <si>
    <t>Fiducia</t>
  </si>
  <si>
    <t>AGD Almaviva</t>
  </si>
  <si>
    <t>FNG</t>
  </si>
  <si>
    <t>AGD Alpopular</t>
  </si>
  <si>
    <t>Idónea</t>
  </si>
  <si>
    <t>Bco AV Villas</t>
  </si>
  <si>
    <t>No idónea</t>
  </si>
  <si>
    <t>Bco Banagrario</t>
  </si>
  <si>
    <t>Leasing</t>
  </si>
  <si>
    <t>Bco Bancamía</t>
  </si>
  <si>
    <t>Prenda</t>
  </si>
  <si>
    <t xml:space="preserve">Bco Bancolombia </t>
  </si>
  <si>
    <t>Otra</t>
  </si>
  <si>
    <t>Bco Bancoomeva</t>
  </si>
  <si>
    <t>Bco BBVA Colombia</t>
  </si>
  <si>
    <t>Bco BCSC</t>
  </si>
  <si>
    <t>Bco Citibank</t>
  </si>
  <si>
    <t>Comercial</t>
  </si>
  <si>
    <t>Bco Colpatria</t>
  </si>
  <si>
    <t>Consumo</t>
  </si>
  <si>
    <t>Bco CorpBanca</t>
  </si>
  <si>
    <t>Hipotecaria</t>
  </si>
  <si>
    <t>Bco Davivienda</t>
  </si>
  <si>
    <t>Bco de Bogotá</t>
  </si>
  <si>
    <t>A</t>
  </si>
  <si>
    <t>Bco de Occidente</t>
  </si>
  <si>
    <t>B</t>
  </si>
  <si>
    <t>Bco Falabella</t>
  </si>
  <si>
    <t>C</t>
  </si>
  <si>
    <t>Bco Finandina</t>
  </si>
  <si>
    <t>D</t>
  </si>
  <si>
    <t>Bco GNB Sudameris</t>
  </si>
  <si>
    <t>E</t>
  </si>
  <si>
    <t>Bco Helm Bank</t>
  </si>
  <si>
    <t>K</t>
  </si>
  <si>
    <t>Bco HSBC Colombia</t>
  </si>
  <si>
    <t>Bco Pichincha</t>
  </si>
  <si>
    <t>Bco Popular</t>
  </si>
  <si>
    <t>Bco ProCredit Colombia</t>
  </si>
  <si>
    <t>Bco Scotiabank</t>
  </si>
  <si>
    <t>Bco WWB</t>
  </si>
  <si>
    <t>CFC CIT Capita Colombia</t>
  </si>
  <si>
    <t>CFC Coltefinanciera</t>
  </si>
  <si>
    <t>CFC Confinanciera</t>
  </si>
  <si>
    <t>CFC Credifamilia</t>
  </si>
  <si>
    <t>CFC Dann Regional</t>
  </si>
  <si>
    <t>CFC Factoring Bancolombia</t>
  </si>
  <si>
    <t>CFC Finamérica</t>
  </si>
  <si>
    <t>CFC Financiera Cambiamos</t>
  </si>
  <si>
    <t>CFC Financiera Internacional</t>
  </si>
  <si>
    <t>CFC Financiera Pagos Internacionales</t>
  </si>
  <si>
    <t>CFC Giros y Finanzas</t>
  </si>
  <si>
    <t>CFC GMAC Colombia</t>
  </si>
  <si>
    <t>CFC La Polar</t>
  </si>
  <si>
    <t>CFC Leasing Bancoldex</t>
  </si>
  <si>
    <t>CFC Leasing Bancolombia</t>
  </si>
  <si>
    <t>CFC Leasing Bolívar</t>
  </si>
  <si>
    <t>CFC Leasing Colpatria</t>
  </si>
  <si>
    <t>CFC Leasing Corficolombiana</t>
  </si>
  <si>
    <t>CFC Macrofinanciera</t>
  </si>
  <si>
    <t>CFC Mi Plata</t>
  </si>
  <si>
    <t>CFC Prisa - En Liquidación Voluntaria</t>
  </si>
  <si>
    <t>CFC Serfinansa</t>
  </si>
  <si>
    <t>CFC Tuya</t>
  </si>
  <si>
    <t>CFI Banca de Inversión Bancolombia</t>
  </si>
  <si>
    <t>CFI BNP Paribas Colombia</t>
  </si>
  <si>
    <t>CFI Corficolombiana</t>
  </si>
  <si>
    <t>CFI JP Morgan</t>
  </si>
  <si>
    <t>COO Confiar Cooperativa</t>
  </si>
  <si>
    <t>COO Coofinep</t>
  </si>
  <si>
    <t>COO Coop. Fin. Antioquia</t>
  </si>
  <si>
    <t>COO Coop. Fin. Kennedy</t>
  </si>
  <si>
    <t>COO Coopcentral</t>
  </si>
  <si>
    <t>COO Cotrafa Cooperativa</t>
  </si>
  <si>
    <t>COO Juriscoop</t>
  </si>
  <si>
    <t>CSG ACE Seguros</t>
  </si>
  <si>
    <t>CSG BBVA Seguros</t>
  </si>
  <si>
    <t>CSG Cardif Colombia</t>
  </si>
  <si>
    <t>CSG Chartis Colombia</t>
  </si>
  <si>
    <t>CSG Chubb de Colombia</t>
  </si>
  <si>
    <t>CSG Colseguros</t>
  </si>
  <si>
    <t>CSG Cóndor</t>
  </si>
  <si>
    <t>CSG Confianza</t>
  </si>
  <si>
    <t>CSG Eco Seguros</t>
  </si>
  <si>
    <t>CSG Generali Colombia</t>
  </si>
  <si>
    <t>CSG La Previsora</t>
  </si>
  <si>
    <t>CSG Liberty Seguros</t>
  </si>
  <si>
    <t>CSG Mapfre Crediseguro</t>
  </si>
  <si>
    <t>CSG Mapfre Seguros Generales</t>
  </si>
  <si>
    <t>CSG Mundial de Seguros</t>
  </si>
  <si>
    <t>CSG QBE Colombia</t>
  </si>
  <si>
    <t>CSG Royal &amp; Sunalliance Colombia</t>
  </si>
  <si>
    <t>CSG Segurexpo de Colombia</t>
  </si>
  <si>
    <t>CSG Seguros Alfa</t>
  </si>
  <si>
    <t>CSG Seguros Ciales. Bolívar</t>
  </si>
  <si>
    <t>CSG Seguros Colpatria</t>
  </si>
  <si>
    <t>CSG Seguros del Estado</t>
  </si>
  <si>
    <t>CSG Sura</t>
  </si>
  <si>
    <t>FID Acción Fiduciaria</t>
  </si>
  <si>
    <t>FID Alianza Fiduciaria</t>
  </si>
  <si>
    <t>FID BBVA Fiduciaria</t>
  </si>
  <si>
    <t>FID Cititrust</t>
  </si>
  <si>
    <t>FID Fiduagraria</t>
  </si>
  <si>
    <t>FID Fiducafé</t>
  </si>
  <si>
    <t>FID Fiducentral</t>
  </si>
  <si>
    <t>FID Fiduciaria Bancolombia</t>
  </si>
  <si>
    <t>FID Fiduciaria Bogotá</t>
  </si>
  <si>
    <t>FID Fiduciaria Colmena</t>
  </si>
  <si>
    <t>FID Fiduciaria Colpatria</t>
  </si>
  <si>
    <t>FID Fiduciaria Colseguros</t>
  </si>
  <si>
    <t>FID Fiduciaria Corficolombiana</t>
  </si>
  <si>
    <t>FID Fiduciaria Davivienda</t>
  </si>
  <si>
    <t>FID Fiduciaria de Occidente</t>
  </si>
  <si>
    <t>FID Fiduciaria La Previsora</t>
  </si>
  <si>
    <t>FID Fiduciaria Popular</t>
  </si>
  <si>
    <t>FID Fiducoldex</t>
  </si>
  <si>
    <t>FID Fiducor</t>
  </si>
  <si>
    <t>FID Fidugestión</t>
  </si>
  <si>
    <t>FID Fidupaís</t>
  </si>
  <si>
    <t>FID Fidupetrol</t>
  </si>
  <si>
    <t>FID Helm Fiduciaria</t>
  </si>
  <si>
    <t>FID HSBC Fiduciaria</t>
  </si>
  <si>
    <t>FID Santander Investment Trust</t>
  </si>
  <si>
    <t>FID Servitrust GNB Sudameris</t>
  </si>
  <si>
    <t>FID Skandia</t>
  </si>
  <si>
    <t>IOE Bancoldex BCO</t>
  </si>
  <si>
    <t>IOE Caja Promotora de Vivienda Militar y de Policía</t>
  </si>
  <si>
    <t>IOE FEN - Financiera Energética Nal.</t>
  </si>
  <si>
    <t>IOE Finagro</t>
  </si>
  <si>
    <t>IOE Findeter</t>
  </si>
  <si>
    <t>IOE FNA - Fondo Nal. del Ahorro</t>
  </si>
  <si>
    <t>IOE FNG - Fondo Nal. de Garantías</t>
  </si>
  <si>
    <t>IOE Fogacoop</t>
  </si>
  <si>
    <t>IOE Fogafin</t>
  </si>
  <si>
    <t>IOE Fonade</t>
  </si>
  <si>
    <t>IOE Icetex</t>
  </si>
  <si>
    <t>8.</t>
  </si>
  <si>
    <t>JUSTIFICACIÓN DE LAS OPERACIONES - ASPECTOS RELEVANTES</t>
  </si>
  <si>
    <t>PROPUESTA ÁREA COMERCIAL</t>
  </si>
  <si>
    <t>ACCIONISTAS Y ADMINISTRACIÓN</t>
  </si>
  <si>
    <t>8.3</t>
  </si>
  <si>
    <t>ESTUDIO SECTORIAL</t>
  </si>
  <si>
    <t>8.4</t>
  </si>
  <si>
    <t>OPERACIÓN Y MERCADO</t>
  </si>
  <si>
    <t>8.5</t>
  </si>
  <si>
    <t>ESTUDIO FINANCIERO - HISTÓRICO Y PROYECTADO (RESULTADOS, CAJA, BALANCE, INDICADORES)</t>
  </si>
  <si>
    <t>8.6</t>
  </si>
  <si>
    <t>ACCESO A FUENTES DE FINANCIACIÓN</t>
  </si>
  <si>
    <t>8.7</t>
  </si>
  <si>
    <t>OTROS ASPECTOS IMPORTANTES DE LA EMPRESA</t>
  </si>
  <si>
    <t>8.8</t>
  </si>
  <si>
    <t xml:space="preserve">FACTORES DE RIESGO INVOLUCRADOS (ECONÓMICOS, FINANCIEROS, ADMINISTRATIVOS): </t>
  </si>
  <si>
    <t>9.</t>
  </si>
  <si>
    <t>CONCEPTO</t>
  </si>
  <si>
    <t xml:space="preserve">   FUNCIONES DE HOJA</t>
  </si>
  <si>
    <t>- NOMBRE DEL PROYECTO</t>
  </si>
  <si>
    <t>COVENANTS (NOMBRE O FÓRMULA)</t>
  </si>
  <si>
    <t>CONDICIÓN</t>
  </si>
  <si>
    <t>VALOR</t>
  </si>
  <si>
    <t>Ingresos Operacionales</t>
  </si>
  <si>
    <t>- Costos y Gastos Operacionales</t>
  </si>
  <si>
    <t>+ Depreciaciones y Amortizaciones</t>
  </si>
  <si>
    <t>- Capital de Trabajo</t>
  </si>
  <si>
    <t>- Pago de Impuestos (Renta)</t>
  </si>
  <si>
    <t>FLUJO DE CAJA LIBRE OPERATIVO</t>
  </si>
  <si>
    <t>- CAPEX</t>
  </si>
  <si>
    <t>+/- Ingresos (Egresos) No Operacionales</t>
  </si>
  <si>
    <t>+ Aportes de Capital (Equity)</t>
  </si>
  <si>
    <t>FLUJO DE CAJA ANTES DE FINANCIACIÓN</t>
  </si>
  <si>
    <t>+ Nuevas Obligaciones Financieras C.P.</t>
  </si>
  <si>
    <t>+ Nuevas Obligaciones Financieras L.P.</t>
  </si>
  <si>
    <r>
      <t xml:space="preserve">+ Nuevas Obligaciones L.P. - </t>
    </r>
    <r>
      <rPr>
        <b/>
        <sz val="12"/>
        <color indexed="16"/>
        <rFont val="Arial"/>
        <family val="2"/>
      </rPr>
      <t>Davivienda</t>
    </r>
  </si>
  <si>
    <t>FLUJO DE CAJA CON FINANCIACIÓN</t>
  </si>
  <si>
    <t>- Gasto Financiero</t>
  </si>
  <si>
    <t>- Amortización Obligaciones Financieras C.P.</t>
  </si>
  <si>
    <t>- Amortización Obligaciones Financieras L.P.</t>
  </si>
  <si>
    <r>
      <t xml:space="preserve">- Amortización Obligaciones L.P. - </t>
    </r>
    <r>
      <rPr>
        <b/>
        <sz val="12"/>
        <color indexed="16"/>
        <rFont val="Arial"/>
        <family val="2"/>
      </rPr>
      <t>Davivienda</t>
    </r>
  </si>
  <si>
    <t>SERVICIO DE DEUDA</t>
  </si>
  <si>
    <t>FLUJO DE CAJA ANTES DE EXCEDENTES</t>
  </si>
  <si>
    <t>- Pago de Excedentes (Dividendos)</t>
  </si>
  <si>
    <t>+ Caja Inicial</t>
  </si>
  <si>
    <t>CAJA FINAL</t>
  </si>
  <si>
    <t>SALDO OBLIGACIONES L.P. DAVIVIENDA</t>
  </si>
  <si>
    <t>SALDO OBLIGACIONES L.P. TOTAL</t>
  </si>
  <si>
    <t>EQUITY ACUMULADO</t>
  </si>
  <si>
    <t>EBITDA / Carga Financiera</t>
  </si>
  <si>
    <t>Flujo de Caja Libre Operativo / Servicio Deuda</t>
  </si>
  <si>
    <t>Pasivo Financiero / Ingresos Operacionales</t>
  </si>
  <si>
    <t>Deuda / (Equity + Deuda)</t>
  </si>
  <si>
    <t>COVENANTS Y CUMPLIMIENTO</t>
  </si>
  <si>
    <t>C / I</t>
  </si>
  <si>
    <t>MÓDULO DE PROYECCIONES PARA PROYECTOS</t>
  </si>
  <si>
    <t>PROYECCIÓN NUEVAS OBLIGACIONES FINANCIERAS L.P.</t>
  </si>
  <si>
    <t>2o. DESEMBOLSO - MONTO</t>
  </si>
  <si>
    <t>2o. DESEMBOLSO - PLAZO (AÑOS) CON PERÍODO DE GRACIA</t>
  </si>
  <si>
    <t>2o. DESEMBOLSO</t>
  </si>
  <si>
    <t>2o. DESEMBOLSO - % AMORTIZACIÓN ANUAL</t>
  </si>
  <si>
    <t>2o. DESEMBOLSO - AMORTIZACIÓN</t>
  </si>
  <si>
    <t xml:space="preserve">2o. DESEMBOLSO - SALDO </t>
  </si>
  <si>
    <t>2o. DESEMBOLSO - TASA DE FINANCIACIÓN E.A.</t>
  </si>
  <si>
    <t>2o. DESEMBOLSO - CÁLCULO INTERESES</t>
  </si>
  <si>
    <t>3er. DESEMBOLSO - MONTO</t>
  </si>
  <si>
    <t>3er. DESEMBOLSO - PLAZO (AÑOS) CON PERÍODO DE GRACIA</t>
  </si>
  <si>
    <t>3er. DESEMBOLSO</t>
  </si>
  <si>
    <t>3er. DESEMBOLSO - % AMORTIZACIÓN ANUAL</t>
  </si>
  <si>
    <t>3er. DESEMBOLSO - AMORTIZACIÓN</t>
  </si>
  <si>
    <t xml:space="preserve">3er. DESEMBOLSO - SALDO </t>
  </si>
  <si>
    <t>3er. DESEMBOLSO - TASA DE FINANCIACIÓN E.A.</t>
  </si>
  <si>
    <t>3er. DESEMBOLSO - CÁLCULO INTERESES</t>
  </si>
  <si>
    <t>4o. DESEMBOLSO - AMORTIZACIÓN DE CAPITAL</t>
  </si>
  <si>
    <t>4o. DESEMBOLSO - MONTO</t>
  </si>
  <si>
    <t>4o. DESEMBOLSO - PLAZO (AÑOS) CON PERÍODO DE GRACIA</t>
  </si>
  <si>
    <t>4o. DESEMBOLSO - PERÍODO DE GRACIA (MESES)</t>
  </si>
  <si>
    <t>4o. DESEMBOLSO - MES DE DESEMBOLSO</t>
  </si>
  <si>
    <t>4o. DESEMBOLSO - AÑO DE DESEMBOLSO</t>
  </si>
  <si>
    <t>4o. DESEMBOLSO</t>
  </si>
  <si>
    <t>4o. DESEMBOLSO - % AMORTIZACIÓN ANUAL</t>
  </si>
  <si>
    <t>4o. DESEMBOLSO - AMORTIZACIÓN</t>
  </si>
  <si>
    <t xml:space="preserve">4o. DESEMBOLSO - SALDO </t>
  </si>
  <si>
    <t>4o. DESEMBOLSO - TASA DE FINANCIACIÓN E.A.</t>
  </si>
  <si>
    <t>4o. DESEMBOLSO - CÁLCULO INTERESES</t>
  </si>
  <si>
    <t>5o. DESEMBOLSO - AMORTIZACIÓN DE CAPITAL</t>
  </si>
  <si>
    <t>5o. DESEMBOLSO - MONTO</t>
  </si>
  <si>
    <t>5o. DESEMBOLSO - PLAZO (AÑOS) CON PERÍODO DE GRACIA</t>
  </si>
  <si>
    <t>5o. DESEMBOLSO - PERÍODO DE GRACIA (MESES)</t>
  </si>
  <si>
    <t>5o. DESEMBOLSO - MES DE DESEMBOLSO</t>
  </si>
  <si>
    <t>5o. DESEMBOLSO - AÑO DE DESEMBOLSO</t>
  </si>
  <si>
    <t>5o. DESEMBOLSO</t>
  </si>
  <si>
    <t>5o. DESEMBOLSO - % AMORTIZACIÓN ANUAL</t>
  </si>
  <si>
    <t>5o. DESEMBOLSO - AMORTIZACIÓN</t>
  </si>
  <si>
    <t xml:space="preserve">5o. DESEMBOLSO - SALDO </t>
  </si>
  <si>
    <t>5o. DESEMBOLSO - TASA DE FINANCIACIÓN E.A.</t>
  </si>
  <si>
    <t>5o. DESEMBOLSO - CÁLCULO INTERESES</t>
  </si>
  <si>
    <t>AMORTIZACIÓN TOTAL</t>
  </si>
  <si>
    <t>SALDO TOTAL</t>
  </si>
  <si>
    <t>INTERESES TOTALES</t>
  </si>
  <si>
    <t>PROYECCIÓN OBLIGACIONES FINANCIERAS L.P. DAVIVIENDA</t>
  </si>
  <si>
    <t>INGRESOS OPERACIONALES (COL B.  - $MM / COL. D - VAR. %)</t>
  </si>
  <si>
    <t>(DEPRECIACIONES + AMORTIZACIONES) / EGRESOS OPER.</t>
  </si>
  <si>
    <t>CAPITAL DE TRABAJO / INGRESOS OPERACIONALES</t>
  </si>
  <si>
    <t>IMPUESTOS / INGRESOS OPERACIONALES</t>
  </si>
  <si>
    <t>FLUJO DE CAJA - PORCIÓN NO OPERATIVA</t>
  </si>
  <si>
    <t>CAJA MÍNIMA REQUERIDA (EN DÍAS DE INGRESOS OPER.)</t>
  </si>
  <si>
    <t>CAPEX ($MM)</t>
  </si>
  <si>
    <t>OTROS INGRESOS (EGRESOS) / INGRESOS OPERACIONALES</t>
  </si>
  <si>
    <t>APORTES DE CAPITAL (EQUITY) ($MM)</t>
  </si>
  <si>
    <t>PAGO DE EXCEDENTES / INGRESOS OPERACIONALES</t>
  </si>
  <si>
    <t>TASA - OBLIGACIONES FINANCIERAS C.P.</t>
  </si>
  <si>
    <t>TASA FINANCIACIÓN OBLIGACIONES FINANCIERAS C.P.</t>
  </si>
  <si>
    <t>CÁLCULO INTERESES - OBLIGACIONES C.P.</t>
  </si>
  <si>
    <t>CRECIMIENTO PIB (VARIACIÓN PORCENTUAL - BASE 1.994)</t>
  </si>
  <si>
    <t>VARIACIÓN PORCENTUAL IPC (INFLACIÓN)</t>
  </si>
  <si>
    <t>VARIACIÓN TRM  (DEVAL./REVAL.) - AÑO CORRIDO</t>
  </si>
  <si>
    <t>TRM A 31 DE DICIEMBRE (COP POR 1 USD)</t>
  </si>
  <si>
    <t>DTF E.A.</t>
  </si>
  <si>
    <t>VAR.</t>
  </si>
  <si>
    <t>ESCENARIOS</t>
  </si>
  <si>
    <t>BINARIAS</t>
  </si>
  <si>
    <t>CONDICIONES COVENANTS</t>
  </si>
  <si>
    <t>SÍ</t>
  </si>
  <si>
    <t>&gt;</t>
  </si>
  <si>
    <t>&lt;</t>
  </si>
  <si>
    <t>&lt;&gt;</t>
  </si>
  <si>
    <t>CELDAS Y FÓRMULAS VINCULADAS PARA CREACIÓN FLUJO - MACRO CREAR_PROYECTO</t>
  </si>
  <si>
    <t>AREA DE IMPRESIÓN - MACRO IMPR_FLUJO</t>
  </si>
  <si>
    <t>COLUMNAS Y AÑOS TOTALES PROYECCIONES - MACRO APLICAR_AÑOS_PROYECTO</t>
  </si>
  <si>
    <t>Balances y Proyecciones (1)'!B14</t>
  </si>
  <si>
    <t>CÁLCULO CAJA MÍNIMA REQUERIDA</t>
  </si>
  <si>
    <t>CONTROL DE USO DE MACRO IMPR_PRES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</si>
  <si>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- 1er. DESEMBOLSO</t>
    </r>
  </si>
  <si>
    <t>AÑOS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</si>
  <si>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- 2o.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</si>
  <si>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- 3er.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</si>
  <si>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- 4o.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</si>
  <si>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- 5o. DESEMBOLSO</t>
    </r>
  </si>
  <si>
    <t>DISTRIBUCIÓN DE IMPRESIÓN - MACRO IMPR_FLUJO</t>
  </si>
  <si>
    <t>COLUMNAS A OCULTAR - MACRO APLICAR_AÑOS_PROYECTO</t>
  </si>
  <si>
    <t>FÓRMULAS CUMPLIMIENTO COVENANTS SEGÚN CONDICIÓN</t>
  </si>
  <si>
    <t>COVENANT 1</t>
  </si>
  <si>
    <t>COVENANT 2</t>
  </si>
  <si>
    <t>COVENANT 3</t>
  </si>
  <si>
    <t>COVENANT 4</t>
  </si>
  <si>
    <t>Empresa</t>
  </si>
  <si>
    <t>Segmento</t>
  </si>
  <si>
    <t>Aplicativo</t>
  </si>
  <si>
    <t>No. Obligación</t>
  </si>
  <si>
    <t>Concepto ME</t>
  </si>
  <si>
    <t>Concepto Negocio General</t>
  </si>
  <si>
    <t>Días Mora</t>
  </si>
  <si>
    <t>Días Sobregiro</t>
  </si>
  <si>
    <t>Saldo Total</t>
  </si>
  <si>
    <t>Saldo Capital</t>
  </si>
  <si>
    <t>Saldo ME</t>
  </si>
  <si>
    <t>Intereses</t>
  </si>
  <si>
    <t>Otros Cargos</t>
  </si>
  <si>
    <t>Vr. Mora</t>
  </si>
  <si>
    <t>Tasa %</t>
  </si>
  <si>
    <t>Fecha Apertura</t>
  </si>
  <si>
    <t>Fecha Vencimiento</t>
  </si>
  <si>
    <t>Compañía</t>
  </si>
  <si>
    <t>Ejecutivo</t>
  </si>
  <si>
    <t>Detalle Caso Especial</t>
  </si>
  <si>
    <t>Ejecutivo Caso Especial</t>
  </si>
  <si>
    <t>M = Utilidad Neta / Ventas</t>
  </si>
  <si>
    <t>Po = Dividendos / Utilidad Neta</t>
  </si>
  <si>
    <t>L= Obligaciones Financieras / Capital Contable</t>
  </si>
  <si>
    <t>T= Ventas / Activo Total (S.V.)</t>
  </si>
  <si>
    <t>( 1= No , 4= Si )</t>
  </si>
  <si>
    <t>1= Con Garantia ; 4= Sin Garantia</t>
  </si>
  <si>
    <t>1= Idonea; 4= No idonea</t>
  </si>
  <si>
    <t>Deuda Financiera Neta /Ebitda &lt;=</t>
  </si>
  <si>
    <t>=</t>
  </si>
  <si>
    <t>&gt;=</t>
  </si>
  <si>
    <t>&lt;=</t>
  </si>
  <si>
    <t xml:space="preserve">Las cifras se deben digitar en Miles de: </t>
  </si>
  <si>
    <t>Auditado</t>
  </si>
  <si>
    <t xml:space="preserve">Actividad Económica: </t>
  </si>
  <si>
    <t xml:space="preserve">LOCAL </t>
  </si>
  <si>
    <t>UNIDAD DE RIESGO</t>
  </si>
  <si>
    <t>CORPORATIVO</t>
  </si>
  <si>
    <t>DivisaConversion</t>
  </si>
  <si>
    <t>Sin_Filtro</t>
  </si>
  <si>
    <t>Con_Filtro</t>
  </si>
  <si>
    <t>&lt;&gt;0</t>
  </si>
  <si>
    <t>PaisAct</t>
  </si>
  <si>
    <t>TipoAuditado</t>
  </si>
  <si>
    <t>Auditados Con Salvedades</t>
  </si>
  <si>
    <t>Auditados Sin Salvedades</t>
  </si>
  <si>
    <t>No Auditados</t>
  </si>
  <si>
    <t>Ebitda / Servicio de la Deuda Año Anterior</t>
  </si>
  <si>
    <t>MESES DE VENTAS</t>
  </si>
  <si>
    <t>VENTAS PROMEDIO MENSUAL</t>
  </si>
  <si>
    <t>EBITDA (MÁS INGRESOS Y GASTOS RECURRENTES)</t>
  </si>
  <si>
    <t>EBITDA (SIN INGRESOS Y GASTOS RECURRENTES)</t>
  </si>
  <si>
    <t>TOTAL GASTOS POR DEPRECIACIÓN Y AMORTIZACIÓN</t>
  </si>
  <si>
    <t>IMPUESTO SOBRE LA RENTA</t>
  </si>
  <si>
    <t>UTILIDAD ANTES DE IMPUESTO SOBRE LA RENTA</t>
  </si>
  <si>
    <t>OTROS GASTOS EXTRAORDINARIOS</t>
  </si>
  <si>
    <t>OTROS GASTOS RECURRENTES</t>
  </si>
  <si>
    <t>OTROS INGRESOS EXTRAORDINARIOS</t>
  </si>
  <si>
    <t>TOTAL OTROS INGRESOS Y GASTOS NETOS</t>
  </si>
  <si>
    <t>DIFERENCIAL CAMBIARIO</t>
  </si>
  <si>
    <t>INTERESES Y COMISIONES</t>
  </si>
  <si>
    <t>TOTAL GASTOS FINANCIEROS</t>
  </si>
  <si>
    <t>TOTAL INGRESOS FINANCIEROS</t>
  </si>
  <si>
    <t>UTILIDAD OPERATIVA</t>
  </si>
  <si>
    <t>GASTOS DE VENTAS</t>
  </si>
  <si>
    <t>GASTOS ADMINISTRATIVOS</t>
  </si>
  <si>
    <t>TOTAL GASTOS DE OPERACIÓN</t>
  </si>
  <si>
    <t>COSTO DE MERCADERÍA VENDIDA</t>
  </si>
  <si>
    <t>INGRESOS POR VENTAS</t>
  </si>
  <si>
    <t>PART. %</t>
  </si>
  <si>
    <t>DETALLE DE CUENTAS DEL ESTADO DE RESULTADOS</t>
  </si>
  <si>
    <t>VARIACIÓN PORCENTUAL ANUALIZADA</t>
  </si>
  <si>
    <t>RESULTADOS DEL PERIODO</t>
  </si>
  <si>
    <t>IN</t>
  </si>
  <si>
    <t>UTILIDADES ACUMULADAS</t>
  </si>
  <si>
    <t>OTRAS CUENTAS PATRIMONIALES</t>
  </si>
  <si>
    <t>F</t>
  </si>
  <si>
    <t>SUPERAVIT POR REVALUACIÓN</t>
  </si>
  <si>
    <t>TOTAL PASIVOS</t>
  </si>
  <si>
    <t>OTRAS CUENTAS LARGO PLAZO</t>
  </si>
  <si>
    <t>IMPUESTO POR PAGAR LARGO PLAZO</t>
  </si>
  <si>
    <t>GASTOS Y PROVISIONES POR PAGAR LARGO PLAZO</t>
  </si>
  <si>
    <t>CUENTAS POR PAGAR LARGO PLAZO</t>
  </si>
  <si>
    <t>DEUDAS CON RELACIONADAS LARGO PLAZO</t>
  </si>
  <si>
    <t>DEUDAS CON ENTIDADES A LARGO PLAZO</t>
  </si>
  <si>
    <t>OTROS PASIVOS DE COSTO PLAZO</t>
  </si>
  <si>
    <t>O</t>
  </si>
  <si>
    <t>PROVISIONES Y RETENCIONES POR PAGAR</t>
  </si>
  <si>
    <t>GASTOS ACUMULADOS POR PAGAR</t>
  </si>
  <si>
    <t>INGRESOS DIFERIDOS</t>
  </si>
  <si>
    <t>DOCUMENTOS POR PAGAR RELACIONADAS CORTO PLAZO</t>
  </si>
  <si>
    <t>CUENTAS POR PAGAR COMERCIALES RELACIONADAS</t>
  </si>
  <si>
    <t>CUENTAS POR PAGAR COMERCIALES ME</t>
  </si>
  <si>
    <t>CUENTAS POR PAGAR COMERCIALES ML</t>
  </si>
  <si>
    <t>OTROS PASIVOS CON COSTO DE CORTO PLAZO</t>
  </si>
  <si>
    <t>PORCIÓN CIRCULANTE DEUDAS CON ENTIDADES</t>
  </si>
  <si>
    <t>LINEAS DE CRÉDITO</t>
  </si>
  <si>
    <t>TOTAL PASIVO CIRCULANTE</t>
  </si>
  <si>
    <t>TOTAL ACTIVOS</t>
  </si>
  <si>
    <t>I</t>
  </si>
  <si>
    <t>DOCUMENTOS POR COBRAR RELACIONADAS LARGO PLAZO</t>
  </si>
  <si>
    <t>CUENTAS POR COBRAR COMERCIALES LARGO PLAZO</t>
  </si>
  <si>
    <t>CRÉDITO MERCANTIL Y OTROS INTANGIBLES NETOS</t>
  </si>
  <si>
    <t>ACTIVOS BIOLÓGICOS</t>
  </si>
  <si>
    <t>OBRAS EN PROCESO</t>
  </si>
  <si>
    <t>PROPIEADES DE INVERSIÓN</t>
  </si>
  <si>
    <t>DEPRECIACIÓN ACUMULADA</t>
  </si>
  <si>
    <t>TOTAL ACTIVOS LARGO PLAZO</t>
  </si>
  <si>
    <t>OTROS CUENTAS DE CORTO PLAZO</t>
  </si>
  <si>
    <t>GASTOS DIFERIDOS</t>
  </si>
  <si>
    <t>DOCUMENTOS POR COBRAR CORTO PLAZO</t>
  </si>
  <si>
    <t>INVENTARIOS EN TRÁNSITO</t>
  </si>
  <si>
    <t>PROVISIÓN POR DETERIORO CUENTAS POR COBRAR</t>
  </si>
  <si>
    <t>CUENTAS POR COBRAR COMERCIALES RELACIONADAS</t>
  </si>
  <si>
    <t>CUENTAS POR COBRAR COMERCIALES ME</t>
  </si>
  <si>
    <t>CUENTAS POR COBRAR COMERCIALES ML</t>
  </si>
  <si>
    <t>CAJA Y BANCOS</t>
  </si>
  <si>
    <t>TOTAL ACTIVO CIRCULANTE</t>
  </si>
  <si>
    <t>DETALLE DE CUENTAS DEL BALANCE GENERAL</t>
  </si>
  <si>
    <t>VARIACIÓN PORCENTUAL</t>
  </si>
  <si>
    <t>EN MILES DE COLONES</t>
  </si>
  <si>
    <t>ESTADOS FINANCIEROS INDIVIDUALES</t>
  </si>
  <si>
    <t>ID GESTOR</t>
  </si>
  <si>
    <t>RESULTADO CONCILIACIÓN</t>
  </si>
  <si>
    <t>TOTAL MOVIMIENTOS EN UTILIDADES RETENIDAS</t>
  </si>
  <si>
    <t>DIVIDENDOS PAGADOS</t>
  </si>
  <si>
    <t>AJUSTES DE PERIODOS ANTERIORES</t>
  </si>
  <si>
    <t>CAPITALIZACIÓN DE UTILIDADES RETENIDAS A RESERVAS</t>
  </si>
  <si>
    <t>CAPITALIZACIÓN DE UTILIDADES RETENIDAS A APORTES DE CAPITAL</t>
  </si>
  <si>
    <t>CAPITALIZACIÓN DE UTILIDADES RETENIDAS A CAPITAL SOCIAL</t>
  </si>
  <si>
    <t>CONCILIACIÓN DE DIFERENCIAS EN UTILIDADES RETENIDAS</t>
  </si>
  <si>
    <t>DIFERENCIA SALDOS FINAL DE CAJA E INVERSIONES</t>
  </si>
  <si>
    <t>SALDO FINAL CAJA, BANCOS E INVERSIONES TEMPORALES</t>
  </si>
  <si>
    <t>SALDO INICIAL CAJA, BANCOS E INVERSIONES TEMPORALES</t>
  </si>
  <si>
    <t>INCREMENTO NETO DE EFECTIVO</t>
  </si>
  <si>
    <t>EFECTIVO NETO ACTIVIDADES FINANCIAMIENTO</t>
  </si>
  <si>
    <t>DIFERENCIA EN UTILIDADES RETENIDAS</t>
  </si>
  <si>
    <t>ACTIVIDADES DE FINANCIAMIENTO</t>
  </si>
  <si>
    <t>EFECTIVO NETO ACTIVIDADES INVERSIÓN</t>
  </si>
  <si>
    <t>ACTIVIDADES DE INVERSIÓN</t>
  </si>
  <si>
    <t>EFECTIVO NETO ACTIVIDADES OPERACIÓN</t>
  </si>
  <si>
    <t>CUENTAS POR PAGAR COMERCIALES ML/ME</t>
  </si>
  <si>
    <t>CUENTAS POR COBRAR COMERCIALES ML/ME</t>
  </si>
  <si>
    <t>ACTIVIDADES DE OPERACIÓN</t>
  </si>
  <si>
    <t>RESULTADO NETO + GASTO DEPRECIACIÓN Y AMORTIZACIÓN</t>
  </si>
  <si>
    <t>GASTO POR DEPRECIACION Y AMORTIZACIÓN</t>
  </si>
  <si>
    <t>RESULTADO NETO DEL PERIODO</t>
  </si>
  <si>
    <t>DETALLE DE RAZONES FINANCIERAS</t>
  </si>
  <si>
    <t>ESTADO DE CAMBIOS EN EL FLUJO DE EFECTIVO</t>
  </si>
  <si>
    <t>ID/RTN</t>
  </si>
  <si>
    <t>Remark firmado, sellado y recomendado por los involucrados</t>
  </si>
  <si>
    <t>Ficha de generador de divisas los comprobantes (contratos o facturas). Considerar la norma de Generadores de divisas</t>
  </si>
  <si>
    <t>Generación de ingresos a Davivienda</t>
  </si>
  <si>
    <t>Evaluación de Riesgo de sustentabilidad (cuando aplique)</t>
  </si>
  <si>
    <t>Resultado</t>
  </si>
  <si>
    <t>Avalúos vigentes y en formato autorizado por Davivienda</t>
  </si>
  <si>
    <t>Esperado</t>
  </si>
  <si>
    <t>Relación Expo/Ventas</t>
  </si>
  <si>
    <t>Actual</t>
  </si>
  <si>
    <t>RAROC:</t>
  </si>
  <si>
    <t>Informes de visita con fotografías</t>
  </si>
  <si>
    <t>Endosos de seguro vigentes</t>
  </si>
  <si>
    <t xml:space="preserve">Exposicion  </t>
  </si>
  <si>
    <t>Detalles de las cuentas del balance</t>
  </si>
  <si>
    <t>Estados financieros internos y auditados (6 meses antigüedad) o al cierre más cercano.</t>
  </si>
  <si>
    <t>Dictamen legal de acciones al portador</t>
  </si>
  <si>
    <t>Certificación de Consejo de Administración</t>
  </si>
  <si>
    <t>Certificación de accionistas</t>
  </si>
  <si>
    <t>Deuda/EBITDA</t>
  </si>
  <si>
    <t>Excel</t>
  </si>
  <si>
    <t>PDF</t>
  </si>
  <si>
    <t>Check list (firmado y sellado)</t>
  </si>
  <si>
    <t xml:space="preserve">Deuda Financiera </t>
  </si>
  <si>
    <t>Detalle de grupo económico</t>
  </si>
  <si>
    <t>Datos al cierre mas cercano</t>
  </si>
  <si>
    <t>Visto bueno de Cumplimiento (casos a los que aplique)</t>
  </si>
  <si>
    <t xml:space="preserve">Consultas listas negras (empresa, socios y principales funcionarios) </t>
  </si>
  <si>
    <t>CIR 7 BANCA EMPRESARIAL</t>
  </si>
  <si>
    <t>Consultas TUCA</t>
  </si>
  <si>
    <t>Si es mayor a 6  va para Colombia</t>
  </si>
  <si>
    <t>Deuda financiera / Ebita Moodys</t>
  </si>
  <si>
    <t>Consultas CNBS</t>
  </si>
  <si>
    <t>Si es mayor a 70% va para Colombia</t>
  </si>
  <si>
    <t xml:space="preserve">Lo aprobado / nivel de vtas </t>
  </si>
  <si>
    <t>Estudio cualitativo actualizado y en formato correspondiente</t>
  </si>
  <si>
    <t>Datos a tomar en consideración (BANCA EMPRESAS)</t>
  </si>
  <si>
    <t>CHECK LIST INTERNO</t>
  </si>
  <si>
    <t>Presentación de Información diferente a la presentada anteriormente.</t>
  </si>
  <si>
    <t>Pequeño deudor con información interna</t>
  </si>
  <si>
    <t>Pequeño deudor con información auditada</t>
  </si>
  <si>
    <t>Gran deudor con información interna</t>
  </si>
  <si>
    <t>Gran deudor con información auditada</t>
  </si>
  <si>
    <t>Credibilidad de los Estados financieros.</t>
  </si>
  <si>
    <t>No cumple</t>
  </si>
  <si>
    <t>Parcialmente</t>
  </si>
  <si>
    <t>Comentarios del analista:</t>
  </si>
  <si>
    <t>Totalmente</t>
  </si>
  <si>
    <t>Total Evaluación</t>
  </si>
  <si>
    <t>Evaluación Cuantitativa</t>
  </si>
  <si>
    <t>Impacto Ambiental (Gestión de Riesgo Ambiental y Social)</t>
  </si>
  <si>
    <t>Más del 50% de las compras</t>
  </si>
  <si>
    <t>Promedio de sistema</t>
  </si>
  <si>
    <t>NIVEL DE ENDEUDAMIENTO</t>
  </si>
  <si>
    <t>Hasta el 30% de las compras</t>
  </si>
  <si>
    <t>No hay concentración</t>
  </si>
  <si>
    <t>Concentración de Proveedores</t>
  </si>
  <si>
    <t>Más del 50% del ingreso</t>
  </si>
  <si>
    <t>Mayor a 0 obtiene toda la calificación</t>
  </si>
  <si>
    <t>Hasta el 30% del ingreso</t>
  </si>
  <si>
    <t>EBITDA / SERVICIO DE LA DEUDA</t>
  </si>
  <si>
    <t>APALANCAMIENTO</t>
  </si>
  <si>
    <t>Concentración de clientes</t>
  </si>
  <si>
    <t>Industria a la baja según IMAE</t>
  </si>
  <si>
    <t>Servicio a la Deuda</t>
  </si>
  <si>
    <t>Industria Estable según IMAE</t>
  </si>
  <si>
    <t>Industria al alza según IMAE</t>
  </si>
  <si>
    <t>Mayor al 70% del promedio de sistema</t>
  </si>
  <si>
    <t>Situación del Mercado</t>
  </si>
  <si>
    <t>Refinanciamientos (últ 24 meses)</t>
  </si>
  <si>
    <t>CAT IV/V</t>
  </si>
  <si>
    <t>Operaciones</t>
  </si>
  <si>
    <t>CAT III</t>
  </si>
  <si>
    <t>&gt; a cero obtiene toda la calificación</t>
  </si>
  <si>
    <t>CAT II</t>
  </si>
  <si>
    <t>CAT I-A / I-B</t>
  </si>
  <si>
    <t>Obtiene toda la calificación</t>
  </si>
  <si>
    <t>Calificación local en el sistema financiero</t>
  </si>
  <si>
    <t>Inferior</t>
  </si>
  <si>
    <t>Promedio</t>
  </si>
  <si>
    <t>Superior</t>
  </si>
  <si>
    <t>Liquidez</t>
  </si>
  <si>
    <t>Malo, atrasos significativos</t>
  </si>
  <si>
    <t>Parametros Segundarios (Rangos de ubicación de indice para aplicar en Parametros primarios.</t>
  </si>
  <si>
    <t>Parametros Primarios (Ponderación primaria X Parametros segundarios)</t>
  </si>
  <si>
    <t>Fecha en CI</t>
  </si>
  <si>
    <t>Variables Cuantitativas</t>
  </si>
  <si>
    <t>Regular, mora recurrente (mas de 2 de 60 dias y una de 90)</t>
  </si>
  <si>
    <t>5,000.00</t>
  </si>
  <si>
    <t>Empresarial</t>
  </si>
  <si>
    <t>Bueno, mora no significativa (no &gt; a 30 días y menos de 2 de 60)</t>
  </si>
  <si>
    <t>9,999.00</t>
  </si>
  <si>
    <t>Gran Empresa</t>
  </si>
  <si>
    <t>Evaluación Cualitativa</t>
  </si>
  <si>
    <t>Excelente, sin mora</t>
  </si>
  <si>
    <t>10,000.00</t>
  </si>
  <si>
    <t>Corporativo</t>
  </si>
  <si>
    <t>Fiduciario</t>
  </si>
  <si>
    <t>Tipo de garantía</t>
  </si>
  <si>
    <t>Comportamiento en Sistema Financiero (últ 12 meses)</t>
  </si>
  <si>
    <t>Clasificación de ventas por segmento</t>
  </si>
  <si>
    <t>Mala</t>
  </si>
  <si>
    <t>Otros 3</t>
  </si>
  <si>
    <t>Otros 2</t>
  </si>
  <si>
    <t>&lt;60</t>
  </si>
  <si>
    <t>Estados Financieros</t>
  </si>
  <si>
    <t>Buena</t>
  </si>
  <si>
    <t>Otros 1</t>
  </si>
  <si>
    <t>Cumple con Medidas de gestión de riesgo ambiental y social</t>
  </si>
  <si>
    <t>Excelente</t>
  </si>
  <si>
    <t>Azucar</t>
  </si>
  <si>
    <t>Reputación Miembros Junta Directiva y Administración Principal</t>
  </si>
  <si>
    <t>CIR</t>
  </si>
  <si>
    <t>Posición Competitiva</t>
  </si>
  <si>
    <t>85.0%</t>
  </si>
  <si>
    <t>3.4%</t>
  </si>
  <si>
    <t>1 Prendario 2 Hipotecario</t>
  </si>
  <si>
    <t>Parte Cuantitavia</t>
  </si>
  <si>
    <t>60.0%</t>
  </si>
  <si>
    <t>2.4%</t>
  </si>
  <si>
    <t>1 Prendario 2 Fiduciario</t>
  </si>
  <si>
    <t>Inmobiliaria</t>
  </si>
  <si>
    <t>Parte Cualitativa</t>
  </si>
  <si>
    <t>Experiencia de La Administración</t>
  </si>
  <si>
    <t>70.0%</t>
  </si>
  <si>
    <t>2.8%</t>
  </si>
  <si>
    <t>Prendario</t>
  </si>
  <si>
    <t>GRAN EMPRESA</t>
  </si>
  <si>
    <t>No cuenta con uno</t>
  </si>
  <si>
    <t>90.0%</t>
  </si>
  <si>
    <t>3.6%</t>
  </si>
  <si>
    <t>1 Hipotecario 2 Prendario</t>
  </si>
  <si>
    <t>Exportador de Café</t>
  </si>
  <si>
    <t>Historia Crediticia</t>
  </si>
  <si>
    <t>Si cuenta con uno</t>
  </si>
  <si>
    <t>75.0%</t>
  </si>
  <si>
    <t>3.0%</t>
  </si>
  <si>
    <t>1 Hipotecario 2 Fiduciario</t>
  </si>
  <si>
    <t>Plan de sucesión</t>
  </si>
  <si>
    <t>100.0%</t>
  </si>
  <si>
    <t>4.0%</t>
  </si>
  <si>
    <t>Hipotecario</t>
  </si>
  <si>
    <t>Menor a 3 años</t>
  </si>
  <si>
    <t>50.0%</t>
  </si>
  <si>
    <t>2.0%</t>
  </si>
  <si>
    <t>1 Fiduciario 2 Prendario</t>
  </si>
  <si>
    <t>Plan de Sucesión</t>
  </si>
  <si>
    <t>Mayor a 3 años</t>
  </si>
  <si>
    <t>1 Fiduciario 2 Hipotecario</t>
  </si>
  <si>
    <t>Antiguedad de la Empresa</t>
  </si>
  <si>
    <t>Antigüedad de la empresa</t>
  </si>
  <si>
    <t>40.0%</t>
  </si>
  <si>
    <t>1.6%</t>
  </si>
  <si>
    <t>EMPRESARIAL</t>
  </si>
  <si>
    <t>Capacidad Administrativa/Experiencia</t>
  </si>
  <si>
    <t>Ponderación segundaria</t>
  </si>
  <si>
    <t>Rubros</t>
  </si>
  <si>
    <t>Parametrizaciones por Segmento</t>
  </si>
  <si>
    <t>Variables Cualitativas</t>
  </si>
  <si>
    <t>Evaluación de Resultados</t>
  </si>
  <si>
    <t>Promedio del rubro</t>
  </si>
  <si>
    <t>Información Cliente</t>
  </si>
  <si>
    <t>Ponderación Secundaria</t>
  </si>
  <si>
    <t>Ponderación Primaria</t>
  </si>
  <si>
    <t>24.63</t>
  </si>
  <si>
    <t>Tipo de cambio</t>
  </si>
  <si>
    <t>Banco Popular (BancoPopul)</t>
  </si>
  <si>
    <t>Fecha de Cierre</t>
  </si>
  <si>
    <t>Categoria</t>
  </si>
  <si>
    <t>RESULTAD DEL MODELO CIR:</t>
  </si>
  <si>
    <t>Datos en miles de Dolares</t>
  </si>
  <si>
    <t>Porcentaje</t>
  </si>
  <si>
    <t>Cuenta por Cobrar</t>
  </si>
  <si>
    <t>Dolares</t>
  </si>
  <si>
    <t>Saldo capturado</t>
  </si>
  <si>
    <t>Datos en miles de Lempiras</t>
  </si>
  <si>
    <t>Threadmark</t>
  </si>
  <si>
    <t>Stormy</t>
  </si>
  <si>
    <t>Mashburn</t>
  </si>
  <si>
    <t>VF Jeanwera</t>
  </si>
  <si>
    <t>VF Imagewear</t>
  </si>
  <si>
    <t>Highland</t>
  </si>
  <si>
    <t>The Mens</t>
  </si>
  <si>
    <t>Mas de 120 días</t>
  </si>
  <si>
    <t>Hasta 120 días</t>
  </si>
  <si>
    <t>Hasta 90 días</t>
  </si>
  <si>
    <t>Hasta 60 días</t>
  </si>
  <si>
    <t>Hasta 30 días</t>
  </si>
  <si>
    <t>Vigente</t>
  </si>
  <si>
    <t>Lempiras</t>
  </si>
  <si>
    <t>Capital</t>
  </si>
  <si>
    <t>Deuda Financiera</t>
  </si>
  <si>
    <t>Saldo</t>
  </si>
  <si>
    <t>Largo Plazo</t>
  </si>
  <si>
    <t>Corto Plazo</t>
  </si>
  <si>
    <t>Deuda Bancaria</t>
  </si>
  <si>
    <t>Northern Trust</t>
  </si>
  <si>
    <t>Davivienda</t>
  </si>
  <si>
    <t>Ficohsa</t>
  </si>
  <si>
    <t>Distribuidora de Vestuario GTK</t>
  </si>
  <si>
    <t>Cuenta por cobrar Intercompañia</t>
  </si>
  <si>
    <t>Regis</t>
  </si>
  <si>
    <t>Proconsumo</t>
  </si>
  <si>
    <t>Farmacias Europea SA</t>
  </si>
  <si>
    <t>CXC Otras</t>
  </si>
  <si>
    <t>Farma Value Venezuela</t>
  </si>
  <si>
    <t>Kattan Apparel ES SA</t>
  </si>
  <si>
    <t>Kattan Apparel KAD</t>
  </si>
  <si>
    <t>Van Heusen</t>
  </si>
  <si>
    <t>M2M Holding</t>
  </si>
  <si>
    <t>Interamericana de Valores</t>
  </si>
  <si>
    <t>Fine Shiirts</t>
  </si>
  <si>
    <t>Inversiones Drogueria Europea Guatemala</t>
  </si>
  <si>
    <t>Farma Value Guatemala</t>
  </si>
  <si>
    <t>Farmacias El Valor</t>
  </si>
  <si>
    <t>Farma Value RD</t>
  </si>
  <si>
    <t>Farmacia Europea Nicaragua</t>
  </si>
  <si>
    <t>Inversiones Euroclinicas</t>
  </si>
  <si>
    <t>Análisis clinicos</t>
  </si>
  <si>
    <t>Centroamerican Educational Venture</t>
  </si>
  <si>
    <t>Medica Hogar</t>
  </si>
  <si>
    <t>Constructora Morazan</t>
  </si>
  <si>
    <t>Distribuidora de Vesturario GTK</t>
  </si>
  <si>
    <t>INHDELVA SA</t>
  </si>
  <si>
    <t>Farmacias Europeas Panamá</t>
  </si>
  <si>
    <t>Parkan</t>
  </si>
  <si>
    <t>Restaurante el Carible</t>
  </si>
  <si>
    <t>Cuenta por pagar Intercompañia</t>
  </si>
  <si>
    <t>Cuenta por Pagar</t>
  </si>
  <si>
    <t>Saldo Capturado</t>
  </si>
  <si>
    <t>Tennat</t>
  </si>
  <si>
    <t>Millken</t>
  </si>
  <si>
    <t>Soluciones Logisticas</t>
  </si>
  <si>
    <t>David Whitehead</t>
  </si>
  <si>
    <t>Finos Textiles</t>
  </si>
  <si>
    <t>AJUSTE A UTILIDADES RETENIDAS</t>
  </si>
  <si>
    <t>CRECIMIENTO DEUDA FINANCIERA</t>
  </si>
  <si>
    <t>EBITDA HONDURAS</t>
  </si>
  <si>
    <t>Otros datos</t>
  </si>
  <si>
    <t>Capital de trabajo</t>
  </si>
  <si>
    <t>Ciclo operativo neto</t>
  </si>
  <si>
    <t>Días Proveedores</t>
  </si>
  <si>
    <t>Días Inventario</t>
  </si>
  <si>
    <t>Días Cartera</t>
  </si>
  <si>
    <t>Indicadores</t>
  </si>
  <si>
    <t>Analisis liquidez</t>
  </si>
  <si>
    <t>Ebitda / Servicio de la deuda</t>
  </si>
  <si>
    <t>Cobertura (Ebitda/Interes)</t>
  </si>
  <si>
    <t>Analisis de cobertura</t>
  </si>
  <si>
    <t>Pasivo financiero/Ebitda</t>
  </si>
  <si>
    <t>Nivel de Endeudamiento</t>
  </si>
  <si>
    <t>Deuda Financiera/Capital pagado</t>
  </si>
  <si>
    <t>Apalancamiento</t>
  </si>
  <si>
    <t>Southern</t>
  </si>
  <si>
    <t>Stantt</t>
  </si>
  <si>
    <t>Gasto Financiero</t>
  </si>
  <si>
    <t>Cintas de Honduras</t>
  </si>
  <si>
    <t>Otros Ingresos</t>
  </si>
  <si>
    <t>Kontoor</t>
  </si>
  <si>
    <t>Otros Gastos</t>
  </si>
  <si>
    <t>Tailored</t>
  </si>
  <si>
    <t>Gasto de operación</t>
  </si>
  <si>
    <t>Costo de Venta</t>
  </si>
  <si>
    <t>Highland Apparel</t>
  </si>
  <si>
    <t>Threadmark USD</t>
  </si>
  <si>
    <t>Crecimiento en ventas</t>
  </si>
  <si>
    <t>Variación</t>
  </si>
  <si>
    <t>Volumen</t>
  </si>
  <si>
    <t>Detalle</t>
  </si>
  <si>
    <t>Ingresos y rentabilidad</t>
  </si>
  <si>
    <t>Porcentaje de depreciación</t>
  </si>
  <si>
    <t>Gasto por depreciación</t>
  </si>
  <si>
    <t>Activos fijos</t>
  </si>
  <si>
    <t>Variación estimados y provisiones</t>
  </si>
  <si>
    <t>Pasivos estimados y provisiones</t>
  </si>
  <si>
    <t>Variación cuentas por pagar CP</t>
  </si>
  <si>
    <t>Variación Diferido</t>
  </si>
  <si>
    <t>Diferidos</t>
  </si>
  <si>
    <t>Incremento en Capex</t>
  </si>
  <si>
    <t>Capex Bruto</t>
  </si>
  <si>
    <t>Rotación cuenta por pagar</t>
  </si>
  <si>
    <t>Proeedores</t>
  </si>
  <si>
    <t>Rotación inventario</t>
  </si>
  <si>
    <t>Rotación cuenta por cobrar</t>
  </si>
  <si>
    <t>Cuenta por cobrar</t>
  </si>
  <si>
    <t>Porcentaje de otros gastos</t>
  </si>
  <si>
    <t>Otros gastos</t>
  </si>
  <si>
    <t>Porcentaje de otros ingresos</t>
  </si>
  <si>
    <t>Otros ingresos</t>
  </si>
  <si>
    <t>Porcenta por venta de activos inversiones</t>
  </si>
  <si>
    <t>Utilidad o perdida en venta de inversiones</t>
  </si>
  <si>
    <t>Porcentaje por venta de activos fijos</t>
  </si>
  <si>
    <t>Utilidad o perdida en venta de activos fijos</t>
  </si>
  <si>
    <t>Porcentaje de Ingresos Financieros</t>
  </si>
  <si>
    <t>Ingresos Finacieros/Otros ingresos</t>
  </si>
  <si>
    <t>Deuda Nueva 2 Porcentaje de Amortización</t>
  </si>
  <si>
    <t>Deuda Nueva 2 Amortización PL</t>
  </si>
  <si>
    <t>Deuda Nueva 1 Porcentaje de Amortización</t>
  </si>
  <si>
    <t>Deuda Nueva 1 Amortización PL</t>
  </si>
  <si>
    <t>Deuda Actual Porcentaje de Amortización</t>
  </si>
  <si>
    <t>Deuda Actual Amortización PL</t>
  </si>
  <si>
    <t>Porcentaje de Gastos de Operación</t>
  </si>
  <si>
    <t>Gastos de Operación</t>
  </si>
  <si>
    <t>Margen Bruto %</t>
  </si>
  <si>
    <t>Variación Ventas</t>
  </si>
  <si>
    <t>Capturador proyecciones clientes</t>
  </si>
  <si>
    <r>
      <t>Cobertura Cuota</t>
    </r>
    <r>
      <rPr>
        <sz val="10"/>
        <color theme="1"/>
        <rFont val="Arial"/>
        <family val="2"/>
      </rPr>
      <t xml:space="preserve"> (EBITDA/Servicio deuda)</t>
    </r>
  </si>
  <si>
    <t xml:space="preserve">Cobertura i (EBITDA/i)   </t>
  </si>
  <si>
    <t xml:space="preserve">Índices </t>
  </si>
  <si>
    <t xml:space="preserve">COBERTURA I (EBITDA/I)   </t>
  </si>
  <si>
    <t>DEUDA FINANCIERA / EBITDA</t>
  </si>
  <si>
    <t>Resultados de Proyección</t>
  </si>
  <si>
    <t>Supuestos de Proyección</t>
  </si>
  <si>
    <t>DOLARES</t>
  </si>
  <si>
    <t>LEMPIRAS</t>
  </si>
  <si>
    <t>Validador</t>
  </si>
  <si>
    <t>Endeudamiento Financiero</t>
  </si>
  <si>
    <t>Endeudamiento Total</t>
  </si>
  <si>
    <t>Rotación Inventario</t>
  </si>
  <si>
    <t>Evolución Ingresos Financieros</t>
  </si>
  <si>
    <t>Evolución Ventas</t>
  </si>
  <si>
    <t>Marge de Operación</t>
  </si>
  <si>
    <t>Margen Bruto Financiero</t>
  </si>
  <si>
    <t>Margen Bruto Comercial</t>
  </si>
  <si>
    <t>Otros ingresos y gastos</t>
  </si>
  <si>
    <t>Ebitida</t>
  </si>
  <si>
    <t>Utilidad de Operación</t>
  </si>
  <si>
    <t>Utilidad Financiera</t>
  </si>
  <si>
    <t>Ingresos Financieros</t>
  </si>
  <si>
    <t>Ventas (8)</t>
  </si>
  <si>
    <t>Datos Historicos $</t>
  </si>
  <si>
    <t>Otros Pasivos (7)</t>
  </si>
  <si>
    <t>Margen de Operación</t>
  </si>
  <si>
    <t>Proveedores (6)</t>
  </si>
  <si>
    <t>Obligaciones Financieras (5)</t>
  </si>
  <si>
    <t>Diferidos e Intangibles (4)</t>
  </si>
  <si>
    <t>Propiedad planta y Equipo (3)</t>
  </si>
  <si>
    <t>Cuentas por cobrar (2)</t>
  </si>
  <si>
    <t>Clientes (1)</t>
  </si>
  <si>
    <t>Historico LPS</t>
  </si>
  <si>
    <t>Deuda Financiera LP / EBITDA</t>
  </si>
  <si>
    <t>EBITDA/Servicio de la Deuda</t>
  </si>
  <si>
    <t>Margen Ebitda (9)</t>
  </si>
  <si>
    <t>Capex de Mantenimineto</t>
  </si>
  <si>
    <t>Numero de meses</t>
  </si>
  <si>
    <t>Proyecciones $</t>
  </si>
  <si>
    <t>Otros Pasivos (5)</t>
  </si>
  <si>
    <t>Proveedores (4)</t>
  </si>
  <si>
    <t>Margen Operacional (7)</t>
  </si>
  <si>
    <t>Otros activos (3)</t>
  </si>
  <si>
    <t>Ventas (6)</t>
  </si>
  <si>
    <t>Internos</t>
  </si>
  <si>
    <t>Auditados</t>
  </si>
  <si>
    <t>Factor de Cambio</t>
  </si>
  <si>
    <t>OTROS PASIVOS LP</t>
  </si>
  <si>
    <t>PERIODO</t>
  </si>
  <si>
    <t>OTROS ACTIVOS LP</t>
  </si>
  <si>
    <t>SALDO INICIAL DE CAJA EN CADA AÑO</t>
  </si>
  <si>
    <t>INFORMACIÓN DE APOYO</t>
  </si>
  <si>
    <t>USO (FUENTE) NETO DE CAJA (EFECTIVO USADO ENTRE CADA AÑO)</t>
  </si>
  <si>
    <t>- / + OTROS ACTIVOS L.P.</t>
  </si>
  <si>
    <t>- / + CARGOS DIFERIDOS NETO</t>
  </si>
  <si>
    <t>- / + INTANGIBLES NETO</t>
  </si>
  <si>
    <t>- / + INVERSIONES EN FILIALES Y ASOCIADAS (PERMANENTES)</t>
  </si>
  <si>
    <t>- / + OTROS CORRIENTES</t>
  </si>
  <si>
    <t>- / + DEUDORES VARIOS</t>
  </si>
  <si>
    <t>+ / - INGRESOS (EGRESOS) POR MÉTODO DE PARTICIPACIÓN</t>
  </si>
  <si>
    <t xml:space="preserve">+ / - OTROS PASIVOS DE LARGO PLAZO </t>
  </si>
  <si>
    <t>+ / - PASIVOS ESTIMADOS Y PROVISIONES (DIFERIDOS)</t>
  </si>
  <si>
    <t>+ / - IMPUESTOS DE L.P. (DIFERIDOS)</t>
  </si>
  <si>
    <t>+ / - DEUDAS CON SOCIOS L.P.</t>
  </si>
  <si>
    <t>+ / - PENSIONES DE JUBILACIÓN</t>
  </si>
  <si>
    <t>+ / - PRESTACIONES SOCIALES L.P.</t>
  </si>
  <si>
    <t>+ / - OTROS CORRIENTES</t>
  </si>
  <si>
    <t>+ / - PASIVOS ESTIMADOS Y PROVISIONES</t>
  </si>
  <si>
    <t>+ / - DEUDAS CON SOCIOS  C.P.</t>
  </si>
  <si>
    <t>+ / - PASIVOS DIFERIDOS C.P.</t>
  </si>
  <si>
    <t>-  DIVIDENDOS PAGADOS 0</t>
  </si>
  <si>
    <t>DÍAS DE PERIODO</t>
  </si>
  <si>
    <t>MES</t>
  </si>
  <si>
    <t>Moneda:</t>
  </si>
  <si>
    <t>Margen Utilidad</t>
  </si>
  <si>
    <t>Días Pago</t>
  </si>
  <si>
    <t>Días Inventario Bruto</t>
  </si>
  <si>
    <t>Días Cartera Bruta</t>
  </si>
  <si>
    <t>Margen Operativo</t>
  </si>
  <si>
    <t>Gastos de Administración y ventas / Ventas</t>
  </si>
  <si>
    <t>Costo de venta</t>
  </si>
  <si>
    <t>Diferencia</t>
  </si>
  <si>
    <t>Real</t>
  </si>
  <si>
    <t>Proyectado</t>
  </si>
  <si>
    <t>Periodo</t>
  </si>
  <si>
    <t>https://docs.google.com/spreadsheets/d/1vOSt9Ixo_dDLd1xfQVlXuI89PzitBO0gRxLraUwYcrs/edit#gid=1157585278</t>
  </si>
  <si>
    <t>Detalle de garantías (1 = la principal garantia del cliente, 2 = es la seguda garantía</t>
  </si>
  <si>
    <t>Protegida por derechos de Autor - Banco Davivienda CAM ver 2.5B  - 20230915</t>
  </si>
</sst>
</file>

<file path=xl/styles.xml><?xml version="1.0" encoding="utf-8"?>
<styleSheet xmlns="http://schemas.openxmlformats.org/spreadsheetml/2006/main">
  <numFmts count="55">
    <numFmt numFmtId="43" formatCode="_-* #,##0.00_-;\-* #,##0.00_-;_-* &quot;-&quot;??_-;_-@_-"/>
    <numFmt numFmtId="164" formatCode="&quot;$&quot;\ #,##0"/>
    <numFmt numFmtId="165" formatCode="mmmm\ /\ yyyy;@"/>
    <numFmt numFmtId="166" formatCode="&quot;NIT:  &quot;#,##0"/>
    <numFmt numFmtId="167" formatCode="0.0%"/>
    <numFmt numFmtId="168" formatCode="_(* #,##0_);_(* \(#,##0\);_(* &quot;-&quot;_);_(@_)"/>
    <numFmt numFmtId="169" formatCode="0.0"/>
    <numFmt numFmtId="170" formatCode="_(* #,##0.00_);_(* \(#,##0.00\);_(* &quot;-&quot;??_);_(@_)"/>
    <numFmt numFmtId="171" formatCode="yyyy"/>
    <numFmt numFmtId="172" formatCode="_(* #,##0_);_(* \(#,##0\);_(* &quot;-&quot;??_);_(@_)"/>
    <numFmt numFmtId="173" formatCode="_(&quot;$&quot;* #,##0.00_);_(&quot;$&quot;* \(#,##0.00\);_(&quot;$&quot;* &quot;-&quot;??_);_(@_)"/>
    <numFmt numFmtId="174" formatCode="&quot;PROY. &quot;#,##0"/>
    <numFmt numFmtId="175" formatCode="0.0%&quot;   &quot;"/>
    <numFmt numFmtId="176" formatCode="#,##0.0&quot;   &quot;"/>
    <numFmt numFmtId="177" formatCode="_(* #,##0.0_);_(* \(#,##0.0\);_(* &quot;-&quot;??_);_(@_)"/>
    <numFmt numFmtId="178" formatCode="#,##0&quot;   &quot;"/>
    <numFmt numFmtId="179" formatCode="&quot;$&quot;\ #,##0&quot;   &quot;"/>
    <numFmt numFmtId="180" formatCode="_(&quot;$&quot;* #,##0_);_(&quot;$&quot;* \(#,##0\);_(&quot;$&quot;* &quot;-&quot;??_);_(@_)"/>
    <numFmt numFmtId="181" formatCode="_-* #,##0\ _$_-;\-* #,##0\ _$_-;_-* &quot;-&quot;??\ _$_-;@"/>
    <numFmt numFmtId="182" formatCode="0.00_);\(0.00\)"/>
    <numFmt numFmtId="183" formatCode="_(&quot;$&quot;* #,##0_);_(&quot;$&quot;* \(#,##0\);_(&quot;$&quot;* &quot;-&quot;_);_(@_)"/>
    <numFmt numFmtId="184" formatCode="&quot;$&quot;#,##0"/>
    <numFmt numFmtId="185" formatCode="_-* #,##0.00\ _$_-;\-* #,##0.00\ _$_-;_-* &quot;-&quot;??\ _$_-;_-@_-"/>
    <numFmt numFmtId="186" formatCode="_-* #,##0\ _$_-;\-* #,##0\ _$_-;_-* &quot;-&quot;??\ _$_-;_-@_-"/>
    <numFmt numFmtId="187" formatCode="#,##0\ &quot;DÍAS&quot;"/>
    <numFmt numFmtId="188" formatCode="#,##0\ &quot;MM&quot;"/>
    <numFmt numFmtId="189" formatCode="0.000000"/>
    <numFmt numFmtId="190" formatCode="_ * #,##0_ ;_ * \-#,##0_ ;_ * &quot;-&quot;??_ ;_ @_ "/>
    <numFmt numFmtId="191" formatCode="0.00_)"/>
    <numFmt numFmtId="192" formatCode="#,##0.0;\-#,##0.0"/>
    <numFmt numFmtId="193" formatCode="#,##0.0"/>
    <numFmt numFmtId="194" formatCode="&quot;SÓLO &quot;#,##0"/>
    <numFmt numFmtId="195" formatCode="#,##0.0000;\-#,##0.0000"/>
    <numFmt numFmtId="196" formatCode="#,##0.000000;\-#,##0.000000"/>
    <numFmt numFmtId="197" formatCode="#,##0.000;\-#,##0.000"/>
    <numFmt numFmtId="198" formatCode="#,##0_ ;\(\ #,##0\ \)"/>
    <numFmt numFmtId="199" formatCode="_(&quot;$&quot;\ * #,##0_);_(&quot;$&quot;\ * \(#,##0\);_(&quot;$&quot;\ * &quot;-&quot;??_);_(@_)"/>
    <numFmt numFmtId="200" formatCode="&quot; Depurado&quot;_(* #,##0_);_(* \(#,##0\);_(* &quot;-&quot;??_);_(@_)"/>
    <numFmt numFmtId="201" formatCode="&quot;Depurado&quot;\ \(* #,##0_);_(* \(#,##0\);_(* &quot;-&quot;??_);_(@_)"/>
    <numFmt numFmtId="202" formatCode="&quot;Proy. Año en curso&quot;_(* #,##0_);_(* \(#,##0\);_(* &quot;-&quot;??_);_(@_)"/>
    <numFmt numFmtId="203" formatCode="&quot;Proy. año&quot;_(* #,##0_);_(* \(#,##0\);_(* &quot;-&quot;??_);_(@_)"/>
    <numFmt numFmtId="204" formatCode="_-* #,##0.00\ _€_-;\-* #,##0.00\ _€_-;_-* &quot;-&quot;??\ _€_-;_-@_-"/>
    <numFmt numFmtId="205" formatCode="_-* #,##0\ _€_-;\-* #,##0\ _€_-;_-* &quot;-&quot;??\ _€_-;_-@_-"/>
    <numFmt numFmtId="206" formatCode="#,##0\ &quot;%&quot;"/>
    <numFmt numFmtId="207" formatCode="_-* #,##0.00\ &quot;$&quot;_-;\-* #,##0.00\ &quot;$&quot;_-;_-* &quot;-&quot;??\ &quot;$&quot;_-;_-@_-"/>
    <numFmt numFmtId="208" formatCode="#,##0.0_);\(#,##0.0\)"/>
    <numFmt numFmtId="209" formatCode="&quot;$&quot;#,##0&quot;   &quot;;\-&quot;$&quot;#,##0&quot;   &quot;"/>
    <numFmt numFmtId="210" formatCode="\ #,##0\ &quot;%&quot;"/>
    <numFmt numFmtId="211" formatCode="_(\ * #,##0_);_(\ * \(#,##0\);_(\ * &quot;-&quot;??_);_(@_)"/>
    <numFmt numFmtId="212" formatCode="mm/yyyy"/>
    <numFmt numFmtId="213" formatCode="0\ &quot;MESES&quot;"/>
    <numFmt numFmtId="214" formatCode="#,##0_);[Red]\(#,##0\)"/>
    <numFmt numFmtId="215" formatCode="#,##0.000000000000000"/>
    <numFmt numFmtId="216" formatCode="_-* #,##0_-;\-* #,##0_-;_-* &quot;-&quot;??_-;_-@_-"/>
    <numFmt numFmtId="217" formatCode="#,##0_ ;\-#,##0\ "/>
  </numFmts>
  <fonts count="237">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
      <color theme="0"/>
      <name val="Calibri"/>
      <family val="2"/>
      <scheme val="minor"/>
    </font>
    <font>
      <sz val="10"/>
      <color rgb="FFFF0000"/>
      <name val="Arial"/>
      <family val="2"/>
    </font>
    <font>
      <sz val="9"/>
      <color theme="6" tint="0.59999389629810485"/>
      <name val="Calibri"/>
      <family val="2"/>
      <scheme val="minor"/>
    </font>
    <font>
      <b/>
      <sz val="12"/>
      <name val="Calibri"/>
      <family val="2"/>
      <scheme val="minor"/>
    </font>
    <font>
      <sz val="11"/>
      <name val="Calibri"/>
      <family val="2"/>
      <scheme val="minor"/>
    </font>
    <font>
      <b/>
      <sz val="10"/>
      <name val="Calibri"/>
      <family val="2"/>
      <scheme val="minor"/>
    </font>
    <font>
      <b/>
      <sz val="9"/>
      <color rgb="FFC00000"/>
      <name val="Calibri"/>
      <family val="2"/>
      <scheme val="minor"/>
    </font>
    <font>
      <sz val="9"/>
      <color theme="1"/>
      <name val="Calibri"/>
      <family val="2"/>
      <scheme val="minor"/>
    </font>
    <font>
      <sz val="10"/>
      <name val="Courier New"/>
      <family val="3"/>
    </font>
    <font>
      <b/>
      <sz val="12"/>
      <color indexed="16"/>
      <name val="Arial"/>
      <family val="2"/>
    </font>
    <font>
      <sz val="12"/>
      <name val="Arial"/>
      <family val="2"/>
    </font>
    <font>
      <b/>
      <sz val="12"/>
      <name val="Arial"/>
      <family val="2"/>
    </font>
    <font>
      <sz val="13"/>
      <name val="Arial"/>
      <family val="2"/>
    </font>
    <font>
      <b/>
      <sz val="18"/>
      <name val="Arial"/>
      <family val="2"/>
    </font>
    <font>
      <sz val="10"/>
      <name val="Arial"/>
      <family val="2"/>
    </font>
    <font>
      <b/>
      <sz val="11"/>
      <name val="Arial"/>
      <family val="2"/>
    </font>
    <font>
      <sz val="12"/>
      <color theme="1"/>
      <name val="Arial"/>
      <family val="2"/>
    </font>
    <font>
      <sz val="11"/>
      <name val="Arial"/>
      <family val="2"/>
    </font>
    <font>
      <b/>
      <sz val="16"/>
      <color theme="0"/>
      <name val="Calibri"/>
      <family val="2"/>
      <scheme val="minor"/>
    </font>
    <font>
      <b/>
      <sz val="11"/>
      <color rgb="FFFF0000"/>
      <name val="Calibri"/>
      <family val="2"/>
      <scheme val="minor"/>
    </font>
    <font>
      <sz val="10"/>
      <color indexed="9"/>
      <name val="Arial"/>
      <family val="2"/>
    </font>
    <font>
      <sz val="10"/>
      <color indexed="10"/>
      <name val="Arial"/>
      <family val="2"/>
    </font>
    <font>
      <b/>
      <sz val="11"/>
      <color rgb="FFFF0000"/>
      <name val="Arial"/>
      <family val="2"/>
    </font>
    <font>
      <sz val="8"/>
      <name val="Arial"/>
      <family val="2"/>
    </font>
    <font>
      <b/>
      <sz val="10"/>
      <color indexed="10"/>
      <name val="Arial"/>
      <family val="2"/>
    </font>
    <font>
      <b/>
      <sz val="8"/>
      <name val="Arial"/>
      <family val="2"/>
    </font>
    <font>
      <b/>
      <sz val="10"/>
      <name val="Arial"/>
      <family val="2"/>
    </font>
    <font>
      <b/>
      <sz val="9"/>
      <color indexed="9"/>
      <name val="Arial"/>
      <family val="2"/>
    </font>
    <font>
      <sz val="8"/>
      <color indexed="10"/>
      <name val="Arial"/>
      <family val="2"/>
    </font>
    <font>
      <b/>
      <sz val="8"/>
      <color indexed="10"/>
      <name val="Arial"/>
      <family val="2"/>
    </font>
    <font>
      <b/>
      <u/>
      <sz val="8"/>
      <name val="Arial"/>
      <family val="2"/>
    </font>
    <font>
      <sz val="8"/>
      <color indexed="17"/>
      <name val="Arial"/>
      <family val="2"/>
    </font>
    <font>
      <sz val="6"/>
      <color theme="0"/>
      <name val="Calibri"/>
      <family val="2"/>
    </font>
    <font>
      <sz val="10"/>
      <color theme="1"/>
      <name val="Calibri"/>
      <family val="2"/>
      <scheme val="minor"/>
    </font>
    <font>
      <u/>
      <sz val="11"/>
      <color theme="10"/>
      <name val="Calibri"/>
      <family val="2"/>
    </font>
    <font>
      <b/>
      <sz val="16"/>
      <color theme="1"/>
      <name val="Calibri"/>
      <family val="2"/>
    </font>
    <font>
      <sz val="6"/>
      <color theme="0"/>
      <name val="Calibri"/>
      <family val="2"/>
      <scheme val="minor"/>
    </font>
    <font>
      <b/>
      <sz val="10"/>
      <color theme="1"/>
      <name val="Calibri"/>
      <family val="2"/>
      <scheme val="minor"/>
    </font>
    <font>
      <b/>
      <sz val="11"/>
      <color theme="0" tint="-0.499984740745262"/>
      <name val="Calibri"/>
      <family val="2"/>
      <scheme val="minor"/>
    </font>
    <font>
      <b/>
      <sz val="8"/>
      <color theme="0" tint="-0.499984740745262"/>
      <name val="Calibri"/>
      <family val="2"/>
      <scheme val="minor"/>
    </font>
    <font>
      <b/>
      <sz val="16"/>
      <color theme="0"/>
      <name val="Calibri"/>
      <family val="2"/>
    </font>
    <font>
      <b/>
      <sz val="10"/>
      <color theme="0"/>
      <name val="Calibri"/>
      <family val="2"/>
      <scheme val="minor"/>
    </font>
    <font>
      <sz val="6"/>
      <name val="Calibri"/>
      <family val="2"/>
    </font>
    <font>
      <b/>
      <sz val="16.5"/>
      <name val="Arial"/>
      <family val="2"/>
    </font>
    <font>
      <sz val="15"/>
      <name val="Arial"/>
      <family val="2"/>
    </font>
    <font>
      <b/>
      <sz val="10"/>
      <color rgb="FFFF0000"/>
      <name val="Arial"/>
      <family val="2"/>
    </font>
    <font>
      <b/>
      <sz val="15"/>
      <color indexed="9"/>
      <name val="Arial"/>
      <family val="2"/>
    </font>
    <font>
      <b/>
      <sz val="15"/>
      <name val="Arial"/>
      <family val="2"/>
    </font>
    <font>
      <sz val="10"/>
      <color theme="1"/>
      <name val="Arial"/>
      <family val="2"/>
    </font>
    <font>
      <sz val="15"/>
      <color theme="1"/>
      <name val="Arial"/>
      <family val="2"/>
    </font>
    <font>
      <sz val="10"/>
      <color theme="1"/>
      <name val="Calibri"/>
      <family val="2"/>
    </font>
    <font>
      <sz val="10"/>
      <color indexed="8"/>
      <name val="Calibri"/>
      <family val="2"/>
    </font>
    <font>
      <b/>
      <sz val="15"/>
      <color theme="1"/>
      <name val="Arial"/>
      <family val="2"/>
    </font>
    <font>
      <b/>
      <sz val="16.5"/>
      <color theme="1"/>
      <name val="Arial"/>
      <family val="2"/>
    </font>
    <font>
      <b/>
      <sz val="11"/>
      <color theme="1"/>
      <name val="Calibri"/>
      <family val="2"/>
    </font>
    <font>
      <b/>
      <sz val="9"/>
      <color indexed="8"/>
      <name val="Calibri"/>
      <family val="2"/>
    </font>
    <font>
      <b/>
      <sz val="10"/>
      <color theme="1"/>
      <name val="Calibri"/>
      <family val="2"/>
    </font>
    <font>
      <b/>
      <sz val="18"/>
      <color theme="1"/>
      <name val="Arial"/>
      <family val="2"/>
    </font>
    <font>
      <i/>
      <sz val="12"/>
      <color theme="1"/>
      <name val="Arial"/>
      <family val="2"/>
    </font>
    <font>
      <sz val="15"/>
      <color theme="1"/>
      <name val="Calibri"/>
      <family val="2"/>
    </font>
    <font>
      <b/>
      <sz val="16"/>
      <color indexed="8"/>
      <name val="Calibri"/>
      <family val="2"/>
    </font>
    <font>
      <sz val="16"/>
      <color theme="1"/>
      <name val="Calibri"/>
      <family val="2"/>
      <scheme val="minor"/>
    </font>
    <font>
      <sz val="15"/>
      <color theme="1"/>
      <name val="Calibri"/>
      <family val="2"/>
      <scheme val="minor"/>
    </font>
    <font>
      <b/>
      <sz val="11"/>
      <color indexed="8"/>
      <name val="Calibri"/>
      <family val="2"/>
    </font>
    <font>
      <sz val="2"/>
      <color theme="0"/>
      <name val="Calibri"/>
      <family val="2"/>
    </font>
    <font>
      <b/>
      <sz val="2"/>
      <color theme="0"/>
      <name val="Calibri"/>
      <family val="2"/>
    </font>
    <font>
      <sz val="2"/>
      <color theme="0"/>
      <name val="Calibri"/>
      <family val="2"/>
      <scheme val="minor"/>
    </font>
    <font>
      <b/>
      <sz val="14"/>
      <color indexed="16"/>
      <name val="Arial"/>
      <family val="2"/>
    </font>
    <font>
      <b/>
      <sz val="22"/>
      <name val="Arial"/>
      <family val="2"/>
    </font>
    <font>
      <sz val="16"/>
      <name val="Arial"/>
      <family val="2"/>
    </font>
    <font>
      <sz val="24"/>
      <name val="Arial"/>
      <family val="2"/>
    </font>
    <font>
      <sz val="1"/>
      <color theme="0"/>
      <name val="Arial"/>
      <family val="2"/>
    </font>
    <font>
      <b/>
      <sz val="36"/>
      <color indexed="56"/>
      <name val="Arial"/>
      <family val="2"/>
    </font>
    <font>
      <sz val="36"/>
      <name val="Arial"/>
      <family val="2"/>
    </font>
    <font>
      <b/>
      <sz val="14"/>
      <color indexed="56"/>
      <name val="Arial"/>
      <family val="2"/>
    </font>
    <font>
      <b/>
      <sz val="20"/>
      <color indexed="56"/>
      <name val="Arial"/>
      <family val="2"/>
    </font>
    <font>
      <b/>
      <sz val="24"/>
      <color indexed="56"/>
      <name val="Arial"/>
      <family val="2"/>
    </font>
    <font>
      <b/>
      <sz val="20"/>
      <name val="Arial"/>
      <family val="2"/>
    </font>
    <font>
      <b/>
      <sz val="16"/>
      <name val="Arial"/>
      <family val="2"/>
    </font>
    <font>
      <sz val="10"/>
      <name val="Courier"/>
      <family val="3"/>
    </font>
    <font>
      <b/>
      <sz val="14"/>
      <name val="Arial"/>
      <family val="2"/>
    </font>
    <font>
      <sz val="20"/>
      <name val="ARIAL"/>
      <family val="2"/>
    </font>
    <font>
      <sz val="18"/>
      <name val="Arial"/>
      <family val="2"/>
    </font>
    <font>
      <b/>
      <sz val="18"/>
      <color indexed="56"/>
      <name val="Arial"/>
      <family val="2"/>
    </font>
    <font>
      <b/>
      <sz val="20"/>
      <color indexed="62"/>
      <name val="Arial"/>
      <family val="2"/>
    </font>
    <font>
      <sz val="20"/>
      <color indexed="62"/>
      <name val="Arial"/>
      <family val="2"/>
    </font>
    <font>
      <b/>
      <sz val="20"/>
      <color indexed="9"/>
      <name val="Arial"/>
      <family val="2"/>
    </font>
    <font>
      <b/>
      <sz val="20"/>
      <color indexed="12"/>
      <name val="Arial"/>
      <family val="2"/>
    </font>
    <font>
      <sz val="20"/>
      <color theme="1"/>
      <name val="Arial"/>
      <family val="2"/>
    </font>
    <font>
      <sz val="16"/>
      <color theme="1"/>
      <name val="ARIAL"/>
      <family val="2"/>
    </font>
    <font>
      <sz val="18"/>
      <color indexed="9"/>
      <name val="Arial"/>
      <family val="2"/>
    </font>
    <font>
      <b/>
      <sz val="17"/>
      <name val="Arial"/>
      <family val="2"/>
    </font>
    <font>
      <vertAlign val="superscript"/>
      <sz val="24"/>
      <name val="Arial"/>
      <family val="2"/>
    </font>
    <font>
      <b/>
      <sz val="8"/>
      <color theme="1"/>
      <name val="Arial"/>
      <family val="2"/>
    </font>
    <font>
      <sz val="9"/>
      <name val="Arial"/>
      <family val="2"/>
    </font>
    <font>
      <b/>
      <sz val="9"/>
      <name val="Arial"/>
      <family val="2"/>
    </font>
    <font>
      <b/>
      <i/>
      <sz val="10"/>
      <name val="Arial"/>
      <family val="2"/>
    </font>
    <font>
      <b/>
      <i/>
      <sz val="9"/>
      <color indexed="10"/>
      <name val="Arial"/>
      <family val="2"/>
    </font>
    <font>
      <b/>
      <i/>
      <sz val="8"/>
      <name val="Arial"/>
      <family val="2"/>
    </font>
    <font>
      <i/>
      <sz val="9"/>
      <name val="Arial"/>
      <family val="2"/>
    </font>
    <font>
      <i/>
      <sz val="8"/>
      <name val="Arial"/>
      <family val="2"/>
    </font>
    <font>
      <i/>
      <sz val="10"/>
      <name val="Arial"/>
      <family val="2"/>
    </font>
    <font>
      <b/>
      <i/>
      <sz val="9"/>
      <name val="Arial"/>
      <family val="2"/>
    </font>
    <font>
      <b/>
      <i/>
      <sz val="10"/>
      <color indexed="56"/>
      <name val="Arial"/>
      <family val="2"/>
    </font>
    <font>
      <b/>
      <i/>
      <sz val="8"/>
      <color indexed="56"/>
      <name val="Arial"/>
      <family val="2"/>
    </font>
    <font>
      <b/>
      <i/>
      <sz val="9"/>
      <color indexed="56"/>
      <name val="Arial"/>
      <family val="2"/>
    </font>
    <font>
      <sz val="11"/>
      <color indexed="10"/>
      <name val="Arial"/>
      <family val="2"/>
    </font>
    <font>
      <b/>
      <sz val="7"/>
      <name val="Arial"/>
      <family val="2"/>
    </font>
    <font>
      <b/>
      <sz val="9"/>
      <color indexed="10"/>
      <name val="Arial"/>
      <family val="2"/>
    </font>
    <font>
      <sz val="8"/>
      <color theme="1"/>
      <name val="Arial"/>
      <family val="2"/>
    </font>
    <font>
      <b/>
      <sz val="9"/>
      <color indexed="22"/>
      <name val="Arial"/>
      <family val="2"/>
    </font>
    <font>
      <sz val="9"/>
      <color indexed="9"/>
      <name val="Arial"/>
      <family val="2"/>
    </font>
    <font>
      <b/>
      <i/>
      <sz val="9"/>
      <color indexed="22"/>
      <name val="Arial"/>
      <family val="2"/>
    </font>
    <font>
      <i/>
      <sz val="9"/>
      <color indexed="9"/>
      <name val="Arial"/>
      <family val="2"/>
    </font>
    <font>
      <b/>
      <i/>
      <sz val="9"/>
      <color indexed="9"/>
      <name val="Arial"/>
      <family val="2"/>
    </font>
    <font>
      <b/>
      <sz val="10"/>
      <color indexed="62"/>
      <name val="Arial"/>
      <family val="2"/>
    </font>
    <font>
      <sz val="10"/>
      <color indexed="62"/>
      <name val="Arial"/>
      <family val="2"/>
    </font>
    <font>
      <b/>
      <sz val="10"/>
      <color indexed="21"/>
      <name val="Arial"/>
      <family val="2"/>
    </font>
    <font>
      <b/>
      <sz val="10"/>
      <color indexed="36"/>
      <name val="Arial"/>
      <family val="2"/>
    </font>
    <font>
      <sz val="8"/>
      <color indexed="9"/>
      <name val="Arial"/>
      <family val="2"/>
    </font>
    <font>
      <b/>
      <sz val="11"/>
      <color indexed="16"/>
      <name val="Arial"/>
      <family val="2"/>
    </font>
    <font>
      <b/>
      <sz val="10"/>
      <color indexed="9"/>
      <name val="Arial"/>
      <family val="2"/>
    </font>
    <font>
      <b/>
      <sz val="8"/>
      <color indexed="12"/>
      <name val="Arial"/>
      <family val="2"/>
    </font>
    <font>
      <b/>
      <sz val="8"/>
      <color indexed="17"/>
      <name val="Arial"/>
      <family val="2"/>
    </font>
    <font>
      <b/>
      <sz val="8"/>
      <color indexed="50"/>
      <name val="Arial"/>
      <family val="2"/>
    </font>
    <font>
      <b/>
      <sz val="10"/>
      <color indexed="60"/>
      <name val="Arial"/>
      <family val="2"/>
    </font>
    <font>
      <i/>
      <sz val="10"/>
      <color indexed="18"/>
      <name val="Arial"/>
      <family val="2"/>
    </font>
    <font>
      <b/>
      <vertAlign val="superscript"/>
      <sz val="8"/>
      <name val="Arial"/>
      <family val="2"/>
    </font>
    <font>
      <b/>
      <sz val="13"/>
      <color indexed="16"/>
      <name val="Arial"/>
      <family val="2"/>
    </font>
    <font>
      <sz val="13"/>
      <color indexed="16"/>
      <name val="Arial"/>
      <family val="2"/>
    </font>
    <font>
      <sz val="14"/>
      <color indexed="16"/>
      <name val="Arial"/>
      <family val="2"/>
    </font>
    <font>
      <sz val="12"/>
      <color indexed="16"/>
      <name val="Arial"/>
      <family val="2"/>
    </font>
    <font>
      <b/>
      <i/>
      <sz val="14"/>
      <color indexed="16"/>
      <name val="Arial"/>
      <family val="2"/>
    </font>
    <font>
      <b/>
      <i/>
      <sz val="13"/>
      <color indexed="16"/>
      <name val="Arial"/>
      <family val="2"/>
    </font>
    <font>
      <b/>
      <i/>
      <sz val="12"/>
      <color indexed="16"/>
      <name val="Arial"/>
      <family val="2"/>
    </font>
    <font>
      <b/>
      <sz val="10"/>
      <color rgb="FFC00000"/>
      <name val="Arial"/>
      <family val="2"/>
    </font>
    <font>
      <sz val="8"/>
      <color indexed="57"/>
      <name val="Arial"/>
      <family val="2"/>
    </font>
    <font>
      <sz val="8"/>
      <color indexed="52"/>
      <name val="Arial"/>
      <family val="2"/>
    </font>
    <font>
      <sz val="8"/>
      <color indexed="12"/>
      <name val="Arial"/>
      <family val="2"/>
    </font>
    <font>
      <sz val="8"/>
      <color indexed="14"/>
      <name val="Arial"/>
      <family val="2"/>
    </font>
    <font>
      <sz val="8"/>
      <color indexed="20"/>
      <name val="Arial"/>
      <family val="2"/>
    </font>
    <font>
      <b/>
      <sz val="24"/>
      <name val="Arial"/>
      <family val="2"/>
    </font>
    <font>
      <sz val="22"/>
      <name val="Arial"/>
      <family val="2"/>
    </font>
    <font>
      <b/>
      <sz val="22"/>
      <color theme="0"/>
      <name val="Arial"/>
      <family val="2"/>
    </font>
    <font>
      <b/>
      <sz val="22"/>
      <color theme="1"/>
      <name val="Arial"/>
      <family val="2"/>
    </font>
    <font>
      <sz val="22"/>
      <color theme="1"/>
      <name val="Arial"/>
      <family val="2"/>
    </font>
    <font>
      <sz val="16"/>
      <color theme="0" tint="-0.34998626667073579"/>
      <name val="Arial"/>
      <family val="2"/>
    </font>
    <font>
      <i/>
      <sz val="22"/>
      <color theme="1"/>
      <name val="Arial"/>
      <family val="2"/>
    </font>
    <font>
      <i/>
      <sz val="20"/>
      <color theme="1"/>
      <name val="Arial"/>
      <family val="2"/>
    </font>
    <font>
      <b/>
      <sz val="26"/>
      <name val="Arial"/>
      <family val="2"/>
    </font>
    <font>
      <b/>
      <sz val="16"/>
      <color theme="1"/>
      <name val="Calibri"/>
      <family val="2"/>
      <scheme val="minor"/>
    </font>
    <font>
      <sz val="9"/>
      <color theme="0"/>
      <name val="Arial"/>
      <family val="2"/>
    </font>
    <font>
      <sz val="14"/>
      <name val="Arial"/>
      <family val="2"/>
    </font>
    <font>
      <b/>
      <sz val="14"/>
      <color theme="1"/>
      <name val="Calibri"/>
      <family val="2"/>
      <scheme val="minor"/>
    </font>
    <font>
      <b/>
      <sz val="18"/>
      <color theme="0"/>
      <name val="Calibri"/>
      <family val="2"/>
      <scheme val="minor"/>
    </font>
    <font>
      <sz val="16"/>
      <color theme="0"/>
      <name val="Calibri"/>
      <family val="2"/>
      <scheme val="minor"/>
    </font>
    <font>
      <sz val="18"/>
      <color theme="1"/>
      <name val="Calibri"/>
      <family val="2"/>
      <scheme val="minor"/>
    </font>
    <font>
      <sz val="14"/>
      <color theme="1"/>
      <name val="Calibri"/>
      <family val="2"/>
      <scheme val="minor"/>
    </font>
    <font>
      <b/>
      <sz val="14"/>
      <color theme="0"/>
      <name val="Calibri"/>
      <family val="2"/>
      <scheme val="minor"/>
    </font>
    <font>
      <b/>
      <sz val="20"/>
      <color theme="1"/>
      <name val="Arial"/>
      <family val="2"/>
    </font>
    <font>
      <b/>
      <sz val="20"/>
      <color theme="0"/>
      <name val="Arial"/>
      <family val="2"/>
    </font>
    <font>
      <i/>
      <sz val="18"/>
      <color theme="0"/>
      <name val="Arial"/>
      <family val="2"/>
    </font>
    <font>
      <b/>
      <i/>
      <sz val="12"/>
      <name val="Arial"/>
      <family val="2"/>
    </font>
    <font>
      <b/>
      <sz val="20"/>
      <color theme="0"/>
      <name val="Calibri"/>
      <family val="2"/>
      <scheme val="minor"/>
    </font>
    <font>
      <b/>
      <sz val="22"/>
      <color theme="1"/>
      <name val="Calibri"/>
      <family val="2"/>
      <scheme val="minor"/>
    </font>
    <font>
      <b/>
      <u/>
      <sz val="20"/>
      <color theme="1"/>
      <name val="Arial"/>
      <family val="2"/>
    </font>
    <font>
      <b/>
      <sz val="18"/>
      <color theme="1"/>
      <name val="Calibri"/>
      <family val="2"/>
      <scheme val="minor"/>
    </font>
    <font>
      <sz val="11"/>
      <color theme="2" tint="-0.249977111117893"/>
      <name val="Calibri"/>
      <family val="2"/>
      <scheme val="minor"/>
    </font>
    <font>
      <b/>
      <sz val="12"/>
      <color theme="1"/>
      <name val="Calibri"/>
      <family val="2"/>
      <scheme val="minor"/>
    </font>
    <font>
      <sz val="14"/>
      <color theme="0"/>
      <name val="Calibri"/>
      <family val="2"/>
      <scheme val="minor"/>
    </font>
    <font>
      <i/>
      <sz val="14"/>
      <color theme="1"/>
      <name val="Arial"/>
      <family val="2"/>
    </font>
    <font>
      <b/>
      <i/>
      <sz val="14"/>
      <color theme="1"/>
      <name val="Calibri"/>
      <family val="2"/>
      <scheme val="minor"/>
    </font>
    <font>
      <b/>
      <i/>
      <sz val="11"/>
      <color theme="0"/>
      <name val="Calibri"/>
      <family val="2"/>
      <scheme val="minor"/>
    </font>
    <font>
      <b/>
      <sz val="16"/>
      <color theme="0"/>
      <name val="Arial"/>
      <family val="2"/>
    </font>
    <font>
      <b/>
      <sz val="8"/>
      <color indexed="16"/>
      <name val="Arial"/>
      <family val="2"/>
    </font>
    <font>
      <b/>
      <sz val="1"/>
      <color theme="0"/>
      <name val="Arial"/>
      <family val="2"/>
    </font>
    <font>
      <i/>
      <sz val="12"/>
      <name val="Arial"/>
      <family val="2"/>
    </font>
    <font>
      <b/>
      <sz val="9"/>
      <color indexed="16"/>
      <name val="Arial"/>
      <family val="2"/>
    </font>
    <font>
      <b/>
      <sz val="10"/>
      <color indexed="16"/>
      <name val="Arial"/>
      <family val="2"/>
    </font>
    <font>
      <sz val="10"/>
      <color indexed="16"/>
      <name val="Arial"/>
      <family val="2"/>
    </font>
    <font>
      <b/>
      <i/>
      <sz val="10"/>
      <color indexed="16"/>
      <name val="Arial"/>
      <family val="2"/>
    </font>
    <font>
      <b/>
      <sz val="10"/>
      <color indexed="20"/>
      <name val="Arial"/>
      <family val="2"/>
    </font>
    <font>
      <b/>
      <sz val="9"/>
      <color indexed="12"/>
      <name val="Arial"/>
      <family val="2"/>
    </font>
    <font>
      <b/>
      <sz val="9"/>
      <color indexed="17"/>
      <name val="Arial"/>
      <family val="2"/>
    </font>
    <font>
      <sz val="9"/>
      <color indexed="57"/>
      <name val="Arial"/>
      <family val="2"/>
    </font>
    <font>
      <sz val="9"/>
      <color indexed="52"/>
      <name val="Arial"/>
      <family val="2"/>
    </font>
    <font>
      <sz val="9"/>
      <color indexed="12"/>
      <name val="Arial"/>
      <family val="2"/>
    </font>
    <font>
      <sz val="9"/>
      <color indexed="20"/>
      <name val="Arial"/>
      <family val="2"/>
    </font>
    <font>
      <sz val="14"/>
      <color theme="1"/>
      <name val="Arial"/>
      <family val="2"/>
    </font>
    <font>
      <b/>
      <sz val="14"/>
      <color theme="1"/>
      <name val="Arial"/>
      <family val="2"/>
    </font>
    <font>
      <sz val="14"/>
      <color rgb="FF000000"/>
      <name val="Arial"/>
      <family val="2"/>
    </font>
    <font>
      <b/>
      <sz val="14"/>
      <color rgb="FF000000"/>
      <name val="Calibri"/>
      <family val="2"/>
    </font>
    <font>
      <sz val="14"/>
      <color rgb="FF000000"/>
      <name val="Calibri"/>
      <family val="2"/>
    </font>
    <font>
      <sz val="14"/>
      <color theme="0"/>
      <name val="Arial"/>
      <family val="2"/>
    </font>
    <font>
      <sz val="15"/>
      <color theme="0" tint="-0.34998626667073579"/>
      <name val="Calibri"/>
      <family val="2"/>
      <scheme val="minor"/>
    </font>
    <font>
      <sz val="14"/>
      <color theme="0" tint="-0.34998626667073579"/>
      <name val="Arial"/>
      <family val="2"/>
    </font>
    <font>
      <b/>
      <sz val="14"/>
      <color theme="0" tint="-0.34998626667073579"/>
      <name val="Arial"/>
      <family val="2"/>
    </font>
    <font>
      <sz val="12"/>
      <color theme="0" tint="-0.34998626667073579"/>
      <name val="Arial"/>
      <family val="2"/>
    </font>
    <font>
      <sz val="21"/>
      <color theme="1"/>
      <name val="Arial"/>
      <family val="2"/>
    </font>
    <font>
      <sz val="1"/>
      <color theme="0"/>
      <name val="Calibri"/>
      <family val="2"/>
    </font>
    <font>
      <b/>
      <sz val="16"/>
      <color rgb="FFFF0000"/>
      <name val="Arial"/>
      <family val="2"/>
    </font>
    <font>
      <b/>
      <sz val="11"/>
      <color theme="0"/>
      <name val="Calibri"/>
      <family val="2"/>
      <scheme val="minor"/>
    </font>
    <font>
      <sz val="10"/>
      <color rgb="FF000000"/>
      <name val="Arial"/>
      <family val="2"/>
    </font>
    <font>
      <b/>
      <u/>
      <sz val="11"/>
      <name val="Arial"/>
      <family val="2"/>
    </font>
    <font>
      <sz val="10"/>
      <color rgb="FFFFFFFF"/>
      <name val="Arial"/>
      <family val="2"/>
    </font>
    <font>
      <b/>
      <sz val="7"/>
      <color rgb="FF000000"/>
      <name val="Arial"/>
      <family val="2"/>
    </font>
    <font>
      <sz val="7"/>
      <name val="Arial"/>
      <family val="2"/>
    </font>
    <font>
      <sz val="7"/>
      <color rgb="FF000000"/>
      <name val="Arial"/>
      <family val="2"/>
    </font>
    <font>
      <u/>
      <sz val="9"/>
      <color rgb="FF0000FF"/>
      <name val="Arial"/>
      <family val="2"/>
    </font>
    <font>
      <sz val="11"/>
      <color theme="1"/>
      <name val="Arial"/>
      <family val="2"/>
    </font>
    <font>
      <b/>
      <sz val="10"/>
      <color rgb="FFFFFFFF"/>
      <name val="Arial"/>
      <family val="2"/>
    </font>
    <font>
      <sz val="10"/>
      <color theme="0"/>
      <name val="Arial"/>
      <family val="2"/>
    </font>
    <font>
      <sz val="10"/>
      <color theme="0"/>
      <name val="Calibri"/>
      <family val="2"/>
      <scheme val="minor"/>
    </font>
    <font>
      <b/>
      <sz val="10"/>
      <color theme="0"/>
      <name val="Arial"/>
      <family val="2"/>
    </font>
    <font>
      <sz val="11"/>
      <color rgb="FFFFFFFF"/>
      <name val="Calibri"/>
      <family val="2"/>
      <scheme val="minor"/>
    </font>
    <font>
      <b/>
      <sz val="11"/>
      <color rgb="FFFFFFFF"/>
      <name val="Calibri"/>
      <family val="2"/>
      <scheme val="minor"/>
    </font>
    <font>
      <sz val="11"/>
      <color rgb="FF000000"/>
      <name val="Calibri"/>
      <family val="2"/>
      <scheme val="minor"/>
    </font>
    <font>
      <sz val="10"/>
      <color rgb="FF000000"/>
      <name val="Calibri"/>
      <family val="2"/>
      <scheme val="minor"/>
    </font>
    <font>
      <b/>
      <sz val="12"/>
      <color rgb="FFFFFFFF"/>
      <name val="Calibri"/>
      <family val="2"/>
      <scheme val="minor"/>
    </font>
    <font>
      <b/>
      <sz val="10"/>
      <color theme="1"/>
      <name val="Arial"/>
      <family val="2"/>
    </font>
    <font>
      <i/>
      <sz val="8"/>
      <color theme="1"/>
      <name val="Calibri"/>
      <family val="2"/>
      <scheme val="minor"/>
    </font>
    <font>
      <b/>
      <sz val="10"/>
      <color rgb="FF000000"/>
      <name val="Calibri"/>
      <family val="2"/>
      <scheme val="minor"/>
    </font>
    <font>
      <b/>
      <sz val="10"/>
      <color rgb="FFFFFFFF"/>
      <name val="Calibri"/>
      <family val="2"/>
      <scheme val="minor"/>
    </font>
    <font>
      <sz val="14"/>
      <color rgb="FF000000"/>
      <name val="Calibri"/>
      <family val="2"/>
      <scheme val="minor"/>
    </font>
    <font>
      <b/>
      <sz val="14"/>
      <color rgb="FFFFFFFF"/>
      <name val="Calibri"/>
      <family val="2"/>
      <scheme val="minor"/>
    </font>
    <font>
      <sz val="8"/>
      <color theme="0"/>
      <name val="Arial"/>
      <family val="2"/>
    </font>
    <font>
      <sz val="11"/>
      <color theme="1"/>
      <name val="Wingdings 2"/>
      <family val="1"/>
      <charset val="2"/>
    </font>
    <font>
      <sz val="24"/>
      <color theme="1"/>
      <name val="Calibri"/>
      <family val="2"/>
      <scheme val="minor"/>
    </font>
    <font>
      <sz val="26"/>
      <color theme="1"/>
      <name val="Calibri"/>
      <family val="2"/>
      <scheme val="minor"/>
    </font>
    <font>
      <b/>
      <sz val="26"/>
      <color theme="0"/>
      <name val="Calibri"/>
      <family val="2"/>
      <scheme val="minor"/>
    </font>
    <font>
      <sz val="10"/>
      <name val="Calibri"/>
      <family val="2"/>
      <scheme val="minor"/>
    </font>
    <font>
      <sz val="2"/>
      <color theme="1"/>
      <name val="Calibri"/>
      <family val="2"/>
      <scheme val="minor"/>
    </font>
  </fonts>
  <fills count="49">
    <fill>
      <patternFill patternType="none"/>
    </fill>
    <fill>
      <patternFill patternType="gray125"/>
    </fill>
    <fill>
      <patternFill patternType="solid">
        <fgColor rgb="FFFFFF00"/>
        <bgColor indexed="64"/>
      </patternFill>
    </fill>
    <fill>
      <patternFill patternType="solid">
        <fgColor theme="0"/>
        <bgColor theme="0"/>
      </patternFill>
    </fill>
    <fill>
      <patternFill patternType="solid">
        <fgColor rgb="FFC00000"/>
        <bgColor indexed="64"/>
      </patternFill>
    </fill>
    <fill>
      <patternFill patternType="solid">
        <fgColor theme="0" tint="-0.14999847407452621"/>
        <bgColor indexed="64"/>
      </patternFill>
    </fill>
    <fill>
      <patternFill patternType="solid">
        <fgColor indexed="10"/>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rgb="FFFFC000"/>
        <bgColor indexed="64"/>
      </patternFill>
    </fill>
    <fill>
      <patternFill patternType="solid">
        <fgColor theme="0"/>
        <bgColor indexed="64"/>
      </patternFill>
    </fill>
    <fill>
      <patternFill patternType="solid">
        <fgColor indexed="65"/>
        <bgColor indexed="64"/>
      </patternFill>
    </fill>
    <fill>
      <patternFill patternType="gray0625">
        <fgColor indexed="47"/>
        <bgColor indexed="47"/>
      </patternFill>
    </fill>
    <fill>
      <patternFill patternType="solid">
        <fgColor indexed="47"/>
        <bgColor indexed="47"/>
      </patternFill>
    </fill>
    <fill>
      <patternFill patternType="solid">
        <fgColor indexed="22"/>
        <bgColor indexed="22"/>
      </patternFill>
    </fill>
    <fill>
      <patternFill patternType="solid">
        <fgColor indexed="22"/>
        <bgColor indexed="47"/>
      </patternFill>
    </fill>
    <fill>
      <patternFill patternType="solid">
        <fgColor indexed="65"/>
        <bgColor indexed="47"/>
      </patternFill>
    </fill>
    <fill>
      <patternFill patternType="solid">
        <fgColor rgb="FFFF0000"/>
        <bgColor indexed="64"/>
      </patternFill>
    </fill>
    <fill>
      <patternFill patternType="solid">
        <fgColor indexed="9"/>
        <bgColor indexed="47"/>
      </patternFill>
    </fill>
    <fill>
      <patternFill patternType="gray0625">
        <fgColor indexed="47"/>
        <bgColor rgb="FFFF0000"/>
      </patternFill>
    </fill>
    <fill>
      <patternFill patternType="gray0625">
        <fgColor indexed="22"/>
        <bgColor indexed="22"/>
      </patternFill>
    </fill>
    <fill>
      <patternFill patternType="solid">
        <fgColor indexed="12"/>
        <bgColor indexed="64"/>
      </patternFill>
    </fill>
    <fill>
      <patternFill patternType="solid">
        <fgColor indexed="17"/>
        <bgColor indexed="64"/>
      </patternFill>
    </fill>
    <fill>
      <patternFill patternType="solid">
        <fgColor indexed="47"/>
        <bgColor indexed="22"/>
      </patternFill>
    </fill>
    <fill>
      <patternFill patternType="solid">
        <fgColor theme="1"/>
        <bgColor indexed="64"/>
      </patternFill>
    </fill>
    <fill>
      <patternFill patternType="solid">
        <fgColor theme="6"/>
        <bgColor indexed="64"/>
      </patternFill>
    </fill>
    <fill>
      <patternFill patternType="solid">
        <fgColor theme="0" tint="-0.499984740745262"/>
        <bgColor indexed="64"/>
      </patternFill>
    </fill>
    <fill>
      <patternFill patternType="solid">
        <fgColor rgb="FF92D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patternFill>
    </fill>
    <fill>
      <patternFill patternType="solid">
        <fgColor rgb="FFCFE2F3"/>
        <bgColor rgb="FFCFE2F3"/>
      </patternFill>
    </fill>
    <fill>
      <patternFill patternType="solid">
        <fgColor rgb="FFFFFFFF"/>
        <bgColor rgb="FFFFFFFF"/>
      </patternFill>
    </fill>
    <fill>
      <patternFill patternType="solid">
        <fgColor rgb="FFCC0000"/>
        <bgColor indexed="64"/>
      </patternFill>
    </fill>
    <fill>
      <patternFill patternType="solid">
        <fgColor rgb="FFB7B7B7"/>
        <bgColor indexed="64"/>
      </patternFill>
    </fill>
    <fill>
      <patternFill patternType="solid">
        <fgColor rgb="FF002060"/>
        <bgColor indexed="64"/>
      </patternFill>
    </fill>
    <fill>
      <patternFill patternType="solid">
        <fgColor theme="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rgb="FFFFFFFF"/>
        <bgColor indexed="64"/>
      </patternFill>
    </fill>
    <fill>
      <patternFill patternType="solid">
        <fgColor theme="6" tint="0.39997558519241921"/>
        <bgColor indexed="64"/>
      </patternFill>
    </fill>
    <fill>
      <patternFill patternType="solid">
        <fgColor theme="4" tint="-0.499984740745262"/>
        <bgColor indexed="64"/>
      </patternFill>
    </fill>
  </fills>
  <borders count="675">
    <border>
      <left/>
      <right/>
      <top/>
      <bottom/>
      <diagonal/>
    </border>
    <border>
      <left style="medium">
        <color indexed="64"/>
      </left>
      <right style="hair">
        <color theme="0" tint="-0.34998626667073579"/>
      </right>
      <top style="medium">
        <color indexed="64"/>
      </top>
      <bottom style="hair">
        <color theme="0" tint="-0.34998626667073579"/>
      </bottom>
      <diagonal/>
    </border>
    <border>
      <left style="hair">
        <color theme="0" tint="-0.34998626667073579"/>
      </left>
      <right style="hair">
        <color theme="0" tint="-0.34998626667073579"/>
      </right>
      <top style="medium">
        <color indexed="64"/>
      </top>
      <bottom style="hair">
        <color theme="0" tint="-0.34998626667073579"/>
      </bottom>
      <diagonal/>
    </border>
    <border>
      <left style="hair">
        <color theme="0" tint="-0.34998626667073579"/>
      </left>
      <right style="medium">
        <color indexed="64"/>
      </right>
      <top style="medium">
        <color indexed="64"/>
      </top>
      <bottom style="hair">
        <color theme="0" tint="-0.34998626667073579"/>
      </bottom>
      <diagonal/>
    </border>
    <border>
      <left style="medium">
        <color indexed="64"/>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medium">
        <color indexed="64"/>
      </right>
      <top style="hair">
        <color theme="0" tint="-0.34998626667073579"/>
      </top>
      <bottom style="hair">
        <color theme="0" tint="-0.34998626667073579"/>
      </bottom>
      <diagonal/>
    </border>
    <border>
      <left style="medium">
        <color indexed="64"/>
      </left>
      <right style="hair">
        <color theme="0" tint="-0.34998626667073579"/>
      </right>
      <top style="hair">
        <color theme="0" tint="-0.34998626667073579"/>
      </top>
      <bottom style="medium">
        <color indexed="64"/>
      </bottom>
      <diagonal/>
    </border>
    <border>
      <left style="hair">
        <color theme="0" tint="-0.34998626667073579"/>
      </left>
      <right style="hair">
        <color theme="0" tint="-0.34998626667073579"/>
      </right>
      <top style="hair">
        <color theme="0" tint="-0.34998626667073579"/>
      </top>
      <bottom style="medium">
        <color indexed="64"/>
      </bottom>
      <diagonal/>
    </border>
    <border>
      <left style="hair">
        <color theme="0" tint="-0.34998626667073579"/>
      </left>
      <right style="medium">
        <color indexed="64"/>
      </right>
      <top style="hair">
        <color theme="0" tint="-0.34998626667073579"/>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hair">
        <color indexed="64"/>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top/>
      <bottom style="thin">
        <color indexed="64"/>
      </bottom>
      <diagonal/>
    </border>
    <border>
      <left style="thin">
        <color indexed="64"/>
      </left>
      <right/>
      <top/>
      <bottom style="thin">
        <color rgb="FF000000"/>
      </bottom>
      <diagonal/>
    </border>
    <border>
      <left style="hair">
        <color indexed="64"/>
      </left>
      <right style="thin">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hair">
        <color indexed="64"/>
      </left>
      <right style="hair">
        <color indexed="64"/>
      </right>
      <top style="thin">
        <color indexed="64"/>
      </top>
      <bottom style="hair">
        <color indexed="64"/>
      </bottom>
      <diagonal/>
    </border>
    <border>
      <left style="hair">
        <color indexed="64"/>
      </left>
      <right style="thin">
        <color rgb="FF000000"/>
      </right>
      <top style="thin">
        <color indexed="64"/>
      </top>
      <bottom style="hair">
        <color indexed="64"/>
      </bottom>
      <diagonal/>
    </border>
    <border>
      <left style="thin">
        <color rgb="FF000000"/>
      </left>
      <right/>
      <top style="thin">
        <color indexed="64"/>
      </top>
      <bottom/>
      <diagonal/>
    </border>
    <border>
      <left/>
      <right style="dotted">
        <color rgb="FF000000"/>
      </right>
      <top style="thin">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rgb="FF000000"/>
      </right>
      <top style="hair">
        <color indexed="64"/>
      </top>
      <bottom style="thin">
        <color indexed="64"/>
      </bottom>
      <diagonal/>
    </border>
    <border>
      <left style="thin">
        <color rgb="FF000000"/>
      </left>
      <right/>
      <top/>
      <bottom style="thin">
        <color indexed="64"/>
      </bottom>
      <diagonal/>
    </border>
    <border>
      <left/>
      <right style="dotted">
        <color rgb="FF000000"/>
      </right>
      <top/>
      <bottom style="thin">
        <color indexed="64"/>
      </bottom>
      <diagonal/>
    </border>
    <border>
      <left style="thin">
        <color indexed="64"/>
      </left>
      <right style="dotted">
        <color rgb="FF000000"/>
      </right>
      <top style="thin">
        <color indexed="64"/>
      </top>
      <bottom/>
      <diagonal/>
    </border>
    <border>
      <left style="thin">
        <color rgb="FF000000"/>
      </left>
      <right/>
      <top/>
      <bottom/>
      <diagonal/>
    </border>
    <border>
      <left/>
      <right style="dotted">
        <color rgb="FF000000"/>
      </right>
      <top/>
      <bottom/>
      <diagonal/>
    </border>
    <border>
      <left style="thin">
        <color indexed="64"/>
      </left>
      <right style="dotted">
        <color rgb="FF000000"/>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16"/>
      </bottom>
      <diagonal/>
    </border>
    <border>
      <left style="medium">
        <color indexed="16"/>
      </left>
      <right/>
      <top style="medium">
        <color indexed="16"/>
      </top>
      <bottom/>
      <diagonal/>
    </border>
    <border>
      <left/>
      <right style="medium">
        <color indexed="16"/>
      </right>
      <top style="medium">
        <color indexed="16"/>
      </top>
      <bottom/>
      <diagonal/>
    </border>
    <border>
      <left/>
      <right style="medium">
        <color indexed="16"/>
      </right>
      <top/>
      <bottom style="medium">
        <color indexed="16"/>
      </bottom>
      <diagonal/>
    </border>
    <border>
      <left style="medium">
        <color indexed="16"/>
      </left>
      <right/>
      <top/>
      <bottom/>
      <diagonal/>
    </border>
    <border>
      <left/>
      <right style="medium">
        <color indexed="16"/>
      </right>
      <top/>
      <bottom/>
      <diagonal/>
    </border>
    <border>
      <left/>
      <right/>
      <top style="hair">
        <color indexed="16"/>
      </top>
      <bottom style="hair">
        <color indexed="16"/>
      </bottom>
      <diagonal/>
    </border>
    <border>
      <left style="medium">
        <color indexed="16"/>
      </left>
      <right style="medium">
        <color indexed="16"/>
      </right>
      <top style="hair">
        <color indexed="16"/>
      </top>
      <bottom style="hair">
        <color indexed="16"/>
      </bottom>
      <diagonal/>
    </border>
    <border>
      <left/>
      <right style="medium">
        <color indexed="16"/>
      </right>
      <top style="medium">
        <color indexed="16"/>
      </top>
      <bottom style="medium">
        <color indexed="16"/>
      </bottom>
      <diagonal/>
    </border>
    <border>
      <left/>
      <right/>
      <top style="medium">
        <color indexed="16"/>
      </top>
      <bottom/>
      <diagonal/>
    </border>
    <border>
      <left/>
      <right/>
      <top style="hair">
        <color indexed="16"/>
      </top>
      <bottom style="thin">
        <color indexed="16"/>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theme="1"/>
      </right>
      <top style="medium">
        <color indexed="64"/>
      </top>
      <bottom style="hair">
        <color theme="9" tint="0.59996337778862885"/>
      </bottom>
      <diagonal/>
    </border>
    <border>
      <left style="thin">
        <color theme="1"/>
      </left>
      <right style="thin">
        <color theme="1"/>
      </right>
      <top/>
      <bottom style="hair">
        <color theme="9" tint="0.59996337778862885"/>
      </bottom>
      <diagonal/>
    </border>
    <border>
      <left style="thin">
        <color theme="1"/>
      </left>
      <right/>
      <top/>
      <bottom style="hair">
        <color theme="9" tint="0.59996337778862885"/>
      </bottom>
      <diagonal/>
    </border>
    <border>
      <left style="thin">
        <color indexed="64"/>
      </left>
      <right style="thin">
        <color indexed="64"/>
      </right>
      <top/>
      <bottom style="hair">
        <color theme="9" tint="0.59996337778862885"/>
      </bottom>
      <diagonal/>
    </border>
    <border>
      <left style="medium">
        <color indexed="64"/>
      </left>
      <right style="thin">
        <color theme="1"/>
      </right>
      <top style="hair">
        <color theme="9" tint="0.59996337778862885"/>
      </top>
      <bottom style="hair">
        <color theme="9" tint="0.59996337778862885"/>
      </bottom>
      <diagonal/>
    </border>
    <border>
      <left style="thin">
        <color theme="1"/>
      </left>
      <right style="thin">
        <color theme="1"/>
      </right>
      <top style="hair">
        <color theme="9" tint="0.59996337778862885"/>
      </top>
      <bottom style="hair">
        <color theme="9" tint="0.59996337778862885"/>
      </bottom>
      <diagonal/>
    </border>
    <border>
      <left style="medium">
        <color indexed="64"/>
      </left>
      <right style="thin">
        <color theme="1"/>
      </right>
      <top style="hair">
        <color theme="9" tint="0.59996337778862885"/>
      </top>
      <bottom style="medium">
        <color indexed="64"/>
      </bottom>
      <diagonal/>
    </border>
    <border>
      <left style="thin">
        <color theme="1"/>
      </left>
      <right style="thin">
        <color theme="1"/>
      </right>
      <top style="hair">
        <color theme="9" tint="0.59996337778862885"/>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thin">
        <color indexed="64"/>
      </right>
      <top style="thin">
        <color indexed="64"/>
      </top>
      <bottom/>
      <diagonal/>
    </border>
    <border>
      <left style="thin">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dotted">
        <color indexed="64"/>
      </right>
      <top style="hair">
        <color indexed="64"/>
      </top>
      <bottom/>
      <diagonal/>
    </border>
    <border>
      <left style="dotted">
        <color indexed="64"/>
      </left>
      <right style="thin">
        <color indexed="64"/>
      </right>
      <top style="hair">
        <color indexed="64"/>
      </top>
      <bottom/>
      <diagonal/>
    </border>
    <border>
      <left style="dotted">
        <color indexed="64"/>
      </left>
      <right style="dotted">
        <color indexed="64"/>
      </right>
      <top style="hair">
        <color indexed="64"/>
      </top>
      <bottom/>
      <diagonal/>
    </border>
    <border>
      <left/>
      <right style="hair">
        <color indexed="64"/>
      </right>
      <top/>
      <bottom/>
      <diagonal/>
    </border>
    <border>
      <left style="hair">
        <color indexed="64"/>
      </left>
      <right style="hair">
        <color indexed="64"/>
      </right>
      <top/>
      <bottom/>
      <diagonal/>
    </border>
    <border>
      <left style="thin">
        <color indexed="64"/>
      </left>
      <right/>
      <top/>
      <bottom style="hair">
        <color indexed="64"/>
      </bottom>
      <diagonal/>
    </border>
    <border>
      <left/>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dotted">
        <color indexed="64"/>
      </right>
      <top/>
      <bottom style="hair">
        <color indexed="64"/>
      </bottom>
      <diagonal/>
    </border>
    <border>
      <left style="dotted">
        <color indexed="64"/>
      </left>
      <right style="thin">
        <color indexed="64"/>
      </right>
      <top/>
      <bottom style="hair">
        <color indexed="64"/>
      </bottom>
      <diagonal/>
    </border>
    <border>
      <left style="dotted">
        <color indexed="64"/>
      </left>
      <right style="dotted">
        <color indexed="64"/>
      </right>
      <top/>
      <bottom style="hair">
        <color indexed="64"/>
      </bottom>
      <diagonal/>
    </border>
    <border>
      <left/>
      <right/>
      <top style="hair">
        <color indexed="64"/>
      </top>
      <bottom/>
      <diagonal/>
    </border>
    <border>
      <left style="thin">
        <color indexed="64"/>
      </left>
      <right style="dotted">
        <color indexed="64"/>
      </right>
      <top/>
      <bottom/>
      <diagonal/>
    </border>
    <border>
      <left style="dotted">
        <color indexed="64"/>
      </left>
      <right style="thin">
        <color indexed="64"/>
      </right>
      <top/>
      <bottom/>
      <diagonal/>
    </border>
    <border>
      <left style="dotted">
        <color indexed="64"/>
      </left>
      <right style="dotted">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dotted">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dotted">
        <color indexed="64"/>
      </right>
      <top style="hair">
        <color indexed="64"/>
      </top>
      <bottom style="thin">
        <color indexed="64"/>
      </bottom>
      <diagonal/>
    </border>
    <border>
      <left style="dotted">
        <color indexed="64"/>
      </left>
      <right style="thin">
        <color indexed="64"/>
      </right>
      <top style="hair">
        <color indexed="64"/>
      </top>
      <bottom style="thin">
        <color indexed="64"/>
      </bottom>
      <diagonal/>
    </border>
    <border>
      <left style="dotted">
        <color indexed="64"/>
      </left>
      <right style="dotted">
        <color indexed="64"/>
      </right>
      <top style="hair">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dotted">
        <color indexed="64"/>
      </bottom>
      <diagonal/>
    </border>
    <border>
      <left/>
      <right/>
      <top style="hair">
        <color indexed="64"/>
      </top>
      <bottom style="dotted">
        <color indexed="64"/>
      </bottom>
      <diagonal/>
    </border>
    <border>
      <left/>
      <right style="thin">
        <color indexed="64"/>
      </right>
      <top/>
      <bottom style="hair">
        <color indexed="64"/>
      </bottom>
      <diagonal/>
    </border>
    <border>
      <left style="thin">
        <color indexed="64"/>
      </left>
      <right style="hair">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right style="hair">
        <color indexed="64"/>
      </right>
      <top style="hair">
        <color indexed="64"/>
      </top>
      <bottom style="hair">
        <color indexed="64"/>
      </bottom>
      <diagonal/>
    </border>
    <border>
      <left style="dotted">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hair">
        <color indexed="64"/>
      </right>
      <top style="hair">
        <color indexed="64"/>
      </top>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right style="thick">
        <color indexed="53"/>
      </right>
      <top/>
      <bottom/>
      <diagonal/>
    </border>
    <border>
      <left style="thin">
        <color indexed="64"/>
      </left>
      <right style="thin">
        <color indexed="64"/>
      </right>
      <top/>
      <bottom style="thin">
        <color indexed="8"/>
      </bottom>
      <diagonal/>
    </border>
    <border>
      <left/>
      <right/>
      <top/>
      <bottom style="thick">
        <color indexed="64"/>
      </bottom>
      <diagonal/>
    </border>
    <border>
      <left style="thin">
        <color indexed="64"/>
      </left>
      <right/>
      <top/>
      <bottom style="thick">
        <color indexed="64"/>
      </bottom>
      <diagonal/>
    </border>
    <border>
      <left/>
      <right style="thick">
        <color rgb="FFFF6600"/>
      </right>
      <top/>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right/>
      <top style="thick">
        <color indexed="64"/>
      </top>
      <bottom/>
      <diagonal/>
    </border>
    <border>
      <left/>
      <right style="thick">
        <color rgb="FFFF6600"/>
      </right>
      <top style="thick">
        <color auto="1"/>
      </top>
      <bottom/>
      <diagonal/>
    </border>
    <border>
      <left style="medium">
        <color indexed="62"/>
      </left>
      <right/>
      <top style="medium">
        <color indexed="62"/>
      </top>
      <bottom style="medium">
        <color indexed="62"/>
      </bottom>
      <diagonal/>
    </border>
    <border>
      <left/>
      <right style="medium">
        <color indexed="62"/>
      </right>
      <top style="medium">
        <color indexed="62"/>
      </top>
      <bottom style="medium">
        <color indexed="62"/>
      </bottom>
      <diagonal/>
    </border>
    <border>
      <left/>
      <right/>
      <top/>
      <bottom style="medium">
        <color indexed="62"/>
      </bottom>
      <diagonal/>
    </border>
    <border>
      <left style="medium">
        <color indexed="62"/>
      </left>
      <right style="thin">
        <color indexed="62"/>
      </right>
      <top style="medium">
        <color indexed="62"/>
      </top>
      <bottom style="thin">
        <color indexed="62"/>
      </bottom>
      <diagonal/>
    </border>
    <border>
      <left style="thin">
        <color indexed="62"/>
      </left>
      <right style="thin">
        <color indexed="62"/>
      </right>
      <top style="medium">
        <color indexed="62"/>
      </top>
      <bottom style="thin">
        <color indexed="62"/>
      </bottom>
      <diagonal/>
    </border>
    <border>
      <left/>
      <right/>
      <top style="medium">
        <color indexed="62"/>
      </top>
      <bottom/>
      <diagonal/>
    </border>
    <border>
      <left/>
      <right style="medium">
        <color indexed="62"/>
      </right>
      <top style="medium">
        <color indexed="62"/>
      </top>
      <bottom/>
      <diagonal/>
    </border>
    <border>
      <left style="medium">
        <color indexed="62"/>
      </left>
      <right style="thin">
        <color indexed="62"/>
      </right>
      <top style="thin">
        <color indexed="62"/>
      </top>
      <bottom style="thin">
        <color indexed="62"/>
      </bottom>
      <diagonal/>
    </border>
    <border>
      <left style="thin">
        <color indexed="62"/>
      </left>
      <right style="thin">
        <color indexed="62"/>
      </right>
      <top style="thin">
        <color indexed="62"/>
      </top>
      <bottom style="thin">
        <color indexed="62"/>
      </bottom>
      <diagonal/>
    </border>
    <border>
      <left/>
      <right/>
      <top/>
      <bottom style="thin">
        <color indexed="62"/>
      </bottom>
      <diagonal/>
    </border>
    <border>
      <left/>
      <right style="medium">
        <color indexed="62"/>
      </right>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style="hair">
        <color indexed="62"/>
      </bottom>
      <diagonal/>
    </border>
    <border>
      <left style="medium">
        <color indexed="62"/>
      </left>
      <right style="thin">
        <color indexed="62"/>
      </right>
      <top style="hair">
        <color indexed="62"/>
      </top>
      <bottom style="hair">
        <color indexed="62"/>
      </bottom>
      <diagonal/>
    </border>
    <border>
      <left style="thin">
        <color indexed="62"/>
      </left>
      <right style="thin">
        <color indexed="62"/>
      </right>
      <top/>
      <bottom style="hair">
        <color indexed="62"/>
      </bottom>
      <diagonal/>
    </border>
    <border>
      <left style="thin">
        <color indexed="62"/>
      </left>
      <right style="medium">
        <color indexed="62"/>
      </right>
      <top/>
      <bottom style="hair">
        <color indexed="62"/>
      </bottom>
      <diagonal/>
    </border>
    <border>
      <left style="thin">
        <color indexed="62"/>
      </left>
      <right style="thin">
        <color indexed="62"/>
      </right>
      <top style="thin">
        <color indexed="62"/>
      </top>
      <bottom style="hair">
        <color indexed="62"/>
      </bottom>
      <diagonal/>
    </border>
    <border>
      <left style="thin">
        <color indexed="62"/>
      </left>
      <right style="thin">
        <color indexed="62"/>
      </right>
      <top style="hair">
        <color indexed="62"/>
      </top>
      <bottom style="hair">
        <color indexed="62"/>
      </bottom>
      <diagonal/>
    </border>
    <border>
      <left style="thin">
        <color indexed="62"/>
      </left>
      <right style="medium">
        <color indexed="62"/>
      </right>
      <top style="hair">
        <color indexed="62"/>
      </top>
      <bottom style="hair">
        <color indexed="62"/>
      </bottom>
      <diagonal/>
    </border>
    <border>
      <left style="thin">
        <color indexed="62"/>
      </left>
      <right style="thin">
        <color indexed="62"/>
      </right>
      <top style="hair">
        <color indexed="62"/>
      </top>
      <bottom style="thin">
        <color indexed="62"/>
      </bottom>
      <diagonal/>
    </border>
    <border>
      <left style="thin">
        <color indexed="62"/>
      </left>
      <right style="medium">
        <color indexed="62"/>
      </right>
      <top style="hair">
        <color indexed="62"/>
      </top>
      <bottom style="thin">
        <color indexed="62"/>
      </bottom>
      <diagonal/>
    </border>
    <border>
      <left style="medium">
        <color indexed="62"/>
      </left>
      <right style="thin">
        <color indexed="62"/>
      </right>
      <top style="hair">
        <color indexed="62"/>
      </top>
      <bottom style="medium">
        <color indexed="62"/>
      </bottom>
      <diagonal/>
    </border>
    <border>
      <left style="thin">
        <color indexed="62"/>
      </left>
      <right style="thin">
        <color indexed="62"/>
      </right>
      <top style="hair">
        <color indexed="62"/>
      </top>
      <bottom style="medium">
        <color indexed="62"/>
      </bottom>
      <diagonal/>
    </border>
    <border>
      <left style="thin">
        <color indexed="62"/>
      </left>
      <right style="thin">
        <color indexed="62"/>
      </right>
      <top style="thin">
        <color indexed="62"/>
      </top>
      <bottom style="medium">
        <color indexed="62"/>
      </bottom>
      <diagonal/>
    </border>
    <border>
      <left style="thin">
        <color indexed="62"/>
      </left>
      <right style="medium">
        <color indexed="62"/>
      </right>
      <top style="thin">
        <color indexed="62"/>
      </top>
      <bottom style="medium">
        <color indexed="62"/>
      </bottom>
      <diagonal/>
    </border>
    <border>
      <left style="medium">
        <color indexed="21"/>
      </left>
      <right/>
      <top style="medium">
        <color indexed="21"/>
      </top>
      <bottom style="medium">
        <color indexed="21"/>
      </bottom>
      <diagonal/>
    </border>
    <border>
      <left/>
      <right style="medium">
        <color indexed="21"/>
      </right>
      <top style="medium">
        <color indexed="21"/>
      </top>
      <bottom style="medium">
        <color indexed="21"/>
      </bottom>
      <diagonal/>
    </border>
    <border>
      <left/>
      <right/>
      <top/>
      <bottom style="medium">
        <color indexed="21"/>
      </bottom>
      <diagonal/>
    </border>
    <border>
      <left style="medium">
        <color indexed="21"/>
      </left>
      <right style="thin">
        <color indexed="21"/>
      </right>
      <top style="medium">
        <color indexed="21"/>
      </top>
      <bottom style="thin">
        <color indexed="21"/>
      </bottom>
      <diagonal/>
    </border>
    <border>
      <left style="thin">
        <color indexed="21"/>
      </left>
      <right style="thin">
        <color indexed="21"/>
      </right>
      <top style="medium">
        <color indexed="21"/>
      </top>
      <bottom style="thin">
        <color indexed="21"/>
      </bottom>
      <diagonal/>
    </border>
    <border>
      <left/>
      <right/>
      <top style="medium">
        <color indexed="21"/>
      </top>
      <bottom/>
      <diagonal/>
    </border>
    <border>
      <left/>
      <right style="medium">
        <color indexed="21"/>
      </right>
      <top style="medium">
        <color indexed="21"/>
      </top>
      <bottom/>
      <diagonal/>
    </border>
    <border>
      <left style="medium">
        <color indexed="21"/>
      </left>
      <right style="thin">
        <color indexed="21"/>
      </right>
      <top style="thin">
        <color indexed="21"/>
      </top>
      <bottom style="thin">
        <color indexed="21"/>
      </bottom>
      <diagonal/>
    </border>
    <border>
      <left style="thin">
        <color indexed="21"/>
      </left>
      <right style="thin">
        <color indexed="21"/>
      </right>
      <top style="thin">
        <color indexed="21"/>
      </top>
      <bottom style="thin">
        <color indexed="21"/>
      </bottom>
      <diagonal/>
    </border>
    <border>
      <left/>
      <right/>
      <top/>
      <bottom style="thin">
        <color indexed="21"/>
      </bottom>
      <diagonal/>
    </border>
    <border>
      <left/>
      <right style="medium">
        <color indexed="21"/>
      </right>
      <top/>
      <bottom style="thin">
        <color indexed="21"/>
      </bottom>
      <diagonal/>
    </border>
    <border>
      <left style="medium">
        <color indexed="21"/>
      </left>
      <right style="thin">
        <color indexed="21"/>
      </right>
      <top style="thin">
        <color indexed="21"/>
      </top>
      <bottom/>
      <diagonal/>
    </border>
    <border>
      <left style="thin">
        <color indexed="21"/>
      </left>
      <right style="thin">
        <color indexed="21"/>
      </right>
      <top style="thin">
        <color indexed="21"/>
      </top>
      <bottom/>
      <diagonal/>
    </border>
    <border>
      <left style="thin">
        <color indexed="21"/>
      </left>
      <right style="medium">
        <color indexed="21"/>
      </right>
      <top style="thin">
        <color indexed="21"/>
      </top>
      <bottom style="thin">
        <color indexed="21"/>
      </bottom>
      <diagonal/>
    </border>
    <border>
      <left style="medium">
        <color indexed="21"/>
      </left>
      <right style="thin">
        <color indexed="21"/>
      </right>
      <top style="thin">
        <color indexed="21"/>
      </top>
      <bottom style="hair">
        <color indexed="21"/>
      </bottom>
      <diagonal/>
    </border>
    <border>
      <left style="medium">
        <color indexed="21"/>
      </left>
      <right style="thin">
        <color indexed="21"/>
      </right>
      <top style="hair">
        <color indexed="21"/>
      </top>
      <bottom style="hair">
        <color indexed="21"/>
      </bottom>
      <diagonal/>
    </border>
    <border>
      <left style="thin">
        <color indexed="21"/>
      </left>
      <right style="thin">
        <color indexed="21"/>
      </right>
      <top/>
      <bottom style="hair">
        <color indexed="21"/>
      </bottom>
      <diagonal/>
    </border>
    <border>
      <left style="thin">
        <color indexed="21"/>
      </left>
      <right style="medium">
        <color indexed="21"/>
      </right>
      <top/>
      <bottom style="hair">
        <color indexed="21"/>
      </bottom>
      <diagonal/>
    </border>
    <border>
      <left style="thin">
        <color indexed="21"/>
      </left>
      <right style="thin">
        <color indexed="21"/>
      </right>
      <top style="thin">
        <color indexed="21"/>
      </top>
      <bottom style="hair">
        <color indexed="21"/>
      </bottom>
      <diagonal/>
    </border>
    <border>
      <left style="thin">
        <color indexed="21"/>
      </left>
      <right style="thin">
        <color indexed="21"/>
      </right>
      <top style="hair">
        <color indexed="21"/>
      </top>
      <bottom style="hair">
        <color indexed="21"/>
      </bottom>
      <diagonal/>
    </border>
    <border>
      <left style="thin">
        <color indexed="21"/>
      </left>
      <right style="medium">
        <color indexed="21"/>
      </right>
      <top style="hair">
        <color indexed="21"/>
      </top>
      <bottom style="hair">
        <color indexed="21"/>
      </bottom>
      <diagonal/>
    </border>
    <border>
      <left style="thin">
        <color indexed="21"/>
      </left>
      <right style="thin">
        <color indexed="21"/>
      </right>
      <top style="hair">
        <color indexed="21"/>
      </top>
      <bottom style="thin">
        <color indexed="21"/>
      </bottom>
      <diagonal/>
    </border>
    <border>
      <left style="thin">
        <color indexed="21"/>
      </left>
      <right style="medium">
        <color indexed="21"/>
      </right>
      <top style="hair">
        <color indexed="21"/>
      </top>
      <bottom style="thin">
        <color indexed="21"/>
      </bottom>
      <diagonal/>
    </border>
    <border>
      <left style="medium">
        <color indexed="21"/>
      </left>
      <right style="thin">
        <color indexed="21"/>
      </right>
      <top style="hair">
        <color indexed="21"/>
      </top>
      <bottom style="medium">
        <color indexed="21"/>
      </bottom>
      <diagonal/>
    </border>
    <border>
      <left style="thin">
        <color indexed="21"/>
      </left>
      <right style="thin">
        <color indexed="21"/>
      </right>
      <top style="hair">
        <color indexed="21"/>
      </top>
      <bottom style="medium">
        <color indexed="21"/>
      </bottom>
      <diagonal/>
    </border>
    <border>
      <left style="thin">
        <color indexed="21"/>
      </left>
      <right style="thin">
        <color indexed="21"/>
      </right>
      <top style="thin">
        <color indexed="21"/>
      </top>
      <bottom style="medium">
        <color indexed="21"/>
      </bottom>
      <diagonal/>
    </border>
    <border>
      <left style="thin">
        <color indexed="21"/>
      </left>
      <right style="medium">
        <color indexed="21"/>
      </right>
      <top style="thin">
        <color indexed="21"/>
      </top>
      <bottom style="medium">
        <color indexed="21"/>
      </bottom>
      <diagonal/>
    </border>
    <border>
      <left style="medium">
        <color indexed="36"/>
      </left>
      <right/>
      <top style="medium">
        <color indexed="36"/>
      </top>
      <bottom/>
      <diagonal/>
    </border>
    <border>
      <left style="medium">
        <color indexed="36"/>
      </left>
      <right/>
      <top/>
      <bottom style="medium">
        <color indexed="36"/>
      </bottom>
      <diagonal/>
    </border>
    <border>
      <left/>
      <right/>
      <top/>
      <bottom style="medium">
        <color indexed="36"/>
      </bottom>
      <diagonal/>
    </border>
    <border>
      <left/>
      <right/>
      <top style="medium">
        <color indexed="36"/>
      </top>
      <bottom/>
      <diagonal/>
    </border>
    <border>
      <left/>
      <right/>
      <top style="medium">
        <color indexed="36"/>
      </top>
      <bottom style="thin">
        <color indexed="36"/>
      </bottom>
      <diagonal/>
    </border>
    <border>
      <left/>
      <right style="medium">
        <color indexed="36"/>
      </right>
      <top style="medium">
        <color indexed="36"/>
      </top>
      <bottom style="thin">
        <color indexed="36"/>
      </bottom>
      <diagonal/>
    </border>
    <border>
      <left style="medium">
        <color indexed="36"/>
      </left>
      <right style="thin">
        <color indexed="36"/>
      </right>
      <top style="thin">
        <color indexed="36"/>
      </top>
      <bottom style="thin">
        <color indexed="36"/>
      </bottom>
      <diagonal/>
    </border>
    <border>
      <left/>
      <right/>
      <top style="thin">
        <color indexed="36"/>
      </top>
      <bottom/>
      <diagonal/>
    </border>
    <border>
      <left style="thin">
        <color indexed="36"/>
      </left>
      <right style="thin">
        <color indexed="36"/>
      </right>
      <top style="thin">
        <color indexed="36"/>
      </top>
      <bottom style="thin">
        <color indexed="36"/>
      </bottom>
      <diagonal/>
    </border>
    <border>
      <left style="thin">
        <color indexed="36"/>
      </left>
      <right style="medium">
        <color indexed="36"/>
      </right>
      <top style="thin">
        <color indexed="36"/>
      </top>
      <bottom style="thin">
        <color indexed="36"/>
      </bottom>
      <diagonal/>
    </border>
    <border>
      <left style="medium">
        <color indexed="36"/>
      </left>
      <right/>
      <top/>
      <bottom style="hair">
        <color indexed="36"/>
      </bottom>
      <diagonal/>
    </border>
    <border>
      <left style="medium">
        <color indexed="36"/>
      </left>
      <right style="thin">
        <color indexed="36"/>
      </right>
      <top style="hair">
        <color indexed="36"/>
      </top>
      <bottom style="hair">
        <color indexed="36"/>
      </bottom>
      <diagonal/>
    </border>
    <border>
      <left style="thin">
        <color indexed="36"/>
      </left>
      <right style="thin">
        <color indexed="36"/>
      </right>
      <top style="thin">
        <color indexed="36"/>
      </top>
      <bottom style="hair">
        <color indexed="36"/>
      </bottom>
      <diagonal/>
    </border>
    <border>
      <left style="thin">
        <color indexed="36"/>
      </left>
      <right style="medium">
        <color indexed="36"/>
      </right>
      <top style="thin">
        <color indexed="36"/>
      </top>
      <bottom style="hair">
        <color indexed="36"/>
      </bottom>
      <diagonal/>
    </border>
    <border>
      <left style="thin">
        <color indexed="36"/>
      </left>
      <right style="thin">
        <color indexed="36"/>
      </right>
      <top style="hair">
        <color indexed="36"/>
      </top>
      <bottom style="hair">
        <color indexed="36"/>
      </bottom>
      <diagonal/>
    </border>
    <border>
      <left style="thin">
        <color indexed="36"/>
      </left>
      <right style="medium">
        <color indexed="36"/>
      </right>
      <top style="hair">
        <color indexed="36"/>
      </top>
      <bottom style="hair">
        <color indexed="36"/>
      </bottom>
      <diagonal/>
    </border>
    <border>
      <left style="thin">
        <color indexed="36"/>
      </left>
      <right style="thin">
        <color indexed="36"/>
      </right>
      <top style="hair">
        <color indexed="36"/>
      </top>
      <bottom style="thin">
        <color indexed="36"/>
      </bottom>
      <diagonal/>
    </border>
    <border>
      <left style="thin">
        <color indexed="36"/>
      </left>
      <right style="medium">
        <color indexed="36"/>
      </right>
      <top style="hair">
        <color indexed="36"/>
      </top>
      <bottom style="thin">
        <color indexed="36"/>
      </bottom>
      <diagonal/>
    </border>
    <border>
      <left style="thin">
        <color indexed="36"/>
      </left>
      <right style="thin">
        <color indexed="36"/>
      </right>
      <top/>
      <bottom style="thin">
        <color indexed="36"/>
      </bottom>
      <diagonal/>
    </border>
    <border>
      <left style="thin">
        <color indexed="36"/>
      </left>
      <right style="medium">
        <color indexed="36"/>
      </right>
      <top/>
      <bottom style="thin">
        <color indexed="36"/>
      </bottom>
      <diagonal/>
    </border>
    <border>
      <left style="medium">
        <color indexed="36"/>
      </left>
      <right style="thin">
        <color indexed="36"/>
      </right>
      <top style="hair">
        <color indexed="36"/>
      </top>
      <bottom style="thin">
        <color indexed="36"/>
      </bottom>
      <diagonal/>
    </border>
    <border>
      <left style="medium">
        <color indexed="36"/>
      </left>
      <right/>
      <top/>
      <bottom/>
      <diagonal/>
    </border>
    <border>
      <left style="medium">
        <color indexed="36"/>
      </left>
      <right style="medium">
        <color indexed="36"/>
      </right>
      <top style="thin">
        <color indexed="36"/>
      </top>
      <bottom style="hair">
        <color indexed="36"/>
      </bottom>
      <diagonal/>
    </border>
    <border>
      <left/>
      <right style="medium">
        <color indexed="36"/>
      </right>
      <top style="thin">
        <color indexed="36"/>
      </top>
      <bottom style="hair">
        <color indexed="36"/>
      </bottom>
      <diagonal/>
    </border>
    <border>
      <left style="medium">
        <color indexed="36"/>
      </left>
      <right style="medium">
        <color indexed="36"/>
      </right>
      <top style="hair">
        <color indexed="36"/>
      </top>
      <bottom style="hair">
        <color indexed="36"/>
      </bottom>
      <diagonal/>
    </border>
    <border>
      <left/>
      <right style="medium">
        <color indexed="36"/>
      </right>
      <top style="hair">
        <color indexed="36"/>
      </top>
      <bottom style="hair">
        <color indexed="36"/>
      </bottom>
      <diagonal/>
    </border>
    <border>
      <left style="thin">
        <color indexed="36"/>
      </left>
      <right style="thin">
        <color indexed="36"/>
      </right>
      <top style="hair">
        <color indexed="36"/>
      </top>
      <bottom/>
      <diagonal/>
    </border>
    <border>
      <left style="thin">
        <color indexed="36"/>
      </left>
      <right style="medium">
        <color indexed="36"/>
      </right>
      <top style="hair">
        <color indexed="36"/>
      </top>
      <bottom/>
      <diagonal/>
    </border>
    <border>
      <left style="medium">
        <color indexed="36"/>
      </left>
      <right style="medium">
        <color indexed="36"/>
      </right>
      <top style="hair">
        <color indexed="36"/>
      </top>
      <bottom/>
      <diagonal/>
    </border>
    <border>
      <left/>
      <right style="medium">
        <color indexed="36"/>
      </right>
      <top style="hair">
        <color indexed="36"/>
      </top>
      <bottom/>
      <diagonal/>
    </border>
    <border>
      <left style="medium">
        <color indexed="36"/>
      </left>
      <right style="medium">
        <color indexed="36"/>
      </right>
      <top style="hair">
        <color indexed="36"/>
      </top>
      <bottom style="thin">
        <color indexed="36"/>
      </bottom>
      <diagonal/>
    </border>
    <border>
      <left/>
      <right style="medium">
        <color indexed="36"/>
      </right>
      <top style="hair">
        <color indexed="36"/>
      </top>
      <bottom style="thin">
        <color indexed="36"/>
      </bottom>
      <diagonal/>
    </border>
    <border>
      <left/>
      <right/>
      <top style="thin">
        <color indexed="36"/>
      </top>
      <bottom style="thin">
        <color indexed="36"/>
      </bottom>
      <diagonal/>
    </border>
    <border>
      <left style="thin">
        <color indexed="36"/>
      </left>
      <right/>
      <top style="thin">
        <color indexed="36"/>
      </top>
      <bottom style="thin">
        <color indexed="36"/>
      </bottom>
      <diagonal/>
    </border>
    <border>
      <left style="medium">
        <color indexed="36"/>
      </left>
      <right style="medium">
        <color indexed="36"/>
      </right>
      <top style="thin">
        <color indexed="36"/>
      </top>
      <bottom style="thin">
        <color indexed="36"/>
      </bottom>
      <diagonal/>
    </border>
    <border>
      <left/>
      <right style="medium">
        <color indexed="36"/>
      </right>
      <top style="thin">
        <color indexed="36"/>
      </top>
      <bottom style="thin">
        <color indexed="36"/>
      </bottom>
      <diagonal/>
    </border>
    <border>
      <left/>
      <right/>
      <top/>
      <bottom style="dashed">
        <color indexed="36"/>
      </bottom>
      <diagonal/>
    </border>
    <border>
      <left style="medium">
        <color indexed="36"/>
      </left>
      <right/>
      <top style="dashed">
        <color indexed="36"/>
      </top>
      <bottom/>
      <diagonal/>
    </border>
    <border>
      <left/>
      <right/>
      <top style="dashed">
        <color indexed="36"/>
      </top>
      <bottom/>
      <diagonal/>
    </border>
    <border>
      <left/>
      <right/>
      <top style="dashed">
        <color rgb="FF7030A0"/>
      </top>
      <bottom/>
      <diagonal/>
    </border>
    <border>
      <left/>
      <right style="thin">
        <color indexed="36"/>
      </right>
      <top style="thin">
        <color indexed="36"/>
      </top>
      <bottom style="thin">
        <color indexed="36"/>
      </bottom>
      <diagonal/>
    </border>
    <border>
      <left style="thin">
        <color indexed="36"/>
      </left>
      <right/>
      <top/>
      <bottom style="thin">
        <color indexed="36"/>
      </bottom>
      <diagonal/>
    </border>
    <border>
      <left/>
      <right/>
      <top/>
      <bottom style="thin">
        <color indexed="36"/>
      </bottom>
      <diagonal/>
    </border>
    <border>
      <left/>
      <right/>
      <top/>
      <bottom style="thin">
        <color rgb="FF7030A0"/>
      </bottom>
      <diagonal/>
    </border>
    <border>
      <left style="medium">
        <color indexed="36"/>
      </left>
      <right style="thin">
        <color indexed="36"/>
      </right>
      <top/>
      <bottom style="hair">
        <color indexed="36"/>
      </bottom>
      <diagonal/>
    </border>
    <border>
      <left style="thin">
        <color indexed="36"/>
      </left>
      <right style="thin">
        <color indexed="36"/>
      </right>
      <top/>
      <bottom style="hair">
        <color indexed="36"/>
      </bottom>
      <diagonal/>
    </border>
    <border>
      <left style="medium">
        <color indexed="36"/>
      </left>
      <right style="medium">
        <color indexed="36"/>
      </right>
      <top style="thin">
        <color rgb="FF7030A0"/>
      </top>
      <bottom style="thin">
        <color indexed="36"/>
      </bottom>
      <diagonal/>
    </border>
    <border>
      <left style="thin">
        <color indexed="36"/>
      </left>
      <right/>
      <top/>
      <bottom style="hair">
        <color indexed="36"/>
      </bottom>
      <diagonal/>
    </border>
    <border>
      <left/>
      <right/>
      <top/>
      <bottom style="hair">
        <color indexed="36"/>
      </bottom>
      <diagonal/>
    </border>
    <border>
      <left style="thin">
        <color indexed="36"/>
      </left>
      <right style="medium">
        <color indexed="36"/>
      </right>
      <top/>
      <bottom style="hair">
        <color indexed="36"/>
      </bottom>
      <diagonal/>
    </border>
    <border>
      <left style="medium">
        <color indexed="36"/>
      </left>
      <right style="thin">
        <color indexed="36"/>
      </right>
      <top style="hair">
        <color indexed="36"/>
      </top>
      <bottom/>
      <diagonal/>
    </border>
    <border>
      <left style="thin">
        <color indexed="36"/>
      </left>
      <right/>
      <top style="hair">
        <color indexed="36"/>
      </top>
      <bottom style="hair">
        <color indexed="36"/>
      </bottom>
      <diagonal/>
    </border>
    <border>
      <left/>
      <right/>
      <top style="hair">
        <color indexed="36"/>
      </top>
      <bottom style="hair">
        <color indexed="36"/>
      </bottom>
      <diagonal/>
    </border>
    <border>
      <left style="thin">
        <color indexed="36"/>
      </left>
      <right/>
      <top style="hair">
        <color indexed="36"/>
      </top>
      <bottom/>
      <diagonal/>
    </border>
    <border>
      <left/>
      <right/>
      <top style="hair">
        <color indexed="36"/>
      </top>
      <bottom/>
      <diagonal/>
    </border>
    <border>
      <left style="medium">
        <color indexed="20"/>
      </left>
      <right style="thin">
        <color indexed="20"/>
      </right>
      <top style="hair">
        <color indexed="20"/>
      </top>
      <bottom style="thin">
        <color indexed="20"/>
      </bottom>
      <diagonal/>
    </border>
    <border>
      <left style="thin">
        <color indexed="20"/>
      </left>
      <right style="thin">
        <color indexed="20"/>
      </right>
      <top style="hair">
        <color indexed="20"/>
      </top>
      <bottom style="thin">
        <color indexed="20"/>
      </bottom>
      <diagonal/>
    </border>
    <border>
      <left/>
      <right style="medium">
        <color indexed="36"/>
      </right>
      <top/>
      <bottom/>
      <diagonal/>
    </border>
    <border>
      <left style="medium">
        <color indexed="36"/>
      </left>
      <right/>
      <top/>
      <bottom style="thin">
        <color indexed="36"/>
      </bottom>
      <diagonal/>
    </border>
    <border>
      <left style="medium">
        <color indexed="36"/>
      </left>
      <right style="thin">
        <color indexed="36"/>
      </right>
      <top style="thin">
        <color indexed="36"/>
      </top>
      <bottom style="hair">
        <color indexed="36"/>
      </bottom>
      <diagonal/>
    </border>
    <border>
      <left style="medium">
        <color indexed="36"/>
      </left>
      <right style="thick">
        <color indexed="53"/>
      </right>
      <top/>
      <bottom/>
      <diagonal/>
    </border>
    <border>
      <left style="medium">
        <color indexed="36"/>
      </left>
      <right/>
      <top style="thin">
        <color indexed="36"/>
      </top>
      <bottom style="thin">
        <color indexed="36"/>
      </bottom>
      <diagonal/>
    </border>
    <border>
      <left style="medium">
        <color indexed="36"/>
      </left>
      <right/>
      <top style="thin">
        <color indexed="36"/>
      </top>
      <bottom style="medium">
        <color indexed="36"/>
      </bottom>
      <diagonal/>
    </border>
    <border>
      <left/>
      <right/>
      <top style="thin">
        <color indexed="36"/>
      </top>
      <bottom style="medium">
        <color indexed="36"/>
      </bottom>
      <diagonal/>
    </border>
    <border>
      <left style="thin">
        <color indexed="36"/>
      </left>
      <right style="thin">
        <color indexed="36"/>
      </right>
      <top style="thin">
        <color indexed="36"/>
      </top>
      <bottom style="medium">
        <color indexed="36"/>
      </bottom>
      <diagonal/>
    </border>
    <border>
      <left style="thin">
        <color indexed="36"/>
      </left>
      <right style="medium">
        <color indexed="36"/>
      </right>
      <top style="thin">
        <color indexed="36"/>
      </top>
      <bottom style="medium">
        <color indexed="36"/>
      </bottom>
      <diagonal/>
    </border>
    <border>
      <left/>
      <right/>
      <top style="medium">
        <color indexed="36"/>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16"/>
      </left>
      <right style="thin">
        <color indexed="16"/>
      </right>
      <top style="medium">
        <color indexed="16"/>
      </top>
      <bottom style="medium">
        <color indexed="16"/>
      </bottom>
      <diagonal/>
    </border>
    <border>
      <left/>
      <right/>
      <top style="medium">
        <color indexed="16"/>
      </top>
      <bottom style="medium">
        <color indexed="16"/>
      </bottom>
      <diagonal/>
    </border>
    <border>
      <left style="medium">
        <color indexed="16"/>
      </left>
      <right style="thin">
        <color indexed="16"/>
      </right>
      <top style="medium">
        <color indexed="16"/>
      </top>
      <bottom style="hair">
        <color indexed="16"/>
      </bottom>
      <diagonal/>
    </border>
    <border>
      <left style="thin">
        <color indexed="16"/>
      </left>
      <right style="thin">
        <color indexed="16"/>
      </right>
      <top style="medium">
        <color indexed="16"/>
      </top>
      <bottom style="hair">
        <color indexed="16"/>
      </bottom>
      <diagonal/>
    </border>
    <border>
      <left/>
      <right style="thin">
        <color indexed="16"/>
      </right>
      <top style="medium">
        <color indexed="16"/>
      </top>
      <bottom/>
      <diagonal/>
    </border>
    <border>
      <left style="thin">
        <color indexed="16"/>
      </left>
      <right style="thin">
        <color indexed="16"/>
      </right>
      <top style="medium">
        <color indexed="16"/>
      </top>
      <bottom style="thin">
        <color indexed="16"/>
      </bottom>
      <diagonal/>
    </border>
    <border>
      <left style="thin">
        <color indexed="16"/>
      </left>
      <right style="medium">
        <color indexed="16"/>
      </right>
      <top style="medium">
        <color indexed="16"/>
      </top>
      <bottom style="thin">
        <color indexed="16"/>
      </bottom>
      <diagonal/>
    </border>
    <border>
      <left style="medium">
        <color indexed="16"/>
      </left>
      <right style="thin">
        <color indexed="16"/>
      </right>
      <top style="hair">
        <color indexed="16"/>
      </top>
      <bottom style="hair">
        <color indexed="16"/>
      </bottom>
      <diagonal/>
    </border>
    <border>
      <left style="thin">
        <color indexed="16"/>
      </left>
      <right style="thin">
        <color indexed="16"/>
      </right>
      <top style="hair">
        <color indexed="16"/>
      </top>
      <bottom style="hair">
        <color indexed="16"/>
      </bottom>
      <diagonal/>
    </border>
    <border>
      <left style="thin">
        <color indexed="16"/>
      </left>
      <right style="thin">
        <color indexed="16"/>
      </right>
      <top style="thin">
        <color indexed="16"/>
      </top>
      <bottom style="thin">
        <color indexed="16"/>
      </bottom>
      <diagonal/>
    </border>
    <border>
      <left style="thin">
        <color indexed="16"/>
      </left>
      <right style="medium">
        <color indexed="16"/>
      </right>
      <top style="thin">
        <color indexed="16"/>
      </top>
      <bottom style="thin">
        <color indexed="16"/>
      </bottom>
      <diagonal/>
    </border>
    <border>
      <left style="thin">
        <color indexed="16"/>
      </left>
      <right/>
      <top style="thin">
        <color indexed="16"/>
      </top>
      <bottom style="thin">
        <color indexed="16"/>
      </bottom>
      <diagonal/>
    </border>
    <border>
      <left/>
      <right/>
      <top style="thin">
        <color indexed="16"/>
      </top>
      <bottom style="thin">
        <color indexed="16"/>
      </bottom>
      <diagonal/>
    </border>
    <border>
      <left style="thin">
        <color indexed="16"/>
      </left>
      <right/>
      <top style="thin">
        <color indexed="16"/>
      </top>
      <bottom style="hair">
        <color indexed="16"/>
      </bottom>
      <diagonal/>
    </border>
    <border>
      <left/>
      <right/>
      <top style="thin">
        <color indexed="16"/>
      </top>
      <bottom style="hair">
        <color indexed="16"/>
      </bottom>
      <diagonal/>
    </border>
    <border>
      <left style="thin">
        <color indexed="16"/>
      </left>
      <right style="thin">
        <color indexed="16"/>
      </right>
      <top style="thin">
        <color indexed="16"/>
      </top>
      <bottom style="hair">
        <color indexed="16"/>
      </bottom>
      <diagonal/>
    </border>
    <border>
      <left style="thin">
        <color indexed="16"/>
      </left>
      <right style="medium">
        <color indexed="16"/>
      </right>
      <top style="thin">
        <color indexed="16"/>
      </top>
      <bottom style="hair">
        <color indexed="16"/>
      </bottom>
      <diagonal/>
    </border>
    <border>
      <left style="thin">
        <color indexed="16"/>
      </left>
      <right/>
      <top style="hair">
        <color indexed="16"/>
      </top>
      <bottom style="hair">
        <color indexed="16"/>
      </bottom>
      <diagonal/>
    </border>
    <border>
      <left style="thin">
        <color indexed="16"/>
      </left>
      <right style="medium">
        <color indexed="16"/>
      </right>
      <top style="hair">
        <color indexed="16"/>
      </top>
      <bottom style="hair">
        <color indexed="16"/>
      </bottom>
      <diagonal/>
    </border>
    <border>
      <left style="thin">
        <color indexed="16"/>
      </left>
      <right/>
      <top style="hair">
        <color indexed="16"/>
      </top>
      <bottom style="thin">
        <color indexed="16"/>
      </bottom>
      <diagonal/>
    </border>
    <border>
      <left style="thin">
        <color indexed="16"/>
      </left>
      <right style="thin">
        <color indexed="16"/>
      </right>
      <top style="hair">
        <color indexed="16"/>
      </top>
      <bottom style="thin">
        <color indexed="16"/>
      </bottom>
      <diagonal/>
    </border>
    <border>
      <left style="thin">
        <color indexed="16"/>
      </left>
      <right style="medium">
        <color indexed="16"/>
      </right>
      <top style="hair">
        <color indexed="16"/>
      </top>
      <bottom style="thin">
        <color indexed="16"/>
      </bottom>
      <diagonal/>
    </border>
    <border>
      <left style="medium">
        <color indexed="16"/>
      </left>
      <right style="thin">
        <color indexed="16"/>
      </right>
      <top style="hair">
        <color indexed="16"/>
      </top>
      <bottom style="thin">
        <color indexed="16"/>
      </bottom>
      <diagonal/>
    </border>
    <border>
      <left style="medium">
        <color indexed="16"/>
      </left>
      <right/>
      <top/>
      <bottom style="thin">
        <color indexed="16"/>
      </bottom>
      <diagonal/>
    </border>
    <border>
      <left/>
      <right/>
      <top/>
      <bottom style="thin">
        <color indexed="16"/>
      </bottom>
      <diagonal/>
    </border>
    <border>
      <left/>
      <right/>
      <top/>
      <bottom style="thin">
        <color theme="5"/>
      </bottom>
      <diagonal/>
    </border>
    <border>
      <left/>
      <right style="thin">
        <color theme="5"/>
      </right>
      <top/>
      <bottom style="thin">
        <color theme="5"/>
      </bottom>
      <diagonal/>
    </border>
    <border>
      <left style="medium">
        <color indexed="16"/>
      </left>
      <right style="thin">
        <color indexed="16"/>
      </right>
      <top/>
      <bottom style="hair">
        <color indexed="16"/>
      </bottom>
      <diagonal/>
    </border>
    <border>
      <left style="thin">
        <color indexed="16"/>
      </left>
      <right style="thin">
        <color indexed="16"/>
      </right>
      <top/>
      <bottom style="hair">
        <color indexed="16"/>
      </bottom>
      <diagonal/>
    </border>
    <border>
      <left style="thin">
        <color indexed="16"/>
      </left>
      <right style="thin">
        <color indexed="16"/>
      </right>
      <top/>
      <bottom style="thin">
        <color indexed="16"/>
      </bottom>
      <diagonal/>
    </border>
    <border>
      <left style="thin">
        <color indexed="16"/>
      </left>
      <right/>
      <top/>
      <bottom style="thin">
        <color indexed="16"/>
      </bottom>
      <diagonal/>
    </border>
    <border>
      <left style="medium">
        <color theme="5"/>
      </left>
      <right style="medium">
        <color theme="5"/>
      </right>
      <top style="thin">
        <color theme="5"/>
      </top>
      <bottom style="thin">
        <color indexed="16"/>
      </bottom>
      <diagonal/>
    </border>
    <border>
      <left/>
      <right style="medium">
        <color indexed="16"/>
      </right>
      <top/>
      <bottom style="thin">
        <color indexed="16"/>
      </bottom>
      <diagonal/>
    </border>
    <border>
      <left style="thin">
        <color indexed="16"/>
      </left>
      <right style="medium">
        <color indexed="16"/>
      </right>
      <top/>
      <bottom style="thin">
        <color indexed="16"/>
      </bottom>
      <diagonal/>
    </border>
    <border>
      <left style="medium">
        <color theme="5"/>
      </left>
      <right style="medium">
        <color theme="5"/>
      </right>
      <top style="thin">
        <color indexed="16"/>
      </top>
      <bottom style="thin">
        <color indexed="16"/>
      </bottom>
      <diagonal/>
    </border>
    <border>
      <left/>
      <right style="medium">
        <color indexed="16"/>
      </right>
      <top style="thin">
        <color indexed="16"/>
      </top>
      <bottom style="thin">
        <color indexed="16"/>
      </bottom>
      <diagonal/>
    </border>
    <border>
      <left style="medium">
        <color theme="5"/>
      </left>
      <right style="medium">
        <color theme="5"/>
      </right>
      <top style="thin">
        <color indexed="16"/>
      </top>
      <bottom style="hair">
        <color indexed="16"/>
      </bottom>
      <diagonal/>
    </border>
    <border>
      <left/>
      <right style="medium">
        <color indexed="16"/>
      </right>
      <top style="thin">
        <color indexed="16"/>
      </top>
      <bottom style="hair">
        <color indexed="16"/>
      </bottom>
      <diagonal/>
    </border>
    <border>
      <left style="medium">
        <color theme="5"/>
      </left>
      <right style="medium">
        <color theme="5"/>
      </right>
      <top style="hair">
        <color indexed="16"/>
      </top>
      <bottom style="hair">
        <color indexed="16"/>
      </bottom>
      <diagonal/>
    </border>
    <border>
      <left/>
      <right style="medium">
        <color indexed="16"/>
      </right>
      <top style="hair">
        <color indexed="16"/>
      </top>
      <bottom style="hair">
        <color indexed="16"/>
      </bottom>
      <diagonal/>
    </border>
    <border>
      <left style="medium">
        <color theme="5"/>
      </left>
      <right style="medium">
        <color theme="5"/>
      </right>
      <top style="hair">
        <color indexed="16"/>
      </top>
      <bottom style="thin">
        <color indexed="16"/>
      </bottom>
      <diagonal/>
    </border>
    <border>
      <left/>
      <right style="medium">
        <color indexed="16"/>
      </right>
      <top style="hair">
        <color indexed="16"/>
      </top>
      <bottom style="thin">
        <color indexed="16"/>
      </bottom>
      <diagonal/>
    </border>
    <border>
      <left style="medium">
        <color indexed="16"/>
      </left>
      <right style="medium">
        <color indexed="16"/>
      </right>
      <top style="thin">
        <color indexed="16"/>
      </top>
      <bottom style="thin">
        <color indexed="16"/>
      </bottom>
      <diagonal/>
    </border>
    <border>
      <left style="medium">
        <color indexed="16"/>
      </left>
      <right style="medium">
        <color indexed="16"/>
      </right>
      <top style="thin">
        <color indexed="16"/>
      </top>
      <bottom style="hair">
        <color indexed="16"/>
      </bottom>
      <diagonal/>
    </border>
    <border>
      <left style="medium">
        <color indexed="16"/>
      </left>
      <right style="medium">
        <color indexed="16"/>
      </right>
      <top style="hair">
        <color indexed="16"/>
      </top>
      <bottom style="thin">
        <color indexed="16"/>
      </bottom>
      <diagonal/>
    </border>
    <border>
      <left style="medium">
        <color indexed="16"/>
      </left>
      <right/>
      <top style="thin">
        <color indexed="16"/>
      </top>
      <bottom style="thin">
        <color indexed="16"/>
      </bottom>
      <diagonal/>
    </border>
    <border>
      <left/>
      <right style="thin">
        <color indexed="16"/>
      </right>
      <top style="thin">
        <color indexed="16"/>
      </top>
      <bottom style="thin">
        <color indexed="16"/>
      </bottom>
      <diagonal/>
    </border>
    <border>
      <left style="medium">
        <color indexed="16"/>
      </left>
      <right/>
      <top style="thin">
        <color indexed="16"/>
      </top>
      <bottom style="medium">
        <color indexed="16"/>
      </bottom>
      <diagonal/>
    </border>
    <border>
      <left/>
      <right/>
      <top style="thin">
        <color indexed="16"/>
      </top>
      <bottom style="medium">
        <color indexed="16"/>
      </bottom>
      <diagonal/>
    </border>
    <border>
      <left/>
      <right style="thin">
        <color indexed="16"/>
      </right>
      <top style="thin">
        <color indexed="16"/>
      </top>
      <bottom style="medium">
        <color indexed="16"/>
      </bottom>
      <diagonal/>
    </border>
    <border>
      <left style="thin">
        <color indexed="16"/>
      </left>
      <right style="thin">
        <color indexed="16"/>
      </right>
      <top style="thin">
        <color indexed="16"/>
      </top>
      <bottom style="medium">
        <color indexed="16"/>
      </bottom>
      <diagonal/>
    </border>
    <border>
      <left style="thin">
        <color indexed="16"/>
      </left>
      <right style="medium">
        <color indexed="16"/>
      </right>
      <top style="thin">
        <color indexed="16"/>
      </top>
      <bottom style="medium">
        <color indexed="16"/>
      </bottom>
      <diagonal/>
    </border>
    <border>
      <left/>
      <right/>
      <top style="medium">
        <color indexed="16"/>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44"/>
      </left>
      <right style="medium">
        <color indexed="44"/>
      </right>
      <top style="medium">
        <color indexed="44"/>
      </top>
      <bottom style="medium">
        <color indexed="44"/>
      </bottom>
      <diagonal/>
    </border>
    <border>
      <left style="medium">
        <color indexed="44"/>
      </left>
      <right/>
      <top style="medium">
        <color indexed="44"/>
      </top>
      <bottom style="medium">
        <color indexed="44"/>
      </bottom>
      <diagonal/>
    </border>
    <border>
      <left/>
      <right/>
      <top style="medium">
        <color indexed="44"/>
      </top>
      <bottom style="medium">
        <color indexed="44"/>
      </bottom>
      <diagonal/>
    </border>
    <border>
      <left/>
      <right style="medium">
        <color indexed="44"/>
      </right>
      <top style="medium">
        <color indexed="44"/>
      </top>
      <bottom style="medium">
        <color indexed="44"/>
      </bottom>
      <diagonal/>
    </border>
    <border>
      <left/>
      <right/>
      <top/>
      <bottom style="medium">
        <color indexed="12"/>
      </bottom>
      <diagonal/>
    </border>
    <border>
      <left style="medium">
        <color indexed="12"/>
      </left>
      <right style="thin">
        <color indexed="12"/>
      </right>
      <top style="medium">
        <color indexed="12"/>
      </top>
      <bottom style="thin">
        <color indexed="12"/>
      </bottom>
      <diagonal/>
    </border>
    <border>
      <left style="thin">
        <color indexed="12"/>
      </left>
      <right style="thin">
        <color indexed="12"/>
      </right>
      <top style="medium">
        <color indexed="12"/>
      </top>
      <bottom style="thin">
        <color indexed="12"/>
      </bottom>
      <diagonal/>
    </border>
    <border>
      <left style="thin">
        <color indexed="12"/>
      </left>
      <right style="medium">
        <color indexed="12"/>
      </right>
      <top style="medium">
        <color indexed="12"/>
      </top>
      <bottom style="thin">
        <color indexed="12"/>
      </bottom>
      <diagonal/>
    </border>
    <border>
      <left/>
      <right/>
      <top style="medium">
        <color indexed="12"/>
      </top>
      <bottom/>
      <diagonal/>
    </border>
    <border>
      <left style="thin">
        <color indexed="12"/>
      </left>
      <right style="thin">
        <color indexed="12"/>
      </right>
      <top style="thin">
        <color indexed="12"/>
      </top>
      <bottom style="thin">
        <color indexed="12"/>
      </bottom>
      <diagonal/>
    </border>
    <border>
      <left style="thin">
        <color indexed="12"/>
      </left>
      <right style="medium">
        <color indexed="12"/>
      </right>
      <top style="thin">
        <color indexed="12"/>
      </top>
      <bottom style="thin">
        <color indexed="12"/>
      </bottom>
      <diagonal/>
    </border>
    <border>
      <left style="medium">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12"/>
      </bottom>
      <diagonal/>
    </border>
    <border>
      <left style="thin">
        <color indexed="12"/>
      </left>
      <right style="medium">
        <color indexed="12"/>
      </right>
      <top style="thin">
        <color indexed="12"/>
      </top>
      <bottom style="hair">
        <color indexed="12"/>
      </bottom>
      <diagonal/>
    </border>
    <border>
      <left style="medium">
        <color indexed="12"/>
      </left>
      <right style="thin">
        <color indexed="12"/>
      </right>
      <top style="hair">
        <color indexed="64"/>
      </top>
      <bottom style="hair">
        <color indexed="64"/>
      </bottom>
      <diagonal/>
    </border>
    <border>
      <left style="thin">
        <color indexed="12"/>
      </left>
      <right style="thin">
        <color indexed="12"/>
      </right>
      <top style="hair">
        <color indexed="64"/>
      </top>
      <bottom style="hair">
        <color indexed="64"/>
      </bottom>
      <diagonal/>
    </border>
    <border>
      <left style="thin">
        <color indexed="12"/>
      </left>
      <right style="thin">
        <color indexed="12"/>
      </right>
      <top style="hair">
        <color indexed="12"/>
      </top>
      <bottom style="hair">
        <color indexed="12"/>
      </bottom>
      <diagonal/>
    </border>
    <border>
      <left style="thin">
        <color indexed="12"/>
      </left>
      <right style="medium">
        <color indexed="12"/>
      </right>
      <top style="hair">
        <color indexed="12"/>
      </top>
      <bottom style="hair">
        <color indexed="12"/>
      </bottom>
      <diagonal/>
    </border>
    <border>
      <left style="thin">
        <color indexed="12"/>
      </left>
      <right style="thin">
        <color indexed="12"/>
      </right>
      <top style="hair">
        <color indexed="12"/>
      </top>
      <bottom/>
      <diagonal/>
    </border>
    <border>
      <left style="thin">
        <color indexed="12"/>
      </left>
      <right style="medium">
        <color indexed="12"/>
      </right>
      <top style="hair">
        <color indexed="12"/>
      </top>
      <bottom/>
      <diagonal/>
    </border>
    <border>
      <left style="thin">
        <color indexed="12"/>
      </left>
      <right style="thin">
        <color indexed="12"/>
      </right>
      <top/>
      <bottom style="hair">
        <color indexed="12"/>
      </bottom>
      <diagonal/>
    </border>
    <border>
      <left style="thin">
        <color indexed="12"/>
      </left>
      <right style="medium">
        <color indexed="12"/>
      </right>
      <top/>
      <bottom style="hair">
        <color indexed="12"/>
      </bottom>
      <diagonal/>
    </border>
    <border>
      <left style="medium">
        <color indexed="12"/>
      </left>
      <right style="thin">
        <color indexed="12"/>
      </right>
      <top style="hair">
        <color indexed="64"/>
      </top>
      <bottom style="thin">
        <color indexed="12"/>
      </bottom>
      <diagonal/>
    </border>
    <border>
      <left style="thin">
        <color indexed="12"/>
      </left>
      <right style="thin">
        <color indexed="12"/>
      </right>
      <top style="hair">
        <color indexed="64"/>
      </top>
      <bottom style="thin">
        <color indexed="12"/>
      </bottom>
      <diagonal/>
    </border>
    <border>
      <left style="thin">
        <color indexed="12"/>
      </left>
      <right style="thin">
        <color indexed="12"/>
      </right>
      <top style="hair">
        <color indexed="12"/>
      </top>
      <bottom style="thin">
        <color indexed="12"/>
      </bottom>
      <diagonal/>
    </border>
    <border>
      <left style="thin">
        <color indexed="12"/>
      </left>
      <right style="medium">
        <color indexed="12"/>
      </right>
      <top style="hair">
        <color indexed="12"/>
      </top>
      <bottom style="thin">
        <color indexed="12"/>
      </bottom>
      <diagonal/>
    </border>
    <border>
      <left style="medium">
        <color indexed="12"/>
      </left>
      <right/>
      <top/>
      <bottom/>
      <diagonal/>
    </border>
    <border>
      <left/>
      <right/>
      <top style="thin">
        <color indexed="12"/>
      </top>
      <bottom/>
      <diagonal/>
    </border>
    <border>
      <left style="medium">
        <color indexed="12"/>
      </left>
      <right style="thin">
        <color indexed="12"/>
      </right>
      <top style="thin">
        <color indexed="12"/>
      </top>
      <bottom/>
      <diagonal/>
    </border>
    <border>
      <left/>
      <right/>
      <top/>
      <bottom style="thin">
        <color indexed="12"/>
      </bottom>
      <diagonal/>
    </border>
    <border>
      <left/>
      <right style="medium">
        <color indexed="12"/>
      </right>
      <top style="hair">
        <color indexed="12"/>
      </top>
      <bottom style="hair">
        <color indexed="12"/>
      </bottom>
      <diagonal/>
    </border>
    <border>
      <left/>
      <right style="medium">
        <color indexed="12"/>
      </right>
      <top style="hair">
        <color indexed="12"/>
      </top>
      <bottom style="thin">
        <color indexed="12"/>
      </bottom>
      <diagonal/>
    </border>
    <border>
      <left/>
      <right/>
      <top style="thin">
        <color indexed="12"/>
      </top>
      <bottom style="thin">
        <color indexed="12"/>
      </bottom>
      <diagonal/>
    </border>
    <border>
      <left style="medium">
        <color indexed="12"/>
      </left>
      <right style="thin">
        <color indexed="12"/>
      </right>
      <top style="thin">
        <color indexed="12"/>
      </top>
      <bottom style="thin">
        <color indexed="12"/>
      </bottom>
      <diagonal/>
    </border>
    <border>
      <left style="thin">
        <color indexed="12"/>
      </left>
      <right style="thin">
        <color indexed="12"/>
      </right>
      <top style="thin">
        <color indexed="12"/>
      </top>
      <bottom/>
      <diagonal/>
    </border>
    <border>
      <left style="medium">
        <color indexed="12"/>
      </left>
      <right/>
      <top style="thin">
        <color indexed="12"/>
      </top>
      <bottom style="hair">
        <color indexed="64"/>
      </bottom>
      <diagonal/>
    </border>
    <border>
      <left style="medium">
        <color indexed="12"/>
      </left>
      <right/>
      <top style="hair">
        <color indexed="64"/>
      </top>
      <bottom style="hair">
        <color indexed="64"/>
      </bottom>
      <diagonal/>
    </border>
    <border>
      <left style="medium">
        <color indexed="12"/>
      </left>
      <right/>
      <top style="hair">
        <color indexed="64"/>
      </top>
      <bottom style="medium">
        <color indexed="12"/>
      </bottom>
      <diagonal/>
    </border>
    <border>
      <left style="thin">
        <color indexed="12"/>
      </left>
      <right style="thin">
        <color indexed="12"/>
      </right>
      <top style="hair">
        <color indexed="64"/>
      </top>
      <bottom style="medium">
        <color indexed="12"/>
      </bottom>
      <diagonal/>
    </border>
    <border>
      <left style="thin">
        <color indexed="12"/>
      </left>
      <right style="thin">
        <color indexed="12"/>
      </right>
      <top style="thin">
        <color indexed="12"/>
      </top>
      <bottom style="medium">
        <color indexed="12"/>
      </bottom>
      <diagonal/>
    </border>
    <border>
      <left style="thin">
        <color indexed="12"/>
      </left>
      <right style="medium">
        <color indexed="12"/>
      </right>
      <top style="thin">
        <color indexed="12"/>
      </top>
      <bottom style="medium">
        <color indexed="12"/>
      </bottom>
      <diagonal/>
    </border>
    <border>
      <left style="medium">
        <color indexed="42"/>
      </left>
      <right style="medium">
        <color indexed="42"/>
      </right>
      <top style="medium">
        <color indexed="42"/>
      </top>
      <bottom style="medium">
        <color indexed="42"/>
      </bottom>
      <diagonal/>
    </border>
    <border>
      <left style="medium">
        <color indexed="42"/>
      </left>
      <right/>
      <top style="medium">
        <color indexed="42"/>
      </top>
      <bottom style="medium">
        <color indexed="42"/>
      </bottom>
      <diagonal/>
    </border>
    <border>
      <left/>
      <right/>
      <top style="medium">
        <color indexed="42"/>
      </top>
      <bottom style="medium">
        <color indexed="42"/>
      </bottom>
      <diagonal/>
    </border>
    <border>
      <left/>
      <right style="medium">
        <color indexed="42"/>
      </right>
      <top style="medium">
        <color indexed="42"/>
      </top>
      <bottom style="medium">
        <color indexed="42"/>
      </bottom>
      <diagonal/>
    </border>
    <border>
      <left/>
      <right/>
      <top/>
      <bottom style="medium">
        <color indexed="17"/>
      </bottom>
      <diagonal/>
    </border>
    <border>
      <left style="medium">
        <color indexed="17"/>
      </left>
      <right style="thin">
        <color indexed="17"/>
      </right>
      <top style="medium">
        <color indexed="17"/>
      </top>
      <bottom style="thin">
        <color indexed="17"/>
      </bottom>
      <diagonal/>
    </border>
    <border>
      <left style="thin">
        <color indexed="17"/>
      </left>
      <right style="thin">
        <color indexed="17"/>
      </right>
      <top style="medium">
        <color indexed="17"/>
      </top>
      <bottom style="thin">
        <color indexed="17"/>
      </bottom>
      <diagonal/>
    </border>
    <border>
      <left style="thin">
        <color indexed="17"/>
      </left>
      <right style="medium">
        <color indexed="17"/>
      </right>
      <top style="medium">
        <color indexed="17"/>
      </top>
      <bottom style="thin">
        <color indexed="17"/>
      </bottom>
      <diagonal/>
    </border>
    <border>
      <left/>
      <right/>
      <top style="medium">
        <color indexed="17"/>
      </top>
      <bottom/>
      <diagonal/>
    </border>
    <border>
      <left style="thin">
        <color indexed="17"/>
      </left>
      <right/>
      <top style="medium">
        <color indexed="17"/>
      </top>
      <bottom style="thin">
        <color indexed="17"/>
      </bottom>
      <diagonal/>
    </border>
    <border>
      <left style="thin">
        <color indexed="17"/>
      </left>
      <right style="thin">
        <color indexed="17"/>
      </right>
      <top style="thin">
        <color indexed="17"/>
      </top>
      <bottom style="thin">
        <color indexed="17"/>
      </bottom>
      <diagonal/>
    </border>
    <border>
      <left style="thin">
        <color indexed="17"/>
      </left>
      <right style="medium">
        <color indexed="17"/>
      </right>
      <top style="thin">
        <color indexed="17"/>
      </top>
      <bottom style="thin">
        <color indexed="17"/>
      </bottom>
      <diagonal/>
    </border>
    <border>
      <left style="medium">
        <color indexed="17"/>
      </left>
      <right style="thin">
        <color indexed="17"/>
      </right>
      <top style="thin">
        <color indexed="17"/>
      </top>
      <bottom style="hair">
        <color indexed="64"/>
      </bottom>
      <diagonal/>
    </border>
    <border>
      <left style="thin">
        <color indexed="17"/>
      </left>
      <right style="thin">
        <color indexed="17"/>
      </right>
      <top style="thin">
        <color indexed="17"/>
      </top>
      <bottom style="hair">
        <color indexed="64"/>
      </bottom>
      <diagonal/>
    </border>
    <border>
      <left style="thin">
        <color indexed="17"/>
      </left>
      <right/>
      <top style="thin">
        <color indexed="17"/>
      </top>
      <bottom style="hair">
        <color indexed="17"/>
      </bottom>
      <diagonal/>
    </border>
    <border>
      <left style="thin">
        <color indexed="17"/>
      </left>
      <right style="thin">
        <color indexed="17"/>
      </right>
      <top style="thin">
        <color indexed="17"/>
      </top>
      <bottom style="hair">
        <color indexed="17"/>
      </bottom>
      <diagonal/>
    </border>
    <border>
      <left/>
      <right style="medium">
        <color indexed="17"/>
      </right>
      <top style="thin">
        <color indexed="17"/>
      </top>
      <bottom style="hair">
        <color indexed="17"/>
      </bottom>
      <diagonal/>
    </border>
    <border>
      <left style="medium">
        <color indexed="17"/>
      </left>
      <right style="thin">
        <color indexed="17"/>
      </right>
      <top style="hair">
        <color indexed="64"/>
      </top>
      <bottom style="hair">
        <color indexed="64"/>
      </bottom>
      <diagonal/>
    </border>
    <border>
      <left style="thin">
        <color indexed="17"/>
      </left>
      <right style="thin">
        <color indexed="17"/>
      </right>
      <top style="hair">
        <color indexed="64"/>
      </top>
      <bottom style="hair">
        <color indexed="64"/>
      </bottom>
      <diagonal/>
    </border>
    <border>
      <left style="thin">
        <color indexed="17"/>
      </left>
      <right/>
      <top style="hair">
        <color indexed="17"/>
      </top>
      <bottom style="hair">
        <color indexed="17"/>
      </bottom>
      <diagonal/>
    </border>
    <border>
      <left style="thin">
        <color indexed="17"/>
      </left>
      <right style="thin">
        <color indexed="17"/>
      </right>
      <top style="hair">
        <color indexed="17"/>
      </top>
      <bottom style="hair">
        <color indexed="17"/>
      </bottom>
      <diagonal/>
    </border>
    <border>
      <left/>
      <right style="medium">
        <color indexed="17"/>
      </right>
      <top style="hair">
        <color indexed="17"/>
      </top>
      <bottom style="hair">
        <color indexed="17"/>
      </bottom>
      <diagonal/>
    </border>
    <border>
      <left style="thin">
        <color indexed="17"/>
      </left>
      <right/>
      <top style="hair">
        <color indexed="17"/>
      </top>
      <bottom/>
      <diagonal/>
    </border>
    <border>
      <left style="thin">
        <color indexed="17"/>
      </left>
      <right style="thin">
        <color indexed="17"/>
      </right>
      <top style="hair">
        <color indexed="17"/>
      </top>
      <bottom/>
      <diagonal/>
    </border>
    <border>
      <left/>
      <right style="medium">
        <color indexed="17"/>
      </right>
      <top style="hair">
        <color indexed="17"/>
      </top>
      <bottom/>
      <diagonal/>
    </border>
    <border>
      <left/>
      <right/>
      <top style="thin">
        <color indexed="17"/>
      </top>
      <bottom style="thin">
        <color indexed="17"/>
      </bottom>
      <diagonal/>
    </border>
    <border>
      <left/>
      <right style="medium">
        <color indexed="17"/>
      </right>
      <top style="thin">
        <color indexed="17"/>
      </top>
      <bottom style="thin">
        <color indexed="17"/>
      </bottom>
      <diagonal/>
    </border>
    <border>
      <left style="thin">
        <color indexed="17"/>
      </left>
      <right/>
      <top/>
      <bottom style="hair">
        <color indexed="17"/>
      </bottom>
      <diagonal/>
    </border>
    <border>
      <left style="thin">
        <color indexed="17"/>
      </left>
      <right style="thin">
        <color indexed="17"/>
      </right>
      <top/>
      <bottom style="hair">
        <color indexed="17"/>
      </bottom>
      <diagonal/>
    </border>
    <border>
      <left/>
      <right style="medium">
        <color indexed="17"/>
      </right>
      <top/>
      <bottom style="hair">
        <color indexed="17"/>
      </bottom>
      <diagonal/>
    </border>
    <border>
      <left style="medium">
        <color indexed="17"/>
      </left>
      <right style="thin">
        <color indexed="17"/>
      </right>
      <top style="hair">
        <color indexed="64"/>
      </top>
      <bottom style="thin">
        <color indexed="17"/>
      </bottom>
      <diagonal/>
    </border>
    <border>
      <left style="thin">
        <color indexed="17"/>
      </left>
      <right style="thin">
        <color indexed="17"/>
      </right>
      <top style="hair">
        <color indexed="64"/>
      </top>
      <bottom style="thin">
        <color indexed="17"/>
      </bottom>
      <diagonal/>
    </border>
    <border>
      <left style="thin">
        <color indexed="17"/>
      </left>
      <right/>
      <top style="hair">
        <color indexed="17"/>
      </top>
      <bottom style="thin">
        <color indexed="17"/>
      </bottom>
      <diagonal/>
    </border>
    <border>
      <left style="thin">
        <color indexed="17"/>
      </left>
      <right style="thin">
        <color indexed="17"/>
      </right>
      <top style="hair">
        <color indexed="17"/>
      </top>
      <bottom style="thin">
        <color indexed="17"/>
      </bottom>
      <diagonal/>
    </border>
    <border>
      <left style="thin">
        <color indexed="17"/>
      </left>
      <right style="medium">
        <color indexed="17"/>
      </right>
      <top style="hair">
        <color indexed="17"/>
      </top>
      <bottom style="thin">
        <color indexed="17"/>
      </bottom>
      <diagonal/>
    </border>
    <border>
      <left style="medium">
        <color indexed="17"/>
      </left>
      <right/>
      <top/>
      <bottom/>
      <diagonal/>
    </border>
    <border>
      <left/>
      <right/>
      <top style="thin">
        <color indexed="17"/>
      </top>
      <bottom/>
      <diagonal/>
    </border>
    <border>
      <left style="medium">
        <color indexed="17"/>
      </left>
      <right style="thin">
        <color indexed="17"/>
      </right>
      <top style="thin">
        <color indexed="17"/>
      </top>
      <bottom/>
      <diagonal/>
    </border>
    <border>
      <left/>
      <right/>
      <top/>
      <bottom style="thin">
        <color indexed="17"/>
      </bottom>
      <diagonal/>
    </border>
    <border>
      <left style="thin">
        <color indexed="17"/>
      </left>
      <right style="medium">
        <color indexed="17"/>
      </right>
      <top style="thin">
        <color indexed="17"/>
      </top>
      <bottom style="hair">
        <color indexed="17"/>
      </bottom>
      <diagonal/>
    </border>
    <border>
      <left style="thin">
        <color indexed="17"/>
      </left>
      <right style="medium">
        <color indexed="17"/>
      </right>
      <top style="hair">
        <color indexed="17"/>
      </top>
      <bottom style="hair">
        <color indexed="17"/>
      </bottom>
      <diagonal/>
    </border>
    <border>
      <left style="medium">
        <color indexed="17"/>
      </left>
      <right style="thin">
        <color indexed="17"/>
      </right>
      <top style="thin">
        <color indexed="17"/>
      </top>
      <bottom style="thin">
        <color indexed="17"/>
      </bottom>
      <diagonal/>
    </border>
    <border>
      <left/>
      <right style="medium">
        <color indexed="17"/>
      </right>
      <top style="hair">
        <color indexed="17"/>
      </top>
      <bottom style="thin">
        <color indexed="17"/>
      </bottom>
      <diagonal/>
    </border>
    <border>
      <left style="medium">
        <color indexed="17"/>
      </left>
      <right style="thin">
        <color indexed="17"/>
      </right>
      <top style="hair">
        <color indexed="64"/>
      </top>
      <bottom style="medium">
        <color indexed="17"/>
      </bottom>
      <diagonal/>
    </border>
    <border>
      <left style="thin">
        <color indexed="17"/>
      </left>
      <right style="thin">
        <color indexed="17"/>
      </right>
      <top style="hair">
        <color indexed="64"/>
      </top>
      <bottom style="medium">
        <color indexed="17"/>
      </bottom>
      <diagonal/>
    </border>
    <border>
      <left/>
      <right style="thin">
        <color indexed="17"/>
      </right>
      <top/>
      <bottom style="medium">
        <color indexed="17"/>
      </bottom>
      <diagonal/>
    </border>
    <border>
      <left style="thin">
        <color indexed="17"/>
      </left>
      <right style="thin">
        <color indexed="17"/>
      </right>
      <top/>
      <bottom style="medium">
        <color indexed="17"/>
      </bottom>
      <diagonal/>
    </border>
    <border>
      <left style="thin">
        <color indexed="17"/>
      </left>
      <right style="medium">
        <color indexed="17"/>
      </right>
      <top style="thin">
        <color indexed="17"/>
      </top>
      <bottom style="medium">
        <color indexed="17"/>
      </bottom>
      <diagonal/>
    </border>
    <border>
      <left style="medium">
        <color indexed="29"/>
      </left>
      <right style="medium">
        <color indexed="29"/>
      </right>
      <top style="medium">
        <color indexed="29"/>
      </top>
      <bottom style="medium">
        <color indexed="29"/>
      </bottom>
      <diagonal/>
    </border>
    <border>
      <left style="medium">
        <color indexed="29"/>
      </left>
      <right/>
      <top style="medium">
        <color indexed="29"/>
      </top>
      <bottom style="medium">
        <color indexed="29"/>
      </bottom>
      <diagonal/>
    </border>
    <border>
      <left/>
      <right/>
      <top style="medium">
        <color indexed="29"/>
      </top>
      <bottom style="medium">
        <color indexed="29"/>
      </bottom>
      <diagonal/>
    </border>
    <border>
      <left/>
      <right style="medium">
        <color indexed="29"/>
      </right>
      <top style="medium">
        <color indexed="29"/>
      </top>
      <bottom style="medium">
        <color indexed="29"/>
      </bottom>
      <diagonal/>
    </border>
    <border>
      <left/>
      <right/>
      <top/>
      <bottom style="medium">
        <color indexed="10"/>
      </bottom>
      <diagonal/>
    </border>
    <border>
      <left style="medium">
        <color indexed="10"/>
      </left>
      <right style="thin">
        <color indexed="10"/>
      </right>
      <top style="medium">
        <color indexed="10"/>
      </top>
      <bottom style="thin">
        <color indexed="10"/>
      </bottom>
      <diagonal/>
    </border>
    <border>
      <left style="thin">
        <color indexed="10"/>
      </left>
      <right style="thin">
        <color indexed="10"/>
      </right>
      <top style="medium">
        <color indexed="10"/>
      </top>
      <bottom style="thin">
        <color indexed="10"/>
      </bottom>
      <diagonal/>
    </border>
    <border>
      <left style="thin">
        <color indexed="10"/>
      </left>
      <right style="medium">
        <color indexed="10"/>
      </right>
      <top style="medium">
        <color indexed="10"/>
      </top>
      <bottom style="thin">
        <color indexed="10"/>
      </bottom>
      <diagonal/>
    </border>
    <border>
      <left style="thin">
        <color indexed="10"/>
      </left>
      <right style="thin">
        <color indexed="10"/>
      </right>
      <top style="medium">
        <color indexed="10"/>
      </top>
      <bottom/>
      <diagonal/>
    </border>
    <border>
      <left/>
      <right/>
      <top style="medium">
        <color indexed="10"/>
      </top>
      <bottom/>
      <diagonal/>
    </border>
    <border>
      <left style="thin">
        <color indexed="10"/>
      </left>
      <right/>
      <top style="medium">
        <color indexed="10"/>
      </top>
      <bottom style="thin">
        <color indexed="10"/>
      </bottom>
      <diagonal/>
    </border>
    <border>
      <left style="thin">
        <color indexed="10"/>
      </left>
      <right style="thin">
        <color indexed="10"/>
      </right>
      <top style="thin">
        <color indexed="10"/>
      </top>
      <bottom/>
      <diagonal/>
    </border>
    <border>
      <left style="thin">
        <color indexed="10"/>
      </left>
      <right style="medium">
        <color indexed="10"/>
      </right>
      <top style="thin">
        <color indexed="10"/>
      </top>
      <bottom/>
      <diagonal/>
    </border>
    <border>
      <left style="medium">
        <color indexed="10"/>
      </left>
      <right/>
      <top style="thin">
        <color indexed="10"/>
      </top>
      <bottom style="hair">
        <color indexed="64"/>
      </bottom>
      <diagonal/>
    </border>
    <border>
      <left style="thin">
        <color indexed="10"/>
      </left>
      <right style="thin">
        <color indexed="10"/>
      </right>
      <top style="thin">
        <color indexed="10"/>
      </top>
      <bottom style="hair">
        <color indexed="64"/>
      </bottom>
      <diagonal/>
    </border>
    <border>
      <left style="thin">
        <color indexed="10"/>
      </left>
      <right style="thin">
        <color indexed="10"/>
      </right>
      <top style="thin">
        <color indexed="10"/>
      </top>
      <bottom style="hair">
        <color indexed="10"/>
      </bottom>
      <diagonal/>
    </border>
    <border>
      <left style="thin">
        <color indexed="10"/>
      </left>
      <right style="medium">
        <color indexed="10"/>
      </right>
      <top style="thin">
        <color indexed="10"/>
      </top>
      <bottom style="hair">
        <color indexed="10"/>
      </bottom>
      <diagonal/>
    </border>
    <border>
      <left style="medium">
        <color indexed="10"/>
      </left>
      <right/>
      <top style="hair">
        <color indexed="64"/>
      </top>
      <bottom style="hair">
        <color indexed="64"/>
      </bottom>
      <diagonal/>
    </border>
    <border>
      <left style="thin">
        <color indexed="10"/>
      </left>
      <right style="thin">
        <color indexed="10"/>
      </right>
      <top style="hair">
        <color indexed="64"/>
      </top>
      <bottom style="hair">
        <color indexed="64"/>
      </bottom>
      <diagonal/>
    </border>
    <border>
      <left style="thin">
        <color indexed="10"/>
      </left>
      <right style="thin">
        <color indexed="10"/>
      </right>
      <top style="hair">
        <color indexed="10"/>
      </top>
      <bottom style="hair">
        <color indexed="10"/>
      </bottom>
      <diagonal/>
    </border>
    <border>
      <left style="thin">
        <color indexed="10"/>
      </left>
      <right style="medium">
        <color indexed="10"/>
      </right>
      <top style="hair">
        <color indexed="10"/>
      </top>
      <bottom style="hair">
        <color indexed="10"/>
      </bottom>
      <diagonal/>
    </border>
    <border>
      <left style="thin">
        <color indexed="10"/>
      </left>
      <right style="thin">
        <color indexed="10"/>
      </right>
      <top style="hair">
        <color indexed="10"/>
      </top>
      <bottom/>
      <diagonal/>
    </border>
    <border>
      <left style="thin">
        <color indexed="10"/>
      </left>
      <right style="medium">
        <color indexed="10"/>
      </right>
      <top style="hair">
        <color indexed="10"/>
      </top>
      <bottom/>
      <diagonal/>
    </border>
    <border>
      <left/>
      <right style="thin">
        <color indexed="10"/>
      </right>
      <top style="thin">
        <color indexed="10"/>
      </top>
      <bottom style="thin">
        <color indexed="10"/>
      </bottom>
      <diagonal/>
    </border>
    <border>
      <left style="thin">
        <color indexed="10"/>
      </left>
      <right style="thin">
        <color indexed="10"/>
      </right>
      <top style="thin">
        <color indexed="10"/>
      </top>
      <bottom style="thin">
        <color indexed="10"/>
      </bottom>
      <diagonal/>
    </border>
    <border>
      <left style="thin">
        <color indexed="10"/>
      </left>
      <right style="medium">
        <color indexed="10"/>
      </right>
      <top style="thin">
        <color indexed="10"/>
      </top>
      <bottom style="thin">
        <color indexed="10"/>
      </bottom>
      <diagonal/>
    </border>
    <border>
      <left style="thin">
        <color indexed="10"/>
      </left>
      <right style="thin">
        <color indexed="10"/>
      </right>
      <top/>
      <bottom style="hair">
        <color indexed="10"/>
      </bottom>
      <diagonal/>
    </border>
    <border>
      <left style="thin">
        <color indexed="10"/>
      </left>
      <right style="medium">
        <color indexed="10"/>
      </right>
      <top/>
      <bottom style="hair">
        <color indexed="10"/>
      </bottom>
      <diagonal/>
    </border>
    <border>
      <left style="medium">
        <color indexed="10"/>
      </left>
      <right/>
      <top style="hair">
        <color indexed="64"/>
      </top>
      <bottom style="thin">
        <color indexed="10"/>
      </bottom>
      <diagonal/>
    </border>
    <border>
      <left style="thin">
        <color indexed="10"/>
      </left>
      <right style="thin">
        <color indexed="10"/>
      </right>
      <top style="hair">
        <color indexed="64"/>
      </top>
      <bottom style="thin">
        <color indexed="10"/>
      </bottom>
      <diagonal/>
    </border>
    <border>
      <left style="thin">
        <color indexed="10"/>
      </left>
      <right style="thin">
        <color indexed="10"/>
      </right>
      <top style="hair">
        <color indexed="10"/>
      </top>
      <bottom style="thin">
        <color indexed="10"/>
      </bottom>
      <diagonal/>
    </border>
    <border>
      <left style="thin">
        <color indexed="10"/>
      </left>
      <right style="medium">
        <color indexed="10"/>
      </right>
      <top style="hair">
        <color indexed="10"/>
      </top>
      <bottom style="thin">
        <color indexed="10"/>
      </bottom>
      <diagonal/>
    </border>
    <border>
      <left style="medium">
        <color indexed="10"/>
      </left>
      <right/>
      <top/>
      <bottom/>
      <diagonal/>
    </border>
    <border>
      <left/>
      <right/>
      <top style="thin">
        <color indexed="10"/>
      </top>
      <bottom/>
      <diagonal/>
    </border>
    <border>
      <left style="medium">
        <color indexed="10"/>
      </left>
      <right style="thin">
        <color indexed="10"/>
      </right>
      <top style="thin">
        <color indexed="10"/>
      </top>
      <bottom/>
      <diagonal/>
    </border>
    <border>
      <left/>
      <right/>
      <top/>
      <bottom style="thin">
        <color indexed="10"/>
      </bottom>
      <diagonal/>
    </border>
    <border>
      <left/>
      <right/>
      <top style="thin">
        <color indexed="10"/>
      </top>
      <bottom style="thin">
        <color indexed="10"/>
      </bottom>
      <diagonal/>
    </border>
    <border>
      <left style="medium">
        <color indexed="10"/>
      </left>
      <right style="thin">
        <color indexed="10"/>
      </right>
      <top style="thin">
        <color indexed="10"/>
      </top>
      <bottom style="thin">
        <color indexed="10"/>
      </bottom>
      <diagonal/>
    </border>
    <border>
      <left style="medium">
        <color indexed="10"/>
      </left>
      <right style="thin">
        <color indexed="10"/>
      </right>
      <top style="thin">
        <color indexed="10"/>
      </top>
      <bottom style="hair">
        <color indexed="64"/>
      </bottom>
      <diagonal/>
    </border>
    <border>
      <left style="medium">
        <color indexed="10"/>
      </left>
      <right style="thin">
        <color indexed="10"/>
      </right>
      <top style="hair">
        <color indexed="64"/>
      </top>
      <bottom style="hair">
        <color indexed="64"/>
      </bottom>
      <diagonal/>
    </border>
    <border>
      <left style="thin">
        <color indexed="10"/>
      </left>
      <right style="thin">
        <color indexed="10"/>
      </right>
      <top/>
      <bottom style="thin">
        <color indexed="10"/>
      </bottom>
      <diagonal/>
    </border>
    <border>
      <left style="medium">
        <color indexed="10"/>
      </left>
      <right style="thin">
        <color indexed="10"/>
      </right>
      <top style="hair">
        <color indexed="64"/>
      </top>
      <bottom style="medium">
        <color indexed="10"/>
      </bottom>
      <diagonal/>
    </border>
    <border>
      <left style="thin">
        <color indexed="10"/>
      </left>
      <right style="thin">
        <color indexed="10"/>
      </right>
      <top style="hair">
        <color indexed="64"/>
      </top>
      <bottom style="medium">
        <color indexed="10"/>
      </bottom>
      <diagonal/>
    </border>
    <border>
      <left style="thin">
        <color indexed="10"/>
      </left>
      <right style="thin">
        <color indexed="10"/>
      </right>
      <top style="thin">
        <color indexed="10"/>
      </top>
      <bottom style="medium">
        <color indexed="10"/>
      </bottom>
      <diagonal/>
    </border>
    <border>
      <left style="thin">
        <color indexed="10"/>
      </left>
      <right style="medium">
        <color indexed="10"/>
      </right>
      <top style="thin">
        <color indexed="10"/>
      </top>
      <bottom style="medium">
        <color indexed="10"/>
      </bottom>
      <diagonal/>
    </border>
    <border>
      <left/>
      <right/>
      <top/>
      <bottom style="thick">
        <color rgb="FFFF6600"/>
      </bottom>
      <diagonal/>
    </border>
    <border>
      <left/>
      <right/>
      <top style="medium">
        <color indexed="10"/>
      </top>
      <bottom style="thick">
        <color rgb="FFFF6600"/>
      </bottom>
      <diagonal/>
    </border>
    <border>
      <left/>
      <right style="thick">
        <color rgb="FFFF6600"/>
      </right>
      <top/>
      <bottom style="thick">
        <color rgb="FFFF6600"/>
      </bottom>
      <diagonal/>
    </border>
    <border>
      <left style="thick">
        <color indexed="64"/>
      </left>
      <right/>
      <top style="thick">
        <color indexed="64"/>
      </top>
      <bottom/>
      <diagonal/>
    </border>
    <border>
      <left/>
      <right style="thick">
        <color theme="1"/>
      </right>
      <top style="thick">
        <color indexed="64"/>
      </top>
      <bottom/>
      <diagonal/>
    </border>
    <border>
      <left style="medium">
        <color indexed="64"/>
      </left>
      <right style="medium">
        <color indexed="64"/>
      </right>
      <top style="medium">
        <color indexed="64"/>
      </top>
      <bottom style="medium">
        <color indexed="64"/>
      </bottom>
      <diagonal/>
    </border>
    <border>
      <left style="thick">
        <color indexed="64"/>
      </left>
      <right/>
      <top/>
      <bottom/>
      <diagonal/>
    </border>
    <border>
      <left/>
      <right style="thick">
        <color theme="1"/>
      </right>
      <top/>
      <bottom/>
      <diagonal/>
    </border>
    <border>
      <left style="thin">
        <color indexed="64"/>
      </left>
      <right style="thin">
        <color indexed="64"/>
      </right>
      <top style="thin">
        <color indexed="64"/>
      </top>
      <bottom style="dashed">
        <color indexed="64"/>
      </bottom>
      <diagonal/>
    </border>
    <border>
      <left style="thin">
        <color indexed="64"/>
      </left>
      <right style="hair">
        <color indexed="64"/>
      </right>
      <top style="thin">
        <color indexed="64"/>
      </top>
      <bottom style="dashed">
        <color indexed="64"/>
      </bottom>
      <diagonal/>
    </border>
    <border>
      <left style="hair">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thin">
        <color indexed="64"/>
      </left>
      <right style="hair">
        <color indexed="64"/>
      </right>
      <top style="hair">
        <color indexed="64"/>
      </top>
      <bottom/>
      <diagonal/>
    </border>
    <border>
      <left style="thick">
        <color indexed="12"/>
      </left>
      <right/>
      <top style="thick">
        <color indexed="12"/>
      </top>
      <bottom/>
      <diagonal/>
    </border>
    <border>
      <left/>
      <right/>
      <top style="thick">
        <color indexed="12"/>
      </top>
      <bottom/>
      <diagonal/>
    </border>
    <border>
      <left/>
      <right style="thick">
        <color indexed="12"/>
      </right>
      <top style="thick">
        <color indexed="12"/>
      </top>
      <bottom/>
      <diagonal/>
    </border>
    <border>
      <left style="thick">
        <color indexed="12"/>
      </left>
      <right/>
      <top/>
      <bottom/>
      <diagonal/>
    </border>
    <border>
      <left/>
      <right style="thick">
        <color indexed="12"/>
      </right>
      <top/>
      <bottom/>
      <diagonal/>
    </border>
    <border>
      <left style="thick">
        <color indexed="64"/>
      </left>
      <right/>
      <top/>
      <bottom style="thick">
        <color indexed="64"/>
      </bottom>
      <diagonal/>
    </border>
    <border>
      <left/>
      <right style="thick">
        <color theme="1"/>
      </right>
      <top/>
      <bottom style="thick">
        <color indexed="64"/>
      </bottom>
      <diagonal/>
    </border>
    <border>
      <left style="thin">
        <color indexed="16"/>
      </left>
      <right style="thin">
        <color indexed="16"/>
      </right>
      <top style="thin">
        <color indexed="16"/>
      </top>
      <bottom/>
      <diagonal/>
    </border>
    <border>
      <left/>
      <right style="thin">
        <color indexed="16"/>
      </right>
      <top style="thin">
        <color indexed="16"/>
      </top>
      <bottom/>
      <diagonal/>
    </border>
    <border>
      <left style="thin">
        <color indexed="16"/>
      </left>
      <right style="thin">
        <color indexed="16"/>
      </right>
      <top/>
      <bottom/>
      <diagonal/>
    </border>
    <border>
      <left style="thin">
        <color indexed="16"/>
      </left>
      <right/>
      <top/>
      <bottom/>
      <diagonal/>
    </border>
    <border>
      <left/>
      <right style="thin">
        <color indexed="16"/>
      </right>
      <top/>
      <bottom/>
      <diagonal/>
    </border>
    <border>
      <left/>
      <right style="thin">
        <color indexed="16"/>
      </right>
      <top/>
      <bottom style="thin">
        <color indexed="16"/>
      </bottom>
      <diagonal/>
    </border>
    <border>
      <left/>
      <right/>
      <top style="thin">
        <color indexed="16"/>
      </top>
      <bottom/>
      <diagonal/>
    </border>
    <border>
      <left style="thin">
        <color indexed="16"/>
      </left>
      <right style="thin">
        <color indexed="16"/>
      </right>
      <top/>
      <bottom style="dotted">
        <color indexed="16"/>
      </bottom>
      <diagonal/>
    </border>
    <border>
      <left style="thin">
        <color indexed="16"/>
      </left>
      <right/>
      <top/>
      <bottom style="dotted">
        <color indexed="16"/>
      </bottom>
      <diagonal/>
    </border>
    <border>
      <left/>
      <right style="thin">
        <color indexed="16"/>
      </right>
      <top/>
      <bottom style="dotted">
        <color indexed="16"/>
      </bottom>
      <diagonal/>
    </border>
    <border>
      <left/>
      <right/>
      <top/>
      <bottom style="dotted">
        <color indexed="16"/>
      </bottom>
      <diagonal/>
    </border>
    <border>
      <left/>
      <right style="thin">
        <color indexed="16"/>
      </right>
      <top style="dotted">
        <color indexed="16"/>
      </top>
      <bottom/>
      <diagonal/>
    </border>
    <border>
      <left style="thin">
        <color indexed="16"/>
      </left>
      <right/>
      <top style="thin">
        <color indexed="16"/>
      </top>
      <bottom/>
      <diagonal/>
    </border>
    <border>
      <left/>
      <right/>
      <top style="thin">
        <color rgb="FFFF0000"/>
      </top>
      <bottom/>
      <diagonal/>
    </border>
    <border>
      <left style="thick">
        <color indexed="12"/>
      </left>
      <right/>
      <top/>
      <bottom style="thick">
        <color indexed="12"/>
      </bottom>
      <diagonal/>
    </border>
    <border>
      <left/>
      <right/>
      <top/>
      <bottom style="thick">
        <color indexed="12"/>
      </bottom>
      <diagonal/>
    </border>
    <border>
      <left/>
      <right/>
      <top style="thin">
        <color rgb="FFC00000"/>
      </top>
      <bottom style="thick">
        <color indexed="12"/>
      </bottom>
      <diagonal/>
    </border>
    <border>
      <left/>
      <right/>
      <top style="thin">
        <color indexed="16"/>
      </top>
      <bottom style="thick">
        <color indexed="12"/>
      </bottom>
      <diagonal/>
    </border>
    <border>
      <left/>
      <right style="thick">
        <color indexed="12"/>
      </right>
      <top/>
      <bottom style="thick">
        <color indexed="12"/>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top style="thin">
        <color indexed="64"/>
      </top>
      <bottom/>
      <diagonal/>
    </border>
    <border>
      <left style="thin">
        <color indexed="64"/>
      </left>
      <right style="hair">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thin">
        <color indexed="64"/>
      </left>
      <right style="thin">
        <color indexed="8"/>
      </right>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style="thin">
        <color indexed="64"/>
      </left>
      <right style="thin">
        <color indexed="8"/>
      </right>
      <top/>
      <bottom style="thin">
        <color indexed="8"/>
      </bottom>
      <diagonal/>
    </border>
    <border>
      <left style="thin">
        <color indexed="64"/>
      </left>
      <right style="thin">
        <color indexed="64"/>
      </right>
      <top style="thin">
        <color indexed="8"/>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thin">
        <color indexed="8"/>
      </right>
      <top/>
      <bottom style="thin">
        <color indexed="64"/>
      </bottom>
      <diagonal/>
    </border>
    <border>
      <left style="thin">
        <color indexed="8"/>
      </left>
      <right/>
      <top/>
      <bottom style="thin">
        <color indexed="64"/>
      </bottom>
      <diagonal/>
    </border>
    <border>
      <left style="dotted">
        <color indexed="16"/>
      </left>
      <right style="thin">
        <color indexed="16"/>
      </right>
      <top style="thin">
        <color indexed="16"/>
      </top>
      <bottom style="thin">
        <color indexed="16"/>
      </bottom>
      <diagonal/>
    </border>
    <border>
      <left style="dotted">
        <color indexed="16"/>
      </left>
      <right style="dotted">
        <color indexed="16"/>
      </right>
      <top style="thin">
        <color indexed="16"/>
      </top>
      <bottom style="thin">
        <color indexed="16"/>
      </bottom>
      <diagonal/>
    </border>
    <border>
      <left style="dotted">
        <color indexed="16"/>
      </left>
      <right style="thin">
        <color indexed="16"/>
      </right>
      <top/>
      <bottom/>
      <diagonal/>
    </border>
    <border>
      <left style="dotted">
        <color indexed="16"/>
      </left>
      <right style="dotted">
        <color indexed="16"/>
      </right>
      <top/>
      <bottom/>
      <diagonal/>
    </border>
    <border>
      <left style="dotted">
        <color indexed="16"/>
      </left>
      <right style="thin">
        <color indexed="16"/>
      </right>
      <top style="thin">
        <color indexed="16"/>
      </top>
      <bottom style="hair">
        <color indexed="16"/>
      </bottom>
      <diagonal/>
    </border>
    <border>
      <left style="dotted">
        <color indexed="16"/>
      </left>
      <right style="dotted">
        <color indexed="16"/>
      </right>
      <top style="thin">
        <color indexed="16"/>
      </top>
      <bottom style="hair">
        <color indexed="16"/>
      </bottom>
      <diagonal/>
    </border>
    <border>
      <left style="dotted">
        <color indexed="16"/>
      </left>
      <right style="thin">
        <color indexed="16"/>
      </right>
      <top style="hair">
        <color indexed="16"/>
      </top>
      <bottom style="thin">
        <color indexed="16"/>
      </bottom>
      <diagonal/>
    </border>
    <border>
      <left style="dotted">
        <color indexed="16"/>
      </left>
      <right style="dotted">
        <color indexed="16"/>
      </right>
      <top style="hair">
        <color indexed="16"/>
      </top>
      <bottom style="thin">
        <color indexed="16"/>
      </bottom>
      <diagonal/>
    </border>
    <border>
      <left style="thin">
        <color indexed="16"/>
      </left>
      <right style="thin">
        <color indexed="16"/>
      </right>
      <top style="thin">
        <color indexed="16"/>
      </top>
      <bottom style="dashed">
        <color indexed="16"/>
      </bottom>
      <diagonal/>
    </border>
    <border>
      <left/>
      <right/>
      <top style="thin">
        <color indexed="16"/>
      </top>
      <bottom style="dashed">
        <color indexed="16"/>
      </bottom>
      <diagonal/>
    </border>
    <border>
      <left style="dotted">
        <color indexed="16"/>
      </left>
      <right style="thin">
        <color indexed="16"/>
      </right>
      <top style="thin">
        <color indexed="16"/>
      </top>
      <bottom style="dashed">
        <color indexed="16"/>
      </bottom>
      <diagonal/>
    </border>
    <border>
      <left style="dotted">
        <color indexed="16"/>
      </left>
      <right style="dotted">
        <color indexed="16"/>
      </right>
      <top style="thin">
        <color indexed="16"/>
      </top>
      <bottom style="dashed">
        <color indexed="16"/>
      </bottom>
      <diagonal/>
    </border>
    <border>
      <left/>
      <right style="thin">
        <color indexed="16"/>
      </right>
      <top style="dashed">
        <color indexed="16"/>
      </top>
      <bottom/>
      <diagonal/>
    </border>
    <border>
      <left style="dashed">
        <color indexed="16"/>
      </left>
      <right style="thin">
        <color indexed="16"/>
      </right>
      <top style="dashed">
        <color indexed="16"/>
      </top>
      <bottom/>
      <diagonal/>
    </border>
    <border>
      <left style="dashed">
        <color indexed="16"/>
      </left>
      <right style="thin">
        <color indexed="16"/>
      </right>
      <top/>
      <bottom/>
      <diagonal/>
    </border>
    <border>
      <left style="dashed">
        <color indexed="16"/>
      </left>
      <right style="thin">
        <color indexed="16"/>
      </right>
      <top/>
      <bottom style="thin">
        <color indexed="16"/>
      </bottom>
      <diagonal/>
    </border>
    <border>
      <left style="dotted">
        <color indexed="16"/>
      </left>
      <right style="thin">
        <color indexed="16"/>
      </right>
      <top/>
      <bottom style="thin">
        <color indexed="16"/>
      </bottom>
      <diagonal/>
    </border>
    <border>
      <left style="medium">
        <color indexed="20"/>
      </left>
      <right/>
      <top style="medium">
        <color indexed="20"/>
      </top>
      <bottom/>
      <diagonal/>
    </border>
    <border>
      <left/>
      <right/>
      <top style="medium">
        <color indexed="20"/>
      </top>
      <bottom/>
      <diagonal/>
    </border>
    <border>
      <left/>
      <right style="medium">
        <color indexed="20"/>
      </right>
      <top style="medium">
        <color indexed="20"/>
      </top>
      <bottom/>
      <diagonal/>
    </border>
    <border>
      <left style="medium">
        <color indexed="20"/>
      </left>
      <right style="thin">
        <color indexed="20"/>
      </right>
      <top style="medium">
        <color indexed="20"/>
      </top>
      <bottom style="hair">
        <color indexed="20"/>
      </bottom>
      <diagonal/>
    </border>
    <border>
      <left style="thin">
        <color indexed="20"/>
      </left>
      <right style="thin">
        <color indexed="20"/>
      </right>
      <top style="medium">
        <color indexed="20"/>
      </top>
      <bottom style="hair">
        <color indexed="20"/>
      </bottom>
      <diagonal/>
    </border>
    <border>
      <left style="medium">
        <color indexed="20"/>
      </left>
      <right style="thin">
        <color indexed="20"/>
      </right>
      <top style="hair">
        <color indexed="20"/>
      </top>
      <bottom style="hair">
        <color indexed="20"/>
      </bottom>
      <diagonal/>
    </border>
    <border>
      <left style="thin">
        <color indexed="20"/>
      </left>
      <right style="thin">
        <color indexed="20"/>
      </right>
      <top/>
      <bottom style="hair">
        <color indexed="20"/>
      </bottom>
      <diagonal/>
    </border>
    <border>
      <left/>
      <right style="medium">
        <color indexed="20"/>
      </right>
      <top/>
      <bottom/>
      <diagonal/>
    </border>
    <border>
      <left style="thin">
        <color indexed="20"/>
      </left>
      <right style="thin">
        <color indexed="20"/>
      </right>
      <top style="hair">
        <color indexed="20"/>
      </top>
      <bottom style="hair">
        <color indexed="20"/>
      </bottom>
      <diagonal/>
    </border>
    <border>
      <left style="medium">
        <color indexed="20"/>
      </left>
      <right/>
      <top/>
      <bottom/>
      <diagonal/>
    </border>
    <border>
      <left style="thin">
        <color indexed="20"/>
      </left>
      <right style="thin">
        <color indexed="20"/>
      </right>
      <top style="thin">
        <color indexed="20"/>
      </top>
      <bottom style="thin">
        <color indexed="20"/>
      </bottom>
      <diagonal/>
    </border>
    <border>
      <left style="medium">
        <color indexed="20"/>
      </left>
      <right style="thin">
        <color indexed="20"/>
      </right>
      <top style="thin">
        <color indexed="20"/>
      </top>
      <bottom style="thin">
        <color indexed="20"/>
      </bottom>
      <diagonal/>
    </border>
    <border>
      <left style="medium">
        <color indexed="20"/>
      </left>
      <right style="thin">
        <color indexed="20"/>
      </right>
      <top style="thin">
        <color indexed="20"/>
      </top>
      <bottom style="hair">
        <color indexed="20"/>
      </bottom>
      <diagonal/>
    </border>
    <border>
      <left style="thin">
        <color indexed="20"/>
      </left>
      <right style="thin">
        <color indexed="20"/>
      </right>
      <top style="thin">
        <color indexed="20"/>
      </top>
      <bottom style="hair">
        <color indexed="20"/>
      </bottom>
      <diagonal/>
    </border>
    <border>
      <left style="thin">
        <color indexed="20"/>
      </left>
      <right/>
      <top/>
      <bottom/>
      <diagonal/>
    </border>
    <border>
      <left style="medium">
        <color indexed="20"/>
      </left>
      <right style="thin">
        <color indexed="20"/>
      </right>
      <top style="slantDashDot">
        <color indexed="20"/>
      </top>
      <bottom style="hair">
        <color indexed="20"/>
      </bottom>
      <diagonal/>
    </border>
    <border>
      <left style="thin">
        <color indexed="20"/>
      </left>
      <right style="thin">
        <color indexed="20"/>
      </right>
      <top style="slantDashDot">
        <color indexed="20"/>
      </top>
      <bottom style="hair">
        <color indexed="20"/>
      </bottom>
      <diagonal/>
    </border>
    <border>
      <left/>
      <right/>
      <top style="slantDashDot">
        <color indexed="20"/>
      </top>
      <bottom/>
      <diagonal/>
    </border>
    <border>
      <left/>
      <right style="medium">
        <color indexed="20"/>
      </right>
      <top style="slantDashDot">
        <color indexed="20"/>
      </top>
      <bottom/>
      <diagonal/>
    </border>
    <border>
      <left style="thin">
        <color indexed="20"/>
      </left>
      <right/>
      <top/>
      <bottom style="thin">
        <color indexed="20"/>
      </bottom>
      <diagonal/>
    </border>
    <border>
      <left/>
      <right/>
      <top/>
      <bottom style="thin">
        <color indexed="20"/>
      </bottom>
      <diagonal/>
    </border>
    <border>
      <left/>
      <right style="medium">
        <color indexed="20"/>
      </right>
      <top/>
      <bottom style="thin">
        <color indexed="20"/>
      </bottom>
      <diagonal/>
    </border>
    <border>
      <left/>
      <right/>
      <top style="thin">
        <color indexed="20"/>
      </top>
      <bottom/>
      <diagonal/>
    </border>
    <border>
      <left/>
      <right style="medium">
        <color indexed="20"/>
      </right>
      <top style="thin">
        <color indexed="20"/>
      </top>
      <bottom/>
      <diagonal/>
    </border>
    <border>
      <left style="medium">
        <color indexed="20"/>
      </left>
      <right style="thin">
        <color indexed="20"/>
      </right>
      <top style="thin">
        <color indexed="20"/>
      </top>
      <bottom style="medium">
        <color indexed="20"/>
      </bottom>
      <diagonal/>
    </border>
    <border>
      <left style="thin">
        <color indexed="20"/>
      </left>
      <right style="thin">
        <color indexed="20"/>
      </right>
      <top style="thin">
        <color indexed="20"/>
      </top>
      <bottom style="medium">
        <color indexed="20"/>
      </bottom>
      <diagonal/>
    </border>
    <border>
      <left/>
      <right/>
      <top/>
      <bottom style="medium">
        <color indexed="20"/>
      </bottom>
      <diagonal/>
    </border>
    <border>
      <left/>
      <right style="medium">
        <color indexed="20"/>
      </right>
      <top/>
      <bottom style="medium">
        <color indexed="20"/>
      </bottom>
      <diagonal/>
    </border>
    <border>
      <left style="medium">
        <color indexed="16"/>
      </left>
      <right style="thin">
        <color indexed="16"/>
      </right>
      <top style="thin">
        <color indexed="16"/>
      </top>
      <bottom style="thin">
        <color indexed="16"/>
      </bottom>
      <diagonal/>
    </border>
    <border>
      <left style="medium">
        <color indexed="16"/>
      </left>
      <right style="thin">
        <color indexed="16"/>
      </right>
      <top style="thin">
        <color indexed="16"/>
      </top>
      <bottom style="hair">
        <color indexed="16"/>
      </bottom>
      <diagonal/>
    </border>
    <border>
      <left style="medium">
        <color indexed="16"/>
      </left>
      <right style="thin">
        <color indexed="16"/>
      </right>
      <top style="slantDashDot">
        <color indexed="16"/>
      </top>
      <bottom style="hair">
        <color indexed="16"/>
      </bottom>
      <diagonal/>
    </border>
    <border>
      <left style="thin">
        <color indexed="16"/>
      </left>
      <right style="thin">
        <color indexed="16"/>
      </right>
      <top style="slantDashDot">
        <color indexed="16"/>
      </top>
      <bottom style="hair">
        <color indexed="16"/>
      </bottom>
      <diagonal/>
    </border>
    <border>
      <left/>
      <right/>
      <top style="slantDashDot">
        <color indexed="16"/>
      </top>
      <bottom/>
      <diagonal/>
    </border>
    <border>
      <left/>
      <right style="medium">
        <color indexed="16"/>
      </right>
      <top style="slantDashDot">
        <color indexed="16"/>
      </top>
      <bottom/>
      <diagonal/>
    </border>
    <border>
      <left/>
      <right style="medium">
        <color indexed="16"/>
      </right>
      <top style="thin">
        <color indexed="16"/>
      </top>
      <bottom/>
      <diagonal/>
    </border>
    <border>
      <left style="medium">
        <color indexed="16"/>
      </left>
      <right style="thin">
        <color indexed="16"/>
      </right>
      <top style="thin">
        <color indexed="16"/>
      </top>
      <bottom style="medium">
        <color indexed="16"/>
      </bottom>
      <diagonal/>
    </border>
    <border>
      <left style="medium">
        <color indexed="64"/>
      </left>
      <right style="thin">
        <color indexed="64"/>
      </right>
      <top style="thin">
        <color indexed="64"/>
      </top>
      <bottom/>
      <diagonal/>
    </border>
    <border>
      <left style="medium">
        <color indexed="64"/>
      </left>
      <right/>
      <top/>
      <bottom style="hair">
        <color indexed="64"/>
      </bottom>
      <diagonal/>
    </border>
    <border>
      <left style="medium">
        <color indexed="64"/>
      </left>
      <right/>
      <top style="hair">
        <color indexed="64"/>
      </top>
      <bottom style="thin">
        <color indexed="64"/>
      </bottom>
      <diagonal/>
    </border>
    <border>
      <left/>
      <right style="medium">
        <color indexed="12"/>
      </right>
      <top style="medium">
        <color indexed="12"/>
      </top>
      <bottom/>
      <diagonal/>
    </border>
    <border>
      <left style="medium">
        <color indexed="12"/>
      </left>
      <right style="thin">
        <color indexed="12"/>
      </right>
      <top style="thin">
        <color indexed="12"/>
      </top>
      <bottom style="hair">
        <color indexed="12"/>
      </bottom>
      <diagonal/>
    </border>
    <border>
      <left/>
      <right style="medium">
        <color indexed="12"/>
      </right>
      <top/>
      <bottom/>
      <diagonal/>
    </border>
    <border>
      <left style="medium">
        <color indexed="12"/>
      </left>
      <right style="thin">
        <color indexed="12"/>
      </right>
      <top style="hair">
        <color indexed="12"/>
      </top>
      <bottom style="hair">
        <color indexed="12"/>
      </bottom>
      <diagonal/>
    </border>
    <border>
      <left style="medium">
        <color indexed="12"/>
      </left>
      <right style="thin">
        <color indexed="12"/>
      </right>
      <top style="hair">
        <color indexed="12"/>
      </top>
      <bottom style="thin">
        <color indexed="12"/>
      </bottom>
      <diagonal/>
    </border>
    <border>
      <left style="medium">
        <color indexed="12"/>
      </left>
      <right style="thin">
        <color indexed="12"/>
      </right>
      <top style="hair">
        <color indexed="12"/>
      </top>
      <bottom/>
      <diagonal/>
    </border>
    <border>
      <left style="medium">
        <color indexed="12"/>
      </left>
      <right style="thin">
        <color indexed="12"/>
      </right>
      <top style="hair">
        <color indexed="12"/>
      </top>
      <bottom style="medium">
        <color indexed="12"/>
      </bottom>
      <diagonal/>
    </border>
    <border>
      <left style="thin">
        <color indexed="12"/>
      </left>
      <right style="thin">
        <color indexed="12"/>
      </right>
      <top style="hair">
        <color indexed="12"/>
      </top>
      <bottom style="medium">
        <color indexed="12"/>
      </bottom>
      <diagonal/>
    </border>
    <border>
      <left style="thin">
        <color indexed="12"/>
      </left>
      <right style="thin">
        <color indexed="12"/>
      </right>
      <top/>
      <bottom style="medium">
        <color indexed="12"/>
      </bottom>
      <diagonal/>
    </border>
    <border>
      <left/>
      <right style="medium">
        <color indexed="12"/>
      </right>
      <top/>
      <bottom style="medium">
        <color indexed="12"/>
      </bottom>
      <diagonal/>
    </border>
    <border>
      <left style="thin">
        <color indexed="17"/>
      </left>
      <right style="thin">
        <color indexed="17"/>
      </right>
      <top style="medium">
        <color indexed="17"/>
      </top>
      <bottom/>
      <diagonal/>
    </border>
    <border>
      <left/>
      <right style="medium">
        <color indexed="17"/>
      </right>
      <top style="medium">
        <color indexed="17"/>
      </top>
      <bottom/>
      <diagonal/>
    </border>
    <border>
      <left style="medium">
        <color indexed="17"/>
      </left>
      <right style="thin">
        <color indexed="17"/>
      </right>
      <top style="thin">
        <color indexed="17"/>
      </top>
      <bottom style="hair">
        <color indexed="17"/>
      </bottom>
      <diagonal/>
    </border>
    <border>
      <left/>
      <right style="medium">
        <color indexed="17"/>
      </right>
      <top/>
      <bottom/>
      <diagonal/>
    </border>
    <border>
      <left style="medium">
        <color indexed="17"/>
      </left>
      <right style="thin">
        <color indexed="17"/>
      </right>
      <top style="hair">
        <color indexed="17"/>
      </top>
      <bottom style="hair">
        <color indexed="17"/>
      </bottom>
      <diagonal/>
    </border>
    <border>
      <left style="medium">
        <color indexed="17"/>
      </left>
      <right style="thin">
        <color indexed="17"/>
      </right>
      <top style="hair">
        <color indexed="17"/>
      </top>
      <bottom style="thin">
        <color indexed="17"/>
      </bottom>
      <diagonal/>
    </border>
    <border>
      <left style="medium">
        <color indexed="17"/>
      </left>
      <right style="thin">
        <color indexed="17"/>
      </right>
      <top style="hair">
        <color indexed="17"/>
      </top>
      <bottom style="medium">
        <color indexed="17"/>
      </bottom>
      <diagonal/>
    </border>
    <border>
      <left style="thin">
        <color indexed="17"/>
      </left>
      <right style="thin">
        <color indexed="17"/>
      </right>
      <top style="hair">
        <color indexed="17"/>
      </top>
      <bottom style="medium">
        <color indexed="17"/>
      </bottom>
      <diagonal/>
    </border>
    <border>
      <left/>
      <right style="medium">
        <color indexed="17"/>
      </right>
      <top/>
      <bottom style="medium">
        <color indexed="17"/>
      </bottom>
      <diagonal/>
    </border>
    <border>
      <left/>
      <right style="medium">
        <color indexed="10"/>
      </right>
      <top style="medium">
        <color indexed="10"/>
      </top>
      <bottom/>
      <diagonal/>
    </border>
    <border>
      <left style="medium">
        <color indexed="10"/>
      </left>
      <right style="thin">
        <color indexed="10"/>
      </right>
      <top style="thin">
        <color indexed="10"/>
      </top>
      <bottom style="hair">
        <color indexed="10"/>
      </bottom>
      <diagonal/>
    </border>
    <border>
      <left/>
      <right style="medium">
        <color indexed="10"/>
      </right>
      <top/>
      <bottom/>
      <diagonal/>
    </border>
    <border>
      <left style="medium">
        <color indexed="10"/>
      </left>
      <right style="thin">
        <color indexed="10"/>
      </right>
      <top style="hair">
        <color indexed="10"/>
      </top>
      <bottom style="hair">
        <color indexed="10"/>
      </bottom>
      <diagonal/>
    </border>
    <border>
      <left style="medium">
        <color indexed="10"/>
      </left>
      <right style="thin">
        <color indexed="10"/>
      </right>
      <top style="hair">
        <color indexed="10"/>
      </top>
      <bottom style="thin">
        <color indexed="10"/>
      </bottom>
      <diagonal/>
    </border>
    <border>
      <left style="medium">
        <color indexed="10"/>
      </left>
      <right style="thin">
        <color indexed="10"/>
      </right>
      <top style="hair">
        <color indexed="10"/>
      </top>
      <bottom/>
      <diagonal/>
    </border>
    <border>
      <left style="medium">
        <color indexed="10"/>
      </left>
      <right style="thin">
        <color indexed="10"/>
      </right>
      <top style="hair">
        <color indexed="10"/>
      </top>
      <bottom style="medium">
        <color indexed="10"/>
      </bottom>
      <diagonal/>
    </border>
    <border>
      <left style="thin">
        <color indexed="10"/>
      </left>
      <right style="thin">
        <color indexed="10"/>
      </right>
      <top style="hair">
        <color indexed="10"/>
      </top>
      <bottom style="medium">
        <color indexed="10"/>
      </bottom>
      <diagonal/>
    </border>
    <border>
      <left style="thin">
        <color indexed="10"/>
      </left>
      <right style="thin">
        <color indexed="10"/>
      </right>
      <top/>
      <bottom style="medium">
        <color indexed="10"/>
      </bottom>
      <diagonal/>
    </border>
    <border>
      <left/>
      <right style="medium">
        <color indexed="10"/>
      </right>
      <top/>
      <bottom style="medium">
        <color indexed="10"/>
      </bottom>
      <diagonal/>
    </border>
    <border>
      <left style="medium">
        <color indexed="64"/>
      </left>
      <right style="thin">
        <color theme="1"/>
      </right>
      <top/>
      <bottom style="hair">
        <color theme="9" tint="0.59996337778862885"/>
      </bottom>
      <diagonal/>
    </border>
    <border>
      <left/>
      <right/>
      <top/>
      <bottom style="hair">
        <color theme="9" tint="0.59996337778862885"/>
      </bottom>
      <diagonal/>
    </border>
    <border>
      <left style="hair">
        <color rgb="FF000000"/>
      </left>
      <right style="hair">
        <color rgb="FF000000"/>
      </right>
      <top style="hair">
        <color rgb="FF000000"/>
      </top>
      <bottom style="hair">
        <color rgb="FF000000"/>
      </bottom>
      <diagonal/>
    </border>
    <border>
      <left style="hair">
        <color rgb="FF000000"/>
      </left>
      <right style="hair">
        <color rgb="FF000000"/>
      </right>
      <top/>
      <bottom style="hair">
        <color rgb="FF000000"/>
      </bottom>
      <diagonal/>
    </border>
    <border>
      <left style="dotted">
        <color rgb="FF000000"/>
      </left>
      <right style="dotted">
        <color rgb="FF000000"/>
      </right>
      <top style="dotted">
        <color rgb="FF000000"/>
      </top>
      <bottom style="dotted">
        <color rgb="FF000000"/>
      </bottom>
      <diagonal/>
    </border>
    <border>
      <left style="hair">
        <color rgb="FF000000"/>
      </left>
      <right style="hair">
        <color rgb="FF000000"/>
      </right>
      <top style="hair">
        <color rgb="FF000000"/>
      </top>
      <bottom/>
      <diagonal/>
    </border>
    <border>
      <left style="hair">
        <color rgb="FF000000"/>
      </left>
      <right/>
      <top style="hair">
        <color rgb="FF000000"/>
      </top>
      <bottom style="hair">
        <color rgb="FF000000"/>
      </bottom>
      <diagonal/>
    </border>
    <border>
      <left/>
      <right style="hair">
        <color rgb="FF000000"/>
      </right>
      <top style="hair">
        <color rgb="FF000000"/>
      </top>
      <bottom style="hair">
        <color rgb="FF000000"/>
      </bottom>
      <diagonal/>
    </border>
    <border>
      <left/>
      <right/>
      <top style="hair">
        <color rgb="FF000000"/>
      </top>
      <bottom style="hair">
        <color rgb="FF000000"/>
      </bottom>
      <diagonal/>
    </border>
    <border>
      <left/>
      <right/>
      <top/>
      <bottom style="medium">
        <color rgb="FF000000"/>
      </bottom>
      <diagonal/>
    </border>
    <border>
      <left style="medium">
        <color theme="0"/>
      </left>
      <right style="medium">
        <color theme="0"/>
      </right>
      <top style="medium">
        <color theme="0"/>
      </top>
      <bottom style="medium">
        <color theme="0"/>
      </bottom>
      <diagonal/>
    </border>
    <border>
      <left/>
      <right/>
      <top/>
      <bottom style="medium">
        <color rgb="FFFFFFFF"/>
      </bottom>
      <diagonal/>
    </border>
    <border>
      <left/>
      <right style="thick">
        <color rgb="FFCCCCCC"/>
      </right>
      <top style="thick">
        <color rgb="FFCCCCCC"/>
      </top>
      <bottom style="thick">
        <color rgb="FFCCCCCC"/>
      </bottom>
      <diagonal/>
    </border>
    <border>
      <left/>
      <right/>
      <top style="thick">
        <color rgb="FFCCCCCC"/>
      </top>
      <bottom style="thick">
        <color rgb="FFCCCCCC"/>
      </bottom>
      <diagonal/>
    </border>
    <border>
      <left style="thick">
        <color rgb="FFCCCCCC"/>
      </left>
      <right/>
      <top style="thick">
        <color rgb="FFCCCCCC"/>
      </top>
      <bottom style="thick">
        <color rgb="FFCCCCCC"/>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style="medium">
        <color theme="0"/>
      </left>
      <right style="medium">
        <color theme="0"/>
      </right>
      <top style="medium">
        <color theme="0"/>
      </top>
      <bottom/>
      <diagonal/>
    </border>
    <border>
      <left/>
      <right/>
      <top/>
      <bottom style="medium">
        <color theme="0"/>
      </bottom>
      <diagonal/>
    </border>
    <border>
      <left/>
      <right/>
      <top style="medium">
        <color rgb="FF000000"/>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top style="thin">
        <color theme="0" tint="-0.499984740745262"/>
      </top>
      <bottom/>
      <diagonal/>
    </border>
    <border>
      <left/>
      <right style="thin">
        <color indexed="64"/>
      </right>
      <top/>
      <bottom style="thin">
        <color theme="0" tint="-0.499984740745262"/>
      </bottom>
      <diagonal/>
    </border>
    <border>
      <left style="thin">
        <color indexed="64"/>
      </left>
      <right/>
      <top/>
      <bottom style="thin">
        <color theme="0" tint="-0.499984740745262"/>
      </bottom>
      <diagonal/>
    </border>
    <border>
      <left style="medium">
        <color theme="0"/>
      </left>
      <right style="medium">
        <color theme="0"/>
      </right>
      <top/>
      <bottom/>
      <diagonal/>
    </border>
    <border>
      <left/>
      <right style="medium">
        <color rgb="FFC00000"/>
      </right>
      <top style="medium">
        <color rgb="FFC00000"/>
      </top>
      <bottom style="medium">
        <color rgb="FFC00000"/>
      </bottom>
      <diagonal/>
    </border>
    <border>
      <left/>
      <right/>
      <top style="medium">
        <color rgb="FFC00000"/>
      </top>
      <bottom style="medium">
        <color rgb="FFC00000"/>
      </bottom>
      <diagonal/>
    </border>
    <border>
      <left style="medium">
        <color rgb="FFC00000"/>
      </left>
      <right/>
      <top style="medium">
        <color rgb="FFC00000"/>
      </top>
      <bottom style="medium">
        <color rgb="FFC00000"/>
      </bottom>
      <diagonal/>
    </border>
  </borders>
  <cellStyleXfs count="25">
    <xf numFmtId="0" fontId="0" fillId="0" borderId="0"/>
    <xf numFmtId="0" fontId="30" fillId="0" borderId="0" applyFill="0" applyBorder="0" applyAlignment="0" applyProtection="0"/>
    <xf numFmtId="9" fontId="1" fillId="0" borderId="0" applyFont="0" applyFill="0" applyBorder="0" applyAlignment="0" applyProtection="0"/>
    <xf numFmtId="37" fontId="13" fillId="0" borderId="0"/>
    <xf numFmtId="0" fontId="19" fillId="0" borderId="0"/>
    <xf numFmtId="9" fontId="19" fillId="0" borderId="0" applyFont="0" applyFill="0" applyBorder="0" applyAlignment="0" applyProtection="0"/>
    <xf numFmtId="0" fontId="19" fillId="0" borderId="0"/>
    <xf numFmtId="170" fontId="19" fillId="0" borderId="0" applyFont="0" applyFill="0" applyBorder="0" applyAlignment="0" applyProtection="0"/>
    <xf numFmtId="0" fontId="39" fillId="0" borderId="0" applyNumberFormat="0" applyFill="0" applyBorder="0" applyAlignment="0" applyProtection="0">
      <alignment vertical="top"/>
      <protection locked="0"/>
    </xf>
    <xf numFmtId="37" fontId="84" fillId="0" borderId="0"/>
    <xf numFmtId="170"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68" fontId="19" fillId="0" borderId="0" applyFont="0" applyFill="0" applyBorder="0" applyAlignment="0" applyProtection="0"/>
    <xf numFmtId="183" fontId="19" fillId="0" borderId="0" applyFont="0" applyFill="0" applyBorder="0" applyAlignment="0" applyProtection="0"/>
    <xf numFmtId="0" fontId="28" fillId="0" borderId="0"/>
    <xf numFmtId="185" fontId="28" fillId="0" borderId="0" applyFont="0" applyFill="0" applyBorder="0" applyAlignment="0" applyProtection="0"/>
    <xf numFmtId="189" fontId="19" fillId="0" borderId="0">
      <alignment horizontal="left" wrapText="1"/>
    </xf>
    <xf numFmtId="207" fontId="28" fillId="0" borderId="0" applyFont="0" applyFill="0" applyBorder="0" applyAlignment="0" applyProtection="0"/>
    <xf numFmtId="43" fontId="1" fillId="0" borderId="0" applyFont="0" applyFill="0" applyBorder="0" applyAlignment="0" applyProtection="0"/>
    <xf numFmtId="0" fontId="4" fillId="35" borderId="0" applyNumberFormat="0" applyBorder="0" applyAlignment="0" applyProtection="0"/>
    <xf numFmtId="0" fontId="207" fillId="0" borderId="0"/>
    <xf numFmtId="0" fontId="19" fillId="0" borderId="0"/>
    <xf numFmtId="0" fontId="214" fillId="0" borderId="0"/>
    <xf numFmtId="9" fontId="19" fillId="0" borderId="0" applyFont="0" applyFill="0" applyBorder="0" applyAlignment="0" applyProtection="0"/>
  </cellStyleXfs>
  <cellXfs count="4206">
    <xf numFmtId="0" fontId="0" fillId="0" borderId="0" xfId="0"/>
    <xf numFmtId="0" fontId="12" fillId="0" borderId="14" xfId="0" applyFont="1" applyBorder="1" applyAlignment="1" applyProtection="1">
      <alignment horizontal="center" vertical="justify" wrapText="1"/>
      <protection hidden="1"/>
    </xf>
    <xf numFmtId="0" fontId="0" fillId="0" borderId="0" xfId="0" applyFill="1" applyProtection="1">
      <protection hidden="1"/>
    </xf>
    <xf numFmtId="0" fontId="2" fillId="0" borderId="0" xfId="0" applyFont="1" applyProtection="1">
      <protection hidden="1"/>
    </xf>
    <xf numFmtId="0" fontId="5" fillId="0" borderId="0" xfId="0" applyFont="1" applyProtection="1">
      <protection hidden="1"/>
    </xf>
    <xf numFmtId="0" fontId="0" fillId="0" borderId="0" xfId="0" applyProtection="1">
      <protection hidden="1"/>
    </xf>
    <xf numFmtId="1" fontId="9" fillId="0" borderId="3" xfId="0" applyNumberFormat="1" applyFont="1" applyBorder="1" applyAlignment="1" applyProtection="1">
      <alignment horizontal="left" vertical="center"/>
      <protection locked="0" hidden="1"/>
    </xf>
    <xf numFmtId="0" fontId="5" fillId="0" borderId="0" xfId="0" applyFont="1" applyFill="1" applyProtection="1">
      <protection hidden="1"/>
    </xf>
    <xf numFmtId="1" fontId="9" fillId="0" borderId="6" xfId="0" applyNumberFormat="1" applyFont="1" applyBorder="1" applyAlignment="1" applyProtection="1">
      <alignment horizontal="left" vertical="center" wrapText="1"/>
      <protection locked="0" hidden="1"/>
    </xf>
    <xf numFmtId="14" fontId="9" fillId="0" borderId="6" xfId="0" applyNumberFormat="1" applyFont="1" applyBorder="1" applyAlignment="1" applyProtection="1">
      <alignment horizontal="left" vertical="center" wrapText="1"/>
      <protection locked="0" hidden="1"/>
    </xf>
    <xf numFmtId="1" fontId="9" fillId="0" borderId="6" xfId="0" applyNumberFormat="1" applyFont="1" applyBorder="1" applyAlignment="1" applyProtection="1">
      <alignment vertical="center" wrapText="1"/>
      <protection locked="0" hidden="1"/>
    </xf>
    <xf numFmtId="1" fontId="9" fillId="0" borderId="9" xfId="0" applyNumberFormat="1" applyFont="1" applyBorder="1" applyAlignment="1" applyProtection="1">
      <alignment vertical="center" wrapText="1"/>
      <protection locked="0" hidden="1"/>
    </xf>
    <xf numFmtId="0" fontId="0" fillId="0" borderId="0" xfId="0" applyFont="1" applyProtection="1">
      <protection hidden="1"/>
    </xf>
    <xf numFmtId="0" fontId="5" fillId="0" borderId="0" xfId="0" applyFont="1" applyAlignment="1" applyProtection="1">
      <alignment horizontal="center"/>
      <protection hidden="1"/>
    </xf>
    <xf numFmtId="0" fontId="0" fillId="0" borderId="0" xfId="0" applyFont="1"/>
    <xf numFmtId="0" fontId="12" fillId="0" borderId="0" xfId="0" applyFont="1" applyBorder="1" applyAlignment="1" applyProtection="1">
      <alignment horizontal="center" vertical="justify" wrapText="1"/>
      <protection hidden="1"/>
    </xf>
    <xf numFmtId="0" fontId="3" fillId="5" borderId="47" xfId="0" applyFont="1" applyFill="1" applyBorder="1" applyAlignment="1" applyProtection="1">
      <alignment horizontal="center"/>
      <protection hidden="1"/>
    </xf>
    <xf numFmtId="3" fontId="0" fillId="0" borderId="47" xfId="0" applyNumberFormat="1" applyBorder="1" applyAlignment="1" applyProtection="1">
      <alignment horizontal="center"/>
      <protection locked="0" hidden="1"/>
    </xf>
    <xf numFmtId="0" fontId="0" fillId="0" borderId="47" xfId="0" applyBorder="1" applyProtection="1">
      <protection locked="0" hidden="1"/>
    </xf>
    <xf numFmtId="0" fontId="0" fillId="0" borderId="47" xfId="0" applyBorder="1" applyAlignment="1" applyProtection="1">
      <alignment horizontal="center"/>
      <protection locked="0" hidden="1"/>
    </xf>
    <xf numFmtId="0" fontId="0" fillId="0" borderId="47" xfId="0" applyBorder="1" applyAlignment="1" applyProtection="1">
      <alignment horizontal="left" indent="1"/>
      <protection locked="0" hidden="1"/>
    </xf>
    <xf numFmtId="0" fontId="0" fillId="0" borderId="47" xfId="0" applyBorder="1" applyProtection="1">
      <protection hidden="1"/>
    </xf>
    <xf numFmtId="0" fontId="3" fillId="0" borderId="47" xfId="0" applyFont="1" applyBorder="1" applyAlignment="1" applyProtection="1">
      <alignment horizontal="center"/>
      <protection hidden="1"/>
    </xf>
    <xf numFmtId="0" fontId="0" fillId="0" borderId="47" xfId="0" applyBorder="1" applyAlignment="1" applyProtection="1">
      <alignment horizontal="center"/>
      <protection hidden="1"/>
    </xf>
    <xf numFmtId="0" fontId="19" fillId="0" borderId="0" xfId="6"/>
    <xf numFmtId="0" fontId="19" fillId="0" borderId="0" xfId="6" applyBorder="1"/>
    <xf numFmtId="0" fontId="19" fillId="0" borderId="0" xfId="6" applyBorder="1" applyAlignment="1">
      <alignment vertical="center"/>
    </xf>
    <xf numFmtId="0" fontId="37" fillId="0" borderId="0" xfId="0" applyFont="1" applyFill="1" applyBorder="1" applyAlignment="1" applyProtection="1">
      <alignment horizontal="center"/>
      <protection hidden="1"/>
    </xf>
    <xf numFmtId="0" fontId="38" fillId="0" borderId="0" xfId="0" applyFont="1" applyAlignment="1">
      <alignment horizontal="center"/>
    </xf>
    <xf numFmtId="0" fontId="38" fillId="0" borderId="0" xfId="0" applyFont="1" applyProtection="1">
      <protection hidden="1"/>
    </xf>
    <xf numFmtId="0" fontId="41" fillId="0" borderId="0" xfId="0" applyFont="1" applyAlignment="1">
      <alignment horizontal="center"/>
    </xf>
    <xf numFmtId="0" fontId="42" fillId="0" borderId="0" xfId="0" applyFont="1" applyAlignment="1" applyProtection="1">
      <alignment horizontal="center"/>
      <protection locked="0" hidden="1"/>
    </xf>
    <xf numFmtId="0" fontId="43" fillId="0" borderId="0" xfId="0" applyFont="1" applyAlignment="1" applyProtection="1">
      <alignment horizontal="center"/>
      <protection hidden="1"/>
    </xf>
    <xf numFmtId="0" fontId="44" fillId="0" borderId="62" xfId="0" applyFont="1" applyBorder="1" applyAlignment="1" applyProtection="1">
      <alignment horizontal="center" vertical="center"/>
      <protection hidden="1"/>
    </xf>
    <xf numFmtId="0" fontId="44" fillId="0" borderId="63" xfId="0" applyFont="1" applyBorder="1" applyAlignment="1" applyProtection="1">
      <alignment horizontal="center" vertical="center"/>
      <protection hidden="1"/>
    </xf>
    <xf numFmtId="0" fontId="38" fillId="0" borderId="64" xfId="0" applyFont="1" applyBorder="1" applyAlignment="1" applyProtection="1">
      <alignment horizontal="center" vertical="center"/>
      <protection hidden="1"/>
    </xf>
    <xf numFmtId="0" fontId="45" fillId="4" borderId="65" xfId="0" applyFont="1" applyFill="1" applyBorder="1" applyAlignment="1" applyProtection="1">
      <alignment horizontal="center" vertical="center"/>
      <protection hidden="1"/>
    </xf>
    <xf numFmtId="0" fontId="45" fillId="4" borderId="66" xfId="0" applyFont="1" applyFill="1" applyBorder="1" applyAlignment="1" applyProtection="1">
      <alignment horizontal="center"/>
      <protection hidden="1"/>
    </xf>
    <xf numFmtId="0" fontId="45" fillId="4" borderId="67" xfId="0" applyFont="1" applyFill="1" applyBorder="1" applyAlignment="1" applyProtection="1">
      <alignment horizontal="center"/>
      <protection hidden="1"/>
    </xf>
    <xf numFmtId="0" fontId="45" fillId="4" borderId="68" xfId="0" applyFont="1" applyFill="1" applyBorder="1" applyAlignment="1" applyProtection="1">
      <alignment horizontal="center"/>
      <protection locked="0" hidden="1"/>
    </xf>
    <xf numFmtId="0" fontId="45" fillId="4" borderId="69" xfId="0" applyFont="1" applyFill="1" applyBorder="1" applyAlignment="1" applyProtection="1">
      <alignment horizontal="center" vertical="center"/>
      <protection hidden="1"/>
    </xf>
    <xf numFmtId="0" fontId="45" fillId="4" borderId="70" xfId="0" applyFont="1" applyFill="1" applyBorder="1" applyAlignment="1" applyProtection="1">
      <alignment horizontal="center"/>
      <protection hidden="1"/>
    </xf>
    <xf numFmtId="0" fontId="45" fillId="4" borderId="70" xfId="0" applyFont="1" applyFill="1" applyBorder="1" applyAlignment="1" applyProtection="1">
      <alignment horizontal="center"/>
      <protection locked="0" hidden="1"/>
    </xf>
    <xf numFmtId="0" fontId="45" fillId="4" borderId="71" xfId="0" applyFont="1" applyFill="1" applyBorder="1" applyAlignment="1" applyProtection="1">
      <alignment horizontal="center" vertical="center"/>
      <protection hidden="1"/>
    </xf>
    <xf numFmtId="0" fontId="46" fillId="4" borderId="72" xfId="0" applyFont="1" applyFill="1" applyBorder="1" applyAlignment="1" applyProtection="1">
      <alignment horizontal="center" vertical="center"/>
      <protection locked="0" hidden="1"/>
    </xf>
    <xf numFmtId="0" fontId="47" fillId="0" borderId="0" xfId="0" applyFont="1" applyFill="1" applyBorder="1" applyAlignment="1" applyProtection="1">
      <alignment horizontal="center"/>
      <protection hidden="1"/>
    </xf>
    <xf numFmtId="37" fontId="48" fillId="0" borderId="0" xfId="3" applyFont="1" applyFill="1" applyBorder="1" applyAlignment="1" applyProtection="1">
      <alignment vertical="center"/>
      <protection hidden="1"/>
    </xf>
    <xf numFmtId="37" fontId="49" fillId="0" borderId="0" xfId="3" applyFont="1" applyFill="1" applyBorder="1" applyAlignment="1" applyProtection="1">
      <alignment vertical="center"/>
      <protection hidden="1"/>
    </xf>
    <xf numFmtId="37" fontId="49" fillId="0" borderId="16" xfId="3" applyFont="1" applyFill="1" applyBorder="1" applyAlignment="1" applyProtection="1">
      <alignment vertical="center"/>
      <protection hidden="1"/>
    </xf>
    <xf numFmtId="37" fontId="27" fillId="0" borderId="47" xfId="3" applyFont="1" applyFill="1" applyBorder="1" applyAlignment="1" applyProtection="1">
      <alignment horizontal="center" vertical="center"/>
      <protection hidden="1"/>
    </xf>
    <xf numFmtId="37" fontId="50" fillId="0" borderId="47" xfId="3" applyFont="1" applyFill="1" applyBorder="1" applyAlignment="1" applyProtection="1">
      <alignment horizontal="center" vertical="center"/>
      <protection hidden="1"/>
    </xf>
    <xf numFmtId="0" fontId="38" fillId="0" borderId="0" xfId="0" applyFont="1" applyFill="1" applyProtection="1">
      <protection hidden="1"/>
    </xf>
    <xf numFmtId="0" fontId="9" fillId="0" borderId="0" xfId="0" applyFont="1" applyFill="1" applyProtection="1">
      <protection hidden="1"/>
    </xf>
    <xf numFmtId="0" fontId="51" fillId="0" borderId="0" xfId="3" applyNumberFormat="1" applyFont="1" applyFill="1" applyBorder="1" applyAlignment="1" applyProtection="1">
      <alignment horizontal="center" vertical="center"/>
      <protection hidden="1"/>
    </xf>
    <xf numFmtId="37" fontId="52" fillId="0" borderId="0" xfId="3" applyFont="1" applyFill="1" applyBorder="1" applyAlignment="1" applyProtection="1">
      <alignment vertical="center"/>
      <protection hidden="1"/>
    </xf>
    <xf numFmtId="37" fontId="52" fillId="0" borderId="29" xfId="3" applyFont="1" applyFill="1" applyBorder="1" applyAlignment="1" applyProtection="1">
      <alignment vertical="center"/>
      <protection hidden="1"/>
    </xf>
    <xf numFmtId="37" fontId="49" fillId="0" borderId="29" xfId="3" applyFont="1" applyFill="1" applyBorder="1" applyAlignment="1" applyProtection="1">
      <alignment vertical="center"/>
      <protection hidden="1"/>
    </xf>
    <xf numFmtId="37" fontId="53" fillId="0" borderId="29" xfId="3" applyFont="1" applyFill="1" applyBorder="1" applyAlignment="1" applyProtection="1">
      <alignment vertical="center"/>
      <protection hidden="1"/>
    </xf>
    <xf numFmtId="0" fontId="37" fillId="0" borderId="0" xfId="0" quotePrefix="1" applyFont="1" applyFill="1" applyBorder="1" applyAlignment="1" applyProtection="1">
      <alignment horizontal="center"/>
      <protection hidden="1"/>
    </xf>
    <xf numFmtId="37" fontId="52" fillId="0" borderId="0" xfId="3" applyFont="1" applyFill="1" applyBorder="1" applyAlignment="1" applyProtection="1">
      <alignment horizontal="center" vertical="center"/>
      <protection hidden="1"/>
    </xf>
    <xf numFmtId="37" fontId="54" fillId="0" borderId="73" xfId="3" applyFont="1" applyFill="1" applyBorder="1" applyAlignment="1" applyProtection="1">
      <alignment vertical="center"/>
      <protection hidden="1"/>
    </xf>
    <xf numFmtId="37" fontId="49" fillId="0" borderId="73" xfId="3" applyNumberFormat="1" applyFont="1" applyFill="1" applyBorder="1" applyAlignment="1" applyProtection="1">
      <alignment vertical="center"/>
      <protection locked="0" hidden="1"/>
    </xf>
    <xf numFmtId="37" fontId="54" fillId="0" borderId="73" xfId="3" applyNumberFormat="1" applyFont="1" applyFill="1" applyBorder="1" applyAlignment="1" applyProtection="1">
      <alignment vertical="center"/>
      <protection locked="0" hidden="1"/>
    </xf>
    <xf numFmtId="0" fontId="55" fillId="0" borderId="0" xfId="0" applyFont="1" applyProtection="1">
      <protection hidden="1"/>
    </xf>
    <xf numFmtId="0" fontId="56" fillId="0" borderId="0" xfId="0" applyFont="1" applyProtection="1">
      <protection hidden="1"/>
    </xf>
    <xf numFmtId="37" fontId="54" fillId="0" borderId="74" xfId="3" applyFont="1" applyFill="1" applyBorder="1" applyAlignment="1" applyProtection="1">
      <alignment vertical="center"/>
      <protection hidden="1"/>
    </xf>
    <xf numFmtId="37" fontId="52" fillId="10" borderId="17" xfId="3" applyFont="1" applyFill="1" applyBorder="1" applyAlignment="1" applyProtection="1">
      <alignment vertical="center"/>
      <protection hidden="1"/>
    </xf>
    <xf numFmtId="37" fontId="57" fillId="10" borderId="75" xfId="3" applyFont="1" applyFill="1" applyBorder="1" applyAlignment="1" applyProtection="1">
      <alignment vertical="center"/>
      <protection hidden="1"/>
    </xf>
    <xf numFmtId="37" fontId="52" fillId="10" borderId="76" xfId="3" applyNumberFormat="1" applyFont="1" applyFill="1" applyBorder="1" applyAlignment="1" applyProtection="1">
      <alignment vertical="center"/>
    </xf>
    <xf numFmtId="37" fontId="57" fillId="10" borderId="76" xfId="3" applyNumberFormat="1" applyFont="1" applyFill="1" applyBorder="1" applyAlignment="1" applyProtection="1">
      <alignment vertical="center"/>
    </xf>
    <xf numFmtId="0" fontId="38" fillId="0" borderId="0" xfId="0" applyFont="1"/>
    <xf numFmtId="37" fontId="57" fillId="0" borderId="19" xfId="3" applyFont="1" applyFill="1" applyBorder="1" applyAlignment="1" applyProtection="1">
      <alignment vertical="center"/>
      <protection hidden="1"/>
    </xf>
    <xf numFmtId="37" fontId="49" fillId="0" borderId="19" xfId="3" applyNumberFormat="1" applyFont="1" applyFill="1" applyBorder="1" applyAlignment="1" applyProtection="1">
      <alignment vertical="center"/>
      <protection hidden="1"/>
    </xf>
    <xf numFmtId="37" fontId="54" fillId="0" borderId="19" xfId="3" applyNumberFormat="1" applyFont="1" applyFill="1" applyBorder="1" applyAlignment="1" applyProtection="1">
      <alignment vertical="center"/>
      <protection hidden="1"/>
    </xf>
    <xf numFmtId="37" fontId="54" fillId="0" borderId="74" xfId="3" applyFont="1" applyFill="1" applyBorder="1" applyAlignment="1" applyProtection="1">
      <alignment vertical="center"/>
      <protection locked="0"/>
    </xf>
    <xf numFmtId="37" fontId="49" fillId="0" borderId="74" xfId="3" applyNumberFormat="1" applyFont="1" applyFill="1" applyBorder="1" applyAlignment="1" applyProtection="1">
      <alignment vertical="center"/>
      <protection locked="0" hidden="1"/>
    </xf>
    <xf numFmtId="37" fontId="54" fillId="0" borderId="74" xfId="3" applyNumberFormat="1" applyFont="1" applyFill="1" applyBorder="1" applyAlignment="1" applyProtection="1">
      <alignment vertical="center"/>
      <protection locked="0" hidden="1"/>
    </xf>
    <xf numFmtId="37" fontId="52" fillId="0" borderId="13" xfId="3" applyFont="1" applyFill="1" applyBorder="1" applyAlignment="1" applyProtection="1">
      <alignment vertical="center"/>
      <protection hidden="1"/>
    </xf>
    <xf numFmtId="37" fontId="49" fillId="0" borderId="74" xfId="3" applyNumberFormat="1" applyFont="1" applyFill="1" applyBorder="1" applyAlignment="1" applyProtection="1">
      <alignment vertical="center"/>
      <protection locked="0"/>
    </xf>
    <xf numFmtId="37" fontId="54" fillId="0" borderId="74" xfId="3" applyNumberFormat="1" applyFont="1" applyFill="1" applyBorder="1" applyAlignment="1" applyProtection="1">
      <alignment vertical="center"/>
      <protection hidden="1"/>
    </xf>
    <xf numFmtId="37" fontId="52" fillId="10" borderId="10" xfId="3" applyFont="1" applyFill="1" applyBorder="1" applyAlignment="1" applyProtection="1">
      <alignment vertical="center"/>
      <protection hidden="1"/>
    </xf>
    <xf numFmtId="37" fontId="57" fillId="10" borderId="77" xfId="3" applyFont="1" applyFill="1" applyBorder="1" applyAlignment="1" applyProtection="1">
      <alignment vertical="center"/>
      <protection hidden="1"/>
    </xf>
    <xf numFmtId="37" fontId="52" fillId="10" borderId="78" xfId="3" applyNumberFormat="1" applyFont="1" applyFill="1" applyBorder="1" applyAlignment="1" applyProtection="1">
      <alignment vertical="center"/>
    </xf>
    <xf numFmtId="37" fontId="57" fillId="10" borderId="78" xfId="3" applyNumberFormat="1" applyFont="1" applyFill="1" applyBorder="1" applyAlignment="1" applyProtection="1">
      <alignment vertical="center"/>
    </xf>
    <xf numFmtId="37" fontId="51" fillId="0" borderId="0" xfId="3" applyFont="1" applyFill="1" applyBorder="1" applyAlignment="1" applyProtection="1">
      <alignment horizontal="center" vertical="center"/>
      <protection hidden="1"/>
    </xf>
    <xf numFmtId="37" fontId="52" fillId="11" borderId="47" xfId="3" applyFont="1" applyFill="1" applyBorder="1" applyAlignment="1" applyProtection="1">
      <alignment vertical="center"/>
      <protection hidden="1"/>
    </xf>
    <xf numFmtId="37" fontId="57" fillId="11" borderId="47" xfId="3" applyFont="1" applyFill="1" applyBorder="1" applyAlignment="1" applyProtection="1">
      <alignment vertical="center"/>
      <protection hidden="1"/>
    </xf>
    <xf numFmtId="37" fontId="52" fillId="11" borderId="47" xfId="3" applyNumberFormat="1" applyFont="1" applyFill="1" applyBorder="1" applyAlignment="1" applyProtection="1">
      <alignment vertical="center"/>
    </xf>
    <xf numFmtId="37" fontId="57" fillId="11" borderId="47" xfId="3" applyNumberFormat="1" applyFont="1" applyFill="1" applyBorder="1" applyAlignment="1" applyProtection="1">
      <alignment vertical="center"/>
    </xf>
    <xf numFmtId="37" fontId="57" fillId="0" borderId="29" xfId="3" applyFont="1" applyFill="1" applyBorder="1" applyAlignment="1" applyProtection="1">
      <alignment vertical="center"/>
      <protection hidden="1"/>
    </xf>
    <xf numFmtId="37" fontId="49" fillId="0" borderId="29" xfId="3" applyNumberFormat="1" applyFont="1" applyFill="1" applyBorder="1" applyAlignment="1" applyProtection="1">
      <alignment vertical="center"/>
      <protection hidden="1"/>
    </xf>
    <xf numFmtId="37" fontId="54" fillId="0" borderId="29" xfId="3" applyNumberFormat="1" applyFont="1" applyFill="1" applyBorder="1" applyAlignment="1" applyProtection="1">
      <alignment vertical="center"/>
      <protection hidden="1"/>
    </xf>
    <xf numFmtId="37" fontId="52" fillId="10" borderId="76" xfId="3" applyNumberFormat="1" applyFont="1" applyFill="1" applyBorder="1" applyAlignment="1" applyProtection="1">
      <alignment vertical="center"/>
      <protection hidden="1"/>
    </xf>
    <xf numFmtId="37" fontId="57" fillId="10" borderId="76" xfId="3" applyNumberFormat="1" applyFont="1" applyFill="1" applyBorder="1" applyAlignment="1" applyProtection="1">
      <alignment vertical="center"/>
      <protection hidden="1"/>
    </xf>
    <xf numFmtId="37" fontId="52" fillId="11" borderId="17" xfId="3" applyFont="1" applyFill="1" applyBorder="1" applyAlignment="1" applyProtection="1">
      <alignment vertical="center"/>
      <protection hidden="1"/>
    </xf>
    <xf numFmtId="37" fontId="57" fillId="11" borderId="18" xfId="3" applyFont="1" applyFill="1" applyBorder="1" applyAlignment="1" applyProtection="1">
      <alignment vertical="center"/>
      <protection hidden="1"/>
    </xf>
    <xf numFmtId="37" fontId="52" fillId="11" borderId="47" xfId="3" applyNumberFormat="1" applyFont="1" applyFill="1" applyBorder="1" applyAlignment="1" applyProtection="1">
      <alignment vertical="center"/>
      <protection hidden="1"/>
    </xf>
    <xf numFmtId="37" fontId="57" fillId="11" borderId="47" xfId="3" applyNumberFormat="1" applyFont="1" applyFill="1" applyBorder="1" applyAlignment="1" applyProtection="1">
      <alignment vertical="center"/>
      <protection hidden="1"/>
    </xf>
    <xf numFmtId="37" fontId="52" fillId="11" borderId="19" xfId="3" applyFont="1" applyFill="1" applyBorder="1" applyAlignment="1" applyProtection="1">
      <alignment vertical="center"/>
      <protection hidden="1"/>
    </xf>
    <xf numFmtId="0" fontId="55" fillId="0" borderId="0" xfId="0" applyFont="1" applyFill="1" applyProtection="1">
      <protection hidden="1"/>
    </xf>
    <xf numFmtId="0" fontId="56" fillId="0" borderId="0" xfId="0" applyFont="1" applyFill="1" applyProtection="1">
      <protection hidden="1"/>
    </xf>
    <xf numFmtId="37" fontId="54" fillId="0" borderId="78" xfId="3" applyFont="1" applyFill="1" applyBorder="1" applyAlignment="1" applyProtection="1">
      <alignment vertical="center"/>
      <protection hidden="1"/>
    </xf>
    <xf numFmtId="37" fontId="49" fillId="0" borderId="78" xfId="3" applyNumberFormat="1" applyFont="1" applyFill="1" applyBorder="1" applyAlignment="1" applyProtection="1">
      <alignment vertical="center"/>
      <protection locked="0" hidden="1"/>
    </xf>
    <xf numFmtId="37" fontId="54" fillId="0" borderId="78" xfId="3" applyNumberFormat="1" applyFont="1" applyFill="1" applyBorder="1" applyAlignment="1" applyProtection="1">
      <alignment vertical="center"/>
      <protection locked="0" hidden="1"/>
    </xf>
    <xf numFmtId="37" fontId="54" fillId="0" borderId="0" xfId="3" applyFont="1" applyFill="1" applyBorder="1" applyAlignment="1" applyProtection="1">
      <alignment vertical="center"/>
      <protection hidden="1"/>
    </xf>
    <xf numFmtId="37" fontId="49" fillId="0" borderId="0" xfId="3" applyNumberFormat="1" applyFont="1" applyFill="1" applyBorder="1" applyAlignment="1" applyProtection="1">
      <alignment vertical="center"/>
      <protection hidden="1"/>
    </xf>
    <xf numFmtId="37" fontId="54" fillId="0" borderId="0" xfId="3" applyNumberFormat="1" applyFont="1" applyFill="1" applyBorder="1" applyAlignment="1" applyProtection="1">
      <alignment vertical="center"/>
      <protection hidden="1"/>
    </xf>
    <xf numFmtId="37" fontId="58" fillId="0" borderId="0" xfId="3" applyFont="1" applyFill="1" applyBorder="1" applyAlignment="1" applyProtection="1">
      <alignment vertical="center"/>
      <protection hidden="1"/>
    </xf>
    <xf numFmtId="37" fontId="54" fillId="0" borderId="73" xfId="3" applyFont="1" applyFill="1" applyBorder="1" applyAlignment="1" applyProtection="1">
      <alignment vertical="center"/>
      <protection locked="0"/>
    </xf>
    <xf numFmtId="37" fontId="49" fillId="0" borderId="73" xfId="3" applyNumberFormat="1" applyFont="1" applyFill="1" applyBorder="1" applyAlignment="1" applyProtection="1">
      <alignment vertical="center"/>
      <protection locked="0"/>
    </xf>
    <xf numFmtId="37" fontId="54" fillId="0" borderId="73" xfId="3" applyNumberFormat="1" applyFont="1" applyFill="1" applyBorder="1" applyAlignment="1" applyProtection="1">
      <alignment vertical="center"/>
      <protection hidden="1"/>
    </xf>
    <xf numFmtId="37" fontId="57" fillId="10" borderId="79" xfId="3" applyFont="1" applyFill="1" applyBorder="1" applyAlignment="1" applyProtection="1">
      <alignment vertical="center"/>
      <protection hidden="1"/>
    </xf>
    <xf numFmtId="37" fontId="52" fillId="10" borderId="74" xfId="3" applyNumberFormat="1" applyFont="1" applyFill="1" applyBorder="1" applyAlignment="1" applyProtection="1">
      <alignment vertical="center"/>
    </xf>
    <xf numFmtId="37" fontId="57" fillId="10" borderId="74" xfId="3" applyNumberFormat="1" applyFont="1" applyFill="1" applyBorder="1" applyAlignment="1" applyProtection="1">
      <alignment vertical="center"/>
    </xf>
    <xf numFmtId="37" fontId="49" fillId="0" borderId="74" xfId="3" applyNumberFormat="1" applyFont="1" applyFill="1" applyBorder="1" applyAlignment="1" applyProtection="1">
      <alignment vertical="center"/>
      <protection hidden="1"/>
    </xf>
    <xf numFmtId="37" fontId="54" fillId="0" borderId="76" xfId="3" applyFont="1" applyFill="1" applyBorder="1" applyAlignment="1" applyProtection="1">
      <alignment vertical="center"/>
      <protection hidden="1"/>
    </xf>
    <xf numFmtId="37" fontId="49" fillId="0" borderId="76" xfId="3" applyNumberFormat="1" applyFont="1" applyFill="1" applyBorder="1" applyAlignment="1" applyProtection="1">
      <alignment vertical="center"/>
      <protection locked="0" hidden="1"/>
    </xf>
    <xf numFmtId="37" fontId="54" fillId="0" borderId="76" xfId="3" applyNumberFormat="1" applyFont="1" applyFill="1" applyBorder="1" applyAlignment="1" applyProtection="1">
      <alignment vertical="center"/>
      <protection locked="0" hidden="1"/>
    </xf>
    <xf numFmtId="0" fontId="59" fillId="0" borderId="59" xfId="0" applyFont="1" applyBorder="1" applyAlignment="1" applyProtection="1">
      <alignment horizontal="right" indent="1"/>
      <protection hidden="1"/>
    </xf>
    <xf numFmtId="37" fontId="60" fillId="0" borderId="59" xfId="0" applyNumberFormat="1" applyFont="1" applyBorder="1" applyAlignment="1" applyProtection="1">
      <alignment horizontal="center"/>
      <protection locked="0" hidden="1"/>
    </xf>
    <xf numFmtId="37" fontId="61" fillId="0" borderId="59" xfId="0" applyNumberFormat="1" applyFont="1" applyBorder="1" applyAlignment="1" applyProtection="1">
      <alignment horizontal="center"/>
      <protection locked="0" hidden="1"/>
    </xf>
    <xf numFmtId="0" fontId="59" fillId="0" borderId="61" xfId="0" applyFont="1" applyBorder="1" applyAlignment="1" applyProtection="1">
      <alignment horizontal="right" indent="1"/>
      <protection hidden="1"/>
    </xf>
    <xf numFmtId="37" fontId="60" fillId="0" borderId="61" xfId="0" applyNumberFormat="1" applyFont="1" applyBorder="1" applyAlignment="1" applyProtection="1">
      <alignment horizontal="center"/>
      <protection locked="0" hidden="1"/>
    </xf>
    <xf numFmtId="37" fontId="61" fillId="0" borderId="61" xfId="0" applyNumberFormat="1" applyFont="1" applyBorder="1" applyAlignment="1" applyProtection="1">
      <alignment horizontal="center"/>
      <protection locked="0" hidden="1"/>
    </xf>
    <xf numFmtId="37" fontId="53" fillId="0" borderId="0" xfId="3" applyNumberFormat="1" applyFont="1" applyFill="1" applyBorder="1" applyAlignment="1" applyProtection="1">
      <alignment vertical="center"/>
      <protection hidden="1"/>
    </xf>
    <xf numFmtId="37" fontId="18" fillId="0" borderId="0" xfId="3" applyFont="1" applyFill="1" applyBorder="1" applyAlignment="1" applyProtection="1">
      <alignment vertical="center"/>
      <protection hidden="1"/>
    </xf>
    <xf numFmtId="37" fontId="62" fillId="0" borderId="0" xfId="3" applyFont="1" applyFill="1" applyBorder="1" applyAlignment="1" applyProtection="1">
      <alignment vertical="center"/>
      <protection hidden="1"/>
    </xf>
    <xf numFmtId="37" fontId="53" fillId="0" borderId="29" xfId="3" applyNumberFormat="1" applyFont="1" applyFill="1" applyBorder="1" applyAlignment="1" applyProtection="1">
      <alignment vertical="center"/>
      <protection hidden="1"/>
    </xf>
    <xf numFmtId="37" fontId="49" fillId="11" borderId="19" xfId="3" applyFont="1" applyFill="1" applyBorder="1" applyAlignment="1" applyProtection="1">
      <alignment vertical="center"/>
      <protection hidden="1"/>
    </xf>
    <xf numFmtId="37" fontId="52" fillId="0" borderId="16" xfId="3" applyFont="1" applyFill="1" applyBorder="1" applyAlignment="1" applyProtection="1">
      <alignment vertical="center"/>
      <protection hidden="1"/>
    </xf>
    <xf numFmtId="0" fontId="55" fillId="0" borderId="0" xfId="0" applyFont="1" applyBorder="1" applyProtection="1">
      <protection hidden="1"/>
    </xf>
    <xf numFmtId="0" fontId="56" fillId="0" borderId="0" xfId="0" applyFont="1" applyBorder="1" applyProtection="1">
      <protection hidden="1"/>
    </xf>
    <xf numFmtId="37" fontId="54" fillId="0" borderId="60" xfId="3" applyFont="1" applyFill="1" applyBorder="1" applyAlignment="1" applyProtection="1">
      <alignment vertical="center"/>
      <protection hidden="1"/>
    </xf>
    <xf numFmtId="37" fontId="49" fillId="0" borderId="60" xfId="3" applyNumberFormat="1" applyFont="1" applyFill="1" applyBorder="1" applyAlignment="1" applyProtection="1">
      <alignment vertical="center"/>
      <protection locked="0" hidden="1"/>
    </xf>
    <xf numFmtId="37" fontId="52" fillId="0" borderId="14" xfId="3" applyFont="1" applyFill="1" applyBorder="1" applyAlignment="1" applyProtection="1">
      <alignment vertical="center"/>
      <protection hidden="1"/>
    </xf>
    <xf numFmtId="37" fontId="49" fillId="0" borderId="19" xfId="3" applyFont="1" applyFill="1" applyBorder="1" applyAlignment="1" applyProtection="1">
      <alignment vertical="center"/>
      <protection hidden="1"/>
    </xf>
    <xf numFmtId="37" fontId="57" fillId="0" borderId="15" xfId="3" applyFont="1" applyFill="1" applyBorder="1" applyAlignment="1" applyProtection="1">
      <alignment vertical="center"/>
      <protection hidden="1"/>
    </xf>
    <xf numFmtId="37" fontId="49" fillId="0" borderId="61" xfId="3" applyNumberFormat="1" applyFont="1" applyFill="1" applyBorder="1" applyAlignment="1" applyProtection="1">
      <alignment vertical="center"/>
      <protection hidden="1"/>
    </xf>
    <xf numFmtId="37" fontId="49" fillId="0" borderId="61" xfId="3" applyNumberFormat="1" applyFont="1" applyFill="1" applyBorder="1" applyAlignment="1" applyProtection="1">
      <alignment vertical="center"/>
      <protection locked="0"/>
    </xf>
    <xf numFmtId="37" fontId="54" fillId="0" borderId="61" xfId="3" applyNumberFormat="1" applyFont="1" applyFill="1" applyBorder="1" applyAlignment="1" applyProtection="1">
      <alignment vertical="center"/>
      <protection locked="0" hidden="1"/>
    </xf>
    <xf numFmtId="37" fontId="56" fillId="0" borderId="0" xfId="0" applyNumberFormat="1" applyFont="1" applyProtection="1">
      <protection hidden="1"/>
    </xf>
    <xf numFmtId="37" fontId="64" fillId="0" borderId="0" xfId="0" applyNumberFormat="1" applyFont="1" applyProtection="1">
      <protection hidden="1"/>
    </xf>
    <xf numFmtId="0" fontId="4" fillId="0" borderId="0" xfId="0" applyFont="1" applyProtection="1">
      <protection hidden="1"/>
    </xf>
    <xf numFmtId="0" fontId="65" fillId="0" borderId="47" xfId="0" applyFont="1" applyBorder="1" applyAlignment="1" applyProtection="1">
      <alignment horizontal="right" indent="1"/>
      <protection hidden="1"/>
    </xf>
    <xf numFmtId="37" fontId="66" fillId="0" borderId="47" xfId="0" applyNumberFormat="1" applyFont="1" applyBorder="1" applyProtection="1">
      <protection hidden="1"/>
    </xf>
    <xf numFmtId="37" fontId="67" fillId="0" borderId="47" xfId="0" applyNumberFormat="1" applyFont="1" applyBorder="1" applyProtection="1">
      <protection hidden="1"/>
    </xf>
    <xf numFmtId="0" fontId="0" fillId="0" borderId="0" xfId="0" applyProtection="1">
      <protection locked="0" hidden="1"/>
    </xf>
    <xf numFmtId="0" fontId="38" fillId="0" borderId="0" xfId="0" applyFont="1" applyProtection="1">
      <protection locked="0" hidden="1"/>
    </xf>
    <xf numFmtId="0" fontId="68" fillId="0" borderId="59" xfId="0" applyFont="1" applyBorder="1" applyAlignment="1" applyProtection="1">
      <alignment horizontal="right" indent="1"/>
      <protection hidden="1"/>
    </xf>
    <xf numFmtId="1" fontId="60" fillId="0" borderId="59" xfId="0" applyNumberFormat="1" applyFont="1" applyBorder="1" applyAlignment="1" applyProtection="1">
      <alignment horizontal="center"/>
      <protection locked="0" hidden="1"/>
    </xf>
    <xf numFmtId="1" fontId="61" fillId="0" borderId="59" xfId="0" applyNumberFormat="1" applyFont="1" applyBorder="1" applyAlignment="1" applyProtection="1">
      <alignment horizontal="center"/>
      <protection locked="0" hidden="1"/>
    </xf>
    <xf numFmtId="0" fontId="68" fillId="0" borderId="61" xfId="0" applyFont="1" applyBorder="1" applyAlignment="1" applyProtection="1">
      <alignment horizontal="right" indent="1"/>
      <protection hidden="1"/>
    </xf>
    <xf numFmtId="1" fontId="60" fillId="0" borderId="60" xfId="0" applyNumberFormat="1" applyFont="1" applyBorder="1" applyAlignment="1" applyProtection="1">
      <alignment horizontal="center"/>
      <protection locked="0" hidden="1"/>
    </xf>
    <xf numFmtId="1" fontId="61" fillId="0" borderId="60" xfId="0" applyNumberFormat="1" applyFont="1" applyBorder="1" applyAlignment="1" applyProtection="1">
      <alignment horizontal="center"/>
      <protection locked="0" hidden="1"/>
    </xf>
    <xf numFmtId="0" fontId="68" fillId="0" borderId="60" xfId="0" applyFont="1" applyBorder="1" applyAlignment="1" applyProtection="1">
      <alignment horizontal="right" indent="1"/>
      <protection hidden="1"/>
    </xf>
    <xf numFmtId="0" fontId="60" fillId="0" borderId="59" xfId="0" applyFont="1" applyBorder="1" applyAlignment="1" applyProtection="1">
      <alignment horizontal="center"/>
      <protection locked="0" hidden="1"/>
    </xf>
    <xf numFmtId="0" fontId="61" fillId="0" borderId="59" xfId="0" applyFont="1" applyBorder="1" applyAlignment="1" applyProtection="1">
      <alignment horizontal="center"/>
      <protection locked="0" hidden="1"/>
    </xf>
    <xf numFmtId="169" fontId="60" fillId="0" borderId="61" xfId="0" applyNumberFormat="1" applyFont="1" applyBorder="1" applyAlignment="1" applyProtection="1">
      <alignment horizontal="center"/>
      <protection locked="0" hidden="1"/>
    </xf>
    <xf numFmtId="169" fontId="61" fillId="0" borderId="61" xfId="0" applyNumberFormat="1" applyFont="1" applyBorder="1" applyAlignment="1" applyProtection="1">
      <alignment horizontal="center"/>
      <protection locked="0" hidden="1"/>
    </xf>
    <xf numFmtId="0" fontId="69" fillId="0" borderId="0" xfId="0" applyFont="1" applyFill="1" applyBorder="1" applyAlignment="1" applyProtection="1">
      <alignment horizontal="center"/>
      <protection hidden="1"/>
    </xf>
    <xf numFmtId="0" fontId="69" fillId="0" borderId="0" xfId="0" applyFont="1" applyProtection="1">
      <protection hidden="1"/>
    </xf>
    <xf numFmtId="0" fontId="69" fillId="0" borderId="0" xfId="0" applyFont="1" applyAlignment="1" applyProtection="1">
      <alignment horizontal="center"/>
      <protection hidden="1"/>
    </xf>
    <xf numFmtId="0" fontId="55" fillId="0" borderId="0" xfId="0" applyFont="1" applyAlignment="1" applyProtection="1">
      <alignment horizontal="center"/>
      <protection hidden="1"/>
    </xf>
    <xf numFmtId="37" fontId="70" fillId="0" borderId="0" xfId="0" applyNumberFormat="1" applyFont="1" applyAlignment="1" applyProtection="1">
      <alignment vertical="top" wrapText="1"/>
      <protection hidden="1"/>
    </xf>
    <xf numFmtId="37" fontId="61" fillId="0" borderId="0" xfId="0" applyNumberFormat="1" applyFont="1" applyAlignment="1" applyProtection="1">
      <alignment vertical="top" wrapText="1"/>
      <protection hidden="1"/>
    </xf>
    <xf numFmtId="0" fontId="71" fillId="0" borderId="0" xfId="0" applyFont="1" applyProtection="1">
      <protection hidden="1"/>
    </xf>
    <xf numFmtId="0" fontId="4" fillId="0" borderId="0" xfId="0" applyFont="1"/>
    <xf numFmtId="37" fontId="72" fillId="0" borderId="80" xfId="3" applyFont="1" applyFill="1" applyBorder="1" applyAlignment="1" applyProtection="1">
      <alignment horizontal="left" vertical="center"/>
      <protection locked="0"/>
    </xf>
    <xf numFmtId="3" fontId="73" fillId="0" borderId="80" xfId="0" applyNumberFormat="1" applyFont="1" applyBorder="1" applyAlignment="1" applyProtection="1">
      <alignment horizontal="center" vertical="center"/>
      <protection locked="0"/>
    </xf>
    <xf numFmtId="3" fontId="74" fillId="0" borderId="0" xfId="0" applyNumberFormat="1" applyFont="1" applyAlignment="1" applyProtection="1">
      <alignment horizontal="left" vertical="center"/>
      <protection locked="0"/>
    </xf>
    <xf numFmtId="3" fontId="74" fillId="0" borderId="81" xfId="0" applyNumberFormat="1" applyFont="1" applyFill="1" applyBorder="1" applyAlignment="1" applyProtection="1">
      <alignment horizontal="left" vertical="center"/>
      <protection locked="0"/>
    </xf>
    <xf numFmtId="3" fontId="75" fillId="0" borderId="81" xfId="0" applyNumberFormat="1" applyFont="1" applyBorder="1" applyAlignment="1" applyProtection="1">
      <alignment horizontal="center" vertical="center"/>
      <protection locked="0" hidden="1"/>
    </xf>
    <xf numFmtId="3" fontId="76" fillId="0" borderId="0" xfId="0" applyNumberFormat="1" applyFont="1" applyAlignment="1" applyProtection="1">
      <alignment horizontal="left" vertical="center"/>
      <protection hidden="1"/>
    </xf>
    <xf numFmtId="1" fontId="77" fillId="0" borderId="0" xfId="0" applyNumberFormat="1" applyFont="1" applyAlignment="1" applyProtection="1">
      <alignment horizontal="centerContinuous" vertical="center"/>
      <protection locked="0"/>
    </xf>
    <xf numFmtId="0" fontId="78" fillId="0" borderId="0" xfId="0" applyFont="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0" xfId="0" applyProtection="1">
      <protection locked="0"/>
    </xf>
    <xf numFmtId="1" fontId="79" fillId="0" borderId="0" xfId="0" applyNumberFormat="1" applyFont="1" applyAlignment="1" applyProtection="1">
      <alignment horizontal="left" vertical="center"/>
      <protection locked="0"/>
    </xf>
    <xf numFmtId="1" fontId="80" fillId="0" borderId="0" xfId="0" applyNumberFormat="1" applyFont="1" applyAlignment="1" applyProtection="1">
      <alignment horizontal="center" vertical="center"/>
      <protection locked="0"/>
    </xf>
    <xf numFmtId="1" fontId="81" fillId="0" borderId="0" xfId="0" applyNumberFormat="1" applyFont="1" applyAlignment="1" applyProtection="1">
      <alignment horizontal="right" vertical="center"/>
      <protection locked="0"/>
    </xf>
    <xf numFmtId="0" fontId="82" fillId="0" borderId="19" xfId="0" applyFont="1" applyFill="1" applyBorder="1" applyAlignment="1" applyProtection="1">
      <alignment horizontal="centerContinuous" vertical="center"/>
    </xf>
    <xf numFmtId="0" fontId="82" fillId="0" borderId="18" xfId="0" applyFont="1" applyFill="1" applyBorder="1" applyAlignment="1" applyProtection="1">
      <alignment horizontal="centerContinuous" vertical="center"/>
    </xf>
    <xf numFmtId="1" fontId="81" fillId="0" borderId="10" xfId="0" applyNumberFormat="1" applyFont="1" applyFill="1" applyBorder="1" applyAlignment="1" applyProtection="1">
      <alignment horizontal="centerContinuous" vertical="center"/>
    </xf>
    <xf numFmtId="1" fontId="81" fillId="0" borderId="16" xfId="0" applyNumberFormat="1" applyFont="1" applyFill="1" applyBorder="1" applyAlignment="1" applyProtection="1">
      <alignment horizontal="centerContinuous" vertical="center"/>
    </xf>
    <xf numFmtId="3" fontId="18" fillId="0" borderId="82" xfId="0" applyNumberFormat="1" applyFont="1" applyFill="1" applyBorder="1" applyAlignment="1" applyProtection="1">
      <alignment horizontal="center" vertical="center"/>
      <protection locked="0" hidden="1"/>
    </xf>
    <xf numFmtId="3" fontId="18" fillId="0" borderId="83" xfId="0" applyNumberFormat="1" applyFont="1" applyFill="1" applyBorder="1" applyAlignment="1" applyProtection="1">
      <alignment horizontal="center" vertical="center"/>
      <protection locked="0"/>
    </xf>
    <xf numFmtId="3" fontId="18" fillId="0" borderId="84" xfId="0" applyNumberFormat="1" applyFont="1" applyFill="1" applyBorder="1" applyAlignment="1" applyProtection="1">
      <alignment horizontal="center" vertical="center"/>
      <protection locked="0"/>
    </xf>
    <xf numFmtId="0" fontId="83" fillId="0" borderId="82" xfId="0" applyFont="1" applyFill="1" applyBorder="1" applyAlignment="1" applyProtection="1">
      <alignment horizontal="centerContinuous" vertical="center"/>
    </xf>
    <xf numFmtId="0" fontId="83" fillId="0" borderId="11" xfId="0" applyFont="1" applyFill="1" applyBorder="1" applyAlignment="1" applyProtection="1">
      <alignment horizontal="centerContinuous" vertical="center"/>
    </xf>
    <xf numFmtId="0" fontId="74" fillId="0" borderId="83" xfId="0" applyFont="1" applyBorder="1" applyAlignment="1" applyProtection="1">
      <alignment horizontal="centerContinuous" vertical="center"/>
    </xf>
    <xf numFmtId="0" fontId="83" fillId="0" borderId="85" xfId="0" applyFont="1" applyFill="1" applyBorder="1" applyAlignment="1" applyProtection="1">
      <alignment horizontal="centerContinuous" vertical="center"/>
    </xf>
    <xf numFmtId="0" fontId="18" fillId="0" borderId="16" xfId="0" applyFont="1" applyBorder="1" applyAlignment="1" applyProtection="1">
      <alignment vertical="center"/>
      <protection locked="0"/>
    </xf>
    <xf numFmtId="0" fontId="18" fillId="0" borderId="11" xfId="0" applyFont="1" applyBorder="1" applyAlignment="1" applyProtection="1">
      <alignment vertical="center"/>
      <protection locked="0"/>
    </xf>
    <xf numFmtId="3" fontId="82" fillId="0" borderId="35" xfId="0" applyNumberFormat="1" applyFont="1" applyBorder="1" applyAlignment="1" applyProtection="1">
      <alignment horizontal="center" vertical="center"/>
    </xf>
    <xf numFmtId="3" fontId="82" fillId="0" borderId="88" xfId="0" applyNumberFormat="1" applyFont="1" applyBorder="1" applyAlignment="1" applyProtection="1">
      <alignment horizontal="center" vertical="center"/>
    </xf>
    <xf numFmtId="3" fontId="82" fillId="0" borderId="28" xfId="0" applyNumberFormat="1" applyFont="1" applyFill="1" applyBorder="1" applyAlignment="1" applyProtection="1">
      <alignment horizontal="center" vertical="center"/>
    </xf>
    <xf numFmtId="0" fontId="18" fillId="10" borderId="89" xfId="0" applyFont="1" applyFill="1" applyBorder="1" applyAlignment="1" applyProtection="1">
      <alignment vertical="center"/>
    </xf>
    <xf numFmtId="37" fontId="85" fillId="10" borderId="90" xfId="9" applyFont="1" applyFill="1" applyBorder="1" applyAlignment="1" applyProtection="1">
      <alignment horizontal="center" vertical="center"/>
    </xf>
    <xf numFmtId="17" fontId="18" fillId="10" borderId="91" xfId="10" applyNumberFormat="1" applyFont="1" applyFill="1" applyBorder="1" applyAlignment="1" applyProtection="1">
      <alignment horizontal="center" vertical="center"/>
      <protection locked="0"/>
    </xf>
    <xf numFmtId="17" fontId="18" fillId="10" borderId="92" xfId="10" applyNumberFormat="1" applyFont="1" applyFill="1" applyBorder="1" applyAlignment="1" applyProtection="1">
      <alignment horizontal="center" vertical="center"/>
      <protection locked="0"/>
    </xf>
    <xf numFmtId="17" fontId="18" fillId="10" borderId="93" xfId="10" applyNumberFormat="1" applyFont="1" applyFill="1" applyBorder="1" applyAlignment="1" applyProtection="1">
      <alignment horizontal="center" vertical="center"/>
      <protection locked="0"/>
    </xf>
    <xf numFmtId="1" fontId="18" fillId="0" borderId="94" xfId="10" applyNumberFormat="1" applyFont="1" applyFill="1" applyBorder="1" applyAlignment="1" applyProtection="1">
      <alignment horizontal="center" vertical="center"/>
    </xf>
    <xf numFmtId="1" fontId="18" fillId="0" borderId="95" xfId="10" applyNumberFormat="1" applyFont="1" applyFill="1" applyBorder="1" applyAlignment="1" applyProtection="1">
      <alignment horizontal="center" vertical="center"/>
    </xf>
    <xf numFmtId="171" fontId="18" fillId="0" borderId="94" xfId="10" applyNumberFormat="1" applyFont="1" applyFill="1" applyBorder="1" applyAlignment="1" applyProtection="1">
      <alignment horizontal="center" vertical="center"/>
    </xf>
    <xf numFmtId="171" fontId="18" fillId="0" borderId="96" xfId="10" applyNumberFormat="1" applyFont="1" applyFill="1" applyBorder="1" applyAlignment="1" applyProtection="1">
      <alignment horizontal="center" vertical="center"/>
    </xf>
    <xf numFmtId="171" fontId="18" fillId="0" borderId="95" xfId="10" applyNumberFormat="1" applyFont="1" applyFill="1" applyBorder="1" applyAlignment="1" applyProtection="1">
      <alignment horizontal="center" vertical="center"/>
    </xf>
    <xf numFmtId="0" fontId="18" fillId="0" borderId="0" xfId="0" applyFont="1" applyBorder="1" applyAlignment="1" applyProtection="1">
      <alignment vertical="center"/>
      <protection locked="0"/>
    </xf>
    <xf numFmtId="0" fontId="18" fillId="0" borderId="13" xfId="0" applyFont="1" applyBorder="1" applyAlignment="1" applyProtection="1">
      <alignment vertical="center"/>
      <protection locked="0"/>
    </xf>
    <xf numFmtId="0" fontId="86" fillId="0" borderId="12" xfId="0" applyFont="1" applyBorder="1" applyAlignment="1" applyProtection="1">
      <alignment vertical="center"/>
    </xf>
    <xf numFmtId="0" fontId="86" fillId="0" borderId="97" xfId="0" applyFont="1" applyBorder="1" applyAlignment="1" applyProtection="1">
      <alignment vertical="center"/>
    </xf>
    <xf numFmtId="167" fontId="86" fillId="0" borderId="98" xfId="0" applyNumberFormat="1" applyFont="1" applyBorder="1" applyAlignment="1" applyProtection="1">
      <alignment vertical="center"/>
    </xf>
    <xf numFmtId="0" fontId="18" fillId="0" borderId="99" xfId="0" applyFont="1" applyBorder="1" applyAlignment="1" applyProtection="1">
      <alignment horizontal="left" vertical="center"/>
    </xf>
    <xf numFmtId="0" fontId="87" fillId="0" borderId="100" xfId="0" applyFont="1" applyBorder="1" applyAlignment="1" applyProtection="1">
      <alignment horizontal="left" vertical="center"/>
    </xf>
    <xf numFmtId="3" fontId="18" fillId="0" borderId="101" xfId="10" applyNumberFormat="1" applyFont="1" applyFill="1" applyBorder="1" applyAlignment="1" applyProtection="1">
      <alignment horizontal="center" vertical="center"/>
      <protection locked="0"/>
    </xf>
    <xf numFmtId="3" fontId="18" fillId="0" borderId="102" xfId="10" applyNumberFormat="1" applyFont="1" applyFill="1" applyBorder="1" applyAlignment="1" applyProtection="1">
      <alignment horizontal="center" vertical="center"/>
      <protection locked="0"/>
    </xf>
    <xf numFmtId="3" fontId="18" fillId="0" borderId="103" xfId="10" applyNumberFormat="1" applyFont="1" applyFill="1" applyBorder="1" applyAlignment="1" applyProtection="1">
      <alignment horizontal="center" vertical="center"/>
      <protection locked="0"/>
    </xf>
    <xf numFmtId="0" fontId="87" fillId="0" borderId="104" xfId="0" applyFont="1" applyBorder="1" applyAlignment="1" applyProtection="1">
      <alignment horizontal="center" vertical="center"/>
    </xf>
    <xf numFmtId="0" fontId="87" fillId="0" borderId="105" xfId="0" applyFont="1" applyBorder="1" applyAlignment="1" applyProtection="1">
      <alignment horizontal="center" vertical="center"/>
    </xf>
    <xf numFmtId="0" fontId="87" fillId="0" borderId="106" xfId="0" applyFont="1" applyBorder="1" applyAlignment="1" applyProtection="1">
      <alignment horizontal="center" vertical="center"/>
    </xf>
    <xf numFmtId="172" fontId="18" fillId="0" borderId="0" xfId="5" applyNumberFormat="1" applyFont="1" applyFill="1" applyBorder="1" applyAlignment="1" applyProtection="1">
      <alignment vertical="center"/>
      <protection locked="0"/>
    </xf>
    <xf numFmtId="0" fontId="88" fillId="0" borderId="12" xfId="0" applyFont="1" applyBorder="1" applyAlignment="1" applyProtection="1">
      <alignment vertical="center"/>
    </xf>
    <xf numFmtId="1" fontId="18" fillId="0" borderId="0" xfId="0" applyNumberFormat="1" applyFont="1" applyFill="1" applyBorder="1" applyAlignment="1" applyProtection="1">
      <alignment vertical="center"/>
    </xf>
    <xf numFmtId="3" fontId="18" fillId="0" borderId="22" xfId="0" applyNumberFormat="1" applyFont="1" applyBorder="1" applyAlignment="1" applyProtection="1">
      <alignment horizontal="center" vertical="center"/>
    </xf>
    <xf numFmtId="3" fontId="18" fillId="0" borderId="107" xfId="0" applyNumberFormat="1" applyFont="1" applyBorder="1" applyAlignment="1" applyProtection="1">
      <alignment horizontal="center" vertical="center"/>
    </xf>
    <xf numFmtId="3" fontId="18" fillId="0" borderId="77" xfId="0" applyNumberFormat="1" applyFont="1" applyBorder="1" applyAlignment="1" applyProtection="1">
      <alignment horizontal="center" vertical="center"/>
    </xf>
    <xf numFmtId="9" fontId="87" fillId="0" borderId="108" xfId="5" applyNumberFormat="1" applyFont="1" applyFill="1" applyBorder="1" applyAlignment="1" applyProtection="1">
      <alignment horizontal="center" vertical="center"/>
    </xf>
    <xf numFmtId="9" fontId="87" fillId="0" borderId="109" xfId="5" applyNumberFormat="1" applyFont="1" applyFill="1" applyBorder="1" applyAlignment="1" applyProtection="1">
      <alignment horizontal="center" vertical="center"/>
    </xf>
    <xf numFmtId="9" fontId="87" fillId="0" borderId="108" xfId="0" applyNumberFormat="1" applyFont="1" applyBorder="1" applyAlignment="1" applyProtection="1">
      <alignment horizontal="center" vertical="center"/>
    </xf>
    <xf numFmtId="9" fontId="87" fillId="0" borderId="110" xfId="5" applyNumberFormat="1" applyFont="1" applyFill="1" applyBorder="1" applyAlignment="1" applyProtection="1">
      <alignment horizontal="center" vertical="center"/>
    </xf>
    <xf numFmtId="1" fontId="88" fillId="0" borderId="12" xfId="0" applyNumberFormat="1" applyFont="1" applyFill="1" applyBorder="1" applyAlignment="1" applyProtection="1">
      <alignment vertical="center"/>
    </xf>
    <xf numFmtId="3" fontId="18" fillId="0" borderId="12" xfId="10" applyNumberFormat="1" applyFont="1" applyFill="1" applyBorder="1" applyAlignment="1" applyProtection="1">
      <alignment horizontal="center" vertical="center"/>
    </xf>
    <xf numFmtId="3" fontId="18" fillId="0" borderId="0" xfId="10" applyNumberFormat="1" applyFont="1" applyFill="1" applyBorder="1" applyAlignment="1" applyProtection="1">
      <alignment horizontal="center" vertical="center"/>
    </xf>
    <xf numFmtId="0" fontId="86" fillId="0" borderId="14" xfId="0" applyFont="1" applyBorder="1" applyAlignment="1" applyProtection="1">
      <alignment vertical="center"/>
    </xf>
    <xf numFmtId="3" fontId="74" fillId="0" borderId="111" xfId="0" applyNumberFormat="1" applyFont="1" applyBorder="1" applyAlignment="1" applyProtection="1">
      <alignment horizontal="left" vertical="center"/>
    </xf>
    <xf numFmtId="3" fontId="86" fillId="0" borderId="112" xfId="11" applyNumberFormat="1" applyFont="1" applyBorder="1" applyAlignment="1" applyProtection="1">
      <alignment vertical="center"/>
    </xf>
    <xf numFmtId="0" fontId="89" fillId="10" borderId="89" xfId="0" applyFont="1" applyFill="1" applyBorder="1" applyAlignment="1" applyProtection="1">
      <alignment vertical="center"/>
    </xf>
    <xf numFmtId="1" fontId="89" fillId="10" borderId="90" xfId="0" applyNumberFormat="1" applyFont="1" applyFill="1" applyBorder="1" applyAlignment="1" applyProtection="1">
      <alignment vertical="center"/>
    </xf>
    <xf numFmtId="3" fontId="89" fillId="10" borderId="89" xfId="10" applyNumberFormat="1" applyFont="1" applyFill="1" applyBorder="1" applyAlignment="1" applyProtection="1">
      <alignment horizontal="center" vertical="center"/>
    </xf>
    <xf numFmtId="3" fontId="89" fillId="10" borderId="90" xfId="10" applyNumberFormat="1" applyFont="1" applyFill="1" applyBorder="1" applyAlignment="1" applyProtection="1">
      <alignment horizontal="center" vertical="center"/>
    </xf>
    <xf numFmtId="9" fontId="90" fillId="10" borderId="113" xfId="5" applyNumberFormat="1" applyFont="1" applyFill="1" applyBorder="1" applyAlignment="1" applyProtection="1">
      <alignment horizontal="center" vertical="center"/>
    </xf>
    <xf numFmtId="9" fontId="90" fillId="10" borderId="114" xfId="5" applyNumberFormat="1" applyFont="1" applyFill="1" applyBorder="1" applyAlignment="1" applyProtection="1">
      <alignment horizontal="center" vertical="center"/>
    </xf>
    <xf numFmtId="9" fontId="90" fillId="10" borderId="115" xfId="5" applyNumberFormat="1" applyFont="1" applyFill="1" applyBorder="1" applyAlignment="1" applyProtection="1">
      <alignment horizontal="center" vertical="center"/>
    </xf>
    <xf numFmtId="9" fontId="82" fillId="0" borderId="10" xfId="0" applyNumberFormat="1" applyFont="1" applyFill="1" applyBorder="1" applyAlignment="1" applyProtection="1">
      <alignment horizontal="centerContinuous" vertical="center" wrapText="1"/>
      <protection locked="0"/>
    </xf>
    <xf numFmtId="0" fontId="86" fillId="0" borderId="0" xfId="0" applyFont="1" applyBorder="1" applyAlignment="1" applyProtection="1">
      <alignment horizontal="centerContinuous" vertical="center" wrapText="1"/>
      <protection locked="0"/>
    </xf>
    <xf numFmtId="3" fontId="82" fillId="0" borderId="0" xfId="10" applyNumberFormat="1" applyFont="1" applyFill="1" applyBorder="1" applyAlignment="1" applyProtection="1">
      <alignment horizontal="center" vertical="center"/>
    </xf>
    <xf numFmtId="174" fontId="82" fillId="0" borderId="0" xfId="10" applyNumberFormat="1" applyFont="1" applyFill="1" applyBorder="1" applyAlignment="1" applyProtection="1">
      <alignment horizontal="center" vertical="center"/>
      <protection locked="0"/>
    </xf>
    <xf numFmtId="171" fontId="91" fillId="8" borderId="13" xfId="10" applyNumberFormat="1" applyFont="1" applyFill="1" applyBorder="1" applyAlignment="1" applyProtection="1">
      <alignment vertical="center"/>
      <protection locked="0"/>
    </xf>
    <xf numFmtId="0" fontId="18" fillId="0" borderId="0" xfId="0" applyFont="1" applyFill="1" applyBorder="1" applyAlignment="1" applyProtection="1">
      <alignment vertical="center"/>
    </xf>
    <xf numFmtId="9" fontId="92" fillId="0" borderId="12" xfId="0" applyNumberFormat="1" applyFont="1" applyFill="1" applyBorder="1" applyAlignment="1" applyProtection="1">
      <alignment horizontal="centerContinuous" vertical="center"/>
      <protection locked="0"/>
    </xf>
    <xf numFmtId="9" fontId="92" fillId="0" borderId="0" xfId="0" applyNumberFormat="1" applyFont="1" applyFill="1" applyBorder="1" applyAlignment="1" applyProtection="1">
      <alignment horizontal="centerContinuous" vertical="center"/>
      <protection locked="0"/>
    </xf>
    <xf numFmtId="9" fontId="86" fillId="0" borderId="0" xfId="0" applyNumberFormat="1" applyFont="1" applyFill="1" applyBorder="1" applyAlignment="1" applyProtection="1">
      <alignment vertical="center"/>
      <protection locked="0"/>
    </xf>
    <xf numFmtId="9" fontId="86" fillId="0" borderId="13" xfId="0" applyNumberFormat="1" applyFont="1" applyFill="1" applyBorder="1" applyAlignment="1" applyProtection="1">
      <alignment vertical="center"/>
      <protection locked="0"/>
    </xf>
    <xf numFmtId="0" fontId="89" fillId="10" borderId="90" xfId="0" applyFont="1" applyFill="1" applyBorder="1" applyAlignment="1" applyProtection="1">
      <alignment vertical="center"/>
    </xf>
    <xf numFmtId="9" fontId="86" fillId="0" borderId="12" xfId="0" applyNumberFormat="1" applyFont="1" applyFill="1" applyBorder="1" applyAlignment="1" applyProtection="1">
      <alignment vertical="center"/>
      <protection locked="0"/>
    </xf>
    <xf numFmtId="175" fontId="86" fillId="0" borderId="0" xfId="5" applyNumberFormat="1" applyFont="1" applyFill="1" applyBorder="1" applyAlignment="1" applyProtection="1">
      <alignment horizontal="right" vertical="center"/>
    </xf>
    <xf numFmtId="175" fontId="86" fillId="0" borderId="0" xfId="5" applyNumberFormat="1" applyFont="1" applyFill="1" applyBorder="1" applyAlignment="1" applyProtection="1">
      <alignment horizontal="right" vertical="center"/>
      <protection locked="0"/>
    </xf>
    <xf numFmtId="167" fontId="86" fillId="0" borderId="13" xfId="5" applyNumberFormat="1" applyFont="1" applyFill="1" applyBorder="1" applyAlignment="1" applyProtection="1">
      <alignment vertical="center"/>
      <protection locked="0"/>
    </xf>
    <xf numFmtId="176" fontId="86" fillId="0" borderId="0" xfId="5" applyNumberFormat="1" applyFont="1" applyFill="1" applyBorder="1" applyAlignment="1" applyProtection="1">
      <alignment horizontal="right" vertical="center"/>
      <protection locked="0"/>
    </xf>
    <xf numFmtId="1" fontId="87" fillId="0" borderId="0" xfId="0" applyNumberFormat="1" applyFont="1" applyFill="1" applyBorder="1" applyAlignment="1" applyProtection="1">
      <alignment horizontal="left" vertical="center"/>
    </xf>
    <xf numFmtId="0" fontId="86" fillId="0" borderId="0" xfId="0" applyFont="1" applyBorder="1" applyAlignment="1" applyProtection="1">
      <alignment vertical="center"/>
    </xf>
    <xf numFmtId="0" fontId="86" fillId="0" borderId="0" xfId="0" applyFont="1" applyBorder="1" applyAlignment="1" applyProtection="1">
      <alignment vertical="center"/>
      <protection locked="0"/>
    </xf>
    <xf numFmtId="0" fontId="86" fillId="0" borderId="13" xfId="0" applyFont="1" applyBorder="1" applyAlignment="1" applyProtection="1">
      <alignment vertical="center"/>
      <protection locked="0"/>
    </xf>
    <xf numFmtId="176" fontId="86" fillId="0" borderId="0" xfId="10" applyNumberFormat="1" applyFont="1" applyFill="1" applyBorder="1" applyAlignment="1" applyProtection="1">
      <alignment horizontal="right" vertical="center"/>
    </xf>
    <xf numFmtId="176" fontId="86" fillId="0" borderId="0" xfId="10" applyNumberFormat="1" applyFont="1" applyFill="1" applyBorder="1" applyAlignment="1" applyProtection="1">
      <alignment horizontal="right" vertical="center"/>
      <protection locked="0"/>
    </xf>
    <xf numFmtId="177" fontId="86" fillId="0" borderId="13" xfId="10" applyNumberFormat="1" applyFont="1" applyFill="1" applyBorder="1" applyAlignment="1" applyProtection="1">
      <alignment vertical="center"/>
      <protection locked="0"/>
    </xf>
    <xf numFmtId="3" fontId="18" fillId="0" borderId="13" xfId="10" applyNumberFormat="1" applyFont="1" applyFill="1" applyBorder="1" applyAlignment="1" applyProtection="1">
      <alignment horizontal="center" vertical="center"/>
    </xf>
    <xf numFmtId="178" fontId="86" fillId="0" borderId="0" xfId="10" applyNumberFormat="1" applyFont="1" applyFill="1" applyBorder="1" applyAlignment="1" applyProtection="1">
      <alignment vertical="center"/>
    </xf>
    <xf numFmtId="179" fontId="86" fillId="0" borderId="0" xfId="10" applyNumberFormat="1" applyFont="1" applyFill="1" applyBorder="1" applyAlignment="1" applyProtection="1">
      <alignment vertical="center"/>
      <protection locked="0"/>
    </xf>
    <xf numFmtId="180" fontId="86" fillId="0" borderId="13" xfId="12" applyNumberFormat="1" applyFont="1" applyFill="1" applyBorder="1" applyAlignment="1" applyProtection="1">
      <alignment vertical="center"/>
      <protection locked="0"/>
    </xf>
    <xf numFmtId="0" fontId="88" fillId="0" borderId="12" xfId="0" applyFont="1" applyFill="1" applyBorder="1" applyAlignment="1" applyProtection="1">
      <alignment vertical="center"/>
    </xf>
    <xf numFmtId="9" fontId="86" fillId="0" borderId="0" xfId="0" applyNumberFormat="1" applyFont="1" applyFill="1" applyBorder="1" applyAlignment="1" applyProtection="1">
      <alignment vertical="center"/>
    </xf>
    <xf numFmtId="0" fontId="89" fillId="10" borderId="116" xfId="0" applyFont="1" applyFill="1" applyBorder="1" applyAlignment="1" applyProtection="1">
      <alignment vertical="center"/>
    </xf>
    <xf numFmtId="0" fontId="89" fillId="10" borderId="117" xfId="0" applyFont="1" applyFill="1" applyBorder="1" applyAlignment="1" applyProtection="1">
      <alignment vertical="center"/>
    </xf>
    <xf numFmtId="3" fontId="89" fillId="10" borderId="116" xfId="10" applyNumberFormat="1" applyFont="1" applyFill="1" applyBorder="1" applyAlignment="1" applyProtection="1">
      <alignment horizontal="center" vertical="center"/>
    </xf>
    <xf numFmtId="3" fontId="89" fillId="10" borderId="117" xfId="10" applyNumberFormat="1" applyFont="1" applyFill="1" applyBorder="1" applyAlignment="1" applyProtection="1">
      <alignment horizontal="center" vertical="center"/>
    </xf>
    <xf numFmtId="9" fontId="90" fillId="10" borderId="118" xfId="5" applyNumberFormat="1" applyFont="1" applyFill="1" applyBorder="1" applyAlignment="1" applyProtection="1">
      <alignment horizontal="center" vertical="center"/>
    </xf>
    <xf numFmtId="9" fontId="90" fillId="10" borderId="119" xfId="5" applyNumberFormat="1" applyFont="1" applyFill="1" applyBorder="1" applyAlignment="1" applyProtection="1">
      <alignment horizontal="center" vertical="center"/>
    </xf>
    <xf numFmtId="9" fontId="90" fillId="10" borderId="120" xfId="5" applyNumberFormat="1" applyFont="1" applyFill="1" applyBorder="1" applyAlignment="1" applyProtection="1">
      <alignment horizontal="center" vertical="center"/>
    </xf>
    <xf numFmtId="172" fontId="18" fillId="0" borderId="29" xfId="0" applyNumberFormat="1" applyFont="1" applyFill="1" applyBorder="1" applyAlignment="1" applyProtection="1">
      <alignment vertical="center"/>
      <protection locked="0"/>
    </xf>
    <xf numFmtId="0" fontId="18" fillId="0" borderId="15" xfId="0" applyFont="1" applyBorder="1" applyAlignment="1" applyProtection="1">
      <alignment vertical="center"/>
      <protection locked="0"/>
    </xf>
    <xf numFmtId="9" fontId="82" fillId="0" borderId="0" xfId="0" applyNumberFormat="1" applyFont="1" applyFill="1" applyBorder="1" applyAlignment="1" applyProtection="1">
      <alignment vertical="center"/>
      <protection locked="0"/>
    </xf>
    <xf numFmtId="178" fontId="86" fillId="0" borderId="0" xfId="10" applyNumberFormat="1" applyFont="1" applyFill="1" applyBorder="1" applyAlignment="1" applyProtection="1">
      <alignment vertical="center"/>
      <protection locked="0"/>
    </xf>
    <xf numFmtId="177" fontId="82" fillId="0" borderId="13" xfId="10" applyNumberFormat="1" applyFont="1" applyFill="1" applyBorder="1" applyAlignment="1" applyProtection="1">
      <alignment vertical="center"/>
      <protection locked="0"/>
    </xf>
    <xf numFmtId="1" fontId="81" fillId="0" borderId="86" xfId="0" applyNumberFormat="1" applyFont="1" applyFill="1" applyBorder="1" applyAlignment="1" applyProtection="1">
      <alignment horizontal="centerContinuous" vertical="center"/>
    </xf>
    <xf numFmtId="1" fontId="81" fillId="0" borderId="121" xfId="0" applyNumberFormat="1" applyFont="1" applyFill="1" applyBorder="1" applyAlignment="1" applyProtection="1">
      <alignment horizontal="centerContinuous" vertical="center"/>
    </xf>
    <xf numFmtId="181" fontId="19" fillId="0" borderId="86" xfId="0" applyNumberFormat="1" applyFont="1" applyFill="1" applyBorder="1" applyAlignment="1" applyProtection="1">
      <alignment horizontal="center" vertical="center"/>
      <protection locked="0"/>
    </xf>
    <xf numFmtId="181" fontId="19" fillId="0" borderId="121" xfId="0" applyNumberFormat="1" applyFont="1" applyFill="1" applyBorder="1" applyAlignment="1" applyProtection="1">
      <alignment horizontal="center" vertical="center"/>
      <protection locked="0"/>
    </xf>
    <xf numFmtId="9" fontId="19" fillId="0" borderId="121" xfId="0" applyNumberFormat="1" applyFont="1" applyFill="1" applyBorder="1" applyAlignment="1" applyProtection="1">
      <alignment horizontal="center" vertical="center"/>
      <protection locked="0"/>
    </xf>
    <xf numFmtId="9" fontId="16" fillId="0" borderId="121" xfId="0" applyNumberFormat="1" applyFont="1" applyFill="1" applyBorder="1" applyAlignment="1" applyProtection="1">
      <alignment horizontal="center" vertical="center" wrapText="1"/>
      <protection locked="0"/>
    </xf>
    <xf numFmtId="9" fontId="19" fillId="0" borderId="121" xfId="0" applyNumberFormat="1" applyFont="1" applyBorder="1" applyAlignment="1" applyProtection="1">
      <alignment horizontal="center" vertical="center"/>
      <protection locked="0"/>
    </xf>
    <xf numFmtId="9" fontId="19" fillId="0" borderId="122" xfId="0" applyNumberFormat="1" applyFont="1" applyFill="1" applyBorder="1" applyAlignment="1" applyProtection="1">
      <alignment horizontal="center" vertical="center"/>
      <protection locked="0"/>
    </xf>
    <xf numFmtId="1" fontId="18" fillId="0" borderId="10" xfId="10" applyNumberFormat="1" applyFont="1" applyFill="1" applyBorder="1" applyAlignment="1" applyProtection="1">
      <alignment horizontal="centerContinuous" vertical="center"/>
      <protection locked="0"/>
    </xf>
    <xf numFmtId="0" fontId="18" fillId="0" borderId="11" xfId="0" applyFont="1" applyBorder="1" applyAlignment="1" applyProtection="1">
      <alignment horizontal="center" vertical="center"/>
      <protection locked="0"/>
    </xf>
    <xf numFmtId="0" fontId="89" fillId="0" borderId="123" xfId="0" applyFont="1" applyFill="1" applyBorder="1" applyAlignment="1" applyProtection="1">
      <alignment vertical="center"/>
    </xf>
    <xf numFmtId="0" fontId="80" fillId="0" borderId="124" xfId="0" applyFont="1" applyFill="1" applyBorder="1" applyAlignment="1" applyProtection="1">
      <alignment vertical="center"/>
    </xf>
    <xf numFmtId="181" fontId="80" fillId="0" borderId="123" xfId="10" applyNumberFormat="1" applyFont="1" applyFill="1" applyBorder="1" applyAlignment="1" applyProtection="1">
      <alignment horizontal="center" vertical="center"/>
      <protection locked="0"/>
    </xf>
    <xf numFmtId="181" fontId="80" fillId="0" borderId="124" xfId="10" applyNumberFormat="1" applyFont="1" applyFill="1" applyBorder="1" applyAlignment="1" applyProtection="1">
      <alignment horizontal="center" vertical="center"/>
      <protection locked="0"/>
    </xf>
    <xf numFmtId="9" fontId="80" fillId="0" borderId="124" xfId="10" applyNumberFormat="1" applyFont="1" applyFill="1" applyBorder="1" applyAlignment="1" applyProtection="1">
      <alignment horizontal="center" vertical="center"/>
      <protection locked="0"/>
    </xf>
    <xf numFmtId="9" fontId="80" fillId="0" borderId="124" xfId="5" applyNumberFormat="1" applyFont="1" applyFill="1" applyBorder="1" applyAlignment="1" applyProtection="1">
      <alignment horizontal="center" vertical="center"/>
      <protection locked="0"/>
    </xf>
    <xf numFmtId="9" fontId="80" fillId="0" borderId="124" xfId="0" applyNumberFormat="1" applyFont="1" applyFill="1" applyBorder="1" applyAlignment="1" applyProtection="1">
      <alignment horizontal="center" vertical="center"/>
      <protection locked="0"/>
    </xf>
    <xf numFmtId="168" fontId="18" fillId="0" borderId="99" xfId="13" applyFont="1" applyFill="1" applyBorder="1" applyAlignment="1" applyProtection="1">
      <alignment horizontal="centerContinuous" vertical="center"/>
      <protection locked="0"/>
    </xf>
    <xf numFmtId="0" fontId="18" fillId="0" borderId="125" xfId="0" applyFont="1" applyBorder="1" applyAlignment="1" applyProtection="1">
      <alignment horizontal="centerContinuous" vertical="center"/>
      <protection locked="0"/>
    </xf>
    <xf numFmtId="3" fontId="74" fillId="0" borderId="13" xfId="0" applyNumberFormat="1" applyFont="1" applyBorder="1" applyAlignment="1" applyProtection="1">
      <alignment horizontal="left" vertical="center"/>
      <protection locked="0"/>
    </xf>
    <xf numFmtId="3" fontId="74" fillId="0" borderId="12" xfId="0" applyNumberFormat="1" applyFont="1" applyBorder="1" applyAlignment="1" applyProtection="1">
      <alignment horizontal="left" vertical="center"/>
    </xf>
    <xf numFmtId="3" fontId="18" fillId="0" borderId="126" xfId="13" applyNumberFormat="1" applyFont="1" applyFill="1" applyBorder="1" applyAlignment="1" applyProtection="1">
      <alignment horizontal="center" vertical="center"/>
    </xf>
    <xf numFmtId="3" fontId="18" fillId="0" borderId="24" xfId="0" applyNumberFormat="1" applyFont="1" applyBorder="1" applyAlignment="1" applyProtection="1">
      <alignment horizontal="center" vertical="center"/>
    </xf>
    <xf numFmtId="9" fontId="92" fillId="0" borderId="12" xfId="0" applyNumberFormat="1" applyFont="1" applyFill="1" applyBorder="1" applyAlignment="1" applyProtection="1">
      <alignment horizontal="right" vertical="center"/>
      <protection locked="0"/>
    </xf>
    <xf numFmtId="3" fontId="74" fillId="0" borderId="0" xfId="0" applyNumberFormat="1" applyFont="1" applyAlignment="1" applyProtection="1">
      <alignment horizontal="left" vertical="center"/>
    </xf>
    <xf numFmtId="1" fontId="18" fillId="0" borderId="0" xfId="0" quotePrefix="1" applyNumberFormat="1" applyFont="1" applyFill="1" applyBorder="1" applyAlignment="1" applyProtection="1">
      <alignment vertical="center"/>
    </xf>
    <xf numFmtId="9" fontId="87" fillId="0" borderId="108" xfId="0" applyNumberFormat="1" applyFont="1" applyFill="1" applyBorder="1" applyAlignment="1" applyProtection="1">
      <alignment horizontal="center" vertical="center"/>
    </xf>
    <xf numFmtId="0" fontId="74" fillId="0" borderId="0" xfId="0" applyFont="1" applyFill="1" applyBorder="1" applyAlignment="1" applyProtection="1">
      <alignment vertical="center"/>
      <protection locked="0"/>
    </xf>
    <xf numFmtId="168" fontId="74" fillId="0" borderId="0" xfId="0" applyNumberFormat="1" applyFont="1" applyFill="1" applyBorder="1" applyAlignment="1" applyProtection="1">
      <alignment vertical="center"/>
      <protection locked="0"/>
    </xf>
    <xf numFmtId="176" fontId="86" fillId="0" borderId="0" xfId="5" applyNumberFormat="1" applyFont="1" applyFill="1" applyBorder="1" applyAlignment="1" applyProtection="1">
      <alignment horizontal="right" vertical="center"/>
    </xf>
    <xf numFmtId="1" fontId="89" fillId="10" borderId="89" xfId="0" quotePrefix="1" applyNumberFormat="1" applyFont="1" applyFill="1" applyBorder="1" applyAlignment="1" applyProtection="1">
      <alignment vertical="center"/>
    </xf>
    <xf numFmtId="9" fontId="90" fillId="10" borderId="113" xfId="0" applyNumberFormat="1" applyFont="1" applyFill="1" applyBorder="1" applyAlignment="1" applyProtection="1">
      <alignment horizontal="center" vertical="center"/>
    </xf>
    <xf numFmtId="3" fontId="89" fillId="10" borderId="89" xfId="13" applyNumberFormat="1" applyFont="1" applyFill="1" applyBorder="1" applyAlignment="1" applyProtection="1">
      <alignment horizontal="center" vertical="center"/>
    </xf>
    <xf numFmtId="3" fontId="89" fillId="10" borderId="79" xfId="0" applyNumberFormat="1" applyFont="1" applyFill="1" applyBorder="1" applyAlignment="1" applyProtection="1">
      <alignment horizontal="center" vertical="center"/>
    </xf>
    <xf numFmtId="0" fontId="18" fillId="0" borderId="0" xfId="0" quotePrefix="1" applyFont="1" applyFill="1" applyBorder="1" applyAlignment="1" applyProtection="1">
      <alignment vertical="center"/>
    </xf>
    <xf numFmtId="3" fontId="74" fillId="0" borderId="0" xfId="0" applyNumberFormat="1" applyFont="1" applyBorder="1" applyAlignment="1" applyProtection="1">
      <alignment horizontal="left" vertical="center"/>
      <protection locked="0"/>
    </xf>
    <xf numFmtId="0" fontId="86" fillId="0" borderId="12" xfId="0" applyFont="1" applyBorder="1" applyAlignment="1" applyProtection="1">
      <alignment vertical="center"/>
      <protection locked="0"/>
    </xf>
    <xf numFmtId="176" fontId="86" fillId="0" borderId="0" xfId="12" applyNumberFormat="1" applyFont="1" applyFill="1" applyBorder="1" applyAlignment="1" applyProtection="1">
      <alignment horizontal="right" vertical="center"/>
    </xf>
    <xf numFmtId="176" fontId="86" fillId="0" borderId="0" xfId="12" applyNumberFormat="1" applyFont="1" applyFill="1" applyBorder="1" applyAlignment="1" applyProtection="1">
      <alignment horizontal="right" vertical="center"/>
      <protection locked="0"/>
    </xf>
    <xf numFmtId="1" fontId="89" fillId="10" borderId="22" xfId="0" quotePrefix="1" applyNumberFormat="1" applyFont="1" applyFill="1" applyBorder="1" applyAlignment="1" applyProtection="1">
      <alignment vertical="center"/>
    </xf>
    <xf numFmtId="0" fontId="89" fillId="10" borderId="107" xfId="0" applyFont="1" applyFill="1" applyBorder="1" applyAlignment="1" applyProtection="1">
      <alignment vertical="center"/>
    </xf>
    <xf numFmtId="3" fontId="89" fillId="10" borderId="22" xfId="10" applyNumberFormat="1" applyFont="1" applyFill="1" applyBorder="1" applyAlignment="1" applyProtection="1">
      <alignment horizontal="center" vertical="center"/>
    </xf>
    <xf numFmtId="3" fontId="89" fillId="10" borderId="107" xfId="10" applyNumberFormat="1" applyFont="1" applyFill="1" applyBorder="1" applyAlignment="1" applyProtection="1">
      <alignment horizontal="center" vertical="center"/>
    </xf>
    <xf numFmtId="9" fontId="90" fillId="10" borderId="94" xfId="5" applyNumberFormat="1" applyFont="1" applyFill="1" applyBorder="1" applyAlignment="1" applyProtection="1">
      <alignment horizontal="center" vertical="center"/>
    </xf>
    <xf numFmtId="9" fontId="90" fillId="10" borderId="95" xfId="5" applyNumberFormat="1" applyFont="1" applyFill="1" applyBorder="1" applyAlignment="1" applyProtection="1">
      <alignment horizontal="center" vertical="center"/>
    </xf>
    <xf numFmtId="9" fontId="90" fillId="10" borderId="94" xfId="0" applyNumberFormat="1" applyFont="1" applyFill="1" applyBorder="1" applyAlignment="1" applyProtection="1">
      <alignment horizontal="center" vertical="center"/>
    </xf>
    <xf numFmtId="9" fontId="90" fillId="10" borderId="96" xfId="5" applyNumberFormat="1" applyFont="1" applyFill="1" applyBorder="1" applyAlignment="1" applyProtection="1">
      <alignment horizontal="center" vertical="center"/>
    </xf>
    <xf numFmtId="3" fontId="89" fillId="10" borderId="22" xfId="13" applyNumberFormat="1" applyFont="1" applyFill="1" applyBorder="1" applyAlignment="1" applyProtection="1">
      <alignment horizontal="center" vertical="center"/>
    </xf>
    <xf numFmtId="3" fontId="89" fillId="10" borderId="77" xfId="0" applyNumberFormat="1" applyFont="1" applyFill="1" applyBorder="1" applyAlignment="1" applyProtection="1">
      <alignment horizontal="center" vertical="center"/>
    </xf>
    <xf numFmtId="1" fontId="89" fillId="10" borderId="99" xfId="0" quotePrefix="1" applyNumberFormat="1" applyFont="1" applyFill="1" applyBorder="1" applyAlignment="1" applyProtection="1">
      <alignment vertical="center"/>
    </xf>
    <xf numFmtId="0" fontId="89" fillId="10" borderId="100" xfId="0" applyFont="1" applyFill="1" applyBorder="1" applyAlignment="1" applyProtection="1">
      <alignment vertical="center"/>
    </xf>
    <xf numFmtId="3" fontId="89" fillId="10" borderId="99" xfId="10" applyNumberFormat="1" applyFont="1" applyFill="1" applyBorder="1" applyAlignment="1" applyProtection="1">
      <alignment horizontal="center" vertical="center"/>
    </xf>
    <xf numFmtId="3" fontId="89" fillId="10" borderId="100" xfId="10" applyNumberFormat="1" applyFont="1" applyFill="1" applyBorder="1" applyAlignment="1" applyProtection="1">
      <alignment horizontal="center" vertical="center"/>
    </xf>
    <xf numFmtId="9" fontId="90" fillId="10" borderId="104" xfId="5" applyNumberFormat="1" applyFont="1" applyFill="1" applyBorder="1" applyAlignment="1" applyProtection="1">
      <alignment horizontal="center" vertical="center"/>
    </xf>
    <xf numFmtId="9" fontId="90" fillId="10" borderId="105" xfId="5" applyNumberFormat="1" applyFont="1" applyFill="1" applyBorder="1" applyAlignment="1" applyProtection="1">
      <alignment horizontal="center" vertical="center"/>
    </xf>
    <xf numFmtId="9" fontId="90" fillId="10" borderId="104" xfId="0" applyNumberFormat="1" applyFont="1" applyFill="1" applyBorder="1" applyAlignment="1" applyProtection="1">
      <alignment horizontal="center" vertical="center"/>
    </xf>
    <xf numFmtId="9" fontId="90" fillId="10" borderId="106" xfId="5" applyNumberFormat="1" applyFont="1" applyFill="1" applyBorder="1" applyAlignment="1" applyProtection="1">
      <alignment horizontal="center" vertical="center"/>
    </xf>
    <xf numFmtId="3" fontId="89" fillId="10" borderId="99" xfId="13" applyNumberFormat="1" applyFont="1" applyFill="1" applyBorder="1" applyAlignment="1" applyProtection="1">
      <alignment horizontal="center" vertical="center"/>
    </xf>
    <xf numFmtId="3" fontId="89" fillId="10" borderId="125" xfId="0" applyNumberFormat="1" applyFont="1" applyFill="1" applyBorder="1" applyAlignment="1" applyProtection="1">
      <alignment horizontal="center" vertical="center"/>
    </xf>
    <xf numFmtId="182" fontId="86" fillId="0" borderId="13" xfId="13" applyNumberFormat="1" applyFont="1" applyBorder="1" applyAlignment="1" applyProtection="1">
      <alignment vertical="center"/>
      <protection locked="0"/>
    </xf>
    <xf numFmtId="3" fontId="18" fillId="0" borderId="22" xfId="13" applyNumberFormat="1" applyFont="1" applyFill="1" applyBorder="1" applyAlignment="1" applyProtection="1">
      <alignment horizontal="center" vertical="center"/>
    </xf>
    <xf numFmtId="0" fontId="93" fillId="0" borderId="12" xfId="0" applyFont="1" applyBorder="1" applyAlignment="1" applyProtection="1">
      <alignment vertical="center"/>
      <protection locked="0"/>
    </xf>
    <xf numFmtId="3" fontId="94" fillId="0" borderId="0" xfId="0" applyNumberFormat="1" applyFont="1" applyAlignment="1" applyProtection="1">
      <alignment horizontal="left" vertical="center"/>
      <protection locked="0"/>
    </xf>
    <xf numFmtId="176" fontId="93" fillId="0" borderId="0" xfId="10" applyNumberFormat="1" applyFont="1" applyFill="1" applyBorder="1" applyAlignment="1" applyProtection="1">
      <alignment horizontal="right" vertical="center"/>
    </xf>
    <xf numFmtId="180" fontId="86" fillId="0" borderId="0" xfId="12" applyNumberFormat="1" applyFont="1" applyFill="1" applyBorder="1" applyAlignment="1" applyProtection="1">
      <alignment vertical="center"/>
      <protection locked="0"/>
    </xf>
    <xf numFmtId="1" fontId="89" fillId="0" borderId="127" xfId="0" quotePrefix="1" applyNumberFormat="1" applyFont="1" applyFill="1" applyBorder="1" applyAlignment="1" applyProtection="1">
      <alignment vertical="center"/>
    </xf>
    <xf numFmtId="1" fontId="18" fillId="0" borderId="128" xfId="0" applyNumberFormat="1" applyFont="1" applyFill="1" applyBorder="1" applyAlignment="1" applyProtection="1">
      <alignment vertical="center"/>
    </xf>
    <xf numFmtId="181" fontId="18" fillId="0" borderId="127" xfId="10" applyNumberFormat="1" applyFont="1" applyFill="1" applyBorder="1" applyAlignment="1" applyProtection="1">
      <alignment horizontal="center" vertical="center"/>
      <protection locked="0"/>
    </xf>
    <xf numFmtId="181" fontId="18" fillId="0" borderId="128" xfId="10" applyNumberFormat="1" applyFont="1" applyFill="1" applyBorder="1" applyAlignment="1" applyProtection="1">
      <alignment horizontal="center" vertical="center"/>
      <protection locked="0"/>
    </xf>
    <xf numFmtId="9" fontId="18" fillId="0" borderId="128" xfId="5" applyNumberFormat="1" applyFont="1" applyFill="1" applyBorder="1" applyAlignment="1" applyProtection="1">
      <alignment horizontal="center" vertical="center"/>
      <protection locked="0"/>
    </xf>
    <xf numFmtId="9" fontId="18" fillId="0" borderId="128" xfId="0" applyNumberFormat="1" applyFont="1" applyBorder="1" applyAlignment="1" applyProtection="1">
      <alignment horizontal="center" vertical="center"/>
      <protection locked="0"/>
    </xf>
    <xf numFmtId="168" fontId="18" fillId="0" borderId="128" xfId="13" applyFont="1" applyFill="1" applyBorder="1" applyAlignment="1" applyProtection="1">
      <alignment horizontal="center" vertical="center"/>
      <protection locked="0"/>
    </xf>
    <xf numFmtId="0" fontId="18" fillId="0" borderId="129" xfId="0" applyFont="1" applyBorder="1" applyAlignment="1" applyProtection="1">
      <alignment horizontal="center" vertical="center"/>
      <protection locked="0"/>
    </xf>
    <xf numFmtId="180" fontId="86" fillId="0" borderId="0" xfId="12" quotePrefix="1" applyNumberFormat="1" applyFont="1" applyFill="1" applyBorder="1" applyAlignment="1" applyProtection="1">
      <alignment vertical="center"/>
    </xf>
    <xf numFmtId="180" fontId="86" fillId="0" borderId="0" xfId="12" applyNumberFormat="1" applyFont="1" applyFill="1" applyBorder="1" applyAlignment="1" applyProtection="1">
      <alignment vertical="center"/>
    </xf>
    <xf numFmtId="175" fontId="86" fillId="0" borderId="0" xfId="13" applyNumberFormat="1" applyFont="1" applyBorder="1" applyAlignment="1" applyProtection="1">
      <alignment horizontal="right" vertical="center"/>
      <protection locked="0"/>
    </xf>
    <xf numFmtId="3" fontId="18" fillId="0" borderId="97" xfId="10" applyNumberFormat="1" applyFont="1" applyFill="1" applyBorder="1" applyAlignment="1" applyProtection="1">
      <alignment horizontal="center" vertical="center"/>
    </xf>
    <xf numFmtId="175" fontId="86" fillId="0" borderId="0" xfId="13" applyNumberFormat="1" applyFont="1" applyBorder="1" applyAlignment="1" applyProtection="1">
      <alignment horizontal="right" vertical="center"/>
    </xf>
    <xf numFmtId="9" fontId="92" fillId="0" borderId="12" xfId="0" applyNumberFormat="1" applyFont="1" applyFill="1" applyBorder="1" applyAlignment="1" applyProtection="1">
      <alignment horizontal="left" vertical="center"/>
      <protection locked="0"/>
    </xf>
    <xf numFmtId="3" fontId="86" fillId="0" borderId="0" xfId="0" applyNumberFormat="1" applyFont="1" applyAlignment="1" applyProtection="1">
      <alignment horizontal="left" vertical="center"/>
    </xf>
    <xf numFmtId="3" fontId="86" fillId="0" borderId="0" xfId="0" applyNumberFormat="1" applyFont="1" applyBorder="1" applyAlignment="1" applyProtection="1">
      <alignment horizontal="left" vertical="center"/>
      <protection locked="0"/>
    </xf>
    <xf numFmtId="0" fontId="0" fillId="0" borderId="0" xfId="0" applyFill="1" applyAlignment="1" applyProtection="1">
      <protection locked="0"/>
    </xf>
    <xf numFmtId="3" fontId="86" fillId="0" borderId="0" xfId="0" applyNumberFormat="1" applyFont="1" applyBorder="1" applyAlignment="1" applyProtection="1">
      <alignment horizontal="center" vertical="center"/>
      <protection locked="0"/>
    </xf>
    <xf numFmtId="3" fontId="86" fillId="0" borderId="0" xfId="0" applyNumberFormat="1" applyFont="1" applyAlignment="1" applyProtection="1">
      <alignment horizontal="left" vertical="center"/>
      <protection locked="0"/>
    </xf>
    <xf numFmtId="3" fontId="86" fillId="0" borderId="0" xfId="0" applyNumberFormat="1" applyFont="1" applyAlignment="1" applyProtection="1">
      <alignment horizontal="center" vertical="center"/>
      <protection locked="0"/>
    </xf>
    <xf numFmtId="3" fontId="74" fillId="0" borderId="15" xfId="0" applyNumberFormat="1" applyFont="1" applyBorder="1" applyAlignment="1" applyProtection="1">
      <alignment horizontal="left" vertical="center"/>
      <protection locked="0"/>
    </xf>
    <xf numFmtId="9" fontId="92" fillId="0" borderId="12" xfId="0" applyNumberFormat="1" applyFont="1" applyFill="1" applyBorder="1" applyAlignment="1" applyProtection="1">
      <alignment vertical="center"/>
      <protection locked="0"/>
    </xf>
    <xf numFmtId="9" fontId="89" fillId="10" borderId="10" xfId="0" applyNumberFormat="1" applyFont="1" applyFill="1" applyBorder="1" applyAlignment="1" applyProtection="1">
      <alignment horizontal="centerContinuous" vertical="center"/>
    </xf>
    <xf numFmtId="9" fontId="89" fillId="10" borderId="16" xfId="0" applyNumberFormat="1" applyFont="1" applyFill="1" applyBorder="1" applyAlignment="1" applyProtection="1">
      <alignment horizontal="centerContinuous" vertical="center"/>
    </xf>
    <xf numFmtId="9" fontId="89" fillId="10" borderId="13" xfId="0" applyNumberFormat="1" applyFont="1" applyFill="1" applyBorder="1" applyAlignment="1" applyProtection="1">
      <alignment horizontal="centerContinuous" vertical="center"/>
    </xf>
    <xf numFmtId="0" fontId="0" fillId="0" borderId="12" xfId="0" applyFill="1" applyBorder="1" applyAlignment="1" applyProtection="1">
      <alignment vertical="center"/>
      <protection locked="0"/>
    </xf>
    <xf numFmtId="0" fontId="83" fillId="0" borderId="17" xfId="0" applyFont="1" applyFill="1" applyBorder="1" applyAlignment="1" applyProtection="1">
      <alignment horizontal="left" vertical="center"/>
    </xf>
    <xf numFmtId="164" fontId="83" fillId="0" borderId="19" xfId="0" applyNumberFormat="1" applyFont="1" applyFill="1" applyBorder="1" applyAlignment="1" applyProtection="1">
      <alignment horizontal="center" vertical="center"/>
    </xf>
    <xf numFmtId="0" fontId="83" fillId="0" borderId="19" xfId="0" applyFont="1" applyFill="1" applyBorder="1" applyAlignment="1" applyProtection="1">
      <alignment horizontal="left" vertical="center"/>
    </xf>
    <xf numFmtId="164" fontId="83" fillId="0" borderId="19" xfId="0" applyNumberFormat="1" applyFont="1" applyFill="1" applyBorder="1" applyAlignment="1" applyProtection="1">
      <alignment horizontal="centerContinuous" vertical="center"/>
    </xf>
    <xf numFmtId="164" fontId="82" fillId="0" borderId="19" xfId="0" applyNumberFormat="1" applyFont="1" applyFill="1" applyBorder="1" applyAlignment="1" applyProtection="1">
      <alignment horizontal="center" vertical="center"/>
    </xf>
    <xf numFmtId="164" fontId="83" fillId="0" borderId="18" xfId="0" applyNumberFormat="1" applyFont="1" applyFill="1" applyBorder="1" applyAlignment="1" applyProtection="1">
      <alignment horizontal="right" vertical="center"/>
    </xf>
    <xf numFmtId="0" fontId="95" fillId="0" borderId="12" xfId="0" applyFont="1" applyFill="1" applyBorder="1" applyAlignment="1" applyProtection="1">
      <alignment vertical="center" wrapText="1"/>
    </xf>
    <xf numFmtId="9" fontId="92" fillId="0" borderId="17" xfId="0" applyNumberFormat="1" applyFont="1" applyFill="1" applyBorder="1" applyAlignment="1" applyProtection="1">
      <alignment horizontal="centerContinuous" vertical="center"/>
    </xf>
    <xf numFmtId="9" fontId="92" fillId="0" borderId="19" xfId="0" applyNumberFormat="1" applyFont="1" applyFill="1" applyBorder="1" applyAlignment="1" applyProtection="1">
      <alignment horizontal="centerContinuous" vertical="center"/>
    </xf>
    <xf numFmtId="9" fontId="92" fillId="0" borderId="18" xfId="0" applyNumberFormat="1" applyFont="1" applyFill="1" applyBorder="1" applyAlignment="1" applyProtection="1">
      <alignment horizontal="centerContinuous" vertical="center"/>
    </xf>
    <xf numFmtId="0" fontId="95" fillId="0" borderId="12" xfId="0" applyFont="1" applyFill="1" applyBorder="1" applyAlignment="1" applyProtection="1">
      <alignment vertical="center" wrapText="1"/>
      <protection locked="0"/>
    </xf>
    <xf numFmtId="3" fontId="89" fillId="10" borderId="130" xfId="10" applyNumberFormat="1" applyFont="1" applyFill="1" applyBorder="1" applyAlignment="1" applyProtection="1">
      <alignment horizontal="center" vertical="center"/>
    </xf>
    <xf numFmtId="0" fontId="18" fillId="0" borderId="116" xfId="0" applyFont="1" applyBorder="1" applyAlignment="1" applyProtection="1">
      <alignment horizontal="centerContinuous" vertical="center"/>
      <protection locked="0"/>
    </xf>
    <xf numFmtId="17" fontId="18" fillId="0" borderId="131" xfId="0" applyNumberFormat="1" applyFont="1" applyBorder="1" applyAlignment="1" applyProtection="1">
      <alignment horizontal="center" vertical="center"/>
      <protection locked="0"/>
    </xf>
    <xf numFmtId="17" fontId="18" fillId="0" borderId="132" xfId="0" applyNumberFormat="1" applyFont="1" applyBorder="1" applyAlignment="1" applyProtection="1">
      <alignment horizontal="center" vertical="center"/>
      <protection locked="0"/>
    </xf>
    <xf numFmtId="17" fontId="18" fillId="0" borderId="133" xfId="0" applyNumberFormat="1" applyFont="1" applyBorder="1" applyAlignment="1" applyProtection="1">
      <alignment horizontal="center" vertical="center"/>
      <protection locked="0"/>
    </xf>
    <xf numFmtId="0" fontId="18" fillId="0" borderId="76" xfId="0" applyFont="1" applyBorder="1" applyAlignment="1" applyProtection="1">
      <alignment horizontal="center" vertical="center"/>
      <protection locked="0"/>
    </xf>
    <xf numFmtId="0" fontId="87" fillId="0" borderId="12" xfId="0" applyFont="1" applyFill="1" applyBorder="1" applyAlignment="1" applyProtection="1">
      <alignment horizontal="left" vertical="center"/>
      <protection locked="0" hidden="1"/>
    </xf>
    <xf numFmtId="164" fontId="87" fillId="0" borderId="110" xfId="0" applyNumberFormat="1" applyFont="1" applyFill="1" applyBorder="1" applyAlignment="1" applyProtection="1">
      <alignment vertical="center"/>
      <protection locked="0" hidden="1"/>
    </xf>
    <xf numFmtId="164" fontId="87" fillId="0" borderId="110" xfId="14" applyNumberFormat="1" applyFont="1" applyFill="1" applyBorder="1" applyAlignment="1" applyProtection="1">
      <alignment vertical="center"/>
      <protection locked="0" hidden="1"/>
    </xf>
    <xf numFmtId="164" fontId="87" fillId="0" borderId="108" xfId="14" applyNumberFormat="1" applyFont="1" applyFill="1" applyBorder="1" applyAlignment="1" applyProtection="1">
      <alignment vertical="center"/>
      <protection locked="0" hidden="1"/>
    </xf>
    <xf numFmtId="164" fontId="87" fillId="0" borderId="109" xfId="0" applyNumberFormat="1" applyFont="1" applyFill="1" applyBorder="1" applyAlignment="1" applyProtection="1">
      <alignment vertical="center"/>
      <protection locked="0" hidden="1"/>
    </xf>
    <xf numFmtId="3" fontId="87" fillId="0" borderId="12" xfId="14" applyNumberFormat="1" applyFont="1" applyFill="1" applyBorder="1" applyAlignment="1" applyProtection="1">
      <alignment horizontal="centerContinuous" vertical="center"/>
      <protection locked="0" hidden="1"/>
    </xf>
    <xf numFmtId="3" fontId="18" fillId="0" borderId="60" xfId="0" applyNumberFormat="1" applyFont="1" applyFill="1" applyBorder="1" applyAlignment="1" applyProtection="1">
      <alignment horizontal="center" vertical="center"/>
      <protection locked="0" hidden="1"/>
    </xf>
    <xf numFmtId="3" fontId="18" fillId="0" borderId="0" xfId="0" applyNumberFormat="1" applyFont="1" applyBorder="1" applyAlignment="1" applyProtection="1">
      <alignment horizontal="left" vertical="center"/>
    </xf>
    <xf numFmtId="9" fontId="87" fillId="0" borderId="109" xfId="0" applyNumberFormat="1" applyFont="1" applyBorder="1" applyAlignment="1" applyProtection="1">
      <alignment horizontal="center" vertical="center"/>
    </xf>
    <xf numFmtId="9" fontId="87" fillId="0" borderId="110" xfId="0" applyNumberFormat="1" applyFont="1" applyBorder="1" applyAlignment="1" applyProtection="1">
      <alignment horizontal="center" vertical="center"/>
    </xf>
    <xf numFmtId="9" fontId="87" fillId="0" borderId="109" xfId="13" applyNumberFormat="1" applyFont="1" applyFill="1" applyBorder="1" applyAlignment="1" applyProtection="1">
      <alignment horizontal="center" vertical="center"/>
    </xf>
    <xf numFmtId="3" fontId="89" fillId="10" borderId="22" xfId="0" applyNumberFormat="1" applyFont="1" applyFill="1" applyBorder="1" applyAlignment="1" applyProtection="1">
      <alignment horizontal="left" vertical="center"/>
    </xf>
    <xf numFmtId="3" fontId="89" fillId="10" borderId="107" xfId="0" applyNumberFormat="1" applyFont="1" applyFill="1" applyBorder="1" applyAlignment="1" applyProtection="1">
      <alignment horizontal="left" vertical="center"/>
    </xf>
    <xf numFmtId="3" fontId="89" fillId="10" borderId="134" xfId="10" applyNumberFormat="1" applyFont="1" applyFill="1" applyBorder="1" applyAlignment="1" applyProtection="1">
      <alignment horizontal="center" vertical="center"/>
    </xf>
    <xf numFmtId="9" fontId="90" fillId="10" borderId="95" xfId="0" applyNumberFormat="1" applyFont="1" applyFill="1" applyBorder="1" applyAlignment="1" applyProtection="1">
      <alignment horizontal="center" vertical="center"/>
    </xf>
    <xf numFmtId="9" fontId="90" fillId="10" borderId="96" xfId="0" applyNumberFormat="1" applyFont="1" applyFill="1" applyBorder="1" applyAlignment="1" applyProtection="1">
      <alignment horizontal="center" vertical="center"/>
    </xf>
    <xf numFmtId="3" fontId="89" fillId="10" borderId="12" xfId="0" applyNumberFormat="1" applyFont="1" applyFill="1" applyBorder="1" applyAlignment="1" applyProtection="1">
      <alignment horizontal="left" vertical="center"/>
    </xf>
    <xf numFmtId="3" fontId="89" fillId="10" borderId="0" xfId="0" applyNumberFormat="1" applyFont="1" applyFill="1" applyBorder="1" applyAlignment="1" applyProtection="1">
      <alignment horizontal="left" vertical="center"/>
    </xf>
    <xf numFmtId="3" fontId="89" fillId="10" borderId="20" xfId="10" applyNumberFormat="1" applyFont="1" applyFill="1" applyBorder="1" applyAlignment="1" applyProtection="1">
      <alignment horizontal="center" vertical="center"/>
    </xf>
    <xf numFmtId="9" fontId="90" fillId="10" borderId="108" xfId="0" applyNumberFormat="1" applyFont="1" applyFill="1" applyBorder="1" applyAlignment="1" applyProtection="1">
      <alignment horizontal="center" vertical="center"/>
    </xf>
    <xf numFmtId="9" fontId="90" fillId="10" borderId="109" xfId="0" applyNumberFormat="1" applyFont="1" applyFill="1" applyBorder="1" applyAlignment="1" applyProtection="1">
      <alignment horizontal="center" vertical="center"/>
    </xf>
    <xf numFmtId="9" fontId="90" fillId="10" borderId="110" xfId="0" applyNumberFormat="1" applyFont="1" applyFill="1" applyBorder="1" applyAlignment="1" applyProtection="1">
      <alignment horizontal="center" vertical="center"/>
    </xf>
    <xf numFmtId="3" fontId="89" fillId="0" borderId="127" xfId="0" applyNumberFormat="1" applyFont="1" applyBorder="1" applyAlignment="1" applyProtection="1">
      <alignment horizontal="left" vertical="center"/>
    </xf>
    <xf numFmtId="3" fontId="74" fillId="0" borderId="128" xfId="0" applyNumberFormat="1" applyFont="1" applyBorder="1" applyAlignment="1" applyProtection="1">
      <alignment horizontal="left" vertical="center"/>
    </xf>
    <xf numFmtId="3" fontId="74" fillId="0" borderId="127" xfId="0" applyNumberFormat="1" applyFont="1" applyBorder="1" applyAlignment="1" applyProtection="1">
      <alignment horizontal="left" vertical="center"/>
      <protection locked="0"/>
    </xf>
    <xf numFmtId="3" fontId="74" fillId="0" borderId="128" xfId="0" applyNumberFormat="1" applyFont="1" applyBorder="1" applyAlignment="1" applyProtection="1">
      <alignment horizontal="left" vertical="center"/>
      <protection locked="0"/>
    </xf>
    <xf numFmtId="168" fontId="83" fillId="0" borderId="135" xfId="13" applyFont="1" applyFill="1" applyBorder="1" applyAlignment="1" applyProtection="1">
      <alignment horizontal="centerContinuous" vertical="center"/>
      <protection locked="0"/>
    </xf>
    <xf numFmtId="0" fontId="18" fillId="0" borderId="136" xfId="0" applyFont="1" applyBorder="1" applyAlignment="1" applyProtection="1">
      <alignment horizontal="centerContinuous" vertical="center"/>
      <protection locked="0"/>
    </xf>
    <xf numFmtId="3" fontId="85" fillId="0" borderId="12" xfId="13" applyNumberFormat="1" applyFont="1" applyFill="1" applyBorder="1" applyAlignment="1" applyProtection="1">
      <alignment horizontal="centerContinuous" vertical="center"/>
    </xf>
    <xf numFmtId="3" fontId="18" fillId="0" borderId="13" xfId="0" applyNumberFormat="1" applyFont="1" applyBorder="1" applyAlignment="1" applyProtection="1">
      <alignment horizontal="centerContinuous" vertical="center"/>
    </xf>
    <xf numFmtId="3" fontId="18" fillId="0" borderId="12" xfId="13" applyNumberFormat="1" applyFont="1" applyFill="1" applyBorder="1" applyAlignment="1" applyProtection="1">
      <alignment horizontal="center" vertical="center"/>
    </xf>
    <xf numFmtId="3" fontId="18" fillId="0" borderId="13" xfId="0" applyNumberFormat="1" applyFont="1" applyBorder="1" applyAlignment="1" applyProtection="1">
      <alignment horizontal="center" vertical="center"/>
    </xf>
    <xf numFmtId="0" fontId="95" fillId="0" borderId="12" xfId="0" applyFont="1" applyFill="1" applyBorder="1" applyAlignment="1" applyProtection="1">
      <alignment vertical="center"/>
      <protection locked="0"/>
    </xf>
    <xf numFmtId="0" fontId="87" fillId="0" borderId="12" xfId="14" applyNumberFormat="1" applyFont="1" applyFill="1" applyBorder="1" applyAlignment="1" applyProtection="1">
      <alignment horizontal="centerContinuous" vertical="center"/>
      <protection locked="0" hidden="1"/>
    </xf>
    <xf numFmtId="0" fontId="18" fillId="0" borderId="60" xfId="0" applyNumberFormat="1" applyFont="1" applyFill="1" applyBorder="1" applyAlignment="1" applyProtection="1">
      <alignment horizontal="center" vertical="center"/>
      <protection locked="0" hidden="1"/>
    </xf>
    <xf numFmtId="0" fontId="18" fillId="0" borderId="17" xfId="0" applyFont="1" applyBorder="1" applyAlignment="1" applyProtection="1">
      <alignment vertical="center"/>
      <protection locked="0"/>
    </xf>
    <xf numFmtId="164" fontId="18" fillId="11" borderId="131" xfId="10" applyNumberFormat="1" applyFont="1" applyFill="1" applyBorder="1" applyAlignment="1" applyProtection="1">
      <alignment vertical="center"/>
      <protection locked="0"/>
    </xf>
    <xf numFmtId="164" fontId="18" fillId="11" borderId="132" xfId="10" applyNumberFormat="1" applyFont="1" applyFill="1" applyBorder="1" applyAlignment="1" applyProtection="1">
      <alignment vertical="center"/>
      <protection locked="0"/>
    </xf>
    <xf numFmtId="164" fontId="18" fillId="11" borderId="133" xfId="10" applyNumberFormat="1" applyFont="1" applyFill="1" applyBorder="1" applyAlignment="1" applyProtection="1">
      <alignment vertical="center"/>
      <protection locked="0"/>
    </xf>
    <xf numFmtId="0" fontId="87" fillId="0" borderId="17" xfId="0" applyFont="1" applyBorder="1" applyAlignment="1" applyProtection="1">
      <alignment vertical="center"/>
      <protection locked="0"/>
    </xf>
    <xf numFmtId="0" fontId="87" fillId="8" borderId="18" xfId="0" applyFont="1" applyFill="1" applyBorder="1" applyAlignment="1" applyProtection="1">
      <alignment vertical="center"/>
      <protection locked="0"/>
    </xf>
    <xf numFmtId="0" fontId="87" fillId="0" borderId="12" xfId="0" applyFont="1" applyFill="1" applyBorder="1" applyAlignment="1" applyProtection="1">
      <alignment vertical="center"/>
      <protection locked="0"/>
    </xf>
    <xf numFmtId="3" fontId="89" fillId="10" borderId="99" xfId="0" applyNumberFormat="1" applyFont="1" applyFill="1" applyBorder="1" applyAlignment="1" applyProtection="1">
      <alignment horizontal="left" vertical="center"/>
    </xf>
    <xf numFmtId="3" fontId="89" fillId="10" borderId="100" xfId="0" applyNumberFormat="1" applyFont="1" applyFill="1" applyBorder="1" applyAlignment="1" applyProtection="1">
      <alignment horizontal="left" vertical="center"/>
    </xf>
    <xf numFmtId="9" fontId="90" fillId="10" borderId="105" xfId="0" applyNumberFormat="1" applyFont="1" applyFill="1" applyBorder="1" applyAlignment="1" applyProtection="1">
      <alignment horizontal="center" vertical="center"/>
    </xf>
    <xf numFmtId="9" fontId="90" fillId="10" borderId="106" xfId="0" applyNumberFormat="1" applyFont="1" applyFill="1" applyBorder="1" applyAlignment="1" applyProtection="1">
      <alignment horizontal="center" vertical="center"/>
    </xf>
    <xf numFmtId="3" fontId="74" fillId="0" borderId="17" xfId="0" applyNumberFormat="1" applyFont="1" applyBorder="1" applyAlignment="1" applyProtection="1">
      <alignment horizontal="left" vertical="center"/>
      <protection locked="0"/>
    </xf>
    <xf numFmtId="3" fontId="74" fillId="0" borderId="19" xfId="0" applyNumberFormat="1" applyFont="1" applyBorder="1" applyAlignment="1" applyProtection="1">
      <alignment horizontal="left" vertical="center"/>
      <protection locked="0"/>
    </xf>
    <xf numFmtId="3" fontId="96" fillId="0" borderId="19" xfId="0" applyNumberFormat="1" applyFont="1" applyBorder="1" applyAlignment="1" applyProtection="1">
      <alignment horizontal="right" vertical="center"/>
      <protection locked="0"/>
    </xf>
    <xf numFmtId="184" fontId="18" fillId="0" borderId="47" xfId="0" applyNumberFormat="1" applyFont="1" applyBorder="1" applyAlignment="1" applyProtection="1">
      <alignment horizontal="center" vertical="center"/>
      <protection locked="0"/>
    </xf>
    <xf numFmtId="3" fontId="89" fillId="10" borderId="12" xfId="10" applyNumberFormat="1" applyFont="1" applyFill="1" applyBorder="1" applyAlignment="1" applyProtection="1">
      <alignment horizontal="center" vertical="center"/>
    </xf>
    <xf numFmtId="3" fontId="89" fillId="10" borderId="0" xfId="10" applyNumberFormat="1" applyFont="1" applyFill="1" applyBorder="1" applyAlignment="1" applyProtection="1">
      <alignment horizontal="center" vertical="center"/>
    </xf>
    <xf numFmtId="3" fontId="89" fillId="10" borderId="97" xfId="10" applyNumberFormat="1" applyFont="1" applyFill="1" applyBorder="1" applyAlignment="1" applyProtection="1">
      <alignment horizontal="center" vertical="center"/>
    </xf>
    <xf numFmtId="0" fontId="18" fillId="10" borderId="99" xfId="0" applyFont="1" applyFill="1" applyBorder="1" applyAlignment="1" applyProtection="1">
      <alignment horizontal="centerContinuous" vertical="center"/>
    </xf>
    <xf numFmtId="0" fontId="18" fillId="10" borderId="100" xfId="0" applyFont="1" applyFill="1" applyBorder="1" applyAlignment="1" applyProtection="1">
      <alignment horizontal="centerContinuous" vertical="center"/>
    </xf>
    <xf numFmtId="0" fontId="18" fillId="10" borderId="125" xfId="0" applyFont="1" applyFill="1" applyBorder="1" applyAlignment="1" applyProtection="1">
      <alignment horizontal="centerContinuous" vertical="center"/>
    </xf>
    <xf numFmtId="0" fontId="18" fillId="0" borderId="12" xfId="0" applyFont="1" applyFill="1" applyBorder="1" applyAlignment="1" applyProtection="1">
      <alignment vertical="center"/>
      <protection locked="0"/>
    </xf>
    <xf numFmtId="3" fontId="18" fillId="0" borderId="14" xfId="10" applyNumberFormat="1" applyFont="1" applyFill="1" applyBorder="1" applyAlignment="1" applyProtection="1">
      <alignment horizontal="center" vertical="center"/>
    </xf>
    <xf numFmtId="3" fontId="18" fillId="0" borderId="29" xfId="10" applyNumberFormat="1" applyFont="1" applyFill="1" applyBorder="1" applyAlignment="1" applyProtection="1">
      <alignment horizontal="center" vertical="center"/>
    </xf>
    <xf numFmtId="3" fontId="18" fillId="0" borderId="111" xfId="10" applyNumberFormat="1" applyFont="1" applyFill="1" applyBorder="1" applyAlignment="1" applyProtection="1">
      <alignment horizontal="center" vertical="center"/>
    </xf>
    <xf numFmtId="0" fontId="18" fillId="0" borderId="12" xfId="0" applyFont="1" applyBorder="1" applyAlignment="1" applyProtection="1">
      <alignment vertical="center"/>
    </xf>
    <xf numFmtId="9" fontId="87" fillId="0" borderId="0" xfId="5" applyNumberFormat="1" applyFont="1" applyBorder="1" applyAlignment="1" applyProtection="1">
      <alignment vertical="center"/>
    </xf>
    <xf numFmtId="0" fontId="87" fillId="0" borderId="0" xfId="0" applyFont="1" applyBorder="1" applyAlignment="1" applyProtection="1">
      <alignment vertical="center"/>
    </xf>
    <xf numFmtId="0" fontId="18" fillId="0" borderId="0" xfId="0" applyFont="1" applyBorder="1" applyAlignment="1" applyProtection="1">
      <alignment vertical="center"/>
    </xf>
    <xf numFmtId="9" fontId="87" fillId="0" borderId="13" xfId="0" applyNumberFormat="1" applyFont="1" applyBorder="1" applyAlignment="1" applyProtection="1">
      <alignment vertical="center"/>
    </xf>
    <xf numFmtId="3" fontId="74" fillId="0" borderId="86" xfId="0" applyNumberFormat="1" applyFont="1" applyBorder="1" applyAlignment="1" applyProtection="1">
      <alignment horizontal="left" vertical="center"/>
      <protection locked="0"/>
    </xf>
    <xf numFmtId="3" fontId="18" fillId="0" borderId="121" xfId="0" applyNumberFormat="1" applyFont="1" applyBorder="1" applyAlignment="1" applyProtection="1">
      <alignment horizontal="left" vertical="center"/>
      <protection locked="0"/>
    </xf>
    <xf numFmtId="181" fontId="18" fillId="0" borderId="121" xfId="10" quotePrefix="1" applyNumberFormat="1" applyFont="1" applyFill="1" applyBorder="1" applyAlignment="1" applyProtection="1">
      <alignment horizontal="center" vertical="center"/>
      <protection locked="0"/>
    </xf>
    <xf numFmtId="3" fontId="18" fillId="0" borderId="121" xfId="0" applyNumberFormat="1" applyFont="1" applyBorder="1" applyAlignment="1" applyProtection="1">
      <alignment horizontal="center" vertical="center"/>
      <protection locked="0"/>
    </xf>
    <xf numFmtId="9" fontId="18" fillId="0" borderId="121" xfId="0" applyNumberFormat="1" applyFont="1" applyBorder="1" applyAlignment="1" applyProtection="1">
      <alignment horizontal="center" vertical="center"/>
      <protection locked="0"/>
    </xf>
    <xf numFmtId="3" fontId="18" fillId="0" borderId="99" xfId="13" applyNumberFormat="1" applyFont="1" applyFill="1" applyBorder="1" applyAlignment="1" applyProtection="1">
      <alignment horizontal="center" vertical="center"/>
    </xf>
    <xf numFmtId="3" fontId="18" fillId="0" borderId="125" xfId="0" applyNumberFormat="1" applyFont="1" applyBorder="1" applyAlignment="1" applyProtection="1">
      <alignment horizontal="center" vertical="center"/>
    </xf>
    <xf numFmtId="0" fontId="18" fillId="0" borderId="14" xfId="0" applyFont="1" applyBorder="1" applyAlignment="1" applyProtection="1">
      <alignment vertical="center"/>
    </xf>
    <xf numFmtId="9" fontId="87" fillId="0" borderId="29" xfId="5" applyNumberFormat="1" applyFont="1" applyBorder="1" applyAlignment="1" applyProtection="1">
      <alignment vertical="center"/>
    </xf>
    <xf numFmtId="0" fontId="87" fillId="0" borderId="29" xfId="0" applyFont="1" applyBorder="1" applyAlignment="1" applyProtection="1">
      <alignment vertical="center"/>
    </xf>
    <xf numFmtId="0" fontId="18" fillId="0" borderId="29" xfId="0" applyFont="1" applyBorder="1" applyAlignment="1" applyProtection="1">
      <alignment vertical="center"/>
    </xf>
    <xf numFmtId="3" fontId="74" fillId="0" borderId="0" xfId="0" applyNumberFormat="1" applyFont="1" applyFill="1" applyBorder="1" applyAlignment="1" applyProtection="1">
      <alignment vertical="center"/>
      <protection locked="0"/>
    </xf>
    <xf numFmtId="3" fontId="89" fillId="10" borderId="14" xfId="0" applyNumberFormat="1" applyFont="1" applyFill="1" applyBorder="1" applyAlignment="1" applyProtection="1">
      <alignment horizontal="left" vertical="center"/>
      <protection locked="0"/>
    </xf>
    <xf numFmtId="3" fontId="74" fillId="10" borderId="29" xfId="0" applyNumberFormat="1" applyFont="1" applyFill="1" applyBorder="1" applyAlignment="1" applyProtection="1">
      <alignment horizontal="left" vertical="center"/>
    </xf>
    <xf numFmtId="3" fontId="74" fillId="10" borderId="29" xfId="0" applyNumberFormat="1" applyFont="1" applyFill="1" applyBorder="1" applyAlignment="1" applyProtection="1">
      <alignment horizontal="center" vertical="center"/>
      <protection locked="0"/>
    </xf>
    <xf numFmtId="3" fontId="74" fillId="10" borderId="15" xfId="0" applyNumberFormat="1" applyFont="1" applyFill="1" applyBorder="1" applyAlignment="1" applyProtection="1">
      <alignment horizontal="center" vertical="center"/>
      <protection locked="0"/>
    </xf>
    <xf numFmtId="3" fontId="89" fillId="10" borderId="137" xfId="10" applyNumberFormat="1" applyFont="1" applyFill="1" applyBorder="1" applyAlignment="1" applyProtection="1">
      <alignment horizontal="center" vertical="center"/>
    </xf>
    <xf numFmtId="3" fontId="89" fillId="10" borderId="31" xfId="0" applyNumberFormat="1" applyFont="1" applyFill="1" applyBorder="1" applyAlignment="1" applyProtection="1">
      <alignment horizontal="center" vertical="center"/>
    </xf>
    <xf numFmtId="9" fontId="87" fillId="0" borderId="0" xfId="5" applyNumberFormat="1" applyFont="1" applyBorder="1" applyAlignment="1" applyProtection="1">
      <alignment vertical="center"/>
      <protection locked="0"/>
    </xf>
    <xf numFmtId="0" fontId="87" fillId="0" borderId="0" xfId="0" applyFont="1" applyBorder="1" applyAlignment="1" applyProtection="1">
      <alignment vertical="center"/>
      <protection locked="0"/>
    </xf>
    <xf numFmtId="9" fontId="87" fillId="0" borderId="16" xfId="0" applyNumberFormat="1" applyFont="1" applyBorder="1" applyAlignment="1" applyProtection="1">
      <alignment vertical="center"/>
      <protection locked="0"/>
    </xf>
    <xf numFmtId="3" fontId="74" fillId="0" borderId="16" xfId="0" applyNumberFormat="1" applyFont="1" applyFill="1" applyBorder="1" applyAlignment="1" applyProtection="1">
      <alignment vertical="center"/>
    </xf>
    <xf numFmtId="0" fontId="74" fillId="0" borderId="16" xfId="0" applyFont="1" applyBorder="1" applyAlignment="1" applyProtection="1">
      <alignment horizontal="left" vertical="center"/>
      <protection locked="0"/>
    </xf>
    <xf numFmtId="0" fontId="74" fillId="0" borderId="0" xfId="0" applyFont="1" applyAlignment="1" applyProtection="1">
      <alignment horizontal="left" vertical="center"/>
      <protection locked="0"/>
    </xf>
    <xf numFmtId="0" fontId="83" fillId="0" borderId="16" xfId="0" applyFont="1" applyBorder="1" applyAlignment="1" applyProtection="1">
      <alignment horizontal="left" vertical="center"/>
    </xf>
    <xf numFmtId="37" fontId="83" fillId="0" borderId="16" xfId="0" applyNumberFormat="1" applyFont="1" applyBorder="1" applyAlignment="1" applyProtection="1">
      <alignment horizontal="center" vertical="center"/>
    </xf>
    <xf numFmtId="3" fontId="74" fillId="0" borderId="0" xfId="0" applyNumberFormat="1" applyFont="1" applyFill="1" applyBorder="1" applyAlignment="1" applyProtection="1">
      <alignment vertical="center"/>
    </xf>
    <xf numFmtId="0" fontId="74" fillId="0" borderId="16" xfId="0" applyFont="1" applyBorder="1" applyAlignment="1" applyProtection="1">
      <alignment horizontal="left" vertical="center"/>
    </xf>
    <xf numFmtId="0" fontId="74" fillId="0" borderId="0" xfId="0" applyFont="1" applyBorder="1" applyAlignment="1" applyProtection="1">
      <alignment horizontal="left" vertical="center"/>
      <protection locked="0"/>
    </xf>
    <xf numFmtId="0" fontId="74" fillId="0" borderId="0" xfId="0" applyFont="1" applyAlignment="1" applyProtection="1">
      <alignment horizontal="left" vertical="center"/>
    </xf>
    <xf numFmtId="3" fontId="74" fillId="0" borderId="0" xfId="0" applyNumberFormat="1" applyFont="1" applyAlignment="1" applyProtection="1">
      <alignment horizontal="right" vertical="center"/>
    </xf>
    <xf numFmtId="3" fontId="74" fillId="0" borderId="0" xfId="0" quotePrefix="1" applyNumberFormat="1" applyFont="1" applyAlignment="1" applyProtection="1">
      <alignment horizontal="left" vertical="center"/>
    </xf>
    <xf numFmtId="9" fontId="74" fillId="0" borderId="0" xfId="0" applyNumberFormat="1" applyFont="1" applyAlignment="1" applyProtection="1">
      <alignment horizontal="right" vertical="center"/>
    </xf>
    <xf numFmtId="3" fontId="83" fillId="0" borderId="0" xfId="0" applyNumberFormat="1" applyFont="1" applyAlignment="1" applyProtection="1">
      <alignment horizontal="left" vertical="center"/>
    </xf>
    <xf numFmtId="3" fontId="74" fillId="0" borderId="0" xfId="0" applyNumberFormat="1" applyFont="1" applyBorder="1" applyAlignment="1" applyProtection="1">
      <alignment horizontal="left" vertical="center"/>
    </xf>
    <xf numFmtId="3" fontId="74" fillId="0" borderId="0" xfId="13" applyNumberFormat="1" applyFont="1" applyFill="1" applyBorder="1" applyAlignment="1" applyProtection="1">
      <alignment horizontal="left" vertical="center"/>
      <protection locked="0"/>
    </xf>
    <xf numFmtId="3" fontId="74" fillId="2" borderId="0" xfId="0" applyNumberFormat="1" applyFont="1" applyFill="1" applyAlignment="1" applyProtection="1">
      <alignment horizontal="left" vertical="center"/>
    </xf>
    <xf numFmtId="3" fontId="74" fillId="0" borderId="0" xfId="0" applyNumberFormat="1" applyFont="1" applyAlignment="1" applyProtection="1">
      <alignment horizontal="center" vertical="center"/>
    </xf>
    <xf numFmtId="3" fontId="74" fillId="0" borderId="0" xfId="0" applyNumberFormat="1" applyFont="1" applyFill="1" applyBorder="1" applyAlignment="1" applyProtection="1">
      <alignment horizontal="left" vertical="center"/>
    </xf>
    <xf numFmtId="3" fontId="74" fillId="0" borderId="0" xfId="5" applyNumberFormat="1" applyFont="1" applyAlignment="1" applyProtection="1">
      <alignment horizontal="left" vertical="center"/>
    </xf>
    <xf numFmtId="3" fontId="83" fillId="0" borderId="0" xfId="0" applyNumberFormat="1" applyFont="1" applyFill="1" applyBorder="1" applyAlignment="1" applyProtection="1">
      <alignment horizontal="left" vertical="center"/>
    </xf>
    <xf numFmtId="3" fontId="74" fillId="0" borderId="0" xfId="12" applyNumberFormat="1" applyFont="1" applyBorder="1" applyAlignment="1" applyProtection="1">
      <alignment horizontal="left" vertical="center"/>
    </xf>
    <xf numFmtId="3" fontId="74" fillId="0" borderId="0" xfId="5" applyNumberFormat="1" applyFont="1" applyBorder="1" applyAlignment="1" applyProtection="1">
      <alignment horizontal="left" vertical="center"/>
    </xf>
    <xf numFmtId="3" fontId="74" fillId="0" borderId="0" xfId="0" applyNumberFormat="1" applyFont="1" applyFill="1" applyAlignment="1" applyProtection="1">
      <alignment horizontal="left" vertical="center"/>
    </xf>
    <xf numFmtId="3" fontId="83" fillId="0" borderId="0" xfId="0" applyNumberFormat="1" applyFont="1" applyAlignment="1" applyProtection="1">
      <alignment horizontal="center" vertical="center"/>
      <protection locked="0"/>
    </xf>
    <xf numFmtId="3" fontId="83" fillId="0" borderId="0" xfId="0" applyNumberFormat="1" applyFont="1" applyAlignment="1" applyProtection="1">
      <alignment horizontal="left" vertical="center"/>
      <protection locked="0"/>
    </xf>
    <xf numFmtId="3" fontId="74" fillId="0" borderId="0" xfId="15" applyNumberFormat="1" applyFont="1" applyAlignment="1" applyProtection="1">
      <alignment horizontal="left" vertical="center"/>
    </xf>
    <xf numFmtId="3" fontId="74" fillId="8" borderId="0" xfId="15" applyNumberFormat="1" applyFont="1" applyFill="1" applyBorder="1" applyAlignment="1" applyProtection="1">
      <alignment horizontal="left" vertical="center"/>
    </xf>
    <xf numFmtId="3" fontId="83" fillId="0" borderId="0" xfId="0" applyNumberFormat="1" applyFont="1" applyAlignment="1" applyProtection="1">
      <alignment horizontal="center" vertical="center"/>
    </xf>
    <xf numFmtId="167" fontId="74" fillId="0" borderId="0" xfId="0" applyNumberFormat="1" applyFont="1" applyAlignment="1" applyProtection="1">
      <alignment horizontal="center" vertical="center"/>
    </xf>
    <xf numFmtId="4" fontId="74" fillId="0" borderId="0" xfId="0" applyNumberFormat="1" applyFont="1" applyAlignment="1" applyProtection="1">
      <alignment horizontal="center" vertical="center"/>
    </xf>
    <xf numFmtId="3" fontId="74" fillId="0" borderId="0" xfId="0" applyNumberFormat="1" applyFont="1" applyFill="1" applyBorder="1" applyAlignment="1" applyProtection="1">
      <alignment horizontal="left" vertical="center"/>
      <protection locked="0"/>
    </xf>
    <xf numFmtId="3" fontId="87" fillId="0" borderId="29" xfId="0" applyNumberFormat="1" applyFont="1" applyBorder="1" applyAlignment="1" applyProtection="1">
      <alignment horizontal="center" vertical="center"/>
    </xf>
    <xf numFmtId="3" fontId="97" fillId="0" borderId="16" xfId="0" applyNumberFormat="1" applyFont="1" applyBorder="1" applyAlignment="1" applyProtection="1">
      <alignment horizontal="center" vertical="center"/>
    </xf>
    <xf numFmtId="0" fontId="86" fillId="2" borderId="17" xfId="0" applyFont="1" applyFill="1" applyBorder="1" applyAlignment="1" applyProtection="1">
      <alignment vertical="center"/>
    </xf>
    <xf numFmtId="3" fontId="74" fillId="0" borderId="19" xfId="0" applyNumberFormat="1" applyFont="1" applyBorder="1" applyAlignment="1" applyProtection="1">
      <alignment horizontal="left" vertical="center"/>
    </xf>
    <xf numFmtId="178" fontId="86" fillId="0" borderId="19" xfId="10" applyNumberFormat="1" applyFont="1" applyFill="1" applyBorder="1" applyAlignment="1" applyProtection="1">
      <alignment horizontal="right" vertical="center"/>
    </xf>
    <xf numFmtId="178" fontId="86" fillId="0" borderId="18" xfId="10" applyNumberFormat="1" applyFont="1" applyFill="1" applyBorder="1" applyAlignment="1" applyProtection="1">
      <alignment horizontal="right" vertical="center"/>
    </xf>
    <xf numFmtId="178" fontId="86" fillId="0" borderId="0" xfId="10" applyNumberFormat="1" applyFont="1" applyFill="1" applyBorder="1" applyAlignment="1" applyProtection="1">
      <alignment horizontal="right" vertical="center"/>
    </xf>
    <xf numFmtId="3" fontId="74" fillId="0" borderId="0" xfId="15" applyNumberFormat="1" applyFont="1" applyAlignment="1" applyProtection="1">
      <alignment horizontal="left" vertical="center"/>
      <protection locked="0"/>
    </xf>
    <xf numFmtId="3" fontId="74" fillId="8" borderId="0" xfId="15" applyNumberFormat="1" applyFont="1" applyFill="1" applyBorder="1" applyAlignment="1" applyProtection="1">
      <alignment horizontal="left" vertical="center"/>
      <protection locked="0"/>
    </xf>
    <xf numFmtId="1" fontId="74" fillId="0" borderId="0" xfId="0" applyNumberFormat="1" applyFont="1" applyAlignment="1" applyProtection="1">
      <alignment horizontal="left" vertical="center"/>
      <protection locked="0"/>
    </xf>
    <xf numFmtId="3" fontId="74" fillId="5" borderId="138" xfId="0" applyNumberFormat="1" applyFont="1" applyFill="1" applyBorder="1" applyAlignment="1" applyProtection="1">
      <alignment horizontal="center" vertical="center"/>
      <protection locked="0"/>
    </xf>
    <xf numFmtId="3" fontId="74" fillId="5" borderId="139" xfId="0" applyNumberFormat="1" applyFont="1" applyFill="1" applyBorder="1" applyAlignment="1" applyProtection="1">
      <alignment horizontal="center" vertical="center" wrapText="1"/>
      <protection locked="0"/>
    </xf>
    <xf numFmtId="3" fontId="74" fillId="5" borderId="140" xfId="15" applyNumberFormat="1" applyFont="1" applyFill="1" applyBorder="1" applyAlignment="1" applyProtection="1">
      <alignment horizontal="center" vertical="center" wrapText="1"/>
      <protection locked="0"/>
    </xf>
    <xf numFmtId="3" fontId="74" fillId="2" borderId="141" xfId="0" applyNumberFormat="1" applyFont="1" applyFill="1" applyBorder="1" applyAlignment="1" applyProtection="1">
      <alignment horizontal="center" vertical="center"/>
      <protection locked="0"/>
    </xf>
    <xf numFmtId="49" fontId="74" fillId="0" borderId="0" xfId="0" applyNumberFormat="1" applyFont="1" applyBorder="1" applyAlignment="1" applyProtection="1">
      <alignment horizontal="center" vertical="center"/>
      <protection locked="0"/>
    </xf>
    <xf numFmtId="49" fontId="74" fillId="8" borderId="142" xfId="15" applyNumberFormat="1" applyFont="1" applyFill="1" applyBorder="1" applyAlignment="1" applyProtection="1">
      <alignment horizontal="center" vertical="center"/>
      <protection locked="0"/>
    </xf>
    <xf numFmtId="49" fontId="74" fillId="0" borderId="142" xfId="0" applyNumberFormat="1" applyFont="1" applyBorder="1" applyAlignment="1" applyProtection="1">
      <alignment horizontal="center" vertical="center"/>
      <protection locked="0"/>
    </xf>
    <xf numFmtId="3" fontId="74" fillId="2" borderId="143" xfId="0" applyNumberFormat="1" applyFont="1" applyFill="1" applyBorder="1" applyAlignment="1" applyProtection="1">
      <alignment horizontal="center" vertical="center"/>
      <protection locked="0"/>
    </xf>
    <xf numFmtId="49" fontId="74" fillId="0" borderId="144" xfId="0" applyNumberFormat="1" applyFont="1" applyBorder="1" applyAlignment="1" applyProtection="1">
      <alignment horizontal="center" vertical="center"/>
      <protection locked="0"/>
    </xf>
    <xf numFmtId="49" fontId="74" fillId="8" borderId="145" xfId="15" applyNumberFormat="1" applyFont="1" applyFill="1" applyBorder="1" applyAlignment="1" applyProtection="1">
      <alignment horizontal="center" vertical="center"/>
      <protection locked="0"/>
    </xf>
    <xf numFmtId="49" fontId="74" fillId="0" borderId="145" xfId="0" applyNumberFormat="1" applyFont="1" applyBorder="1" applyAlignment="1" applyProtection="1">
      <alignment horizontal="center" vertical="center"/>
      <protection locked="0"/>
    </xf>
    <xf numFmtId="3" fontId="74" fillId="0" borderId="0" xfId="15" applyNumberFormat="1" applyFont="1" applyBorder="1" applyAlignment="1" applyProtection="1">
      <alignment horizontal="left" vertical="center"/>
      <protection locked="0"/>
    </xf>
    <xf numFmtId="37" fontId="19" fillId="0" borderId="0" xfId="3" applyFont="1" applyBorder="1" applyAlignment="1" applyProtection="1">
      <alignment horizontal="center" vertical="center"/>
      <protection locked="0"/>
    </xf>
    <xf numFmtId="37" fontId="19" fillId="0" borderId="0" xfId="3" applyFont="1" applyBorder="1" applyAlignment="1" applyProtection="1">
      <alignment vertical="center"/>
      <protection locked="0"/>
    </xf>
    <xf numFmtId="0" fontId="28" fillId="0" borderId="0" xfId="15" applyBorder="1" applyProtection="1">
      <protection locked="0"/>
    </xf>
    <xf numFmtId="37" fontId="19" fillId="0" borderId="0" xfId="3" applyFont="1" applyAlignment="1" applyProtection="1">
      <alignment vertical="center"/>
      <protection locked="0"/>
    </xf>
    <xf numFmtId="37" fontId="19" fillId="0" borderId="0" xfId="3" applyFont="1" applyFill="1" applyBorder="1" applyAlignment="1" applyProtection="1">
      <alignment horizontal="center" vertical="center"/>
      <protection locked="0"/>
    </xf>
    <xf numFmtId="37" fontId="19" fillId="0" borderId="0" xfId="3" applyFont="1" applyFill="1" applyBorder="1" applyAlignment="1" applyProtection="1">
      <alignment vertical="center"/>
      <protection locked="0"/>
    </xf>
    <xf numFmtId="37" fontId="19" fillId="0" borderId="0" xfId="3" applyFont="1" applyFill="1" applyAlignment="1" applyProtection="1">
      <alignment vertical="center"/>
      <protection locked="0"/>
    </xf>
    <xf numFmtId="37" fontId="31" fillId="0" borderId="0" xfId="3" applyFont="1" applyBorder="1" applyAlignment="1" applyProtection="1">
      <alignment horizontal="left" vertical="center"/>
      <protection locked="0"/>
    </xf>
    <xf numFmtId="37" fontId="19" fillId="0" borderId="0" xfId="3" applyFont="1" applyBorder="1" applyAlignment="1" applyProtection="1">
      <alignment horizontal="left" vertical="center"/>
      <protection locked="0"/>
    </xf>
    <xf numFmtId="0" fontId="28" fillId="0" borderId="0" xfId="15" applyFont="1" applyBorder="1" applyAlignment="1" applyProtection="1">
      <alignment vertical="center"/>
      <protection locked="0"/>
    </xf>
    <xf numFmtId="37" fontId="16" fillId="0" borderId="0" xfId="3" applyNumberFormat="1" applyFont="1" applyBorder="1" applyAlignment="1" applyProtection="1">
      <alignment horizontal="left" vertical="center"/>
      <protection locked="0"/>
    </xf>
    <xf numFmtId="37" fontId="30" fillId="0" borderId="0" xfId="3" applyFont="1" applyFill="1" applyBorder="1" applyAlignment="1" applyProtection="1">
      <alignment vertical="center"/>
      <protection locked="0"/>
    </xf>
    <xf numFmtId="167" fontId="19" fillId="0" borderId="0" xfId="2" applyNumberFormat="1" applyFont="1" applyAlignment="1" applyProtection="1">
      <alignment horizontal="center" vertical="center"/>
      <protection locked="0"/>
    </xf>
    <xf numFmtId="37" fontId="16" fillId="0" borderId="0" xfId="15" applyNumberFormat="1" applyFont="1" applyFill="1" applyBorder="1" applyAlignment="1" applyProtection="1">
      <alignment horizontal="left"/>
      <protection locked="0"/>
    </xf>
    <xf numFmtId="37" fontId="19" fillId="0" borderId="59" xfId="3" applyFont="1" applyBorder="1" applyAlignment="1" applyProtection="1">
      <alignment horizontal="center" vertical="center"/>
      <protection locked="0"/>
    </xf>
    <xf numFmtId="0" fontId="28" fillId="0" borderId="0" xfId="15" applyFont="1" applyFill="1" applyBorder="1" applyAlignment="1" applyProtection="1">
      <alignment vertical="center"/>
      <protection locked="0"/>
    </xf>
    <xf numFmtId="37" fontId="30" fillId="0" borderId="47" xfId="3" applyNumberFormat="1" applyFont="1" applyBorder="1" applyAlignment="1" applyProtection="1">
      <alignment horizontal="center" vertical="center"/>
      <protection locked="0"/>
    </xf>
    <xf numFmtId="37" fontId="31" fillId="0" borderId="0" xfId="3" applyFont="1" applyBorder="1" applyAlignment="1" applyProtection="1">
      <alignment horizontal="left" vertical="center"/>
    </xf>
    <xf numFmtId="37" fontId="30" fillId="7" borderId="47" xfId="3" applyNumberFormat="1" applyFont="1" applyFill="1" applyBorder="1" applyAlignment="1" applyProtection="1">
      <alignment horizontal="left" vertical="center"/>
    </xf>
    <xf numFmtId="37" fontId="30" fillId="7" borderId="47" xfId="3" applyNumberFormat="1" applyFont="1" applyFill="1" applyBorder="1" applyAlignment="1" applyProtection="1">
      <alignment horizontal="center" vertical="center"/>
      <protection locked="0"/>
    </xf>
    <xf numFmtId="37" fontId="30" fillId="7" borderId="60" xfId="3" applyNumberFormat="1" applyFont="1" applyFill="1" applyBorder="1" applyAlignment="1" applyProtection="1">
      <alignment horizontal="center" vertical="center"/>
      <protection locked="0"/>
    </xf>
    <xf numFmtId="37" fontId="83" fillId="0" borderId="0" xfId="3" applyFont="1" applyFill="1" applyBorder="1" applyAlignment="1" applyProtection="1">
      <alignment vertical="center"/>
      <protection locked="0"/>
    </xf>
    <xf numFmtId="37" fontId="30" fillId="7" borderId="61" xfId="3" applyNumberFormat="1" applyFont="1" applyFill="1" applyBorder="1" applyAlignment="1" applyProtection="1">
      <alignment horizontal="center" vertical="center"/>
      <protection locked="0"/>
    </xf>
    <xf numFmtId="37" fontId="30" fillId="0" borderId="59" xfId="3" applyNumberFormat="1" applyFont="1" applyFill="1" applyBorder="1" applyAlignment="1" applyProtection="1">
      <alignment horizontal="left" vertical="center"/>
    </xf>
    <xf numFmtId="37" fontId="30" fillId="0" borderId="59" xfId="3" applyNumberFormat="1" applyFont="1" applyBorder="1" applyAlignment="1" applyProtection="1">
      <alignment horizontal="center" vertical="center"/>
      <protection locked="0"/>
    </xf>
    <xf numFmtId="37" fontId="30" fillId="0" borderId="60" xfId="3" applyNumberFormat="1" applyFont="1" applyBorder="1" applyAlignment="1" applyProtection="1">
      <alignment horizontal="center" vertical="center"/>
      <protection locked="0"/>
    </xf>
    <xf numFmtId="37" fontId="31" fillId="7" borderId="47" xfId="3" applyFont="1" applyFill="1" applyBorder="1" applyAlignment="1" applyProtection="1">
      <alignment horizontal="center" vertical="center"/>
      <protection locked="0"/>
    </xf>
    <xf numFmtId="37" fontId="20" fillId="0" borderId="0" xfId="3" applyFont="1" applyFill="1" applyBorder="1" applyAlignment="1" applyProtection="1">
      <alignment horizontal="center" vertical="center"/>
      <protection locked="0"/>
    </xf>
    <xf numFmtId="1" fontId="30" fillId="0" borderId="146" xfId="3" applyNumberFormat="1" applyFont="1" applyBorder="1" applyAlignment="1" applyProtection="1">
      <alignment horizontal="left" vertical="center"/>
    </xf>
    <xf numFmtId="37" fontId="28" fillId="0" borderId="146" xfId="3" applyNumberFormat="1" applyFont="1" applyBorder="1" applyAlignment="1" applyProtection="1">
      <alignment horizontal="left" vertical="center"/>
    </xf>
    <xf numFmtId="37" fontId="30" fillId="0" borderId="146" xfId="3" applyNumberFormat="1" applyFont="1" applyFill="1" applyBorder="1" applyAlignment="1" applyProtection="1">
      <alignment vertical="center"/>
    </xf>
    <xf numFmtId="9" fontId="28" fillId="0" borderId="0" xfId="5" applyFont="1" applyFill="1" applyBorder="1" applyAlignment="1" applyProtection="1">
      <alignment vertical="center"/>
    </xf>
    <xf numFmtId="37" fontId="30" fillId="0" borderId="146" xfId="3" applyNumberFormat="1" applyFont="1" applyFill="1" applyBorder="1" applyAlignment="1" applyProtection="1">
      <alignment horizontal="right" vertical="center"/>
    </xf>
    <xf numFmtId="1" fontId="30" fillId="0" borderId="74" xfId="3" quotePrefix="1" applyNumberFormat="1" applyFont="1" applyFill="1" applyBorder="1" applyAlignment="1" applyProtection="1">
      <alignment horizontal="left" vertical="center"/>
    </xf>
    <xf numFmtId="37" fontId="28" fillId="0" borderId="74" xfId="3" applyNumberFormat="1" applyFont="1" applyFill="1" applyBorder="1" applyAlignment="1" applyProtection="1">
      <alignment horizontal="left" vertical="center"/>
    </xf>
    <xf numFmtId="37" fontId="30" fillId="0" borderId="74" xfId="3" applyNumberFormat="1" applyFont="1" applyBorder="1" applyAlignment="1" applyProtection="1">
      <alignment horizontal="right" vertical="center"/>
    </xf>
    <xf numFmtId="37" fontId="30" fillId="0" borderId="74" xfId="3" applyNumberFormat="1" applyFont="1" applyFill="1" applyBorder="1" applyAlignment="1" applyProtection="1">
      <alignment horizontal="right" vertical="center"/>
    </xf>
    <xf numFmtId="1" fontId="30" fillId="0" borderId="74" xfId="3" applyNumberFormat="1" applyFont="1" applyBorder="1" applyAlignment="1" applyProtection="1">
      <alignment horizontal="left" vertical="center"/>
    </xf>
    <xf numFmtId="37" fontId="28" fillId="0" borderId="74" xfId="3" applyNumberFormat="1" applyFont="1" applyBorder="1" applyAlignment="1" applyProtection="1">
      <alignment horizontal="left" vertical="center"/>
    </xf>
    <xf numFmtId="37" fontId="30" fillId="0" borderId="78" xfId="3" applyNumberFormat="1" applyFont="1" applyFill="1" applyBorder="1" applyAlignment="1" applyProtection="1">
      <alignment horizontal="right" vertical="center"/>
    </xf>
    <xf numFmtId="1" fontId="30" fillId="0" borderId="74" xfId="3" quotePrefix="1" applyNumberFormat="1" applyFont="1" applyBorder="1" applyAlignment="1" applyProtection="1">
      <alignment horizontal="left" vertical="center"/>
    </xf>
    <xf numFmtId="37" fontId="30" fillId="9" borderId="146" xfId="3" applyNumberFormat="1" applyFont="1" applyFill="1" applyBorder="1" applyAlignment="1" applyProtection="1">
      <alignment horizontal="right" vertical="center"/>
      <protection locked="0"/>
    </xf>
    <xf numFmtId="1" fontId="30" fillId="0" borderId="76" xfId="3" quotePrefix="1" applyNumberFormat="1" applyFont="1" applyBorder="1" applyAlignment="1" applyProtection="1">
      <alignment horizontal="left" vertical="center"/>
    </xf>
    <xf numFmtId="37" fontId="28" fillId="0" borderId="78" xfId="3" applyNumberFormat="1" applyFont="1" applyBorder="1" applyAlignment="1" applyProtection="1">
      <alignment horizontal="left" vertical="center"/>
    </xf>
    <xf numFmtId="37" fontId="30" fillId="0" borderId="78" xfId="3" applyNumberFormat="1" applyFont="1" applyBorder="1" applyAlignment="1" applyProtection="1">
      <alignment horizontal="right" vertical="center"/>
    </xf>
    <xf numFmtId="37" fontId="30" fillId="9" borderId="78" xfId="3" applyNumberFormat="1" applyFont="1" applyFill="1" applyBorder="1" applyAlignment="1" applyProtection="1">
      <alignment horizontal="right" vertical="center"/>
      <protection locked="0"/>
    </xf>
    <xf numFmtId="37" fontId="30" fillId="7" borderId="47" xfId="3" applyNumberFormat="1" applyFont="1" applyFill="1" applyBorder="1" applyAlignment="1" applyProtection="1">
      <alignment vertical="center"/>
    </xf>
    <xf numFmtId="37" fontId="30" fillId="7" borderId="47" xfId="3" applyNumberFormat="1" applyFont="1" applyFill="1" applyBorder="1" applyAlignment="1" applyProtection="1">
      <alignment horizontal="right" vertical="center"/>
    </xf>
    <xf numFmtId="37" fontId="28" fillId="0" borderId="73" xfId="3" applyNumberFormat="1" applyFont="1" applyBorder="1" applyAlignment="1" applyProtection="1">
      <alignment horizontal="left" vertical="center"/>
    </xf>
    <xf numFmtId="37" fontId="30" fillId="0" borderId="73" xfId="3" applyNumberFormat="1" applyFont="1" applyBorder="1" applyAlignment="1" applyProtection="1">
      <alignment horizontal="right" vertical="center"/>
    </xf>
    <xf numFmtId="37" fontId="30" fillId="9" borderId="61" xfId="3" applyNumberFormat="1" applyFont="1" applyFill="1" applyBorder="1" applyAlignment="1" applyProtection="1">
      <alignment horizontal="right" vertical="center"/>
      <protection locked="0"/>
    </xf>
    <xf numFmtId="37" fontId="30" fillId="0" borderId="73" xfId="3" applyNumberFormat="1" applyFont="1" applyFill="1" applyBorder="1" applyAlignment="1" applyProtection="1">
      <alignment horizontal="right" vertical="center"/>
    </xf>
    <xf numFmtId="1" fontId="30" fillId="0" borderId="76" xfId="3" applyNumberFormat="1" applyFont="1" applyBorder="1" applyAlignment="1" applyProtection="1">
      <alignment horizontal="left" vertical="center"/>
    </xf>
    <xf numFmtId="37" fontId="30" fillId="10" borderId="47" xfId="3" applyNumberFormat="1" applyFont="1" applyFill="1" applyBorder="1" applyAlignment="1" applyProtection="1">
      <alignment horizontal="left" vertical="center"/>
    </xf>
    <xf numFmtId="37" fontId="30" fillId="10" borderId="47" xfId="3" applyNumberFormat="1" applyFont="1" applyFill="1" applyBorder="1" applyAlignment="1" applyProtection="1">
      <alignment vertical="center"/>
    </xf>
    <xf numFmtId="37" fontId="30" fillId="10" borderId="47" xfId="3" applyNumberFormat="1" applyFont="1" applyFill="1" applyBorder="1" applyAlignment="1" applyProtection="1">
      <alignment horizontal="right" vertical="center"/>
    </xf>
    <xf numFmtId="37" fontId="30" fillId="0" borderId="73" xfId="3" applyFont="1" applyFill="1" applyBorder="1" applyAlignment="1" applyProtection="1">
      <alignment horizontal="right" vertical="center"/>
      <protection locked="0"/>
    </xf>
    <xf numFmtId="37" fontId="30" fillId="9" borderId="47" xfId="3" applyNumberFormat="1" applyFont="1" applyFill="1" applyBorder="1" applyAlignment="1" applyProtection="1">
      <alignment horizontal="right" vertical="center"/>
      <protection locked="0"/>
    </xf>
    <xf numFmtId="37" fontId="30" fillId="0" borderId="60" xfId="3" applyNumberFormat="1" applyFont="1" applyFill="1" applyBorder="1" applyAlignment="1" applyProtection="1">
      <alignment horizontal="right" vertical="center"/>
    </xf>
    <xf numFmtId="37" fontId="30" fillId="9" borderId="59" xfId="3" applyNumberFormat="1" applyFont="1" applyFill="1" applyBorder="1" applyAlignment="1" applyProtection="1">
      <alignment horizontal="right" vertical="center"/>
      <protection locked="0"/>
    </xf>
    <xf numFmtId="1" fontId="30" fillId="0" borderId="146" xfId="3" quotePrefix="1" applyNumberFormat="1" applyFont="1" applyBorder="1" applyAlignment="1" applyProtection="1">
      <alignment horizontal="left" vertical="center"/>
    </xf>
    <xf numFmtId="37" fontId="30" fillId="9" borderId="74" xfId="3" applyNumberFormat="1" applyFont="1" applyFill="1" applyBorder="1" applyAlignment="1" applyProtection="1">
      <alignment horizontal="right" vertical="center"/>
      <protection locked="0"/>
    </xf>
    <xf numFmtId="37" fontId="19" fillId="0" borderId="0" xfId="3" applyFont="1" applyBorder="1" applyAlignment="1" applyProtection="1">
      <alignment horizontal="centerContinuous" vertical="center"/>
      <protection locked="0"/>
    </xf>
    <xf numFmtId="37" fontId="28" fillId="0" borderId="78" xfId="3" quotePrefix="1" applyNumberFormat="1" applyFont="1" applyBorder="1" applyAlignment="1" applyProtection="1">
      <alignment horizontal="left" vertical="center"/>
    </xf>
    <xf numFmtId="37" fontId="30" fillId="0" borderId="146" xfId="3" applyNumberFormat="1" applyFont="1" applyFill="1" applyBorder="1" applyAlignment="1" applyProtection="1">
      <alignment horizontal="right" vertical="center"/>
      <protection locked="0"/>
    </xf>
    <xf numFmtId="37" fontId="30" fillId="12" borderId="74" xfId="3" applyNumberFormat="1" applyFont="1" applyFill="1" applyBorder="1" applyAlignment="1" applyProtection="1">
      <alignment horizontal="right" vertical="center"/>
    </xf>
    <xf numFmtId="37" fontId="30" fillId="0" borderId="76" xfId="3" applyNumberFormat="1" applyFont="1" applyFill="1" applyBorder="1" applyAlignment="1" applyProtection="1">
      <alignment horizontal="right" vertical="center"/>
    </xf>
    <xf numFmtId="37" fontId="30" fillId="7" borderId="73" xfId="3" applyNumberFormat="1" applyFont="1" applyFill="1" applyBorder="1" applyAlignment="1" applyProtection="1">
      <alignment horizontal="left" vertical="center"/>
    </xf>
    <xf numFmtId="37" fontId="30" fillId="7" borderId="73" xfId="3" applyNumberFormat="1" applyFont="1" applyFill="1" applyBorder="1" applyAlignment="1" applyProtection="1">
      <alignment vertical="center"/>
    </xf>
    <xf numFmtId="37" fontId="30" fillId="7" borderId="73" xfId="3" applyNumberFormat="1" applyFont="1" applyFill="1" applyBorder="1" applyAlignment="1" applyProtection="1">
      <alignment horizontal="right" vertical="center"/>
    </xf>
    <xf numFmtId="37" fontId="30" fillId="7" borderId="78" xfId="3" applyNumberFormat="1" applyFont="1" applyFill="1" applyBorder="1" applyAlignment="1" applyProtection="1">
      <alignment horizontal="left" vertical="center"/>
    </xf>
    <xf numFmtId="37" fontId="30" fillId="7" borderId="78" xfId="3" applyNumberFormat="1" applyFont="1" applyFill="1" applyBorder="1" applyAlignment="1" applyProtection="1">
      <alignment vertical="center"/>
    </xf>
    <xf numFmtId="37" fontId="30" fillId="7" borderId="78" xfId="3" applyNumberFormat="1" applyFont="1" applyFill="1" applyBorder="1" applyAlignment="1" applyProtection="1">
      <alignment horizontal="right" vertical="center"/>
    </xf>
    <xf numFmtId="37" fontId="34" fillId="0" borderId="47" xfId="3" applyNumberFormat="1" applyFont="1" applyFill="1" applyBorder="1" applyAlignment="1" applyProtection="1">
      <alignment horizontal="left" vertical="center"/>
    </xf>
    <xf numFmtId="37" fontId="34" fillId="0" borderId="47" xfId="3" applyNumberFormat="1" applyFont="1" applyFill="1" applyBorder="1" applyAlignment="1" applyProtection="1">
      <alignment vertical="center"/>
    </xf>
    <xf numFmtId="9" fontId="33" fillId="0" borderId="0" xfId="5" applyFont="1" applyFill="1" applyBorder="1" applyAlignment="1" applyProtection="1">
      <alignment vertical="center"/>
    </xf>
    <xf numFmtId="37" fontId="34" fillId="0" borderId="47" xfId="3" applyNumberFormat="1" applyFont="1" applyFill="1" applyBorder="1" applyAlignment="1" applyProtection="1">
      <alignment horizontal="right" vertical="center"/>
    </xf>
    <xf numFmtId="1" fontId="30" fillId="0" borderId="146" xfId="3" applyNumberFormat="1" applyFont="1" applyFill="1" applyBorder="1" applyAlignment="1" applyProtection="1">
      <alignment horizontal="left" vertical="center"/>
    </xf>
    <xf numFmtId="37" fontId="28" fillId="0" borderId="73" xfId="3" applyNumberFormat="1" applyFont="1" applyFill="1" applyBorder="1" applyAlignment="1" applyProtection="1">
      <alignment horizontal="left" vertical="center"/>
    </xf>
    <xf numFmtId="1" fontId="30" fillId="0" borderId="17" xfId="3" applyNumberFormat="1" applyFont="1" applyBorder="1" applyAlignment="1" applyProtection="1">
      <alignment horizontal="left" vertical="center"/>
    </xf>
    <xf numFmtId="37" fontId="28" fillId="0" borderId="60" xfId="3" applyNumberFormat="1" applyFont="1" applyBorder="1" applyAlignment="1" applyProtection="1">
      <alignment horizontal="left" vertical="center"/>
    </xf>
    <xf numFmtId="37" fontId="30" fillId="0" borderId="60" xfId="3" applyNumberFormat="1" applyFont="1" applyBorder="1" applyAlignment="1" applyProtection="1">
      <alignment horizontal="right" vertical="center"/>
    </xf>
    <xf numFmtId="1" fontId="30" fillId="13" borderId="146" xfId="3" applyNumberFormat="1" applyFont="1" applyFill="1" applyBorder="1" applyAlignment="1" applyProtection="1">
      <alignment horizontal="left" vertical="center"/>
    </xf>
    <xf numFmtId="37" fontId="28" fillId="13" borderId="73" xfId="3" applyNumberFormat="1" applyFont="1" applyFill="1" applyBorder="1" applyAlignment="1" applyProtection="1">
      <alignment horizontal="left" vertical="center"/>
    </xf>
    <xf numFmtId="37" fontId="30" fillId="13" borderId="73" xfId="3" applyNumberFormat="1" applyFont="1" applyFill="1" applyBorder="1" applyAlignment="1" applyProtection="1">
      <alignment horizontal="right" vertical="center"/>
    </xf>
    <xf numFmtId="37" fontId="30" fillId="13" borderId="60" xfId="3" applyNumberFormat="1" applyFont="1" applyFill="1" applyBorder="1" applyAlignment="1" applyProtection="1">
      <alignment horizontal="right" vertical="center"/>
    </xf>
    <xf numFmtId="37" fontId="19" fillId="13" borderId="0" xfId="3" applyFont="1" applyFill="1" applyBorder="1" applyAlignment="1" applyProtection="1">
      <alignment vertical="center"/>
      <protection locked="0"/>
    </xf>
    <xf numFmtId="37" fontId="19" fillId="13" borderId="0" xfId="3" applyFont="1" applyFill="1" applyAlignment="1" applyProtection="1">
      <alignment vertical="center"/>
      <protection locked="0"/>
    </xf>
    <xf numFmtId="37" fontId="28" fillId="0" borderId="74" xfId="3" quotePrefix="1" applyNumberFormat="1" applyFont="1" applyBorder="1" applyAlignment="1" applyProtection="1">
      <alignment horizontal="left" vertical="center"/>
    </xf>
    <xf numFmtId="37" fontId="30" fillId="9" borderId="76" xfId="3" applyNumberFormat="1" applyFont="1" applyFill="1" applyBorder="1" applyAlignment="1" applyProtection="1">
      <alignment horizontal="right" vertical="center"/>
      <protection locked="0"/>
    </xf>
    <xf numFmtId="37" fontId="30" fillId="2" borderId="74" xfId="3" applyNumberFormat="1" applyFont="1" applyFill="1" applyBorder="1" applyAlignment="1" applyProtection="1">
      <alignment vertical="center"/>
    </xf>
    <xf numFmtId="37" fontId="30" fillId="2" borderId="74" xfId="3" applyNumberFormat="1" applyFont="1" applyFill="1" applyBorder="1" applyAlignment="1" applyProtection="1">
      <alignment horizontal="right" vertical="center"/>
    </xf>
    <xf numFmtId="1" fontId="30" fillId="13" borderId="76" xfId="3" quotePrefix="1" applyNumberFormat="1" applyFont="1" applyFill="1" applyBorder="1" applyAlignment="1" applyProtection="1">
      <alignment horizontal="left" vertical="center"/>
    </xf>
    <xf numFmtId="37" fontId="28" fillId="13" borderId="78" xfId="3" applyNumberFormat="1" applyFont="1" applyFill="1" applyBorder="1" applyAlignment="1" applyProtection="1">
      <alignment horizontal="left" vertical="center"/>
    </xf>
    <xf numFmtId="37" fontId="30" fillId="13" borderId="78" xfId="3" applyNumberFormat="1" applyFont="1" applyFill="1" applyBorder="1" applyAlignment="1" applyProtection="1">
      <alignment horizontal="right" vertical="center"/>
    </xf>
    <xf numFmtId="0" fontId="28" fillId="0" borderId="0" xfId="15" applyProtection="1">
      <protection locked="0"/>
    </xf>
    <xf numFmtId="37" fontId="30" fillId="0" borderId="73" xfId="3" applyFont="1" applyFill="1" applyBorder="1" applyAlignment="1" applyProtection="1">
      <alignment horizontal="right" vertical="center"/>
      <protection hidden="1"/>
    </xf>
    <xf numFmtId="9" fontId="28" fillId="0" borderId="0" xfId="5" applyFont="1" applyFill="1" applyBorder="1" applyAlignment="1" applyProtection="1">
      <alignment vertical="center"/>
      <protection hidden="1"/>
    </xf>
    <xf numFmtId="37" fontId="30" fillId="0" borderId="73" xfId="3" applyFont="1" applyFill="1" applyBorder="1" applyAlignment="1" applyProtection="1">
      <alignment horizontal="right" vertical="center"/>
    </xf>
    <xf numFmtId="37" fontId="30" fillId="0" borderId="74" xfId="3" applyFont="1" applyFill="1" applyBorder="1" applyAlignment="1" applyProtection="1">
      <alignment horizontal="right" vertical="center"/>
      <protection hidden="1"/>
    </xf>
    <xf numFmtId="37" fontId="30" fillId="0" borderId="74" xfId="3" applyFont="1" applyFill="1" applyBorder="1" applyAlignment="1" applyProtection="1">
      <alignment horizontal="right" vertical="center"/>
    </xf>
    <xf numFmtId="37" fontId="30" fillId="0" borderId="78" xfId="3" applyNumberFormat="1" applyFont="1" applyBorder="1" applyAlignment="1" applyProtection="1">
      <alignment horizontal="right" vertical="center"/>
      <protection hidden="1"/>
    </xf>
    <xf numFmtId="37" fontId="30" fillId="0" borderId="78" xfId="3" applyFont="1" applyFill="1" applyBorder="1" applyAlignment="1" applyProtection="1">
      <alignment horizontal="right" vertical="center"/>
    </xf>
    <xf numFmtId="37" fontId="30" fillId="10" borderId="59" xfId="3" applyNumberFormat="1" applyFont="1" applyFill="1" applyBorder="1" applyAlignment="1" applyProtection="1">
      <alignment horizontal="left" vertical="center"/>
    </xf>
    <xf numFmtId="37" fontId="30" fillId="10" borderId="59" xfId="3" applyFont="1" applyFill="1" applyBorder="1" applyAlignment="1" applyProtection="1">
      <alignment horizontal="right" vertical="center"/>
    </xf>
    <xf numFmtId="37" fontId="30" fillId="10" borderId="60" xfId="3" applyFont="1" applyFill="1" applyBorder="1" applyAlignment="1" applyProtection="1">
      <alignment horizontal="right" vertical="center"/>
    </xf>
    <xf numFmtId="1" fontId="30" fillId="0" borderId="0" xfId="3" applyNumberFormat="1" applyFont="1" applyFill="1" applyBorder="1" applyAlignment="1" applyProtection="1">
      <alignment horizontal="left" vertical="center"/>
    </xf>
    <xf numFmtId="37" fontId="30" fillId="7" borderId="47" xfId="3" applyFont="1" applyFill="1" applyBorder="1" applyAlignment="1" applyProtection="1">
      <alignment horizontal="right" vertical="center"/>
    </xf>
    <xf numFmtId="37" fontId="30" fillId="7" borderId="60" xfId="3" applyFont="1" applyFill="1" applyBorder="1" applyAlignment="1" applyProtection="1">
      <alignment horizontal="right" vertical="center"/>
    </xf>
    <xf numFmtId="37" fontId="30" fillId="7" borderId="61" xfId="3" applyFont="1" applyFill="1" applyBorder="1" applyAlignment="1" applyProtection="1">
      <alignment horizontal="right" vertical="center"/>
    </xf>
    <xf numFmtId="37" fontId="30" fillId="0" borderId="0" xfId="3" applyNumberFormat="1" applyFont="1" applyBorder="1" applyAlignment="1" applyProtection="1">
      <alignment horizontal="left" vertical="center"/>
    </xf>
    <xf numFmtId="37" fontId="98" fillId="0" borderId="0" xfId="3" applyFont="1" applyBorder="1" applyAlignment="1" applyProtection="1">
      <alignment vertical="center"/>
      <protection locked="0"/>
    </xf>
    <xf numFmtId="37" fontId="19" fillId="0" borderId="12" xfId="3" applyFont="1" applyBorder="1" applyAlignment="1" applyProtection="1">
      <alignment vertical="center"/>
      <protection locked="0"/>
    </xf>
    <xf numFmtId="37" fontId="19" fillId="0" borderId="16" xfId="3" applyFont="1" applyBorder="1" applyAlignment="1" applyProtection="1">
      <alignment vertical="center"/>
      <protection locked="0"/>
    </xf>
    <xf numFmtId="37" fontId="31" fillId="0" borderId="0" xfId="3" applyFont="1" applyFill="1" applyBorder="1" applyAlignment="1" applyProtection="1">
      <alignment horizontal="left" vertical="center"/>
      <protection locked="0"/>
    </xf>
    <xf numFmtId="37" fontId="28" fillId="0" borderId="47" xfId="3" applyNumberFormat="1" applyFont="1" applyFill="1" applyBorder="1" applyAlignment="1" applyProtection="1">
      <alignment horizontal="left" vertical="center"/>
    </xf>
    <xf numFmtId="37" fontId="30" fillId="9" borderId="47" xfId="3" applyNumberFormat="1" applyFont="1" applyFill="1" applyBorder="1" applyAlignment="1" applyProtection="1">
      <alignment vertical="center"/>
      <protection locked="0"/>
    </xf>
    <xf numFmtId="37" fontId="30" fillId="9" borderId="0" xfId="3" applyNumberFormat="1" applyFont="1" applyFill="1" applyBorder="1" applyAlignment="1" applyProtection="1">
      <alignment vertical="center"/>
      <protection locked="0"/>
    </xf>
    <xf numFmtId="9" fontId="28" fillId="0" borderId="0" xfId="3" applyNumberFormat="1" applyFont="1" applyFill="1" applyBorder="1" applyAlignment="1" applyProtection="1">
      <alignment horizontal="center" vertical="center"/>
    </xf>
    <xf numFmtId="37" fontId="19" fillId="0" borderId="12" xfId="3" applyFont="1" applyFill="1" applyBorder="1" applyAlignment="1" applyProtection="1">
      <alignment vertical="center"/>
      <protection locked="0"/>
    </xf>
    <xf numFmtId="37" fontId="30" fillId="0" borderId="0" xfId="3" quotePrefix="1" applyNumberFormat="1" applyFont="1" applyFill="1" applyBorder="1" applyAlignment="1" applyProtection="1">
      <alignment horizontal="left" vertical="center"/>
    </xf>
    <xf numFmtId="37" fontId="19" fillId="0" borderId="147" xfId="3" applyFont="1" applyFill="1" applyBorder="1" applyAlignment="1" applyProtection="1">
      <alignment vertical="center"/>
      <protection locked="0"/>
    </xf>
    <xf numFmtId="37" fontId="30" fillId="0" borderId="0" xfId="3" applyNumberFormat="1" applyFont="1" applyFill="1" applyBorder="1" applyAlignment="1" applyProtection="1">
      <alignment horizontal="left" vertical="center"/>
    </xf>
    <xf numFmtId="185" fontId="30" fillId="0" borderId="0" xfId="16" applyFont="1" applyFill="1" applyBorder="1" applyAlignment="1" applyProtection="1">
      <alignment vertical="center"/>
      <protection locked="0"/>
    </xf>
    <xf numFmtId="37" fontId="30" fillId="0" borderId="59" xfId="3" applyFont="1" applyFill="1" applyBorder="1" applyAlignment="1" applyProtection="1">
      <alignment vertical="center"/>
      <protection locked="0"/>
    </xf>
    <xf numFmtId="37" fontId="30" fillId="0" borderId="17" xfId="3" applyFont="1" applyFill="1" applyBorder="1" applyAlignment="1" applyProtection="1">
      <alignment horizontal="centerContinuous" vertical="center"/>
      <protection locked="0"/>
    </xf>
    <xf numFmtId="37" fontId="28" fillId="0" borderId="18" xfId="3" applyFont="1" applyFill="1" applyBorder="1" applyAlignment="1" applyProtection="1">
      <alignment horizontal="centerContinuous" vertical="center"/>
      <protection locked="0"/>
    </xf>
    <xf numFmtId="37" fontId="28" fillId="0" borderId="0" xfId="3" applyFont="1" applyFill="1" applyBorder="1" applyAlignment="1" applyProtection="1">
      <alignment horizontal="center" vertical="center"/>
      <protection locked="0"/>
    </xf>
    <xf numFmtId="37" fontId="30" fillId="0" borderId="60" xfId="3" applyFont="1" applyFill="1" applyBorder="1" applyAlignment="1" applyProtection="1">
      <alignment vertical="center"/>
      <protection locked="0"/>
    </xf>
    <xf numFmtId="10" fontId="30" fillId="9" borderId="47" xfId="3" applyNumberFormat="1" applyFont="1" applyFill="1" applyBorder="1" applyAlignment="1" applyProtection="1">
      <alignment horizontal="right" vertical="center"/>
      <protection locked="0"/>
    </xf>
    <xf numFmtId="37" fontId="19" fillId="0" borderId="0" xfId="3" applyFont="1" applyBorder="1" applyAlignment="1" applyProtection="1">
      <alignment vertical="center"/>
    </xf>
    <xf numFmtId="37" fontId="19" fillId="0" borderId="60" xfId="3" applyFont="1" applyBorder="1" applyAlignment="1" applyProtection="1">
      <alignment vertical="center"/>
      <protection locked="0"/>
    </xf>
    <xf numFmtId="37" fontId="31" fillId="14" borderId="0" xfId="3" applyFont="1" applyFill="1" applyBorder="1" applyAlignment="1" applyProtection="1">
      <alignment horizontal="left" vertical="center"/>
      <protection locked="0"/>
    </xf>
    <xf numFmtId="37" fontId="20" fillId="14" borderId="47" xfId="3" applyFont="1" applyFill="1" applyBorder="1" applyAlignment="1" applyProtection="1">
      <alignment horizontal="left" vertical="center"/>
    </xf>
    <xf numFmtId="37" fontId="30" fillId="7" borderId="47" xfId="3" applyNumberFormat="1" applyFont="1" applyFill="1" applyBorder="1" applyAlignment="1" applyProtection="1">
      <alignment horizontal="center" vertical="center"/>
    </xf>
    <xf numFmtId="37" fontId="30" fillId="7" borderId="60" xfId="3" applyNumberFormat="1" applyFont="1" applyFill="1" applyBorder="1" applyAlignment="1" applyProtection="1">
      <alignment horizontal="center" vertical="center"/>
    </xf>
    <xf numFmtId="37" fontId="19" fillId="14" borderId="0" xfId="3" applyFont="1" applyFill="1" applyAlignment="1" applyProtection="1">
      <alignment vertical="center"/>
      <protection locked="0"/>
    </xf>
    <xf numFmtId="37" fontId="19" fillId="14" borderId="0" xfId="3" applyFont="1" applyFill="1" applyBorder="1" applyAlignment="1" applyProtection="1">
      <alignment vertical="center"/>
      <protection locked="0"/>
    </xf>
    <xf numFmtId="37" fontId="28" fillId="0" borderId="146" xfId="3" quotePrefix="1" applyNumberFormat="1" applyFont="1" applyFill="1" applyBorder="1" applyAlignment="1" applyProtection="1">
      <alignment horizontal="left" vertical="center"/>
    </xf>
    <xf numFmtId="37" fontId="30" fillId="0" borderId="60" xfId="3" applyNumberFormat="1" applyFont="1" applyFill="1" applyBorder="1" applyAlignment="1" applyProtection="1">
      <alignment vertical="center"/>
    </xf>
    <xf numFmtId="37" fontId="30" fillId="9" borderId="146" xfId="3" applyNumberFormat="1" applyFont="1" applyFill="1" applyBorder="1" applyAlignment="1" applyProtection="1">
      <alignment vertical="center"/>
      <protection locked="0"/>
    </xf>
    <xf numFmtId="37" fontId="28" fillId="0" borderId="74" xfId="3" quotePrefix="1" applyNumberFormat="1" applyFont="1" applyFill="1" applyBorder="1" applyAlignment="1" applyProtection="1">
      <alignment horizontal="left" vertical="center"/>
    </xf>
    <xf numFmtId="37" fontId="30" fillId="0" borderId="74" xfId="3" applyNumberFormat="1" applyFont="1" applyFill="1" applyBorder="1" applyAlignment="1" applyProtection="1">
      <alignment vertical="center"/>
    </xf>
    <xf numFmtId="37" fontId="30" fillId="9" borderId="74" xfId="3" applyNumberFormat="1" applyFont="1" applyFill="1" applyBorder="1" applyAlignment="1" applyProtection="1">
      <alignment vertical="center"/>
      <protection locked="0"/>
    </xf>
    <xf numFmtId="37" fontId="30" fillId="0" borderId="74" xfId="3" applyFont="1" applyFill="1" applyBorder="1" applyAlignment="1" applyProtection="1">
      <alignment vertical="center"/>
    </xf>
    <xf numFmtId="37" fontId="30" fillId="0" borderId="60" xfId="3" applyFont="1" applyFill="1" applyBorder="1" applyAlignment="1" applyProtection="1">
      <alignment vertical="center"/>
    </xf>
    <xf numFmtId="37" fontId="30" fillId="9" borderId="74" xfId="3" applyFont="1" applyFill="1" applyBorder="1" applyAlignment="1" applyProtection="1">
      <alignment vertical="center"/>
      <protection locked="0"/>
    </xf>
    <xf numFmtId="37" fontId="28" fillId="0" borderId="76" xfId="3" applyNumberFormat="1" applyFont="1" applyFill="1" applyBorder="1" applyAlignment="1" applyProtection="1">
      <alignment horizontal="left" vertical="center"/>
    </xf>
    <xf numFmtId="37" fontId="30" fillId="0" borderId="76" xfId="3" applyFont="1" applyFill="1" applyBorder="1" applyAlignment="1" applyProtection="1">
      <alignment vertical="center"/>
    </xf>
    <xf numFmtId="37" fontId="31" fillId="7" borderId="47" xfId="3" applyFont="1" applyFill="1" applyBorder="1" applyAlignment="1" applyProtection="1">
      <alignment vertical="center"/>
    </xf>
    <xf numFmtId="37" fontId="31" fillId="7" borderId="47" xfId="3" applyNumberFormat="1" applyFont="1" applyFill="1" applyBorder="1" applyAlignment="1" applyProtection="1">
      <alignment vertical="center"/>
    </xf>
    <xf numFmtId="37" fontId="31" fillId="7" borderId="60" xfId="3" applyNumberFormat="1" applyFont="1" applyFill="1" applyBorder="1" applyAlignment="1" applyProtection="1">
      <alignment vertical="center"/>
    </xf>
    <xf numFmtId="37" fontId="28" fillId="0" borderId="59" xfId="3" applyFont="1" applyFill="1" applyBorder="1" applyAlignment="1" applyProtection="1">
      <alignment vertical="center"/>
    </xf>
    <xf numFmtId="37" fontId="28" fillId="0" borderId="59" xfId="3" applyNumberFormat="1" applyFont="1" applyFill="1" applyBorder="1" applyAlignment="1" applyProtection="1">
      <alignment vertical="center"/>
    </xf>
    <xf numFmtId="37" fontId="28" fillId="0" borderId="60" xfId="3" applyNumberFormat="1" applyFont="1" applyFill="1" applyBorder="1" applyAlignment="1" applyProtection="1">
      <alignment vertical="center"/>
    </xf>
    <xf numFmtId="37" fontId="29" fillId="0" borderId="47" xfId="3" applyFont="1" applyFill="1" applyBorder="1" applyAlignment="1" applyProtection="1">
      <alignment vertical="center"/>
    </xf>
    <xf numFmtId="37" fontId="29" fillId="0" borderId="47" xfId="3" applyFont="1" applyFill="1" applyBorder="1" applyAlignment="1" applyProtection="1">
      <alignment horizontal="right" vertical="center"/>
    </xf>
    <xf numFmtId="37" fontId="29" fillId="0" borderId="61" xfId="3" applyFont="1" applyFill="1" applyBorder="1" applyAlignment="1" applyProtection="1">
      <alignment horizontal="right" vertical="center"/>
    </xf>
    <xf numFmtId="0" fontId="28" fillId="0" borderId="12" xfId="15" applyFont="1" applyBorder="1" applyAlignment="1" applyProtection="1">
      <alignment vertical="center"/>
      <protection locked="0"/>
    </xf>
    <xf numFmtId="37" fontId="31" fillId="0" borderId="0" xfId="3" applyNumberFormat="1" applyFont="1" applyFill="1" applyBorder="1" applyAlignment="1" applyProtection="1">
      <alignment horizontal="left" vertical="center"/>
    </xf>
    <xf numFmtId="37" fontId="31" fillId="0" borderId="0" xfId="3" applyNumberFormat="1" applyFont="1" applyFill="1" applyBorder="1" applyAlignment="1" applyProtection="1">
      <alignment vertical="center"/>
      <protection locked="0"/>
    </xf>
    <xf numFmtId="37" fontId="31" fillId="0" borderId="12" xfId="3" applyNumberFormat="1" applyFont="1" applyFill="1" applyBorder="1" applyAlignment="1" applyProtection="1">
      <alignment vertical="center"/>
      <protection locked="0"/>
    </xf>
    <xf numFmtId="37" fontId="31" fillId="0" borderId="0" xfId="3" applyNumberFormat="1" applyFont="1" applyFill="1" applyBorder="1" applyAlignment="1" applyProtection="1">
      <alignment horizontal="center" vertical="center"/>
      <protection locked="0"/>
    </xf>
    <xf numFmtId="37" fontId="19" fillId="0" borderId="0" xfId="3" applyFont="1" applyFill="1" applyBorder="1" applyAlignment="1" applyProtection="1">
      <alignment vertical="center"/>
    </xf>
    <xf numFmtId="37" fontId="20" fillId="0" borderId="0" xfId="15" applyNumberFormat="1" applyFont="1" applyFill="1" applyBorder="1" applyAlignment="1" applyProtection="1"/>
    <xf numFmtId="37" fontId="30" fillId="0" borderId="12" xfId="3" applyFont="1" applyFill="1" applyBorder="1" applyAlignment="1" applyProtection="1">
      <alignment vertical="center"/>
      <protection locked="0"/>
    </xf>
    <xf numFmtId="37" fontId="19" fillId="0" borderId="29" xfId="3" applyFont="1" applyFill="1" applyBorder="1" applyAlignment="1" applyProtection="1">
      <alignment vertical="center"/>
      <protection locked="0"/>
    </xf>
    <xf numFmtId="14" fontId="30" fillId="0" borderId="0" xfId="3" applyNumberFormat="1" applyFont="1" applyFill="1" applyBorder="1" applyAlignment="1" applyProtection="1">
      <alignment horizontal="left" vertical="center"/>
    </xf>
    <xf numFmtId="37" fontId="99" fillId="0" borderId="0" xfId="3" applyFont="1" applyFill="1" applyBorder="1" applyAlignment="1" applyProtection="1">
      <alignment vertical="center"/>
      <protection locked="0"/>
    </xf>
    <xf numFmtId="37" fontId="99" fillId="0" borderId="59" xfId="3" applyFont="1" applyFill="1" applyBorder="1" applyAlignment="1" applyProtection="1">
      <alignment vertical="center"/>
      <protection locked="0"/>
    </xf>
    <xf numFmtId="37" fontId="30" fillId="0" borderId="47" xfId="3" applyFont="1" applyFill="1" applyBorder="1" applyAlignment="1" applyProtection="1">
      <alignment horizontal="center" vertical="center"/>
    </xf>
    <xf numFmtId="37" fontId="20" fillId="15" borderId="17" xfId="3" applyNumberFormat="1" applyFont="1" applyFill="1" applyBorder="1" applyAlignment="1" applyProtection="1">
      <alignment horizontal="left" vertical="center"/>
    </xf>
    <xf numFmtId="37" fontId="100" fillId="16" borderId="47" xfId="3" applyNumberFormat="1" applyFont="1" applyFill="1" applyBorder="1" applyAlignment="1" applyProtection="1">
      <alignment horizontal="center" vertical="center"/>
    </xf>
    <xf numFmtId="37" fontId="100" fillId="16" borderId="60" xfId="3" applyNumberFormat="1" applyFont="1" applyFill="1" applyBorder="1" applyAlignment="1" applyProtection="1">
      <alignment horizontal="center" vertical="center"/>
    </xf>
    <xf numFmtId="37" fontId="100" fillId="16" borderId="61" xfId="3" applyNumberFormat="1" applyFont="1" applyFill="1" applyBorder="1" applyAlignment="1" applyProtection="1">
      <alignment horizontal="center" vertical="center"/>
    </xf>
    <xf numFmtId="37" fontId="20" fillId="15" borderId="14" xfId="3" applyNumberFormat="1" applyFont="1" applyFill="1" applyBorder="1" applyAlignment="1" applyProtection="1">
      <alignment horizontal="left" vertical="center"/>
    </xf>
    <xf numFmtId="3" fontId="30" fillId="0" borderId="86" xfId="3" applyNumberFormat="1" applyFont="1" applyFill="1" applyBorder="1" applyAlignment="1" applyProtection="1">
      <alignment horizontal="left" vertical="center"/>
      <protection locked="0"/>
    </xf>
    <xf numFmtId="37" fontId="99" fillId="0" borderId="86" xfId="3" applyNumberFormat="1" applyFont="1" applyFill="1" applyBorder="1" applyAlignment="1" applyProtection="1">
      <alignment horizontal="left" vertical="center"/>
    </xf>
    <xf numFmtId="37" fontId="99" fillId="0" borderId="146" xfId="3" applyNumberFormat="1" applyFont="1" applyFill="1" applyBorder="1" applyAlignment="1" applyProtection="1">
      <alignment vertical="center"/>
    </xf>
    <xf numFmtId="37" fontId="99" fillId="0" borderId="60" xfId="3" applyNumberFormat="1" applyFont="1" applyFill="1" applyBorder="1" applyAlignment="1" applyProtection="1">
      <alignment vertical="center"/>
    </xf>
    <xf numFmtId="37" fontId="99" fillId="0" borderId="146" xfId="3" applyNumberFormat="1" applyFont="1" applyFill="1" applyBorder="1" applyAlignment="1" applyProtection="1">
      <alignment horizontal="right" vertical="center"/>
    </xf>
    <xf numFmtId="3" fontId="30" fillId="0" borderId="116" xfId="3" applyNumberFormat="1" applyFont="1" applyFill="1" applyBorder="1" applyAlignment="1" applyProtection="1">
      <alignment horizontal="left" vertical="center"/>
      <protection locked="0"/>
    </xf>
    <xf numFmtId="37" fontId="99" fillId="0" borderId="116" xfId="3" quotePrefix="1" applyNumberFormat="1" applyFont="1" applyFill="1" applyBorder="1" applyAlignment="1" applyProtection="1">
      <alignment horizontal="left" vertical="center"/>
    </xf>
    <xf numFmtId="37" fontId="99" fillId="0" borderId="76" xfId="3" applyNumberFormat="1" applyFont="1" applyFill="1" applyBorder="1" applyAlignment="1" applyProtection="1">
      <alignment vertical="center"/>
    </xf>
    <xf numFmtId="37" fontId="99" fillId="0" borderId="76" xfId="3" applyNumberFormat="1" applyFont="1" applyFill="1" applyBorder="1" applyAlignment="1" applyProtection="1">
      <alignment horizontal="right" vertical="center"/>
    </xf>
    <xf numFmtId="37" fontId="101" fillId="0" borderId="0" xfId="3" applyFont="1" applyFill="1" applyBorder="1" applyAlignment="1" applyProtection="1">
      <alignment horizontal="left" vertical="center"/>
      <protection locked="0"/>
    </xf>
    <xf numFmtId="37" fontId="102" fillId="17" borderId="17" xfId="3" applyNumberFormat="1" applyFont="1" applyFill="1" applyBorder="1" applyAlignment="1" applyProtection="1">
      <alignment horizontal="center" vertical="center"/>
    </xf>
    <xf numFmtId="37" fontId="102" fillId="17" borderId="47" xfId="3" applyNumberFormat="1" applyFont="1" applyFill="1" applyBorder="1" applyAlignment="1" applyProtection="1">
      <alignment vertical="center"/>
    </xf>
    <xf numFmtId="37" fontId="102" fillId="17" borderId="60" xfId="3" applyNumberFormat="1" applyFont="1" applyFill="1" applyBorder="1" applyAlignment="1" applyProtection="1">
      <alignment vertical="center"/>
    </xf>
    <xf numFmtId="0" fontId="103" fillId="0" borderId="0" xfId="15" applyFont="1" applyFill="1" applyBorder="1" applyAlignment="1" applyProtection="1">
      <alignment vertical="center"/>
      <protection locked="0"/>
    </xf>
    <xf numFmtId="37" fontId="102" fillId="17" borderId="47" xfId="3" applyNumberFormat="1" applyFont="1" applyFill="1" applyBorder="1" applyAlignment="1" applyProtection="1">
      <alignment horizontal="right" vertical="center"/>
    </xf>
    <xf numFmtId="37" fontId="101" fillId="0" borderId="0" xfId="3" applyFont="1" applyFill="1" applyAlignment="1" applyProtection="1">
      <alignment vertical="center"/>
      <protection locked="0"/>
    </xf>
    <xf numFmtId="37" fontId="99" fillId="0" borderId="86" xfId="3" quotePrefix="1" applyNumberFormat="1" applyFont="1" applyFill="1" applyBorder="1" applyAlignment="1" applyProtection="1">
      <alignment horizontal="left" vertical="center"/>
    </xf>
    <xf numFmtId="37" fontId="99" fillId="0" borderId="60" xfId="3" applyNumberFormat="1" applyFont="1" applyFill="1" applyBorder="1" applyAlignment="1" applyProtection="1">
      <alignment horizontal="right" vertical="center"/>
    </xf>
    <xf numFmtId="37" fontId="99" fillId="0" borderId="116" xfId="3" applyNumberFormat="1" applyFont="1" applyFill="1" applyBorder="1" applyAlignment="1" applyProtection="1">
      <alignment horizontal="left" vertical="center"/>
    </xf>
    <xf numFmtId="37" fontId="99" fillId="0" borderId="0" xfId="15" applyNumberFormat="1" applyFont="1" applyFill="1" applyBorder="1" applyAlignment="1" applyProtection="1">
      <alignment vertical="center"/>
      <protection locked="0"/>
    </xf>
    <xf numFmtId="37" fontId="99" fillId="0" borderId="0" xfId="3" applyFont="1" applyFill="1" applyAlignment="1" applyProtection="1">
      <alignment vertical="center"/>
      <protection locked="0"/>
    </xf>
    <xf numFmtId="37" fontId="100" fillId="0" borderId="0" xfId="3" applyFont="1" applyFill="1" applyBorder="1" applyAlignment="1" applyProtection="1">
      <alignment horizontal="left" vertical="center"/>
      <protection locked="0"/>
    </xf>
    <xf numFmtId="37" fontId="100" fillId="16" borderId="17" xfId="3" applyNumberFormat="1" applyFont="1" applyFill="1" applyBorder="1" applyAlignment="1" applyProtection="1">
      <alignment horizontal="left" vertical="center"/>
    </xf>
    <xf numFmtId="37" fontId="100" fillId="16" borderId="47" xfId="3" applyNumberFormat="1" applyFont="1" applyFill="1" applyBorder="1" applyAlignment="1" applyProtection="1">
      <alignment horizontal="right" vertical="center"/>
    </xf>
    <xf numFmtId="37" fontId="100" fillId="16" borderId="60" xfId="3" applyNumberFormat="1" applyFont="1" applyFill="1" applyBorder="1" applyAlignment="1" applyProtection="1">
      <alignment horizontal="right" vertical="center"/>
    </xf>
    <xf numFmtId="0" fontId="99" fillId="0" borderId="0" xfId="15" applyFont="1" applyFill="1" applyBorder="1" applyAlignment="1" applyProtection="1">
      <alignment vertical="center"/>
      <protection locked="0"/>
    </xf>
    <xf numFmtId="3" fontId="30" fillId="0" borderId="89" xfId="3" applyNumberFormat="1" applyFont="1" applyFill="1" applyBorder="1" applyAlignment="1" applyProtection="1">
      <alignment horizontal="left" vertical="center"/>
      <protection locked="0"/>
    </xf>
    <xf numFmtId="37" fontId="99" fillId="0" borderId="89" xfId="3" quotePrefix="1" applyNumberFormat="1" applyFont="1" applyFill="1" applyBorder="1" applyAlignment="1" applyProtection="1">
      <alignment horizontal="left" vertical="center"/>
    </xf>
    <xf numFmtId="37" fontId="99" fillId="0" borderId="74" xfId="3" applyNumberFormat="1" applyFont="1" applyFill="1" applyBorder="1" applyAlignment="1" applyProtection="1">
      <alignment vertical="center"/>
    </xf>
    <xf numFmtId="37" fontId="99" fillId="0" borderId="74" xfId="3" applyNumberFormat="1" applyFont="1" applyFill="1" applyBorder="1" applyAlignment="1" applyProtection="1">
      <alignment horizontal="right" vertical="center"/>
    </xf>
    <xf numFmtId="3" fontId="30" fillId="0" borderId="89" xfId="3" quotePrefix="1" applyNumberFormat="1" applyFont="1" applyFill="1" applyBorder="1" applyAlignment="1" applyProtection="1">
      <alignment horizontal="left" vertical="center"/>
      <protection locked="0"/>
    </xf>
    <xf numFmtId="37" fontId="104" fillId="0" borderId="89" xfId="3" quotePrefix="1" applyNumberFormat="1" applyFont="1" applyFill="1" applyBorder="1" applyAlignment="1" applyProtection="1">
      <alignment horizontal="left" vertical="center"/>
    </xf>
    <xf numFmtId="37" fontId="104" fillId="0" borderId="74" xfId="3" applyNumberFormat="1" applyFont="1" applyFill="1" applyBorder="1" applyAlignment="1" applyProtection="1">
      <alignment vertical="center"/>
    </xf>
    <xf numFmtId="37" fontId="104" fillId="0" borderId="60" xfId="3" applyNumberFormat="1" applyFont="1" applyFill="1" applyBorder="1" applyAlignment="1" applyProtection="1">
      <alignment vertical="center"/>
    </xf>
    <xf numFmtId="37" fontId="105" fillId="0" borderId="0" xfId="15" applyNumberFormat="1" applyFont="1" applyFill="1" applyBorder="1" applyAlignment="1" applyProtection="1">
      <alignment vertical="center"/>
      <protection locked="0"/>
    </xf>
    <xf numFmtId="37" fontId="104" fillId="0" borderId="74" xfId="3" applyNumberFormat="1" applyFont="1" applyFill="1" applyBorder="1" applyAlignment="1" applyProtection="1">
      <alignment horizontal="right" vertical="center"/>
    </xf>
    <xf numFmtId="37" fontId="106" fillId="0" borderId="0" xfId="3" applyFont="1" applyFill="1" applyAlignment="1" applyProtection="1">
      <alignment vertical="center"/>
      <protection locked="0"/>
    </xf>
    <xf numFmtId="0" fontId="105" fillId="0" borderId="0" xfId="15" applyFont="1" applyFill="1" applyBorder="1" applyAlignment="1" applyProtection="1">
      <alignment vertical="center"/>
      <protection locked="0"/>
    </xf>
    <xf numFmtId="37" fontId="107" fillId="0" borderId="116" xfId="3" quotePrefix="1" applyNumberFormat="1" applyFont="1" applyFill="1" applyBorder="1" applyAlignment="1" applyProtection="1">
      <alignment horizontal="left" vertical="center"/>
    </xf>
    <xf numFmtId="37" fontId="107" fillId="0" borderId="76" xfId="3" applyNumberFormat="1" applyFont="1" applyFill="1" applyBorder="1" applyAlignment="1" applyProtection="1">
      <alignment vertical="center"/>
    </xf>
    <xf numFmtId="37" fontId="107" fillId="0" borderId="60" xfId="3" applyNumberFormat="1" applyFont="1" applyFill="1" applyBorder="1" applyAlignment="1" applyProtection="1">
      <alignment vertical="center"/>
    </xf>
    <xf numFmtId="37" fontId="103" fillId="0" borderId="0" xfId="15" applyNumberFormat="1" applyFont="1" applyFill="1" applyBorder="1" applyAlignment="1" applyProtection="1">
      <alignment vertical="center"/>
      <protection locked="0"/>
    </xf>
    <xf numFmtId="37" fontId="107" fillId="0" borderId="76" xfId="3" applyNumberFormat="1" applyFont="1" applyFill="1" applyBorder="1" applyAlignment="1" applyProtection="1">
      <alignment horizontal="right" vertical="center"/>
    </xf>
    <xf numFmtId="37" fontId="108" fillId="0" borderId="0" xfId="3" applyFont="1" applyFill="1" applyBorder="1" applyAlignment="1" applyProtection="1">
      <alignment horizontal="left" vertical="center"/>
      <protection locked="0"/>
    </xf>
    <xf numFmtId="37" fontId="100" fillId="16" borderId="47" xfId="3" applyNumberFormat="1" applyFont="1" applyFill="1" applyBorder="1" applyAlignment="1" applyProtection="1">
      <alignment vertical="center"/>
    </xf>
    <xf numFmtId="37" fontId="100" fillId="16" borderId="60" xfId="3" applyNumberFormat="1" applyFont="1" applyFill="1" applyBorder="1" applyAlignment="1" applyProtection="1">
      <alignment vertical="center"/>
    </xf>
    <xf numFmtId="0" fontId="109" fillId="0" borderId="0" xfId="15" applyFont="1" applyFill="1" applyBorder="1" applyAlignment="1" applyProtection="1">
      <alignment vertical="center"/>
      <protection locked="0"/>
    </xf>
    <xf numFmtId="37" fontId="108" fillId="0" borderId="0" xfId="3" applyFont="1" applyFill="1" applyAlignment="1" applyProtection="1">
      <alignment vertical="center"/>
      <protection locked="0"/>
    </xf>
    <xf numFmtId="37" fontId="100" fillId="18" borderId="17" xfId="3" applyNumberFormat="1" applyFont="1" applyFill="1" applyBorder="1" applyAlignment="1" applyProtection="1">
      <alignment horizontal="left" vertical="center"/>
    </xf>
    <xf numFmtId="37" fontId="100" fillId="18" borderId="47" xfId="3" applyNumberFormat="1" applyFont="1" applyFill="1" applyBorder="1" applyAlignment="1" applyProtection="1">
      <alignment vertical="center"/>
    </xf>
    <xf numFmtId="37" fontId="100" fillId="18" borderId="60" xfId="3" applyNumberFormat="1" applyFont="1" applyFill="1" applyBorder="1" applyAlignment="1" applyProtection="1">
      <alignment vertical="center"/>
    </xf>
    <xf numFmtId="37" fontId="100" fillId="18" borderId="47" xfId="3" applyNumberFormat="1" applyFont="1" applyFill="1" applyBorder="1" applyAlignment="1" applyProtection="1">
      <alignment horizontal="right" vertical="center"/>
    </xf>
    <xf numFmtId="3" fontId="30" fillId="0" borderId="86" xfId="3" quotePrefix="1" applyNumberFormat="1" applyFont="1" applyFill="1" applyBorder="1" applyAlignment="1" applyProtection="1">
      <alignment horizontal="left" vertical="center"/>
      <protection locked="0"/>
    </xf>
    <xf numFmtId="37" fontId="104" fillId="0" borderId="86" xfId="3" quotePrefix="1" applyFont="1" applyFill="1" applyBorder="1" applyAlignment="1" applyProtection="1">
      <alignment vertical="center"/>
    </xf>
    <xf numFmtId="37" fontId="99" fillId="0" borderId="146" xfId="3" applyFont="1" applyFill="1" applyBorder="1" applyAlignment="1" applyProtection="1">
      <alignment horizontal="right" vertical="center"/>
    </xf>
    <xf numFmtId="37" fontId="99" fillId="0" borderId="60" xfId="3" applyFont="1" applyFill="1" applyBorder="1" applyAlignment="1" applyProtection="1">
      <alignment horizontal="right" vertical="center"/>
    </xf>
    <xf numFmtId="37" fontId="99" fillId="0" borderId="146" xfId="15" applyNumberFormat="1" applyFont="1" applyFill="1" applyBorder="1" applyAlignment="1" applyProtection="1">
      <alignment horizontal="right" vertical="center"/>
    </xf>
    <xf numFmtId="37" fontId="104" fillId="0" borderId="89" xfId="3" quotePrefix="1" applyFont="1" applyFill="1" applyBorder="1" applyAlignment="1" applyProtection="1">
      <alignment vertical="center"/>
    </xf>
    <xf numFmtId="37" fontId="99" fillId="0" borderId="74" xfId="3" applyFont="1" applyFill="1" applyBorder="1" applyAlignment="1" applyProtection="1">
      <alignment horizontal="right" vertical="center"/>
    </xf>
    <xf numFmtId="37" fontId="99" fillId="0" borderId="74" xfId="15" applyNumberFormat="1" applyFont="1" applyFill="1" applyBorder="1" applyAlignment="1" applyProtection="1">
      <alignment horizontal="right" vertical="center"/>
    </xf>
    <xf numFmtId="37" fontId="107" fillId="0" borderId="60" xfId="3" applyNumberFormat="1" applyFont="1" applyFill="1" applyBorder="1" applyAlignment="1" applyProtection="1">
      <alignment horizontal="right" vertical="center"/>
    </xf>
    <xf numFmtId="0" fontId="107" fillId="0" borderId="0" xfId="15" applyFont="1" applyFill="1" applyBorder="1" applyAlignment="1" applyProtection="1">
      <alignment vertical="center"/>
      <protection locked="0"/>
    </xf>
    <xf numFmtId="37" fontId="107" fillId="0" borderId="0" xfId="3" applyFont="1" applyFill="1" applyAlignment="1" applyProtection="1">
      <alignment vertical="center"/>
      <protection locked="0"/>
    </xf>
    <xf numFmtId="37" fontId="110" fillId="0" borderId="0" xfId="3" applyFont="1" applyFill="1" applyBorder="1" applyAlignment="1" applyProtection="1">
      <alignment horizontal="left" vertical="center"/>
      <protection locked="0"/>
    </xf>
    <xf numFmtId="37" fontId="100" fillId="18" borderId="60" xfId="3" applyNumberFormat="1" applyFont="1" applyFill="1" applyBorder="1" applyAlignment="1" applyProtection="1">
      <alignment horizontal="right" vertical="center"/>
    </xf>
    <xf numFmtId="0" fontId="110" fillId="0" borderId="0" xfId="15" applyFont="1" applyFill="1" applyBorder="1" applyAlignment="1" applyProtection="1">
      <alignment vertical="center"/>
      <protection locked="0"/>
    </xf>
    <xf numFmtId="37" fontId="110" fillId="0" borderId="0" xfId="3" applyFont="1" applyFill="1" applyAlignment="1" applyProtection="1">
      <alignment vertical="center"/>
      <protection locked="0"/>
    </xf>
    <xf numFmtId="37" fontId="104" fillId="0" borderId="89" xfId="3" applyNumberFormat="1" applyFont="1" applyFill="1" applyBorder="1" applyAlignment="1" applyProtection="1">
      <alignment horizontal="left" vertical="center"/>
    </xf>
    <xf numFmtId="37" fontId="107" fillId="0" borderId="74" xfId="3" applyNumberFormat="1" applyFont="1" applyFill="1" applyBorder="1" applyAlignment="1" applyProtection="1">
      <alignment horizontal="right" vertical="center"/>
    </xf>
    <xf numFmtId="37" fontId="107" fillId="0" borderId="89" xfId="3" quotePrefix="1" applyNumberFormat="1" applyFont="1" applyFill="1" applyBorder="1" applyAlignment="1" applyProtection="1">
      <alignment horizontal="left" vertical="center"/>
    </xf>
    <xf numFmtId="37" fontId="107" fillId="0" borderId="74" xfId="3" applyNumberFormat="1" applyFont="1" applyFill="1" applyBorder="1" applyAlignment="1" applyProtection="1">
      <alignment vertical="center"/>
    </xf>
    <xf numFmtId="49" fontId="104" fillId="0" borderId="89" xfId="3" applyNumberFormat="1" applyFont="1" applyFill="1" applyBorder="1" applyAlignment="1" applyProtection="1">
      <alignment horizontal="left" vertical="center"/>
    </xf>
    <xf numFmtId="37" fontId="104" fillId="0" borderId="60" xfId="3" applyNumberFormat="1" applyFont="1" applyFill="1" applyBorder="1" applyAlignment="1" applyProtection="1">
      <alignment horizontal="right" vertical="center"/>
    </xf>
    <xf numFmtId="3" fontId="30" fillId="0" borderId="99" xfId="3" quotePrefix="1" applyNumberFormat="1" applyFont="1" applyFill="1" applyBorder="1" applyAlignment="1" applyProtection="1">
      <alignment horizontal="left" vertical="center"/>
      <protection locked="0"/>
    </xf>
    <xf numFmtId="49" fontId="104" fillId="0" borderId="89" xfId="3" quotePrefix="1" applyNumberFormat="1" applyFont="1" applyFill="1" applyBorder="1" applyAlignment="1" applyProtection="1">
      <alignment horizontal="left" vertical="center"/>
    </xf>
    <xf numFmtId="49" fontId="107" fillId="0" borderId="116" xfId="3" quotePrefix="1" applyNumberFormat="1" applyFont="1" applyFill="1" applyBorder="1" applyAlignment="1" applyProtection="1">
      <alignment horizontal="left" vertical="center"/>
    </xf>
    <xf numFmtId="37" fontId="31" fillId="0" borderId="19" xfId="3" applyFont="1" applyFill="1" applyBorder="1" applyAlignment="1" applyProtection="1">
      <alignment horizontal="left" vertical="center"/>
      <protection locked="0"/>
    </xf>
    <xf numFmtId="0" fontId="104" fillId="0" borderId="0" xfId="15" applyFont="1" applyFill="1" applyBorder="1" applyAlignment="1" applyProtection="1">
      <alignment vertical="center"/>
      <protection locked="0"/>
    </xf>
    <xf numFmtId="37" fontId="104" fillId="0" borderId="0" xfId="3" applyFont="1" applyFill="1" applyAlignment="1" applyProtection="1">
      <alignment vertical="center"/>
      <protection locked="0"/>
    </xf>
    <xf numFmtId="37" fontId="100" fillId="15" borderId="17" xfId="3" applyNumberFormat="1" applyFont="1" applyFill="1" applyBorder="1" applyAlignment="1" applyProtection="1">
      <alignment horizontal="left" vertical="center"/>
    </xf>
    <xf numFmtId="37" fontId="100" fillId="15" borderId="47" xfId="3" applyNumberFormat="1" applyFont="1" applyFill="1" applyBorder="1" applyAlignment="1" applyProtection="1">
      <alignment vertical="center"/>
    </xf>
    <xf numFmtId="37" fontId="100" fillId="15" borderId="60" xfId="3" applyNumberFormat="1" applyFont="1" applyFill="1" applyBorder="1" applyAlignment="1" applyProtection="1">
      <alignment vertical="center"/>
    </xf>
    <xf numFmtId="37" fontId="100" fillId="15" borderId="47" xfId="3" applyNumberFormat="1" applyFont="1" applyFill="1" applyBorder="1" applyAlignment="1" applyProtection="1">
      <alignment horizontal="right" vertical="center"/>
    </xf>
    <xf numFmtId="3" fontId="30" fillId="0" borderId="17" xfId="3" quotePrefix="1" applyNumberFormat="1" applyFont="1" applyFill="1" applyBorder="1" applyAlignment="1" applyProtection="1">
      <alignment horizontal="left" vertical="center"/>
      <protection locked="0"/>
    </xf>
    <xf numFmtId="37" fontId="104" fillId="0" borderId="86" xfId="3" quotePrefix="1" applyNumberFormat="1" applyFont="1" applyFill="1" applyBorder="1" applyAlignment="1" applyProtection="1">
      <alignment horizontal="left" vertical="center"/>
    </xf>
    <xf numFmtId="37" fontId="104" fillId="0" borderId="146" xfId="3" applyNumberFormat="1" applyFont="1" applyFill="1" applyBorder="1" applyAlignment="1" applyProtection="1">
      <alignment horizontal="right" vertical="center"/>
    </xf>
    <xf numFmtId="49" fontId="100" fillId="16" borderId="17" xfId="3" applyNumberFormat="1" applyFont="1" applyFill="1" applyBorder="1" applyAlignment="1" applyProtection="1">
      <alignment horizontal="left" vertical="center"/>
    </xf>
    <xf numFmtId="37" fontId="29" fillId="0" borderId="17" xfId="3" applyNumberFormat="1" applyFont="1" applyFill="1" applyBorder="1" applyAlignment="1" applyProtection="1">
      <alignment horizontal="left" vertical="center"/>
    </xf>
    <xf numFmtId="37" fontId="29" fillId="0" borderId="47" xfId="3" applyNumberFormat="1" applyFont="1" applyFill="1" applyBorder="1" applyAlignment="1" applyProtection="1">
      <alignment vertical="center"/>
    </xf>
    <xf numFmtId="37" fontId="29" fillId="0" borderId="61" xfId="3" applyNumberFormat="1" applyFont="1" applyFill="1" applyBorder="1" applyAlignment="1" applyProtection="1">
      <alignment vertical="center"/>
    </xf>
    <xf numFmtId="37" fontId="29" fillId="0" borderId="47" xfId="3" applyNumberFormat="1" applyFont="1" applyFill="1" applyBorder="1" applyAlignment="1" applyProtection="1">
      <alignment horizontal="right" vertical="center"/>
    </xf>
    <xf numFmtId="0" fontId="30" fillId="0" borderId="0" xfId="15" applyFont="1" applyFill="1" applyBorder="1" applyAlignment="1" applyProtection="1">
      <alignment horizontal="left" vertical="center"/>
      <protection locked="0"/>
    </xf>
    <xf numFmtId="37" fontId="30" fillId="0" borderId="0" xfId="15" quotePrefix="1" applyNumberFormat="1" applyFont="1" applyFill="1" applyBorder="1" applyAlignment="1" applyProtection="1"/>
    <xf numFmtId="37" fontId="28" fillId="0" borderId="0" xfId="15" applyNumberFormat="1" applyFont="1" applyFill="1" applyBorder="1" applyAlignment="1" applyProtection="1">
      <alignment vertical="center"/>
      <protection locked="0"/>
    </xf>
    <xf numFmtId="0" fontId="28" fillId="0" borderId="12" xfId="15" applyFont="1" applyFill="1" applyBorder="1" applyAlignment="1" applyProtection="1">
      <alignment vertical="center"/>
      <protection locked="0"/>
    </xf>
    <xf numFmtId="0" fontId="28" fillId="0" borderId="0" xfId="15" applyFont="1" applyFill="1" applyBorder="1" applyAlignment="1" applyProtection="1">
      <alignment horizontal="center" vertical="center"/>
      <protection locked="0"/>
    </xf>
    <xf numFmtId="0" fontId="28" fillId="0" borderId="16" xfId="15" applyFont="1" applyFill="1" applyBorder="1" applyAlignment="1" applyProtection="1">
      <alignment vertical="center"/>
      <protection locked="0"/>
    </xf>
    <xf numFmtId="0" fontId="28" fillId="0" borderId="0" xfId="15" applyFont="1" applyFill="1" applyAlignment="1" applyProtection="1">
      <alignment vertical="center"/>
      <protection locked="0"/>
    </xf>
    <xf numFmtId="37" fontId="30" fillId="0" borderId="0" xfId="15" quotePrefix="1" applyNumberFormat="1" applyFont="1" applyFill="1" applyBorder="1" applyAlignment="1" applyProtection="1">
      <alignment vertical="center"/>
    </xf>
    <xf numFmtId="37" fontId="30" fillId="0" borderId="0" xfId="15" applyNumberFormat="1" applyFont="1" applyFill="1" applyBorder="1" applyAlignment="1" applyProtection="1">
      <alignment horizontal="center" vertical="center"/>
    </xf>
    <xf numFmtId="37" fontId="28" fillId="0" borderId="0" xfId="15" applyNumberFormat="1" applyFont="1" applyFill="1" applyBorder="1" applyAlignment="1" applyProtection="1">
      <alignment horizontal="center" vertical="center"/>
    </xf>
    <xf numFmtId="0" fontId="28" fillId="0" borderId="29" xfId="15" applyFont="1" applyFill="1" applyBorder="1" applyAlignment="1" applyProtection="1">
      <alignment vertical="center"/>
      <protection locked="0"/>
    </xf>
    <xf numFmtId="37" fontId="111" fillId="0" borderId="0" xfId="3" applyFont="1" applyFill="1" applyBorder="1" applyAlignment="1" applyProtection="1">
      <alignment vertical="center"/>
      <protection locked="0"/>
    </xf>
    <xf numFmtId="37" fontId="111" fillId="0" borderId="59" xfId="3" applyFont="1" applyFill="1" applyBorder="1" applyAlignment="1" applyProtection="1">
      <alignment vertical="center"/>
      <protection locked="0"/>
    </xf>
    <xf numFmtId="37" fontId="31" fillId="19" borderId="0" xfId="3" applyFont="1" applyFill="1" applyBorder="1" applyAlignment="1" applyProtection="1">
      <alignment horizontal="left" vertical="center"/>
      <protection locked="0"/>
    </xf>
    <xf numFmtId="37" fontId="16" fillId="16" borderId="59" xfId="3" applyFont="1" applyFill="1" applyBorder="1" applyAlignment="1" applyProtection="1">
      <alignment horizontal="left" vertical="center"/>
    </xf>
    <xf numFmtId="37" fontId="30" fillId="16" borderId="59" xfId="3" applyNumberFormat="1" applyFont="1" applyFill="1" applyBorder="1" applyAlignment="1" applyProtection="1">
      <alignment horizontal="center" vertical="center"/>
    </xf>
    <xf numFmtId="37" fontId="30" fillId="16" borderId="60" xfId="3" applyNumberFormat="1" applyFont="1" applyFill="1" applyBorder="1" applyAlignment="1" applyProtection="1">
      <alignment horizontal="center" vertical="center"/>
    </xf>
    <xf numFmtId="37" fontId="19" fillId="19" borderId="0" xfId="3" applyFont="1" applyFill="1" applyAlignment="1" applyProtection="1">
      <alignment vertical="center"/>
      <protection locked="0"/>
    </xf>
    <xf numFmtId="37" fontId="30" fillId="0" borderId="146" xfId="3" applyNumberFormat="1" applyFont="1" applyFill="1" applyBorder="1" applyAlignment="1" applyProtection="1">
      <alignment horizontal="left" vertical="center"/>
    </xf>
    <xf numFmtId="37" fontId="28" fillId="0" borderId="146" xfId="3" applyNumberFormat="1" applyFont="1" applyFill="1" applyBorder="1" applyAlignment="1" applyProtection="1">
      <alignment vertical="center"/>
    </xf>
    <xf numFmtId="37" fontId="28" fillId="0" borderId="146" xfId="3" applyNumberFormat="1" applyFont="1" applyFill="1" applyBorder="1" applyAlignment="1" applyProtection="1">
      <alignment horizontal="right" vertical="center"/>
    </xf>
    <xf numFmtId="37" fontId="30" fillId="0" borderId="76" xfId="3" applyNumberFormat="1" applyFont="1" applyFill="1" applyBorder="1" applyAlignment="1" applyProtection="1">
      <alignment horizontal="left" vertical="center"/>
    </xf>
    <xf numFmtId="37" fontId="28" fillId="0" borderId="76" xfId="3" applyNumberFormat="1" applyFont="1" applyFill="1" applyBorder="1" applyAlignment="1" applyProtection="1">
      <alignment vertical="center"/>
    </xf>
    <xf numFmtId="37" fontId="28" fillId="0" borderId="76" xfId="3" applyNumberFormat="1" applyFont="1" applyFill="1" applyBorder="1" applyAlignment="1" applyProtection="1">
      <alignment horizontal="right" vertical="center"/>
    </xf>
    <xf numFmtId="37" fontId="30" fillId="16" borderId="60" xfId="3" applyNumberFormat="1" applyFont="1" applyFill="1" applyBorder="1" applyAlignment="1" applyProtection="1">
      <alignment horizontal="left" vertical="center"/>
    </xf>
    <xf numFmtId="37" fontId="28" fillId="16" borderId="60" xfId="3" applyNumberFormat="1" applyFont="1" applyFill="1" applyBorder="1" applyAlignment="1" applyProtection="1">
      <alignment vertical="center"/>
    </xf>
    <xf numFmtId="37" fontId="28" fillId="16" borderId="60" xfId="3" applyNumberFormat="1" applyFont="1" applyFill="1" applyBorder="1" applyAlignment="1" applyProtection="1">
      <alignment horizontal="right" vertical="center"/>
    </xf>
    <xf numFmtId="37" fontId="30" fillId="0" borderId="74" xfId="3" applyNumberFormat="1" applyFont="1" applyFill="1" applyBorder="1" applyAlignment="1" applyProtection="1">
      <alignment horizontal="left" vertical="center"/>
    </xf>
    <xf numFmtId="37" fontId="28" fillId="0" borderId="74" xfId="3" applyNumberFormat="1" applyFont="1" applyFill="1" applyBorder="1" applyAlignment="1" applyProtection="1">
      <alignment vertical="center"/>
    </xf>
    <xf numFmtId="37" fontId="28" fillId="0" borderId="74" xfId="3" applyNumberFormat="1" applyFont="1" applyFill="1" applyBorder="1" applyAlignment="1" applyProtection="1">
      <alignment horizontal="right" vertical="center"/>
    </xf>
    <xf numFmtId="37" fontId="30" fillId="0" borderId="78" xfId="3" applyNumberFormat="1" applyFont="1" applyFill="1" applyBorder="1" applyAlignment="1" applyProtection="1">
      <alignment horizontal="left" vertical="center"/>
    </xf>
    <xf numFmtId="37" fontId="28" fillId="0" borderId="78" xfId="3" applyNumberFormat="1" applyFont="1" applyFill="1" applyBorder="1" applyAlignment="1" applyProtection="1">
      <alignment vertical="center"/>
    </xf>
    <xf numFmtId="37" fontId="28" fillId="0" borderId="78" xfId="3" applyNumberFormat="1" applyFont="1" applyFill="1" applyBorder="1" applyAlignment="1" applyProtection="1">
      <alignment horizontal="right" vertical="center"/>
    </xf>
    <xf numFmtId="0" fontId="30" fillId="19" borderId="0" xfId="15" applyFont="1" applyFill="1" applyBorder="1" applyAlignment="1" applyProtection="1">
      <alignment horizontal="left" vertical="center"/>
      <protection locked="0"/>
    </xf>
    <xf numFmtId="37" fontId="28" fillId="0" borderId="60" xfId="3" applyNumberFormat="1" applyFont="1" applyFill="1" applyBorder="1" applyAlignment="1" applyProtection="1">
      <alignment horizontal="right" vertical="center"/>
    </xf>
    <xf numFmtId="0" fontId="28" fillId="19" borderId="0" xfId="15" applyFont="1" applyFill="1" applyAlignment="1" applyProtection="1">
      <alignment vertical="center"/>
      <protection locked="0"/>
    </xf>
    <xf numFmtId="37" fontId="30" fillId="16" borderId="47" xfId="3" applyNumberFormat="1" applyFont="1" applyFill="1" applyBorder="1" applyAlignment="1" applyProtection="1">
      <alignment horizontal="left" vertical="center"/>
    </xf>
    <xf numFmtId="37" fontId="28" fillId="16" borderId="47" xfId="15" applyNumberFormat="1" applyFont="1" applyFill="1" applyBorder="1" applyAlignment="1" applyProtection="1">
      <alignment vertical="center"/>
    </xf>
    <xf numFmtId="37" fontId="28" fillId="16" borderId="60" xfId="15" applyNumberFormat="1" applyFont="1" applyFill="1" applyBorder="1" applyAlignment="1" applyProtection="1">
      <alignment vertical="center"/>
    </xf>
    <xf numFmtId="37" fontId="28" fillId="16" borderId="47" xfId="15" applyNumberFormat="1" applyFont="1" applyFill="1" applyBorder="1" applyAlignment="1" applyProtection="1">
      <alignment horizontal="right" vertical="center"/>
    </xf>
    <xf numFmtId="37" fontId="30" fillId="0" borderId="61" xfId="3" applyNumberFormat="1" applyFont="1" applyFill="1" applyBorder="1" applyAlignment="1" applyProtection="1">
      <alignment horizontal="left" vertical="center"/>
    </xf>
    <xf numFmtId="37" fontId="28" fillId="0" borderId="61" xfId="3" applyNumberFormat="1" applyFont="1" applyFill="1" applyBorder="1" applyAlignment="1" applyProtection="1">
      <alignment vertical="center"/>
    </xf>
    <xf numFmtId="37" fontId="28" fillId="0" borderId="61" xfId="3" applyNumberFormat="1" applyFont="1" applyFill="1" applyBorder="1" applyAlignment="1" applyProtection="1">
      <alignment horizontal="right" vertical="center"/>
    </xf>
    <xf numFmtId="37" fontId="30" fillId="16" borderId="148" xfId="3" applyNumberFormat="1" applyFont="1" applyFill="1" applyBorder="1" applyAlignment="1" applyProtection="1">
      <alignment horizontal="left" vertical="center"/>
    </xf>
    <xf numFmtId="37" fontId="28" fillId="16" borderId="148" xfId="3" applyNumberFormat="1" applyFont="1" applyFill="1" applyBorder="1" applyAlignment="1" applyProtection="1">
      <alignment vertical="center"/>
    </xf>
    <xf numFmtId="37" fontId="28" fillId="16" borderId="148" xfId="3" applyNumberFormat="1" applyFont="1" applyFill="1" applyBorder="1" applyAlignment="1" applyProtection="1">
      <alignment horizontal="right" vertical="center"/>
    </xf>
    <xf numFmtId="37" fontId="28" fillId="12" borderId="74" xfId="3" applyFont="1" applyFill="1" applyBorder="1" applyAlignment="1" applyProtection="1">
      <alignment vertical="center"/>
    </xf>
    <xf numFmtId="37" fontId="28" fillId="12" borderId="60" xfId="3" applyFont="1" applyFill="1" applyBorder="1" applyAlignment="1" applyProtection="1">
      <alignment vertical="center"/>
    </xf>
    <xf numFmtId="37" fontId="28" fillId="0" borderId="74" xfId="3" applyFont="1" applyFill="1" applyBorder="1" applyAlignment="1" applyProtection="1">
      <alignment horizontal="right" vertical="center"/>
    </xf>
    <xf numFmtId="37" fontId="31" fillId="0" borderId="149" xfId="3" applyFont="1" applyBorder="1" applyAlignment="1" applyProtection="1">
      <alignment horizontal="left" vertical="center"/>
      <protection locked="0"/>
    </xf>
    <xf numFmtId="37" fontId="19" fillId="0" borderId="149" xfId="3" applyFont="1" applyBorder="1" applyAlignment="1" applyProtection="1">
      <alignment vertical="center"/>
    </xf>
    <xf numFmtId="37" fontId="31" fillId="0" borderId="149" xfId="3" quotePrefix="1" applyFont="1" applyFill="1" applyBorder="1" applyAlignment="1" applyProtection="1">
      <alignment vertical="center"/>
      <protection locked="0"/>
    </xf>
    <xf numFmtId="37" fontId="29" fillId="0" borderId="150" xfId="3" quotePrefix="1" applyFont="1" applyFill="1" applyBorder="1" applyAlignment="1" applyProtection="1">
      <alignment vertical="center"/>
      <protection locked="0"/>
    </xf>
    <xf numFmtId="37" fontId="31" fillId="0" borderId="149" xfId="3" quotePrefix="1" applyFont="1" applyFill="1" applyBorder="1" applyAlignment="1" applyProtection="1">
      <alignment horizontal="center" vertical="center"/>
      <protection locked="0"/>
    </xf>
    <xf numFmtId="37" fontId="19" fillId="0" borderId="149" xfId="3" applyFont="1" applyBorder="1" applyAlignment="1" applyProtection="1">
      <alignment vertical="center"/>
      <protection locked="0"/>
    </xf>
    <xf numFmtId="37" fontId="31" fillId="13" borderId="0" xfId="3" applyFont="1" applyFill="1" applyBorder="1" applyAlignment="1" applyProtection="1">
      <alignment horizontal="right" vertical="center"/>
      <protection locked="0"/>
    </xf>
    <xf numFmtId="37" fontId="19" fillId="0" borderId="151" xfId="3" applyFont="1" applyBorder="1" applyAlignment="1" applyProtection="1">
      <alignment vertical="center"/>
      <protection locked="0"/>
    </xf>
    <xf numFmtId="37" fontId="31" fillId="13" borderId="0" xfId="3" applyFont="1" applyFill="1" applyBorder="1" applyAlignment="1" applyProtection="1">
      <alignment horizontal="center" vertical="center"/>
      <protection locked="0"/>
    </xf>
    <xf numFmtId="37" fontId="19" fillId="13" borderId="0" xfId="3" applyFont="1" applyFill="1" applyBorder="1" applyAlignment="1" applyProtection="1">
      <alignment horizontal="center" vertical="center"/>
      <protection locked="0"/>
    </xf>
    <xf numFmtId="37" fontId="19" fillId="0" borderId="151" xfId="3" applyFont="1" applyFill="1" applyBorder="1" applyAlignment="1" applyProtection="1">
      <alignment vertical="center"/>
      <protection locked="0"/>
    </xf>
    <xf numFmtId="37" fontId="19" fillId="0" borderId="0" xfId="3" quotePrefix="1" applyFont="1" applyBorder="1" applyAlignment="1" applyProtection="1">
      <alignment vertical="center"/>
      <protection locked="0"/>
    </xf>
    <xf numFmtId="0" fontId="28" fillId="0" borderId="0" xfId="15" applyFill="1" applyProtection="1">
      <protection locked="0"/>
    </xf>
    <xf numFmtId="37" fontId="112" fillId="0" borderId="0" xfId="3" applyFont="1" applyFill="1" applyBorder="1" applyAlignment="1" applyProtection="1">
      <alignment vertical="center"/>
      <protection locked="0"/>
    </xf>
    <xf numFmtId="37" fontId="19" fillId="0" borderId="29" xfId="3" applyFont="1" applyBorder="1" applyAlignment="1" applyProtection="1">
      <alignment vertical="center"/>
      <protection locked="0"/>
    </xf>
    <xf numFmtId="14" fontId="30" fillId="0" borderId="0" xfId="3" applyNumberFormat="1" applyFont="1" applyBorder="1" applyAlignment="1" applyProtection="1">
      <alignment vertical="center"/>
      <protection locked="0"/>
    </xf>
    <xf numFmtId="37" fontId="113" fillId="0" borderId="47" xfId="3" applyNumberFormat="1" applyFont="1" applyBorder="1" applyAlignment="1" applyProtection="1">
      <alignment horizontal="center" vertical="center"/>
      <protection locked="0"/>
    </xf>
    <xf numFmtId="37" fontId="83" fillId="0" borderId="0" xfId="3" applyFont="1" applyBorder="1" applyAlignment="1" applyProtection="1">
      <alignment vertical="center"/>
      <protection locked="0"/>
    </xf>
    <xf numFmtId="37" fontId="20" fillId="0" borderId="19" xfId="3" applyFont="1" applyBorder="1" applyAlignment="1" applyProtection="1">
      <alignment horizontal="center" vertical="center"/>
      <protection locked="0"/>
    </xf>
    <xf numFmtId="37" fontId="20" fillId="0" borderId="152" xfId="3" applyFont="1" applyBorder="1" applyAlignment="1" applyProtection="1">
      <alignment horizontal="center" vertical="center"/>
      <protection locked="0"/>
    </xf>
    <xf numFmtId="37" fontId="20" fillId="0" borderId="153" xfId="3" applyFont="1" applyBorder="1" applyAlignment="1" applyProtection="1">
      <alignment horizontal="center" vertical="center"/>
      <protection locked="0"/>
    </xf>
    <xf numFmtId="37" fontId="30" fillId="0" borderId="146" xfId="3" applyNumberFormat="1" applyFont="1" applyBorder="1" applyAlignment="1" applyProtection="1">
      <alignment vertical="center"/>
      <protection locked="0"/>
    </xf>
    <xf numFmtId="9" fontId="28" fillId="20" borderId="121" xfId="5" applyFont="1" applyFill="1" applyBorder="1" applyAlignment="1" applyProtection="1">
      <alignment vertical="center"/>
    </xf>
    <xf numFmtId="37" fontId="30" fillId="0" borderId="146" xfId="3" applyNumberFormat="1" applyFont="1" applyBorder="1" applyAlignment="1" applyProtection="1">
      <alignment vertical="center"/>
    </xf>
    <xf numFmtId="9" fontId="28" fillId="0" borderId="87" xfId="5" applyFont="1" applyBorder="1" applyAlignment="1" applyProtection="1">
      <alignment vertical="center"/>
    </xf>
    <xf numFmtId="9" fontId="28" fillId="20" borderId="88" xfId="5" applyFont="1" applyFill="1" applyBorder="1" applyAlignment="1" applyProtection="1">
      <alignment vertical="center"/>
    </xf>
    <xf numFmtId="9" fontId="28" fillId="0" borderId="88" xfId="5" applyFont="1" applyBorder="1" applyAlignment="1" applyProtection="1">
      <alignment vertical="center"/>
    </xf>
    <xf numFmtId="37" fontId="30" fillId="0" borderId="74" xfId="3" applyNumberFormat="1" applyFont="1" applyBorder="1" applyAlignment="1" applyProtection="1">
      <alignment vertical="center"/>
      <protection locked="0"/>
    </xf>
    <xf numFmtId="9" fontId="28" fillId="0" borderId="90" xfId="5" applyFont="1" applyBorder="1" applyAlignment="1" applyProtection="1">
      <alignment vertical="center"/>
    </xf>
    <xf numFmtId="37" fontId="30" fillId="0" borderId="74" xfId="3" applyNumberFormat="1" applyFont="1" applyBorder="1" applyAlignment="1" applyProtection="1">
      <alignment vertical="center"/>
    </xf>
    <xf numFmtId="9" fontId="28" fillId="0" borderId="130" xfId="5" applyFont="1" applyBorder="1" applyAlignment="1" applyProtection="1">
      <alignment vertical="center"/>
    </xf>
    <xf numFmtId="9" fontId="28" fillId="0" borderId="154" xfId="5" applyFont="1" applyBorder="1" applyAlignment="1" applyProtection="1">
      <alignment vertical="center"/>
    </xf>
    <xf numFmtId="38" fontId="30" fillId="0" borderId="74" xfId="15" applyNumberFormat="1" applyFont="1" applyBorder="1" applyAlignment="1" applyProtection="1">
      <alignment vertical="center"/>
    </xf>
    <xf numFmtId="37" fontId="30" fillId="0" borderId="78" xfId="3" applyNumberFormat="1" applyFont="1" applyBorder="1" applyAlignment="1" applyProtection="1">
      <alignment vertical="center"/>
      <protection locked="0"/>
    </xf>
    <xf numFmtId="9" fontId="28" fillId="0" borderId="107" xfId="5" applyFont="1" applyBorder="1" applyAlignment="1" applyProtection="1">
      <alignment vertical="center"/>
    </xf>
    <xf numFmtId="38" fontId="30" fillId="0" borderId="78" xfId="15" applyNumberFormat="1" applyFont="1" applyBorder="1" applyAlignment="1" applyProtection="1">
      <alignment vertical="center"/>
    </xf>
    <xf numFmtId="9" fontId="28" fillId="0" borderId="134" xfId="5" applyFont="1" applyBorder="1" applyAlignment="1" applyProtection="1">
      <alignment vertical="center"/>
    </xf>
    <xf numFmtId="9" fontId="28" fillId="0" borderId="155" xfId="5" applyFont="1" applyBorder="1" applyAlignment="1" applyProtection="1">
      <alignment vertical="center"/>
    </xf>
    <xf numFmtId="37" fontId="30" fillId="7" borderId="47" xfId="3" applyNumberFormat="1" applyFont="1" applyFill="1" applyBorder="1" applyAlignment="1" applyProtection="1">
      <alignment vertical="center"/>
      <protection locked="0"/>
    </xf>
    <xf numFmtId="9" fontId="28" fillId="7" borderId="19" xfId="5" applyFont="1" applyFill="1" applyBorder="1" applyAlignment="1" applyProtection="1">
      <alignment vertical="center"/>
    </xf>
    <xf numFmtId="9" fontId="28" fillId="7" borderId="152" xfId="5" applyFont="1" applyFill="1" applyBorder="1" applyAlignment="1" applyProtection="1">
      <alignment vertical="center"/>
    </xf>
    <xf numFmtId="9" fontId="28" fillId="7" borderId="153" xfId="5" applyFont="1" applyFill="1" applyBorder="1" applyAlignment="1" applyProtection="1">
      <alignment vertical="center"/>
    </xf>
    <xf numFmtId="37" fontId="30" fillId="0" borderId="73" xfId="3" applyNumberFormat="1" applyFont="1" applyBorder="1" applyAlignment="1" applyProtection="1">
      <alignment vertical="center"/>
      <protection locked="0"/>
    </xf>
    <xf numFmtId="9" fontId="28" fillId="0" borderId="100" xfId="5" applyFont="1" applyBorder="1" applyAlignment="1" applyProtection="1">
      <alignment vertical="center"/>
    </xf>
    <xf numFmtId="37" fontId="30" fillId="0" borderId="73" xfId="3" applyNumberFormat="1" applyFont="1" applyBorder="1" applyAlignment="1" applyProtection="1">
      <alignment vertical="center"/>
    </xf>
    <xf numFmtId="9" fontId="28" fillId="0" borderId="20" xfId="5" applyFont="1" applyBorder="1" applyAlignment="1" applyProtection="1">
      <alignment vertical="center"/>
    </xf>
    <xf numFmtId="9" fontId="28" fillId="0" borderId="103" xfId="5" applyFont="1" applyBorder="1" applyAlignment="1" applyProtection="1">
      <alignment vertical="center"/>
    </xf>
    <xf numFmtId="37" fontId="30" fillId="0" borderId="78" xfId="3" applyNumberFormat="1" applyFont="1" applyBorder="1" applyAlignment="1" applyProtection="1">
      <alignment vertical="center"/>
    </xf>
    <xf numFmtId="37" fontId="30" fillId="10" borderId="47" xfId="3" applyNumberFormat="1" applyFont="1" applyFill="1" applyBorder="1" applyAlignment="1" applyProtection="1">
      <alignment vertical="center"/>
      <protection locked="0"/>
    </xf>
    <xf numFmtId="9" fontId="28" fillId="10" borderId="19" xfId="5" applyFont="1" applyFill="1" applyBorder="1" applyAlignment="1" applyProtection="1">
      <alignment vertical="center"/>
    </xf>
    <xf numFmtId="9" fontId="28" fillId="10" borderId="152" xfId="5" applyFont="1" applyFill="1" applyBorder="1" applyAlignment="1" applyProtection="1">
      <alignment vertical="center"/>
    </xf>
    <xf numFmtId="9" fontId="28" fillId="10" borderId="153" xfId="5" applyFont="1" applyFill="1" applyBorder="1" applyAlignment="1" applyProtection="1">
      <alignment vertical="center"/>
    </xf>
    <xf numFmtId="37" fontId="28" fillId="10" borderId="19" xfId="3" applyFont="1" applyFill="1" applyBorder="1" applyAlignment="1" applyProtection="1">
      <alignment vertical="center"/>
    </xf>
    <xf numFmtId="0" fontId="28" fillId="0" borderId="151" xfId="15" applyBorder="1" applyProtection="1">
      <protection locked="0"/>
    </xf>
    <xf numFmtId="37" fontId="30" fillId="0" borderId="74" xfId="3" applyFont="1" applyBorder="1" applyAlignment="1" applyProtection="1">
      <alignment vertical="center"/>
    </xf>
    <xf numFmtId="37" fontId="30" fillId="7" borderId="73" xfId="3" applyNumberFormat="1" applyFont="1" applyFill="1" applyBorder="1" applyAlignment="1" applyProtection="1">
      <alignment vertical="center"/>
      <protection locked="0"/>
    </xf>
    <xf numFmtId="9" fontId="28" fillId="7" borderId="100" xfId="5" applyFont="1" applyFill="1" applyBorder="1" applyAlignment="1" applyProtection="1">
      <alignment vertical="center"/>
    </xf>
    <xf numFmtId="9" fontId="28" fillId="7" borderId="20" xfId="5" applyFont="1" applyFill="1" applyBorder="1" applyAlignment="1" applyProtection="1">
      <alignment vertical="center"/>
    </xf>
    <xf numFmtId="9" fontId="28" fillId="7" borderId="103" xfId="5" applyFont="1" applyFill="1" applyBorder="1" applyAlignment="1" applyProtection="1">
      <alignment vertical="center"/>
    </xf>
    <xf numFmtId="37" fontId="30" fillId="7" borderId="78" xfId="3" applyNumberFormat="1" applyFont="1" applyFill="1" applyBorder="1" applyAlignment="1" applyProtection="1">
      <alignment vertical="center"/>
      <protection locked="0"/>
    </xf>
    <xf numFmtId="9" fontId="28" fillId="7" borderId="107" xfId="5" applyFont="1" applyFill="1" applyBorder="1" applyAlignment="1" applyProtection="1">
      <alignment vertical="center"/>
    </xf>
    <xf numFmtId="9" fontId="28" fillId="7" borderId="134" xfId="5" applyFont="1" applyFill="1" applyBorder="1" applyAlignment="1" applyProtection="1">
      <alignment vertical="center"/>
    </xf>
    <xf numFmtId="9" fontId="28" fillId="7" borderId="155" xfId="5" applyFont="1" applyFill="1" applyBorder="1" applyAlignment="1" applyProtection="1">
      <alignment vertical="center"/>
    </xf>
    <xf numFmtId="37" fontId="34" fillId="0" borderId="47" xfId="3" applyNumberFormat="1" applyFont="1" applyFill="1" applyBorder="1" applyAlignment="1" applyProtection="1">
      <alignment vertical="center"/>
      <protection locked="0"/>
    </xf>
    <xf numFmtId="9" fontId="33" fillId="0" borderId="19" xfId="5" applyFont="1" applyFill="1" applyBorder="1" applyAlignment="1" applyProtection="1">
      <alignment vertical="center"/>
    </xf>
    <xf numFmtId="9" fontId="33" fillId="0" borderId="152" xfId="5" applyFont="1" applyFill="1" applyBorder="1" applyAlignment="1" applyProtection="1">
      <alignment vertical="center"/>
    </xf>
    <xf numFmtId="9" fontId="33" fillId="0" borderId="153" xfId="5" applyFont="1" applyFill="1" applyBorder="1" applyAlignment="1" applyProtection="1">
      <alignment vertical="center"/>
    </xf>
    <xf numFmtId="37" fontId="30" fillId="0" borderId="60" xfId="3" applyNumberFormat="1" applyFont="1" applyBorder="1" applyAlignment="1" applyProtection="1">
      <alignment vertical="center"/>
      <protection locked="0"/>
    </xf>
    <xf numFmtId="9" fontId="28" fillId="0" borderId="0" xfId="5" applyFont="1" applyBorder="1" applyAlignment="1" applyProtection="1">
      <alignment vertical="center"/>
    </xf>
    <xf numFmtId="37" fontId="30" fillId="0" borderId="60" xfId="3" applyNumberFormat="1" applyFont="1" applyBorder="1" applyAlignment="1" applyProtection="1">
      <alignment vertical="center"/>
    </xf>
    <xf numFmtId="9" fontId="28" fillId="0" borderId="97" xfId="5" applyFont="1" applyBorder="1" applyAlignment="1" applyProtection="1">
      <alignment vertical="center"/>
    </xf>
    <xf numFmtId="9" fontId="28" fillId="0" borderId="156" xfId="5" applyFont="1" applyBorder="1" applyAlignment="1" applyProtection="1">
      <alignment vertical="center"/>
    </xf>
    <xf numFmtId="37" fontId="30" fillId="13" borderId="73" xfId="3" applyNumberFormat="1" applyFont="1" applyFill="1" applyBorder="1" applyAlignment="1" applyProtection="1">
      <alignment vertical="center"/>
      <protection locked="0"/>
    </xf>
    <xf numFmtId="9" fontId="28" fillId="13" borderId="100" xfId="5" applyFont="1" applyFill="1" applyBorder="1" applyAlignment="1" applyProtection="1">
      <alignment vertical="center"/>
    </xf>
    <xf numFmtId="37" fontId="30" fillId="13" borderId="73" xfId="3" applyNumberFormat="1" applyFont="1" applyFill="1" applyBorder="1" applyAlignment="1" applyProtection="1">
      <alignment vertical="center"/>
    </xf>
    <xf numFmtId="9" fontId="28" fillId="13" borderId="20" xfId="5" applyFont="1" applyFill="1" applyBorder="1" applyAlignment="1" applyProtection="1">
      <alignment vertical="center"/>
    </xf>
    <xf numFmtId="9" fontId="28" fillId="13" borderId="103" xfId="5" applyFont="1" applyFill="1" applyBorder="1" applyAlignment="1" applyProtection="1">
      <alignment vertical="center"/>
    </xf>
    <xf numFmtId="0" fontId="28" fillId="13" borderId="151" xfId="15" applyFill="1" applyBorder="1" applyProtection="1">
      <protection locked="0"/>
    </xf>
    <xf numFmtId="0" fontId="28" fillId="13" borderId="0" xfId="15" applyFill="1" applyProtection="1">
      <protection locked="0"/>
    </xf>
    <xf numFmtId="9" fontId="28" fillId="0" borderId="130" xfId="5" applyFont="1" applyFill="1" applyBorder="1" applyAlignment="1" applyProtection="1">
      <alignment vertical="center"/>
    </xf>
    <xf numFmtId="9" fontId="28" fillId="0" borderId="154" xfId="5" applyFont="1" applyFill="1" applyBorder="1" applyAlignment="1" applyProtection="1">
      <alignment vertical="center"/>
    </xf>
    <xf numFmtId="37" fontId="30" fillId="0" borderId="74" xfId="3" applyNumberFormat="1" applyFont="1" applyFill="1" applyBorder="1" applyAlignment="1" applyProtection="1">
      <alignment vertical="center"/>
      <protection locked="0"/>
    </xf>
    <xf numFmtId="9" fontId="28" fillId="0" borderId="90" xfId="5" applyFont="1" applyFill="1" applyBorder="1" applyAlignment="1" applyProtection="1">
      <alignment vertical="center"/>
    </xf>
    <xf numFmtId="37" fontId="30" fillId="13" borderId="78" xfId="3" applyNumberFormat="1" applyFont="1" applyFill="1" applyBorder="1" applyAlignment="1" applyProtection="1">
      <alignment vertical="center"/>
      <protection locked="0"/>
    </xf>
    <xf numFmtId="9" fontId="28" fillId="13" borderId="107" xfId="5" applyFont="1" applyFill="1" applyBorder="1" applyAlignment="1" applyProtection="1">
      <alignment vertical="center"/>
    </xf>
    <xf numFmtId="37" fontId="30" fillId="0" borderId="78" xfId="3" applyNumberFormat="1" applyFont="1" applyFill="1" applyBorder="1" applyAlignment="1" applyProtection="1">
      <alignment vertical="center"/>
    </xf>
    <xf numFmtId="9" fontId="28" fillId="13" borderId="134" xfId="5" applyFont="1" applyFill="1" applyBorder="1" applyAlignment="1" applyProtection="1">
      <alignment vertical="center"/>
    </xf>
    <xf numFmtId="9" fontId="28" fillId="13" borderId="155" xfId="5" applyFont="1" applyFill="1" applyBorder="1" applyAlignment="1" applyProtection="1">
      <alignment vertical="center"/>
    </xf>
    <xf numFmtId="37" fontId="30" fillId="0" borderId="47" xfId="3" applyNumberFormat="1" applyFont="1" applyFill="1" applyBorder="1" applyAlignment="1" applyProtection="1">
      <alignment vertical="center"/>
    </xf>
    <xf numFmtId="37" fontId="30" fillId="0" borderId="73" xfId="3" applyFont="1" applyBorder="1" applyAlignment="1" applyProtection="1">
      <alignment vertical="center"/>
      <protection locked="0"/>
    </xf>
    <xf numFmtId="9" fontId="28" fillId="0" borderId="100" xfId="5" applyFont="1" applyBorder="1" applyAlignment="1" applyProtection="1">
      <alignment vertical="center"/>
      <protection locked="0"/>
    </xf>
    <xf numFmtId="9" fontId="28" fillId="0" borderId="20" xfId="5" applyFont="1" applyBorder="1" applyAlignment="1" applyProtection="1">
      <alignment vertical="center"/>
      <protection hidden="1"/>
    </xf>
    <xf numFmtId="9" fontId="28" fillId="0" borderId="103" xfId="5" applyFont="1" applyBorder="1" applyAlignment="1" applyProtection="1">
      <alignment vertical="center"/>
      <protection hidden="1"/>
    </xf>
    <xf numFmtId="37" fontId="30" fillId="0" borderId="73" xfId="3" applyFont="1" applyBorder="1" applyAlignment="1" applyProtection="1">
      <alignment vertical="center"/>
      <protection hidden="1"/>
    </xf>
    <xf numFmtId="37" fontId="30" fillId="0" borderId="74" xfId="3" applyFont="1" applyBorder="1" applyAlignment="1" applyProtection="1">
      <alignment vertical="center"/>
      <protection locked="0"/>
    </xf>
    <xf numFmtId="9" fontId="28" fillId="0" borderId="90" xfId="5" applyFont="1" applyBorder="1" applyAlignment="1" applyProtection="1">
      <alignment vertical="center"/>
      <protection locked="0"/>
    </xf>
    <xf numFmtId="9" fontId="28" fillId="0" borderId="130" xfId="5" applyFont="1" applyBorder="1" applyAlignment="1" applyProtection="1">
      <alignment vertical="center"/>
      <protection hidden="1"/>
    </xf>
    <xf numFmtId="9" fontId="28" fillId="0" borderId="154" xfId="5" applyFont="1" applyBorder="1" applyAlignment="1" applyProtection="1">
      <alignment vertical="center"/>
      <protection hidden="1"/>
    </xf>
    <xf numFmtId="37" fontId="30" fillId="0" borderId="74" xfId="3" applyFont="1" applyBorder="1" applyAlignment="1" applyProtection="1">
      <alignment vertical="center"/>
      <protection hidden="1"/>
    </xf>
    <xf numFmtId="37" fontId="30" fillId="0" borderId="78" xfId="3" applyFont="1" applyBorder="1" applyAlignment="1" applyProtection="1">
      <alignment vertical="center"/>
      <protection locked="0"/>
    </xf>
    <xf numFmtId="37" fontId="30" fillId="0" borderId="78" xfId="3" applyFont="1" applyBorder="1" applyAlignment="1" applyProtection="1">
      <alignment vertical="center"/>
      <protection hidden="1"/>
    </xf>
    <xf numFmtId="37" fontId="30" fillId="10" borderId="59" xfId="3" applyFont="1" applyFill="1" applyBorder="1" applyAlignment="1" applyProtection="1">
      <alignment vertical="center"/>
    </xf>
    <xf numFmtId="9" fontId="28" fillId="10" borderId="90" xfId="5" applyFont="1" applyFill="1" applyBorder="1" applyAlignment="1" applyProtection="1">
      <alignment vertical="center"/>
    </xf>
    <xf numFmtId="9" fontId="28" fillId="10" borderId="130" xfId="5" applyFont="1" applyFill="1" applyBorder="1" applyAlignment="1" applyProtection="1">
      <alignment vertical="center"/>
    </xf>
    <xf numFmtId="9" fontId="28" fillId="10" borderId="103" xfId="5" applyFont="1" applyFill="1" applyBorder="1" applyAlignment="1" applyProtection="1">
      <alignment vertical="center"/>
    </xf>
    <xf numFmtId="9" fontId="28" fillId="10" borderId="130" xfId="5" applyNumberFormat="1" applyFont="1" applyFill="1" applyBorder="1" applyAlignment="1" applyProtection="1">
      <alignment vertical="center"/>
    </xf>
    <xf numFmtId="37" fontId="30" fillId="7" borderId="47" xfId="3" applyFont="1" applyFill="1" applyBorder="1" applyAlignment="1" applyProtection="1">
      <alignment vertical="center"/>
    </xf>
    <xf numFmtId="37" fontId="30" fillId="0" borderId="0" xfId="3" applyFont="1" applyBorder="1" applyAlignment="1" applyProtection="1">
      <alignment vertical="center"/>
      <protection locked="0"/>
    </xf>
    <xf numFmtId="37" fontId="53" fillId="0" borderId="0" xfId="3" applyFont="1" applyBorder="1" applyAlignment="1" applyProtection="1">
      <alignment vertical="center"/>
      <protection locked="0"/>
    </xf>
    <xf numFmtId="37" fontId="53" fillId="0" borderId="0" xfId="3" applyFont="1" applyBorder="1" applyAlignment="1" applyProtection="1">
      <alignment horizontal="center" vertical="center"/>
      <protection locked="0"/>
    </xf>
    <xf numFmtId="0" fontId="114" fillId="0" borderId="0" xfId="15" applyFont="1" applyBorder="1" applyAlignment="1" applyProtection="1">
      <alignment vertical="center"/>
      <protection locked="0"/>
    </xf>
    <xf numFmtId="37" fontId="30" fillId="9" borderId="47" xfId="15" applyNumberFormat="1" applyFont="1" applyFill="1" applyBorder="1" applyAlignment="1" applyProtection="1">
      <alignment vertical="center"/>
      <protection locked="0"/>
    </xf>
    <xf numFmtId="9" fontId="28" fillId="0" borderId="90" xfId="5" applyNumberFormat="1" applyFont="1" applyBorder="1" applyAlignment="1" applyProtection="1">
      <alignment horizontal="center" vertical="center"/>
    </xf>
    <xf numFmtId="9" fontId="28" fillId="0" borderId="130" xfId="5" applyNumberFormat="1" applyFont="1" applyBorder="1" applyAlignment="1" applyProtection="1">
      <alignment horizontal="center" vertical="center"/>
    </xf>
    <xf numFmtId="9" fontId="28" fillId="0" borderId="154" xfId="3" applyNumberFormat="1" applyFont="1" applyFill="1" applyBorder="1" applyAlignment="1" applyProtection="1">
      <alignment horizontal="center" vertical="center"/>
    </xf>
    <xf numFmtId="9" fontId="28" fillId="0" borderId="130" xfId="3" applyNumberFormat="1" applyFont="1" applyFill="1" applyBorder="1" applyAlignment="1" applyProtection="1">
      <alignment horizontal="center" vertical="center"/>
    </xf>
    <xf numFmtId="37" fontId="30" fillId="0" borderId="156" xfId="3" applyNumberFormat="1" applyFont="1" applyFill="1" applyBorder="1" applyAlignment="1" applyProtection="1">
      <alignment vertical="center"/>
      <protection locked="0"/>
    </xf>
    <xf numFmtId="9" fontId="28" fillId="0" borderId="0" xfId="3" applyNumberFormat="1" applyFont="1" applyFill="1" applyBorder="1" applyAlignment="1" applyProtection="1">
      <alignment horizontal="center" vertical="center"/>
      <protection locked="0"/>
    </xf>
    <xf numFmtId="37" fontId="19" fillId="0" borderId="156" xfId="3" applyFont="1" applyFill="1" applyBorder="1" applyAlignment="1" applyProtection="1">
      <alignment vertical="center"/>
      <protection locked="0"/>
    </xf>
    <xf numFmtId="37" fontId="19" fillId="14" borderId="0" xfId="3" applyFont="1" applyFill="1" applyBorder="1" applyAlignment="1" applyProtection="1">
      <alignment horizontal="center" vertical="center"/>
      <protection locked="0"/>
    </xf>
    <xf numFmtId="0" fontId="28" fillId="14" borderId="0" xfId="15" applyFont="1" applyFill="1" applyBorder="1" applyAlignment="1" applyProtection="1">
      <alignment vertical="center"/>
      <protection locked="0"/>
    </xf>
    <xf numFmtId="37" fontId="19" fillId="14" borderId="151" xfId="3" applyFont="1" applyFill="1" applyBorder="1" applyAlignment="1" applyProtection="1">
      <alignment vertical="center"/>
      <protection locked="0"/>
    </xf>
    <xf numFmtId="37" fontId="30" fillId="0" borderId="146" xfId="3" applyNumberFormat="1" applyFont="1" applyFill="1" applyBorder="1" applyAlignment="1" applyProtection="1">
      <alignment vertical="center"/>
      <protection locked="0"/>
    </xf>
    <xf numFmtId="37" fontId="30" fillId="0" borderId="74" xfId="3" applyFont="1" applyFill="1" applyBorder="1" applyAlignment="1" applyProtection="1">
      <alignment vertical="center"/>
      <protection locked="0"/>
    </xf>
    <xf numFmtId="37" fontId="30" fillId="0" borderId="76" xfId="3" applyFont="1" applyFill="1" applyBorder="1" applyAlignment="1" applyProtection="1">
      <alignment vertical="center"/>
      <protection locked="0"/>
    </xf>
    <xf numFmtId="37" fontId="31" fillId="7" borderId="47" xfId="3" applyNumberFormat="1" applyFont="1" applyFill="1" applyBorder="1" applyAlignment="1" applyProtection="1">
      <alignment vertical="center"/>
      <protection locked="0"/>
    </xf>
    <xf numFmtId="37" fontId="28" fillId="0" borderId="59" xfId="3" applyNumberFormat="1" applyFont="1" applyFill="1" applyBorder="1" applyAlignment="1" applyProtection="1">
      <alignment vertical="center"/>
      <protection locked="0"/>
    </xf>
    <xf numFmtId="37" fontId="29" fillId="0" borderId="47" xfId="3" applyFont="1" applyFill="1" applyBorder="1" applyAlignment="1" applyProtection="1">
      <alignment horizontal="right" vertical="center"/>
      <protection locked="0"/>
    </xf>
    <xf numFmtId="37" fontId="31" fillId="0" borderId="0" xfId="3" applyFont="1" applyFill="1" applyBorder="1" applyAlignment="1" applyProtection="1">
      <alignment vertical="center"/>
      <protection locked="0"/>
    </xf>
    <xf numFmtId="37" fontId="112" fillId="0" borderId="0" xfId="3" applyFont="1" applyBorder="1" applyAlignment="1" applyProtection="1">
      <alignment horizontal="center" vertical="center"/>
      <protection locked="0"/>
    </xf>
    <xf numFmtId="37" fontId="112" fillId="16" borderId="18" xfId="3" quotePrefix="1" applyNumberFormat="1" applyFont="1" applyFill="1" applyBorder="1" applyAlignment="1" applyProtection="1">
      <alignment horizontal="center" vertical="center"/>
      <protection locked="0"/>
    </xf>
    <xf numFmtId="37" fontId="115" fillId="16" borderId="15" xfId="3" applyNumberFormat="1" applyFont="1" applyFill="1" applyBorder="1" applyAlignment="1" applyProtection="1">
      <alignment vertical="center"/>
      <protection locked="0"/>
    </xf>
    <xf numFmtId="37" fontId="116" fillId="0" borderId="122" xfId="3" applyNumberFormat="1" applyFont="1" applyFill="1" applyBorder="1" applyAlignment="1" applyProtection="1">
      <alignment vertical="center"/>
      <protection locked="0"/>
    </xf>
    <xf numFmtId="37" fontId="116" fillId="0" borderId="75" xfId="3" applyNumberFormat="1" applyFont="1" applyFill="1" applyBorder="1" applyAlignment="1" applyProtection="1">
      <alignment vertical="center"/>
      <protection locked="0"/>
    </xf>
    <xf numFmtId="37" fontId="117" fillId="17" borderId="18" xfId="3" applyNumberFormat="1" applyFont="1" applyFill="1" applyBorder="1" applyAlignment="1" applyProtection="1">
      <alignment vertical="center"/>
      <protection locked="0"/>
    </xf>
    <xf numFmtId="37" fontId="101" fillId="0" borderId="0" xfId="3" applyFont="1" applyFill="1" applyBorder="1" applyAlignment="1" applyProtection="1">
      <alignment vertical="center"/>
      <protection locked="0"/>
    </xf>
    <xf numFmtId="37" fontId="101" fillId="0" borderId="0" xfId="3" applyFont="1" applyFill="1" applyBorder="1" applyAlignment="1" applyProtection="1">
      <alignment horizontal="center" vertical="center"/>
      <protection locked="0"/>
    </xf>
    <xf numFmtId="37" fontId="101" fillId="0" borderId="151" xfId="3" applyFont="1" applyFill="1" applyBorder="1" applyAlignment="1" applyProtection="1">
      <alignment vertical="center"/>
      <protection locked="0"/>
    </xf>
    <xf numFmtId="37" fontId="99" fillId="0" borderId="122" xfId="3" applyNumberFormat="1" applyFont="1" applyFill="1" applyBorder="1" applyAlignment="1" applyProtection="1">
      <alignment vertical="center"/>
      <protection locked="0"/>
    </xf>
    <xf numFmtId="37" fontId="99" fillId="0" borderId="75" xfId="3" applyFont="1" applyFill="1" applyBorder="1" applyAlignment="1" applyProtection="1">
      <alignment vertical="center"/>
      <protection locked="0"/>
    </xf>
    <xf numFmtId="37" fontId="99" fillId="0" borderId="0" xfId="3" applyFont="1" applyFill="1" applyBorder="1" applyAlignment="1" applyProtection="1">
      <alignment horizontal="center" vertical="center"/>
      <protection locked="0"/>
    </xf>
    <xf numFmtId="37" fontId="99" fillId="0" borderId="151" xfId="3" applyFont="1" applyFill="1" applyBorder="1" applyAlignment="1" applyProtection="1">
      <alignment vertical="center"/>
      <protection locked="0"/>
    </xf>
    <xf numFmtId="37" fontId="100" fillId="16" borderId="18" xfId="3" applyFont="1" applyFill="1" applyBorder="1" applyAlignment="1" applyProtection="1">
      <alignment vertical="center"/>
      <protection locked="0"/>
    </xf>
    <xf numFmtId="37" fontId="99" fillId="0" borderId="122" xfId="3" applyFont="1" applyFill="1" applyBorder="1" applyAlignment="1" applyProtection="1">
      <alignment vertical="center"/>
      <protection locked="0"/>
    </xf>
    <xf numFmtId="37" fontId="99" fillId="0" borderId="79" xfId="3" applyFont="1" applyFill="1" applyBorder="1" applyAlignment="1" applyProtection="1">
      <alignment vertical="center"/>
      <protection locked="0"/>
    </xf>
    <xf numFmtId="37" fontId="104" fillId="0" borderId="79" xfId="3" applyFont="1" applyFill="1" applyBorder="1" applyAlignment="1" applyProtection="1">
      <alignment vertical="center"/>
      <protection locked="0"/>
    </xf>
    <xf numFmtId="37" fontId="106" fillId="0" borderId="0" xfId="3" applyFont="1" applyFill="1" applyBorder="1" applyAlignment="1" applyProtection="1">
      <alignment vertical="center"/>
      <protection locked="0"/>
    </xf>
    <xf numFmtId="37" fontId="106" fillId="0" borderId="0" xfId="3" applyFont="1" applyFill="1" applyBorder="1" applyAlignment="1" applyProtection="1">
      <alignment horizontal="center" vertical="center"/>
      <protection locked="0"/>
    </xf>
    <xf numFmtId="37" fontId="106" fillId="0" borderId="151" xfId="3" applyFont="1" applyFill="1" applyBorder="1" applyAlignment="1" applyProtection="1">
      <alignment vertical="center"/>
      <protection locked="0"/>
    </xf>
    <xf numFmtId="37" fontId="107" fillId="0" borderId="79" xfId="3" applyFont="1" applyFill="1" applyBorder="1" applyAlignment="1" applyProtection="1">
      <alignment vertical="center"/>
      <protection locked="0"/>
    </xf>
    <xf numFmtId="37" fontId="107" fillId="0" borderId="75" xfId="3" applyFont="1" applyFill="1" applyBorder="1" applyAlignment="1" applyProtection="1">
      <alignment vertical="center"/>
      <protection locked="0"/>
    </xf>
    <xf numFmtId="37" fontId="107" fillId="0" borderId="76" xfId="1" applyNumberFormat="1" applyFont="1" applyFill="1" applyBorder="1" applyAlignment="1" applyProtection="1">
      <alignment vertical="center"/>
    </xf>
    <xf numFmtId="37" fontId="108" fillId="0" borderId="0" xfId="3" applyFont="1" applyFill="1" applyBorder="1" applyAlignment="1" applyProtection="1">
      <alignment vertical="center"/>
      <protection locked="0"/>
    </xf>
    <xf numFmtId="37" fontId="100" fillId="16" borderId="47" xfId="1" applyNumberFormat="1" applyFont="1" applyFill="1" applyBorder="1" applyAlignment="1" applyProtection="1">
      <alignment vertical="center"/>
    </xf>
    <xf numFmtId="37" fontId="108" fillId="0" borderId="0" xfId="3" applyFont="1" applyFill="1" applyBorder="1" applyAlignment="1" applyProtection="1">
      <alignment horizontal="center" vertical="center"/>
      <protection locked="0"/>
    </xf>
    <xf numFmtId="37" fontId="108" fillId="0" borderId="151" xfId="3" applyFont="1" applyFill="1" applyBorder="1" applyAlignment="1" applyProtection="1">
      <alignment vertical="center"/>
      <protection locked="0"/>
    </xf>
    <xf numFmtId="37" fontId="99" fillId="18" borderId="18" xfId="3" applyFont="1" applyFill="1" applyBorder="1" applyAlignment="1" applyProtection="1">
      <alignment vertical="center"/>
      <protection locked="0"/>
    </xf>
    <xf numFmtId="37" fontId="99" fillId="0" borderId="0" xfId="3" applyNumberFormat="1" applyFont="1" applyFill="1" applyBorder="1" applyAlignment="1" applyProtection="1">
      <alignment vertical="center"/>
      <protection locked="0"/>
    </xf>
    <xf numFmtId="37" fontId="99" fillId="0" borderId="146" xfId="3" applyFont="1" applyFill="1" applyBorder="1" applyAlignment="1" applyProtection="1">
      <alignment vertical="center"/>
    </xf>
    <xf numFmtId="37" fontId="116" fillId="0" borderId="79" xfId="3" applyFont="1" applyFill="1" applyBorder="1" applyAlignment="1" applyProtection="1">
      <alignment vertical="center"/>
      <protection locked="0"/>
    </xf>
    <xf numFmtId="37" fontId="107" fillId="0" borderId="0" xfId="3" applyFont="1" applyFill="1" applyBorder="1" applyAlignment="1" applyProtection="1">
      <alignment vertical="center"/>
      <protection locked="0"/>
    </xf>
    <xf numFmtId="37" fontId="107" fillId="0" borderId="0" xfId="3" applyFont="1" applyFill="1" applyBorder="1" applyAlignment="1" applyProtection="1">
      <alignment horizontal="center" vertical="center"/>
      <protection locked="0"/>
    </xf>
    <xf numFmtId="37" fontId="107" fillId="0" borderId="151" xfId="3" applyFont="1" applyFill="1" applyBorder="1" applyAlignment="1" applyProtection="1">
      <alignment vertical="center"/>
      <protection locked="0"/>
    </xf>
    <xf numFmtId="37" fontId="100" fillId="18" borderId="18" xfId="3" applyFont="1" applyFill="1" applyBorder="1" applyAlignment="1" applyProtection="1">
      <alignment vertical="center"/>
      <protection locked="0"/>
    </xf>
    <xf numFmtId="37" fontId="110" fillId="0" borderId="0" xfId="3" applyFont="1" applyFill="1" applyBorder="1" applyAlignment="1" applyProtection="1">
      <alignment vertical="center"/>
      <protection locked="0"/>
    </xf>
    <xf numFmtId="37" fontId="110" fillId="0" borderId="0" xfId="3" applyFont="1" applyFill="1" applyBorder="1" applyAlignment="1" applyProtection="1">
      <alignment horizontal="center" vertical="center"/>
      <protection locked="0"/>
    </xf>
    <xf numFmtId="37" fontId="110" fillId="0" borderId="151" xfId="3" applyFont="1" applyFill="1" applyBorder="1" applyAlignment="1" applyProtection="1">
      <alignment vertical="center"/>
      <protection locked="0"/>
    </xf>
    <xf numFmtId="37" fontId="104" fillId="21" borderId="74" xfId="3" applyNumberFormat="1" applyFont="1" applyFill="1" applyBorder="1" applyAlignment="1" applyProtection="1">
      <alignment vertical="center"/>
    </xf>
    <xf numFmtId="37" fontId="118" fillId="0" borderId="79" xfId="3" applyNumberFormat="1" applyFont="1" applyFill="1" applyBorder="1" applyAlignment="1" applyProtection="1">
      <alignment vertical="center"/>
      <protection locked="0"/>
    </xf>
    <xf numFmtId="37" fontId="107" fillId="21" borderId="74" xfId="3" applyNumberFormat="1" applyFont="1" applyFill="1" applyBorder="1" applyAlignment="1" applyProtection="1">
      <alignment vertical="center"/>
    </xf>
    <xf numFmtId="37" fontId="107" fillId="0" borderId="75" xfId="3" applyNumberFormat="1" applyFont="1" applyFill="1" applyBorder="1" applyAlignment="1" applyProtection="1">
      <alignment vertical="center"/>
      <protection locked="0"/>
    </xf>
    <xf numFmtId="37" fontId="99" fillId="16" borderId="18" xfId="3" applyFont="1" applyFill="1" applyBorder="1" applyAlignment="1" applyProtection="1">
      <alignment vertical="center"/>
      <protection locked="0"/>
    </xf>
    <xf numFmtId="37" fontId="99" fillId="21" borderId="146" xfId="3" applyNumberFormat="1" applyFont="1" applyFill="1" applyBorder="1" applyAlignment="1" applyProtection="1">
      <alignment vertical="center"/>
    </xf>
    <xf numFmtId="37" fontId="104" fillId="0" borderId="0" xfId="3" applyFont="1" applyFill="1" applyBorder="1" applyAlignment="1" applyProtection="1">
      <alignment vertical="center"/>
      <protection locked="0"/>
    </xf>
    <xf numFmtId="37" fontId="104" fillId="0" borderId="0" xfId="3" applyFont="1" applyFill="1" applyBorder="1" applyAlignment="1" applyProtection="1">
      <alignment horizontal="center" vertical="center"/>
      <protection locked="0"/>
    </xf>
    <xf numFmtId="37" fontId="104" fillId="0" borderId="151" xfId="3" applyFont="1" applyFill="1" applyBorder="1" applyAlignment="1" applyProtection="1">
      <alignment vertical="center"/>
      <protection locked="0"/>
    </xf>
    <xf numFmtId="37" fontId="107" fillId="21" borderId="76" xfId="3" applyNumberFormat="1" applyFont="1" applyFill="1" applyBorder="1" applyAlignment="1" applyProtection="1">
      <alignment vertical="center"/>
    </xf>
    <xf numFmtId="37" fontId="100" fillId="15" borderId="18" xfId="3" applyFont="1" applyFill="1" applyBorder="1" applyAlignment="1" applyProtection="1">
      <alignment vertical="center"/>
      <protection locked="0"/>
    </xf>
    <xf numFmtId="37" fontId="104" fillId="0" borderId="122" xfId="3" applyFont="1" applyFill="1" applyBorder="1" applyAlignment="1" applyProtection="1">
      <alignment vertical="center"/>
      <protection locked="0"/>
    </xf>
    <xf numFmtId="37" fontId="119" fillId="0" borderId="75" xfId="3" applyNumberFormat="1" applyFont="1" applyFill="1" applyBorder="1" applyAlignment="1" applyProtection="1">
      <alignment vertical="center"/>
      <protection locked="0"/>
    </xf>
    <xf numFmtId="37" fontId="32" fillId="16" borderId="18" xfId="3" applyNumberFormat="1" applyFont="1" applyFill="1" applyBorder="1" applyAlignment="1" applyProtection="1">
      <alignment vertical="center"/>
      <protection locked="0"/>
    </xf>
    <xf numFmtId="37" fontId="100" fillId="22" borderId="47" xfId="3" applyNumberFormat="1" applyFont="1" applyFill="1" applyBorder="1" applyAlignment="1" applyProtection="1">
      <alignment vertical="center"/>
    </xf>
    <xf numFmtId="37" fontId="26" fillId="0" borderId="18" xfId="3" applyNumberFormat="1" applyFont="1" applyFill="1" applyBorder="1" applyAlignment="1" applyProtection="1">
      <alignment vertical="center"/>
      <protection locked="0"/>
    </xf>
    <xf numFmtId="0" fontId="28" fillId="0" borderId="151" xfId="15" applyFont="1" applyFill="1" applyBorder="1" applyAlignment="1" applyProtection="1">
      <alignment vertical="center"/>
      <protection locked="0"/>
    </xf>
    <xf numFmtId="37" fontId="22" fillId="0" borderId="0" xfId="3" applyFont="1" applyFill="1" applyBorder="1" applyAlignment="1" applyProtection="1">
      <alignment vertical="center"/>
      <protection locked="0"/>
    </xf>
    <xf numFmtId="37" fontId="30" fillId="16" borderId="59" xfId="3" applyNumberFormat="1" applyFont="1" applyFill="1" applyBorder="1" applyAlignment="1" applyProtection="1">
      <alignment horizontal="center" vertical="center"/>
      <protection locked="0"/>
    </xf>
    <xf numFmtId="37" fontId="19" fillId="19" borderId="0" xfId="3" applyFont="1" applyFill="1" applyBorder="1" applyAlignment="1" applyProtection="1">
      <alignment vertical="center"/>
      <protection locked="0"/>
    </xf>
    <xf numFmtId="37" fontId="19" fillId="19" borderId="0" xfId="3" applyFont="1" applyFill="1" applyBorder="1" applyAlignment="1" applyProtection="1">
      <alignment horizontal="center" vertical="center"/>
      <protection locked="0"/>
    </xf>
    <xf numFmtId="0" fontId="28" fillId="19" borderId="0" xfId="15" applyFont="1" applyFill="1" applyBorder="1" applyAlignment="1" applyProtection="1">
      <alignment vertical="center"/>
      <protection locked="0"/>
    </xf>
    <xf numFmtId="37" fontId="19" fillId="19" borderId="151" xfId="3" applyFont="1" applyFill="1" applyBorder="1" applyAlignment="1" applyProtection="1">
      <alignment vertical="center"/>
      <protection locked="0"/>
    </xf>
    <xf numFmtId="37" fontId="28" fillId="0" borderId="146" xfId="3" applyNumberFormat="1" applyFont="1" applyFill="1" applyBorder="1" applyAlignment="1" applyProtection="1">
      <alignment vertical="center"/>
      <protection locked="0"/>
    </xf>
    <xf numFmtId="37" fontId="28" fillId="0" borderId="76" xfId="3" applyNumberFormat="1" applyFont="1" applyFill="1" applyBorder="1" applyAlignment="1" applyProtection="1">
      <alignment vertical="center"/>
      <protection locked="0"/>
    </xf>
    <xf numFmtId="37" fontId="28" fillId="16" borderId="60" xfId="3" applyNumberFormat="1" applyFont="1" applyFill="1" applyBorder="1" applyAlignment="1" applyProtection="1">
      <alignment vertical="center"/>
      <protection locked="0"/>
    </xf>
    <xf numFmtId="37" fontId="28" fillId="0" borderId="74" xfId="3" applyNumberFormat="1" applyFont="1" applyFill="1" applyBorder="1" applyAlignment="1" applyProtection="1">
      <alignment vertical="center"/>
      <protection locked="0"/>
    </xf>
    <xf numFmtId="37" fontId="28" fillId="0" borderId="78" xfId="3" applyNumberFormat="1" applyFont="1" applyFill="1" applyBorder="1" applyAlignment="1" applyProtection="1">
      <alignment vertical="center"/>
      <protection locked="0"/>
    </xf>
    <xf numFmtId="0" fontId="28" fillId="19" borderId="151" xfId="15" applyFont="1" applyFill="1" applyBorder="1" applyAlignment="1" applyProtection="1">
      <alignment vertical="center"/>
      <protection locked="0"/>
    </xf>
    <xf numFmtId="0" fontId="28" fillId="16" borderId="47" xfId="15" applyFont="1" applyFill="1" applyBorder="1" applyAlignment="1" applyProtection="1">
      <alignment vertical="center"/>
      <protection locked="0"/>
    </xf>
    <xf numFmtId="37" fontId="28" fillId="19" borderId="0" xfId="15" applyNumberFormat="1" applyFont="1" applyFill="1" applyBorder="1" applyAlignment="1" applyProtection="1">
      <alignment vertical="center"/>
      <protection locked="0"/>
    </xf>
    <xf numFmtId="37" fontId="28" fillId="0" borderId="61" xfId="3" applyNumberFormat="1" applyFont="1" applyFill="1" applyBorder="1" applyAlignment="1" applyProtection="1">
      <alignment vertical="center"/>
      <protection locked="0"/>
    </xf>
    <xf numFmtId="37" fontId="28" fillId="16" borderId="148" xfId="3" applyNumberFormat="1" applyFont="1" applyFill="1" applyBorder="1" applyAlignment="1" applyProtection="1">
      <alignment vertical="center"/>
      <protection locked="0"/>
    </xf>
    <xf numFmtId="37" fontId="28" fillId="0" borderId="74" xfId="3" applyFont="1" applyFill="1" applyBorder="1" applyAlignment="1" applyProtection="1">
      <alignment vertical="center"/>
    </xf>
    <xf numFmtId="37" fontId="28" fillId="0" borderId="76" xfId="3" applyNumberFormat="1" applyFont="1" applyFill="1" applyBorder="1" applyAlignment="1" applyProtection="1">
      <alignment horizontal="right" vertical="center"/>
      <protection locked="0"/>
    </xf>
    <xf numFmtId="37" fontId="31" fillId="0" borderId="149" xfId="3" applyFont="1" applyBorder="1" applyAlignment="1" applyProtection="1">
      <alignment vertical="center"/>
      <protection locked="0"/>
    </xf>
    <xf numFmtId="37" fontId="19" fillId="0" borderId="149" xfId="3" applyFont="1" applyBorder="1" applyAlignment="1" applyProtection="1">
      <alignment horizontal="center" vertical="center"/>
      <protection locked="0"/>
    </xf>
    <xf numFmtId="0" fontId="28" fillId="0" borderId="149" xfId="15" applyFont="1" applyBorder="1" applyAlignment="1" applyProtection="1">
      <alignment vertical="center"/>
      <protection locked="0"/>
    </xf>
    <xf numFmtId="37" fontId="29" fillId="0" borderId="149" xfId="3" quotePrefix="1" applyFont="1" applyFill="1" applyBorder="1" applyAlignment="1" applyProtection="1">
      <alignment vertical="center"/>
      <protection locked="0"/>
    </xf>
    <xf numFmtId="37" fontId="18" fillId="0" borderId="0" xfId="3" applyFont="1" applyBorder="1" applyAlignment="1" applyProtection="1">
      <alignment vertical="center"/>
    </xf>
    <xf numFmtId="37" fontId="31" fillId="0" borderId="0" xfId="3" applyFont="1" applyBorder="1" applyAlignment="1" applyProtection="1">
      <alignment vertical="center"/>
      <protection locked="0"/>
    </xf>
    <xf numFmtId="37" fontId="31" fillId="0" borderId="0" xfId="3" quotePrefix="1" applyFont="1" applyFill="1" applyBorder="1" applyAlignment="1" applyProtection="1">
      <alignment vertical="center"/>
      <protection locked="0"/>
    </xf>
    <xf numFmtId="37" fontId="29" fillId="0" borderId="0" xfId="3" quotePrefix="1" applyFont="1" applyFill="1" applyBorder="1" applyAlignment="1" applyProtection="1">
      <alignment vertical="center"/>
      <protection locked="0"/>
    </xf>
    <xf numFmtId="37" fontId="31" fillId="0" borderId="0" xfId="3" quotePrefix="1" applyFont="1" applyFill="1" applyBorder="1" applyAlignment="1" applyProtection="1">
      <alignment horizontal="center" vertical="center"/>
      <protection locked="0"/>
    </xf>
    <xf numFmtId="37" fontId="19" fillId="0" borderId="157" xfId="3" applyFont="1" applyBorder="1" applyAlignment="1" applyProtection="1">
      <alignment vertical="center"/>
      <protection locked="0"/>
    </xf>
    <xf numFmtId="37" fontId="19" fillId="0" borderId="158" xfId="3" applyFont="1" applyBorder="1" applyAlignment="1" applyProtection="1">
      <alignment vertical="center"/>
      <protection locked="0"/>
    </xf>
    <xf numFmtId="37" fontId="31" fillId="7" borderId="47" xfId="3" applyFont="1" applyFill="1" applyBorder="1" applyAlignment="1" applyProtection="1">
      <alignment horizontal="left" vertical="center"/>
    </xf>
    <xf numFmtId="37" fontId="31" fillId="7" borderId="47" xfId="3" applyFont="1" applyFill="1" applyBorder="1" applyAlignment="1" applyProtection="1">
      <alignment horizontal="center" vertical="center"/>
    </xf>
    <xf numFmtId="37" fontId="29" fillId="0" borderId="0" xfId="3" applyFont="1" applyBorder="1" applyAlignment="1" applyProtection="1">
      <alignment horizontal="center" vertical="center"/>
      <protection locked="0"/>
    </xf>
    <xf numFmtId="37" fontId="31" fillId="0" borderId="0" xfId="3" applyFont="1" applyFill="1" applyBorder="1" applyAlignment="1" applyProtection="1">
      <alignment horizontal="center" vertical="center"/>
      <protection locked="0"/>
    </xf>
    <xf numFmtId="9" fontId="31" fillId="9" borderId="47" xfId="3" applyNumberFormat="1" applyFont="1" applyFill="1" applyBorder="1" applyAlignment="1" applyProtection="1">
      <alignment vertical="center"/>
      <protection locked="0"/>
    </xf>
    <xf numFmtId="9" fontId="31" fillId="9" borderId="47" xfId="3" quotePrefix="1" applyNumberFormat="1" applyFont="1" applyFill="1" applyBorder="1" applyAlignment="1" applyProtection="1">
      <alignment vertical="center"/>
      <protection locked="0"/>
    </xf>
    <xf numFmtId="9" fontId="31" fillId="0" borderId="47" xfId="5" applyFont="1" applyFill="1" applyBorder="1" applyAlignment="1" applyProtection="1">
      <alignment vertical="center"/>
    </xf>
    <xf numFmtId="9" fontId="29" fillId="0" borderId="47" xfId="5" applyFont="1" applyFill="1" applyBorder="1" applyAlignment="1" applyProtection="1">
      <alignment vertical="center"/>
      <protection locked="0"/>
    </xf>
    <xf numFmtId="9" fontId="29" fillId="0" borderId="47" xfId="5" applyFont="1" applyFill="1" applyBorder="1" applyAlignment="1" applyProtection="1">
      <alignment vertical="center"/>
    </xf>
    <xf numFmtId="9" fontId="29" fillId="0" borderId="0" xfId="5" applyFont="1" applyFill="1" applyBorder="1" applyAlignment="1" applyProtection="1">
      <alignment horizontal="center" vertical="center"/>
      <protection locked="0"/>
    </xf>
    <xf numFmtId="9" fontId="29" fillId="10" borderId="47" xfId="5" applyFont="1" applyFill="1" applyBorder="1" applyAlignment="1" applyProtection="1">
      <alignment vertical="center"/>
    </xf>
    <xf numFmtId="37" fontId="30" fillId="0" borderId="10" xfId="3" applyFont="1" applyFill="1" applyBorder="1" applyAlignment="1" applyProtection="1">
      <alignment vertical="center"/>
      <protection locked="0"/>
    </xf>
    <xf numFmtId="37" fontId="30" fillId="0" borderId="16" xfId="3" quotePrefix="1" applyFont="1" applyFill="1" applyBorder="1" applyAlignment="1" applyProtection="1">
      <alignment vertical="center"/>
      <protection locked="0"/>
    </xf>
    <xf numFmtId="37" fontId="30" fillId="0" borderId="16" xfId="3" quotePrefix="1" applyFont="1" applyFill="1" applyBorder="1" applyAlignment="1" applyProtection="1">
      <alignment horizontal="center" vertical="center"/>
      <protection locked="0"/>
    </xf>
    <xf numFmtId="37" fontId="30" fillId="0" borderId="11" xfId="3" quotePrefix="1" applyFont="1" applyFill="1" applyBorder="1" applyAlignment="1" applyProtection="1">
      <alignment horizontal="center" vertical="center"/>
      <protection locked="0"/>
    </xf>
    <xf numFmtId="37" fontId="30" fillId="0" borderId="14" xfId="3" applyFont="1" applyFill="1" applyBorder="1" applyAlignment="1" applyProtection="1">
      <alignment vertical="center"/>
      <protection locked="0"/>
    </xf>
    <xf numFmtId="37" fontId="30" fillId="0" borderId="29" xfId="3" quotePrefix="1" applyFont="1" applyFill="1" applyBorder="1" applyAlignment="1" applyProtection="1">
      <alignment vertical="center"/>
      <protection locked="0"/>
    </xf>
    <xf numFmtId="37" fontId="30" fillId="0" borderId="29" xfId="3" quotePrefix="1" applyFont="1" applyFill="1" applyBorder="1" applyAlignment="1" applyProtection="1">
      <alignment horizontal="center" vertical="center"/>
      <protection locked="0"/>
    </xf>
    <xf numFmtId="37" fontId="31" fillId="0" borderId="15" xfId="3" quotePrefix="1" applyFont="1" applyFill="1" applyBorder="1" applyAlignment="1" applyProtection="1">
      <alignment horizontal="center" vertical="center"/>
      <protection locked="0"/>
    </xf>
    <xf numFmtId="37" fontId="120" fillId="0" borderId="159" xfId="3" applyFont="1" applyBorder="1" applyAlignment="1" applyProtection="1">
      <alignment vertical="center"/>
    </xf>
    <xf numFmtId="37" fontId="121" fillId="0" borderId="160" xfId="3" applyFont="1" applyBorder="1" applyAlignment="1" applyProtection="1">
      <alignment vertical="center"/>
      <protection locked="0"/>
    </xf>
    <xf numFmtId="37" fontId="19" fillId="0" borderId="161" xfId="3" applyFont="1" applyBorder="1" applyAlignment="1" applyProtection="1">
      <alignment vertical="center"/>
      <protection locked="0"/>
    </xf>
    <xf numFmtId="37" fontId="19" fillId="0" borderId="162" xfId="3" applyFont="1" applyBorder="1" applyAlignment="1" applyProtection="1">
      <alignment vertical="center"/>
    </xf>
    <xf numFmtId="37" fontId="19" fillId="9" borderId="163" xfId="3" applyFont="1" applyFill="1" applyBorder="1" applyAlignment="1" applyProtection="1">
      <alignment horizontal="center" vertical="center"/>
      <protection locked="0"/>
    </xf>
    <xf numFmtId="37" fontId="25" fillId="0" borderId="164" xfId="3" applyFont="1" applyBorder="1" applyAlignment="1" applyProtection="1">
      <alignment horizontal="center" vertical="center"/>
      <protection locked="0"/>
    </xf>
    <xf numFmtId="37" fontId="19" fillId="0" borderId="164" xfId="3" applyFont="1" applyBorder="1" applyAlignment="1" applyProtection="1">
      <alignment vertical="center"/>
      <protection locked="0"/>
    </xf>
    <xf numFmtId="37" fontId="19" fillId="0" borderId="164" xfId="3" applyFont="1" applyBorder="1" applyAlignment="1" applyProtection="1">
      <alignment horizontal="center" vertical="center"/>
      <protection locked="0"/>
    </xf>
    <xf numFmtId="0" fontId="28" fillId="0" borderId="164" xfId="15" applyFont="1" applyBorder="1" applyAlignment="1" applyProtection="1">
      <alignment vertical="center"/>
      <protection locked="0"/>
    </xf>
    <xf numFmtId="37" fontId="19" fillId="0" borderId="165" xfId="3" applyFont="1" applyBorder="1" applyAlignment="1" applyProtection="1">
      <alignment vertical="center"/>
      <protection locked="0"/>
    </xf>
    <xf numFmtId="37" fontId="29" fillId="0" borderId="166" xfId="3" applyFont="1" applyBorder="1" applyAlignment="1" applyProtection="1">
      <alignment vertical="center"/>
    </xf>
    <xf numFmtId="37" fontId="19" fillId="9" borderId="167" xfId="3" applyFont="1" applyFill="1" applyBorder="1" applyAlignment="1" applyProtection="1">
      <alignment horizontal="center" vertical="center"/>
      <protection locked="0"/>
    </xf>
    <xf numFmtId="1" fontId="25" fillId="0" borderId="0" xfId="3" applyNumberFormat="1" applyFont="1" applyBorder="1" applyAlignment="1" applyProtection="1">
      <alignment horizontal="center" vertical="center"/>
      <protection locked="0"/>
    </xf>
    <xf numFmtId="37" fontId="30" fillId="0" borderId="0" xfId="3" applyFont="1" applyBorder="1" applyAlignment="1" applyProtection="1">
      <alignment horizontal="center" vertical="center"/>
      <protection locked="0"/>
    </xf>
    <xf numFmtId="37" fontId="30" fillId="0" borderId="168" xfId="3" applyFont="1" applyBorder="1" applyAlignment="1" applyProtection="1">
      <alignment horizontal="center" vertical="center"/>
      <protection locked="0"/>
    </xf>
    <xf numFmtId="37" fontId="30" fillId="0" borderId="169" xfId="3" applyFont="1" applyBorder="1" applyAlignment="1" applyProtection="1">
      <alignment horizontal="center" vertical="center"/>
      <protection locked="0"/>
    </xf>
    <xf numFmtId="37" fontId="25" fillId="0" borderId="0" xfId="3" applyFont="1" applyBorder="1" applyAlignment="1" applyProtection="1">
      <alignment horizontal="center" vertical="center"/>
      <protection locked="0"/>
    </xf>
    <xf numFmtId="37" fontId="30" fillId="0" borderId="167" xfId="3" applyFont="1" applyBorder="1" applyAlignment="1" applyProtection="1">
      <alignment horizontal="center" vertical="center"/>
    </xf>
    <xf numFmtId="37" fontId="30" fillId="0" borderId="170" xfId="3" applyFont="1" applyBorder="1" applyAlignment="1" applyProtection="1">
      <alignment horizontal="center" vertical="center"/>
    </xf>
    <xf numFmtId="37" fontId="31" fillId="0" borderId="166" xfId="3" applyFont="1" applyFill="1" applyBorder="1" applyAlignment="1" applyProtection="1">
      <alignment vertical="center"/>
    </xf>
    <xf numFmtId="37" fontId="30" fillId="0" borderId="167" xfId="3" applyFont="1" applyFill="1" applyBorder="1" applyAlignment="1" applyProtection="1">
      <alignment horizontal="center" vertical="center"/>
      <protection locked="0"/>
    </xf>
    <xf numFmtId="37" fontId="28" fillId="0" borderId="0" xfId="3" applyFont="1" applyBorder="1" applyAlignment="1" applyProtection="1">
      <alignment vertical="center"/>
      <protection locked="0"/>
    </xf>
    <xf numFmtId="37" fontId="30" fillId="0" borderId="167" xfId="3" applyFont="1" applyFill="1" applyBorder="1" applyAlignment="1" applyProtection="1">
      <alignment horizontal="center" vertical="center"/>
    </xf>
    <xf numFmtId="37" fontId="28" fillId="0" borderId="0" xfId="3" applyFont="1" applyBorder="1" applyAlignment="1" applyProtection="1">
      <alignment horizontal="center" vertical="center"/>
      <protection locked="0"/>
    </xf>
    <xf numFmtId="37" fontId="30" fillId="0" borderId="170" xfId="3" applyFont="1" applyFill="1" applyBorder="1" applyAlignment="1" applyProtection="1">
      <alignment horizontal="center" vertical="center"/>
    </xf>
    <xf numFmtId="37" fontId="19" fillId="0" borderId="171" xfId="3" applyFont="1" applyFill="1" applyBorder="1" applyAlignment="1" applyProtection="1">
      <alignment vertical="center"/>
    </xf>
    <xf numFmtId="9" fontId="30" fillId="9" borderId="167" xfId="3" applyNumberFormat="1" applyFont="1" applyFill="1" applyBorder="1" applyAlignment="1" applyProtection="1">
      <alignment horizontal="right" vertical="center"/>
      <protection locked="0"/>
    </xf>
    <xf numFmtId="9" fontId="30" fillId="9" borderId="170" xfId="3" applyNumberFormat="1" applyFont="1" applyFill="1" applyBorder="1" applyAlignment="1" applyProtection="1">
      <alignment horizontal="right" vertical="center"/>
      <protection locked="0"/>
    </xf>
    <xf numFmtId="0" fontId="28" fillId="0" borderId="0" xfId="15" applyFont="1" applyProtection="1">
      <protection locked="0"/>
    </xf>
    <xf numFmtId="37" fontId="19" fillId="0" borderId="172" xfId="3" applyFont="1" applyFill="1" applyBorder="1" applyAlignment="1" applyProtection="1">
      <alignment vertical="center"/>
    </xf>
    <xf numFmtId="37" fontId="28" fillId="0" borderId="173" xfId="3" applyFont="1" applyFill="1" applyBorder="1" applyAlignment="1" applyProtection="1">
      <alignment horizontal="right" vertical="center"/>
    </xf>
    <xf numFmtId="37" fontId="28" fillId="0" borderId="174" xfId="3" applyFont="1" applyFill="1" applyBorder="1" applyAlignment="1" applyProtection="1">
      <alignment horizontal="right" vertical="center"/>
    </xf>
    <xf numFmtId="37" fontId="19" fillId="0" borderId="172" xfId="3" applyFont="1" applyBorder="1" applyAlignment="1" applyProtection="1">
      <alignment vertical="center"/>
    </xf>
    <xf numFmtId="37" fontId="19" fillId="0" borderId="175" xfId="3" applyFont="1" applyBorder="1" applyAlignment="1" applyProtection="1">
      <alignment vertical="center"/>
      <protection locked="0"/>
    </xf>
    <xf numFmtId="37" fontId="19" fillId="0" borderId="175" xfId="3" applyFont="1" applyBorder="1" applyAlignment="1" applyProtection="1">
      <alignment vertical="center"/>
    </xf>
    <xf numFmtId="37" fontId="28" fillId="0" borderId="176" xfId="3" applyFont="1" applyFill="1" applyBorder="1" applyAlignment="1" applyProtection="1">
      <alignment horizontal="right" vertical="center"/>
    </xf>
    <xf numFmtId="37" fontId="28" fillId="0" borderId="177" xfId="3" applyFont="1" applyFill="1" applyBorder="1" applyAlignment="1" applyProtection="1">
      <alignment horizontal="right" vertical="center"/>
    </xf>
    <xf numFmtId="37" fontId="19" fillId="0" borderId="176" xfId="3" applyFont="1" applyBorder="1" applyAlignment="1" applyProtection="1">
      <alignment vertical="center"/>
      <protection locked="0"/>
    </xf>
    <xf numFmtId="37" fontId="19" fillId="0" borderId="176" xfId="3" applyFont="1" applyBorder="1" applyAlignment="1" applyProtection="1">
      <alignment vertical="center"/>
    </xf>
    <xf numFmtId="37" fontId="28" fillId="0" borderId="178" xfId="3" applyFont="1" applyFill="1" applyBorder="1" applyAlignment="1" applyProtection="1">
      <alignment horizontal="right" vertical="center"/>
    </xf>
    <xf numFmtId="37" fontId="28" fillId="0" borderId="179" xfId="3" applyFont="1" applyFill="1" applyBorder="1" applyAlignment="1" applyProtection="1">
      <alignment horizontal="right" vertical="center"/>
    </xf>
    <xf numFmtId="167" fontId="31" fillId="0" borderId="0" xfId="5" applyNumberFormat="1" applyFont="1" applyBorder="1" applyAlignment="1" applyProtection="1">
      <alignment horizontal="left" vertical="center"/>
      <protection locked="0"/>
    </xf>
    <xf numFmtId="167" fontId="19" fillId="0" borderId="176" xfId="5" applyNumberFormat="1" applyFont="1" applyBorder="1" applyAlignment="1" applyProtection="1">
      <alignment vertical="center"/>
      <protection locked="0"/>
    </xf>
    <xf numFmtId="167" fontId="19" fillId="0" borderId="0" xfId="5" applyNumberFormat="1" applyFont="1" applyBorder="1" applyAlignment="1" applyProtection="1">
      <alignment vertical="center"/>
      <protection locked="0"/>
    </xf>
    <xf numFmtId="167" fontId="19" fillId="0" borderId="176" xfId="5" applyNumberFormat="1" applyFont="1" applyBorder="1" applyAlignment="1" applyProtection="1">
      <alignment vertical="center"/>
    </xf>
    <xf numFmtId="167" fontId="30" fillId="9" borderId="167" xfId="5" applyNumberFormat="1" applyFont="1" applyFill="1" applyBorder="1" applyAlignment="1" applyProtection="1">
      <alignment horizontal="right" vertical="center"/>
      <protection locked="0"/>
    </xf>
    <xf numFmtId="167" fontId="30" fillId="9" borderId="170" xfId="5" applyNumberFormat="1" applyFont="1" applyFill="1" applyBorder="1" applyAlignment="1" applyProtection="1">
      <alignment horizontal="right" vertical="center"/>
      <protection locked="0"/>
    </xf>
    <xf numFmtId="167" fontId="19" fillId="0" borderId="151" xfId="5" applyNumberFormat="1" applyFont="1" applyBorder="1" applyAlignment="1" applyProtection="1">
      <alignment vertical="center"/>
      <protection locked="0"/>
    </xf>
    <xf numFmtId="167" fontId="19" fillId="0" borderId="0" xfId="5" applyNumberFormat="1" applyFont="1" applyAlignment="1" applyProtection="1">
      <alignment vertical="center"/>
      <protection locked="0"/>
    </xf>
    <xf numFmtId="37" fontId="19" fillId="0" borderId="180" xfId="3" applyFont="1" applyBorder="1" applyAlignment="1" applyProtection="1">
      <alignment vertical="center"/>
    </xf>
    <xf numFmtId="37" fontId="19" fillId="0" borderId="181" xfId="3" applyFont="1" applyBorder="1" applyAlignment="1" applyProtection="1">
      <alignment vertical="center"/>
      <protection locked="0"/>
    </xf>
    <xf numFmtId="37" fontId="19" fillId="0" borderId="181" xfId="3" applyFont="1" applyBorder="1" applyAlignment="1" applyProtection="1">
      <alignment vertical="center"/>
    </xf>
    <xf numFmtId="37" fontId="19" fillId="0" borderId="161" xfId="3" applyFont="1" applyBorder="1" applyAlignment="1" applyProtection="1">
      <alignment horizontal="center" vertical="center"/>
      <protection locked="0"/>
    </xf>
    <xf numFmtId="0" fontId="28" fillId="0" borderId="161" xfId="15" applyFont="1" applyBorder="1" applyAlignment="1" applyProtection="1">
      <alignment vertical="center"/>
      <protection locked="0"/>
    </xf>
    <xf numFmtId="37" fontId="28" fillId="0" borderId="182" xfId="3" applyFont="1" applyBorder="1" applyAlignment="1" applyProtection="1">
      <alignment horizontal="right" vertical="center"/>
    </xf>
    <xf numFmtId="37" fontId="28" fillId="0" borderId="183" xfId="3" applyFont="1" applyBorder="1" applyAlignment="1" applyProtection="1">
      <alignment horizontal="right" vertical="center"/>
    </xf>
    <xf numFmtId="37" fontId="30" fillId="0" borderId="0" xfId="3" quotePrefix="1" applyFont="1" applyFill="1" applyBorder="1" applyAlignment="1" applyProtection="1">
      <alignment vertical="center"/>
      <protection locked="0"/>
    </xf>
    <xf numFmtId="37" fontId="30" fillId="0" borderId="0" xfId="3" quotePrefix="1" applyFont="1" applyFill="1" applyBorder="1" applyAlignment="1" applyProtection="1">
      <alignment horizontal="center" vertical="center"/>
      <protection locked="0"/>
    </xf>
    <xf numFmtId="37" fontId="122" fillId="0" borderId="184" xfId="3" applyFont="1" applyBorder="1" applyAlignment="1" applyProtection="1">
      <alignment vertical="center"/>
    </xf>
    <xf numFmtId="37" fontId="121" fillId="0" borderId="185" xfId="3" applyFont="1" applyBorder="1" applyAlignment="1" applyProtection="1">
      <alignment vertical="center"/>
      <protection locked="0"/>
    </xf>
    <xf numFmtId="37" fontId="19" fillId="0" borderId="186" xfId="3" applyFont="1" applyBorder="1" applyAlignment="1" applyProtection="1">
      <alignment vertical="center"/>
      <protection locked="0"/>
    </xf>
    <xf numFmtId="37" fontId="19" fillId="0" borderId="187" xfId="3" applyFont="1" applyBorder="1" applyAlignment="1" applyProtection="1">
      <alignment vertical="center"/>
    </xf>
    <xf numFmtId="37" fontId="19" fillId="9" borderId="188" xfId="3" applyFont="1" applyFill="1" applyBorder="1" applyAlignment="1" applyProtection="1">
      <alignment horizontal="center" vertical="center"/>
      <protection locked="0"/>
    </xf>
    <xf numFmtId="37" fontId="25" fillId="0" borderId="189" xfId="3" applyFont="1" applyBorder="1" applyAlignment="1" applyProtection="1">
      <alignment horizontal="center" vertical="center"/>
      <protection locked="0"/>
    </xf>
    <xf numFmtId="37" fontId="19" fillId="0" borderId="189" xfId="3" applyFont="1" applyBorder="1" applyAlignment="1" applyProtection="1">
      <alignment vertical="center"/>
      <protection locked="0"/>
    </xf>
    <xf numFmtId="37" fontId="19" fillId="0" borderId="189" xfId="3" applyFont="1" applyBorder="1" applyAlignment="1" applyProtection="1">
      <alignment horizontal="center" vertical="center"/>
      <protection locked="0"/>
    </xf>
    <xf numFmtId="0" fontId="28" fillId="0" borderId="189" xfId="15" applyFont="1" applyBorder="1" applyAlignment="1" applyProtection="1">
      <alignment vertical="center"/>
      <protection locked="0"/>
    </xf>
    <xf numFmtId="37" fontId="19" fillId="0" borderId="190" xfId="3" applyFont="1" applyBorder="1" applyAlignment="1" applyProtection="1">
      <alignment vertical="center"/>
      <protection locked="0"/>
    </xf>
    <xf numFmtId="37" fontId="29" fillId="0" borderId="191" xfId="3" applyFont="1" applyBorder="1" applyAlignment="1" applyProtection="1">
      <alignment vertical="center"/>
    </xf>
    <xf numFmtId="37" fontId="19" fillId="9" borderId="192" xfId="3" applyFont="1" applyFill="1" applyBorder="1" applyAlignment="1" applyProtection="1">
      <alignment horizontal="center" vertical="center"/>
      <protection locked="0"/>
    </xf>
    <xf numFmtId="37" fontId="30" fillId="0" borderId="193" xfId="3" applyFont="1" applyBorder="1" applyAlignment="1" applyProtection="1">
      <alignment horizontal="center" vertical="center"/>
      <protection locked="0"/>
    </xf>
    <xf numFmtId="37" fontId="30" fillId="0" borderId="194" xfId="3" applyFont="1" applyBorder="1" applyAlignment="1" applyProtection="1">
      <alignment horizontal="center" vertical="center"/>
      <protection locked="0"/>
    </xf>
    <xf numFmtId="37" fontId="29" fillId="0" borderId="195" xfId="3" applyFont="1" applyBorder="1" applyAlignment="1" applyProtection="1">
      <alignment vertical="center"/>
    </xf>
    <xf numFmtId="37" fontId="19" fillId="9" borderId="196" xfId="3" applyFont="1" applyFill="1" applyBorder="1" applyAlignment="1" applyProtection="1">
      <alignment horizontal="center" vertical="center"/>
      <protection locked="0"/>
    </xf>
    <xf numFmtId="37" fontId="30" fillId="0" borderId="192" xfId="3" applyFont="1" applyBorder="1" applyAlignment="1" applyProtection="1">
      <alignment horizontal="center" vertical="center"/>
    </xf>
    <xf numFmtId="37" fontId="30" fillId="0" borderId="197" xfId="3" applyFont="1" applyBorder="1" applyAlignment="1" applyProtection="1">
      <alignment horizontal="center" vertical="center"/>
    </xf>
    <xf numFmtId="37" fontId="31" fillId="0" borderId="195" xfId="3" applyFont="1" applyFill="1" applyBorder="1" applyAlignment="1" applyProtection="1">
      <alignment vertical="center"/>
    </xf>
    <xf numFmtId="37" fontId="30" fillId="0" borderId="192" xfId="3" applyFont="1" applyFill="1" applyBorder="1" applyAlignment="1" applyProtection="1">
      <alignment horizontal="center" vertical="center"/>
      <protection locked="0"/>
    </xf>
    <xf numFmtId="37" fontId="30" fillId="0" borderId="192" xfId="3" applyFont="1" applyFill="1" applyBorder="1" applyAlignment="1" applyProtection="1">
      <alignment horizontal="center" vertical="center"/>
    </xf>
    <xf numFmtId="37" fontId="30" fillId="0" borderId="197" xfId="3" applyFont="1" applyFill="1" applyBorder="1" applyAlignment="1" applyProtection="1">
      <alignment horizontal="center" vertical="center"/>
    </xf>
    <xf numFmtId="37" fontId="19" fillId="0" borderId="198" xfId="3" applyFont="1" applyFill="1" applyBorder="1" applyAlignment="1" applyProtection="1">
      <alignment vertical="center"/>
    </xf>
    <xf numFmtId="9" fontId="30" fillId="9" borderId="192" xfId="3" applyNumberFormat="1" applyFont="1" applyFill="1" applyBorder="1" applyAlignment="1" applyProtection="1">
      <alignment horizontal="right" vertical="center"/>
      <protection locked="0"/>
    </xf>
    <xf numFmtId="9" fontId="30" fillId="9" borderId="197" xfId="3" applyNumberFormat="1" applyFont="1" applyFill="1" applyBorder="1" applyAlignment="1" applyProtection="1">
      <alignment horizontal="right" vertical="center"/>
      <protection locked="0"/>
    </xf>
    <xf numFmtId="37" fontId="19" fillId="0" borderId="199" xfId="3" applyFont="1" applyFill="1" applyBorder="1" applyAlignment="1" applyProtection="1">
      <alignment vertical="center"/>
    </xf>
    <xf numFmtId="37" fontId="28" fillId="0" borderId="200" xfId="3" applyFont="1" applyFill="1" applyBorder="1" applyAlignment="1" applyProtection="1">
      <alignment horizontal="right" vertical="center"/>
    </xf>
    <xf numFmtId="37" fontId="28" fillId="0" borderId="201" xfId="3" applyFont="1" applyFill="1" applyBorder="1" applyAlignment="1" applyProtection="1">
      <alignment horizontal="right" vertical="center"/>
    </xf>
    <xf numFmtId="37" fontId="19" fillId="0" borderId="199" xfId="3" applyFont="1" applyBorder="1" applyAlignment="1" applyProtection="1">
      <alignment vertical="center"/>
    </xf>
    <xf numFmtId="37" fontId="19" fillId="0" borderId="202" xfId="3" applyFont="1" applyBorder="1" applyAlignment="1" applyProtection="1">
      <alignment vertical="center"/>
      <protection locked="0"/>
    </xf>
    <xf numFmtId="37" fontId="19" fillId="0" borderId="202" xfId="3" applyFont="1" applyBorder="1" applyAlignment="1" applyProtection="1">
      <alignment vertical="center"/>
    </xf>
    <xf numFmtId="37" fontId="28" fillId="0" borderId="203" xfId="3" applyFont="1" applyFill="1" applyBorder="1" applyAlignment="1" applyProtection="1">
      <alignment horizontal="right" vertical="center"/>
    </xf>
    <xf numFmtId="37" fontId="28" fillId="0" borderId="204" xfId="3" applyFont="1" applyFill="1" applyBorder="1" applyAlignment="1" applyProtection="1">
      <alignment horizontal="right" vertical="center"/>
    </xf>
    <xf numFmtId="37" fontId="19" fillId="0" borderId="203" xfId="3" applyFont="1" applyBorder="1" applyAlignment="1" applyProtection="1">
      <alignment vertical="center"/>
      <protection locked="0"/>
    </xf>
    <xf numFmtId="37" fontId="19" fillId="0" borderId="203" xfId="3" applyFont="1" applyBorder="1" applyAlignment="1" applyProtection="1">
      <alignment vertical="center"/>
    </xf>
    <xf numFmtId="37" fontId="28" fillId="0" borderId="205" xfId="3" applyFont="1" applyFill="1" applyBorder="1" applyAlignment="1" applyProtection="1">
      <alignment horizontal="right" vertical="center"/>
    </xf>
    <xf numFmtId="37" fontId="28" fillId="0" borderId="206" xfId="3" applyFont="1" applyFill="1" applyBorder="1" applyAlignment="1" applyProtection="1">
      <alignment horizontal="right" vertical="center"/>
    </xf>
    <xf numFmtId="167" fontId="19" fillId="0" borderId="203" xfId="5" applyNumberFormat="1" applyFont="1" applyBorder="1" applyAlignment="1" applyProtection="1">
      <alignment vertical="center"/>
      <protection locked="0"/>
    </xf>
    <xf numFmtId="167" fontId="19" fillId="0" borderId="203" xfId="5" applyNumberFormat="1" applyFont="1" applyBorder="1" applyAlignment="1" applyProtection="1">
      <alignment vertical="center"/>
    </xf>
    <xf numFmtId="167" fontId="30" fillId="9" borderId="192" xfId="5" applyNumberFormat="1" applyFont="1" applyFill="1" applyBorder="1" applyAlignment="1" applyProtection="1">
      <alignment horizontal="right" vertical="center"/>
      <protection locked="0"/>
    </xf>
    <xf numFmtId="167" fontId="30" fillId="9" borderId="197" xfId="5" applyNumberFormat="1" applyFont="1" applyFill="1" applyBorder="1" applyAlignment="1" applyProtection="1">
      <alignment horizontal="right" vertical="center"/>
      <protection locked="0"/>
    </xf>
    <xf numFmtId="37" fontId="19" fillId="0" borderId="207" xfId="3" applyFont="1" applyBorder="1" applyAlignment="1" applyProtection="1">
      <alignment vertical="center"/>
    </xf>
    <xf numFmtId="37" fontId="19" fillId="0" borderId="208" xfId="3" applyFont="1" applyBorder="1" applyAlignment="1" applyProtection="1">
      <alignment vertical="center"/>
      <protection locked="0"/>
    </xf>
    <xf numFmtId="37" fontId="19" fillId="0" borderId="208" xfId="3" applyFont="1" applyBorder="1" applyAlignment="1" applyProtection="1">
      <alignment vertical="center"/>
    </xf>
    <xf numFmtId="37" fontId="19" fillId="0" borderId="186" xfId="3" applyFont="1" applyBorder="1" applyAlignment="1" applyProtection="1">
      <alignment horizontal="center" vertical="center"/>
      <protection locked="0"/>
    </xf>
    <xf numFmtId="0" fontId="28" fillId="0" borderId="186" xfId="15" applyFont="1" applyBorder="1" applyAlignment="1" applyProtection="1">
      <alignment vertical="center"/>
      <protection locked="0"/>
    </xf>
    <xf numFmtId="37" fontId="28" fillId="0" borderId="209" xfId="3" applyFont="1" applyBorder="1" applyAlignment="1" applyProtection="1">
      <alignment horizontal="right" vertical="center"/>
    </xf>
    <xf numFmtId="37" fontId="28" fillId="0" borderId="210" xfId="3" applyFont="1" applyBorder="1" applyAlignment="1" applyProtection="1">
      <alignment horizontal="right" vertical="center"/>
    </xf>
    <xf numFmtId="37" fontId="19" fillId="0" borderId="0" xfId="5" applyNumberFormat="1" applyFont="1" applyBorder="1" applyAlignment="1" applyProtection="1">
      <alignment vertical="center"/>
      <protection locked="0"/>
    </xf>
    <xf numFmtId="37" fontId="28" fillId="0" borderId="0" xfId="5" applyNumberFormat="1" applyFont="1" applyFill="1" applyBorder="1" applyAlignment="1" applyProtection="1">
      <alignment horizontal="right" vertical="center"/>
      <protection locked="0"/>
    </xf>
    <xf numFmtId="167" fontId="19" fillId="0" borderId="189" xfId="5" applyNumberFormat="1" applyFont="1" applyBorder="1" applyAlignment="1" applyProtection="1">
      <alignment vertical="center"/>
      <protection locked="0"/>
    </xf>
    <xf numFmtId="37" fontId="123" fillId="0" borderId="211" xfId="3" applyFont="1" applyBorder="1" applyAlignment="1" applyProtection="1">
      <alignment vertical="center"/>
    </xf>
    <xf numFmtId="37" fontId="19" fillId="0" borderId="212" xfId="5" applyNumberFormat="1" applyFont="1" applyBorder="1" applyAlignment="1" applyProtection="1">
      <alignment vertical="center"/>
      <protection locked="0"/>
    </xf>
    <xf numFmtId="167" fontId="19" fillId="0" borderId="213" xfId="5" applyNumberFormat="1" applyFont="1" applyBorder="1" applyAlignment="1" applyProtection="1">
      <alignment vertical="center"/>
      <protection locked="0"/>
    </xf>
    <xf numFmtId="37" fontId="19" fillId="0" borderId="213" xfId="5" applyNumberFormat="1" applyFont="1" applyBorder="1" applyAlignment="1" applyProtection="1">
      <alignment vertical="center"/>
      <protection locked="0"/>
    </xf>
    <xf numFmtId="37" fontId="123" fillId="0" borderId="211" xfId="3" quotePrefix="1" applyFont="1" applyBorder="1" applyAlignment="1" applyProtection="1">
      <alignment vertical="center"/>
    </xf>
    <xf numFmtId="167" fontId="19" fillId="0" borderId="214" xfId="5" applyNumberFormat="1" applyFont="1" applyBorder="1" applyAlignment="1" applyProtection="1">
      <alignment vertical="center"/>
      <protection locked="0"/>
    </xf>
    <xf numFmtId="37" fontId="19" fillId="0" borderId="214" xfId="5" applyNumberFormat="1" applyFont="1" applyBorder="1" applyAlignment="1" applyProtection="1">
      <alignment vertical="center"/>
      <protection locked="0"/>
    </xf>
    <xf numFmtId="167" fontId="19" fillId="0" borderId="215" xfId="5" applyNumberFormat="1" applyFont="1" applyBorder="1" applyAlignment="1" applyProtection="1">
      <alignment vertical="center"/>
      <protection locked="0"/>
    </xf>
    <xf numFmtId="167" fontId="19" fillId="0" borderId="216" xfId="5" applyNumberFormat="1" applyFont="1" applyBorder="1" applyAlignment="1" applyProtection="1">
      <alignment vertical="center"/>
      <protection locked="0"/>
    </xf>
    <xf numFmtId="37" fontId="123" fillId="0" borderId="217" xfId="3" applyFont="1" applyBorder="1" applyAlignment="1" applyProtection="1">
      <alignment vertical="center"/>
    </xf>
    <xf numFmtId="37" fontId="19" fillId="0" borderId="218" xfId="5" applyNumberFormat="1" applyFont="1" applyBorder="1" applyAlignment="1" applyProtection="1">
      <alignment vertical="center"/>
      <protection locked="0"/>
    </xf>
    <xf numFmtId="167" fontId="19" fillId="0" borderId="218" xfId="5" applyNumberFormat="1" applyFont="1" applyBorder="1" applyAlignment="1" applyProtection="1">
      <alignment vertical="center"/>
      <protection locked="0"/>
    </xf>
    <xf numFmtId="167" fontId="30" fillId="0" borderId="219" xfId="5" applyNumberFormat="1" applyFont="1" applyBorder="1" applyAlignment="1" applyProtection="1">
      <alignment horizontal="center" vertical="center"/>
    </xf>
    <xf numFmtId="167" fontId="30" fillId="0" borderId="220" xfId="5" applyNumberFormat="1" applyFont="1" applyBorder="1" applyAlignment="1" applyProtection="1">
      <alignment horizontal="center" vertical="center"/>
    </xf>
    <xf numFmtId="37" fontId="19" fillId="0" borderId="221" xfId="3" applyFont="1" applyBorder="1" applyAlignment="1" applyProtection="1">
      <alignment vertical="center"/>
    </xf>
    <xf numFmtId="37" fontId="19" fillId="9" borderId="219" xfId="5" applyNumberFormat="1" applyFont="1" applyFill="1" applyBorder="1" applyAlignment="1" applyProtection="1">
      <alignment horizontal="center" vertical="center"/>
      <protection locked="0"/>
    </xf>
    <xf numFmtId="37" fontId="30" fillId="0" borderId="219" xfId="5" applyNumberFormat="1" applyFont="1" applyBorder="1" applyAlignment="1" applyProtection="1">
      <alignment horizontal="center" vertical="center"/>
    </xf>
    <xf numFmtId="37" fontId="30" fillId="0" borderId="220" xfId="5" applyNumberFormat="1" applyFont="1" applyBorder="1" applyAlignment="1" applyProtection="1">
      <alignment horizontal="center" vertical="center"/>
    </xf>
    <xf numFmtId="37" fontId="19" fillId="0" borderId="222" xfId="3" applyFont="1" applyBorder="1" applyAlignment="1" applyProtection="1">
      <alignment vertical="center"/>
    </xf>
    <xf numFmtId="167" fontId="19" fillId="0" borderId="219" xfId="5" applyNumberFormat="1" applyFont="1" applyBorder="1" applyAlignment="1" applyProtection="1">
      <alignment vertical="center"/>
    </xf>
    <xf numFmtId="167" fontId="30" fillId="9" borderId="219" xfId="5" applyNumberFormat="1" applyFont="1" applyFill="1" applyBorder="1" applyAlignment="1" applyProtection="1">
      <alignment vertical="center"/>
      <protection locked="0"/>
    </xf>
    <xf numFmtId="167" fontId="30" fillId="9" borderId="220" xfId="5" applyNumberFormat="1" applyFont="1" applyFill="1" applyBorder="1" applyAlignment="1" applyProtection="1">
      <alignment vertical="center"/>
      <protection locked="0"/>
    </xf>
    <xf numFmtId="3" fontId="28" fillId="0" borderId="223" xfId="5" applyNumberFormat="1" applyFont="1" applyBorder="1" applyAlignment="1" applyProtection="1">
      <alignment vertical="center"/>
    </xf>
    <xf numFmtId="3" fontId="28" fillId="0" borderId="224" xfId="5" applyNumberFormat="1" applyFont="1" applyBorder="1" applyAlignment="1" applyProtection="1">
      <alignment vertical="center"/>
    </xf>
    <xf numFmtId="37" fontId="19" fillId="0" borderId="222" xfId="3" quotePrefix="1" applyFont="1" applyBorder="1" applyAlignment="1" applyProtection="1">
      <alignment vertical="center"/>
    </xf>
    <xf numFmtId="3" fontId="28" fillId="0" borderId="225" xfId="5" applyNumberFormat="1" applyFont="1" applyBorder="1" applyAlignment="1" applyProtection="1">
      <alignment vertical="center"/>
    </xf>
    <xf numFmtId="3" fontId="28" fillId="0" borderId="226" xfId="5" applyNumberFormat="1" applyFont="1" applyBorder="1" applyAlignment="1" applyProtection="1">
      <alignment vertical="center"/>
    </xf>
    <xf numFmtId="3" fontId="28" fillId="0" borderId="227" xfId="5" applyNumberFormat="1" applyFont="1" applyBorder="1" applyAlignment="1" applyProtection="1">
      <alignment vertical="center"/>
    </xf>
    <xf numFmtId="3" fontId="28" fillId="0" borderId="228" xfId="5" applyNumberFormat="1" applyFont="1" applyBorder="1" applyAlignment="1" applyProtection="1">
      <alignment vertical="center"/>
    </xf>
    <xf numFmtId="167" fontId="28" fillId="0" borderId="0" xfId="5" applyNumberFormat="1" applyFont="1" applyFill="1" applyBorder="1" applyAlignment="1" applyProtection="1">
      <alignment vertical="center"/>
      <protection locked="0"/>
    </xf>
    <xf numFmtId="167" fontId="30" fillId="9" borderId="229" xfId="5" applyNumberFormat="1" applyFont="1" applyFill="1" applyBorder="1" applyAlignment="1" applyProtection="1">
      <alignment vertical="center"/>
      <protection locked="0"/>
    </xf>
    <xf numFmtId="167" fontId="30" fillId="9" borderId="230" xfId="5" applyNumberFormat="1" applyFont="1" applyFill="1" applyBorder="1" applyAlignment="1" applyProtection="1">
      <alignment vertical="center"/>
      <protection locked="0"/>
    </xf>
    <xf numFmtId="37" fontId="19" fillId="0" borderId="231" xfId="3" applyFont="1" applyBorder="1" applyAlignment="1" applyProtection="1">
      <alignment vertical="center"/>
    </xf>
    <xf numFmtId="3" fontId="28" fillId="0" borderId="219" xfId="5" applyNumberFormat="1" applyFont="1" applyBorder="1" applyAlignment="1" applyProtection="1">
      <alignment vertical="center"/>
    </xf>
    <xf numFmtId="3" fontId="28" fillId="0" borderId="220" xfId="5" applyNumberFormat="1" applyFont="1" applyBorder="1" applyAlignment="1" applyProtection="1">
      <alignment vertical="center"/>
    </xf>
    <xf numFmtId="37" fontId="31" fillId="0" borderId="232" xfId="3" applyFont="1" applyBorder="1" applyAlignment="1" applyProtection="1">
      <alignment vertical="center"/>
    </xf>
    <xf numFmtId="167" fontId="28" fillId="0" borderId="0" xfId="5" applyNumberFormat="1" applyFont="1" applyBorder="1" applyAlignment="1" applyProtection="1">
      <alignment vertical="center"/>
      <protection locked="0"/>
    </xf>
    <xf numFmtId="3" fontId="28" fillId="0" borderId="223" xfId="5" applyNumberFormat="1" applyFont="1" applyBorder="1" applyAlignment="1" applyProtection="1">
      <alignment horizontal="center" vertical="center"/>
      <protection locked="0"/>
    </xf>
    <xf numFmtId="3" fontId="28" fillId="0" borderId="223" xfId="5" applyNumberFormat="1" applyFont="1" applyBorder="1" applyAlignment="1" applyProtection="1">
      <alignment vertical="center"/>
      <protection locked="0"/>
    </xf>
    <xf numFmtId="3" fontId="28" fillId="0" borderId="224" xfId="5" applyNumberFormat="1" applyFont="1" applyBorder="1" applyAlignment="1" applyProtection="1">
      <alignment vertical="center"/>
      <protection locked="0"/>
    </xf>
    <xf numFmtId="3" fontId="28" fillId="0" borderId="233" xfId="5" applyNumberFormat="1" applyFont="1" applyBorder="1" applyAlignment="1" applyProtection="1">
      <alignment vertical="center"/>
      <protection locked="0"/>
    </xf>
    <xf numFmtId="3" fontId="28" fillId="0" borderId="234" xfId="5" applyNumberFormat="1" applyFont="1" applyBorder="1" applyAlignment="1" applyProtection="1">
      <alignment vertical="center"/>
      <protection locked="0"/>
    </xf>
    <xf numFmtId="3" fontId="28" fillId="0" borderId="225" xfId="5" applyNumberFormat="1" applyFont="1" applyBorder="1" applyAlignment="1" applyProtection="1">
      <alignment horizontal="center" vertical="center"/>
      <protection locked="0"/>
    </xf>
    <xf numFmtId="3" fontId="28" fillId="0" borderId="225" xfId="5" applyNumberFormat="1" applyFont="1" applyBorder="1" applyAlignment="1" applyProtection="1">
      <alignment vertical="center"/>
      <protection locked="0"/>
    </xf>
    <xf numFmtId="3" fontId="28" fillId="0" borderId="226" xfId="5" applyNumberFormat="1" applyFont="1" applyBorder="1" applyAlignment="1" applyProtection="1">
      <alignment vertical="center"/>
      <protection locked="0"/>
    </xf>
    <xf numFmtId="3" fontId="28" fillId="0" borderId="235" xfId="5" applyNumberFormat="1" applyFont="1" applyBorder="1" applyAlignment="1" applyProtection="1">
      <alignment vertical="center"/>
      <protection locked="0"/>
    </xf>
    <xf numFmtId="3" fontId="28" fillId="0" borderId="236" xfId="5" applyNumberFormat="1" applyFont="1" applyBorder="1" applyAlignment="1" applyProtection="1">
      <alignment vertical="center"/>
      <protection locked="0"/>
    </xf>
    <xf numFmtId="3" fontId="28" fillId="0" borderId="237" xfId="5" applyNumberFormat="1" applyFont="1" applyBorder="1" applyAlignment="1" applyProtection="1">
      <alignment vertical="center"/>
      <protection locked="0"/>
    </xf>
    <xf numFmtId="3" fontId="28" fillId="0" borderId="238" xfId="5" applyNumberFormat="1" applyFont="1" applyBorder="1" applyAlignment="1" applyProtection="1">
      <alignment vertical="center"/>
      <protection locked="0"/>
    </xf>
    <xf numFmtId="3" fontId="28" fillId="0" borderId="239" xfId="5" applyNumberFormat="1" applyFont="1" applyBorder="1" applyAlignment="1" applyProtection="1">
      <alignment vertical="center"/>
      <protection locked="0"/>
    </xf>
    <xf numFmtId="3" fontId="28" fillId="0" borderId="240" xfId="5" applyNumberFormat="1" applyFont="1" applyBorder="1" applyAlignment="1" applyProtection="1">
      <alignment vertical="center"/>
      <protection locked="0"/>
    </xf>
    <xf numFmtId="3" fontId="28" fillId="0" borderId="227" xfId="5" applyNumberFormat="1" applyFont="1" applyBorder="1" applyAlignment="1" applyProtection="1">
      <alignment horizontal="center" vertical="center"/>
      <protection locked="0"/>
    </xf>
    <xf numFmtId="3" fontId="28" fillId="0" borderId="227" xfId="5" applyNumberFormat="1" applyFont="1" applyBorder="1" applyAlignment="1" applyProtection="1">
      <alignment vertical="center"/>
      <protection locked="0"/>
    </xf>
    <xf numFmtId="3" fontId="28" fillId="0" borderId="228" xfId="5" applyNumberFormat="1" applyFont="1" applyBorder="1" applyAlignment="1" applyProtection="1">
      <alignment vertical="center"/>
      <protection locked="0"/>
    </xf>
    <xf numFmtId="3" fontId="28" fillId="0" borderId="241" xfId="5" applyNumberFormat="1" applyFont="1" applyBorder="1" applyAlignment="1" applyProtection="1">
      <alignment vertical="center"/>
      <protection locked="0"/>
    </xf>
    <xf numFmtId="3" fontId="28" fillId="0" borderId="242" xfId="5" applyNumberFormat="1" applyFont="1" applyBorder="1" applyAlignment="1" applyProtection="1">
      <alignment vertical="center"/>
      <protection locked="0"/>
    </xf>
    <xf numFmtId="3" fontId="28" fillId="0" borderId="0" xfId="5" applyNumberFormat="1" applyFont="1" applyBorder="1" applyAlignment="1" applyProtection="1">
      <alignment horizontal="center" vertical="center"/>
      <protection locked="0"/>
    </xf>
    <xf numFmtId="167" fontId="28" fillId="0" borderId="243" xfId="5" applyNumberFormat="1" applyFont="1" applyBorder="1" applyAlignment="1" applyProtection="1">
      <alignment vertical="center"/>
      <protection locked="0"/>
    </xf>
    <xf numFmtId="3" fontId="28" fillId="0" borderId="244" xfId="5" applyNumberFormat="1" applyFont="1" applyBorder="1" applyAlignment="1" applyProtection="1">
      <alignment horizontal="center" vertical="center"/>
      <protection locked="0"/>
    </xf>
    <xf numFmtId="3" fontId="28" fillId="0" borderId="219" xfId="5" applyNumberFormat="1" applyFont="1" applyBorder="1" applyAlignment="1" applyProtection="1">
      <alignment vertical="center"/>
      <protection locked="0"/>
    </xf>
    <xf numFmtId="3" fontId="28" fillId="0" borderId="220" xfId="5" applyNumberFormat="1" applyFont="1" applyBorder="1" applyAlignment="1" applyProtection="1">
      <alignment vertical="center"/>
      <protection locked="0"/>
    </xf>
    <xf numFmtId="3" fontId="28" fillId="0" borderId="245" xfId="5" applyNumberFormat="1" applyFont="1" applyBorder="1" applyAlignment="1" applyProtection="1">
      <alignment vertical="center"/>
      <protection locked="0"/>
    </xf>
    <xf numFmtId="3" fontId="28" fillId="0" borderId="246" xfId="5" applyNumberFormat="1" applyFont="1" applyBorder="1" applyAlignment="1" applyProtection="1">
      <alignment vertical="center"/>
      <protection locked="0"/>
    </xf>
    <xf numFmtId="3" fontId="19" fillId="0" borderId="0" xfId="5" applyNumberFormat="1" applyFont="1" applyBorder="1" applyAlignment="1" applyProtection="1">
      <alignment horizontal="center" vertical="center"/>
      <protection locked="0"/>
    </xf>
    <xf numFmtId="167" fontId="19" fillId="0" borderId="247" xfId="5" applyNumberFormat="1" applyFont="1" applyBorder="1" applyAlignment="1" applyProtection="1">
      <alignment vertical="center"/>
      <protection locked="0"/>
    </xf>
    <xf numFmtId="37" fontId="123" fillId="0" borderId="248" xfId="3" applyFont="1" applyBorder="1" applyAlignment="1" applyProtection="1">
      <alignment vertical="center"/>
    </xf>
    <xf numFmtId="37" fontId="19" fillId="0" borderId="249" xfId="5" applyNumberFormat="1" applyFont="1" applyBorder="1" applyAlignment="1" applyProtection="1">
      <alignment vertical="center"/>
      <protection locked="0"/>
    </xf>
    <xf numFmtId="167" fontId="19" fillId="0" borderId="249" xfId="5" applyNumberFormat="1" applyFont="1" applyBorder="1" applyAlignment="1" applyProtection="1">
      <alignment vertical="center"/>
      <protection locked="0"/>
    </xf>
    <xf numFmtId="167" fontId="19" fillId="0" borderId="250" xfId="5" applyNumberFormat="1" applyFont="1" applyBorder="1" applyAlignment="1" applyProtection="1">
      <alignment vertical="center"/>
      <protection locked="0"/>
    </xf>
    <xf numFmtId="37" fontId="19" fillId="0" borderId="243" xfId="5" applyNumberFormat="1" applyFont="1" applyBorder="1" applyAlignment="1" applyProtection="1">
      <alignment vertical="center"/>
      <protection locked="0"/>
    </xf>
    <xf numFmtId="167" fontId="19" fillId="0" borderId="243" xfId="5" applyNumberFormat="1" applyFont="1" applyBorder="1" applyAlignment="1" applyProtection="1">
      <alignment vertical="center"/>
      <protection locked="0"/>
    </xf>
    <xf numFmtId="37" fontId="19" fillId="0" borderId="251" xfId="5" applyNumberFormat="1" applyFont="1" applyBorder="1" applyAlignment="1" applyProtection="1">
      <alignment vertical="center"/>
      <protection locked="0"/>
    </xf>
    <xf numFmtId="167" fontId="19" fillId="0" borderId="252" xfId="5" applyNumberFormat="1" applyFont="1" applyBorder="1" applyAlignment="1" applyProtection="1">
      <alignment vertical="center"/>
      <protection locked="0"/>
    </xf>
    <xf numFmtId="167" fontId="19" fillId="0" borderId="253" xfId="5" applyNumberFormat="1" applyFont="1" applyBorder="1" applyAlignment="1" applyProtection="1">
      <alignment vertical="center"/>
      <protection locked="0"/>
    </xf>
    <xf numFmtId="37" fontId="19" fillId="0" borderId="253" xfId="5" applyNumberFormat="1" applyFont="1" applyBorder="1" applyAlignment="1" applyProtection="1">
      <alignment vertical="center"/>
      <protection locked="0"/>
    </xf>
    <xf numFmtId="3" fontId="19" fillId="0" borderId="253" xfId="5" applyNumberFormat="1" applyFont="1" applyBorder="1" applyAlignment="1" applyProtection="1">
      <alignment vertical="center"/>
      <protection locked="0"/>
    </xf>
    <xf numFmtId="167" fontId="19" fillId="0" borderId="254" xfId="5" applyNumberFormat="1" applyFont="1" applyBorder="1" applyAlignment="1" applyProtection="1">
      <alignment vertical="center"/>
      <protection locked="0"/>
    </xf>
    <xf numFmtId="37" fontId="19" fillId="0" borderId="255" xfId="3" applyFont="1" applyBorder="1" applyAlignment="1" applyProtection="1">
      <alignment vertical="center"/>
    </xf>
    <xf numFmtId="37" fontId="19" fillId="9" borderId="256" xfId="5" applyNumberFormat="1" applyFont="1" applyFill="1" applyBorder="1" applyAlignment="1" applyProtection="1">
      <alignment horizontal="center" vertical="center"/>
      <protection locked="0"/>
    </xf>
    <xf numFmtId="167" fontId="30" fillId="0" borderId="0" xfId="5" applyNumberFormat="1" applyFont="1" applyBorder="1" applyAlignment="1" applyProtection="1">
      <alignment horizontal="right" vertical="center"/>
      <protection locked="0"/>
    </xf>
    <xf numFmtId="37" fontId="30" fillId="0" borderId="229" xfId="3" applyFont="1" applyBorder="1" applyAlignment="1" applyProtection="1">
      <alignment horizontal="center" vertical="center"/>
    </xf>
    <xf numFmtId="37" fontId="30" fillId="0" borderId="230" xfId="3" applyFont="1" applyBorder="1" applyAlignment="1" applyProtection="1">
      <alignment horizontal="center" vertical="center"/>
    </xf>
    <xf numFmtId="37" fontId="30" fillId="0" borderId="257" xfId="3" applyFont="1" applyBorder="1" applyAlignment="1" applyProtection="1">
      <alignment horizontal="center" vertical="center"/>
    </xf>
    <xf numFmtId="37" fontId="19" fillId="9" borderId="225" xfId="5" applyNumberFormat="1" applyFont="1" applyFill="1" applyBorder="1" applyAlignment="1" applyProtection="1">
      <alignment horizontal="center" vertical="center"/>
      <protection locked="0"/>
    </xf>
    <xf numFmtId="37" fontId="19" fillId="0" borderId="244" xfId="3" applyFont="1" applyBorder="1" applyAlignment="1" applyProtection="1">
      <alignment horizontal="centerContinuous" vertical="center"/>
      <protection locked="0"/>
    </xf>
    <xf numFmtId="37" fontId="19" fillId="0" borderId="243" xfId="3" applyFont="1" applyBorder="1" applyAlignment="1" applyProtection="1">
      <alignment horizontal="centerContinuous" vertical="center"/>
      <protection locked="0"/>
    </xf>
    <xf numFmtId="0" fontId="28" fillId="0" borderId="243" xfId="15" applyFont="1" applyBorder="1" applyAlignment="1" applyProtection="1">
      <alignment horizontal="centerContinuous" vertical="center"/>
      <protection locked="0"/>
    </xf>
    <xf numFmtId="9" fontId="30" fillId="9" borderId="219" xfId="5" applyNumberFormat="1" applyFont="1" applyFill="1" applyBorder="1" applyAlignment="1" applyProtection="1">
      <alignment horizontal="right" vertical="center"/>
      <protection locked="0"/>
    </xf>
    <xf numFmtId="9" fontId="30" fillId="9" borderId="220" xfId="5" applyNumberFormat="1" applyFont="1" applyFill="1" applyBorder="1" applyAlignment="1" applyProtection="1">
      <alignment horizontal="right" vertical="center"/>
      <protection locked="0"/>
    </xf>
    <xf numFmtId="37" fontId="19" fillId="0" borderId="258" xfId="3" applyFont="1" applyBorder="1" applyAlignment="1" applyProtection="1">
      <alignment horizontal="centerContinuous" vertical="center"/>
      <protection locked="0"/>
    </xf>
    <xf numFmtId="37" fontId="19" fillId="0" borderId="259" xfId="3" applyFont="1" applyBorder="1" applyAlignment="1" applyProtection="1">
      <alignment horizontal="centerContinuous" vertical="center"/>
      <protection locked="0"/>
    </xf>
    <xf numFmtId="0" fontId="28" fillId="0" borderId="259" xfId="15" applyFont="1" applyBorder="1" applyAlignment="1" applyProtection="1">
      <alignment horizontal="centerContinuous" vertical="center"/>
      <protection locked="0"/>
    </xf>
    <xf numFmtId="37" fontId="28" fillId="0" borderId="256" xfId="5" applyNumberFormat="1" applyFont="1" applyFill="1" applyBorder="1" applyAlignment="1" applyProtection="1">
      <alignment horizontal="right" vertical="center"/>
    </xf>
    <xf numFmtId="37" fontId="28" fillId="0" borderId="260" xfId="5" applyNumberFormat="1" applyFont="1" applyFill="1" applyBorder="1" applyAlignment="1" applyProtection="1">
      <alignment horizontal="right" vertical="center"/>
    </xf>
    <xf numFmtId="37" fontId="19" fillId="0" borderId="261" xfId="3" applyFont="1" applyBorder="1" applyAlignment="1" applyProtection="1">
      <alignment vertical="center"/>
    </xf>
    <xf numFmtId="37" fontId="19" fillId="9" borderId="237" xfId="5" applyNumberFormat="1" applyFont="1" applyFill="1" applyBorder="1" applyAlignment="1" applyProtection="1">
      <alignment horizontal="center" vertical="center"/>
      <protection locked="0"/>
    </xf>
    <xf numFmtId="37" fontId="19" fillId="0" borderId="262" xfId="3" applyFont="1" applyBorder="1" applyAlignment="1" applyProtection="1">
      <alignment horizontal="centerContinuous" vertical="center"/>
      <protection locked="0"/>
    </xf>
    <xf numFmtId="37" fontId="19" fillId="0" borderId="263" xfId="3" applyFont="1" applyBorder="1" applyAlignment="1" applyProtection="1">
      <alignment horizontal="centerContinuous" vertical="center"/>
      <protection locked="0"/>
    </xf>
    <xf numFmtId="0" fontId="28" fillId="0" borderId="263" xfId="15" applyFont="1" applyBorder="1" applyAlignment="1" applyProtection="1">
      <alignment horizontal="centerContinuous" vertical="center"/>
      <protection locked="0"/>
    </xf>
    <xf numFmtId="37" fontId="28" fillId="0" borderId="225" xfId="5" applyNumberFormat="1" applyFont="1" applyFill="1" applyBorder="1" applyAlignment="1" applyProtection="1">
      <alignment horizontal="right" vertical="center"/>
    </xf>
    <xf numFmtId="37" fontId="28" fillId="0" borderId="226" xfId="5" applyNumberFormat="1" applyFont="1" applyFill="1" applyBorder="1" applyAlignment="1" applyProtection="1">
      <alignment horizontal="right" vertical="center"/>
    </xf>
    <xf numFmtId="37" fontId="19" fillId="0" borderId="264" xfId="3" applyFont="1" applyBorder="1" applyAlignment="1" applyProtection="1">
      <alignment horizontal="centerContinuous" vertical="center"/>
      <protection locked="0"/>
    </xf>
    <xf numFmtId="37" fontId="19" fillId="0" borderId="265" xfId="3" applyFont="1" applyBorder="1" applyAlignment="1" applyProtection="1">
      <alignment horizontal="centerContinuous" vertical="center"/>
      <protection locked="0"/>
    </xf>
    <xf numFmtId="0" fontId="28" fillId="0" borderId="265" xfId="15" applyFont="1" applyBorder="1" applyAlignment="1" applyProtection="1">
      <alignment horizontal="centerContinuous" vertical="center"/>
      <protection locked="0"/>
    </xf>
    <xf numFmtId="37" fontId="28" fillId="0" borderId="237" xfId="5" applyNumberFormat="1" applyFont="1" applyFill="1" applyBorder="1" applyAlignment="1" applyProtection="1">
      <alignment horizontal="right" vertical="center"/>
    </xf>
    <xf numFmtId="37" fontId="28" fillId="0" borderId="238" xfId="5" applyNumberFormat="1" applyFont="1" applyFill="1" applyBorder="1" applyAlignment="1" applyProtection="1">
      <alignment horizontal="right" vertical="center"/>
    </xf>
    <xf numFmtId="37" fontId="19" fillId="0" borderId="266" xfId="3" applyFont="1" applyBorder="1" applyAlignment="1" applyProtection="1">
      <alignment vertical="center"/>
    </xf>
    <xf numFmtId="37" fontId="19" fillId="9" borderId="267" xfId="3" applyFont="1" applyFill="1" applyBorder="1" applyAlignment="1" applyProtection="1">
      <alignment horizontal="center" vertical="center"/>
      <protection locked="0"/>
    </xf>
    <xf numFmtId="9" fontId="19" fillId="0" borderId="0" xfId="5" applyFont="1" applyBorder="1" applyAlignment="1" applyProtection="1">
      <alignment vertical="center"/>
      <protection locked="0"/>
    </xf>
    <xf numFmtId="167" fontId="30" fillId="9" borderId="219" xfId="3" applyNumberFormat="1" applyFont="1" applyFill="1" applyBorder="1" applyAlignment="1" applyProtection="1">
      <alignment vertical="center"/>
      <protection locked="0"/>
    </xf>
    <xf numFmtId="167" fontId="30" fillId="9" borderId="220" xfId="3" applyNumberFormat="1" applyFont="1" applyFill="1" applyBorder="1" applyAlignment="1" applyProtection="1">
      <alignment vertical="center"/>
      <protection locked="0"/>
    </xf>
    <xf numFmtId="37" fontId="19" fillId="0" borderId="232" xfId="3" quotePrefix="1" applyFont="1" applyBorder="1" applyAlignment="1" applyProtection="1">
      <alignment vertical="center"/>
    </xf>
    <xf numFmtId="37" fontId="19" fillId="0" borderId="252" xfId="3" applyFont="1" applyBorder="1" applyAlignment="1" applyProtection="1">
      <alignment horizontal="centerContinuous" vertical="center"/>
      <protection locked="0"/>
    </xf>
    <xf numFmtId="37" fontId="19" fillId="0" borderId="253" xfId="3" applyFont="1" applyBorder="1" applyAlignment="1" applyProtection="1">
      <alignment horizontal="centerContinuous" vertical="center"/>
      <protection locked="0"/>
    </xf>
    <xf numFmtId="0" fontId="28" fillId="0" borderId="253" xfId="15" applyFont="1" applyBorder="1" applyAlignment="1" applyProtection="1">
      <alignment horizontal="centerContinuous" vertical="center"/>
      <protection locked="0"/>
    </xf>
    <xf numFmtId="37" fontId="28" fillId="0" borderId="229" xfId="5" applyNumberFormat="1" applyFont="1" applyBorder="1" applyAlignment="1" applyProtection="1">
      <alignment vertical="center"/>
    </xf>
    <xf numFmtId="37" fontId="28" fillId="0" borderId="252" xfId="5" applyNumberFormat="1" applyFont="1" applyBorder="1" applyAlignment="1" applyProtection="1">
      <alignment vertical="center"/>
    </xf>
    <xf numFmtId="37" fontId="28" fillId="0" borderId="219" xfId="5" applyNumberFormat="1" applyFont="1" applyBorder="1" applyAlignment="1" applyProtection="1">
      <alignment vertical="center"/>
    </xf>
    <xf numFmtId="3" fontId="28" fillId="0" borderId="0" xfId="5" applyNumberFormat="1" applyFont="1" applyFill="1" applyBorder="1" applyAlignment="1" applyProtection="1">
      <alignment horizontal="right" vertical="center"/>
      <protection locked="0"/>
    </xf>
    <xf numFmtId="3" fontId="28" fillId="0" borderId="0" xfId="5" quotePrefix="1" applyNumberFormat="1" applyFont="1" applyFill="1" applyBorder="1" applyAlignment="1" applyProtection="1">
      <alignment horizontal="right" vertical="center"/>
      <protection locked="0"/>
    </xf>
    <xf numFmtId="3" fontId="28" fillId="0" borderId="268" xfId="5" applyNumberFormat="1" applyFont="1" applyFill="1" applyBorder="1" applyAlignment="1" applyProtection="1">
      <alignment horizontal="right" vertical="center"/>
      <protection locked="0"/>
    </xf>
    <xf numFmtId="3" fontId="28" fillId="0" borderId="147" xfId="5" applyNumberFormat="1" applyFont="1" applyBorder="1" applyAlignment="1" applyProtection="1">
      <alignment vertical="center"/>
      <protection locked="0"/>
    </xf>
    <xf numFmtId="37" fontId="19" fillId="0" borderId="269" xfId="3" quotePrefix="1" applyFont="1" applyBorder="1" applyAlignment="1" applyProtection="1">
      <alignment vertical="center"/>
    </xf>
    <xf numFmtId="37" fontId="19" fillId="0" borderId="270" xfId="3" quotePrefix="1" applyFont="1" applyBorder="1" applyAlignment="1" applyProtection="1">
      <alignment vertical="center"/>
    </xf>
    <xf numFmtId="37" fontId="19" fillId="9" borderId="223" xfId="5" applyNumberFormat="1" applyFont="1" applyFill="1" applyBorder="1" applyAlignment="1" applyProtection="1">
      <alignment horizontal="center" vertical="center"/>
      <protection locked="0"/>
    </xf>
    <xf numFmtId="167" fontId="30" fillId="0" borderId="218" xfId="5" quotePrefix="1" applyNumberFormat="1" applyFont="1" applyBorder="1" applyAlignment="1" applyProtection="1">
      <alignment horizontal="right" vertical="center"/>
      <protection locked="0"/>
    </xf>
    <xf numFmtId="37" fontId="30" fillId="0" borderId="219" xfId="3" applyFont="1" applyBorder="1" applyAlignment="1" applyProtection="1">
      <alignment horizontal="center" vertical="center"/>
    </xf>
    <xf numFmtId="37" fontId="30" fillId="0" borderId="220" xfId="3" applyFont="1" applyBorder="1" applyAlignment="1" applyProtection="1">
      <alignment horizontal="center" vertical="center"/>
    </xf>
    <xf numFmtId="9" fontId="30" fillId="9" borderId="229" xfId="5" applyNumberFormat="1" applyFont="1" applyFill="1" applyBorder="1" applyAlignment="1" applyProtection="1">
      <alignment horizontal="right" vertical="center"/>
      <protection locked="0"/>
    </xf>
    <xf numFmtId="9" fontId="30" fillId="9" borderId="230" xfId="5" applyNumberFormat="1" applyFont="1" applyFill="1" applyBorder="1" applyAlignment="1" applyProtection="1">
      <alignment horizontal="right" vertical="center"/>
      <protection locked="0"/>
    </xf>
    <xf numFmtId="37" fontId="28" fillId="0" borderId="223" xfId="5" applyNumberFormat="1" applyFont="1" applyFill="1" applyBorder="1" applyAlignment="1" applyProtection="1">
      <alignment horizontal="right" vertical="center"/>
    </xf>
    <xf numFmtId="37" fontId="28" fillId="0" borderId="224" xfId="5" applyNumberFormat="1" applyFont="1" applyFill="1" applyBorder="1" applyAlignment="1" applyProtection="1">
      <alignment horizontal="right" vertical="center"/>
    </xf>
    <xf numFmtId="37" fontId="19" fillId="0" borderId="261" xfId="3" quotePrefix="1" applyFont="1" applyBorder="1" applyAlignment="1" applyProtection="1">
      <alignment vertical="center"/>
    </xf>
    <xf numFmtId="37" fontId="28" fillId="0" borderId="227" xfId="5" applyNumberFormat="1" applyFont="1" applyFill="1" applyBorder="1" applyAlignment="1" applyProtection="1">
      <alignment horizontal="right" vertical="center"/>
    </xf>
    <xf numFmtId="37" fontId="28" fillId="0" borderId="228" xfId="5" applyNumberFormat="1" applyFont="1" applyFill="1" applyBorder="1" applyAlignment="1" applyProtection="1">
      <alignment horizontal="right" vertical="center"/>
    </xf>
    <xf numFmtId="37" fontId="19" fillId="0" borderId="266" xfId="3" quotePrefix="1" applyFont="1" applyBorder="1" applyAlignment="1" applyProtection="1">
      <alignment vertical="center"/>
    </xf>
    <xf numFmtId="37" fontId="28" fillId="0" borderId="220" xfId="5" applyNumberFormat="1" applyFont="1" applyBorder="1" applyAlignment="1" applyProtection="1">
      <alignment vertical="center"/>
    </xf>
    <xf numFmtId="3" fontId="124" fillId="0" borderId="0" xfId="5" applyNumberFormat="1" applyFont="1" applyFill="1" applyBorder="1" applyAlignment="1" applyProtection="1">
      <alignment horizontal="right" vertical="center"/>
      <protection locked="0"/>
    </xf>
    <xf numFmtId="3" fontId="124" fillId="0" borderId="268" xfId="5" applyNumberFormat="1" applyFont="1" applyFill="1" applyBorder="1" applyAlignment="1" applyProtection="1">
      <alignment horizontal="right" vertical="center"/>
      <protection locked="0"/>
    </xf>
    <xf numFmtId="3" fontId="124" fillId="0" borderId="271" xfId="5" applyNumberFormat="1" applyFont="1" applyBorder="1" applyAlignment="1" applyProtection="1">
      <alignment vertical="center"/>
      <protection locked="0"/>
    </xf>
    <xf numFmtId="37" fontId="19" fillId="0" borderId="255" xfId="3" quotePrefix="1" applyFont="1" applyBorder="1" applyAlignment="1" applyProtection="1">
      <alignment vertical="center"/>
    </xf>
    <xf numFmtId="167" fontId="30" fillId="0" borderId="0" xfId="5" quotePrefix="1" applyNumberFormat="1" applyFont="1" applyBorder="1" applyAlignment="1" applyProtection="1">
      <alignment horizontal="right" vertical="center"/>
      <protection locked="0"/>
    </xf>
    <xf numFmtId="37" fontId="28" fillId="0" borderId="230" xfId="5" applyNumberFormat="1" applyFont="1" applyBorder="1" applyAlignment="1" applyProtection="1">
      <alignment vertical="center"/>
    </xf>
    <xf numFmtId="37" fontId="30" fillId="0" borderId="272" xfId="3" applyFont="1" applyBorder="1" applyAlignment="1" applyProtection="1">
      <alignment vertical="center"/>
    </xf>
    <xf numFmtId="37" fontId="30" fillId="0" borderId="243" xfId="5" applyNumberFormat="1" applyFont="1" applyBorder="1" applyAlignment="1" applyProtection="1">
      <alignment vertical="center"/>
      <protection locked="0"/>
    </xf>
    <xf numFmtId="167" fontId="30" fillId="0" borderId="243" xfId="5" applyNumberFormat="1" applyFont="1" applyBorder="1" applyAlignment="1" applyProtection="1">
      <alignment vertical="center"/>
      <protection locked="0"/>
    </xf>
    <xf numFmtId="37" fontId="30" fillId="0" borderId="219" xfId="5" applyNumberFormat="1" applyFont="1" applyFill="1" applyBorder="1" applyAlignment="1" applyProtection="1">
      <alignment horizontal="right" vertical="center"/>
      <protection locked="0"/>
    </xf>
    <xf numFmtId="37" fontId="30" fillId="0" borderId="220" xfId="5" applyNumberFormat="1" applyFont="1" applyFill="1" applyBorder="1" applyAlignment="1" applyProtection="1">
      <alignment horizontal="right" vertical="center"/>
      <protection locked="0"/>
    </xf>
    <xf numFmtId="37" fontId="30" fillId="0" borderId="219" xfId="5" applyNumberFormat="1" applyFont="1" applyFill="1" applyBorder="1" applyAlignment="1" applyProtection="1">
      <alignment horizontal="right" vertical="center"/>
    </xf>
    <xf numFmtId="37" fontId="30" fillId="0" borderId="220" xfId="5" applyNumberFormat="1" applyFont="1" applyFill="1" applyBorder="1" applyAlignment="1" applyProtection="1">
      <alignment horizontal="right" vertical="center"/>
    </xf>
    <xf numFmtId="167" fontId="30" fillId="0" borderId="0" xfId="5" applyNumberFormat="1" applyFont="1" applyBorder="1" applyAlignment="1" applyProtection="1">
      <alignment horizontal="left" vertical="center"/>
      <protection locked="0"/>
    </xf>
    <xf numFmtId="37" fontId="30" fillId="0" borderId="273" xfId="3" applyFont="1" applyBorder="1" applyAlignment="1" applyProtection="1">
      <alignment vertical="center"/>
    </xf>
    <xf numFmtId="37" fontId="30" fillId="0" borderId="274" xfId="5" applyNumberFormat="1" applyFont="1" applyBorder="1" applyAlignment="1" applyProtection="1">
      <alignment vertical="center"/>
      <protection locked="0"/>
    </xf>
    <xf numFmtId="167" fontId="30" fillId="0" borderId="274" xfId="5" applyNumberFormat="1" applyFont="1" applyBorder="1" applyAlignment="1" applyProtection="1">
      <alignment vertical="center"/>
      <protection locked="0"/>
    </xf>
    <xf numFmtId="37" fontId="30" fillId="0" borderId="275" xfId="5" applyNumberFormat="1" applyFont="1" applyFill="1" applyBorder="1" applyAlignment="1" applyProtection="1">
      <alignment horizontal="right" vertical="center"/>
    </xf>
    <xf numFmtId="37" fontId="30" fillId="0" borderId="276" xfId="5" applyNumberFormat="1" applyFont="1" applyFill="1" applyBorder="1" applyAlignment="1" applyProtection="1">
      <alignment horizontal="right" vertical="center"/>
    </xf>
    <xf numFmtId="167" fontId="30" fillId="0" borderId="151" xfId="5" applyNumberFormat="1" applyFont="1" applyBorder="1" applyAlignment="1" applyProtection="1">
      <alignment vertical="center"/>
      <protection locked="0"/>
    </xf>
    <xf numFmtId="167" fontId="30" fillId="0" borderId="0" xfId="5" applyNumberFormat="1" applyFont="1" applyAlignment="1" applyProtection="1">
      <alignment vertical="center"/>
      <protection locked="0"/>
    </xf>
    <xf numFmtId="167" fontId="30" fillId="0" borderId="0" xfId="5" applyNumberFormat="1" applyFont="1" applyAlignment="1" applyProtection="1">
      <alignment vertical="center"/>
    </xf>
    <xf numFmtId="167" fontId="30" fillId="0" borderId="0" xfId="5" applyNumberFormat="1" applyFont="1" applyBorder="1" applyAlignment="1" applyProtection="1">
      <alignment vertical="center"/>
      <protection locked="0"/>
    </xf>
    <xf numFmtId="1" fontId="30" fillId="0" borderId="0" xfId="5" applyNumberFormat="1" applyFont="1" applyBorder="1" applyAlignment="1" applyProtection="1">
      <alignment vertical="center"/>
      <protection locked="0"/>
    </xf>
    <xf numFmtId="167" fontId="30" fillId="0" borderId="277" xfId="5" applyNumberFormat="1" applyFont="1" applyBorder="1" applyAlignment="1" applyProtection="1">
      <alignment vertical="center"/>
      <protection locked="0"/>
    </xf>
    <xf numFmtId="37" fontId="31" fillId="0" borderId="278" xfId="3" applyFont="1" applyBorder="1" applyAlignment="1" applyProtection="1">
      <alignment vertical="center"/>
    </xf>
    <xf numFmtId="37" fontId="19" fillId="0" borderId="279" xfId="5" applyNumberFormat="1" applyFont="1" applyBorder="1" applyAlignment="1" applyProtection="1">
      <alignment vertical="center"/>
      <protection locked="0"/>
    </xf>
    <xf numFmtId="167" fontId="19" fillId="0" borderId="139" xfId="5" applyNumberFormat="1" applyFont="1" applyBorder="1" applyAlignment="1" applyProtection="1">
      <alignment vertical="center"/>
      <protection locked="0"/>
    </xf>
    <xf numFmtId="37" fontId="19" fillId="0" borderId="139" xfId="5" applyNumberFormat="1" applyFont="1" applyBorder="1" applyAlignment="1" applyProtection="1">
      <alignment vertical="center"/>
      <protection locked="0"/>
    </xf>
    <xf numFmtId="37" fontId="30" fillId="0" borderId="63" xfId="3" applyFont="1" applyBorder="1" applyAlignment="1" applyProtection="1">
      <alignment horizontal="center" vertical="center"/>
    </xf>
    <xf numFmtId="37" fontId="30" fillId="0" borderId="64" xfId="3" applyFont="1" applyBorder="1" applyAlignment="1" applyProtection="1">
      <alignment horizontal="center" vertical="center"/>
    </xf>
    <xf numFmtId="37" fontId="31" fillId="0" borderId="280" xfId="3" applyFont="1" applyBorder="1" applyAlignment="1" applyProtection="1">
      <alignment vertical="center"/>
    </xf>
    <xf numFmtId="37" fontId="30" fillId="0" borderId="47" xfId="3" applyFont="1" applyFill="1" applyBorder="1" applyAlignment="1" applyProtection="1">
      <alignment horizontal="center" vertical="center"/>
      <protection locked="0"/>
    </xf>
    <xf numFmtId="37" fontId="30" fillId="0" borderId="281" xfId="3" applyFont="1" applyFill="1" applyBorder="1" applyAlignment="1" applyProtection="1">
      <alignment horizontal="center" vertical="center"/>
    </xf>
    <xf numFmtId="37" fontId="19" fillId="0" borderId="282" xfId="3" applyFont="1" applyBorder="1" applyAlignment="1" applyProtection="1">
      <alignment vertical="center"/>
    </xf>
    <xf numFmtId="37" fontId="19" fillId="0" borderId="146" xfId="3" applyFont="1" applyBorder="1" applyAlignment="1" applyProtection="1">
      <alignment vertical="center"/>
      <protection locked="0"/>
    </xf>
    <xf numFmtId="9" fontId="19" fillId="0" borderId="146" xfId="5" applyFont="1" applyBorder="1" applyAlignment="1" applyProtection="1">
      <alignment vertical="center"/>
    </xf>
    <xf numFmtId="167" fontId="30" fillId="9" borderId="47" xfId="5" applyNumberFormat="1" applyFont="1" applyFill="1" applyBorder="1" applyAlignment="1" applyProtection="1">
      <alignment horizontal="right" vertical="center"/>
      <protection locked="0"/>
    </xf>
    <xf numFmtId="167" fontId="30" fillId="9" borderId="281" xfId="5" applyNumberFormat="1" applyFont="1" applyFill="1" applyBorder="1" applyAlignment="1" applyProtection="1">
      <alignment horizontal="right" vertical="center"/>
      <protection locked="0"/>
    </xf>
    <xf numFmtId="37" fontId="19" fillId="0" borderId="283" xfId="3" applyFont="1" applyBorder="1" applyAlignment="1" applyProtection="1">
      <alignment vertical="center"/>
    </xf>
    <xf numFmtId="37" fontId="19" fillId="0" borderId="284" xfId="5" applyNumberFormat="1" applyFont="1" applyBorder="1" applyAlignment="1" applyProtection="1">
      <alignment vertical="center"/>
      <protection locked="0"/>
    </xf>
    <xf numFmtId="167" fontId="19" fillId="0" borderId="144" xfId="5" applyNumberFormat="1" applyFont="1" applyBorder="1" applyAlignment="1" applyProtection="1">
      <alignment vertical="center"/>
      <protection locked="0"/>
    </xf>
    <xf numFmtId="37" fontId="19" fillId="0" borderId="284" xfId="5" applyNumberFormat="1" applyFont="1" applyBorder="1" applyAlignment="1" applyProtection="1">
      <alignment vertical="center"/>
    </xf>
    <xf numFmtId="37" fontId="28" fillId="0" borderId="285" xfId="5" applyNumberFormat="1" applyFont="1" applyFill="1" applyBorder="1" applyAlignment="1" applyProtection="1">
      <alignment horizontal="right" vertical="center"/>
    </xf>
    <xf numFmtId="37" fontId="28" fillId="0" borderId="286" xfId="5" applyNumberFormat="1" applyFont="1" applyFill="1" applyBorder="1" applyAlignment="1" applyProtection="1">
      <alignment horizontal="right" vertical="center"/>
    </xf>
    <xf numFmtId="37" fontId="19" fillId="0" borderId="139" xfId="3" applyFont="1" applyBorder="1" applyAlignment="1" applyProtection="1">
      <alignment vertical="center"/>
      <protection locked="0"/>
    </xf>
    <xf numFmtId="37" fontId="125" fillId="0" borderId="287" xfId="3" applyFont="1" applyFill="1" applyBorder="1" applyAlignment="1" applyProtection="1">
      <alignment vertical="center"/>
    </xf>
    <xf numFmtId="37" fontId="19" fillId="0" borderId="288" xfId="3" applyFont="1" applyFill="1" applyBorder="1" applyAlignment="1" applyProtection="1">
      <alignment vertical="center"/>
      <protection locked="0"/>
    </xf>
    <xf numFmtId="37" fontId="19" fillId="0" borderId="288" xfId="3" applyFont="1" applyBorder="1" applyAlignment="1" applyProtection="1">
      <alignment vertical="center"/>
      <protection locked="0"/>
    </xf>
    <xf numFmtId="37" fontId="19" fillId="0" borderId="56" xfId="3" applyFont="1" applyBorder="1" applyAlignment="1" applyProtection="1">
      <alignment vertical="center"/>
      <protection locked="0"/>
    </xf>
    <xf numFmtId="167" fontId="19" fillId="0" borderId="48" xfId="5" applyNumberFormat="1" applyFont="1" applyBorder="1" applyAlignment="1" applyProtection="1">
      <alignment vertical="center"/>
      <protection locked="0"/>
    </xf>
    <xf numFmtId="37" fontId="19" fillId="0" borderId="289" xfId="3" applyFont="1" applyBorder="1" applyAlignment="1" applyProtection="1">
      <alignment vertical="center"/>
    </xf>
    <xf numFmtId="37" fontId="19" fillId="9" borderId="290" xfId="3" applyFont="1" applyFill="1" applyBorder="1" applyAlignment="1" applyProtection="1">
      <alignment horizontal="center" vertical="center"/>
      <protection locked="0"/>
    </xf>
    <xf numFmtId="37" fontId="19" fillId="0" borderId="57" xfId="3" applyFont="1" applyBorder="1" applyAlignment="1" applyProtection="1">
      <alignment vertical="center"/>
      <protection locked="0"/>
    </xf>
    <xf numFmtId="37" fontId="19" fillId="0" borderId="57" xfId="3" applyFont="1" applyBorder="1" applyAlignment="1" applyProtection="1">
      <alignment horizontal="center" vertical="center"/>
      <protection locked="0"/>
    </xf>
    <xf numFmtId="0" fontId="28" fillId="0" borderId="57" xfId="15" applyFont="1" applyBorder="1" applyAlignment="1" applyProtection="1">
      <alignment vertical="center"/>
      <protection locked="0"/>
    </xf>
    <xf numFmtId="0" fontId="30" fillId="0" borderId="291" xfId="15" applyFont="1" applyBorder="1" applyAlignment="1" applyProtection="1">
      <alignment horizontal="right" vertical="center"/>
      <protection locked="0"/>
    </xf>
    <xf numFmtId="37" fontId="30" fillId="0" borderId="292" xfId="3" applyFont="1" applyBorder="1" applyAlignment="1" applyProtection="1">
      <alignment horizontal="center" vertical="center"/>
    </xf>
    <xf numFmtId="37" fontId="30" fillId="0" borderId="293" xfId="3" applyFont="1" applyBorder="1" applyAlignment="1" applyProtection="1">
      <alignment horizontal="center" vertical="center"/>
    </xf>
    <xf numFmtId="37" fontId="19" fillId="0" borderId="294" xfId="3" applyFont="1" applyBorder="1" applyAlignment="1" applyProtection="1">
      <alignment vertical="center"/>
    </xf>
    <xf numFmtId="37" fontId="19" fillId="9" borderId="295" xfId="3" applyFont="1" applyFill="1" applyBorder="1" applyAlignment="1" applyProtection="1">
      <alignment horizontal="center" vertical="center"/>
      <protection locked="0"/>
    </xf>
    <xf numFmtId="37" fontId="30" fillId="0" borderId="296" xfId="3" applyFont="1" applyBorder="1" applyAlignment="1" applyProtection="1">
      <alignment horizontal="center" vertical="center"/>
    </xf>
    <xf numFmtId="37" fontId="30" fillId="0" borderId="297" xfId="3" applyFont="1" applyBorder="1" applyAlignment="1" applyProtection="1">
      <alignment horizontal="center" vertical="center"/>
    </xf>
    <xf numFmtId="37" fontId="19" fillId="0" borderId="298" xfId="3" applyFont="1" applyBorder="1" applyAlignment="1" applyProtection="1">
      <alignment horizontal="centerContinuous" vertical="center"/>
      <protection locked="0"/>
    </xf>
    <xf numFmtId="37" fontId="19" fillId="0" borderId="299" xfId="3" applyFont="1" applyBorder="1" applyAlignment="1" applyProtection="1">
      <alignment horizontal="centerContinuous" vertical="center"/>
      <protection locked="0"/>
    </xf>
    <xf numFmtId="0" fontId="28" fillId="0" borderId="299" xfId="15" applyFont="1" applyBorder="1" applyAlignment="1" applyProtection="1">
      <alignment horizontal="centerContinuous" vertical="center"/>
      <protection locked="0"/>
    </xf>
    <xf numFmtId="9" fontId="30" fillId="9" borderId="296" xfId="5" applyFont="1" applyFill="1" applyBorder="1" applyAlignment="1" applyProtection="1">
      <alignment horizontal="right" vertical="center"/>
      <protection locked="0"/>
    </xf>
    <xf numFmtId="9" fontId="30" fillId="9" borderId="297" xfId="5" applyFont="1" applyFill="1" applyBorder="1" applyAlignment="1" applyProtection="1">
      <alignment horizontal="right" vertical="center"/>
      <protection locked="0"/>
    </xf>
    <xf numFmtId="9" fontId="19" fillId="0" borderId="0" xfId="5" applyFont="1" applyFill="1" applyBorder="1" applyAlignment="1" applyProtection="1">
      <alignment vertical="center"/>
      <protection locked="0"/>
    </xf>
    <xf numFmtId="37" fontId="19" fillId="0" borderId="300" xfId="3" applyFont="1" applyBorder="1" applyAlignment="1" applyProtection="1">
      <alignment horizontal="centerContinuous" vertical="center"/>
      <protection locked="0"/>
    </xf>
    <xf numFmtId="37" fontId="19" fillId="0" borderId="301" xfId="3" applyFont="1" applyBorder="1" applyAlignment="1" applyProtection="1">
      <alignment horizontal="centerContinuous" vertical="center"/>
      <protection locked="0"/>
    </xf>
    <xf numFmtId="0" fontId="28" fillId="0" borderId="301" xfId="15" applyFont="1" applyBorder="1" applyAlignment="1" applyProtection="1">
      <alignment horizontal="centerContinuous" vertical="center"/>
      <protection locked="0"/>
    </xf>
    <xf numFmtId="37" fontId="28" fillId="0" borderId="302" xfId="3" applyFont="1" applyBorder="1" applyAlignment="1" applyProtection="1">
      <alignment horizontal="right" vertical="center"/>
    </xf>
    <xf numFmtId="37" fontId="28" fillId="0" borderId="303" xfId="3" applyFont="1" applyBorder="1" applyAlignment="1" applyProtection="1">
      <alignment horizontal="right" vertical="center"/>
    </xf>
    <xf numFmtId="37" fontId="19" fillId="0" borderId="304" xfId="3" applyFont="1" applyBorder="1" applyAlignment="1" applyProtection="1">
      <alignment horizontal="centerContinuous" vertical="center"/>
      <protection locked="0"/>
    </xf>
    <xf numFmtId="37" fontId="19" fillId="0" borderId="54" xfId="3" applyFont="1" applyBorder="1" applyAlignment="1" applyProtection="1">
      <alignment horizontal="centerContinuous" vertical="center"/>
      <protection locked="0"/>
    </xf>
    <xf numFmtId="0" fontId="28" fillId="0" borderId="54" xfId="15" applyFont="1" applyBorder="1" applyAlignment="1" applyProtection="1">
      <alignment horizontal="centerContinuous" vertical="center"/>
      <protection locked="0"/>
    </xf>
    <xf numFmtId="37" fontId="28" fillId="0" borderId="295" xfId="3" applyFont="1" applyBorder="1" applyAlignment="1" applyProtection="1">
      <alignment horizontal="right" vertical="center"/>
    </xf>
    <xf numFmtId="37" fontId="28" fillId="0" borderId="305" xfId="3" applyFont="1" applyBorder="1" applyAlignment="1" applyProtection="1">
      <alignment horizontal="right" vertical="center"/>
    </xf>
    <xf numFmtId="37" fontId="19" fillId="0" borderId="306" xfId="3" applyFont="1" applyBorder="1" applyAlignment="1" applyProtection="1">
      <alignment horizontal="centerContinuous" vertical="center"/>
      <protection locked="0"/>
    </xf>
    <xf numFmtId="37" fontId="19" fillId="0" borderId="58" xfId="3" applyFont="1" applyBorder="1" applyAlignment="1" applyProtection="1">
      <alignment horizontal="centerContinuous" vertical="center"/>
      <protection locked="0"/>
    </xf>
    <xf numFmtId="0" fontId="28" fillId="0" borderId="58" xfId="15" applyFont="1" applyBorder="1" applyAlignment="1" applyProtection="1">
      <alignment horizontal="centerContinuous" vertical="center"/>
      <protection locked="0"/>
    </xf>
    <xf numFmtId="37" fontId="28" fillId="0" borderId="307" xfId="3" applyFont="1" applyFill="1" applyBorder="1" applyAlignment="1" applyProtection="1">
      <alignment vertical="center"/>
    </xf>
    <xf numFmtId="37" fontId="28" fillId="0" borderId="308" xfId="3" applyFont="1" applyFill="1" applyBorder="1" applyAlignment="1" applyProtection="1">
      <alignment vertical="center"/>
    </xf>
    <xf numFmtId="37" fontId="19" fillId="0" borderId="309" xfId="3" applyFont="1" applyBorder="1" applyAlignment="1" applyProtection="1">
      <alignment vertical="center"/>
    </xf>
    <xf numFmtId="37" fontId="19" fillId="9" borderId="307" xfId="3" applyFont="1" applyFill="1" applyBorder="1" applyAlignment="1" applyProtection="1">
      <alignment horizontal="center" vertical="center"/>
      <protection locked="0"/>
    </xf>
    <xf numFmtId="167" fontId="30" fillId="9" borderId="296" xfId="3" applyNumberFormat="1" applyFont="1" applyFill="1" applyBorder="1" applyAlignment="1" applyProtection="1">
      <alignment vertical="center"/>
      <protection locked="0"/>
    </xf>
    <xf numFmtId="167" fontId="30" fillId="9" borderId="297" xfId="3" applyNumberFormat="1" applyFont="1" applyFill="1" applyBorder="1" applyAlignment="1" applyProtection="1">
      <alignment vertical="center"/>
      <protection locked="0"/>
    </xf>
    <xf numFmtId="37" fontId="19" fillId="0" borderId="52" xfId="3" applyFont="1" applyBorder="1" applyAlignment="1" applyProtection="1">
      <alignment vertical="center"/>
    </xf>
    <xf numFmtId="37" fontId="28" fillId="0" borderId="296" xfId="3" applyFont="1" applyBorder="1" applyAlignment="1" applyProtection="1">
      <alignment horizontal="right" vertical="center"/>
    </xf>
    <xf numFmtId="37" fontId="28" fillId="0" borderId="297" xfId="3" applyFont="1" applyBorder="1" applyAlignment="1" applyProtection="1">
      <alignment horizontal="right" vertical="center"/>
    </xf>
    <xf numFmtId="3" fontId="124" fillId="0" borderId="53" xfId="5" applyNumberFormat="1" applyFont="1" applyFill="1" applyBorder="1" applyAlignment="1" applyProtection="1">
      <alignment horizontal="right" vertical="center"/>
      <protection locked="0"/>
    </xf>
    <xf numFmtId="3" fontId="124" fillId="0" borderId="147" xfId="5" applyNumberFormat="1" applyFont="1" applyBorder="1" applyAlignment="1" applyProtection="1">
      <alignment vertical="center"/>
      <protection locked="0"/>
    </xf>
    <xf numFmtId="37" fontId="19" fillId="0" borderId="310" xfId="3" applyFont="1" applyBorder="1" applyAlignment="1" applyProtection="1">
      <alignment vertical="center"/>
    </xf>
    <xf numFmtId="37" fontId="19" fillId="0" borderId="311" xfId="3" applyFont="1" applyBorder="1" applyAlignment="1" applyProtection="1">
      <alignment vertical="center"/>
      <protection locked="0"/>
    </xf>
    <xf numFmtId="37" fontId="19" fillId="0" borderId="311" xfId="3" applyFont="1" applyBorder="1" applyAlignment="1" applyProtection="1">
      <alignment horizontal="center" vertical="center"/>
      <protection locked="0"/>
    </xf>
    <xf numFmtId="0" fontId="28" fillId="0" borderId="311" xfId="15" applyFont="1" applyBorder="1" applyAlignment="1" applyProtection="1">
      <alignment vertical="center"/>
      <protection locked="0"/>
    </xf>
    <xf numFmtId="0" fontId="28" fillId="0" borderId="311" xfId="15" applyFont="1" applyFill="1" applyBorder="1" applyAlignment="1" applyProtection="1">
      <alignment vertical="center"/>
      <protection locked="0"/>
    </xf>
    <xf numFmtId="37" fontId="19" fillId="0" borderId="311" xfId="3" applyFont="1" applyFill="1" applyBorder="1" applyAlignment="1" applyProtection="1">
      <alignment vertical="center"/>
      <protection locked="0"/>
    </xf>
    <xf numFmtId="37" fontId="28" fillId="0" borderId="311" xfId="3" applyFont="1" applyFill="1" applyBorder="1" applyAlignment="1" applyProtection="1">
      <alignment vertical="center"/>
      <protection locked="0"/>
    </xf>
    <xf numFmtId="37" fontId="19" fillId="0" borderId="312" xfId="3" applyFont="1" applyBorder="1" applyAlignment="1" applyProtection="1">
      <alignment vertical="center"/>
      <protection locked="0"/>
    </xf>
    <xf numFmtId="37" fontId="19" fillId="0" borderId="313" xfId="3" applyFont="1" applyBorder="1" applyAlignment="1" applyProtection="1">
      <alignment vertical="center"/>
      <protection locked="0"/>
    </xf>
    <xf numFmtId="37" fontId="19" fillId="0" borderId="314" xfId="3" quotePrefix="1" applyFont="1" applyBorder="1" applyAlignment="1" applyProtection="1">
      <alignment vertical="center"/>
    </xf>
    <xf numFmtId="37" fontId="19" fillId="9" borderId="315" xfId="3" applyFont="1" applyFill="1" applyBorder="1" applyAlignment="1" applyProtection="1">
      <alignment horizontal="center" vertical="center"/>
      <protection locked="0"/>
    </xf>
    <xf numFmtId="0" fontId="30" fillId="0" borderId="0" xfId="15" quotePrefix="1" applyFont="1" applyBorder="1" applyAlignment="1" applyProtection="1">
      <alignment horizontal="right" vertical="center"/>
      <protection locked="0"/>
    </xf>
    <xf numFmtId="37" fontId="30" fillId="0" borderId="316" xfId="3" applyFont="1" applyBorder="1" applyAlignment="1" applyProtection="1">
      <alignment horizontal="center" vertical="center"/>
    </xf>
    <xf numFmtId="37" fontId="30" fillId="0" borderId="317" xfId="3" applyFont="1" applyBorder="1" applyAlignment="1" applyProtection="1">
      <alignment horizontal="center" vertical="center"/>
    </xf>
    <xf numFmtId="37" fontId="30" fillId="0" borderId="318" xfId="3" applyFont="1" applyBorder="1" applyAlignment="1" applyProtection="1">
      <alignment horizontal="center" vertical="center"/>
    </xf>
    <xf numFmtId="37" fontId="30" fillId="0" borderId="319" xfId="3" applyFont="1" applyBorder="1" applyAlignment="1" applyProtection="1">
      <alignment horizontal="center" vertical="center"/>
    </xf>
    <xf numFmtId="37" fontId="30" fillId="0" borderId="320" xfId="3" applyFont="1" applyBorder="1" applyAlignment="1" applyProtection="1">
      <alignment horizontal="center" vertical="center"/>
    </xf>
    <xf numFmtId="37" fontId="19" fillId="0" borderId="294" xfId="3" quotePrefix="1" applyFont="1" applyBorder="1" applyAlignment="1" applyProtection="1">
      <alignment vertical="center"/>
    </xf>
    <xf numFmtId="37" fontId="30" fillId="0" borderId="298" xfId="3" applyFont="1" applyBorder="1" applyAlignment="1" applyProtection="1">
      <alignment horizontal="center" vertical="center"/>
    </xf>
    <xf numFmtId="37" fontId="30" fillId="0" borderId="321" xfId="3" applyFont="1" applyBorder="1" applyAlignment="1" applyProtection="1">
      <alignment horizontal="center" vertical="center"/>
    </xf>
    <xf numFmtId="37" fontId="30" fillId="0" borderId="322" xfId="3" applyFont="1" applyBorder="1" applyAlignment="1" applyProtection="1">
      <alignment horizontal="center" vertical="center"/>
    </xf>
    <xf numFmtId="9" fontId="30" fillId="9" borderId="298" xfId="5" applyFont="1" applyFill="1" applyBorder="1" applyAlignment="1" applyProtection="1">
      <alignment horizontal="right" vertical="center"/>
      <protection locked="0"/>
    </xf>
    <xf numFmtId="9" fontId="30" fillId="9" borderId="321" xfId="5" applyFont="1" applyFill="1" applyBorder="1" applyAlignment="1" applyProtection="1">
      <alignment horizontal="right" vertical="center"/>
      <protection locked="0"/>
    </xf>
    <xf numFmtId="9" fontId="30" fillId="9" borderId="322" xfId="5" applyFont="1" applyFill="1" applyBorder="1" applyAlignment="1" applyProtection="1">
      <alignment horizontal="right" vertical="center"/>
      <protection locked="0"/>
    </xf>
    <xf numFmtId="37" fontId="28" fillId="0" borderId="300" xfId="3" applyFont="1" applyBorder="1" applyAlignment="1" applyProtection="1">
      <alignment horizontal="right" vertical="center"/>
    </xf>
    <xf numFmtId="37" fontId="28" fillId="0" borderId="323" xfId="3" applyFont="1" applyBorder="1" applyAlignment="1" applyProtection="1">
      <alignment horizontal="right" vertical="center"/>
    </xf>
    <xf numFmtId="37" fontId="28" fillId="0" borderId="324" xfId="3" applyFont="1" applyBorder="1" applyAlignment="1" applyProtection="1">
      <alignment horizontal="right" vertical="center"/>
    </xf>
    <xf numFmtId="37" fontId="28" fillId="0" borderId="304" xfId="3" applyFont="1" applyBorder="1" applyAlignment="1" applyProtection="1">
      <alignment horizontal="right" vertical="center"/>
    </xf>
    <xf numFmtId="37" fontId="28" fillId="0" borderId="325" xfId="3" applyFont="1" applyBorder="1" applyAlignment="1" applyProtection="1">
      <alignment horizontal="right" vertical="center"/>
    </xf>
    <xf numFmtId="37" fontId="28" fillId="0" borderId="326" xfId="3" applyFont="1" applyBorder="1" applyAlignment="1" applyProtection="1">
      <alignment horizontal="right" vertical="center"/>
    </xf>
    <xf numFmtId="37" fontId="28" fillId="0" borderId="306" xfId="3" applyFont="1" applyFill="1" applyBorder="1" applyAlignment="1" applyProtection="1">
      <alignment vertical="center"/>
    </xf>
    <xf numFmtId="37" fontId="28" fillId="0" borderId="327" xfId="3" applyFont="1" applyFill="1" applyBorder="1" applyAlignment="1" applyProtection="1">
      <alignment vertical="center"/>
    </xf>
    <xf numFmtId="37" fontId="28" fillId="0" borderId="328" xfId="3" applyFont="1" applyFill="1" applyBorder="1" applyAlignment="1" applyProtection="1">
      <alignment vertical="center"/>
    </xf>
    <xf numFmtId="37" fontId="19" fillId="0" borderId="309" xfId="3" quotePrefix="1" applyFont="1" applyBorder="1" applyAlignment="1" applyProtection="1">
      <alignment vertical="center"/>
    </xf>
    <xf numFmtId="167" fontId="30" fillId="9" borderId="298" xfId="3" applyNumberFormat="1" applyFont="1" applyFill="1" applyBorder="1" applyAlignment="1" applyProtection="1">
      <alignment vertical="center"/>
      <protection locked="0"/>
    </xf>
    <xf numFmtId="167" fontId="30" fillId="9" borderId="321" xfId="3" applyNumberFormat="1" applyFont="1" applyFill="1" applyBorder="1" applyAlignment="1" applyProtection="1">
      <alignment vertical="center"/>
      <protection locked="0"/>
    </xf>
    <xf numFmtId="167" fontId="30" fillId="9" borderId="322" xfId="3" applyNumberFormat="1" applyFont="1" applyFill="1" applyBorder="1" applyAlignment="1" applyProtection="1">
      <alignment vertical="center"/>
      <protection locked="0"/>
    </xf>
    <xf numFmtId="37" fontId="28" fillId="0" borderId="298" xfId="3" applyFont="1" applyBorder="1" applyAlignment="1" applyProtection="1">
      <alignment horizontal="right" vertical="center"/>
    </xf>
    <xf numFmtId="37" fontId="28" fillId="0" borderId="321" xfId="3" applyFont="1" applyBorder="1" applyAlignment="1" applyProtection="1">
      <alignment horizontal="right" vertical="center"/>
    </xf>
    <xf numFmtId="37" fontId="28" fillId="0" borderId="322" xfId="3" applyFont="1" applyBorder="1" applyAlignment="1" applyProtection="1">
      <alignment horizontal="right" vertical="center"/>
    </xf>
    <xf numFmtId="3" fontId="124" fillId="0" borderId="0" xfId="5" applyNumberFormat="1" applyFont="1" applyBorder="1" applyAlignment="1" applyProtection="1">
      <alignment vertical="center"/>
      <protection locked="0"/>
    </xf>
    <xf numFmtId="37" fontId="19" fillId="0" borderId="314" xfId="3" applyFont="1" applyBorder="1" applyAlignment="1" applyProtection="1">
      <alignment vertical="center"/>
    </xf>
    <xf numFmtId="37" fontId="30" fillId="0" borderId="329" xfId="3" applyFont="1" applyBorder="1" applyAlignment="1" applyProtection="1">
      <alignment horizontal="center" vertical="center"/>
    </xf>
    <xf numFmtId="9" fontId="30" fillId="9" borderId="329" xfId="5" applyFont="1" applyFill="1" applyBorder="1" applyAlignment="1" applyProtection="1">
      <alignment horizontal="right" vertical="center"/>
      <protection locked="0"/>
    </xf>
    <xf numFmtId="37" fontId="28" fillId="0" borderId="330" xfId="3" applyFont="1" applyBorder="1" applyAlignment="1" applyProtection="1">
      <alignment horizontal="right" vertical="center"/>
    </xf>
    <xf numFmtId="37" fontId="28" fillId="0" borderId="55" xfId="3" applyFont="1" applyBorder="1" applyAlignment="1" applyProtection="1">
      <alignment horizontal="right" vertical="center"/>
    </xf>
    <xf numFmtId="37" fontId="28" fillId="0" borderId="331" xfId="3" applyFont="1" applyFill="1" applyBorder="1" applyAlignment="1" applyProtection="1">
      <alignment vertical="center"/>
    </xf>
    <xf numFmtId="167" fontId="30" fillId="9" borderId="329" xfId="3" applyNumberFormat="1" applyFont="1" applyFill="1" applyBorder="1" applyAlignment="1" applyProtection="1">
      <alignment vertical="center"/>
      <protection locked="0"/>
    </xf>
    <xf numFmtId="37" fontId="28" fillId="0" borderId="329" xfId="3" applyFont="1" applyBorder="1" applyAlignment="1" applyProtection="1">
      <alignment horizontal="right" vertical="center"/>
    </xf>
    <xf numFmtId="37" fontId="28" fillId="0" borderId="0" xfId="3" applyFont="1" applyFill="1" applyBorder="1" applyAlignment="1" applyProtection="1">
      <alignment vertical="center"/>
      <protection locked="0"/>
    </xf>
    <xf numFmtId="37" fontId="30" fillId="0" borderId="332" xfId="3" applyFont="1" applyBorder="1" applyAlignment="1" applyProtection="1">
      <alignment vertical="center"/>
    </xf>
    <xf numFmtId="37" fontId="30" fillId="0" borderId="299" xfId="5" applyNumberFormat="1" applyFont="1" applyBorder="1" applyAlignment="1" applyProtection="1">
      <alignment vertical="center"/>
      <protection locked="0"/>
    </xf>
    <xf numFmtId="167" fontId="30" fillId="0" borderId="299" xfId="5" applyNumberFormat="1" applyFont="1" applyBorder="1" applyAlignment="1" applyProtection="1">
      <alignment vertical="center"/>
      <protection locked="0"/>
    </xf>
    <xf numFmtId="167" fontId="30" fillId="0" borderId="333" xfId="5" applyNumberFormat="1" applyFont="1" applyBorder="1" applyAlignment="1" applyProtection="1">
      <alignment vertical="center"/>
      <protection locked="0"/>
    </xf>
    <xf numFmtId="37" fontId="30" fillId="0" borderId="296" xfId="5" applyNumberFormat="1" applyFont="1" applyFill="1" applyBorder="1" applyAlignment="1" applyProtection="1">
      <alignment horizontal="right" vertical="center"/>
    </xf>
    <xf numFmtId="37" fontId="30" fillId="0" borderId="297" xfId="5" applyNumberFormat="1" applyFont="1" applyFill="1" applyBorder="1" applyAlignment="1" applyProtection="1">
      <alignment horizontal="right" vertical="center"/>
    </xf>
    <xf numFmtId="37" fontId="30" fillId="0" borderId="334" xfId="3" applyFont="1" applyBorder="1" applyAlignment="1" applyProtection="1">
      <alignment vertical="center"/>
    </xf>
    <xf numFmtId="37" fontId="30" fillId="0" borderId="335" xfId="5" applyNumberFormat="1" applyFont="1" applyBorder="1" applyAlignment="1" applyProtection="1">
      <alignment vertical="center"/>
      <protection locked="0"/>
    </xf>
    <xf numFmtId="167" fontId="30" fillId="0" borderId="335" xfId="5" applyNumberFormat="1" applyFont="1" applyBorder="1" applyAlignment="1" applyProtection="1">
      <alignment vertical="center"/>
      <protection locked="0"/>
    </xf>
    <xf numFmtId="167" fontId="30" fillId="0" borderId="336" xfId="5" applyNumberFormat="1" applyFont="1" applyBorder="1" applyAlignment="1" applyProtection="1">
      <alignment vertical="center"/>
      <protection locked="0"/>
    </xf>
    <xf numFmtId="37" fontId="30" fillId="0" borderId="337" xfId="5" applyNumberFormat="1" applyFont="1" applyFill="1" applyBorder="1" applyAlignment="1" applyProtection="1">
      <alignment horizontal="right" vertical="center"/>
    </xf>
    <xf numFmtId="37" fontId="30" fillId="0" borderId="338" xfId="5" applyNumberFormat="1" applyFont="1" applyFill="1" applyBorder="1" applyAlignment="1" applyProtection="1">
      <alignment horizontal="right" vertical="center"/>
    </xf>
    <xf numFmtId="37" fontId="19" fillId="0" borderId="339" xfId="3" applyFont="1" applyBorder="1" applyAlignment="1" applyProtection="1">
      <alignment vertical="center"/>
      <protection locked="0"/>
    </xf>
    <xf numFmtId="37" fontId="22" fillId="0" borderId="0" xfId="3" applyFont="1" applyBorder="1" applyAlignment="1" applyProtection="1">
      <alignment vertical="center"/>
      <protection locked="0"/>
    </xf>
    <xf numFmtId="37" fontId="30" fillId="0" borderId="62" xfId="3" applyFont="1" applyBorder="1" applyAlignment="1" applyProtection="1">
      <alignment horizontal="center" vertical="center"/>
    </xf>
    <xf numFmtId="37" fontId="31" fillId="0" borderId="138" xfId="3" applyFont="1" applyBorder="1" applyAlignment="1" applyProtection="1">
      <alignment vertical="center"/>
    </xf>
    <xf numFmtId="37" fontId="30" fillId="0" borderId="139" xfId="3" applyNumberFormat="1" applyFont="1" applyFill="1" applyBorder="1" applyAlignment="1" applyProtection="1">
      <alignment horizontal="center" vertical="center"/>
      <protection locked="0"/>
    </xf>
    <xf numFmtId="37" fontId="19" fillId="0" borderId="139" xfId="3" applyFont="1" applyFill="1" applyBorder="1" applyAlignment="1" applyProtection="1">
      <alignment vertical="center"/>
      <protection locked="0"/>
    </xf>
    <xf numFmtId="37" fontId="19" fillId="0" borderId="139" xfId="3" applyFont="1" applyFill="1" applyBorder="1" applyAlignment="1" applyProtection="1">
      <alignment horizontal="center" vertical="center"/>
      <protection locked="0"/>
    </xf>
    <xf numFmtId="0" fontId="28" fillId="0" borderId="139" xfId="15" applyFont="1" applyBorder="1" applyAlignment="1" applyProtection="1">
      <alignment vertical="center"/>
      <protection locked="0"/>
    </xf>
    <xf numFmtId="37" fontId="30" fillId="23" borderId="47" xfId="3" applyNumberFormat="1" applyFont="1" applyFill="1" applyBorder="1" applyAlignment="1" applyProtection="1">
      <alignment horizontal="center" vertical="center"/>
    </xf>
    <xf numFmtId="37" fontId="30" fillId="23" borderId="281" xfId="3" applyNumberFormat="1" applyFont="1" applyFill="1" applyBorder="1" applyAlignment="1" applyProtection="1">
      <alignment horizontal="center" vertical="center"/>
    </xf>
    <xf numFmtId="167" fontId="28" fillId="0" borderId="282" xfId="5" applyNumberFormat="1" applyFont="1" applyFill="1" applyBorder="1" applyAlignment="1" applyProtection="1">
      <alignment horizontal="left" vertical="center"/>
    </xf>
    <xf numFmtId="167" fontId="30" fillId="0" borderId="0" xfId="5" applyNumberFormat="1" applyFont="1" applyFill="1" applyBorder="1" applyAlignment="1" applyProtection="1">
      <alignment horizontal="right" vertical="center"/>
      <protection locked="0"/>
    </xf>
    <xf numFmtId="167" fontId="30" fillId="0" borderId="0" xfId="5" applyNumberFormat="1" applyFont="1" applyFill="1" applyBorder="1" applyAlignment="1" applyProtection="1">
      <alignment vertical="center"/>
      <protection locked="0"/>
    </xf>
    <xf numFmtId="167" fontId="30" fillId="0" borderId="73" xfId="5" applyNumberFormat="1" applyFont="1" applyFill="1" applyBorder="1" applyAlignment="1" applyProtection="1">
      <alignment horizontal="right" vertical="center"/>
    </xf>
    <xf numFmtId="167" fontId="30" fillId="0" borderId="340" xfId="5" applyNumberFormat="1" applyFont="1" applyFill="1" applyBorder="1" applyAlignment="1" applyProtection="1">
      <alignment horizontal="right" vertical="center"/>
    </xf>
    <xf numFmtId="167" fontId="28" fillId="0" borderId="341" xfId="5" applyNumberFormat="1" applyFont="1" applyFill="1" applyBorder="1" applyAlignment="1" applyProtection="1">
      <alignment horizontal="left" vertical="center"/>
    </xf>
    <xf numFmtId="167" fontId="30" fillId="0" borderId="74" xfId="5" applyNumberFormat="1" applyFont="1" applyFill="1" applyBorder="1" applyAlignment="1" applyProtection="1">
      <alignment horizontal="right" vertical="center"/>
    </xf>
    <xf numFmtId="167" fontId="30" fillId="0" borderId="342" xfId="5" applyNumberFormat="1" applyFont="1" applyFill="1" applyBorder="1" applyAlignment="1" applyProtection="1">
      <alignment horizontal="right" vertical="center"/>
    </xf>
    <xf numFmtId="3" fontId="19" fillId="0" borderId="0" xfId="3" applyNumberFormat="1" applyFont="1" applyBorder="1" applyAlignment="1" applyProtection="1">
      <alignment vertical="center"/>
      <protection locked="0"/>
    </xf>
    <xf numFmtId="167" fontId="30" fillId="0" borderId="74" xfId="3" applyNumberFormat="1" applyFont="1" applyFill="1" applyBorder="1" applyAlignment="1" applyProtection="1">
      <alignment horizontal="right" vertical="center"/>
    </xf>
    <xf numFmtId="167" fontId="30" fillId="0" borderId="342" xfId="3" applyNumberFormat="1" applyFont="1" applyFill="1" applyBorder="1" applyAlignment="1" applyProtection="1">
      <alignment horizontal="right" vertical="center"/>
    </xf>
    <xf numFmtId="37" fontId="28" fillId="0" borderId="342" xfId="3" applyFont="1" applyFill="1" applyBorder="1" applyAlignment="1" applyProtection="1">
      <alignment horizontal="right" vertical="center"/>
    </xf>
    <xf numFmtId="167" fontId="19" fillId="0" borderId="0" xfId="5" applyNumberFormat="1" applyFont="1" applyFill="1" applyBorder="1" applyAlignment="1" applyProtection="1">
      <alignment vertical="center"/>
      <protection locked="0"/>
    </xf>
    <xf numFmtId="167" fontId="28" fillId="0" borderId="343" xfId="5" applyNumberFormat="1" applyFont="1" applyFill="1" applyBorder="1" applyAlignment="1" applyProtection="1">
      <alignment horizontal="left" vertical="center"/>
    </xf>
    <xf numFmtId="167" fontId="30" fillId="0" borderId="76" xfId="5" applyNumberFormat="1" applyFont="1" applyFill="1" applyBorder="1" applyAlignment="1" applyProtection="1">
      <alignment horizontal="right" vertical="center"/>
    </xf>
    <xf numFmtId="167" fontId="30" fillId="0" borderId="344" xfId="5" applyNumberFormat="1" applyFont="1" applyFill="1" applyBorder="1" applyAlignment="1" applyProtection="1">
      <alignment horizontal="right" vertical="center"/>
    </xf>
    <xf numFmtId="167" fontId="31" fillId="0" borderId="0" xfId="5" applyNumberFormat="1" applyFont="1" applyFill="1" applyBorder="1" applyAlignment="1" applyProtection="1">
      <alignment horizontal="left" vertical="center"/>
      <protection locked="0"/>
    </xf>
    <xf numFmtId="167" fontId="28" fillId="0" borderId="141" xfId="5" applyNumberFormat="1" applyFont="1" applyFill="1" applyBorder="1" applyAlignment="1" applyProtection="1">
      <alignment horizontal="left" vertical="center"/>
    </xf>
    <xf numFmtId="167" fontId="19" fillId="0" borderId="16" xfId="5" applyNumberFormat="1" applyFont="1" applyFill="1" applyBorder="1" applyAlignment="1" applyProtection="1">
      <alignment vertical="center"/>
      <protection locked="0"/>
    </xf>
    <xf numFmtId="167" fontId="19" fillId="0" borderId="151" xfId="5" applyNumberFormat="1" applyFont="1" applyFill="1" applyBorder="1" applyAlignment="1" applyProtection="1">
      <alignment vertical="center"/>
      <protection locked="0"/>
    </xf>
    <xf numFmtId="167" fontId="19" fillId="0" borderId="0" xfId="5" applyNumberFormat="1" applyFont="1" applyFill="1" applyAlignment="1" applyProtection="1">
      <alignment vertical="center"/>
      <protection locked="0"/>
    </xf>
    <xf numFmtId="37" fontId="31" fillId="0" borderId="141" xfId="3" applyFont="1" applyFill="1" applyBorder="1" applyAlignment="1" applyProtection="1">
      <alignment vertical="center"/>
    </xf>
    <xf numFmtId="186" fontId="30" fillId="0" borderId="146" xfId="16" applyNumberFormat="1" applyFont="1" applyFill="1" applyBorder="1" applyAlignment="1" applyProtection="1">
      <alignment horizontal="right" vertical="center"/>
    </xf>
    <xf numFmtId="186" fontId="30" fillId="0" borderId="345" xfId="16" applyNumberFormat="1" applyFont="1" applyFill="1" applyBorder="1" applyAlignment="1" applyProtection="1">
      <alignment horizontal="right" vertical="center"/>
    </xf>
    <xf numFmtId="186" fontId="31" fillId="0" borderId="0" xfId="16" applyNumberFormat="1" applyFont="1" applyBorder="1" applyAlignment="1" applyProtection="1">
      <alignment horizontal="left" vertical="center"/>
      <protection locked="0"/>
    </xf>
    <xf numFmtId="186" fontId="30" fillId="0" borderId="0" xfId="16" applyNumberFormat="1" applyFont="1" applyFill="1" applyBorder="1" applyAlignment="1" applyProtection="1">
      <alignment vertical="center"/>
      <protection locked="0"/>
    </xf>
    <xf numFmtId="186" fontId="19" fillId="0" borderId="0" xfId="16" applyNumberFormat="1" applyFont="1" applyFill="1" applyBorder="1" applyAlignment="1" applyProtection="1">
      <alignment vertical="center"/>
      <protection locked="0"/>
    </xf>
    <xf numFmtId="186" fontId="19" fillId="0" borderId="0" xfId="16" applyNumberFormat="1" applyFont="1" applyBorder="1" applyAlignment="1" applyProtection="1">
      <alignment vertical="center"/>
      <protection locked="0"/>
    </xf>
    <xf numFmtId="186" fontId="30" fillId="0" borderId="74" xfId="16" applyNumberFormat="1" applyFont="1" applyFill="1" applyBorder="1" applyAlignment="1" applyProtection="1">
      <alignment horizontal="right" vertical="center"/>
    </xf>
    <xf numFmtId="186" fontId="30" fillId="0" borderId="342" xfId="16" applyNumberFormat="1" applyFont="1" applyFill="1" applyBorder="1" applyAlignment="1" applyProtection="1">
      <alignment horizontal="right" vertical="center"/>
    </xf>
    <xf numFmtId="186" fontId="19" fillId="0" borderId="151" xfId="16" applyNumberFormat="1" applyFont="1" applyBorder="1" applyAlignment="1" applyProtection="1">
      <alignment vertical="center"/>
      <protection locked="0"/>
    </xf>
    <xf numFmtId="186" fontId="19" fillId="0" borderId="0" xfId="16" applyNumberFormat="1" applyFont="1" applyAlignment="1" applyProtection="1">
      <alignment vertical="center"/>
      <protection locked="0"/>
    </xf>
    <xf numFmtId="167" fontId="30" fillId="0" borderId="0" xfId="16" applyNumberFormat="1" applyFont="1" applyFill="1" applyBorder="1" applyAlignment="1" applyProtection="1">
      <alignment vertical="center"/>
      <protection locked="0"/>
    </xf>
    <xf numFmtId="167" fontId="30" fillId="0" borderId="74" xfId="16" applyNumberFormat="1" applyFont="1" applyFill="1" applyBorder="1" applyAlignment="1" applyProtection="1">
      <alignment horizontal="right" vertical="center"/>
    </xf>
    <xf numFmtId="167" fontId="30" fillId="0" borderId="342" xfId="16" applyNumberFormat="1" applyFont="1" applyFill="1" applyBorder="1" applyAlignment="1" applyProtection="1">
      <alignment horizontal="right" vertical="center"/>
    </xf>
    <xf numFmtId="9" fontId="30" fillId="0" borderId="0" xfId="5" applyFont="1" applyFill="1" applyBorder="1" applyAlignment="1" applyProtection="1">
      <alignment horizontal="right" vertical="center"/>
      <protection locked="0"/>
    </xf>
    <xf numFmtId="9" fontId="30" fillId="0" borderId="0" xfId="5" applyFont="1" applyFill="1" applyBorder="1" applyAlignment="1" applyProtection="1">
      <alignment vertical="center"/>
      <protection locked="0"/>
    </xf>
    <xf numFmtId="3" fontId="30" fillId="0" borderId="74" xfId="5" applyNumberFormat="1" applyFont="1" applyFill="1" applyBorder="1" applyAlignment="1" applyProtection="1">
      <alignment horizontal="right" vertical="center"/>
    </xf>
    <xf numFmtId="3" fontId="30" fillId="0" borderId="342" xfId="5" applyNumberFormat="1" applyFont="1" applyFill="1" applyBorder="1" applyAlignment="1" applyProtection="1">
      <alignment horizontal="right" vertical="center"/>
    </xf>
    <xf numFmtId="167" fontId="30" fillId="0" borderId="12" xfId="5" applyNumberFormat="1" applyFont="1" applyFill="1" applyBorder="1" applyAlignment="1" applyProtection="1">
      <alignment vertical="center"/>
      <protection locked="0"/>
    </xf>
    <xf numFmtId="167" fontId="19" fillId="0" borderId="13" xfId="5" applyNumberFormat="1" applyFont="1" applyBorder="1" applyAlignment="1" applyProtection="1">
      <alignment vertical="center"/>
      <protection locked="0"/>
    </xf>
    <xf numFmtId="167" fontId="28" fillId="0" borderId="346" xfId="5" applyNumberFormat="1" applyFont="1" applyFill="1" applyBorder="1" applyAlignment="1" applyProtection="1">
      <alignment horizontal="left" vertical="center"/>
    </xf>
    <xf numFmtId="167" fontId="30" fillId="0" borderId="144" xfId="5" applyNumberFormat="1" applyFont="1" applyFill="1" applyBorder="1" applyAlignment="1" applyProtection="1">
      <alignment vertical="center"/>
      <protection locked="0"/>
    </xf>
    <xf numFmtId="167" fontId="19" fillId="0" borderId="144" xfId="5" applyNumberFormat="1" applyFont="1" applyFill="1" applyBorder="1" applyAlignment="1" applyProtection="1">
      <alignment vertical="center"/>
      <protection locked="0"/>
    </xf>
    <xf numFmtId="167" fontId="30" fillId="0" borderId="347" xfId="5" applyNumberFormat="1" applyFont="1" applyFill="1" applyBorder="1" applyAlignment="1" applyProtection="1">
      <alignment horizontal="right" vertical="center"/>
    </xf>
    <xf numFmtId="167" fontId="30" fillId="0" borderId="348" xfId="5" applyNumberFormat="1" applyFont="1" applyFill="1" applyBorder="1" applyAlignment="1" applyProtection="1">
      <alignment horizontal="right" vertical="center"/>
    </xf>
    <xf numFmtId="37" fontId="19" fillId="0" borderId="349" xfId="3" applyFont="1" applyBorder="1" applyAlignment="1" applyProtection="1">
      <alignment vertical="center"/>
      <protection locked="0"/>
    </xf>
    <xf numFmtId="37" fontId="31" fillId="0" borderId="0" xfId="3" applyFont="1" applyBorder="1" applyAlignment="1" applyProtection="1">
      <alignment vertical="center"/>
    </xf>
    <xf numFmtId="0" fontId="30" fillId="0" borderId="62" xfId="15" applyFont="1" applyBorder="1" applyAlignment="1" applyProtection="1">
      <alignment horizontal="center" vertical="center"/>
    </xf>
    <xf numFmtId="37" fontId="30" fillId="10" borderId="63" xfId="3" applyFont="1" applyFill="1" applyBorder="1" applyAlignment="1" applyProtection="1">
      <alignment horizontal="center" vertical="center"/>
      <protection locked="0"/>
    </xf>
    <xf numFmtId="37" fontId="30" fillId="10" borderId="63" xfId="3" applyFont="1" applyFill="1" applyBorder="1" applyAlignment="1" applyProtection="1">
      <alignment horizontal="center" vertical="center"/>
    </xf>
    <xf numFmtId="37" fontId="19" fillId="0" borderId="139" xfId="3" applyFont="1" applyBorder="1" applyAlignment="1" applyProtection="1">
      <alignment horizontal="center" vertical="center"/>
      <protection locked="0"/>
    </xf>
    <xf numFmtId="37" fontId="30" fillId="10" borderId="47" xfId="15" applyNumberFormat="1" applyFont="1" applyFill="1" applyBorder="1" applyAlignment="1" applyProtection="1">
      <alignment horizontal="center" vertical="center"/>
    </xf>
    <xf numFmtId="37" fontId="30" fillId="10" borderId="18" xfId="3" applyFont="1" applyFill="1" applyBorder="1" applyAlignment="1" applyProtection="1">
      <alignment horizontal="center" vertical="center"/>
    </xf>
    <xf numFmtId="37" fontId="30" fillId="10" borderId="47" xfId="3" applyFont="1" applyFill="1" applyBorder="1" applyAlignment="1" applyProtection="1">
      <alignment horizontal="center" vertical="center"/>
    </xf>
    <xf numFmtId="37" fontId="30" fillId="10" borderId="281" xfId="3" applyFont="1" applyFill="1" applyBorder="1" applyAlignment="1" applyProtection="1">
      <alignment horizontal="center" vertical="center"/>
    </xf>
    <xf numFmtId="37" fontId="19" fillId="0" borderId="350" xfId="3" applyFont="1" applyBorder="1" applyAlignment="1" applyProtection="1">
      <alignment vertical="center"/>
    </xf>
    <xf numFmtId="37" fontId="30" fillId="0" borderId="146" xfId="3" applyNumberFormat="1" applyFont="1" applyBorder="1" applyAlignment="1" applyProtection="1">
      <alignment horizontal="right" vertical="center"/>
      <protection locked="0"/>
    </xf>
    <xf numFmtId="37" fontId="30" fillId="0" borderId="146" xfId="3" applyNumberFormat="1" applyFont="1" applyBorder="1" applyAlignment="1" applyProtection="1">
      <alignment horizontal="right" vertical="center"/>
    </xf>
    <xf numFmtId="37" fontId="30" fillId="9" borderId="146" xfId="15" applyNumberFormat="1" applyFont="1" applyFill="1" applyBorder="1" applyAlignment="1" applyProtection="1">
      <alignment horizontal="right" vertical="center"/>
      <protection locked="0"/>
    </xf>
    <xf numFmtId="37" fontId="30" fillId="9" borderId="122" xfId="3" applyNumberFormat="1" applyFont="1" applyFill="1" applyBorder="1" applyAlignment="1" applyProtection="1">
      <alignment horizontal="right" vertical="center"/>
      <protection locked="0"/>
    </xf>
    <xf numFmtId="37" fontId="30" fillId="9" borderId="345" xfId="3" applyNumberFormat="1" applyFont="1" applyFill="1" applyBorder="1" applyAlignment="1" applyProtection="1">
      <alignment horizontal="right" vertical="center"/>
      <protection locked="0"/>
    </xf>
    <xf numFmtId="37" fontId="19" fillId="0" borderId="351" xfId="3" applyFont="1" applyBorder="1" applyAlignment="1" applyProtection="1">
      <alignment vertical="center"/>
    </xf>
    <xf numFmtId="37" fontId="30" fillId="0" borderId="74" xfId="3" applyNumberFormat="1" applyFont="1" applyBorder="1" applyAlignment="1" applyProtection="1">
      <alignment horizontal="right" vertical="center"/>
      <protection locked="0"/>
    </xf>
    <xf numFmtId="37" fontId="30" fillId="9" borderId="76" xfId="15" applyNumberFormat="1" applyFont="1" applyFill="1" applyBorder="1" applyAlignment="1" applyProtection="1">
      <alignment horizontal="right" vertical="center"/>
      <protection locked="0"/>
    </xf>
    <xf numFmtId="37" fontId="30" fillId="9" borderId="75" xfId="3" applyNumberFormat="1" applyFont="1" applyFill="1" applyBorder="1" applyAlignment="1" applyProtection="1">
      <alignment horizontal="right" vertical="center"/>
      <protection locked="0"/>
    </xf>
    <xf numFmtId="37" fontId="30" fillId="9" borderId="344" xfId="3" applyNumberFormat="1" applyFont="1" applyFill="1" applyBorder="1" applyAlignment="1" applyProtection="1">
      <alignment horizontal="right" vertical="center"/>
      <protection locked="0"/>
    </xf>
    <xf numFmtId="37" fontId="19" fillId="0" borderId="352" xfId="3" applyFont="1" applyBorder="1" applyAlignment="1" applyProtection="1">
      <alignment vertical="center"/>
    </xf>
    <xf numFmtId="37" fontId="30" fillId="0" borderId="284" xfId="3" applyNumberFormat="1" applyFont="1" applyBorder="1" applyAlignment="1" applyProtection="1">
      <alignment horizontal="right" vertical="center"/>
      <protection locked="0"/>
    </xf>
    <xf numFmtId="37" fontId="19" fillId="0" borderId="144" xfId="3" applyFont="1" applyBorder="1" applyAlignment="1" applyProtection="1">
      <alignment vertical="center"/>
      <protection locked="0"/>
    </xf>
    <xf numFmtId="37" fontId="30" fillId="0" borderId="284" xfId="3" applyNumberFormat="1" applyFont="1" applyBorder="1" applyAlignment="1" applyProtection="1">
      <alignment horizontal="right" vertical="center"/>
    </xf>
    <xf numFmtId="37" fontId="19" fillId="0" borderId="144" xfId="3" applyFont="1" applyBorder="1" applyAlignment="1" applyProtection="1">
      <alignment horizontal="center" vertical="center"/>
      <protection locked="0"/>
    </xf>
    <xf numFmtId="0" fontId="28" fillId="0" borderId="144" xfId="15" applyFont="1" applyBorder="1" applyAlignment="1" applyProtection="1">
      <alignment vertical="center"/>
      <protection locked="0"/>
    </xf>
    <xf numFmtId="37" fontId="30" fillId="0" borderId="285" xfId="15" applyNumberFormat="1" applyFont="1" applyBorder="1" applyAlignment="1" applyProtection="1">
      <alignment horizontal="right" vertical="center"/>
    </xf>
    <xf numFmtId="37" fontId="30" fillId="0" borderId="353" xfId="3" applyNumberFormat="1" applyFont="1" applyBorder="1" applyAlignment="1" applyProtection="1">
      <alignment horizontal="right" vertical="center"/>
    </xf>
    <xf numFmtId="37" fontId="30" fillId="0" borderId="285" xfId="3" applyNumberFormat="1" applyFont="1" applyBorder="1" applyAlignment="1" applyProtection="1">
      <alignment horizontal="right" vertical="center"/>
    </xf>
    <xf numFmtId="37" fontId="30" fillId="0" borderId="286" xfId="3" applyNumberFormat="1" applyFont="1" applyBorder="1" applyAlignment="1" applyProtection="1">
      <alignment horizontal="right" vertical="center"/>
    </xf>
    <xf numFmtId="37" fontId="30" fillId="0" borderId="0" xfId="3" applyNumberFormat="1" applyFont="1" applyBorder="1" applyAlignment="1" applyProtection="1">
      <alignment horizontal="right" vertical="center"/>
      <protection locked="0"/>
    </xf>
    <xf numFmtId="37" fontId="31" fillId="0" borderId="0" xfId="3" applyNumberFormat="1" applyFont="1" applyBorder="1" applyAlignment="1" applyProtection="1">
      <alignment horizontal="right" vertical="center"/>
      <protection locked="0"/>
    </xf>
    <xf numFmtId="37" fontId="30" fillId="0" borderId="0" xfId="15" applyNumberFormat="1" applyFont="1" applyBorder="1" applyAlignment="1" applyProtection="1">
      <alignment horizontal="right" vertical="center"/>
      <protection locked="0"/>
    </xf>
    <xf numFmtId="37" fontId="31" fillId="10" borderId="47" xfId="3" applyFont="1" applyFill="1" applyBorder="1" applyAlignment="1" applyProtection="1">
      <alignment horizontal="center" vertical="center"/>
    </xf>
    <xf numFmtId="37" fontId="31" fillId="10" borderId="281" xfId="3" applyFont="1" applyFill="1" applyBorder="1" applyAlignment="1" applyProtection="1">
      <alignment horizontal="center" vertical="center"/>
    </xf>
    <xf numFmtId="10" fontId="30" fillId="0" borderId="146" xfId="3" applyNumberFormat="1" applyFont="1" applyBorder="1" applyAlignment="1" applyProtection="1">
      <alignment horizontal="right" vertical="center"/>
      <protection locked="0"/>
    </xf>
    <xf numFmtId="10" fontId="30" fillId="0" borderId="146" xfId="3" applyNumberFormat="1" applyFont="1" applyBorder="1" applyAlignment="1" applyProtection="1">
      <alignment horizontal="right" vertical="center"/>
    </xf>
    <xf numFmtId="10" fontId="30" fillId="0" borderId="146" xfId="15" applyNumberFormat="1" applyFont="1" applyFill="1" applyBorder="1" applyAlignment="1" applyProtection="1">
      <alignment horizontal="right" vertical="center"/>
    </xf>
    <xf numFmtId="10" fontId="30" fillId="0" borderId="146" xfId="3" applyNumberFormat="1" applyFont="1" applyFill="1" applyBorder="1" applyAlignment="1" applyProtection="1">
      <alignment horizontal="right" vertical="center"/>
    </xf>
    <xf numFmtId="10" fontId="30" fillId="0" borderId="345" xfId="3" applyNumberFormat="1" applyFont="1" applyFill="1" applyBorder="1" applyAlignment="1" applyProtection="1">
      <alignment horizontal="right" vertical="center"/>
    </xf>
    <xf numFmtId="10" fontId="30" fillId="0" borderId="74" xfId="3" applyNumberFormat="1" applyFont="1" applyBorder="1" applyAlignment="1" applyProtection="1">
      <alignment horizontal="right" vertical="center"/>
      <protection locked="0"/>
    </xf>
    <xf numFmtId="10" fontId="30" fillId="0" borderId="74" xfId="3" applyNumberFormat="1" applyFont="1" applyBorder="1" applyAlignment="1" applyProtection="1">
      <alignment horizontal="right" vertical="center"/>
    </xf>
    <xf numFmtId="10" fontId="30" fillId="0" borderId="74" xfId="15" applyNumberFormat="1" applyFont="1" applyFill="1" applyBorder="1" applyAlignment="1" applyProtection="1">
      <alignment horizontal="right" vertical="center"/>
    </xf>
    <xf numFmtId="10" fontId="30" fillId="0" borderId="74" xfId="3" applyNumberFormat="1" applyFont="1" applyFill="1" applyBorder="1" applyAlignment="1" applyProtection="1">
      <alignment horizontal="right" vertical="center"/>
    </xf>
    <xf numFmtId="10" fontId="30" fillId="0" borderId="342" xfId="3" applyNumberFormat="1" applyFont="1" applyFill="1" applyBorder="1" applyAlignment="1" applyProtection="1">
      <alignment horizontal="right" vertical="center"/>
    </xf>
    <xf numFmtId="3" fontId="31" fillId="0" borderId="0" xfId="3" applyNumberFormat="1" applyFont="1" applyBorder="1" applyAlignment="1" applyProtection="1">
      <alignment horizontal="left" vertical="center"/>
      <protection locked="0"/>
    </xf>
    <xf numFmtId="3" fontId="31" fillId="0" borderId="352" xfId="3" applyNumberFormat="1" applyFont="1" applyBorder="1" applyAlignment="1" applyProtection="1">
      <alignment vertical="center"/>
    </xf>
    <xf numFmtId="3" fontId="30" fillId="0" borderId="284" xfId="3" applyNumberFormat="1" applyFont="1" applyBorder="1" applyAlignment="1" applyProtection="1">
      <alignment horizontal="right" vertical="center"/>
      <protection locked="0"/>
    </xf>
    <xf numFmtId="3" fontId="19" fillId="0" borderId="144" xfId="3" applyNumberFormat="1" applyFont="1" applyBorder="1" applyAlignment="1" applyProtection="1">
      <alignment vertical="center"/>
      <protection locked="0"/>
    </xf>
    <xf numFmtId="3" fontId="30" fillId="0" borderId="284" xfId="11" applyNumberFormat="1" applyFont="1" applyBorder="1" applyAlignment="1" applyProtection="1">
      <alignment horizontal="right" vertical="center"/>
    </xf>
    <xf numFmtId="3" fontId="19" fillId="0" borderId="144" xfId="3" applyNumberFormat="1" applyFont="1" applyBorder="1" applyAlignment="1" applyProtection="1">
      <alignment horizontal="center" vertical="center"/>
      <protection locked="0"/>
    </xf>
    <xf numFmtId="3" fontId="30" fillId="0" borderId="284" xfId="3" applyNumberFormat="1" applyFont="1" applyBorder="1" applyAlignment="1" applyProtection="1">
      <alignment horizontal="right" vertical="center"/>
    </xf>
    <xf numFmtId="3" fontId="28" fillId="0" borderId="144" xfId="15" applyNumberFormat="1" applyFont="1" applyBorder="1" applyAlignment="1" applyProtection="1">
      <alignment vertical="center"/>
      <protection locked="0"/>
    </xf>
    <xf numFmtId="3" fontId="30" fillId="0" borderId="284" xfId="15" applyNumberFormat="1" applyFont="1" applyFill="1" applyBorder="1" applyAlignment="1" applyProtection="1">
      <alignment horizontal="right" vertical="center"/>
    </xf>
    <xf numFmtId="3" fontId="30" fillId="0" borderId="284" xfId="3" applyNumberFormat="1" applyFont="1" applyFill="1" applyBorder="1" applyAlignment="1" applyProtection="1">
      <alignment horizontal="right" vertical="center"/>
    </xf>
    <xf numFmtId="3" fontId="30" fillId="0" borderId="354" xfId="3" applyNumberFormat="1" applyFont="1" applyFill="1" applyBorder="1" applyAlignment="1" applyProtection="1">
      <alignment horizontal="right" vertical="center"/>
    </xf>
    <xf numFmtId="3" fontId="19" fillId="0" borderId="151" xfId="3" applyNumberFormat="1" applyFont="1" applyBorder="1" applyAlignment="1" applyProtection="1">
      <alignment vertical="center"/>
      <protection locked="0"/>
    </xf>
    <xf numFmtId="3" fontId="19" fillId="0" borderId="0" xfId="3" applyNumberFormat="1" applyFont="1" applyAlignment="1" applyProtection="1">
      <alignment vertical="center"/>
      <protection locked="0"/>
    </xf>
    <xf numFmtId="3" fontId="28" fillId="0" borderId="0" xfId="15" applyNumberFormat="1" applyProtection="1">
      <protection locked="0"/>
    </xf>
    <xf numFmtId="3" fontId="19" fillId="0" borderId="0" xfId="3" applyNumberFormat="1" applyFont="1" applyFill="1" applyAlignment="1" applyProtection="1">
      <alignment vertical="center"/>
      <protection locked="0"/>
    </xf>
    <xf numFmtId="4" fontId="30" fillId="0" borderId="0" xfId="3" applyNumberFormat="1" applyFont="1" applyBorder="1" applyAlignment="1" applyProtection="1">
      <alignment horizontal="right" vertical="center"/>
      <protection locked="0"/>
    </xf>
    <xf numFmtId="4" fontId="30" fillId="0" borderId="0" xfId="15" applyNumberFormat="1" applyFont="1" applyFill="1" applyBorder="1" applyAlignment="1" applyProtection="1">
      <alignment horizontal="left" vertical="center"/>
      <protection locked="0"/>
    </xf>
    <xf numFmtId="4" fontId="30" fillId="0" borderId="0" xfId="3" applyNumberFormat="1" applyFont="1" applyFill="1" applyBorder="1" applyAlignment="1" applyProtection="1">
      <alignment horizontal="right" vertical="center"/>
      <protection locked="0"/>
    </xf>
    <xf numFmtId="167" fontId="34" fillId="0" borderId="0" xfId="5" applyNumberFormat="1" applyFont="1" applyFill="1" applyBorder="1" applyAlignment="1" applyProtection="1">
      <alignment horizontal="justify" vertical="center" wrapText="1"/>
    </xf>
    <xf numFmtId="167" fontId="28" fillId="0" borderId="0" xfId="5" applyNumberFormat="1" applyFont="1" applyFill="1" applyBorder="1" applyAlignment="1" applyProtection="1">
      <alignment horizontal="justify" vertical="center" wrapText="1"/>
      <protection locked="0"/>
    </xf>
    <xf numFmtId="4" fontId="30" fillId="0" borderId="0" xfId="5" applyNumberFormat="1" applyFont="1" applyBorder="1" applyAlignment="1" applyProtection="1">
      <alignment vertical="center"/>
      <protection locked="0"/>
    </xf>
    <xf numFmtId="37" fontId="126" fillId="24" borderId="355" xfId="3" applyFont="1" applyFill="1" applyBorder="1" applyAlignment="1" applyProtection="1">
      <alignment vertical="center"/>
    </xf>
    <xf numFmtId="37" fontId="126" fillId="24" borderId="356" xfId="3" applyFont="1" applyFill="1" applyBorder="1" applyAlignment="1" applyProtection="1">
      <alignment vertical="center"/>
    </xf>
    <xf numFmtId="37" fontId="25" fillId="24" borderId="357" xfId="3" applyFont="1" applyFill="1" applyBorder="1" applyAlignment="1" applyProtection="1">
      <alignment vertical="center"/>
      <protection locked="0"/>
    </xf>
    <xf numFmtId="37" fontId="25" fillId="24" borderId="358" xfId="3" applyFont="1" applyFill="1" applyBorder="1" applyAlignment="1" applyProtection="1">
      <alignment vertical="center"/>
      <protection locked="0"/>
    </xf>
    <xf numFmtId="167" fontId="19" fillId="0" borderId="0" xfId="5" applyNumberFormat="1" applyFont="1" applyBorder="1" applyAlignment="1" applyProtection="1">
      <alignment vertical="center"/>
    </xf>
    <xf numFmtId="37" fontId="25" fillId="0" borderId="0" xfId="3" applyFont="1" applyFill="1" applyBorder="1" applyAlignment="1" applyProtection="1">
      <alignment vertical="center"/>
      <protection locked="0"/>
    </xf>
    <xf numFmtId="167" fontId="127" fillId="0" borderId="0" xfId="5" applyNumberFormat="1" applyFont="1" applyFill="1" applyBorder="1" applyAlignment="1" applyProtection="1">
      <alignment horizontal="right" vertical="center"/>
      <protection locked="0"/>
    </xf>
    <xf numFmtId="167" fontId="19" fillId="0" borderId="359" xfId="5" applyNumberFormat="1" applyFont="1" applyBorder="1" applyAlignment="1" applyProtection="1">
      <alignment vertical="center"/>
      <protection locked="0"/>
    </xf>
    <xf numFmtId="167" fontId="28" fillId="0" borderId="0" xfId="5" applyNumberFormat="1" applyFont="1" applyFill="1" applyBorder="1" applyAlignment="1" applyProtection="1">
      <alignment horizontal="left" vertical="center"/>
    </xf>
    <xf numFmtId="37" fontId="127" fillId="0" borderId="360" xfId="3" applyFont="1" applyBorder="1" applyAlignment="1" applyProtection="1">
      <alignment horizontal="center" vertical="center"/>
    </xf>
    <xf numFmtId="37" fontId="127" fillId="0" borderId="361" xfId="3" applyFont="1" applyBorder="1" applyAlignment="1" applyProtection="1">
      <alignment horizontal="center" vertical="center"/>
    </xf>
    <xf numFmtId="37" fontId="127" fillId="0" borderId="362" xfId="3" applyFont="1" applyBorder="1" applyAlignment="1" applyProtection="1">
      <alignment horizontal="center" vertical="center"/>
    </xf>
    <xf numFmtId="37" fontId="31" fillId="0" borderId="360" xfId="3" applyFont="1" applyBorder="1" applyAlignment="1" applyProtection="1">
      <alignment vertical="center"/>
    </xf>
    <xf numFmtId="37" fontId="30" fillId="23" borderId="361" xfId="3" applyNumberFormat="1" applyFont="1" applyFill="1" applyBorder="1" applyAlignment="1" applyProtection="1">
      <alignment horizontal="center" vertical="center"/>
      <protection locked="0"/>
    </xf>
    <xf numFmtId="37" fontId="19" fillId="0" borderId="363" xfId="3" applyFont="1" applyBorder="1" applyAlignment="1" applyProtection="1">
      <alignment vertical="center"/>
      <protection locked="0"/>
    </xf>
    <xf numFmtId="37" fontId="30" fillId="23" borderId="361" xfId="3" applyNumberFormat="1" applyFont="1" applyFill="1" applyBorder="1" applyAlignment="1" applyProtection="1">
      <alignment horizontal="center" vertical="center"/>
    </xf>
    <xf numFmtId="37" fontId="19" fillId="0" borderId="363" xfId="3" applyFont="1" applyBorder="1" applyAlignment="1" applyProtection="1">
      <alignment horizontal="center" vertical="center"/>
      <protection locked="0"/>
    </xf>
    <xf numFmtId="167" fontId="19" fillId="0" borderId="363" xfId="5" applyNumberFormat="1" applyFont="1" applyBorder="1" applyAlignment="1" applyProtection="1">
      <alignment vertical="center"/>
      <protection locked="0"/>
    </xf>
    <xf numFmtId="37" fontId="127" fillId="23" borderId="364" xfId="3" applyNumberFormat="1" applyFont="1" applyFill="1" applyBorder="1" applyAlignment="1" applyProtection="1">
      <alignment horizontal="center" vertical="center"/>
    </xf>
    <xf numFmtId="37" fontId="127" fillId="23" borderId="365" xfId="3" applyNumberFormat="1" applyFont="1" applyFill="1" applyBorder="1" applyAlignment="1" applyProtection="1">
      <alignment horizontal="center" vertical="center"/>
    </xf>
    <xf numFmtId="167" fontId="28" fillId="0" borderId="366" xfId="5" applyNumberFormat="1" applyFont="1" applyFill="1" applyBorder="1" applyAlignment="1" applyProtection="1">
      <alignment horizontal="left" vertical="center"/>
    </xf>
    <xf numFmtId="167" fontId="30" fillId="0" borderId="367" xfId="5" applyNumberFormat="1" applyFont="1" applyBorder="1" applyAlignment="1" applyProtection="1">
      <alignment horizontal="right" vertical="center"/>
      <protection locked="0"/>
    </xf>
    <xf numFmtId="167" fontId="30" fillId="0" borderId="367" xfId="5" applyNumberFormat="1" applyFont="1" applyBorder="1" applyAlignment="1" applyProtection="1">
      <alignment vertical="center"/>
    </xf>
    <xf numFmtId="167" fontId="127" fillId="9" borderId="368" xfId="5" applyNumberFormat="1" applyFont="1" applyFill="1" applyBorder="1" applyAlignment="1" applyProtection="1">
      <alignment horizontal="right" vertical="center"/>
      <protection locked="0"/>
    </xf>
    <xf numFmtId="167" fontId="127" fillId="9" borderId="369" xfId="5" applyNumberFormat="1" applyFont="1" applyFill="1" applyBorder="1" applyAlignment="1" applyProtection="1">
      <alignment horizontal="right" vertical="center"/>
      <protection locked="0"/>
    </xf>
    <xf numFmtId="167" fontId="28" fillId="0" borderId="370" xfId="5" applyNumberFormat="1" applyFont="1" applyFill="1" applyBorder="1" applyAlignment="1" applyProtection="1">
      <alignment horizontal="left" vertical="center"/>
    </xf>
    <xf numFmtId="167" fontId="30" fillId="0" borderId="371" xfId="5" applyNumberFormat="1" applyFont="1" applyBorder="1" applyAlignment="1" applyProtection="1">
      <alignment vertical="center"/>
      <protection locked="0"/>
    </xf>
    <xf numFmtId="167" fontId="30" fillId="0" borderId="371" xfId="5" applyNumberFormat="1" applyFont="1" applyBorder="1" applyAlignment="1" applyProtection="1">
      <alignment vertical="center"/>
    </xf>
    <xf numFmtId="167" fontId="127" fillId="9" borderId="372" xfId="5" applyNumberFormat="1" applyFont="1" applyFill="1" applyBorder="1" applyAlignment="1" applyProtection="1">
      <alignment horizontal="right" vertical="center"/>
      <protection locked="0"/>
    </xf>
    <xf numFmtId="167" fontId="127" fillId="9" borderId="373" xfId="5" applyNumberFormat="1" applyFont="1" applyFill="1" applyBorder="1" applyAlignment="1" applyProtection="1">
      <alignment horizontal="right" vertical="center"/>
      <protection locked="0"/>
    </xf>
    <xf numFmtId="167" fontId="127" fillId="9" borderId="374" xfId="5" applyNumberFormat="1" applyFont="1" applyFill="1" applyBorder="1" applyAlignment="1" applyProtection="1">
      <alignment horizontal="right" vertical="center"/>
      <protection locked="0"/>
    </xf>
    <xf numFmtId="167" fontId="127" fillId="9" borderId="375" xfId="5"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vertical="center"/>
      <protection locked="0"/>
    </xf>
    <xf numFmtId="3" fontId="30" fillId="0" borderId="371" xfId="5" applyNumberFormat="1" applyFont="1" applyBorder="1" applyAlignment="1" applyProtection="1">
      <alignment vertical="center"/>
    </xf>
    <xf numFmtId="3" fontId="127" fillId="0" borderId="364" xfId="5" applyNumberFormat="1" applyFont="1" applyFill="1" applyBorder="1" applyAlignment="1" applyProtection="1">
      <alignment horizontal="right" vertical="center"/>
    </xf>
    <xf numFmtId="3" fontId="127" fillId="0" borderId="365" xfId="5" applyNumberFormat="1" applyFont="1" applyFill="1" applyBorder="1" applyAlignment="1" applyProtection="1">
      <alignment horizontal="right" vertical="center"/>
    </xf>
    <xf numFmtId="167" fontId="127" fillId="9" borderId="376" xfId="5" applyNumberFormat="1" applyFont="1" applyFill="1" applyBorder="1" applyAlignment="1" applyProtection="1">
      <alignment horizontal="right" vertical="center"/>
      <protection locked="0"/>
    </xf>
    <xf numFmtId="167" fontId="127" fillId="9" borderId="377" xfId="5" applyNumberFormat="1" applyFont="1" applyFill="1" applyBorder="1" applyAlignment="1" applyProtection="1">
      <alignment horizontal="right" vertical="center"/>
      <protection locked="0"/>
    </xf>
    <xf numFmtId="167" fontId="28" fillId="0" borderId="378" xfId="5" applyNumberFormat="1" applyFont="1" applyFill="1" applyBorder="1" applyAlignment="1" applyProtection="1">
      <alignment horizontal="left" vertical="center"/>
    </xf>
    <xf numFmtId="167" fontId="30" fillId="0" borderId="379" xfId="5" applyNumberFormat="1" applyFont="1" applyBorder="1" applyAlignment="1" applyProtection="1">
      <alignment vertical="center"/>
      <protection locked="0"/>
    </xf>
    <xf numFmtId="167" fontId="30" fillId="0" borderId="379" xfId="5" applyNumberFormat="1" applyFont="1" applyBorder="1" applyAlignment="1" applyProtection="1">
      <alignment vertical="center"/>
    </xf>
    <xf numFmtId="167" fontId="127" fillId="9" borderId="380" xfId="5" applyNumberFormat="1" applyFont="1" applyFill="1" applyBorder="1" applyAlignment="1" applyProtection="1">
      <alignment horizontal="right" vertical="center"/>
      <protection locked="0"/>
    </xf>
    <xf numFmtId="167" fontId="127" fillId="9" borderId="381" xfId="5" applyNumberFormat="1" applyFont="1" applyFill="1" applyBorder="1" applyAlignment="1" applyProtection="1">
      <alignment horizontal="right" vertical="center"/>
      <protection locked="0"/>
    </xf>
    <xf numFmtId="167" fontId="28" fillId="0" borderId="382" xfId="5" applyNumberFormat="1" applyFont="1" applyFill="1" applyBorder="1" applyAlignment="1" applyProtection="1">
      <alignment horizontal="left" vertical="center"/>
    </xf>
    <xf numFmtId="167" fontId="30" fillId="0" borderId="383" xfId="5" applyNumberFormat="1" applyFont="1" applyFill="1" applyBorder="1" applyAlignment="1" applyProtection="1">
      <alignment horizontal="right" vertical="center"/>
      <protection locked="0"/>
    </xf>
    <xf numFmtId="167" fontId="19" fillId="0" borderId="383" xfId="5" applyNumberFormat="1" applyFont="1" applyBorder="1" applyAlignment="1" applyProtection="1">
      <alignment vertical="center"/>
      <protection locked="0"/>
    </xf>
    <xf numFmtId="37" fontId="31" fillId="0" borderId="384" xfId="3" applyFont="1" applyFill="1" applyBorder="1" applyAlignment="1" applyProtection="1">
      <alignment vertical="center"/>
    </xf>
    <xf numFmtId="167" fontId="30" fillId="0" borderId="385" xfId="5" applyNumberFormat="1" applyFont="1" applyFill="1" applyBorder="1" applyAlignment="1" applyProtection="1">
      <alignment horizontal="right" vertical="center"/>
      <protection locked="0"/>
    </xf>
    <xf numFmtId="167" fontId="19" fillId="0" borderId="385" xfId="5" applyNumberFormat="1" applyFont="1" applyBorder="1" applyAlignment="1" applyProtection="1">
      <alignment vertical="center"/>
      <protection locked="0"/>
    </xf>
    <xf numFmtId="186" fontId="30" fillId="0" borderId="367" xfId="16" applyNumberFormat="1" applyFont="1" applyBorder="1" applyAlignment="1" applyProtection="1">
      <alignment vertical="center"/>
      <protection locked="0"/>
    </xf>
    <xf numFmtId="186" fontId="30" fillId="0" borderId="367" xfId="16" applyNumberFormat="1" applyFont="1" applyBorder="1" applyAlignment="1" applyProtection="1">
      <alignment vertical="center"/>
    </xf>
    <xf numFmtId="186" fontId="127" fillId="9" borderId="368" xfId="16" applyNumberFormat="1" applyFont="1" applyFill="1" applyBorder="1" applyAlignment="1" applyProtection="1">
      <alignment horizontal="right" vertical="center"/>
      <protection locked="0"/>
    </xf>
    <xf numFmtId="186" fontId="127" fillId="9" borderId="369" xfId="16" applyNumberFormat="1" applyFont="1" applyFill="1" applyBorder="1" applyAlignment="1" applyProtection="1">
      <alignment horizontal="right" vertical="center"/>
      <protection locked="0"/>
    </xf>
    <xf numFmtId="186" fontId="30" fillId="0" borderId="371" xfId="16" applyNumberFormat="1" applyFont="1" applyBorder="1" applyAlignment="1" applyProtection="1">
      <alignment vertical="center"/>
      <protection locked="0"/>
    </xf>
    <xf numFmtId="186" fontId="30" fillId="0" borderId="371" xfId="16" applyNumberFormat="1" applyFont="1" applyBorder="1" applyAlignment="1" applyProtection="1">
      <alignment vertical="center"/>
    </xf>
    <xf numFmtId="186" fontId="127" fillId="9" borderId="372" xfId="16" applyNumberFormat="1" applyFont="1" applyFill="1" applyBorder="1" applyAlignment="1" applyProtection="1">
      <alignment horizontal="right" vertical="center"/>
      <protection locked="0"/>
    </xf>
    <xf numFmtId="186" fontId="127" fillId="9" borderId="373" xfId="16" applyNumberFormat="1" applyFont="1" applyFill="1" applyBorder="1" applyAlignment="1" applyProtection="1">
      <alignment horizontal="right" vertical="center"/>
      <protection locked="0"/>
    </xf>
    <xf numFmtId="167" fontId="30" fillId="0" borderId="371" xfId="16" applyNumberFormat="1" applyFont="1" applyBorder="1" applyAlignment="1" applyProtection="1">
      <alignment vertical="center"/>
      <protection locked="0"/>
    </xf>
    <xf numFmtId="167" fontId="30" fillId="0" borderId="371" xfId="16" applyNumberFormat="1" applyFont="1" applyBorder="1" applyAlignment="1" applyProtection="1">
      <alignment vertical="center"/>
    </xf>
    <xf numFmtId="167" fontId="127" fillId="9" borderId="372" xfId="16" applyNumberFormat="1" applyFont="1" applyFill="1" applyBorder="1" applyAlignment="1" applyProtection="1">
      <alignment horizontal="right" vertical="center"/>
      <protection locked="0"/>
    </xf>
    <xf numFmtId="167" fontId="127" fillId="9" borderId="386" xfId="16" applyNumberFormat="1" applyFont="1" applyFill="1" applyBorder="1" applyAlignment="1" applyProtection="1">
      <alignment horizontal="right" vertical="center"/>
      <protection locked="0"/>
    </xf>
    <xf numFmtId="186" fontId="127" fillId="9" borderId="386" xfId="16"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horizontal="right" vertical="center"/>
      <protection locked="0"/>
    </xf>
    <xf numFmtId="3" fontId="127" fillId="9" borderId="372" xfId="5" applyNumberFormat="1" applyFont="1" applyFill="1" applyBorder="1" applyAlignment="1" applyProtection="1">
      <alignment horizontal="right" vertical="center"/>
      <protection locked="0"/>
    </xf>
    <xf numFmtId="3" fontId="127" fillId="9" borderId="386" xfId="5" applyNumberFormat="1" applyFont="1" applyFill="1" applyBorder="1" applyAlignment="1" applyProtection="1">
      <alignment horizontal="right" vertical="center"/>
      <protection locked="0"/>
    </xf>
    <xf numFmtId="9" fontId="30" fillId="0" borderId="371" xfId="5" applyFont="1" applyBorder="1" applyAlignment="1" applyProtection="1">
      <alignment horizontal="right" vertical="center"/>
      <protection locked="0"/>
    </xf>
    <xf numFmtId="9" fontId="30" fillId="0" borderId="371" xfId="5" applyFont="1" applyBorder="1" applyAlignment="1" applyProtection="1">
      <alignment vertical="center"/>
    </xf>
    <xf numFmtId="167" fontId="127" fillId="9" borderId="386" xfId="5" applyNumberFormat="1" applyFont="1" applyFill="1" applyBorder="1" applyAlignment="1" applyProtection="1">
      <alignment horizontal="right" vertical="center"/>
      <protection locked="0"/>
    </xf>
    <xf numFmtId="167" fontId="30" fillId="0" borderId="371" xfId="5" applyNumberFormat="1" applyFont="1" applyBorder="1" applyAlignment="1" applyProtection="1">
      <alignment horizontal="right" vertical="center"/>
      <protection locked="0"/>
    </xf>
    <xf numFmtId="167" fontId="30" fillId="0" borderId="371" xfId="5" applyNumberFormat="1" applyFont="1" applyBorder="1" applyAlignment="1" applyProtection="1">
      <alignment horizontal="right" vertical="center"/>
    </xf>
    <xf numFmtId="167" fontId="30" fillId="0" borderId="379" xfId="5" applyNumberFormat="1" applyFont="1" applyBorder="1" applyAlignment="1" applyProtection="1">
      <alignment horizontal="right" vertical="center"/>
      <protection locked="0"/>
    </xf>
    <xf numFmtId="167" fontId="127" fillId="9" borderId="387" xfId="5" applyNumberFormat="1" applyFont="1" applyFill="1" applyBorder="1" applyAlignment="1" applyProtection="1">
      <alignment horizontal="right" vertical="center"/>
      <protection locked="0"/>
    </xf>
    <xf numFmtId="37" fontId="19" fillId="0" borderId="382" xfId="3" applyFont="1" applyBorder="1" applyAlignment="1" applyProtection="1">
      <alignment vertical="center"/>
    </xf>
    <xf numFmtId="37" fontId="19" fillId="0" borderId="388" xfId="3" applyFont="1" applyBorder="1" applyAlignment="1" applyProtection="1">
      <alignment vertical="center"/>
      <protection locked="0"/>
    </xf>
    <xf numFmtId="0" fontId="127" fillId="0" borderId="364" xfId="15" applyFont="1" applyBorder="1" applyAlignment="1" applyProtection="1">
      <alignment horizontal="center" vertical="center"/>
    </xf>
    <xf numFmtId="37" fontId="127" fillId="0" borderId="364" xfId="3" applyFont="1" applyBorder="1" applyAlignment="1" applyProtection="1">
      <alignment horizontal="center" vertical="center"/>
    </xf>
    <xf numFmtId="37" fontId="127" fillId="0" borderId="365" xfId="3" applyFont="1" applyBorder="1" applyAlignment="1" applyProtection="1">
      <alignment horizontal="center" vertical="center"/>
    </xf>
    <xf numFmtId="37" fontId="31" fillId="0" borderId="389" xfId="3" applyFont="1" applyBorder="1" applyAlignment="1" applyProtection="1">
      <alignment vertical="center"/>
    </xf>
    <xf numFmtId="37" fontId="30" fillId="10" borderId="390" xfId="3" applyFont="1" applyFill="1" applyBorder="1" applyAlignment="1" applyProtection="1">
      <alignment horizontal="center" vertical="center"/>
      <protection locked="0"/>
    </xf>
    <xf numFmtId="37" fontId="30" fillId="10" borderId="390" xfId="3" applyFont="1" applyFill="1" applyBorder="1" applyAlignment="1" applyProtection="1">
      <alignment horizontal="center" vertical="center"/>
    </xf>
    <xf numFmtId="37" fontId="127" fillId="10" borderId="364" xfId="15" applyNumberFormat="1" applyFont="1" applyFill="1" applyBorder="1" applyAlignment="1" applyProtection="1">
      <alignment horizontal="center" vertical="center"/>
    </xf>
    <xf numFmtId="37" fontId="127" fillId="10" borderId="364" xfId="3" applyFont="1" applyFill="1" applyBorder="1" applyAlignment="1" applyProtection="1">
      <alignment horizontal="center" vertical="center"/>
    </xf>
    <xf numFmtId="37" fontId="127" fillId="10" borderId="365" xfId="3" applyFont="1" applyFill="1" applyBorder="1" applyAlignment="1" applyProtection="1">
      <alignment horizontal="center" vertical="center"/>
    </xf>
    <xf numFmtId="37" fontId="19" fillId="0" borderId="391" xfId="3" applyFont="1" applyBorder="1" applyAlignment="1" applyProtection="1">
      <alignment vertical="center"/>
    </xf>
    <xf numFmtId="10" fontId="30" fillId="0" borderId="367" xfId="3" applyNumberFormat="1" applyFont="1" applyBorder="1" applyAlignment="1" applyProtection="1">
      <alignment horizontal="right" vertical="center"/>
      <protection locked="0"/>
    </xf>
    <xf numFmtId="10" fontId="30" fillId="0" borderId="367" xfId="3" applyNumberFormat="1" applyFont="1" applyBorder="1" applyAlignment="1" applyProtection="1">
      <alignment horizontal="right" vertical="center"/>
    </xf>
    <xf numFmtId="10" fontId="127" fillId="9" borderId="368" xfId="15" applyNumberFormat="1" applyFont="1" applyFill="1" applyBorder="1" applyAlignment="1" applyProtection="1">
      <alignment horizontal="right" vertical="center"/>
      <protection locked="0"/>
    </xf>
    <xf numFmtId="10" fontId="127" fillId="9" borderId="368" xfId="3" applyNumberFormat="1" applyFont="1" applyFill="1" applyBorder="1" applyAlignment="1" applyProtection="1">
      <alignment horizontal="right" vertical="center"/>
      <protection locked="0"/>
    </xf>
    <xf numFmtId="10" fontId="127" fillId="9" borderId="369" xfId="3" applyNumberFormat="1" applyFont="1" applyFill="1" applyBorder="1" applyAlignment="1" applyProtection="1">
      <alignment horizontal="right" vertical="center"/>
      <protection locked="0"/>
    </xf>
    <xf numFmtId="37" fontId="19" fillId="0" borderId="392" xfId="3" applyFont="1" applyBorder="1" applyAlignment="1" applyProtection="1">
      <alignment vertical="center"/>
    </xf>
    <xf numFmtId="10" fontId="30" fillId="0" borderId="371" xfId="3" applyNumberFormat="1" applyFont="1" applyBorder="1" applyAlignment="1" applyProtection="1">
      <alignment horizontal="right" vertical="center"/>
      <protection locked="0"/>
    </xf>
    <xf numFmtId="10" fontId="30" fillId="0" borderId="371" xfId="3" applyNumberFormat="1" applyFont="1" applyBorder="1" applyAlignment="1" applyProtection="1">
      <alignment horizontal="right" vertical="center"/>
    </xf>
    <xf numFmtId="10" fontId="127" fillId="9" borderId="380" xfId="15" applyNumberFormat="1" applyFont="1" applyFill="1" applyBorder="1" applyAlignment="1" applyProtection="1">
      <alignment horizontal="right" vertical="center"/>
      <protection locked="0"/>
    </xf>
    <xf numFmtId="10" fontId="127" fillId="9" borderId="380" xfId="3" applyNumberFormat="1" applyFont="1" applyFill="1" applyBorder="1" applyAlignment="1" applyProtection="1">
      <alignment horizontal="right" vertical="center"/>
      <protection locked="0"/>
    </xf>
    <xf numFmtId="10" fontId="127" fillId="9" borderId="372" xfId="3" applyNumberFormat="1" applyFont="1" applyFill="1" applyBorder="1" applyAlignment="1" applyProtection="1">
      <alignment horizontal="right" vertical="center"/>
      <protection locked="0"/>
    </xf>
    <xf numFmtId="10" fontId="127" fillId="9" borderId="373" xfId="3" applyNumberFormat="1" applyFont="1" applyFill="1" applyBorder="1" applyAlignment="1" applyProtection="1">
      <alignment horizontal="right" vertical="center"/>
      <protection locked="0"/>
    </xf>
    <xf numFmtId="10" fontId="127" fillId="0" borderId="364" xfId="15" applyNumberFormat="1" applyFont="1" applyFill="1" applyBorder="1" applyAlignment="1" applyProtection="1">
      <alignment horizontal="right" vertical="center"/>
    </xf>
    <xf numFmtId="10" fontId="127" fillId="0" borderId="364" xfId="3" applyNumberFormat="1" applyFont="1" applyFill="1" applyBorder="1" applyAlignment="1" applyProtection="1">
      <alignment horizontal="right" vertical="center"/>
    </xf>
    <xf numFmtId="10" fontId="127" fillId="9" borderId="381" xfId="3" applyNumberFormat="1" applyFont="1" applyFill="1" applyBorder="1" applyAlignment="1" applyProtection="1">
      <alignment horizontal="right" vertical="center"/>
      <protection locked="0"/>
    </xf>
    <xf numFmtId="37" fontId="19" fillId="0" borderId="393" xfId="3" applyFont="1" applyBorder="1" applyAlignment="1" applyProtection="1">
      <alignment vertical="center"/>
    </xf>
    <xf numFmtId="4" fontId="30" fillId="0" borderId="394" xfId="3" applyNumberFormat="1" applyFont="1" applyBorder="1" applyAlignment="1" applyProtection="1">
      <alignment horizontal="right" vertical="center"/>
      <protection locked="0"/>
    </xf>
    <xf numFmtId="37" fontId="19" fillId="0" borderId="359" xfId="3" applyFont="1" applyBorder="1" applyAlignment="1" applyProtection="1">
      <alignment vertical="center"/>
      <protection locked="0"/>
    </xf>
    <xf numFmtId="4" fontId="30" fillId="0" borderId="394" xfId="3" applyNumberFormat="1" applyFont="1" applyBorder="1" applyAlignment="1" applyProtection="1">
      <alignment horizontal="right" vertical="center"/>
    </xf>
    <xf numFmtId="37" fontId="19" fillId="0" borderId="359" xfId="3" applyFont="1" applyBorder="1" applyAlignment="1" applyProtection="1">
      <alignment horizontal="center" vertical="center"/>
      <protection locked="0"/>
    </xf>
    <xf numFmtId="0" fontId="28" fillId="0" borderId="359" xfId="15" applyFont="1" applyBorder="1" applyAlignment="1" applyProtection="1">
      <alignment vertical="center"/>
      <protection locked="0"/>
    </xf>
    <xf numFmtId="4" fontId="127" fillId="9" borderId="395" xfId="15" applyNumberFormat="1" applyFont="1" applyFill="1" applyBorder="1" applyAlignment="1" applyProtection="1">
      <alignment horizontal="right" vertical="center"/>
      <protection locked="0"/>
    </xf>
    <xf numFmtId="4" fontId="127" fillId="9" borderId="395" xfId="3" applyNumberFormat="1" applyFont="1" applyFill="1" applyBorder="1" applyAlignment="1" applyProtection="1">
      <alignment horizontal="right" vertical="center"/>
      <protection locked="0"/>
    </xf>
    <xf numFmtId="4" fontId="127" fillId="0" borderId="395" xfId="3" applyNumberFormat="1" applyFont="1" applyFill="1" applyBorder="1" applyAlignment="1" applyProtection="1">
      <alignment horizontal="right" vertical="center"/>
    </xf>
    <xf numFmtId="4" fontId="127" fillId="0" borderId="396" xfId="3" applyNumberFormat="1" applyFont="1" applyFill="1" applyBorder="1" applyAlignment="1" applyProtection="1">
      <alignment horizontal="right" vertical="center"/>
    </xf>
    <xf numFmtId="49" fontId="127" fillId="0" borderId="0" xfId="15" applyNumberFormat="1" applyFont="1" applyFill="1" applyBorder="1" applyAlignment="1" applyProtection="1">
      <alignment horizontal="left" vertical="center"/>
      <protection locked="0"/>
    </xf>
    <xf numFmtId="4" fontId="127" fillId="0" borderId="0" xfId="3" applyNumberFormat="1" applyFont="1" applyFill="1" applyBorder="1" applyAlignment="1" applyProtection="1">
      <alignment horizontal="right" vertical="center"/>
      <protection locked="0"/>
    </xf>
    <xf numFmtId="37" fontId="126" fillId="25" borderId="397" xfId="3" applyFont="1" applyFill="1" applyBorder="1" applyAlignment="1" applyProtection="1">
      <alignment vertical="center"/>
    </xf>
    <xf numFmtId="37" fontId="126" fillId="25" borderId="398" xfId="3" applyFont="1" applyFill="1" applyBorder="1" applyAlignment="1" applyProtection="1">
      <alignment vertical="center"/>
    </xf>
    <xf numFmtId="37" fontId="25" fillId="25" borderId="399" xfId="3" applyFont="1" applyFill="1" applyBorder="1" applyAlignment="1" applyProtection="1">
      <alignment vertical="center"/>
      <protection locked="0"/>
    </xf>
    <xf numFmtId="37" fontId="25" fillId="25" borderId="400" xfId="3" applyFont="1" applyFill="1" applyBorder="1" applyAlignment="1" applyProtection="1">
      <alignment vertical="center"/>
      <protection locked="0"/>
    </xf>
    <xf numFmtId="37" fontId="19" fillId="0" borderId="401" xfId="3" applyFont="1" applyBorder="1" applyAlignment="1" applyProtection="1">
      <alignment vertical="center"/>
      <protection locked="0"/>
    </xf>
    <xf numFmtId="37" fontId="128" fillId="0" borderId="402" xfId="3" applyFont="1" applyBorder="1" applyAlignment="1" applyProtection="1">
      <alignment horizontal="center" vertical="center"/>
    </xf>
    <xf numFmtId="37" fontId="128" fillId="0" borderId="403" xfId="3" applyFont="1" applyBorder="1" applyAlignment="1" applyProtection="1">
      <alignment horizontal="center" vertical="center"/>
    </xf>
    <xf numFmtId="37" fontId="128" fillId="0" borderId="404" xfId="3" applyFont="1" applyBorder="1" applyAlignment="1" applyProtection="1">
      <alignment horizontal="center" vertical="center"/>
    </xf>
    <xf numFmtId="37" fontId="31" fillId="0" borderId="402" xfId="3" applyFont="1" applyBorder="1" applyAlignment="1" applyProtection="1">
      <alignment vertical="center"/>
    </xf>
    <xf numFmtId="37" fontId="30" fillId="23" borderId="403" xfId="3" applyNumberFormat="1" applyFont="1" applyFill="1" applyBorder="1" applyAlignment="1" applyProtection="1">
      <alignment horizontal="center" vertical="center"/>
      <protection locked="0"/>
    </xf>
    <xf numFmtId="37" fontId="19" fillId="0" borderId="405" xfId="3" applyFont="1" applyBorder="1" applyAlignment="1" applyProtection="1">
      <alignment vertical="center"/>
      <protection locked="0"/>
    </xf>
    <xf numFmtId="37" fontId="30" fillId="23" borderId="403" xfId="3" applyNumberFormat="1" applyFont="1" applyFill="1" applyBorder="1" applyAlignment="1" applyProtection="1">
      <alignment horizontal="center" vertical="center"/>
    </xf>
    <xf numFmtId="37" fontId="19" fillId="0" borderId="405" xfId="3" applyFont="1" applyBorder="1" applyAlignment="1" applyProtection="1">
      <alignment horizontal="center" vertical="center"/>
      <protection locked="0"/>
    </xf>
    <xf numFmtId="0" fontId="28" fillId="0" borderId="405" xfId="15" applyFont="1" applyBorder="1" applyAlignment="1" applyProtection="1">
      <alignment vertical="center"/>
      <protection locked="0"/>
    </xf>
    <xf numFmtId="0" fontId="128" fillId="10" borderId="406" xfId="15" applyFont="1" applyFill="1" applyBorder="1" applyAlignment="1" applyProtection="1">
      <alignment horizontal="center" vertical="center"/>
      <protection locked="0"/>
    </xf>
    <xf numFmtId="37" fontId="128" fillId="23" borderId="407" xfId="3" applyNumberFormat="1" applyFont="1" applyFill="1" applyBorder="1" applyAlignment="1" applyProtection="1">
      <alignment horizontal="center" vertical="center"/>
    </xf>
    <xf numFmtId="37" fontId="128" fillId="23" borderId="408" xfId="3" applyNumberFormat="1" applyFont="1" applyFill="1" applyBorder="1" applyAlignment="1" applyProtection="1">
      <alignment horizontal="center" vertical="center"/>
    </xf>
    <xf numFmtId="167" fontId="28" fillId="0" borderId="409" xfId="5" applyNumberFormat="1" applyFont="1" applyFill="1" applyBorder="1" applyAlignment="1" applyProtection="1">
      <alignment horizontal="left" vertical="center"/>
    </xf>
    <xf numFmtId="167" fontId="30" fillId="0" borderId="410" xfId="5" applyNumberFormat="1" applyFont="1" applyBorder="1" applyAlignment="1" applyProtection="1">
      <alignment horizontal="right" vertical="center"/>
      <protection locked="0"/>
    </xf>
    <xf numFmtId="167" fontId="30" fillId="0" borderId="410" xfId="5" applyNumberFormat="1" applyFont="1" applyBorder="1" applyAlignment="1" applyProtection="1">
      <alignment vertical="center"/>
    </xf>
    <xf numFmtId="9" fontId="36" fillId="9" borderId="411" xfId="15" applyNumberFormat="1" applyFont="1" applyFill="1" applyBorder="1" applyAlignment="1" applyProtection="1">
      <alignment horizontal="center" vertical="center"/>
      <protection locked="0"/>
    </xf>
    <xf numFmtId="167" fontId="128" fillId="9" borderId="412" xfId="5" applyNumberFormat="1" applyFont="1" applyFill="1" applyBorder="1" applyAlignment="1" applyProtection="1">
      <alignment horizontal="right" vertical="center"/>
      <protection locked="0"/>
    </xf>
    <xf numFmtId="167" fontId="128" fillId="9" borderId="413" xfId="5" applyNumberFormat="1" applyFont="1" applyFill="1" applyBorder="1" applyAlignment="1" applyProtection="1">
      <alignment horizontal="right" vertical="center"/>
      <protection locked="0"/>
    </xf>
    <xf numFmtId="167" fontId="28" fillId="0" borderId="414" xfId="5" applyNumberFormat="1" applyFont="1" applyFill="1" applyBorder="1" applyAlignment="1" applyProtection="1">
      <alignment horizontal="left" vertical="center"/>
    </xf>
    <xf numFmtId="167" fontId="30" fillId="0" borderId="415" xfId="5" applyNumberFormat="1" applyFont="1" applyBorder="1" applyAlignment="1" applyProtection="1">
      <alignment vertical="center"/>
      <protection locked="0"/>
    </xf>
    <xf numFmtId="167" fontId="30" fillId="0" borderId="415" xfId="5" applyNumberFormat="1" applyFont="1" applyBorder="1" applyAlignment="1" applyProtection="1">
      <alignment vertical="center"/>
    </xf>
    <xf numFmtId="9" fontId="36" fillId="9" borderId="416" xfId="15" applyNumberFormat="1" applyFont="1" applyFill="1" applyBorder="1" applyAlignment="1" applyProtection="1">
      <alignment horizontal="center" vertical="center"/>
      <protection locked="0"/>
    </xf>
    <xf numFmtId="167" fontId="128" fillId="9" borderId="417" xfId="5" applyNumberFormat="1" applyFont="1" applyFill="1" applyBorder="1" applyAlignment="1" applyProtection="1">
      <alignment horizontal="right" vertical="center"/>
      <protection locked="0"/>
    </xf>
    <xf numFmtId="167" fontId="128" fillId="9" borderId="418" xfId="5" applyNumberFormat="1" applyFont="1" applyFill="1" applyBorder="1" applyAlignment="1" applyProtection="1">
      <alignment horizontal="right" vertical="center"/>
      <protection locked="0"/>
    </xf>
    <xf numFmtId="9" fontId="36" fillId="9" borderId="419" xfId="15" applyNumberFormat="1" applyFont="1" applyFill="1" applyBorder="1" applyAlignment="1" applyProtection="1">
      <alignment horizontal="center" vertical="center"/>
      <protection locked="0"/>
    </xf>
    <xf numFmtId="167" fontId="128" fillId="9" borderId="420" xfId="5" applyNumberFormat="1" applyFont="1" applyFill="1" applyBorder="1" applyAlignment="1" applyProtection="1">
      <alignment horizontal="right" vertical="center"/>
      <protection locked="0"/>
    </xf>
    <xf numFmtId="167" fontId="128" fillId="9" borderId="421" xfId="5" applyNumberFormat="1" applyFont="1" applyFill="1" applyBorder="1" applyAlignment="1" applyProtection="1">
      <alignment horizontal="right" vertical="center"/>
      <protection locked="0"/>
    </xf>
    <xf numFmtId="3" fontId="30" fillId="0" borderId="415" xfId="5" applyNumberFormat="1" applyFont="1" applyBorder="1" applyAlignment="1" applyProtection="1">
      <alignment vertical="center"/>
      <protection locked="0"/>
    </xf>
    <xf numFmtId="3" fontId="30" fillId="0" borderId="415" xfId="5" applyNumberFormat="1" applyFont="1" applyBorder="1" applyAlignment="1" applyProtection="1">
      <alignment vertical="center"/>
    </xf>
    <xf numFmtId="9" fontId="36" fillId="0" borderId="422" xfId="15" applyNumberFormat="1" applyFont="1" applyFill="1" applyBorder="1" applyAlignment="1" applyProtection="1">
      <alignment horizontal="center" vertical="center"/>
      <protection locked="0"/>
    </xf>
    <xf numFmtId="3" fontId="128" fillId="0" borderId="407" xfId="5" applyNumberFormat="1" applyFont="1" applyFill="1" applyBorder="1" applyAlignment="1" applyProtection="1">
      <alignment horizontal="right" vertical="center"/>
    </xf>
    <xf numFmtId="3" fontId="128" fillId="0" borderId="423" xfId="5" applyNumberFormat="1" applyFont="1" applyFill="1" applyBorder="1" applyAlignment="1" applyProtection="1">
      <alignment horizontal="right" vertical="center"/>
    </xf>
    <xf numFmtId="9" fontId="36" fillId="9" borderId="424" xfId="15" applyNumberFormat="1" applyFont="1" applyFill="1" applyBorder="1" applyAlignment="1" applyProtection="1">
      <alignment horizontal="center" vertical="center"/>
      <protection locked="0"/>
    </xf>
    <xf numFmtId="167" fontId="128" fillId="9" borderId="425" xfId="5" applyNumberFormat="1" applyFont="1" applyFill="1" applyBorder="1" applyAlignment="1" applyProtection="1">
      <alignment horizontal="right" vertical="center"/>
      <protection locked="0"/>
    </xf>
    <xf numFmtId="167" fontId="128" fillId="9" borderId="426" xfId="5" applyNumberFormat="1" applyFont="1" applyFill="1" applyBorder="1" applyAlignment="1" applyProtection="1">
      <alignment horizontal="right" vertical="center"/>
      <protection locked="0"/>
    </xf>
    <xf numFmtId="167" fontId="28" fillId="0" borderId="427" xfId="5" applyNumberFormat="1" applyFont="1" applyFill="1" applyBorder="1" applyAlignment="1" applyProtection="1">
      <alignment horizontal="left" vertical="center"/>
    </xf>
    <xf numFmtId="167" fontId="30" fillId="0" borderId="428" xfId="5" applyNumberFormat="1" applyFont="1" applyBorder="1" applyAlignment="1" applyProtection="1">
      <alignment vertical="center"/>
      <protection locked="0"/>
    </xf>
    <xf numFmtId="167" fontId="30" fillId="0" borderId="428" xfId="5" applyNumberFormat="1" applyFont="1" applyBorder="1" applyAlignment="1" applyProtection="1">
      <alignment vertical="center"/>
    </xf>
    <xf numFmtId="9" fontId="36" fillId="9" borderId="429" xfId="15" applyNumberFormat="1" applyFont="1" applyFill="1" applyBorder="1" applyAlignment="1" applyProtection="1">
      <alignment horizontal="center" vertical="center"/>
      <protection locked="0"/>
    </xf>
    <xf numFmtId="167" fontId="128" fillId="9" borderId="430" xfId="5" applyNumberFormat="1" applyFont="1" applyFill="1" applyBorder="1" applyAlignment="1" applyProtection="1">
      <alignment horizontal="right" vertical="center"/>
      <protection locked="0"/>
    </xf>
    <xf numFmtId="167" fontId="128" fillId="9" borderId="431" xfId="5" applyNumberFormat="1" applyFont="1" applyFill="1" applyBorder="1" applyAlignment="1" applyProtection="1">
      <alignment horizontal="right" vertical="center"/>
      <protection locked="0"/>
    </xf>
    <xf numFmtId="167" fontId="28" fillId="0" borderId="432" xfId="5" applyNumberFormat="1" applyFont="1" applyFill="1" applyBorder="1" applyAlignment="1" applyProtection="1">
      <alignment horizontal="left" vertical="center"/>
    </xf>
    <xf numFmtId="37" fontId="19" fillId="0" borderId="433" xfId="3" applyFont="1" applyBorder="1" applyAlignment="1" applyProtection="1">
      <alignment vertical="center"/>
      <protection locked="0"/>
    </xf>
    <xf numFmtId="37" fontId="31" fillId="0" borderId="434" xfId="3" applyFont="1" applyFill="1" applyBorder="1" applyAlignment="1" applyProtection="1">
      <alignment vertical="center"/>
    </xf>
    <xf numFmtId="37" fontId="19" fillId="0" borderId="435" xfId="3" applyFont="1" applyBorder="1" applyAlignment="1" applyProtection="1">
      <alignment vertical="center"/>
      <protection locked="0"/>
    </xf>
    <xf numFmtId="186" fontId="30" fillId="0" borderId="410" xfId="16" applyNumberFormat="1" applyFont="1" applyBorder="1" applyAlignment="1" applyProtection="1">
      <alignment vertical="center"/>
      <protection locked="0"/>
    </xf>
    <xf numFmtId="186" fontId="30" fillId="0" borderId="410" xfId="16" applyNumberFormat="1" applyFont="1" applyBorder="1" applyAlignment="1" applyProtection="1">
      <alignment vertical="center"/>
    </xf>
    <xf numFmtId="187" fontId="36" fillId="9" borderId="411" xfId="15" applyNumberFormat="1" applyFont="1" applyFill="1" applyBorder="1" applyAlignment="1" applyProtection="1">
      <alignment horizontal="center" vertical="center"/>
      <protection locked="0"/>
    </xf>
    <xf numFmtId="186" fontId="128" fillId="9" borderId="412" xfId="16" applyNumberFormat="1" applyFont="1" applyFill="1" applyBorder="1" applyAlignment="1" applyProtection="1">
      <alignment horizontal="right" vertical="center"/>
      <protection locked="0"/>
    </xf>
    <xf numFmtId="186" fontId="128" fillId="9" borderId="436" xfId="16" applyNumberFormat="1" applyFont="1" applyFill="1" applyBorder="1" applyAlignment="1" applyProtection="1">
      <alignment horizontal="right" vertical="center"/>
      <protection locked="0"/>
    </xf>
    <xf numFmtId="186" fontId="30" fillId="0" borderId="415" xfId="16" applyNumberFormat="1" applyFont="1" applyBorder="1" applyAlignment="1" applyProtection="1">
      <alignment vertical="center"/>
      <protection locked="0"/>
    </xf>
    <xf numFmtId="186" fontId="30" fillId="0" borderId="415" xfId="16" applyNumberFormat="1" applyFont="1" applyBorder="1" applyAlignment="1" applyProtection="1">
      <alignment vertical="center"/>
    </xf>
    <xf numFmtId="187" fontId="36" fillId="9" borderId="416" xfId="15" applyNumberFormat="1" applyFont="1" applyFill="1" applyBorder="1" applyAlignment="1" applyProtection="1">
      <alignment horizontal="center" vertical="center"/>
      <protection locked="0"/>
    </xf>
    <xf numFmtId="186" fontId="128" fillId="9" borderId="417" xfId="16" applyNumberFormat="1" applyFont="1" applyFill="1" applyBorder="1" applyAlignment="1" applyProtection="1">
      <alignment horizontal="right" vertical="center"/>
      <protection locked="0"/>
    </xf>
    <xf numFmtId="186" fontId="128" fillId="9" borderId="437" xfId="16" applyNumberFormat="1" applyFont="1" applyFill="1" applyBorder="1" applyAlignment="1" applyProtection="1">
      <alignment horizontal="right" vertical="center"/>
      <protection locked="0"/>
    </xf>
    <xf numFmtId="167" fontId="30" fillId="0" borderId="415" xfId="16" applyNumberFormat="1" applyFont="1" applyBorder="1" applyAlignment="1" applyProtection="1">
      <alignment vertical="center"/>
      <protection locked="0"/>
    </xf>
    <xf numFmtId="167" fontId="30" fillId="0" borderId="415" xfId="16" applyNumberFormat="1" applyFont="1" applyBorder="1" applyAlignment="1" applyProtection="1">
      <alignment vertical="center"/>
    </xf>
    <xf numFmtId="167" fontId="128" fillId="9" borderId="417" xfId="16" applyNumberFormat="1" applyFont="1" applyFill="1" applyBorder="1" applyAlignment="1" applyProtection="1">
      <alignment horizontal="right" vertical="center"/>
      <protection locked="0"/>
    </xf>
    <xf numFmtId="167" fontId="128" fillId="9" borderId="418" xfId="16" applyNumberFormat="1" applyFont="1" applyFill="1" applyBorder="1" applyAlignment="1" applyProtection="1">
      <alignment horizontal="right" vertical="center"/>
      <protection locked="0"/>
    </xf>
    <xf numFmtId="186" fontId="128" fillId="9" borderId="418" xfId="16" applyNumberFormat="1" applyFont="1" applyFill="1" applyBorder="1" applyAlignment="1" applyProtection="1">
      <alignment horizontal="right" vertical="center"/>
      <protection locked="0"/>
    </xf>
    <xf numFmtId="167" fontId="36" fillId="9" borderId="416" xfId="15" applyNumberFormat="1" applyFont="1" applyFill="1" applyBorder="1" applyAlignment="1" applyProtection="1">
      <alignment horizontal="center" vertical="center"/>
      <protection locked="0"/>
    </xf>
    <xf numFmtId="3" fontId="30" fillId="0" borderId="415" xfId="5" applyNumberFormat="1" applyFont="1" applyBorder="1" applyAlignment="1" applyProtection="1">
      <alignment horizontal="right" vertical="center"/>
      <protection locked="0"/>
    </xf>
    <xf numFmtId="188" fontId="36" fillId="9" borderId="416" xfId="15" applyNumberFormat="1" applyFont="1" applyFill="1" applyBorder="1" applyAlignment="1" applyProtection="1">
      <alignment horizontal="center" vertical="center"/>
      <protection locked="0"/>
    </xf>
    <xf numFmtId="3" fontId="128" fillId="9" borderId="417" xfId="5" applyNumberFormat="1" applyFont="1" applyFill="1" applyBorder="1" applyAlignment="1" applyProtection="1">
      <alignment horizontal="right" vertical="center"/>
      <protection locked="0"/>
    </xf>
    <xf numFmtId="3" fontId="128" fillId="9" borderId="418" xfId="5" applyNumberFormat="1" applyFont="1" applyFill="1" applyBorder="1" applyAlignment="1" applyProtection="1">
      <alignment horizontal="right" vertical="center"/>
      <protection locked="0"/>
    </xf>
    <xf numFmtId="9" fontId="30" fillId="0" borderId="415" xfId="5" applyFont="1" applyBorder="1" applyAlignment="1" applyProtection="1">
      <alignment horizontal="right" vertical="center"/>
      <protection locked="0"/>
    </xf>
    <xf numFmtId="9" fontId="30" fillId="0" borderId="415" xfId="5" applyFont="1" applyBorder="1" applyAlignment="1" applyProtection="1">
      <alignment vertical="center"/>
    </xf>
    <xf numFmtId="167" fontId="30" fillId="0" borderId="415" xfId="5" applyNumberFormat="1" applyFont="1" applyBorder="1" applyAlignment="1" applyProtection="1">
      <alignment horizontal="right" vertical="center"/>
      <protection locked="0"/>
    </xf>
    <xf numFmtId="167" fontId="30" fillId="0" borderId="415" xfId="5" applyNumberFormat="1" applyFont="1" applyBorder="1" applyAlignment="1" applyProtection="1">
      <alignment horizontal="right" vertical="center"/>
    </xf>
    <xf numFmtId="167" fontId="30" fillId="0" borderId="428" xfId="5" applyNumberFormat="1" applyFont="1" applyBorder="1" applyAlignment="1" applyProtection="1">
      <alignment horizontal="right" vertical="center"/>
      <protection locked="0"/>
    </xf>
    <xf numFmtId="37" fontId="19" fillId="0" borderId="432" xfId="3" applyFont="1" applyBorder="1" applyAlignment="1" applyProtection="1">
      <alignment vertical="center"/>
    </xf>
    <xf numFmtId="37" fontId="19" fillId="0" borderId="422" xfId="3" applyFont="1" applyBorder="1" applyAlignment="1" applyProtection="1">
      <alignment vertical="center"/>
      <protection locked="0"/>
    </xf>
    <xf numFmtId="0" fontId="128" fillId="0" borderId="407" xfId="15" applyFont="1" applyBorder="1" applyAlignment="1" applyProtection="1">
      <alignment horizontal="center" vertical="center"/>
    </xf>
    <xf numFmtId="37" fontId="128" fillId="0" borderId="407" xfId="3" applyFont="1" applyBorder="1" applyAlignment="1" applyProtection="1">
      <alignment horizontal="center" vertical="center"/>
    </xf>
    <xf numFmtId="37" fontId="128" fillId="0" borderId="423" xfId="3" applyFont="1" applyBorder="1" applyAlignment="1" applyProtection="1">
      <alignment horizontal="center" vertical="center"/>
    </xf>
    <xf numFmtId="37" fontId="31" fillId="0" borderId="438" xfId="3" applyFont="1" applyBorder="1" applyAlignment="1" applyProtection="1">
      <alignment vertical="center"/>
    </xf>
    <xf numFmtId="37" fontId="30" fillId="10" borderId="407" xfId="3" applyFont="1" applyFill="1" applyBorder="1" applyAlignment="1" applyProtection="1">
      <alignment horizontal="center" vertical="center"/>
      <protection locked="0"/>
    </xf>
    <xf numFmtId="37" fontId="30" fillId="10" borderId="407" xfId="3" applyFont="1" applyFill="1" applyBorder="1" applyAlignment="1" applyProtection="1">
      <alignment horizontal="center" vertical="center"/>
    </xf>
    <xf numFmtId="37" fontId="128" fillId="10" borderId="407" xfId="15" applyNumberFormat="1" applyFont="1" applyFill="1" applyBorder="1" applyAlignment="1" applyProtection="1">
      <alignment horizontal="center" vertical="center"/>
    </xf>
    <xf numFmtId="37" fontId="128" fillId="10" borderId="407" xfId="3" applyFont="1" applyFill="1" applyBorder="1" applyAlignment="1" applyProtection="1">
      <alignment horizontal="center" vertical="center"/>
    </xf>
    <xf numFmtId="37" fontId="128" fillId="10" borderId="423" xfId="3" applyFont="1" applyFill="1" applyBorder="1" applyAlignment="1" applyProtection="1">
      <alignment horizontal="center" vertical="center"/>
    </xf>
    <xf numFmtId="37" fontId="19" fillId="0" borderId="409" xfId="3" applyFont="1" applyBorder="1" applyAlignment="1" applyProtection="1">
      <alignment vertical="center"/>
    </xf>
    <xf numFmtId="10" fontId="30" fillId="0" borderId="410" xfId="3" applyNumberFormat="1" applyFont="1" applyBorder="1" applyAlignment="1" applyProtection="1">
      <alignment horizontal="right" vertical="center"/>
      <protection locked="0"/>
    </xf>
    <xf numFmtId="10" fontId="30" fillId="0" borderId="410" xfId="3" applyNumberFormat="1" applyFont="1" applyBorder="1" applyAlignment="1" applyProtection="1">
      <alignment horizontal="right" vertical="center"/>
    </xf>
    <xf numFmtId="0" fontId="28" fillId="0" borderId="0" xfId="15" applyNumberFormat="1" applyFont="1" applyFill="1" applyBorder="1" applyAlignment="1" applyProtection="1">
      <alignment horizontal="center" vertical="center"/>
      <protection locked="0"/>
    </xf>
    <xf numFmtId="10" fontId="128" fillId="9" borderId="412" xfId="15" applyNumberFormat="1" applyFont="1" applyFill="1" applyBorder="1" applyAlignment="1" applyProtection="1">
      <alignment horizontal="right" vertical="center"/>
      <protection locked="0"/>
    </xf>
    <xf numFmtId="10" fontId="128" fillId="9" borderId="412" xfId="3" applyNumberFormat="1" applyFont="1" applyFill="1" applyBorder="1" applyAlignment="1" applyProtection="1">
      <alignment horizontal="right" vertical="center"/>
      <protection locked="0"/>
    </xf>
    <xf numFmtId="10" fontId="128" fillId="9" borderId="413" xfId="3" applyNumberFormat="1" applyFont="1" applyFill="1" applyBorder="1" applyAlignment="1" applyProtection="1">
      <alignment horizontal="right" vertical="center"/>
      <protection locked="0"/>
    </xf>
    <xf numFmtId="37" fontId="19" fillId="0" borderId="414" xfId="3" applyFont="1" applyBorder="1" applyAlignment="1" applyProtection="1">
      <alignment vertical="center"/>
    </xf>
    <xf numFmtId="10" fontId="30" fillId="0" borderId="415" xfId="3" applyNumberFormat="1" applyFont="1" applyBorder="1" applyAlignment="1" applyProtection="1">
      <alignment horizontal="right" vertical="center"/>
      <protection locked="0"/>
    </xf>
    <xf numFmtId="10" fontId="30" fillId="0" borderId="415" xfId="3" applyNumberFormat="1" applyFont="1" applyBorder="1" applyAlignment="1" applyProtection="1">
      <alignment horizontal="right" vertical="center"/>
    </xf>
    <xf numFmtId="10" fontId="128" fillId="9" borderId="430" xfId="15" applyNumberFormat="1" applyFont="1" applyFill="1" applyBorder="1" applyAlignment="1" applyProtection="1">
      <alignment horizontal="right" vertical="center"/>
      <protection locked="0"/>
    </xf>
    <xf numFmtId="10" fontId="128" fillId="9" borderId="430" xfId="3" applyNumberFormat="1" applyFont="1" applyFill="1" applyBorder="1" applyAlignment="1" applyProtection="1">
      <alignment horizontal="right" vertical="center"/>
      <protection locked="0"/>
    </xf>
    <xf numFmtId="10" fontId="128" fillId="9" borderId="417" xfId="3" applyNumberFormat="1" applyFont="1" applyFill="1" applyBorder="1" applyAlignment="1" applyProtection="1">
      <alignment horizontal="right" vertical="center"/>
      <protection locked="0"/>
    </xf>
    <xf numFmtId="10" fontId="128" fillId="9" borderId="418" xfId="3" applyNumberFormat="1" applyFont="1" applyFill="1" applyBorder="1" applyAlignment="1" applyProtection="1">
      <alignment horizontal="right" vertical="center"/>
      <protection locked="0"/>
    </xf>
    <xf numFmtId="10" fontId="128" fillId="0" borderId="407" xfId="15" applyNumberFormat="1" applyFont="1" applyFill="1" applyBorder="1" applyAlignment="1" applyProtection="1">
      <alignment horizontal="right" vertical="center"/>
    </xf>
    <xf numFmtId="10" fontId="128" fillId="0" borderId="407" xfId="3" applyNumberFormat="1" applyFont="1" applyFill="1" applyBorder="1" applyAlignment="1" applyProtection="1">
      <alignment horizontal="right" vertical="center"/>
    </xf>
    <xf numFmtId="10" fontId="128" fillId="9" borderId="439" xfId="3" applyNumberFormat="1" applyFont="1" applyFill="1" applyBorder="1" applyAlignment="1" applyProtection="1">
      <alignment horizontal="right" vertical="center"/>
      <protection locked="0"/>
    </xf>
    <xf numFmtId="37" fontId="19" fillId="0" borderId="440" xfId="3" applyFont="1" applyBorder="1" applyAlignment="1" applyProtection="1">
      <alignment vertical="center"/>
    </xf>
    <xf numFmtId="4" fontId="30" fillId="0" borderId="441" xfId="3" applyNumberFormat="1" applyFont="1" applyBorder="1" applyAlignment="1" applyProtection="1">
      <alignment horizontal="right" vertical="center"/>
      <protection locked="0"/>
    </xf>
    <xf numFmtId="4" fontId="30" fillId="0" borderId="441" xfId="3" applyNumberFormat="1" applyFont="1" applyBorder="1" applyAlignment="1" applyProtection="1">
      <alignment horizontal="right" vertical="center"/>
    </xf>
    <xf numFmtId="37" fontId="19" fillId="0" borderId="401" xfId="3" applyFont="1" applyBorder="1" applyAlignment="1" applyProtection="1">
      <alignment horizontal="center" vertical="center"/>
      <protection locked="0"/>
    </xf>
    <xf numFmtId="0" fontId="28" fillId="0" borderId="401" xfId="15" applyFont="1" applyBorder="1" applyAlignment="1" applyProtection="1">
      <alignment vertical="center"/>
      <protection locked="0"/>
    </xf>
    <xf numFmtId="0" fontId="28" fillId="0" borderId="442" xfId="15" applyNumberFormat="1" applyFont="1" applyFill="1" applyBorder="1" applyAlignment="1" applyProtection="1">
      <alignment horizontal="center" vertical="center"/>
      <protection locked="0"/>
    </xf>
    <xf numFmtId="4" fontId="128" fillId="9" borderId="443" xfId="15" applyNumberFormat="1" applyFont="1" applyFill="1" applyBorder="1" applyAlignment="1" applyProtection="1">
      <alignment horizontal="right" vertical="center"/>
      <protection locked="0"/>
    </xf>
    <xf numFmtId="4" fontId="128" fillId="9" borderId="443" xfId="3" applyNumberFormat="1" applyFont="1" applyFill="1" applyBorder="1" applyAlignment="1" applyProtection="1">
      <alignment horizontal="right" vertical="center"/>
      <protection locked="0"/>
    </xf>
    <xf numFmtId="4" fontId="128" fillId="0" borderId="443" xfId="3" applyNumberFormat="1" applyFont="1" applyFill="1" applyBorder="1" applyAlignment="1" applyProtection="1">
      <alignment horizontal="right" vertical="center"/>
    </xf>
    <xf numFmtId="4" fontId="128" fillId="0" borderId="444" xfId="3" applyNumberFormat="1" applyFont="1" applyFill="1" applyBorder="1" applyAlignment="1" applyProtection="1">
      <alignment horizontal="right" vertical="center"/>
    </xf>
    <xf numFmtId="4" fontId="128" fillId="0" borderId="0" xfId="15" applyNumberFormat="1" applyFont="1" applyFill="1" applyBorder="1" applyAlignment="1" applyProtection="1">
      <alignment horizontal="left" vertical="center"/>
      <protection locked="0"/>
    </xf>
    <xf numFmtId="4" fontId="129" fillId="0" borderId="0" xfId="3" applyNumberFormat="1" applyFont="1" applyFill="1" applyBorder="1" applyAlignment="1" applyProtection="1">
      <alignment horizontal="right" vertical="center"/>
      <protection locked="0"/>
    </xf>
    <xf numFmtId="167" fontId="128" fillId="0" borderId="0" xfId="5" applyNumberFormat="1" applyFont="1" applyFill="1" applyBorder="1" applyAlignment="1" applyProtection="1">
      <alignment horizontal="right" vertical="center"/>
      <protection locked="0"/>
    </xf>
    <xf numFmtId="37" fontId="126" fillId="6" borderId="445" xfId="3" applyFont="1" applyFill="1" applyBorder="1" applyAlignment="1" applyProtection="1">
      <alignment vertical="center"/>
    </xf>
    <xf numFmtId="37" fontId="126" fillId="6" borderId="446" xfId="3" applyFont="1" applyFill="1" applyBorder="1" applyAlignment="1" applyProtection="1">
      <alignment vertical="center"/>
    </xf>
    <xf numFmtId="37" fontId="25" fillId="6" borderId="447" xfId="3" applyFont="1" applyFill="1" applyBorder="1" applyAlignment="1" applyProtection="1">
      <alignment vertical="center"/>
      <protection locked="0"/>
    </xf>
    <xf numFmtId="37" fontId="25" fillId="6" borderId="448" xfId="3" applyFont="1" applyFill="1" applyBorder="1" applyAlignment="1" applyProtection="1">
      <alignment vertical="center"/>
      <protection locked="0"/>
    </xf>
    <xf numFmtId="37" fontId="19" fillId="0" borderId="449" xfId="3" applyFont="1" applyBorder="1" applyAlignment="1" applyProtection="1">
      <alignment vertical="center"/>
      <protection locked="0"/>
    </xf>
    <xf numFmtId="37" fontId="34" fillId="0" borderId="450" xfId="3" applyFont="1" applyBorder="1" applyAlignment="1" applyProtection="1">
      <alignment horizontal="center" vertical="center"/>
    </xf>
    <xf numFmtId="37" fontId="34" fillId="0" borderId="451" xfId="3" applyFont="1" applyBorder="1" applyAlignment="1" applyProtection="1">
      <alignment horizontal="center" vertical="center"/>
    </xf>
    <xf numFmtId="37" fontId="34" fillId="0" borderId="452" xfId="3" applyFont="1" applyBorder="1" applyAlignment="1" applyProtection="1">
      <alignment horizontal="center" vertical="center"/>
    </xf>
    <xf numFmtId="37" fontId="31" fillId="0" borderId="450" xfId="3" applyFont="1" applyBorder="1" applyAlignment="1" applyProtection="1">
      <alignment vertical="center"/>
    </xf>
    <xf numFmtId="37" fontId="30" fillId="23" borderId="453" xfId="3" applyNumberFormat="1" applyFont="1" applyFill="1" applyBorder="1" applyAlignment="1" applyProtection="1">
      <alignment horizontal="center" vertical="center"/>
      <protection locked="0"/>
    </xf>
    <xf numFmtId="37" fontId="19" fillId="0" borderId="454" xfId="3" applyFont="1" applyBorder="1" applyAlignment="1" applyProtection="1">
      <alignment vertical="center"/>
      <protection locked="0"/>
    </xf>
    <xf numFmtId="37" fontId="30" fillId="23" borderId="453" xfId="3" applyNumberFormat="1" applyFont="1" applyFill="1" applyBorder="1" applyAlignment="1" applyProtection="1">
      <alignment horizontal="center" vertical="center"/>
    </xf>
    <xf numFmtId="37" fontId="19" fillId="0" borderId="454" xfId="3" applyFont="1" applyBorder="1" applyAlignment="1" applyProtection="1">
      <alignment horizontal="center" vertical="center"/>
      <protection locked="0"/>
    </xf>
    <xf numFmtId="0" fontId="28" fillId="0" borderId="454" xfId="15" applyFont="1" applyBorder="1" applyAlignment="1" applyProtection="1">
      <alignment vertical="center"/>
      <protection locked="0"/>
    </xf>
    <xf numFmtId="0" fontId="34" fillId="10" borderId="455" xfId="15" applyFont="1" applyFill="1" applyBorder="1" applyAlignment="1" applyProtection="1">
      <alignment horizontal="center" vertical="center"/>
      <protection locked="0"/>
    </xf>
    <xf numFmtId="37" fontId="34" fillId="23" borderId="456" xfId="3" applyNumberFormat="1" applyFont="1" applyFill="1" applyBorder="1" applyAlignment="1" applyProtection="1">
      <alignment horizontal="center" vertical="center"/>
    </xf>
    <xf numFmtId="37" fontId="34" fillId="23" borderId="457" xfId="3" applyNumberFormat="1" applyFont="1" applyFill="1" applyBorder="1" applyAlignment="1" applyProtection="1">
      <alignment horizontal="center" vertical="center"/>
    </xf>
    <xf numFmtId="167" fontId="28" fillId="0" borderId="458" xfId="5" applyNumberFormat="1" applyFont="1" applyFill="1" applyBorder="1" applyAlignment="1" applyProtection="1">
      <alignment horizontal="left" vertical="center"/>
    </xf>
    <xf numFmtId="167" fontId="30" fillId="0" borderId="459" xfId="5" applyNumberFormat="1" applyFont="1" applyBorder="1" applyAlignment="1" applyProtection="1">
      <alignment horizontal="right" vertical="center"/>
      <protection locked="0"/>
    </xf>
    <xf numFmtId="167" fontId="30" fillId="0" borderId="459" xfId="5" applyNumberFormat="1" applyFont="1" applyBorder="1" applyAlignment="1" applyProtection="1">
      <alignment vertical="center"/>
    </xf>
    <xf numFmtId="9" fontId="33" fillId="9" borderId="460" xfId="15" applyNumberFormat="1" applyFont="1" applyFill="1" applyBorder="1" applyAlignment="1" applyProtection="1">
      <alignment horizontal="center" vertical="center"/>
      <protection locked="0"/>
    </xf>
    <xf numFmtId="167" fontId="34" fillId="9" borderId="460" xfId="5" applyNumberFormat="1" applyFont="1" applyFill="1" applyBorder="1" applyAlignment="1" applyProtection="1">
      <alignment horizontal="right" vertical="center"/>
      <protection locked="0"/>
    </xf>
    <xf numFmtId="167" fontId="34" fillId="9" borderId="461" xfId="5" applyNumberFormat="1" applyFont="1" applyFill="1" applyBorder="1" applyAlignment="1" applyProtection="1">
      <alignment horizontal="right" vertical="center"/>
      <protection locked="0"/>
    </xf>
    <xf numFmtId="167" fontId="28" fillId="0" borderId="462" xfId="5" applyNumberFormat="1" applyFont="1" applyFill="1" applyBorder="1" applyAlignment="1" applyProtection="1">
      <alignment horizontal="left" vertical="center"/>
    </xf>
    <xf numFmtId="167" fontId="30" fillId="0" borderId="463" xfId="5" applyNumberFormat="1" applyFont="1" applyBorder="1" applyAlignment="1" applyProtection="1">
      <alignment vertical="center"/>
      <protection locked="0"/>
    </xf>
    <xf numFmtId="167" fontId="30" fillId="0" borderId="463" xfId="5" applyNumberFormat="1" applyFont="1" applyBorder="1" applyAlignment="1" applyProtection="1">
      <alignment vertical="center"/>
    </xf>
    <xf numFmtId="9" fontId="33" fillId="9" borderId="464" xfId="15" applyNumberFormat="1" applyFont="1" applyFill="1" applyBorder="1" applyAlignment="1" applyProtection="1">
      <alignment horizontal="center" vertical="center"/>
      <protection locked="0"/>
    </xf>
    <xf numFmtId="167" fontId="34" fillId="9" borderId="464" xfId="5" applyNumberFormat="1" applyFont="1" applyFill="1" applyBorder="1" applyAlignment="1" applyProtection="1">
      <alignment horizontal="right" vertical="center"/>
      <protection locked="0"/>
    </xf>
    <xf numFmtId="167" fontId="34" fillId="9" borderId="465" xfId="5" applyNumberFormat="1" applyFont="1" applyFill="1" applyBorder="1" applyAlignment="1" applyProtection="1">
      <alignment horizontal="right" vertical="center"/>
      <protection locked="0"/>
    </xf>
    <xf numFmtId="9" fontId="33" fillId="9" borderId="466" xfId="15" applyNumberFormat="1" applyFont="1" applyFill="1" applyBorder="1" applyAlignment="1" applyProtection="1">
      <alignment horizontal="center" vertical="center"/>
      <protection locked="0"/>
    </xf>
    <xf numFmtId="167" fontId="34" fillId="9" borderId="466" xfId="5" applyNumberFormat="1" applyFont="1" applyFill="1" applyBorder="1" applyAlignment="1" applyProtection="1">
      <alignment horizontal="right" vertical="center"/>
      <protection locked="0"/>
    </xf>
    <xf numFmtId="167" fontId="34" fillId="9" borderId="467" xfId="5" applyNumberFormat="1" applyFont="1" applyFill="1" applyBorder="1" applyAlignment="1" applyProtection="1">
      <alignment horizontal="right" vertical="center"/>
      <protection locked="0"/>
    </xf>
    <xf numFmtId="3" fontId="30" fillId="0" borderId="463" xfId="5" applyNumberFormat="1" applyFont="1" applyBorder="1" applyAlignment="1" applyProtection="1">
      <alignment vertical="center"/>
      <protection locked="0"/>
    </xf>
    <xf numFmtId="3" fontId="30" fillId="0" borderId="463" xfId="5" applyNumberFormat="1" applyFont="1" applyBorder="1" applyAlignment="1" applyProtection="1">
      <alignment vertical="center"/>
    </xf>
    <xf numFmtId="9" fontId="33" fillId="0" borderId="468" xfId="15" applyNumberFormat="1" applyFont="1" applyFill="1" applyBorder="1" applyAlignment="1" applyProtection="1">
      <alignment horizontal="center" vertical="center"/>
      <protection locked="0"/>
    </xf>
    <xf numFmtId="3" fontId="34" fillId="0" borderId="469" xfId="5" applyNumberFormat="1" applyFont="1" applyFill="1" applyBorder="1" applyAlignment="1" applyProtection="1">
      <alignment horizontal="right" vertical="center"/>
    </xf>
    <xf numFmtId="3" fontId="34" fillId="0" borderId="470" xfId="5" applyNumberFormat="1" applyFont="1" applyFill="1" applyBorder="1" applyAlignment="1" applyProtection="1">
      <alignment horizontal="right" vertical="center"/>
    </xf>
    <xf numFmtId="9" fontId="33" fillId="9" borderId="471" xfId="15" applyNumberFormat="1" applyFont="1" applyFill="1" applyBorder="1" applyAlignment="1" applyProtection="1">
      <alignment horizontal="center" vertical="center"/>
      <protection locked="0"/>
    </xf>
    <xf numFmtId="167" fontId="34" fillId="9" borderId="471" xfId="5" applyNumberFormat="1" applyFont="1" applyFill="1" applyBorder="1" applyAlignment="1" applyProtection="1">
      <alignment horizontal="right" vertical="center"/>
      <protection locked="0"/>
    </xf>
    <xf numFmtId="167" fontId="34" fillId="9" borderId="472" xfId="5" applyNumberFormat="1" applyFont="1" applyFill="1" applyBorder="1" applyAlignment="1" applyProtection="1">
      <alignment horizontal="right" vertical="center"/>
      <protection locked="0"/>
    </xf>
    <xf numFmtId="167" fontId="28" fillId="0" borderId="473" xfId="5" applyNumberFormat="1" applyFont="1" applyFill="1" applyBorder="1" applyAlignment="1" applyProtection="1">
      <alignment horizontal="left" vertical="center"/>
    </xf>
    <xf numFmtId="167" fontId="30" fillId="0" borderId="474" xfId="5" applyNumberFormat="1" applyFont="1" applyBorder="1" applyAlignment="1" applyProtection="1">
      <alignment vertical="center"/>
      <protection locked="0"/>
    </xf>
    <xf numFmtId="167" fontId="30" fillId="0" borderId="474" xfId="5" applyNumberFormat="1" applyFont="1" applyBorder="1" applyAlignment="1" applyProtection="1">
      <alignment vertical="center"/>
    </xf>
    <xf numFmtId="9" fontId="33" fillId="9" borderId="475" xfId="15" applyNumberFormat="1" applyFont="1" applyFill="1" applyBorder="1" applyAlignment="1" applyProtection="1">
      <alignment horizontal="center" vertical="center"/>
      <protection locked="0"/>
    </xf>
    <xf numFmtId="167" fontId="34" fillId="9" borderId="475" xfId="5" applyNumberFormat="1" applyFont="1" applyFill="1" applyBorder="1" applyAlignment="1" applyProtection="1">
      <alignment horizontal="right" vertical="center"/>
      <protection locked="0"/>
    </xf>
    <xf numFmtId="167" fontId="34" fillId="9" borderId="476" xfId="5" applyNumberFormat="1" applyFont="1" applyFill="1" applyBorder="1" applyAlignment="1" applyProtection="1">
      <alignment horizontal="right" vertical="center"/>
      <protection locked="0"/>
    </xf>
    <xf numFmtId="167" fontId="28" fillId="0" borderId="477" xfId="5" applyNumberFormat="1" applyFont="1" applyFill="1" applyBorder="1" applyAlignment="1" applyProtection="1">
      <alignment horizontal="left" vertical="center"/>
    </xf>
    <xf numFmtId="37" fontId="19" fillId="0" borderId="478" xfId="3" applyFont="1" applyBorder="1" applyAlignment="1" applyProtection="1">
      <alignment vertical="center"/>
      <protection locked="0"/>
    </xf>
    <xf numFmtId="37" fontId="31" fillId="0" borderId="479" xfId="3" applyFont="1" applyFill="1" applyBorder="1" applyAlignment="1" applyProtection="1">
      <alignment vertical="center"/>
    </xf>
    <xf numFmtId="37" fontId="19" fillId="0" borderId="480" xfId="3" applyFont="1" applyBorder="1" applyAlignment="1" applyProtection="1">
      <alignment vertical="center"/>
      <protection locked="0"/>
    </xf>
    <xf numFmtId="186" fontId="30" fillId="0" borderId="459" xfId="16" applyNumberFormat="1" applyFont="1" applyBorder="1" applyAlignment="1" applyProtection="1">
      <alignment vertical="center"/>
      <protection locked="0"/>
    </xf>
    <xf numFmtId="186" fontId="30" fillId="0" borderId="459" xfId="16" applyNumberFormat="1" applyFont="1" applyBorder="1" applyAlignment="1" applyProtection="1">
      <alignment vertical="center"/>
    </xf>
    <xf numFmtId="187" fontId="33" fillId="9" borderId="460" xfId="15" applyNumberFormat="1" applyFont="1" applyFill="1" applyBorder="1" applyAlignment="1" applyProtection="1">
      <alignment horizontal="center" vertical="center"/>
      <protection locked="0"/>
    </xf>
    <xf numFmtId="186" fontId="34" fillId="9" borderId="460" xfId="16" applyNumberFormat="1" applyFont="1" applyFill="1" applyBorder="1" applyAlignment="1" applyProtection="1">
      <alignment horizontal="right" vertical="center"/>
      <protection locked="0"/>
    </xf>
    <xf numFmtId="186" fontId="34" fillId="9" borderId="461" xfId="16" applyNumberFormat="1" applyFont="1" applyFill="1" applyBorder="1" applyAlignment="1" applyProtection="1">
      <alignment horizontal="right" vertical="center"/>
      <protection locked="0"/>
    </xf>
    <xf numFmtId="186" fontId="30" fillId="0" borderId="463" xfId="16" applyNumberFormat="1" applyFont="1" applyBorder="1" applyAlignment="1" applyProtection="1">
      <alignment vertical="center"/>
      <protection locked="0"/>
    </xf>
    <xf numFmtId="186" fontId="30" fillId="0" borderId="463" xfId="16" applyNumberFormat="1" applyFont="1" applyBorder="1" applyAlignment="1" applyProtection="1">
      <alignment vertical="center"/>
    </xf>
    <xf numFmtId="187" fontId="33" fillId="9" borderId="464" xfId="15" applyNumberFormat="1" applyFont="1" applyFill="1" applyBorder="1" applyAlignment="1" applyProtection="1">
      <alignment horizontal="center" vertical="center"/>
      <protection locked="0"/>
    </xf>
    <xf numFmtId="186" fontId="34" fillId="9" borderId="464" xfId="16" applyNumberFormat="1" applyFont="1" applyFill="1" applyBorder="1" applyAlignment="1" applyProtection="1">
      <alignment horizontal="right" vertical="center"/>
      <protection locked="0"/>
    </xf>
    <xf numFmtId="186" fontId="34" fillId="9" borderId="465" xfId="16" applyNumberFormat="1" applyFont="1" applyFill="1" applyBorder="1" applyAlignment="1" applyProtection="1">
      <alignment horizontal="right" vertical="center"/>
      <protection locked="0"/>
    </xf>
    <xf numFmtId="167" fontId="30" fillId="0" borderId="463" xfId="16" applyNumberFormat="1" applyFont="1" applyBorder="1" applyAlignment="1" applyProtection="1">
      <alignment vertical="center"/>
      <protection locked="0"/>
    </xf>
    <xf numFmtId="167" fontId="30" fillId="0" borderId="463" xfId="16" applyNumberFormat="1" applyFont="1" applyBorder="1" applyAlignment="1" applyProtection="1">
      <alignment vertical="center"/>
    </xf>
    <xf numFmtId="167" fontId="34" fillId="9" borderId="464" xfId="16" applyNumberFormat="1" applyFont="1" applyFill="1" applyBorder="1" applyAlignment="1" applyProtection="1">
      <alignment horizontal="right" vertical="center"/>
      <protection locked="0"/>
    </xf>
    <xf numFmtId="167" fontId="34" fillId="9" borderId="465" xfId="16" applyNumberFormat="1" applyFont="1" applyFill="1" applyBorder="1" applyAlignment="1" applyProtection="1">
      <alignment horizontal="right" vertical="center"/>
      <protection locked="0"/>
    </xf>
    <xf numFmtId="167" fontId="33" fillId="9" borderId="464" xfId="15" applyNumberFormat="1" applyFont="1" applyFill="1" applyBorder="1" applyAlignment="1" applyProtection="1">
      <alignment horizontal="center" vertical="center"/>
      <protection locked="0"/>
    </xf>
    <xf numFmtId="3" fontId="30" fillId="0" borderId="463" xfId="5" applyNumberFormat="1" applyFont="1" applyBorder="1" applyAlignment="1" applyProtection="1">
      <alignment horizontal="right" vertical="center"/>
      <protection locked="0"/>
    </xf>
    <xf numFmtId="188" fontId="33" fillId="9" borderId="464" xfId="15" applyNumberFormat="1" applyFont="1" applyFill="1" applyBorder="1" applyAlignment="1" applyProtection="1">
      <alignment horizontal="center" vertical="center"/>
      <protection locked="0"/>
    </xf>
    <xf numFmtId="3" fontId="34" fillId="9" borderId="464" xfId="5" applyNumberFormat="1" applyFont="1" applyFill="1" applyBorder="1" applyAlignment="1" applyProtection="1">
      <alignment horizontal="right" vertical="center"/>
      <protection locked="0"/>
    </xf>
    <xf numFmtId="3" fontId="34" fillId="9" borderId="465" xfId="5" applyNumberFormat="1" applyFont="1" applyFill="1" applyBorder="1" applyAlignment="1" applyProtection="1">
      <alignment horizontal="right" vertical="center"/>
      <protection locked="0"/>
    </xf>
    <xf numFmtId="9" fontId="30" fillId="0" borderId="463" xfId="5" applyFont="1" applyBorder="1" applyAlignment="1" applyProtection="1">
      <alignment horizontal="right" vertical="center"/>
      <protection locked="0"/>
    </xf>
    <xf numFmtId="9" fontId="30" fillId="0" borderId="463" xfId="5" applyFont="1" applyBorder="1" applyAlignment="1" applyProtection="1">
      <alignment vertical="center"/>
    </xf>
    <xf numFmtId="167" fontId="30" fillId="0" borderId="463" xfId="5" applyNumberFormat="1" applyFont="1" applyBorder="1" applyAlignment="1" applyProtection="1">
      <alignment horizontal="right" vertical="center"/>
      <protection locked="0"/>
    </xf>
    <xf numFmtId="167" fontId="30" fillId="0" borderId="463" xfId="5" applyNumberFormat="1" applyFont="1" applyBorder="1" applyAlignment="1" applyProtection="1">
      <alignment horizontal="right" vertical="center"/>
    </xf>
    <xf numFmtId="167" fontId="30" fillId="0" borderId="474" xfId="5" applyNumberFormat="1" applyFont="1" applyBorder="1" applyAlignment="1" applyProtection="1">
      <alignment horizontal="right" vertical="center"/>
      <protection locked="0"/>
    </xf>
    <xf numFmtId="37" fontId="19" fillId="0" borderId="477" xfId="3" applyFont="1" applyBorder="1" applyAlignment="1" applyProtection="1">
      <alignment vertical="center"/>
    </xf>
    <xf numFmtId="37" fontId="19" fillId="0" borderId="481" xfId="3" applyFont="1" applyBorder="1" applyAlignment="1" applyProtection="1">
      <alignment vertical="center"/>
      <protection locked="0"/>
    </xf>
    <xf numFmtId="0" fontId="34" fillId="0" borderId="469" xfId="15" applyFont="1" applyBorder="1" applyAlignment="1" applyProtection="1">
      <alignment horizontal="center" vertical="center"/>
      <protection locked="0"/>
    </xf>
    <xf numFmtId="37" fontId="34" fillId="0" borderId="469" xfId="3" applyFont="1" applyBorder="1" applyAlignment="1" applyProtection="1">
      <alignment horizontal="center" vertical="center"/>
      <protection locked="0"/>
    </xf>
    <xf numFmtId="37" fontId="34" fillId="0" borderId="470" xfId="3" applyFont="1" applyBorder="1" applyAlignment="1" applyProtection="1">
      <alignment horizontal="center" vertical="center"/>
      <protection locked="0"/>
    </xf>
    <xf numFmtId="37" fontId="31" fillId="0" borderId="482" xfId="3" applyFont="1" applyBorder="1" applyAlignment="1" applyProtection="1">
      <alignment vertical="center"/>
    </xf>
    <xf numFmtId="37" fontId="30" fillId="10" borderId="469" xfId="3" applyFont="1" applyFill="1" applyBorder="1" applyAlignment="1" applyProtection="1">
      <alignment horizontal="center" vertical="center"/>
      <protection locked="0"/>
    </xf>
    <xf numFmtId="37" fontId="30" fillId="10" borderId="469" xfId="3" applyFont="1" applyFill="1" applyBorder="1" applyAlignment="1" applyProtection="1">
      <alignment horizontal="center" vertical="center"/>
    </xf>
    <xf numFmtId="37" fontId="34" fillId="10" borderId="469" xfId="15" applyNumberFormat="1" applyFont="1" applyFill="1" applyBorder="1" applyAlignment="1" applyProtection="1">
      <alignment horizontal="center" vertical="center"/>
    </xf>
    <xf numFmtId="37" fontId="34" fillId="10" borderId="469" xfId="3" applyFont="1" applyFill="1" applyBorder="1" applyAlignment="1" applyProtection="1">
      <alignment horizontal="center" vertical="center"/>
    </xf>
    <xf numFmtId="37" fontId="34" fillId="10" borderId="470" xfId="3" applyFont="1" applyFill="1" applyBorder="1" applyAlignment="1" applyProtection="1">
      <alignment horizontal="center" vertical="center"/>
    </xf>
    <xf numFmtId="37" fontId="19" fillId="0" borderId="483" xfId="3" applyFont="1" applyBorder="1" applyAlignment="1" applyProtection="1">
      <alignment vertical="center"/>
    </xf>
    <xf numFmtId="10" fontId="30" fillId="0" borderId="459" xfId="3" applyNumberFormat="1" applyFont="1" applyBorder="1" applyAlignment="1" applyProtection="1">
      <alignment horizontal="right" vertical="center"/>
      <protection locked="0"/>
    </xf>
    <xf numFmtId="10" fontId="30" fillId="0" borderId="459" xfId="3" applyNumberFormat="1" applyFont="1" applyBorder="1" applyAlignment="1" applyProtection="1">
      <alignment horizontal="right" vertical="center"/>
    </xf>
    <xf numFmtId="10" fontId="34" fillId="9" borderId="460" xfId="15" applyNumberFormat="1" applyFont="1" applyFill="1" applyBorder="1" applyAlignment="1" applyProtection="1">
      <alignment horizontal="right" vertical="center"/>
      <protection locked="0"/>
    </xf>
    <xf numFmtId="10" fontId="34" fillId="9" borderId="460" xfId="3" applyNumberFormat="1" applyFont="1" applyFill="1" applyBorder="1" applyAlignment="1" applyProtection="1">
      <alignment horizontal="right" vertical="center"/>
      <protection locked="0"/>
    </xf>
    <xf numFmtId="10" fontId="34" fillId="9" borderId="461" xfId="3" applyNumberFormat="1" applyFont="1" applyFill="1" applyBorder="1" applyAlignment="1" applyProtection="1">
      <alignment horizontal="right" vertical="center"/>
      <protection locked="0"/>
    </xf>
    <xf numFmtId="37" fontId="19" fillId="0" borderId="484" xfId="3" applyFont="1" applyBorder="1" applyAlignment="1" applyProtection="1">
      <alignment vertical="center"/>
    </xf>
    <xf numFmtId="10" fontId="30" fillId="0" borderId="463" xfId="3" applyNumberFormat="1" applyFont="1" applyBorder="1" applyAlignment="1" applyProtection="1">
      <alignment horizontal="right" vertical="center"/>
      <protection locked="0"/>
    </xf>
    <xf numFmtId="10" fontId="30" fillId="0" borderId="463" xfId="3" applyNumberFormat="1" applyFont="1" applyBorder="1" applyAlignment="1" applyProtection="1">
      <alignment horizontal="right" vertical="center"/>
    </xf>
    <xf numFmtId="10" fontId="34" fillId="9" borderId="475" xfId="15" applyNumberFormat="1" applyFont="1" applyFill="1" applyBorder="1" applyAlignment="1" applyProtection="1">
      <alignment horizontal="right" vertical="center"/>
      <protection locked="0"/>
    </xf>
    <xf numFmtId="10" fontId="34" fillId="9" borderId="475" xfId="3" applyNumberFormat="1" applyFont="1" applyFill="1" applyBorder="1" applyAlignment="1" applyProtection="1">
      <alignment horizontal="right" vertical="center"/>
      <protection locked="0"/>
    </xf>
    <xf numFmtId="10" fontId="34" fillId="9" borderId="464" xfId="3" applyNumberFormat="1" applyFont="1" applyFill="1" applyBorder="1" applyAlignment="1" applyProtection="1">
      <alignment horizontal="right" vertical="center"/>
      <protection locked="0"/>
    </xf>
    <xf numFmtId="10" fontId="34" fillId="9" borderId="465" xfId="3" applyNumberFormat="1" applyFont="1" applyFill="1" applyBorder="1" applyAlignment="1" applyProtection="1">
      <alignment horizontal="right" vertical="center"/>
      <protection locked="0"/>
    </xf>
    <xf numFmtId="10" fontId="34" fillId="0" borderId="485" xfId="15" applyNumberFormat="1" applyFont="1" applyFill="1" applyBorder="1" applyAlignment="1" applyProtection="1">
      <alignment horizontal="right" vertical="center"/>
    </xf>
    <xf numFmtId="10" fontId="34" fillId="0" borderId="485" xfId="3" applyNumberFormat="1" applyFont="1" applyFill="1" applyBorder="1" applyAlignment="1" applyProtection="1">
      <alignment horizontal="right" vertical="center"/>
    </xf>
    <xf numFmtId="10" fontId="34" fillId="9" borderId="476" xfId="3" applyNumberFormat="1" applyFont="1" applyFill="1" applyBorder="1" applyAlignment="1" applyProtection="1">
      <alignment horizontal="right" vertical="center"/>
      <protection locked="0"/>
    </xf>
    <xf numFmtId="37" fontId="19" fillId="0" borderId="486" xfId="3" applyFont="1" applyBorder="1" applyAlignment="1" applyProtection="1">
      <alignment vertical="center"/>
    </xf>
    <xf numFmtId="4" fontId="30" fillId="0" borderId="487" xfId="3" applyNumberFormat="1" applyFont="1" applyBorder="1" applyAlignment="1" applyProtection="1">
      <alignment horizontal="right" vertical="center"/>
      <protection locked="0"/>
    </xf>
    <xf numFmtId="4" fontId="30" fillId="0" borderId="487" xfId="3" applyNumberFormat="1" applyFont="1" applyBorder="1" applyAlignment="1" applyProtection="1">
      <alignment horizontal="right" vertical="center"/>
    </xf>
    <xf numFmtId="37" fontId="19" fillId="0" borderId="449" xfId="3" applyFont="1" applyBorder="1" applyAlignment="1" applyProtection="1">
      <alignment horizontal="center" vertical="center"/>
      <protection locked="0"/>
    </xf>
    <xf numFmtId="0" fontId="28" fillId="0" borderId="449" xfId="15" applyFont="1" applyBorder="1" applyAlignment="1" applyProtection="1">
      <alignment vertical="center"/>
      <protection locked="0"/>
    </xf>
    <xf numFmtId="0" fontId="28" fillId="0" borderId="449" xfId="15" applyNumberFormat="1" applyFont="1" applyFill="1" applyBorder="1" applyAlignment="1" applyProtection="1">
      <alignment horizontal="center" vertical="center"/>
      <protection locked="0"/>
    </xf>
    <xf numFmtId="4" fontId="34" fillId="9" borderId="488" xfId="15" applyNumberFormat="1" applyFont="1" applyFill="1" applyBorder="1" applyAlignment="1" applyProtection="1">
      <alignment horizontal="right" vertical="center"/>
      <protection locked="0"/>
    </xf>
    <xf numFmtId="4" fontId="34" fillId="9" borderId="488" xfId="3" applyNumberFormat="1" applyFont="1" applyFill="1" applyBorder="1" applyAlignment="1" applyProtection="1">
      <alignment horizontal="right" vertical="center"/>
      <protection locked="0"/>
    </xf>
    <xf numFmtId="4" fontId="34" fillId="0" borderId="488" xfId="3" applyNumberFormat="1" applyFont="1" applyFill="1" applyBorder="1" applyAlignment="1" applyProtection="1">
      <alignment horizontal="right" vertical="center"/>
    </xf>
    <xf numFmtId="4" fontId="34" fillId="0" borderId="489" xfId="3" applyNumberFormat="1" applyFont="1" applyFill="1" applyBorder="1" applyAlignment="1" applyProtection="1">
      <alignment horizontal="right" vertical="center"/>
    </xf>
    <xf numFmtId="37" fontId="31" fillId="0" borderId="490" xfId="3" applyFont="1" applyBorder="1" applyAlignment="1" applyProtection="1">
      <alignment horizontal="left" vertical="center"/>
      <protection locked="0"/>
    </xf>
    <xf numFmtId="37" fontId="19" fillId="0" borderId="490" xfId="3" applyFont="1" applyBorder="1" applyAlignment="1" applyProtection="1">
      <alignment vertical="center"/>
      <protection locked="0"/>
    </xf>
    <xf numFmtId="4" fontId="30" fillId="0" borderId="490" xfId="3" applyNumberFormat="1" applyFont="1" applyBorder="1" applyAlignment="1" applyProtection="1">
      <alignment horizontal="right" vertical="center"/>
      <protection locked="0"/>
    </xf>
    <xf numFmtId="37" fontId="19" fillId="0" borderId="490" xfId="3" applyFont="1" applyBorder="1" applyAlignment="1" applyProtection="1">
      <alignment horizontal="center" vertical="center"/>
      <protection locked="0"/>
    </xf>
    <xf numFmtId="0" fontId="28" fillId="0" borderId="490" xfId="15" applyFont="1" applyBorder="1" applyAlignment="1" applyProtection="1">
      <alignment vertical="center"/>
      <protection locked="0"/>
    </xf>
    <xf numFmtId="4" fontId="34" fillId="0" borderId="490" xfId="3" applyNumberFormat="1" applyFont="1" applyFill="1" applyBorder="1" applyAlignment="1" applyProtection="1">
      <alignment horizontal="right" vertical="center"/>
      <protection locked="0"/>
    </xf>
    <xf numFmtId="4" fontId="34" fillId="0" borderId="490" xfId="15" applyNumberFormat="1" applyFont="1" applyFill="1" applyBorder="1" applyAlignment="1" applyProtection="1">
      <alignment horizontal="left" vertical="center"/>
      <protection locked="0"/>
    </xf>
    <xf numFmtId="37" fontId="19" fillId="0" borderId="491" xfId="3" applyFont="1" applyBorder="1" applyAlignment="1" applyProtection="1">
      <alignment vertical="center"/>
      <protection locked="0"/>
    </xf>
    <xf numFmtId="37" fontId="19" fillId="0" borderId="492" xfId="3" applyFont="1" applyBorder="1" applyAlignment="1" applyProtection="1">
      <alignment vertical="center"/>
      <protection locked="0"/>
    </xf>
    <xf numFmtId="4" fontId="34" fillId="0" borderId="0" xfId="3" applyNumberFormat="1" applyFont="1" applyFill="1" applyBorder="1" applyAlignment="1" applyProtection="1">
      <alignment horizontal="right" vertical="center"/>
      <protection locked="0"/>
    </xf>
    <xf numFmtId="4" fontId="34" fillId="0" borderId="0" xfId="15" applyNumberFormat="1" applyFont="1" applyFill="1" applyBorder="1" applyAlignment="1" applyProtection="1">
      <alignment horizontal="left" vertical="center"/>
      <protection locked="0"/>
    </xf>
    <xf numFmtId="0" fontId="28" fillId="0" borderId="149" xfId="15" applyBorder="1" applyProtection="1">
      <protection locked="0"/>
    </xf>
    <xf numFmtId="37" fontId="85" fillId="0" borderId="0" xfId="3" applyFont="1" applyFill="1" applyAlignment="1" applyProtection="1">
      <alignment vertical="center"/>
      <protection locked="0"/>
    </xf>
    <xf numFmtId="37" fontId="19" fillId="0" borderId="493" xfId="3" applyFont="1" applyFill="1" applyBorder="1" applyAlignment="1" applyProtection="1">
      <alignment vertical="center"/>
    </xf>
    <xf numFmtId="37" fontId="31" fillId="0" borderId="157" xfId="3" applyFont="1" applyBorder="1" applyAlignment="1" applyProtection="1">
      <alignment horizontal="left" vertical="center"/>
    </xf>
    <xf numFmtId="37" fontId="18" fillId="0" borderId="157" xfId="3" applyFont="1" applyBorder="1" applyAlignment="1" applyProtection="1">
      <alignment vertical="center"/>
    </xf>
    <xf numFmtId="4" fontId="30" fillId="0" borderId="157" xfId="3" applyNumberFormat="1" applyFont="1" applyBorder="1" applyAlignment="1" applyProtection="1">
      <alignment horizontal="right" vertical="center"/>
      <protection locked="0"/>
    </xf>
    <xf numFmtId="37" fontId="19" fillId="0" borderId="157" xfId="3" applyFont="1" applyBorder="1" applyAlignment="1" applyProtection="1">
      <alignment horizontal="center" vertical="center"/>
      <protection locked="0"/>
    </xf>
    <xf numFmtId="0" fontId="28" fillId="0" borderId="157" xfId="15" applyFont="1" applyBorder="1" applyAlignment="1" applyProtection="1">
      <alignment vertical="center"/>
      <protection locked="0"/>
    </xf>
    <xf numFmtId="4" fontId="34" fillId="0" borderId="157" xfId="3" applyNumberFormat="1" applyFont="1" applyFill="1" applyBorder="1" applyAlignment="1" applyProtection="1">
      <alignment horizontal="right" vertical="center"/>
      <protection locked="0"/>
    </xf>
    <xf numFmtId="4" fontId="34" fillId="0" borderId="157" xfId="15" applyNumberFormat="1" applyFont="1" applyFill="1" applyBorder="1" applyAlignment="1" applyProtection="1">
      <alignment horizontal="left" vertical="center"/>
      <protection locked="0"/>
    </xf>
    <xf numFmtId="37" fontId="19" fillId="0" borderId="157" xfId="3" applyFont="1" applyFill="1" applyBorder="1" applyAlignment="1" applyProtection="1">
      <alignment vertical="center"/>
      <protection locked="0"/>
    </xf>
    <xf numFmtId="37" fontId="19" fillId="0" borderId="494" xfId="3" applyFont="1" applyFill="1" applyBorder="1" applyAlignment="1" applyProtection="1">
      <alignment vertical="center"/>
      <protection locked="0"/>
    </xf>
    <xf numFmtId="37" fontId="27" fillId="0" borderId="495" xfId="3" applyFont="1" applyBorder="1" applyAlignment="1" applyProtection="1">
      <alignment vertical="center"/>
    </xf>
    <xf numFmtId="37" fontId="19" fillId="0" borderId="496" xfId="3" applyFont="1" applyFill="1" applyBorder="1" applyAlignment="1" applyProtection="1">
      <alignment vertical="center"/>
    </xf>
    <xf numFmtId="37" fontId="31" fillId="0" borderId="0" xfId="3" applyFont="1" applyAlignment="1" applyProtection="1">
      <alignment horizontal="left" vertical="center"/>
    </xf>
    <xf numFmtId="37" fontId="19" fillId="0" borderId="0" xfId="3" applyFont="1" applyAlignment="1" applyProtection="1">
      <alignment vertical="center"/>
    </xf>
    <xf numFmtId="37" fontId="19" fillId="0" borderId="0" xfId="3" applyFont="1" applyAlignment="1" applyProtection="1">
      <alignment horizontal="center" vertical="center"/>
      <protection locked="0"/>
    </xf>
    <xf numFmtId="9" fontId="19" fillId="0" borderId="0" xfId="5" applyFont="1" applyAlignment="1" applyProtection="1">
      <alignment vertical="center"/>
      <protection locked="0"/>
    </xf>
    <xf numFmtId="0" fontId="28" fillId="0" borderId="0" xfId="15" applyFont="1" applyAlignment="1" applyProtection="1">
      <alignment vertical="center"/>
      <protection locked="0"/>
    </xf>
    <xf numFmtId="37" fontId="19" fillId="0" borderId="497" xfId="3" applyFont="1" applyFill="1" applyBorder="1" applyAlignment="1" applyProtection="1">
      <alignment vertical="center"/>
      <protection locked="0"/>
    </xf>
    <xf numFmtId="37" fontId="20" fillId="0" borderId="0" xfId="3" applyFont="1" applyFill="1" applyAlignment="1" applyProtection="1">
      <alignment vertical="center"/>
      <protection locked="0"/>
    </xf>
    <xf numFmtId="189" fontId="130" fillId="0" borderId="0" xfId="17" applyFont="1" applyFill="1" applyBorder="1" applyAlignment="1" applyProtection="1">
      <alignment horizontal="left"/>
      <protection locked="0"/>
    </xf>
    <xf numFmtId="189" fontId="130" fillId="0" borderId="0" xfId="17" applyFont="1" applyFill="1" applyBorder="1" applyAlignment="1" applyProtection="1">
      <alignment horizontal="center"/>
      <protection locked="0"/>
    </xf>
    <xf numFmtId="37" fontId="22" fillId="0" borderId="0" xfId="3" applyFont="1" applyFill="1" applyAlignment="1" applyProtection="1">
      <alignment vertical="center"/>
      <protection locked="0"/>
    </xf>
    <xf numFmtId="37" fontId="22" fillId="0" borderId="496" xfId="3" applyFont="1" applyFill="1" applyBorder="1" applyAlignment="1" applyProtection="1">
      <alignment vertical="center"/>
    </xf>
    <xf numFmtId="37" fontId="20" fillId="0" borderId="0" xfId="3" applyFont="1" applyAlignment="1" applyProtection="1">
      <alignment horizontal="left" vertical="center"/>
    </xf>
    <xf numFmtId="37" fontId="20" fillId="0" borderId="0" xfId="3" applyNumberFormat="1" applyFont="1" applyAlignment="1" applyProtection="1">
      <alignment horizontal="left" vertical="center"/>
    </xf>
    <xf numFmtId="37" fontId="22" fillId="0" borderId="0" xfId="3" applyFont="1" applyAlignment="1" applyProtection="1">
      <alignment vertical="center"/>
      <protection locked="0"/>
    </xf>
    <xf numFmtId="14" fontId="30" fillId="0" borderId="0" xfId="3" applyNumberFormat="1" applyFont="1" applyAlignment="1" applyProtection="1">
      <alignment horizontal="center" vertical="center"/>
      <protection locked="0"/>
    </xf>
    <xf numFmtId="37" fontId="112" fillId="0" borderId="0" xfId="3" applyFont="1" applyAlignment="1" applyProtection="1">
      <alignment horizontal="center" vertical="center"/>
      <protection locked="0"/>
    </xf>
    <xf numFmtId="0" fontId="30" fillId="0" borderId="0" xfId="3" applyNumberFormat="1" applyFont="1" applyAlignment="1" applyProtection="1">
      <alignment horizontal="left" vertical="center"/>
      <protection locked="0"/>
    </xf>
    <xf numFmtId="37" fontId="22" fillId="0" borderId="0" xfId="3" applyFont="1" applyAlignment="1" applyProtection="1">
      <alignment horizontal="center" vertical="center"/>
      <protection locked="0"/>
    </xf>
    <xf numFmtId="189" fontId="130" fillId="0" borderId="0" xfId="17" applyFont="1" applyFill="1" applyBorder="1" applyAlignment="1" applyProtection="1">
      <protection locked="0"/>
    </xf>
    <xf numFmtId="37" fontId="22" fillId="0" borderId="29" xfId="3" applyFont="1" applyFill="1" applyBorder="1" applyAlignment="1" applyProtection="1">
      <alignment vertical="center"/>
      <protection locked="0"/>
    </xf>
    <xf numFmtId="37" fontId="22" fillId="0" borderId="497" xfId="3" applyFont="1" applyFill="1" applyBorder="1" applyAlignment="1" applyProtection="1">
      <alignment vertical="center"/>
      <protection locked="0"/>
    </xf>
    <xf numFmtId="1" fontId="20" fillId="0" borderId="0" xfId="15" applyNumberFormat="1" applyFont="1" applyBorder="1" applyAlignment="1" applyProtection="1"/>
    <xf numFmtId="37" fontId="22" fillId="0" borderId="0" xfId="3" applyFont="1" applyAlignment="1" applyProtection="1">
      <alignment vertical="center"/>
    </xf>
    <xf numFmtId="37" fontId="30" fillId="0" borderId="47" xfId="3" applyFont="1" applyBorder="1" applyAlignment="1" applyProtection="1">
      <alignment horizontal="center" vertical="center"/>
    </xf>
    <xf numFmtId="37" fontId="100" fillId="26" borderId="146" xfId="3" applyNumberFormat="1" applyFont="1" applyFill="1" applyBorder="1" applyAlignment="1" applyProtection="1">
      <alignment horizontal="left" vertical="center"/>
    </xf>
    <xf numFmtId="37" fontId="100" fillId="26" borderId="146" xfId="3" applyNumberFormat="1" applyFont="1" applyFill="1" applyBorder="1" applyAlignment="1" applyProtection="1">
      <alignment horizontal="center" vertical="center"/>
      <protection locked="0"/>
    </xf>
    <xf numFmtId="37" fontId="100" fillId="26" borderId="146" xfId="3" applyNumberFormat="1" applyFont="1" applyFill="1" applyBorder="1" applyAlignment="1" applyProtection="1">
      <alignment horizontal="center" vertical="center"/>
    </xf>
    <xf numFmtId="37" fontId="16" fillId="0" borderId="499" xfId="3" applyFont="1" applyBorder="1" applyAlignment="1" applyProtection="1">
      <alignment horizontal="center" vertical="center"/>
    </xf>
    <xf numFmtId="37" fontId="16" fillId="0" borderId="500" xfId="3" applyFont="1" applyBorder="1" applyAlignment="1" applyProtection="1">
      <alignment horizontal="center" vertical="center"/>
    </xf>
    <xf numFmtId="0" fontId="16" fillId="0" borderId="500" xfId="15" applyFont="1" applyBorder="1" applyAlignment="1" applyProtection="1">
      <alignment horizontal="center" vertical="center"/>
    </xf>
    <xf numFmtId="37" fontId="100" fillId="7" borderId="76" xfId="3" applyNumberFormat="1" applyFont="1" applyFill="1" applyBorder="1" applyAlignment="1" applyProtection="1">
      <alignment horizontal="left" vertical="center"/>
    </xf>
    <xf numFmtId="37" fontId="100" fillId="7" borderId="76" xfId="3" applyNumberFormat="1" applyFont="1" applyFill="1" applyBorder="1" applyAlignment="1" applyProtection="1">
      <alignment horizontal="center" vertical="center"/>
      <protection locked="0"/>
    </xf>
    <xf numFmtId="37" fontId="100" fillId="7" borderId="76" xfId="3" applyNumberFormat="1" applyFont="1" applyFill="1" applyBorder="1" applyAlignment="1" applyProtection="1">
      <alignment horizontal="center" vertical="center"/>
    </xf>
    <xf numFmtId="37" fontId="16" fillId="0" borderId="502" xfId="3" applyFont="1" applyBorder="1" applyAlignment="1" applyProtection="1">
      <alignment horizontal="center" vertical="center"/>
    </xf>
    <xf numFmtId="37" fontId="16" fillId="0" borderId="503" xfId="3" applyFont="1" applyBorder="1" applyAlignment="1" applyProtection="1">
      <alignment horizontal="center" vertical="center"/>
    </xf>
    <xf numFmtId="37" fontId="20" fillId="7" borderId="76" xfId="3" applyNumberFormat="1" applyFont="1" applyFill="1" applyBorder="1" applyAlignment="1" applyProtection="1">
      <alignment horizontal="center" vertical="center"/>
    </xf>
    <xf numFmtId="0" fontId="16" fillId="0" borderId="503" xfId="15" applyFont="1" applyBorder="1" applyAlignment="1" applyProtection="1">
      <alignment horizontal="center" vertical="center"/>
    </xf>
    <xf numFmtId="37" fontId="31" fillId="0" borderId="0" xfId="3" applyNumberFormat="1" applyFont="1" applyBorder="1" applyAlignment="1" applyProtection="1">
      <alignment horizontal="left" vertical="center"/>
    </xf>
    <xf numFmtId="37" fontId="30" fillId="0" borderId="0" xfId="3" applyNumberFormat="1" applyFont="1" applyBorder="1" applyAlignment="1" applyProtection="1">
      <alignment vertical="center"/>
      <protection locked="0"/>
    </xf>
    <xf numFmtId="37" fontId="16" fillId="0" borderId="0" xfId="3" applyFont="1" applyBorder="1" applyAlignment="1" applyProtection="1">
      <alignment horizontal="center" vertical="center"/>
      <protection locked="0"/>
    </xf>
    <xf numFmtId="0" fontId="16" fillId="0" borderId="0" xfId="15" applyFont="1" applyBorder="1" applyAlignment="1" applyProtection="1">
      <alignment horizontal="center" vertical="center"/>
      <protection locked="0"/>
    </xf>
    <xf numFmtId="190" fontId="130" fillId="0" borderId="0" xfId="16" applyNumberFormat="1" applyFont="1" applyFill="1" applyBorder="1" applyAlignment="1" applyProtection="1">
      <protection locked="0"/>
    </xf>
    <xf numFmtId="37" fontId="19" fillId="0" borderId="19" xfId="3" applyFont="1" applyFill="1" applyBorder="1" applyAlignment="1" applyProtection="1">
      <alignment vertical="center"/>
      <protection locked="0"/>
    </xf>
    <xf numFmtId="1" fontId="100" fillId="0" borderId="146" xfId="3" applyNumberFormat="1" applyFont="1" applyBorder="1" applyAlignment="1" applyProtection="1">
      <alignment horizontal="left" vertical="center"/>
    </xf>
    <xf numFmtId="37" fontId="19" fillId="0" borderId="146" xfId="3" applyNumberFormat="1" applyFont="1" applyBorder="1" applyAlignment="1" applyProtection="1">
      <alignment horizontal="left" vertical="center"/>
    </xf>
    <xf numFmtId="37" fontId="19" fillId="20" borderId="146" xfId="3" applyNumberFormat="1" applyFont="1" applyFill="1" applyBorder="1" applyAlignment="1" applyProtection="1">
      <alignment vertical="center"/>
      <protection locked="0"/>
    </xf>
    <xf numFmtId="9" fontId="28" fillId="0" borderId="146" xfId="3" applyNumberFormat="1" applyFont="1" applyBorder="1" applyAlignment="1" applyProtection="1">
      <alignment horizontal="center" vertical="center"/>
      <protection locked="0"/>
    </xf>
    <xf numFmtId="37" fontId="19" fillId="0" borderId="146" xfId="3" applyNumberFormat="1" applyFont="1" applyBorder="1" applyAlignment="1" applyProtection="1">
      <alignment vertical="center"/>
    </xf>
    <xf numFmtId="9" fontId="28" fillId="0" borderId="27" xfId="3" applyNumberFormat="1" applyFont="1" applyBorder="1" applyAlignment="1" applyProtection="1">
      <alignment horizontal="center" vertical="center"/>
    </xf>
    <xf numFmtId="9" fontId="28" fillId="0" borderId="28" xfId="3" applyNumberFormat="1" applyFont="1" applyBorder="1" applyAlignment="1" applyProtection="1">
      <alignment horizontal="center" vertical="center"/>
    </xf>
    <xf numFmtId="9" fontId="28" fillId="0" borderId="28" xfId="15" applyNumberFormat="1" applyFont="1" applyBorder="1" applyAlignment="1" applyProtection="1">
      <alignment horizontal="center" vertical="center"/>
    </xf>
    <xf numFmtId="37" fontId="19" fillId="0" borderId="146" xfId="3" applyNumberFormat="1" applyFont="1" applyBorder="1" applyAlignment="1" applyProtection="1">
      <alignment horizontal="right" vertical="center"/>
    </xf>
    <xf numFmtId="1" fontId="100" fillId="0" borderId="74" xfId="3" applyNumberFormat="1" applyFont="1" applyBorder="1" applyAlignment="1" applyProtection="1">
      <alignment horizontal="left" vertical="center"/>
    </xf>
    <xf numFmtId="37" fontId="131" fillId="0" borderId="74" xfId="3" applyNumberFormat="1" applyFont="1" applyBorder="1" applyAlignment="1" applyProtection="1">
      <alignment horizontal="left" vertical="center"/>
    </xf>
    <xf numFmtId="37" fontId="131" fillId="0" borderId="74" xfId="3" applyNumberFormat="1" applyFont="1" applyBorder="1" applyAlignment="1" applyProtection="1">
      <alignment vertical="center"/>
      <protection locked="0"/>
    </xf>
    <xf numFmtId="9" fontId="28" fillId="0" borderId="74" xfId="3" applyNumberFormat="1" applyFont="1" applyBorder="1" applyAlignment="1" applyProtection="1">
      <alignment horizontal="center" vertical="center"/>
      <protection locked="0"/>
    </xf>
    <xf numFmtId="37" fontId="131" fillId="0" borderId="74" xfId="3" applyNumberFormat="1" applyFont="1" applyBorder="1" applyAlignment="1" applyProtection="1">
      <alignment vertical="center"/>
    </xf>
    <xf numFmtId="9" fontId="28" fillId="0" borderId="91" xfId="3" applyNumberFormat="1" applyFont="1" applyBorder="1" applyAlignment="1" applyProtection="1">
      <alignment horizontal="center" vertical="center"/>
    </xf>
    <xf numFmtId="9" fontId="28" fillId="0" borderId="93" xfId="3" applyNumberFormat="1" applyFont="1" applyBorder="1" applyAlignment="1" applyProtection="1">
      <alignment horizontal="center" vertical="center"/>
    </xf>
    <xf numFmtId="9" fontId="28" fillId="0" borderId="93" xfId="15" applyNumberFormat="1" applyFont="1" applyBorder="1" applyAlignment="1" applyProtection="1">
      <alignment horizontal="center" vertical="center"/>
    </xf>
    <xf numFmtId="37" fontId="131" fillId="0" borderId="74" xfId="3" applyNumberFormat="1" applyFont="1" applyBorder="1" applyAlignment="1" applyProtection="1">
      <alignment horizontal="right" vertical="center"/>
    </xf>
    <xf numFmtId="37" fontId="106" fillId="0" borderId="74" xfId="3" applyNumberFormat="1" applyFont="1" applyBorder="1" applyAlignment="1" applyProtection="1">
      <alignment horizontal="left" vertical="center"/>
    </xf>
    <xf numFmtId="37" fontId="106" fillId="0" borderId="74" xfId="3" applyNumberFormat="1" applyFont="1" applyBorder="1" applyAlignment="1" applyProtection="1">
      <alignment horizontal="right" vertical="center"/>
      <protection locked="0"/>
    </xf>
    <xf numFmtId="37" fontId="106" fillId="0" borderId="74" xfId="3" applyNumberFormat="1" applyFont="1" applyBorder="1" applyAlignment="1" applyProtection="1">
      <alignment horizontal="right" vertical="center"/>
    </xf>
    <xf numFmtId="1" fontId="100" fillId="0" borderId="74" xfId="3" quotePrefix="1" applyNumberFormat="1" applyFont="1" applyBorder="1" applyAlignment="1" applyProtection="1">
      <alignment horizontal="left" vertical="center"/>
    </xf>
    <xf numFmtId="37" fontId="19" fillId="0" borderId="74" xfId="3" applyNumberFormat="1" applyFont="1" applyBorder="1" applyAlignment="1" applyProtection="1">
      <alignment horizontal="left" vertical="center"/>
    </xf>
    <xf numFmtId="37" fontId="19" fillId="0" borderId="74" xfId="3" applyNumberFormat="1" applyFont="1" applyBorder="1" applyAlignment="1" applyProtection="1">
      <alignment vertical="center"/>
      <protection locked="0"/>
    </xf>
    <xf numFmtId="37" fontId="19" fillId="0" borderId="74" xfId="3" applyNumberFormat="1" applyFont="1" applyBorder="1" applyAlignment="1" applyProtection="1">
      <alignment vertical="center"/>
    </xf>
    <xf numFmtId="37" fontId="19" fillId="0" borderId="74" xfId="3" applyNumberFormat="1" applyFont="1" applyBorder="1" applyAlignment="1" applyProtection="1">
      <alignment horizontal="right" vertical="center"/>
    </xf>
    <xf numFmtId="1" fontId="100" fillId="0" borderId="76" xfId="3" applyNumberFormat="1" applyFont="1" applyBorder="1" applyAlignment="1" applyProtection="1">
      <alignment horizontal="left" vertical="center"/>
    </xf>
    <xf numFmtId="37" fontId="31" fillId="0" borderId="18" xfId="3" applyFont="1" applyBorder="1" applyAlignment="1" applyProtection="1">
      <alignment horizontal="left" vertical="center"/>
    </xf>
    <xf numFmtId="37" fontId="100" fillId="7" borderId="74" xfId="3" applyNumberFormat="1" applyFont="1" applyFill="1" applyBorder="1" applyAlignment="1" applyProtection="1">
      <alignment horizontal="left" vertical="center"/>
    </xf>
    <xf numFmtId="37" fontId="100" fillId="7" borderId="74" xfId="3" applyNumberFormat="1" applyFont="1" applyFill="1" applyBorder="1" applyAlignment="1" applyProtection="1">
      <alignment vertical="center"/>
      <protection locked="0"/>
    </xf>
    <xf numFmtId="9" fontId="28" fillId="7" borderId="74" xfId="3" applyNumberFormat="1" applyFont="1" applyFill="1" applyBorder="1" applyAlignment="1" applyProtection="1">
      <alignment horizontal="center" vertical="center"/>
      <protection locked="0"/>
    </xf>
    <xf numFmtId="37" fontId="100" fillId="7" borderId="74" xfId="3" applyNumberFormat="1" applyFont="1" applyFill="1" applyBorder="1" applyAlignment="1" applyProtection="1">
      <alignment vertical="center"/>
    </xf>
    <xf numFmtId="9" fontId="28" fillId="7" borderId="91" xfId="3" applyNumberFormat="1" applyFont="1" applyFill="1" applyBorder="1" applyAlignment="1" applyProtection="1">
      <alignment horizontal="center" vertical="center"/>
    </xf>
    <xf numFmtId="9" fontId="28" fillId="7" borderId="93" xfId="3" applyNumberFormat="1" applyFont="1" applyFill="1" applyBorder="1" applyAlignment="1" applyProtection="1">
      <alignment horizontal="center" vertical="center"/>
    </xf>
    <xf numFmtId="9" fontId="28" fillId="7" borderId="93" xfId="15" applyNumberFormat="1" applyFont="1" applyFill="1" applyBorder="1" applyAlignment="1" applyProtection="1">
      <alignment horizontal="center" vertical="center"/>
    </xf>
    <xf numFmtId="37" fontId="100" fillId="7" borderId="74" xfId="3" applyNumberFormat="1" applyFont="1" applyFill="1" applyBorder="1" applyAlignment="1" applyProtection="1">
      <alignment horizontal="right" vertical="center"/>
    </xf>
    <xf numFmtId="1" fontId="100" fillId="0" borderId="146" xfId="3" quotePrefix="1" applyNumberFormat="1" applyFont="1" applyBorder="1" applyAlignment="1" applyProtection="1">
      <alignment horizontal="left" vertical="center"/>
    </xf>
    <xf numFmtId="37" fontId="131" fillId="0" borderId="74" xfId="3" applyFont="1" applyBorder="1" applyAlignment="1" applyProtection="1">
      <alignment vertical="center"/>
      <protection locked="0"/>
    </xf>
    <xf numFmtId="37" fontId="131" fillId="0" borderId="74" xfId="3" applyFont="1" applyBorder="1" applyAlignment="1" applyProtection="1">
      <alignment vertical="center"/>
    </xf>
    <xf numFmtId="37" fontId="131" fillId="0" borderId="74" xfId="3" applyFont="1" applyBorder="1" applyAlignment="1" applyProtection="1">
      <alignment horizontal="right" vertical="center"/>
    </xf>
    <xf numFmtId="37" fontId="131" fillId="0" borderId="74" xfId="3" applyNumberFormat="1" applyFont="1" applyBorder="1" applyAlignment="1" applyProtection="1">
      <alignment horizontal="right" vertical="center"/>
      <protection locked="0"/>
    </xf>
    <xf numFmtId="1" fontId="100" fillId="0" borderId="73" xfId="3" applyNumberFormat="1" applyFont="1" applyBorder="1" applyAlignment="1" applyProtection="1">
      <alignment horizontal="left" vertical="center"/>
    </xf>
    <xf numFmtId="37" fontId="100" fillId="10" borderId="74" xfId="3" applyNumberFormat="1" applyFont="1" applyFill="1" applyBorder="1" applyAlignment="1" applyProtection="1">
      <alignment horizontal="left" vertical="center"/>
    </xf>
    <xf numFmtId="37" fontId="100" fillId="10" borderId="74" xfId="3" applyNumberFormat="1" applyFont="1" applyFill="1" applyBorder="1" applyAlignment="1" applyProtection="1">
      <alignment vertical="center"/>
      <protection locked="0"/>
    </xf>
    <xf numFmtId="9" fontId="28" fillId="10" borderId="74" xfId="3" applyNumberFormat="1" applyFont="1" applyFill="1" applyBorder="1" applyAlignment="1" applyProtection="1">
      <alignment horizontal="center" vertical="center"/>
      <protection locked="0"/>
    </xf>
    <xf numFmtId="37" fontId="100" fillId="10" borderId="74" xfId="3" applyNumberFormat="1" applyFont="1" applyFill="1" applyBorder="1" applyAlignment="1" applyProtection="1">
      <alignment vertical="center"/>
    </xf>
    <xf numFmtId="9" fontId="28" fillId="10" borderId="91" xfId="3" applyNumberFormat="1" applyFont="1" applyFill="1" applyBorder="1" applyAlignment="1" applyProtection="1">
      <alignment horizontal="center" vertical="center"/>
    </xf>
    <xf numFmtId="9" fontId="28" fillId="10" borderId="93" xfId="3" applyNumberFormat="1" applyFont="1" applyFill="1" applyBorder="1" applyAlignment="1" applyProtection="1">
      <alignment horizontal="center" vertical="center"/>
    </xf>
    <xf numFmtId="9" fontId="28" fillId="10" borderId="93" xfId="15" applyNumberFormat="1" applyFont="1" applyFill="1" applyBorder="1" applyAlignment="1" applyProtection="1">
      <alignment horizontal="center" vertical="center"/>
    </xf>
    <xf numFmtId="37" fontId="100" fillId="10" borderId="74" xfId="3" applyNumberFormat="1" applyFont="1" applyFill="1" applyBorder="1" applyAlignment="1" applyProtection="1">
      <alignment horizontal="right" vertical="center"/>
    </xf>
    <xf numFmtId="37" fontId="16" fillId="0" borderId="0" xfId="3" applyFont="1" applyFill="1" applyBorder="1" applyAlignment="1" applyProtection="1">
      <alignment vertical="center"/>
      <protection locked="0"/>
    </xf>
    <xf numFmtId="37" fontId="100" fillId="10" borderId="76" xfId="3" applyNumberFormat="1" applyFont="1" applyFill="1" applyBorder="1" applyAlignment="1" applyProtection="1">
      <alignment horizontal="left" vertical="center"/>
    </xf>
    <xf numFmtId="37" fontId="100" fillId="10" borderId="76" xfId="3" applyNumberFormat="1" applyFont="1" applyFill="1" applyBorder="1" applyAlignment="1" applyProtection="1">
      <alignment vertical="center"/>
      <protection locked="0"/>
    </xf>
    <xf numFmtId="9" fontId="28" fillId="10" borderId="76" xfId="3" applyNumberFormat="1" applyFont="1" applyFill="1" applyBorder="1" applyAlignment="1" applyProtection="1">
      <alignment horizontal="center" vertical="center"/>
      <protection locked="0"/>
    </xf>
    <xf numFmtId="37" fontId="100" fillId="10" borderId="76" xfId="3" applyNumberFormat="1" applyFont="1" applyFill="1" applyBorder="1" applyAlignment="1" applyProtection="1">
      <alignment vertical="center"/>
    </xf>
    <xf numFmtId="9" fontId="28" fillId="10" borderId="25" xfId="3" applyNumberFormat="1" applyFont="1" applyFill="1" applyBorder="1" applyAlignment="1" applyProtection="1">
      <alignment horizontal="center" vertical="center"/>
    </xf>
    <xf numFmtId="9" fontId="28" fillId="10" borderId="26" xfId="3" applyNumberFormat="1" applyFont="1" applyFill="1" applyBorder="1" applyAlignment="1" applyProtection="1">
      <alignment horizontal="center" vertical="center"/>
    </xf>
    <xf numFmtId="9" fontId="28" fillId="10" borderId="26" xfId="15" applyNumberFormat="1" applyFont="1" applyFill="1" applyBorder="1" applyAlignment="1" applyProtection="1">
      <alignment horizontal="center" vertical="center"/>
    </xf>
    <xf numFmtId="37" fontId="100" fillId="10" borderId="76" xfId="3" applyNumberFormat="1" applyFont="1" applyFill="1" applyBorder="1" applyAlignment="1" applyProtection="1">
      <alignment horizontal="right" vertical="center"/>
    </xf>
    <xf numFmtId="37" fontId="31" fillId="0" borderId="0" xfId="3" applyFont="1" applyFill="1" applyBorder="1" applyAlignment="1" applyProtection="1">
      <alignment horizontal="left" vertical="center"/>
    </xf>
    <xf numFmtId="37" fontId="30" fillId="0" borderId="0" xfId="3" applyNumberFormat="1" applyFont="1" applyFill="1" applyBorder="1" applyAlignment="1" applyProtection="1">
      <alignment vertical="center"/>
      <protection locked="0"/>
    </xf>
    <xf numFmtId="9" fontId="19" fillId="0" borderId="0" xfId="3" applyNumberFormat="1" applyFont="1" applyFill="1" applyBorder="1" applyAlignment="1" applyProtection="1">
      <alignment horizontal="center" vertical="center"/>
      <protection locked="0"/>
    </xf>
    <xf numFmtId="37" fontId="30" fillId="0" borderId="0" xfId="3" applyNumberFormat="1" applyFont="1" applyFill="1" applyBorder="1" applyAlignment="1" applyProtection="1">
      <alignment horizontal="right" vertical="center"/>
      <protection locked="0"/>
    </xf>
    <xf numFmtId="37" fontId="28" fillId="0" borderId="0" xfId="17" applyNumberFormat="1" applyFont="1" applyFill="1" applyBorder="1" applyAlignment="1" applyProtection="1">
      <protection locked="0"/>
    </xf>
    <xf numFmtId="0" fontId="16" fillId="0" borderId="0" xfId="15" applyNumberFormat="1" applyFont="1" applyProtection="1">
      <protection locked="0"/>
    </xf>
    <xf numFmtId="37" fontId="19" fillId="0" borderId="146" xfId="3" applyNumberFormat="1" applyFont="1" applyBorder="1" applyAlignment="1" applyProtection="1">
      <alignment vertical="center"/>
      <protection locked="0"/>
    </xf>
    <xf numFmtId="0" fontId="15" fillId="0" borderId="0" xfId="15" applyNumberFormat="1" applyFont="1" applyBorder="1" applyProtection="1">
      <protection locked="0"/>
    </xf>
    <xf numFmtId="37" fontId="19" fillId="0" borderId="73" xfId="3" applyNumberFormat="1" applyFont="1" applyBorder="1" applyAlignment="1" applyProtection="1">
      <alignment horizontal="left" vertical="center"/>
    </xf>
    <xf numFmtId="37" fontId="19" fillId="0" borderId="73" xfId="3" applyNumberFormat="1" applyFont="1" applyBorder="1" applyAlignment="1" applyProtection="1">
      <alignment vertical="center"/>
      <protection locked="0"/>
    </xf>
    <xf numFmtId="9" fontId="28" fillId="0" borderId="73" xfId="3" applyNumberFormat="1" applyFont="1" applyBorder="1" applyAlignment="1" applyProtection="1">
      <alignment horizontal="center" vertical="center"/>
      <protection locked="0"/>
    </xf>
    <xf numFmtId="37" fontId="19" fillId="0" borderId="73" xfId="3" applyNumberFormat="1" applyFont="1" applyBorder="1" applyAlignment="1" applyProtection="1">
      <alignment vertical="center"/>
    </xf>
    <xf numFmtId="9" fontId="28" fillId="0" borderId="101" xfId="3" applyNumberFormat="1" applyFont="1" applyBorder="1" applyAlignment="1" applyProtection="1">
      <alignment horizontal="center" vertical="center"/>
    </xf>
    <xf numFmtId="9" fontId="28" fillId="0" borderId="21" xfId="3" applyNumberFormat="1" applyFont="1" applyBorder="1" applyAlignment="1" applyProtection="1">
      <alignment horizontal="center" vertical="center"/>
    </xf>
    <xf numFmtId="9" fontId="28" fillId="0" borderId="21" xfId="15" applyNumberFormat="1" applyFont="1" applyBorder="1" applyAlignment="1" applyProtection="1">
      <alignment horizontal="center" vertical="center"/>
    </xf>
    <xf numFmtId="37" fontId="19" fillId="0" borderId="73" xfId="3" applyNumberFormat="1" applyFont="1" applyBorder="1" applyAlignment="1" applyProtection="1">
      <alignment horizontal="right" vertical="center"/>
    </xf>
    <xf numFmtId="0" fontId="0" fillId="0" borderId="0" xfId="0" applyAlignment="1" applyProtection="1">
      <alignment vertical="center"/>
      <protection locked="0"/>
    </xf>
    <xf numFmtId="37" fontId="100" fillId="0" borderId="0" xfId="3" applyFont="1" applyAlignment="1" applyProtection="1">
      <alignment horizontal="left" vertical="center"/>
    </xf>
    <xf numFmtId="37" fontId="100" fillId="0" borderId="76" xfId="3" applyNumberFormat="1" applyFont="1" applyBorder="1" applyAlignment="1" applyProtection="1">
      <alignment horizontal="left" vertical="center"/>
    </xf>
    <xf numFmtId="37" fontId="99" fillId="0" borderId="76" xfId="3" applyNumberFormat="1" applyFont="1" applyBorder="1" applyAlignment="1" applyProtection="1">
      <alignment vertical="center"/>
      <protection locked="0"/>
    </xf>
    <xf numFmtId="9" fontId="28" fillId="0" borderId="76" xfId="3" applyNumberFormat="1" applyFont="1" applyBorder="1" applyAlignment="1" applyProtection="1">
      <alignment horizontal="center" vertical="center"/>
      <protection locked="0"/>
    </xf>
    <xf numFmtId="37" fontId="99" fillId="0" borderId="76" xfId="3" applyNumberFormat="1" applyFont="1" applyBorder="1" applyAlignment="1" applyProtection="1">
      <alignment vertical="center"/>
    </xf>
    <xf numFmtId="9" fontId="28" fillId="0" borderId="25" xfId="3" applyNumberFormat="1" applyFont="1" applyBorder="1" applyAlignment="1" applyProtection="1">
      <alignment horizontal="center" vertical="center"/>
    </xf>
    <xf numFmtId="9" fontId="28" fillId="0" borderId="26" xfId="3" applyNumberFormat="1" applyFont="1" applyBorder="1" applyAlignment="1" applyProtection="1">
      <alignment horizontal="center" vertical="center"/>
    </xf>
    <xf numFmtId="9" fontId="28" fillId="0" borderId="26" xfId="15" applyNumberFormat="1" applyFont="1" applyBorder="1" applyAlignment="1" applyProtection="1">
      <alignment horizontal="center" vertical="center"/>
    </xf>
    <xf numFmtId="37" fontId="99" fillId="0" borderId="76" xfId="3" applyNumberFormat="1" applyFont="1" applyBorder="1" applyAlignment="1" applyProtection="1">
      <alignment horizontal="right" vertical="center"/>
    </xf>
    <xf numFmtId="37" fontId="28" fillId="0" borderId="0" xfId="3" applyNumberFormat="1" applyFont="1" applyFill="1" applyBorder="1" applyAlignment="1" applyProtection="1">
      <alignment vertical="center"/>
      <protection locked="0"/>
    </xf>
    <xf numFmtId="37" fontId="28" fillId="0" borderId="0" xfId="3" applyNumberFormat="1" applyFont="1" applyFill="1" applyBorder="1" applyAlignment="1" applyProtection="1">
      <alignment horizontal="right" vertical="center"/>
      <protection locked="0"/>
    </xf>
    <xf numFmtId="1" fontId="100" fillId="0" borderId="47" xfId="3" applyNumberFormat="1" applyFont="1" applyBorder="1" applyAlignment="1" applyProtection="1">
      <alignment horizontal="left" vertical="center"/>
    </xf>
    <xf numFmtId="37" fontId="19" fillId="0" borderId="74" xfId="3" applyFont="1" applyBorder="1" applyAlignment="1" applyProtection="1">
      <alignment vertical="center"/>
      <protection locked="0"/>
    </xf>
    <xf numFmtId="37" fontId="19" fillId="0" borderId="74" xfId="3" applyFont="1" applyBorder="1" applyAlignment="1" applyProtection="1">
      <alignment vertical="center"/>
    </xf>
    <xf numFmtId="37" fontId="19" fillId="0" borderId="74" xfId="3" applyFont="1" applyBorder="1" applyAlignment="1" applyProtection="1">
      <alignment horizontal="right" vertical="center"/>
    </xf>
    <xf numFmtId="37" fontId="131" fillId="0" borderId="74" xfId="3" quotePrefix="1" applyNumberFormat="1" applyFont="1" applyBorder="1" applyAlignment="1" applyProtection="1">
      <alignment horizontal="left" vertical="center"/>
    </xf>
    <xf numFmtId="37" fontId="106" fillId="0" borderId="74" xfId="3" applyFont="1" applyBorder="1" applyAlignment="1" applyProtection="1">
      <alignment horizontal="right" vertical="center"/>
      <protection locked="0"/>
    </xf>
    <xf numFmtId="37" fontId="106" fillId="0" borderId="74" xfId="3" applyFont="1" applyBorder="1" applyAlignment="1" applyProtection="1">
      <alignment horizontal="right" vertical="center"/>
    </xf>
    <xf numFmtId="37" fontId="100" fillId="26" borderId="74" xfId="3" applyNumberFormat="1" applyFont="1" applyFill="1" applyBorder="1" applyAlignment="1" applyProtection="1">
      <alignment horizontal="left" vertical="center"/>
    </xf>
    <xf numFmtId="1" fontId="100" fillId="0" borderId="78" xfId="3" applyNumberFormat="1" applyFont="1" applyBorder="1" applyAlignment="1" applyProtection="1">
      <alignment horizontal="left" vertical="center"/>
    </xf>
    <xf numFmtId="37" fontId="19" fillId="0" borderId="78" xfId="3" applyNumberFormat="1" applyFont="1" applyBorder="1" applyAlignment="1" applyProtection="1">
      <alignment horizontal="left" vertical="center"/>
    </xf>
    <xf numFmtId="37" fontId="19" fillId="0" borderId="78" xfId="3" applyFont="1" applyBorder="1" applyAlignment="1" applyProtection="1">
      <alignment vertical="center"/>
      <protection locked="0"/>
    </xf>
    <xf numFmtId="9" fontId="28" fillId="0" borderId="78" xfId="3" applyNumberFormat="1" applyFont="1" applyBorder="1" applyAlignment="1" applyProtection="1">
      <alignment horizontal="center" vertical="center"/>
      <protection locked="0"/>
    </xf>
    <xf numFmtId="37" fontId="19" fillId="0" borderId="78" xfId="3" applyFont="1" applyBorder="1" applyAlignment="1" applyProtection="1">
      <alignment vertical="center"/>
    </xf>
    <xf numFmtId="9" fontId="28" fillId="0" borderId="504" xfId="3" applyNumberFormat="1" applyFont="1" applyBorder="1" applyAlignment="1" applyProtection="1">
      <alignment horizontal="center" vertical="center"/>
    </xf>
    <xf numFmtId="9" fontId="28" fillId="0" borderId="23" xfId="3" applyNumberFormat="1" applyFont="1" applyBorder="1" applyAlignment="1" applyProtection="1">
      <alignment horizontal="center" vertical="center"/>
    </xf>
    <xf numFmtId="9" fontId="28" fillId="0" borderId="23" xfId="15" applyNumberFormat="1" applyFont="1" applyBorder="1" applyAlignment="1" applyProtection="1">
      <alignment horizontal="center" vertical="center"/>
    </xf>
    <xf numFmtId="37" fontId="19" fillId="0" borderId="78" xfId="3" applyFont="1" applyBorder="1" applyAlignment="1" applyProtection="1">
      <alignment horizontal="right" vertical="center"/>
    </xf>
    <xf numFmtId="1" fontId="100" fillId="0" borderId="76" xfId="3" applyNumberFormat="1" applyFont="1" applyFill="1" applyBorder="1" applyAlignment="1" applyProtection="1">
      <alignment horizontal="left" vertical="center"/>
    </xf>
    <xf numFmtId="37" fontId="100" fillId="10" borderId="76" xfId="3" applyFont="1" applyFill="1" applyBorder="1" applyAlignment="1" applyProtection="1">
      <alignment vertical="center"/>
      <protection locked="0"/>
    </xf>
    <xf numFmtId="37" fontId="100" fillId="10" borderId="76" xfId="3" applyFont="1" applyFill="1" applyBorder="1" applyAlignment="1" applyProtection="1">
      <alignment vertical="center"/>
    </xf>
    <xf numFmtId="37" fontId="100" fillId="10" borderId="76" xfId="3" applyFont="1" applyFill="1" applyBorder="1" applyAlignment="1" applyProtection="1">
      <alignment horizontal="right" vertical="center"/>
    </xf>
    <xf numFmtId="37" fontId="30" fillId="26" borderId="47" xfId="3" applyNumberFormat="1" applyFont="1" applyFill="1" applyBorder="1" applyAlignment="1" applyProtection="1">
      <alignment horizontal="left" vertical="center"/>
    </xf>
    <xf numFmtId="37" fontId="28" fillId="26" borderId="47" xfId="3" applyFont="1" applyFill="1" applyBorder="1" applyAlignment="1" applyProtection="1">
      <alignment vertical="center"/>
      <protection locked="0"/>
    </xf>
    <xf numFmtId="37" fontId="30" fillId="26" borderId="47" xfId="3" applyNumberFormat="1" applyFont="1" applyFill="1" applyBorder="1" applyAlignment="1" applyProtection="1">
      <alignment vertical="center"/>
    </xf>
    <xf numFmtId="37" fontId="30" fillId="26" borderId="47" xfId="3" applyNumberFormat="1" applyFont="1" applyFill="1" applyBorder="1" applyAlignment="1" applyProtection="1">
      <alignment horizontal="right" vertical="center"/>
    </xf>
    <xf numFmtId="37" fontId="30" fillId="0" borderId="0" xfId="3" applyFont="1" applyAlignment="1" applyProtection="1"/>
    <xf numFmtId="37" fontId="31" fillId="0" borderId="0" xfId="3" applyFont="1" applyAlignment="1" applyProtection="1">
      <alignment vertical="center"/>
      <protection locked="0"/>
    </xf>
    <xf numFmtId="37" fontId="30" fillId="0" borderId="0" xfId="3" quotePrefix="1" applyNumberFormat="1" applyFont="1" applyFill="1" applyBorder="1" applyAlignment="1" applyProtection="1">
      <alignment vertical="center"/>
      <protection locked="0"/>
    </xf>
    <xf numFmtId="37" fontId="30" fillId="0" borderId="0" xfId="3" quotePrefix="1" applyNumberFormat="1" applyFont="1" applyFill="1" applyBorder="1" applyAlignment="1" applyProtection="1">
      <alignment horizontal="right" vertical="center"/>
      <protection locked="0"/>
    </xf>
    <xf numFmtId="37" fontId="19" fillId="0" borderId="16" xfId="3" applyFont="1" applyFill="1" applyBorder="1" applyAlignment="1" applyProtection="1">
      <alignment vertical="center"/>
      <protection locked="0"/>
    </xf>
    <xf numFmtId="37" fontId="132" fillId="0" borderId="0" xfId="3" applyFont="1" applyAlignment="1" applyProtection="1">
      <alignment vertical="center"/>
    </xf>
    <xf numFmtId="37" fontId="30" fillId="0" borderId="0" xfId="3" applyFont="1" applyAlignment="1" applyProtection="1">
      <alignment vertical="center"/>
    </xf>
    <xf numFmtId="37" fontId="28" fillId="0" borderId="0" xfId="15" applyNumberFormat="1" applyFont="1" applyAlignment="1" applyProtection="1">
      <alignment vertical="center"/>
      <protection locked="0"/>
    </xf>
    <xf numFmtId="37" fontId="31" fillId="0" borderId="0" xfId="3" applyFont="1" applyAlignment="1" applyProtection="1">
      <alignment horizontal="center" vertical="center"/>
      <protection locked="0"/>
    </xf>
    <xf numFmtId="37" fontId="30" fillId="0" borderId="0" xfId="3" applyFont="1" applyAlignment="1" applyProtection="1">
      <alignment vertical="center"/>
      <protection locked="0"/>
    </xf>
    <xf numFmtId="37" fontId="30" fillId="0" borderId="0" xfId="3" applyFont="1" applyAlignment="1" applyProtection="1">
      <alignment horizontal="center" vertical="center"/>
      <protection locked="0"/>
    </xf>
    <xf numFmtId="37" fontId="20" fillId="0" borderId="0" xfId="15" applyNumberFormat="1" applyFont="1" applyBorder="1" applyAlignment="1" applyProtection="1"/>
    <xf numFmtId="37" fontId="35" fillId="0" borderId="0" xfId="3" applyNumberFormat="1" applyFont="1" applyAlignment="1" applyProtection="1">
      <alignment vertical="center"/>
      <protection locked="0"/>
    </xf>
    <xf numFmtId="37" fontId="35" fillId="0" borderId="0" xfId="3" applyFont="1" applyAlignment="1" applyProtection="1">
      <alignment vertical="center"/>
      <protection locked="0"/>
    </xf>
    <xf numFmtId="14" fontId="30" fillId="0" borderId="0" xfId="3" applyNumberFormat="1" applyFont="1" applyAlignment="1" applyProtection="1">
      <alignment horizontal="left" vertical="center"/>
    </xf>
    <xf numFmtId="37" fontId="35" fillId="0" borderId="0" xfId="3" applyNumberFormat="1" applyFont="1" applyAlignment="1" applyProtection="1">
      <alignment horizontal="left" vertical="center"/>
      <protection locked="0"/>
    </xf>
    <xf numFmtId="37" fontId="100" fillId="0" borderId="59" xfId="3" applyNumberFormat="1" applyFont="1" applyBorder="1" applyAlignment="1" applyProtection="1">
      <alignment horizontal="left" vertical="center"/>
    </xf>
    <xf numFmtId="37" fontId="100" fillId="0" borderId="59" xfId="3" applyNumberFormat="1" applyFont="1" applyBorder="1" applyAlignment="1" applyProtection="1">
      <alignment horizontal="center" vertical="center"/>
      <protection locked="0"/>
    </xf>
    <xf numFmtId="37" fontId="100" fillId="0" borderId="59" xfId="3" applyNumberFormat="1" applyFont="1" applyBorder="1" applyAlignment="1" applyProtection="1">
      <alignment horizontal="center" vertical="center"/>
    </xf>
    <xf numFmtId="37" fontId="20" fillId="0" borderId="59" xfId="3" applyNumberFormat="1" applyFont="1" applyBorder="1" applyAlignment="1" applyProtection="1">
      <alignment horizontal="center" vertical="center"/>
    </xf>
    <xf numFmtId="37" fontId="100" fillId="0" borderId="146" xfId="3" applyFont="1" applyBorder="1" applyAlignment="1" applyProtection="1">
      <alignment horizontal="left" vertical="center"/>
    </xf>
    <xf numFmtId="37" fontId="99" fillId="0" borderId="146" xfId="3" applyNumberFormat="1" applyFont="1" applyBorder="1" applyAlignment="1" applyProtection="1">
      <alignment horizontal="left" vertical="center"/>
    </xf>
    <xf numFmtId="37" fontId="99" fillId="0" borderId="146" xfId="3" applyNumberFormat="1" applyFont="1" applyBorder="1" applyAlignment="1" applyProtection="1">
      <alignment horizontal="center" vertical="center"/>
      <protection locked="0"/>
    </xf>
    <xf numFmtId="37" fontId="99" fillId="0" borderId="146" xfId="3" applyNumberFormat="1" applyFont="1" applyBorder="1" applyAlignment="1" applyProtection="1">
      <alignment horizontal="center" vertical="center"/>
    </xf>
    <xf numFmtId="37" fontId="100" fillId="0" borderId="74" xfId="3" applyFont="1" applyBorder="1" applyAlignment="1" applyProtection="1">
      <alignment horizontal="left" vertical="center"/>
    </xf>
    <xf numFmtId="37" fontId="99" fillId="0" borderId="74" xfId="3" applyNumberFormat="1" applyFont="1" applyBorder="1" applyAlignment="1" applyProtection="1">
      <alignment horizontal="left" vertical="center"/>
    </xf>
    <xf numFmtId="37" fontId="99" fillId="0" borderId="74" xfId="3" applyNumberFormat="1" applyFont="1" applyBorder="1" applyAlignment="1" applyProtection="1">
      <alignment horizontal="center" vertical="center"/>
      <protection locked="0"/>
    </xf>
    <xf numFmtId="37" fontId="99" fillId="0" borderId="74" xfId="3" applyNumberFormat="1" applyFont="1" applyBorder="1" applyAlignment="1" applyProtection="1">
      <alignment horizontal="center" vertical="center"/>
    </xf>
    <xf numFmtId="37" fontId="99" fillId="0" borderId="74" xfId="3" applyNumberFormat="1" applyFont="1" applyFill="1" applyBorder="1" applyAlignment="1" applyProtection="1">
      <alignment horizontal="center" vertical="center"/>
    </xf>
    <xf numFmtId="167" fontId="99" fillId="0" borderId="74" xfId="3" applyNumberFormat="1" applyFont="1" applyBorder="1" applyAlignment="1" applyProtection="1">
      <alignment horizontal="center" vertical="center"/>
      <protection locked="0"/>
    </xf>
    <xf numFmtId="167" fontId="99" fillId="0" borderId="74" xfId="3" applyNumberFormat="1" applyFont="1" applyBorder="1" applyAlignment="1" applyProtection="1">
      <alignment horizontal="center" vertical="center"/>
    </xf>
    <xf numFmtId="167" fontId="99" fillId="0" borderId="74" xfId="3" applyNumberFormat="1" applyFont="1" applyFill="1" applyBorder="1" applyAlignment="1" applyProtection="1">
      <alignment horizontal="center" vertical="center"/>
    </xf>
    <xf numFmtId="37" fontId="100" fillId="0" borderId="76" xfId="3" applyFont="1" applyBorder="1" applyAlignment="1" applyProtection="1">
      <alignment horizontal="left" vertical="center"/>
    </xf>
    <xf numFmtId="37" fontId="99" fillId="0" borderId="76" xfId="3" applyNumberFormat="1" applyFont="1" applyBorder="1" applyAlignment="1" applyProtection="1">
      <alignment horizontal="left" vertical="center"/>
    </xf>
    <xf numFmtId="37" fontId="99" fillId="0" borderId="76" xfId="3" applyNumberFormat="1" applyFont="1" applyBorder="1" applyAlignment="1" applyProtection="1">
      <alignment horizontal="center" vertical="center"/>
      <protection locked="0"/>
    </xf>
    <xf numFmtId="37" fontId="99" fillId="0" borderId="76" xfId="3" applyNumberFormat="1" applyFont="1" applyBorder="1" applyAlignment="1" applyProtection="1">
      <alignment horizontal="center" vertical="center"/>
    </xf>
    <xf numFmtId="37" fontId="28" fillId="0" borderId="0" xfId="3" applyNumberFormat="1" applyFont="1" applyAlignment="1" applyProtection="1">
      <alignment horizontal="left" vertical="center"/>
    </xf>
    <xf numFmtId="9" fontId="28" fillId="0" borderId="0" xfId="3" applyNumberFormat="1" applyFont="1" applyAlignment="1" applyProtection="1">
      <alignment horizontal="center" vertical="center"/>
      <protection locked="0"/>
    </xf>
    <xf numFmtId="37" fontId="100" fillId="0" borderId="47" xfId="3" applyNumberFormat="1" applyFont="1" applyBorder="1" applyAlignment="1" applyProtection="1">
      <alignment horizontal="left" vertical="center"/>
    </xf>
    <xf numFmtId="167" fontId="99" fillId="0" borderId="74" xfId="5" applyNumberFormat="1" applyFont="1" applyBorder="1" applyAlignment="1" applyProtection="1">
      <alignment horizontal="center" vertical="center"/>
      <protection locked="0"/>
    </xf>
    <xf numFmtId="167" fontId="99" fillId="0" borderId="74" xfId="5" applyNumberFormat="1" applyFont="1" applyBorder="1" applyAlignment="1" applyProtection="1">
      <alignment horizontal="center" vertical="center"/>
    </xf>
    <xf numFmtId="167" fontId="19" fillId="0" borderId="496" xfId="5" applyNumberFormat="1" applyFont="1" applyFill="1" applyBorder="1" applyAlignment="1" applyProtection="1">
      <alignment vertical="center"/>
    </xf>
    <xf numFmtId="167" fontId="99" fillId="0" borderId="74" xfId="5" applyNumberFormat="1" applyFont="1" applyBorder="1" applyAlignment="1" applyProtection="1">
      <alignment horizontal="left" vertical="center"/>
    </xf>
    <xf numFmtId="167" fontId="19" fillId="0" borderId="497" xfId="5" applyNumberFormat="1" applyFont="1" applyFill="1" applyBorder="1" applyAlignment="1" applyProtection="1">
      <alignment vertical="center"/>
      <protection locked="0"/>
    </xf>
    <xf numFmtId="167" fontId="99" fillId="0" borderId="76" xfId="5" applyNumberFormat="1" applyFont="1" applyBorder="1" applyAlignment="1" applyProtection="1">
      <alignment horizontal="left" vertical="center"/>
    </xf>
    <xf numFmtId="167" fontId="99" fillId="0" borderId="76" xfId="5" applyNumberFormat="1" applyFont="1" applyBorder="1" applyAlignment="1" applyProtection="1">
      <alignment horizontal="center" vertical="center"/>
      <protection locked="0"/>
    </xf>
    <xf numFmtId="167" fontId="99" fillId="0" borderId="76" xfId="5" applyNumberFormat="1" applyFont="1" applyBorder="1" applyAlignment="1" applyProtection="1">
      <alignment horizontal="center" vertical="center"/>
    </xf>
    <xf numFmtId="37" fontId="28" fillId="0" borderId="0" xfId="3" applyFont="1" applyAlignment="1" applyProtection="1">
      <alignment vertical="center"/>
    </xf>
    <xf numFmtId="37" fontId="28" fillId="0" borderId="0" xfId="3" applyFont="1" applyAlignment="1" applyProtection="1">
      <alignment horizontal="center" vertical="center"/>
      <protection locked="0"/>
    </xf>
    <xf numFmtId="37" fontId="31" fillId="0" borderId="29" xfId="3" applyFont="1" applyBorder="1" applyAlignment="1" applyProtection="1">
      <alignment horizontal="left" vertical="center"/>
    </xf>
    <xf numFmtId="37" fontId="28" fillId="0" borderId="29" xfId="3" applyFont="1" applyBorder="1" applyAlignment="1" applyProtection="1">
      <alignment horizontal="center" vertical="center"/>
      <protection locked="0"/>
    </xf>
    <xf numFmtId="191" fontId="99" fillId="0" borderId="74" xfId="3" applyNumberFormat="1" applyFont="1" applyBorder="1" applyAlignment="1" applyProtection="1">
      <alignment horizontal="center" vertical="center"/>
      <protection locked="0"/>
    </xf>
    <xf numFmtId="191" fontId="99" fillId="0" borderId="74" xfId="3" applyNumberFormat="1" applyFont="1" applyBorder="1" applyAlignment="1" applyProtection="1">
      <alignment horizontal="center" vertical="center"/>
    </xf>
    <xf numFmtId="37" fontId="100" fillId="0" borderId="78" xfId="3" applyFont="1" applyBorder="1" applyAlignment="1" applyProtection="1">
      <alignment horizontal="left" vertical="center"/>
    </xf>
    <xf numFmtId="37" fontId="99" fillId="0" borderId="78" xfId="3" applyNumberFormat="1" applyFont="1" applyBorder="1" applyAlignment="1" applyProtection="1">
      <alignment horizontal="left" vertical="center"/>
    </xf>
    <xf numFmtId="191" fontId="99" fillId="0" borderId="78" xfId="3" applyNumberFormat="1" applyFont="1" applyBorder="1" applyAlignment="1" applyProtection="1">
      <alignment horizontal="center" vertical="center"/>
      <protection locked="0"/>
    </xf>
    <xf numFmtId="191" fontId="99" fillId="0" borderId="78" xfId="3" applyNumberFormat="1" applyFont="1" applyBorder="1" applyAlignment="1" applyProtection="1">
      <alignment horizontal="center" vertical="center"/>
    </xf>
    <xf numFmtId="4" fontId="99" fillId="0" borderId="74" xfId="3" applyNumberFormat="1" applyFont="1" applyBorder="1" applyAlignment="1" applyProtection="1">
      <alignment horizontal="center" vertical="center"/>
      <protection locked="0"/>
    </xf>
    <xf numFmtId="4" fontId="99" fillId="0" borderId="74" xfId="3" applyNumberFormat="1" applyFont="1" applyBorder="1" applyAlignment="1" applyProtection="1">
      <alignment horizontal="center" vertical="center"/>
    </xf>
    <xf numFmtId="9" fontId="99" fillId="0" borderId="76" xfId="3" applyNumberFormat="1" applyFont="1" applyBorder="1" applyAlignment="1" applyProtection="1">
      <alignment horizontal="center" vertical="center"/>
      <protection locked="0"/>
    </xf>
    <xf numFmtId="9" fontId="99" fillId="0" borderId="0" xfId="3" applyNumberFormat="1" applyFont="1" applyBorder="1" applyAlignment="1" applyProtection="1">
      <alignment horizontal="center" vertical="center"/>
      <protection locked="0"/>
    </xf>
    <xf numFmtId="37" fontId="19" fillId="0" borderId="0" xfId="3" applyFont="1" applyFill="1" applyAlignment="1" applyProtection="1">
      <alignment vertical="center"/>
    </xf>
    <xf numFmtId="192" fontId="19" fillId="0" borderId="0" xfId="3" applyNumberFormat="1" applyFont="1" applyFill="1" applyAlignment="1" applyProtection="1">
      <alignment horizontal="center" vertical="center"/>
      <protection locked="0"/>
    </xf>
    <xf numFmtId="37" fontId="100" fillId="2" borderId="47" xfId="3" applyNumberFormat="1" applyFont="1" applyFill="1" applyBorder="1" applyAlignment="1" applyProtection="1">
      <alignment horizontal="left" vertical="center"/>
    </xf>
    <xf numFmtId="9" fontId="28" fillId="0" borderId="0" xfId="3" applyNumberFormat="1" applyFont="1" applyBorder="1" applyAlignment="1" applyProtection="1">
      <alignment horizontal="center" vertical="center"/>
      <protection locked="0"/>
    </xf>
    <xf numFmtId="37" fontId="99" fillId="0" borderId="86" xfId="3" applyNumberFormat="1" applyFont="1" applyBorder="1" applyAlignment="1" applyProtection="1">
      <alignment horizontal="left" vertical="center"/>
    </xf>
    <xf numFmtId="167" fontId="99" fillId="2" borderId="146" xfId="3" applyNumberFormat="1" applyFont="1" applyFill="1" applyBorder="1" applyAlignment="1" applyProtection="1">
      <alignment horizontal="center" vertical="center"/>
      <protection locked="0"/>
    </xf>
    <xf numFmtId="167" fontId="99" fillId="0" borderId="0" xfId="3" applyNumberFormat="1" applyFont="1" applyBorder="1" applyAlignment="1" applyProtection="1">
      <alignment horizontal="center" vertical="center"/>
      <protection locked="0"/>
    </xf>
    <xf numFmtId="167" fontId="99" fillId="2" borderId="146" xfId="3" applyNumberFormat="1" applyFont="1" applyFill="1" applyBorder="1" applyAlignment="1" applyProtection="1">
      <alignment horizontal="center" vertical="center"/>
    </xf>
    <xf numFmtId="167" fontId="99" fillId="2" borderId="122" xfId="3" applyNumberFormat="1" applyFont="1" applyFill="1" applyBorder="1" applyAlignment="1" applyProtection="1">
      <alignment horizontal="center" vertical="center"/>
    </xf>
    <xf numFmtId="37" fontId="99" fillId="0" borderId="89" xfId="3" applyNumberFormat="1" applyFont="1" applyBorder="1" applyAlignment="1" applyProtection="1">
      <alignment horizontal="left" vertical="center"/>
    </xf>
    <xf numFmtId="193" fontId="99" fillId="2" borderId="74" xfId="3" applyNumberFormat="1" applyFont="1" applyFill="1" applyBorder="1" applyAlignment="1" applyProtection="1">
      <alignment horizontal="center" vertical="center"/>
      <protection locked="0"/>
    </xf>
    <xf numFmtId="193" fontId="99" fillId="0" borderId="0" xfId="3" applyNumberFormat="1" applyFont="1" applyBorder="1" applyAlignment="1" applyProtection="1">
      <alignment horizontal="center" vertical="center"/>
      <protection locked="0"/>
    </xf>
    <xf numFmtId="193" fontId="99" fillId="2" borderId="74" xfId="3" applyNumberFormat="1" applyFont="1" applyFill="1" applyBorder="1" applyAlignment="1" applyProtection="1">
      <alignment horizontal="center" vertical="center"/>
    </xf>
    <xf numFmtId="193" fontId="99" fillId="0" borderId="99" xfId="3" applyNumberFormat="1" applyFont="1" applyBorder="1" applyAlignment="1" applyProtection="1">
      <alignment horizontal="center" vertical="center"/>
      <protection locked="0"/>
    </xf>
    <xf numFmtId="193" fontId="99" fillId="2" borderId="79" xfId="3" applyNumberFormat="1" applyFont="1" applyFill="1" applyBorder="1" applyAlignment="1" applyProtection="1">
      <alignment horizontal="center" vertical="center"/>
    </xf>
    <xf numFmtId="3" fontId="99" fillId="0" borderId="91" xfId="3" applyNumberFormat="1" applyFont="1" applyBorder="1" applyAlignment="1" applyProtection="1">
      <alignment horizontal="center" vertical="center"/>
    </xf>
    <xf numFmtId="193" fontId="99" fillId="0" borderId="74" xfId="3" applyNumberFormat="1" applyFont="1" applyBorder="1" applyAlignment="1" applyProtection="1">
      <alignment horizontal="center" vertical="center"/>
      <protection locked="0"/>
    </xf>
    <xf numFmtId="3" fontId="99" fillId="0" borderId="0" xfId="3" applyNumberFormat="1" applyFont="1" applyBorder="1" applyAlignment="1" applyProtection="1">
      <alignment horizontal="center" vertical="center"/>
    </xf>
    <xf numFmtId="193" fontId="99" fillId="0" borderId="74" xfId="3" applyNumberFormat="1" applyFont="1" applyFill="1" applyBorder="1" applyAlignment="1" applyProtection="1">
      <alignment horizontal="center" vertical="center"/>
      <protection locked="0"/>
    </xf>
    <xf numFmtId="193" fontId="99" fillId="0" borderId="74" xfId="3" applyNumberFormat="1" applyFont="1" applyBorder="1" applyAlignment="1" applyProtection="1">
      <alignment horizontal="center" vertical="center"/>
    </xf>
    <xf numFmtId="37" fontId="99" fillId="2" borderId="89" xfId="3" applyNumberFormat="1" applyFont="1" applyFill="1" applyBorder="1" applyAlignment="1" applyProtection="1">
      <alignment horizontal="left" vertical="center"/>
    </xf>
    <xf numFmtId="9" fontId="99" fillId="2" borderId="74" xfId="3" applyNumberFormat="1" applyFont="1" applyFill="1" applyBorder="1" applyAlignment="1" applyProtection="1">
      <alignment horizontal="center" vertical="center"/>
      <protection locked="0"/>
    </xf>
    <xf numFmtId="9" fontId="99" fillId="2" borderId="74" xfId="3" applyNumberFormat="1" applyFont="1" applyFill="1" applyBorder="1" applyAlignment="1" applyProtection="1">
      <alignment horizontal="center" vertical="center"/>
    </xf>
    <xf numFmtId="9" fontId="99" fillId="2" borderId="79" xfId="3" applyNumberFormat="1" applyFont="1" applyFill="1" applyBorder="1" applyAlignment="1" applyProtection="1">
      <alignment horizontal="center" vertical="center"/>
    </xf>
    <xf numFmtId="37" fontId="99" fillId="0" borderId="116" xfId="3" applyNumberFormat="1" applyFont="1" applyBorder="1" applyAlignment="1" applyProtection="1">
      <alignment horizontal="left" vertical="center"/>
    </xf>
    <xf numFmtId="2" fontId="99" fillId="0" borderId="76" xfId="3" applyNumberFormat="1" applyFont="1" applyBorder="1" applyAlignment="1" applyProtection="1">
      <alignment horizontal="center" vertical="center"/>
    </xf>
    <xf numFmtId="9" fontId="99" fillId="0" borderId="76" xfId="3" applyNumberFormat="1" applyFont="1" applyBorder="1" applyAlignment="1" applyProtection="1">
      <alignment horizontal="center" vertical="center"/>
    </xf>
    <xf numFmtId="37" fontId="31" fillId="0" borderId="0" xfId="3" applyNumberFormat="1" applyFont="1" applyBorder="1" applyAlignment="1" applyProtection="1">
      <alignment vertical="center"/>
      <protection locked="0"/>
    </xf>
    <xf numFmtId="37" fontId="31" fillId="0" borderId="0" xfId="3" applyNumberFormat="1" applyFont="1" applyBorder="1" applyAlignment="1" applyProtection="1">
      <alignment horizontal="center" vertical="center"/>
      <protection locked="0"/>
    </xf>
    <xf numFmtId="167" fontId="99" fillId="0" borderId="146" xfId="3" applyNumberFormat="1" applyFont="1" applyBorder="1" applyAlignment="1" applyProtection="1">
      <alignment horizontal="center" vertical="center"/>
      <protection locked="0"/>
    </xf>
    <xf numFmtId="9" fontId="99" fillId="0" borderId="146" xfId="5" applyFont="1" applyBorder="1" applyAlignment="1" applyProtection="1">
      <alignment horizontal="center" vertical="center"/>
    </xf>
    <xf numFmtId="9" fontId="99" fillId="0" borderId="74" xfId="5" applyFont="1" applyBorder="1" applyAlignment="1" applyProtection="1">
      <alignment horizontal="center" vertical="center"/>
    </xf>
    <xf numFmtId="193" fontId="99" fillId="0" borderId="79" xfId="3" applyNumberFormat="1" applyFont="1" applyBorder="1" applyAlignment="1" applyProtection="1">
      <alignment horizontal="center" vertical="center"/>
    </xf>
    <xf numFmtId="37" fontId="31" fillId="0" borderId="0" xfId="3" applyFont="1" applyFill="1" applyAlignment="1" applyProtection="1">
      <alignment horizontal="left" vertical="center"/>
    </xf>
    <xf numFmtId="37" fontId="31" fillId="0" borderId="0" xfId="3" applyFont="1" applyFill="1" applyAlignment="1" applyProtection="1">
      <alignment vertical="center"/>
      <protection locked="0"/>
    </xf>
    <xf numFmtId="37" fontId="19" fillId="0" borderId="0" xfId="3" applyFont="1" applyFill="1" applyAlignment="1" applyProtection="1">
      <alignment horizontal="center" vertical="center"/>
      <protection locked="0"/>
    </xf>
    <xf numFmtId="37" fontId="30" fillId="0" borderId="0" xfId="3" applyFont="1" applyFill="1" applyAlignment="1" applyProtection="1">
      <alignment vertical="center"/>
      <protection locked="0"/>
    </xf>
    <xf numFmtId="14" fontId="30" fillId="0" borderId="0" xfId="3" applyNumberFormat="1" applyFont="1" applyFill="1" applyAlignment="1" applyProtection="1">
      <alignment horizontal="left" vertical="center"/>
    </xf>
    <xf numFmtId="37" fontId="112" fillId="0" borderId="0" xfId="3" quotePrefix="1" applyFont="1" applyAlignment="1" applyProtection="1">
      <alignment horizontal="center" vertical="center"/>
      <protection locked="0"/>
    </xf>
    <xf numFmtId="37" fontId="115" fillId="16" borderId="18" xfId="3" applyNumberFormat="1" applyFont="1" applyFill="1" applyBorder="1" applyAlignment="1" applyProtection="1">
      <alignment vertical="center"/>
      <protection locked="0"/>
    </xf>
    <xf numFmtId="37" fontId="20" fillId="16" borderId="47" xfId="3" applyNumberFormat="1" applyFont="1" applyFill="1" applyBorder="1" applyAlignment="1" applyProtection="1">
      <alignment horizontal="center" vertical="center"/>
    </xf>
    <xf numFmtId="3" fontId="30" fillId="0" borderId="146" xfId="3" applyNumberFormat="1" applyFont="1" applyFill="1" applyBorder="1" applyAlignment="1" applyProtection="1">
      <alignment horizontal="left" vertical="center"/>
    </xf>
    <xf numFmtId="37" fontId="99" fillId="0" borderId="99" xfId="3" applyNumberFormat="1" applyFont="1" applyFill="1" applyBorder="1" applyAlignment="1" applyProtection="1">
      <alignment horizontal="left" vertical="center"/>
    </xf>
    <xf numFmtId="37" fontId="116" fillId="0" borderId="125" xfId="3" applyNumberFormat="1" applyFont="1" applyFill="1" applyBorder="1" applyAlignment="1" applyProtection="1">
      <alignment vertical="center"/>
      <protection locked="0"/>
    </xf>
    <xf numFmtId="37" fontId="99" fillId="0" borderId="73" xfId="3" applyNumberFormat="1" applyFont="1" applyFill="1" applyBorder="1" applyAlignment="1" applyProtection="1">
      <alignment vertical="center"/>
    </xf>
    <xf numFmtId="37" fontId="99" fillId="0" borderId="73" xfId="3" applyNumberFormat="1" applyFont="1" applyFill="1" applyBorder="1" applyAlignment="1" applyProtection="1">
      <alignment horizontal="right" vertical="center"/>
    </xf>
    <xf numFmtId="3" fontId="30" fillId="0" borderId="76" xfId="3" applyNumberFormat="1" applyFont="1" applyFill="1" applyBorder="1" applyAlignment="1" applyProtection="1">
      <alignment horizontal="left" vertical="center"/>
    </xf>
    <xf numFmtId="37" fontId="116" fillId="0" borderId="79" xfId="3" applyNumberFormat="1" applyFont="1" applyFill="1" applyBorder="1" applyAlignment="1" applyProtection="1">
      <alignment vertical="center"/>
      <protection locked="0"/>
    </xf>
    <xf numFmtId="37" fontId="101" fillId="0" borderId="496" xfId="3" applyFont="1" applyFill="1" applyBorder="1" applyAlignment="1" applyProtection="1">
      <alignment vertical="center"/>
    </xf>
    <xf numFmtId="37" fontId="101" fillId="0" borderId="0" xfId="3" applyFont="1" applyFill="1" applyAlignment="1" applyProtection="1">
      <alignment horizontal="left" vertical="center"/>
    </xf>
    <xf numFmtId="37" fontId="102" fillId="17" borderId="22" xfId="3" applyNumberFormat="1" applyFont="1" applyFill="1" applyBorder="1" applyAlignment="1" applyProtection="1">
      <alignment horizontal="center" vertical="center"/>
    </xf>
    <xf numFmtId="37" fontId="117" fillId="17" borderId="77" xfId="3" applyNumberFormat="1" applyFont="1" applyFill="1" applyBorder="1" applyAlignment="1" applyProtection="1">
      <alignment vertical="center"/>
      <protection locked="0"/>
    </xf>
    <xf numFmtId="37" fontId="102" fillId="17" borderId="78" xfId="3" applyNumberFormat="1" applyFont="1" applyFill="1" applyBorder="1" applyAlignment="1" applyProtection="1">
      <alignment vertical="center"/>
    </xf>
    <xf numFmtId="37" fontId="101" fillId="0" borderId="0" xfId="3" applyFont="1" applyFill="1" applyAlignment="1" applyProtection="1">
      <alignment horizontal="center" vertical="center"/>
      <protection locked="0"/>
    </xf>
    <xf numFmtId="0" fontId="103" fillId="0" borderId="0" xfId="15" applyFont="1" applyFill="1" applyAlignment="1" applyProtection="1">
      <alignment vertical="center"/>
      <protection locked="0"/>
    </xf>
    <xf numFmtId="37" fontId="102" fillId="17" borderId="78" xfId="3" applyNumberFormat="1" applyFont="1" applyFill="1" applyBorder="1" applyAlignment="1" applyProtection="1">
      <alignment horizontal="right" vertical="center"/>
    </xf>
    <xf numFmtId="37" fontId="101" fillId="0" borderId="497" xfId="3" applyFont="1" applyFill="1" applyBorder="1" applyAlignment="1" applyProtection="1">
      <alignment vertical="center"/>
      <protection locked="0"/>
    </xf>
    <xf numFmtId="37" fontId="99" fillId="0" borderId="79" xfId="3" applyNumberFormat="1" applyFont="1" applyFill="1" applyBorder="1" applyAlignment="1" applyProtection="1">
      <alignment vertical="center"/>
      <protection locked="0"/>
    </xf>
    <xf numFmtId="37" fontId="99" fillId="0" borderId="496" xfId="3" applyFont="1" applyFill="1" applyBorder="1" applyAlignment="1" applyProtection="1">
      <alignment vertical="center"/>
    </xf>
    <xf numFmtId="37" fontId="99" fillId="0" borderId="89" xfId="3" applyNumberFormat="1" applyFont="1" applyFill="1" applyBorder="1" applyAlignment="1" applyProtection="1">
      <alignment horizontal="left" vertical="center"/>
    </xf>
    <xf numFmtId="37" fontId="99" fillId="0" borderId="0" xfId="3" applyFont="1" applyFill="1" applyAlignment="1" applyProtection="1">
      <alignment horizontal="center" vertical="center"/>
      <protection locked="0"/>
    </xf>
    <xf numFmtId="37" fontId="99" fillId="0" borderId="0" xfId="15" applyNumberFormat="1" applyFont="1" applyFill="1" applyAlignment="1" applyProtection="1">
      <alignment vertical="center"/>
      <protection locked="0"/>
    </xf>
    <xf numFmtId="37" fontId="99" fillId="0" borderId="497" xfId="3" applyFont="1" applyFill="1" applyBorder="1" applyAlignment="1" applyProtection="1">
      <alignment vertical="center"/>
      <protection locked="0"/>
    </xf>
    <xf numFmtId="37" fontId="100" fillId="0" borderId="0" xfId="3" applyFont="1" applyFill="1" applyAlignment="1" applyProtection="1">
      <alignment horizontal="left" vertical="center"/>
    </xf>
    <xf numFmtId="37" fontId="100" fillId="16" borderId="89" xfId="3" applyNumberFormat="1" applyFont="1" applyFill="1" applyBorder="1" applyAlignment="1" applyProtection="1">
      <alignment horizontal="left" vertical="center"/>
    </xf>
    <xf numFmtId="37" fontId="100" fillId="16" borderId="79" xfId="3" applyFont="1" applyFill="1" applyBorder="1" applyAlignment="1" applyProtection="1">
      <alignment vertical="center"/>
      <protection locked="0"/>
    </xf>
    <xf numFmtId="37" fontId="100" fillId="16" borderId="74" xfId="3" applyNumberFormat="1" applyFont="1" applyFill="1" applyBorder="1" applyAlignment="1" applyProtection="1">
      <alignment horizontal="right" vertical="center"/>
    </xf>
    <xf numFmtId="0" fontId="99" fillId="0" borderId="0" xfId="15" applyFont="1" applyFill="1" applyAlignment="1" applyProtection="1">
      <alignment vertical="center"/>
      <protection locked="0"/>
    </xf>
    <xf numFmtId="3" fontId="30" fillId="0" borderId="74" xfId="3" applyNumberFormat="1" applyFont="1" applyFill="1" applyBorder="1" applyAlignment="1" applyProtection="1">
      <alignment horizontal="left" vertical="center"/>
    </xf>
    <xf numFmtId="37" fontId="106" fillId="0" borderId="496" xfId="3" applyFont="1" applyFill="1" applyBorder="1" applyAlignment="1" applyProtection="1">
      <alignment vertical="center"/>
    </xf>
    <xf numFmtId="3" fontId="30" fillId="0" borderId="74" xfId="3" quotePrefix="1" applyNumberFormat="1" applyFont="1" applyFill="1" applyBorder="1" applyAlignment="1" applyProtection="1">
      <alignment horizontal="left" vertical="center"/>
    </xf>
    <xf numFmtId="37" fontId="106" fillId="0" borderId="0" xfId="3" applyFont="1" applyFill="1" applyAlignment="1" applyProtection="1">
      <alignment horizontal="center" vertical="center"/>
      <protection locked="0"/>
    </xf>
    <xf numFmtId="37" fontId="105" fillId="0" borderId="0" xfId="15" applyNumberFormat="1" applyFont="1" applyFill="1" applyAlignment="1" applyProtection="1">
      <alignment vertical="center"/>
      <protection locked="0"/>
    </xf>
    <xf numFmtId="37" fontId="106" fillId="0" borderId="497" xfId="3" applyFont="1" applyFill="1" applyBorder="1" applyAlignment="1" applyProtection="1">
      <alignment vertical="center"/>
      <protection locked="0"/>
    </xf>
    <xf numFmtId="0" fontId="105" fillId="0" borderId="0" xfId="15" applyFont="1" applyFill="1" applyAlignment="1" applyProtection="1">
      <alignment vertical="center"/>
      <protection locked="0"/>
    </xf>
    <xf numFmtId="37" fontId="107" fillId="0" borderId="74" xfId="1" applyNumberFormat="1" applyFont="1" applyFill="1" applyBorder="1" applyAlignment="1" applyProtection="1">
      <alignment vertical="center"/>
    </xf>
    <xf numFmtId="37" fontId="103" fillId="0" borderId="0" xfId="15" applyNumberFormat="1" applyFont="1" applyFill="1" applyAlignment="1" applyProtection="1">
      <alignment vertical="center"/>
      <protection locked="0"/>
    </xf>
    <xf numFmtId="37" fontId="108" fillId="0" borderId="0" xfId="3" applyFont="1" applyFill="1" applyAlignment="1" applyProtection="1">
      <alignment horizontal="left" vertical="center"/>
    </xf>
    <xf numFmtId="37" fontId="100" fillId="16" borderId="74" xfId="1" applyNumberFormat="1" applyFont="1" applyFill="1" applyBorder="1" applyAlignment="1" applyProtection="1">
      <alignment vertical="center"/>
    </xf>
    <xf numFmtId="37" fontId="100" fillId="16" borderId="74" xfId="3" applyNumberFormat="1" applyFont="1" applyFill="1" applyBorder="1" applyAlignment="1" applyProtection="1">
      <alignment vertical="center"/>
    </xf>
    <xf numFmtId="37" fontId="108" fillId="0" borderId="0" xfId="3" applyFont="1" applyFill="1" applyAlignment="1" applyProtection="1">
      <alignment horizontal="center" vertical="center"/>
      <protection locked="0"/>
    </xf>
    <xf numFmtId="0" fontId="109" fillId="0" borderId="0" xfId="15" applyFont="1" applyFill="1" applyAlignment="1" applyProtection="1">
      <alignment vertical="center"/>
      <protection locked="0"/>
    </xf>
    <xf numFmtId="37" fontId="100" fillId="18" borderId="89" xfId="3" applyNumberFormat="1" applyFont="1" applyFill="1" applyBorder="1" applyAlignment="1" applyProtection="1">
      <alignment horizontal="left" vertical="center"/>
    </xf>
    <xf numFmtId="37" fontId="99" fillId="18" borderId="79" xfId="3" applyFont="1" applyFill="1" applyBorder="1" applyAlignment="1" applyProtection="1">
      <alignment vertical="center"/>
      <protection locked="0"/>
    </xf>
    <xf numFmtId="37" fontId="100" fillId="18" borderId="74" xfId="3" applyNumberFormat="1" applyFont="1" applyFill="1" applyBorder="1" applyAlignment="1" applyProtection="1">
      <alignment vertical="center"/>
    </xf>
    <xf numFmtId="37" fontId="100" fillId="18" borderId="74" xfId="3" applyNumberFormat="1" applyFont="1" applyFill="1" applyBorder="1" applyAlignment="1" applyProtection="1">
      <alignment horizontal="right" vertical="center"/>
    </xf>
    <xf numFmtId="3" fontId="30" fillId="0" borderId="146" xfId="3" quotePrefix="1" applyNumberFormat="1" applyFont="1" applyFill="1" applyBorder="1" applyAlignment="1" applyProtection="1">
      <alignment horizontal="left" vertical="center"/>
    </xf>
    <xf numFmtId="37" fontId="99" fillId="0" borderId="74" xfId="3" applyFont="1" applyFill="1" applyBorder="1" applyAlignment="1" applyProtection="1">
      <alignment vertical="center"/>
    </xf>
    <xf numFmtId="37" fontId="104" fillId="0" borderId="74" xfId="15" applyNumberFormat="1" applyFont="1" applyFill="1" applyBorder="1" applyAlignment="1" applyProtection="1">
      <alignment horizontal="right" vertical="center"/>
    </xf>
    <xf numFmtId="37" fontId="107" fillId="0" borderId="496" xfId="3" applyFont="1" applyFill="1" applyBorder="1" applyAlignment="1" applyProtection="1">
      <alignment vertical="center"/>
    </xf>
    <xf numFmtId="37" fontId="107" fillId="0" borderId="0" xfId="3" applyFont="1" applyFill="1" applyAlignment="1" applyProtection="1">
      <alignment horizontal="center" vertical="center"/>
      <protection locked="0"/>
    </xf>
    <xf numFmtId="0" fontId="107" fillId="0" borderId="0" xfId="15" applyFont="1" applyFill="1" applyAlignment="1" applyProtection="1">
      <alignment vertical="center"/>
      <protection locked="0"/>
    </xf>
    <xf numFmtId="37" fontId="107" fillId="0" borderId="497" xfId="3" applyFont="1" applyFill="1" applyBorder="1" applyAlignment="1" applyProtection="1">
      <alignment vertical="center"/>
      <protection locked="0"/>
    </xf>
    <xf numFmtId="37" fontId="110" fillId="0" borderId="0" xfId="3" applyFont="1" applyFill="1" applyAlignment="1" applyProtection="1">
      <alignment horizontal="left" vertical="center"/>
    </xf>
    <xf numFmtId="37" fontId="100" fillId="18" borderId="79" xfId="3" applyFont="1" applyFill="1" applyBorder="1" applyAlignment="1" applyProtection="1">
      <alignment vertical="center"/>
      <protection locked="0"/>
    </xf>
    <xf numFmtId="37" fontId="110" fillId="0" borderId="0" xfId="3" applyFont="1" applyFill="1" applyAlignment="1" applyProtection="1">
      <alignment horizontal="center" vertical="center"/>
      <protection locked="0"/>
    </xf>
    <xf numFmtId="0" fontId="110" fillId="0" borderId="0" xfId="15" applyFont="1" applyFill="1" applyAlignment="1" applyProtection="1">
      <alignment vertical="center"/>
      <protection locked="0"/>
    </xf>
    <xf numFmtId="3" fontId="30" fillId="0" borderId="73" xfId="3" quotePrefix="1" applyNumberFormat="1" applyFont="1" applyFill="1" applyBorder="1" applyAlignment="1" applyProtection="1">
      <alignment horizontal="left" vertical="center"/>
    </xf>
    <xf numFmtId="49" fontId="107" fillId="0" borderId="89" xfId="3" quotePrefix="1" applyNumberFormat="1" applyFont="1" applyFill="1" applyBorder="1" applyAlignment="1" applyProtection="1">
      <alignment horizontal="left" vertical="center"/>
    </xf>
    <xf numFmtId="37" fontId="107" fillId="0" borderId="79" xfId="3" applyNumberFormat="1" applyFont="1" applyFill="1" applyBorder="1" applyAlignment="1" applyProtection="1">
      <alignment vertical="center"/>
      <protection locked="0"/>
    </xf>
    <xf numFmtId="37" fontId="31" fillId="0" borderId="19" xfId="3" applyFont="1" applyFill="1" applyBorder="1" applyAlignment="1" applyProtection="1">
      <alignment horizontal="left" vertical="center"/>
    </xf>
    <xf numFmtId="37" fontId="99" fillId="16" borderId="79" xfId="3" applyFont="1" applyFill="1" applyBorder="1" applyAlignment="1" applyProtection="1">
      <alignment vertical="center"/>
      <protection locked="0"/>
    </xf>
    <xf numFmtId="37" fontId="99" fillId="21" borderId="74" xfId="3" applyNumberFormat="1" applyFont="1" applyFill="1" applyBorder="1" applyAlignment="1" applyProtection="1">
      <alignment vertical="center"/>
    </xf>
    <xf numFmtId="37" fontId="104" fillId="0" borderId="496" xfId="3" applyFont="1" applyFill="1" applyBorder="1" applyAlignment="1" applyProtection="1">
      <alignment vertical="center"/>
    </xf>
    <xf numFmtId="37" fontId="104" fillId="0" borderId="0" xfId="3" applyFont="1" applyFill="1" applyAlignment="1" applyProtection="1">
      <alignment horizontal="center" vertical="center"/>
      <protection locked="0"/>
    </xf>
    <xf numFmtId="0" fontId="104" fillId="0" borderId="0" xfId="15" applyFont="1" applyFill="1" applyAlignment="1" applyProtection="1">
      <alignment vertical="center"/>
      <protection locked="0"/>
    </xf>
    <xf numFmtId="37" fontId="104" fillId="0" borderId="497" xfId="3" applyFont="1" applyFill="1" applyBorder="1" applyAlignment="1" applyProtection="1">
      <alignment vertical="center"/>
      <protection locked="0"/>
    </xf>
    <xf numFmtId="37" fontId="106" fillId="13" borderId="0" xfId="3" applyFont="1" applyFill="1" applyAlignment="1" applyProtection="1">
      <alignment vertical="center"/>
      <protection locked="0"/>
    </xf>
    <xf numFmtId="37" fontId="31" fillId="0" borderId="18" xfId="3" applyFont="1" applyFill="1" applyBorder="1" applyAlignment="1" applyProtection="1">
      <alignment horizontal="left" vertical="center"/>
    </xf>
    <xf numFmtId="37" fontId="100" fillId="15" borderId="89" xfId="3" applyNumberFormat="1" applyFont="1" applyFill="1" applyBorder="1" applyAlignment="1" applyProtection="1">
      <alignment horizontal="left" vertical="center"/>
    </xf>
    <xf numFmtId="37" fontId="100" fillId="15" borderId="79" xfId="3" applyFont="1" applyFill="1" applyBorder="1" applyAlignment="1" applyProtection="1">
      <alignment vertical="center"/>
      <protection locked="0"/>
    </xf>
    <xf numFmtId="37" fontId="100" fillId="15" borderId="74" xfId="3" applyNumberFormat="1" applyFont="1" applyFill="1" applyBorder="1" applyAlignment="1" applyProtection="1">
      <alignment vertical="center"/>
    </xf>
    <xf numFmtId="37" fontId="100" fillId="15" borderId="74" xfId="3" applyNumberFormat="1" applyFont="1" applyFill="1" applyBorder="1" applyAlignment="1" applyProtection="1">
      <alignment horizontal="right" vertical="center"/>
    </xf>
    <xf numFmtId="37" fontId="106" fillId="13" borderId="496" xfId="3" applyFont="1" applyFill="1" applyBorder="1" applyAlignment="1" applyProtection="1">
      <alignment vertical="center"/>
    </xf>
    <xf numFmtId="3" fontId="30" fillId="13" borderId="74" xfId="3" quotePrefix="1" applyNumberFormat="1" applyFont="1" applyFill="1" applyBorder="1" applyAlignment="1" applyProtection="1">
      <alignment horizontal="left" vertical="center"/>
    </xf>
    <xf numFmtId="49" fontId="104" fillId="13" borderId="89" xfId="3" quotePrefix="1" applyNumberFormat="1" applyFont="1" applyFill="1" applyBorder="1" applyAlignment="1" applyProtection="1">
      <alignment horizontal="left" vertical="center"/>
    </xf>
    <xf numFmtId="37" fontId="118" fillId="13" borderId="79" xfId="3" applyNumberFormat="1" applyFont="1" applyFill="1" applyBorder="1" applyAlignment="1" applyProtection="1">
      <alignment vertical="center"/>
      <protection locked="0"/>
    </xf>
    <xf numFmtId="37" fontId="104" fillId="13" borderId="74" xfId="3" applyNumberFormat="1" applyFont="1" applyFill="1" applyBorder="1" applyAlignment="1" applyProtection="1">
      <alignment vertical="center"/>
    </xf>
    <xf numFmtId="37" fontId="106" fillId="13" borderId="0" xfId="3" applyFont="1" applyFill="1" applyAlignment="1" applyProtection="1">
      <alignment horizontal="center" vertical="center"/>
      <protection locked="0"/>
    </xf>
    <xf numFmtId="0" fontId="105" fillId="13" borderId="0" xfId="15" applyFont="1" applyFill="1" applyAlignment="1" applyProtection="1">
      <alignment vertical="center"/>
      <protection locked="0"/>
    </xf>
    <xf numFmtId="37" fontId="104" fillId="13" borderId="74" xfId="3" applyNumberFormat="1" applyFont="1" applyFill="1" applyBorder="1" applyAlignment="1" applyProtection="1">
      <alignment horizontal="right" vertical="center"/>
    </xf>
    <xf numFmtId="37" fontId="106" fillId="13" borderId="497" xfId="3" applyFont="1" applyFill="1" applyBorder="1" applyAlignment="1" applyProtection="1">
      <alignment vertical="center"/>
      <protection locked="0"/>
    </xf>
    <xf numFmtId="0" fontId="16" fillId="2" borderId="0" xfId="15" applyNumberFormat="1" applyFont="1" applyFill="1" applyProtection="1">
      <protection locked="0"/>
    </xf>
    <xf numFmtId="0" fontId="15" fillId="2" borderId="0" xfId="15" applyNumberFormat="1" applyFont="1" applyFill="1" applyProtection="1">
      <protection locked="0"/>
    </xf>
    <xf numFmtId="37" fontId="119" fillId="0" borderId="79" xfId="3" applyNumberFormat="1" applyFont="1" applyFill="1" applyBorder="1" applyAlignment="1" applyProtection="1">
      <alignment vertical="center"/>
      <protection locked="0"/>
    </xf>
    <xf numFmtId="49" fontId="100" fillId="16" borderId="89" xfId="3" applyNumberFormat="1" applyFont="1" applyFill="1" applyBorder="1" applyAlignment="1" applyProtection="1">
      <alignment horizontal="left" vertical="center"/>
    </xf>
    <xf numFmtId="37" fontId="32" fillId="16" borderId="79" xfId="3" applyNumberFormat="1" applyFont="1" applyFill="1" applyBorder="1" applyAlignment="1" applyProtection="1">
      <alignment vertical="center"/>
      <protection locked="0"/>
    </xf>
    <xf numFmtId="37" fontId="29" fillId="0" borderId="116" xfId="3" applyNumberFormat="1" applyFont="1" applyFill="1" applyBorder="1" applyAlignment="1" applyProtection="1">
      <alignment horizontal="left" vertical="center"/>
    </xf>
    <xf numFmtId="37" fontId="26" fillId="0" borderId="75" xfId="3" applyNumberFormat="1" applyFont="1" applyFill="1" applyBorder="1" applyAlignment="1" applyProtection="1">
      <alignment vertical="center"/>
      <protection locked="0"/>
    </xf>
    <xf numFmtId="37" fontId="29" fillId="0" borderId="76" xfId="3" applyNumberFormat="1" applyFont="1" applyFill="1" applyBorder="1" applyAlignment="1" applyProtection="1">
      <alignment vertical="center"/>
    </xf>
    <xf numFmtId="37" fontId="29" fillId="0" borderId="76" xfId="3" applyNumberFormat="1" applyFont="1" applyFill="1" applyBorder="1" applyAlignment="1" applyProtection="1">
      <alignment horizontal="right" vertical="center"/>
    </xf>
    <xf numFmtId="0" fontId="28" fillId="0" borderId="496" xfId="15" applyFont="1" applyFill="1" applyBorder="1" applyAlignment="1" applyProtection="1">
      <alignment vertical="center"/>
    </xf>
    <xf numFmtId="0" fontId="30" fillId="0" borderId="0" xfId="15" applyFont="1" applyFill="1" applyAlignment="1" applyProtection="1">
      <alignment horizontal="left" vertical="center"/>
    </xf>
    <xf numFmtId="37" fontId="30" fillId="0" borderId="0" xfId="15" quotePrefix="1" applyNumberFormat="1" applyFont="1" applyFill="1" applyAlignment="1" applyProtection="1"/>
    <xf numFmtId="37" fontId="28" fillId="0" borderId="0" xfId="15" applyNumberFormat="1" applyFont="1" applyFill="1" applyAlignment="1" applyProtection="1">
      <alignment vertical="center"/>
      <protection locked="0"/>
    </xf>
    <xf numFmtId="0" fontId="28" fillId="0" borderId="0" xfId="15" applyFont="1" applyFill="1" applyAlignment="1" applyProtection="1">
      <alignment horizontal="center" vertical="center"/>
      <protection locked="0"/>
    </xf>
    <xf numFmtId="0" fontId="28" fillId="0" borderId="497" xfId="15" applyFont="1" applyFill="1" applyBorder="1" applyAlignment="1" applyProtection="1">
      <alignment vertical="center"/>
      <protection locked="0"/>
    </xf>
    <xf numFmtId="37" fontId="19" fillId="0" borderId="505" xfId="3" applyFont="1" applyFill="1" applyBorder="1" applyAlignment="1" applyProtection="1">
      <alignment vertical="center"/>
    </xf>
    <xf numFmtId="37" fontId="19" fillId="0" borderId="506" xfId="3" applyFont="1" applyFill="1" applyBorder="1" applyAlignment="1" applyProtection="1">
      <alignment vertical="center"/>
    </xf>
    <xf numFmtId="37" fontId="19" fillId="0" borderId="507" xfId="3" applyFont="1" applyFill="1" applyBorder="1" applyAlignment="1" applyProtection="1">
      <alignment vertical="center"/>
    </xf>
    <xf numFmtId="37" fontId="30" fillId="0" borderId="0" xfId="15" quotePrefix="1" applyNumberFormat="1" applyFont="1" applyFill="1" applyAlignment="1" applyProtection="1">
      <alignment vertical="center"/>
    </xf>
    <xf numFmtId="37" fontId="19" fillId="0" borderId="508" xfId="3" applyFont="1" applyFill="1" applyBorder="1" applyAlignment="1" applyProtection="1">
      <alignment vertical="center"/>
    </xf>
    <xf numFmtId="37" fontId="16" fillId="2" borderId="0" xfId="3" applyFont="1" applyFill="1" applyBorder="1" applyAlignment="1" applyProtection="1">
      <alignment horizontal="right" vertical="center"/>
    </xf>
    <xf numFmtId="37" fontId="20" fillId="2" borderId="0" xfId="3" applyFont="1" applyFill="1" applyBorder="1" applyAlignment="1" applyProtection="1">
      <alignment vertical="center"/>
    </xf>
    <xf numFmtId="37" fontId="19" fillId="2" borderId="0" xfId="3" applyFont="1" applyFill="1" applyBorder="1" applyAlignment="1" applyProtection="1">
      <alignment vertical="center"/>
    </xf>
    <xf numFmtId="37" fontId="19" fillId="0" borderId="509" xfId="3" applyFont="1" applyFill="1" applyBorder="1" applyAlignment="1" applyProtection="1">
      <alignment vertical="center"/>
    </xf>
    <xf numFmtId="37" fontId="31" fillId="0" borderId="0" xfId="3" applyFont="1" applyFill="1" applyAlignment="1" applyProtection="1">
      <alignment horizontal="left" vertical="center"/>
      <protection locked="0"/>
    </xf>
    <xf numFmtId="0" fontId="133" fillId="2" borderId="0" xfId="17" applyNumberFormat="1" applyFont="1" applyFill="1" applyBorder="1" applyAlignment="1" applyProtection="1">
      <alignment horizontal="centerContinuous" vertical="center" wrapText="1"/>
    </xf>
    <xf numFmtId="189" fontId="133" fillId="0" borderId="0" xfId="17" applyFont="1" applyFill="1" applyBorder="1" applyAlignment="1" applyProtection="1">
      <alignment horizontal="centerContinuous" vertical="center" wrapText="1"/>
    </xf>
    <xf numFmtId="37" fontId="17" fillId="0" borderId="0" xfId="3" applyFont="1" applyFill="1" applyBorder="1" applyAlignment="1" applyProtection="1">
      <alignment horizontal="centerContinuous" vertical="center" wrapText="1"/>
    </xf>
    <xf numFmtId="37" fontId="19" fillId="0" borderId="311" xfId="3" applyFont="1" applyFill="1" applyBorder="1" applyAlignment="1" applyProtection="1">
      <alignment vertical="center"/>
    </xf>
    <xf numFmtId="37" fontId="19" fillId="0" borderId="510" xfId="3" applyFont="1" applyFill="1" applyBorder="1" applyAlignment="1" applyProtection="1">
      <alignment vertical="center"/>
    </xf>
    <xf numFmtId="37" fontId="31" fillId="0" borderId="149" xfId="3" applyFont="1" applyFill="1" applyBorder="1" applyAlignment="1" applyProtection="1">
      <alignment horizontal="left" vertical="center"/>
    </xf>
    <xf numFmtId="37" fontId="19" fillId="0" borderId="149" xfId="3" applyFont="1" applyFill="1" applyBorder="1" applyAlignment="1" applyProtection="1">
      <alignment vertical="center"/>
    </xf>
    <xf numFmtId="37" fontId="22" fillId="0" borderId="149" xfId="3" applyFont="1" applyFill="1" applyBorder="1" applyAlignment="1" applyProtection="1">
      <alignment vertical="center"/>
      <protection locked="0"/>
    </xf>
    <xf numFmtId="37" fontId="19" fillId="0" borderId="149" xfId="3" applyFont="1" applyFill="1" applyBorder="1" applyAlignment="1" applyProtection="1">
      <alignment vertical="center"/>
      <protection locked="0"/>
    </xf>
    <xf numFmtId="37" fontId="19" fillId="0" borderId="149" xfId="3" applyFont="1" applyFill="1" applyBorder="1" applyAlignment="1" applyProtection="1">
      <alignment horizontal="center" vertical="center"/>
      <protection locked="0"/>
    </xf>
    <xf numFmtId="37" fontId="111" fillId="0" borderId="149" xfId="3" applyFont="1" applyFill="1" applyBorder="1" applyAlignment="1" applyProtection="1">
      <alignment vertical="center"/>
      <protection locked="0"/>
    </xf>
    <xf numFmtId="0" fontId="28" fillId="0" borderId="149" xfId="15" applyFont="1" applyFill="1" applyBorder="1" applyAlignment="1" applyProtection="1">
      <alignment vertical="center"/>
      <protection locked="0"/>
    </xf>
    <xf numFmtId="37" fontId="30" fillId="0" borderId="149" xfId="3" applyFont="1" applyFill="1" applyBorder="1" applyAlignment="1" applyProtection="1">
      <alignment horizontal="center" vertical="center"/>
      <protection locked="0"/>
    </xf>
    <xf numFmtId="37" fontId="19" fillId="0" borderId="511" xfId="3" applyFont="1" applyFill="1" applyBorder="1" applyAlignment="1" applyProtection="1">
      <alignment vertical="center"/>
      <protection locked="0"/>
    </xf>
    <xf numFmtId="189" fontId="133" fillId="0" borderId="512" xfId="17" applyFont="1" applyFill="1" applyBorder="1" applyAlignment="1" applyProtection="1">
      <alignment horizontal="center" vertical="center"/>
    </xf>
    <xf numFmtId="3" fontId="133" fillId="0" borderId="512" xfId="16" applyNumberFormat="1" applyFont="1" applyFill="1" applyBorder="1" applyAlignment="1" applyProtection="1">
      <alignment horizontal="centerContinuous" vertical="center"/>
    </xf>
    <xf numFmtId="0" fontId="134" fillId="0" borderId="512" xfId="0" applyFont="1" applyFill="1" applyBorder="1" applyAlignment="1" applyProtection="1">
      <alignment horizontal="centerContinuous" vertical="center"/>
    </xf>
    <xf numFmtId="3" fontId="133" fillId="0" borderId="513" xfId="16" applyNumberFormat="1" applyFont="1" applyFill="1" applyBorder="1" applyAlignment="1" applyProtection="1">
      <alignment horizontal="centerContinuous" vertical="center"/>
    </xf>
    <xf numFmtId="189" fontId="133" fillId="0" borderId="514" xfId="17" applyFont="1" applyFill="1" applyBorder="1" applyAlignment="1" applyProtection="1">
      <alignment vertical="center"/>
    </xf>
    <xf numFmtId="3" fontId="133" fillId="2" borderId="515" xfId="16" applyNumberFormat="1" applyFont="1" applyFill="1" applyBorder="1" applyAlignment="1" applyProtection="1">
      <alignment horizontal="center" vertical="center"/>
    </xf>
    <xf numFmtId="3" fontId="133" fillId="0" borderId="516" xfId="16" applyNumberFormat="1" applyFont="1" applyFill="1" applyBorder="1" applyAlignment="1" applyProtection="1">
      <alignment horizontal="center" vertical="center"/>
    </xf>
    <xf numFmtId="3" fontId="133" fillId="0" borderId="515" xfId="16" applyNumberFormat="1" applyFont="1" applyFill="1" applyBorder="1" applyAlignment="1" applyProtection="1">
      <alignment horizontal="center" vertical="center"/>
    </xf>
    <xf numFmtId="3" fontId="133" fillId="0" borderId="0" xfId="16" applyNumberFormat="1" applyFont="1" applyFill="1" applyBorder="1" applyAlignment="1" applyProtection="1">
      <alignment horizontal="center" vertical="center"/>
    </xf>
    <xf numFmtId="49" fontId="72" fillId="10" borderId="514" xfId="3" applyNumberFormat="1" applyFont="1" applyFill="1" applyBorder="1" applyAlignment="1" applyProtection="1">
      <alignment vertical="center"/>
    </xf>
    <xf numFmtId="3" fontId="133" fillId="10" borderId="515" xfId="3" applyNumberFormat="1" applyFont="1" applyFill="1" applyBorder="1" applyAlignment="1" applyProtection="1">
      <alignment horizontal="center" vertical="center"/>
    </xf>
    <xf numFmtId="9" fontId="14" fillId="10" borderId="516" xfId="3" applyNumberFormat="1" applyFont="1" applyFill="1" applyBorder="1" applyAlignment="1" applyProtection="1">
      <alignment horizontal="center" vertical="center"/>
    </xf>
    <xf numFmtId="9" fontId="14" fillId="10" borderId="0" xfId="3" applyNumberFormat="1" applyFont="1" applyFill="1" applyBorder="1" applyAlignment="1" applyProtection="1">
      <alignment horizontal="center" vertical="center"/>
    </xf>
    <xf numFmtId="3" fontId="133" fillId="10" borderId="0" xfId="3" applyNumberFormat="1" applyFont="1" applyFill="1" applyBorder="1" applyAlignment="1" applyProtection="1">
      <alignment horizontal="center" vertical="center"/>
    </xf>
    <xf numFmtId="49" fontId="135" fillId="0" borderId="514" xfId="3" applyNumberFormat="1" applyFont="1" applyFill="1" applyBorder="1" applyAlignment="1" applyProtection="1">
      <alignment vertical="center"/>
    </xf>
    <xf numFmtId="3" fontId="134" fillId="0" borderId="515" xfId="3" applyNumberFormat="1" applyFont="1" applyFill="1" applyBorder="1" applyAlignment="1" applyProtection="1">
      <alignment horizontal="center" vertical="center"/>
    </xf>
    <xf numFmtId="9" fontId="136" fillId="0" borderId="516" xfId="3" applyNumberFormat="1" applyFont="1" applyFill="1" applyBorder="1" applyAlignment="1" applyProtection="1">
      <alignment horizontal="center" vertical="center"/>
    </xf>
    <xf numFmtId="9" fontId="136" fillId="0" borderId="0" xfId="3" applyNumberFormat="1" applyFont="1" applyFill="1" applyBorder="1" applyAlignment="1" applyProtection="1">
      <alignment horizontal="center" vertical="center"/>
    </xf>
    <xf numFmtId="9" fontId="14" fillId="0" borderId="516" xfId="3" applyNumberFormat="1" applyFont="1" applyFill="1" applyBorder="1" applyAlignment="1" applyProtection="1">
      <alignment horizontal="center" vertical="center"/>
    </xf>
    <xf numFmtId="3" fontId="134" fillId="0" borderId="0" xfId="3" applyNumberFormat="1" applyFont="1" applyFill="1" applyBorder="1" applyAlignment="1" applyProtection="1">
      <alignment horizontal="center" vertical="center"/>
    </xf>
    <xf numFmtId="0" fontId="31" fillId="0" borderId="0" xfId="0" applyFont="1" applyFill="1" applyBorder="1" applyProtection="1">
      <protection locked="0"/>
    </xf>
    <xf numFmtId="37" fontId="31" fillId="0" borderId="47" xfId="0" applyNumberFormat="1" applyFont="1" applyFill="1" applyBorder="1" applyAlignment="1" applyProtection="1">
      <alignment horizontal="center"/>
      <protection locked="0"/>
    </xf>
    <xf numFmtId="37" fontId="19" fillId="0" borderId="47" xfId="0" applyNumberFormat="1" applyFont="1" applyFill="1" applyBorder="1" applyProtection="1">
      <protection locked="0"/>
    </xf>
    <xf numFmtId="37" fontId="19" fillId="0" borderId="18" xfId="3" applyFont="1" applyFill="1" applyBorder="1" applyAlignment="1" applyProtection="1">
      <alignment vertical="center"/>
      <protection locked="0"/>
    </xf>
    <xf numFmtId="37" fontId="0" fillId="0" borderId="47" xfId="0" applyNumberFormat="1" applyFill="1" applyBorder="1" applyProtection="1">
      <protection locked="0"/>
    </xf>
    <xf numFmtId="49" fontId="19" fillId="0" borderId="47" xfId="0" applyNumberFormat="1" applyFont="1" applyFill="1" applyBorder="1" applyProtection="1">
      <protection locked="0"/>
    </xf>
    <xf numFmtId="37" fontId="0" fillId="0" borderId="18" xfId="0" applyNumberFormat="1" applyFill="1" applyBorder="1" applyProtection="1">
      <protection locked="0"/>
    </xf>
    <xf numFmtId="49" fontId="137" fillId="0" borderId="316" xfId="3" applyNumberFormat="1" applyFont="1" applyFill="1" applyBorder="1" applyAlignment="1" applyProtection="1">
      <alignment vertical="center"/>
    </xf>
    <xf numFmtId="3" fontId="138" fillId="0" borderId="317" xfId="3" applyNumberFormat="1" applyFont="1" applyFill="1" applyBorder="1" applyAlignment="1" applyProtection="1">
      <alignment horizontal="center" vertical="center"/>
    </xf>
    <xf numFmtId="9" fontId="139" fillId="0" borderId="517" xfId="3" applyNumberFormat="1" applyFont="1" applyFill="1" applyBorder="1" applyAlignment="1" applyProtection="1">
      <alignment horizontal="center" vertical="center"/>
    </xf>
    <xf numFmtId="9" fontId="139" fillId="0" borderId="311" xfId="3" applyNumberFormat="1" applyFont="1" applyFill="1" applyBorder="1" applyAlignment="1" applyProtection="1">
      <alignment horizontal="center" vertical="center"/>
    </xf>
    <xf numFmtId="3" fontId="138" fillId="0" borderId="311" xfId="3" applyNumberFormat="1" applyFont="1" applyFill="1" applyBorder="1" applyAlignment="1" applyProtection="1">
      <alignment horizontal="center" vertical="center"/>
    </xf>
    <xf numFmtId="49" fontId="19" fillId="0" borderId="59" xfId="0" applyNumberFormat="1" applyFont="1" applyFill="1" applyBorder="1" applyProtection="1">
      <protection locked="0"/>
    </xf>
    <xf numFmtId="37" fontId="19" fillId="0" borderId="11" xfId="3" applyFont="1" applyFill="1" applyBorder="1" applyAlignment="1" applyProtection="1">
      <alignment vertical="center"/>
      <protection locked="0"/>
    </xf>
    <xf numFmtId="9" fontId="14" fillId="0" borderId="513" xfId="3" applyNumberFormat="1" applyFont="1" applyFill="1" applyBorder="1" applyAlignment="1" applyProtection="1">
      <alignment horizontal="center" vertical="center"/>
    </xf>
    <xf numFmtId="37" fontId="19" fillId="0" borderId="17" xfId="0" applyNumberFormat="1" applyFont="1" applyFill="1" applyBorder="1" applyProtection="1">
      <protection locked="0"/>
    </xf>
    <xf numFmtId="37" fontId="19" fillId="0" borderId="61" xfId="0" applyNumberFormat="1" applyFont="1" applyFill="1" applyBorder="1" applyProtection="1">
      <protection locked="0"/>
    </xf>
    <xf numFmtId="37" fontId="19" fillId="0" borderId="15" xfId="3" applyFont="1" applyFill="1" applyBorder="1" applyAlignment="1" applyProtection="1">
      <alignment vertical="center"/>
      <protection locked="0"/>
    </xf>
    <xf numFmtId="37" fontId="19" fillId="0" borderId="59" xfId="0" applyNumberFormat="1" applyFont="1" applyFill="1" applyBorder="1" applyProtection="1">
      <protection locked="0"/>
    </xf>
    <xf numFmtId="0" fontId="140" fillId="5" borderId="17" xfId="0" applyFont="1" applyFill="1" applyBorder="1" applyAlignment="1" applyProtection="1">
      <alignment horizontal="center" vertical="center"/>
      <protection locked="0"/>
    </xf>
    <xf numFmtId="37" fontId="19" fillId="5" borderId="19" xfId="3" applyFont="1" applyFill="1" applyBorder="1" applyAlignment="1" applyProtection="1">
      <alignment vertical="center"/>
      <protection locked="0"/>
    </xf>
    <xf numFmtId="37" fontId="19" fillId="5" borderId="18" xfId="3" applyFont="1" applyFill="1" applyBorder="1" applyAlignment="1" applyProtection="1">
      <alignment vertical="center"/>
      <protection locked="0"/>
    </xf>
    <xf numFmtId="37" fontId="140" fillId="5" borderId="18" xfId="0" applyNumberFormat="1" applyFont="1" applyFill="1" applyBorder="1" applyAlignment="1" applyProtection="1">
      <alignment horizontal="center" vertical="center"/>
      <protection locked="0"/>
    </xf>
    <xf numFmtId="37" fontId="140" fillId="5" borderId="47" xfId="0" applyNumberFormat="1" applyFont="1" applyFill="1" applyBorder="1" applyAlignment="1" applyProtection="1">
      <alignment horizontal="center" vertical="center"/>
      <protection locked="0"/>
    </xf>
    <xf numFmtId="49" fontId="72" fillId="10" borderId="316" xfId="3" applyNumberFormat="1" applyFont="1" applyFill="1" applyBorder="1" applyAlignment="1" applyProtection="1">
      <alignment vertical="center"/>
    </xf>
    <xf numFmtId="3" fontId="133" fillId="10" borderId="317" xfId="3" applyNumberFormat="1" applyFont="1" applyFill="1" applyBorder="1" applyAlignment="1" applyProtection="1">
      <alignment horizontal="center" vertical="center"/>
    </xf>
    <xf numFmtId="9" fontId="14" fillId="10" borderId="517" xfId="3" applyNumberFormat="1" applyFont="1" applyFill="1" applyBorder="1" applyAlignment="1" applyProtection="1">
      <alignment horizontal="center" vertical="center"/>
    </xf>
    <xf numFmtId="9" fontId="14" fillId="10" borderId="311" xfId="3" applyNumberFormat="1" applyFont="1" applyFill="1" applyBorder="1" applyAlignment="1" applyProtection="1">
      <alignment horizontal="center" vertical="center"/>
    </xf>
    <xf numFmtId="3" fontId="133" fillId="10" borderId="311" xfId="3" applyNumberFormat="1" applyFont="1" applyFill="1" applyBorder="1" applyAlignment="1" applyProtection="1">
      <alignment horizontal="center" vertical="center"/>
    </xf>
    <xf numFmtId="49" fontId="136" fillId="0" borderId="0" xfId="3" applyNumberFormat="1" applyFont="1" applyFill="1" applyBorder="1" applyAlignment="1" applyProtection="1">
      <alignment vertical="center"/>
    </xf>
    <xf numFmtId="37" fontId="134" fillId="0" borderId="0" xfId="3" applyFont="1" applyFill="1" applyBorder="1" applyAlignment="1" applyProtection="1">
      <alignment vertical="center"/>
    </xf>
    <xf numFmtId="37" fontId="134" fillId="0" borderId="518" xfId="3" applyFont="1" applyFill="1" applyBorder="1" applyAlignment="1" applyProtection="1">
      <alignment vertical="center"/>
    </xf>
    <xf numFmtId="37" fontId="134" fillId="0" borderId="516" xfId="3" applyFont="1" applyFill="1" applyBorder="1" applyAlignment="1" applyProtection="1">
      <alignment vertical="center"/>
    </xf>
    <xf numFmtId="0" fontId="0" fillId="0" borderId="0" xfId="0" applyFill="1" applyBorder="1" applyProtection="1">
      <protection locked="0"/>
    </xf>
    <xf numFmtId="37" fontId="134" fillId="0" borderId="0" xfId="3" applyFont="1" applyFill="1" applyBorder="1" applyAlignment="1" applyProtection="1">
      <alignment horizontal="centerContinuous" vertical="center" wrapText="1"/>
    </xf>
    <xf numFmtId="37" fontId="134" fillId="0" borderId="516" xfId="3" applyFont="1" applyFill="1" applyBorder="1" applyAlignment="1" applyProtection="1">
      <alignment horizontal="centerContinuous" vertical="center" wrapText="1"/>
    </xf>
    <xf numFmtId="189" fontId="14" fillId="0" borderId="512" xfId="17" applyFont="1" applyFill="1" applyBorder="1" applyAlignment="1" applyProtection="1">
      <alignment horizontal="center" vertical="center"/>
    </xf>
    <xf numFmtId="0" fontId="31" fillId="0" borderId="29" xfId="0" applyFont="1" applyFill="1" applyBorder="1" applyProtection="1">
      <protection locked="0"/>
    </xf>
    <xf numFmtId="0" fontId="0" fillId="0" borderId="29" xfId="0" applyBorder="1"/>
    <xf numFmtId="189" fontId="14" fillId="0" borderId="514" xfId="17" applyFont="1" applyFill="1" applyBorder="1" applyAlignment="1" applyProtection="1">
      <alignment vertical="center"/>
    </xf>
    <xf numFmtId="37" fontId="0" fillId="0" borderId="61" xfId="0" applyNumberFormat="1" applyFill="1" applyBorder="1" applyProtection="1">
      <protection locked="0"/>
    </xf>
    <xf numFmtId="37" fontId="31" fillId="13" borderId="0" xfId="3" applyFont="1" applyFill="1" applyAlignment="1" applyProtection="1">
      <alignment horizontal="left" vertical="center"/>
      <protection locked="0"/>
    </xf>
    <xf numFmtId="37" fontId="19" fillId="13" borderId="508" xfId="3" applyFont="1" applyFill="1" applyBorder="1" applyAlignment="1" applyProtection="1">
      <alignment vertical="center"/>
    </xf>
    <xf numFmtId="37" fontId="19" fillId="13" borderId="0" xfId="3" applyFont="1" applyFill="1" applyAlignment="1" applyProtection="1">
      <alignment vertical="center"/>
    </xf>
    <xf numFmtId="49" fontId="135" fillId="13" borderId="514" xfId="3" applyNumberFormat="1" applyFont="1" applyFill="1" applyBorder="1" applyAlignment="1" applyProtection="1">
      <alignment vertical="center"/>
    </xf>
    <xf numFmtId="3" fontId="134" fillId="13" borderId="515" xfId="3" applyNumberFormat="1" applyFont="1" applyFill="1" applyBorder="1" applyAlignment="1" applyProtection="1">
      <alignment horizontal="center" vertical="center"/>
    </xf>
    <xf numFmtId="9" fontId="136" fillId="13" borderId="516" xfId="3" applyNumberFormat="1" applyFont="1" applyFill="1" applyBorder="1" applyAlignment="1" applyProtection="1">
      <alignment horizontal="center" vertical="center"/>
    </xf>
    <xf numFmtId="3" fontId="134" fillId="13" borderId="0" xfId="3" applyNumberFormat="1" applyFont="1" applyFill="1" applyBorder="1" applyAlignment="1" applyProtection="1">
      <alignment horizontal="center" vertical="center"/>
    </xf>
    <xf numFmtId="9" fontId="136" fillId="13" borderId="0" xfId="3" applyNumberFormat="1" applyFont="1" applyFill="1" applyBorder="1" applyAlignment="1" applyProtection="1">
      <alignment horizontal="center" vertical="center"/>
    </xf>
    <xf numFmtId="9" fontId="14" fillId="13" borderId="516" xfId="3" applyNumberFormat="1" applyFont="1" applyFill="1" applyBorder="1" applyAlignment="1" applyProtection="1">
      <alignment horizontal="center" vertical="center"/>
    </xf>
    <xf numFmtId="37" fontId="19" fillId="13" borderId="509" xfId="3" applyFont="1" applyFill="1" applyBorder="1" applyAlignment="1" applyProtection="1">
      <alignment vertical="center"/>
    </xf>
    <xf numFmtId="37" fontId="19" fillId="13" borderId="0" xfId="3" applyFont="1" applyFill="1" applyAlignment="1" applyProtection="1">
      <alignment horizontal="center" vertical="center"/>
      <protection locked="0"/>
    </xf>
    <xf numFmtId="0" fontId="28" fillId="13" borderId="0" xfId="15" applyFont="1" applyFill="1" applyAlignment="1" applyProtection="1">
      <alignment vertical="center"/>
      <protection locked="0"/>
    </xf>
    <xf numFmtId="49" fontId="135" fillId="13" borderId="519" xfId="3" applyNumberFormat="1" applyFont="1" applyFill="1" applyBorder="1" applyAlignment="1" applyProtection="1">
      <alignment vertical="center"/>
    </xf>
    <xf numFmtId="3" fontId="134" fillId="13" borderId="520" xfId="3" applyNumberFormat="1" applyFont="1" applyFill="1" applyBorder="1" applyAlignment="1" applyProtection="1">
      <alignment horizontal="center" vertical="center"/>
    </xf>
    <xf numFmtId="9" fontId="136" fillId="13" borderId="521" xfId="3" applyNumberFormat="1" applyFont="1" applyFill="1" applyBorder="1" applyAlignment="1" applyProtection="1">
      <alignment horizontal="center" vertical="center"/>
    </xf>
    <xf numFmtId="3" fontId="134" fillId="13" borderId="522" xfId="3" applyNumberFormat="1" applyFont="1" applyFill="1" applyBorder="1" applyAlignment="1" applyProtection="1">
      <alignment horizontal="center" vertical="center"/>
    </xf>
    <xf numFmtId="9" fontId="136" fillId="13" borderId="522" xfId="3" applyNumberFormat="1" applyFont="1" applyFill="1" applyBorder="1" applyAlignment="1" applyProtection="1">
      <alignment horizontal="center" vertical="center"/>
    </xf>
    <xf numFmtId="9" fontId="14" fillId="0" borderId="523" xfId="3" applyNumberFormat="1" applyFont="1" applyFill="1" applyBorder="1" applyAlignment="1" applyProtection="1">
      <alignment horizontal="center" vertical="center"/>
    </xf>
    <xf numFmtId="3" fontId="133" fillId="0" borderId="524" xfId="16" applyNumberFormat="1" applyFont="1" applyFill="1" applyBorder="1" applyAlignment="1" applyProtection="1">
      <alignment horizontal="centerContinuous" vertical="center"/>
    </xf>
    <xf numFmtId="0" fontId="134" fillId="0" borderId="513" xfId="0" applyFont="1" applyFill="1" applyBorder="1" applyAlignment="1" applyProtection="1">
      <alignment horizontal="centerContinuous" vertical="center"/>
    </xf>
    <xf numFmtId="0" fontId="134" fillId="0" borderId="525" xfId="0" applyFont="1" applyFill="1" applyBorder="1" applyAlignment="1" applyProtection="1">
      <alignment horizontal="centerContinuous" vertical="center"/>
    </xf>
    <xf numFmtId="3" fontId="133" fillId="0" borderId="518" xfId="16" applyNumberFormat="1" applyFont="1" applyFill="1" applyBorder="1" applyAlignment="1" applyProtection="1">
      <alignment horizontal="centerContinuous" vertical="center"/>
    </xf>
    <xf numFmtId="193" fontId="133" fillId="0" borderId="515" xfId="16" applyNumberFormat="1" applyFont="1" applyFill="1" applyBorder="1" applyAlignment="1" applyProtection="1">
      <alignment horizontal="centerContinuous" vertical="center"/>
    </xf>
    <xf numFmtId="193" fontId="133" fillId="0" borderId="516" xfId="16" applyNumberFormat="1" applyFont="1" applyFill="1" applyBorder="1" applyAlignment="1" applyProtection="1">
      <alignment horizontal="centerContinuous" vertical="center"/>
    </xf>
    <xf numFmtId="193" fontId="133" fillId="0" borderId="0" xfId="16" applyNumberFormat="1" applyFont="1" applyFill="1" applyBorder="1" applyAlignment="1" applyProtection="1">
      <alignment horizontal="centerContinuous" vertical="center"/>
    </xf>
    <xf numFmtId="167" fontId="133" fillId="0" borderId="515" xfId="16" applyNumberFormat="1" applyFont="1" applyFill="1" applyBorder="1" applyAlignment="1" applyProtection="1">
      <alignment horizontal="centerContinuous" vertical="center"/>
    </xf>
    <xf numFmtId="167" fontId="133" fillId="0" borderId="516" xfId="16" applyNumberFormat="1" applyFont="1" applyFill="1" applyBorder="1" applyAlignment="1" applyProtection="1">
      <alignment horizontal="centerContinuous" vertical="center"/>
    </xf>
    <xf numFmtId="167" fontId="133" fillId="0" borderId="0" xfId="16" applyNumberFormat="1" applyFont="1" applyFill="1" applyBorder="1" applyAlignment="1" applyProtection="1">
      <alignment horizontal="centerContinuous" vertical="center"/>
    </xf>
    <xf numFmtId="3" fontId="133" fillId="0" borderId="515" xfId="16" applyNumberFormat="1" applyFont="1" applyFill="1" applyBorder="1" applyAlignment="1" applyProtection="1">
      <alignment horizontal="centerContinuous" vertical="center"/>
    </xf>
    <xf numFmtId="3" fontId="133" fillId="0" borderId="516" xfId="16" applyNumberFormat="1" applyFont="1" applyFill="1" applyBorder="1" applyAlignment="1" applyProtection="1">
      <alignment horizontal="centerContinuous" vertical="center"/>
    </xf>
    <xf numFmtId="3" fontId="133" fillId="0" borderId="0" xfId="16" applyNumberFormat="1" applyFont="1" applyFill="1" applyBorder="1" applyAlignment="1" applyProtection="1">
      <alignment horizontal="centerContinuous" vertical="center"/>
    </xf>
    <xf numFmtId="49" fontId="135" fillId="0" borderId="316" xfId="3" applyNumberFormat="1" applyFont="1" applyFill="1" applyBorder="1" applyAlignment="1" applyProtection="1">
      <alignment vertical="center"/>
    </xf>
    <xf numFmtId="3" fontId="133" fillId="0" borderId="317" xfId="16" applyNumberFormat="1" applyFont="1" applyFill="1" applyBorder="1" applyAlignment="1" applyProtection="1">
      <alignment horizontal="centerContinuous" vertical="center"/>
    </xf>
    <xf numFmtId="3" fontId="133" fillId="0" borderId="517" xfId="16" applyNumberFormat="1" applyFont="1" applyFill="1" applyBorder="1" applyAlignment="1" applyProtection="1">
      <alignment horizontal="centerContinuous" vertical="center"/>
    </xf>
    <xf numFmtId="3" fontId="133" fillId="0" borderId="311" xfId="16" applyNumberFormat="1" applyFont="1" applyFill="1" applyBorder="1" applyAlignment="1" applyProtection="1">
      <alignment horizontal="centerContinuous" vertical="center"/>
    </xf>
    <xf numFmtId="37" fontId="19" fillId="0" borderId="526" xfId="3" applyFont="1" applyFill="1" applyBorder="1" applyAlignment="1" applyProtection="1">
      <alignment vertical="center"/>
    </xf>
    <xf numFmtId="49" fontId="19" fillId="0" borderId="527" xfId="3" applyNumberFormat="1" applyFont="1" applyFill="1" applyBorder="1" applyAlignment="1" applyProtection="1">
      <alignment vertical="center"/>
    </xf>
    <xf numFmtId="37" fontId="19" fillId="0" borderId="527" xfId="3" applyFont="1" applyFill="1" applyBorder="1" applyAlignment="1" applyProtection="1">
      <alignment vertical="center"/>
    </xf>
    <xf numFmtId="37" fontId="19" fillId="0" borderId="528" xfId="3" applyFont="1" applyFill="1" applyBorder="1" applyAlignment="1" applyProtection="1">
      <alignment vertical="center"/>
    </xf>
    <xf numFmtId="37" fontId="19" fillId="0" borderId="529" xfId="3" applyFont="1" applyFill="1" applyBorder="1" applyAlignment="1" applyProtection="1">
      <alignment vertical="center"/>
    </xf>
    <xf numFmtId="37" fontId="19" fillId="0" borderId="530" xfId="3" applyFont="1" applyFill="1" applyBorder="1" applyAlignment="1" applyProtection="1">
      <alignment vertical="center"/>
    </xf>
    <xf numFmtId="37" fontId="19" fillId="0" borderId="0" xfId="3" applyFont="1" applyFill="1" applyBorder="1" applyAlignment="1" applyProtection="1">
      <alignment horizontal="center" vertical="center"/>
    </xf>
    <xf numFmtId="0" fontId="28" fillId="0" borderId="0" xfId="15" applyFont="1" applyFill="1" applyBorder="1" applyAlignment="1" applyProtection="1">
      <alignment vertical="center"/>
    </xf>
    <xf numFmtId="37" fontId="19" fillId="0" borderId="0" xfId="3" applyFont="1" applyFill="1" applyAlignment="1" applyProtection="1">
      <alignment horizontal="center" vertical="center"/>
    </xf>
    <xf numFmtId="0" fontId="28" fillId="0" borderId="0" xfId="15" applyFont="1" applyFill="1" applyAlignment="1" applyProtection="1">
      <alignment vertical="center"/>
    </xf>
    <xf numFmtId="37" fontId="31" fillId="0" borderId="0" xfId="3" applyFont="1" applyFill="1" applyBorder="1" applyAlignment="1" applyProtection="1">
      <alignment vertical="center"/>
    </xf>
    <xf numFmtId="37" fontId="30" fillId="0" borderId="0" xfId="3" applyFont="1" applyFill="1" applyBorder="1" applyAlignment="1" applyProtection="1">
      <alignment vertical="center"/>
    </xf>
    <xf numFmtId="0" fontId="28" fillId="0" borderId="0" xfId="15" applyProtection="1"/>
    <xf numFmtId="37" fontId="28" fillId="0" borderId="0" xfId="3" applyFont="1" applyBorder="1" applyAlignment="1" applyProtection="1">
      <alignment vertical="center"/>
    </xf>
    <xf numFmtId="9" fontId="29" fillId="0" borderId="0" xfId="3" applyNumberFormat="1" applyFont="1" applyFill="1" applyBorder="1" applyAlignment="1" applyProtection="1">
      <alignment horizontal="right" vertical="center"/>
    </xf>
    <xf numFmtId="0" fontId="30" fillId="0" borderId="0" xfId="15" applyFont="1" applyProtection="1"/>
    <xf numFmtId="37" fontId="30" fillId="0" borderId="0" xfId="3" applyFont="1" applyFill="1" applyAlignment="1" applyProtection="1">
      <alignment vertical="center"/>
    </xf>
    <xf numFmtId="37" fontId="28" fillId="0" borderId="0" xfId="3" applyFont="1" applyFill="1" applyAlignment="1" applyProtection="1">
      <alignment vertical="center"/>
    </xf>
    <xf numFmtId="37" fontId="28" fillId="0" borderId="0" xfId="3" applyFont="1" applyAlignment="1" applyProtection="1">
      <alignment horizontal="center" vertical="center"/>
    </xf>
    <xf numFmtId="37" fontId="28" fillId="2" borderId="0" xfId="3" applyFont="1" applyFill="1" applyAlignment="1" applyProtection="1">
      <alignment horizontal="center" vertical="center"/>
    </xf>
    <xf numFmtId="194" fontId="28" fillId="0" borderId="0" xfId="3" applyNumberFormat="1" applyFont="1" applyBorder="1" applyAlignment="1" applyProtection="1">
      <alignment horizontal="left" vertical="center"/>
    </xf>
    <xf numFmtId="37" fontId="30" fillId="0" borderId="0" xfId="3" applyFont="1" applyFill="1" applyAlignment="1" applyProtection="1">
      <alignment horizontal="center" vertical="center"/>
    </xf>
    <xf numFmtId="37" fontId="28" fillId="0" borderId="0" xfId="3" applyFont="1" applyFill="1" applyAlignment="1" applyProtection="1">
      <alignment horizontal="center" vertical="center"/>
    </xf>
    <xf numFmtId="37" fontId="28" fillId="0" borderId="0" xfId="15" applyNumberFormat="1" applyFont="1" applyFill="1" applyAlignment="1" applyProtection="1">
      <alignment horizontal="left" vertical="center"/>
    </xf>
    <xf numFmtId="37" fontId="28" fillId="20" borderId="0" xfId="3" applyFont="1" applyFill="1" applyAlignment="1" applyProtection="1">
      <alignment vertical="center"/>
    </xf>
    <xf numFmtId="37" fontId="28" fillId="0" borderId="92" xfId="3" applyFont="1" applyBorder="1" applyAlignment="1" applyProtection="1">
      <alignment vertical="center"/>
    </xf>
    <xf numFmtId="37" fontId="28" fillId="0" borderId="92" xfId="3" applyFont="1" applyBorder="1" applyAlignment="1" applyProtection="1">
      <alignment horizontal="center" vertical="center"/>
    </xf>
    <xf numFmtId="37" fontId="28" fillId="2" borderId="0" xfId="3" quotePrefix="1" applyFont="1" applyFill="1" applyAlignment="1" applyProtection="1">
      <alignment vertical="center"/>
    </xf>
    <xf numFmtId="3" fontId="28" fillId="0" borderId="0" xfId="15" applyNumberFormat="1" applyFont="1" applyFill="1" applyBorder="1" applyAlignment="1" applyProtection="1">
      <alignment horizontal="center" vertical="center"/>
    </xf>
    <xf numFmtId="37" fontId="28" fillId="0" borderId="0" xfId="15" applyNumberFormat="1" applyFont="1" applyFill="1" applyBorder="1" applyAlignment="1" applyProtection="1">
      <alignment vertical="center"/>
    </xf>
    <xf numFmtId="3" fontId="28" fillId="0" borderId="0" xfId="3" applyNumberFormat="1" applyFont="1" applyAlignment="1" applyProtection="1">
      <alignment horizontal="left" vertical="center"/>
    </xf>
    <xf numFmtId="37" fontId="28" fillId="0" borderId="47" xfId="3" applyNumberFormat="1" applyFont="1" applyFill="1" applyBorder="1" applyAlignment="1" applyProtection="1">
      <alignment vertical="center"/>
    </xf>
    <xf numFmtId="37" fontId="28" fillId="0" borderId="0" xfId="3" quotePrefix="1" applyFont="1" applyAlignment="1" applyProtection="1">
      <alignment vertical="center"/>
    </xf>
    <xf numFmtId="0" fontId="30" fillId="0" borderId="0" xfId="15" applyFont="1" applyFill="1" applyAlignment="1" applyProtection="1">
      <alignment vertical="center"/>
    </xf>
    <xf numFmtId="37" fontId="28" fillId="0" borderId="0" xfId="3" applyFont="1" applyBorder="1" applyAlignment="1" applyProtection="1">
      <alignment horizontal="left" vertical="center"/>
    </xf>
    <xf numFmtId="37" fontId="28" fillId="0" borderId="0" xfId="3" applyFont="1" applyFill="1" applyAlignment="1" applyProtection="1">
      <alignment horizontal="left" vertical="center"/>
    </xf>
    <xf numFmtId="0" fontId="28" fillId="0" borderId="0" xfId="15" applyFont="1" applyProtection="1"/>
    <xf numFmtId="37" fontId="30" fillId="0" borderId="0" xfId="3" applyFont="1" applyAlignment="1" applyProtection="1">
      <alignment horizontal="center" vertical="center"/>
    </xf>
    <xf numFmtId="195" fontId="28" fillId="0" borderId="0" xfId="3" applyNumberFormat="1" applyFont="1" applyAlignment="1" applyProtection="1">
      <alignment vertical="center"/>
    </xf>
    <xf numFmtId="37" fontId="19" fillId="0" borderId="0" xfId="3" applyNumberFormat="1" applyFont="1" applyFill="1" applyAlignment="1" applyProtection="1">
      <alignment vertical="center"/>
    </xf>
    <xf numFmtId="196" fontId="28" fillId="0" borderId="0" xfId="3" applyNumberFormat="1" applyFont="1" applyFill="1" applyAlignment="1" applyProtection="1">
      <alignment vertical="center"/>
    </xf>
    <xf numFmtId="197" fontId="28" fillId="0" borderId="0" xfId="3" applyNumberFormat="1" applyFont="1" applyFill="1" applyAlignment="1" applyProtection="1">
      <alignment vertical="center"/>
    </xf>
    <xf numFmtId="37" fontId="141" fillId="0" borderId="47" xfId="3" applyFont="1" applyBorder="1" applyAlignment="1" applyProtection="1">
      <alignment horizontal="center" vertical="center"/>
    </xf>
    <xf numFmtId="39" fontId="141" fillId="0" borderId="18" xfId="3" applyNumberFormat="1" applyFont="1" applyBorder="1" applyAlignment="1" applyProtection="1">
      <alignment horizontal="center" vertical="center"/>
    </xf>
    <xf numFmtId="3" fontId="142" fillId="0" borderId="47" xfId="3" applyNumberFormat="1" applyFont="1" applyBorder="1" applyAlignment="1" applyProtection="1">
      <alignment horizontal="center" vertical="center"/>
    </xf>
    <xf numFmtId="9" fontId="142" fillId="0" borderId="47" xfId="5" applyFont="1" applyBorder="1" applyAlignment="1" applyProtection="1">
      <alignment horizontal="center" vertical="center"/>
    </xf>
    <xf numFmtId="3" fontId="143" fillId="0" borderId="47" xfId="5" applyNumberFormat="1" applyFont="1" applyBorder="1" applyAlignment="1" applyProtection="1">
      <alignment horizontal="center" vertical="center"/>
    </xf>
    <xf numFmtId="37" fontId="144" fillId="0" borderId="17" xfId="3" applyFont="1" applyBorder="1" applyAlignment="1" applyProtection="1">
      <alignment horizontal="center" vertical="center"/>
    </xf>
    <xf numFmtId="37" fontId="144" fillId="0" borderId="47" xfId="3" applyFont="1" applyBorder="1" applyAlignment="1" applyProtection="1">
      <alignment horizontal="center" vertical="center"/>
    </xf>
    <xf numFmtId="9" fontId="145" fillId="0" borderId="47" xfId="5" applyNumberFormat="1" applyFont="1" applyBorder="1" applyAlignment="1" applyProtection="1">
      <alignment horizontal="center" vertical="center"/>
    </xf>
    <xf numFmtId="3" fontId="30" fillId="0" borderId="0" xfId="3" applyNumberFormat="1" applyFont="1" applyAlignment="1" applyProtection="1">
      <alignment horizontal="left" vertical="center"/>
    </xf>
    <xf numFmtId="174" fontId="28" fillId="0" borderId="0" xfId="3" applyNumberFormat="1" applyFont="1" applyAlignment="1" applyProtection="1">
      <alignment horizontal="left" vertical="center"/>
    </xf>
    <xf numFmtId="174" fontId="28" fillId="0" borderId="0" xfId="3" applyNumberFormat="1" applyFont="1" applyFill="1" applyAlignment="1" applyProtection="1">
      <alignment horizontal="left" vertical="center"/>
    </xf>
    <xf numFmtId="0" fontId="28" fillId="0" borderId="0" xfId="15" applyFont="1" applyFill="1" applyAlignment="1" applyProtection="1">
      <alignment horizontal="left" vertical="center"/>
    </xf>
    <xf numFmtId="37" fontId="28" fillId="0" borderId="0" xfId="3" applyFont="1" applyAlignment="1" applyProtection="1">
      <alignment horizontal="left" vertical="center"/>
    </xf>
    <xf numFmtId="37" fontId="30" fillId="0" borderId="0" xfId="15" applyNumberFormat="1" applyFont="1" applyFill="1" applyBorder="1" applyAlignment="1" applyProtection="1">
      <alignment vertical="center"/>
    </xf>
    <xf numFmtId="37" fontId="30" fillId="0" borderId="0" xfId="15" applyNumberFormat="1" applyFont="1" applyFill="1" applyBorder="1" applyAlignment="1" applyProtection="1">
      <alignment horizontal="left" vertical="center"/>
    </xf>
    <xf numFmtId="39" fontId="28" fillId="0" borderId="0" xfId="3" applyNumberFormat="1" applyFont="1" applyAlignment="1" applyProtection="1">
      <alignment vertical="center"/>
    </xf>
    <xf numFmtId="37" fontId="30" fillId="0" borderId="0" xfId="3" applyFont="1" applyAlignment="1" applyProtection="1">
      <alignment horizontal="left" vertical="center"/>
    </xf>
    <xf numFmtId="0" fontId="28" fillId="0" borderId="0" xfId="15" applyFont="1" applyAlignment="1" applyProtection="1">
      <alignment horizontal="left"/>
    </xf>
    <xf numFmtId="37" fontId="28" fillId="0" borderId="0" xfId="3" applyFont="1" applyBorder="1" applyAlignment="1" applyProtection="1">
      <alignment horizontal="centerContinuous" vertical="center"/>
    </xf>
    <xf numFmtId="37" fontId="99" fillId="13" borderId="0" xfId="15" applyNumberFormat="1" applyFont="1" applyFill="1" applyBorder="1" applyAlignment="1" applyProtection="1">
      <alignment vertical="center"/>
      <protection locked="0"/>
    </xf>
    <xf numFmtId="37" fontId="82" fillId="13" borderId="0" xfId="15" applyNumberFormat="1" applyFont="1" applyFill="1" applyBorder="1" applyAlignment="1" applyProtection="1">
      <alignment vertical="center"/>
      <protection locked="0"/>
    </xf>
    <xf numFmtId="37" fontId="18" fillId="13" borderId="0" xfId="15" applyNumberFormat="1" applyFont="1" applyFill="1" applyBorder="1" applyAlignment="1" applyProtection="1">
      <alignment vertical="center"/>
      <protection locked="0"/>
    </xf>
    <xf numFmtId="37" fontId="16" fillId="13" borderId="0" xfId="15" applyNumberFormat="1" applyFont="1" applyFill="1" applyBorder="1" applyAlignment="1" applyProtection="1">
      <alignment vertical="center"/>
      <protection locked="0"/>
    </xf>
    <xf numFmtId="37" fontId="73" fillId="0" borderId="0" xfId="15" applyNumberFormat="1" applyFont="1" applyFill="1" applyBorder="1" applyAlignment="1" applyProtection="1">
      <alignment vertical="center"/>
      <protection locked="0"/>
    </xf>
    <xf numFmtId="37" fontId="146" fillId="13" borderId="0" xfId="15" applyNumberFormat="1" applyFont="1" applyFill="1" applyBorder="1" applyAlignment="1" applyProtection="1">
      <alignment vertical="center"/>
      <protection locked="0"/>
    </xf>
    <xf numFmtId="37" fontId="76" fillId="13" borderId="0" xfId="15" applyNumberFormat="1" applyFont="1" applyFill="1" applyBorder="1" applyAlignment="1" applyProtection="1">
      <alignment vertical="center"/>
      <protection hidden="1"/>
    </xf>
    <xf numFmtId="37" fontId="147" fillId="13" borderId="0" xfId="15" applyNumberFormat="1" applyFont="1" applyFill="1" applyBorder="1" applyAlignment="1" applyProtection="1">
      <alignment vertical="center"/>
      <protection locked="0"/>
    </xf>
    <xf numFmtId="37" fontId="86" fillId="13" borderId="0" xfId="15" applyNumberFormat="1" applyFont="1" applyFill="1" applyBorder="1" applyAlignment="1" applyProtection="1">
      <alignment vertical="center"/>
      <protection locked="0"/>
    </xf>
    <xf numFmtId="0" fontId="150" fillId="13" borderId="0" xfId="6" applyFont="1" applyFill="1" applyAlignment="1" applyProtection="1">
      <alignment vertical="center"/>
      <protection locked="0"/>
    </xf>
    <xf numFmtId="1" fontId="151" fillId="13" borderId="0" xfId="6" applyNumberFormat="1" applyFont="1" applyFill="1" applyAlignment="1" applyProtection="1">
      <alignment horizontal="right"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148" fillId="4" borderId="10" xfId="6" applyFont="1" applyFill="1" applyBorder="1" applyAlignment="1" applyProtection="1">
      <alignment vertical="center"/>
      <protection locked="0"/>
    </xf>
    <xf numFmtId="17" fontId="148" fillId="4" borderId="16" xfId="6" applyNumberFormat="1" applyFont="1" applyFill="1" applyBorder="1" applyAlignment="1" applyProtection="1">
      <alignment horizontal="center" vertical="center"/>
      <protection locked="0"/>
    </xf>
    <xf numFmtId="0" fontId="152" fillId="13" borderId="17" xfId="6" applyFont="1" applyFill="1" applyBorder="1" applyAlignment="1" applyProtection="1">
      <alignment horizontal="center" vertical="center"/>
      <protection locked="0"/>
    </xf>
    <xf numFmtId="0" fontId="150" fillId="13" borderId="12" xfId="6" applyFont="1" applyFill="1" applyBorder="1" applyAlignment="1" applyProtection="1">
      <alignment vertical="center"/>
      <protection locked="0"/>
    </xf>
    <xf numFmtId="198" fontId="150" fillId="13" borderId="0" xfId="11" applyNumberFormat="1" applyFont="1" applyFill="1" applyBorder="1" applyAlignment="1" applyProtection="1">
      <alignment vertical="center"/>
      <protection locked="0"/>
    </xf>
    <xf numFmtId="198" fontId="150" fillId="13" borderId="13" xfId="11" applyNumberFormat="1" applyFont="1" applyFill="1" applyBorder="1" applyAlignment="1" applyProtection="1">
      <alignment vertical="center"/>
      <protection locked="0"/>
    </xf>
    <xf numFmtId="0" fontId="149" fillId="0" borderId="0" xfId="6" applyFont="1" applyFill="1" applyAlignment="1" applyProtection="1">
      <alignment vertical="center"/>
      <protection locked="0"/>
    </xf>
    <xf numFmtId="0" fontId="149" fillId="13" borderId="10" xfId="6" applyFont="1" applyFill="1" applyBorder="1" applyAlignment="1" applyProtection="1">
      <alignment horizontal="center" vertical="center"/>
      <protection locked="0"/>
    </xf>
    <xf numFmtId="199" fontId="150" fillId="13" borderId="16" xfId="11" applyNumberFormat="1" applyFont="1" applyFill="1" applyBorder="1" applyAlignment="1" applyProtection="1">
      <alignment vertical="center"/>
      <protection locked="0"/>
    </xf>
    <xf numFmtId="199" fontId="150" fillId="13" borderId="11" xfId="11" applyNumberFormat="1" applyFont="1" applyFill="1" applyBorder="1" applyAlignment="1" applyProtection="1">
      <alignment vertical="center"/>
      <protection locked="0"/>
    </xf>
    <xf numFmtId="0" fontId="148" fillId="4" borderId="17" xfId="6" applyFont="1" applyFill="1" applyBorder="1" applyAlignment="1" applyProtection="1">
      <alignment horizontal="center" vertical="center"/>
      <protection locked="0"/>
    </xf>
    <xf numFmtId="37" fontId="148" fillId="4" borderId="47" xfId="6" applyNumberFormat="1" applyFont="1" applyFill="1" applyBorder="1" applyAlignment="1" applyProtection="1">
      <alignment horizontal="center" vertical="center"/>
      <protection locked="0"/>
    </xf>
    <xf numFmtId="0" fontId="148" fillId="4" borderId="47" xfId="6" applyNumberFormat="1" applyFont="1" applyFill="1" applyBorder="1" applyAlignment="1" applyProtection="1">
      <alignment horizontal="center" vertical="center"/>
      <protection locked="0"/>
    </xf>
    <xf numFmtId="3" fontId="150" fillId="13" borderId="0" xfId="11" applyNumberFormat="1" applyFont="1" applyFill="1" applyBorder="1" applyAlignment="1" applyProtection="1">
      <alignment vertical="center"/>
      <protection locked="0"/>
    </xf>
    <xf numFmtId="3" fontId="150" fillId="13" borderId="13" xfId="11" applyNumberFormat="1" applyFont="1" applyFill="1" applyBorder="1" applyAlignment="1" applyProtection="1">
      <alignment vertical="center"/>
      <protection locked="0"/>
    </xf>
    <xf numFmtId="0" fontId="149" fillId="13" borderId="12" xfId="6" applyFont="1" applyFill="1" applyBorder="1" applyAlignment="1" applyProtection="1">
      <alignment vertical="center"/>
      <protection locked="0"/>
    </xf>
    <xf numFmtId="198" fontId="149" fillId="13" borderId="0" xfId="11" applyNumberFormat="1" applyFont="1" applyFill="1" applyBorder="1" applyAlignment="1" applyProtection="1">
      <alignment vertical="center"/>
      <protection locked="0"/>
    </xf>
    <xf numFmtId="198" fontId="149" fillId="13" borderId="13" xfId="11" applyNumberFormat="1" applyFont="1" applyFill="1" applyBorder="1" applyAlignment="1" applyProtection="1">
      <alignment vertical="center"/>
      <protection locked="0"/>
    </xf>
    <xf numFmtId="0" fontId="150" fillId="13" borderId="101" xfId="6" applyFont="1" applyFill="1" applyBorder="1" applyAlignment="1" applyProtection="1">
      <alignment vertical="center"/>
      <protection locked="0"/>
    </xf>
    <xf numFmtId="3" fontId="150" fillId="13" borderId="102" xfId="11" applyNumberFormat="1" applyFont="1" applyFill="1" applyBorder="1" applyAlignment="1" applyProtection="1">
      <alignment vertical="center"/>
      <protection locked="0"/>
    </xf>
    <xf numFmtId="37" fontId="74" fillId="13" borderId="47" xfId="15" applyNumberFormat="1" applyFont="1" applyFill="1" applyBorder="1" applyAlignment="1" applyProtection="1">
      <alignment vertical="center"/>
      <protection locked="0"/>
    </xf>
    <xf numFmtId="37" fontId="99" fillId="13" borderId="47" xfId="15" applyNumberFormat="1" applyFont="1" applyFill="1" applyBorder="1" applyAlignment="1" applyProtection="1">
      <alignment vertical="center"/>
      <protection locked="0"/>
    </xf>
    <xf numFmtId="0" fontId="153" fillId="13" borderId="91" xfId="6" applyFont="1" applyFill="1" applyBorder="1" applyAlignment="1" applyProtection="1">
      <alignment horizontal="right" vertical="center"/>
      <protection locked="0"/>
    </xf>
    <xf numFmtId="167" fontId="153" fillId="13" borderId="102" xfId="5" applyNumberFormat="1" applyFont="1" applyFill="1" applyBorder="1" applyAlignment="1" applyProtection="1">
      <alignment horizontal="center" vertical="center"/>
      <protection locked="0"/>
    </xf>
    <xf numFmtId="0" fontId="150" fillId="13" borderId="91" xfId="6" applyFont="1" applyFill="1" applyBorder="1" applyAlignment="1" applyProtection="1">
      <alignment vertical="center"/>
      <protection locked="0"/>
    </xf>
    <xf numFmtId="0" fontId="150" fillId="13" borderId="12" xfId="6" applyFont="1" applyFill="1" applyBorder="1" applyAlignment="1" applyProtection="1">
      <alignment horizontal="left" vertical="center"/>
      <protection locked="0"/>
    </xf>
    <xf numFmtId="198" fontId="150" fillId="13" borderId="0" xfId="6" applyNumberFormat="1" applyFont="1" applyFill="1" applyBorder="1" applyAlignment="1" applyProtection="1">
      <alignment vertical="center"/>
      <protection locked="0"/>
    </xf>
    <xf numFmtId="198" fontId="150" fillId="13" borderId="13" xfId="6" applyNumberFormat="1" applyFont="1" applyFill="1" applyBorder="1" applyAlignment="1" applyProtection="1">
      <alignment vertical="center"/>
      <protection locked="0"/>
    </xf>
    <xf numFmtId="37" fontId="15" fillId="13" borderId="0" xfId="15" applyNumberFormat="1" applyFont="1" applyFill="1" applyBorder="1" applyAlignment="1" applyProtection="1">
      <alignment vertical="center"/>
      <protection locked="0"/>
    </xf>
    <xf numFmtId="3" fontId="149" fillId="13" borderId="0" xfId="11" applyNumberFormat="1" applyFont="1" applyFill="1" applyBorder="1" applyAlignment="1" applyProtection="1">
      <alignment vertical="center"/>
      <protection locked="0"/>
    </xf>
    <xf numFmtId="3" fontId="149" fillId="13" borderId="13" xfId="11" applyNumberFormat="1" applyFont="1" applyFill="1" applyBorder="1" applyAlignment="1" applyProtection="1">
      <alignment vertical="center"/>
      <protection locked="0"/>
    </xf>
    <xf numFmtId="0" fontId="149" fillId="13" borderId="14" xfId="6" applyFont="1" applyFill="1" applyBorder="1" applyAlignment="1" applyProtection="1">
      <alignment vertical="center"/>
      <protection locked="0"/>
    </xf>
    <xf numFmtId="198" fontId="149" fillId="13" borderId="29" xfId="11" applyNumberFormat="1" applyFont="1" applyFill="1" applyBorder="1" applyAlignment="1" applyProtection="1">
      <alignment vertical="center"/>
      <protection locked="0"/>
    </xf>
    <xf numFmtId="198" fontId="149" fillId="13" borderId="15" xfId="11" applyNumberFormat="1" applyFont="1" applyFill="1" applyBorder="1" applyAlignment="1" applyProtection="1">
      <alignment vertical="center"/>
      <protection locked="0"/>
    </xf>
    <xf numFmtId="37" fontId="148" fillId="4" borderId="47" xfId="6" quotePrefix="1" applyNumberFormat="1"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91" xfId="6" applyFont="1" applyFill="1" applyBorder="1" applyAlignment="1" applyProtection="1">
      <alignment vertical="center"/>
      <protection locked="0"/>
    </xf>
    <xf numFmtId="3" fontId="148" fillId="4" borderId="102" xfId="11" applyNumberFormat="1" applyFont="1" applyFill="1" applyBorder="1" applyAlignment="1" applyProtection="1">
      <alignment vertical="center"/>
      <protection locked="0"/>
    </xf>
    <xf numFmtId="0" fontId="149" fillId="13" borderId="12" xfId="6" applyFont="1" applyFill="1" applyBorder="1" applyAlignment="1" applyProtection="1">
      <alignment horizontal="center" vertical="center"/>
      <protection locked="0"/>
    </xf>
    <xf numFmtId="0" fontId="150" fillId="13" borderId="0" xfId="6" applyFont="1" applyFill="1" applyBorder="1" applyAlignment="1" applyProtection="1">
      <alignment vertical="center"/>
      <protection locked="0"/>
    </xf>
    <xf numFmtId="0" fontId="150" fillId="13" borderId="13" xfId="6" applyFont="1" applyFill="1" applyBorder="1" applyAlignment="1" applyProtection="1">
      <alignment vertical="center"/>
      <protection locked="0"/>
    </xf>
    <xf numFmtId="167" fontId="150" fillId="13" borderId="0" xfId="5" applyNumberFormat="1" applyFont="1" applyFill="1" applyBorder="1" applyAlignment="1" applyProtection="1">
      <alignment horizontal="center" vertical="center"/>
      <protection locked="0"/>
    </xf>
    <xf numFmtId="167" fontId="150" fillId="13" borderId="13" xfId="5" applyNumberFormat="1" applyFont="1" applyFill="1" applyBorder="1" applyAlignment="1" applyProtection="1">
      <alignment horizontal="center" vertical="center"/>
      <protection locked="0"/>
    </xf>
    <xf numFmtId="0" fontId="148" fillId="4" borderId="12" xfId="6" applyFont="1" applyFill="1" applyBorder="1" applyAlignment="1" applyProtection="1">
      <alignment horizontal="center" vertical="center"/>
      <protection locked="0"/>
    </xf>
    <xf numFmtId="3" fontId="148" fillId="4" borderId="0" xfId="11" applyNumberFormat="1" applyFont="1" applyFill="1" applyBorder="1" applyAlignment="1" applyProtection="1">
      <alignment vertical="center"/>
      <protection locked="0"/>
    </xf>
    <xf numFmtId="3" fontId="148" fillId="4" borderId="13" xfId="11" applyNumberFormat="1" applyFont="1" applyFill="1" applyBorder="1" applyAlignment="1" applyProtection="1">
      <alignment vertical="center"/>
      <protection locked="0"/>
    </xf>
    <xf numFmtId="199" fontId="150" fillId="13" borderId="0" xfId="11" applyNumberFormat="1" applyFont="1" applyFill="1" applyBorder="1" applyAlignment="1" applyProtection="1">
      <alignment vertical="center"/>
      <protection locked="0"/>
    </xf>
    <xf numFmtId="199" fontId="150" fillId="13" borderId="13" xfId="11" applyNumberFormat="1" applyFont="1" applyFill="1" applyBorder="1" applyAlignment="1" applyProtection="1">
      <alignment vertical="center"/>
      <protection locked="0"/>
    </xf>
    <xf numFmtId="1" fontId="150" fillId="13" borderId="0" xfId="6" applyNumberFormat="1" applyFont="1" applyFill="1" applyBorder="1" applyAlignment="1" applyProtection="1">
      <alignment horizontal="center" vertical="center"/>
      <protection locked="0"/>
    </xf>
    <xf numFmtId="1" fontId="150" fillId="13" borderId="13" xfId="6" applyNumberFormat="1" applyFont="1" applyFill="1" applyBorder="1" applyAlignment="1" applyProtection="1">
      <alignment horizontal="center" vertical="center"/>
      <protection locked="0"/>
    </xf>
    <xf numFmtId="37" fontId="99" fillId="13" borderId="141" xfId="15" applyNumberFormat="1" applyFont="1" applyFill="1" applyBorder="1" applyAlignment="1" applyProtection="1">
      <alignment vertical="center"/>
      <protection locked="0"/>
    </xf>
    <xf numFmtId="37" fontId="99" fillId="13" borderId="142" xfId="15" applyNumberFormat="1" applyFont="1" applyFill="1" applyBorder="1" applyAlignment="1" applyProtection="1">
      <alignment vertical="center"/>
      <protection locked="0"/>
    </xf>
    <xf numFmtId="0" fontId="23" fillId="4" borderId="495" xfId="0" applyFont="1" applyFill="1" applyBorder="1" applyAlignment="1" applyProtection="1">
      <alignment horizontal="center" vertical="center"/>
      <protection locked="0"/>
    </xf>
    <xf numFmtId="2" fontId="155" fillId="13" borderId="531" xfId="0" applyNumberFormat="1" applyFont="1" applyFill="1" applyBorder="1" applyAlignment="1" applyProtection="1">
      <alignment horizontal="center" vertical="center"/>
    </xf>
    <xf numFmtId="37" fontId="156" fillId="13" borderId="0" xfId="15" applyNumberFormat="1" applyFont="1" applyFill="1" applyBorder="1" applyAlignment="1" applyProtection="1">
      <alignment vertical="center"/>
      <protection locked="0"/>
    </xf>
    <xf numFmtId="37" fontId="155" fillId="13" borderId="531" xfId="0" applyNumberFormat="1" applyFont="1" applyFill="1" applyBorder="1" applyAlignment="1" applyProtection="1">
      <alignment horizontal="center" vertical="center"/>
    </xf>
    <xf numFmtId="37" fontId="157" fillId="13" borderId="0" xfId="15" applyNumberFormat="1" applyFont="1" applyFill="1" applyBorder="1" applyAlignment="1" applyProtection="1">
      <alignment vertical="center"/>
      <protection locked="0"/>
    </xf>
    <xf numFmtId="37" fontId="74" fillId="13" borderId="495" xfId="15" applyNumberFormat="1" applyFont="1" applyFill="1" applyBorder="1" applyAlignment="1" applyProtection="1">
      <alignment vertical="center"/>
      <protection locked="0"/>
    </xf>
    <xf numFmtId="2" fontId="150" fillId="13" borderId="102" xfId="11" applyNumberFormat="1" applyFont="1" applyFill="1" applyBorder="1" applyAlignment="1" applyProtection="1">
      <alignment horizontal="center" vertical="center"/>
      <protection locked="0"/>
    </xf>
    <xf numFmtId="0" fontId="0" fillId="0" borderId="141" xfId="0" applyBorder="1" applyProtection="1">
      <protection locked="0"/>
    </xf>
    <xf numFmtId="0" fontId="0" fillId="0" borderId="0" xfId="0" applyBorder="1" applyAlignment="1" applyProtection="1">
      <alignment vertical="top" wrapText="1"/>
      <protection locked="0"/>
    </xf>
    <xf numFmtId="0" fontId="0" fillId="0" borderId="0" xfId="0" applyBorder="1" applyProtection="1">
      <protection locked="0"/>
    </xf>
    <xf numFmtId="0" fontId="158" fillId="0" borderId="0" xfId="0"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0" fontId="0" fillId="0" borderId="142" xfId="0" applyBorder="1" applyProtection="1">
      <protection locked="0"/>
    </xf>
    <xf numFmtId="0" fontId="150" fillId="0" borderId="12" xfId="6" applyFont="1" applyFill="1" applyBorder="1" applyAlignment="1" applyProtection="1">
      <alignment vertical="center"/>
      <protection locked="0"/>
    </xf>
    <xf numFmtId="3" fontId="150" fillId="0" borderId="0" xfId="11" applyNumberFormat="1" applyFont="1" applyFill="1" applyBorder="1" applyAlignment="1" applyProtection="1">
      <alignment vertical="center"/>
      <protection locked="0"/>
    </xf>
    <xf numFmtId="3" fontId="150" fillId="0" borderId="13" xfId="11" applyNumberFormat="1" applyFont="1" applyFill="1" applyBorder="1" applyAlignment="1" applyProtection="1">
      <alignment vertical="center"/>
      <protection locked="0"/>
    </xf>
    <xf numFmtId="0" fontId="150" fillId="0" borderId="0" xfId="6" applyFont="1" applyFill="1" applyAlignment="1" applyProtection="1">
      <alignment vertical="center"/>
      <protection locked="0"/>
    </xf>
    <xf numFmtId="167" fontId="150" fillId="0" borderId="0" xfId="5" applyNumberFormat="1" applyFont="1" applyFill="1" applyBorder="1" applyAlignment="1" applyProtection="1">
      <alignment horizontal="center" vertical="center"/>
      <protection locked="0"/>
    </xf>
    <xf numFmtId="167" fontId="150" fillId="0" borderId="13" xfId="5" applyNumberFormat="1" applyFont="1" applyFill="1" applyBorder="1" applyAlignment="1" applyProtection="1">
      <alignment horizontal="center" vertical="center"/>
      <protection locked="0"/>
    </xf>
    <xf numFmtId="0" fontId="3" fillId="2" borderId="495" xfId="0" applyFont="1" applyFill="1" applyBorder="1" applyAlignment="1" applyProtection="1">
      <alignment horizontal="center"/>
      <protection locked="0"/>
    </xf>
    <xf numFmtId="0" fontId="159" fillId="29" borderId="495" xfId="0" applyFont="1" applyFill="1" applyBorder="1" applyProtection="1">
      <protection locked="0"/>
    </xf>
    <xf numFmtId="0" fontId="159" fillId="29" borderId="495" xfId="0" applyFont="1" applyFill="1" applyBorder="1" applyAlignment="1" applyProtection="1">
      <alignment horizontal="center"/>
    </xf>
    <xf numFmtId="9" fontId="23" fillId="4" borderId="495" xfId="0" applyNumberFormat="1" applyFont="1" applyFill="1" applyBorder="1" applyAlignment="1" applyProtection="1">
      <alignment horizontal="center" vertical="center"/>
    </xf>
    <xf numFmtId="9" fontId="23" fillId="4" borderId="495" xfId="0" applyNumberFormat="1" applyFont="1" applyFill="1" applyBorder="1" applyProtection="1">
      <protection locked="0"/>
    </xf>
    <xf numFmtId="0" fontId="160" fillId="4" borderId="138" xfId="0" applyFont="1" applyFill="1" applyBorder="1" applyAlignment="1" applyProtection="1">
      <alignment horizontal="center"/>
    </xf>
    <xf numFmtId="0" fontId="160" fillId="4" borderId="139" xfId="0" applyFont="1" applyFill="1" applyBorder="1" applyAlignment="1" applyProtection="1">
      <alignment horizontal="center"/>
    </xf>
    <xf numFmtId="0" fontId="160" fillId="4" borderId="140" xfId="0" applyFont="1" applyFill="1" applyBorder="1" applyAlignment="1" applyProtection="1">
      <alignment horizontal="center"/>
    </xf>
    <xf numFmtId="0" fontId="23" fillId="4" borderId="138" xfId="0" applyFont="1" applyFill="1" applyBorder="1" applyProtection="1">
      <protection locked="0"/>
    </xf>
    <xf numFmtId="2" fontId="23" fillId="4" borderId="495" xfId="0" applyNumberFormat="1" applyFont="1" applyFill="1" applyBorder="1" applyProtection="1"/>
    <xf numFmtId="37" fontId="99" fillId="0" borderId="138" xfId="15" applyNumberFormat="1" applyFont="1" applyFill="1" applyBorder="1" applyAlignment="1" applyProtection="1">
      <alignment vertical="center"/>
      <protection locked="0"/>
    </xf>
    <xf numFmtId="37" fontId="99" fillId="0" borderId="139" xfId="15" applyNumberFormat="1" applyFont="1" applyFill="1" applyBorder="1" applyAlignment="1" applyProtection="1">
      <alignment vertical="center"/>
      <protection locked="0"/>
    </xf>
    <xf numFmtId="200" fontId="3" fillId="0" borderId="139" xfId="0" applyNumberFormat="1" applyFont="1" applyBorder="1" applyAlignment="1">
      <alignment horizontal="center" vertical="center" wrapText="1"/>
    </xf>
    <xf numFmtId="200" fontId="3" fillId="0" borderId="140" xfId="0" applyNumberFormat="1" applyFont="1" applyBorder="1" applyAlignment="1">
      <alignment horizontal="center" vertical="center" wrapText="1"/>
    </xf>
    <xf numFmtId="169" fontId="150" fillId="13" borderId="0" xfId="6" applyNumberFormat="1" applyFont="1" applyFill="1" applyBorder="1" applyAlignment="1" applyProtection="1">
      <alignment horizontal="center" vertical="center"/>
      <protection locked="0"/>
    </xf>
    <xf numFmtId="169" fontId="150" fillId="13" borderId="13" xfId="6" applyNumberFormat="1" applyFont="1" applyFill="1" applyBorder="1" applyAlignment="1" applyProtection="1">
      <alignment horizontal="center" vertical="center"/>
      <protection locked="0"/>
    </xf>
    <xf numFmtId="0" fontId="150" fillId="0" borderId="25" xfId="6" applyFont="1" applyFill="1" applyBorder="1" applyAlignment="1" applyProtection="1">
      <alignment vertical="center"/>
      <protection locked="0"/>
    </xf>
    <xf numFmtId="2" fontId="150" fillId="0" borderId="39" xfId="11" applyNumberFormat="1" applyFont="1" applyFill="1" applyBorder="1" applyAlignment="1" applyProtection="1">
      <alignment horizontal="center" vertical="center"/>
      <protection locked="0"/>
    </xf>
    <xf numFmtId="0" fontId="161" fillId="0" borderId="138" xfId="0" applyFont="1" applyBorder="1" applyAlignment="1" applyProtection="1">
      <protection locked="0"/>
    </xf>
    <xf numFmtId="9" fontId="162" fillId="5" borderId="80" xfId="5" applyFont="1" applyFill="1" applyBorder="1" applyProtection="1"/>
    <xf numFmtId="9" fontId="0" fillId="0" borderId="139" xfId="5" applyFont="1" applyBorder="1" applyProtection="1">
      <protection locked="0"/>
    </xf>
    <xf numFmtId="0" fontId="19" fillId="13" borderId="138" xfId="0" applyFont="1" applyFill="1" applyBorder="1" applyAlignment="1" applyProtection="1">
      <alignment horizontal="center"/>
      <protection locked="0"/>
    </xf>
    <xf numFmtId="0" fontId="19" fillId="13" borderId="139" xfId="0" applyFont="1" applyFill="1" applyBorder="1" applyAlignment="1" applyProtection="1">
      <alignment horizontal="center"/>
      <protection locked="0"/>
    </xf>
    <xf numFmtId="0" fontId="0" fillId="30" borderId="80" xfId="0" applyFill="1" applyBorder="1" applyProtection="1">
      <protection locked="0"/>
    </xf>
    <xf numFmtId="2" fontId="162" fillId="0" borderId="142" xfId="0" applyNumberFormat="1" applyFont="1" applyBorder="1" applyProtection="1"/>
    <xf numFmtId="172" fontId="23" fillId="4" borderId="495" xfId="7" applyNumberFormat="1" applyFont="1" applyFill="1" applyBorder="1" applyAlignment="1" applyProtection="1">
      <alignment horizontal="center"/>
      <protection locked="0"/>
    </xf>
    <xf numFmtId="172" fontId="163" fillId="4" borderId="495" xfId="7" applyNumberFormat="1" applyFont="1" applyFill="1" applyBorder="1" applyAlignment="1" applyProtection="1">
      <alignment horizontal="center"/>
      <protection locked="0"/>
    </xf>
    <xf numFmtId="17" fontId="23" fillId="4" borderId="495" xfId="0" applyNumberFormat="1" applyFont="1" applyFill="1" applyBorder="1" applyAlignment="1" applyProtection="1">
      <alignment horizontal="center"/>
      <protection locked="0"/>
    </xf>
    <xf numFmtId="17" fontId="23" fillId="4" borderId="532" xfId="0" applyNumberFormat="1" applyFont="1" applyFill="1" applyBorder="1" applyAlignment="1" applyProtection="1">
      <alignment horizontal="center"/>
      <protection locked="0"/>
    </xf>
    <xf numFmtId="200" fontId="3" fillId="0" borderId="141" xfId="0" applyNumberFormat="1" applyFont="1" applyBorder="1" applyAlignment="1">
      <alignment horizontal="center" wrapText="1"/>
    </xf>
    <xf numFmtId="200" fontId="3" fillId="0" borderId="0" xfId="0" applyNumberFormat="1" applyFont="1" applyBorder="1" applyAlignment="1">
      <alignment horizontal="center" wrapText="1"/>
    </xf>
    <xf numFmtId="201" fontId="3" fillId="0" borderId="0" xfId="0" applyNumberFormat="1" applyFont="1" applyBorder="1" applyAlignment="1">
      <alignment horizontal="center" wrapText="1"/>
    </xf>
    <xf numFmtId="200" fontId="3" fillId="0" borderId="142" xfId="0" applyNumberFormat="1" applyFont="1" applyBorder="1" applyAlignment="1">
      <alignment horizontal="center" wrapText="1"/>
    </xf>
    <xf numFmtId="0" fontId="3" fillId="0" borderId="0" xfId="0" applyFont="1" applyAlignment="1">
      <alignment horizontal="center"/>
    </xf>
    <xf numFmtId="2" fontId="150" fillId="0" borderId="0" xfId="11" applyNumberFormat="1" applyFont="1" applyFill="1" applyBorder="1" applyAlignment="1" applyProtection="1">
      <alignment horizontal="center" vertical="center"/>
      <protection locked="0"/>
    </xf>
    <xf numFmtId="0" fontId="161" fillId="0" borderId="141" xfId="0" applyFont="1" applyBorder="1" applyAlignment="1" applyProtection="1">
      <protection locked="0"/>
    </xf>
    <xf numFmtId="9" fontId="162" fillId="5" borderId="533" xfId="5" applyFont="1" applyFill="1" applyBorder="1" applyProtection="1"/>
    <xf numFmtId="9" fontId="0" fillId="0" borderId="0" xfId="5" applyFont="1" applyBorder="1" applyProtection="1">
      <protection locked="0"/>
    </xf>
    <xf numFmtId="0" fontId="19" fillId="13" borderId="141" xfId="0" applyFont="1" applyFill="1" applyBorder="1" applyAlignment="1" applyProtection="1">
      <alignment horizontal="center"/>
      <protection locked="0"/>
    </xf>
    <xf numFmtId="0" fontId="19" fillId="13" borderId="0" xfId="0" applyFont="1" applyFill="1" applyBorder="1" applyAlignment="1" applyProtection="1">
      <alignment horizontal="center"/>
      <protection locked="0"/>
    </xf>
    <xf numFmtId="0" fontId="0" fillId="30" borderId="533" xfId="0" applyFill="1" applyBorder="1" applyProtection="1">
      <protection locked="0"/>
    </xf>
    <xf numFmtId="0" fontId="155" fillId="0" borderId="0" xfId="0" applyFont="1" applyAlignment="1">
      <alignment horizontal="right"/>
    </xf>
    <xf numFmtId="0" fontId="15" fillId="0" borderId="0" xfId="0" applyFont="1"/>
    <xf numFmtId="37" fontId="15" fillId="0" borderId="0" xfId="15" applyNumberFormat="1" applyFont="1" applyFill="1" applyBorder="1" applyAlignment="1" applyProtection="1">
      <alignment vertical="center"/>
      <protection locked="0"/>
    </xf>
    <xf numFmtId="0" fontId="15" fillId="0" borderId="141" xfId="0" applyFont="1" applyBorder="1"/>
    <xf numFmtId="0" fontId="15" fillId="0" borderId="0" xfId="0" applyFont="1" applyBorder="1"/>
    <xf numFmtId="37" fontId="15" fillId="0" borderId="142" xfId="15" applyNumberFormat="1" applyFont="1" applyFill="1" applyBorder="1" applyAlignment="1" applyProtection="1">
      <alignment vertical="center"/>
      <protection locked="0"/>
    </xf>
    <xf numFmtId="0" fontId="161" fillId="0" borderId="80" xfId="0" applyFont="1" applyBorder="1" applyProtection="1">
      <protection locked="0"/>
    </xf>
    <xf numFmtId="0" fontId="15" fillId="0" borderId="0" xfId="0" applyFont="1" applyAlignment="1">
      <alignment horizontal="right"/>
    </xf>
    <xf numFmtId="37" fontId="99" fillId="13" borderId="12" xfId="15" applyNumberFormat="1" applyFont="1" applyFill="1" applyBorder="1" applyAlignment="1" applyProtection="1">
      <alignment vertical="center"/>
      <protection locked="0"/>
    </xf>
    <xf numFmtId="37" fontId="99" fillId="13" borderId="13" xfId="15" applyNumberFormat="1" applyFont="1" applyFill="1" applyBorder="1" applyAlignment="1" applyProtection="1">
      <alignment vertical="center"/>
      <protection locked="0"/>
    </xf>
    <xf numFmtId="0" fontId="161" fillId="0" borderId="533" xfId="0" applyFont="1" applyBorder="1" applyProtection="1">
      <protection locked="0"/>
    </xf>
    <xf numFmtId="0" fontId="15" fillId="0" borderId="0" xfId="0" applyFont="1" applyAlignment="1">
      <alignment horizontal="center"/>
    </xf>
    <xf numFmtId="9" fontId="15" fillId="0" borderId="0" xfId="0" applyNumberFormat="1" applyFont="1" applyAlignment="1">
      <alignment horizontal="center"/>
    </xf>
    <xf numFmtId="199" fontId="15" fillId="0" borderId="0" xfId="11" applyNumberFormat="1" applyFont="1"/>
    <xf numFmtId="199" fontId="15" fillId="0" borderId="141" xfId="0" applyNumberFormat="1" applyFont="1" applyBorder="1"/>
    <xf numFmtId="199" fontId="15" fillId="0" borderId="0" xfId="11" applyNumberFormat="1" applyFont="1" applyBorder="1"/>
    <xf numFmtId="199" fontId="15" fillId="0" borderId="142" xfId="11" applyNumberFormat="1" applyFont="1" applyBorder="1"/>
    <xf numFmtId="0" fontId="148" fillId="4" borderId="14" xfId="6" applyFont="1" applyFill="1" applyBorder="1" applyAlignment="1" applyProtection="1">
      <alignment horizontal="center" vertical="center"/>
      <protection locked="0"/>
    </xf>
    <xf numFmtId="0" fontId="93" fillId="13" borderId="0" xfId="6" applyFont="1" applyFill="1" applyBorder="1" applyAlignment="1" applyProtection="1">
      <alignment vertical="center"/>
      <protection locked="0"/>
    </xf>
    <xf numFmtId="0" fontId="150" fillId="13" borderId="14" xfId="6" applyFont="1" applyFill="1" applyBorder="1" applyAlignment="1" applyProtection="1">
      <alignment vertical="center"/>
      <protection locked="0"/>
    </xf>
    <xf numFmtId="169" fontId="150" fillId="13" borderId="29" xfId="6" applyNumberFormat="1" applyFont="1" applyFill="1" applyBorder="1" applyAlignment="1" applyProtection="1">
      <alignment horizontal="center" vertical="center"/>
      <protection locked="0"/>
    </xf>
    <xf numFmtId="169" fontId="150" fillId="13" borderId="15" xfId="6" applyNumberFormat="1" applyFont="1" applyFill="1" applyBorder="1" applyAlignment="1" applyProtection="1">
      <alignment horizontal="center" vertical="center"/>
      <protection locked="0"/>
    </xf>
    <xf numFmtId="0" fontId="161" fillId="0" borderId="143" xfId="0" applyFont="1" applyBorder="1" applyAlignment="1" applyProtection="1">
      <protection locked="0"/>
    </xf>
    <xf numFmtId="9" fontId="162" fillId="5" borderId="81" xfId="5" applyFont="1" applyFill="1" applyBorder="1" applyProtection="1"/>
    <xf numFmtId="9" fontId="0" fillId="0" borderId="145" xfId="5" applyFont="1" applyBorder="1" applyProtection="1">
      <protection locked="0"/>
    </xf>
    <xf numFmtId="0" fontId="19" fillId="13" borderId="143" xfId="0" applyFont="1" applyFill="1" applyBorder="1" applyAlignment="1" applyProtection="1">
      <alignment horizontal="center"/>
      <protection locked="0"/>
    </xf>
    <xf numFmtId="0" fontId="19" fillId="13" borderId="144" xfId="0" applyFont="1" applyFill="1" applyBorder="1" applyAlignment="1" applyProtection="1">
      <alignment horizontal="center"/>
      <protection locked="0"/>
    </xf>
    <xf numFmtId="0" fontId="0" fillId="30" borderId="81" xfId="0" applyFill="1" applyBorder="1" applyProtection="1">
      <protection locked="0"/>
    </xf>
    <xf numFmtId="2" fontId="162" fillId="0" borderId="145" xfId="0" applyNumberFormat="1" applyFont="1" applyBorder="1" applyProtection="1"/>
    <xf numFmtId="0" fontId="161" fillId="0" borderId="81" xfId="0" applyFont="1" applyBorder="1" applyProtection="1">
      <protection locked="0"/>
    </xf>
    <xf numFmtId="0" fontId="164" fillId="13" borderId="0" xfId="6" applyFont="1" applyFill="1" applyAlignment="1" applyProtection="1">
      <alignment vertical="center"/>
      <protection locked="0"/>
    </xf>
    <xf numFmtId="0" fontId="93" fillId="13" borderId="0" xfId="6" applyFont="1" applyFill="1" applyAlignment="1" applyProtection="1">
      <alignment vertical="center"/>
      <protection locked="0"/>
    </xf>
    <xf numFmtId="167" fontId="93" fillId="13" borderId="0" xfId="5" applyNumberFormat="1" applyFont="1" applyFill="1" applyAlignment="1" applyProtection="1">
      <alignment horizontal="center" vertical="center"/>
      <protection locked="0"/>
    </xf>
    <xf numFmtId="9" fontId="1" fillId="13" borderId="0" xfId="5" applyFont="1" applyFill="1" applyBorder="1" applyProtection="1">
      <protection locked="0"/>
    </xf>
    <xf numFmtId="9" fontId="0" fillId="13" borderId="0" xfId="5" applyFont="1" applyFill="1" applyBorder="1" applyProtection="1">
      <protection locked="0"/>
    </xf>
    <xf numFmtId="0" fontId="0" fillId="13" borderId="0" xfId="0" applyFill="1" applyBorder="1" applyAlignment="1" applyProtection="1">
      <alignment horizontal="center"/>
      <protection locked="0"/>
    </xf>
    <xf numFmtId="37" fontId="99" fillId="28" borderId="495" xfId="15" applyNumberFormat="1" applyFont="1" applyFill="1" applyBorder="1" applyAlignment="1" applyProtection="1">
      <alignment vertical="center"/>
      <protection locked="0"/>
    </xf>
    <xf numFmtId="0" fontId="165" fillId="13" borderId="0" xfId="6" applyFont="1" applyFill="1" applyBorder="1" applyAlignment="1" applyProtection="1">
      <alignment horizontal="center" vertical="center" wrapText="1"/>
      <protection locked="0"/>
    </xf>
    <xf numFmtId="0" fontId="165" fillId="13" borderId="0" xfId="6" applyFont="1" applyFill="1" applyBorder="1" applyAlignment="1" applyProtection="1">
      <alignment horizontal="center" vertical="center"/>
      <protection locked="0"/>
    </xf>
    <xf numFmtId="0" fontId="3" fillId="13" borderId="141" xfId="0" applyFont="1" applyFill="1" applyBorder="1" applyAlignment="1" applyProtection="1">
      <alignment horizontal="center"/>
      <protection locked="0"/>
    </xf>
    <xf numFmtId="0" fontId="165" fillId="4" borderId="17" xfId="6" applyFont="1" applyFill="1" applyBorder="1" applyAlignment="1" applyProtection="1">
      <alignment vertical="center" wrapText="1"/>
      <protection locked="0"/>
    </xf>
    <xf numFmtId="0" fontId="165" fillId="4" borderId="18" xfId="6" applyFont="1" applyFill="1" applyBorder="1" applyAlignment="1" applyProtection="1">
      <alignment vertical="center" wrapText="1"/>
      <protection locked="0"/>
    </xf>
    <xf numFmtId="0" fontId="160" fillId="4" borderId="495" xfId="0" applyFont="1" applyFill="1" applyBorder="1" applyAlignment="1" applyProtection="1">
      <alignment horizontal="center" vertical="center"/>
      <protection locked="0"/>
    </xf>
    <xf numFmtId="203" fontId="23" fillId="4" borderId="532" xfId="7" applyNumberFormat="1" applyFont="1" applyFill="1" applyBorder="1" applyAlignment="1" applyProtection="1">
      <alignment horizontal="center" vertical="center" wrapText="1"/>
    </xf>
    <xf numFmtId="2" fontId="23" fillId="4" borderId="140" xfId="0" applyNumberFormat="1" applyFont="1" applyFill="1" applyBorder="1" applyProtection="1"/>
    <xf numFmtId="0" fontId="162" fillId="0" borderId="138" xfId="0" applyFont="1" applyBorder="1" applyProtection="1">
      <protection locked="0"/>
    </xf>
    <xf numFmtId="2" fontId="162" fillId="0" borderId="138" xfId="0" applyNumberFormat="1" applyFont="1" applyBorder="1" applyAlignment="1" applyProtection="1">
      <alignment horizontal="center" vertical="center"/>
    </xf>
    <xf numFmtId="2" fontId="162" fillId="0" borderId="140" xfId="0" applyNumberFormat="1" applyFont="1" applyBorder="1" applyAlignment="1" applyProtection="1">
      <alignment horizontal="center" vertical="center"/>
    </xf>
    <xf numFmtId="9" fontId="162" fillId="13" borderId="80" xfId="5" applyFont="1" applyFill="1" applyBorder="1" applyProtection="1">
      <protection locked="0"/>
    </xf>
    <xf numFmtId="9" fontId="162" fillId="0" borderId="139" xfId="5" applyFont="1" applyFill="1" applyBorder="1" applyProtection="1">
      <protection locked="0"/>
    </xf>
    <xf numFmtId="0" fontId="162" fillId="13" borderId="0" xfId="0" applyFont="1" applyFill="1" applyBorder="1" applyAlignment="1" applyProtection="1">
      <alignment horizontal="center"/>
    </xf>
    <xf numFmtId="0" fontId="162" fillId="13" borderId="142" xfId="0" applyFont="1" applyFill="1" applyBorder="1" applyAlignment="1" applyProtection="1">
      <alignment horizontal="center"/>
    </xf>
    <xf numFmtId="2" fontId="162" fillId="0" borderId="140" xfId="0" applyNumberFormat="1" applyFont="1" applyBorder="1" applyProtection="1"/>
    <xf numFmtId="17" fontId="148" fillId="4" borderId="16" xfId="6" quotePrefix="1" applyNumberFormat="1" applyFont="1" applyFill="1" applyBorder="1" applyAlignment="1" applyProtection="1">
      <alignment horizontal="center" vertical="center"/>
      <protection locked="0"/>
    </xf>
    <xf numFmtId="0" fontId="165" fillId="4" borderId="59" xfId="6" applyFont="1" applyFill="1" applyBorder="1" applyAlignment="1" applyProtection="1">
      <alignment horizontal="center" vertical="center"/>
      <protection locked="0"/>
    </xf>
    <xf numFmtId="0" fontId="165" fillId="4" borderId="11" xfId="6" applyFont="1" applyFill="1" applyBorder="1" applyAlignment="1" applyProtection="1">
      <alignment horizontal="center" vertical="center"/>
      <protection locked="0"/>
    </xf>
    <xf numFmtId="0" fontId="162" fillId="13" borderId="533" xfId="0" applyFont="1" applyFill="1" applyBorder="1" applyProtection="1">
      <protection locked="0"/>
    </xf>
    <xf numFmtId="39" fontId="162" fillId="0" borderId="141" xfId="0" applyNumberFormat="1" applyFont="1" applyBorder="1" applyAlignment="1" applyProtection="1">
      <alignment horizontal="center"/>
    </xf>
    <xf numFmtId="39" fontId="162" fillId="0" borderId="142" xfId="0" applyNumberFormat="1" applyFont="1" applyBorder="1" applyAlignment="1" applyProtection="1">
      <alignment horizontal="center"/>
    </xf>
    <xf numFmtId="9" fontId="162" fillId="13" borderId="533" xfId="5" applyFont="1" applyFill="1" applyBorder="1" applyProtection="1">
      <protection locked="0"/>
    </xf>
    <xf numFmtId="9" fontId="162" fillId="0" borderId="0" xfId="5" applyFont="1" applyFill="1" applyBorder="1" applyProtection="1">
      <protection locked="0"/>
    </xf>
    <xf numFmtId="2" fontId="162" fillId="0" borderId="533" xfId="0" applyNumberFormat="1" applyFont="1" applyBorder="1" applyProtection="1"/>
    <xf numFmtId="0" fontId="167" fillId="0" borderId="0" xfId="0" applyFont="1" applyAlignment="1">
      <alignment horizontal="right" vertical="top"/>
    </xf>
    <xf numFmtId="0" fontId="167" fillId="0" borderId="0" xfId="0" applyFont="1" applyAlignment="1">
      <alignment horizontal="center" vertical="top"/>
    </xf>
    <xf numFmtId="180" fontId="107" fillId="13" borderId="0" xfId="11" applyNumberFormat="1" applyFont="1" applyFill="1" applyBorder="1" applyAlignment="1" applyProtection="1">
      <alignment vertical="top"/>
      <protection locked="0"/>
    </xf>
    <xf numFmtId="180" fontId="167" fillId="0" borderId="0" xfId="11" applyNumberFormat="1" applyFont="1" applyAlignment="1">
      <alignment vertical="top"/>
    </xf>
    <xf numFmtId="0" fontId="150" fillId="13" borderId="29" xfId="6" applyFont="1" applyFill="1" applyBorder="1" applyAlignment="1" applyProtection="1">
      <alignment horizontal="center" vertical="center"/>
      <protection locked="0"/>
    </xf>
    <xf numFmtId="0" fontId="150" fillId="13" borderId="19" xfId="6" applyFont="1" applyFill="1" applyBorder="1" applyAlignment="1" applyProtection="1">
      <alignment horizontal="center" vertical="center"/>
      <protection locked="0"/>
    </xf>
    <xf numFmtId="3" fontId="150" fillId="13" borderId="18" xfId="6" applyNumberFormat="1" applyFont="1" applyFill="1" applyBorder="1" applyAlignment="1" applyProtection="1">
      <alignment horizontal="center" vertical="center"/>
      <protection locked="0"/>
    </xf>
    <xf numFmtId="199" fontId="93" fillId="0" borderId="60" xfId="11" applyNumberFormat="1" applyFont="1" applyFill="1" applyBorder="1" applyAlignment="1" applyProtection="1">
      <alignment horizontal="left" vertical="center"/>
      <protection locked="0"/>
    </xf>
    <xf numFmtId="199" fontId="93" fillId="0" borderId="60" xfId="11" applyNumberFormat="1" applyFont="1" applyFill="1" applyBorder="1" applyAlignment="1" applyProtection="1">
      <alignment horizontal="center" vertical="center"/>
      <protection locked="0"/>
    </xf>
    <xf numFmtId="0" fontId="158" fillId="0" borderId="143" xfId="0" applyFont="1" applyBorder="1" applyProtection="1">
      <protection locked="0"/>
    </xf>
    <xf numFmtId="0" fontId="158" fillId="0" borderId="143" xfId="0" applyFont="1" applyBorder="1" applyAlignment="1" applyProtection="1">
      <protection locked="0"/>
    </xf>
    <xf numFmtId="0" fontId="158" fillId="0" borderId="145" xfId="0" applyFont="1" applyBorder="1" applyAlignment="1" applyProtection="1">
      <protection locked="0"/>
    </xf>
    <xf numFmtId="9" fontId="162" fillId="13" borderId="81" xfId="5" applyFont="1" applyFill="1" applyBorder="1" applyProtection="1">
      <protection locked="0"/>
    </xf>
    <xf numFmtId="9" fontId="162" fillId="0" borderId="144" xfId="5" applyFont="1" applyFill="1" applyBorder="1" applyProtection="1">
      <protection locked="0"/>
    </xf>
    <xf numFmtId="0" fontId="162" fillId="13" borderId="143" xfId="0" applyFont="1" applyFill="1" applyBorder="1" applyAlignment="1" applyProtection="1">
      <alignment horizontal="center"/>
    </xf>
    <xf numFmtId="0" fontId="162" fillId="13" borderId="144" xfId="0" applyFont="1" applyFill="1" applyBorder="1" applyAlignment="1" applyProtection="1">
      <alignment horizontal="center"/>
      <protection locked="0"/>
    </xf>
    <xf numFmtId="0" fontId="162" fillId="13" borderId="145" xfId="0" applyFont="1" applyFill="1" applyBorder="1" applyAlignment="1" applyProtection="1">
      <alignment horizontal="center"/>
      <protection locked="0"/>
    </xf>
    <xf numFmtId="2" fontId="162" fillId="0" borderId="81" xfId="0" applyNumberFormat="1" applyFont="1" applyBorder="1" applyProtection="1"/>
    <xf numFmtId="0" fontId="3" fillId="0" borderId="0" xfId="0" applyFont="1" applyBorder="1" applyProtection="1">
      <protection locked="0"/>
    </xf>
    <xf numFmtId="0" fontId="0" fillId="0" borderId="0" xfId="0" applyBorder="1" applyAlignment="1" applyProtection="1">
      <alignment horizontal="center"/>
      <protection locked="0"/>
    </xf>
    <xf numFmtId="204" fontId="0" fillId="0" borderId="0" xfId="7" applyNumberFormat="1" applyFont="1" applyFill="1" applyBorder="1" applyAlignment="1" applyProtection="1">
      <alignment horizontal="center"/>
      <protection locked="0"/>
    </xf>
    <xf numFmtId="205" fontId="0" fillId="0" borderId="0" xfId="7" applyNumberFormat="1" applyFont="1" applyFill="1" applyBorder="1" applyProtection="1">
      <protection locked="0"/>
    </xf>
    <xf numFmtId="9" fontId="0" fillId="0" borderId="0" xfId="5" applyFont="1" applyFill="1" applyBorder="1" applyProtection="1">
      <protection locked="0"/>
    </xf>
    <xf numFmtId="2" fontId="0" fillId="0" borderId="142" xfId="0" applyNumberFormat="1" applyBorder="1" applyProtection="1">
      <protection locked="0"/>
    </xf>
    <xf numFmtId="180" fontId="107" fillId="0" borderId="0" xfId="11" applyNumberFormat="1" applyFont="1" applyFill="1" applyBorder="1" applyAlignment="1" applyProtection="1">
      <alignment vertical="top"/>
      <protection locked="0"/>
    </xf>
    <xf numFmtId="172" fontId="23" fillId="4" borderId="495" xfId="7" applyNumberFormat="1" applyFont="1" applyFill="1" applyBorder="1" applyAlignment="1" applyProtection="1">
      <alignment horizontal="center"/>
    </xf>
    <xf numFmtId="17" fontId="23" fillId="4" borderId="495" xfId="0" applyNumberFormat="1" applyFont="1" applyFill="1" applyBorder="1" applyAlignment="1" applyProtection="1">
      <alignment horizontal="center"/>
    </xf>
    <xf numFmtId="17" fontId="23" fillId="4" borderId="531" xfId="0" applyNumberFormat="1" applyFont="1" applyFill="1" applyBorder="1" applyAlignment="1" applyProtection="1">
      <alignment horizontal="center"/>
    </xf>
    <xf numFmtId="9" fontId="23" fillId="4" borderId="495" xfId="5" applyFont="1" applyFill="1" applyBorder="1" applyAlignment="1" applyProtection="1">
      <alignment horizontal="center"/>
    </xf>
    <xf numFmtId="9" fontId="160" fillId="4" borderId="531" xfId="5" applyFont="1" applyFill="1" applyBorder="1" applyProtection="1">
      <protection locked="0"/>
    </xf>
    <xf numFmtId="2" fontId="160" fillId="4" borderId="80" xfId="0" applyNumberFormat="1" applyFont="1" applyFill="1" applyBorder="1" applyProtection="1"/>
    <xf numFmtId="0" fontId="158" fillId="0" borderId="0" xfId="0" applyFont="1" applyAlignment="1">
      <alignment horizontal="right"/>
    </xf>
    <xf numFmtId="180" fontId="158" fillId="0" borderId="0" xfId="11" applyNumberFormat="1" applyFont="1"/>
    <xf numFmtId="9" fontId="162" fillId="0" borderId="80" xfId="0" applyNumberFormat="1" applyFont="1" applyBorder="1" applyAlignment="1" applyProtection="1">
      <alignment horizontal="center"/>
    </xf>
    <xf numFmtId="9" fontId="162" fillId="31" borderId="140" xfId="5" applyFont="1" applyFill="1" applyBorder="1" applyProtection="1">
      <protection locked="0"/>
    </xf>
    <xf numFmtId="0" fontId="162" fillId="13" borderId="141" xfId="0" applyFont="1" applyFill="1" applyBorder="1" applyAlignment="1" applyProtection="1">
      <alignment horizontal="center"/>
    </xf>
    <xf numFmtId="0" fontId="162" fillId="30" borderId="80" xfId="0" applyFont="1" applyFill="1" applyBorder="1" applyProtection="1">
      <protection locked="0"/>
    </xf>
    <xf numFmtId="9" fontId="162" fillId="13" borderId="81" xfId="0" applyNumberFormat="1" applyFont="1" applyFill="1" applyBorder="1" applyAlignment="1" applyProtection="1">
      <alignment horizontal="center"/>
    </xf>
    <xf numFmtId="9" fontId="162" fillId="31" borderId="145" xfId="5" applyFont="1" applyFill="1" applyBorder="1" applyProtection="1">
      <protection locked="0"/>
    </xf>
    <xf numFmtId="0" fontId="162" fillId="0" borderId="143" xfId="0" applyFont="1" applyFill="1" applyBorder="1" applyAlignment="1" applyProtection="1">
      <alignment horizontal="center"/>
    </xf>
    <xf numFmtId="0" fontId="162" fillId="0" borderId="144" xfId="0" applyFont="1" applyFill="1" applyBorder="1" applyAlignment="1" applyProtection="1">
      <alignment horizontal="center"/>
      <protection locked="0"/>
    </xf>
    <xf numFmtId="0" fontId="162" fillId="13" borderId="145" xfId="0" applyFont="1" applyFill="1" applyBorder="1" applyAlignment="1" applyProtection="1">
      <alignment horizontal="center"/>
    </xf>
    <xf numFmtId="0" fontId="162" fillId="30" borderId="81" xfId="0" applyFont="1" applyFill="1" applyBorder="1" applyProtection="1">
      <protection locked="0"/>
    </xf>
    <xf numFmtId="9" fontId="162" fillId="13" borderId="80" xfId="0" applyNumberFormat="1" applyFont="1" applyFill="1" applyBorder="1" applyAlignment="1" applyProtection="1">
      <alignment horizontal="center"/>
    </xf>
    <xf numFmtId="0" fontId="155" fillId="0" borderId="138" xfId="0" applyFont="1" applyBorder="1" applyAlignment="1">
      <alignment horizontal="right"/>
    </xf>
    <xf numFmtId="37" fontId="99" fillId="0" borderId="140" xfId="15" applyNumberFormat="1" applyFont="1" applyFill="1" applyBorder="1" applyAlignment="1" applyProtection="1">
      <alignment vertical="center"/>
      <protection locked="0"/>
    </xf>
    <xf numFmtId="0" fontId="155" fillId="0" borderId="534" xfId="0" applyFont="1" applyBorder="1" applyAlignment="1">
      <alignment horizontal="right"/>
    </xf>
    <xf numFmtId="37" fontId="99" fillId="0" borderId="142" xfId="15" applyNumberFormat="1" applyFont="1" applyFill="1" applyBorder="1" applyAlignment="1" applyProtection="1">
      <alignment vertical="center"/>
      <protection locked="0"/>
    </xf>
    <xf numFmtId="0" fontId="162" fillId="30" borderId="80" xfId="0" applyFont="1" applyFill="1" applyBorder="1" applyProtection="1"/>
    <xf numFmtId="0" fontId="168" fillId="4" borderId="532" xfId="0" applyFont="1" applyFill="1" applyBorder="1" applyAlignment="1">
      <alignment horizontal="right"/>
    </xf>
    <xf numFmtId="39" fontId="16" fillId="0" borderId="349" xfId="15" applyNumberFormat="1" applyFont="1" applyFill="1" applyBorder="1" applyAlignment="1" applyProtection="1">
      <alignment vertical="center"/>
      <protection locked="0"/>
    </xf>
    <xf numFmtId="39" fontId="16" fillId="0" borderId="531" xfId="15" applyNumberFormat="1" applyFont="1" applyFill="1" applyBorder="1" applyAlignment="1" applyProtection="1">
      <alignment vertical="center"/>
      <protection locked="0"/>
    </xf>
    <xf numFmtId="0" fontId="162" fillId="0" borderId="80" xfId="0" applyFont="1" applyBorder="1" applyProtection="1">
      <protection locked="0"/>
    </xf>
    <xf numFmtId="0" fontId="162" fillId="13" borderId="138" xfId="0" applyFont="1" applyFill="1" applyBorder="1" applyAlignment="1" applyProtection="1">
      <alignment horizontal="center"/>
    </xf>
    <xf numFmtId="0" fontId="162" fillId="13" borderId="139" xfId="0" applyFont="1" applyFill="1" applyBorder="1" applyAlignment="1" applyProtection="1">
      <alignment horizontal="center"/>
    </xf>
    <xf numFmtId="0" fontId="162" fillId="13" borderId="140" xfId="0" applyFont="1" applyFill="1" applyBorder="1" applyAlignment="1" applyProtection="1">
      <alignment horizontal="center"/>
    </xf>
    <xf numFmtId="3" fontId="93" fillId="13" borderId="0" xfId="6" applyNumberFormat="1" applyFont="1" applyFill="1" applyBorder="1" applyAlignment="1" applyProtection="1">
      <alignment vertical="center"/>
      <protection locked="0"/>
    </xf>
    <xf numFmtId="0" fontId="148" fillId="4" borderId="18" xfId="6" applyFont="1" applyFill="1" applyBorder="1" applyAlignment="1" applyProtection="1">
      <alignment horizontal="center" vertical="center"/>
      <protection locked="0"/>
    </xf>
    <xf numFmtId="0" fontId="158" fillId="13" borderId="29" xfId="6" applyFont="1" applyFill="1" applyBorder="1" applyAlignment="1" applyProtection="1">
      <alignment horizontal="center"/>
      <protection locked="0"/>
    </xf>
    <xf numFmtId="0" fontId="158" fillId="13" borderId="141" xfId="0" applyFont="1" applyFill="1" applyBorder="1" applyProtection="1">
      <protection locked="0"/>
    </xf>
    <xf numFmtId="0" fontId="162" fillId="0" borderId="143" xfId="0" applyFont="1" applyFill="1" applyBorder="1" applyAlignment="1" applyProtection="1">
      <alignment horizontal="center"/>
      <protection locked="0"/>
    </xf>
    <xf numFmtId="0" fontId="162" fillId="30" borderId="81" xfId="0" applyFont="1" applyFill="1" applyBorder="1" applyProtection="1"/>
    <xf numFmtId="0" fontId="73" fillId="13" borderId="47" xfId="6" applyFont="1" applyFill="1" applyBorder="1" applyAlignment="1" applyProtection="1">
      <alignment horizontal="center" vertical="center"/>
      <protection locked="0"/>
    </xf>
    <xf numFmtId="9" fontId="162" fillId="0" borderId="81" xfId="0" applyNumberFormat="1" applyFont="1" applyBorder="1" applyAlignment="1" applyProtection="1">
      <alignment horizontal="center"/>
    </xf>
    <xf numFmtId="0" fontId="170" fillId="0" borderId="535" xfId="6" applyFont="1" applyFill="1" applyBorder="1" applyAlignment="1" applyProtection="1">
      <alignment horizontal="right" vertical="center"/>
      <protection locked="0"/>
    </xf>
    <xf numFmtId="202" fontId="23" fillId="4" borderId="536" xfId="7" applyNumberFormat="1" applyFont="1" applyFill="1" applyBorder="1" applyAlignment="1" applyProtection="1">
      <alignment vertical="center"/>
      <protection locked="0"/>
    </xf>
    <xf numFmtId="202" fontId="23" fillId="4" borderId="537" xfId="7" applyNumberFormat="1" applyFont="1" applyFill="1" applyBorder="1" applyAlignment="1" applyProtection="1">
      <alignment vertical="center" wrapText="1"/>
      <protection locked="0"/>
    </xf>
    <xf numFmtId="202" fontId="23" fillId="4" borderId="353" xfId="7" applyNumberFormat="1" applyFont="1" applyFill="1" applyBorder="1" applyAlignment="1" applyProtection="1">
      <alignment vertical="center" wrapText="1"/>
      <protection locked="0"/>
    </xf>
    <xf numFmtId="0" fontId="147" fillId="0" borderId="12" xfId="6" applyFont="1" applyFill="1" applyBorder="1" applyAlignment="1" applyProtection="1">
      <alignment horizontal="left" vertical="center"/>
      <protection locked="0"/>
    </xf>
    <xf numFmtId="0" fontId="162" fillId="0" borderId="533" xfId="0" applyFont="1" applyBorder="1" applyProtection="1">
      <protection locked="0"/>
    </xf>
    <xf numFmtId="9" fontId="162" fillId="0" borderId="533" xfId="0" applyNumberFormat="1" applyFont="1" applyBorder="1" applyAlignment="1" applyProtection="1">
      <alignment horizontal="center"/>
    </xf>
    <xf numFmtId="9" fontId="162" fillId="31" borderId="142" xfId="5" applyFont="1" applyFill="1" applyBorder="1" applyProtection="1">
      <protection locked="0"/>
    </xf>
    <xf numFmtId="0" fontId="93" fillId="0" borderId="25" xfId="6" applyFont="1" applyFill="1" applyBorder="1" applyAlignment="1" applyProtection="1">
      <alignment horizontal="right" vertical="center"/>
      <protection locked="0"/>
    </xf>
    <xf numFmtId="180" fontId="171" fillId="0" borderId="0" xfId="11" applyNumberFormat="1" applyFont="1" applyBorder="1"/>
    <xf numFmtId="180" fontId="171" fillId="0" borderId="13" xfId="11" applyNumberFormat="1" applyFont="1" applyBorder="1"/>
    <xf numFmtId="3" fontId="147" fillId="0" borderId="126" xfId="14" applyNumberFormat="1" applyFont="1" applyFill="1" applyBorder="1" applyAlignment="1" applyProtection="1">
      <alignment horizontal="center" vertical="center"/>
      <protection locked="0"/>
    </xf>
    <xf numFmtId="0" fontId="147" fillId="0" borderId="126" xfId="14" applyNumberFormat="1" applyFont="1" applyFill="1" applyBorder="1" applyAlignment="1" applyProtection="1">
      <alignment horizontal="center" vertical="center"/>
      <protection locked="0"/>
    </xf>
    <xf numFmtId="0" fontId="147" fillId="0" borderId="60" xfId="14" applyNumberFormat="1" applyFont="1" applyFill="1" applyBorder="1" applyAlignment="1" applyProtection="1">
      <alignment horizontal="center" vertical="center"/>
      <protection locked="0"/>
    </xf>
    <xf numFmtId="9" fontId="172" fillId="0" borderId="0" xfId="0" applyNumberFormat="1" applyFont="1" applyBorder="1" applyProtection="1">
      <protection locked="0"/>
    </xf>
    <xf numFmtId="0" fontId="173" fillId="0" borderId="0" xfId="0" applyFont="1"/>
    <xf numFmtId="180" fontId="173" fillId="0" borderId="0" xfId="11" applyNumberFormat="1" applyFont="1" applyAlignment="1">
      <alignment horizontal="right"/>
    </xf>
    <xf numFmtId="180" fontId="173" fillId="0" borderId="0" xfId="11" applyNumberFormat="1" applyFont="1"/>
    <xf numFmtId="180" fontId="173" fillId="0" borderId="143" xfId="11" applyNumberFormat="1" applyFont="1" applyBorder="1"/>
    <xf numFmtId="180" fontId="173" fillId="0" borderId="144" xfId="11" applyNumberFormat="1" applyFont="1" applyBorder="1"/>
    <xf numFmtId="10" fontId="150" fillId="13" borderId="0" xfId="5" applyNumberFormat="1" applyFont="1" applyFill="1" applyBorder="1" applyAlignment="1" applyProtection="1">
      <alignment horizontal="center" vertical="center"/>
      <protection locked="0"/>
    </xf>
    <xf numFmtId="0" fontId="93" fillId="0" borderId="504" xfId="6" applyFont="1" applyFill="1" applyBorder="1" applyAlignment="1" applyProtection="1">
      <alignment horizontal="right" vertical="center"/>
      <protection locked="0"/>
    </xf>
    <xf numFmtId="0" fontId="163" fillId="4" borderId="495" xfId="0" applyFont="1" applyFill="1" applyBorder="1" applyProtection="1">
      <protection locked="0"/>
    </xf>
    <xf numFmtId="0" fontId="163" fillId="4" borderId="349" xfId="0" applyFont="1" applyFill="1" applyBorder="1" applyAlignment="1" applyProtection="1">
      <alignment horizontal="center" vertical="center"/>
      <protection locked="0"/>
    </xf>
    <xf numFmtId="0" fontId="174" fillId="4" borderId="349" xfId="0" applyFont="1" applyFill="1" applyBorder="1" applyProtection="1">
      <protection locked="0"/>
    </xf>
    <xf numFmtId="9" fontId="23" fillId="4" borderId="495" xfId="0" applyNumberFormat="1" applyFont="1" applyFill="1" applyBorder="1" applyAlignment="1" applyProtection="1">
      <alignment horizontal="center"/>
    </xf>
    <xf numFmtId="9" fontId="23" fillId="4" borderId="531" xfId="0" applyNumberFormat="1" applyFont="1" applyFill="1" applyBorder="1" applyProtection="1">
      <protection locked="0"/>
    </xf>
    <xf numFmtId="0" fontId="160" fillId="4" borderId="532" xfId="0" applyFont="1" applyFill="1" applyBorder="1" applyAlignment="1" applyProtection="1">
      <alignment horizontal="center"/>
    </xf>
    <xf numFmtId="0" fontId="160" fillId="4" borderId="349" xfId="0" applyFont="1" applyFill="1" applyBorder="1" applyAlignment="1" applyProtection="1">
      <alignment horizontal="center"/>
    </xf>
    <xf numFmtId="0" fontId="160" fillId="4" borderId="531" xfId="0" applyFont="1" applyFill="1" applyBorder="1" applyAlignment="1" applyProtection="1">
      <alignment horizontal="center"/>
    </xf>
    <xf numFmtId="0" fontId="23" fillId="4" borderId="495" xfId="0" applyFont="1" applyFill="1" applyBorder="1" applyProtection="1">
      <protection locked="0"/>
    </xf>
    <xf numFmtId="0" fontId="93" fillId="0" borderId="535" xfId="6" applyFont="1" applyFill="1" applyBorder="1" applyAlignment="1" applyProtection="1">
      <alignment horizontal="right" vertical="center"/>
      <protection locked="0"/>
    </xf>
    <xf numFmtId="180" fontId="171" fillId="0" borderId="19" xfId="11" applyNumberFormat="1" applyFont="1" applyBorder="1"/>
    <xf numFmtId="180" fontId="171" fillId="0" borderId="18" xfId="11" applyNumberFormat="1" applyFont="1" applyBorder="1"/>
    <xf numFmtId="0" fontId="162" fillId="0" borderId="141" xfId="0" applyFont="1" applyBorder="1" applyProtection="1">
      <protection locked="0"/>
    </xf>
    <xf numFmtId="0" fontId="162" fillId="0" borderId="0" xfId="0" applyFont="1" applyBorder="1" applyProtection="1">
      <protection locked="0"/>
    </xf>
    <xf numFmtId="9" fontId="162" fillId="13" borderId="80" xfId="5" applyFont="1" applyFill="1" applyBorder="1" applyProtection="1"/>
    <xf numFmtId="0" fontId="162" fillId="13" borderId="138" xfId="0" applyFont="1" applyFill="1" applyBorder="1" applyAlignment="1" applyProtection="1">
      <alignment horizontal="center"/>
      <protection locked="0"/>
    </xf>
    <xf numFmtId="0" fontId="162" fillId="13" borderId="139" xfId="0" applyFont="1" applyFill="1" applyBorder="1" applyAlignment="1" applyProtection="1">
      <alignment horizontal="center"/>
      <protection locked="0"/>
    </xf>
    <xf numFmtId="0" fontId="162" fillId="13" borderId="140" xfId="0" applyFont="1" applyFill="1" applyBorder="1" applyAlignment="1" applyProtection="1">
      <alignment horizontal="center"/>
      <protection locked="0"/>
    </xf>
    <xf numFmtId="0" fontId="162" fillId="30" borderId="533" xfId="0" applyFont="1" applyFill="1" applyBorder="1" applyProtection="1">
      <protection locked="0"/>
    </xf>
    <xf numFmtId="2" fontId="162" fillId="0" borderId="80" xfId="0" applyNumberFormat="1" applyFont="1" applyBorder="1" applyProtection="1"/>
    <xf numFmtId="0" fontId="175" fillId="0" borderId="0" xfId="6" applyFont="1" applyFill="1" applyBorder="1" applyAlignment="1" applyProtection="1">
      <alignment horizontal="right" vertical="center"/>
      <protection locked="0"/>
    </xf>
    <xf numFmtId="180" fontId="176" fillId="0" borderId="0" xfId="11" applyNumberFormat="1" applyFont="1" applyBorder="1"/>
    <xf numFmtId="0" fontId="162" fillId="13" borderId="141" xfId="0" applyFont="1" applyFill="1" applyBorder="1" applyProtection="1">
      <protection locked="0"/>
    </xf>
    <xf numFmtId="9" fontId="162" fillId="13" borderId="533" xfId="5" applyFont="1" applyFill="1" applyBorder="1" applyProtection="1"/>
    <xf numFmtId="0" fontId="162" fillId="13" borderId="141" xfId="0" applyFont="1" applyFill="1" applyBorder="1" applyAlignment="1" applyProtection="1">
      <alignment horizontal="center"/>
      <protection locked="0"/>
    </xf>
    <xf numFmtId="0" fontId="162" fillId="13" borderId="0" xfId="0" applyFont="1" applyFill="1" applyBorder="1" applyAlignment="1" applyProtection="1">
      <alignment horizontal="center"/>
      <protection locked="0"/>
    </xf>
    <xf numFmtId="0" fontId="162" fillId="13" borderId="142" xfId="0" applyFont="1" applyFill="1" applyBorder="1" applyAlignment="1" applyProtection="1">
      <alignment horizontal="center"/>
      <protection locked="0"/>
    </xf>
    <xf numFmtId="0" fontId="162" fillId="0" borderId="143" xfId="0" applyFont="1" applyBorder="1" applyProtection="1">
      <protection locked="0"/>
    </xf>
    <xf numFmtId="0" fontId="162" fillId="0" borderId="144" xfId="0" applyFont="1" applyBorder="1" applyProtection="1">
      <protection locked="0"/>
    </xf>
    <xf numFmtId="9" fontId="162" fillId="13" borderId="81" xfId="5" applyFont="1" applyFill="1" applyBorder="1" applyProtection="1"/>
    <xf numFmtId="0" fontId="162" fillId="13" borderId="143" xfId="0" applyFont="1" applyFill="1" applyBorder="1" applyAlignment="1" applyProtection="1">
      <alignment horizontal="center"/>
      <protection locked="0"/>
    </xf>
    <xf numFmtId="0" fontId="162" fillId="13" borderId="144" xfId="0" applyFont="1" applyFill="1" applyBorder="1" applyAlignment="1" applyProtection="1">
      <alignment horizontal="center"/>
    </xf>
    <xf numFmtId="37" fontId="156" fillId="13" borderId="0" xfId="15" applyNumberFormat="1" applyFont="1" applyFill="1" applyBorder="1" applyAlignment="1" applyProtection="1">
      <alignment vertical="center"/>
    </xf>
    <xf numFmtId="37" fontId="99" fillId="0" borderId="16" xfId="15" applyNumberFormat="1" applyFont="1" applyFill="1" applyBorder="1" applyAlignment="1" applyProtection="1">
      <alignment vertical="center"/>
      <protection locked="0"/>
    </xf>
    <xf numFmtId="37" fontId="99" fillId="0" borderId="11" xfId="15" applyNumberFormat="1" applyFont="1" applyFill="1" applyBorder="1" applyAlignment="1" applyProtection="1">
      <alignment vertical="center"/>
      <protection locked="0"/>
    </xf>
    <xf numFmtId="9" fontId="24" fillId="0" borderId="0" xfId="0" applyNumberFormat="1" applyFont="1" applyBorder="1" applyProtection="1">
      <protection locked="0"/>
    </xf>
    <xf numFmtId="0" fontId="93" fillId="0" borderId="17" xfId="6" applyFont="1" applyFill="1" applyBorder="1" applyAlignment="1" applyProtection="1">
      <alignment horizontal="right" vertical="center"/>
      <protection locked="0"/>
    </xf>
    <xf numFmtId="0" fontId="0" fillId="0" borderId="143" xfId="0" applyBorder="1" applyProtection="1">
      <protection locked="0"/>
    </xf>
    <xf numFmtId="0" fontId="0" fillId="0" borderId="144" xfId="0" applyBorder="1" applyProtection="1">
      <protection locked="0"/>
    </xf>
    <xf numFmtId="0" fontId="0" fillId="0" borderId="144" xfId="0" applyBorder="1" applyAlignment="1" applyProtection="1">
      <alignment horizontal="center"/>
      <protection locked="0"/>
    </xf>
    <xf numFmtId="2" fontId="177" fillId="20" borderId="495" xfId="0" applyNumberFormat="1" applyFont="1" applyFill="1" applyBorder="1" applyProtection="1"/>
    <xf numFmtId="0" fontId="0" fillId="0" borderId="0" xfId="0" applyAlignment="1" applyProtection="1">
      <alignment horizontal="center"/>
      <protection locked="0"/>
    </xf>
    <xf numFmtId="37" fontId="156" fillId="0" borderId="0" xfId="15" applyNumberFormat="1" applyFont="1" applyFill="1" applyBorder="1" applyAlignment="1" applyProtection="1">
      <alignment vertical="center"/>
    </xf>
    <xf numFmtId="0" fontId="73" fillId="13" borderId="17" xfId="6" applyFont="1" applyFill="1" applyBorder="1" applyAlignment="1" applyProtection="1">
      <alignment vertical="center"/>
      <protection locked="0"/>
    </xf>
    <xf numFmtId="3" fontId="73" fillId="13" borderId="535" xfId="10" applyNumberFormat="1" applyFont="1" applyFill="1" applyBorder="1" applyAlignment="1" applyProtection="1">
      <alignment vertical="center"/>
      <protection locked="0"/>
    </xf>
    <xf numFmtId="3" fontId="73" fillId="13" borderId="538" xfId="10" applyNumberFormat="1" applyFont="1" applyFill="1" applyBorder="1" applyAlignment="1" applyProtection="1">
      <alignment vertical="center"/>
      <protection locked="0"/>
    </xf>
    <xf numFmtId="0" fontId="147" fillId="13" borderId="47" xfId="6" applyFont="1" applyFill="1" applyBorder="1" applyAlignment="1" applyProtection="1">
      <alignment vertical="center"/>
      <protection locked="0"/>
    </xf>
    <xf numFmtId="3" fontId="99" fillId="13" borderId="0" xfId="15" applyNumberFormat="1" applyFont="1" applyFill="1" applyBorder="1" applyAlignment="1" applyProtection="1">
      <alignment vertical="center"/>
      <protection locked="0"/>
    </xf>
    <xf numFmtId="3" fontId="99" fillId="13" borderId="13" xfId="15" applyNumberFormat="1" applyFont="1" applyFill="1" applyBorder="1" applyAlignment="1" applyProtection="1">
      <alignment vertical="center"/>
      <protection locked="0"/>
    </xf>
    <xf numFmtId="37" fontId="156" fillId="0" borderId="0" xfId="15" applyNumberFormat="1" applyFont="1" applyFill="1" applyBorder="1" applyAlignment="1" applyProtection="1">
      <alignment vertical="center"/>
      <protection locked="0"/>
    </xf>
    <xf numFmtId="3" fontId="148" fillId="4" borderId="29" xfId="11" applyNumberFormat="1" applyFont="1" applyFill="1" applyBorder="1" applyAlignment="1" applyProtection="1">
      <alignment vertical="center"/>
      <protection locked="0"/>
    </xf>
    <xf numFmtId="3" fontId="148" fillId="4" borderId="15" xfId="11" applyNumberFormat="1" applyFont="1" applyFill="1" applyBorder="1" applyAlignment="1" applyProtection="1">
      <alignment vertical="center"/>
      <protection locked="0"/>
    </xf>
    <xf numFmtId="0" fontId="164" fillId="13" borderId="101" xfId="0" applyFont="1" applyFill="1" applyBorder="1" applyAlignment="1" applyProtection="1">
      <alignment horizontal="center" vertical="center"/>
      <protection locked="0"/>
    </xf>
    <xf numFmtId="0" fontId="164" fillId="13" borderId="125" xfId="0" applyFont="1" applyFill="1" applyBorder="1" applyAlignment="1" applyProtection="1">
      <alignment horizontal="center" vertical="center"/>
      <protection locked="0"/>
    </xf>
    <xf numFmtId="0" fontId="93" fillId="13" borderId="126" xfId="0" applyFont="1" applyFill="1" applyBorder="1" applyAlignment="1" applyProtection="1">
      <alignment horizontal="left" vertical="center"/>
      <protection locked="0"/>
    </xf>
    <xf numFmtId="167" fontId="93" fillId="13" borderId="13" xfId="5" applyNumberFormat="1" applyFont="1" applyFill="1" applyBorder="1" applyAlignment="1" applyProtection="1">
      <alignment horizontal="center" vertical="center"/>
      <protection locked="0"/>
    </xf>
    <xf numFmtId="0" fontId="157" fillId="0" borderId="495" xfId="0" applyFont="1" applyBorder="1" applyAlignment="1" applyProtection="1">
      <alignment vertical="center" wrapText="1"/>
      <protection locked="0"/>
    </xf>
    <xf numFmtId="0" fontId="157" fillId="0" borderId="81" xfId="0" applyFont="1" applyBorder="1" applyAlignment="1" applyProtection="1">
      <alignment vertical="center" wrapText="1"/>
      <protection locked="0"/>
    </xf>
    <xf numFmtId="37" fontId="157" fillId="0" borderId="81" xfId="0" applyNumberFormat="1" applyFont="1" applyBorder="1" applyAlignment="1" applyProtection="1">
      <alignment vertical="center" wrapText="1"/>
      <protection locked="0"/>
    </xf>
    <xf numFmtId="14" fontId="157" fillId="0" borderId="495" xfId="15" applyNumberFormat="1" applyFont="1" applyFill="1" applyBorder="1" applyAlignment="1" applyProtection="1">
      <alignment horizontal="left" vertical="center"/>
      <protection locked="0"/>
    </xf>
    <xf numFmtId="0" fontId="164" fillId="13" borderId="535" xfId="0" applyFont="1" applyFill="1" applyBorder="1" applyAlignment="1" applyProtection="1">
      <alignment horizontal="center" vertical="center"/>
      <protection locked="0"/>
    </xf>
    <xf numFmtId="9" fontId="164" fillId="13" borderId="18" xfId="5" applyFont="1" applyFill="1" applyBorder="1" applyAlignment="1" applyProtection="1">
      <alignment horizontal="center" vertical="center"/>
      <protection locked="0"/>
    </xf>
    <xf numFmtId="37" fontId="148" fillId="27" borderId="0" xfId="15" applyNumberFormat="1" applyFont="1" applyFill="1" applyBorder="1" applyAlignment="1" applyProtection="1">
      <alignment vertical="center"/>
      <protection locked="0"/>
    </xf>
    <xf numFmtId="37" fontId="156" fillId="27" borderId="0" xfId="15" applyNumberFormat="1" applyFont="1" applyFill="1" applyBorder="1" applyAlignment="1" applyProtection="1">
      <alignment vertical="center"/>
      <protection locked="0"/>
    </xf>
    <xf numFmtId="37" fontId="178" fillId="4" borderId="0" xfId="15" applyNumberFormat="1" applyFont="1" applyFill="1" applyBorder="1" applyAlignment="1" applyProtection="1">
      <alignment vertical="center"/>
      <protection locked="0"/>
    </xf>
    <xf numFmtId="0" fontId="149" fillId="13" borderId="0" xfId="6" applyFont="1" applyFill="1" applyAlignment="1" applyProtection="1">
      <alignment vertical="center"/>
      <protection locked="0"/>
    </xf>
    <xf numFmtId="17" fontId="148" fillId="4" borderId="18" xfId="6" applyNumberFormat="1" applyFont="1" applyFill="1" applyBorder="1" applyAlignment="1" applyProtection="1">
      <alignment horizontal="center" vertical="center"/>
      <protection locked="0"/>
    </xf>
    <xf numFmtId="17" fontId="148" fillId="4" borderId="11" xfId="6" applyNumberFormat="1" applyFont="1" applyFill="1" applyBorder="1" applyAlignment="1" applyProtection="1">
      <alignment horizontal="center" vertical="center"/>
      <protection locked="0"/>
    </xf>
    <xf numFmtId="3" fontId="150" fillId="13" borderId="21" xfId="11" applyNumberFormat="1" applyFont="1" applyFill="1" applyBorder="1" applyAlignment="1" applyProtection="1">
      <alignment vertical="center"/>
      <protection locked="0"/>
    </xf>
    <xf numFmtId="9" fontId="153" fillId="13" borderId="102" xfId="5" applyFont="1" applyFill="1" applyBorder="1" applyAlignment="1" applyProtection="1">
      <alignment horizontal="center" vertical="center"/>
      <protection locked="0"/>
    </xf>
    <xf numFmtId="9" fontId="153" fillId="13" borderId="21" xfId="5" applyFont="1" applyFill="1" applyBorder="1" applyAlignment="1" applyProtection="1">
      <alignment horizontal="center" vertical="center"/>
      <protection locked="0"/>
    </xf>
    <xf numFmtId="3" fontId="150" fillId="13" borderId="0" xfId="6" applyNumberFormat="1" applyFont="1" applyFill="1" applyBorder="1" applyAlignment="1" applyProtection="1">
      <alignment vertical="center"/>
      <protection locked="0"/>
    </xf>
    <xf numFmtId="3" fontId="150" fillId="13" borderId="13" xfId="6" applyNumberFormat="1" applyFont="1" applyFill="1" applyBorder="1" applyAlignment="1" applyProtection="1">
      <alignment vertical="center"/>
      <protection locked="0"/>
    </xf>
    <xf numFmtId="3" fontId="148" fillId="4" borderId="21" xfId="11" applyNumberFormat="1" applyFont="1" applyFill="1" applyBorder="1" applyAlignment="1" applyProtection="1">
      <alignment vertical="center"/>
      <protection locked="0"/>
    </xf>
    <xf numFmtId="3" fontId="149" fillId="13" borderId="29" xfId="11" applyNumberFormat="1" applyFont="1" applyFill="1" applyBorder="1" applyAlignment="1" applyProtection="1">
      <alignment vertical="center"/>
      <protection locked="0"/>
    </xf>
    <xf numFmtId="3" fontId="149" fillId="13" borderId="15" xfId="11" applyNumberFormat="1" applyFont="1" applyFill="1" applyBorder="1" applyAlignment="1" applyProtection="1">
      <alignment vertical="center"/>
      <protection locked="0"/>
    </xf>
    <xf numFmtId="199" fontId="150" fillId="13" borderId="102" xfId="11" applyNumberFormat="1" applyFont="1" applyFill="1" applyBorder="1" applyAlignment="1" applyProtection="1">
      <alignment vertical="center"/>
      <protection locked="0"/>
    </xf>
    <xf numFmtId="199" fontId="150" fillId="13" borderId="21" xfId="11" applyNumberFormat="1" applyFont="1" applyFill="1" applyBorder="1" applyAlignment="1" applyProtection="1">
      <alignment vertical="center"/>
      <protection locked="0"/>
    </xf>
    <xf numFmtId="0" fontId="150" fillId="13" borderId="25" xfId="6" applyFont="1" applyFill="1" applyBorder="1" applyAlignment="1" applyProtection="1">
      <alignment vertical="center"/>
      <protection locked="0"/>
    </xf>
    <xf numFmtId="199" fontId="150" fillId="13" borderId="112" xfId="11" applyNumberFormat="1" applyFont="1" applyFill="1" applyBorder="1" applyAlignment="1" applyProtection="1">
      <alignment vertical="center"/>
      <protection locked="0"/>
    </xf>
    <xf numFmtId="199" fontId="150" fillId="0" borderId="112" xfId="11" applyNumberFormat="1" applyFont="1" applyFill="1" applyBorder="1" applyAlignment="1" applyProtection="1">
      <alignment vertical="center"/>
      <protection locked="0"/>
    </xf>
    <xf numFmtId="3" fontId="150" fillId="13" borderId="112" xfId="11" applyNumberFormat="1" applyFont="1" applyFill="1" applyBorder="1" applyAlignment="1" applyProtection="1">
      <alignment vertical="center"/>
      <protection locked="0"/>
    </xf>
    <xf numFmtId="3" fontId="150" fillId="13" borderId="31" xfId="11" applyNumberFormat="1" applyFont="1" applyFill="1" applyBorder="1" applyAlignment="1" applyProtection="1">
      <alignment vertical="center"/>
      <protection locked="0"/>
    </xf>
    <xf numFmtId="0" fontId="73" fillId="32" borderId="535" xfId="6" applyFont="1" applyFill="1" applyBorder="1" applyAlignment="1" applyProtection="1">
      <alignment vertical="center"/>
      <protection locked="0"/>
    </xf>
    <xf numFmtId="3" fontId="73" fillId="32" borderId="539" xfId="11" applyNumberFormat="1" applyFont="1" applyFill="1" applyBorder="1" applyAlignment="1" applyProtection="1">
      <alignment vertical="center"/>
      <protection locked="0"/>
    </xf>
    <xf numFmtId="3" fontId="73" fillId="32" borderId="538" xfId="11" applyNumberFormat="1" applyFont="1" applyFill="1" applyBorder="1" applyAlignment="1" applyProtection="1">
      <alignment vertical="center"/>
      <protection locked="0"/>
    </xf>
    <xf numFmtId="164" fontId="150" fillId="13" borderId="29" xfId="6" applyNumberFormat="1" applyFont="1" applyFill="1" applyBorder="1" applyAlignment="1" applyProtection="1">
      <alignment horizontal="center" vertical="center"/>
      <protection locked="0"/>
    </xf>
    <xf numFmtId="164" fontId="150" fillId="13" borderId="15" xfId="6" applyNumberFormat="1" applyFont="1" applyFill="1" applyBorder="1" applyAlignment="1" applyProtection="1">
      <alignment horizontal="center" vertical="center"/>
      <protection locked="0"/>
    </xf>
    <xf numFmtId="1" fontId="150" fillId="13" borderId="29" xfId="6" applyNumberFormat="1" applyFont="1" applyFill="1" applyBorder="1" applyAlignment="1" applyProtection="1">
      <alignment horizontal="center" vertical="center"/>
      <protection locked="0"/>
    </xf>
    <xf numFmtId="1" fontId="150" fillId="13" borderId="15" xfId="6" applyNumberFormat="1" applyFont="1" applyFill="1" applyBorder="1" applyAlignment="1" applyProtection="1">
      <alignment horizontal="center" vertical="center"/>
      <protection locked="0"/>
    </xf>
    <xf numFmtId="37" fontId="156" fillId="27" borderId="0" xfId="15" applyNumberFormat="1" applyFont="1" applyFill="1" applyBorder="1" applyAlignment="1" applyProtection="1">
      <alignment vertical="center"/>
    </xf>
    <xf numFmtId="0" fontId="165" fillId="4" borderId="47" xfId="0" applyFont="1" applyFill="1" applyBorder="1" applyAlignment="1" applyProtection="1">
      <alignment horizontal="center" vertical="center" wrapText="1"/>
      <protection locked="0"/>
    </xf>
    <xf numFmtId="0" fontId="0" fillId="13" borderId="0" xfId="0" applyFill="1"/>
    <xf numFmtId="0" fontId="164" fillId="13" borderId="47" xfId="0" applyFont="1" applyFill="1" applyBorder="1" applyAlignment="1" applyProtection="1">
      <alignment horizontal="center" vertical="center"/>
      <protection locked="0"/>
    </xf>
    <xf numFmtId="1" fontId="164" fillId="13" borderId="59" xfId="0" applyNumberFormat="1" applyFont="1" applyFill="1" applyBorder="1" applyAlignment="1" applyProtection="1">
      <alignment horizontal="center" vertical="center"/>
      <protection locked="0"/>
    </xf>
    <xf numFmtId="0" fontId="93" fillId="13" borderId="60" xfId="0" applyFont="1" applyFill="1" applyBorder="1" applyAlignment="1" applyProtection="1">
      <alignment horizontal="left" vertical="center"/>
      <protection locked="0"/>
    </xf>
    <xf numFmtId="172" fontId="93" fillId="13" borderId="10" xfId="7" applyNumberFormat="1" applyFont="1" applyFill="1" applyBorder="1" applyAlignment="1" applyProtection="1">
      <alignment horizontal="center" vertical="center"/>
      <protection locked="0"/>
    </xf>
    <xf numFmtId="172" fontId="93" fillId="13" borderId="59" xfId="7" applyNumberFormat="1" applyFont="1" applyFill="1" applyBorder="1" applyAlignment="1" applyProtection="1">
      <alignment horizontal="center" vertical="center"/>
      <protection locked="0"/>
    </xf>
    <xf numFmtId="172" fontId="93" fillId="13" borderId="10" xfId="7" quotePrefix="1" applyNumberFormat="1" applyFont="1" applyFill="1" applyBorder="1" applyAlignment="1" applyProtection="1">
      <alignment horizontal="center" vertical="center"/>
      <protection locked="0"/>
    </xf>
    <xf numFmtId="172" fontId="93" fillId="13" borderId="59" xfId="7" quotePrefix="1" applyNumberFormat="1" applyFont="1" applyFill="1" applyBorder="1" applyAlignment="1" applyProtection="1">
      <alignment horizontal="center" vertical="center"/>
      <protection locked="0"/>
    </xf>
    <xf numFmtId="172" fontId="93" fillId="13" borderId="12" xfId="7" applyNumberFormat="1" applyFont="1" applyFill="1" applyBorder="1" applyAlignment="1" applyProtection="1">
      <alignment horizontal="center" vertical="center"/>
      <protection locked="0"/>
    </xf>
    <xf numFmtId="172" fontId="93" fillId="13" borderId="60" xfId="7" applyNumberFormat="1" applyFont="1" applyFill="1" applyBorder="1" applyAlignment="1" applyProtection="1">
      <alignment horizontal="center" vertical="center"/>
      <protection locked="0"/>
    </xf>
    <xf numFmtId="172" fontId="93" fillId="13" borderId="12" xfId="7" quotePrefix="1" applyNumberFormat="1" applyFont="1" applyFill="1" applyBorder="1" applyAlignment="1" applyProtection="1">
      <alignment horizontal="center" vertical="center"/>
      <protection locked="0"/>
    </xf>
    <xf numFmtId="172" fontId="93" fillId="13" borderId="60" xfId="7" quotePrefix="1" applyNumberFormat="1" applyFont="1" applyFill="1" applyBorder="1" applyAlignment="1" applyProtection="1">
      <alignment horizontal="center" vertical="center"/>
      <protection locked="0"/>
    </xf>
    <xf numFmtId="0" fontId="165" fillId="4" borderId="17" xfId="0" applyFont="1" applyFill="1" applyBorder="1" applyAlignment="1" applyProtection="1">
      <alignment horizontal="center" vertical="center"/>
      <protection locked="0"/>
    </xf>
    <xf numFmtId="0" fontId="165" fillId="4" borderId="18" xfId="0" applyFont="1" applyFill="1" applyBorder="1" applyAlignment="1" applyProtection="1">
      <alignment horizontal="center" vertical="center"/>
      <protection locked="0"/>
    </xf>
    <xf numFmtId="0" fontId="165" fillId="4" borderId="61" xfId="0" applyFont="1" applyFill="1" applyBorder="1" applyAlignment="1" applyProtection="1">
      <alignment horizontal="center" vertical="center"/>
      <protection locked="0"/>
    </xf>
    <xf numFmtId="0" fontId="165" fillId="4" borderId="29" xfId="0" applyFont="1" applyFill="1" applyBorder="1" applyAlignment="1" applyProtection="1">
      <alignment horizontal="center" vertical="center"/>
      <protection locked="0"/>
    </xf>
    <xf numFmtId="0" fontId="165" fillId="4" borderId="15" xfId="0" applyFont="1" applyFill="1" applyBorder="1" applyAlignment="1" applyProtection="1">
      <alignment horizontal="center" vertical="center"/>
      <protection locked="0"/>
    </xf>
    <xf numFmtId="0" fontId="93" fillId="0" borderId="10" xfId="0" applyFont="1" applyFill="1" applyBorder="1" applyAlignment="1" applyProtection="1">
      <alignment horizontal="left" vertical="center"/>
      <protection locked="0"/>
    </xf>
    <xf numFmtId="0" fontId="86" fillId="0" borderId="16" xfId="0" applyFont="1" applyFill="1" applyBorder="1" applyAlignment="1" applyProtection="1">
      <alignment horizontal="center"/>
      <protection locked="0"/>
    </xf>
    <xf numFmtId="3" fontId="93" fillId="0" borderId="59" xfId="11" applyNumberFormat="1" applyFont="1" applyFill="1" applyBorder="1" applyAlignment="1" applyProtection="1">
      <alignment horizontal="center" vertical="center"/>
      <protection locked="0"/>
    </xf>
    <xf numFmtId="0" fontId="93" fillId="0" borderId="12" xfId="0" applyFont="1" applyFill="1" applyBorder="1" applyAlignment="1" applyProtection="1">
      <alignment horizontal="left" vertical="center"/>
      <protection locked="0"/>
    </xf>
    <xf numFmtId="0" fontId="86" fillId="0" borderId="0" xfId="0" applyFont="1" applyFill="1" applyBorder="1" applyAlignment="1" applyProtection="1">
      <alignment horizontal="center"/>
      <protection locked="0"/>
    </xf>
    <xf numFmtId="3" fontId="93" fillId="0" borderId="60" xfId="11" applyNumberFormat="1" applyFont="1" applyFill="1" applyBorder="1" applyAlignment="1" applyProtection="1">
      <alignment horizontal="center" vertical="center"/>
      <protection locked="0"/>
    </xf>
    <xf numFmtId="0" fontId="93" fillId="13" borderId="78" xfId="0" applyFont="1" applyFill="1" applyBorder="1" applyAlignment="1" applyProtection="1">
      <alignment horizontal="left" vertical="center"/>
      <protection locked="0"/>
    </xf>
    <xf numFmtId="172" fontId="93" fillId="13" borderId="22" xfId="7" applyNumberFormat="1" applyFont="1" applyFill="1" applyBorder="1" applyAlignment="1" applyProtection="1">
      <alignment horizontal="center" vertical="center"/>
      <protection locked="0"/>
    </xf>
    <xf numFmtId="172" fontId="93" fillId="13" borderId="78" xfId="7" applyNumberFormat="1" applyFont="1" applyFill="1" applyBorder="1" applyAlignment="1" applyProtection="1">
      <alignment horizontal="center" vertical="center"/>
      <protection locked="0"/>
    </xf>
    <xf numFmtId="172" fontId="93" fillId="13" borderId="22" xfId="7" quotePrefix="1" applyNumberFormat="1" applyFont="1" applyFill="1" applyBorder="1" applyAlignment="1" applyProtection="1">
      <alignment horizontal="center" vertical="center"/>
      <protection locked="0"/>
    </xf>
    <xf numFmtId="172" fontId="93" fillId="13" borderId="78" xfId="7" quotePrefix="1" applyNumberFormat="1" applyFont="1" applyFill="1" applyBorder="1" applyAlignment="1" applyProtection="1">
      <alignment horizontal="center" vertical="center"/>
      <protection locked="0"/>
    </xf>
    <xf numFmtId="0" fontId="93" fillId="0" borderId="0" xfId="0" applyFont="1" applyFill="1" applyBorder="1" applyAlignment="1" applyProtection="1">
      <alignment horizontal="center" vertical="center"/>
      <protection locked="0"/>
    </xf>
    <xf numFmtId="0" fontId="93" fillId="5" borderId="61" xfId="0" applyFont="1" applyFill="1" applyBorder="1" applyAlignment="1" applyProtection="1">
      <alignment horizontal="left" vertical="center"/>
      <protection locked="0"/>
    </xf>
    <xf numFmtId="172" fontId="93" fillId="5" borderId="14" xfId="7" applyNumberFormat="1" applyFont="1" applyFill="1" applyBorder="1" applyAlignment="1" applyProtection="1">
      <alignment horizontal="center" vertical="center"/>
      <protection locked="0"/>
    </xf>
    <xf numFmtId="172" fontId="93" fillId="5" borderId="61" xfId="7" applyNumberFormat="1" applyFont="1" applyFill="1" applyBorder="1" applyAlignment="1" applyProtection="1">
      <alignment horizontal="center" vertical="center"/>
      <protection locked="0"/>
    </xf>
    <xf numFmtId="0" fontId="93" fillId="13" borderId="59" xfId="0" applyFont="1" applyFill="1" applyBorder="1" applyAlignment="1" applyProtection="1">
      <alignment horizontal="left" vertical="center"/>
      <protection locked="0"/>
    </xf>
    <xf numFmtId="0" fontId="164" fillId="33" borderId="17" xfId="0" applyFont="1" applyFill="1" applyBorder="1" applyAlignment="1" applyProtection="1">
      <alignment vertical="center"/>
      <protection locked="0"/>
    </xf>
    <xf numFmtId="0" fontId="0" fillId="33" borderId="19" xfId="0" applyFill="1" applyBorder="1" applyProtection="1">
      <protection locked="0"/>
    </xf>
    <xf numFmtId="3" fontId="164" fillId="33" borderId="47" xfId="11" applyNumberFormat="1" applyFont="1" applyFill="1" applyBorder="1" applyAlignment="1" applyProtection="1">
      <alignment horizontal="center" vertical="center"/>
      <protection locked="0"/>
    </xf>
    <xf numFmtId="0" fontId="164" fillId="13" borderId="0" xfId="0" applyFont="1" applyFill="1" applyBorder="1" applyAlignment="1" applyProtection="1">
      <alignment horizontal="left" vertical="center"/>
      <protection locked="0"/>
    </xf>
    <xf numFmtId="172" fontId="164" fillId="13" borderId="19" xfId="7" applyNumberFormat="1" applyFont="1" applyFill="1" applyBorder="1" applyAlignment="1" applyProtection="1">
      <alignment vertical="center"/>
      <protection locked="0"/>
    </xf>
    <xf numFmtId="9" fontId="93" fillId="13" borderId="60" xfId="5" applyFont="1" applyFill="1" applyBorder="1" applyAlignment="1" applyProtection="1">
      <alignment horizontal="center" vertical="center"/>
      <protection locked="0"/>
    </xf>
    <xf numFmtId="9" fontId="93" fillId="13" borderId="59" xfId="5" applyFont="1" applyFill="1" applyBorder="1" applyAlignment="1" applyProtection="1">
      <alignment horizontal="center" vertical="center"/>
      <protection locked="0"/>
    </xf>
    <xf numFmtId="1" fontId="93" fillId="13" borderId="60" xfId="7" applyNumberFormat="1" applyFont="1" applyFill="1" applyBorder="1" applyAlignment="1" applyProtection="1">
      <alignment horizontal="center" vertical="center"/>
      <protection locked="0"/>
    </xf>
    <xf numFmtId="169" fontId="93" fillId="13" borderId="60" xfId="7" applyNumberFormat="1" applyFont="1" applyFill="1" applyBorder="1" applyAlignment="1" applyProtection="1">
      <alignment horizontal="center" vertical="center"/>
      <protection locked="0"/>
    </xf>
    <xf numFmtId="0" fontId="93" fillId="13" borderId="61" xfId="0" applyFont="1" applyFill="1" applyBorder="1" applyAlignment="1" applyProtection="1">
      <alignment horizontal="left" vertical="center"/>
      <protection locked="0"/>
    </xf>
    <xf numFmtId="169" fontId="93" fillId="13" borderId="61" xfId="7" applyNumberFormat="1" applyFont="1" applyFill="1" applyBorder="1" applyAlignment="1" applyProtection="1">
      <alignment horizontal="center" vertical="center"/>
      <protection locked="0"/>
    </xf>
    <xf numFmtId="37" fontId="147" fillId="2" borderId="0" xfId="15" applyNumberFormat="1" applyFont="1" applyFill="1" applyBorder="1" applyAlignment="1" applyProtection="1">
      <alignment vertical="center"/>
      <protection locked="0"/>
    </xf>
    <xf numFmtId="0" fontId="179" fillId="0" borderId="0" xfId="15" applyFont="1" applyFill="1" applyBorder="1" applyAlignment="1" applyProtection="1">
      <alignment vertical="center"/>
      <protection locked="0"/>
    </xf>
    <xf numFmtId="0" fontId="28" fillId="0" borderId="0" xfId="15" applyFont="1" applyFill="1" applyBorder="1" applyAlignment="1">
      <alignment vertical="center"/>
    </xf>
    <xf numFmtId="0" fontId="28" fillId="0" borderId="0" xfId="15" applyFont="1" applyAlignment="1">
      <alignment vertical="center"/>
    </xf>
    <xf numFmtId="0" fontId="30" fillId="0" borderId="0" xfId="15" applyFont="1" applyAlignment="1">
      <alignment vertical="center"/>
    </xf>
    <xf numFmtId="37" fontId="30" fillId="0" borderId="540" xfId="15" applyNumberFormat="1" applyFont="1" applyBorder="1" applyAlignment="1" applyProtection="1">
      <alignment horizontal="left"/>
      <protection locked="0"/>
    </xf>
    <xf numFmtId="37" fontId="30" fillId="0" borderId="541" xfId="15" applyNumberFormat="1" applyFont="1" applyBorder="1" applyAlignment="1" applyProtection="1">
      <alignment horizontal="left"/>
      <protection locked="0"/>
    </xf>
    <xf numFmtId="0" fontId="99" fillId="0" borderId="542" xfId="15" applyFont="1" applyBorder="1" applyProtection="1">
      <protection locked="0"/>
    </xf>
    <xf numFmtId="0" fontId="99" fillId="0" borderId="0" xfId="15" applyFont="1" applyBorder="1" applyProtection="1">
      <protection locked="0"/>
    </xf>
    <xf numFmtId="0" fontId="28" fillId="0" borderId="0" xfId="15" applyFont="1"/>
    <xf numFmtId="0" fontId="28" fillId="0" borderId="543" xfId="15" applyFont="1" applyBorder="1" applyProtection="1">
      <protection locked="0"/>
    </xf>
    <xf numFmtId="37" fontId="99" fillId="0" borderId="544" xfId="15" applyNumberFormat="1" applyFont="1" applyBorder="1" applyAlignment="1" applyProtection="1">
      <alignment horizontal="left"/>
      <protection locked="0"/>
    </xf>
    <xf numFmtId="0" fontId="99" fillId="0" borderId="544" xfId="15" applyFont="1" applyBorder="1" applyProtection="1">
      <protection locked="0"/>
    </xf>
    <xf numFmtId="0" fontId="99" fillId="0" borderId="545" xfId="15" applyFont="1" applyBorder="1" applyProtection="1">
      <protection locked="0"/>
    </xf>
    <xf numFmtId="0" fontId="99" fillId="0" borderId="546" xfId="15" applyFont="1" applyBorder="1" applyProtection="1">
      <protection locked="0"/>
    </xf>
    <xf numFmtId="37" fontId="30" fillId="0" borderId="547" xfId="15" applyNumberFormat="1" applyFont="1" applyBorder="1" applyAlignment="1" applyProtection="1">
      <alignment horizontal="left"/>
      <protection hidden="1"/>
    </xf>
    <xf numFmtId="37" fontId="30" fillId="0" borderId="12" xfId="15" applyNumberFormat="1" applyFont="1" applyBorder="1" applyProtection="1">
      <protection hidden="1"/>
    </xf>
    <xf numFmtId="0" fontId="99" fillId="0" borderId="0" xfId="15" applyFont="1" applyBorder="1" applyProtection="1">
      <protection hidden="1"/>
    </xf>
    <xf numFmtId="0" fontId="30" fillId="0" borderId="0" xfId="15" quotePrefix="1" applyFont="1" applyBorder="1" applyAlignment="1" applyProtection="1">
      <alignment horizontal="right"/>
      <protection hidden="1"/>
    </xf>
    <xf numFmtId="17" fontId="30" fillId="0" borderId="0" xfId="15" applyNumberFormat="1" applyFont="1" applyBorder="1" applyAlignment="1" applyProtection="1">
      <alignment horizontal="left" indent="1"/>
      <protection hidden="1"/>
    </xf>
    <xf numFmtId="15" fontId="30" fillId="0" borderId="0" xfId="15" applyNumberFormat="1" applyFont="1" applyBorder="1" applyAlignment="1" applyProtection="1">
      <alignment horizontal="center"/>
      <protection hidden="1"/>
    </xf>
    <xf numFmtId="0" fontId="100" fillId="0" borderId="0" xfId="15" applyFont="1" applyBorder="1" applyProtection="1">
      <protection hidden="1"/>
    </xf>
    <xf numFmtId="0" fontId="99" fillId="0" borderId="13" xfId="15" applyFont="1" applyBorder="1" applyProtection="1">
      <protection hidden="1"/>
    </xf>
    <xf numFmtId="0" fontId="99" fillId="0" borderId="60" xfId="15" applyFont="1" applyBorder="1" applyProtection="1">
      <protection hidden="1"/>
    </xf>
    <xf numFmtId="0" fontId="30" fillId="0" borderId="12" xfId="15" applyFont="1" applyBorder="1" applyProtection="1">
      <protection hidden="1"/>
    </xf>
    <xf numFmtId="0" fontId="100" fillId="0" borderId="0" xfId="15" applyFont="1" applyBorder="1" applyAlignment="1" applyProtection="1">
      <alignment horizontal="left"/>
      <protection hidden="1"/>
    </xf>
    <xf numFmtId="17" fontId="100" fillId="0" borderId="0" xfId="15" applyNumberFormat="1" applyFont="1" applyBorder="1" applyProtection="1">
      <protection locked="0"/>
    </xf>
    <xf numFmtId="0" fontId="100" fillId="0" borderId="12" xfId="15" applyFont="1" applyBorder="1" applyProtection="1">
      <protection hidden="1"/>
    </xf>
    <xf numFmtId="0" fontId="114" fillId="0" borderId="60" xfId="15" applyFont="1" applyBorder="1" applyProtection="1">
      <protection hidden="1"/>
    </xf>
    <xf numFmtId="0" fontId="100" fillId="10" borderId="47" xfId="15" applyFont="1" applyFill="1" applyBorder="1" applyAlignment="1" applyProtection="1">
      <alignment horizontal="center" vertical="center"/>
      <protection hidden="1"/>
    </xf>
    <xf numFmtId="0" fontId="100" fillId="10" borderId="47" xfId="15" applyNumberFormat="1" applyFont="1" applyFill="1" applyBorder="1" applyAlignment="1" applyProtection="1">
      <alignment horizontal="center" vertical="center" wrapText="1"/>
      <protection hidden="1"/>
    </xf>
    <xf numFmtId="0" fontId="0" fillId="0" borderId="13" xfId="0" applyBorder="1" applyProtection="1">
      <protection hidden="1"/>
    </xf>
    <xf numFmtId="0" fontId="76" fillId="0" borderId="60" xfId="15" applyFont="1" applyBorder="1" applyAlignment="1" applyProtection="1">
      <alignment horizontal="center" vertical="center"/>
      <protection hidden="1"/>
    </xf>
    <xf numFmtId="0" fontId="99" fillId="0" borderId="146" xfId="15" applyFont="1" applyFill="1" applyBorder="1" applyAlignment="1" applyProtection="1">
      <alignment horizontal="left" vertical="center"/>
      <protection locked="0"/>
    </xf>
    <xf numFmtId="3" fontId="99" fillId="0" borderId="86" xfId="15" applyNumberFormat="1" applyFont="1" applyFill="1" applyBorder="1" applyAlignment="1" applyProtection="1">
      <alignment horizontal="center" vertical="center"/>
      <protection locked="0"/>
    </xf>
    <xf numFmtId="3" fontId="99" fillId="0" borderId="86" xfId="15" applyNumberFormat="1" applyFont="1" applyFill="1" applyBorder="1" applyAlignment="1" applyProtection="1">
      <alignment horizontal="right" vertical="center" indent="1"/>
      <protection locked="0"/>
    </xf>
    <xf numFmtId="206" fontId="99" fillId="0" borderId="86" xfId="15" applyNumberFormat="1" applyFont="1" applyFill="1" applyBorder="1" applyAlignment="1" applyProtection="1">
      <alignment horizontal="center" vertical="center"/>
      <protection locked="0"/>
    </xf>
    <xf numFmtId="3" fontId="99" fillId="0" borderId="146" xfId="15" applyNumberFormat="1" applyFont="1" applyFill="1" applyBorder="1" applyAlignment="1" applyProtection="1">
      <alignment horizontal="left" vertical="center"/>
      <protection locked="0"/>
    </xf>
    <xf numFmtId="0" fontId="99" fillId="0" borderId="146" xfId="15" applyFont="1" applyFill="1" applyBorder="1" applyAlignment="1" applyProtection="1">
      <alignment horizontal="center" vertical="center"/>
      <protection locked="0"/>
    </xf>
    <xf numFmtId="0" fontId="99" fillId="8" borderId="74" xfId="15" applyFont="1" applyFill="1" applyBorder="1" applyAlignment="1" applyProtection="1">
      <alignment horizontal="left" vertical="center"/>
      <protection locked="0"/>
    </xf>
    <xf numFmtId="3" fontId="99" fillId="8" borderId="89" xfId="15" applyNumberFormat="1" applyFont="1" applyFill="1" applyBorder="1" applyAlignment="1" applyProtection="1">
      <alignment horizontal="center" vertical="center"/>
      <protection locked="0"/>
    </xf>
    <xf numFmtId="3" fontId="99" fillId="8" borderId="89" xfId="15" applyNumberFormat="1" applyFont="1" applyFill="1" applyBorder="1" applyAlignment="1" applyProtection="1">
      <alignment horizontal="right" vertical="center" indent="1"/>
      <protection locked="0"/>
    </xf>
    <xf numFmtId="206" fontId="99" fillId="8" borderId="89" xfId="15" applyNumberFormat="1" applyFont="1" applyFill="1" applyBorder="1" applyAlignment="1" applyProtection="1">
      <alignment horizontal="center" vertical="center"/>
      <protection locked="0"/>
    </xf>
    <xf numFmtId="3" fontId="99" fillId="0" borderId="74" xfId="15" applyNumberFormat="1" applyFont="1" applyBorder="1" applyAlignment="1" applyProtection="1">
      <alignment horizontal="left" vertical="center"/>
      <protection locked="0"/>
    </xf>
    <xf numFmtId="0" fontId="99" fillId="0" borderId="74" xfId="15" applyFont="1" applyBorder="1" applyAlignment="1" applyProtection="1">
      <alignment horizontal="center" vertical="center"/>
      <protection locked="0"/>
    </xf>
    <xf numFmtId="3" fontId="99" fillId="8" borderId="74" xfId="15" applyNumberFormat="1" applyFont="1" applyFill="1" applyBorder="1" applyAlignment="1" applyProtection="1">
      <alignment horizontal="center" vertical="center"/>
      <protection locked="0"/>
    </xf>
    <xf numFmtId="3" fontId="99" fillId="8" borderId="74" xfId="15" applyNumberFormat="1" applyFont="1" applyFill="1" applyBorder="1" applyAlignment="1" applyProtection="1">
      <alignment horizontal="right" vertical="center" indent="1"/>
      <protection locked="0"/>
    </xf>
    <xf numFmtId="206" fontId="99" fillId="8" borderId="74" xfId="15" applyNumberFormat="1" applyFont="1" applyFill="1" applyBorder="1" applyAlignment="1" applyProtection="1">
      <alignment horizontal="center" vertical="center"/>
      <protection locked="0"/>
    </xf>
    <xf numFmtId="3" fontId="28" fillId="0" borderId="13" xfId="15" applyNumberFormat="1" applyFont="1" applyBorder="1" applyAlignment="1" applyProtection="1">
      <alignment vertical="center"/>
      <protection hidden="1"/>
    </xf>
    <xf numFmtId="0" fontId="99" fillId="8" borderId="47" xfId="15" applyFont="1" applyFill="1" applyBorder="1" applyAlignment="1" applyProtection="1">
      <alignment vertical="center"/>
      <protection hidden="1"/>
    </xf>
    <xf numFmtId="3" fontId="99" fillId="8" borderId="47" xfId="15" applyNumberFormat="1" applyFont="1" applyFill="1" applyBorder="1" applyAlignment="1" applyProtection="1">
      <alignment horizontal="right" vertical="center"/>
      <protection hidden="1"/>
    </xf>
    <xf numFmtId="3" fontId="99" fillId="8" borderId="47" xfId="15" applyNumberFormat="1" applyFont="1" applyFill="1" applyBorder="1" applyAlignment="1" applyProtection="1">
      <alignment horizontal="right" vertical="center" indent="1"/>
      <protection hidden="1"/>
    </xf>
    <xf numFmtId="3" fontId="99" fillId="0" borderId="47" xfId="15" applyNumberFormat="1" applyFont="1" applyFill="1" applyBorder="1" applyAlignment="1" applyProtection="1">
      <alignment horizontal="right" vertical="center"/>
      <protection hidden="1"/>
    </xf>
    <xf numFmtId="0" fontId="28" fillId="0" borderId="13" xfId="15" applyFont="1" applyBorder="1" applyAlignment="1" applyProtection="1">
      <alignment vertical="center"/>
      <protection hidden="1"/>
    </xf>
    <xf numFmtId="37" fontId="180" fillId="0" borderId="548" xfId="15" applyNumberFormat="1" applyFont="1" applyBorder="1" applyAlignment="1" applyProtection="1">
      <alignment horizontal="left"/>
      <protection hidden="1"/>
    </xf>
    <xf numFmtId="37" fontId="100" fillId="0" borderId="12" xfId="15" applyNumberFormat="1" applyFont="1" applyBorder="1" applyProtection="1">
      <protection hidden="1"/>
    </xf>
    <xf numFmtId="0" fontId="100" fillId="0" borderId="0" xfId="15" quotePrefix="1" applyFont="1" applyBorder="1" applyAlignment="1" applyProtection="1">
      <alignment horizontal="left"/>
      <protection hidden="1"/>
    </xf>
    <xf numFmtId="17" fontId="100" fillId="0" borderId="0" xfId="15" applyNumberFormat="1" applyFont="1" applyBorder="1" applyProtection="1">
      <protection hidden="1"/>
    </xf>
    <xf numFmtId="15" fontId="100" fillId="0" borderId="0" xfId="15" applyNumberFormat="1" applyFont="1" applyBorder="1" applyProtection="1">
      <protection hidden="1"/>
    </xf>
    <xf numFmtId="0" fontId="76" fillId="0" borderId="60" xfId="15" applyFont="1" applyBorder="1" applyProtection="1">
      <protection hidden="1"/>
    </xf>
    <xf numFmtId="0" fontId="124" fillId="0" borderId="60" xfId="15" applyFont="1" applyBorder="1" applyAlignment="1" applyProtection="1">
      <alignment horizontal="center" vertical="center"/>
      <protection hidden="1"/>
    </xf>
    <xf numFmtId="0" fontId="28" fillId="0" borderId="14" xfId="15" applyFont="1" applyBorder="1" applyAlignment="1" applyProtection="1">
      <protection hidden="1"/>
    </xf>
    <xf numFmtId="0" fontId="30" fillId="8" borderId="29" xfId="15" applyFont="1" applyFill="1" applyBorder="1" applyAlignment="1" applyProtection="1">
      <protection hidden="1"/>
    </xf>
    <xf numFmtId="9" fontId="30" fillId="8" borderId="29" xfId="5" applyFont="1" applyFill="1" applyBorder="1" applyAlignment="1" applyProtection="1">
      <alignment horizontal="right"/>
      <protection hidden="1"/>
    </xf>
    <xf numFmtId="0" fontId="28" fillId="8" borderId="29" xfId="15" applyFont="1" applyFill="1" applyBorder="1" applyAlignment="1" applyProtection="1">
      <alignment horizontal="left"/>
      <protection hidden="1"/>
    </xf>
    <xf numFmtId="0" fontId="99" fillId="8" borderId="29" xfId="15" applyFont="1" applyFill="1" applyBorder="1" applyAlignment="1" applyProtection="1">
      <protection hidden="1"/>
    </xf>
    <xf numFmtId="0" fontId="28" fillId="8" borderId="29" xfId="15" applyFont="1" applyFill="1" applyBorder="1" applyAlignment="1" applyProtection="1">
      <protection hidden="1"/>
    </xf>
    <xf numFmtId="0" fontId="99" fillId="8" borderId="15" xfId="15" applyFont="1" applyFill="1" applyBorder="1" applyAlignment="1" applyProtection="1">
      <protection hidden="1"/>
    </xf>
    <xf numFmtId="0" fontId="16" fillId="0" borderId="0" xfId="15" applyFont="1" applyFill="1" applyAlignment="1" applyProtection="1">
      <protection locked="0"/>
    </xf>
    <xf numFmtId="0" fontId="16" fillId="0" borderId="0" xfId="15" applyFont="1" applyFill="1" applyAlignment="1" applyProtection="1">
      <alignment vertical="center"/>
      <protection locked="0"/>
    </xf>
    <xf numFmtId="0" fontId="30" fillId="0" borderId="0" xfId="15" applyFont="1" applyAlignment="1" applyProtection="1">
      <alignment vertical="center"/>
      <protection locked="0"/>
    </xf>
    <xf numFmtId="0" fontId="16" fillId="0" borderId="17" xfId="15" applyFont="1" applyBorder="1" applyAlignment="1" applyProtection="1">
      <alignment horizontal="centerContinuous" vertical="center" wrapText="1"/>
      <protection locked="0"/>
    </xf>
    <xf numFmtId="0" fontId="16" fillId="0" borderId="19" xfId="15" applyFont="1" applyBorder="1" applyAlignment="1" applyProtection="1">
      <alignment horizontal="centerContinuous" vertical="center" wrapText="1"/>
      <protection locked="0"/>
    </xf>
    <xf numFmtId="0" fontId="28" fillId="0" borderId="18" xfId="15" applyFont="1" applyBorder="1" applyAlignment="1" applyProtection="1">
      <alignment horizontal="centerContinuous" vertical="center"/>
      <protection locked="0"/>
    </xf>
    <xf numFmtId="0" fontId="15" fillId="0" borderId="12" xfId="15" applyFont="1" applyBorder="1" applyProtection="1">
      <protection locked="0"/>
    </xf>
    <xf numFmtId="0" fontId="28" fillId="0" borderId="13" xfId="15" applyFont="1" applyBorder="1" applyAlignment="1" applyProtection="1">
      <alignment vertical="center"/>
      <protection locked="0"/>
    </xf>
    <xf numFmtId="186" fontId="15" fillId="0" borderId="12" xfId="16" applyNumberFormat="1" applyFont="1" applyBorder="1" applyAlignment="1" applyProtection="1">
      <alignment horizontal="centerContinuous" vertical="center"/>
      <protection locked="0"/>
    </xf>
    <xf numFmtId="186" fontId="15" fillId="0" borderId="13" xfId="16" applyNumberFormat="1" applyFont="1" applyBorder="1" applyAlignment="1" applyProtection="1">
      <alignment horizontal="centerContinuous" vertical="center"/>
      <protection locked="0"/>
    </xf>
    <xf numFmtId="186" fontId="15" fillId="0" borderId="0" xfId="16" applyNumberFormat="1" applyFont="1" applyBorder="1" applyAlignment="1" applyProtection="1">
      <alignment horizontal="centerContinuous" vertical="center"/>
      <protection locked="0"/>
    </xf>
    <xf numFmtId="0" fontId="28" fillId="0" borderId="13" xfId="15" applyFont="1" applyBorder="1" applyAlignment="1" applyProtection="1">
      <alignment horizontal="centerContinuous" vertical="center"/>
      <protection locked="0"/>
    </xf>
    <xf numFmtId="0" fontId="181" fillId="0" borderId="12" xfId="15" applyFont="1" applyBorder="1" applyProtection="1">
      <protection locked="0"/>
    </xf>
    <xf numFmtId="186" fontId="15" fillId="0" borderId="12" xfId="18" applyNumberFormat="1" applyFont="1" applyBorder="1" applyAlignment="1" applyProtection="1">
      <alignment horizontal="centerContinuous" vertical="center"/>
      <protection locked="0"/>
    </xf>
    <xf numFmtId="186" fontId="15" fillId="0" borderId="13" xfId="18" applyNumberFormat="1" applyFont="1" applyBorder="1" applyAlignment="1" applyProtection="1">
      <alignment horizontal="centerContinuous" vertical="center"/>
      <protection locked="0"/>
    </xf>
    <xf numFmtId="0" fontId="15" fillId="0" borderId="14" xfId="15" applyFont="1" applyBorder="1" applyProtection="1">
      <protection locked="0"/>
    </xf>
    <xf numFmtId="0" fontId="28" fillId="0" borderId="29" xfId="15" applyFont="1" applyBorder="1" applyAlignment="1" applyProtection="1">
      <alignment vertical="center"/>
      <protection locked="0"/>
    </xf>
    <xf numFmtId="186" fontId="15" fillId="0" borderId="14" xfId="16" applyNumberFormat="1" applyFont="1" applyBorder="1" applyAlignment="1" applyProtection="1">
      <alignment horizontal="centerContinuous" vertical="center"/>
      <protection locked="0"/>
    </xf>
    <xf numFmtId="186" fontId="15" fillId="0" borderId="15" xfId="16" applyNumberFormat="1" applyFont="1" applyBorder="1" applyAlignment="1" applyProtection="1">
      <alignment horizontal="centerContinuous" vertical="center"/>
      <protection locked="0"/>
    </xf>
    <xf numFmtId="0" fontId="28" fillId="0" borderId="15" xfId="15" applyFont="1" applyBorder="1" applyAlignment="1" applyProtection="1">
      <alignment vertical="center"/>
      <protection locked="0"/>
    </xf>
    <xf numFmtId="0" fontId="28" fillId="0" borderId="15" xfId="15" applyFont="1" applyBorder="1" applyAlignment="1" applyProtection="1">
      <alignment horizontal="centerContinuous" vertical="center"/>
      <protection locked="0"/>
    </xf>
    <xf numFmtId="0" fontId="28" fillId="0" borderId="0" xfId="15" applyFont="1" applyBorder="1" applyAlignment="1">
      <alignment horizontal="left" vertical="center"/>
    </xf>
    <xf numFmtId="0" fontId="28" fillId="8" borderId="0" xfId="15" applyFont="1" applyFill="1" applyBorder="1" applyAlignment="1" applyProtection="1">
      <alignment vertical="center"/>
      <protection locked="0"/>
    </xf>
    <xf numFmtId="0" fontId="28" fillId="8" borderId="0" xfId="15" applyFont="1" applyFill="1" applyBorder="1" applyAlignment="1" applyProtection="1">
      <alignment horizontal="left" vertical="center"/>
      <protection locked="0"/>
    </xf>
    <xf numFmtId="0" fontId="99" fillId="8" borderId="0" xfId="15" applyFont="1" applyFill="1" applyBorder="1" applyAlignment="1" applyProtection="1">
      <alignment horizontal="left" vertical="center"/>
      <protection locked="0"/>
    </xf>
    <xf numFmtId="38" fontId="99" fillId="8" borderId="0" xfId="15" applyNumberFormat="1" applyFont="1" applyFill="1" applyBorder="1" applyAlignment="1" applyProtection="1">
      <alignment horizontal="right" vertical="center"/>
      <protection locked="0"/>
    </xf>
    <xf numFmtId="0" fontId="99" fillId="8" borderId="0" xfId="15" applyFont="1" applyFill="1" applyBorder="1" applyAlignment="1" applyProtection="1">
      <alignment vertical="center"/>
      <protection locked="0"/>
    </xf>
    <xf numFmtId="0" fontId="99" fillId="0" borderId="0" xfId="15" applyFont="1" applyBorder="1" applyAlignment="1">
      <alignment horizontal="left" vertical="center"/>
    </xf>
    <xf numFmtId="0" fontId="31" fillId="0" borderId="0" xfId="15" applyFont="1" applyAlignment="1">
      <alignment vertical="center"/>
    </xf>
    <xf numFmtId="0" fontId="99" fillId="0" borderId="0" xfId="15" applyFont="1" applyBorder="1" applyAlignment="1" applyProtection="1">
      <alignment vertical="center"/>
      <protection locked="0"/>
    </xf>
    <xf numFmtId="0" fontId="99" fillId="0" borderId="0" xfId="15" applyFont="1" applyBorder="1" applyAlignment="1">
      <alignment vertical="center"/>
    </xf>
    <xf numFmtId="0" fontId="28" fillId="0" borderId="0" xfId="15" applyAlignment="1">
      <alignment vertical="center"/>
    </xf>
    <xf numFmtId="0" fontId="100" fillId="8" borderId="0" xfId="15" applyFont="1" applyFill="1" applyBorder="1" applyAlignment="1" applyProtection="1">
      <alignment horizontal="left" vertical="center"/>
      <protection locked="0"/>
    </xf>
    <xf numFmtId="0" fontId="100" fillId="0" borderId="0" xfId="15" applyFont="1" applyBorder="1" applyAlignment="1" applyProtection="1">
      <alignment vertical="center"/>
      <protection locked="0"/>
    </xf>
    <xf numFmtId="0" fontId="28" fillId="0" borderId="0" xfId="15" applyFont="1" applyBorder="1" applyAlignment="1">
      <alignment vertical="center"/>
    </xf>
    <xf numFmtId="0" fontId="28" fillId="2" borderId="0" xfId="15" applyFont="1" applyFill="1" applyAlignment="1">
      <alignment horizontal="center" vertical="center"/>
    </xf>
    <xf numFmtId="0" fontId="28" fillId="2" borderId="0" xfId="15" applyFont="1" applyFill="1" applyAlignment="1">
      <alignment vertical="center"/>
    </xf>
    <xf numFmtId="0" fontId="28" fillId="0" borderId="0" xfId="15" applyFont="1" applyAlignment="1">
      <alignment horizontal="left" vertical="center"/>
    </xf>
    <xf numFmtId="0" fontId="19" fillId="0" borderId="17" xfId="15" applyFont="1" applyBorder="1" applyAlignment="1">
      <alignment vertical="center"/>
    </xf>
    <xf numFmtId="0" fontId="19" fillId="0" borderId="19" xfId="15" applyFont="1" applyBorder="1" applyAlignment="1">
      <alignment vertical="center"/>
    </xf>
    <xf numFmtId="0" fontId="53" fillId="0" borderId="18" xfId="15" applyFont="1" applyFill="1" applyBorder="1" applyAlignment="1">
      <alignment horizontal="right" vertical="center"/>
    </xf>
    <xf numFmtId="0" fontId="19" fillId="0" borderId="0" xfId="15" applyFont="1" applyAlignment="1">
      <alignment vertical="center"/>
    </xf>
    <xf numFmtId="37" fontId="31" fillId="0" borderId="543" xfId="15" applyNumberFormat="1" applyFont="1" applyBorder="1" applyAlignment="1" applyProtection="1">
      <alignment horizontal="left" vertical="center"/>
    </xf>
    <xf numFmtId="37" fontId="31" fillId="0" borderId="544" xfId="15" applyNumberFormat="1" applyFont="1" applyBorder="1" applyAlignment="1" applyProtection="1">
      <alignment horizontal="left" vertical="center"/>
    </xf>
    <xf numFmtId="0" fontId="19" fillId="0" borderId="0" xfId="15" applyFont="1" applyBorder="1" applyAlignment="1">
      <alignment vertical="center"/>
    </xf>
    <xf numFmtId="0" fontId="19" fillId="0" borderId="13" xfId="15" applyFont="1" applyBorder="1" applyAlignment="1">
      <alignment horizontal="right" vertical="center"/>
    </xf>
    <xf numFmtId="37" fontId="31" fillId="0" borderId="549" xfId="15" applyNumberFormat="1" applyFont="1" applyBorder="1" applyAlignment="1" applyProtection="1">
      <alignment horizontal="left" vertical="center"/>
    </xf>
    <xf numFmtId="37" fontId="31" fillId="0" borderId="550" xfId="15" applyNumberFormat="1" applyFont="1" applyBorder="1" applyAlignment="1" applyProtection="1">
      <alignment horizontal="left" vertical="center"/>
    </xf>
    <xf numFmtId="0" fontId="19" fillId="0" borderId="18" xfId="15" applyFont="1" applyBorder="1" applyAlignment="1">
      <alignment horizontal="right" vertical="center"/>
    </xf>
    <xf numFmtId="208" fontId="31" fillId="0" borderId="549" xfId="15" applyNumberFormat="1" applyFont="1" applyBorder="1" applyAlignment="1" applyProtection="1">
      <alignment horizontal="left" vertical="center"/>
    </xf>
    <xf numFmtId="0" fontId="19" fillId="0" borderId="18" xfId="15" applyFont="1" applyBorder="1" applyAlignment="1">
      <alignment vertical="center"/>
    </xf>
    <xf numFmtId="208" fontId="31" fillId="0" borderId="12" xfId="15" applyNumberFormat="1" applyFont="1" applyBorder="1" applyAlignment="1" applyProtection="1">
      <alignment horizontal="left"/>
    </xf>
    <xf numFmtId="37" fontId="31" fillId="0" borderId="10" xfId="15" applyNumberFormat="1" applyFont="1" applyBorder="1" applyAlignment="1" applyProtection="1">
      <alignment horizontal="left"/>
    </xf>
    <xf numFmtId="0" fontId="19" fillId="0" borderId="16" xfId="15" applyFont="1" applyBorder="1"/>
    <xf numFmtId="0" fontId="19" fillId="0" borderId="11" xfId="15" applyFont="1" applyBorder="1"/>
    <xf numFmtId="0" fontId="19" fillId="0" borderId="0" xfId="15" applyFont="1"/>
    <xf numFmtId="0" fontId="19" fillId="0" borderId="12" xfId="15" applyFont="1" applyBorder="1"/>
    <xf numFmtId="0" fontId="19" fillId="0" borderId="0" xfId="15" applyFont="1" applyBorder="1"/>
    <xf numFmtId="0" fontId="19" fillId="0" borderId="13" xfId="15" applyFont="1" applyBorder="1"/>
    <xf numFmtId="208" fontId="31" fillId="0" borderId="12" xfId="15" applyNumberFormat="1" applyFont="1" applyFill="1" applyBorder="1" applyAlignment="1" applyProtection="1">
      <alignment horizontal="left"/>
    </xf>
    <xf numFmtId="37" fontId="31" fillId="0" borderId="12" xfId="15" applyNumberFormat="1" applyFont="1" applyFill="1" applyBorder="1" applyAlignment="1" applyProtection="1">
      <alignment horizontal="left"/>
    </xf>
    <xf numFmtId="0" fontId="19" fillId="0" borderId="0" xfId="15" applyFont="1" applyFill="1" applyBorder="1"/>
    <xf numFmtId="0" fontId="19" fillId="0" borderId="13" xfId="15" applyFont="1" applyFill="1" applyBorder="1"/>
    <xf numFmtId="0" fontId="19" fillId="0" borderId="12" xfId="15" applyFont="1" applyFill="1" applyBorder="1"/>
    <xf numFmtId="0" fontId="19" fillId="0" borderId="14" xfId="15" applyFont="1" applyFill="1" applyBorder="1"/>
    <xf numFmtId="0" fontId="19" fillId="0" borderId="29" xfId="15" applyFont="1" applyFill="1" applyBorder="1"/>
    <xf numFmtId="0" fontId="19" fillId="0" borderId="15" xfId="15" applyFont="1" applyFill="1" applyBorder="1"/>
    <xf numFmtId="208" fontId="31" fillId="0" borderId="543" xfId="15" applyNumberFormat="1" applyFont="1" applyBorder="1" applyAlignment="1" applyProtection="1">
      <alignment horizontal="left"/>
    </xf>
    <xf numFmtId="37" fontId="31" fillId="0" borderId="544" xfId="15" applyNumberFormat="1" applyFont="1" applyBorder="1" applyAlignment="1" applyProtection="1">
      <alignment horizontal="left"/>
    </xf>
    <xf numFmtId="0" fontId="19" fillId="0" borderId="543" xfId="15" applyFont="1" applyBorder="1"/>
    <xf numFmtId="0" fontId="19" fillId="0" borderId="544" xfId="15" applyFont="1" applyBorder="1"/>
    <xf numFmtId="0" fontId="19" fillId="0" borderId="551" xfId="15" applyFont="1" applyBorder="1"/>
    <xf numFmtId="0" fontId="19" fillId="0" borderId="552" xfId="15" applyFont="1" applyBorder="1"/>
    <xf numFmtId="0" fontId="19" fillId="0" borderId="29" xfId="15" applyFont="1" applyBorder="1"/>
    <xf numFmtId="0" fontId="19" fillId="0" borderId="15" xfId="15" applyFont="1" applyBorder="1"/>
    <xf numFmtId="0" fontId="19" fillId="0" borderId="59" xfId="15" applyFont="1" applyBorder="1"/>
    <xf numFmtId="0" fontId="31" fillId="0" borderId="10" xfId="15" applyFont="1" applyBorder="1"/>
    <xf numFmtId="0" fontId="19" fillId="0" borderId="60" xfId="15" applyFont="1" applyBorder="1"/>
    <xf numFmtId="0" fontId="19" fillId="0" borderId="61" xfId="15" applyFont="1" applyBorder="1"/>
    <xf numFmtId="0" fontId="19" fillId="0" borderId="14" xfId="15" applyFont="1" applyBorder="1"/>
    <xf numFmtId="0" fontId="19" fillId="0" borderId="10" xfId="15" applyFont="1" applyBorder="1"/>
    <xf numFmtId="0" fontId="182" fillId="0" borderId="138" xfId="6" applyFont="1" applyFill="1" applyBorder="1" applyAlignment="1">
      <alignment vertical="center"/>
    </xf>
    <xf numFmtId="0" fontId="19" fillId="0" borderId="139" xfId="6" applyFill="1" applyBorder="1" applyAlignment="1">
      <alignment vertical="center"/>
    </xf>
    <xf numFmtId="0" fontId="19" fillId="0" borderId="140" xfId="6" applyFill="1" applyBorder="1" applyAlignment="1">
      <alignment vertical="center"/>
    </xf>
    <xf numFmtId="0" fontId="100" fillId="0" borderId="280" xfId="6" applyFont="1" applyFill="1" applyBorder="1" applyAlignment="1">
      <alignment vertical="center"/>
    </xf>
    <xf numFmtId="0" fontId="100" fillId="0" borderId="0" xfId="6" applyFont="1" applyFill="1" applyBorder="1" applyAlignment="1">
      <alignment vertical="center"/>
    </xf>
    <xf numFmtId="0" fontId="19" fillId="0" borderId="0" xfId="6" applyFill="1" applyBorder="1" applyAlignment="1">
      <alignment vertical="center"/>
    </xf>
    <xf numFmtId="0" fontId="19" fillId="0" borderId="142" xfId="6" applyFill="1" applyBorder="1" applyAlignment="1">
      <alignment vertical="center"/>
    </xf>
    <xf numFmtId="0" fontId="100" fillId="0" borderId="141" xfId="6" applyFont="1" applyFill="1" applyBorder="1" applyAlignment="1">
      <alignment vertical="center"/>
    </xf>
    <xf numFmtId="0" fontId="100" fillId="0" borderId="0" xfId="6" applyFont="1" applyFill="1" applyBorder="1" applyAlignment="1">
      <alignment horizontal="center" vertical="center"/>
    </xf>
    <xf numFmtId="0" fontId="99" fillId="0" borderId="282" xfId="6" applyFont="1" applyFill="1" applyBorder="1" applyAlignment="1">
      <alignment vertical="center" wrapText="1"/>
    </xf>
    <xf numFmtId="0" fontId="99" fillId="0" borderId="146" xfId="6" applyFont="1" applyFill="1" applyBorder="1" applyAlignment="1">
      <alignment horizontal="center" vertical="center"/>
    </xf>
    <xf numFmtId="9" fontId="99" fillId="0" borderId="146" xfId="6" applyNumberFormat="1" applyFont="1" applyFill="1" applyBorder="1" applyAlignment="1">
      <alignment horizontal="right" vertical="center"/>
    </xf>
    <xf numFmtId="0" fontId="99" fillId="0" borderId="341" xfId="6" applyFont="1" applyFill="1" applyBorder="1" applyAlignment="1">
      <alignment vertical="center" wrapText="1"/>
    </xf>
    <xf numFmtId="0" fontId="99" fillId="0" borderId="74" xfId="6" applyFont="1" applyFill="1" applyBorder="1" applyAlignment="1">
      <alignment horizontal="center" vertical="center"/>
    </xf>
    <xf numFmtId="9" fontId="99" fillId="0" borderId="74" xfId="6" applyNumberFormat="1" applyFont="1" applyFill="1" applyBorder="1" applyAlignment="1">
      <alignment horizontal="right" vertical="center"/>
    </xf>
    <xf numFmtId="0" fontId="99" fillId="0" borderId="343" xfId="6" applyFont="1" applyFill="1" applyBorder="1" applyAlignment="1">
      <alignment vertical="center" wrapText="1"/>
    </xf>
    <xf numFmtId="0" fontId="99" fillId="0" borderId="76" xfId="6" applyFont="1" applyFill="1" applyBorder="1" applyAlignment="1">
      <alignment horizontal="center" vertical="center"/>
    </xf>
    <xf numFmtId="9" fontId="99" fillId="0" borderId="76" xfId="6" applyNumberFormat="1" applyFont="1" applyFill="1" applyBorder="1" applyAlignment="1">
      <alignment horizontal="right" vertical="center"/>
    </xf>
    <xf numFmtId="0" fontId="19" fillId="0" borderId="143" xfId="6" applyFill="1" applyBorder="1" applyAlignment="1">
      <alignment vertical="center"/>
    </xf>
    <xf numFmtId="0" fontId="19" fillId="0" borderId="144" xfId="6" applyFill="1" applyBorder="1" applyAlignment="1">
      <alignment vertical="center"/>
    </xf>
    <xf numFmtId="0" fontId="19" fillId="0" borderId="145" xfId="6" applyFill="1" applyBorder="1" applyAlignment="1">
      <alignment vertical="center"/>
    </xf>
    <xf numFmtId="0" fontId="72" fillId="0" borderId="0" xfId="6" applyFont="1" applyAlignment="1">
      <alignment horizontal="centerContinuous" vertical="center"/>
    </xf>
    <xf numFmtId="0" fontId="183" fillId="0" borderId="0" xfId="6" applyFont="1" applyAlignment="1">
      <alignment horizontal="centerContinuous" vertical="center"/>
    </xf>
    <xf numFmtId="0" fontId="14" fillId="0" borderId="296" xfId="6" applyFont="1" applyBorder="1" applyAlignment="1">
      <alignment horizontal="center" vertical="center"/>
    </xf>
    <xf numFmtId="3" fontId="14" fillId="0" borderId="299" xfId="6" applyNumberFormat="1" applyFont="1" applyBorder="1" applyAlignment="1">
      <alignment horizontal="center" vertical="center"/>
    </xf>
    <xf numFmtId="0" fontId="14" fillId="0" borderId="553" xfId="6" applyFont="1" applyBorder="1" applyAlignment="1">
      <alignment horizontal="center" vertical="center"/>
    </xf>
    <xf numFmtId="0" fontId="14" fillId="0" borderId="554" xfId="6" applyFont="1" applyBorder="1" applyAlignment="1">
      <alignment horizontal="center" vertical="center"/>
    </xf>
    <xf numFmtId="0" fontId="136" fillId="0" borderId="514" xfId="6" applyFont="1" applyBorder="1" applyAlignment="1">
      <alignment vertical="center"/>
    </xf>
    <xf numFmtId="209" fontId="136" fillId="0" borderId="0" xfId="6" applyNumberFormat="1" applyFont="1" applyBorder="1" applyAlignment="1">
      <alignment vertical="center"/>
    </xf>
    <xf numFmtId="9" fontId="184" fillId="0" borderId="555" xfId="6" applyNumberFormat="1" applyFont="1" applyBorder="1" applyAlignment="1">
      <alignment horizontal="center" vertical="center"/>
    </xf>
    <xf numFmtId="9" fontId="184" fillId="0" borderId="556" xfId="6" applyNumberFormat="1" applyFont="1" applyBorder="1" applyAlignment="1">
      <alignment horizontal="center" vertical="center"/>
    </xf>
    <xf numFmtId="0" fontId="136" fillId="0" borderId="514" xfId="6" quotePrefix="1" applyFont="1" applyBorder="1" applyAlignment="1">
      <alignment vertical="center"/>
    </xf>
    <xf numFmtId="0" fontId="184" fillId="0" borderId="514" xfId="6" applyFont="1" applyBorder="1" applyAlignment="1">
      <alignment vertical="center"/>
    </xf>
    <xf numFmtId="0" fontId="184" fillId="0" borderId="0" xfId="6" applyFont="1" applyBorder="1" applyAlignment="1">
      <alignment vertical="center"/>
    </xf>
    <xf numFmtId="0" fontId="184" fillId="0" borderId="555" xfId="6" applyFont="1" applyBorder="1" applyAlignment="1">
      <alignment horizontal="center" vertical="center"/>
    </xf>
    <xf numFmtId="0" fontId="184" fillId="0" borderId="556" xfId="6" applyFont="1" applyBorder="1" applyAlignment="1">
      <alignment horizontal="center" vertical="center"/>
    </xf>
    <xf numFmtId="0" fontId="139" fillId="10" borderId="296" xfId="6" applyFont="1" applyFill="1" applyBorder="1" applyAlignment="1">
      <alignment vertical="center"/>
    </xf>
    <xf numFmtId="209" fontId="139" fillId="10" borderId="299" xfId="6" applyNumberFormat="1" applyFont="1" applyFill="1" applyBorder="1" applyAlignment="1">
      <alignment vertical="center"/>
    </xf>
    <xf numFmtId="9" fontId="185" fillId="10" borderId="553" xfId="6" applyNumberFormat="1" applyFont="1" applyFill="1" applyBorder="1" applyAlignment="1">
      <alignment horizontal="center" vertical="center"/>
    </xf>
    <xf numFmtId="9" fontId="185" fillId="10" borderId="554" xfId="6" applyNumberFormat="1" applyFont="1" applyFill="1" applyBorder="1" applyAlignment="1">
      <alignment horizontal="center" vertical="center"/>
    </xf>
    <xf numFmtId="209" fontId="185" fillId="10" borderId="553" xfId="6" applyNumberFormat="1" applyFont="1" applyFill="1" applyBorder="1" applyAlignment="1">
      <alignment horizontal="center" vertical="center"/>
    </xf>
    <xf numFmtId="0" fontId="139" fillId="10" borderId="302" xfId="6" applyFont="1" applyFill="1" applyBorder="1" applyAlignment="1">
      <alignment vertical="center"/>
    </xf>
    <xf numFmtId="209" fontId="139" fillId="10" borderId="301" xfId="6" applyNumberFormat="1" applyFont="1" applyFill="1" applyBorder="1" applyAlignment="1">
      <alignment vertical="center"/>
    </xf>
    <xf numFmtId="9" fontId="185" fillId="10" borderId="557" xfId="6" applyNumberFormat="1" applyFont="1" applyFill="1" applyBorder="1" applyAlignment="1">
      <alignment horizontal="center" vertical="center"/>
    </xf>
    <xf numFmtId="9" fontId="185" fillId="10" borderId="558" xfId="6" applyNumberFormat="1" applyFont="1" applyFill="1" applyBorder="1" applyAlignment="1">
      <alignment horizontal="center" vertical="center"/>
    </xf>
    <xf numFmtId="0" fontId="139" fillId="10" borderId="307" xfId="6" applyFont="1" applyFill="1" applyBorder="1" applyAlignment="1">
      <alignment vertical="center"/>
    </xf>
    <xf numFmtId="209" fontId="139" fillId="10" borderId="58" xfId="6" applyNumberFormat="1" applyFont="1" applyFill="1" applyBorder="1" applyAlignment="1">
      <alignment vertical="center"/>
    </xf>
    <xf numFmtId="9" fontId="185" fillId="10" borderId="559" xfId="6" applyNumberFormat="1" applyFont="1" applyFill="1" applyBorder="1" applyAlignment="1">
      <alignment horizontal="center" vertical="center"/>
    </xf>
    <xf numFmtId="9" fontId="185" fillId="10" borderId="560" xfId="6" applyNumberFormat="1" applyFont="1" applyFill="1" applyBorder="1" applyAlignment="1">
      <alignment horizontal="center" vertical="center"/>
    </xf>
    <xf numFmtId="0" fontId="139" fillId="10" borderId="561" xfId="6" applyFont="1" applyFill="1" applyBorder="1" applyAlignment="1">
      <alignment vertical="center"/>
    </xf>
    <xf numFmtId="209" fontId="139" fillId="10" borderId="562" xfId="6" applyNumberFormat="1" applyFont="1" applyFill="1" applyBorder="1" applyAlignment="1">
      <alignment vertical="center"/>
    </xf>
    <xf numFmtId="9" fontId="185" fillId="10" borderId="563" xfId="6" applyNumberFormat="1" applyFont="1" applyFill="1" applyBorder="1" applyAlignment="1">
      <alignment horizontal="center" vertical="center"/>
    </xf>
    <xf numFmtId="9" fontId="185" fillId="10" borderId="564" xfId="6" applyNumberFormat="1" applyFont="1" applyFill="1" applyBorder="1" applyAlignment="1">
      <alignment horizontal="center" vertical="center"/>
    </xf>
    <xf numFmtId="0" fontId="139" fillId="10" borderId="514" xfId="6" applyFont="1" applyFill="1" applyBorder="1" applyAlignment="1">
      <alignment vertical="center"/>
    </xf>
    <xf numFmtId="184" fontId="139" fillId="10" borderId="0" xfId="6" applyNumberFormat="1" applyFont="1" applyFill="1" applyBorder="1" applyAlignment="1">
      <alignment horizontal="centerContinuous" vertical="center"/>
    </xf>
    <xf numFmtId="0" fontId="185" fillId="10" borderId="565" xfId="6" applyFont="1" applyFill="1" applyBorder="1" applyAlignment="1">
      <alignment horizontal="centerContinuous" vertical="center"/>
    </xf>
    <xf numFmtId="0" fontId="185" fillId="10" borderId="0" xfId="6" applyFont="1" applyFill="1" applyBorder="1" applyAlignment="1">
      <alignment horizontal="centerContinuous" vertical="center"/>
    </xf>
    <xf numFmtId="9" fontId="185" fillId="10" borderId="566" xfId="6" applyNumberFormat="1" applyFont="1" applyFill="1" applyBorder="1" applyAlignment="1">
      <alignment vertical="center"/>
    </xf>
    <xf numFmtId="0" fontId="185" fillId="10" borderId="516" xfId="6" applyFont="1" applyFill="1" applyBorder="1" applyAlignment="1">
      <alignment horizontal="centerContinuous" vertical="center"/>
    </xf>
    <xf numFmtId="9" fontId="185" fillId="10" borderId="567" xfId="6" applyNumberFormat="1" applyFont="1" applyFill="1" applyBorder="1" applyAlignment="1">
      <alignment vertical="center"/>
    </xf>
    <xf numFmtId="0" fontId="139" fillId="10" borderId="316" xfId="6" applyFont="1" applyFill="1" applyBorder="1" applyAlignment="1">
      <alignment vertical="center"/>
    </xf>
    <xf numFmtId="184" fontId="139" fillId="10" borderId="311" xfId="6" applyNumberFormat="1" applyFont="1" applyFill="1" applyBorder="1" applyAlignment="1">
      <alignment horizontal="centerContinuous" vertical="center"/>
    </xf>
    <xf numFmtId="0" fontId="185" fillId="10" borderId="517" xfId="6" applyFont="1" applyFill="1" applyBorder="1" applyAlignment="1">
      <alignment horizontal="centerContinuous" vertical="center"/>
    </xf>
    <xf numFmtId="0" fontId="185" fillId="10" borderId="311" xfId="6" applyFont="1" applyFill="1" applyBorder="1" applyAlignment="1">
      <alignment horizontal="centerContinuous" vertical="center"/>
    </xf>
    <xf numFmtId="9" fontId="185" fillId="10" borderId="568" xfId="6" applyNumberFormat="1" applyFont="1" applyFill="1" applyBorder="1" applyAlignment="1">
      <alignment vertical="center"/>
    </xf>
    <xf numFmtId="3" fontId="14" fillId="0" borderId="299" xfId="6" applyNumberFormat="1" applyFont="1" applyBorder="1" applyAlignment="1">
      <alignment horizontal="centerContinuous" vertical="center"/>
    </xf>
    <xf numFmtId="0" fontId="184" fillId="0" borderId="333" xfId="6" applyFont="1" applyBorder="1" applyAlignment="1">
      <alignment horizontal="centerContinuous" vertical="center"/>
    </xf>
    <xf numFmtId="0" fontId="184" fillId="0" borderId="299" xfId="6" applyFont="1" applyBorder="1" applyAlignment="1">
      <alignment horizontal="centerContinuous" vertical="center"/>
    </xf>
    <xf numFmtId="167" fontId="136" fillId="0" borderId="0" xfId="6" applyNumberFormat="1" applyFont="1" applyBorder="1" applyAlignment="1">
      <alignment horizontal="centerContinuous" vertical="center"/>
    </xf>
    <xf numFmtId="0" fontId="184" fillId="0" borderId="516" xfId="6" applyFont="1" applyBorder="1" applyAlignment="1">
      <alignment horizontal="centerContinuous" vertical="center"/>
    </xf>
    <xf numFmtId="0" fontId="184" fillId="0" borderId="0" xfId="6" applyFont="1" applyBorder="1" applyAlignment="1">
      <alignment horizontal="centerContinuous" vertical="center"/>
    </xf>
    <xf numFmtId="193" fontId="136" fillId="0" borderId="0" xfId="6" applyNumberFormat="1" applyFont="1" applyBorder="1" applyAlignment="1">
      <alignment horizontal="centerContinuous" vertical="center"/>
    </xf>
    <xf numFmtId="0" fontId="136" fillId="0" borderId="316" xfId="6" applyFont="1" applyBorder="1" applyAlignment="1">
      <alignment vertical="center"/>
    </xf>
    <xf numFmtId="167" fontId="136" fillId="0" borderId="311" xfId="6" applyNumberFormat="1" applyFont="1" applyBorder="1" applyAlignment="1">
      <alignment horizontal="centerContinuous" vertical="center"/>
    </xf>
    <xf numFmtId="0" fontId="184" fillId="0" borderId="517" xfId="6" applyFont="1" applyBorder="1" applyAlignment="1">
      <alignment horizontal="centerContinuous" vertical="center"/>
    </xf>
    <xf numFmtId="0" fontId="184" fillId="0" borderId="311" xfId="6" applyFont="1" applyBorder="1" applyAlignment="1">
      <alignment horizontal="centerContinuous" vertical="center"/>
    </xf>
    <xf numFmtId="0" fontId="136" fillId="0" borderId="514" xfId="6" applyFont="1" applyBorder="1" applyAlignment="1">
      <alignment vertical="center" wrapText="1"/>
    </xf>
    <xf numFmtId="0" fontId="136" fillId="0" borderId="0" xfId="6" applyFont="1" applyBorder="1" applyAlignment="1">
      <alignment horizontal="center" vertical="center"/>
    </xf>
    <xf numFmtId="0" fontId="136" fillId="0" borderId="555" xfId="6" applyFont="1" applyBorder="1" applyAlignment="1">
      <alignment horizontal="center" vertical="center"/>
    </xf>
    <xf numFmtId="0" fontId="136" fillId="0" borderId="0" xfId="6" applyFont="1" applyBorder="1" applyAlignment="1">
      <alignment horizontal="centerContinuous" vertical="center"/>
    </xf>
    <xf numFmtId="0" fontId="136" fillId="0" borderId="316" xfId="6" applyFont="1" applyBorder="1" applyAlignment="1">
      <alignment vertical="center" wrapText="1"/>
    </xf>
    <xf numFmtId="0" fontId="136" fillId="0" borderId="311" xfId="6" applyFont="1" applyBorder="1" applyAlignment="1">
      <alignment horizontal="center" vertical="center"/>
    </xf>
    <xf numFmtId="0" fontId="136" fillId="0" borderId="569" xfId="6" applyFont="1" applyBorder="1" applyAlignment="1">
      <alignment horizontal="center" vertical="center"/>
    </xf>
    <xf numFmtId="0" fontId="136" fillId="0" borderId="311" xfId="6" applyFont="1" applyBorder="1" applyAlignment="1">
      <alignment horizontal="centerContinuous" vertical="center"/>
    </xf>
    <xf numFmtId="0" fontId="19" fillId="0" borderId="0" xfId="6" applyAlignment="1">
      <alignment vertical="center"/>
    </xf>
    <xf numFmtId="0" fontId="18" fillId="0" borderId="157" xfId="6" applyFont="1" applyBorder="1" applyAlignment="1">
      <alignment vertical="center"/>
    </xf>
    <xf numFmtId="0" fontId="19" fillId="0" borderId="157" xfId="6" applyBorder="1"/>
    <xf numFmtId="0" fontId="30" fillId="0" borderId="10" xfId="6" applyFont="1" applyBorder="1" applyAlignment="1">
      <alignment vertical="center"/>
    </xf>
    <xf numFmtId="0" fontId="30" fillId="0" borderId="11" xfId="6" applyFont="1" applyBorder="1" applyAlignment="1">
      <alignment horizontal="center" vertical="center"/>
    </xf>
    <xf numFmtId="0" fontId="30" fillId="0" borderId="14" xfId="6" applyFont="1" applyBorder="1" applyAlignment="1">
      <alignment vertical="center"/>
    </xf>
    <xf numFmtId="0" fontId="30" fillId="0" borderId="15" xfId="6" applyFont="1" applyBorder="1" applyAlignment="1">
      <alignment horizontal="center" vertical="center"/>
    </xf>
    <xf numFmtId="0" fontId="186" fillId="0" borderId="570" xfId="6" applyFont="1" applyBorder="1" applyAlignment="1">
      <alignment vertical="center"/>
    </xf>
    <xf numFmtId="0" fontId="19" fillId="0" borderId="571" xfId="6" applyBorder="1" applyAlignment="1">
      <alignment vertical="center"/>
    </xf>
    <xf numFmtId="0" fontId="19" fillId="0" borderId="572" xfId="6" applyBorder="1" applyAlignment="1">
      <alignment vertical="center"/>
    </xf>
    <xf numFmtId="0" fontId="99" fillId="0" borderId="573" xfId="6" applyFont="1" applyBorder="1" applyAlignment="1">
      <alignment vertical="center"/>
    </xf>
    <xf numFmtId="0" fontId="99" fillId="9" borderId="574" xfId="6" applyFont="1" applyFill="1" applyBorder="1" applyAlignment="1">
      <alignment horizontal="center" vertical="center"/>
    </xf>
    <xf numFmtId="0" fontId="99" fillId="0" borderId="571" xfId="6" quotePrefix="1" applyFont="1" applyBorder="1" applyAlignment="1">
      <alignment horizontal="left" vertical="center"/>
    </xf>
    <xf numFmtId="0" fontId="99" fillId="0" borderId="575" xfId="6" applyFont="1" applyBorder="1" applyAlignment="1">
      <alignment vertical="center"/>
    </xf>
    <xf numFmtId="3" fontId="99" fillId="9" borderId="576" xfId="6" applyNumberFormat="1" applyFont="1" applyFill="1" applyBorder="1" applyAlignment="1">
      <alignment horizontal="center" vertical="center"/>
    </xf>
    <xf numFmtId="0" fontId="19" fillId="0" borderId="577" xfId="6" applyBorder="1" applyAlignment="1">
      <alignment vertical="center"/>
    </xf>
    <xf numFmtId="3" fontId="99" fillId="9" borderId="578" xfId="6" applyNumberFormat="1" applyFont="1" applyFill="1" applyBorder="1" applyAlignment="1">
      <alignment horizontal="center" vertical="center"/>
    </xf>
    <xf numFmtId="0" fontId="99" fillId="0" borderId="266" xfId="6" applyFont="1" applyBorder="1" applyAlignment="1">
      <alignment vertical="center"/>
    </xf>
    <xf numFmtId="3" fontId="99" fillId="9" borderId="267" xfId="6" applyNumberFormat="1" applyFont="1" applyFill="1" applyBorder="1" applyAlignment="1">
      <alignment horizontal="center" vertical="center"/>
    </xf>
    <xf numFmtId="0" fontId="100" fillId="0" borderId="579" xfId="6" applyFont="1" applyBorder="1" applyAlignment="1">
      <alignment vertical="center"/>
    </xf>
    <xf numFmtId="3" fontId="100" fillId="0" borderId="580" xfId="6" applyNumberFormat="1" applyFont="1" applyBorder="1" applyAlignment="1">
      <alignment horizontal="center" vertical="center"/>
    </xf>
    <xf numFmtId="0" fontId="99" fillId="0" borderId="581" xfId="6" applyFont="1" applyBorder="1" applyAlignment="1">
      <alignment vertical="center"/>
    </xf>
    <xf numFmtId="167" fontId="100" fillId="9" borderId="580" xfId="6" applyNumberFormat="1" applyFont="1" applyFill="1" applyBorder="1" applyAlignment="1">
      <alignment horizontal="right" vertical="center"/>
    </xf>
    <xf numFmtId="0" fontId="99" fillId="0" borderId="582" xfId="6" applyFont="1" applyBorder="1" applyAlignment="1">
      <alignment vertical="center"/>
    </xf>
    <xf numFmtId="3" fontId="99" fillId="0" borderId="583" xfId="6" applyNumberFormat="1" applyFont="1" applyBorder="1" applyAlignment="1">
      <alignment horizontal="right" vertical="center"/>
    </xf>
    <xf numFmtId="3" fontId="99" fillId="0" borderId="267" xfId="6" applyNumberFormat="1" applyFont="1" applyBorder="1" applyAlignment="1">
      <alignment horizontal="right" vertical="center"/>
    </xf>
    <xf numFmtId="3" fontId="99" fillId="0" borderId="580" xfId="6" applyNumberFormat="1" applyFont="1" applyBorder="1" applyAlignment="1">
      <alignment horizontal="right" vertical="center"/>
    </xf>
    <xf numFmtId="0" fontId="19" fillId="0" borderId="584" xfId="6" applyBorder="1" applyAlignment="1">
      <alignment vertical="center"/>
    </xf>
    <xf numFmtId="0" fontId="99" fillId="0" borderId="585" xfId="6" applyFont="1" applyBorder="1" applyAlignment="1">
      <alignment vertical="center"/>
    </xf>
    <xf numFmtId="0" fontId="99" fillId="9" borderId="586" xfId="6" applyFont="1" applyFill="1" applyBorder="1" applyAlignment="1">
      <alignment horizontal="center" vertical="center"/>
    </xf>
    <xf numFmtId="0" fontId="19" fillId="0" borderId="587" xfId="6" applyBorder="1"/>
    <xf numFmtId="0" fontId="19" fillId="0" borderId="588" xfId="6" applyBorder="1" applyAlignment="1">
      <alignment vertical="center"/>
    </xf>
    <xf numFmtId="0" fontId="19" fillId="0" borderId="589" xfId="6" applyBorder="1" applyAlignment="1">
      <alignment vertical="center"/>
    </xf>
    <xf numFmtId="0" fontId="19" fillId="0" borderId="590" xfId="6" applyBorder="1" applyAlignment="1">
      <alignment vertical="center"/>
    </xf>
    <xf numFmtId="0" fontId="19" fillId="0" borderId="591" xfId="6" applyBorder="1" applyAlignment="1">
      <alignment vertical="center"/>
    </xf>
    <xf numFmtId="0" fontId="100" fillId="0" borderId="581" xfId="6" applyFont="1" applyBorder="1" applyAlignment="1">
      <alignment vertical="center"/>
    </xf>
    <xf numFmtId="3" fontId="100" fillId="0" borderId="580" xfId="6" applyNumberFormat="1" applyFont="1" applyBorder="1" applyAlignment="1">
      <alignment horizontal="right" vertical="center"/>
    </xf>
    <xf numFmtId="0" fontId="19" fillId="0" borderId="592" xfId="6" applyBorder="1"/>
    <xf numFmtId="0" fontId="19" fillId="0" borderId="593" xfId="6" applyBorder="1" applyAlignment="1">
      <alignment vertical="center"/>
    </xf>
    <xf numFmtId="0" fontId="100" fillId="0" borderId="594" xfId="6" applyFont="1" applyBorder="1" applyAlignment="1">
      <alignment vertical="center"/>
    </xf>
    <xf numFmtId="3" fontId="100" fillId="0" borderId="595" xfId="6" applyNumberFormat="1" applyFont="1" applyBorder="1" applyAlignment="1">
      <alignment horizontal="right" vertical="center"/>
    </xf>
    <xf numFmtId="0" fontId="19" fillId="0" borderId="596" xfId="6" applyBorder="1" applyAlignment="1">
      <alignment vertical="center"/>
    </xf>
    <xf numFmtId="0" fontId="19" fillId="0" borderId="597" xfId="6" applyBorder="1" applyAlignment="1">
      <alignment vertical="center"/>
    </xf>
    <xf numFmtId="0" fontId="183" fillId="0" borderId="49" xfId="6" applyFont="1" applyBorder="1" applyAlignment="1">
      <alignment vertical="center"/>
    </xf>
    <xf numFmtId="0" fontId="19" fillId="0" borderId="57" xfId="6" applyBorder="1" applyAlignment="1">
      <alignment vertical="center"/>
    </xf>
    <xf numFmtId="0" fontId="19" fillId="0" borderId="50" xfId="6" applyBorder="1" applyAlignment="1">
      <alignment vertical="center"/>
    </xf>
    <xf numFmtId="0" fontId="99" fillId="0" borderId="289" xfId="6" applyFont="1" applyBorder="1" applyAlignment="1">
      <alignment vertical="center"/>
    </xf>
    <xf numFmtId="3" fontId="99" fillId="9" borderId="290" xfId="6" applyNumberFormat="1" applyFont="1" applyFill="1" applyBorder="1" applyAlignment="1">
      <alignment horizontal="center" vertical="center"/>
    </xf>
    <xf numFmtId="0" fontId="99" fillId="0" borderId="294" xfId="6" applyFont="1" applyBorder="1" applyAlignment="1">
      <alignment vertical="center"/>
    </xf>
    <xf numFmtId="3" fontId="99" fillId="9" borderId="295" xfId="6" applyNumberFormat="1" applyFont="1" applyFill="1" applyBorder="1" applyAlignment="1">
      <alignment horizontal="center" vertical="center"/>
    </xf>
    <xf numFmtId="0" fontId="19" fillId="0" borderId="53" xfId="6" applyBorder="1" applyAlignment="1">
      <alignment vertical="center"/>
    </xf>
    <xf numFmtId="0" fontId="99" fillId="0" borderId="309" xfId="6" applyFont="1" applyBorder="1" applyAlignment="1">
      <alignment vertical="center"/>
    </xf>
    <xf numFmtId="3" fontId="99" fillId="9" borderId="307" xfId="6" applyNumberFormat="1" applyFont="1" applyFill="1" applyBorder="1" applyAlignment="1">
      <alignment horizontal="center" vertical="center"/>
    </xf>
    <xf numFmtId="0" fontId="100" fillId="0" borderId="52" xfId="6" applyFont="1" applyBorder="1" applyAlignment="1">
      <alignment vertical="center"/>
    </xf>
    <xf numFmtId="3" fontId="100" fillId="0" borderId="296" xfId="6" applyNumberFormat="1" applyFont="1" applyBorder="1" applyAlignment="1">
      <alignment horizontal="center" vertical="center"/>
    </xf>
    <xf numFmtId="0" fontId="99" fillId="0" borderId="598" xfId="6" applyFont="1" applyBorder="1" applyAlignment="1">
      <alignment vertical="center"/>
    </xf>
    <xf numFmtId="167" fontId="100" fillId="9" borderId="296" xfId="6" applyNumberFormat="1" applyFont="1" applyFill="1" applyBorder="1" applyAlignment="1">
      <alignment horizontal="right" vertical="center"/>
    </xf>
    <xf numFmtId="0" fontId="99" fillId="0" borderId="599" xfId="6" applyFont="1" applyBorder="1" applyAlignment="1">
      <alignment vertical="center"/>
    </xf>
    <xf numFmtId="3" fontId="99" fillId="0" borderId="302" xfId="6" applyNumberFormat="1" applyFont="1" applyBorder="1" applyAlignment="1">
      <alignment horizontal="right" vertical="center"/>
    </xf>
    <xf numFmtId="3" fontId="99" fillId="0" borderId="307" xfId="6" applyNumberFormat="1" applyFont="1" applyBorder="1" applyAlignment="1">
      <alignment horizontal="right" vertical="center"/>
    </xf>
    <xf numFmtId="3" fontId="99" fillId="0" borderId="296" xfId="6" applyNumberFormat="1" applyFont="1" applyBorder="1" applyAlignment="1">
      <alignment horizontal="right" vertical="center"/>
    </xf>
    <xf numFmtId="0" fontId="19" fillId="0" borderId="515" xfId="6" applyBorder="1" applyAlignment="1">
      <alignment vertical="center"/>
    </xf>
    <xf numFmtId="0" fontId="99" fillId="0" borderId="600" xfId="6" applyFont="1" applyBorder="1" applyAlignment="1">
      <alignment vertical="center"/>
    </xf>
    <xf numFmtId="3" fontId="99" fillId="9" borderId="601" xfId="6" applyNumberFormat="1" applyFont="1" applyFill="1" applyBorder="1" applyAlignment="1">
      <alignment horizontal="center" vertical="center"/>
    </xf>
    <xf numFmtId="0" fontId="19" fillId="0" borderId="602" xfId="6" applyBorder="1"/>
    <xf numFmtId="0" fontId="19" fillId="0" borderId="603" xfId="6" applyBorder="1" applyAlignment="1">
      <alignment vertical="center"/>
    </xf>
    <xf numFmtId="0" fontId="100" fillId="0" borderId="598" xfId="6" applyFont="1" applyBorder="1" applyAlignment="1">
      <alignment vertical="center"/>
    </xf>
    <xf numFmtId="3" fontId="100" fillId="0" borderId="296" xfId="6" applyNumberFormat="1" applyFont="1" applyBorder="1" applyAlignment="1">
      <alignment horizontal="right" vertical="center"/>
    </xf>
    <xf numFmtId="0" fontId="19" fillId="0" borderId="518" xfId="6" applyBorder="1"/>
    <xf numFmtId="0" fontId="19" fillId="0" borderId="604" xfId="6" applyBorder="1" applyAlignment="1">
      <alignment vertical="center"/>
    </xf>
    <xf numFmtId="0" fontId="100" fillId="0" borderId="605" xfId="6" applyFont="1" applyBorder="1" applyAlignment="1">
      <alignment vertical="center"/>
    </xf>
    <xf numFmtId="3" fontId="100" fillId="0" borderId="337" xfId="6" applyNumberFormat="1" applyFont="1" applyBorder="1" applyAlignment="1">
      <alignment horizontal="right" vertical="center"/>
    </xf>
    <xf numFmtId="0" fontId="19" fillId="0" borderId="48" xfId="6" applyBorder="1" applyAlignment="1">
      <alignment vertical="center"/>
    </xf>
    <xf numFmtId="0" fontId="19" fillId="0" borderId="51" xfId="6" applyBorder="1" applyAlignment="1">
      <alignment vertical="center"/>
    </xf>
    <xf numFmtId="0" fontId="100" fillId="0" borderId="495" xfId="6" applyFont="1" applyBorder="1" applyAlignment="1">
      <alignment vertical="center"/>
    </xf>
    <xf numFmtId="0" fontId="19" fillId="0" borderId="144" xfId="6" applyBorder="1"/>
    <xf numFmtId="0" fontId="100" fillId="0" borderId="278" xfId="6" applyFont="1" applyBorder="1" applyAlignment="1">
      <alignment vertical="center"/>
    </xf>
    <xf numFmtId="3" fontId="100" fillId="0" borderId="63" xfId="6" applyNumberFormat="1" applyFont="1" applyBorder="1" applyAlignment="1">
      <alignment horizontal="center" vertical="center"/>
    </xf>
    <xf numFmtId="0" fontId="19" fillId="0" borderId="139" xfId="6" applyBorder="1" applyAlignment="1">
      <alignment vertical="center"/>
    </xf>
    <xf numFmtId="0" fontId="19" fillId="0" borderId="140" xfId="6" applyBorder="1" applyAlignment="1">
      <alignment vertical="center"/>
    </xf>
    <xf numFmtId="0" fontId="99" fillId="0" borderId="282" xfId="6" applyFont="1" applyBorder="1" applyAlignment="1">
      <alignment vertical="center"/>
    </xf>
    <xf numFmtId="3" fontId="100" fillId="0" borderId="146" xfId="6" applyNumberFormat="1" applyFont="1" applyBorder="1" applyAlignment="1">
      <alignment horizontal="right" vertical="center"/>
    </xf>
    <xf numFmtId="167" fontId="100" fillId="0" borderId="146" xfId="6" applyNumberFormat="1" applyFont="1" applyBorder="1" applyAlignment="1">
      <alignment horizontal="right" vertical="center"/>
    </xf>
    <xf numFmtId="0" fontId="19" fillId="0" borderId="142" xfId="6" applyBorder="1" applyAlignment="1">
      <alignment vertical="center"/>
    </xf>
    <xf numFmtId="0" fontId="99" fillId="0" borderId="341" xfId="6" applyFont="1" applyBorder="1" applyAlignment="1">
      <alignment vertical="center"/>
    </xf>
    <xf numFmtId="167" fontId="100" fillId="0" borderId="74" xfId="6" applyNumberFormat="1" applyFont="1" applyBorder="1" applyAlignment="1">
      <alignment horizontal="right" vertical="center"/>
    </xf>
    <xf numFmtId="0" fontId="99" fillId="0" borderId="351" xfId="6" applyFont="1" applyBorder="1" applyAlignment="1">
      <alignment vertical="center"/>
    </xf>
    <xf numFmtId="0" fontId="99" fillId="0" borderId="343" xfId="6" applyFont="1" applyBorder="1" applyAlignment="1">
      <alignment vertical="center"/>
    </xf>
    <xf numFmtId="167" fontId="100" fillId="0" borderId="76" xfId="6" applyNumberFormat="1" applyFont="1" applyBorder="1" applyAlignment="1">
      <alignment horizontal="right" vertical="center"/>
    </xf>
    <xf numFmtId="0" fontId="100" fillId="0" borderId="606" xfId="6" applyFont="1" applyBorder="1" applyAlignment="1">
      <alignment vertical="center"/>
    </xf>
    <xf numFmtId="0" fontId="99" fillId="0" borderId="350" xfId="6" applyFont="1" applyBorder="1" applyAlignment="1">
      <alignment vertical="center"/>
    </xf>
    <xf numFmtId="0" fontId="99" fillId="0" borderId="607" xfId="6" applyFont="1" applyBorder="1" applyAlignment="1">
      <alignment vertical="center"/>
    </xf>
    <xf numFmtId="3" fontId="100" fillId="0" borderId="73" xfId="6" applyNumberFormat="1" applyFont="1" applyBorder="1" applyAlignment="1">
      <alignment horizontal="right" vertical="center"/>
    </xf>
    <xf numFmtId="3" fontId="100" fillId="0" borderId="74" xfId="6" applyNumberFormat="1" applyFont="1" applyBorder="1" applyAlignment="1">
      <alignment horizontal="right" vertical="center"/>
    </xf>
    <xf numFmtId="0" fontId="99" fillId="0" borderId="608" xfId="6" applyFont="1" applyBorder="1" applyAlignment="1">
      <alignment vertical="center"/>
    </xf>
    <xf numFmtId="3" fontId="100" fillId="0" borderId="76" xfId="6" applyNumberFormat="1" applyFont="1" applyBorder="1" applyAlignment="1">
      <alignment horizontal="right" vertical="center"/>
    </xf>
    <xf numFmtId="10" fontId="100" fillId="0" borderId="146" xfId="6" applyNumberFormat="1" applyFont="1" applyBorder="1" applyAlignment="1">
      <alignment horizontal="right" vertical="center"/>
    </xf>
    <xf numFmtId="10" fontId="100" fillId="0" borderId="74" xfId="6" applyNumberFormat="1" applyFont="1" applyBorder="1" applyAlignment="1">
      <alignment horizontal="right" vertical="center"/>
    </xf>
    <xf numFmtId="4" fontId="100" fillId="0" borderId="74" xfId="6" applyNumberFormat="1" applyFont="1" applyBorder="1" applyAlignment="1">
      <alignment horizontal="right" vertical="center"/>
    </xf>
    <xf numFmtId="0" fontId="99" fillId="0" borderId="352" xfId="6" applyFont="1" applyBorder="1" applyAlignment="1">
      <alignment vertical="center"/>
    </xf>
    <xf numFmtId="10" fontId="100" fillId="0" borderId="284" xfId="6" applyNumberFormat="1" applyFont="1" applyBorder="1" applyAlignment="1">
      <alignment horizontal="right" vertical="center"/>
    </xf>
    <xf numFmtId="0" fontId="19" fillId="0" borderId="144" xfId="6" applyBorder="1" applyAlignment="1">
      <alignment vertical="center"/>
    </xf>
    <xf numFmtId="0" fontId="19" fillId="0" borderId="145" xfId="6" applyBorder="1" applyAlignment="1">
      <alignment vertical="center"/>
    </xf>
    <xf numFmtId="0" fontId="32" fillId="24" borderId="355" xfId="6" applyFont="1" applyFill="1" applyBorder="1" applyAlignment="1">
      <alignment vertical="center"/>
    </xf>
    <xf numFmtId="0" fontId="100" fillId="0" borderId="360" xfId="6" applyFont="1" applyBorder="1" applyAlignment="1">
      <alignment vertical="center"/>
    </xf>
    <xf numFmtId="3" fontId="187" fillId="0" borderId="361" xfId="6" applyNumberFormat="1" applyFont="1" applyBorder="1" applyAlignment="1">
      <alignment horizontal="center" vertical="center"/>
    </xf>
    <xf numFmtId="0" fontId="19" fillId="0" borderId="363" xfId="6" applyBorder="1" applyAlignment="1">
      <alignment vertical="center"/>
    </xf>
    <xf numFmtId="0" fontId="19" fillId="0" borderId="609" xfId="6" applyBorder="1" applyAlignment="1">
      <alignment vertical="center"/>
    </xf>
    <xf numFmtId="0" fontId="99" fillId="0" borderId="610" xfId="6" applyFont="1" applyBorder="1" applyAlignment="1">
      <alignment vertical="center"/>
    </xf>
    <xf numFmtId="3" fontId="187" fillId="9" borderId="368" xfId="6" applyNumberFormat="1" applyFont="1" applyFill="1" applyBorder="1" applyAlignment="1">
      <alignment horizontal="right" vertical="center"/>
    </xf>
    <xf numFmtId="167" fontId="187" fillId="9" borderId="368" xfId="6" applyNumberFormat="1" applyFont="1" applyFill="1" applyBorder="1" applyAlignment="1">
      <alignment horizontal="right" vertical="center"/>
    </xf>
    <xf numFmtId="0" fontId="19" fillId="0" borderId="611" xfId="6" applyBorder="1" applyAlignment="1">
      <alignment vertical="center"/>
    </xf>
    <xf numFmtId="0" fontId="99" fillId="0" borderId="612" xfId="6" applyFont="1" applyBorder="1" applyAlignment="1">
      <alignment vertical="center"/>
    </xf>
    <xf numFmtId="167" fontId="187" fillId="9" borderId="372" xfId="6" applyNumberFormat="1" applyFont="1" applyFill="1" applyBorder="1" applyAlignment="1">
      <alignment horizontal="right" vertical="center"/>
    </xf>
    <xf numFmtId="0" fontId="99" fillId="0" borderId="613" xfId="6" applyFont="1" applyBorder="1" applyAlignment="1">
      <alignment vertical="center"/>
    </xf>
    <xf numFmtId="167" fontId="187" fillId="9" borderId="380" xfId="6" applyNumberFormat="1" applyFont="1" applyFill="1" applyBorder="1" applyAlignment="1">
      <alignment horizontal="right" vertical="center"/>
    </xf>
    <xf numFmtId="0" fontId="100" fillId="0" borderId="384" xfId="6" applyFont="1" applyBorder="1" applyAlignment="1">
      <alignment vertical="center"/>
    </xf>
    <xf numFmtId="3" fontId="187" fillId="9" borderId="376" xfId="6" applyNumberFormat="1" applyFont="1" applyFill="1" applyBorder="1" applyAlignment="1">
      <alignment horizontal="right" vertical="center"/>
    </xf>
    <xf numFmtId="3" fontId="187" fillId="9" borderId="372" xfId="6" applyNumberFormat="1" applyFont="1" applyFill="1" applyBorder="1" applyAlignment="1">
      <alignment horizontal="right" vertical="center"/>
    </xf>
    <xf numFmtId="0" fontId="99" fillId="0" borderId="384" xfId="6" applyFont="1" applyBorder="1" applyAlignment="1">
      <alignment vertical="center"/>
    </xf>
    <xf numFmtId="167" fontId="187" fillId="9" borderId="390" xfId="6" applyNumberFormat="1" applyFont="1" applyFill="1" applyBorder="1" applyAlignment="1">
      <alignment horizontal="right" vertical="center"/>
    </xf>
    <xf numFmtId="0" fontId="99" fillId="0" borderId="389" xfId="6" applyFont="1" applyBorder="1" applyAlignment="1">
      <alignment vertical="center"/>
    </xf>
    <xf numFmtId="3" fontId="187" fillId="0" borderId="364" xfId="6" applyNumberFormat="1" applyFont="1" applyBorder="1" applyAlignment="1">
      <alignment horizontal="right" vertical="center"/>
    </xf>
    <xf numFmtId="10" fontId="187" fillId="9" borderId="368" xfId="6" applyNumberFormat="1" applyFont="1" applyFill="1" applyBorder="1" applyAlignment="1">
      <alignment horizontal="right" vertical="center"/>
    </xf>
    <xf numFmtId="0" fontId="99" fillId="0" borderId="614" xfId="6" applyFont="1" applyBorder="1" applyAlignment="1">
      <alignment vertical="center"/>
    </xf>
    <xf numFmtId="10" fontId="187" fillId="9" borderId="374" xfId="6" applyNumberFormat="1" applyFont="1" applyFill="1" applyBorder="1" applyAlignment="1">
      <alignment horizontal="right" vertical="center"/>
    </xf>
    <xf numFmtId="10" fontId="187" fillId="0" borderId="364" xfId="6" applyNumberFormat="1" applyFont="1" applyBorder="1" applyAlignment="1">
      <alignment horizontal="right" vertical="center"/>
    </xf>
    <xf numFmtId="10" fontId="187" fillId="9" borderId="380" xfId="6" applyNumberFormat="1" applyFont="1" applyFill="1" applyBorder="1" applyAlignment="1">
      <alignment horizontal="right" vertical="center"/>
    </xf>
    <xf numFmtId="4" fontId="187" fillId="9" borderId="368" xfId="6" applyNumberFormat="1" applyFont="1" applyFill="1" applyBorder="1" applyAlignment="1">
      <alignment horizontal="right" vertical="center"/>
    </xf>
    <xf numFmtId="4" fontId="187" fillId="0" borderId="364" xfId="6" applyNumberFormat="1" applyFont="1" applyFill="1" applyBorder="1" applyAlignment="1">
      <alignment horizontal="right" vertical="center"/>
    </xf>
    <xf numFmtId="0" fontId="99" fillId="0" borderId="615" xfId="6" applyFont="1" applyBorder="1" applyAlignment="1">
      <alignment vertical="center"/>
    </xf>
    <xf numFmtId="10" fontId="187" fillId="9" borderId="616" xfId="6" applyNumberFormat="1" applyFont="1" applyFill="1" applyBorder="1" applyAlignment="1">
      <alignment horizontal="right" vertical="center"/>
    </xf>
    <xf numFmtId="0" fontId="19" fillId="0" borderId="359" xfId="6" applyBorder="1" applyAlignment="1">
      <alignment vertical="center"/>
    </xf>
    <xf numFmtId="10" fontId="187" fillId="9" borderId="617" xfId="6" applyNumberFormat="1" applyFont="1" applyFill="1" applyBorder="1" applyAlignment="1">
      <alignment horizontal="right" vertical="center"/>
    </xf>
    <xf numFmtId="0" fontId="19" fillId="0" borderId="618" xfId="6" applyBorder="1" applyAlignment="1">
      <alignment vertical="center"/>
    </xf>
    <xf numFmtId="0" fontId="32" fillId="25" borderId="397" xfId="6" applyFont="1" applyFill="1" applyBorder="1" applyAlignment="1">
      <alignment vertical="center"/>
    </xf>
    <xf numFmtId="0" fontId="100" fillId="0" borderId="402" xfId="6" applyFont="1" applyBorder="1" applyAlignment="1">
      <alignment vertical="center"/>
    </xf>
    <xf numFmtId="3" fontId="188" fillId="0" borderId="406" xfId="6" applyNumberFormat="1" applyFont="1" applyBorder="1" applyAlignment="1">
      <alignment horizontal="center" vertical="center"/>
    </xf>
    <xf numFmtId="0" fontId="188" fillId="0" borderId="619" xfId="6" applyFont="1" applyBorder="1" applyAlignment="1">
      <alignment horizontal="center" vertical="center"/>
    </xf>
    <xf numFmtId="3" fontId="188" fillId="0" borderId="403" xfId="6" applyNumberFormat="1" applyFont="1" applyBorder="1" applyAlignment="1">
      <alignment horizontal="center" vertical="center"/>
    </xf>
    <xf numFmtId="0" fontId="188" fillId="0" borderId="403" xfId="6" applyFont="1" applyBorder="1" applyAlignment="1">
      <alignment horizontal="center" vertical="center"/>
    </xf>
    <xf numFmtId="0" fontId="19" fillId="0" borderId="405" xfId="6" applyBorder="1" applyAlignment="1">
      <alignment vertical="center"/>
    </xf>
    <xf numFmtId="0" fontId="19" fillId="0" borderId="620" xfId="6" applyBorder="1" applyAlignment="1">
      <alignment vertical="center"/>
    </xf>
    <xf numFmtId="0" fontId="99" fillId="0" borderId="621" xfId="6" applyFont="1" applyBorder="1" applyAlignment="1">
      <alignment vertical="center"/>
    </xf>
    <xf numFmtId="3" fontId="188" fillId="9" borderId="412" xfId="6" applyNumberFormat="1" applyFont="1" applyFill="1" applyBorder="1" applyAlignment="1">
      <alignment horizontal="right" vertical="center"/>
    </xf>
    <xf numFmtId="3" fontId="188" fillId="9" borderId="412" xfId="6" applyNumberFormat="1" applyFont="1" applyFill="1" applyBorder="1" applyAlignment="1">
      <alignment horizontal="center" vertical="center"/>
    </xf>
    <xf numFmtId="167" fontId="188" fillId="9" borderId="412" xfId="6" applyNumberFormat="1" applyFont="1" applyFill="1" applyBorder="1" applyAlignment="1">
      <alignment horizontal="right" vertical="center"/>
    </xf>
    <xf numFmtId="167" fontId="188" fillId="9" borderId="407" xfId="6" applyNumberFormat="1" applyFont="1" applyFill="1" applyBorder="1" applyAlignment="1">
      <alignment horizontal="center" vertical="center"/>
    </xf>
    <xf numFmtId="0" fontId="19" fillId="0" borderId="622" xfId="6" applyBorder="1" applyAlignment="1">
      <alignment vertical="center"/>
    </xf>
    <xf numFmtId="0" fontId="99" fillId="0" borderId="623" xfId="6" applyFont="1" applyBorder="1" applyAlignment="1">
      <alignment vertical="center"/>
    </xf>
    <xf numFmtId="167" fontId="188" fillId="9" borderId="417" xfId="6" applyNumberFormat="1" applyFont="1" applyFill="1" applyBorder="1" applyAlignment="1">
      <alignment horizontal="right" vertical="center"/>
    </xf>
    <xf numFmtId="167" fontId="188" fillId="9" borderId="417" xfId="6" applyNumberFormat="1" applyFont="1" applyFill="1" applyBorder="1" applyAlignment="1">
      <alignment horizontal="center" vertical="center"/>
    </xf>
    <xf numFmtId="0" fontId="99" fillId="0" borderId="624" xfId="6" applyFont="1" applyBorder="1" applyAlignment="1">
      <alignment vertical="center"/>
    </xf>
    <xf numFmtId="167" fontId="188" fillId="9" borderId="430" xfId="6" applyNumberFormat="1" applyFont="1" applyFill="1" applyBorder="1" applyAlignment="1">
      <alignment horizontal="right" vertical="center"/>
    </xf>
    <xf numFmtId="167" fontId="188" fillId="9" borderId="430" xfId="6" applyNumberFormat="1" applyFont="1" applyFill="1" applyBorder="1" applyAlignment="1">
      <alignment horizontal="center" vertical="center"/>
    </xf>
    <xf numFmtId="0" fontId="100" fillId="0" borderId="434" xfId="6" applyFont="1" applyBorder="1" applyAlignment="1">
      <alignment vertical="center"/>
    </xf>
    <xf numFmtId="187" fontId="188" fillId="9" borderId="412" xfId="6" applyNumberFormat="1" applyFont="1" applyFill="1" applyBorder="1" applyAlignment="1">
      <alignment horizontal="center" vertical="center"/>
    </xf>
    <xf numFmtId="3" fontId="188" fillId="9" borderId="425" xfId="6" applyNumberFormat="1" applyFont="1" applyFill="1" applyBorder="1" applyAlignment="1">
      <alignment horizontal="right" vertical="center"/>
    </xf>
    <xf numFmtId="3" fontId="188" fillId="9" borderId="425" xfId="6" applyNumberFormat="1" applyFont="1" applyFill="1" applyBorder="1" applyAlignment="1">
      <alignment horizontal="center" vertical="center"/>
    </xf>
    <xf numFmtId="3" fontId="188" fillId="9" borderId="417" xfId="6" applyNumberFormat="1" applyFont="1" applyFill="1" applyBorder="1" applyAlignment="1">
      <alignment horizontal="right" vertical="center"/>
    </xf>
    <xf numFmtId="3" fontId="188" fillId="9" borderId="417" xfId="6" applyNumberFormat="1" applyFont="1" applyFill="1" applyBorder="1" applyAlignment="1">
      <alignment horizontal="center" vertical="center"/>
    </xf>
    <xf numFmtId="0" fontId="99" fillId="0" borderId="438" xfId="6" applyFont="1" applyBorder="1" applyAlignment="1">
      <alignment vertical="center"/>
    </xf>
    <xf numFmtId="167" fontId="188" fillId="9" borderId="407" xfId="6" applyNumberFormat="1" applyFont="1" applyFill="1" applyBorder="1" applyAlignment="1">
      <alignment horizontal="right" vertical="center"/>
    </xf>
    <xf numFmtId="3" fontId="188" fillId="0" borderId="407" xfId="6" applyNumberFormat="1" applyFont="1" applyBorder="1" applyAlignment="1">
      <alignment horizontal="right" vertical="center"/>
    </xf>
    <xf numFmtId="10" fontId="188" fillId="9" borderId="412" xfId="6" applyNumberFormat="1" applyFont="1" applyFill="1" applyBorder="1" applyAlignment="1">
      <alignment horizontal="right" vertical="center"/>
    </xf>
    <xf numFmtId="167" fontId="188" fillId="9" borderId="412" xfId="6" applyNumberFormat="1" applyFont="1" applyFill="1" applyBorder="1" applyAlignment="1">
      <alignment horizontal="center" vertical="center"/>
    </xf>
    <xf numFmtId="10" fontId="188" fillId="9" borderId="430" xfId="6" applyNumberFormat="1" applyFont="1" applyFill="1" applyBorder="1" applyAlignment="1">
      <alignment horizontal="right" vertical="center"/>
    </xf>
    <xf numFmtId="10" fontId="188" fillId="9" borderId="420" xfId="6" applyNumberFormat="1" applyFont="1" applyFill="1" applyBorder="1" applyAlignment="1">
      <alignment horizontal="right" vertical="center"/>
    </xf>
    <xf numFmtId="0" fontId="99" fillId="0" borderId="432" xfId="6" applyFont="1" applyBorder="1" applyAlignment="1">
      <alignment vertical="center"/>
    </xf>
    <xf numFmtId="10" fontId="188" fillId="0" borderId="407" xfId="6" applyNumberFormat="1" applyFont="1" applyBorder="1" applyAlignment="1">
      <alignment horizontal="right" vertical="center"/>
    </xf>
    <xf numFmtId="4" fontId="188" fillId="9" borderId="412" xfId="6" applyNumberFormat="1" applyFont="1" applyFill="1" applyBorder="1" applyAlignment="1">
      <alignment horizontal="right" vertical="center"/>
    </xf>
    <xf numFmtId="4" fontId="188" fillId="9" borderId="417" xfId="6" applyNumberFormat="1" applyFont="1" applyFill="1" applyBorder="1" applyAlignment="1">
      <alignment horizontal="center" vertical="center"/>
    </xf>
    <xf numFmtId="4" fontId="188" fillId="0" borderId="407" xfId="6" applyNumberFormat="1" applyFont="1" applyFill="1" applyBorder="1" applyAlignment="1">
      <alignment horizontal="right" vertical="center"/>
    </xf>
    <xf numFmtId="0" fontId="99" fillId="0" borderId="625" xfId="6" applyFont="1" applyBorder="1" applyAlignment="1">
      <alignment vertical="center"/>
    </xf>
    <xf numFmtId="10" fontId="188" fillId="9" borderId="626" xfId="6" applyNumberFormat="1" applyFont="1" applyFill="1" applyBorder="1" applyAlignment="1">
      <alignment horizontal="right" vertical="center"/>
    </xf>
    <xf numFmtId="167" fontId="188" fillId="9" borderId="626" xfId="6" applyNumberFormat="1" applyFont="1" applyFill="1" applyBorder="1" applyAlignment="1">
      <alignment horizontal="center" vertical="center"/>
    </xf>
    <xf numFmtId="0" fontId="19" fillId="0" borderId="401" xfId="6" applyBorder="1" applyAlignment="1">
      <alignment vertical="center"/>
    </xf>
    <xf numFmtId="10" fontId="188" fillId="9" borderId="443" xfId="6" applyNumberFormat="1" applyFont="1" applyFill="1" applyBorder="1" applyAlignment="1">
      <alignment horizontal="right" vertical="center"/>
    </xf>
    <xf numFmtId="0" fontId="19" fillId="0" borderId="627" xfId="6" applyBorder="1" applyAlignment="1">
      <alignment vertical="center"/>
    </xf>
    <xf numFmtId="0" fontId="32" fillId="6" borderId="445" xfId="6" applyFont="1" applyFill="1" applyBorder="1" applyAlignment="1">
      <alignment vertical="center"/>
    </xf>
    <xf numFmtId="0" fontId="100" fillId="0" borderId="450" xfId="6" applyFont="1" applyBorder="1" applyAlignment="1">
      <alignment vertical="center"/>
    </xf>
    <xf numFmtId="3" fontId="113" fillId="0" borderId="451" xfId="6" applyNumberFormat="1" applyFont="1" applyBorder="1" applyAlignment="1">
      <alignment horizontal="center" vertical="center"/>
    </xf>
    <xf numFmtId="0" fontId="113" fillId="0" borderId="451" xfId="6" applyFont="1" applyBorder="1" applyAlignment="1">
      <alignment horizontal="center" vertical="center"/>
    </xf>
    <xf numFmtId="0" fontId="19" fillId="0" borderId="454" xfId="6" applyBorder="1" applyAlignment="1">
      <alignment vertical="center"/>
    </xf>
    <xf numFmtId="0" fontId="19" fillId="0" borderId="628" xfId="6" applyBorder="1" applyAlignment="1">
      <alignment vertical="center"/>
    </xf>
    <xf numFmtId="0" fontId="99" fillId="0" borderId="629" xfId="6" applyFont="1" applyBorder="1" applyAlignment="1">
      <alignment vertical="center"/>
    </xf>
    <xf numFmtId="3" fontId="113" fillId="9" borderId="460" xfId="6" applyNumberFormat="1" applyFont="1" applyFill="1" applyBorder="1" applyAlignment="1">
      <alignment horizontal="right" vertical="center"/>
    </xf>
    <xf numFmtId="3" fontId="113" fillId="9" borderId="460" xfId="6" applyNumberFormat="1" applyFont="1" applyFill="1" applyBorder="1" applyAlignment="1">
      <alignment horizontal="center" vertical="center"/>
    </xf>
    <xf numFmtId="167" fontId="113" fillId="9" borderId="460" xfId="6" applyNumberFormat="1" applyFont="1" applyFill="1" applyBorder="1" applyAlignment="1">
      <alignment horizontal="right" vertical="center"/>
    </xf>
    <xf numFmtId="167" fontId="113" fillId="9" borderId="469" xfId="6" applyNumberFormat="1" applyFont="1" applyFill="1" applyBorder="1" applyAlignment="1">
      <alignment horizontal="center" vertical="center"/>
    </xf>
    <xf numFmtId="0" fontId="19" fillId="0" borderId="630" xfId="6" applyBorder="1" applyAlignment="1">
      <alignment vertical="center"/>
    </xf>
    <xf numFmtId="0" fontId="99" fillId="0" borderId="631" xfId="6" applyFont="1" applyBorder="1" applyAlignment="1">
      <alignment vertical="center"/>
    </xf>
    <xf numFmtId="167" fontId="113" fillId="9" borderId="464" xfId="6" applyNumberFormat="1" applyFont="1" applyFill="1" applyBorder="1" applyAlignment="1">
      <alignment horizontal="right" vertical="center"/>
    </xf>
    <xf numFmtId="167" fontId="113" fillId="9" borderId="464" xfId="6" applyNumberFormat="1" applyFont="1" applyFill="1" applyBorder="1" applyAlignment="1">
      <alignment horizontal="center" vertical="center"/>
    </xf>
    <xf numFmtId="0" fontId="99" fillId="0" borderId="632" xfId="6" applyFont="1" applyBorder="1" applyAlignment="1">
      <alignment vertical="center"/>
    </xf>
    <xf numFmtId="167" fontId="113" fillId="9" borderId="475" xfId="6" applyNumberFormat="1" applyFont="1" applyFill="1" applyBorder="1" applyAlignment="1">
      <alignment horizontal="right" vertical="center"/>
    </xf>
    <xf numFmtId="167" fontId="113" fillId="9" borderId="475" xfId="6" applyNumberFormat="1" applyFont="1" applyFill="1" applyBorder="1" applyAlignment="1">
      <alignment horizontal="center" vertical="center"/>
    </xf>
    <xf numFmtId="0" fontId="100" fillId="0" borderId="479" xfId="6" applyFont="1" applyBorder="1" applyAlignment="1">
      <alignment vertical="center"/>
    </xf>
    <xf numFmtId="187" fontId="113" fillId="9" borderId="460" xfId="6" applyNumberFormat="1" applyFont="1" applyFill="1" applyBorder="1" applyAlignment="1">
      <alignment horizontal="center" vertical="center"/>
    </xf>
    <xf numFmtId="3" fontId="113" fillId="9" borderId="471" xfId="6" applyNumberFormat="1" applyFont="1" applyFill="1" applyBorder="1" applyAlignment="1">
      <alignment horizontal="right" vertical="center"/>
    </xf>
    <xf numFmtId="3" fontId="113" fillId="9" borderId="471" xfId="6" applyNumberFormat="1" applyFont="1" applyFill="1" applyBorder="1" applyAlignment="1">
      <alignment horizontal="center" vertical="center"/>
    </xf>
    <xf numFmtId="3" fontId="113" fillId="9" borderId="464" xfId="6" applyNumberFormat="1" applyFont="1" applyFill="1" applyBorder="1" applyAlignment="1">
      <alignment horizontal="right" vertical="center"/>
    </xf>
    <xf numFmtId="3" fontId="113" fillId="9" borderId="464" xfId="6" applyNumberFormat="1" applyFont="1" applyFill="1" applyBorder="1" applyAlignment="1">
      <alignment horizontal="center" vertical="center"/>
    </xf>
    <xf numFmtId="0" fontId="99" fillId="0" borderId="482" xfId="6" applyFont="1" applyBorder="1" applyAlignment="1">
      <alignment vertical="center"/>
    </xf>
    <xf numFmtId="167" fontId="113" fillId="9" borderId="469" xfId="6" applyNumberFormat="1" applyFont="1" applyFill="1" applyBorder="1" applyAlignment="1">
      <alignment horizontal="right" vertical="center"/>
    </xf>
    <xf numFmtId="3" fontId="113" fillId="0" borderId="469" xfId="6" applyNumberFormat="1" applyFont="1" applyBorder="1" applyAlignment="1">
      <alignment horizontal="right" vertical="center"/>
    </xf>
    <xf numFmtId="10" fontId="113" fillId="9" borderId="460" xfId="6" applyNumberFormat="1" applyFont="1" applyFill="1" applyBorder="1" applyAlignment="1">
      <alignment horizontal="right" vertical="center"/>
    </xf>
    <xf numFmtId="167" fontId="113" fillId="9" borderId="460" xfId="6" applyNumberFormat="1" applyFont="1" applyFill="1" applyBorder="1" applyAlignment="1">
      <alignment horizontal="center" vertical="center"/>
    </xf>
    <xf numFmtId="0" fontId="99" fillId="0" borderId="633" xfId="6" applyFont="1" applyBorder="1" applyAlignment="1">
      <alignment vertical="center"/>
    </xf>
    <xf numFmtId="10" fontId="113" fillId="9" borderId="466" xfId="6" applyNumberFormat="1" applyFont="1" applyFill="1" applyBorder="1" applyAlignment="1">
      <alignment horizontal="right" vertical="center"/>
    </xf>
    <xf numFmtId="167" fontId="113" fillId="9" borderId="466" xfId="6" applyNumberFormat="1" applyFont="1" applyFill="1" applyBorder="1" applyAlignment="1">
      <alignment horizontal="center" vertical="center"/>
    </xf>
    <xf numFmtId="10" fontId="113" fillId="0" borderId="469" xfId="6" applyNumberFormat="1" applyFont="1" applyBorder="1" applyAlignment="1">
      <alignment horizontal="right" vertical="center"/>
    </xf>
    <xf numFmtId="10" fontId="113" fillId="9" borderId="475" xfId="6" applyNumberFormat="1" applyFont="1" applyFill="1" applyBorder="1" applyAlignment="1">
      <alignment horizontal="right" vertical="center"/>
    </xf>
    <xf numFmtId="4" fontId="113" fillId="9" borderId="460" xfId="6" applyNumberFormat="1" applyFont="1" applyFill="1" applyBorder="1" applyAlignment="1">
      <alignment horizontal="right" vertical="center"/>
    </xf>
    <xf numFmtId="4" fontId="113" fillId="9" borderId="464" xfId="6" applyNumberFormat="1" applyFont="1" applyFill="1" applyBorder="1" applyAlignment="1">
      <alignment horizontal="center" vertical="center"/>
    </xf>
    <xf numFmtId="4" fontId="113" fillId="0" borderId="469" xfId="6" applyNumberFormat="1" applyFont="1" applyFill="1" applyBorder="1" applyAlignment="1">
      <alignment horizontal="right" vertical="center"/>
    </xf>
    <xf numFmtId="0" fontId="99" fillId="0" borderId="634" xfId="6" applyFont="1" applyBorder="1" applyAlignment="1">
      <alignment vertical="center"/>
    </xf>
    <xf numFmtId="10" fontId="113" fillId="9" borderId="635" xfId="6" applyNumberFormat="1" applyFont="1" applyFill="1" applyBorder="1" applyAlignment="1">
      <alignment horizontal="right" vertical="center"/>
    </xf>
    <xf numFmtId="167" fontId="113" fillId="9" borderId="635" xfId="6" applyNumberFormat="1" applyFont="1" applyFill="1" applyBorder="1" applyAlignment="1">
      <alignment horizontal="center" vertical="center"/>
    </xf>
    <xf numFmtId="0" fontId="19" fillId="0" borderId="449" xfId="6" applyBorder="1" applyAlignment="1">
      <alignment vertical="center"/>
    </xf>
    <xf numFmtId="10" fontId="113" fillId="9" borderId="636" xfId="6" applyNumberFormat="1" applyFont="1" applyFill="1" applyBorder="1" applyAlignment="1">
      <alignment horizontal="right" vertical="center"/>
    </xf>
    <xf numFmtId="0" fontId="19" fillId="0" borderId="637" xfId="6" applyBorder="1" applyAlignment="1">
      <alignment vertical="center"/>
    </xf>
    <xf numFmtId="0" fontId="100" fillId="0" borderId="0" xfId="6" applyFont="1" applyAlignment="1">
      <alignment vertical="center"/>
    </xf>
    <xf numFmtId="0" fontId="99" fillId="0" borderId="0" xfId="6" applyFont="1" applyAlignment="1">
      <alignment vertical="center"/>
    </xf>
    <xf numFmtId="37" fontId="19" fillId="0" borderId="0" xfId="6" applyNumberFormat="1"/>
    <xf numFmtId="3" fontId="99" fillId="0" borderId="47" xfId="6" applyNumberFormat="1" applyFont="1" applyBorder="1" applyAlignment="1">
      <alignment vertical="center"/>
    </xf>
    <xf numFmtId="3" fontId="100" fillId="0" borderId="47" xfId="6" applyNumberFormat="1" applyFont="1" applyBorder="1" applyAlignment="1">
      <alignment vertical="center"/>
    </xf>
    <xf numFmtId="0" fontId="100" fillId="0" borderId="0" xfId="6" applyFont="1" applyAlignment="1">
      <alignment horizontal="centerContinuous" vertical="center"/>
    </xf>
    <xf numFmtId="0" fontId="31" fillId="0" borderId="0" xfId="6" applyFont="1" applyAlignment="1">
      <alignment horizontal="centerContinuous" vertical="center"/>
    </xf>
    <xf numFmtId="0" fontId="19" fillId="0" borderId="0" xfId="6" applyAlignment="1">
      <alignment horizontal="centerContinuous"/>
    </xf>
    <xf numFmtId="0" fontId="141" fillId="0" borderId="17" xfId="6" applyFont="1" applyBorder="1" applyAlignment="1">
      <alignment horizontal="centerContinuous" vertical="center" wrapText="1"/>
    </xf>
    <xf numFmtId="0" fontId="19" fillId="0" borderId="19" xfId="6" applyBorder="1" applyAlignment="1">
      <alignment horizontal="centerContinuous" vertical="center" wrapText="1"/>
    </xf>
    <xf numFmtId="39" fontId="189" fillId="0" borderId="47" xfId="3" applyNumberFormat="1" applyFont="1" applyBorder="1" applyAlignment="1" applyProtection="1">
      <alignment horizontal="center" vertical="center"/>
      <protection locked="0"/>
    </xf>
    <xf numFmtId="3" fontId="190" fillId="0" borderId="47" xfId="6" applyNumberFormat="1" applyFont="1" applyBorder="1" applyAlignment="1">
      <alignment horizontal="center" vertical="center"/>
    </xf>
    <xf numFmtId="9" fontId="190" fillId="0" borderId="47" xfId="6" applyNumberFormat="1" applyFont="1" applyBorder="1" applyAlignment="1">
      <alignment horizontal="center" vertical="center"/>
    </xf>
    <xf numFmtId="3" fontId="191" fillId="0" borderId="47" xfId="6" applyNumberFormat="1" applyFont="1" applyBorder="1" applyAlignment="1">
      <alignment horizontal="center" vertical="center"/>
    </xf>
    <xf numFmtId="9" fontId="192" fillId="0" borderId="47" xfId="6" applyNumberFormat="1" applyFont="1" applyBorder="1" applyAlignment="1">
      <alignment horizontal="center" vertical="center"/>
    </xf>
    <xf numFmtId="0" fontId="100" fillId="0" borderId="0" xfId="6" applyFont="1" applyAlignment="1">
      <alignment horizontal="center" vertical="center"/>
    </xf>
    <xf numFmtId="3" fontId="99" fillId="0" borderId="0" xfId="6" applyNumberFormat="1" applyFont="1" applyAlignment="1">
      <alignment horizontal="center" vertical="center"/>
    </xf>
    <xf numFmtId="0" fontId="99" fillId="0" borderId="0" xfId="6" applyFont="1" applyAlignment="1">
      <alignment horizontal="center" vertical="center"/>
    </xf>
    <xf numFmtId="39" fontId="28" fillId="0" borderId="0" xfId="3" applyNumberFormat="1" applyFont="1" applyAlignment="1" applyProtection="1">
      <alignment horizontal="center" vertical="center"/>
      <protection locked="0"/>
    </xf>
    <xf numFmtId="3" fontId="28" fillId="0" borderId="0" xfId="3" applyNumberFormat="1" applyFont="1" applyAlignment="1" applyProtection="1">
      <alignment horizontal="center" vertical="center"/>
      <protection locked="0"/>
    </xf>
    <xf numFmtId="3" fontId="19" fillId="0" borderId="0" xfId="6" applyNumberFormat="1" applyAlignment="1">
      <alignment horizontal="center"/>
    </xf>
    <xf numFmtId="0" fontId="99" fillId="0" borderId="92" xfId="6" applyFont="1" applyBorder="1" applyAlignment="1">
      <alignment vertical="center"/>
    </xf>
    <xf numFmtId="0" fontId="99" fillId="0" borderId="92" xfId="6" applyFont="1" applyBorder="1" applyAlignment="1">
      <alignment horizontal="center" vertical="center"/>
    </xf>
    <xf numFmtId="0" fontId="19" fillId="0" borderId="0" xfId="6" applyAlignment="1">
      <alignment horizontal="center"/>
    </xf>
    <xf numFmtId="3" fontId="100" fillId="0" borderId="0" xfId="6" applyNumberFormat="1" applyFont="1" applyAlignment="1">
      <alignment horizontal="center" vertical="center"/>
    </xf>
    <xf numFmtId="0" fontId="19" fillId="0" borderId="0" xfId="6" applyAlignment="1">
      <alignment horizontal="left" vertical="center"/>
    </xf>
    <xf numFmtId="37" fontId="19" fillId="0" borderId="0" xfId="3" applyFont="1" applyFill="1" applyAlignment="1" applyProtection="1">
      <alignment horizontal="left" vertical="center"/>
      <protection locked="0"/>
    </xf>
    <xf numFmtId="0" fontId="31" fillId="0" borderId="0" xfId="6" applyFont="1" applyAlignment="1">
      <alignment vertical="center"/>
    </xf>
    <xf numFmtId="0" fontId="31" fillId="0" borderId="0" xfId="6" applyFont="1" applyAlignment="1">
      <alignment horizontal="center" vertical="center"/>
    </xf>
    <xf numFmtId="0" fontId="19" fillId="0" borderId="0" xfId="6" applyAlignment="1">
      <alignment horizontal="center" vertical="center"/>
    </xf>
    <xf numFmtId="0" fontId="5" fillId="0" borderId="0" xfId="0" applyFont="1" applyAlignment="1">
      <alignment horizontal="left"/>
    </xf>
    <xf numFmtId="1" fontId="0" fillId="0" borderId="0" xfId="0" applyNumberFormat="1" applyProtection="1">
      <protection hidden="1"/>
    </xf>
    <xf numFmtId="1" fontId="0" fillId="0" borderId="0" xfId="0" applyNumberFormat="1" applyAlignment="1" applyProtection="1">
      <alignment horizontal="left"/>
      <protection hidden="1"/>
    </xf>
    <xf numFmtId="0" fontId="42" fillId="34" borderId="47" xfId="0" applyFont="1" applyFill="1" applyBorder="1" applyAlignment="1" applyProtection="1">
      <alignment horizontal="center" vertical="center" wrapText="1"/>
      <protection hidden="1"/>
    </xf>
    <xf numFmtId="0" fontId="38" fillId="0" borderId="47" xfId="0" applyFont="1" applyBorder="1" applyProtection="1">
      <protection hidden="1"/>
    </xf>
    <xf numFmtId="0" fontId="38" fillId="0" borderId="47" xfId="0" applyFont="1" applyBorder="1" applyAlignment="1" applyProtection="1">
      <alignment horizontal="left"/>
      <protection hidden="1"/>
    </xf>
    <xf numFmtId="0" fontId="38" fillId="0" borderId="47" xfId="0" applyFont="1" applyBorder="1" applyAlignment="1" applyProtection="1">
      <alignment horizontal="center"/>
      <protection hidden="1"/>
    </xf>
    <xf numFmtId="164" fontId="38" fillId="0" borderId="47" xfId="0" applyNumberFormat="1" applyFont="1" applyBorder="1" applyProtection="1">
      <protection hidden="1"/>
    </xf>
    <xf numFmtId="210" fontId="38" fillId="0" borderId="47" xfId="0" applyNumberFormat="1" applyFont="1" applyBorder="1" applyAlignment="1" applyProtection="1">
      <alignment horizontal="center"/>
      <protection hidden="1"/>
    </xf>
    <xf numFmtId="14" fontId="38" fillId="0" borderId="47" xfId="0" applyNumberFormat="1" applyFont="1" applyBorder="1" applyAlignment="1" applyProtection="1">
      <alignment horizontal="center"/>
      <protection hidden="1"/>
    </xf>
    <xf numFmtId="49" fontId="38" fillId="0" borderId="47" xfId="0" applyNumberFormat="1" applyFont="1" applyBorder="1" applyProtection="1">
      <protection hidden="1"/>
    </xf>
    <xf numFmtId="1" fontId="0" fillId="0" borderId="0" xfId="0" applyNumberFormat="1"/>
    <xf numFmtId="14" fontId="0" fillId="0" borderId="0" xfId="0" applyNumberFormat="1"/>
    <xf numFmtId="3" fontId="0" fillId="0" borderId="0" xfId="0" applyNumberFormat="1"/>
    <xf numFmtId="37" fontId="95" fillId="0" borderId="12" xfId="0" applyNumberFormat="1" applyFont="1" applyFill="1" applyBorder="1" applyAlignment="1" applyProtection="1">
      <alignment vertical="center" wrapText="1"/>
      <protection locked="0"/>
    </xf>
    <xf numFmtId="1" fontId="38" fillId="0" borderId="0" xfId="0" applyNumberFormat="1" applyFont="1"/>
    <xf numFmtId="1" fontId="61" fillId="0" borderId="61" xfId="0" applyNumberFormat="1" applyFont="1" applyBorder="1" applyAlignment="1" applyProtection="1">
      <alignment horizontal="center"/>
      <protection locked="0" hidden="1"/>
    </xf>
    <xf numFmtId="1" fontId="60" fillId="0" borderId="61" xfId="0" applyNumberFormat="1" applyFont="1" applyBorder="1" applyAlignment="1" applyProtection="1">
      <alignment horizontal="center"/>
      <protection locked="0" hidden="1"/>
    </xf>
    <xf numFmtId="1" fontId="38" fillId="0" borderId="0" xfId="0" applyNumberFormat="1" applyFont="1" applyProtection="1">
      <protection locked="0" hidden="1"/>
    </xf>
    <xf numFmtId="1" fontId="0" fillId="0" borderId="0" xfId="0" applyNumberFormat="1" applyProtection="1">
      <protection locked="0" hidden="1"/>
    </xf>
    <xf numFmtId="1" fontId="67" fillId="0" borderId="47" xfId="0" applyNumberFormat="1" applyFont="1" applyBorder="1" applyProtection="1">
      <protection hidden="1"/>
    </xf>
    <xf numFmtId="1" fontId="66" fillId="0" borderId="47" xfId="0" applyNumberFormat="1" applyFont="1" applyBorder="1" applyProtection="1">
      <protection hidden="1"/>
    </xf>
    <xf numFmtId="1" fontId="64" fillId="0" borderId="0" xfId="0" applyNumberFormat="1" applyFont="1" applyProtection="1">
      <protection hidden="1"/>
    </xf>
    <xf numFmtId="1" fontId="56" fillId="0" borderId="0" xfId="0" applyNumberFormat="1" applyFont="1" applyProtection="1">
      <protection hidden="1"/>
    </xf>
    <xf numFmtId="1" fontId="54" fillId="0" borderId="61" xfId="3" applyNumberFormat="1" applyFont="1" applyFill="1" applyBorder="1" applyAlignment="1" applyProtection="1">
      <alignment vertical="center"/>
      <protection locked="0" hidden="1"/>
    </xf>
    <xf numFmtId="1" fontId="49" fillId="0" borderId="61" xfId="3" applyNumberFormat="1" applyFont="1" applyFill="1" applyBorder="1" applyAlignment="1" applyProtection="1">
      <alignment vertical="center"/>
      <protection locked="0"/>
    </xf>
    <xf numFmtId="1" fontId="49" fillId="0" borderId="61" xfId="3" applyNumberFormat="1" applyFont="1" applyFill="1" applyBorder="1" applyAlignment="1" applyProtection="1">
      <alignment vertical="center"/>
      <protection hidden="1"/>
    </xf>
    <xf numFmtId="1" fontId="57" fillId="11" borderId="47" xfId="3" applyNumberFormat="1" applyFont="1" applyFill="1" applyBorder="1" applyAlignment="1" applyProtection="1">
      <alignment vertical="center"/>
    </xf>
    <xf numFmtId="1" fontId="52" fillId="11" borderId="47" xfId="3" applyNumberFormat="1" applyFont="1" applyFill="1" applyBorder="1" applyAlignment="1" applyProtection="1">
      <alignment vertical="center"/>
    </xf>
    <xf numFmtId="1" fontId="54" fillId="0" borderId="78" xfId="3" applyNumberFormat="1" applyFont="1" applyFill="1" applyBorder="1" applyAlignment="1" applyProtection="1">
      <alignment vertical="center"/>
      <protection locked="0" hidden="1"/>
    </xf>
    <xf numFmtId="1" fontId="49" fillId="0" borderId="60" xfId="3" applyNumberFormat="1" applyFont="1" applyFill="1" applyBorder="1" applyAlignment="1" applyProtection="1">
      <alignment vertical="center"/>
      <protection locked="0" hidden="1"/>
    </xf>
    <xf numFmtId="1" fontId="49" fillId="0" borderId="78" xfId="3" applyNumberFormat="1" applyFont="1" applyFill="1" applyBorder="1" applyAlignment="1" applyProtection="1">
      <alignment vertical="center"/>
      <protection locked="0" hidden="1"/>
    </xf>
    <xf numFmtId="1" fontId="57" fillId="10" borderId="74" xfId="3" applyNumberFormat="1" applyFont="1" applyFill="1" applyBorder="1" applyAlignment="1" applyProtection="1">
      <alignment vertical="center"/>
    </xf>
    <xf numFmtId="1" fontId="52" fillId="10" borderId="74" xfId="3" applyNumberFormat="1" applyFont="1" applyFill="1" applyBorder="1" applyAlignment="1" applyProtection="1">
      <alignment vertical="center"/>
    </xf>
    <xf numFmtId="1" fontId="54" fillId="0" borderId="74" xfId="3" applyNumberFormat="1" applyFont="1" applyFill="1" applyBorder="1" applyAlignment="1" applyProtection="1">
      <alignment vertical="center"/>
      <protection locked="0" hidden="1"/>
    </xf>
    <xf numFmtId="1" fontId="49" fillId="0" borderId="74" xfId="3" applyNumberFormat="1" applyFont="1" applyFill="1" applyBorder="1" applyAlignment="1" applyProtection="1">
      <alignment vertical="center"/>
      <protection locked="0" hidden="1"/>
    </xf>
    <xf numFmtId="1" fontId="54" fillId="0" borderId="73" xfId="3" applyNumberFormat="1" applyFont="1" applyFill="1" applyBorder="1" applyAlignment="1" applyProtection="1">
      <alignment vertical="center"/>
      <protection locked="0" hidden="1"/>
    </xf>
    <xf numFmtId="1" fontId="49" fillId="0" borderId="73" xfId="3" applyNumberFormat="1" applyFont="1" applyFill="1" applyBorder="1" applyAlignment="1" applyProtection="1">
      <alignment vertical="center"/>
      <protection locked="0" hidden="1"/>
    </xf>
    <xf numFmtId="1" fontId="54" fillId="0" borderId="19" xfId="3" applyNumberFormat="1" applyFont="1" applyFill="1" applyBorder="1" applyAlignment="1" applyProtection="1">
      <alignment vertical="center"/>
      <protection hidden="1"/>
    </xf>
    <xf numFmtId="1" fontId="49" fillId="0" borderId="19" xfId="3" applyNumberFormat="1" applyFont="1" applyFill="1" applyBorder="1" applyAlignment="1" applyProtection="1">
      <alignment vertical="center"/>
      <protection hidden="1"/>
    </xf>
    <xf numFmtId="1" fontId="57" fillId="10" borderId="76" xfId="3" applyNumberFormat="1" applyFont="1" applyFill="1" applyBorder="1" applyAlignment="1" applyProtection="1">
      <alignment vertical="center"/>
    </xf>
    <xf numFmtId="1" fontId="52" fillId="10" borderId="76" xfId="3" applyNumberFormat="1" applyFont="1" applyFill="1" applyBorder="1" applyAlignment="1" applyProtection="1">
      <alignment vertical="center"/>
    </xf>
    <xf numFmtId="1" fontId="57" fillId="10" borderId="78" xfId="3" applyNumberFormat="1" applyFont="1" applyFill="1" applyBorder="1" applyAlignment="1" applyProtection="1">
      <alignment vertical="center"/>
    </xf>
    <xf numFmtId="1" fontId="52" fillId="10" borderId="78" xfId="3" applyNumberFormat="1" applyFont="1" applyFill="1" applyBorder="1" applyAlignment="1" applyProtection="1">
      <alignment vertical="center"/>
    </xf>
    <xf numFmtId="1" fontId="53" fillId="0" borderId="29" xfId="3" applyNumberFormat="1" applyFont="1" applyFill="1" applyBorder="1" applyAlignment="1" applyProtection="1">
      <alignment vertical="center"/>
      <protection hidden="1"/>
    </xf>
    <xf numFmtId="1" fontId="49" fillId="0" borderId="29" xfId="3" applyNumberFormat="1" applyFont="1" applyFill="1" applyBorder="1" applyAlignment="1" applyProtection="1">
      <alignment vertical="center"/>
      <protection hidden="1"/>
    </xf>
    <xf numFmtId="1" fontId="53" fillId="0" borderId="0" xfId="3" applyNumberFormat="1" applyFont="1" applyFill="1" applyBorder="1" applyAlignment="1" applyProtection="1">
      <alignment vertical="center"/>
      <protection hidden="1"/>
    </xf>
    <xf numFmtId="1" fontId="49" fillId="0" borderId="0" xfId="3" applyNumberFormat="1" applyFont="1" applyFill="1" applyBorder="1" applyAlignment="1" applyProtection="1">
      <alignment vertical="center"/>
      <protection hidden="1"/>
    </xf>
    <xf numFmtId="1" fontId="54" fillId="0" borderId="0" xfId="3" applyNumberFormat="1" applyFont="1" applyFill="1" applyBorder="1" applyAlignment="1" applyProtection="1">
      <alignment vertical="center"/>
      <protection hidden="1"/>
    </xf>
    <xf numFmtId="1" fontId="57" fillId="11" borderId="47" xfId="3" applyNumberFormat="1" applyFont="1" applyFill="1" applyBorder="1" applyAlignment="1" applyProtection="1">
      <alignment vertical="center"/>
      <protection hidden="1"/>
    </xf>
    <xf numFmtId="1" fontId="52" fillId="11" borderId="47" xfId="3" applyNumberFormat="1" applyFont="1" applyFill="1" applyBorder="1" applyAlignment="1" applyProtection="1">
      <alignment vertical="center"/>
      <protection hidden="1"/>
    </xf>
    <xf numFmtId="1" fontId="54" fillId="0" borderId="29" xfId="3" applyNumberFormat="1" applyFont="1" applyFill="1" applyBorder="1" applyAlignment="1" applyProtection="1">
      <alignment vertical="center"/>
      <protection hidden="1"/>
    </xf>
    <xf numFmtId="1" fontId="54" fillId="0" borderId="76" xfId="3" applyNumberFormat="1" applyFont="1" applyFill="1" applyBorder="1" applyAlignment="1" applyProtection="1">
      <alignment vertical="center"/>
      <protection locked="0" hidden="1"/>
    </xf>
    <xf numFmtId="1" fontId="49" fillId="0" borderId="76" xfId="3" applyNumberFormat="1" applyFont="1" applyFill="1" applyBorder="1" applyAlignment="1" applyProtection="1">
      <alignment vertical="center"/>
      <protection locked="0" hidden="1"/>
    </xf>
    <xf numFmtId="1" fontId="54" fillId="0" borderId="74" xfId="3" applyNumberFormat="1" applyFont="1" applyFill="1" applyBorder="1" applyAlignment="1" applyProtection="1">
      <alignment vertical="center"/>
      <protection hidden="1"/>
    </xf>
    <xf numFmtId="1" fontId="49" fillId="0" borderId="74" xfId="3" applyNumberFormat="1" applyFont="1" applyFill="1" applyBorder="1" applyAlignment="1" applyProtection="1">
      <alignment vertical="center"/>
      <protection hidden="1"/>
    </xf>
    <xf numFmtId="1" fontId="49" fillId="0" borderId="74" xfId="3" applyNumberFormat="1" applyFont="1" applyFill="1" applyBorder="1" applyAlignment="1" applyProtection="1">
      <alignment vertical="center"/>
      <protection locked="0"/>
    </xf>
    <xf numFmtId="1" fontId="54" fillId="0" borderId="73" xfId="3" applyNumberFormat="1" applyFont="1" applyFill="1" applyBorder="1" applyAlignment="1" applyProtection="1">
      <alignment vertical="center"/>
      <protection hidden="1"/>
    </xf>
    <xf numFmtId="1" fontId="49" fillId="0" borderId="73" xfId="3" applyNumberFormat="1" applyFont="1" applyFill="1" applyBorder="1" applyAlignment="1" applyProtection="1">
      <alignment vertical="center"/>
      <protection locked="0"/>
    </xf>
    <xf numFmtId="1" fontId="57" fillId="10" borderId="76" xfId="3" applyNumberFormat="1" applyFont="1" applyFill="1" applyBorder="1" applyAlignment="1" applyProtection="1">
      <alignment vertical="center"/>
      <protection hidden="1"/>
    </xf>
    <xf numFmtId="1" fontId="52" fillId="10" borderId="76" xfId="3" applyNumberFormat="1" applyFont="1" applyFill="1" applyBorder="1" applyAlignment="1" applyProtection="1">
      <alignment vertical="center"/>
      <protection hidden="1"/>
    </xf>
    <xf numFmtId="211" fontId="148" fillId="4" borderId="29" xfId="11" applyNumberFormat="1" applyFont="1" applyFill="1" applyBorder="1" applyAlignment="1" applyProtection="1">
      <alignment vertical="center"/>
      <protection locked="0"/>
    </xf>
    <xf numFmtId="211" fontId="148" fillId="4" borderId="15" xfId="11" applyNumberFormat="1" applyFont="1" applyFill="1" applyBorder="1" applyAlignment="1" applyProtection="1">
      <alignment vertical="center"/>
      <protection locked="0"/>
    </xf>
    <xf numFmtId="0" fontId="45" fillId="4" borderId="638" xfId="0" applyFont="1" applyFill="1" applyBorder="1" applyAlignment="1" applyProtection="1">
      <alignment horizontal="center" vertical="center"/>
      <protection hidden="1"/>
    </xf>
    <xf numFmtId="0" fontId="45" fillId="4" borderId="639" xfId="0" applyFont="1" applyFill="1" applyBorder="1" applyAlignment="1" applyProtection="1">
      <alignment horizontal="center"/>
      <protection locked="0" hidden="1"/>
    </xf>
    <xf numFmtId="0" fontId="45" fillId="4" borderId="66" xfId="0" applyFont="1" applyFill="1" applyBorder="1" applyAlignment="1" applyProtection="1">
      <alignment horizontal="center"/>
      <protection locked="0" hidden="1"/>
    </xf>
    <xf numFmtId="0" fontId="0" fillId="0" borderId="0" xfId="0" applyAlignment="1">
      <alignment horizontal="center"/>
    </xf>
    <xf numFmtId="0" fontId="0" fillId="0" borderId="0" xfId="0" applyAlignment="1">
      <alignment horizontal="center" vertical="center"/>
    </xf>
    <xf numFmtId="164" fontId="198" fillId="0" borderId="0" xfId="0" applyNumberFormat="1" applyFont="1" applyFill="1" applyAlignment="1" applyProtection="1">
      <alignment horizontal="left" vertical="center"/>
      <protection hidden="1"/>
    </xf>
    <xf numFmtId="0" fontId="198" fillId="0" borderId="0" xfId="0" applyFont="1" applyAlignment="1" applyProtection="1">
      <alignment vertical="center" wrapText="1"/>
      <protection hidden="1"/>
    </xf>
    <xf numFmtId="0" fontId="174" fillId="0" borderId="0" xfId="0" applyFont="1" applyProtection="1">
      <protection hidden="1"/>
    </xf>
    <xf numFmtId="0" fontId="174" fillId="0" borderId="0" xfId="0" applyFont="1" applyAlignment="1" applyProtection="1">
      <protection hidden="1"/>
    </xf>
    <xf numFmtId="37" fontId="199" fillId="0" borderId="0" xfId="3" applyFont="1" applyFill="1" applyBorder="1" applyAlignment="1" applyProtection="1">
      <alignment vertical="center"/>
      <protection hidden="1"/>
    </xf>
    <xf numFmtId="0" fontId="82" fillId="0" borderId="17" xfId="0" applyFont="1" applyFill="1" applyBorder="1" applyAlignment="1" applyProtection="1">
      <alignment horizontal="center" vertical="center" wrapText="1"/>
    </xf>
    <xf numFmtId="37" fontId="202" fillId="0" borderId="0" xfId="3" applyFont="1" applyFill="1" applyBorder="1" applyAlignment="1" applyProtection="1">
      <alignment vertical="center"/>
      <protection hidden="1"/>
    </xf>
    <xf numFmtId="37" fontId="19" fillId="0" borderId="0" xfId="3" applyFont="1" applyBorder="1" applyAlignment="1" applyProtection="1">
      <alignment vertical="center"/>
      <protection hidden="1"/>
    </xf>
    <xf numFmtId="1" fontId="200" fillId="13" borderId="0" xfId="6" applyNumberFormat="1" applyFont="1" applyFill="1" applyAlignment="1" applyProtection="1">
      <alignment horizontal="center" vertical="center"/>
      <protection hidden="1"/>
    </xf>
    <xf numFmtId="0" fontId="45" fillId="4" borderId="70" xfId="0" applyFont="1" applyFill="1" applyBorder="1" applyAlignment="1" applyProtection="1">
      <alignment horizontal="center"/>
      <protection locked="0"/>
    </xf>
    <xf numFmtId="37" fontId="201" fillId="0" borderId="19" xfId="0" applyNumberFormat="1" applyFont="1" applyFill="1" applyBorder="1" applyAlignment="1" applyProtection="1">
      <alignment horizontal="left" vertical="center"/>
    </xf>
    <xf numFmtId="49" fontId="0" fillId="0" borderId="0" xfId="0" applyNumberFormat="1"/>
    <xf numFmtId="37" fontId="72" fillId="0" borderId="0" xfId="3" applyFont="1" applyFill="1" applyBorder="1" applyAlignment="1" applyProtection="1">
      <alignment horizontal="left" vertical="top"/>
      <protection hidden="1"/>
    </xf>
    <xf numFmtId="0" fontId="157" fillId="0" borderId="0" xfId="0" applyNumberFormat="1" applyFont="1" applyFill="1" applyBorder="1" applyAlignment="1" applyProtection="1">
      <alignment vertical="center"/>
      <protection hidden="1"/>
    </xf>
    <xf numFmtId="164" fontId="157" fillId="0" borderId="0" xfId="0" applyNumberFormat="1" applyFont="1" applyFill="1" applyAlignment="1" applyProtection="1">
      <alignment horizontal="left" vertical="center"/>
      <protection hidden="1"/>
    </xf>
    <xf numFmtId="164" fontId="193" fillId="0" borderId="0" xfId="0" applyNumberFormat="1" applyFont="1" applyFill="1" applyAlignment="1" applyProtection="1">
      <alignment horizontal="left" vertical="center"/>
      <protection hidden="1"/>
    </xf>
    <xf numFmtId="164" fontId="85" fillId="0" borderId="0" xfId="0" applyNumberFormat="1" applyFont="1" applyFill="1" applyAlignment="1" applyProtection="1">
      <alignment horizontal="left" vertical="center"/>
      <protection hidden="1"/>
    </xf>
    <xf numFmtId="0" fontId="85" fillId="0" borderId="10" xfId="0" applyNumberFormat="1" applyFont="1" applyFill="1" applyBorder="1" applyAlignment="1" applyProtection="1">
      <alignment vertical="center"/>
      <protection hidden="1"/>
    </xf>
    <xf numFmtId="49" fontId="85" fillId="0" borderId="16" xfId="0" applyNumberFormat="1" applyFont="1" applyFill="1" applyBorder="1" applyAlignment="1" applyProtection="1">
      <alignment horizontal="left" vertical="center"/>
      <protection locked="0" hidden="1"/>
    </xf>
    <xf numFmtId="0" fontId="157" fillId="0" borderId="16" xfId="0" applyNumberFormat="1" applyFont="1" applyFill="1" applyBorder="1" applyAlignment="1" applyProtection="1">
      <alignment vertical="center"/>
      <protection locked="0" hidden="1"/>
    </xf>
    <xf numFmtId="0" fontId="85" fillId="0" borderId="16" xfId="0" applyNumberFormat="1" applyFont="1" applyFill="1" applyBorder="1" applyAlignment="1" applyProtection="1">
      <alignment vertical="center"/>
      <protection hidden="1"/>
    </xf>
    <xf numFmtId="0" fontId="157" fillId="0" borderId="16" xfId="0" applyNumberFormat="1" applyFont="1" applyFill="1" applyBorder="1" applyAlignment="1" applyProtection="1">
      <alignment vertical="center"/>
      <protection hidden="1"/>
    </xf>
    <xf numFmtId="0" fontId="85" fillId="0" borderId="16" xfId="0" applyNumberFormat="1" applyFont="1" applyFill="1" applyBorder="1" applyAlignment="1" applyProtection="1">
      <alignment horizontal="center" vertical="center"/>
      <protection hidden="1"/>
    </xf>
    <xf numFmtId="164" fontId="157" fillId="0" borderId="16" xfId="0" applyNumberFormat="1" applyFont="1" applyFill="1" applyBorder="1" applyAlignment="1" applyProtection="1">
      <alignment horizontal="left" vertical="center"/>
      <protection hidden="1"/>
    </xf>
    <xf numFmtId="0" fontId="157" fillId="0" borderId="11" xfId="0" applyNumberFormat="1" applyFont="1" applyFill="1" applyBorder="1" applyAlignment="1" applyProtection="1">
      <alignment vertical="center"/>
      <protection hidden="1"/>
    </xf>
    <xf numFmtId="164" fontId="193" fillId="0" borderId="0" xfId="0" applyNumberFormat="1" applyFont="1" applyAlignment="1" applyProtection="1">
      <alignment horizontal="left" vertical="center"/>
      <protection hidden="1"/>
    </xf>
    <xf numFmtId="164" fontId="157" fillId="0" borderId="0" xfId="0" applyNumberFormat="1" applyFont="1" applyAlignment="1" applyProtection="1">
      <alignment horizontal="left" vertical="center"/>
      <protection hidden="1"/>
    </xf>
    <xf numFmtId="0" fontId="85" fillId="0" borderId="12" xfId="0" applyNumberFormat="1" applyFont="1" applyFill="1" applyBorder="1" applyAlignment="1" applyProtection="1">
      <alignment vertical="center"/>
      <protection hidden="1"/>
    </xf>
    <xf numFmtId="0" fontId="85" fillId="0" borderId="0" xfId="0" applyNumberFormat="1" applyFont="1" applyFill="1" applyBorder="1" applyAlignment="1" applyProtection="1">
      <alignment horizontal="left" vertical="center"/>
      <protection locked="0" hidden="1"/>
    </xf>
    <xf numFmtId="0" fontId="157" fillId="0" borderId="0" xfId="0" applyNumberFormat="1" applyFont="1" applyFill="1" applyBorder="1" applyAlignment="1" applyProtection="1">
      <alignment vertical="center"/>
      <protection locked="0" hidden="1"/>
    </xf>
    <xf numFmtId="0" fontId="85" fillId="0" borderId="0" xfId="0" applyNumberFormat="1" applyFont="1" applyFill="1" applyBorder="1" applyAlignment="1" applyProtection="1">
      <alignment vertical="center"/>
      <protection hidden="1"/>
    </xf>
    <xf numFmtId="0" fontId="85" fillId="0" borderId="0" xfId="0" applyNumberFormat="1" applyFont="1" applyFill="1" applyBorder="1" applyAlignment="1" applyProtection="1">
      <alignment horizontal="center" vertical="center"/>
      <protection hidden="1"/>
    </xf>
    <xf numFmtId="164" fontId="157" fillId="0" borderId="0" xfId="0" applyNumberFormat="1" applyFont="1" applyFill="1" applyBorder="1" applyAlignment="1" applyProtection="1">
      <alignment horizontal="left" vertical="center"/>
      <protection hidden="1"/>
    </xf>
    <xf numFmtId="0" fontId="157" fillId="0" borderId="13" xfId="0" applyNumberFormat="1" applyFont="1" applyFill="1" applyBorder="1" applyAlignment="1" applyProtection="1">
      <alignment vertical="center"/>
      <protection hidden="1"/>
    </xf>
    <xf numFmtId="164" fontId="85" fillId="0" borderId="0" xfId="0" applyNumberFormat="1" applyFont="1" applyFill="1" applyBorder="1" applyAlignment="1" applyProtection="1">
      <alignment horizontal="left" vertical="center"/>
      <protection hidden="1"/>
    </xf>
    <xf numFmtId="37" fontId="85" fillId="0" borderId="10" xfId="0" applyNumberFormat="1" applyFont="1" applyFill="1" applyBorder="1" applyAlignment="1" applyProtection="1">
      <alignment vertical="center"/>
      <protection hidden="1"/>
    </xf>
    <xf numFmtId="164" fontId="157" fillId="0" borderId="11" xfId="0" applyNumberFormat="1" applyFont="1" applyFill="1" applyBorder="1" applyAlignment="1" applyProtection="1">
      <alignment horizontal="left" vertical="center"/>
      <protection hidden="1"/>
    </xf>
    <xf numFmtId="0" fontId="85" fillId="0" borderId="17" xfId="0" applyNumberFormat="1" applyFont="1" applyFill="1" applyBorder="1" applyAlignment="1" applyProtection="1">
      <alignment horizontal="centerContinuous" vertical="center"/>
      <protection hidden="1"/>
    </xf>
    <xf numFmtId="164" fontId="157" fillId="0" borderId="18" xfId="0" applyNumberFormat="1" applyFont="1" applyFill="1" applyBorder="1" applyAlignment="1" applyProtection="1">
      <alignment horizontal="centerContinuous" vertical="center"/>
      <protection hidden="1"/>
    </xf>
    <xf numFmtId="164" fontId="193" fillId="0" borderId="0" xfId="0" applyNumberFormat="1" applyFont="1" applyFill="1" applyBorder="1" applyAlignment="1" applyProtection="1">
      <alignment horizontal="left" vertical="center"/>
      <protection hidden="1"/>
    </xf>
    <xf numFmtId="0" fontId="85" fillId="0" borderId="17" xfId="4" applyNumberFormat="1" applyFont="1" applyFill="1" applyBorder="1" applyAlignment="1" applyProtection="1">
      <alignment vertical="center"/>
      <protection hidden="1"/>
    </xf>
    <xf numFmtId="0" fontId="85" fillId="0" borderId="19" xfId="4" applyNumberFormat="1" applyFont="1" applyFill="1" applyBorder="1" applyAlignment="1" applyProtection="1">
      <alignment horizontal="center" vertical="center" wrapText="1"/>
      <protection hidden="1"/>
    </xf>
    <xf numFmtId="0" fontId="85" fillId="0" borderId="0" xfId="4" applyNumberFormat="1" applyFont="1" applyFill="1" applyBorder="1" applyAlignment="1" applyProtection="1">
      <alignment horizontal="center" vertical="center" wrapText="1"/>
      <protection hidden="1"/>
    </xf>
    <xf numFmtId="0" fontId="85" fillId="0" borderId="0" xfId="4" applyNumberFormat="1" applyFont="1" applyFill="1" applyBorder="1" applyAlignment="1" applyProtection="1">
      <alignment vertical="center" wrapText="1"/>
      <protection hidden="1"/>
    </xf>
    <xf numFmtId="0" fontId="85" fillId="0" borderId="18" xfId="4" applyNumberFormat="1" applyFont="1" applyFill="1" applyBorder="1" applyAlignment="1" applyProtection="1">
      <alignment horizontal="center" vertical="center" wrapText="1"/>
      <protection hidden="1"/>
    </xf>
    <xf numFmtId="0" fontId="85" fillId="0" borderId="20" xfId="0" applyNumberFormat="1" applyFont="1" applyBorder="1" applyAlignment="1" applyProtection="1">
      <alignment horizontal="center" vertical="center"/>
      <protection hidden="1"/>
    </xf>
    <xf numFmtId="0" fontId="85" fillId="0" borderId="21" xfId="0" applyNumberFormat="1" applyFont="1" applyFill="1" applyBorder="1" applyAlignment="1" applyProtection="1">
      <alignment horizontal="centerContinuous" vertical="center"/>
      <protection hidden="1"/>
    </xf>
    <xf numFmtId="0" fontId="85" fillId="0" borderId="12" xfId="4" applyNumberFormat="1" applyFont="1" applyFill="1" applyBorder="1" applyAlignment="1" applyProtection="1">
      <alignment vertical="center"/>
      <protection locked="0" hidden="1"/>
    </xf>
    <xf numFmtId="3" fontId="85" fillId="0" borderId="0" xfId="4" quotePrefix="1" applyNumberFormat="1" applyFont="1" applyFill="1" applyBorder="1" applyAlignment="1" applyProtection="1">
      <alignment horizontal="center" vertical="center"/>
      <protection locked="0" hidden="1"/>
    </xf>
    <xf numFmtId="0" fontId="85" fillId="0" borderId="0" xfId="4" quotePrefix="1" applyNumberFormat="1" applyFont="1" applyFill="1" applyBorder="1" applyAlignment="1" applyProtection="1">
      <alignment vertical="center"/>
      <protection hidden="1"/>
    </xf>
    <xf numFmtId="3" fontId="85" fillId="0" borderId="0" xfId="4" applyNumberFormat="1" applyFont="1" applyFill="1" applyBorder="1" applyAlignment="1" applyProtection="1">
      <alignment horizontal="center" vertical="center"/>
      <protection locked="0" hidden="1"/>
    </xf>
    <xf numFmtId="164" fontId="157" fillId="0" borderId="0" xfId="0" applyNumberFormat="1" applyFont="1" applyFill="1" applyBorder="1" applyAlignment="1" applyProtection="1">
      <alignment horizontal="left" vertical="center"/>
      <protection locked="0" hidden="1"/>
    </xf>
    <xf numFmtId="0" fontId="157" fillId="0" borderId="22" xfId="0" applyNumberFormat="1" applyFont="1" applyFill="1" applyBorder="1" applyAlignment="1" applyProtection="1">
      <alignment horizontal="left" vertical="center" wrapText="1" indent="1"/>
      <protection hidden="1"/>
    </xf>
    <xf numFmtId="167" fontId="157" fillId="0" borderId="23" xfId="0" applyNumberFormat="1" applyFont="1" applyFill="1" applyBorder="1" applyAlignment="1" applyProtection="1">
      <alignment horizontal="centerContinuous" vertical="center"/>
      <protection hidden="1"/>
    </xf>
    <xf numFmtId="0" fontId="157" fillId="0" borderId="12" xfId="0" applyNumberFormat="1" applyFont="1" applyFill="1" applyBorder="1" applyAlignment="1" applyProtection="1">
      <alignment horizontal="left" vertical="center" wrapText="1" indent="1"/>
      <protection hidden="1"/>
    </xf>
    <xf numFmtId="167" fontId="157" fillId="0" borderId="24" xfId="0" applyNumberFormat="1" applyFont="1" applyFill="1" applyBorder="1" applyAlignment="1" applyProtection="1">
      <alignment horizontal="centerContinuous" vertical="center"/>
      <protection hidden="1"/>
    </xf>
    <xf numFmtId="0" fontId="85" fillId="0" borderId="25" xfId="0" applyNumberFormat="1" applyFont="1" applyFill="1" applyBorder="1" applyAlignment="1" applyProtection="1">
      <alignment vertical="center"/>
      <protection hidden="1"/>
    </xf>
    <xf numFmtId="167" fontId="157" fillId="0" borderId="26" xfId="5" applyNumberFormat="1" applyFont="1" applyFill="1" applyBorder="1" applyAlignment="1" applyProtection="1">
      <alignment horizontal="centerContinuous" vertical="center"/>
      <protection hidden="1"/>
    </xf>
    <xf numFmtId="3" fontId="85" fillId="0" borderId="19" xfId="4" applyNumberFormat="1" applyFont="1" applyFill="1" applyBorder="1" applyAlignment="1" applyProtection="1">
      <alignment horizontal="center" vertical="center"/>
      <protection hidden="1"/>
    </xf>
    <xf numFmtId="0" fontId="85" fillId="0" borderId="19" xfId="4" quotePrefix="1" applyNumberFormat="1" applyFont="1" applyFill="1" applyBorder="1" applyAlignment="1" applyProtection="1">
      <alignment vertical="center"/>
      <protection hidden="1"/>
    </xf>
    <xf numFmtId="0" fontId="85" fillId="0" borderId="19" xfId="4" applyNumberFormat="1" applyFont="1" applyFill="1" applyBorder="1" applyAlignment="1" applyProtection="1">
      <alignment vertical="center"/>
      <protection hidden="1"/>
    </xf>
    <xf numFmtId="164" fontId="157" fillId="0" borderId="19" xfId="0" applyNumberFormat="1" applyFont="1" applyFill="1" applyBorder="1" applyAlignment="1" applyProtection="1">
      <alignment horizontal="left" vertical="center"/>
      <protection hidden="1"/>
    </xf>
    <xf numFmtId="164" fontId="157" fillId="0" borderId="18" xfId="0" applyNumberFormat="1" applyFont="1" applyFill="1" applyBorder="1" applyAlignment="1" applyProtection="1">
      <alignment horizontal="left" vertical="center"/>
      <protection hidden="1"/>
    </xf>
    <xf numFmtId="0" fontId="157" fillId="0" borderId="18" xfId="0" applyNumberFormat="1" applyFont="1" applyFill="1" applyBorder="1" applyAlignment="1" applyProtection="1">
      <alignment horizontal="centerContinuous" vertical="center"/>
      <protection hidden="1"/>
    </xf>
    <xf numFmtId="164" fontId="85" fillId="0" borderId="10" xfId="0" applyNumberFormat="1" applyFont="1" applyFill="1" applyBorder="1" applyAlignment="1" applyProtection="1">
      <alignment horizontal="left" vertical="center"/>
      <protection hidden="1"/>
    </xf>
    <xf numFmtId="164" fontId="157" fillId="0" borderId="16" xfId="0" applyNumberFormat="1" applyFont="1" applyFill="1" applyBorder="1" applyAlignment="1" applyProtection="1">
      <alignment horizontal="right" vertical="center"/>
      <protection hidden="1"/>
    </xf>
    <xf numFmtId="0" fontId="85" fillId="0" borderId="27" xfId="0" applyNumberFormat="1" applyFont="1" applyFill="1" applyBorder="1" applyAlignment="1" applyProtection="1">
      <alignment horizontal="center" vertical="center"/>
      <protection hidden="1"/>
    </xf>
    <xf numFmtId="0" fontId="85" fillId="0" borderId="28" xfId="0" applyNumberFormat="1" applyFont="1" applyFill="1" applyBorder="1" applyAlignment="1" applyProtection="1">
      <alignment horizontal="center" vertical="center"/>
      <protection hidden="1"/>
    </xf>
    <xf numFmtId="164" fontId="85" fillId="0" borderId="12" xfId="0" applyNumberFormat="1" applyFont="1" applyFill="1" applyBorder="1" applyAlignment="1" applyProtection="1">
      <alignment horizontal="left" vertical="center"/>
      <protection hidden="1"/>
    </xf>
    <xf numFmtId="164" fontId="157" fillId="0" borderId="0" xfId="0" applyNumberFormat="1" applyFont="1" applyFill="1" applyBorder="1" applyAlignment="1" applyProtection="1">
      <alignment horizontal="right" vertical="center"/>
      <protection hidden="1"/>
    </xf>
    <xf numFmtId="167" fontId="157" fillId="0" borderId="23" xfId="0" applyNumberFormat="1" applyFont="1" applyFill="1" applyBorder="1" applyAlignment="1" applyProtection="1">
      <alignment horizontal="left" vertical="center" indent="1"/>
      <protection hidden="1"/>
    </xf>
    <xf numFmtId="167" fontId="157" fillId="0" borderId="24" xfId="0" applyNumberFormat="1" applyFont="1" applyFill="1" applyBorder="1" applyAlignment="1" applyProtection="1">
      <alignment horizontal="left" vertical="center" indent="1"/>
      <protection hidden="1"/>
    </xf>
    <xf numFmtId="164" fontId="157" fillId="0" borderId="29" xfId="0" applyNumberFormat="1" applyFont="1" applyFill="1" applyBorder="1" applyAlignment="1" applyProtection="1">
      <alignment horizontal="left" vertical="center"/>
      <protection hidden="1"/>
    </xf>
    <xf numFmtId="0" fontId="157" fillId="0" borderId="14" xfId="0" applyNumberFormat="1" applyFont="1" applyFill="1" applyBorder="1" applyAlignment="1" applyProtection="1">
      <alignment horizontal="left" vertical="center" wrapText="1" indent="1"/>
      <protection hidden="1"/>
    </xf>
    <xf numFmtId="167" fontId="157" fillId="0" borderId="31" xfId="0" applyNumberFormat="1" applyFont="1" applyFill="1" applyBorder="1" applyAlignment="1" applyProtection="1">
      <alignment horizontal="left" vertical="center" indent="1"/>
      <protection hidden="1"/>
    </xf>
    <xf numFmtId="0" fontId="194" fillId="3" borderId="33" xfId="0" applyFont="1" applyFill="1" applyBorder="1" applyAlignment="1" applyProtection="1">
      <alignment horizontal="center" vertical="center" wrapText="1"/>
      <protection hidden="1"/>
    </xf>
    <xf numFmtId="0" fontId="194" fillId="3" borderId="34" xfId="0" applyFont="1" applyFill="1" applyBorder="1" applyAlignment="1" applyProtection="1">
      <alignment horizontal="center" vertical="center" wrapText="1"/>
      <protection hidden="1"/>
    </xf>
    <xf numFmtId="0" fontId="193" fillId="0" borderId="0" xfId="0" applyFont="1" applyAlignment="1" applyProtection="1">
      <alignment vertical="center" wrapText="1"/>
      <protection hidden="1"/>
    </xf>
    <xf numFmtId="0" fontId="162" fillId="0" borderId="0" xfId="0" applyFont="1" applyAlignment="1" applyProtection="1">
      <protection hidden="1"/>
    </xf>
    <xf numFmtId="0" fontId="195" fillId="3" borderId="35" xfId="0" applyFont="1" applyFill="1" applyBorder="1" applyAlignment="1" applyProtection="1">
      <alignment vertical="center" wrapText="1"/>
      <protection locked="0" hidden="1"/>
    </xf>
    <xf numFmtId="9" fontId="195" fillId="3" borderId="35" xfId="2" applyFont="1" applyFill="1" applyBorder="1" applyAlignment="1" applyProtection="1">
      <alignment horizontal="center" vertical="center" wrapText="1"/>
      <protection locked="0" hidden="1"/>
    </xf>
    <xf numFmtId="9" fontId="195" fillId="3" borderId="36" xfId="2" applyFont="1" applyFill="1" applyBorder="1" applyAlignment="1" applyProtection="1">
      <alignment horizontal="center" vertical="center" wrapText="1"/>
      <protection locked="0" hidden="1"/>
    </xf>
    <xf numFmtId="0" fontId="195" fillId="3" borderId="39" xfId="0" applyFont="1" applyFill="1" applyBorder="1" applyAlignment="1" applyProtection="1">
      <alignment vertical="center" wrapText="1"/>
      <protection locked="0" hidden="1"/>
    </xf>
    <xf numFmtId="9" fontId="195" fillId="3" borderId="39" xfId="2" applyFont="1" applyFill="1" applyBorder="1" applyAlignment="1" applyProtection="1">
      <alignment horizontal="center" vertical="center" wrapText="1"/>
      <protection locked="0" hidden="1"/>
    </xf>
    <xf numFmtId="9" fontId="195" fillId="3" borderId="40" xfId="2" applyFont="1" applyFill="1" applyBorder="1" applyAlignment="1" applyProtection="1">
      <alignment horizontal="center" vertical="center" wrapText="1"/>
      <protection locked="0" hidden="1"/>
    </xf>
    <xf numFmtId="4" fontId="157" fillId="0" borderId="0" xfId="0" applyNumberFormat="1" applyFont="1" applyFill="1" applyAlignment="1" applyProtection="1">
      <alignment horizontal="left" vertical="center"/>
      <protection hidden="1"/>
    </xf>
    <xf numFmtId="0" fontId="162" fillId="0" borderId="0" xfId="0" applyFont="1" applyProtection="1">
      <protection hidden="1"/>
    </xf>
    <xf numFmtId="0" fontId="196" fillId="0" borderId="0" xfId="0" applyFont="1" applyAlignment="1" applyProtection="1">
      <protection hidden="1"/>
    </xf>
    <xf numFmtId="0" fontId="197" fillId="0" borderId="0" xfId="0" applyFont="1" applyAlignment="1" applyProtection="1">
      <protection hidden="1"/>
    </xf>
    <xf numFmtId="0" fontId="195" fillId="0" borderId="0" xfId="0" applyFont="1" applyAlignment="1" applyProtection="1">
      <protection hidden="1"/>
    </xf>
    <xf numFmtId="0" fontId="203" fillId="0" borderId="25" xfId="6" applyFont="1" applyFill="1" applyBorder="1" applyAlignment="1" applyProtection="1">
      <alignment vertical="center"/>
      <protection locked="0"/>
    </xf>
    <xf numFmtId="0" fontId="5" fillId="0" borderId="0" xfId="0" applyFont="1" applyAlignment="1" applyProtection="1">
      <alignment horizontal="right"/>
      <protection hidden="1"/>
    </xf>
    <xf numFmtId="0" fontId="5" fillId="0" borderId="0" xfId="0" applyFont="1" applyFill="1" applyAlignment="1" applyProtection="1">
      <alignment horizontal="right"/>
      <protection hidden="1"/>
    </xf>
    <xf numFmtId="0" fontId="204" fillId="0" borderId="0" xfId="0" applyFont="1" applyProtection="1">
      <protection hidden="1"/>
    </xf>
    <xf numFmtId="0" fontId="204" fillId="0" borderId="0" xfId="0" applyFont="1" applyAlignment="1" applyProtection="1">
      <alignment horizontal="center"/>
      <protection hidden="1"/>
    </xf>
    <xf numFmtId="37" fontId="204" fillId="0" borderId="0" xfId="0" applyNumberFormat="1" applyFont="1" applyAlignment="1" applyProtection="1">
      <alignment horizontal="center"/>
      <protection hidden="1"/>
    </xf>
    <xf numFmtId="0" fontId="5" fillId="0" borderId="0" xfId="0" quotePrefix="1" applyFont="1" applyProtection="1">
      <protection hidden="1"/>
    </xf>
    <xf numFmtId="0" fontId="5" fillId="0" borderId="0" xfId="0" applyFont="1"/>
    <xf numFmtId="0" fontId="5" fillId="0" borderId="0" xfId="0" quotePrefix="1" applyFont="1" applyFill="1" applyProtection="1">
      <protection hidden="1"/>
    </xf>
    <xf numFmtId="0" fontId="204" fillId="0" borderId="0" xfId="0" applyFont="1" applyFill="1" applyProtection="1">
      <protection hidden="1"/>
    </xf>
    <xf numFmtId="0" fontId="204" fillId="0" borderId="0" xfId="0" applyFont="1" applyBorder="1" applyProtection="1">
      <protection hidden="1"/>
    </xf>
    <xf numFmtId="0" fontId="148" fillId="4" borderId="10" xfId="6" applyFont="1" applyFill="1" applyBorder="1" applyAlignment="1" applyProtection="1">
      <alignment horizontal="center" vertical="center"/>
      <protection locked="0" hidden="1"/>
    </xf>
    <xf numFmtId="0" fontId="148" fillId="4" borderId="16" xfId="6" applyFont="1" applyFill="1" applyBorder="1" applyAlignment="1" applyProtection="1">
      <alignment horizontal="center" vertical="center"/>
      <protection locked="0" hidden="1"/>
    </xf>
    <xf numFmtId="0" fontId="148" fillId="4" borderId="11" xfId="6" applyFont="1" applyFill="1" applyBorder="1" applyAlignment="1" applyProtection="1">
      <alignment horizontal="center" vertical="center"/>
      <protection locked="0" hidden="1"/>
    </xf>
    <xf numFmtId="0" fontId="148" fillId="4" borderId="10" xfId="6" applyFont="1" applyFill="1" applyBorder="1" applyAlignment="1" applyProtection="1">
      <alignment vertical="center"/>
      <protection locked="0" hidden="1"/>
    </xf>
    <xf numFmtId="17" fontId="148" fillId="4" borderId="16" xfId="6" applyNumberFormat="1" applyFont="1" applyFill="1" applyBorder="1" applyAlignment="1" applyProtection="1">
      <alignment horizontal="center" vertical="center"/>
      <protection locked="0" hidden="1"/>
    </xf>
    <xf numFmtId="0" fontId="152" fillId="13" borderId="17" xfId="6" applyFont="1" applyFill="1" applyBorder="1" applyAlignment="1" applyProtection="1">
      <alignment horizontal="center" vertical="center"/>
      <protection locked="0" hidden="1"/>
    </xf>
    <xf numFmtId="0" fontId="205" fillId="0" borderId="19" xfId="6" applyFont="1" applyFill="1" applyBorder="1" applyAlignment="1" applyProtection="1">
      <alignment horizontal="center" vertical="center"/>
      <protection locked="0" hidden="1"/>
    </xf>
    <xf numFmtId="3" fontId="205" fillId="0" borderId="18" xfId="6" applyNumberFormat="1" applyFont="1" applyFill="1" applyBorder="1" applyAlignment="1" applyProtection="1">
      <alignment horizontal="center" vertical="center"/>
      <protection locked="0" hidden="1"/>
    </xf>
    <xf numFmtId="0" fontId="93" fillId="13" borderId="14" xfId="6" applyFont="1" applyFill="1" applyBorder="1" applyAlignment="1" applyProtection="1">
      <alignment vertical="center"/>
      <protection locked="0"/>
    </xf>
    <xf numFmtId="0" fontId="148" fillId="4" borderId="17" xfId="6" applyFont="1" applyFill="1" applyBorder="1" applyAlignment="1" applyProtection="1">
      <alignment horizontal="center"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207" fillId="0" borderId="0" xfId="21" applyFont="1" applyAlignment="1"/>
    <xf numFmtId="167" fontId="31" fillId="0" borderId="640" xfId="21" applyNumberFormat="1" applyFont="1" applyBorder="1" applyAlignment="1">
      <alignment horizontal="right"/>
    </xf>
    <xf numFmtId="0" fontId="31" fillId="0" borderId="0" xfId="21" applyFont="1"/>
    <xf numFmtId="213" fontId="31" fillId="36" borderId="640" xfId="21" applyNumberFormat="1" applyFont="1" applyFill="1" applyBorder="1" applyAlignment="1">
      <alignment horizontal="center"/>
    </xf>
    <xf numFmtId="213" fontId="31" fillId="0" borderId="640" xfId="21" applyNumberFormat="1" applyFont="1" applyBorder="1" applyAlignment="1">
      <alignment horizontal="center"/>
    </xf>
    <xf numFmtId="0" fontId="31" fillId="0" borderId="640" xfId="21" applyFont="1" applyBorder="1" applyAlignment="1"/>
    <xf numFmtId="214" fontId="31" fillId="0" borderId="640" xfId="21" applyNumberFormat="1" applyFont="1" applyBorder="1"/>
    <xf numFmtId="167" fontId="19" fillId="0" borderId="0" xfId="21" applyNumberFormat="1" applyFont="1" applyAlignment="1">
      <alignment horizontal="right"/>
    </xf>
    <xf numFmtId="0" fontId="19" fillId="0" borderId="0" xfId="21" applyFont="1" applyAlignment="1">
      <alignment horizontal="right"/>
    </xf>
    <xf numFmtId="214" fontId="19" fillId="0" borderId="0" xfId="21" applyNumberFormat="1" applyFont="1"/>
    <xf numFmtId="214" fontId="31" fillId="37" borderId="640" xfId="21" applyNumberFormat="1" applyFont="1" applyFill="1" applyBorder="1"/>
    <xf numFmtId="167" fontId="19" fillId="0" borderId="640" xfId="21" applyNumberFormat="1" applyFont="1" applyBorder="1" applyAlignment="1">
      <alignment horizontal="right"/>
    </xf>
    <xf numFmtId="214" fontId="19" fillId="0" borderId="640" xfId="21" applyNumberFormat="1" applyFont="1" applyBorder="1"/>
    <xf numFmtId="0" fontId="19" fillId="0" borderId="640" xfId="21" applyFont="1" applyBorder="1" applyAlignment="1"/>
    <xf numFmtId="167" fontId="31" fillId="0" borderId="0" xfId="21" applyNumberFormat="1" applyFont="1" applyAlignment="1">
      <alignment horizontal="right"/>
    </xf>
    <xf numFmtId="214" fontId="31" fillId="0" borderId="0" xfId="21" applyNumberFormat="1" applyFont="1"/>
    <xf numFmtId="0" fontId="31" fillId="0" borderId="0" xfId="21" applyFont="1" applyAlignment="1"/>
    <xf numFmtId="214" fontId="19" fillId="37" borderId="640" xfId="21" applyNumberFormat="1" applyFont="1" applyFill="1" applyBorder="1"/>
    <xf numFmtId="0" fontId="20" fillId="0" borderId="640" xfId="21" applyFont="1" applyBorder="1" applyAlignment="1">
      <alignment horizontal="center" vertical="center" wrapText="1"/>
    </xf>
    <xf numFmtId="0" fontId="20" fillId="0" borderId="0" xfId="21" applyFont="1" applyAlignment="1">
      <alignment horizontal="center" vertical="center" wrapText="1"/>
    </xf>
    <xf numFmtId="0" fontId="20" fillId="37" borderId="640" xfId="21" applyFont="1" applyFill="1" applyBorder="1" applyAlignment="1">
      <alignment horizontal="center" vertical="center" wrapText="1"/>
    </xf>
    <xf numFmtId="0" fontId="20" fillId="37" borderId="0" xfId="21" applyFont="1" applyFill="1" applyAlignment="1">
      <alignment horizontal="center" vertical="center" wrapText="1"/>
    </xf>
    <xf numFmtId="215" fontId="19" fillId="37" borderId="0" xfId="21" applyNumberFormat="1" applyFont="1" applyFill="1"/>
    <xf numFmtId="167" fontId="20" fillId="0" borderId="640" xfId="21" applyNumberFormat="1" applyFont="1" applyBorder="1" applyAlignment="1">
      <alignment horizontal="right"/>
    </xf>
    <xf numFmtId="214" fontId="20" fillId="0" borderId="640" xfId="21" applyNumberFormat="1" applyFont="1" applyBorder="1"/>
    <xf numFmtId="214" fontId="20" fillId="37" borderId="640" xfId="21" applyNumberFormat="1" applyFont="1" applyFill="1" applyBorder="1"/>
    <xf numFmtId="0" fontId="20" fillId="0" borderId="640" xfId="21" applyFont="1" applyBorder="1" applyAlignment="1"/>
    <xf numFmtId="0" fontId="209" fillId="0" borderId="0" xfId="21" applyFont="1"/>
    <xf numFmtId="0" fontId="209" fillId="0" borderId="0" xfId="21" applyFont="1" applyAlignment="1"/>
    <xf numFmtId="167" fontId="20" fillId="0" borderId="640" xfId="21" applyNumberFormat="1" applyFont="1" applyBorder="1"/>
    <xf numFmtId="0" fontId="20" fillId="0" borderId="641" xfId="21" applyFont="1" applyBorder="1" applyAlignment="1">
      <alignment horizontal="center" vertical="center" wrapText="1"/>
    </xf>
    <xf numFmtId="0" fontId="208" fillId="0" borderId="0" xfId="21" applyFont="1" applyAlignment="1">
      <alignment horizontal="center"/>
    </xf>
    <xf numFmtId="0" fontId="31" fillId="0" borderId="0" xfId="21" applyFont="1" applyAlignment="1">
      <alignment horizontal="center" vertical="center" wrapText="1"/>
    </xf>
    <xf numFmtId="0" fontId="31" fillId="0" borderId="642" xfId="21" applyFont="1" applyBorder="1" applyAlignment="1">
      <alignment horizontal="center" vertical="center" wrapText="1"/>
    </xf>
    <xf numFmtId="0" fontId="19" fillId="0" borderId="0" xfId="21" applyFont="1" applyAlignment="1"/>
    <xf numFmtId="0" fontId="19" fillId="36" borderId="0" xfId="21" applyFont="1" applyFill="1" applyAlignment="1"/>
    <xf numFmtId="1" fontId="207" fillId="0" borderId="0" xfId="21" applyNumberFormat="1" applyFont="1" applyAlignment="1"/>
    <xf numFmtId="0" fontId="210" fillId="0" borderId="0" xfId="21" applyFont="1" applyAlignment="1">
      <alignment horizontal="center"/>
    </xf>
    <xf numFmtId="0" fontId="211" fillId="0" borderId="0" xfId="21" applyFont="1" applyAlignment="1">
      <alignment horizontal="center"/>
    </xf>
    <xf numFmtId="0" fontId="212" fillId="0" borderId="0" xfId="21" applyFont="1" applyAlignment="1">
      <alignment horizontal="center" vertical="center"/>
    </xf>
    <xf numFmtId="0" fontId="100" fillId="0" borderId="640" xfId="21" applyFont="1" applyBorder="1" applyAlignment="1">
      <alignment horizontal="left" vertical="center" wrapText="1"/>
    </xf>
    <xf numFmtId="0" fontId="212" fillId="0" borderId="0" xfId="21" applyFont="1" applyAlignment="1">
      <alignment horizontal="center" vertical="center" wrapText="1"/>
    </xf>
    <xf numFmtId="0" fontId="212" fillId="0" borderId="0" xfId="21" applyFont="1" applyAlignment="1"/>
    <xf numFmtId="0" fontId="213" fillId="36" borderId="640" xfId="21" applyFont="1" applyFill="1" applyBorder="1" applyAlignment="1">
      <alignment vertical="center" wrapText="1"/>
    </xf>
    <xf numFmtId="0" fontId="20" fillId="0" borderId="644" xfId="21" applyFont="1" applyBorder="1" applyAlignment="1">
      <alignment horizontal="left" vertical="center"/>
    </xf>
    <xf numFmtId="0" fontId="20" fillId="0" borderId="644" xfId="21" applyFont="1" applyBorder="1" applyAlignment="1">
      <alignment wrapText="1"/>
    </xf>
    <xf numFmtId="214" fontId="19" fillId="36" borderId="640" xfId="21" applyNumberFormat="1" applyFont="1" applyFill="1" applyBorder="1" applyAlignment="1"/>
    <xf numFmtId="214" fontId="19" fillId="36" borderId="640" xfId="21" applyNumberFormat="1" applyFont="1" applyFill="1" applyBorder="1"/>
    <xf numFmtId="37" fontId="215" fillId="37" borderId="0" xfId="21" applyNumberFormat="1" applyFont="1" applyFill="1"/>
    <xf numFmtId="0" fontId="215" fillId="37" borderId="0" xfId="21" applyFont="1" applyFill="1"/>
    <xf numFmtId="0" fontId="19" fillId="37" borderId="0" xfId="21" applyFont="1" applyFill="1" applyAlignment="1">
      <alignment horizontal="right"/>
    </xf>
    <xf numFmtId="214" fontId="207" fillId="0" borderId="0" xfId="21" applyNumberFormat="1" applyFont="1"/>
    <xf numFmtId="0" fontId="20" fillId="0" borderId="644" xfId="21" applyFont="1" applyBorder="1" applyAlignment="1"/>
    <xf numFmtId="214" fontId="19" fillId="0" borderId="640" xfId="21" applyNumberFormat="1" applyFont="1" applyBorder="1" applyAlignment="1"/>
    <xf numFmtId="214" fontId="19" fillId="0" borderId="645" xfId="21" applyNumberFormat="1" applyFont="1" applyBorder="1"/>
    <xf numFmtId="214" fontId="19" fillId="0" borderId="646" xfId="21" applyNumberFormat="1" applyFont="1" applyBorder="1"/>
    <xf numFmtId="214" fontId="19" fillId="0" borderId="644" xfId="21" applyNumberFormat="1" applyFont="1" applyBorder="1"/>
    <xf numFmtId="0" fontId="19" fillId="0" borderId="640" xfId="21" applyFont="1" applyBorder="1"/>
    <xf numFmtId="0" fontId="19" fillId="37" borderId="0" xfId="21" applyFont="1" applyFill="1" applyAlignment="1"/>
    <xf numFmtId="0" fontId="53" fillId="0" borderId="0" xfId="0" applyFont="1" applyAlignment="1">
      <alignment vertical="center"/>
    </xf>
    <xf numFmtId="0" fontId="53" fillId="0" borderId="0" xfId="19" applyNumberFormat="1" applyFont="1" applyAlignment="1">
      <alignment vertical="center"/>
    </xf>
    <xf numFmtId="0" fontId="53" fillId="0" borderId="0" xfId="0" applyFont="1" applyFill="1" applyAlignment="1">
      <alignment vertical="center"/>
    </xf>
    <xf numFmtId="0" fontId="53" fillId="0" borderId="0" xfId="0" applyFont="1" applyAlignment="1">
      <alignment horizontal="justify" vertical="justify" wrapText="1"/>
    </xf>
    <xf numFmtId="0" fontId="53" fillId="0" borderId="0" xfId="0" applyFont="1" applyFill="1" applyAlignment="1">
      <alignment horizontal="justify" vertical="justify" wrapText="1"/>
    </xf>
    <xf numFmtId="0" fontId="38" fillId="0" borderId="0" xfId="19" applyNumberFormat="1" applyFont="1"/>
    <xf numFmtId="0" fontId="53" fillId="0" borderId="47" xfId="0" applyFont="1" applyFill="1" applyBorder="1" applyAlignment="1">
      <alignment vertical="center"/>
    </xf>
    <xf numFmtId="0" fontId="53" fillId="0" borderId="47" xfId="0" applyFont="1" applyFill="1" applyBorder="1" applyAlignment="1">
      <alignment horizontal="center" vertical="center"/>
    </xf>
    <xf numFmtId="0" fontId="216" fillId="31" borderId="47" xfId="0" applyFont="1" applyFill="1" applyBorder="1" applyAlignment="1">
      <alignment vertical="center"/>
    </xf>
    <xf numFmtId="0" fontId="19" fillId="0" borderId="47" xfId="0" applyFont="1" applyFill="1" applyBorder="1" applyAlignment="1">
      <alignment vertical="center"/>
    </xf>
    <xf numFmtId="0" fontId="19" fillId="0" borderId="47" xfId="0" applyFont="1" applyFill="1" applyBorder="1" applyAlignment="1">
      <alignment horizontal="center" vertical="center"/>
    </xf>
    <xf numFmtId="0" fontId="216" fillId="31" borderId="47" xfId="0" applyFont="1" applyFill="1" applyBorder="1" applyAlignment="1">
      <alignment vertical="center" wrapText="1"/>
    </xf>
    <xf numFmtId="0" fontId="217" fillId="35" borderId="145" xfId="20" applyFont="1" applyBorder="1" applyAlignment="1">
      <alignment horizontal="center"/>
    </xf>
    <xf numFmtId="0" fontId="38" fillId="0" borderId="143" xfId="0" applyFont="1" applyBorder="1"/>
    <xf numFmtId="0" fontId="38" fillId="0" borderId="0" xfId="0" applyFont="1" applyBorder="1"/>
    <xf numFmtId="0" fontId="38" fillId="0" borderId="142" xfId="0" applyFont="1" applyBorder="1"/>
    <xf numFmtId="0" fontId="38" fillId="0" borderId="141" xfId="0" applyFont="1" applyBorder="1"/>
    <xf numFmtId="9" fontId="38" fillId="0" borderId="142" xfId="2" applyFont="1" applyBorder="1"/>
    <xf numFmtId="164" fontId="38" fillId="0" borderId="142" xfId="0" applyNumberFormat="1" applyFont="1" applyBorder="1"/>
    <xf numFmtId="0" fontId="38" fillId="5" borderId="142" xfId="0" applyFont="1" applyFill="1" applyBorder="1"/>
    <xf numFmtId="0" fontId="38" fillId="0" borderId="140" xfId="0" applyFont="1" applyBorder="1"/>
    <xf numFmtId="0" fontId="38" fillId="0" borderId="138" xfId="0" applyFont="1" applyBorder="1"/>
    <xf numFmtId="0" fontId="38" fillId="0" borderId="145" xfId="0" applyFont="1" applyBorder="1"/>
    <xf numFmtId="0" fontId="217" fillId="35" borderId="142" xfId="20" applyFont="1" applyBorder="1" applyAlignment="1">
      <alignment horizontal="center"/>
    </xf>
    <xf numFmtId="0" fontId="38" fillId="0" borderId="0" xfId="0" applyFont="1" applyFill="1"/>
    <xf numFmtId="0" fontId="53" fillId="0" borderId="47" xfId="0" applyFont="1" applyBorder="1" applyAlignment="1">
      <alignment vertical="center"/>
    </xf>
    <xf numFmtId="0" fontId="38" fillId="0" borderId="0" xfId="0" applyFont="1" applyAlignment="1">
      <alignment horizontal="left"/>
    </xf>
    <xf numFmtId="0" fontId="38" fillId="0" borderId="0" xfId="0" applyFont="1" applyFill="1" applyBorder="1" applyAlignment="1">
      <alignment horizontal="left"/>
    </xf>
    <xf numFmtId="0" fontId="46" fillId="0" borderId="0" xfId="0" applyFont="1" applyFill="1" applyAlignment="1">
      <alignment horizontal="center"/>
    </xf>
    <xf numFmtId="0" fontId="218" fillId="4" borderId="0" xfId="0" applyFont="1" applyFill="1" applyAlignment="1">
      <alignment horizontal="center" vertical="center"/>
    </xf>
    <xf numFmtId="0" fontId="216" fillId="4" borderId="59" xfId="0" applyFont="1" applyFill="1" applyBorder="1" applyAlignment="1">
      <alignment horizontal="center" vertical="center"/>
    </xf>
    <xf numFmtId="0" fontId="218" fillId="4" borderId="0" xfId="0" applyFont="1" applyFill="1" applyAlignment="1">
      <alignment vertical="center"/>
    </xf>
    <xf numFmtId="9" fontId="0" fillId="0" borderId="0" xfId="0" applyNumberFormat="1" applyAlignment="1">
      <alignment wrapText="1"/>
    </xf>
    <xf numFmtId="0" fontId="0" fillId="0" borderId="0" xfId="0" applyAlignment="1">
      <alignment wrapText="1"/>
    </xf>
    <xf numFmtId="0" fontId="38" fillId="38" borderId="0" xfId="0" applyFont="1" applyFill="1" applyAlignment="1">
      <alignment wrapText="1"/>
    </xf>
    <xf numFmtId="0" fontId="219" fillId="38" borderId="0" xfId="0" applyFont="1" applyFill="1" applyAlignment="1">
      <alignment vertical="center"/>
    </xf>
    <xf numFmtId="0" fontId="219" fillId="38" borderId="0" xfId="0" applyFont="1" applyFill="1" applyAlignment="1">
      <alignment wrapText="1"/>
    </xf>
    <xf numFmtId="0" fontId="220" fillId="38" borderId="647" xfId="0" applyFont="1" applyFill="1" applyBorder="1" applyAlignment="1">
      <alignment wrapText="1"/>
    </xf>
    <xf numFmtId="10" fontId="220" fillId="38" borderId="0" xfId="0" applyNumberFormat="1" applyFont="1" applyFill="1" applyAlignment="1">
      <alignment horizontal="center" wrapText="1"/>
    </xf>
    <xf numFmtId="0" fontId="38" fillId="0" borderId="0" xfId="0" applyFont="1" applyAlignment="1">
      <alignment wrapText="1"/>
    </xf>
    <xf numFmtId="0" fontId="0" fillId="0" borderId="0" xfId="0" applyAlignment="1">
      <alignment horizontal="center" wrapText="1"/>
    </xf>
    <xf numFmtId="9" fontId="0" fillId="0" borderId="0" xfId="2" applyFont="1" applyAlignment="1">
      <alignment horizontal="center"/>
    </xf>
    <xf numFmtId="2" fontId="0" fillId="0" borderId="0" xfId="0" applyNumberFormat="1"/>
    <xf numFmtId="9" fontId="221" fillId="0" borderId="0" xfId="0" applyNumberFormat="1" applyFont="1" applyAlignment="1">
      <alignment horizontal="center" wrapText="1"/>
    </xf>
    <xf numFmtId="10" fontId="0" fillId="0" borderId="0" xfId="0" applyNumberFormat="1" applyAlignment="1">
      <alignment horizontal="center" wrapText="1"/>
    </xf>
    <xf numFmtId="0" fontId="0" fillId="0" borderId="0" xfId="0" applyFill="1" applyAlignment="1">
      <alignment wrapText="1"/>
    </xf>
    <xf numFmtId="0" fontId="38" fillId="0" borderId="0" xfId="0" applyFont="1" applyFill="1" applyAlignment="1">
      <alignment wrapText="1"/>
    </xf>
    <xf numFmtId="0" fontId="221" fillId="0" borderId="0" xfId="0" applyFont="1" applyFill="1" applyAlignment="1">
      <alignment wrapText="1"/>
    </xf>
    <xf numFmtId="167" fontId="220" fillId="38" borderId="0" xfId="2" applyNumberFormat="1" applyFont="1" applyFill="1" applyAlignment="1">
      <alignment horizontal="center" wrapText="1"/>
    </xf>
    <xf numFmtId="9" fontId="220" fillId="38" borderId="0" xfId="2" applyFont="1" applyFill="1" applyAlignment="1">
      <alignment wrapText="1"/>
    </xf>
    <xf numFmtId="0" fontId="220" fillId="38" borderId="0" xfId="0" applyFont="1" applyFill="1" applyAlignment="1">
      <alignment wrapText="1"/>
    </xf>
    <xf numFmtId="9" fontId="220" fillId="38" borderId="0" xfId="0" applyNumberFormat="1" applyFont="1" applyFill="1" applyAlignment="1">
      <alignment horizontal="center" wrapText="1"/>
    </xf>
    <xf numFmtId="9" fontId="0" fillId="0" borderId="0" xfId="0" applyNumberFormat="1" applyAlignment="1">
      <alignment horizontal="center" wrapText="1"/>
    </xf>
    <xf numFmtId="0" fontId="222" fillId="0" borderId="648" xfId="0" applyFont="1" applyFill="1" applyBorder="1" applyAlignment="1">
      <alignment horizontal="left" wrapText="1"/>
    </xf>
    <xf numFmtId="43" fontId="0" fillId="0" borderId="0" xfId="19" applyFont="1"/>
    <xf numFmtId="0" fontId="221" fillId="0" borderId="0" xfId="0" applyFont="1" applyAlignment="1">
      <alignment wrapText="1"/>
    </xf>
    <xf numFmtId="0" fontId="219" fillId="38" borderId="0" xfId="0" applyFont="1" applyFill="1" applyAlignment="1">
      <alignment horizontal="center" wrapText="1"/>
    </xf>
    <xf numFmtId="9" fontId="220" fillId="38" borderId="0" xfId="2" applyFont="1" applyFill="1" applyAlignment="1">
      <alignment horizontal="center" wrapText="1"/>
    </xf>
    <xf numFmtId="0" fontId="220" fillId="38" borderId="0" xfId="0" applyFont="1" applyFill="1" applyAlignment="1">
      <alignment horizontal="center" wrapText="1"/>
    </xf>
    <xf numFmtId="0" fontId="0" fillId="0" borderId="0" xfId="0" applyAlignment="1">
      <alignment horizontal="right" wrapText="1"/>
    </xf>
    <xf numFmtId="167" fontId="0" fillId="0" borderId="0" xfId="2" applyNumberFormat="1" applyFont="1" applyAlignment="1">
      <alignment horizontal="center"/>
    </xf>
    <xf numFmtId="9" fontId="220" fillId="0" borderId="0" xfId="2" applyFont="1" applyFill="1" applyAlignment="1">
      <alignment wrapText="1"/>
    </xf>
    <xf numFmtId="10" fontId="38" fillId="0" borderId="0" xfId="0" applyNumberFormat="1" applyFont="1" applyAlignment="1">
      <alignment horizontal="center" wrapText="1"/>
    </xf>
    <xf numFmtId="0" fontId="38" fillId="0" borderId="0" xfId="0" applyFont="1" applyAlignment="1">
      <alignment horizontal="center" wrapText="1"/>
    </xf>
    <xf numFmtId="0" fontId="220" fillId="39" borderId="649" xfId="0" applyFont="1" applyFill="1" applyBorder="1" applyAlignment="1">
      <alignment horizontal="center" wrapText="1"/>
    </xf>
    <xf numFmtId="0" fontId="220" fillId="38" borderId="649" xfId="0" applyFont="1" applyFill="1" applyBorder="1" applyAlignment="1">
      <alignment horizontal="center" wrapText="1"/>
    </xf>
    <xf numFmtId="14" fontId="220" fillId="39" borderId="649" xfId="0" applyNumberFormat="1" applyFont="1" applyFill="1" applyBorder="1" applyAlignment="1">
      <alignment horizontal="center" wrapText="1"/>
    </xf>
    <xf numFmtId="0" fontId="223" fillId="38" borderId="650" xfId="0" applyFont="1" applyFill="1" applyBorder="1" applyAlignment="1">
      <alignment horizontal="center" wrapText="1"/>
    </xf>
    <xf numFmtId="0" fontId="38" fillId="0" borderId="651" xfId="0" applyFont="1" applyBorder="1" applyAlignment="1">
      <alignment wrapText="1"/>
    </xf>
    <xf numFmtId="0" fontId="223" fillId="38" borderId="652" xfId="0" applyFont="1" applyFill="1" applyBorder="1" applyAlignment="1">
      <alignment horizontal="right" wrapText="1"/>
    </xf>
    <xf numFmtId="0" fontId="0" fillId="0" borderId="0" xfId="0" applyFill="1" applyBorder="1"/>
    <xf numFmtId="3" fontId="224" fillId="0" borderId="0" xfId="0" applyNumberFormat="1" applyFont="1" applyFill="1" applyBorder="1" applyAlignment="1">
      <alignment horizontal="center" vertical="center" wrapText="1"/>
    </xf>
    <xf numFmtId="3" fontId="53" fillId="0" borderId="0" xfId="0" applyNumberFormat="1" applyFont="1" applyFill="1" applyBorder="1" applyAlignment="1">
      <alignment horizontal="center" vertical="center" wrapText="1"/>
    </xf>
    <xf numFmtId="49" fontId="53" fillId="0" borderId="0" xfId="19" applyNumberFormat="1" applyFont="1" applyFill="1" applyBorder="1" applyAlignment="1">
      <alignment horizontal="left" vertical="center"/>
    </xf>
    <xf numFmtId="0" fontId="0" fillId="0" borderId="0" xfId="0" applyNumberFormat="1"/>
    <xf numFmtId="0" fontId="0" fillId="0" borderId="0" xfId="19" applyNumberFormat="1" applyFont="1"/>
    <xf numFmtId="0" fontId="53" fillId="0" borderId="0" xfId="0" applyFont="1" applyFill="1" applyBorder="1" applyAlignment="1">
      <alignment horizontal="center" vertical="center" wrapText="1"/>
    </xf>
    <xf numFmtId="0" fontId="225" fillId="0" borderId="0" xfId="0" applyFont="1" applyAlignment="1">
      <alignment vertical="top"/>
    </xf>
    <xf numFmtId="0" fontId="0" fillId="0" borderId="648" xfId="0" applyBorder="1"/>
    <xf numFmtId="3" fontId="224" fillId="0" borderId="648" xfId="0" applyNumberFormat="1" applyFont="1" applyFill="1" applyBorder="1" applyAlignment="1">
      <alignment horizontal="center" vertical="center" wrapText="1"/>
    </xf>
    <xf numFmtId="9" fontId="218" fillId="40" borderId="648" xfId="2" applyFont="1" applyFill="1" applyBorder="1" applyAlignment="1">
      <alignment horizontal="center" vertical="center" wrapText="1"/>
    </xf>
    <xf numFmtId="0" fontId="218" fillId="40" borderId="648" xfId="0" applyFont="1" applyFill="1" applyBorder="1" applyAlignment="1">
      <alignment horizontal="center" vertical="center" wrapText="1"/>
    </xf>
    <xf numFmtId="3" fontId="218" fillId="40" borderId="648" xfId="0" applyNumberFormat="1" applyFont="1" applyFill="1" applyBorder="1" applyAlignment="1">
      <alignment horizontal="center" vertical="center" wrapText="1"/>
    </xf>
    <xf numFmtId="9" fontId="53" fillId="5" borderId="648" xfId="2" applyFont="1" applyFill="1" applyBorder="1" applyAlignment="1">
      <alignment horizontal="center" vertical="center" wrapText="1"/>
    </xf>
    <xf numFmtId="3" fontId="53" fillId="5" borderId="648" xfId="0" applyNumberFormat="1" applyFont="1" applyFill="1" applyBorder="1" applyAlignment="1">
      <alignment horizontal="center" vertical="center" wrapText="1"/>
    </xf>
    <xf numFmtId="0" fontId="53" fillId="5" borderId="648" xfId="0" applyFont="1" applyFill="1" applyBorder="1" applyAlignment="1">
      <alignment horizontal="left" vertical="center" wrapText="1"/>
    </xf>
    <xf numFmtId="0" fontId="218" fillId="4" borderId="648" xfId="0" applyFont="1" applyFill="1" applyBorder="1" applyAlignment="1">
      <alignment horizontal="center" vertical="center" wrapText="1"/>
    </xf>
    <xf numFmtId="0" fontId="4" fillId="4" borderId="0" xfId="0" applyFont="1" applyFill="1"/>
    <xf numFmtId="216" fontId="225" fillId="0" borderId="0" xfId="19" applyNumberFormat="1" applyFont="1" applyAlignment="1">
      <alignment vertical="top"/>
    </xf>
    <xf numFmtId="216" fontId="0" fillId="0" borderId="0" xfId="0" applyNumberFormat="1"/>
    <xf numFmtId="216" fontId="218" fillId="40" borderId="648" xfId="19" applyNumberFormat="1" applyFont="1" applyFill="1" applyBorder="1" applyAlignment="1">
      <alignment horizontal="center" vertical="center" wrapText="1"/>
    </xf>
    <xf numFmtId="216" fontId="216" fillId="4" borderId="653" xfId="19" applyNumberFormat="1" applyFont="1" applyFill="1" applyBorder="1" applyAlignment="1">
      <alignment horizontal="center" vertical="center" wrapText="1"/>
    </xf>
    <xf numFmtId="17" fontId="216" fillId="4" borderId="653" xfId="0" applyNumberFormat="1" applyFont="1" applyFill="1" applyBorder="1" applyAlignment="1">
      <alignment horizontal="center" vertical="center" wrapText="1"/>
    </xf>
    <xf numFmtId="43" fontId="53" fillId="0" borderId="653" xfId="19" applyFont="1" applyBorder="1" applyAlignment="1">
      <alignment horizontal="center" vertical="center" wrapText="1"/>
    </xf>
    <xf numFmtId="1" fontId="53" fillId="0" borderId="653" xfId="0" applyNumberFormat="1" applyFont="1" applyBorder="1" applyAlignment="1">
      <alignment horizontal="center" vertical="center" wrapText="1"/>
    </xf>
    <xf numFmtId="17" fontId="53" fillId="0" borderId="653" xfId="0" applyNumberFormat="1" applyFont="1" applyBorder="1" applyAlignment="1">
      <alignment horizontal="center" vertical="center" wrapText="1"/>
    </xf>
    <xf numFmtId="216" fontId="53" fillId="5" borderId="648" xfId="19" applyNumberFormat="1" applyFont="1" applyFill="1" applyBorder="1" applyAlignment="1">
      <alignment horizontal="center" vertical="center" wrapText="1"/>
    </xf>
    <xf numFmtId="1" fontId="216" fillId="4" borderId="653" xfId="0" applyNumberFormat="1" applyFont="1" applyFill="1" applyBorder="1" applyAlignment="1">
      <alignment horizontal="center" vertical="center" wrapText="1"/>
    </xf>
    <xf numFmtId="0" fontId="216" fillId="4" borderId="653" xfId="0" applyFont="1" applyFill="1" applyBorder="1" applyAlignment="1">
      <alignment horizontal="left" vertical="center" wrapText="1"/>
    </xf>
    <xf numFmtId="0" fontId="218" fillId="4" borderId="653" xfId="0" applyFont="1" applyFill="1" applyBorder="1" applyAlignment="1">
      <alignment horizontal="center" vertical="center" wrapText="1"/>
    </xf>
    <xf numFmtId="216" fontId="0" fillId="0" borderId="0" xfId="19" applyNumberFormat="1" applyFont="1"/>
    <xf numFmtId="17" fontId="53" fillId="0" borderId="653" xfId="0" applyNumberFormat="1" applyFont="1" applyBorder="1" applyAlignment="1">
      <alignment horizontal="left" vertical="center" wrapText="1"/>
    </xf>
    <xf numFmtId="0" fontId="53" fillId="0" borderId="653" xfId="0" applyNumberFormat="1" applyFont="1" applyBorder="1" applyAlignment="1">
      <alignment horizontal="left" vertical="center" wrapText="1"/>
    </xf>
    <xf numFmtId="216" fontId="53" fillId="0" borderId="653" xfId="19" applyNumberFormat="1" applyFont="1" applyBorder="1" applyAlignment="1">
      <alignment horizontal="center" vertical="center" wrapText="1"/>
    </xf>
    <xf numFmtId="0" fontId="53" fillId="0" borderId="653" xfId="0" applyFont="1" applyBorder="1" applyAlignment="1">
      <alignment horizontal="left" vertical="center" wrapText="1"/>
    </xf>
    <xf numFmtId="0" fontId="38" fillId="0" borderId="0" xfId="0" applyFont="1" applyFill="1" applyBorder="1"/>
    <xf numFmtId="0" fontId="4" fillId="27" borderId="0" xfId="0" applyFont="1" applyFill="1"/>
    <xf numFmtId="17" fontId="218" fillId="4" borderId="648" xfId="0" applyNumberFormat="1" applyFont="1" applyFill="1" applyBorder="1" applyAlignment="1">
      <alignment horizontal="center" vertical="center" wrapText="1"/>
    </xf>
    <xf numFmtId="9" fontId="224" fillId="0" borderId="0" xfId="2" applyFont="1" applyFill="1" applyBorder="1" applyAlignment="1">
      <alignment horizontal="center" vertical="center" wrapText="1"/>
    </xf>
    <xf numFmtId="1" fontId="53" fillId="5" borderId="648" xfId="0" applyNumberFormat="1" applyFont="1" applyFill="1" applyBorder="1" applyAlignment="1">
      <alignment horizontal="center" vertical="center" wrapText="1"/>
    </xf>
    <xf numFmtId="43" fontId="225" fillId="0" borderId="0" xfId="19" applyFont="1" applyAlignment="1">
      <alignment vertical="top"/>
    </xf>
    <xf numFmtId="0" fontId="217" fillId="0" borderId="0" xfId="0" applyFont="1" applyFill="1" applyBorder="1"/>
    <xf numFmtId="4" fontId="224" fillId="0" borderId="0" xfId="0" applyNumberFormat="1" applyFont="1" applyFill="1" applyBorder="1" applyAlignment="1">
      <alignment horizontal="center" vertical="center" wrapText="1"/>
    </xf>
    <xf numFmtId="217" fontId="226" fillId="41" borderId="648" xfId="19" applyNumberFormat="1" applyFont="1" applyFill="1" applyBorder="1" applyAlignment="1">
      <alignment horizontal="center" vertical="center" wrapText="1" readingOrder="1"/>
    </xf>
    <xf numFmtId="0" fontId="53" fillId="5" borderId="648" xfId="0" applyFont="1" applyFill="1" applyBorder="1" applyAlignment="1">
      <alignment horizontal="left" vertical="center"/>
    </xf>
    <xf numFmtId="216" fontId="53" fillId="5" borderId="648" xfId="19" applyNumberFormat="1" applyFont="1" applyFill="1" applyBorder="1" applyAlignment="1">
      <alignment horizontal="center" vertical="center"/>
    </xf>
    <xf numFmtId="1" fontId="53" fillId="0" borderId="0" xfId="0" applyNumberFormat="1" applyFont="1" applyFill="1" applyBorder="1" applyAlignment="1">
      <alignment horizontal="center" vertical="center" wrapText="1"/>
    </xf>
    <xf numFmtId="9" fontId="226" fillId="41" borderId="648" xfId="2" applyFont="1" applyFill="1" applyBorder="1" applyAlignment="1">
      <alignment horizontal="center" vertical="center" wrapText="1" readingOrder="1"/>
    </xf>
    <xf numFmtId="0" fontId="218" fillId="0" borderId="0" xfId="0" applyFont="1" applyFill="1" applyBorder="1" applyAlignment="1">
      <alignment horizontal="center" vertical="center" wrapText="1"/>
    </xf>
    <xf numFmtId="2" fontId="53" fillId="0" borderId="0" xfId="0" applyNumberFormat="1" applyFont="1" applyFill="1" applyBorder="1" applyAlignment="1">
      <alignment horizontal="center" vertical="center"/>
    </xf>
    <xf numFmtId="2" fontId="53" fillId="5" borderId="648" xfId="0" applyNumberFormat="1" applyFont="1" applyFill="1" applyBorder="1" applyAlignment="1">
      <alignment horizontal="center" vertical="center"/>
    </xf>
    <xf numFmtId="1" fontId="53" fillId="5" borderId="648" xfId="0" applyNumberFormat="1" applyFont="1" applyFill="1" applyBorder="1" applyAlignment="1">
      <alignment horizontal="center" vertical="center"/>
    </xf>
    <xf numFmtId="0" fontId="218" fillId="4" borderId="648" xfId="0" applyFont="1" applyFill="1" applyBorder="1" applyAlignment="1">
      <alignment horizontal="center" vertical="center"/>
    </xf>
    <xf numFmtId="17" fontId="218" fillId="4" borderId="648" xfId="0" applyNumberFormat="1" applyFont="1" applyFill="1" applyBorder="1" applyAlignment="1">
      <alignment horizontal="center" vertical="center"/>
    </xf>
    <xf numFmtId="0" fontId="46" fillId="4" borderId="648" xfId="0" applyFont="1" applyFill="1" applyBorder="1" applyAlignment="1"/>
    <xf numFmtId="17" fontId="227" fillId="4" borderId="648" xfId="0" applyNumberFormat="1" applyFont="1" applyFill="1" applyBorder="1" applyAlignment="1">
      <alignment horizontal="center" vertical="center" wrapText="1"/>
    </xf>
    <xf numFmtId="0" fontId="38" fillId="0" borderId="0" xfId="0" applyFont="1" applyFill="1" applyBorder="1" applyAlignment="1"/>
    <xf numFmtId="1" fontId="53" fillId="0" borderId="0" xfId="0" applyNumberFormat="1" applyFont="1" applyFill="1" applyBorder="1" applyAlignment="1">
      <alignment horizontal="center" vertical="center"/>
    </xf>
    <xf numFmtId="0" fontId="218" fillId="0" borderId="0" xfId="0" applyFont="1" applyFill="1" applyBorder="1" applyAlignment="1">
      <alignment horizontal="center" vertical="center"/>
    </xf>
    <xf numFmtId="43" fontId="46" fillId="4" borderId="648" xfId="2" applyNumberFormat="1" applyFont="1" applyFill="1" applyBorder="1" applyAlignment="1"/>
    <xf numFmtId="43" fontId="46" fillId="4" borderId="648" xfId="19" applyFont="1" applyFill="1" applyBorder="1" applyAlignment="1"/>
    <xf numFmtId="43" fontId="38" fillId="42" borderId="648" xfId="2" applyNumberFormat="1" applyFont="1" applyFill="1" applyBorder="1" applyAlignment="1"/>
    <xf numFmtId="43" fontId="38" fillId="42" borderId="648" xfId="19" applyFont="1" applyFill="1" applyBorder="1" applyAlignment="1"/>
    <xf numFmtId="9" fontId="38" fillId="42" borderId="648" xfId="2" applyFont="1" applyFill="1" applyBorder="1" applyAlignment="1"/>
    <xf numFmtId="0" fontId="38" fillId="42" borderId="648" xfId="0" applyFont="1" applyFill="1" applyBorder="1" applyAlignment="1"/>
    <xf numFmtId="9" fontId="53" fillId="5" borderId="648" xfId="2" applyFont="1" applyFill="1" applyBorder="1" applyAlignment="1">
      <alignment horizontal="center" vertical="center"/>
    </xf>
    <xf numFmtId="2" fontId="53" fillId="5" borderId="648" xfId="0" applyNumberFormat="1" applyFont="1" applyFill="1" applyBorder="1" applyAlignment="1">
      <alignment horizontal="left" vertical="center"/>
    </xf>
    <xf numFmtId="0" fontId="217" fillId="40" borderId="648" xfId="0" applyFont="1" applyFill="1" applyBorder="1" applyAlignment="1">
      <alignment horizontal="center"/>
    </xf>
    <xf numFmtId="0" fontId="217" fillId="4" borderId="648" xfId="0" applyFont="1" applyFill="1" applyBorder="1" applyAlignment="1">
      <alignment horizontal="center"/>
    </xf>
    <xf numFmtId="167" fontId="127" fillId="9" borderId="372" xfId="2" applyNumberFormat="1" applyFont="1" applyFill="1" applyBorder="1" applyAlignment="1" applyProtection="1">
      <alignment horizontal="right" vertical="center"/>
      <protection locked="0"/>
    </xf>
    <xf numFmtId="167" fontId="207" fillId="43" borderId="18" xfId="2" applyNumberFormat="1" applyFont="1" applyFill="1" applyBorder="1" applyAlignment="1">
      <alignment horizontal="right" vertical="center" wrapText="1" readingOrder="1"/>
    </xf>
    <xf numFmtId="0" fontId="3" fillId="43" borderId="47" xfId="0" applyFont="1" applyFill="1" applyBorder="1"/>
    <xf numFmtId="43" fontId="207" fillId="44" borderId="47" xfId="0" applyNumberFormat="1" applyFont="1" applyFill="1" applyBorder="1" applyAlignment="1">
      <alignment horizontal="center" vertical="center" wrapText="1" readingOrder="1"/>
    </xf>
    <xf numFmtId="216" fontId="207" fillId="0" borderId="18" xfId="0" applyNumberFormat="1" applyFont="1" applyBorder="1" applyAlignment="1">
      <alignment horizontal="right" vertical="center" wrapText="1" readingOrder="1"/>
    </xf>
    <xf numFmtId="0" fontId="0" fillId="0" borderId="47" xfId="0" applyFont="1" applyFill="1" applyBorder="1"/>
    <xf numFmtId="9" fontId="127" fillId="9" borderId="372" xfId="2" applyFont="1" applyFill="1" applyBorder="1" applyAlignment="1" applyProtection="1">
      <alignment horizontal="right" vertical="center"/>
      <protection locked="0"/>
    </xf>
    <xf numFmtId="216" fontId="207" fillId="43" borderId="18" xfId="19" applyNumberFormat="1" applyFont="1" applyFill="1" applyBorder="1" applyAlignment="1">
      <alignment horizontal="right" vertical="center" wrapText="1" readingOrder="1"/>
    </xf>
    <xf numFmtId="216" fontId="127" fillId="9" borderId="372" xfId="19" applyNumberFormat="1" applyFont="1" applyFill="1" applyBorder="1" applyAlignment="1" applyProtection="1">
      <alignment horizontal="right" vertical="center"/>
      <protection locked="0"/>
    </xf>
    <xf numFmtId="0" fontId="0" fillId="0" borderId="47" xfId="0" applyBorder="1"/>
    <xf numFmtId="43" fontId="0" fillId="0" borderId="0" xfId="0" applyNumberFormat="1"/>
    <xf numFmtId="12" fontId="207" fillId="44" borderId="47" xfId="0" applyNumberFormat="1" applyFont="1" applyFill="1" applyBorder="1" applyAlignment="1">
      <alignment horizontal="center" vertical="center" wrapText="1" readingOrder="1"/>
    </xf>
    <xf numFmtId="43" fontId="207" fillId="0" borderId="18" xfId="0" applyNumberFormat="1" applyFont="1" applyBorder="1" applyAlignment="1">
      <alignment horizontal="right" vertical="center" wrapText="1" readingOrder="1"/>
    </xf>
    <xf numFmtId="9" fontId="207" fillId="43" borderId="18" xfId="2" applyFont="1" applyFill="1" applyBorder="1" applyAlignment="1">
      <alignment horizontal="right" vertical="center" wrapText="1" readingOrder="1"/>
    </xf>
    <xf numFmtId="43" fontId="207" fillId="44" borderId="47" xfId="19" applyFont="1" applyFill="1" applyBorder="1" applyAlignment="1">
      <alignment horizontal="center" vertical="center" wrapText="1" readingOrder="1"/>
    </xf>
    <xf numFmtId="0" fontId="206" fillId="40" borderId="0" xfId="0" applyFont="1" applyFill="1"/>
    <xf numFmtId="2" fontId="53" fillId="5" borderId="648" xfId="0" applyNumberFormat="1" applyFont="1" applyFill="1" applyBorder="1" applyAlignment="1">
      <alignment horizontal="center" vertical="center" wrapText="1"/>
    </xf>
    <xf numFmtId="0" fontId="224" fillId="5" borderId="648" xfId="0" applyFont="1" applyFill="1" applyBorder="1" applyAlignment="1">
      <alignment horizontal="left" vertical="center" wrapText="1" indent="1"/>
    </xf>
    <xf numFmtId="37" fontId="218" fillId="4" borderId="648" xfId="0" applyNumberFormat="1" applyFont="1" applyFill="1" applyBorder="1" applyAlignment="1">
      <alignment horizontal="center" vertical="center" wrapText="1"/>
    </xf>
    <xf numFmtId="43" fontId="207" fillId="0" borderId="0" xfId="0" applyNumberFormat="1" applyFont="1" applyBorder="1" applyAlignment="1">
      <alignment horizontal="center" vertical="center" wrapText="1" readingOrder="1"/>
    </xf>
    <xf numFmtId="37" fontId="28" fillId="0" borderId="0" xfId="3" applyNumberFormat="1" applyFont="1" applyBorder="1" applyAlignment="1" applyProtection="1">
      <alignment horizontal="left" vertical="center"/>
    </xf>
    <xf numFmtId="43" fontId="207" fillId="0" borderId="47" xfId="0" applyNumberFormat="1" applyFont="1" applyBorder="1" applyAlignment="1">
      <alignment horizontal="center" vertical="center" wrapText="1" readingOrder="1"/>
    </xf>
    <xf numFmtId="37" fontId="28" fillId="0" borderId="47" xfId="3" applyNumberFormat="1" applyFont="1" applyBorder="1" applyAlignment="1" applyProtection="1">
      <alignment horizontal="left" vertical="center"/>
    </xf>
    <xf numFmtId="37" fontId="104" fillId="0" borderId="47" xfId="3" quotePrefix="1" applyNumberFormat="1" applyFont="1" applyFill="1" applyBorder="1" applyAlignment="1" applyProtection="1">
      <alignment horizontal="left" vertical="center"/>
    </xf>
    <xf numFmtId="37" fontId="104" fillId="0" borderId="47" xfId="3" quotePrefix="1" applyFont="1" applyFill="1" applyBorder="1" applyAlignment="1" applyProtection="1">
      <alignment vertical="center"/>
    </xf>
    <xf numFmtId="2" fontId="228" fillId="41" borderId="648" xfId="19" applyNumberFormat="1" applyFont="1" applyFill="1" applyBorder="1" applyAlignment="1">
      <alignment horizontal="center" vertical="center" wrapText="1" readingOrder="1"/>
    </xf>
    <xf numFmtId="2" fontId="228" fillId="45" borderId="648" xfId="19" applyNumberFormat="1" applyFont="1" applyFill="1" applyBorder="1" applyAlignment="1">
      <alignment horizontal="center" vertical="center" wrapText="1" readingOrder="1"/>
    </xf>
    <xf numFmtId="0" fontId="228" fillId="41" borderId="648" xfId="0" applyFont="1" applyFill="1" applyBorder="1" applyAlignment="1">
      <alignment horizontal="left" wrapText="1"/>
    </xf>
    <xf numFmtId="216" fontId="228" fillId="41" borderId="648" xfId="19" applyNumberFormat="1" applyFont="1" applyFill="1" applyBorder="1" applyAlignment="1">
      <alignment horizontal="center" vertical="center" wrapText="1" readingOrder="1"/>
    </xf>
    <xf numFmtId="216" fontId="228" fillId="45" borderId="648" xfId="19" applyNumberFormat="1" applyFont="1" applyFill="1" applyBorder="1" applyAlignment="1">
      <alignment horizontal="center" vertical="center" wrapText="1" readingOrder="1"/>
    </xf>
    <xf numFmtId="37" fontId="229" fillId="40" borderId="648" xfId="0" applyNumberFormat="1" applyFont="1" applyFill="1" applyBorder="1" applyAlignment="1">
      <alignment horizontal="center" vertical="center" wrapText="1"/>
    </xf>
    <xf numFmtId="37" fontId="229" fillId="40" borderId="660" xfId="0" applyNumberFormat="1" applyFont="1" applyFill="1" applyBorder="1" applyAlignment="1">
      <alignment horizontal="center" vertical="center" wrapText="1"/>
    </xf>
    <xf numFmtId="0" fontId="229" fillId="40" borderId="648" xfId="0" applyFont="1" applyFill="1" applyBorder="1" applyAlignment="1">
      <alignment horizontal="center" vertical="center" wrapText="1"/>
    </xf>
    <xf numFmtId="0" fontId="53" fillId="0" borderId="0" xfId="0" applyFont="1"/>
    <xf numFmtId="0" fontId="19" fillId="0" borderId="647" xfId="0" applyFont="1" applyBorder="1" applyAlignment="1">
      <alignment horizontal="center" vertical="center" wrapText="1"/>
    </xf>
    <xf numFmtId="1" fontId="228" fillId="41" borderId="648" xfId="19" applyNumberFormat="1" applyFont="1" applyFill="1" applyBorder="1" applyAlignment="1">
      <alignment horizontal="center" vertical="center" wrapText="1" readingOrder="1"/>
    </xf>
    <xf numFmtId="1" fontId="228" fillId="45" borderId="648" xfId="19" applyNumberFormat="1" applyFont="1" applyFill="1" applyBorder="1" applyAlignment="1">
      <alignment horizontal="center" vertical="center" wrapText="1" readingOrder="1"/>
    </xf>
    <xf numFmtId="0" fontId="228" fillId="41" borderId="658" xfId="0" applyFont="1" applyFill="1" applyBorder="1" applyAlignment="1">
      <alignment horizontal="left" wrapText="1"/>
    </xf>
    <xf numFmtId="167" fontId="228" fillId="41" borderId="648" xfId="2" applyNumberFormat="1" applyFont="1" applyFill="1" applyBorder="1" applyAlignment="1">
      <alignment horizontal="center" vertical="center" wrapText="1" readingOrder="1"/>
    </xf>
    <xf numFmtId="167" fontId="228" fillId="45" borderId="648" xfId="2" applyNumberFormat="1" applyFont="1" applyFill="1" applyBorder="1" applyAlignment="1">
      <alignment horizontal="center" vertical="center" wrapText="1" readingOrder="1"/>
    </xf>
    <xf numFmtId="37" fontId="230" fillId="4" borderId="0" xfId="3" applyNumberFormat="1" applyFont="1" applyFill="1" applyBorder="1" applyAlignment="1" applyProtection="1">
      <alignment horizontal="left" vertical="center"/>
    </xf>
    <xf numFmtId="9" fontId="207" fillId="0" borderId="47" xfId="2" applyFont="1" applyBorder="1" applyAlignment="1">
      <alignment horizontal="center" vertical="center" wrapText="1" readingOrder="1"/>
    </xf>
    <xf numFmtId="0" fontId="231" fillId="0" borderId="0" xfId="0" applyFont="1"/>
    <xf numFmtId="1" fontId="228" fillId="41" borderId="658" xfId="19" applyNumberFormat="1" applyFont="1" applyFill="1" applyBorder="1" applyAlignment="1">
      <alignment horizontal="center" vertical="center" wrapText="1" readingOrder="1"/>
    </xf>
    <xf numFmtId="1" fontId="228" fillId="45" borderId="658" xfId="19" applyNumberFormat="1" applyFont="1" applyFill="1" applyBorder="1" applyAlignment="1">
      <alignment horizontal="center" vertical="center" wrapText="1" readingOrder="1"/>
    </xf>
    <xf numFmtId="9" fontId="207" fillId="0" borderId="0" xfId="2" applyFont="1" applyBorder="1" applyAlignment="1">
      <alignment horizontal="center" vertical="center" wrapText="1" readingOrder="1"/>
    </xf>
    <xf numFmtId="43" fontId="232" fillId="0" borderId="531" xfId="19" applyFont="1" applyBorder="1"/>
    <xf numFmtId="43" fontId="232" fillId="0" borderId="349" xfId="19" applyFont="1" applyBorder="1"/>
    <xf numFmtId="43" fontId="232" fillId="0" borderId="532" xfId="19" applyFont="1" applyBorder="1"/>
    <xf numFmtId="193" fontId="150" fillId="13" borderId="29" xfId="6" applyNumberFormat="1" applyFont="1" applyFill="1" applyBorder="1" applyAlignment="1" applyProtection="1">
      <alignment horizontal="center" vertical="center"/>
      <protection locked="0"/>
    </xf>
    <xf numFmtId="0" fontId="150" fillId="13" borderId="143" xfId="6" applyFont="1" applyFill="1" applyBorder="1" applyAlignment="1" applyProtection="1">
      <alignment vertical="center"/>
      <protection locked="0"/>
    </xf>
    <xf numFmtId="216" fontId="148" fillId="4" borderId="15" xfId="19" applyNumberFormat="1" applyFont="1" applyFill="1" applyBorder="1" applyAlignment="1" applyProtection="1">
      <alignment vertical="center"/>
      <protection locked="0"/>
    </xf>
    <xf numFmtId="216" fontId="148" fillId="4" borderId="29" xfId="19" applyNumberFormat="1" applyFont="1" applyFill="1" applyBorder="1" applyAlignment="1" applyProtection="1">
      <alignment vertical="center"/>
      <protection locked="0"/>
    </xf>
    <xf numFmtId="0" fontId="150" fillId="13" borderId="141" xfId="6" applyFont="1" applyFill="1" applyBorder="1" applyAlignment="1" applyProtection="1">
      <alignment vertical="center"/>
      <protection locked="0"/>
    </xf>
    <xf numFmtId="216" fontId="99" fillId="13" borderId="13" xfId="19" applyNumberFormat="1" applyFont="1" applyFill="1" applyBorder="1" applyAlignment="1" applyProtection="1">
      <alignment vertical="center"/>
      <protection locked="0"/>
    </xf>
    <xf numFmtId="216" fontId="99" fillId="13" borderId="0" xfId="19" applyNumberFormat="1" applyFont="1" applyFill="1" applyBorder="1" applyAlignment="1" applyProtection="1">
      <alignment vertical="center"/>
      <protection locked="0"/>
    </xf>
    <xf numFmtId="3" fontId="150" fillId="13" borderId="661" xfId="19" applyNumberFormat="1" applyFont="1" applyFill="1" applyBorder="1" applyAlignment="1" applyProtection="1">
      <alignment vertical="center"/>
      <protection locked="0"/>
    </xf>
    <xf numFmtId="3" fontId="150" fillId="13" borderId="0" xfId="19" applyNumberFormat="1" applyFont="1" applyFill="1" applyBorder="1" applyAlignment="1" applyProtection="1">
      <alignment vertical="center"/>
      <protection locked="0"/>
    </xf>
    <xf numFmtId="216" fontId="150" fillId="13" borderId="13" xfId="19" applyNumberFormat="1" applyFont="1" applyFill="1" applyBorder="1" applyAlignment="1" applyProtection="1">
      <alignment vertical="center"/>
      <protection locked="0"/>
    </xf>
    <xf numFmtId="216" fontId="150" fillId="13" borderId="0" xfId="19" applyNumberFormat="1" applyFont="1" applyFill="1" applyBorder="1" applyAlignment="1" applyProtection="1">
      <alignment vertical="center"/>
      <protection locked="0"/>
    </xf>
    <xf numFmtId="216" fontId="148" fillId="4" borderId="13" xfId="19" applyNumberFormat="1" applyFont="1" applyFill="1" applyBorder="1" applyAlignment="1" applyProtection="1">
      <alignment vertical="center"/>
      <protection locked="0"/>
    </xf>
    <xf numFmtId="216" fontId="148" fillId="4" borderId="0" xfId="19" applyNumberFormat="1" applyFont="1" applyFill="1" applyBorder="1" applyAlignment="1" applyProtection="1">
      <alignment vertical="center"/>
      <protection locked="0"/>
    </xf>
    <xf numFmtId="3" fontId="149" fillId="13" borderId="13" xfId="19" applyNumberFormat="1" applyFont="1" applyFill="1" applyBorder="1" applyAlignment="1" applyProtection="1">
      <alignment vertical="center"/>
      <protection locked="0"/>
    </xf>
    <xf numFmtId="3" fontId="149" fillId="13" borderId="0" xfId="19" applyNumberFormat="1" applyFont="1" applyFill="1" applyBorder="1" applyAlignment="1" applyProtection="1">
      <alignment vertical="center"/>
      <protection locked="0"/>
    </xf>
    <xf numFmtId="9" fontId="150" fillId="13" borderId="142" xfId="2" applyFont="1" applyFill="1" applyBorder="1" applyAlignment="1" applyProtection="1">
      <alignment horizontal="center" vertical="center"/>
      <protection locked="0"/>
    </xf>
    <xf numFmtId="9" fontId="150" fillId="13" borderId="0" xfId="2" applyFont="1" applyFill="1" applyBorder="1" applyAlignment="1" applyProtection="1">
      <alignment horizontal="center" vertical="center"/>
      <protection locked="0"/>
    </xf>
    <xf numFmtId="9" fontId="150" fillId="13" borderId="0" xfId="2" applyFont="1" applyFill="1" applyBorder="1" applyAlignment="1" applyProtection="1">
      <alignment vertical="center"/>
      <protection locked="0"/>
    </xf>
    <xf numFmtId="216" fontId="148" fillId="4" borderId="662" xfId="19" applyNumberFormat="1" applyFont="1" applyFill="1" applyBorder="1" applyAlignment="1" applyProtection="1">
      <alignment vertical="center"/>
      <protection locked="0"/>
    </xf>
    <xf numFmtId="216" fontId="148" fillId="4" borderId="663" xfId="19" applyNumberFormat="1" applyFont="1" applyFill="1" applyBorder="1" applyAlignment="1" applyProtection="1">
      <alignment vertical="center"/>
      <protection locked="0"/>
    </xf>
    <xf numFmtId="0" fontId="148" fillId="4" borderId="664" xfId="6" applyFont="1" applyFill="1" applyBorder="1" applyAlignment="1" applyProtection="1">
      <alignment horizontal="center" vertical="center"/>
      <protection locked="0"/>
    </xf>
    <xf numFmtId="3" fontId="149" fillId="13" borderId="661" xfId="19" applyNumberFormat="1" applyFont="1" applyFill="1" applyBorder="1" applyAlignment="1" applyProtection="1">
      <alignment vertical="center"/>
      <protection locked="0"/>
    </xf>
    <xf numFmtId="0" fontId="149" fillId="13" borderId="665" xfId="6" applyFont="1" applyFill="1" applyBorder="1" applyAlignment="1" applyProtection="1">
      <alignment vertical="center"/>
      <protection locked="0"/>
    </xf>
    <xf numFmtId="0" fontId="150" fillId="13" borderId="665" xfId="6" applyFont="1" applyFill="1" applyBorder="1" applyAlignment="1" applyProtection="1">
      <alignment vertical="center"/>
      <protection locked="0"/>
    </xf>
    <xf numFmtId="3" fontId="149" fillId="13" borderId="29" xfId="19" applyNumberFormat="1" applyFont="1" applyFill="1" applyBorder="1" applyAlignment="1" applyProtection="1">
      <alignment vertical="center"/>
      <protection locked="0"/>
    </xf>
    <xf numFmtId="3" fontId="150" fillId="13" borderId="13" xfId="19" applyNumberFormat="1" applyFont="1" applyFill="1" applyBorder="1" applyAlignment="1" applyProtection="1">
      <alignment vertical="center"/>
      <protection locked="0"/>
    </xf>
    <xf numFmtId="0" fontId="150" fillId="13" borderId="665" xfId="6" applyFont="1" applyFill="1" applyBorder="1" applyAlignment="1" applyProtection="1">
      <alignment horizontal="left" vertical="center"/>
      <protection locked="0"/>
    </xf>
    <xf numFmtId="199" fontId="150" fillId="13" borderId="666" xfId="11" applyNumberFormat="1" applyFont="1" applyFill="1" applyBorder="1" applyAlignment="1" applyProtection="1">
      <alignment vertical="center"/>
      <protection locked="0"/>
    </xf>
    <xf numFmtId="199" fontId="150" fillId="13" borderId="667" xfId="11" applyNumberFormat="1" applyFont="1" applyFill="1" applyBorder="1" applyAlignment="1" applyProtection="1">
      <alignment vertical="center"/>
      <protection locked="0"/>
    </xf>
    <xf numFmtId="0" fontId="149" fillId="13" borderId="668" xfId="6" applyFont="1" applyFill="1" applyBorder="1" applyAlignment="1" applyProtection="1">
      <alignment horizontal="center" vertical="center"/>
      <protection locked="0"/>
    </xf>
    <xf numFmtId="0" fontId="150" fillId="0" borderId="18" xfId="6" applyFont="1" applyFill="1" applyBorder="1" applyAlignment="1" applyProtection="1">
      <alignment horizontal="center" vertical="center"/>
      <protection locked="0"/>
    </xf>
    <xf numFmtId="0" fontId="150" fillId="0" borderId="19" xfId="6" applyFont="1" applyFill="1" applyBorder="1" applyAlignment="1" applyProtection="1">
      <alignment horizontal="center" vertical="center"/>
      <protection locked="0"/>
    </xf>
    <xf numFmtId="0" fontId="152" fillId="13" borderId="10" xfId="6" applyFont="1" applyFill="1" applyBorder="1" applyAlignment="1" applyProtection="1">
      <alignment horizontal="center" vertical="center"/>
      <protection locked="0"/>
    </xf>
    <xf numFmtId="0" fontId="0" fillId="0" borderId="0" xfId="0" applyBorder="1"/>
    <xf numFmtId="43" fontId="232" fillId="0" borderId="0" xfId="19" applyFont="1"/>
    <xf numFmtId="193" fontId="150" fillId="13" borderId="145" xfId="6" applyNumberFormat="1" applyFont="1" applyFill="1" applyBorder="1" applyAlignment="1" applyProtection="1">
      <alignment horizontal="center" vertical="center"/>
      <protection locked="0"/>
    </xf>
    <xf numFmtId="193" fontId="150" fillId="13" borderId="144" xfId="6" applyNumberFormat="1" applyFont="1" applyFill="1" applyBorder="1" applyAlignment="1" applyProtection="1">
      <alignment horizontal="center" vertical="center"/>
      <protection locked="0"/>
    </xf>
    <xf numFmtId="169" fontId="150" fillId="13" borderId="142" xfId="6" applyNumberFormat="1" applyFont="1" applyFill="1" applyBorder="1" applyAlignment="1" applyProtection="1">
      <alignment horizontal="center" vertical="center"/>
      <protection locked="0"/>
    </xf>
    <xf numFmtId="167" fontId="150" fillId="13" borderId="142" xfId="5" applyNumberFormat="1" applyFont="1" applyFill="1" applyBorder="1" applyAlignment="1" applyProtection="1">
      <alignment horizontal="center" vertical="center"/>
      <protection locked="0"/>
    </xf>
    <xf numFmtId="0" fontId="150" fillId="0" borderId="141" xfId="6" applyFont="1" applyFill="1" applyBorder="1" applyAlignment="1" applyProtection="1">
      <alignment vertical="center"/>
      <protection locked="0"/>
    </xf>
    <xf numFmtId="0" fontId="149" fillId="13" borderId="141" xfId="6" applyFont="1" applyFill="1" applyBorder="1" applyAlignment="1" applyProtection="1">
      <alignment horizontal="center" vertical="center"/>
      <protection locked="0"/>
    </xf>
    <xf numFmtId="1" fontId="150" fillId="13" borderId="142" xfId="6" applyNumberFormat="1" applyFont="1" applyFill="1" applyBorder="1" applyAlignment="1" applyProtection="1">
      <alignment horizontal="center" vertical="center"/>
      <protection locked="0"/>
    </xf>
    <xf numFmtId="0" fontId="150" fillId="13" borderId="142" xfId="6" applyFont="1" applyFill="1" applyBorder="1" applyAlignment="1" applyProtection="1">
      <alignment vertical="center"/>
      <protection locked="0"/>
    </xf>
    <xf numFmtId="0" fontId="150" fillId="13" borderId="140" xfId="6" applyFont="1" applyFill="1" applyBorder="1" applyAlignment="1" applyProtection="1">
      <alignment vertical="center"/>
      <protection locked="0"/>
    </xf>
    <xf numFmtId="0" fontId="150" fillId="13" borderId="139" xfId="6" applyFont="1" applyFill="1" applyBorder="1" applyAlignment="1" applyProtection="1">
      <alignment vertical="center"/>
      <protection locked="0"/>
    </xf>
    <xf numFmtId="0" fontId="149" fillId="13" borderId="138" xfId="6" applyFont="1" applyFill="1" applyBorder="1" applyAlignment="1" applyProtection="1">
      <alignment horizontal="center" vertical="center"/>
      <protection locked="0"/>
    </xf>
    <xf numFmtId="216" fontId="148" fillId="4" borderId="669" xfId="19" applyNumberFormat="1" applyFont="1" applyFill="1" applyBorder="1" applyAlignment="1" applyProtection="1">
      <alignment vertical="center"/>
      <protection locked="0"/>
    </xf>
    <xf numFmtId="0" fontId="148" fillId="4" borderId="670" xfId="6" applyFont="1" applyFill="1" applyBorder="1" applyAlignment="1" applyProtection="1">
      <alignment horizontal="center" vertical="center"/>
      <protection locked="0"/>
    </xf>
    <xf numFmtId="3" fontId="149" fillId="13" borderId="15" xfId="19" applyNumberFormat="1" applyFont="1" applyFill="1" applyBorder="1" applyAlignment="1" applyProtection="1">
      <alignment vertical="center"/>
      <protection locked="0"/>
    </xf>
    <xf numFmtId="0" fontId="66" fillId="0" borderId="0" xfId="0" applyFont="1"/>
    <xf numFmtId="3" fontId="150" fillId="13" borderId="15" xfId="6" applyNumberFormat="1" applyFont="1" applyFill="1" applyBorder="1" applyAlignment="1" applyProtection="1">
      <alignment horizontal="center" vertical="center"/>
      <protection locked="0"/>
    </xf>
    <xf numFmtId="3" fontId="150" fillId="13" borderId="29" xfId="6" applyNumberFormat="1" applyFont="1" applyFill="1" applyBorder="1" applyAlignment="1" applyProtection="1">
      <alignment horizontal="center" vertical="center"/>
      <protection locked="0"/>
    </xf>
    <xf numFmtId="216" fontId="150" fillId="13" borderId="102" xfId="19" applyNumberFormat="1" applyFont="1" applyFill="1" applyBorder="1" applyAlignment="1" applyProtection="1">
      <alignment vertical="center"/>
      <protection locked="0"/>
    </xf>
    <xf numFmtId="0" fontId="150" fillId="0" borderId="25" xfId="6" applyFont="1" applyFill="1" applyBorder="1" applyAlignment="1" applyProtection="1">
      <alignment vertical="center" wrapText="1"/>
      <protection locked="0"/>
    </xf>
    <xf numFmtId="217" fontId="150" fillId="13" borderId="102" xfId="19" applyNumberFormat="1" applyFont="1" applyFill="1" applyBorder="1" applyAlignment="1" applyProtection="1">
      <alignment vertical="center"/>
      <protection locked="0"/>
    </xf>
    <xf numFmtId="217" fontId="148" fillId="4" borderId="102" xfId="19" applyNumberFormat="1" applyFont="1" applyFill="1" applyBorder="1" applyAlignment="1" applyProtection="1">
      <alignment vertical="center"/>
      <protection locked="0"/>
    </xf>
    <xf numFmtId="9" fontId="0" fillId="0" borderId="0" xfId="2" applyFont="1"/>
    <xf numFmtId="0" fontId="233" fillId="44" borderId="531" xfId="0" applyFont="1" applyFill="1" applyBorder="1"/>
    <xf numFmtId="0" fontId="233" fillId="0" borderId="349" xfId="0" applyFont="1" applyFill="1" applyBorder="1"/>
    <xf numFmtId="0" fontId="233" fillId="44" borderId="349" xfId="0" applyFont="1" applyFill="1" applyBorder="1"/>
    <xf numFmtId="0" fontId="233" fillId="0" borderId="532" xfId="0" applyFont="1" applyBorder="1"/>
    <xf numFmtId="4" fontId="150" fillId="13" borderId="15" xfId="6" applyNumberFormat="1" applyFont="1" applyFill="1" applyBorder="1" applyAlignment="1" applyProtection="1">
      <alignment horizontal="center" vertical="center"/>
      <protection locked="0"/>
    </xf>
    <xf numFmtId="4" fontId="150" fillId="13" borderId="29" xfId="6" applyNumberFormat="1" applyFont="1" applyFill="1" applyBorder="1" applyAlignment="1" applyProtection="1">
      <alignment horizontal="center" vertical="center"/>
      <protection locked="0"/>
    </xf>
    <xf numFmtId="0" fontId="93" fillId="13" borderId="29" xfId="6" applyFont="1" applyFill="1" applyBorder="1" applyAlignment="1" applyProtection="1">
      <alignment vertical="center"/>
      <protection locked="0"/>
    </xf>
    <xf numFmtId="0" fontId="150" fillId="0" borderId="0" xfId="6" applyFont="1" applyFill="1" applyBorder="1" applyAlignment="1" applyProtection="1">
      <alignment vertical="center"/>
      <protection locked="0"/>
    </xf>
    <xf numFmtId="3" fontId="150" fillId="13" borderId="102" xfId="19" applyNumberFormat="1" applyFont="1" applyFill="1" applyBorder="1" applyAlignment="1" applyProtection="1">
      <alignment vertical="center"/>
      <protection locked="0"/>
    </xf>
    <xf numFmtId="3" fontId="148" fillId="4" borderId="102" xfId="19" applyNumberFormat="1" applyFont="1" applyFill="1" applyBorder="1" applyAlignment="1" applyProtection="1">
      <alignment vertical="center"/>
      <protection locked="0"/>
    </xf>
    <xf numFmtId="0" fontId="150" fillId="13" borderId="16" xfId="6" applyFont="1" applyFill="1" applyBorder="1" applyAlignment="1" applyProtection="1">
      <alignment vertical="center"/>
      <protection locked="0"/>
    </xf>
    <xf numFmtId="0" fontId="233" fillId="0" borderId="0" xfId="0" applyFont="1"/>
    <xf numFmtId="0" fontId="233" fillId="0" borderId="495" xfId="0" applyFont="1" applyBorder="1"/>
    <xf numFmtId="0" fontId="233" fillId="44" borderId="145" xfId="0" applyFont="1" applyFill="1" applyBorder="1"/>
    <xf numFmtId="0" fontId="233" fillId="44" borderId="144" xfId="0" applyFont="1" applyFill="1" applyBorder="1"/>
    <xf numFmtId="0" fontId="233" fillId="0" borderId="143" xfId="0" applyFont="1" applyBorder="1"/>
    <xf numFmtId="0" fontId="234" fillId="4" borderId="495" xfId="0" applyFont="1" applyFill="1" applyBorder="1"/>
    <xf numFmtId="0" fontId="233" fillId="0" borderId="140" xfId="0" applyFont="1" applyBorder="1"/>
    <xf numFmtId="0" fontId="233" fillId="0" borderId="139" xfId="0" applyFont="1" applyBorder="1"/>
    <xf numFmtId="0" fontId="233" fillId="44" borderId="139" xfId="0" applyFont="1" applyFill="1" applyBorder="1"/>
    <xf numFmtId="0" fontId="233" fillId="0" borderId="138" xfId="0" applyFont="1" applyBorder="1"/>
    <xf numFmtId="9" fontId="0" fillId="0" borderId="0" xfId="2" applyFont="1" applyFill="1" applyBorder="1" applyAlignment="1">
      <alignment horizontal="center"/>
    </xf>
    <xf numFmtId="9" fontId="218" fillId="40" borderId="653" xfId="2" applyFont="1" applyFill="1" applyBorder="1" applyAlignment="1">
      <alignment horizontal="center" vertical="center" wrapText="1"/>
    </xf>
    <xf numFmtId="9" fontId="218" fillId="40" borderId="653" xfId="2" applyFont="1" applyFill="1" applyBorder="1" applyAlignment="1">
      <alignment horizontal="right" vertical="center" wrapText="1"/>
    </xf>
    <xf numFmtId="3" fontId="218" fillId="40" borderId="653" xfId="0" applyNumberFormat="1" applyFont="1" applyFill="1" applyBorder="1" applyAlignment="1">
      <alignment horizontal="right" vertical="center" wrapText="1"/>
    </xf>
    <xf numFmtId="0" fontId="218" fillId="40" borderId="653" xfId="0" applyFont="1" applyFill="1" applyBorder="1" applyAlignment="1">
      <alignment horizontal="center" vertical="center" wrapText="1"/>
    </xf>
    <xf numFmtId="9" fontId="53" fillId="46" borderId="653" xfId="2" applyFont="1" applyFill="1" applyBorder="1" applyAlignment="1">
      <alignment horizontal="center" vertical="center" wrapText="1"/>
    </xf>
    <xf numFmtId="3" fontId="53" fillId="46" borderId="653" xfId="0" applyNumberFormat="1" applyFont="1" applyFill="1" applyBorder="1" applyAlignment="1">
      <alignment horizontal="right" vertical="center" wrapText="1"/>
    </xf>
    <xf numFmtId="0" fontId="224" fillId="46" borderId="653" xfId="0" applyFont="1" applyFill="1" applyBorder="1" applyAlignment="1">
      <alignment horizontal="left" vertical="center" wrapText="1" indent="1"/>
    </xf>
    <xf numFmtId="0" fontId="218" fillId="40" borderId="653" xfId="0" quotePrefix="1" applyFont="1" applyFill="1" applyBorder="1" applyAlignment="1">
      <alignment horizontal="center" vertical="center" wrapText="1"/>
    </xf>
    <xf numFmtId="9" fontId="218" fillId="4" borderId="653" xfId="2" applyFont="1" applyFill="1" applyBorder="1" applyAlignment="1">
      <alignment horizontal="center" vertical="center" wrapText="1"/>
    </xf>
    <xf numFmtId="17" fontId="218" fillId="4" borderId="653" xfId="0" applyNumberFormat="1" applyFont="1" applyFill="1" applyBorder="1" applyAlignment="1">
      <alignment horizontal="center" vertical="center" wrapText="1"/>
    </xf>
    <xf numFmtId="0" fontId="218" fillId="4" borderId="653" xfId="0" quotePrefix="1" applyFont="1" applyFill="1" applyBorder="1" applyAlignment="1">
      <alignment horizontal="center" vertical="center" wrapText="1"/>
    </xf>
    <xf numFmtId="0" fontId="53" fillId="0" borderId="0" xfId="0" applyFont="1" applyFill="1" applyBorder="1" applyAlignment="1">
      <alignment vertical="center" wrapText="1"/>
    </xf>
    <xf numFmtId="0" fontId="216" fillId="28" borderId="0" xfId="0" applyFont="1" applyFill="1" applyBorder="1" applyAlignment="1">
      <alignment vertical="center" wrapText="1"/>
    </xf>
    <xf numFmtId="9" fontId="218" fillId="0" borderId="0" xfId="2" applyFont="1" applyFill="1" applyBorder="1" applyAlignment="1">
      <alignment horizontal="center" vertical="center" wrapText="1"/>
    </xf>
    <xf numFmtId="0" fontId="224" fillId="0" borderId="0" xfId="0" applyFont="1" applyFill="1" applyBorder="1" applyAlignment="1">
      <alignment horizontal="center" vertical="center" wrapText="1"/>
    </xf>
    <xf numFmtId="216" fontId="38" fillId="0" borderId="0" xfId="19" applyNumberFormat="1" applyFont="1"/>
    <xf numFmtId="216" fontId="217" fillId="4" borderId="0" xfId="19" applyNumberFormat="1" applyFont="1" applyFill="1"/>
    <xf numFmtId="0" fontId="217" fillId="4" borderId="648" xfId="0" applyFont="1" applyFill="1" applyBorder="1"/>
    <xf numFmtId="0" fontId="42" fillId="0" borderId="648" xfId="0" applyFont="1" applyBorder="1"/>
    <xf numFmtId="216" fontId="235" fillId="47" borderId="648" xfId="19" applyNumberFormat="1" applyFont="1" applyFill="1" applyBorder="1"/>
    <xf numFmtId="216" fontId="235" fillId="47" borderId="654" xfId="19" applyNumberFormat="1" applyFont="1" applyFill="1" applyBorder="1"/>
    <xf numFmtId="0" fontId="38" fillId="47" borderId="648" xfId="0" applyFont="1" applyFill="1" applyBorder="1"/>
    <xf numFmtId="216" fontId="38" fillId="0" borderId="0" xfId="0" applyNumberFormat="1" applyFont="1"/>
    <xf numFmtId="216" fontId="217" fillId="40" borderId="0" xfId="19" applyNumberFormat="1" applyFont="1" applyFill="1"/>
    <xf numFmtId="0" fontId="217" fillId="40" borderId="648" xfId="0" applyFont="1" applyFill="1" applyBorder="1"/>
    <xf numFmtId="216" fontId="10" fillId="47" borderId="648" xfId="19" applyNumberFormat="1" applyFont="1" applyFill="1" applyBorder="1"/>
    <xf numFmtId="216" fontId="10" fillId="47" borderId="654" xfId="19" applyNumberFormat="1" applyFont="1" applyFill="1" applyBorder="1"/>
    <xf numFmtId="0" fontId="42" fillId="47" borderId="648" xfId="0" applyFont="1" applyFill="1" applyBorder="1"/>
    <xf numFmtId="216" fontId="38" fillId="47" borderId="648" xfId="19" applyNumberFormat="1" applyFont="1" applyFill="1" applyBorder="1"/>
    <xf numFmtId="0" fontId="38" fillId="47" borderId="658" xfId="0" applyFont="1" applyFill="1" applyBorder="1"/>
    <xf numFmtId="0" fontId="38" fillId="47" borderId="656" xfId="0" applyFont="1" applyFill="1" applyBorder="1"/>
    <xf numFmtId="216" fontId="38" fillId="47" borderId="654" xfId="19" applyNumberFormat="1" applyFont="1" applyFill="1" applyBorder="1"/>
    <xf numFmtId="0" fontId="38" fillId="47" borderId="671" xfId="0" applyFont="1" applyFill="1" applyBorder="1"/>
    <xf numFmtId="0" fontId="10" fillId="47" borderId="648" xfId="0" applyFont="1" applyFill="1" applyBorder="1"/>
    <xf numFmtId="0" fontId="46" fillId="4" borderId="648" xfId="19" applyNumberFormat="1" applyFont="1" applyFill="1" applyBorder="1" applyAlignment="1">
      <alignment horizontal="center"/>
    </xf>
    <xf numFmtId="0" fontId="46" fillId="4" borderId="648" xfId="0" applyFont="1" applyFill="1" applyBorder="1"/>
    <xf numFmtId="0" fontId="46" fillId="4" borderId="648" xfId="0" applyFont="1" applyFill="1" applyBorder="1" applyAlignment="1">
      <alignment horizontal="center"/>
    </xf>
    <xf numFmtId="216" fontId="46" fillId="4" borderId="648" xfId="19" applyNumberFormat="1" applyFont="1" applyFill="1" applyBorder="1" applyAlignment="1">
      <alignment horizontal="center"/>
    </xf>
    <xf numFmtId="0" fontId="46" fillId="4" borderId="0" xfId="0" applyFont="1" applyFill="1"/>
    <xf numFmtId="10" fontId="0" fillId="0" borderId="0" xfId="2" applyNumberFormat="1" applyFont="1" applyAlignment="1">
      <alignment horizontal="center"/>
    </xf>
    <xf numFmtId="43" fontId="0" fillId="0" borderId="0" xfId="19" applyFont="1" applyAlignment="1">
      <alignment horizontal="center"/>
    </xf>
    <xf numFmtId="37" fontId="0" fillId="0" borderId="0" xfId="0" applyNumberFormat="1" applyAlignment="1">
      <alignment horizontal="center"/>
    </xf>
    <xf numFmtId="9" fontId="162" fillId="34" borderId="0" xfId="2" applyFont="1" applyFill="1" applyBorder="1" applyAlignment="1">
      <alignment horizontal="center"/>
    </xf>
    <xf numFmtId="1" fontId="162" fillId="34" borderId="659" xfId="19" applyNumberFormat="1" applyFont="1" applyFill="1" applyBorder="1" applyAlignment="1">
      <alignment horizontal="center"/>
    </xf>
    <xf numFmtId="1" fontId="163" fillId="48" borderId="659" xfId="19" applyNumberFormat="1" applyFont="1" applyFill="1" applyBorder="1" applyAlignment="1">
      <alignment horizontal="center"/>
    </xf>
    <xf numFmtId="0" fontId="162" fillId="34" borderId="659" xfId="0" applyFont="1" applyFill="1" applyBorder="1"/>
    <xf numFmtId="43" fontId="162" fillId="34" borderId="659" xfId="2" applyNumberFormat="1" applyFont="1" applyFill="1" applyBorder="1" applyAlignment="1">
      <alignment horizontal="center"/>
    </xf>
    <xf numFmtId="43" fontId="163" fillId="48" borderId="659" xfId="2" applyNumberFormat="1" applyFont="1" applyFill="1" applyBorder="1" applyAlignment="1">
      <alignment horizontal="center"/>
    </xf>
    <xf numFmtId="9" fontId="162" fillId="34" borderId="659" xfId="2" applyFont="1" applyFill="1" applyBorder="1" applyAlignment="1">
      <alignment horizontal="center"/>
    </xf>
    <xf numFmtId="0" fontId="162" fillId="0" borderId="0" xfId="0" applyFont="1" applyFill="1" applyAlignment="1">
      <alignment horizontal="center"/>
    </xf>
    <xf numFmtId="0" fontId="162" fillId="4" borderId="0" xfId="0" applyFont="1" applyFill="1" applyAlignment="1">
      <alignment horizontal="center"/>
    </xf>
    <xf numFmtId="0" fontId="174" fillId="4" borderId="0" xfId="0" applyFont="1" applyFill="1" applyAlignment="1">
      <alignment horizontal="center"/>
    </xf>
    <xf numFmtId="0" fontId="162" fillId="0" borderId="0" xfId="0" applyFont="1" applyAlignment="1">
      <alignment horizontal="center"/>
    </xf>
    <xf numFmtId="0" fontId="162" fillId="0" borderId="0" xfId="0" applyFont="1"/>
    <xf numFmtId="9" fontId="162" fillId="34" borderId="672" xfId="2" applyFont="1" applyFill="1" applyBorder="1" applyAlignment="1">
      <alignment horizontal="center"/>
    </xf>
    <xf numFmtId="9" fontId="163" fillId="48" borderId="673" xfId="2" applyFont="1" applyFill="1" applyBorder="1" applyAlignment="1">
      <alignment horizontal="center"/>
    </xf>
    <xf numFmtId="9" fontId="162" fillId="34" borderId="673" xfId="2" applyFont="1" applyFill="1" applyBorder="1" applyAlignment="1">
      <alignment horizontal="center"/>
    </xf>
    <xf numFmtId="0" fontId="162" fillId="34" borderId="674" xfId="0" applyFont="1" applyFill="1" applyBorder="1"/>
    <xf numFmtId="9" fontId="163" fillId="48" borderId="0" xfId="2" applyFont="1" applyFill="1" applyBorder="1" applyAlignment="1">
      <alignment horizontal="center"/>
    </xf>
    <xf numFmtId="0" fontId="162" fillId="34" borderId="0" xfId="0" applyFont="1" applyFill="1" applyBorder="1" applyAlignment="1">
      <alignment wrapText="1"/>
    </xf>
    <xf numFmtId="9" fontId="163" fillId="48" borderId="659" xfId="2" applyFont="1" applyFill="1" applyBorder="1" applyAlignment="1">
      <alignment horizontal="center"/>
    </xf>
    <xf numFmtId="43" fontId="162" fillId="34" borderId="672" xfId="2" applyNumberFormat="1" applyFont="1" applyFill="1" applyBorder="1" applyAlignment="1">
      <alignment horizontal="center"/>
    </xf>
    <xf numFmtId="43" fontId="163" fillId="48" borderId="673" xfId="19" applyFont="1" applyFill="1" applyBorder="1" applyAlignment="1">
      <alignment horizontal="center"/>
    </xf>
    <xf numFmtId="43" fontId="162" fillId="34" borderId="673" xfId="19" applyFont="1" applyFill="1" applyBorder="1" applyAlignment="1">
      <alignment horizontal="center"/>
    </xf>
    <xf numFmtId="0" fontId="12" fillId="0" borderId="15" xfId="0" applyFont="1" applyBorder="1" applyAlignment="1" applyProtection="1">
      <alignment horizontal="center" vertical="justify" wrapText="1"/>
      <protection hidden="1"/>
    </xf>
    <xf numFmtId="0" fontId="12" fillId="0" borderId="12" xfId="0" applyFont="1" applyBorder="1" applyAlignment="1" applyProtection="1">
      <alignment horizontal="center" vertical="justify" wrapText="1"/>
      <protection hidden="1"/>
    </xf>
    <xf numFmtId="0" fontId="12" fillId="0" borderId="13" xfId="0" applyFont="1" applyBorder="1" applyAlignment="1" applyProtection="1">
      <alignment horizontal="center" vertical="justify" wrapText="1"/>
      <protection hidden="1"/>
    </xf>
    <xf numFmtId="0" fontId="6" fillId="0" borderId="0" xfId="0" applyFont="1" applyFill="1" applyAlignment="1" applyProtection="1">
      <alignment horizontal="center"/>
      <protection hidden="1"/>
    </xf>
    <xf numFmtId="0" fontId="7" fillId="0" borderId="0" xfId="0" applyFont="1" applyFill="1" applyAlignment="1" applyProtection="1">
      <alignment horizontal="center"/>
      <protection hidden="1"/>
    </xf>
    <xf numFmtId="0" fontId="8" fillId="0" borderId="1" xfId="0" applyFont="1" applyBorder="1" applyAlignment="1" applyProtection="1">
      <alignment horizontal="right" vertical="center" indent="1"/>
      <protection hidden="1"/>
    </xf>
    <xf numFmtId="0" fontId="8" fillId="0" borderId="2" xfId="0" applyFont="1" applyBorder="1" applyAlignment="1" applyProtection="1">
      <alignment horizontal="right" vertical="center" indent="1"/>
      <protection hidden="1"/>
    </xf>
    <xf numFmtId="0" fontId="8" fillId="0" borderId="4" xfId="0" applyFont="1" applyBorder="1" applyAlignment="1" applyProtection="1">
      <alignment horizontal="right" vertical="center" indent="1"/>
      <protection hidden="1"/>
    </xf>
    <xf numFmtId="0" fontId="8" fillId="0" borderId="5" xfId="0" applyFont="1" applyBorder="1" applyAlignment="1" applyProtection="1">
      <alignment horizontal="right" vertical="center" indent="1"/>
      <protection hidden="1"/>
    </xf>
    <xf numFmtId="0" fontId="10" fillId="0" borderId="4" xfId="0" applyFont="1" applyBorder="1" applyAlignment="1" applyProtection="1">
      <alignment horizontal="right" vertical="center" indent="1"/>
      <protection hidden="1"/>
    </xf>
    <xf numFmtId="0" fontId="10" fillId="0" borderId="5" xfId="0" applyFont="1" applyBorder="1" applyAlignment="1" applyProtection="1">
      <alignment horizontal="right" vertical="center" indent="1"/>
      <protection hidden="1"/>
    </xf>
    <xf numFmtId="0" fontId="10" fillId="0" borderId="7" xfId="0" applyFont="1" applyBorder="1" applyAlignment="1" applyProtection="1">
      <alignment horizontal="right" vertical="center" indent="1"/>
      <protection hidden="1"/>
    </xf>
    <xf numFmtId="0" fontId="10" fillId="0" borderId="8" xfId="0" applyFont="1" applyBorder="1" applyAlignment="1" applyProtection="1">
      <alignment horizontal="right" vertical="center" indent="1"/>
      <protection hidden="1"/>
    </xf>
    <xf numFmtId="0" fontId="11" fillId="0" borderId="10" xfId="0" applyFont="1" applyFill="1" applyBorder="1" applyAlignment="1" applyProtection="1">
      <alignment horizontal="center"/>
      <protection hidden="1"/>
    </xf>
    <xf numFmtId="0" fontId="11" fillId="0" borderId="11" xfId="0" applyFont="1" applyFill="1" applyBorder="1" applyAlignment="1" applyProtection="1">
      <alignment horizontal="center"/>
      <protection hidden="1"/>
    </xf>
    <xf numFmtId="0" fontId="11" fillId="0" borderId="12" xfId="0" applyFont="1" applyFill="1" applyBorder="1" applyAlignment="1" applyProtection="1">
      <alignment horizontal="center"/>
      <protection hidden="1"/>
    </xf>
    <xf numFmtId="0" fontId="11" fillId="0" borderId="13" xfId="0" applyFont="1" applyFill="1" applyBorder="1" applyAlignment="1" applyProtection="1">
      <alignment horizontal="center"/>
      <protection hidden="1"/>
    </xf>
    <xf numFmtId="0" fontId="194" fillId="3" borderId="32" xfId="0" applyFont="1" applyFill="1" applyBorder="1" applyAlignment="1" applyProtection="1">
      <alignment horizontal="center" vertical="center" wrapText="1"/>
      <protection hidden="1"/>
    </xf>
    <xf numFmtId="0" fontId="157" fillId="0" borderId="33" xfId="0" applyFont="1" applyBorder="1" applyProtection="1">
      <protection hidden="1"/>
    </xf>
    <xf numFmtId="0" fontId="157" fillId="0" borderId="34" xfId="0" applyFont="1" applyBorder="1" applyProtection="1">
      <protection hidden="1"/>
    </xf>
    <xf numFmtId="0" fontId="194" fillId="3" borderId="27" xfId="0" applyFont="1" applyFill="1" applyBorder="1" applyAlignment="1" applyProtection="1">
      <alignment horizontal="center" vertical="center" wrapText="1"/>
      <protection hidden="1"/>
    </xf>
    <xf numFmtId="0" fontId="157" fillId="0" borderId="25" xfId="0" applyFont="1" applyBorder="1" applyProtection="1">
      <protection hidden="1"/>
    </xf>
    <xf numFmtId="0" fontId="194" fillId="3" borderId="37" xfId="0" applyFont="1" applyFill="1" applyBorder="1" applyAlignment="1" applyProtection="1">
      <alignment horizontal="center" vertical="center" wrapText="1"/>
      <protection hidden="1"/>
    </xf>
    <xf numFmtId="0" fontId="194" fillId="3" borderId="38" xfId="0" applyFont="1" applyFill="1" applyBorder="1" applyAlignment="1" applyProtection="1">
      <alignment horizontal="center" vertical="center" wrapText="1"/>
      <protection hidden="1"/>
    </xf>
    <xf numFmtId="0" fontId="194" fillId="3" borderId="41" xfId="0" applyFont="1" applyFill="1" applyBorder="1" applyAlignment="1" applyProtection="1">
      <alignment horizontal="center" vertical="center" wrapText="1"/>
      <protection hidden="1"/>
    </xf>
    <xf numFmtId="0" fontId="194" fillId="3" borderId="42" xfId="0" applyFont="1" applyFill="1" applyBorder="1" applyAlignment="1" applyProtection="1">
      <alignment horizontal="center" vertical="center" wrapText="1"/>
      <protection hidden="1"/>
    </xf>
    <xf numFmtId="0" fontId="193" fillId="3" borderId="16" xfId="0" applyFont="1" applyFill="1" applyBorder="1" applyAlignment="1" applyProtection="1">
      <alignment horizontal="left" vertical="top" wrapText="1"/>
      <protection locked="0" hidden="1"/>
    </xf>
    <xf numFmtId="0" fontId="193" fillId="3" borderId="11" xfId="0" applyFont="1" applyFill="1" applyBorder="1" applyAlignment="1" applyProtection="1">
      <alignment horizontal="left" vertical="top" wrapText="1"/>
      <protection locked="0" hidden="1"/>
    </xf>
    <xf numFmtId="0" fontId="193" fillId="3" borderId="0" xfId="0" applyFont="1" applyFill="1" applyBorder="1" applyAlignment="1" applyProtection="1">
      <alignment horizontal="left" vertical="top" wrapText="1"/>
      <protection locked="0" hidden="1"/>
    </xf>
    <xf numFmtId="0" fontId="193" fillId="3" borderId="13" xfId="0" applyFont="1" applyFill="1" applyBorder="1" applyAlignment="1" applyProtection="1">
      <alignment horizontal="left" vertical="top" wrapText="1"/>
      <protection locked="0" hidden="1"/>
    </xf>
    <xf numFmtId="0" fontId="193" fillId="3" borderId="44" xfId="0" applyFont="1" applyFill="1" applyBorder="1" applyAlignment="1" applyProtection="1">
      <alignment horizontal="left" vertical="top" wrapText="1"/>
      <protection locked="0" hidden="1"/>
    </xf>
    <xf numFmtId="0" fontId="193" fillId="3" borderId="41" xfId="0" applyFont="1" applyFill="1" applyBorder="1" applyAlignment="1" applyProtection="1">
      <alignment horizontal="left" vertical="top" wrapText="1"/>
      <protection locked="0" hidden="1"/>
    </xf>
    <xf numFmtId="0" fontId="193" fillId="3" borderId="29" xfId="0" applyFont="1" applyFill="1" applyBorder="1" applyAlignment="1" applyProtection="1">
      <alignment horizontal="left" vertical="top" wrapText="1"/>
      <protection locked="0" hidden="1"/>
    </xf>
    <xf numFmtId="0" fontId="193" fillId="3" borderId="15" xfId="0" applyFont="1" applyFill="1" applyBorder="1" applyAlignment="1" applyProtection="1">
      <alignment horizontal="left" vertical="top" wrapText="1"/>
      <protection locked="0" hidden="1"/>
    </xf>
    <xf numFmtId="0" fontId="194" fillId="3" borderId="43" xfId="0" applyFont="1" applyFill="1" applyBorder="1" applyAlignment="1" applyProtection="1">
      <alignment horizontal="center" vertical="center" wrapText="1"/>
      <protection hidden="1"/>
    </xf>
    <xf numFmtId="0" fontId="194" fillId="3" borderId="46" xfId="0" applyFont="1" applyFill="1" applyBorder="1" applyAlignment="1" applyProtection="1">
      <alignment horizontal="center" vertical="center" wrapText="1"/>
      <protection hidden="1"/>
    </xf>
    <xf numFmtId="0" fontId="194" fillId="3" borderId="44" xfId="0" applyFont="1" applyFill="1" applyBorder="1" applyAlignment="1" applyProtection="1">
      <alignment horizontal="center" vertical="center" wrapText="1"/>
      <protection hidden="1"/>
    </xf>
    <xf numFmtId="0" fontId="157" fillId="0" borderId="45" xfId="0" applyFont="1" applyBorder="1" applyProtection="1">
      <protection hidden="1"/>
    </xf>
    <xf numFmtId="0" fontId="157" fillId="0" borderId="41" xfId="0" applyFont="1" applyBorder="1" applyProtection="1">
      <protection hidden="1"/>
    </xf>
    <xf numFmtId="0" fontId="157" fillId="0" borderId="42" xfId="0" applyFont="1" applyBorder="1" applyProtection="1">
      <protection hidden="1"/>
    </xf>
    <xf numFmtId="3" fontId="157" fillId="0" borderId="16" xfId="0" applyNumberFormat="1" applyFont="1" applyFill="1" applyBorder="1" applyAlignment="1" applyProtection="1">
      <alignment horizontal="left" vertical="center" indent="1"/>
      <protection locked="0" hidden="1"/>
    </xf>
    <xf numFmtId="3" fontId="157" fillId="0" borderId="11" xfId="0" applyNumberFormat="1" applyFont="1" applyFill="1" applyBorder="1" applyAlignment="1" applyProtection="1">
      <alignment horizontal="left" vertical="center" indent="1"/>
      <protection locked="0" hidden="1"/>
    </xf>
    <xf numFmtId="164" fontId="157" fillId="0" borderId="12" xfId="0" applyNumberFormat="1" applyFont="1" applyFill="1" applyBorder="1" applyAlignment="1" applyProtection="1">
      <alignment horizontal="left" vertical="top"/>
      <protection locked="0" hidden="1"/>
    </xf>
    <xf numFmtId="164" fontId="157" fillId="0" borderId="0" xfId="0" applyNumberFormat="1" applyFont="1" applyFill="1" applyBorder="1" applyAlignment="1" applyProtection="1">
      <alignment horizontal="left" vertical="top"/>
      <protection locked="0" hidden="1"/>
    </xf>
    <xf numFmtId="164" fontId="157" fillId="0" borderId="14" xfId="0" applyNumberFormat="1" applyFont="1" applyFill="1" applyBorder="1" applyAlignment="1" applyProtection="1">
      <alignment horizontal="left" vertical="top"/>
      <protection locked="0" hidden="1"/>
    </xf>
    <xf numFmtId="164" fontId="157" fillId="0" borderId="29" xfId="0" applyNumberFormat="1" applyFont="1" applyFill="1" applyBorder="1" applyAlignment="1" applyProtection="1">
      <alignment horizontal="left" vertical="top"/>
      <protection locked="0" hidden="1"/>
    </xf>
    <xf numFmtId="164" fontId="157" fillId="0" borderId="0" xfId="0" applyNumberFormat="1" applyFont="1" applyFill="1" applyBorder="1" applyAlignment="1" applyProtection="1">
      <alignment horizontal="right" vertical="center" indent="1"/>
      <protection hidden="1"/>
    </xf>
    <xf numFmtId="3" fontId="157" fillId="0" borderId="0" xfId="0" applyNumberFormat="1" applyFont="1" applyFill="1" applyBorder="1" applyAlignment="1" applyProtection="1">
      <alignment horizontal="left" vertical="center" indent="1"/>
      <protection locked="0" hidden="1"/>
    </xf>
    <xf numFmtId="3" fontId="157" fillId="0" borderId="13" xfId="0" applyNumberFormat="1" applyFont="1" applyFill="1" applyBorder="1" applyAlignment="1" applyProtection="1">
      <alignment horizontal="left" vertical="center" indent="1"/>
      <protection locked="0" hidden="1"/>
    </xf>
    <xf numFmtId="164" fontId="85" fillId="0" borderId="29" xfId="0" applyNumberFormat="1" applyFont="1" applyFill="1" applyBorder="1" applyAlignment="1" applyProtection="1">
      <alignment horizontal="right" vertical="center" indent="1"/>
      <protection hidden="1"/>
    </xf>
    <xf numFmtId="3" fontId="85" fillId="0" borderId="29" xfId="0" applyNumberFormat="1" applyFont="1" applyFill="1" applyBorder="1" applyAlignment="1" applyProtection="1">
      <alignment horizontal="left" vertical="center" indent="1"/>
      <protection hidden="1"/>
    </xf>
    <xf numFmtId="3" fontId="85" fillId="0" borderId="15" xfId="0" applyNumberFormat="1" applyFont="1" applyFill="1" applyBorder="1" applyAlignment="1" applyProtection="1">
      <alignment horizontal="left" vertical="center" indent="1"/>
      <protection hidden="1"/>
    </xf>
    <xf numFmtId="164" fontId="85" fillId="0" borderId="10" xfId="0" applyNumberFormat="1" applyFont="1" applyFill="1" applyBorder="1" applyAlignment="1" applyProtection="1">
      <alignment horizontal="center" vertical="center"/>
      <protection hidden="1"/>
    </xf>
    <xf numFmtId="164" fontId="85" fillId="0" borderId="12" xfId="0" applyNumberFormat="1" applyFont="1" applyFill="1" applyBorder="1" applyAlignment="1" applyProtection="1">
      <alignment horizontal="center" vertical="center"/>
      <protection hidden="1"/>
    </xf>
    <xf numFmtId="164" fontId="85" fillId="0" borderId="30" xfId="0" applyNumberFormat="1" applyFont="1" applyFill="1" applyBorder="1" applyAlignment="1" applyProtection="1">
      <alignment horizontal="center" vertical="center"/>
      <protection hidden="1"/>
    </xf>
    <xf numFmtId="164" fontId="157" fillId="0" borderId="16" xfId="0" applyNumberFormat="1" applyFont="1" applyFill="1" applyBorder="1" applyAlignment="1" applyProtection="1">
      <alignment horizontal="right" vertical="center" indent="1"/>
      <protection hidden="1"/>
    </xf>
    <xf numFmtId="164" fontId="157" fillId="0" borderId="0" xfId="0" applyNumberFormat="1" applyFont="1" applyFill="1" applyBorder="1" applyAlignment="1" applyProtection="1">
      <alignment horizontal="left" vertical="center" indent="1"/>
      <protection hidden="1"/>
    </xf>
    <xf numFmtId="212" fontId="157" fillId="0" borderId="0" xfId="0" applyNumberFormat="1" applyFont="1" applyFill="1" applyBorder="1" applyAlignment="1" applyProtection="1">
      <alignment horizontal="left" vertical="center" indent="1"/>
      <protection locked="0" hidden="1"/>
    </xf>
    <xf numFmtId="49" fontId="157" fillId="0" borderId="0" xfId="0" applyNumberFormat="1" applyFont="1" applyFill="1" applyBorder="1" applyAlignment="1" applyProtection="1">
      <alignment horizontal="left" vertical="center" indent="1"/>
      <protection hidden="1"/>
    </xf>
    <xf numFmtId="164" fontId="157" fillId="0" borderId="0" xfId="0" applyNumberFormat="1" applyFont="1" applyFill="1" applyBorder="1" applyAlignment="1" applyProtection="1">
      <alignment horizontal="left" vertical="center" indent="1"/>
      <protection locked="0" hidden="1"/>
    </xf>
    <xf numFmtId="165" fontId="157" fillId="0" borderId="0" xfId="0" applyNumberFormat="1" applyFont="1" applyFill="1" applyBorder="1" applyAlignment="1" applyProtection="1">
      <alignment horizontal="left" vertical="center" indent="1"/>
      <protection locked="0" hidden="1"/>
    </xf>
    <xf numFmtId="165" fontId="157" fillId="0" borderId="13" xfId="0" applyNumberFormat="1" applyFont="1" applyFill="1" applyBorder="1" applyAlignment="1" applyProtection="1">
      <alignment horizontal="left" vertical="center" indent="1"/>
      <protection locked="0" hidden="1"/>
    </xf>
    <xf numFmtId="164" fontId="157" fillId="0" borderId="16" xfId="0" applyNumberFormat="1" applyFont="1" applyFill="1" applyBorder="1" applyAlignment="1" applyProtection="1">
      <alignment horizontal="left" vertical="center" indent="1"/>
      <protection locked="0" hidden="1"/>
    </xf>
    <xf numFmtId="0" fontId="157" fillId="0" borderId="16" xfId="0" applyNumberFormat="1" applyFont="1" applyFill="1" applyBorder="1" applyAlignment="1" applyProtection="1">
      <alignment horizontal="left" vertical="center" indent="1"/>
      <protection hidden="1"/>
    </xf>
    <xf numFmtId="0" fontId="157" fillId="0" borderId="11" xfId="0" applyNumberFormat="1" applyFont="1" applyFill="1" applyBorder="1" applyAlignment="1" applyProtection="1">
      <alignment horizontal="left" vertical="center" indent="1"/>
      <protection hidden="1"/>
    </xf>
    <xf numFmtId="165" fontId="157" fillId="0" borderId="16" xfId="0" applyNumberFormat="1" applyFont="1" applyFill="1" applyBorder="1" applyAlignment="1" applyProtection="1">
      <alignment horizontal="left" vertical="center" indent="1"/>
      <protection locked="0" hidden="1"/>
    </xf>
    <xf numFmtId="166" fontId="85" fillId="0" borderId="12" xfId="0" applyNumberFormat="1" applyFont="1" applyFill="1" applyBorder="1" applyAlignment="1" applyProtection="1">
      <alignment horizontal="center" vertical="center"/>
      <protection hidden="1"/>
    </xf>
    <xf numFmtId="166" fontId="85" fillId="0" borderId="0" xfId="0" applyNumberFormat="1" applyFont="1" applyFill="1" applyBorder="1" applyAlignment="1" applyProtection="1">
      <alignment horizontal="center" vertical="center"/>
      <protection hidden="1"/>
    </xf>
    <xf numFmtId="0" fontId="85" fillId="0" borderId="0" xfId="0" applyNumberFormat="1" applyFont="1" applyFill="1" applyBorder="1" applyAlignment="1" applyProtection="1">
      <alignment horizontal="left" vertical="center" indent="1"/>
      <protection locked="0" hidden="1"/>
    </xf>
    <xf numFmtId="0" fontId="23" fillId="4" borderId="0" xfId="0" applyFont="1" applyFill="1" applyAlignment="1" applyProtection="1">
      <alignment horizontal="center"/>
      <protection hidden="1"/>
    </xf>
    <xf numFmtId="0" fontId="0" fillId="0" borderId="0" xfId="0" applyAlignment="1" applyProtection="1">
      <alignment vertical="center" wrapText="1"/>
      <protection hidden="1"/>
    </xf>
    <xf numFmtId="0" fontId="0" fillId="0" borderId="0" xfId="0" applyAlignment="1" applyProtection="1">
      <alignment horizontal="center" vertical="center" wrapText="1"/>
      <protection hidden="1"/>
    </xf>
    <xf numFmtId="0" fontId="24" fillId="0" borderId="0" xfId="0" applyFont="1" applyAlignment="1" applyProtection="1">
      <alignment horizontal="center"/>
      <protection hidden="1"/>
    </xf>
    <xf numFmtId="0" fontId="61" fillId="0" borderId="59" xfId="0" applyFont="1" applyBorder="1" applyAlignment="1" applyProtection="1">
      <alignment horizontal="center" vertical="center" wrapText="1"/>
      <protection locked="0" hidden="1"/>
    </xf>
    <xf numFmtId="0" fontId="61" fillId="0" borderId="61" xfId="0" applyFont="1" applyBorder="1" applyAlignment="1" applyProtection="1">
      <alignment horizontal="center" vertical="center" wrapText="1"/>
      <protection locked="0" hidden="1"/>
    </xf>
    <xf numFmtId="0" fontId="40" fillId="0" borderId="0" xfId="8" applyFont="1" applyBorder="1" applyAlignment="1" applyProtection="1">
      <alignment horizontal="left" vertical="center"/>
      <protection hidden="1"/>
    </xf>
    <xf numFmtId="0" fontId="60" fillId="0" borderId="59" xfId="0" applyFont="1" applyBorder="1" applyAlignment="1" applyProtection="1">
      <alignment horizontal="center" vertical="center" wrapText="1"/>
      <protection locked="0" hidden="1"/>
    </xf>
    <xf numFmtId="0" fontId="60" fillId="0" borderId="61" xfId="0" applyFont="1" applyBorder="1" applyAlignment="1" applyProtection="1">
      <alignment horizontal="center" vertical="center" wrapText="1"/>
      <protection locked="0" hidden="1"/>
    </xf>
    <xf numFmtId="0" fontId="31" fillId="0" borderId="643" xfId="21" applyFont="1" applyBorder="1" applyAlignment="1">
      <alignment horizontal="center" vertical="center" textRotation="90" wrapText="1"/>
    </xf>
    <xf numFmtId="0" fontId="19" fillId="0" borderId="641" xfId="21" applyFont="1" applyBorder="1"/>
    <xf numFmtId="0" fontId="208" fillId="0" borderId="0" xfId="21" applyFont="1" applyAlignment="1">
      <alignment horizontal="center"/>
    </xf>
    <xf numFmtId="0" fontId="207" fillId="0" borderId="0" xfId="21" applyFont="1" applyAlignment="1"/>
    <xf numFmtId="0" fontId="46" fillId="4" borderId="0" xfId="0" applyFont="1" applyFill="1" applyAlignment="1">
      <alignment horizontal="center"/>
    </xf>
    <xf numFmtId="0" fontId="216" fillId="0" borderId="17" xfId="0" applyFont="1" applyFill="1" applyBorder="1" applyAlignment="1">
      <alignment horizontal="center" vertical="center"/>
    </xf>
    <xf numFmtId="0" fontId="216" fillId="0" borderId="19" xfId="0" applyFont="1" applyFill="1" applyBorder="1" applyAlignment="1">
      <alignment horizontal="center" vertical="center"/>
    </xf>
    <xf numFmtId="0" fontId="216" fillId="0" borderId="18" xfId="0" applyFont="1" applyFill="1" applyBorder="1" applyAlignment="1">
      <alignment horizontal="center" vertical="center"/>
    </xf>
    <xf numFmtId="0" fontId="46" fillId="4" borderId="532" xfId="0" applyFont="1" applyFill="1" applyBorder="1" applyAlignment="1">
      <alignment horizontal="center"/>
    </xf>
    <xf numFmtId="0" fontId="46" fillId="4" borderId="531" xfId="0" applyFont="1" applyFill="1" applyBorder="1" applyAlignment="1">
      <alignment horizontal="center"/>
    </xf>
    <xf numFmtId="0" fontId="53" fillId="0" borderId="0" xfId="0" applyFont="1" applyAlignment="1">
      <alignment horizontal="justify" vertical="justify" wrapText="1"/>
    </xf>
    <xf numFmtId="0" fontId="53" fillId="0" borderId="0" xfId="0" applyFont="1" applyAlignment="1">
      <alignment vertical="justify" wrapText="1"/>
    </xf>
    <xf numFmtId="0" fontId="220" fillId="38" borderId="0" xfId="0" applyFont="1" applyFill="1" applyAlignment="1">
      <alignment horizontal="center" wrapText="1"/>
    </xf>
    <xf numFmtId="0" fontId="46" fillId="40" borderId="655" xfId="0" applyFont="1" applyFill="1" applyBorder="1" applyAlignment="1">
      <alignment horizontal="center"/>
    </xf>
    <xf numFmtId="0" fontId="46" fillId="40" borderId="659" xfId="0" applyFont="1" applyFill="1" applyBorder="1" applyAlignment="1">
      <alignment horizontal="center"/>
    </xf>
    <xf numFmtId="0" fontId="46" fillId="4" borderId="658" xfId="0" applyFont="1" applyFill="1" applyBorder="1" applyAlignment="1">
      <alignment horizontal="center"/>
    </xf>
    <xf numFmtId="0" fontId="46" fillId="4" borderId="656" xfId="0" applyFont="1" applyFill="1" applyBorder="1" applyAlignment="1">
      <alignment horizontal="center"/>
    </xf>
    <xf numFmtId="0" fontId="217" fillId="4" borderId="657" xfId="0" applyFont="1" applyFill="1" applyBorder="1" applyAlignment="1">
      <alignment horizontal="center"/>
    </xf>
    <xf numFmtId="0" fontId="217" fillId="4" borderId="654" xfId="0" applyFont="1" applyFill="1" applyBorder="1" applyAlignment="1">
      <alignment horizontal="center"/>
    </xf>
    <xf numFmtId="17" fontId="217" fillId="4" borderId="657" xfId="0" applyNumberFormat="1" applyFont="1" applyFill="1" applyBorder="1" applyAlignment="1">
      <alignment horizontal="center"/>
    </xf>
    <xf numFmtId="0" fontId="46" fillId="40" borderId="654" xfId="0" applyFont="1" applyFill="1" applyBorder="1" applyAlignment="1">
      <alignment horizontal="center"/>
    </xf>
    <xf numFmtId="0" fontId="174" fillId="0" borderId="0" xfId="0" applyFont="1" applyFill="1" applyAlignment="1">
      <alignment horizontal="center"/>
    </xf>
    <xf numFmtId="0" fontId="174" fillId="4" borderId="0" xfId="0" applyFont="1" applyFill="1" applyAlignment="1">
      <alignment horizontal="center"/>
    </xf>
    <xf numFmtId="1" fontId="61" fillId="0" borderId="59" xfId="0" applyNumberFormat="1" applyFont="1" applyBorder="1" applyAlignment="1" applyProtection="1">
      <alignment horizontal="center" vertical="center" wrapText="1"/>
      <protection locked="0" hidden="1"/>
    </xf>
    <xf numFmtId="1" fontId="61" fillId="0" borderId="61" xfId="0" applyNumberFormat="1" applyFont="1" applyBorder="1" applyAlignment="1" applyProtection="1">
      <alignment horizontal="center" vertical="center" wrapText="1"/>
      <protection locked="0" hidden="1"/>
    </xf>
    <xf numFmtId="1" fontId="60" fillId="0" borderId="59" xfId="0" applyNumberFormat="1" applyFont="1" applyBorder="1" applyAlignment="1" applyProtection="1">
      <alignment horizontal="center" vertical="center" wrapText="1"/>
      <protection locked="0" hidden="1"/>
    </xf>
    <xf numFmtId="1" fontId="60" fillId="0" borderId="61" xfId="0" applyNumberFormat="1" applyFont="1" applyBorder="1" applyAlignment="1" applyProtection="1">
      <alignment horizontal="center" vertical="center" wrapText="1"/>
      <protection locked="0" hidden="1"/>
    </xf>
    <xf numFmtId="0" fontId="82" fillId="0" borderId="86" xfId="0" applyFont="1" applyBorder="1" applyAlignment="1" applyProtection="1">
      <alignment horizontal="center" vertical="center"/>
    </xf>
    <xf numFmtId="0" fontId="82" fillId="0" borderId="87" xfId="0" applyFont="1" applyBorder="1" applyAlignment="1" applyProtection="1">
      <alignment horizontal="center" vertical="center"/>
    </xf>
    <xf numFmtId="37" fontId="16" fillId="0" borderId="498" xfId="3" applyFont="1" applyBorder="1" applyAlignment="1" applyProtection="1">
      <alignment horizontal="center" vertical="center"/>
      <protection locked="0"/>
    </xf>
    <xf numFmtId="37" fontId="16" fillId="0" borderId="501" xfId="3" applyFont="1" applyBorder="1" applyAlignment="1" applyProtection="1">
      <alignment horizontal="center" vertical="center"/>
      <protection locked="0"/>
    </xf>
    <xf numFmtId="1" fontId="149" fillId="0" borderId="17" xfId="6" applyNumberFormat="1" applyFont="1" applyFill="1" applyBorder="1" applyAlignment="1" applyProtection="1">
      <alignment horizontal="center" vertical="center" wrapText="1"/>
      <protection locked="0"/>
    </xf>
    <xf numFmtId="0" fontId="149" fillId="0" borderId="19" xfId="6" applyFont="1" applyFill="1" applyBorder="1" applyAlignment="1" applyProtection="1">
      <alignment horizontal="center" vertical="center" wrapText="1"/>
      <protection locked="0"/>
    </xf>
    <xf numFmtId="0" fontId="149" fillId="0" borderId="18" xfId="6" applyFont="1" applyFill="1" applyBorder="1" applyAlignment="1" applyProtection="1">
      <alignment horizontal="center" vertical="center" wrapText="1"/>
      <protection locked="0"/>
    </xf>
    <xf numFmtId="1" fontId="165" fillId="4" borderId="17" xfId="0" applyNumberFormat="1" applyFont="1" applyFill="1" applyBorder="1" applyAlignment="1" applyProtection="1">
      <alignment horizontal="center" vertical="center" wrapText="1"/>
      <protection locked="0"/>
    </xf>
    <xf numFmtId="0" fontId="165" fillId="4" borderId="19" xfId="0" applyFont="1" applyFill="1" applyBorder="1" applyAlignment="1" applyProtection="1">
      <alignment horizontal="center" vertical="center" wrapText="1"/>
      <protection locked="0"/>
    </xf>
    <xf numFmtId="0" fontId="165" fillId="4" borderId="18" xfId="0" applyFont="1" applyFill="1" applyBorder="1" applyAlignment="1" applyProtection="1">
      <alignment horizontal="center" vertical="center" wrapText="1"/>
      <protection locked="0"/>
    </xf>
    <xf numFmtId="0" fontId="165" fillId="4" borderId="10" xfId="0" applyFont="1" applyFill="1" applyBorder="1" applyAlignment="1" applyProtection="1">
      <alignment horizontal="center" vertical="center" wrapText="1"/>
      <protection locked="0"/>
    </xf>
    <xf numFmtId="0" fontId="165" fillId="4" borderId="16" xfId="0" applyFont="1" applyFill="1" applyBorder="1" applyAlignment="1" applyProtection="1">
      <alignment horizontal="center" vertical="center" wrapText="1"/>
      <protection locked="0"/>
    </xf>
    <xf numFmtId="0" fontId="165" fillId="4" borderId="11" xfId="0" applyFont="1" applyFill="1" applyBorder="1" applyAlignment="1" applyProtection="1">
      <alignment horizontal="center" vertical="center" wrapText="1"/>
      <protection locked="0"/>
    </xf>
    <xf numFmtId="0" fontId="165" fillId="4" borderId="14" xfId="0" applyFont="1" applyFill="1" applyBorder="1" applyAlignment="1" applyProtection="1">
      <alignment horizontal="center" vertical="center" wrapText="1"/>
      <protection locked="0"/>
    </xf>
    <xf numFmtId="0" fontId="165" fillId="4" borderId="29" xfId="0" applyFont="1" applyFill="1" applyBorder="1" applyAlignment="1" applyProtection="1">
      <alignment horizontal="center" vertical="center" wrapText="1"/>
      <protection locked="0"/>
    </xf>
    <xf numFmtId="0" fontId="165" fillId="4" borderId="15" xfId="0" applyFont="1" applyFill="1" applyBorder="1" applyAlignment="1" applyProtection="1">
      <alignment horizontal="center" vertical="center" wrapText="1"/>
      <protection locked="0"/>
    </xf>
    <xf numFmtId="37" fontId="87" fillId="13" borderId="126" xfId="15" applyNumberFormat="1" applyFont="1" applyFill="1" applyBorder="1" applyAlignment="1" applyProtection="1">
      <alignment horizontal="center" vertical="center"/>
      <protection locked="0"/>
    </xf>
    <xf numFmtId="37" fontId="87" fillId="13" borderId="98" xfId="15" applyNumberFormat="1" applyFont="1" applyFill="1" applyBorder="1" applyAlignment="1" applyProtection="1">
      <alignment horizontal="center" vertical="center"/>
      <protection locked="0"/>
    </xf>
    <xf numFmtId="37" fontId="87" fillId="13" borderId="24" xfId="15" applyNumberFormat="1" applyFont="1" applyFill="1" applyBorder="1" applyAlignment="1" applyProtection="1">
      <alignment horizontal="center" vertical="center"/>
      <protection locked="0"/>
    </xf>
    <xf numFmtId="37" fontId="87" fillId="13" borderId="137" xfId="15" applyNumberFormat="1" applyFont="1" applyFill="1" applyBorder="1" applyAlignment="1" applyProtection="1">
      <alignment horizontal="center" vertical="center"/>
      <protection locked="0"/>
    </xf>
    <xf numFmtId="37" fontId="87" fillId="13" borderId="112" xfId="15" applyNumberFormat="1" applyFont="1" applyFill="1" applyBorder="1" applyAlignment="1" applyProtection="1">
      <alignment horizontal="center" vertical="center"/>
      <protection locked="0"/>
    </xf>
    <xf numFmtId="37" fontId="87" fillId="13" borderId="31" xfId="15" applyNumberFormat="1" applyFont="1" applyFill="1" applyBorder="1" applyAlignment="1" applyProtection="1">
      <alignment horizontal="center" vertical="center"/>
      <protection locked="0"/>
    </xf>
    <xf numFmtId="0" fontId="148" fillId="4" borderId="17" xfId="6"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18" xfId="6" applyFont="1" applyFill="1" applyBorder="1" applyAlignment="1" applyProtection="1">
      <alignment horizontal="center"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62" fillId="13" borderId="27" xfId="0" applyFont="1" applyFill="1" applyBorder="1" applyAlignment="1" applyProtection="1">
      <alignment horizontal="center" vertical="center"/>
      <protection locked="0"/>
    </xf>
    <xf numFmtId="0" fontId="62" fillId="13" borderId="35" xfId="0" applyFont="1" applyFill="1" applyBorder="1" applyAlignment="1" applyProtection="1">
      <alignment horizontal="center" vertical="center"/>
      <protection locked="0"/>
    </xf>
    <xf numFmtId="0" fontId="62" fillId="13" borderId="28" xfId="0" applyFont="1" applyFill="1" applyBorder="1" applyAlignment="1" applyProtection="1">
      <alignment horizontal="center" vertical="center"/>
      <protection locked="0"/>
    </xf>
    <xf numFmtId="37" fontId="87" fillId="13" borderId="22" xfId="15" applyNumberFormat="1" applyFont="1" applyFill="1" applyBorder="1" applyAlignment="1" applyProtection="1">
      <alignment horizontal="center" vertical="center"/>
      <protection locked="0"/>
    </xf>
    <xf numFmtId="37" fontId="87" fillId="13" borderId="134" xfId="15" applyNumberFormat="1" applyFont="1" applyFill="1" applyBorder="1" applyAlignment="1" applyProtection="1">
      <alignment horizontal="center" vertical="center"/>
      <protection locked="0"/>
    </xf>
    <xf numFmtId="0" fontId="162" fillId="0" borderId="0" xfId="0" applyFont="1" applyBorder="1" applyAlignment="1" applyProtection="1">
      <alignment horizontal="center"/>
      <protection locked="0"/>
    </xf>
    <xf numFmtId="0" fontId="162" fillId="0" borderId="144" xfId="0" applyFont="1" applyBorder="1" applyAlignment="1" applyProtection="1">
      <alignment horizontal="center"/>
      <protection locked="0"/>
    </xf>
    <xf numFmtId="0" fontId="0" fillId="0" borderId="532" xfId="0" applyBorder="1" applyAlignment="1" applyProtection="1">
      <alignment horizontal="center"/>
    </xf>
    <xf numFmtId="0" fontId="0" fillId="0" borderId="349" xfId="0" applyBorder="1" applyAlignment="1" applyProtection="1">
      <alignment horizontal="center"/>
    </xf>
    <xf numFmtId="0" fontId="0" fillId="0" borderId="531" xfId="0" applyBorder="1" applyAlignment="1" applyProtection="1">
      <alignment horizontal="center"/>
    </xf>
    <xf numFmtId="0" fontId="164" fillId="13" borderId="17" xfId="0" applyFont="1" applyFill="1" applyBorder="1" applyAlignment="1" applyProtection="1">
      <alignment horizontal="center" vertical="center" wrapText="1"/>
      <protection locked="0"/>
    </xf>
    <xf numFmtId="0" fontId="164" fillId="13" borderId="18" xfId="0" applyFont="1" applyFill="1" applyBorder="1" applyAlignment="1" applyProtection="1">
      <alignment horizontal="center" vertical="center" wrapText="1"/>
      <protection locked="0"/>
    </xf>
    <xf numFmtId="0" fontId="164" fillId="13" borderId="19" xfId="0" applyFont="1" applyFill="1" applyBorder="1" applyAlignment="1" applyProtection="1">
      <alignment horizontal="center" vertical="center" wrapText="1"/>
      <protection locked="0"/>
    </xf>
    <xf numFmtId="37" fontId="87" fillId="13" borderId="144" xfId="15" applyNumberFormat="1" applyFont="1" applyFill="1" applyBorder="1" applyAlignment="1" applyProtection="1">
      <alignment horizontal="center" vertical="center"/>
      <protection locked="0"/>
    </xf>
    <xf numFmtId="2" fontId="66" fillId="0" borderId="532" xfId="0" applyNumberFormat="1" applyFont="1" applyBorder="1" applyAlignment="1" applyProtection="1">
      <alignment horizontal="center"/>
      <protection locked="0"/>
    </xf>
    <xf numFmtId="0" fontId="66" fillId="0" borderId="349" xfId="0" applyFont="1" applyBorder="1" applyAlignment="1" applyProtection="1">
      <alignment horizontal="center"/>
      <protection locked="0"/>
    </xf>
    <xf numFmtId="0" fontId="66" fillId="0" borderId="531" xfId="0" applyFont="1" applyBorder="1" applyAlignment="1" applyProtection="1">
      <alignment horizontal="center"/>
      <protection locked="0"/>
    </xf>
    <xf numFmtId="39" fontId="157" fillId="13" borderId="532" xfId="15" applyNumberFormat="1" applyFont="1" applyFill="1" applyBorder="1" applyAlignment="1" applyProtection="1">
      <alignment horizontal="center" vertical="center"/>
      <protection locked="0"/>
    </xf>
    <xf numFmtId="39" fontId="157" fillId="13" borderId="349" xfId="15" applyNumberFormat="1" applyFont="1" applyFill="1" applyBorder="1" applyAlignment="1" applyProtection="1">
      <alignment horizontal="center" vertical="center"/>
      <protection locked="0"/>
    </xf>
    <xf numFmtId="39" fontId="157" fillId="13" borderId="531" xfId="15" applyNumberFormat="1" applyFont="1" applyFill="1" applyBorder="1" applyAlignment="1" applyProtection="1">
      <alignment horizontal="center" vertical="center"/>
      <protection locked="0"/>
    </xf>
    <xf numFmtId="169" fontId="162" fillId="0" borderId="138" xfId="0" applyNumberFormat="1" applyFont="1" applyBorder="1" applyAlignment="1" applyProtection="1">
      <alignment horizontal="center" vertical="center"/>
    </xf>
    <xf numFmtId="169" fontId="162" fillId="0" borderId="143" xfId="0" applyNumberFormat="1" applyFont="1" applyBorder="1" applyAlignment="1" applyProtection="1">
      <alignment horizontal="center" vertical="center"/>
    </xf>
    <xf numFmtId="169" fontId="162" fillId="0" borderId="80" xfId="0" applyNumberFormat="1" applyFont="1" applyBorder="1" applyAlignment="1" applyProtection="1">
      <alignment horizontal="center" vertical="center"/>
    </xf>
    <xf numFmtId="169" fontId="162" fillId="0" borderId="81" xfId="0" applyNumberFormat="1" applyFont="1" applyBorder="1" applyAlignment="1" applyProtection="1">
      <alignment horizontal="center" vertical="center"/>
    </xf>
    <xf numFmtId="169" fontId="162" fillId="0" borderId="139" xfId="0" applyNumberFormat="1" applyFont="1" applyBorder="1" applyAlignment="1" applyProtection="1">
      <alignment horizontal="center" vertical="center"/>
    </xf>
    <xf numFmtId="169" fontId="162" fillId="0" borderId="144" xfId="0" applyNumberFormat="1" applyFont="1" applyBorder="1" applyAlignment="1" applyProtection="1">
      <alignment horizontal="center" vertical="center"/>
    </xf>
    <xf numFmtId="0" fontId="168" fillId="4" borderId="141" xfId="0" applyFont="1" applyFill="1" applyBorder="1" applyAlignment="1">
      <alignment horizontal="center"/>
    </xf>
    <xf numFmtId="0" fontId="168" fillId="4" borderId="0" xfId="0" applyFont="1" applyFill="1" applyBorder="1" applyAlignment="1">
      <alignment horizontal="center"/>
    </xf>
    <xf numFmtId="0" fontId="73" fillId="13" borderId="47" xfId="6" applyFont="1" applyFill="1" applyBorder="1" applyAlignment="1" applyProtection="1">
      <alignment horizontal="center" vertical="center"/>
      <protection locked="0"/>
    </xf>
    <xf numFmtId="15" fontId="169" fillId="13" borderId="17" xfId="6" applyNumberFormat="1" applyFont="1" applyFill="1" applyBorder="1" applyAlignment="1" applyProtection="1">
      <alignment horizontal="center" vertical="center"/>
      <protection locked="0"/>
    </xf>
    <xf numFmtId="15" fontId="169" fillId="13" borderId="18" xfId="6" applyNumberFormat="1" applyFont="1" applyFill="1" applyBorder="1" applyAlignment="1" applyProtection="1">
      <alignment horizontal="center" vertical="center"/>
      <protection locked="0"/>
    </xf>
    <xf numFmtId="167" fontId="162" fillId="0" borderId="138" xfId="5" applyNumberFormat="1" applyFont="1" applyBorder="1" applyAlignment="1" applyProtection="1">
      <alignment horizontal="center" vertical="center"/>
    </xf>
    <xf numFmtId="167" fontId="162" fillId="0" borderId="143" xfId="5" applyNumberFormat="1" applyFont="1" applyBorder="1" applyAlignment="1" applyProtection="1">
      <alignment horizontal="center" vertical="center"/>
    </xf>
    <xf numFmtId="167" fontId="162" fillId="0" borderId="80" xfId="5" applyNumberFormat="1" applyFont="1" applyBorder="1" applyAlignment="1" applyProtection="1">
      <alignment horizontal="center" vertical="center"/>
    </xf>
    <xf numFmtId="167" fontId="162" fillId="0" borderId="81" xfId="5" applyNumberFormat="1" applyFont="1" applyBorder="1" applyAlignment="1" applyProtection="1">
      <alignment horizontal="center" vertical="center"/>
    </xf>
    <xf numFmtId="167" fontId="162" fillId="0" borderId="139" xfId="5" applyNumberFormat="1" applyFont="1" applyBorder="1" applyAlignment="1" applyProtection="1">
      <alignment horizontal="center" vertical="center"/>
    </xf>
    <xf numFmtId="167" fontId="162" fillId="0" borderId="144" xfId="5" applyNumberFormat="1" applyFont="1" applyBorder="1" applyAlignment="1" applyProtection="1">
      <alignment horizontal="center" vertical="center"/>
    </xf>
    <xf numFmtId="10" fontId="157" fillId="13" borderId="532" xfId="5" applyNumberFormat="1" applyFont="1" applyFill="1" applyBorder="1" applyAlignment="1" applyProtection="1">
      <alignment horizontal="center" vertical="center"/>
      <protection locked="0"/>
    </xf>
    <xf numFmtId="10" fontId="157" fillId="13" borderId="349" xfId="5" applyNumberFormat="1" applyFont="1" applyFill="1" applyBorder="1" applyAlignment="1" applyProtection="1">
      <alignment horizontal="center" vertical="center"/>
      <protection locked="0"/>
    </xf>
    <xf numFmtId="10" fontId="157" fillId="13" borderId="531" xfId="5" applyNumberFormat="1" applyFont="1" applyFill="1" applyBorder="1" applyAlignment="1" applyProtection="1">
      <alignment horizontal="center" vertical="center"/>
      <protection locked="0"/>
    </xf>
    <xf numFmtId="39" fontId="162" fillId="0" borderId="138" xfId="0" applyNumberFormat="1" applyFont="1" applyBorder="1" applyAlignment="1" applyProtection="1">
      <alignment horizontal="center" vertical="center"/>
    </xf>
    <xf numFmtId="0" fontId="162" fillId="0" borderId="143" xfId="0" applyFont="1" applyBorder="1" applyAlignment="1" applyProtection="1">
      <alignment horizontal="center" vertical="center"/>
    </xf>
    <xf numFmtId="39" fontId="162" fillId="0" borderId="80" xfId="0" applyNumberFormat="1" applyFont="1" applyBorder="1" applyAlignment="1" applyProtection="1">
      <alignment horizontal="center" vertical="center"/>
    </xf>
    <xf numFmtId="0" fontId="162" fillId="0" borderId="81" xfId="0" applyFont="1" applyBorder="1" applyAlignment="1" applyProtection="1">
      <alignment horizontal="center" vertical="center"/>
    </xf>
    <xf numFmtId="39" fontId="162" fillId="0" borderId="139" xfId="0" applyNumberFormat="1" applyFont="1" applyBorder="1" applyAlignment="1" applyProtection="1">
      <alignment horizontal="center" vertical="center"/>
    </xf>
    <xf numFmtId="0" fontId="162" fillId="0" borderId="144" xfId="0" applyFont="1" applyBorder="1" applyAlignment="1" applyProtection="1">
      <alignment horizontal="center" vertical="center"/>
    </xf>
    <xf numFmtId="167" fontId="162" fillId="0" borderId="140" xfId="5" applyNumberFormat="1" applyFont="1" applyBorder="1" applyAlignment="1" applyProtection="1">
      <alignment horizontal="center" vertical="center"/>
    </xf>
    <xf numFmtId="167" fontId="162" fillId="0" borderId="145" xfId="5" applyNumberFormat="1" applyFont="1" applyBorder="1" applyAlignment="1" applyProtection="1">
      <alignment horizontal="center" vertical="center"/>
    </xf>
    <xf numFmtId="37" fontId="82" fillId="13" borderId="17" xfId="15" applyNumberFormat="1" applyFont="1" applyFill="1" applyBorder="1" applyAlignment="1" applyProtection="1">
      <alignment horizontal="center" vertical="center"/>
      <protection locked="0"/>
    </xf>
    <xf numFmtId="37" fontId="82" fillId="13" borderId="18" xfId="15" applyNumberFormat="1" applyFont="1" applyFill="1" applyBorder="1" applyAlignment="1" applyProtection="1">
      <alignment horizontal="center" vertical="center"/>
      <protection locked="0"/>
    </xf>
    <xf numFmtId="37" fontId="86" fillId="13" borderId="17" xfId="15" applyNumberFormat="1" applyFont="1" applyFill="1" applyBorder="1" applyAlignment="1" applyProtection="1">
      <alignment horizontal="center" vertical="center"/>
      <protection locked="0"/>
    </xf>
    <xf numFmtId="37" fontId="86" fillId="13" borderId="19" xfId="15" applyNumberFormat="1" applyFont="1" applyFill="1" applyBorder="1" applyAlignment="1" applyProtection="1">
      <alignment horizontal="center" vertical="center"/>
      <protection locked="0"/>
    </xf>
    <xf numFmtId="37" fontId="86" fillId="13" borderId="18" xfId="15" applyNumberFormat="1" applyFont="1" applyFill="1" applyBorder="1" applyAlignment="1" applyProtection="1">
      <alignment horizontal="center" vertical="center"/>
      <protection locked="0"/>
    </xf>
    <xf numFmtId="0" fontId="82" fillId="13" borderId="14" xfId="6" applyFont="1" applyFill="1" applyBorder="1" applyAlignment="1" applyProtection="1">
      <alignment horizontal="center" vertical="center"/>
      <protection locked="0"/>
    </xf>
    <xf numFmtId="0" fontId="82" fillId="13" borderId="29" xfId="6" applyFont="1" applyFill="1" applyBorder="1" applyAlignment="1" applyProtection="1">
      <alignment horizontal="center" vertical="center"/>
      <protection locked="0"/>
    </xf>
    <xf numFmtId="0" fontId="93" fillId="13" borderId="12" xfId="6" applyFont="1" applyFill="1" applyBorder="1" applyAlignment="1" applyProtection="1">
      <alignment horizontal="center" vertical="center"/>
      <protection locked="0"/>
    </xf>
    <xf numFmtId="0" fontId="93" fillId="13" borderId="0" xfId="6" applyFont="1" applyFill="1" applyBorder="1" applyAlignment="1" applyProtection="1">
      <alignment horizontal="center" vertical="center"/>
      <protection locked="0"/>
    </xf>
    <xf numFmtId="37" fontId="162" fillId="0" borderId="138" xfId="0" applyNumberFormat="1" applyFont="1" applyBorder="1" applyAlignment="1" applyProtection="1">
      <alignment horizontal="center" vertical="center"/>
    </xf>
    <xf numFmtId="39" fontId="162" fillId="0" borderId="143" xfId="0" applyNumberFormat="1" applyFont="1" applyBorder="1" applyAlignment="1" applyProtection="1">
      <alignment horizontal="center" vertical="center"/>
    </xf>
    <xf numFmtId="39" fontId="162" fillId="0" borderId="81" xfId="0" applyNumberFormat="1" applyFont="1" applyBorder="1" applyAlignment="1" applyProtection="1">
      <alignment horizontal="center" vertical="center"/>
    </xf>
    <xf numFmtId="0" fontId="158" fillId="0" borderId="143" xfId="0" applyFont="1" applyBorder="1" applyAlignment="1" applyProtection="1">
      <alignment horizontal="center"/>
      <protection locked="0"/>
    </xf>
    <xf numFmtId="0" fontId="158" fillId="0" borderId="144" xfId="0" applyFont="1" applyBorder="1" applyAlignment="1" applyProtection="1">
      <alignment horizontal="center"/>
      <protection locked="0"/>
    </xf>
    <xf numFmtId="2" fontId="162" fillId="0" borderId="532" xfId="0" applyNumberFormat="1" applyFont="1" applyBorder="1" applyAlignment="1" applyProtection="1">
      <alignment horizontal="center"/>
      <protection locked="0"/>
    </xf>
    <xf numFmtId="0" fontId="162" fillId="0" borderId="349" xfId="0" applyFont="1" applyBorder="1" applyAlignment="1" applyProtection="1">
      <alignment horizontal="center"/>
      <protection locked="0"/>
    </xf>
    <xf numFmtId="0" fontId="162" fillId="0" borderId="531" xfId="0" applyFont="1" applyBorder="1" applyAlignment="1" applyProtection="1">
      <alignment horizontal="center"/>
      <protection locked="0"/>
    </xf>
    <xf numFmtId="2" fontId="162" fillId="0" borderId="138" xfId="0" applyNumberFormat="1" applyFont="1" applyBorder="1" applyAlignment="1" applyProtection="1">
      <alignment horizontal="center" vertical="center"/>
    </xf>
    <xf numFmtId="0" fontId="162" fillId="0" borderId="139" xfId="0" applyFont="1" applyBorder="1" applyAlignment="1" applyProtection="1">
      <alignment horizontal="center" vertical="center"/>
    </xf>
    <xf numFmtId="202" fontId="23" fillId="4" borderId="532" xfId="7" applyNumberFormat="1" applyFont="1" applyFill="1" applyBorder="1" applyAlignment="1" applyProtection="1">
      <alignment horizontal="center" vertical="center" wrapText="1"/>
    </xf>
    <xf numFmtId="202" fontId="23" fillId="4" borderId="349" xfId="7" applyNumberFormat="1" applyFont="1" applyFill="1" applyBorder="1" applyAlignment="1" applyProtection="1">
      <alignment horizontal="center" vertical="center" wrapText="1"/>
    </xf>
    <xf numFmtId="202" fontId="23" fillId="4" borderId="531" xfId="7" applyNumberFormat="1" applyFont="1" applyFill="1" applyBorder="1" applyAlignment="1" applyProtection="1">
      <alignment horizontal="center" vertical="center" wrapText="1"/>
    </xf>
    <xf numFmtId="9" fontId="23" fillId="4" borderId="532" xfId="0" applyNumberFormat="1" applyFont="1" applyFill="1" applyBorder="1" applyAlignment="1" applyProtection="1">
      <alignment horizontal="center" vertical="center"/>
      <protection locked="0"/>
    </xf>
    <xf numFmtId="9" fontId="23" fillId="4" borderId="531" xfId="0" applyNumberFormat="1" applyFont="1" applyFill="1" applyBorder="1" applyAlignment="1" applyProtection="1">
      <alignment horizontal="center" vertical="center"/>
      <protection locked="0"/>
    </xf>
    <xf numFmtId="37" fontId="148" fillId="27" borderId="29" xfId="15" applyNumberFormat="1" applyFont="1" applyFill="1" applyBorder="1" applyAlignment="1" applyProtection="1">
      <alignment horizontal="center" vertical="center"/>
      <protection locked="0"/>
    </xf>
    <xf numFmtId="37" fontId="154" fillId="28" borderId="138" xfId="15" applyNumberFormat="1" applyFont="1" applyFill="1" applyBorder="1" applyAlignment="1" applyProtection="1">
      <alignment horizontal="center" vertical="center"/>
      <protection locked="0"/>
    </xf>
    <xf numFmtId="37" fontId="154" fillId="28" borderId="139" xfId="15" applyNumberFormat="1" applyFont="1" applyFill="1" applyBorder="1" applyAlignment="1" applyProtection="1">
      <alignment horizontal="center" vertical="center"/>
      <protection locked="0"/>
    </xf>
    <xf numFmtId="37" fontId="154" fillId="28" borderId="140" xfId="15" applyNumberFormat="1" applyFont="1" applyFill="1" applyBorder="1" applyAlignment="1" applyProtection="1">
      <alignment horizontal="center" vertical="center"/>
      <protection locked="0"/>
    </xf>
    <xf numFmtId="37" fontId="154" fillId="28" borderId="141" xfId="15" applyNumberFormat="1" applyFont="1" applyFill="1" applyBorder="1" applyAlignment="1" applyProtection="1">
      <alignment horizontal="center" vertical="center"/>
      <protection locked="0"/>
    </xf>
    <xf numFmtId="37" fontId="154" fillId="28" borderId="0" xfId="15" applyNumberFormat="1" applyFont="1" applyFill="1" applyBorder="1" applyAlignment="1" applyProtection="1">
      <alignment horizontal="center" vertical="center"/>
      <protection locked="0"/>
    </xf>
    <xf numFmtId="37" fontId="154" fillId="28" borderId="142" xfId="15" applyNumberFormat="1" applyFont="1" applyFill="1" applyBorder="1" applyAlignment="1" applyProtection="1">
      <alignment horizontal="center" vertical="center"/>
      <protection locked="0"/>
    </xf>
    <xf numFmtId="0" fontId="161" fillId="0" borderId="138" xfId="0" applyFont="1" applyBorder="1" applyAlignment="1" applyProtection="1">
      <alignment horizontal="center"/>
    </xf>
    <xf numFmtId="0" fontId="161" fillId="0" borderId="139" xfId="0" applyFont="1" applyBorder="1" applyAlignment="1" applyProtection="1">
      <alignment horizontal="center"/>
    </xf>
    <xf numFmtId="0" fontId="161" fillId="0" borderId="140" xfId="0" applyFont="1" applyBorder="1" applyAlignment="1" applyProtection="1">
      <alignment horizontal="center"/>
    </xf>
    <xf numFmtId="0" fontId="161" fillId="0" borderId="141" xfId="0" applyFont="1" applyBorder="1" applyAlignment="1" applyProtection="1">
      <alignment horizontal="center"/>
    </xf>
    <xf numFmtId="0" fontId="161" fillId="0" borderId="0" xfId="0" applyFont="1" applyBorder="1" applyAlignment="1" applyProtection="1">
      <alignment horizontal="center"/>
    </xf>
    <xf numFmtId="0" fontId="161" fillId="0" borderId="142" xfId="0" applyFont="1" applyBorder="1" applyAlignment="1" applyProtection="1">
      <alignment horizontal="center"/>
    </xf>
    <xf numFmtId="0" fontId="161" fillId="0" borderId="143" xfId="0" applyFont="1" applyBorder="1" applyAlignment="1" applyProtection="1">
      <alignment horizontal="center"/>
    </xf>
    <xf numFmtId="0" fontId="161" fillId="0" borderId="144" xfId="0" applyFont="1" applyBorder="1" applyAlignment="1" applyProtection="1">
      <alignment horizontal="center"/>
    </xf>
    <xf numFmtId="0" fontId="161" fillId="0" borderId="145" xfId="0" applyFont="1" applyBorder="1" applyAlignment="1" applyProtection="1">
      <alignment horizontal="center"/>
    </xf>
    <xf numFmtId="0" fontId="165" fillId="4" borderId="47" xfId="6" applyFont="1" applyFill="1" applyBorder="1" applyAlignment="1" applyProtection="1">
      <alignment horizontal="center" vertical="center" wrapText="1"/>
      <protection locked="0"/>
    </xf>
    <xf numFmtId="0" fontId="165" fillId="4" borderId="47" xfId="6" applyFont="1" applyFill="1" applyBorder="1" applyAlignment="1" applyProtection="1">
      <alignment horizontal="center" vertical="center"/>
      <protection locked="0"/>
    </xf>
    <xf numFmtId="0" fontId="160" fillId="4" borderId="532" xfId="0" applyFont="1" applyFill="1" applyBorder="1" applyAlignment="1" applyProtection="1">
      <alignment horizontal="center" vertical="center"/>
      <protection locked="0"/>
    </xf>
    <xf numFmtId="0" fontId="160" fillId="4" borderId="349" xfId="0" applyFont="1" applyFill="1" applyBorder="1" applyAlignment="1" applyProtection="1">
      <alignment horizontal="center" vertical="center"/>
      <protection locked="0"/>
    </xf>
    <xf numFmtId="0" fontId="160" fillId="4" borderId="531" xfId="0" applyFont="1" applyFill="1" applyBorder="1" applyAlignment="1" applyProtection="1">
      <alignment horizontal="center" vertical="center"/>
      <protection locked="0"/>
    </xf>
    <xf numFmtId="0" fontId="165" fillId="4" borderId="10" xfId="6" applyFont="1" applyFill="1" applyBorder="1" applyAlignment="1" applyProtection="1">
      <alignment horizontal="center" vertical="center"/>
      <protection locked="0"/>
    </xf>
    <xf numFmtId="0" fontId="165" fillId="4" borderId="16" xfId="6" applyFont="1" applyFill="1" applyBorder="1" applyAlignment="1" applyProtection="1">
      <alignment horizontal="center" vertical="center"/>
      <protection locked="0"/>
    </xf>
    <xf numFmtId="2" fontId="162" fillId="0" borderId="141" xfId="0" applyNumberFormat="1" applyFont="1" applyBorder="1" applyAlignment="1" applyProtection="1">
      <alignment horizontal="center"/>
    </xf>
    <xf numFmtId="0" fontId="162" fillId="0" borderId="0" xfId="0" applyFont="1" applyBorder="1" applyAlignment="1" applyProtection="1">
      <alignment horizontal="center"/>
    </xf>
    <xf numFmtId="0" fontId="166" fillId="4" borderId="47" xfId="6" applyFont="1" applyFill="1" applyBorder="1" applyAlignment="1" applyProtection="1">
      <alignment horizontal="left" vertical="center" wrapText="1"/>
      <protection locked="0"/>
    </xf>
    <xf numFmtId="14" fontId="30" fillId="0" borderId="0" xfId="15" applyNumberFormat="1" applyFont="1" applyAlignment="1" applyProtection="1">
      <alignment horizontal="left" vertical="center" wrapText="1"/>
      <protection locked="0"/>
    </xf>
    <xf numFmtId="0" fontId="40" fillId="4" borderId="68" xfId="0" applyFont="1" applyFill="1" applyBorder="1" applyAlignment="1" applyProtection="1">
      <alignment horizontal="center"/>
      <protection locked="0" hidden="1"/>
    </xf>
    <xf numFmtId="0" fontId="40" fillId="4" borderId="66" xfId="0" applyFont="1" applyFill="1" applyBorder="1" applyAlignment="1" applyProtection="1">
      <alignment horizontal="center"/>
      <protection hidden="1"/>
    </xf>
    <xf numFmtId="0" fontId="40" fillId="4" borderId="70" xfId="0" applyFont="1" applyFill="1" applyBorder="1" applyAlignment="1" applyProtection="1">
      <alignment horizontal="center"/>
      <protection locked="0" hidden="1"/>
    </xf>
    <xf numFmtId="0" fontId="40" fillId="4" borderId="70" xfId="0" applyFont="1" applyFill="1" applyBorder="1" applyAlignment="1" applyProtection="1">
      <alignment horizontal="center"/>
      <protection hidden="1"/>
    </xf>
    <xf numFmtId="0" fontId="42" fillId="4" borderId="72" xfId="0" applyFont="1" applyFill="1" applyBorder="1" applyAlignment="1" applyProtection="1">
      <alignment horizontal="center" vertical="center"/>
      <protection locked="0" hidden="1"/>
    </xf>
    <xf numFmtId="37" fontId="224" fillId="0" borderId="47" xfId="3" applyFont="1" applyFill="1" applyBorder="1" applyAlignment="1" applyProtection="1">
      <alignment horizontal="center" vertical="center"/>
      <protection hidden="1"/>
    </xf>
    <xf numFmtId="0" fontId="236" fillId="0" borderId="0" xfId="0" applyFont="1" applyProtection="1">
      <protection hidden="1"/>
    </xf>
    <xf numFmtId="37" fontId="76" fillId="0" borderId="0" xfId="3" applyFont="1" applyFill="1" applyBorder="1" applyAlignment="1" applyProtection="1">
      <alignment vertical="center"/>
      <protection hidden="1"/>
    </xf>
  </cellXfs>
  <cellStyles count="25">
    <cellStyle name="Énfasis5" xfId="20" builtinId="45"/>
    <cellStyle name="Hipervínculo" xfId="8" builtinId="8"/>
    <cellStyle name="Millares" xfId="19" builtinId="3"/>
    <cellStyle name="Millares [0]_Plantilla Davivienda" xfId="13"/>
    <cellStyle name="Millares 2" xfId="7"/>
    <cellStyle name="Millares_MC V-0702-0507" xfId="16"/>
    <cellStyle name="Millares_Plantilla Davivienda" xfId="10"/>
    <cellStyle name="Moneda [0]_Plantilla Davivienda" xfId="14"/>
    <cellStyle name="Moneda 3" xfId="11"/>
    <cellStyle name="Moneda_MC V-0702-0507" xfId="18"/>
    <cellStyle name="Moneda_Plantilla Davivienda" xfId="12"/>
    <cellStyle name="NivelFila_1" xfId="1" builtinId="1" iLevel="0"/>
    <cellStyle name="Normal" xfId="0" builtinId="0"/>
    <cellStyle name="Normal 16 2 2" xfId="6"/>
    <cellStyle name="Normal 2" xfId="22"/>
    <cellStyle name="Normal 3" xfId="21"/>
    <cellStyle name="Normal 4" xfId="23"/>
    <cellStyle name="Normal_CANJE" xfId="9"/>
    <cellStyle name="Normal_DISTRA" xfId="3"/>
    <cellStyle name="Normal_ETB" xfId="17"/>
    <cellStyle name="Normal_MC V-0702-0507" xfId="15"/>
    <cellStyle name="Normal_TGS de Colombia Dic 06 plano (4)" xfId="4"/>
    <cellStyle name="Porcentaje 2" xfId="24"/>
    <cellStyle name="Porcentual" xfId="2" builtinId="5"/>
    <cellStyle name="Porcentual 2" xfId="5"/>
  </cellStyles>
  <dxfs count="101">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rgb="FFFFC7CE"/>
        </patternFill>
      </fill>
    </dxf>
    <dxf>
      <fill>
        <patternFill>
          <bgColor theme="1"/>
        </patternFill>
      </fill>
    </dxf>
    <dxf>
      <fill>
        <patternFill>
          <bgColor theme="1"/>
        </patternFill>
      </fill>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none"/>
      </fill>
    </dxf>
    <dxf>
      <font>
        <color rgb="FFFFFFFF"/>
      </font>
      <fill>
        <patternFill patternType="solid">
          <fgColor rgb="FFFF0000"/>
          <bgColor rgb="FFFF0000"/>
        </patternFill>
      </fill>
    </dxf>
    <dxf>
      <font>
        <color rgb="FFFFFFFF"/>
      </font>
      <fill>
        <patternFill patternType="solid">
          <fgColor rgb="FF6AA84F"/>
          <bgColor rgb="FF6AA84F"/>
        </patternFill>
      </fill>
    </dxf>
    <dxf>
      <fill>
        <patternFill patternType="solid">
          <fgColor rgb="FFB7E1CD"/>
          <bgColor rgb="FFB7E1CD"/>
        </patternFill>
      </fill>
    </dxf>
    <dxf>
      <fill>
        <patternFill patternType="solid">
          <fgColor rgb="FFB7E1CD"/>
          <bgColor rgb="FFB7E1CD"/>
        </patternFill>
      </fill>
    </dxf>
    <dxf>
      <font>
        <color rgb="FFFFFFFF"/>
      </font>
      <fill>
        <patternFill patternType="solid">
          <fgColor rgb="FFFF0000"/>
          <bgColor rgb="FFFF0000"/>
        </patternFill>
      </fill>
    </dxf>
    <dxf>
      <font>
        <color rgb="FFFFFFFF"/>
      </font>
      <fill>
        <patternFill patternType="solid">
          <fgColor rgb="FFFFFFFF"/>
          <bgColor rgb="FFFFFFFF"/>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ill>
        <patternFill>
          <bgColor theme="9" tint="0.79998168889431442"/>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s>
</file>

<file path=xl/charts/chart1.xml><?xml version="1.0" encoding="utf-8"?>
<c:chartSpace xmlns:c="http://schemas.openxmlformats.org/drawingml/2006/chart" xmlns:a="http://schemas.openxmlformats.org/drawingml/2006/main" xmlns:r="http://schemas.openxmlformats.org/officeDocument/2006/relationships">
  <c:lang val="es-MX"/>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n-US"/>
              <a:t>Deuda Bancaria</a:t>
            </a:r>
            <a:endParaRPr lang="es-MX"/>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manualLayout>
          <c:layoutTarget val="inner"/>
          <c:xMode val="edge"/>
          <c:yMode val="edge"/>
          <c:x val="0.18816589133189598"/>
          <c:y val="0.27389911497604397"/>
          <c:w val="0.77845906090499462"/>
          <c:h val="0.57472556550333365"/>
        </c:manualLayout>
      </c:layout>
      <c:bar3DChart>
        <c:barDir val="col"/>
        <c:grouping val="stacked"/>
        <c:ser>
          <c:idx val="0"/>
          <c:order val="0"/>
          <c:tx>
            <c:strRef>
              <c:f>'Deuda Finan'!$B$2</c:f>
              <c:strCache>
                <c:ptCount val="1"/>
                <c:pt idx="0">
                  <c:v>Deuda Bancaria</c:v>
                </c:pt>
              </c:strCache>
            </c:strRef>
          </c:tx>
          <c:spPr>
            <a:solidFill>
              <a:srgbClr val="C00000"/>
            </a:solidFill>
            <a:ln>
              <a:solidFill>
                <a:srgbClr val="C00000"/>
              </a:solidFill>
            </a:ln>
            <a:effectLst/>
            <a:scene3d>
              <a:camera prst="orthographicFront"/>
              <a:lightRig rig="threePt" dir="t"/>
            </a:scene3d>
            <a:sp3d prstMaterial="translucentPowder">
              <a:contourClr>
                <a:srgbClr val="C00000"/>
              </a:contourClr>
            </a:sp3d>
          </c:spP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Finan'!$A$5:$A$7</c:f>
              <c:strCache>
                <c:ptCount val="3"/>
                <c:pt idx="0">
                  <c:v>2018</c:v>
                </c:pt>
                <c:pt idx="1">
                  <c:v>2019</c:v>
                </c:pt>
                <c:pt idx="2">
                  <c:v>Dic 19</c:v>
                </c:pt>
              </c:strCache>
            </c:strRef>
          </c:cat>
          <c:val>
            <c:numRef>
              <c:f>'Deuda Finan'!$B$5:$B$7</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2402-47BF-9154-0A11C4DF2BCE}"/>
            </c:ext>
          </c:extLst>
        </c:ser>
        <c:dLbls>
          <c:showVal val="1"/>
        </c:dLbls>
        <c:shape val="box"/>
        <c:axId val="173212032"/>
        <c:axId val="173213568"/>
        <c:axId val="0"/>
      </c:bar3DChart>
      <c:catAx>
        <c:axId val="173212032"/>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13568"/>
        <c:crosses val="autoZero"/>
        <c:auto val="1"/>
        <c:lblAlgn val="ctr"/>
        <c:lblOffset val="100"/>
      </c:catAx>
      <c:valAx>
        <c:axId val="173213568"/>
        <c:scaling>
          <c:orientation val="minMax"/>
        </c:scaling>
        <c:axPos val="l"/>
        <c:majorGridlines>
          <c:spPr>
            <a:ln w="9525" cap="flat" cmpd="sng" algn="ctr">
              <a:solidFill>
                <a:schemeClr val="tx1">
                  <a:lumMod val="5000"/>
                  <a:lumOff val="95000"/>
                </a:schemeClr>
              </a:solidFill>
              <a:round/>
            </a:ln>
            <a:effectLst/>
          </c:spPr>
        </c:majorGridlines>
        <c:numFmt formatCode="_-* #,##0_-;\-* #,##0_-;_-* &quot;-&quot;??_-;_-@_-"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12032"/>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MX"/>
  <c:style val="4"/>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s-HN"/>
              <a:t>Composición de la deuda Financiera</a:t>
            </a:r>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bar3DChart>
        <c:barDir val="col"/>
        <c:grouping val="clustered"/>
        <c:ser>
          <c:idx val="0"/>
          <c:order val="0"/>
          <c:tx>
            <c:strRef>
              <c:f>'Deuda Finan'!$K$2</c:f>
              <c:strCache>
                <c:ptCount val="1"/>
                <c:pt idx="0">
                  <c:v>Corto Plazo</c:v>
                </c:pt>
              </c:strCache>
            </c:strRef>
          </c:tx>
          <c:spPr>
            <a:solidFill>
              <a:srgbClr val="002060"/>
            </a:solidFill>
            <a:ln>
              <a:solidFill>
                <a:schemeClr val="accent2">
                  <a:shade val="76000"/>
                  <a:lumMod val="75000"/>
                </a:schemeClr>
              </a:solidFill>
            </a:ln>
            <a:effectLst/>
            <a:scene3d>
              <a:camera prst="orthographicFront"/>
              <a:lightRig rig="threePt" dir="t"/>
            </a:scene3d>
            <a:sp3d prstMaterial="translucentPowder">
              <a:contourClr>
                <a:schemeClr val="accent2">
                  <a:shade val="76000"/>
                  <a:lumMod val="7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Finan'!$J$3:$J$5</c:f>
              <c:strCache>
                <c:ptCount val="3"/>
                <c:pt idx="0">
                  <c:v>2018</c:v>
                </c:pt>
                <c:pt idx="1">
                  <c:v>2019</c:v>
                </c:pt>
                <c:pt idx="2">
                  <c:v>Dic 19</c:v>
                </c:pt>
              </c:strCache>
            </c:strRef>
          </c:cat>
          <c:val>
            <c:numRef>
              <c:f>'Deuda Finan'!$K$3:$K$5</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FD39-48CB-9745-BE4942666913}"/>
            </c:ext>
          </c:extLst>
        </c:ser>
        <c:ser>
          <c:idx val="1"/>
          <c:order val="1"/>
          <c:tx>
            <c:strRef>
              <c:f>'Deuda Finan'!$L$2</c:f>
              <c:strCache>
                <c:ptCount val="1"/>
                <c:pt idx="0">
                  <c:v>Largo Plazo</c:v>
                </c:pt>
              </c:strCache>
            </c:strRef>
          </c:tx>
          <c:spPr>
            <a:solidFill>
              <a:srgbClr val="C00000"/>
            </a:solidFill>
            <a:ln>
              <a:solidFill>
                <a:schemeClr val="accent2">
                  <a:tint val="77000"/>
                  <a:lumMod val="75000"/>
                </a:schemeClr>
              </a:solidFill>
            </a:ln>
            <a:effectLst/>
            <a:scene3d>
              <a:camera prst="orthographicFront"/>
              <a:lightRig rig="threePt" dir="t"/>
            </a:scene3d>
            <a:sp3d prstMaterial="translucentPowder">
              <a:contourClr>
                <a:schemeClr val="accent2">
                  <a:tint val="77000"/>
                  <a:lumMod val="75000"/>
                </a:schemeClr>
              </a:contourClr>
            </a:sp3d>
          </c:spPr>
          <c:dLbls>
            <c:dLbl>
              <c:idx val="2"/>
              <c:layout>
                <c:manualLayout>
                  <c:x val="2.1164021164021166E-2"/>
                  <c:y val="-1.2519561815336465E-2"/>
                </c:manualLayout>
              </c:layout>
              <c:showVal val="1"/>
              <c:extLst xmlns:c16r2="http://schemas.microsoft.com/office/drawing/2015/06/chart">
                <c:ext xmlns:c16="http://schemas.microsoft.com/office/drawing/2014/chart" uri="{C3380CC4-5D6E-409C-BE32-E72D297353CC}">
                  <c16:uniqueId val="{00000001-FD39-48CB-9745-BE4942666913}"/>
                </c:ext>
                <c:ext xmlns:c15="http://schemas.microsoft.com/office/drawing/2012/chart" uri="{CE6537A1-D6FC-4f65-9D91-7224C49458BB}">
                  <c15:layout/>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Finan'!$J$3:$J$5</c:f>
              <c:strCache>
                <c:ptCount val="3"/>
                <c:pt idx="0">
                  <c:v>2018</c:v>
                </c:pt>
                <c:pt idx="1">
                  <c:v>2019</c:v>
                </c:pt>
                <c:pt idx="2">
                  <c:v>Dic 19</c:v>
                </c:pt>
              </c:strCache>
            </c:strRef>
          </c:cat>
          <c:val>
            <c:numRef>
              <c:f>'Deuda Finan'!$L$3:$L$5</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FD39-48CB-9745-BE4942666913}"/>
            </c:ext>
          </c:extLst>
        </c:ser>
        <c:dLbls>
          <c:showVal val="1"/>
        </c:dLbls>
        <c:shape val="box"/>
        <c:axId val="173269376"/>
        <c:axId val="173270912"/>
        <c:axId val="0"/>
      </c:bar3DChart>
      <c:catAx>
        <c:axId val="173269376"/>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70912"/>
        <c:crosses val="autoZero"/>
        <c:auto val="1"/>
        <c:lblAlgn val="ctr"/>
        <c:lblOffset val="100"/>
      </c:catAx>
      <c:valAx>
        <c:axId val="173270912"/>
        <c:scaling>
          <c:orientation val="minMax"/>
        </c:scaling>
        <c:axPos val="l"/>
        <c:majorGridlines>
          <c:spPr>
            <a:ln w="9525" cap="flat" cmpd="sng" algn="ctr">
              <a:solidFill>
                <a:schemeClr val="tx1">
                  <a:lumMod val="5000"/>
                  <a:lumOff val="95000"/>
                </a:schemeClr>
              </a:solidFill>
              <a:round/>
            </a:ln>
            <a:effectLst/>
          </c:spPr>
        </c:majorGridlines>
        <c:numFmt formatCode="_-* #,##0_-;\-* #,##0_-;_-* &quot;-&quot;??_-;_-@_-"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69376"/>
        <c:crosses val="autoZero"/>
        <c:crossBetween val="between"/>
      </c:valAx>
      <c:spPr>
        <a:noFill/>
        <a:ln>
          <a:noFill/>
        </a:ln>
        <a:effectLst/>
      </c:spPr>
    </c:plotArea>
    <c:legend>
      <c:legendPos val="b"/>
      <c:layout/>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legend>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MX"/>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n-US"/>
              <a:t>Deuda Bancaria</a:t>
            </a:r>
            <a:endParaRPr lang="es-MX"/>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manualLayout>
          <c:layoutTarget val="inner"/>
          <c:xMode val="edge"/>
          <c:yMode val="edge"/>
          <c:x val="0.18816589133189598"/>
          <c:y val="0.27389911497604397"/>
          <c:w val="0.77845906090499462"/>
          <c:h val="0.57472556550333365"/>
        </c:manualLayout>
      </c:layout>
      <c:bar3DChart>
        <c:barDir val="col"/>
        <c:grouping val="stacked"/>
        <c:ser>
          <c:idx val="0"/>
          <c:order val="0"/>
          <c:tx>
            <c:strRef>
              <c:f>'Deuda Finan'!$B$2</c:f>
              <c:strCache>
                <c:ptCount val="1"/>
                <c:pt idx="0">
                  <c:v>Deuda Bancaria</c:v>
                </c:pt>
              </c:strCache>
            </c:strRef>
          </c:tx>
          <c:spPr>
            <a:solidFill>
              <a:srgbClr val="C00000"/>
            </a:solidFill>
            <a:ln>
              <a:solidFill>
                <a:srgbClr val="C00000"/>
              </a:solidFill>
            </a:ln>
            <a:effectLst/>
            <a:scene3d>
              <a:camera prst="orthographicFront"/>
              <a:lightRig rig="threePt" dir="t"/>
            </a:scene3d>
            <a:sp3d prstMaterial="translucentPowder">
              <a:contourClr>
                <a:srgbClr val="C00000"/>
              </a:contourClr>
            </a:sp3d>
          </c:spP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Finan'!$A$14:$A$17</c:f>
              <c:strCache>
                <c:ptCount val="4"/>
                <c:pt idx="0">
                  <c:v>2017</c:v>
                </c:pt>
                <c:pt idx="1">
                  <c:v>2018</c:v>
                </c:pt>
                <c:pt idx="2">
                  <c:v>2019</c:v>
                </c:pt>
                <c:pt idx="3">
                  <c:v>Dic 19</c:v>
                </c:pt>
              </c:strCache>
            </c:strRef>
          </c:cat>
          <c:val>
            <c:numRef>
              <c:f>'Deuda Finan'!$B$15:$B$17</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AC9C-4DF7-8E2B-6B7CB2B7941B}"/>
            </c:ext>
          </c:extLst>
        </c:ser>
        <c:dLbls>
          <c:showVal val="1"/>
        </c:dLbls>
        <c:shape val="box"/>
        <c:axId val="173492864"/>
        <c:axId val="173498752"/>
        <c:axId val="0"/>
      </c:bar3DChart>
      <c:catAx>
        <c:axId val="173492864"/>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498752"/>
        <c:crosses val="autoZero"/>
        <c:auto val="1"/>
        <c:lblAlgn val="ctr"/>
        <c:lblOffset val="100"/>
      </c:catAx>
      <c:valAx>
        <c:axId val="173498752"/>
        <c:scaling>
          <c:orientation val="minMax"/>
        </c:scaling>
        <c:axPos val="l"/>
        <c:majorGridlines>
          <c:spPr>
            <a:ln w="9525" cap="flat" cmpd="sng" algn="ctr">
              <a:solidFill>
                <a:schemeClr val="tx1">
                  <a:lumMod val="5000"/>
                  <a:lumOff val="95000"/>
                </a:schemeClr>
              </a:solidFill>
              <a:round/>
            </a:ln>
            <a:effectLst/>
          </c:spPr>
        </c:majorGridlines>
        <c:numFmt formatCode="_-* #,##0_-;\-* #,##0_-;_-* &quot;-&quot;??_-;_-@_-"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492864"/>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MX"/>
  <c:style val="4"/>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s-HN"/>
              <a:t>Composición de la deuda Financiera</a:t>
            </a:r>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bar3DChart>
        <c:barDir val="col"/>
        <c:grouping val="clustered"/>
        <c:ser>
          <c:idx val="0"/>
          <c:order val="0"/>
          <c:tx>
            <c:strRef>
              <c:f>'Deuda Finan'!$K$13</c:f>
              <c:strCache>
                <c:ptCount val="1"/>
                <c:pt idx="0">
                  <c:v>Corto Plazo</c:v>
                </c:pt>
              </c:strCache>
            </c:strRef>
          </c:tx>
          <c:spPr>
            <a:solidFill>
              <a:srgbClr val="002060"/>
            </a:solidFill>
            <a:ln>
              <a:solidFill>
                <a:schemeClr val="accent2">
                  <a:shade val="76000"/>
                  <a:lumMod val="75000"/>
                </a:schemeClr>
              </a:solidFill>
            </a:ln>
            <a:effectLst/>
            <a:scene3d>
              <a:camera prst="orthographicFront"/>
              <a:lightRig rig="threePt" dir="t"/>
            </a:scene3d>
            <a:sp3d prstMaterial="translucentPowder">
              <a:contourClr>
                <a:schemeClr val="accent2">
                  <a:shade val="76000"/>
                  <a:lumMod val="7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Finan'!$J$14:$J$16</c:f>
              <c:strCache>
                <c:ptCount val="3"/>
                <c:pt idx="0">
                  <c:v>2018</c:v>
                </c:pt>
                <c:pt idx="1">
                  <c:v>2019</c:v>
                </c:pt>
                <c:pt idx="2">
                  <c:v>Dic 19</c:v>
                </c:pt>
              </c:strCache>
            </c:strRef>
          </c:cat>
          <c:val>
            <c:numRef>
              <c:f>'Deuda Finan'!$K$14:$K$16</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4460-443E-B720-5C0B6F771507}"/>
            </c:ext>
          </c:extLst>
        </c:ser>
        <c:ser>
          <c:idx val="1"/>
          <c:order val="1"/>
          <c:tx>
            <c:strRef>
              <c:f>'Deuda Finan'!$L$13</c:f>
              <c:strCache>
                <c:ptCount val="1"/>
                <c:pt idx="0">
                  <c:v>Largo Plazo</c:v>
                </c:pt>
              </c:strCache>
            </c:strRef>
          </c:tx>
          <c:spPr>
            <a:solidFill>
              <a:srgbClr val="C00000"/>
            </a:solidFill>
            <a:ln>
              <a:solidFill>
                <a:srgbClr val="C00000"/>
              </a:solidFill>
            </a:ln>
            <a:effectLst/>
            <a:scene3d>
              <a:camera prst="orthographicFront"/>
              <a:lightRig rig="threePt" dir="t"/>
            </a:scene3d>
            <a:sp3d prstMaterial="translucentPowder">
              <a:contourClr>
                <a:srgbClr val="C00000"/>
              </a:contourClr>
            </a:sp3d>
          </c:spP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Finan'!$J$14:$J$16</c:f>
              <c:strCache>
                <c:ptCount val="3"/>
                <c:pt idx="0">
                  <c:v>2018</c:v>
                </c:pt>
                <c:pt idx="1">
                  <c:v>2019</c:v>
                </c:pt>
                <c:pt idx="2">
                  <c:v>Dic 19</c:v>
                </c:pt>
              </c:strCache>
            </c:strRef>
          </c:cat>
          <c:val>
            <c:numRef>
              <c:f>'Deuda Finan'!$L$14:$L$16</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4460-443E-B720-5C0B6F771507}"/>
            </c:ext>
          </c:extLst>
        </c:ser>
        <c:dLbls>
          <c:showVal val="1"/>
        </c:dLbls>
        <c:shape val="box"/>
        <c:axId val="174020864"/>
        <c:axId val="174030848"/>
        <c:axId val="0"/>
      </c:bar3DChart>
      <c:catAx>
        <c:axId val="174020864"/>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4030848"/>
        <c:crosses val="autoZero"/>
        <c:auto val="1"/>
        <c:lblAlgn val="ctr"/>
        <c:lblOffset val="100"/>
      </c:catAx>
      <c:valAx>
        <c:axId val="174030848"/>
        <c:scaling>
          <c:orientation val="minMax"/>
        </c:scaling>
        <c:axPos val="l"/>
        <c:majorGridlines>
          <c:spPr>
            <a:ln w="9525" cap="flat" cmpd="sng" algn="ctr">
              <a:solidFill>
                <a:schemeClr val="tx1">
                  <a:lumMod val="5000"/>
                  <a:lumOff val="95000"/>
                </a:schemeClr>
              </a:solidFill>
              <a:round/>
            </a:ln>
            <a:effectLst/>
          </c:spPr>
        </c:majorGridlines>
        <c:numFmt formatCode="0"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4020864"/>
        <c:crosses val="autoZero"/>
        <c:crossBetween val="between"/>
      </c:valAx>
      <c:spPr>
        <a:noFill/>
        <a:ln>
          <a:noFill/>
        </a:ln>
        <a:effectLst/>
      </c:spPr>
    </c:plotArea>
    <c:legend>
      <c:legendPos val="b"/>
      <c:layout/>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legend>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resentaci&#243;n!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Estados Financieros'!A1"/></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6569</xdr:colOff>
      <xdr:row>2</xdr:row>
      <xdr:rowOff>152400</xdr:rowOff>
    </xdr:from>
    <xdr:to>
      <xdr:col>2</xdr:col>
      <xdr:colOff>1039293</xdr:colOff>
      <xdr:row>4</xdr:row>
      <xdr:rowOff>47230</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406619" y="266700"/>
          <a:ext cx="1464524" cy="263130"/>
        </a:xfrm>
        <a:prstGeom prst="rect">
          <a:avLst/>
        </a:prstGeom>
        <a:noFill/>
        <a:ln w="9525">
          <a:noFill/>
          <a:miter lim="800000"/>
          <a:headEnd/>
          <a:tailEnd/>
        </a:ln>
      </xdr:spPr>
    </xdr:pic>
    <xdr:clientData/>
  </xdr:twoCellAnchor>
  <xdr:twoCellAnchor>
    <xdr:from>
      <xdr:col>0</xdr:col>
      <xdr:colOff>318156</xdr:colOff>
      <xdr:row>11</xdr:row>
      <xdr:rowOff>8764</xdr:rowOff>
    </xdr:from>
    <xdr:to>
      <xdr:col>1</xdr:col>
      <xdr:colOff>412750</xdr:colOff>
      <xdr:row>12</xdr:row>
      <xdr:rowOff>170797</xdr:rowOff>
    </xdr:to>
    <xdr:sp macro="[0]!ThisWorkbook.Imprime_PDF2" textlink="">
      <xdr:nvSpPr>
        <xdr:cNvPr id="3" name="2 Rectángulo redondeado"/>
        <xdr:cNvSpPr/>
      </xdr:nvSpPr>
      <xdr:spPr>
        <a:xfrm>
          <a:off x="318156" y="1564514"/>
          <a:ext cx="494644" cy="346183"/>
        </a:xfrm>
        <a:prstGeom prst="roundRect">
          <a:avLst/>
        </a:prstGeom>
        <a:solidFill>
          <a:srgbClr val="FF0000">
            <a:alpha val="10000"/>
          </a:srgbClr>
        </a:solid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600">
              <a:solidFill>
                <a:srgbClr val="C00000"/>
              </a:solidFill>
            </a:rPr>
            <a:t>Imprimir </a:t>
          </a:r>
        </a:p>
        <a:p>
          <a:pPr algn="ctr"/>
          <a:r>
            <a:rPr lang="es-MX" sz="600">
              <a:solidFill>
                <a:srgbClr val="C00000"/>
              </a:solidFill>
            </a:rPr>
            <a:t>PDF</a:t>
          </a:r>
        </a:p>
      </xdr:txBody>
    </xdr:sp>
    <xdr:clientData/>
  </xdr:twoCellAnchor>
  <xdr:twoCellAnchor>
    <xdr:from>
      <xdr:col>0</xdr:col>
      <xdr:colOff>292100</xdr:colOff>
      <xdr:row>13</xdr:row>
      <xdr:rowOff>19050</xdr:rowOff>
    </xdr:from>
    <xdr:to>
      <xdr:col>1</xdr:col>
      <xdr:colOff>412750</xdr:colOff>
      <xdr:row>15</xdr:row>
      <xdr:rowOff>63500</xdr:rowOff>
    </xdr:to>
    <xdr:sp macro="[0]!ThisWorkbook.Decimales" textlink="">
      <xdr:nvSpPr>
        <xdr:cNvPr id="5" name="4 Rectángulo redondeado"/>
        <xdr:cNvSpPr/>
      </xdr:nvSpPr>
      <xdr:spPr>
        <a:xfrm>
          <a:off x="292100" y="194310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Ajustar Decimal</a:t>
          </a:r>
        </a:p>
      </xdr:txBody>
    </xdr:sp>
    <xdr:clientData/>
  </xdr:twoCellAnchor>
  <xdr:twoCellAnchor>
    <xdr:from>
      <xdr:col>0</xdr:col>
      <xdr:colOff>292100</xdr:colOff>
      <xdr:row>15</xdr:row>
      <xdr:rowOff>88900</xdr:rowOff>
    </xdr:from>
    <xdr:to>
      <xdr:col>1</xdr:col>
      <xdr:colOff>412750</xdr:colOff>
      <xdr:row>17</xdr:row>
      <xdr:rowOff>133350</xdr:rowOff>
    </xdr:to>
    <xdr:sp macro="[0]!ThisWorkbook.Salir" textlink="">
      <xdr:nvSpPr>
        <xdr:cNvPr id="6" name="5 Rectángulo redondeado"/>
        <xdr:cNvSpPr/>
      </xdr:nvSpPr>
      <xdr:spPr>
        <a:xfrm>
          <a:off x="292100" y="238125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Salvar y Salir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619125</xdr:colOff>
      <xdr:row>2</xdr:row>
      <xdr:rowOff>76486</xdr:rowOff>
    </xdr:from>
    <xdr:to>
      <xdr:col>13</xdr:col>
      <xdr:colOff>2074717</xdr:colOff>
      <xdr:row>3</xdr:row>
      <xdr:rowOff>301625</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22352000" y="901986"/>
          <a:ext cx="4138467" cy="637889"/>
        </a:xfrm>
        <a:prstGeom prst="rect">
          <a:avLst/>
        </a:prstGeom>
        <a:noFill/>
        <a:ln w="9525">
          <a:noFill/>
          <a:miter lim="800000"/>
          <a:headEnd/>
          <a:tailEnd/>
        </a:ln>
      </xdr:spPr>
    </xdr:pic>
    <xdr:clientData/>
  </xdr:twoCellAnchor>
  <xdr:twoCellAnchor>
    <xdr:from>
      <xdr:col>0</xdr:col>
      <xdr:colOff>1543050</xdr:colOff>
      <xdr:row>35</xdr:row>
      <xdr:rowOff>127000</xdr:rowOff>
    </xdr:from>
    <xdr:to>
      <xdr:col>0</xdr:col>
      <xdr:colOff>2908300</xdr:colOff>
      <xdr:row>38</xdr:row>
      <xdr:rowOff>19050</xdr:rowOff>
    </xdr:to>
    <xdr:sp macro="[0]!ThisWorkbook.Salir" textlink="">
      <xdr:nvSpPr>
        <xdr:cNvPr id="3" name="2 Rectángulo redondeado"/>
        <xdr:cNvSpPr/>
      </xdr:nvSpPr>
      <xdr:spPr>
        <a:xfrm>
          <a:off x="154305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Guardar y salir</a:t>
          </a:r>
        </a:p>
      </xdr:txBody>
    </xdr:sp>
    <xdr:clientData/>
  </xdr:twoCellAnchor>
  <xdr:twoCellAnchor>
    <xdr:from>
      <xdr:col>0</xdr:col>
      <xdr:colOff>114300</xdr:colOff>
      <xdr:row>35</xdr:row>
      <xdr:rowOff>127000</xdr:rowOff>
    </xdr:from>
    <xdr:to>
      <xdr:col>0</xdr:col>
      <xdr:colOff>1479550</xdr:colOff>
      <xdr:row>38</xdr:row>
      <xdr:rowOff>19050</xdr:rowOff>
    </xdr:to>
    <xdr:sp macro="[0]!ThisWorkbook.Decimales" textlink="">
      <xdr:nvSpPr>
        <xdr:cNvPr id="4" name="3 Rectángulo redondeado"/>
        <xdr:cNvSpPr/>
      </xdr:nvSpPr>
      <xdr:spPr>
        <a:xfrm>
          <a:off x="11430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Ajustar Formato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26521</xdr:colOff>
      <xdr:row>0</xdr:row>
      <xdr:rowOff>181538</xdr:rowOff>
    </xdr:from>
    <xdr:to>
      <xdr:col>2</xdr:col>
      <xdr:colOff>82177</xdr:colOff>
      <xdr:row>1</xdr:row>
      <xdr:rowOff>237884</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67821" y="181538"/>
          <a:ext cx="1516156" cy="24049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macro="[0]!ThisWorkbook.Valida_Filtro">
      <xdr:nvPicPr>
        <xdr:cNvPr id="2" name="Imagen 2" descr="Logo Davivienda"/>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13407124" y="46493"/>
          <a:ext cx="2724149" cy="321157"/>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6350</xdr:colOff>
      <xdr:row>2</xdr:row>
      <xdr:rowOff>69850</xdr:rowOff>
    </xdr:from>
    <xdr:to>
      <xdr:col>4</xdr:col>
      <xdr:colOff>335756</xdr:colOff>
      <xdr:row>5</xdr:row>
      <xdr:rowOff>57150</xdr:rowOff>
    </xdr:to>
    <xdr:pic macro="[0]!ThisWorkbook.Valida_Filtro">
      <xdr:nvPicPr>
        <xdr:cNvPr id="3" name="Imagen 2" descr="Logo Davivienda"/>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444500" y="520700"/>
          <a:ext cx="3923506" cy="46355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50800</xdr:colOff>
      <xdr:row>3</xdr:row>
      <xdr:rowOff>25400</xdr:rowOff>
    </xdr:from>
    <xdr:to>
      <xdr:col>3</xdr:col>
      <xdr:colOff>2776763</xdr:colOff>
      <xdr:row>5</xdr:row>
      <xdr:rowOff>36314</xdr:rowOff>
    </xdr:to>
    <xdr:pic macro="[0]!ThisWorkbook.Valida_Filtro">
      <xdr:nvPicPr>
        <xdr:cNvPr id="3" name="Imagen 2" descr="Logo Davivienda"/>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679450" y="552450"/>
          <a:ext cx="2725963" cy="328414"/>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157816</xdr:colOff>
      <xdr:row>1</xdr:row>
      <xdr:rowOff>746</xdr:rowOff>
    </xdr:from>
    <xdr:to>
      <xdr:col>7</xdr:col>
      <xdr:colOff>705504</xdr:colOff>
      <xdr:row>10</xdr:row>
      <xdr:rowOff>67421</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xdr:colOff>
      <xdr:row>1</xdr:row>
      <xdr:rowOff>0</xdr:rowOff>
    </xdr:from>
    <xdr:to>
      <xdr:col>17</xdr:col>
      <xdr:colOff>1581151</xdr:colOff>
      <xdr:row>10</xdr:row>
      <xdr:rowOff>57150</xdr:rowOff>
    </xdr:to>
    <xdr:graphicFrame macro="">
      <xdr:nvGraphicFramePr>
        <xdr:cNvPr id="3"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141943</xdr:colOff>
      <xdr:row>12</xdr:row>
      <xdr:rowOff>82176</xdr:rowOff>
    </xdr:from>
    <xdr:to>
      <xdr:col>7</xdr:col>
      <xdr:colOff>689631</xdr:colOff>
      <xdr:row>21</xdr:row>
      <xdr:rowOff>118970</xdr:rowOff>
    </xdr:to>
    <xdr:graphicFrame macro="">
      <xdr:nvGraphicFramePr>
        <xdr:cNvPr id="4"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22412</xdr:colOff>
      <xdr:row>12</xdr:row>
      <xdr:rowOff>44823</xdr:rowOff>
    </xdr:from>
    <xdr:to>
      <xdr:col>17</xdr:col>
      <xdr:colOff>1603562</xdr:colOff>
      <xdr:row>21</xdr:row>
      <xdr:rowOff>72092</xdr:rowOff>
    </xdr:to>
    <xdr:graphicFrame macro="">
      <xdr:nvGraphicFramePr>
        <xdr:cNvPr id="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4</xdr:col>
      <xdr:colOff>844550</xdr:colOff>
      <xdr:row>12</xdr:row>
      <xdr:rowOff>159657</xdr:rowOff>
    </xdr:from>
    <xdr:ext cx="65" cy="172227"/>
    <xdr:sp macro="" textlink="">
      <xdr:nvSpPr>
        <xdr:cNvPr id="2" name="CuadroTexto 1"/>
        <xdr:cNvSpPr txBox="1"/>
      </xdr:nvSpPr>
      <xdr:spPr>
        <a:xfrm>
          <a:off x="3810000" y="236945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6098274" y="46493"/>
          <a:ext cx="761999" cy="143357"/>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88900</xdr:rowOff>
    </xdr:from>
    <xdr:to>
      <xdr:col>0</xdr:col>
      <xdr:colOff>3187700</xdr:colOff>
      <xdr:row>1</xdr:row>
      <xdr:rowOff>305278</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76200" y="88900"/>
          <a:ext cx="3111500" cy="57197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0</xdr:col>
      <xdr:colOff>63500</xdr:colOff>
      <xdr:row>2</xdr:row>
      <xdr:rowOff>63500</xdr:rowOff>
    </xdr:from>
    <xdr:to>
      <xdr:col>0</xdr:col>
      <xdr:colOff>2324100</xdr:colOff>
      <xdr:row>3</xdr:row>
      <xdr:rowOff>12700</xdr:rowOff>
    </xdr:to>
    <xdr:sp macro="[0]!ThisWorkbook.Guardar_Hoja_Trabajo" textlink="">
      <xdr:nvSpPr>
        <xdr:cNvPr id="3" name="2 Rectángulo redondeado"/>
        <xdr:cNvSpPr/>
      </xdr:nvSpPr>
      <xdr:spPr>
        <a:xfrm>
          <a:off x="63500" y="800100"/>
          <a:ext cx="2260600" cy="520700"/>
        </a:xfrm>
        <a:prstGeom prst="roundRect">
          <a:avLst/>
        </a:prstGeom>
        <a:solidFill>
          <a:srgbClr val="FF0000">
            <a:alpha val="5000"/>
          </a:srgbClr>
        </a:solidFill>
        <a:ln w="9525">
          <a:solidFill>
            <a:srgbClr val="FF0000"/>
          </a:solidFill>
        </a:ln>
        <a:effectLst>
          <a:outerShdw blurRad="63500" sx="102000" sy="102000" algn="ctr" rotWithShape="0">
            <a:prstClr val="black">
              <a:alpha val="40000"/>
            </a:prstClr>
          </a:outerShdw>
        </a:effectLst>
        <a:scene3d>
          <a:camera prst="orthographicFront"/>
          <a:lightRig rig="flood"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1800" b="1">
              <a:solidFill>
                <a:srgbClr val="C00000"/>
              </a:solidFill>
              <a:latin typeface="Bahnschrift Condensed" pitchFamily="34" charset="0"/>
            </a:rPr>
            <a:t>Adicionar</a:t>
          </a:r>
          <a:r>
            <a:rPr lang="es-MX" sz="1800" b="1" baseline="0">
              <a:solidFill>
                <a:srgbClr val="C00000"/>
              </a:solidFill>
              <a:latin typeface="Bahnschrift Condensed" pitchFamily="34" charset="0"/>
            </a:rPr>
            <a:t> Comentarios</a:t>
          </a:r>
          <a:endParaRPr lang="es-MX" sz="1800" b="1">
            <a:solidFill>
              <a:srgbClr val="C00000"/>
            </a:solidFill>
            <a:latin typeface="Bahnschrift Condensed"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18142</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108857</xdr:colOff>
      <xdr:row>0</xdr:row>
      <xdr:rowOff>72571</xdr:rowOff>
    </xdr:from>
    <xdr:to>
      <xdr:col>1</xdr:col>
      <xdr:colOff>3156848</xdr:colOff>
      <xdr:row>12</xdr:row>
      <xdr:rowOff>9071</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98928" y="72571"/>
          <a:ext cx="3047991" cy="36285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100692</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12700</xdr:colOff>
      <xdr:row>0</xdr:row>
      <xdr:rowOff>25400</xdr:rowOff>
    </xdr:from>
    <xdr:to>
      <xdr:col>1</xdr:col>
      <xdr:colOff>3060691</xdr:colOff>
      <xdr:row>12</xdr:row>
      <xdr:rowOff>19050</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00050" y="25400"/>
          <a:ext cx="3047991" cy="3619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1</xdr:row>
      <xdr:rowOff>25400</xdr:rowOff>
    </xdr:from>
    <xdr:to>
      <xdr:col>2</xdr:col>
      <xdr:colOff>413150</xdr:colOff>
      <xdr:row>2</xdr:row>
      <xdr:rowOff>322064</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22250" y="342900"/>
          <a:ext cx="4553350" cy="677664"/>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114300</xdr:colOff>
      <xdr:row>0</xdr:row>
      <xdr:rowOff>57150</xdr:rowOff>
    </xdr:from>
    <xdr:to>
      <xdr:col>1</xdr:col>
      <xdr:colOff>114300</xdr:colOff>
      <xdr:row>3</xdr:row>
      <xdr:rowOff>38894</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342900" y="57150"/>
          <a:ext cx="2343145" cy="27384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2</xdr:row>
      <xdr:rowOff>7144</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228600" y="0"/>
          <a:ext cx="2343145" cy="27384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57150</xdr:colOff>
      <xdr:row>0</xdr:row>
      <xdr:rowOff>47625</xdr:rowOff>
    </xdr:from>
    <xdr:to>
      <xdr:col>1</xdr:col>
      <xdr:colOff>615945</xdr:colOff>
      <xdr:row>0</xdr:row>
      <xdr:rowOff>47625</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57200" y="47625"/>
          <a:ext cx="2343145" cy="29289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0</xdr:row>
      <xdr:rowOff>292894</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00050" y="0"/>
          <a:ext cx="2343145" cy="29289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64292</xdr:colOff>
      <xdr:row>8</xdr:row>
      <xdr:rowOff>40481</xdr:rowOff>
    </xdr:from>
    <xdr:to>
      <xdr:col>0</xdr:col>
      <xdr:colOff>2324100</xdr:colOff>
      <xdr:row>9</xdr:row>
      <xdr:rowOff>192087</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64292" y="1316831"/>
          <a:ext cx="2259808" cy="3103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333375</xdr:colOff>
      <xdr:row>3</xdr:row>
      <xdr:rowOff>28575</xdr:rowOff>
    </xdr:from>
    <xdr:to>
      <xdr:col>10</xdr:col>
      <xdr:colOff>180970</xdr:colOff>
      <xdr:row>4</xdr:row>
      <xdr:rowOff>130969</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9534525" y="581025"/>
          <a:ext cx="2012945" cy="28654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hyperlink" Target="https://docs.google.com/spreadsheets/d/1vOSt9Ixo_dDLd1xfQVlXuI89PzitBO0gRxLraUwYcrs/edit" TargetMode="External"/><Relationship Id="rId4" Type="http://schemas.openxmlformats.org/officeDocument/2006/relationships/comments" Target="../comments1.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sheetPr codeName="Hoja1"/>
  <dimension ref="A1:AD2"/>
  <sheetViews>
    <sheetView topLeftCell="P1" workbookViewId="0">
      <selection activeCell="AD1" sqref="AD1"/>
    </sheetView>
  </sheetViews>
  <sheetFormatPr baseColWidth="10" defaultRowHeight="14.5"/>
  <sheetData>
    <row r="1" spans="1:30">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2175</v>
      </c>
    </row>
    <row r="2" spans="1:30">
      <c r="A2" s="3405">
        <f>Fortalezas!A4</f>
        <v>0</v>
      </c>
      <c r="B2" s="3405" t="str">
        <f>'RC'!D7</f>
        <v/>
      </c>
      <c r="C2" t="str">
        <f>IFERROR(VLOOKUP($A$2,Caratula1!$3:$60,3,0),"")</f>
        <v/>
      </c>
      <c r="D2">
        <f>IFERROR(VLOOKUP($A$2,Caratula1!$3:$60,4,0)+0,1)</f>
        <v>1</v>
      </c>
      <c r="E2" s="3405" t="str">
        <f>'RC'!D10</f>
        <v/>
      </c>
      <c r="F2" s="3473" t="str">
        <f>Presentación!G25</f>
        <v/>
      </c>
      <c r="G2" t="str">
        <f>IFERROR(VLOOKUP($A$2,Caratula1!$3:$60,8,0),"")</f>
        <v/>
      </c>
      <c r="H2" s="3405" t="e">
        <f>VLOOKUP($A$2,Caratula1!$3:$60,9,0)+0</f>
        <v>#N/A</v>
      </c>
      <c r="I2" t="str">
        <f>IFERROR(VLOOKUP($A$2,Caratula1!$3:$60,10,0),"")</f>
        <v/>
      </c>
      <c r="J2" t="str">
        <f>IFERROR(VLOOKUP($A$2,Caratula1!$3:$60,11,0),"")</f>
        <v/>
      </c>
      <c r="K2" t="str">
        <f>IFERROR(VLOOKUP($A$2,Caratula1!$3:$60,13,0),"")</f>
        <v/>
      </c>
      <c r="L2" t="str">
        <f>IFERROR(VLOOKUP($A$2,Caratula1!$3:$60,14,0),"")</f>
        <v/>
      </c>
      <c r="M2" t="str">
        <f>IFERROR(VLOOKUP($A$2,Caratula1!$3:$60,15,0),"")</f>
        <v/>
      </c>
      <c r="N2" t="str">
        <f>IFERROR(LOWER(VLOOKUP($A$2,Caratula1!$3:$60,16,0)),"")</f>
        <v/>
      </c>
      <c r="O2" t="str">
        <f>IFERROR(LOWER(VLOOKUP($A$2,Caratula1!$3:$60,17,0)),"")</f>
        <v/>
      </c>
      <c r="P2" s="3406" t="str">
        <f>IFERROR('RC'!D8+0,"01/12/2010")</f>
        <v>01/12/2010</v>
      </c>
      <c r="Q2">
        <f>IFERROR(VLOOKUP($A$2,Caratula1!$3:$60,19,0)+0,1)</f>
        <v>1</v>
      </c>
      <c r="R2">
        <f>IFERROR(VLOOKUP($A$2,Caratula1!$3:$60,20,0),0)</f>
        <v>0</v>
      </c>
      <c r="S2" s="3405" t="str">
        <f>'RC'!D9</f>
        <v/>
      </c>
      <c r="T2">
        <f>IFERROR(VLOOKUP($A$2,Caratula1!$3:$60,22,0),0)</f>
        <v>0</v>
      </c>
      <c r="U2">
        <f>IFERROR(VLOOKUP($A$2,Caratula1!$3:$60,23,0),0)</f>
        <v>0</v>
      </c>
      <c r="W2">
        <f>IFERROR(VLOOKUP($A$2,Caratula1!$3:$60,25,0),1)</f>
        <v>1</v>
      </c>
      <c r="X2">
        <f>IFERROR(VLOOKUP($A$2,Caratula1!$3:$60,37,0),99)</f>
        <v>99</v>
      </c>
      <c r="Y2">
        <f>'Estados Financieros'!I2</f>
        <v>0</v>
      </c>
      <c r="Z2">
        <f>Caratula1!AM3</f>
        <v>0</v>
      </c>
      <c r="AA2">
        <f>Caratula1!AN3</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Hoja2"/>
  <dimension ref="A1:E9"/>
  <sheetViews>
    <sheetView workbookViewId="0">
      <selection activeCell="B13" sqref="B13"/>
    </sheetView>
  </sheetViews>
  <sheetFormatPr baseColWidth="10" defaultRowHeight="14.5"/>
  <sheetData>
    <row r="1" spans="1:5">
      <c r="A1" t="s">
        <v>0</v>
      </c>
      <c r="B1" t="s">
        <v>29</v>
      </c>
      <c r="C1" t="s">
        <v>30</v>
      </c>
      <c r="D1" t="s">
        <v>31</v>
      </c>
      <c r="E1" t="s">
        <v>32</v>
      </c>
    </row>
    <row r="2" spans="1:5">
      <c r="A2" t="str">
        <f>IF(B2&lt;&gt;"",'RC'!$D$6,"")</f>
        <v/>
      </c>
      <c r="B2" t="str">
        <f>IF('Accionistas y Juntas'!B5&gt;0,'Accionistas y Juntas'!B5,"")</f>
        <v/>
      </c>
      <c r="C2" t="str">
        <f>IF(B2&lt;&gt;"",'Accionistas y Juntas'!C5,"")</f>
        <v/>
      </c>
      <c r="D2" t="str">
        <f>IF(B2&lt;&gt;"",'Accionistas y Juntas'!D5,"")</f>
        <v/>
      </c>
      <c r="E2" t="str">
        <f t="shared" ref="E2:E9" si="0">IF(B2&lt;&gt;"",2,"")</f>
        <v/>
      </c>
    </row>
    <row r="3" spans="1:5">
      <c r="A3" t="str">
        <f>IF(B3&lt;&gt;"",'RC'!$D$6,"")</f>
        <v/>
      </c>
      <c r="B3" t="str">
        <f>IF('Accionistas y Juntas'!B6&gt;0,'Accionistas y Juntas'!B6,"")</f>
        <v/>
      </c>
      <c r="C3" t="str">
        <f>IF(B3&lt;&gt;"",'Accionistas y Juntas'!C6,"")</f>
        <v/>
      </c>
      <c r="D3" t="str">
        <f>IF(B3&lt;&gt;"",'Accionistas y Juntas'!D6,"")</f>
        <v/>
      </c>
      <c r="E3" t="str">
        <f t="shared" si="0"/>
        <v/>
      </c>
    </row>
    <row r="4" spans="1:5">
      <c r="A4" t="str">
        <f>IF(B4&lt;&gt;"",'RC'!$D$6,"")</f>
        <v/>
      </c>
      <c r="B4" t="str">
        <f>IF('Accionistas y Juntas'!B7&gt;0,'Accionistas y Juntas'!B7,"")</f>
        <v/>
      </c>
      <c r="C4" t="str">
        <f>IF(B4&lt;&gt;"",'Accionistas y Juntas'!C7,"")</f>
        <v/>
      </c>
      <c r="D4" t="str">
        <f>IF(B4&lt;&gt;"",'Accionistas y Juntas'!D7,"")</f>
        <v/>
      </c>
      <c r="E4" t="str">
        <f t="shared" si="0"/>
        <v/>
      </c>
    </row>
    <row r="5" spans="1:5">
      <c r="A5" t="str">
        <f>IF(B5&lt;&gt;"",'RC'!$D$6,"")</f>
        <v/>
      </c>
      <c r="B5" t="str">
        <f>IF('Accionistas y Juntas'!B8&gt;0,'Accionistas y Juntas'!B8,"")</f>
        <v/>
      </c>
      <c r="C5" t="str">
        <f>IF(B5&lt;&gt;"",'Accionistas y Juntas'!C8,"")</f>
        <v/>
      </c>
      <c r="D5" t="str">
        <f>IF(B5&lt;&gt;"",'Accionistas y Juntas'!D8,"")</f>
        <v/>
      </c>
      <c r="E5" t="str">
        <f t="shared" si="0"/>
        <v/>
      </c>
    </row>
    <row r="6" spans="1:5">
      <c r="A6" t="str">
        <f>IF(B6&lt;&gt;"",'RC'!$D$6,"")</f>
        <v/>
      </c>
      <c r="B6" t="str">
        <f>IF('Accionistas y Juntas'!B9&gt;0,'Accionistas y Juntas'!B9,"")</f>
        <v/>
      </c>
      <c r="C6" t="str">
        <f>IF(B6&lt;&gt;"",'Accionistas y Juntas'!C9,"")</f>
        <v/>
      </c>
      <c r="D6" t="str">
        <f>IF(B6&lt;&gt;"",'Accionistas y Juntas'!D9,"")</f>
        <v/>
      </c>
      <c r="E6" t="str">
        <f t="shared" si="0"/>
        <v/>
      </c>
    </row>
    <row r="7" spans="1:5">
      <c r="A7" t="str">
        <f>IF(B7&lt;&gt;"",'RC'!$D$6,"")</f>
        <v/>
      </c>
      <c r="B7" t="str">
        <f>IF('Accionistas y Juntas'!B10&gt;0,'Accionistas y Juntas'!B10,"")</f>
        <v/>
      </c>
      <c r="C7" t="str">
        <f>IF(B7&lt;&gt;"",'Accionistas y Juntas'!C10,"")</f>
        <v/>
      </c>
      <c r="D7" t="str">
        <f>IF(B7&lt;&gt;"",'Accionistas y Juntas'!D10,"")</f>
        <v/>
      </c>
      <c r="E7" t="str">
        <f t="shared" si="0"/>
        <v/>
      </c>
    </row>
    <row r="8" spans="1:5">
      <c r="A8" t="str">
        <f>IF(B8&lt;&gt;"",'RC'!$D$6,"")</f>
        <v/>
      </c>
      <c r="B8" t="str">
        <f>IF('Accionistas y Juntas'!B11&gt;0,'Accionistas y Juntas'!B11,"")</f>
        <v/>
      </c>
      <c r="C8" t="str">
        <f>IF(B8&lt;&gt;"",'Accionistas y Juntas'!C11,"")</f>
        <v/>
      </c>
      <c r="D8" t="str">
        <f>IF(B8&lt;&gt;"",'Accionistas y Juntas'!D11,"")</f>
        <v/>
      </c>
      <c r="E8" t="str">
        <f t="shared" si="0"/>
        <v/>
      </c>
    </row>
    <row r="9" spans="1:5">
      <c r="A9" t="str">
        <f>IF(B9&lt;&gt;"",'RC'!$D$6,"")</f>
        <v/>
      </c>
      <c r="B9" t="str">
        <f>IF('Accionistas y Juntas'!B12&gt;0,'Accionistas y Juntas'!B12,"")</f>
        <v/>
      </c>
      <c r="C9" t="str">
        <f>IF(B9&lt;&gt;"",'Accionistas y Juntas'!C12,"")</f>
        <v/>
      </c>
      <c r="D9" t="str">
        <f>IF(B9&lt;&gt;"",'Accionistas y Juntas'!D12,"")</f>
        <v/>
      </c>
      <c r="E9" t="str">
        <f t="shared" si="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3"/>
  <dimension ref="A1:F11"/>
  <sheetViews>
    <sheetView workbookViewId="0">
      <selection sqref="A1:F11"/>
    </sheetView>
  </sheetViews>
  <sheetFormatPr baseColWidth="10" defaultRowHeight="14.5"/>
  <sheetData>
    <row r="1" spans="1:6">
      <c r="A1" t="s">
        <v>33</v>
      </c>
      <c r="B1" t="s">
        <v>34</v>
      </c>
      <c r="C1" t="s">
        <v>35</v>
      </c>
      <c r="D1" t="s">
        <v>36</v>
      </c>
      <c r="E1" t="s">
        <v>37</v>
      </c>
      <c r="F1" t="s">
        <v>32</v>
      </c>
    </row>
    <row r="2" spans="1:6">
      <c r="A2" t="str">
        <f>IF(C2&lt;&gt;"",'RC'!$D$6,"")</f>
        <v/>
      </c>
      <c r="B2" t="str">
        <f>IF(C2="","",'Accionistas y Juntas'!G5)</f>
        <v/>
      </c>
      <c r="C2" t="str">
        <f>IF('Accionistas y Juntas'!L5=1,"",'Accionistas y Juntas'!F5)</f>
        <v/>
      </c>
      <c r="D2" t="str">
        <f>IF(C2="","",'Accionistas y Juntas'!H5)</f>
        <v/>
      </c>
      <c r="E2" t="str">
        <f>IF(C2="","",'Accionistas y Juntas'!L5)</f>
        <v/>
      </c>
      <c r="F2" t="str">
        <f t="shared" ref="F2:F11" si="0">IF(C2="","",2)</f>
        <v/>
      </c>
    </row>
    <row r="3" spans="1:6">
      <c r="A3" t="str">
        <f>IF(C3&lt;&gt;"",'RC'!$D$6,"")</f>
        <v/>
      </c>
      <c r="B3" t="str">
        <f>IF(C3="","",'Accionistas y Juntas'!G6)</f>
        <v/>
      </c>
      <c r="C3" t="str">
        <f>IF('Accionistas y Juntas'!L6=1,"",'Accionistas y Juntas'!F6)</f>
        <v/>
      </c>
      <c r="D3" t="str">
        <f>IF(C3="","",'Accionistas y Juntas'!H6)</f>
        <v/>
      </c>
      <c r="E3" t="str">
        <f>IF(C3="","",'Accionistas y Juntas'!L6)</f>
        <v/>
      </c>
      <c r="F3" t="str">
        <f t="shared" si="0"/>
        <v/>
      </c>
    </row>
    <row r="4" spans="1:6">
      <c r="A4" t="str">
        <f>IF(C4&lt;&gt;"",'RC'!$D$6,"")</f>
        <v/>
      </c>
      <c r="B4" t="str">
        <f>IF(C4="","",'Accionistas y Juntas'!G7)</f>
        <v/>
      </c>
      <c r="C4" t="str">
        <f>IF('Accionistas y Juntas'!L7=1,"",'Accionistas y Juntas'!F7)</f>
        <v/>
      </c>
      <c r="D4" t="str">
        <f>IF(C4="","",'Accionistas y Juntas'!H7)</f>
        <v/>
      </c>
      <c r="E4" t="str">
        <f>IF(C4="","",'Accionistas y Juntas'!L7)</f>
        <v/>
      </c>
      <c r="F4" t="str">
        <f t="shared" si="0"/>
        <v/>
      </c>
    </row>
    <row r="5" spans="1:6">
      <c r="A5" t="str">
        <f>IF(C5&lt;&gt;"",'RC'!$D$6,"")</f>
        <v/>
      </c>
      <c r="B5" t="str">
        <f>IF(C5="","",'Accionistas y Juntas'!G8)</f>
        <v/>
      </c>
      <c r="C5" t="str">
        <f>IF('Accionistas y Juntas'!L8=1,"",'Accionistas y Juntas'!F8)</f>
        <v/>
      </c>
      <c r="D5" t="str">
        <f>IF(C5="","",'Accionistas y Juntas'!H8)</f>
        <v/>
      </c>
      <c r="E5" t="str">
        <f>IF(C5="","",'Accionistas y Juntas'!L8)</f>
        <v/>
      </c>
      <c r="F5" t="str">
        <f t="shared" si="0"/>
        <v/>
      </c>
    </row>
    <row r="6" spans="1:6">
      <c r="A6" t="str">
        <f>IF(C6&lt;&gt;"",'RC'!$D$6,"")</f>
        <v/>
      </c>
      <c r="B6" t="str">
        <f>IF(C6="","",'Accionistas y Juntas'!G9)</f>
        <v/>
      </c>
      <c r="C6" t="str">
        <f>IF('Accionistas y Juntas'!L9=1,"",'Accionistas y Juntas'!F9)</f>
        <v/>
      </c>
      <c r="D6" t="str">
        <f>IF(C6="","",'Accionistas y Juntas'!H9)</f>
        <v/>
      </c>
      <c r="E6" t="str">
        <f>IF(C6="","",'Accionistas y Juntas'!L9)</f>
        <v/>
      </c>
      <c r="F6" t="str">
        <f t="shared" si="0"/>
        <v/>
      </c>
    </row>
    <row r="7" spans="1:6">
      <c r="A7" t="str">
        <f>IF(C7&lt;&gt;"",'RC'!$D$6,"")</f>
        <v/>
      </c>
      <c r="B7" t="str">
        <f>IF(C7="","",'Accionistas y Juntas'!G10)</f>
        <v/>
      </c>
      <c r="C7" t="str">
        <f>IF('Accionistas y Juntas'!L10=1,"",'Accionistas y Juntas'!F10)</f>
        <v/>
      </c>
      <c r="D7" t="str">
        <f>IF(C7="","",'Accionistas y Juntas'!H10)</f>
        <v/>
      </c>
      <c r="E7" t="str">
        <f>IF(C7="","",'Accionistas y Juntas'!L10)</f>
        <v/>
      </c>
      <c r="F7" t="str">
        <f t="shared" si="0"/>
        <v/>
      </c>
    </row>
    <row r="8" spans="1:6">
      <c r="A8" t="str">
        <f>IF(C8&lt;&gt;"",'RC'!$D$6,"")</f>
        <v/>
      </c>
      <c r="B8" t="str">
        <f>IF(C8="","",'Accionistas y Juntas'!G11)</f>
        <v/>
      </c>
      <c r="C8" t="str">
        <f>IF('Accionistas y Juntas'!L11=1,"",'Accionistas y Juntas'!F11)</f>
        <v/>
      </c>
      <c r="D8" t="str">
        <f>IF(C8="","",'Accionistas y Juntas'!H11)</f>
        <v/>
      </c>
      <c r="E8" t="str">
        <f>IF(C8="","",'Accionistas y Juntas'!L11)</f>
        <v/>
      </c>
      <c r="F8" t="str">
        <f t="shared" si="0"/>
        <v/>
      </c>
    </row>
    <row r="9" spans="1:6">
      <c r="A9" t="str">
        <f>IF(C9&lt;&gt;"",'RC'!$D$6,"")</f>
        <v/>
      </c>
      <c r="B9" t="str">
        <f>IF(C9="","",'Accionistas y Juntas'!G12)</f>
        <v/>
      </c>
      <c r="C9" t="str">
        <f>IF('Accionistas y Juntas'!L12=1,"",'Accionistas y Juntas'!F12)</f>
        <v/>
      </c>
      <c r="D9" t="str">
        <f>IF(C9="","",'Accionistas y Juntas'!H12)</f>
        <v/>
      </c>
      <c r="E9" t="str">
        <f>IF(C9="","",'Accionistas y Juntas'!L12)</f>
        <v/>
      </c>
      <c r="F9" t="str">
        <f t="shared" si="0"/>
        <v/>
      </c>
    </row>
    <row r="10" spans="1:6">
      <c r="A10" t="str">
        <f>IF(C10&lt;&gt;"",'RC'!$D$6,"")</f>
        <v/>
      </c>
      <c r="B10" t="str">
        <f>IF(C10="","",'Accionistas y Juntas'!G13)</f>
        <v/>
      </c>
      <c r="C10" t="str">
        <f>IF('Accionistas y Juntas'!L13=1,"",'Accionistas y Juntas'!F13)</f>
        <v/>
      </c>
      <c r="D10" t="str">
        <f>IF(C10="","",'Accionistas y Juntas'!H13)</f>
        <v/>
      </c>
      <c r="E10" t="str">
        <f>IF(C10="","",'Accionistas y Juntas'!L13)</f>
        <v/>
      </c>
      <c r="F10" t="str">
        <f t="shared" si="0"/>
        <v/>
      </c>
    </row>
    <row r="11" spans="1:6">
      <c r="A11" t="str">
        <f>IF(C11&lt;&gt;"",'RC'!$D$6,"")</f>
        <v/>
      </c>
      <c r="B11" t="str">
        <f>IF(C11="","",'Accionistas y Juntas'!G14)</f>
        <v/>
      </c>
      <c r="C11" t="str">
        <f>IF('Accionistas y Juntas'!L14=1,"",'Accionistas y Juntas'!F14)</f>
        <v/>
      </c>
      <c r="D11" t="str">
        <f>IF(C11="","",'Accionistas y Juntas'!H14)</f>
        <v/>
      </c>
      <c r="E11" t="str">
        <f>IF(C11="","",'Accionistas y Juntas'!L14)</f>
        <v/>
      </c>
      <c r="F11" t="str">
        <f t="shared" si="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4"/>
  <dimension ref="A1:E1087"/>
  <sheetViews>
    <sheetView workbookViewId="0"/>
  </sheetViews>
  <sheetFormatPr baseColWidth="10" defaultRowHeight="14.5"/>
  <sheetData>
    <row r="1" spans="1:5">
      <c r="A1" t="s">
        <v>38</v>
      </c>
      <c r="B1" t="s">
        <v>0</v>
      </c>
      <c r="C1" t="s">
        <v>39</v>
      </c>
      <c r="D1" t="s">
        <v>40</v>
      </c>
      <c r="E1" t="s">
        <v>41</v>
      </c>
    </row>
    <row r="2" spans="1:5">
      <c r="A2">
        <v>110105</v>
      </c>
      <c r="B2" t="str">
        <f>IF(C2=1900,"",'RC'!$D$6)</f>
        <v/>
      </c>
      <c r="C2">
        <f>IF(OR('RC'!$D$6=0,'RC'!$D$6=0,'Estados Financieros'!$E$185=0,'Estados Financieros'!$E$10&lt;&gt;"OK",'Estados Financieros'!$E$461&lt;&gt;"OK",'Estados Financieros'!$E$14&lt;&gt;"OK"),1900,'Estados Financieros'!K4+0)</f>
        <v>1900</v>
      </c>
      <c r="D2">
        <f>IF(OR(C2=1900,$D$144=0),0,VLOOKUP(A2,'Estados Financieros'!$A$18:$H$458,5,0))</f>
        <v>0</v>
      </c>
      <c r="E2" t="str">
        <f t="shared" ref="E2:E65" si="0">IFERROR(FIXED(D2,3,1),0)</f>
        <v>0,000</v>
      </c>
    </row>
    <row r="3" spans="1:5">
      <c r="A3">
        <v>110110</v>
      </c>
      <c r="B3" t="str">
        <f t="shared" ref="B3:B66" si="1">+B2</f>
        <v/>
      </c>
      <c r="C3">
        <f t="shared" ref="C3:C66" si="2">+C2</f>
        <v>1900</v>
      </c>
      <c r="D3">
        <f>IF(OR(C3=1900,$D$144=0),0,VLOOKUP(A3,'Estados Financieros'!$A$18:$H$458,5,0))</f>
        <v>0</v>
      </c>
      <c r="E3" t="str">
        <f t="shared" si="0"/>
        <v>0,000</v>
      </c>
    </row>
    <row r="4" spans="1:5">
      <c r="A4">
        <v>111010</v>
      </c>
      <c r="B4" t="str">
        <f t="shared" si="1"/>
        <v/>
      </c>
      <c r="C4">
        <f t="shared" si="2"/>
        <v>1900</v>
      </c>
      <c r="D4">
        <f>IF(OR(C4=1900,$D$144=0),0,VLOOKUP(A4,'Estados Financieros'!$A$18:$H$458,5,0))</f>
        <v>0</v>
      </c>
      <c r="E4" t="str">
        <f t="shared" si="0"/>
        <v>0,000</v>
      </c>
    </row>
    <row r="5" spans="1:5">
      <c r="A5">
        <v>110130</v>
      </c>
      <c r="B5" t="str">
        <f t="shared" si="1"/>
        <v/>
      </c>
      <c r="C5">
        <f t="shared" si="2"/>
        <v>1900</v>
      </c>
      <c r="D5">
        <f>IF(OR(C5=1900,$D$144=0),0,VLOOKUP(A5,'Estados Financieros'!$A$18:$H$458,5,0))</f>
        <v>0</v>
      </c>
      <c r="E5" t="str">
        <f t="shared" si="0"/>
        <v>0,000</v>
      </c>
    </row>
    <row r="6" spans="1:5">
      <c r="A6">
        <v>110125</v>
      </c>
      <c r="B6" t="str">
        <f t="shared" si="1"/>
        <v/>
      </c>
      <c r="C6">
        <f t="shared" si="2"/>
        <v>1900</v>
      </c>
      <c r="D6">
        <f>IF(OR(C6=1900,$D$144=0),0,VLOOKUP(A6,'Estados Financieros'!$A$18:$H$458,5,0))</f>
        <v>0</v>
      </c>
      <c r="E6" t="str">
        <f t="shared" si="0"/>
        <v>0,000</v>
      </c>
    </row>
    <row r="7" spans="1:5">
      <c r="A7">
        <v>1101</v>
      </c>
      <c r="B7" t="str">
        <f t="shared" si="1"/>
        <v/>
      </c>
      <c r="C7">
        <f t="shared" si="2"/>
        <v>1900</v>
      </c>
      <c r="D7">
        <f>IF(OR(C7=1900,$D$144=0),0,VLOOKUP(A7,'Estados Financieros'!$A$18:$H$458,5,0))</f>
        <v>0</v>
      </c>
      <c r="E7" t="str">
        <f t="shared" si="0"/>
        <v>0,000</v>
      </c>
    </row>
    <row r="8" spans="1:5">
      <c r="A8">
        <v>110205</v>
      </c>
      <c r="B8" t="str">
        <f t="shared" si="1"/>
        <v/>
      </c>
      <c r="C8">
        <f t="shared" si="2"/>
        <v>1900</v>
      </c>
      <c r="D8">
        <f>IF(OR(C8=1900,$D$144=0),0,VLOOKUP(A8,'Estados Financieros'!$A$18:$H$458,5,0))</f>
        <v>0</v>
      </c>
      <c r="E8" t="str">
        <f t="shared" si="0"/>
        <v>0,000</v>
      </c>
    </row>
    <row r="9" spans="1:5">
      <c r="A9">
        <v>110210</v>
      </c>
      <c r="B9" t="str">
        <f t="shared" si="1"/>
        <v/>
      </c>
      <c r="C9">
        <f t="shared" si="2"/>
        <v>1900</v>
      </c>
      <c r="D9">
        <f>IF(OR(C9=1900,$D$144=0),0,VLOOKUP(A9,'Estados Financieros'!$A$18:$H$458,5,0))</f>
        <v>0</v>
      </c>
      <c r="E9" t="str">
        <f t="shared" si="0"/>
        <v>0,000</v>
      </c>
    </row>
    <row r="10" spans="1:5">
      <c r="A10">
        <v>110215</v>
      </c>
      <c r="B10" t="str">
        <f t="shared" si="1"/>
        <v/>
      </c>
      <c r="C10">
        <f t="shared" si="2"/>
        <v>1900</v>
      </c>
      <c r="D10">
        <f>IF(OR(C10=1900,$D$144=0),0,VLOOKUP(A10,'Estados Financieros'!$A$18:$H$458,5,0))</f>
        <v>0</v>
      </c>
      <c r="E10" t="str">
        <f t="shared" si="0"/>
        <v>0,000</v>
      </c>
    </row>
    <row r="11" spans="1:5">
      <c r="A11">
        <v>110225</v>
      </c>
      <c r="B11" t="str">
        <f t="shared" si="1"/>
        <v/>
      </c>
      <c r="C11">
        <f t="shared" si="2"/>
        <v>1900</v>
      </c>
      <c r="D11">
        <f>IF(OR(C11=1900,$D$144=0),0,VLOOKUP(A11,'Estados Financieros'!$A$18:$H$458,5,0))</f>
        <v>0</v>
      </c>
      <c r="E11" t="str">
        <f t="shared" si="0"/>
        <v>0,000</v>
      </c>
    </row>
    <row r="12" spans="1:5">
      <c r="A12">
        <v>110235</v>
      </c>
      <c r="B12" t="str">
        <f t="shared" si="1"/>
        <v/>
      </c>
      <c r="C12">
        <f t="shared" si="2"/>
        <v>1900</v>
      </c>
      <c r="D12">
        <f>IF(OR(C12=1900,$D$144=0),0,VLOOKUP(A12,'Estados Financieros'!$A$18:$H$458,5,0))</f>
        <v>0</v>
      </c>
      <c r="E12" t="str">
        <f t="shared" si="0"/>
        <v>0,000</v>
      </c>
    </row>
    <row r="13" spans="1:5">
      <c r="A13">
        <v>110255</v>
      </c>
      <c r="B13" t="str">
        <f t="shared" si="1"/>
        <v/>
      </c>
      <c r="C13">
        <f t="shared" si="2"/>
        <v>1900</v>
      </c>
      <c r="D13">
        <f>IF(OR(C13=1900,$D$144=0),0,VLOOKUP(A13,'Estados Financieros'!$A$18:$H$458,5,0))</f>
        <v>0</v>
      </c>
      <c r="E13" t="str">
        <f t="shared" si="0"/>
        <v>0,000</v>
      </c>
    </row>
    <row r="14" spans="1:5">
      <c r="A14">
        <v>129700</v>
      </c>
      <c r="B14" t="str">
        <f t="shared" si="1"/>
        <v/>
      </c>
      <c r="C14">
        <f t="shared" si="2"/>
        <v>1900</v>
      </c>
      <c r="D14">
        <f>IF(OR(C14=1900,$D$144=0),0,VLOOKUP(A14,'Estados Financieros'!$A$18:$H$458,5,0))</f>
        <v>0</v>
      </c>
      <c r="E14" t="str">
        <f t="shared" si="0"/>
        <v>0,000</v>
      </c>
    </row>
    <row r="15" spans="1:5">
      <c r="A15">
        <v>110260</v>
      </c>
      <c r="B15" t="str">
        <f t="shared" si="1"/>
        <v/>
      </c>
      <c r="C15">
        <f t="shared" si="2"/>
        <v>1900</v>
      </c>
      <c r="D15">
        <f>IF(OR(C15=1900,$D$144=0),0,VLOOKUP(A15,'Estados Financieros'!$A$18:$H$458,5,0))</f>
        <v>0</v>
      </c>
      <c r="E15" t="str">
        <f t="shared" si="0"/>
        <v>0,000</v>
      </c>
    </row>
    <row r="16" spans="1:5">
      <c r="A16">
        <v>1102</v>
      </c>
      <c r="B16" t="str">
        <f t="shared" si="1"/>
        <v/>
      </c>
      <c r="C16">
        <f t="shared" si="2"/>
        <v>1900</v>
      </c>
      <c r="D16">
        <f>IF(OR(C16=1900,$D$144=0),0,VLOOKUP(A16,'Estados Financieros'!$A$18:$H$458,5,0))</f>
        <v>0</v>
      </c>
      <c r="E16" t="str">
        <f t="shared" si="0"/>
        <v>0,000</v>
      </c>
    </row>
    <row r="17" spans="1:5">
      <c r="A17">
        <v>110305</v>
      </c>
      <c r="B17" t="str">
        <f t="shared" si="1"/>
        <v/>
      </c>
      <c r="C17">
        <f t="shared" si="2"/>
        <v>1900</v>
      </c>
      <c r="D17">
        <f>IF(OR(C17=1900,$D$144=0),0,VLOOKUP(A17,'Estados Financieros'!$A$18:$H$458,5,0))</f>
        <v>0</v>
      </c>
      <c r="E17" t="str">
        <f t="shared" si="0"/>
        <v>0,000</v>
      </c>
    </row>
    <row r="18" spans="1:5">
      <c r="A18">
        <v>130510</v>
      </c>
      <c r="B18" t="str">
        <f t="shared" si="1"/>
        <v/>
      </c>
      <c r="C18">
        <f t="shared" si="2"/>
        <v>1900</v>
      </c>
      <c r="D18">
        <f>IF(OR(C18=1900,$D$144=0),0,VLOOKUP(A18,'Estados Financieros'!$A$18:$H$458,5,0))</f>
        <v>0</v>
      </c>
      <c r="E18" t="str">
        <f t="shared" si="0"/>
        <v>0,000</v>
      </c>
    </row>
    <row r="19" spans="1:5">
      <c r="A19">
        <v>131000</v>
      </c>
      <c r="B19" t="str">
        <f t="shared" si="1"/>
        <v/>
      </c>
      <c r="C19">
        <f t="shared" si="2"/>
        <v>1900</v>
      </c>
      <c r="D19">
        <f>IF(OR(C19=1900,$D$144=0),0,VLOOKUP(A19,'Estados Financieros'!$A$18:$H$458,5,0))</f>
        <v>0</v>
      </c>
      <c r="E19" t="str">
        <f t="shared" si="0"/>
        <v>0,000</v>
      </c>
    </row>
    <row r="20" spans="1:5">
      <c r="A20">
        <v>110390</v>
      </c>
      <c r="B20" t="str">
        <f t="shared" si="1"/>
        <v/>
      </c>
      <c r="C20">
        <f t="shared" si="2"/>
        <v>1900</v>
      </c>
      <c r="D20">
        <f>IF(OR(C20=1900,$D$144=0),0,VLOOKUP(A20,'Estados Financieros'!$A$18:$H$458,5,0))</f>
        <v>0</v>
      </c>
      <c r="E20" t="str">
        <f t="shared" si="0"/>
        <v>0,000</v>
      </c>
    </row>
    <row r="21" spans="1:5">
      <c r="A21">
        <v>110395</v>
      </c>
      <c r="B21" t="str">
        <f t="shared" si="1"/>
        <v/>
      </c>
      <c r="C21">
        <f t="shared" si="2"/>
        <v>1900</v>
      </c>
      <c r="D21">
        <f>IF(OR(C21=1900,$D$144=0),0,VLOOKUP(A21,'Estados Financieros'!$A$18:$H$458,5,0))</f>
        <v>0</v>
      </c>
      <c r="E21" t="str">
        <f t="shared" si="0"/>
        <v>0,000</v>
      </c>
    </row>
    <row r="22" spans="1:5">
      <c r="A22">
        <v>1103</v>
      </c>
      <c r="B22" t="str">
        <f t="shared" si="1"/>
        <v/>
      </c>
      <c r="C22">
        <f t="shared" si="2"/>
        <v>1900</v>
      </c>
      <c r="D22">
        <f>IF(OR(C22=1900,$D$144=0),0,VLOOKUP(A22,'Estados Financieros'!$A$18:$H$458,5,0))</f>
        <v>0</v>
      </c>
      <c r="E22" t="str">
        <f t="shared" si="0"/>
        <v>0,000</v>
      </c>
    </row>
    <row r="23" spans="1:5">
      <c r="A23">
        <v>132000</v>
      </c>
      <c r="B23" t="str">
        <f t="shared" si="1"/>
        <v/>
      </c>
      <c r="C23">
        <f t="shared" si="2"/>
        <v>1900</v>
      </c>
      <c r="D23">
        <f>IF(OR(C23=1900,$D$144=0),0,VLOOKUP(A23,'Estados Financieros'!$A$18:$H$458,5,0))</f>
        <v>0</v>
      </c>
      <c r="E23" t="str">
        <f t="shared" si="0"/>
        <v>0,000</v>
      </c>
    </row>
    <row r="24" spans="1:5">
      <c r="A24">
        <v>132500</v>
      </c>
      <c r="B24" t="str">
        <f t="shared" si="1"/>
        <v/>
      </c>
      <c r="C24">
        <f t="shared" si="2"/>
        <v>1900</v>
      </c>
      <c r="D24">
        <f>IF(OR(C24=1900,$D$144=0),0,VLOOKUP(A24,'Estados Financieros'!$A$18:$H$458,5,0))</f>
        <v>0</v>
      </c>
      <c r="E24" t="str">
        <f t="shared" si="0"/>
        <v>0,000</v>
      </c>
    </row>
    <row r="25" spans="1:5">
      <c r="A25">
        <v>133000</v>
      </c>
      <c r="B25" t="str">
        <f t="shared" si="1"/>
        <v/>
      </c>
      <c r="C25">
        <f t="shared" si="2"/>
        <v>1900</v>
      </c>
      <c r="D25">
        <f>IF(OR(C25=1900,$D$144=0),0,VLOOKUP(A25,'Estados Financieros'!$A$18:$H$458,5,0))</f>
        <v>0</v>
      </c>
      <c r="E25" t="str">
        <f t="shared" si="0"/>
        <v>0,000</v>
      </c>
    </row>
    <row r="26" spans="1:5">
      <c r="A26">
        <v>133500</v>
      </c>
      <c r="B26" t="str">
        <f t="shared" si="1"/>
        <v/>
      </c>
      <c r="C26">
        <f t="shared" si="2"/>
        <v>1900</v>
      </c>
      <c r="D26">
        <f>IF(OR(C26=1900,$D$144=0),0,VLOOKUP(A26,'Estados Financieros'!$A$18:$H$458,5,0))</f>
        <v>0</v>
      </c>
      <c r="E26" t="str">
        <f t="shared" si="0"/>
        <v>0,000</v>
      </c>
    </row>
    <row r="27" spans="1:5">
      <c r="A27">
        <v>134000</v>
      </c>
      <c r="B27" t="str">
        <f t="shared" si="1"/>
        <v/>
      </c>
      <c r="C27">
        <f t="shared" si="2"/>
        <v>1900</v>
      </c>
      <c r="D27">
        <f>IF(OR(C27=1900,$D$144=0),0,VLOOKUP(A27,'Estados Financieros'!$A$18:$H$458,5,0))</f>
        <v>0</v>
      </c>
      <c r="E27" t="str">
        <f t="shared" si="0"/>
        <v>0,000</v>
      </c>
    </row>
    <row r="28" spans="1:5">
      <c r="A28">
        <v>134500</v>
      </c>
      <c r="B28" t="str">
        <f t="shared" si="1"/>
        <v/>
      </c>
      <c r="C28">
        <f t="shared" si="2"/>
        <v>1900</v>
      </c>
      <c r="D28">
        <f>IF(OR(C28=1900,$D$144=0),0,VLOOKUP(A28,'Estados Financieros'!$A$18:$H$458,5,0))</f>
        <v>0</v>
      </c>
      <c r="E28" t="str">
        <f t="shared" si="0"/>
        <v>0,000</v>
      </c>
    </row>
    <row r="29" spans="1:5">
      <c r="A29">
        <v>135000</v>
      </c>
      <c r="B29" t="str">
        <f t="shared" si="1"/>
        <v/>
      </c>
      <c r="C29">
        <f t="shared" si="2"/>
        <v>1900</v>
      </c>
      <c r="D29">
        <f>IF(OR(C29=1900,$D$144=0),0,VLOOKUP(A29,'Estados Financieros'!$A$18:$H$458,5,0))</f>
        <v>0</v>
      </c>
      <c r="E29" t="str">
        <f t="shared" si="0"/>
        <v>0,000</v>
      </c>
    </row>
    <row r="30" spans="1:5">
      <c r="A30">
        <v>135500</v>
      </c>
      <c r="B30" t="str">
        <f t="shared" si="1"/>
        <v/>
      </c>
      <c r="C30">
        <f t="shared" si="2"/>
        <v>1900</v>
      </c>
      <c r="D30">
        <f>IF(OR(C30=1900,$D$144=0),0,VLOOKUP(A30,'Estados Financieros'!$A$18:$H$458,5,0))</f>
        <v>0</v>
      </c>
      <c r="E30" t="str">
        <f t="shared" si="0"/>
        <v>0,000</v>
      </c>
    </row>
    <row r="31" spans="1:5">
      <c r="A31">
        <v>136000</v>
      </c>
      <c r="B31" t="str">
        <f t="shared" si="1"/>
        <v/>
      </c>
      <c r="C31">
        <f t="shared" si="2"/>
        <v>1900</v>
      </c>
      <c r="D31">
        <f>IF(OR(C31=1900,$D$144=0),0,VLOOKUP(A31,'Estados Financieros'!$A$18:$H$458,5,0))</f>
        <v>0</v>
      </c>
      <c r="E31" t="str">
        <f t="shared" si="0"/>
        <v>0,000</v>
      </c>
    </row>
    <row r="32" spans="1:5">
      <c r="A32">
        <v>136500</v>
      </c>
      <c r="B32" t="str">
        <f t="shared" si="1"/>
        <v/>
      </c>
      <c r="C32">
        <f t="shared" si="2"/>
        <v>1900</v>
      </c>
      <c r="D32">
        <f>IF(OR(C32=1900,$D$144=0),0,VLOOKUP(A32,'Estados Financieros'!$A$18:$H$458,5,0))</f>
        <v>0</v>
      </c>
      <c r="E32" t="str">
        <f t="shared" si="0"/>
        <v>0,000</v>
      </c>
    </row>
    <row r="33" spans="1:5">
      <c r="A33">
        <v>137000</v>
      </c>
      <c r="B33" t="str">
        <f t="shared" si="1"/>
        <v/>
      </c>
      <c r="C33">
        <f t="shared" si="2"/>
        <v>1900</v>
      </c>
      <c r="D33">
        <f>IF(OR(C33=1900,$D$144=0),0,VLOOKUP(A33,'Estados Financieros'!$A$18:$H$458,5,0))</f>
        <v>0</v>
      </c>
      <c r="E33" t="str">
        <f t="shared" si="0"/>
        <v>0,000</v>
      </c>
    </row>
    <row r="34" spans="1:5">
      <c r="A34">
        <v>139000</v>
      </c>
      <c r="B34" t="str">
        <f t="shared" si="1"/>
        <v/>
      </c>
      <c r="C34">
        <f t="shared" si="2"/>
        <v>1900</v>
      </c>
      <c r="D34">
        <f>IF(OR(C34=1900,$D$144=0),0,VLOOKUP(A34,'Estados Financieros'!$A$18:$H$458,5,0))</f>
        <v>0</v>
      </c>
      <c r="E34" t="str">
        <f t="shared" si="0"/>
        <v>0,000</v>
      </c>
    </row>
    <row r="35" spans="1:5">
      <c r="A35">
        <v>139500</v>
      </c>
      <c r="B35" t="str">
        <f t="shared" si="1"/>
        <v/>
      </c>
      <c r="C35">
        <f t="shared" si="2"/>
        <v>1900</v>
      </c>
      <c r="D35">
        <f>IF(OR(C35=1900,$D$144=0),0,VLOOKUP(A35,'Estados Financieros'!$A$18:$H$458,5,0))</f>
        <v>0</v>
      </c>
      <c r="E35" t="str">
        <f t="shared" si="0"/>
        <v>0,000</v>
      </c>
    </row>
    <row r="36" spans="1:5">
      <c r="A36">
        <v>139905</v>
      </c>
      <c r="B36" t="str">
        <f t="shared" si="1"/>
        <v/>
      </c>
      <c r="C36">
        <f t="shared" si="2"/>
        <v>1900</v>
      </c>
      <c r="D36">
        <f>IF(OR(C36=1900,$D$144=0),0,VLOOKUP(A36,'Estados Financieros'!$A$18:$H$458,5,0))</f>
        <v>0</v>
      </c>
      <c r="E36" t="str">
        <f t="shared" si="0"/>
        <v>0,000</v>
      </c>
    </row>
    <row r="37" spans="1:5">
      <c r="A37">
        <v>1106</v>
      </c>
      <c r="B37" t="str">
        <f t="shared" si="1"/>
        <v/>
      </c>
      <c r="C37">
        <f t="shared" si="2"/>
        <v>1900</v>
      </c>
      <c r="D37">
        <f>IF(OR(C37=1900,$D$144=0),0,VLOOKUP(A37,'Estados Financieros'!$A$18:$H$458,5,0))</f>
        <v>0</v>
      </c>
      <c r="E37" t="str">
        <f t="shared" si="0"/>
        <v>0,000</v>
      </c>
    </row>
    <row r="38" spans="1:5">
      <c r="A38">
        <v>110405</v>
      </c>
      <c r="B38" t="str">
        <f t="shared" si="1"/>
        <v/>
      </c>
      <c r="C38">
        <f t="shared" si="2"/>
        <v>1900</v>
      </c>
      <c r="D38">
        <f>IF(OR(C38=1900,$D$144=0),0,VLOOKUP(A38,'Estados Financieros'!$A$18:$H$458,5,0))</f>
        <v>0</v>
      </c>
      <c r="E38" t="str">
        <f t="shared" si="0"/>
        <v>0,000</v>
      </c>
    </row>
    <row r="39" spans="1:5">
      <c r="A39">
        <v>110410</v>
      </c>
      <c r="B39" t="str">
        <f t="shared" si="1"/>
        <v/>
      </c>
      <c r="C39">
        <f t="shared" si="2"/>
        <v>1900</v>
      </c>
      <c r="D39">
        <f>IF(OR(C39=1900,$D$144=0),0,VLOOKUP(A39,'Estados Financieros'!$A$18:$H$458,5,0))</f>
        <v>0</v>
      </c>
      <c r="E39" t="str">
        <f t="shared" si="0"/>
        <v>0,000</v>
      </c>
    </row>
    <row r="40" spans="1:5">
      <c r="A40">
        <v>142500</v>
      </c>
      <c r="B40" t="str">
        <f t="shared" si="1"/>
        <v/>
      </c>
      <c r="C40">
        <f t="shared" si="2"/>
        <v>1900</v>
      </c>
      <c r="D40">
        <f>IF(OR(C40=1900,$D$144=0),0,VLOOKUP(A40,'Estados Financieros'!$A$18:$H$458,5,0))</f>
        <v>0</v>
      </c>
      <c r="E40" t="str">
        <f t="shared" si="0"/>
        <v>0,000</v>
      </c>
    </row>
    <row r="41" spans="1:5">
      <c r="A41">
        <v>110415</v>
      </c>
      <c r="B41" t="str">
        <f t="shared" si="1"/>
        <v/>
      </c>
      <c r="C41">
        <f t="shared" si="2"/>
        <v>1900</v>
      </c>
      <c r="D41">
        <f>IF(OR(C41=1900,$D$144=0),0,VLOOKUP(A41,'Estados Financieros'!$A$18:$H$458,5,0))</f>
        <v>0</v>
      </c>
      <c r="E41" t="str">
        <f t="shared" si="0"/>
        <v>0,000</v>
      </c>
    </row>
    <row r="42" spans="1:5">
      <c r="A42">
        <v>143500</v>
      </c>
      <c r="B42" t="str">
        <f t="shared" si="1"/>
        <v/>
      </c>
      <c r="C42">
        <f t="shared" si="2"/>
        <v>1900</v>
      </c>
      <c r="D42">
        <f>IF(OR(C42=1900,$D$144=0),0,VLOOKUP(A42,'Estados Financieros'!$A$18:$H$458,5,0))</f>
        <v>0</v>
      </c>
      <c r="E42" t="str">
        <f t="shared" si="0"/>
        <v>0,000</v>
      </c>
    </row>
    <row r="43" spans="1:5">
      <c r="A43">
        <v>110420</v>
      </c>
      <c r="B43" t="str">
        <f t="shared" si="1"/>
        <v/>
      </c>
      <c r="C43">
        <f t="shared" si="2"/>
        <v>1900</v>
      </c>
      <c r="D43">
        <f>IF(OR(C43=1900,$D$144=0),0,VLOOKUP(A43,'Estados Financieros'!$A$18:$H$458,5,0))</f>
        <v>0</v>
      </c>
      <c r="E43" t="str">
        <f t="shared" si="0"/>
        <v>0,000</v>
      </c>
    </row>
    <row r="44" spans="1:5">
      <c r="A44">
        <v>110495</v>
      </c>
      <c r="B44" t="str">
        <f t="shared" si="1"/>
        <v/>
      </c>
      <c r="C44">
        <f t="shared" si="2"/>
        <v>1900</v>
      </c>
      <c r="D44">
        <f>IF(OR(C44=1900,$D$144=0),0,VLOOKUP(A44,'Estados Financieros'!$A$18:$H$458,5,0))</f>
        <v>0</v>
      </c>
      <c r="E44" t="str">
        <f t="shared" si="0"/>
        <v>0,000</v>
      </c>
    </row>
    <row r="45" spans="1:5">
      <c r="A45">
        <v>110490</v>
      </c>
      <c r="B45" t="str">
        <f t="shared" si="1"/>
        <v/>
      </c>
      <c r="C45">
        <f t="shared" si="2"/>
        <v>1900</v>
      </c>
      <c r="D45">
        <f>IF(OR(C45=1900,$D$144=0),0,VLOOKUP(A45,'Estados Financieros'!$A$18:$H$458,5,0))</f>
        <v>0</v>
      </c>
      <c r="E45" t="str">
        <f t="shared" si="0"/>
        <v>0,000</v>
      </c>
    </row>
    <row r="46" spans="1:5">
      <c r="A46">
        <v>110491</v>
      </c>
      <c r="B46" t="str">
        <f t="shared" si="1"/>
        <v/>
      </c>
      <c r="C46">
        <f t="shared" si="2"/>
        <v>1900</v>
      </c>
      <c r="D46">
        <f>IF(OR(C46=1900,$D$144=0),0,VLOOKUP(A46,'Estados Financieros'!$A$18:$H$458,5,0))</f>
        <v>0</v>
      </c>
      <c r="E46" t="str">
        <f t="shared" si="0"/>
        <v>0,000</v>
      </c>
    </row>
    <row r="47" spans="1:5">
      <c r="A47">
        <v>149900</v>
      </c>
      <c r="B47" t="str">
        <f t="shared" si="1"/>
        <v/>
      </c>
      <c r="C47">
        <f t="shared" si="2"/>
        <v>1900</v>
      </c>
      <c r="D47">
        <f>IF(OR(C47=1900,$D$144=0),0,VLOOKUP(A47,'Estados Financieros'!$A$18:$H$458,5,0))</f>
        <v>0</v>
      </c>
      <c r="E47" t="str">
        <f t="shared" si="0"/>
        <v>0,000</v>
      </c>
    </row>
    <row r="48" spans="1:5">
      <c r="A48">
        <v>140005</v>
      </c>
      <c r="B48" t="str">
        <f t="shared" si="1"/>
        <v/>
      </c>
      <c r="C48">
        <f t="shared" si="2"/>
        <v>1900</v>
      </c>
      <c r="D48">
        <f>IF(OR(C48=1900,$D$144=0),0,VLOOKUP(A48,'Estados Financieros'!$A$18:$H$458,5,0))</f>
        <v>0</v>
      </c>
      <c r="E48" t="str">
        <f t="shared" si="0"/>
        <v>0,000</v>
      </c>
    </row>
    <row r="49" spans="1:5">
      <c r="A49">
        <v>145500</v>
      </c>
      <c r="B49" t="str">
        <f t="shared" si="1"/>
        <v/>
      </c>
      <c r="C49">
        <f t="shared" si="2"/>
        <v>1900</v>
      </c>
      <c r="D49">
        <f>IF(OR(C49=1900,$D$144=0),0,VLOOKUP(A49,'Estados Financieros'!$A$18:$H$458,5,0))</f>
        <v>0</v>
      </c>
      <c r="E49" t="str">
        <f t="shared" si="0"/>
        <v>0,000</v>
      </c>
    </row>
    <row r="50" spans="1:5">
      <c r="A50">
        <v>146000</v>
      </c>
      <c r="B50" t="str">
        <f t="shared" si="1"/>
        <v/>
      </c>
      <c r="C50">
        <f t="shared" si="2"/>
        <v>1900</v>
      </c>
      <c r="D50">
        <f>IF(OR(C50=1900,$D$144=0),0,VLOOKUP(A50,'Estados Financieros'!$A$18:$H$458,5,0))</f>
        <v>0</v>
      </c>
      <c r="E50" t="str">
        <f t="shared" si="0"/>
        <v>0,000</v>
      </c>
    </row>
    <row r="51" spans="1:5">
      <c r="A51">
        <v>149510</v>
      </c>
      <c r="B51" t="str">
        <f t="shared" si="1"/>
        <v/>
      </c>
      <c r="C51">
        <f t="shared" si="2"/>
        <v>1900</v>
      </c>
      <c r="D51">
        <f>IF(OR(C51=1900,$D$144=0),0,VLOOKUP(A51,'Estados Financieros'!$A$18:$H$458,5,0))</f>
        <v>0</v>
      </c>
      <c r="E51" t="str">
        <f t="shared" si="0"/>
        <v>0,000</v>
      </c>
    </row>
    <row r="52" spans="1:5">
      <c r="A52">
        <v>149901</v>
      </c>
      <c r="B52" t="str">
        <f t="shared" si="1"/>
        <v/>
      </c>
      <c r="C52">
        <f t="shared" si="2"/>
        <v>1900</v>
      </c>
      <c r="D52">
        <f>IF(OR(C52=1900,$D$144=0),0,VLOOKUP(A52,'Estados Financieros'!$A$18:$H$458,5,0))</f>
        <v>0</v>
      </c>
      <c r="E52" t="str">
        <f t="shared" si="0"/>
        <v>0,000</v>
      </c>
    </row>
    <row r="53" spans="1:5">
      <c r="A53">
        <v>149902</v>
      </c>
      <c r="B53" t="str">
        <f t="shared" si="1"/>
        <v/>
      </c>
      <c r="C53">
        <f t="shared" si="2"/>
        <v>1900</v>
      </c>
      <c r="D53">
        <f>IF(OR(C53=1900,$D$144=0),0,VLOOKUP(A53,'Estados Financieros'!$A$18:$H$458,5,0))</f>
        <v>0</v>
      </c>
      <c r="E53" t="str">
        <f t="shared" si="0"/>
        <v>0,000</v>
      </c>
    </row>
    <row r="54" spans="1:5">
      <c r="A54">
        <v>149910</v>
      </c>
      <c r="B54" t="str">
        <f t="shared" si="1"/>
        <v/>
      </c>
      <c r="C54">
        <f t="shared" si="2"/>
        <v>1900</v>
      </c>
      <c r="D54">
        <f>IF(OR(C54=1900,$D$144=0),0,VLOOKUP(A54,'Estados Financieros'!$A$18:$H$458,5,0))</f>
        <v>0</v>
      </c>
      <c r="E54" t="str">
        <f t="shared" si="0"/>
        <v>0,000</v>
      </c>
    </row>
    <row r="55" spans="1:5">
      <c r="A55">
        <v>140010</v>
      </c>
      <c r="B55" t="str">
        <f t="shared" si="1"/>
        <v/>
      </c>
      <c r="C55">
        <f t="shared" si="2"/>
        <v>1900</v>
      </c>
      <c r="D55">
        <f>IF(OR(C55=1900,$D$144=0),0,VLOOKUP(A55,'Estados Financieros'!$A$18:$H$458,5,0))</f>
        <v>0</v>
      </c>
      <c r="E55" t="str">
        <f t="shared" si="0"/>
        <v>0,000</v>
      </c>
    </row>
    <row r="56" spans="1:5">
      <c r="A56">
        <v>1104</v>
      </c>
      <c r="B56" t="str">
        <f t="shared" si="1"/>
        <v/>
      </c>
      <c r="C56">
        <f t="shared" si="2"/>
        <v>1900</v>
      </c>
      <c r="D56">
        <f>+D55+D48</f>
        <v>0</v>
      </c>
      <c r="E56" t="str">
        <f t="shared" si="0"/>
        <v>0,000</v>
      </c>
    </row>
    <row r="57" spans="1:5">
      <c r="A57">
        <v>170500</v>
      </c>
      <c r="B57" t="str">
        <f t="shared" si="1"/>
        <v/>
      </c>
      <c r="C57">
        <f t="shared" si="2"/>
        <v>1900</v>
      </c>
      <c r="D57">
        <f>IF(OR(C57=1900,$D$144=0),0,VLOOKUP(A57,'Estados Financieros'!$A$18:$H$458,5,0))</f>
        <v>0</v>
      </c>
      <c r="E57" t="str">
        <f t="shared" si="0"/>
        <v>0,000</v>
      </c>
    </row>
    <row r="58" spans="1:5">
      <c r="A58">
        <v>171000</v>
      </c>
      <c r="B58" t="str">
        <f t="shared" si="1"/>
        <v/>
      </c>
      <c r="C58">
        <f t="shared" si="2"/>
        <v>1900</v>
      </c>
      <c r="D58">
        <f>IF(OR(C58=1900,$D$144=0),0,VLOOKUP(A58,'Estados Financieros'!$A$18:$H$458,5,0))</f>
        <v>0</v>
      </c>
      <c r="E58" t="str">
        <f t="shared" si="0"/>
        <v>0,000</v>
      </c>
    </row>
    <row r="59" spans="1:5">
      <c r="A59">
        <v>173000</v>
      </c>
      <c r="B59" t="str">
        <f t="shared" si="1"/>
        <v/>
      </c>
      <c r="C59">
        <f t="shared" si="2"/>
        <v>1900</v>
      </c>
      <c r="D59">
        <f>IF(OR(C59=1900,$D$144=0),0,VLOOKUP(A59,'Estados Financieros'!$A$18:$H$458,5,0))</f>
        <v>0</v>
      </c>
      <c r="E59" t="str">
        <f t="shared" si="0"/>
        <v>0,000</v>
      </c>
    </row>
    <row r="60" spans="1:5">
      <c r="A60">
        <v>179500</v>
      </c>
      <c r="B60" t="str">
        <f t="shared" si="1"/>
        <v/>
      </c>
      <c r="C60">
        <f t="shared" si="2"/>
        <v>1900</v>
      </c>
      <c r="D60">
        <f>IF(OR(C60=1900,$D$144=0),0,VLOOKUP(A60,'Estados Financieros'!$A$18:$H$458,5,0))</f>
        <v>0</v>
      </c>
      <c r="E60" t="str">
        <f t="shared" si="0"/>
        <v>0,000</v>
      </c>
    </row>
    <row r="61" spans="1:5">
      <c r="A61">
        <v>179700</v>
      </c>
      <c r="B61" t="str">
        <f t="shared" si="1"/>
        <v/>
      </c>
      <c r="C61">
        <f t="shared" si="2"/>
        <v>1900</v>
      </c>
      <c r="D61">
        <f>IF(OR(C61=1900,$D$144=0),0,VLOOKUP(A61,'Estados Financieros'!$A$18:$H$458,5,0))</f>
        <v>0</v>
      </c>
      <c r="E61" t="str">
        <f t="shared" si="0"/>
        <v>0,000</v>
      </c>
    </row>
    <row r="62" spans="1:5">
      <c r="A62">
        <v>1107</v>
      </c>
      <c r="B62" t="str">
        <f t="shared" si="1"/>
        <v/>
      </c>
      <c r="C62">
        <f t="shared" si="2"/>
        <v>1900</v>
      </c>
      <c r="D62">
        <f>IF(OR(C62=1900,$D$144=0),0,VLOOKUP(A62,'Estados Financieros'!$A$18:$H$458,5,0))</f>
        <v>0</v>
      </c>
      <c r="E62" t="str">
        <f t="shared" si="0"/>
        <v>0,000</v>
      </c>
    </row>
    <row r="63" spans="1:5">
      <c r="A63">
        <v>189500</v>
      </c>
      <c r="B63" t="str">
        <f t="shared" si="1"/>
        <v/>
      </c>
      <c r="C63">
        <f t="shared" si="2"/>
        <v>1900</v>
      </c>
      <c r="D63">
        <f>IF(OR(C63=1900,$D$144=0),0,VLOOKUP(A63,'Estados Financieros'!$A$18:$H$458,5,0))</f>
        <v>0</v>
      </c>
      <c r="E63" t="str">
        <f t="shared" si="0"/>
        <v>0,000</v>
      </c>
    </row>
    <row r="64" spans="1:5">
      <c r="A64">
        <v>181000</v>
      </c>
      <c r="B64" t="str">
        <f t="shared" si="1"/>
        <v/>
      </c>
      <c r="C64">
        <f t="shared" si="2"/>
        <v>1900</v>
      </c>
      <c r="D64">
        <f>IF(OR(C64=1900,$D$144=0),0,VLOOKUP(A64,'Estados Financieros'!$A$18:$H$458,5,0))</f>
        <v>0</v>
      </c>
      <c r="E64" t="str">
        <f t="shared" si="0"/>
        <v>0,000</v>
      </c>
    </row>
    <row r="65" spans="1:5">
      <c r="A65">
        <v>180000</v>
      </c>
      <c r="B65" t="str">
        <f t="shared" si="1"/>
        <v/>
      </c>
      <c r="C65">
        <f t="shared" si="2"/>
        <v>1900</v>
      </c>
      <c r="D65">
        <f>IF(OR(C65=1900,$D$144=0),0,VLOOKUP(A65,'Estados Financieros'!$A$18:$H$458,5,0))</f>
        <v>0</v>
      </c>
      <c r="E65" t="str">
        <f t="shared" si="0"/>
        <v>0,000</v>
      </c>
    </row>
    <row r="66" spans="1:5">
      <c r="A66">
        <v>11</v>
      </c>
      <c r="B66" t="str">
        <f t="shared" si="1"/>
        <v/>
      </c>
      <c r="C66">
        <f t="shared" si="2"/>
        <v>1900</v>
      </c>
      <c r="D66">
        <f>IF(OR(C66=1900,$D$144=0),0,VLOOKUP(A66,'Estados Financieros'!$A$18:$H$458,5,0))</f>
        <v>0</v>
      </c>
      <c r="E66" t="str">
        <f t="shared" ref="E66:E129" si="3">IFERROR(FIXED(D66,3,1),0)</f>
        <v>0,000</v>
      </c>
    </row>
    <row r="67" spans="1:5">
      <c r="A67">
        <v>120104</v>
      </c>
      <c r="B67" t="str">
        <f t="shared" ref="B67:B130" si="4">+B66</f>
        <v/>
      </c>
      <c r="C67">
        <f t="shared" ref="C67:C130" si="5">+C66</f>
        <v>1900</v>
      </c>
      <c r="D67">
        <f>IF(OR(C67=1900,$D$144=0),0,VLOOKUP(A67,'Estados Financieros'!$A$18:$H$458,5,0))</f>
        <v>0</v>
      </c>
      <c r="E67" t="str">
        <f t="shared" si="3"/>
        <v>0,000</v>
      </c>
    </row>
    <row r="68" spans="1:5">
      <c r="A68">
        <v>120108</v>
      </c>
      <c r="B68" t="str">
        <f t="shared" si="4"/>
        <v/>
      </c>
      <c r="C68">
        <f t="shared" si="5"/>
        <v>1900</v>
      </c>
      <c r="D68">
        <f>IF(OR(C68=1900,$D$144=0),0,VLOOKUP(A68,'Estados Financieros'!$A$18:$H$458,5,0))</f>
        <v>0</v>
      </c>
      <c r="E68" t="str">
        <f t="shared" si="3"/>
        <v>0,000</v>
      </c>
    </row>
    <row r="69" spans="1:5">
      <c r="A69">
        <v>151201</v>
      </c>
      <c r="B69" t="str">
        <f t="shared" si="4"/>
        <v/>
      </c>
      <c r="C69">
        <f t="shared" si="5"/>
        <v>1900</v>
      </c>
      <c r="D69">
        <f>IF(OR(C69=1900,$D$144=0),0,VLOOKUP(A69,'Estados Financieros'!$A$18:$H$458,5,0))</f>
        <v>0</v>
      </c>
      <c r="E69" t="str">
        <f t="shared" si="3"/>
        <v>0,000</v>
      </c>
    </row>
    <row r="70" spans="1:5">
      <c r="A70">
        <v>120116</v>
      </c>
      <c r="B70" t="str">
        <f t="shared" si="4"/>
        <v/>
      </c>
      <c r="C70">
        <f t="shared" si="5"/>
        <v>1900</v>
      </c>
      <c r="D70">
        <f>IF(OR(C70=1900,$D$144=0),0,VLOOKUP(A70,'Estados Financieros'!$A$18:$H$458,5,0))</f>
        <v>0</v>
      </c>
      <c r="E70" t="str">
        <f t="shared" si="3"/>
        <v>0,000</v>
      </c>
    </row>
    <row r="71" spans="1:5">
      <c r="A71">
        <v>120120</v>
      </c>
      <c r="B71" t="str">
        <f t="shared" si="4"/>
        <v/>
      </c>
      <c r="C71">
        <f t="shared" si="5"/>
        <v>1900</v>
      </c>
      <c r="D71">
        <f>IF(OR(C71=1900,$D$144=0),0,VLOOKUP(A71,'Estados Financieros'!$A$18:$H$458,5,0))</f>
        <v>0</v>
      </c>
      <c r="E71" t="str">
        <f t="shared" si="3"/>
        <v>0,000</v>
      </c>
    </row>
    <row r="72" spans="1:5">
      <c r="A72">
        <v>120124</v>
      </c>
      <c r="B72" t="str">
        <f t="shared" si="4"/>
        <v/>
      </c>
      <c r="C72">
        <f t="shared" si="5"/>
        <v>1900</v>
      </c>
      <c r="D72">
        <f>IF(OR(C72=1900,$D$144=0),0,VLOOKUP(A72,'Estados Financieros'!$A$18:$H$458,5,0))</f>
        <v>0</v>
      </c>
      <c r="E72" t="str">
        <f t="shared" si="3"/>
        <v>0,000</v>
      </c>
    </row>
    <row r="73" spans="1:5">
      <c r="A73">
        <v>120128</v>
      </c>
      <c r="B73" t="str">
        <f t="shared" si="4"/>
        <v/>
      </c>
      <c r="C73">
        <f t="shared" si="5"/>
        <v>1900</v>
      </c>
      <c r="D73">
        <f>IF(OR(C73=1900,$D$144=0),0,VLOOKUP(A73,'Estados Financieros'!$A$18:$H$458,5,0))</f>
        <v>0</v>
      </c>
      <c r="E73" t="str">
        <f t="shared" si="3"/>
        <v>0,000</v>
      </c>
    </row>
    <row r="74" spans="1:5">
      <c r="A74">
        <v>120140</v>
      </c>
      <c r="B74" t="str">
        <f t="shared" si="4"/>
        <v/>
      </c>
      <c r="C74">
        <f t="shared" si="5"/>
        <v>1900</v>
      </c>
      <c r="D74">
        <f>IF(OR(C74=1900,$D$144=0),0,VLOOKUP(A74,'Estados Financieros'!$A$18:$H$458,5,0))</f>
        <v>0</v>
      </c>
      <c r="E74" t="str">
        <f t="shared" si="3"/>
        <v>0,000</v>
      </c>
    </row>
    <row r="75" spans="1:5">
      <c r="A75">
        <v>155601</v>
      </c>
      <c r="B75" t="str">
        <f t="shared" si="4"/>
        <v/>
      </c>
      <c r="C75">
        <f t="shared" si="5"/>
        <v>1900</v>
      </c>
      <c r="D75">
        <f>IF(OR(C75=1900,$D$144=0),0,VLOOKUP(A75,'Estados Financieros'!$A$18:$H$458,5,0))</f>
        <v>0</v>
      </c>
      <c r="E75" t="str">
        <f t="shared" si="3"/>
        <v>0,000</v>
      </c>
    </row>
    <row r="76" spans="1:5">
      <c r="A76">
        <v>156001</v>
      </c>
      <c r="B76" t="str">
        <f t="shared" si="4"/>
        <v/>
      </c>
      <c r="C76">
        <f t="shared" si="5"/>
        <v>1900</v>
      </c>
      <c r="D76">
        <f>IF(OR(C76=1900,$D$144=0),0,VLOOKUP(A76,'Estados Financieros'!$A$18:$H$458,5,0))</f>
        <v>0</v>
      </c>
      <c r="E76" t="str">
        <f t="shared" si="3"/>
        <v>0,000</v>
      </c>
    </row>
    <row r="77" spans="1:5">
      <c r="A77">
        <v>156401</v>
      </c>
      <c r="B77" t="str">
        <f t="shared" si="4"/>
        <v/>
      </c>
      <c r="C77">
        <f t="shared" si="5"/>
        <v>1900</v>
      </c>
      <c r="D77">
        <f>IF(OR(C77=1900,$D$144=0),0,VLOOKUP(A77,'Estados Financieros'!$A$18:$H$458,5,0))</f>
        <v>0</v>
      </c>
      <c r="E77" t="str">
        <f t="shared" si="3"/>
        <v>0,000</v>
      </c>
    </row>
    <row r="78" spans="1:5">
      <c r="A78">
        <v>157201</v>
      </c>
      <c r="B78" t="str">
        <f t="shared" si="4"/>
        <v/>
      </c>
      <c r="C78">
        <f t="shared" si="5"/>
        <v>1900</v>
      </c>
      <c r="D78">
        <f>IF(OR(C78=1900,$D$144=0),0,VLOOKUP(A78,'Estados Financieros'!$A$18:$H$458,5,0))</f>
        <v>0</v>
      </c>
      <c r="E78" t="str">
        <f t="shared" si="3"/>
        <v>0,000</v>
      </c>
    </row>
    <row r="79" spans="1:5">
      <c r="A79">
        <v>157601</v>
      </c>
      <c r="B79" t="str">
        <f t="shared" si="4"/>
        <v/>
      </c>
      <c r="C79">
        <f t="shared" si="5"/>
        <v>1900</v>
      </c>
      <c r="D79">
        <f>IF(OR(C79=1900,$D$144=0),0,VLOOKUP(A79,'Estados Financieros'!$A$18:$H$458,5,0))</f>
        <v>0</v>
      </c>
      <c r="E79" t="str">
        <f t="shared" si="3"/>
        <v>0,000</v>
      </c>
    </row>
    <row r="80" spans="1:5">
      <c r="A80">
        <v>158401</v>
      </c>
      <c r="B80" t="str">
        <f t="shared" si="4"/>
        <v/>
      </c>
      <c r="C80">
        <f t="shared" si="5"/>
        <v>1900</v>
      </c>
      <c r="D80">
        <f>IF(OR(C80=1900,$D$144=0),0,VLOOKUP(A80,'Estados Financieros'!$A$18:$H$458,5,0))</f>
        <v>0</v>
      </c>
      <c r="E80" t="str">
        <f t="shared" si="3"/>
        <v>0,000</v>
      </c>
    </row>
    <row r="81" spans="1:5">
      <c r="A81">
        <v>158801</v>
      </c>
      <c r="B81" t="str">
        <f t="shared" si="4"/>
        <v/>
      </c>
      <c r="C81">
        <f t="shared" si="5"/>
        <v>1900</v>
      </c>
      <c r="D81">
        <f>IF(OR(C81=1900,$D$144=0),0,VLOOKUP(A81,'Estados Financieros'!$A$18:$H$458,5,0))</f>
        <v>0</v>
      </c>
      <c r="E81" t="str">
        <f t="shared" si="3"/>
        <v>0,000</v>
      </c>
    </row>
    <row r="82" spans="1:5">
      <c r="A82">
        <v>120145</v>
      </c>
      <c r="B82" t="str">
        <f t="shared" si="4"/>
        <v/>
      </c>
      <c r="C82">
        <f t="shared" si="5"/>
        <v>1900</v>
      </c>
      <c r="D82">
        <f>IF(OR(C82=1900,$D$144=0),0,VLOOKUP(A82,'Estados Financieros'!$A$18:$H$458,5,0))</f>
        <v>0</v>
      </c>
      <c r="E82" t="str">
        <f t="shared" si="3"/>
        <v>0,000</v>
      </c>
    </row>
    <row r="83" spans="1:5">
      <c r="A83">
        <v>120195</v>
      </c>
      <c r="B83" t="str">
        <f t="shared" si="4"/>
        <v/>
      </c>
      <c r="C83">
        <f t="shared" si="5"/>
        <v>1900</v>
      </c>
      <c r="D83">
        <f>IF(OR(C83=1900,$D$144=0),0,VLOOKUP(A83,'Estados Financieros'!$A$18:$H$458,5,0))</f>
        <v>0</v>
      </c>
      <c r="E83" t="str">
        <f t="shared" si="3"/>
        <v>0,000</v>
      </c>
    </row>
    <row r="84" spans="1:5">
      <c r="A84">
        <v>159701</v>
      </c>
      <c r="B84" t="str">
        <f t="shared" si="4"/>
        <v/>
      </c>
      <c r="C84">
        <f t="shared" si="5"/>
        <v>1900</v>
      </c>
      <c r="D84">
        <f>IF(OR(C84=1900,$D$144=0),0,VLOOKUP(A84,'Estados Financieros'!$A$18:$H$458,5,0))</f>
        <v>0</v>
      </c>
      <c r="E84" t="str">
        <f t="shared" si="3"/>
        <v>0,000</v>
      </c>
    </row>
    <row r="85" spans="1:5">
      <c r="A85">
        <v>159899</v>
      </c>
      <c r="B85" t="str">
        <f t="shared" si="4"/>
        <v/>
      </c>
      <c r="C85">
        <f t="shared" si="5"/>
        <v>1900</v>
      </c>
      <c r="D85">
        <f>IF(OR(C85=1900,$D$144=0),0,VLOOKUP(A85,'Estados Financieros'!$A$18:$H$458,5,0))</f>
        <v>0</v>
      </c>
      <c r="E85" t="str">
        <f t="shared" si="3"/>
        <v>0,000</v>
      </c>
    </row>
    <row r="86" spans="1:5">
      <c r="A86">
        <v>159901</v>
      </c>
      <c r="B86" t="str">
        <f t="shared" si="4"/>
        <v/>
      </c>
      <c r="C86">
        <f t="shared" si="5"/>
        <v>1900</v>
      </c>
      <c r="D86">
        <f>IF(OR(C86=1900,$D$144=0),0,VLOOKUP(A86,'Estados Financieros'!$A$18:$H$458,5,0))</f>
        <v>0</v>
      </c>
      <c r="E86" t="str">
        <f t="shared" si="3"/>
        <v>0,000</v>
      </c>
    </row>
    <row r="87" spans="1:5">
      <c r="A87">
        <v>1201</v>
      </c>
      <c r="B87" t="str">
        <f t="shared" si="4"/>
        <v/>
      </c>
      <c r="C87">
        <f t="shared" si="5"/>
        <v>1900</v>
      </c>
      <c r="D87">
        <f>IF(OR(C87=1900,$D$144=0),0,VLOOKUP(A87,'Estados Financieros'!$A$18:$H$458,5,0))</f>
        <v>0</v>
      </c>
      <c r="E87" t="str">
        <f t="shared" si="3"/>
        <v>0,000</v>
      </c>
    </row>
    <row r="88" spans="1:5">
      <c r="A88">
        <v>130506</v>
      </c>
      <c r="B88" t="str">
        <f t="shared" si="4"/>
        <v/>
      </c>
      <c r="C88">
        <f t="shared" si="5"/>
        <v>1900</v>
      </c>
      <c r="D88">
        <f>IF(OR(C88=1900,$D$144=0),0,VLOOKUP(A88,'Estados Financieros'!$A$18:$H$458,5,0))</f>
        <v>0</v>
      </c>
      <c r="E88" t="str">
        <f t="shared" si="3"/>
        <v>0,000</v>
      </c>
    </row>
    <row r="89" spans="1:5">
      <c r="A89">
        <v>130511</v>
      </c>
      <c r="B89" t="str">
        <f t="shared" si="4"/>
        <v/>
      </c>
      <c r="C89">
        <f t="shared" si="5"/>
        <v>1900</v>
      </c>
      <c r="D89">
        <f>IF(OR(C89=1900,$D$144=0),0,VLOOKUP(A89,'Estados Financieros'!$A$18:$H$458,5,0))</f>
        <v>0</v>
      </c>
      <c r="E89" t="str">
        <f t="shared" si="3"/>
        <v>0,000</v>
      </c>
    </row>
    <row r="90" spans="1:5">
      <c r="A90">
        <v>131001</v>
      </c>
      <c r="B90" t="str">
        <f t="shared" si="4"/>
        <v/>
      </c>
      <c r="C90">
        <f t="shared" si="5"/>
        <v>1900</v>
      </c>
      <c r="D90">
        <f>IF(OR(C90=1900,$D$144=0),0,VLOOKUP(A90,'Estados Financieros'!$A$18:$H$458,5,0))</f>
        <v>0</v>
      </c>
      <c r="E90" t="str">
        <f t="shared" si="3"/>
        <v>0,000</v>
      </c>
    </row>
    <row r="91" spans="1:5">
      <c r="A91">
        <v>131501</v>
      </c>
      <c r="B91" t="str">
        <f t="shared" si="4"/>
        <v/>
      </c>
      <c r="C91">
        <f t="shared" si="5"/>
        <v>1900</v>
      </c>
      <c r="D91">
        <f>IF(OR(C91=1900,$D$144=0),0,VLOOKUP(A91,'Estados Financieros'!$A$18:$H$458,5,0))</f>
        <v>0</v>
      </c>
      <c r="E91" t="str">
        <f t="shared" si="3"/>
        <v>0,000</v>
      </c>
    </row>
    <row r="92" spans="1:5">
      <c r="A92">
        <v>132001</v>
      </c>
      <c r="B92" t="str">
        <f t="shared" si="4"/>
        <v/>
      </c>
      <c r="C92">
        <f t="shared" si="5"/>
        <v>1900</v>
      </c>
      <c r="D92">
        <f>IF(OR(C92=1900,$D$144=0),0,VLOOKUP(A92,'Estados Financieros'!$A$18:$H$458,5,0))</f>
        <v>0</v>
      </c>
      <c r="E92" t="str">
        <f t="shared" si="3"/>
        <v>0,000</v>
      </c>
    </row>
    <row r="93" spans="1:5">
      <c r="A93">
        <v>132501</v>
      </c>
      <c r="B93" t="str">
        <f t="shared" si="4"/>
        <v/>
      </c>
      <c r="C93">
        <f t="shared" si="5"/>
        <v>1900</v>
      </c>
      <c r="D93">
        <f>IF(OR(C93=1900,$D$144=0),0,VLOOKUP(A93,'Estados Financieros'!$A$18:$H$458,5,0))</f>
        <v>0</v>
      </c>
      <c r="E93" t="str">
        <f t="shared" si="3"/>
        <v>0,000</v>
      </c>
    </row>
    <row r="94" spans="1:5">
      <c r="A94">
        <v>133001</v>
      </c>
      <c r="B94" t="str">
        <f t="shared" si="4"/>
        <v/>
      </c>
      <c r="C94">
        <f t="shared" si="5"/>
        <v>1900</v>
      </c>
      <c r="D94">
        <f>IF(OR(C94=1900,$D$144=0),0,VLOOKUP(A94,'Estados Financieros'!$A$18:$H$458,5,0))</f>
        <v>0</v>
      </c>
      <c r="E94" t="str">
        <f t="shared" si="3"/>
        <v>0,000</v>
      </c>
    </row>
    <row r="95" spans="1:5">
      <c r="A95">
        <v>133501</v>
      </c>
      <c r="B95" t="str">
        <f t="shared" si="4"/>
        <v/>
      </c>
      <c r="C95">
        <f t="shared" si="5"/>
        <v>1900</v>
      </c>
      <c r="D95">
        <f>IF(OR(C95=1900,$D$144=0),0,VLOOKUP(A95,'Estados Financieros'!$A$18:$H$458,5,0))</f>
        <v>0</v>
      </c>
      <c r="E95" t="str">
        <f t="shared" si="3"/>
        <v>0,000</v>
      </c>
    </row>
    <row r="96" spans="1:5">
      <c r="A96">
        <v>134001</v>
      </c>
      <c r="B96" t="str">
        <f t="shared" si="4"/>
        <v/>
      </c>
      <c r="C96">
        <f t="shared" si="5"/>
        <v>1900</v>
      </c>
      <c r="D96">
        <f>IF(OR(C96=1900,$D$144=0),0,VLOOKUP(A96,'Estados Financieros'!$A$18:$H$458,5,0))</f>
        <v>0</v>
      </c>
      <c r="E96" t="str">
        <f t="shared" si="3"/>
        <v>0,000</v>
      </c>
    </row>
    <row r="97" spans="1:5">
      <c r="A97">
        <v>134501</v>
      </c>
      <c r="B97" t="str">
        <f t="shared" si="4"/>
        <v/>
      </c>
      <c r="C97">
        <f t="shared" si="5"/>
        <v>1900</v>
      </c>
      <c r="D97">
        <f>IF(OR(C97=1900,$D$144=0),0,VLOOKUP(A97,'Estados Financieros'!$A$18:$H$458,5,0))</f>
        <v>0</v>
      </c>
      <c r="E97" t="str">
        <f t="shared" si="3"/>
        <v>0,000</v>
      </c>
    </row>
    <row r="98" spans="1:5">
      <c r="A98">
        <v>135001</v>
      </c>
      <c r="B98" t="str">
        <f t="shared" si="4"/>
        <v/>
      </c>
      <c r="C98">
        <f t="shared" si="5"/>
        <v>1900</v>
      </c>
      <c r="D98">
        <f>IF(OR(C98=1900,$D$144=0),0,VLOOKUP(A98,'Estados Financieros'!$A$18:$H$458,5,0))</f>
        <v>0</v>
      </c>
      <c r="E98" t="str">
        <f t="shared" si="3"/>
        <v>0,000</v>
      </c>
    </row>
    <row r="99" spans="1:5">
      <c r="A99">
        <v>135501</v>
      </c>
      <c r="B99" t="str">
        <f t="shared" si="4"/>
        <v/>
      </c>
      <c r="C99">
        <f t="shared" si="5"/>
        <v>1900</v>
      </c>
      <c r="D99">
        <f>IF(OR(C99=1900,$D$144=0),0,VLOOKUP(A99,'Estados Financieros'!$A$18:$H$458,5,0))</f>
        <v>0</v>
      </c>
      <c r="E99" t="str">
        <f t="shared" si="3"/>
        <v>0,000</v>
      </c>
    </row>
    <row r="100" spans="1:5">
      <c r="A100">
        <v>136001</v>
      </c>
      <c r="B100" t="str">
        <f t="shared" si="4"/>
        <v/>
      </c>
      <c r="C100">
        <f t="shared" si="5"/>
        <v>1900</v>
      </c>
      <c r="D100">
        <f>IF(OR(C100=1900,$D$144=0),0,VLOOKUP(A100,'Estados Financieros'!$A$18:$H$458,5,0))</f>
        <v>0</v>
      </c>
      <c r="E100" t="str">
        <f t="shared" si="3"/>
        <v>0,000</v>
      </c>
    </row>
    <row r="101" spans="1:5">
      <c r="A101">
        <v>136501</v>
      </c>
      <c r="B101" t="str">
        <f t="shared" si="4"/>
        <v/>
      </c>
      <c r="C101">
        <f t="shared" si="5"/>
        <v>1900</v>
      </c>
      <c r="D101">
        <f>IF(OR(C101=1900,$D$144=0),0,VLOOKUP(A101,'Estados Financieros'!$A$18:$H$458,5,0))</f>
        <v>0</v>
      </c>
      <c r="E101" t="str">
        <f t="shared" si="3"/>
        <v>0,000</v>
      </c>
    </row>
    <row r="102" spans="1:5">
      <c r="A102">
        <v>137001</v>
      </c>
      <c r="B102" t="str">
        <f t="shared" si="4"/>
        <v/>
      </c>
      <c r="C102">
        <f t="shared" si="5"/>
        <v>1900</v>
      </c>
      <c r="D102">
        <f>IF(OR(C102=1900,$D$144=0),0,VLOOKUP(A102,'Estados Financieros'!$A$18:$H$458,5,0))</f>
        <v>0</v>
      </c>
      <c r="E102" t="str">
        <f t="shared" si="3"/>
        <v>0,000</v>
      </c>
    </row>
    <row r="103" spans="1:5">
      <c r="A103">
        <v>138001</v>
      </c>
      <c r="B103" t="str">
        <f t="shared" si="4"/>
        <v/>
      </c>
      <c r="C103">
        <f t="shared" si="5"/>
        <v>1900</v>
      </c>
      <c r="D103">
        <f>IF(OR(C103=1900,$D$144=0),0,VLOOKUP(A103,'Estados Financieros'!$A$18:$H$458,5,0))</f>
        <v>0</v>
      </c>
      <c r="E103" t="str">
        <f t="shared" si="3"/>
        <v>0,000</v>
      </c>
    </row>
    <row r="104" spans="1:5">
      <c r="A104">
        <v>138501</v>
      </c>
      <c r="B104" t="str">
        <f t="shared" si="4"/>
        <v/>
      </c>
      <c r="C104">
        <f t="shared" si="5"/>
        <v>1900</v>
      </c>
      <c r="D104">
        <f>IF(OR(C104=1900,$D$144=0),0,VLOOKUP(A104,'Estados Financieros'!$A$18:$H$458,5,0))</f>
        <v>0</v>
      </c>
      <c r="E104" t="str">
        <f t="shared" si="3"/>
        <v>0,000</v>
      </c>
    </row>
    <row r="105" spans="1:5">
      <c r="A105">
        <v>139001</v>
      </c>
      <c r="B105" t="str">
        <f t="shared" si="4"/>
        <v/>
      </c>
      <c r="C105">
        <f t="shared" si="5"/>
        <v>1900</v>
      </c>
      <c r="D105">
        <f>IF(OR(C105=1900,$D$144=0),0,VLOOKUP(A105,'Estados Financieros'!$A$18:$H$458,5,0))</f>
        <v>0</v>
      </c>
      <c r="E105" t="str">
        <f t="shared" si="3"/>
        <v>0,000</v>
      </c>
    </row>
    <row r="106" spans="1:5">
      <c r="A106">
        <v>139901</v>
      </c>
      <c r="B106" t="str">
        <f t="shared" si="4"/>
        <v/>
      </c>
      <c r="C106">
        <f t="shared" si="5"/>
        <v>1900</v>
      </c>
      <c r="D106">
        <f>IF(OR(C106=1900,$D$144=0),0,VLOOKUP(A106,'Estados Financieros'!$A$18:$H$458,5,0))</f>
        <v>0</v>
      </c>
      <c r="E106" t="str">
        <f t="shared" si="3"/>
        <v>0,000</v>
      </c>
    </row>
    <row r="107" spans="1:5">
      <c r="A107">
        <v>1205</v>
      </c>
      <c r="B107" t="str">
        <f t="shared" si="4"/>
        <v/>
      </c>
      <c r="C107">
        <f t="shared" si="5"/>
        <v>1900</v>
      </c>
      <c r="D107">
        <f>IF(OR(C107=1900,$D$144=0),0,VLOOKUP(A107,'Estados Financieros'!$A$18:$H$458,5,0))</f>
        <v>0</v>
      </c>
      <c r="E107" t="str">
        <f t="shared" si="3"/>
        <v>0,000</v>
      </c>
    </row>
    <row r="108" spans="1:5">
      <c r="A108">
        <v>120501</v>
      </c>
      <c r="B108" t="str">
        <f t="shared" si="4"/>
        <v/>
      </c>
      <c r="C108">
        <f t="shared" si="5"/>
        <v>1900</v>
      </c>
      <c r="D108">
        <f>IF(OR(C108=1900,$D$144=0),0,VLOOKUP(A108,'Estados Financieros'!$A$18:$H$458,5,0))</f>
        <v>0</v>
      </c>
      <c r="E108" t="str">
        <f t="shared" si="3"/>
        <v>0,000</v>
      </c>
    </row>
    <row r="109" spans="1:5">
      <c r="A109">
        <v>121001</v>
      </c>
      <c r="B109" t="str">
        <f t="shared" si="4"/>
        <v/>
      </c>
      <c r="C109">
        <f t="shared" si="5"/>
        <v>1900</v>
      </c>
      <c r="D109">
        <f>IF(OR(C109=1900,$D$144=0),0,VLOOKUP(A109,'Estados Financieros'!$A$18:$H$458,5,0))</f>
        <v>0</v>
      </c>
      <c r="E109" t="str">
        <f t="shared" si="3"/>
        <v>0,000</v>
      </c>
    </row>
    <row r="110" spans="1:5">
      <c r="A110">
        <v>121501</v>
      </c>
      <c r="B110" t="str">
        <f t="shared" si="4"/>
        <v/>
      </c>
      <c r="C110">
        <f t="shared" si="5"/>
        <v>1900</v>
      </c>
      <c r="D110">
        <f>IF(OR(C110=1900,$D$144=0),0,VLOOKUP(A110,'Estados Financieros'!$A$18:$H$458,5,0))</f>
        <v>0</v>
      </c>
      <c r="E110" t="str">
        <f t="shared" si="3"/>
        <v>0,000</v>
      </c>
    </row>
    <row r="111" spans="1:5">
      <c r="A111">
        <v>123501</v>
      </c>
      <c r="B111" t="str">
        <f t="shared" si="4"/>
        <v/>
      </c>
      <c r="C111">
        <f t="shared" si="5"/>
        <v>1900</v>
      </c>
      <c r="D111">
        <f>IF(OR(C111=1900,$D$144=0),0,VLOOKUP(A111,'Estados Financieros'!$A$18:$H$458,5,0))</f>
        <v>0</v>
      </c>
      <c r="E111" t="str">
        <f t="shared" si="3"/>
        <v>0,000</v>
      </c>
    </row>
    <row r="112" spans="1:5">
      <c r="A112">
        <v>125501</v>
      </c>
      <c r="B112" t="str">
        <f t="shared" si="4"/>
        <v/>
      </c>
      <c r="C112">
        <f t="shared" si="5"/>
        <v>1900</v>
      </c>
      <c r="D112">
        <f>IF(OR(C112=1900,$D$144=0),0,VLOOKUP(A112,'Estados Financieros'!$A$18:$H$458,5,0))</f>
        <v>0</v>
      </c>
      <c r="E112" t="str">
        <f t="shared" si="3"/>
        <v>0,000</v>
      </c>
    </row>
    <row r="113" spans="1:5">
      <c r="A113">
        <v>126001</v>
      </c>
      <c r="B113" t="str">
        <f t="shared" si="4"/>
        <v/>
      </c>
      <c r="C113">
        <f t="shared" si="5"/>
        <v>1900</v>
      </c>
      <c r="D113">
        <f>IF(OR(C113=1900,$D$144=0),0,VLOOKUP(A113,'Estados Financieros'!$A$18:$H$458,5,0))</f>
        <v>0</v>
      </c>
      <c r="E113" t="str">
        <f t="shared" si="3"/>
        <v>0,000</v>
      </c>
    </row>
    <row r="114" spans="1:5">
      <c r="A114">
        <v>129501</v>
      </c>
      <c r="B114" t="str">
        <f t="shared" si="4"/>
        <v/>
      </c>
      <c r="C114">
        <f t="shared" si="5"/>
        <v>1900</v>
      </c>
      <c r="D114">
        <f>IF(OR(C114=1900,$D$144=0),0,VLOOKUP(A114,'Estados Financieros'!$A$18:$H$458,5,0))</f>
        <v>0</v>
      </c>
      <c r="E114" t="str">
        <f t="shared" si="3"/>
        <v>0,000</v>
      </c>
    </row>
    <row r="115" spans="1:5">
      <c r="A115">
        <v>129701</v>
      </c>
      <c r="B115" t="str">
        <f t="shared" si="4"/>
        <v/>
      </c>
      <c r="C115">
        <f t="shared" si="5"/>
        <v>1900</v>
      </c>
      <c r="D115">
        <f>IF(OR(C115=1900,$D$144=0),0,VLOOKUP(A115,'Estados Financieros'!$A$18:$H$458,5,0))</f>
        <v>0</v>
      </c>
      <c r="E115" t="str">
        <f t="shared" si="3"/>
        <v>0,000</v>
      </c>
    </row>
    <row r="116" spans="1:5">
      <c r="A116">
        <v>129901</v>
      </c>
      <c r="B116" t="str">
        <f t="shared" si="4"/>
        <v/>
      </c>
      <c r="C116">
        <f t="shared" si="5"/>
        <v>1900</v>
      </c>
      <c r="D116">
        <f>IF(OR(C116=1900,$D$144=0),0,VLOOKUP(A116,'Estados Financieros'!$A$18:$H$458,5,0))</f>
        <v>0</v>
      </c>
      <c r="E116" t="str">
        <f t="shared" si="3"/>
        <v>0,000</v>
      </c>
    </row>
    <row r="117" spans="1:5">
      <c r="A117">
        <v>1203</v>
      </c>
      <c r="B117" t="str">
        <f t="shared" si="4"/>
        <v/>
      </c>
      <c r="C117">
        <f t="shared" si="5"/>
        <v>1900</v>
      </c>
      <c r="D117">
        <f>IF(OR(C117=1900,$D$144=0),0,VLOOKUP(A117,'Estados Financieros'!$A$18:$H$458,5,0))</f>
        <v>0</v>
      </c>
      <c r="E117" t="str">
        <f t="shared" si="3"/>
        <v>0,000</v>
      </c>
    </row>
    <row r="118" spans="1:5">
      <c r="A118">
        <v>120610</v>
      </c>
      <c r="B118" t="str">
        <f t="shared" si="4"/>
        <v/>
      </c>
      <c r="C118">
        <f t="shared" si="5"/>
        <v>1900</v>
      </c>
      <c r="D118">
        <f>IF(OR(C118=1900,$D$144=0),0,VLOOKUP(A118,'Estados Financieros'!$A$18:$H$458,5,0))</f>
        <v>0</v>
      </c>
      <c r="E118" t="str">
        <f t="shared" si="3"/>
        <v>0,000</v>
      </c>
    </row>
    <row r="119" spans="1:5">
      <c r="A119">
        <v>120615</v>
      </c>
      <c r="B119" t="str">
        <f t="shared" si="4"/>
        <v/>
      </c>
      <c r="C119">
        <f t="shared" si="5"/>
        <v>1900</v>
      </c>
      <c r="D119">
        <f>IF(OR(C119=1900,$D$144=0),0,VLOOKUP(A119,'Estados Financieros'!$A$18:$H$458,5,0))</f>
        <v>0</v>
      </c>
      <c r="E119" t="str">
        <f t="shared" si="3"/>
        <v>0,000</v>
      </c>
    </row>
    <row r="120" spans="1:5">
      <c r="A120">
        <v>173001</v>
      </c>
      <c r="B120" t="str">
        <f t="shared" si="4"/>
        <v/>
      </c>
      <c r="C120">
        <f t="shared" si="5"/>
        <v>1900</v>
      </c>
      <c r="D120">
        <f>IF(OR(C120=1900,$D$144=0),0,VLOOKUP(A120,'Estados Financieros'!$A$18:$H$458,5,0))</f>
        <v>0</v>
      </c>
      <c r="E120" t="str">
        <f t="shared" si="3"/>
        <v>0,000</v>
      </c>
    </row>
    <row r="121" spans="1:5">
      <c r="A121">
        <v>120620</v>
      </c>
      <c r="B121" t="str">
        <f t="shared" si="4"/>
        <v/>
      </c>
      <c r="C121">
        <f t="shared" si="5"/>
        <v>1900</v>
      </c>
      <c r="D121">
        <f>IF(OR(C121=1900,$D$144=0),0,VLOOKUP(A121,'Estados Financieros'!$A$18:$H$458,5,0))</f>
        <v>0</v>
      </c>
      <c r="E121" t="str">
        <f t="shared" si="3"/>
        <v>0,000</v>
      </c>
    </row>
    <row r="122" spans="1:5">
      <c r="A122">
        <v>179701</v>
      </c>
      <c r="B122" t="str">
        <f t="shared" si="4"/>
        <v/>
      </c>
      <c r="C122">
        <f t="shared" si="5"/>
        <v>1900</v>
      </c>
      <c r="D122">
        <f>IF(OR(C122=1900,$D$144=0),0,VLOOKUP(A122,'Estados Financieros'!$A$18:$H$458,5,0))</f>
        <v>0</v>
      </c>
      <c r="E122" t="str">
        <f t="shared" si="3"/>
        <v>0,000</v>
      </c>
    </row>
    <row r="123" spans="1:5">
      <c r="A123">
        <v>179801</v>
      </c>
      <c r="B123" t="str">
        <f t="shared" si="4"/>
        <v/>
      </c>
      <c r="C123">
        <f t="shared" si="5"/>
        <v>1900</v>
      </c>
      <c r="D123">
        <f>IF(OR(C123=1900,$D$144=0),0,VLOOKUP(A123,'Estados Financieros'!$A$18:$H$458,5,0))</f>
        <v>0</v>
      </c>
      <c r="E123" t="str">
        <f t="shared" si="3"/>
        <v>0,000</v>
      </c>
    </row>
    <row r="124" spans="1:5">
      <c r="A124">
        <v>1206</v>
      </c>
      <c r="B124" t="str">
        <f t="shared" si="4"/>
        <v/>
      </c>
      <c r="C124">
        <f t="shared" si="5"/>
        <v>1900</v>
      </c>
      <c r="D124">
        <f>IF(OR(C124=1900,$D$144=0),0,VLOOKUP(A124,'Estados Financieros'!$A$18:$H$458,5,0))</f>
        <v>0</v>
      </c>
      <c r="E124" t="str">
        <f t="shared" si="3"/>
        <v>0,000</v>
      </c>
    </row>
    <row r="125" spans="1:5">
      <c r="A125">
        <v>160501</v>
      </c>
      <c r="B125" t="str">
        <f t="shared" si="4"/>
        <v/>
      </c>
      <c r="C125">
        <f t="shared" si="5"/>
        <v>1900</v>
      </c>
      <c r="D125">
        <f>IF(OR(C125=1900,$D$144=0),0,VLOOKUP(A125,'Estados Financieros'!$A$18:$H$458,5,0))</f>
        <v>0</v>
      </c>
      <c r="E125" t="str">
        <f t="shared" si="3"/>
        <v>0,000</v>
      </c>
    </row>
    <row r="126" spans="1:5">
      <c r="A126">
        <v>161001</v>
      </c>
      <c r="B126" t="str">
        <f t="shared" si="4"/>
        <v/>
      </c>
      <c r="C126">
        <f t="shared" si="5"/>
        <v>1900</v>
      </c>
      <c r="D126">
        <f>IF(OR(C126=1900,$D$144=0),0,VLOOKUP(A126,'Estados Financieros'!$A$18:$H$458,5,0))</f>
        <v>0</v>
      </c>
      <c r="E126" t="str">
        <f t="shared" si="3"/>
        <v>0,000</v>
      </c>
    </row>
    <row r="127" spans="1:5">
      <c r="A127">
        <v>163001</v>
      </c>
      <c r="B127" t="str">
        <f t="shared" si="4"/>
        <v/>
      </c>
      <c r="C127">
        <f t="shared" si="5"/>
        <v>1900</v>
      </c>
      <c r="D127">
        <f>IF(OR(C127=1900,$D$144=0),0,VLOOKUP(A127,'Estados Financieros'!$A$18:$H$458,5,0))</f>
        <v>0</v>
      </c>
      <c r="E127" t="str">
        <f t="shared" si="3"/>
        <v>0,000</v>
      </c>
    </row>
    <row r="128" spans="1:5">
      <c r="A128">
        <v>164001</v>
      </c>
      <c r="B128" t="str">
        <f t="shared" si="4"/>
        <v/>
      </c>
      <c r="C128">
        <f t="shared" si="5"/>
        <v>1900</v>
      </c>
      <c r="D128">
        <f>IF(OR(C128=1900,$D$144=0),0,VLOOKUP(A128,'Estados Financieros'!$A$18:$H$458,5,0))</f>
        <v>0</v>
      </c>
      <c r="E128" t="str">
        <f t="shared" si="3"/>
        <v>0,000</v>
      </c>
    </row>
    <row r="129" spans="1:5">
      <c r="A129">
        <v>109801</v>
      </c>
      <c r="B129" t="str">
        <f t="shared" si="4"/>
        <v/>
      </c>
      <c r="C129">
        <f t="shared" si="5"/>
        <v>1900</v>
      </c>
      <c r="D129">
        <f>IF(OR(C129=1900,$D$144=0),0,VLOOKUP(A129,'Estados Financieros'!$A$18:$H$458,5,0))</f>
        <v>0</v>
      </c>
      <c r="E129" t="str">
        <f t="shared" si="3"/>
        <v>0,000</v>
      </c>
    </row>
    <row r="130" spans="1:5">
      <c r="A130">
        <v>169899</v>
      </c>
      <c r="B130" t="str">
        <f t="shared" si="4"/>
        <v/>
      </c>
      <c r="C130">
        <f t="shared" si="5"/>
        <v>1900</v>
      </c>
      <c r="D130">
        <f>IF(OR(C130=1900,$D$144=0),0,VLOOKUP(A130,'Estados Financieros'!$A$18:$H$458,5,0))</f>
        <v>0</v>
      </c>
      <c r="E130" t="str">
        <f t="shared" ref="E130:E193" si="6">IFERROR(FIXED(D130,3,1),0)</f>
        <v>0,000</v>
      </c>
    </row>
    <row r="131" spans="1:5">
      <c r="A131">
        <v>169901</v>
      </c>
      <c r="B131" t="str">
        <f t="shared" ref="B131:B194" si="7">+B130</f>
        <v/>
      </c>
      <c r="C131">
        <f t="shared" ref="C131:C194" si="8">+C130</f>
        <v>1900</v>
      </c>
      <c r="D131">
        <f>IF(OR(C131=1900,$D$144=0),0,VLOOKUP(A131,'Estados Financieros'!$A$18:$H$458,5,0))</f>
        <v>0</v>
      </c>
      <c r="E131" t="str">
        <f t="shared" si="6"/>
        <v>0,000</v>
      </c>
    </row>
    <row r="132" spans="1:5">
      <c r="A132">
        <v>1202</v>
      </c>
      <c r="B132" t="str">
        <f t="shared" si="7"/>
        <v/>
      </c>
      <c r="C132">
        <f t="shared" si="8"/>
        <v>1900</v>
      </c>
      <c r="D132">
        <f>IF(OR(C132=1900,$D$144=0),0,VLOOKUP(A132,'Estados Financieros'!$A$18:$H$458,5,0))</f>
        <v>0</v>
      </c>
      <c r="E132" t="str">
        <f t="shared" si="6"/>
        <v>0,000</v>
      </c>
    </row>
    <row r="133" spans="1:5">
      <c r="A133">
        <v>180501</v>
      </c>
      <c r="B133" t="str">
        <f t="shared" si="7"/>
        <v/>
      </c>
      <c r="C133">
        <f t="shared" si="8"/>
        <v>1900</v>
      </c>
      <c r="D133">
        <f>IF(OR(C133=1900,$D$144=0),0,VLOOKUP(A133,'Estados Financieros'!$A$18:$H$458,5,0))</f>
        <v>0</v>
      </c>
      <c r="E133" t="str">
        <f t="shared" si="6"/>
        <v>0,000</v>
      </c>
    </row>
    <row r="134" spans="1:5">
      <c r="A134">
        <v>189501</v>
      </c>
      <c r="B134" t="str">
        <f t="shared" si="7"/>
        <v/>
      </c>
      <c r="C134">
        <f t="shared" si="8"/>
        <v>1900</v>
      </c>
      <c r="D134">
        <f>IF(OR(C134=1900,$D$144=0),0,VLOOKUP(A134,'Estados Financieros'!$A$18:$H$458,5,0))</f>
        <v>0</v>
      </c>
      <c r="E134" t="str">
        <f t="shared" si="6"/>
        <v>0,000</v>
      </c>
    </row>
    <row r="135" spans="1:5">
      <c r="A135">
        <v>189520</v>
      </c>
      <c r="B135" t="str">
        <f t="shared" si="7"/>
        <v/>
      </c>
      <c r="C135">
        <f t="shared" si="8"/>
        <v>1900</v>
      </c>
      <c r="D135">
        <f>IF(OR(C135=1900,$D$144=0),0,VLOOKUP(A135,'Estados Financieros'!$A$18:$H$458,5,0))</f>
        <v>0</v>
      </c>
      <c r="E135" t="str">
        <f t="shared" si="6"/>
        <v>0,000</v>
      </c>
    </row>
    <row r="136" spans="1:5">
      <c r="A136">
        <v>189701</v>
      </c>
      <c r="B136" t="str">
        <f t="shared" si="7"/>
        <v/>
      </c>
      <c r="C136">
        <f t="shared" si="8"/>
        <v>1900</v>
      </c>
      <c r="D136">
        <f>IF(OR(C136=1900,$D$144=0),0,VLOOKUP(A136,'Estados Financieros'!$A$18:$H$458,5,0))</f>
        <v>0</v>
      </c>
      <c r="E136" t="str">
        <f t="shared" si="6"/>
        <v>0,000</v>
      </c>
    </row>
    <row r="137" spans="1:5">
      <c r="A137">
        <v>189901</v>
      </c>
      <c r="B137" t="str">
        <f t="shared" si="7"/>
        <v/>
      </c>
      <c r="C137">
        <f t="shared" si="8"/>
        <v>1900</v>
      </c>
      <c r="D137">
        <f>IF(OR(C137=1900,$D$144=0),0,VLOOKUP(A137,'Estados Financieros'!$A$18:$H$458,5,0))</f>
        <v>0</v>
      </c>
      <c r="E137" t="str">
        <f t="shared" si="6"/>
        <v>0,000</v>
      </c>
    </row>
    <row r="138" spans="1:5">
      <c r="A138">
        <v>1207</v>
      </c>
      <c r="B138" t="str">
        <f t="shared" si="7"/>
        <v/>
      </c>
      <c r="C138">
        <f t="shared" si="8"/>
        <v>1900</v>
      </c>
      <c r="D138">
        <f>IF(OR(C138=1900,$D$144=0),0,VLOOKUP(A138,'Estados Financieros'!$A$18:$H$458,5,0))</f>
        <v>0</v>
      </c>
      <c r="E138" t="str">
        <f t="shared" si="6"/>
        <v>0,000</v>
      </c>
    </row>
    <row r="139" spans="1:5">
      <c r="A139">
        <v>190501</v>
      </c>
      <c r="B139" t="str">
        <f t="shared" si="7"/>
        <v/>
      </c>
      <c r="C139">
        <f t="shared" si="8"/>
        <v>1900</v>
      </c>
      <c r="D139">
        <f>IF(OR(C139=1900,$D$144=0),0,VLOOKUP(A139,'Estados Financieros'!$A$18:$H$458,5,0))</f>
        <v>0</v>
      </c>
      <c r="E139" t="str">
        <f t="shared" si="6"/>
        <v>0,000</v>
      </c>
    </row>
    <row r="140" spans="1:5">
      <c r="A140">
        <v>191001</v>
      </c>
      <c r="B140" t="str">
        <f t="shared" si="7"/>
        <v/>
      </c>
      <c r="C140">
        <f t="shared" si="8"/>
        <v>1900</v>
      </c>
      <c r="D140">
        <f>IF(OR(C140=1900,$D$144=0),0,VLOOKUP(A140,'Estados Financieros'!$A$18:$H$458,5,0))</f>
        <v>0</v>
      </c>
      <c r="E140" t="str">
        <f t="shared" si="6"/>
        <v>0,000</v>
      </c>
    </row>
    <row r="141" spans="1:5">
      <c r="A141">
        <v>199501</v>
      </c>
      <c r="B141" t="str">
        <f t="shared" si="7"/>
        <v/>
      </c>
      <c r="C141">
        <f t="shared" si="8"/>
        <v>1900</v>
      </c>
      <c r="D141">
        <f>IF(OR(C141=1900,$D$144=0),0,VLOOKUP(A141,'Estados Financieros'!$A$18:$H$458,5,0))</f>
        <v>0</v>
      </c>
      <c r="E141" t="str">
        <f t="shared" si="6"/>
        <v>0,000</v>
      </c>
    </row>
    <row r="142" spans="1:5">
      <c r="A142">
        <v>1208</v>
      </c>
      <c r="B142" t="str">
        <f t="shared" si="7"/>
        <v/>
      </c>
      <c r="C142">
        <f t="shared" si="8"/>
        <v>1900</v>
      </c>
      <c r="D142">
        <f>IF(OR(C142=1900,$D$144=0),0,VLOOKUP(A142,'Estados Financieros'!$A$18:$H$458,5,0))</f>
        <v>0</v>
      </c>
      <c r="E142" t="str">
        <f t="shared" si="6"/>
        <v>0,000</v>
      </c>
    </row>
    <row r="143" spans="1:5">
      <c r="A143">
        <v>12</v>
      </c>
      <c r="B143" t="str">
        <f t="shared" si="7"/>
        <v/>
      </c>
      <c r="C143">
        <f t="shared" si="8"/>
        <v>1900</v>
      </c>
      <c r="D143">
        <f>IF(OR(C143=1900,$D$144=0),0,VLOOKUP(A143,'Estados Financieros'!$A$18:$H$458,5,0))</f>
        <v>0</v>
      </c>
      <c r="E143" t="str">
        <f t="shared" si="6"/>
        <v>0,000</v>
      </c>
    </row>
    <row r="144" spans="1:5">
      <c r="A144">
        <v>1</v>
      </c>
      <c r="B144" t="str">
        <f t="shared" si="7"/>
        <v/>
      </c>
      <c r="C144">
        <f t="shared" si="8"/>
        <v>1900</v>
      </c>
      <c r="D144">
        <f>IF(C144=1900,0,VLOOKUP(A144,'Estados Financieros'!$A$18:$H$458,5,0))</f>
        <v>0</v>
      </c>
      <c r="E144" t="str">
        <f t="shared" si="6"/>
        <v>0,000</v>
      </c>
    </row>
    <row r="145" spans="1:5">
      <c r="A145">
        <v>108100</v>
      </c>
      <c r="B145" t="str">
        <f t="shared" si="7"/>
        <v/>
      </c>
      <c r="C145">
        <f t="shared" si="8"/>
        <v>1900</v>
      </c>
      <c r="D145">
        <f>IF(OR(C145=1900,$D$144=0),0,VLOOKUP(A145,'Estados Financieros'!$A$18:$H$458,5,0))</f>
        <v>0</v>
      </c>
      <c r="E145" t="str">
        <f t="shared" si="6"/>
        <v>0,000</v>
      </c>
    </row>
    <row r="146" spans="1:5">
      <c r="A146">
        <v>108200</v>
      </c>
      <c r="B146" t="str">
        <f t="shared" si="7"/>
        <v/>
      </c>
      <c r="C146">
        <f t="shared" si="8"/>
        <v>1900</v>
      </c>
      <c r="D146">
        <f>IF(OR(C146=1900,$D$144=0),0,VLOOKUP(A146,'Estados Financieros'!$A$18:$H$458,5,0))</f>
        <v>0</v>
      </c>
      <c r="E146" t="str">
        <f t="shared" si="6"/>
        <v>0,000</v>
      </c>
    </row>
    <row r="147" spans="1:5">
      <c r="A147">
        <v>108300</v>
      </c>
      <c r="B147" t="str">
        <f t="shared" si="7"/>
        <v/>
      </c>
      <c r="C147">
        <f t="shared" si="8"/>
        <v>1900</v>
      </c>
      <c r="D147">
        <f>IF(OR(C147=1900,$D$144=0),0,VLOOKUP(A147,'Estados Financieros'!$A$18:$H$458,5,0))</f>
        <v>0</v>
      </c>
      <c r="E147" t="str">
        <f t="shared" si="6"/>
        <v>0,000</v>
      </c>
    </row>
    <row r="148" spans="1:5">
      <c r="A148">
        <v>108400</v>
      </c>
      <c r="B148" t="str">
        <f t="shared" si="7"/>
        <v/>
      </c>
      <c r="C148">
        <f t="shared" si="8"/>
        <v>1900</v>
      </c>
      <c r="D148">
        <f>IF(OR(C148=1900,$D$144=0),0,VLOOKUP(A148,'Estados Financieros'!$A$18:$H$458,5,0))</f>
        <v>0</v>
      </c>
      <c r="E148" t="str">
        <f t="shared" si="6"/>
        <v>0,000</v>
      </c>
    </row>
    <row r="149" spans="1:5">
      <c r="A149">
        <v>108000</v>
      </c>
      <c r="B149" t="str">
        <f t="shared" si="7"/>
        <v/>
      </c>
      <c r="C149">
        <f t="shared" si="8"/>
        <v>1900</v>
      </c>
      <c r="D149">
        <f>IF(OR(C149=1900,$D$144=0),0,VLOOKUP(A149,'Estados Financieros'!$A$18:$H$458,5,0))</f>
        <v>0</v>
      </c>
      <c r="E149" t="str">
        <f t="shared" si="6"/>
        <v>0,000</v>
      </c>
    </row>
    <row r="150" spans="1:5">
      <c r="A150">
        <v>210500</v>
      </c>
      <c r="B150" t="str">
        <f t="shared" si="7"/>
        <v/>
      </c>
      <c r="C150">
        <f t="shared" si="8"/>
        <v>1900</v>
      </c>
      <c r="D150">
        <f>IF(OR(C150=1900,$D$144=0),0,VLOOKUP(A150,'Estados Financieros'!$A$18:$H$458,5,0))</f>
        <v>0</v>
      </c>
      <c r="E150" t="str">
        <f t="shared" si="6"/>
        <v>0,000</v>
      </c>
    </row>
    <row r="151" spans="1:5">
      <c r="A151">
        <v>211500</v>
      </c>
      <c r="B151" t="str">
        <f t="shared" si="7"/>
        <v/>
      </c>
      <c r="C151">
        <f t="shared" si="8"/>
        <v>1900</v>
      </c>
      <c r="D151">
        <f>IF(OR(C151=1900,$D$144=0),0,VLOOKUP(A151,'Estados Financieros'!$A$18:$H$458,5,0))</f>
        <v>0</v>
      </c>
      <c r="E151" t="str">
        <f t="shared" si="6"/>
        <v>0,000</v>
      </c>
    </row>
    <row r="152" spans="1:5">
      <c r="A152">
        <v>219500</v>
      </c>
      <c r="B152" t="str">
        <f t="shared" si="7"/>
        <v/>
      </c>
      <c r="C152">
        <f t="shared" si="8"/>
        <v>1900</v>
      </c>
      <c r="D152">
        <f>IF(OR(C152=1900,$D$144=0),0,VLOOKUP(A152,'Estados Financieros'!$A$18:$H$458,5,0))</f>
        <v>0</v>
      </c>
      <c r="E152" t="str">
        <f t="shared" si="6"/>
        <v>0,000</v>
      </c>
    </row>
    <row r="153" spans="1:5">
      <c r="A153">
        <v>2101</v>
      </c>
      <c r="B153" t="str">
        <f t="shared" si="7"/>
        <v/>
      </c>
      <c r="C153">
        <f t="shared" si="8"/>
        <v>1900</v>
      </c>
      <c r="D153">
        <f>IF(OR(C153=1900,$D$144=0),0,VLOOKUP(A153,'Estados Financieros'!$A$18:$H$458,5,0))</f>
        <v>0</v>
      </c>
      <c r="E153" t="str">
        <f t="shared" si="6"/>
        <v>0,000</v>
      </c>
    </row>
    <row r="154" spans="1:5">
      <c r="A154">
        <v>220500</v>
      </c>
      <c r="B154" t="str">
        <f t="shared" si="7"/>
        <v/>
      </c>
      <c r="C154">
        <f t="shared" si="8"/>
        <v>1900</v>
      </c>
      <c r="D154">
        <f>IF(OR(C154=1900,$D$144=0),0,VLOOKUP(A154,'Estados Financieros'!$A$18:$H$458,5,0))</f>
        <v>0</v>
      </c>
      <c r="E154" t="str">
        <f t="shared" si="6"/>
        <v>0,000</v>
      </c>
    </row>
    <row r="155" spans="1:5">
      <c r="A155">
        <v>221000</v>
      </c>
      <c r="B155" t="str">
        <f t="shared" si="7"/>
        <v/>
      </c>
      <c r="C155">
        <f t="shared" si="8"/>
        <v>1900</v>
      </c>
      <c r="D155">
        <f>IF(OR(C155=1900,$D$144=0),0,VLOOKUP(A155,'Estados Financieros'!$A$18:$H$458,5,0))</f>
        <v>0</v>
      </c>
      <c r="E155" t="str">
        <f t="shared" si="6"/>
        <v>0,000</v>
      </c>
    </row>
    <row r="156" spans="1:5">
      <c r="A156">
        <v>221500</v>
      </c>
      <c r="B156" t="str">
        <f t="shared" si="7"/>
        <v/>
      </c>
      <c r="C156">
        <f t="shared" si="8"/>
        <v>1900</v>
      </c>
      <c r="D156">
        <f>IF(OR(C156=1900,$D$144=0),0,VLOOKUP(A156,'Estados Financieros'!$A$18:$H$458,5,0))</f>
        <v>0</v>
      </c>
      <c r="E156" t="str">
        <f t="shared" si="6"/>
        <v>0,000</v>
      </c>
    </row>
    <row r="157" spans="1:5">
      <c r="A157">
        <v>2102</v>
      </c>
      <c r="B157" t="str">
        <f t="shared" si="7"/>
        <v/>
      </c>
      <c r="C157">
        <f t="shared" si="8"/>
        <v>1900</v>
      </c>
      <c r="D157">
        <f>IF(OR(C157=1900,$D$144=0),0,VLOOKUP(A157,'Estados Financieros'!$A$18:$H$458,5,0))</f>
        <v>0</v>
      </c>
      <c r="E157" t="str">
        <f t="shared" si="6"/>
        <v>0,000</v>
      </c>
    </row>
    <row r="158" spans="1:5">
      <c r="A158">
        <v>230500</v>
      </c>
      <c r="B158" t="str">
        <f t="shared" si="7"/>
        <v/>
      </c>
      <c r="C158">
        <f t="shared" si="8"/>
        <v>1900</v>
      </c>
      <c r="D158">
        <f>IF(OR(C158=1900,$D$144=0),0,VLOOKUP(A158,'Estados Financieros'!$A$18:$H$458,5,0))</f>
        <v>0</v>
      </c>
      <c r="E158" t="str">
        <f t="shared" si="6"/>
        <v>0,000</v>
      </c>
    </row>
    <row r="159" spans="1:5">
      <c r="A159">
        <v>231000</v>
      </c>
      <c r="B159" t="str">
        <f t="shared" si="7"/>
        <v/>
      </c>
      <c r="C159">
        <f t="shared" si="8"/>
        <v>1900</v>
      </c>
      <c r="D159">
        <f>IF(OR(C159=1900,$D$144=0),0,VLOOKUP(A159,'Estados Financieros'!$A$18:$H$458,5,0))</f>
        <v>0</v>
      </c>
      <c r="E159" t="str">
        <f t="shared" si="6"/>
        <v>0,000</v>
      </c>
    </row>
    <row r="160" spans="1:5">
      <c r="A160">
        <v>231500</v>
      </c>
      <c r="B160" t="str">
        <f t="shared" si="7"/>
        <v/>
      </c>
      <c r="C160">
        <f t="shared" si="8"/>
        <v>1900</v>
      </c>
      <c r="D160">
        <f>IF(OR(C160=1900,$D$144=0),0,VLOOKUP(A160,'Estados Financieros'!$A$18:$H$458,5,0))</f>
        <v>0</v>
      </c>
      <c r="E160" t="str">
        <f t="shared" si="6"/>
        <v>0,000</v>
      </c>
    </row>
    <row r="161" spans="1:5">
      <c r="A161">
        <v>232000</v>
      </c>
      <c r="B161" t="str">
        <f t="shared" si="7"/>
        <v/>
      </c>
      <c r="C161">
        <f t="shared" si="8"/>
        <v>1900</v>
      </c>
      <c r="D161">
        <f>IF(OR(C161=1900,$D$144=0),0,VLOOKUP(A161,'Estados Financieros'!$A$18:$H$458,5,0))</f>
        <v>0</v>
      </c>
      <c r="E161" t="str">
        <f t="shared" si="6"/>
        <v>0,000</v>
      </c>
    </row>
    <row r="162" spans="1:5">
      <c r="A162">
        <v>233500</v>
      </c>
      <c r="B162" t="str">
        <f t="shared" si="7"/>
        <v/>
      </c>
      <c r="C162">
        <f t="shared" si="8"/>
        <v>1900</v>
      </c>
      <c r="D162">
        <f>IF(OR(C162=1900,$D$144=0),0,VLOOKUP(A162,'Estados Financieros'!$A$18:$H$458,5,0))</f>
        <v>0</v>
      </c>
      <c r="E162" t="str">
        <f t="shared" si="6"/>
        <v>0,000</v>
      </c>
    </row>
    <row r="163" spans="1:5">
      <c r="A163">
        <v>234500</v>
      </c>
      <c r="B163" t="str">
        <f t="shared" si="7"/>
        <v/>
      </c>
      <c r="C163">
        <f t="shared" si="8"/>
        <v>1900</v>
      </c>
      <c r="D163">
        <f>IF(OR(C163=1900,$D$144=0),0,VLOOKUP(A163,'Estados Financieros'!$A$18:$H$458,5,0))</f>
        <v>0</v>
      </c>
      <c r="E163" t="str">
        <f t="shared" si="6"/>
        <v>0,000</v>
      </c>
    </row>
    <row r="164" spans="1:5">
      <c r="A164">
        <v>235000</v>
      </c>
      <c r="B164" t="str">
        <f t="shared" si="7"/>
        <v/>
      </c>
      <c r="C164">
        <f t="shared" si="8"/>
        <v>1900</v>
      </c>
      <c r="D164">
        <f>IF(OR(C164=1900,$D$144=0),0,VLOOKUP(A164,'Estados Financieros'!$A$18:$H$458,5,0))</f>
        <v>0</v>
      </c>
      <c r="E164" t="str">
        <f t="shared" si="6"/>
        <v>0,000</v>
      </c>
    </row>
    <row r="165" spans="1:5">
      <c r="A165">
        <v>235500</v>
      </c>
      <c r="B165" t="str">
        <f t="shared" si="7"/>
        <v/>
      </c>
      <c r="C165">
        <f t="shared" si="8"/>
        <v>1900</v>
      </c>
      <c r="D165">
        <f>IF(OR(C165=1900,$D$144=0),0,VLOOKUP(A165,'Estados Financieros'!$A$18:$H$458,5,0))</f>
        <v>0</v>
      </c>
      <c r="E165" t="str">
        <f t="shared" si="6"/>
        <v>0,000</v>
      </c>
    </row>
    <row r="166" spans="1:5">
      <c r="A166">
        <v>236000</v>
      </c>
      <c r="B166" t="str">
        <f t="shared" si="7"/>
        <v/>
      </c>
      <c r="C166">
        <f t="shared" si="8"/>
        <v>1900</v>
      </c>
      <c r="D166">
        <f>IF(OR(C166=1900,$D$144=0),0,VLOOKUP(A166,'Estados Financieros'!$A$18:$H$458,5,0))</f>
        <v>0</v>
      </c>
      <c r="E166" t="str">
        <f t="shared" si="6"/>
        <v>0,000</v>
      </c>
    </row>
    <row r="167" spans="1:5">
      <c r="A167">
        <v>236500</v>
      </c>
      <c r="B167" t="str">
        <f t="shared" si="7"/>
        <v/>
      </c>
      <c r="C167">
        <f t="shared" si="8"/>
        <v>1900</v>
      </c>
      <c r="D167">
        <f>IF(OR(C167=1900,$D$144=0),0,VLOOKUP(A167,'Estados Financieros'!$A$18:$H$458,5,0))</f>
        <v>0</v>
      </c>
      <c r="E167" t="str">
        <f t="shared" si="6"/>
        <v>0,000</v>
      </c>
    </row>
    <row r="168" spans="1:5">
      <c r="A168">
        <v>236700</v>
      </c>
      <c r="B168" t="str">
        <f t="shared" si="7"/>
        <v/>
      </c>
      <c r="C168">
        <f t="shared" si="8"/>
        <v>1900</v>
      </c>
      <c r="D168">
        <f>IF(OR(C168=1900,$D$144=0),0,VLOOKUP(A168,'Estados Financieros'!$A$18:$H$458,5,0))</f>
        <v>0</v>
      </c>
      <c r="E168" t="str">
        <f t="shared" si="6"/>
        <v>0,000</v>
      </c>
    </row>
    <row r="169" spans="1:5">
      <c r="A169">
        <v>236800</v>
      </c>
      <c r="B169" t="str">
        <f t="shared" si="7"/>
        <v/>
      </c>
      <c r="C169">
        <f t="shared" si="8"/>
        <v>1900</v>
      </c>
      <c r="D169">
        <f>IF(OR(C169=1900,$D$144=0),0,VLOOKUP(A169,'Estados Financieros'!$A$18:$H$458,5,0))</f>
        <v>0</v>
      </c>
      <c r="E169" t="str">
        <f t="shared" si="6"/>
        <v>0,000</v>
      </c>
    </row>
    <row r="170" spans="1:5">
      <c r="A170">
        <v>237000</v>
      </c>
      <c r="B170" t="str">
        <f t="shared" si="7"/>
        <v/>
      </c>
      <c r="C170">
        <f t="shared" si="8"/>
        <v>1900</v>
      </c>
      <c r="D170">
        <f>IF(OR(C170=1900,$D$144=0),0,VLOOKUP(A170,'Estados Financieros'!$A$18:$H$458,5,0))</f>
        <v>0</v>
      </c>
      <c r="E170" t="str">
        <f t="shared" si="6"/>
        <v>0,000</v>
      </c>
    </row>
    <row r="171" spans="1:5">
      <c r="A171">
        <v>238000</v>
      </c>
      <c r="B171" t="str">
        <f t="shared" si="7"/>
        <v/>
      </c>
      <c r="C171">
        <f t="shared" si="8"/>
        <v>1900</v>
      </c>
      <c r="D171">
        <f>IF(OR(C171=1900,$D$144=0),0,VLOOKUP(A171,'Estados Financieros'!$A$18:$H$458,5,0))</f>
        <v>0</v>
      </c>
      <c r="E171" t="str">
        <f t="shared" si="6"/>
        <v>0,000</v>
      </c>
    </row>
    <row r="172" spans="1:5">
      <c r="A172">
        <v>2103</v>
      </c>
      <c r="B172" t="str">
        <f t="shared" si="7"/>
        <v/>
      </c>
      <c r="C172">
        <f t="shared" si="8"/>
        <v>1900</v>
      </c>
      <c r="D172">
        <f>IF(OR(C172=1900,$D$144=0),0,VLOOKUP(A172,'Estados Financieros'!$A$18:$H$458,5,0))</f>
        <v>0</v>
      </c>
      <c r="E172" t="str">
        <f t="shared" si="6"/>
        <v>0,000</v>
      </c>
    </row>
    <row r="173" spans="1:5">
      <c r="A173">
        <v>240400</v>
      </c>
      <c r="B173" t="str">
        <f t="shared" si="7"/>
        <v/>
      </c>
      <c r="C173">
        <f t="shared" si="8"/>
        <v>1900</v>
      </c>
      <c r="D173">
        <f>IF(OR(C173=1900,$D$144=0),0,VLOOKUP(A173,'Estados Financieros'!$A$18:$H$458,5,0))</f>
        <v>0</v>
      </c>
      <c r="E173" t="str">
        <f t="shared" si="6"/>
        <v>0,000</v>
      </c>
    </row>
    <row r="174" spans="1:5">
      <c r="A174">
        <v>240800</v>
      </c>
      <c r="B174" t="str">
        <f t="shared" si="7"/>
        <v/>
      </c>
      <c r="C174">
        <f t="shared" si="8"/>
        <v>1900</v>
      </c>
      <c r="D174">
        <f>IF(OR(C174=1900,$D$144=0),0,VLOOKUP(A174,'Estados Financieros'!$A$18:$H$458,5,0))</f>
        <v>0</v>
      </c>
      <c r="E174" t="str">
        <f t="shared" si="6"/>
        <v>0,000</v>
      </c>
    </row>
    <row r="175" spans="1:5">
      <c r="A175">
        <v>241200</v>
      </c>
      <c r="B175" t="str">
        <f t="shared" si="7"/>
        <v/>
      </c>
      <c r="C175">
        <f t="shared" si="8"/>
        <v>1900</v>
      </c>
      <c r="D175">
        <f>IF(OR(C175=1900,$D$144=0),0,VLOOKUP(A175,'Estados Financieros'!$A$18:$H$458,5,0))</f>
        <v>0</v>
      </c>
      <c r="E175" t="str">
        <f t="shared" si="6"/>
        <v>0,000</v>
      </c>
    </row>
    <row r="176" spans="1:5">
      <c r="A176">
        <v>249500</v>
      </c>
      <c r="B176" t="str">
        <f t="shared" si="7"/>
        <v/>
      </c>
      <c r="C176">
        <f t="shared" si="8"/>
        <v>1900</v>
      </c>
      <c r="D176">
        <f>IF(OR(C176=1900,$D$144=0),0,VLOOKUP(A176,'Estados Financieros'!$A$18:$H$458,5,0))</f>
        <v>0</v>
      </c>
      <c r="E176" t="str">
        <f t="shared" si="6"/>
        <v>0,000</v>
      </c>
    </row>
    <row r="177" spans="1:5">
      <c r="A177">
        <v>2105</v>
      </c>
      <c r="B177" t="str">
        <f t="shared" si="7"/>
        <v/>
      </c>
      <c r="C177">
        <f t="shared" si="8"/>
        <v>1900</v>
      </c>
      <c r="D177">
        <f>IF(OR(C177=1900,$D$144=0),0,VLOOKUP(A177,'Estados Financieros'!$A$18:$H$458,5,0))</f>
        <v>0</v>
      </c>
      <c r="E177" t="str">
        <f t="shared" si="6"/>
        <v>0,000</v>
      </c>
    </row>
    <row r="178" spans="1:5">
      <c r="A178">
        <v>250500</v>
      </c>
      <c r="B178" t="str">
        <f t="shared" si="7"/>
        <v/>
      </c>
      <c r="C178">
        <f t="shared" si="8"/>
        <v>1900</v>
      </c>
      <c r="D178">
        <f>IF(OR(C178=1900,$D$144=0),0,VLOOKUP(A178,'Estados Financieros'!$A$18:$H$458,5,0))</f>
        <v>0</v>
      </c>
      <c r="E178" t="str">
        <f t="shared" si="6"/>
        <v>0,000</v>
      </c>
    </row>
    <row r="179" spans="1:5">
      <c r="A179">
        <v>251000</v>
      </c>
      <c r="B179" t="str">
        <f t="shared" si="7"/>
        <v/>
      </c>
      <c r="C179">
        <f t="shared" si="8"/>
        <v>1900</v>
      </c>
      <c r="D179">
        <f>IF(OR(C179=1900,$D$144=0),0,VLOOKUP(A179,'Estados Financieros'!$A$18:$H$458,5,0))</f>
        <v>0</v>
      </c>
      <c r="E179" t="str">
        <f t="shared" si="6"/>
        <v>0,000</v>
      </c>
    </row>
    <row r="180" spans="1:5">
      <c r="A180">
        <v>251500</v>
      </c>
      <c r="B180" t="str">
        <f t="shared" si="7"/>
        <v/>
      </c>
      <c r="C180">
        <f t="shared" si="8"/>
        <v>1900</v>
      </c>
      <c r="D180">
        <f>IF(OR(C180=1900,$D$144=0),0,VLOOKUP(A180,'Estados Financieros'!$A$18:$H$458,5,0))</f>
        <v>0</v>
      </c>
      <c r="E180" t="str">
        <f t="shared" si="6"/>
        <v>0,000</v>
      </c>
    </row>
    <row r="181" spans="1:5">
      <c r="A181">
        <v>252500</v>
      </c>
      <c r="B181" t="str">
        <f t="shared" si="7"/>
        <v/>
      </c>
      <c r="C181">
        <f t="shared" si="8"/>
        <v>1900</v>
      </c>
      <c r="D181">
        <f>IF(OR(C181=1900,$D$144=0),0,VLOOKUP(A181,'Estados Financieros'!$A$18:$H$458,5,0))</f>
        <v>0</v>
      </c>
      <c r="E181" t="str">
        <f t="shared" si="6"/>
        <v>0,000</v>
      </c>
    </row>
    <row r="182" spans="1:5">
      <c r="A182">
        <v>253000</v>
      </c>
      <c r="B182" t="str">
        <f t="shared" si="7"/>
        <v/>
      </c>
      <c r="C182">
        <f t="shared" si="8"/>
        <v>1900</v>
      </c>
      <c r="D182">
        <f>IF(OR(C182=1900,$D$144=0),0,VLOOKUP(A182,'Estados Financieros'!$A$18:$H$458,5,0))</f>
        <v>0</v>
      </c>
      <c r="E182" t="str">
        <f t="shared" si="6"/>
        <v>0,000</v>
      </c>
    </row>
    <row r="183" spans="1:5">
      <c r="A183">
        <v>259500</v>
      </c>
      <c r="B183" t="str">
        <f t="shared" si="7"/>
        <v/>
      </c>
      <c r="C183">
        <f t="shared" si="8"/>
        <v>1900</v>
      </c>
      <c r="D183">
        <f>IF(OR(C183=1900,$D$144=0),0,VLOOKUP(A183,'Estados Financieros'!$A$18:$H$458,5,0))</f>
        <v>0</v>
      </c>
      <c r="E183" t="str">
        <f t="shared" si="6"/>
        <v>0,000</v>
      </c>
    </row>
    <row r="184" spans="1:5">
      <c r="A184">
        <v>2104</v>
      </c>
      <c r="B184" t="str">
        <f t="shared" si="7"/>
        <v/>
      </c>
      <c r="C184">
        <f t="shared" si="8"/>
        <v>1900</v>
      </c>
      <c r="D184">
        <f>IF(OR(C184=1900,$D$144=0),0,VLOOKUP(A184,'Estados Financieros'!$A$18:$H$458,5,0))</f>
        <v>0</v>
      </c>
      <c r="E184" t="str">
        <f t="shared" si="6"/>
        <v>0,000</v>
      </c>
    </row>
    <row r="185" spans="1:5">
      <c r="A185">
        <v>260500</v>
      </c>
      <c r="B185" t="str">
        <f t="shared" si="7"/>
        <v/>
      </c>
      <c r="C185">
        <f t="shared" si="8"/>
        <v>1900</v>
      </c>
      <c r="D185">
        <f>IF(OR(C185=1900,$D$144=0),0,VLOOKUP(A185,'Estados Financieros'!$A$18:$H$458,5,0))</f>
        <v>0</v>
      </c>
      <c r="E185" t="str">
        <f t="shared" si="6"/>
        <v>0,000</v>
      </c>
    </row>
    <row r="186" spans="1:5">
      <c r="A186">
        <v>261000</v>
      </c>
      <c r="B186" t="str">
        <f t="shared" si="7"/>
        <v/>
      </c>
      <c r="C186">
        <f t="shared" si="8"/>
        <v>1900</v>
      </c>
      <c r="D186">
        <f>IF(OR(C186=1900,$D$144=0),0,VLOOKUP(A186,'Estados Financieros'!$A$18:$H$458,5,0))</f>
        <v>0</v>
      </c>
      <c r="E186" t="str">
        <f t="shared" si="6"/>
        <v>0,000</v>
      </c>
    </row>
    <row r="187" spans="1:5">
      <c r="A187">
        <v>261500</v>
      </c>
      <c r="B187" t="str">
        <f t="shared" si="7"/>
        <v/>
      </c>
      <c r="C187">
        <f t="shared" si="8"/>
        <v>1900</v>
      </c>
      <c r="D187">
        <f>IF(OR(C187=1900,$D$144=0),0,VLOOKUP(A187,'Estados Financieros'!$A$18:$H$458,5,0))</f>
        <v>0</v>
      </c>
      <c r="E187" t="str">
        <f t="shared" si="6"/>
        <v>0,000</v>
      </c>
    </row>
    <row r="188" spans="1:5">
      <c r="A188">
        <v>262000</v>
      </c>
      <c r="B188" t="str">
        <f t="shared" si="7"/>
        <v/>
      </c>
      <c r="C188">
        <f t="shared" si="8"/>
        <v>1900</v>
      </c>
      <c r="D188">
        <f>IF(OR(C188=1900,$D$144=0),0,VLOOKUP(A188,'Estados Financieros'!$A$18:$H$458,5,0))</f>
        <v>0</v>
      </c>
      <c r="E188" t="str">
        <f t="shared" si="6"/>
        <v>0,000</v>
      </c>
    </row>
    <row r="189" spans="1:5">
      <c r="A189">
        <v>262500</v>
      </c>
      <c r="B189" t="str">
        <f t="shared" si="7"/>
        <v/>
      </c>
      <c r="C189">
        <f t="shared" si="8"/>
        <v>1900</v>
      </c>
      <c r="D189">
        <f>IF(OR(C189=1900,$D$144=0),0,VLOOKUP(A189,'Estados Financieros'!$A$18:$H$458,5,0))</f>
        <v>0</v>
      </c>
      <c r="E189" t="str">
        <f t="shared" si="6"/>
        <v>0,000</v>
      </c>
    </row>
    <row r="190" spans="1:5">
      <c r="A190">
        <v>263000</v>
      </c>
      <c r="B190" t="str">
        <f t="shared" si="7"/>
        <v/>
      </c>
      <c r="C190">
        <f t="shared" si="8"/>
        <v>1900</v>
      </c>
      <c r="D190">
        <f>IF(OR(C190=1900,$D$144=0),0,VLOOKUP(A190,'Estados Financieros'!$A$18:$H$458,5,0))</f>
        <v>0</v>
      </c>
      <c r="E190" t="str">
        <f t="shared" si="6"/>
        <v>0,000</v>
      </c>
    </row>
    <row r="191" spans="1:5">
      <c r="A191">
        <v>263500</v>
      </c>
      <c r="B191" t="str">
        <f t="shared" si="7"/>
        <v/>
      </c>
      <c r="C191">
        <f t="shared" si="8"/>
        <v>1900</v>
      </c>
      <c r="D191">
        <f>IF(OR(C191=1900,$D$144=0),0,VLOOKUP(A191,'Estados Financieros'!$A$18:$H$458,5,0))</f>
        <v>0</v>
      </c>
      <c r="E191" t="str">
        <f t="shared" si="6"/>
        <v>0,000</v>
      </c>
    </row>
    <row r="192" spans="1:5">
      <c r="A192">
        <v>264000</v>
      </c>
      <c r="B192" t="str">
        <f t="shared" si="7"/>
        <v/>
      </c>
      <c r="C192">
        <f t="shared" si="8"/>
        <v>1900</v>
      </c>
      <c r="D192">
        <f>IF(OR(C192=1900,$D$144=0),0,VLOOKUP(A192,'Estados Financieros'!$A$18:$H$458,5,0))</f>
        <v>0</v>
      </c>
      <c r="E192" t="str">
        <f t="shared" si="6"/>
        <v>0,000</v>
      </c>
    </row>
    <row r="193" spans="1:5">
      <c r="A193">
        <v>269500</v>
      </c>
      <c r="B193" t="str">
        <f t="shared" si="7"/>
        <v/>
      </c>
      <c r="C193">
        <f t="shared" si="8"/>
        <v>1900</v>
      </c>
      <c r="D193">
        <f>IF(OR(C193=1900,$D$144=0),0,VLOOKUP(A193,'Estados Financieros'!$A$18:$H$458,5,0))</f>
        <v>0</v>
      </c>
      <c r="E193" t="str">
        <f t="shared" si="6"/>
        <v>0,000</v>
      </c>
    </row>
    <row r="194" spans="1:5">
      <c r="A194">
        <v>2106</v>
      </c>
      <c r="B194" t="str">
        <f t="shared" si="7"/>
        <v/>
      </c>
      <c r="C194">
        <f t="shared" si="8"/>
        <v>1900</v>
      </c>
      <c r="D194">
        <f>IF(OR(C194=1900,$D$144=0),0,VLOOKUP(A194,'Estados Financieros'!$A$18:$H$458,5,0))</f>
        <v>0</v>
      </c>
      <c r="E194" t="str">
        <f t="shared" ref="E194:E257" si="9">IFERROR(FIXED(D194,3,1),0)</f>
        <v>0,000</v>
      </c>
    </row>
    <row r="195" spans="1:5">
      <c r="A195">
        <v>270500</v>
      </c>
      <c r="B195" t="str">
        <f t="shared" ref="B195:B258" si="10">+B194</f>
        <v/>
      </c>
      <c r="C195">
        <f t="shared" ref="C195:C258" si="11">+C194</f>
        <v>1900</v>
      </c>
      <c r="D195">
        <f>IF(OR(C195=1900,$D$144=0),0,VLOOKUP(A195,'Estados Financieros'!$A$18:$H$458,5,0))</f>
        <v>0</v>
      </c>
      <c r="E195" t="str">
        <f t="shared" si="9"/>
        <v>0,000</v>
      </c>
    </row>
    <row r="196" spans="1:5">
      <c r="A196">
        <v>271000</v>
      </c>
      <c r="B196" t="str">
        <f t="shared" si="10"/>
        <v/>
      </c>
      <c r="C196">
        <f t="shared" si="11"/>
        <v>1900</v>
      </c>
      <c r="D196">
        <f>IF(OR(C196=1900,$D$144=0),0,VLOOKUP(A196,'Estados Financieros'!$A$18:$H$458,5,0))</f>
        <v>0</v>
      </c>
      <c r="E196" t="str">
        <f t="shared" si="9"/>
        <v>0,000</v>
      </c>
    </row>
    <row r="197" spans="1:5">
      <c r="A197">
        <v>272500</v>
      </c>
      <c r="B197" t="str">
        <f t="shared" si="10"/>
        <v/>
      </c>
      <c r="C197">
        <f t="shared" si="11"/>
        <v>1900</v>
      </c>
      <c r="D197">
        <f>IF(OR(C197=1900,$D$144=0),0,VLOOKUP(A197,'Estados Financieros'!$A$18:$H$458,5,0))</f>
        <v>0</v>
      </c>
      <c r="E197" t="str">
        <f t="shared" si="9"/>
        <v>0,000</v>
      </c>
    </row>
    <row r="198" spans="1:5">
      <c r="A198">
        <v>279500</v>
      </c>
      <c r="B198" t="str">
        <f t="shared" si="10"/>
        <v/>
      </c>
      <c r="C198">
        <f t="shared" si="11"/>
        <v>1900</v>
      </c>
      <c r="D198">
        <f>IF(OR(C198=1900,$D$144=0),0,VLOOKUP(A198,'Estados Financieros'!$A$18:$H$458,5,0))</f>
        <v>0</v>
      </c>
      <c r="E198" t="str">
        <f t="shared" si="9"/>
        <v>0,000</v>
      </c>
    </row>
    <row r="199" spans="1:5">
      <c r="A199">
        <v>2107</v>
      </c>
      <c r="B199" t="str">
        <f t="shared" si="10"/>
        <v/>
      </c>
      <c r="C199">
        <f t="shared" si="11"/>
        <v>1900</v>
      </c>
      <c r="D199">
        <f>IF(OR(C199=1900,$D$144=0),0,VLOOKUP(A199,'Estados Financieros'!$A$18:$H$458,5,0))</f>
        <v>0</v>
      </c>
      <c r="E199" t="str">
        <f t="shared" si="9"/>
        <v>0,000</v>
      </c>
    </row>
    <row r="200" spans="1:5">
      <c r="A200">
        <v>281000</v>
      </c>
      <c r="B200" t="str">
        <f t="shared" si="10"/>
        <v/>
      </c>
      <c r="C200">
        <f t="shared" si="11"/>
        <v>1900</v>
      </c>
      <c r="D200">
        <f>IF(OR(C200=1900,$D$144=0),0,VLOOKUP(A200,'Estados Financieros'!$A$18:$H$458,5,0))</f>
        <v>0</v>
      </c>
      <c r="E200" t="str">
        <f t="shared" si="9"/>
        <v>0,000</v>
      </c>
    </row>
    <row r="201" spans="1:5">
      <c r="A201">
        <v>282000</v>
      </c>
      <c r="B201" t="str">
        <f t="shared" si="10"/>
        <v/>
      </c>
      <c r="C201">
        <f t="shared" si="11"/>
        <v>1900</v>
      </c>
      <c r="D201">
        <f>IF(OR(C201=1900,$D$144=0),0,VLOOKUP(A201,'Estados Financieros'!$A$18:$H$458,5,0))</f>
        <v>0</v>
      </c>
      <c r="E201" t="str">
        <f t="shared" si="9"/>
        <v>0,000</v>
      </c>
    </row>
    <row r="202" spans="1:5">
      <c r="A202">
        <v>282500</v>
      </c>
      <c r="B202" t="str">
        <f t="shared" si="10"/>
        <v/>
      </c>
      <c r="C202">
        <f t="shared" si="11"/>
        <v>1900</v>
      </c>
      <c r="D202">
        <f>IF(OR(C202=1900,$D$144=0),0,VLOOKUP(A202,'Estados Financieros'!$A$18:$H$458,5,0))</f>
        <v>0</v>
      </c>
      <c r="E202" t="str">
        <f t="shared" si="9"/>
        <v>0,000</v>
      </c>
    </row>
    <row r="203" spans="1:5">
      <c r="A203">
        <v>284000</v>
      </c>
      <c r="B203" t="str">
        <f t="shared" si="10"/>
        <v/>
      </c>
      <c r="C203">
        <f t="shared" si="11"/>
        <v>1900</v>
      </c>
      <c r="D203">
        <f>IF(OR(C203=1900,$D$144=0),0,VLOOKUP(A203,'Estados Financieros'!$A$18:$H$458,5,0))</f>
        <v>0</v>
      </c>
      <c r="E203" t="str">
        <f t="shared" si="9"/>
        <v>0,000</v>
      </c>
    </row>
    <row r="204" spans="1:5">
      <c r="A204">
        <v>289500</v>
      </c>
      <c r="B204" t="str">
        <f t="shared" si="10"/>
        <v/>
      </c>
      <c r="C204">
        <f t="shared" si="11"/>
        <v>1900</v>
      </c>
      <c r="D204">
        <f>IF(OR(C204=1900,$D$144=0),0,VLOOKUP(A204,'Estados Financieros'!$A$18:$H$458,5,0))</f>
        <v>0</v>
      </c>
      <c r="E204" t="str">
        <f t="shared" si="9"/>
        <v>0,000</v>
      </c>
    </row>
    <row r="205" spans="1:5">
      <c r="A205">
        <v>2109</v>
      </c>
      <c r="B205" t="str">
        <f t="shared" si="10"/>
        <v/>
      </c>
      <c r="C205">
        <f t="shared" si="11"/>
        <v>1900</v>
      </c>
      <c r="D205">
        <f>IF(OR(C205=1900,$D$144=0),0,VLOOKUP(A205,'Estados Financieros'!$A$18:$H$458,5,0))</f>
        <v>0</v>
      </c>
      <c r="E205" t="str">
        <f t="shared" si="9"/>
        <v>0,000</v>
      </c>
    </row>
    <row r="206" spans="1:5">
      <c r="A206">
        <v>21</v>
      </c>
      <c r="B206" t="str">
        <f t="shared" si="10"/>
        <v/>
      </c>
      <c r="C206">
        <f t="shared" si="11"/>
        <v>1900</v>
      </c>
      <c r="D206">
        <f>IF(OR(C206=1900,$D$144=0),0,VLOOKUP(A206,'Estados Financieros'!$A$18:$H$458,5,0))</f>
        <v>0</v>
      </c>
      <c r="E206" t="str">
        <f t="shared" si="9"/>
        <v>0,000</v>
      </c>
    </row>
    <row r="207" spans="1:5">
      <c r="A207">
        <v>210501</v>
      </c>
      <c r="B207" t="str">
        <f t="shared" si="10"/>
        <v/>
      </c>
      <c r="C207">
        <f t="shared" si="11"/>
        <v>1900</v>
      </c>
      <c r="D207">
        <f>IF(OR(C207=1900,$D$144=0),0,VLOOKUP(A207,'Estados Financieros'!$A$18:$H$458,5,0))</f>
        <v>0</v>
      </c>
      <c r="E207" t="str">
        <f t="shared" si="9"/>
        <v>0,000</v>
      </c>
    </row>
    <row r="208" spans="1:5">
      <c r="A208">
        <v>211001</v>
      </c>
      <c r="B208" t="str">
        <f t="shared" si="10"/>
        <v/>
      </c>
      <c r="C208">
        <f t="shared" si="11"/>
        <v>1900</v>
      </c>
      <c r="D208">
        <f>IF(OR(C208=1900,$D$144=0),0,VLOOKUP(A208,'Estados Financieros'!$A$18:$H$458,5,0))</f>
        <v>0</v>
      </c>
      <c r="E208" t="str">
        <f t="shared" si="9"/>
        <v>0,000</v>
      </c>
    </row>
    <row r="209" spans="1:5">
      <c r="A209">
        <v>2201</v>
      </c>
      <c r="B209" t="str">
        <f t="shared" si="10"/>
        <v/>
      </c>
      <c r="C209">
        <f t="shared" si="11"/>
        <v>1900</v>
      </c>
      <c r="D209">
        <f>IF(OR(C209=1900,$D$144=0),0,VLOOKUP(A209,'Estados Financieros'!$A$18:$H$458,5,0))</f>
        <v>0</v>
      </c>
      <c r="E209" t="str">
        <f t="shared" si="9"/>
        <v>0,000</v>
      </c>
    </row>
    <row r="210" spans="1:5">
      <c r="A210">
        <v>220501</v>
      </c>
      <c r="B210" t="str">
        <f t="shared" si="10"/>
        <v/>
      </c>
      <c r="C210">
        <f t="shared" si="11"/>
        <v>1900</v>
      </c>
      <c r="D210">
        <f>IF(OR(C210=1900,$D$144=0),0,VLOOKUP(A210,'Estados Financieros'!$A$18:$H$458,5,0))</f>
        <v>0</v>
      </c>
      <c r="E210" t="str">
        <f t="shared" si="9"/>
        <v>0,000</v>
      </c>
    </row>
    <row r="211" spans="1:5">
      <c r="A211">
        <v>221001</v>
      </c>
      <c r="B211" t="str">
        <f t="shared" si="10"/>
        <v/>
      </c>
      <c r="C211">
        <f t="shared" si="11"/>
        <v>1900</v>
      </c>
      <c r="D211">
        <f>IF(OR(C211=1900,$D$144=0),0,VLOOKUP(A211,'Estados Financieros'!$A$18:$H$458,5,0))</f>
        <v>0</v>
      </c>
      <c r="E211" t="str">
        <f t="shared" si="9"/>
        <v>0,000</v>
      </c>
    </row>
    <row r="212" spans="1:5">
      <c r="A212">
        <v>230501</v>
      </c>
      <c r="B212" t="str">
        <f t="shared" si="10"/>
        <v/>
      </c>
      <c r="C212">
        <f t="shared" si="11"/>
        <v>1900</v>
      </c>
      <c r="D212">
        <f>IF(OR(C212=1900,$D$144=0),0,VLOOKUP(A212,'Estados Financieros'!$A$18:$H$458,5,0))</f>
        <v>0</v>
      </c>
      <c r="E212" t="str">
        <f t="shared" si="9"/>
        <v>0,000</v>
      </c>
    </row>
    <row r="213" spans="1:5">
      <c r="A213">
        <v>231001</v>
      </c>
      <c r="B213" t="str">
        <f t="shared" si="10"/>
        <v/>
      </c>
      <c r="C213">
        <f t="shared" si="11"/>
        <v>1900</v>
      </c>
      <c r="D213">
        <f>IF(OR(C213=1900,$D$144=0),0,VLOOKUP(A213,'Estados Financieros'!$A$18:$H$458,5,0))</f>
        <v>0</v>
      </c>
      <c r="E213" t="str">
        <f t="shared" si="9"/>
        <v>0,000</v>
      </c>
    </row>
    <row r="214" spans="1:5">
      <c r="A214">
        <v>231501</v>
      </c>
      <c r="B214" t="str">
        <f t="shared" si="10"/>
        <v/>
      </c>
      <c r="C214">
        <f t="shared" si="11"/>
        <v>1900</v>
      </c>
      <c r="D214">
        <f>IF(OR(C214=1900,$D$144=0),0,VLOOKUP(A214,'Estados Financieros'!$A$18:$H$458,5,0))</f>
        <v>0</v>
      </c>
      <c r="E214" t="str">
        <f t="shared" si="9"/>
        <v>0,000</v>
      </c>
    </row>
    <row r="215" spans="1:5">
      <c r="A215">
        <v>232001</v>
      </c>
      <c r="B215" t="str">
        <f t="shared" si="10"/>
        <v/>
      </c>
      <c r="C215">
        <f t="shared" si="11"/>
        <v>1900</v>
      </c>
      <c r="D215">
        <f>IF(OR(C215=1900,$D$144=0),0,VLOOKUP(A215,'Estados Financieros'!$A$18:$H$458,5,0))</f>
        <v>0</v>
      </c>
      <c r="E215" t="str">
        <f t="shared" si="9"/>
        <v>0,000</v>
      </c>
    </row>
    <row r="216" spans="1:5">
      <c r="A216">
        <v>233501</v>
      </c>
      <c r="B216" t="str">
        <f t="shared" si="10"/>
        <v/>
      </c>
      <c r="C216">
        <f t="shared" si="11"/>
        <v>1900</v>
      </c>
      <c r="D216">
        <f>IF(OR(C216=1900,$D$144=0),0,VLOOKUP(A216,'Estados Financieros'!$A$18:$H$458,5,0))</f>
        <v>0</v>
      </c>
      <c r="E216" t="str">
        <f t="shared" si="9"/>
        <v>0,000</v>
      </c>
    </row>
    <row r="217" spans="1:5">
      <c r="A217">
        <v>234501</v>
      </c>
      <c r="B217" t="str">
        <f t="shared" si="10"/>
        <v/>
      </c>
      <c r="C217">
        <f t="shared" si="11"/>
        <v>1900</v>
      </c>
      <c r="D217">
        <f>IF(OR(C217=1900,$D$144=0),0,VLOOKUP(A217,'Estados Financieros'!$A$18:$H$458,5,0))</f>
        <v>0</v>
      </c>
      <c r="E217" t="str">
        <f t="shared" si="9"/>
        <v>0,000</v>
      </c>
    </row>
    <row r="218" spans="1:5">
      <c r="A218">
        <v>235001</v>
      </c>
      <c r="B218" t="str">
        <f t="shared" si="10"/>
        <v/>
      </c>
      <c r="C218">
        <f t="shared" si="11"/>
        <v>1900</v>
      </c>
      <c r="D218">
        <f>IF(OR(C218=1900,$D$144=0),0,VLOOKUP(A218,'Estados Financieros'!$A$18:$H$458,5,0))</f>
        <v>0</v>
      </c>
      <c r="E218" t="str">
        <f t="shared" si="9"/>
        <v>0,000</v>
      </c>
    </row>
    <row r="219" spans="1:5">
      <c r="A219">
        <v>235501</v>
      </c>
      <c r="B219" t="str">
        <f t="shared" si="10"/>
        <v/>
      </c>
      <c r="C219">
        <f t="shared" si="11"/>
        <v>1900</v>
      </c>
      <c r="D219">
        <f>IF(OR(C219=1900,$D$144=0),0,VLOOKUP(A219,'Estados Financieros'!$A$18:$H$458,5,0))</f>
        <v>0</v>
      </c>
      <c r="E219" t="str">
        <f t="shared" si="9"/>
        <v>0,000</v>
      </c>
    </row>
    <row r="220" spans="1:5">
      <c r="A220">
        <v>236001</v>
      </c>
      <c r="B220" t="str">
        <f t="shared" si="10"/>
        <v/>
      </c>
      <c r="C220">
        <f t="shared" si="11"/>
        <v>1900</v>
      </c>
      <c r="D220">
        <f>IF(OR(C220=1900,$D$144=0),0,VLOOKUP(A220,'Estados Financieros'!$A$18:$H$458,5,0))</f>
        <v>0</v>
      </c>
      <c r="E220" t="str">
        <f t="shared" si="9"/>
        <v>0,000</v>
      </c>
    </row>
    <row r="221" spans="1:5">
      <c r="A221">
        <v>236501</v>
      </c>
      <c r="B221" t="str">
        <f t="shared" si="10"/>
        <v/>
      </c>
      <c r="C221">
        <f t="shared" si="11"/>
        <v>1900</v>
      </c>
      <c r="D221">
        <f>IF(OR(C221=1900,$D$144=0),0,VLOOKUP(A221,'Estados Financieros'!$A$18:$H$458,5,0))</f>
        <v>0</v>
      </c>
      <c r="E221" t="str">
        <f t="shared" si="9"/>
        <v>0,000</v>
      </c>
    </row>
    <row r="222" spans="1:5">
      <c r="A222">
        <v>236701</v>
      </c>
      <c r="B222" t="str">
        <f t="shared" si="10"/>
        <v/>
      </c>
      <c r="C222">
        <f t="shared" si="11"/>
        <v>1900</v>
      </c>
      <c r="D222">
        <f>IF(OR(C222=1900,$D$144=0),0,VLOOKUP(A222,'Estados Financieros'!$A$18:$H$458,5,0))</f>
        <v>0</v>
      </c>
      <c r="E222" t="str">
        <f t="shared" si="9"/>
        <v>0,000</v>
      </c>
    </row>
    <row r="223" spans="1:5">
      <c r="A223">
        <v>237001</v>
      </c>
      <c r="B223" t="str">
        <f t="shared" si="10"/>
        <v/>
      </c>
      <c r="C223">
        <f t="shared" si="11"/>
        <v>1900</v>
      </c>
      <c r="D223">
        <f>IF(OR(C223=1900,$D$144=0),0,VLOOKUP(A223,'Estados Financieros'!$A$18:$H$458,5,0))</f>
        <v>0</v>
      </c>
      <c r="E223" t="str">
        <f t="shared" si="9"/>
        <v>0,000</v>
      </c>
    </row>
    <row r="224" spans="1:5">
      <c r="A224">
        <v>238001</v>
      </c>
      <c r="B224" t="str">
        <f t="shared" si="10"/>
        <v/>
      </c>
      <c r="C224">
        <f t="shared" si="11"/>
        <v>1900</v>
      </c>
      <c r="D224">
        <f>IF(OR(C224=1900,$D$144=0),0,VLOOKUP(A224,'Estados Financieros'!$A$18:$H$458,5,0))</f>
        <v>0</v>
      </c>
      <c r="E224" t="str">
        <f t="shared" si="9"/>
        <v>0,000</v>
      </c>
    </row>
    <row r="225" spans="1:5">
      <c r="A225">
        <v>2203</v>
      </c>
      <c r="B225" t="str">
        <f t="shared" si="10"/>
        <v/>
      </c>
      <c r="C225">
        <f t="shared" si="11"/>
        <v>1900</v>
      </c>
      <c r="D225">
        <f>IF(OR(C225=1900,$D$144=0),0,VLOOKUP(A225,'Estados Financieros'!$A$18:$H$458,5,0))</f>
        <v>0</v>
      </c>
      <c r="E225" t="str">
        <f t="shared" si="9"/>
        <v>0,000</v>
      </c>
    </row>
    <row r="226" spans="1:5">
      <c r="A226">
        <v>240401</v>
      </c>
      <c r="B226" t="str">
        <f t="shared" si="10"/>
        <v/>
      </c>
      <c r="C226">
        <f t="shared" si="11"/>
        <v>1900</v>
      </c>
      <c r="D226">
        <f>IF(OR(C226=1900,$D$144=0),0,VLOOKUP(A226,'Estados Financieros'!$A$18:$H$458,5,0))</f>
        <v>0</v>
      </c>
      <c r="E226" t="str">
        <f t="shared" si="9"/>
        <v>0,000</v>
      </c>
    </row>
    <row r="227" spans="1:5">
      <c r="A227">
        <v>240801</v>
      </c>
      <c r="B227" t="str">
        <f t="shared" si="10"/>
        <v/>
      </c>
      <c r="C227">
        <f t="shared" si="11"/>
        <v>1900</v>
      </c>
      <c r="D227">
        <f>IF(OR(C227=1900,$D$144=0),0,VLOOKUP(A227,'Estados Financieros'!$A$18:$H$458,5,0))</f>
        <v>0</v>
      </c>
      <c r="E227" t="str">
        <f t="shared" si="9"/>
        <v>0,000</v>
      </c>
    </row>
    <row r="228" spans="1:5">
      <c r="A228">
        <v>241201</v>
      </c>
      <c r="B228" t="str">
        <f t="shared" si="10"/>
        <v/>
      </c>
      <c r="C228">
        <f t="shared" si="11"/>
        <v>1900</v>
      </c>
      <c r="D228">
        <f>IF(OR(C228=1900,$D$144=0),0,VLOOKUP(A228,'Estados Financieros'!$A$18:$H$458,5,0))</f>
        <v>0</v>
      </c>
      <c r="E228" t="str">
        <f t="shared" si="9"/>
        <v>0,000</v>
      </c>
    </row>
    <row r="229" spans="1:5">
      <c r="A229">
        <v>249501</v>
      </c>
      <c r="B229" t="str">
        <f t="shared" si="10"/>
        <v/>
      </c>
      <c r="C229">
        <f t="shared" si="11"/>
        <v>1900</v>
      </c>
      <c r="D229">
        <f>IF(OR(C229=1900,$D$144=0),0,VLOOKUP(A229,'Estados Financieros'!$A$18:$H$458,5,0))</f>
        <v>0</v>
      </c>
      <c r="E229" t="str">
        <f t="shared" si="9"/>
        <v>0,000</v>
      </c>
    </row>
    <row r="230" spans="1:5">
      <c r="A230">
        <v>240001</v>
      </c>
      <c r="B230" t="str">
        <f t="shared" si="10"/>
        <v/>
      </c>
      <c r="C230">
        <f t="shared" si="11"/>
        <v>1900</v>
      </c>
      <c r="D230">
        <f>IF(OR(C230=1900,$D$144=0),0,VLOOKUP(A230,'Estados Financieros'!$A$18:$H$458,5,0))</f>
        <v>0</v>
      </c>
      <c r="E230" t="str">
        <f t="shared" si="9"/>
        <v>0,000</v>
      </c>
    </row>
    <row r="231" spans="1:5">
      <c r="A231">
        <v>250501</v>
      </c>
      <c r="B231" t="str">
        <f t="shared" si="10"/>
        <v/>
      </c>
      <c r="C231">
        <f t="shared" si="11"/>
        <v>1900</v>
      </c>
      <c r="D231">
        <f>IF(OR(C231=1900,$D$144=0),0,VLOOKUP(A231,'Estados Financieros'!$A$18:$H$458,5,0))</f>
        <v>0</v>
      </c>
      <c r="E231" t="str">
        <f t="shared" si="9"/>
        <v>0,000</v>
      </c>
    </row>
    <row r="232" spans="1:5">
      <c r="A232">
        <v>251001</v>
      </c>
      <c r="B232" t="str">
        <f t="shared" si="10"/>
        <v/>
      </c>
      <c r="C232">
        <f t="shared" si="11"/>
        <v>1900</v>
      </c>
      <c r="D232">
        <f>IF(OR(C232=1900,$D$144=0),0,VLOOKUP(A232,'Estados Financieros'!$A$18:$H$458,5,0))</f>
        <v>0</v>
      </c>
      <c r="E232" t="str">
        <f t="shared" si="9"/>
        <v>0,000</v>
      </c>
    </row>
    <row r="233" spans="1:5">
      <c r="A233">
        <v>251501</v>
      </c>
      <c r="B233" t="str">
        <f t="shared" si="10"/>
        <v/>
      </c>
      <c r="C233">
        <f t="shared" si="11"/>
        <v>1900</v>
      </c>
      <c r="D233">
        <f>IF(OR(C233=1900,$D$144=0),0,VLOOKUP(A233,'Estados Financieros'!$A$18:$H$458,5,0))</f>
        <v>0</v>
      </c>
      <c r="E233" t="str">
        <f t="shared" si="9"/>
        <v>0,000</v>
      </c>
    </row>
    <row r="234" spans="1:5">
      <c r="A234">
        <v>252501</v>
      </c>
      <c r="B234" t="str">
        <f t="shared" si="10"/>
        <v/>
      </c>
      <c r="C234">
        <f t="shared" si="11"/>
        <v>1900</v>
      </c>
      <c r="D234">
        <f>IF(OR(C234=1900,$D$144=0),0,VLOOKUP(A234,'Estados Financieros'!$A$18:$H$458,5,0))</f>
        <v>0</v>
      </c>
      <c r="E234" t="str">
        <f t="shared" si="9"/>
        <v>0,000</v>
      </c>
    </row>
    <row r="235" spans="1:5">
      <c r="A235">
        <v>253001</v>
      </c>
      <c r="B235" t="str">
        <f t="shared" si="10"/>
        <v/>
      </c>
      <c r="C235">
        <f t="shared" si="11"/>
        <v>1900</v>
      </c>
      <c r="D235">
        <f>IF(OR(C235=1900,$D$144=0),0,VLOOKUP(A235,'Estados Financieros'!$A$18:$H$458,5,0))</f>
        <v>0</v>
      </c>
      <c r="E235" t="str">
        <f t="shared" si="9"/>
        <v>0,000</v>
      </c>
    </row>
    <row r="236" spans="1:5">
      <c r="A236">
        <v>259501</v>
      </c>
      <c r="B236" t="str">
        <f t="shared" si="10"/>
        <v/>
      </c>
      <c r="C236">
        <f t="shared" si="11"/>
        <v>1900</v>
      </c>
      <c r="D236">
        <f>IF(OR(C236=1900,$D$144=0),0,VLOOKUP(A236,'Estados Financieros'!$A$18:$H$458,5,0))</f>
        <v>0</v>
      </c>
      <c r="E236" t="str">
        <f t="shared" si="9"/>
        <v>0,000</v>
      </c>
    </row>
    <row r="237" spans="1:5">
      <c r="A237">
        <v>2204</v>
      </c>
      <c r="B237" t="str">
        <f t="shared" si="10"/>
        <v/>
      </c>
      <c r="C237">
        <f t="shared" si="11"/>
        <v>1900</v>
      </c>
      <c r="D237">
        <f>IF(OR(C237=1900,$D$144=0),0,VLOOKUP(A237,'Estados Financieros'!$A$18:$H$458,5,0))</f>
        <v>0</v>
      </c>
      <c r="E237" t="str">
        <f t="shared" si="9"/>
        <v>0,000</v>
      </c>
    </row>
    <row r="238" spans="1:5">
      <c r="A238">
        <v>260501</v>
      </c>
      <c r="B238" t="str">
        <f t="shared" si="10"/>
        <v/>
      </c>
      <c r="C238">
        <f t="shared" si="11"/>
        <v>1900</v>
      </c>
      <c r="D238">
        <f>IF(OR(C238=1900,$D$144=0),0,VLOOKUP(A238,'Estados Financieros'!$A$18:$H$458,5,0))</f>
        <v>0</v>
      </c>
      <c r="E238" t="str">
        <f t="shared" si="9"/>
        <v>0,000</v>
      </c>
    </row>
    <row r="239" spans="1:5">
      <c r="A239">
        <v>261001</v>
      </c>
      <c r="B239" t="str">
        <f t="shared" si="10"/>
        <v/>
      </c>
      <c r="C239">
        <f t="shared" si="11"/>
        <v>1900</v>
      </c>
      <c r="D239">
        <f>IF(OR(C239=1900,$D$144=0),0,VLOOKUP(A239,'Estados Financieros'!$A$18:$H$458,5,0))</f>
        <v>0</v>
      </c>
      <c r="E239" t="str">
        <f t="shared" si="9"/>
        <v>0,000</v>
      </c>
    </row>
    <row r="240" spans="1:5">
      <c r="A240">
        <v>261501</v>
      </c>
      <c r="B240" t="str">
        <f t="shared" si="10"/>
        <v/>
      </c>
      <c r="C240">
        <f t="shared" si="11"/>
        <v>1900</v>
      </c>
      <c r="D240">
        <f>IF(OR(C240=1900,$D$144=0),0,VLOOKUP(A240,'Estados Financieros'!$A$18:$H$458,5,0))</f>
        <v>0</v>
      </c>
      <c r="E240" t="str">
        <f t="shared" si="9"/>
        <v>0,000</v>
      </c>
    </row>
    <row r="241" spans="1:5">
      <c r="A241">
        <v>262001</v>
      </c>
      <c r="B241" t="str">
        <f t="shared" si="10"/>
        <v/>
      </c>
      <c r="C241">
        <f t="shared" si="11"/>
        <v>1900</v>
      </c>
      <c r="D241">
        <f>IF(OR(C241=1900,$D$144=0),0,VLOOKUP(A241,'Estados Financieros'!$A$18:$H$458,5,0))</f>
        <v>0</v>
      </c>
      <c r="E241" t="str">
        <f t="shared" si="9"/>
        <v>0,000</v>
      </c>
    </row>
    <row r="242" spans="1:5">
      <c r="A242">
        <v>262501</v>
      </c>
      <c r="B242" t="str">
        <f t="shared" si="10"/>
        <v/>
      </c>
      <c r="C242">
        <f t="shared" si="11"/>
        <v>1900</v>
      </c>
      <c r="D242">
        <f>IF(OR(C242=1900,$D$144=0),0,VLOOKUP(A242,'Estados Financieros'!$A$18:$H$458,5,0))</f>
        <v>0</v>
      </c>
      <c r="E242" t="str">
        <f t="shared" si="9"/>
        <v>0,000</v>
      </c>
    </row>
    <row r="243" spans="1:5">
      <c r="A243">
        <v>263001</v>
      </c>
      <c r="B243" t="str">
        <f t="shared" si="10"/>
        <v/>
      </c>
      <c r="C243">
        <f t="shared" si="11"/>
        <v>1900</v>
      </c>
      <c r="D243">
        <f>IF(OR(C243=1900,$D$144=0),0,VLOOKUP(A243,'Estados Financieros'!$A$18:$H$458,5,0))</f>
        <v>0</v>
      </c>
      <c r="E243" t="str">
        <f t="shared" si="9"/>
        <v>0,000</v>
      </c>
    </row>
    <row r="244" spans="1:5">
      <c r="A244">
        <v>263501</v>
      </c>
      <c r="B244" t="str">
        <f t="shared" si="10"/>
        <v/>
      </c>
      <c r="C244">
        <f t="shared" si="11"/>
        <v>1900</v>
      </c>
      <c r="D244">
        <f>IF(OR(C244=1900,$D$144=0),0,VLOOKUP(A244,'Estados Financieros'!$A$18:$H$458,5,0))</f>
        <v>0</v>
      </c>
      <c r="E244" t="str">
        <f t="shared" si="9"/>
        <v>0,000</v>
      </c>
    </row>
    <row r="245" spans="1:5">
      <c r="A245">
        <v>264001</v>
      </c>
      <c r="B245" t="str">
        <f t="shared" si="10"/>
        <v/>
      </c>
      <c r="C245">
        <f t="shared" si="11"/>
        <v>1900</v>
      </c>
      <c r="D245">
        <f>IF(OR(C245=1900,$D$144=0),0,VLOOKUP(A245,'Estados Financieros'!$A$18:$H$458,5,0))</f>
        <v>0</v>
      </c>
      <c r="E245" t="str">
        <f t="shared" si="9"/>
        <v>0,000</v>
      </c>
    </row>
    <row r="246" spans="1:5">
      <c r="A246">
        <v>269501</v>
      </c>
      <c r="B246" t="str">
        <f t="shared" si="10"/>
        <v/>
      </c>
      <c r="C246">
        <f t="shared" si="11"/>
        <v>1900</v>
      </c>
      <c r="D246">
        <f>IF(OR(C246=1900,$D$144=0),0,VLOOKUP(A246,'Estados Financieros'!$A$18:$H$458,5,0))</f>
        <v>0</v>
      </c>
      <c r="E246" t="str">
        <f t="shared" si="9"/>
        <v>0,000</v>
      </c>
    </row>
    <row r="247" spans="1:5">
      <c r="A247">
        <v>2206</v>
      </c>
      <c r="B247" t="str">
        <f t="shared" si="10"/>
        <v/>
      </c>
      <c r="C247">
        <f t="shared" si="11"/>
        <v>1900</v>
      </c>
      <c r="D247">
        <f>IF(OR(C247=1900,$D$144=0),0,VLOOKUP(A247,'Estados Financieros'!$A$18:$H$458,5,0))</f>
        <v>0</v>
      </c>
      <c r="E247" t="str">
        <f t="shared" si="9"/>
        <v>0,000</v>
      </c>
    </row>
    <row r="248" spans="1:5">
      <c r="A248">
        <v>270501</v>
      </c>
      <c r="B248" t="str">
        <f t="shared" si="10"/>
        <v/>
      </c>
      <c r="C248">
        <f t="shared" si="11"/>
        <v>1900</v>
      </c>
      <c r="D248">
        <f>IF(OR(C248=1900,$D$144=0),0,VLOOKUP(A248,'Estados Financieros'!$A$18:$H$458,5,0))</f>
        <v>0</v>
      </c>
      <c r="E248" t="str">
        <f t="shared" si="9"/>
        <v>0,000</v>
      </c>
    </row>
    <row r="249" spans="1:5">
      <c r="A249">
        <v>271001</v>
      </c>
      <c r="B249" t="str">
        <f t="shared" si="10"/>
        <v/>
      </c>
      <c r="C249">
        <f t="shared" si="11"/>
        <v>1900</v>
      </c>
      <c r="D249">
        <f>IF(OR(C249=1900,$D$144=0),0,VLOOKUP(A249,'Estados Financieros'!$A$18:$H$458,5,0))</f>
        <v>0</v>
      </c>
      <c r="E249" t="str">
        <f t="shared" si="9"/>
        <v>0,000</v>
      </c>
    </row>
    <row r="250" spans="1:5">
      <c r="A250">
        <v>272001</v>
      </c>
      <c r="B250" t="str">
        <f t="shared" si="10"/>
        <v/>
      </c>
      <c r="C250">
        <f t="shared" si="11"/>
        <v>1900</v>
      </c>
      <c r="D250">
        <f>IF(OR(C250=1900,$D$144=0),0,VLOOKUP(A250,'Estados Financieros'!$A$18:$H$458,5,0))</f>
        <v>0</v>
      </c>
      <c r="E250" t="str">
        <f t="shared" si="9"/>
        <v>0,000</v>
      </c>
    </row>
    <row r="251" spans="1:5">
      <c r="A251">
        <v>272501</v>
      </c>
      <c r="B251" t="str">
        <f t="shared" si="10"/>
        <v/>
      </c>
      <c r="C251">
        <f t="shared" si="11"/>
        <v>1900</v>
      </c>
      <c r="D251">
        <f>IF(OR(C251=1900,$D$144=0),0,VLOOKUP(A251,'Estados Financieros'!$A$18:$H$458,5,0))</f>
        <v>0</v>
      </c>
      <c r="E251" t="str">
        <f t="shared" si="9"/>
        <v>0,000</v>
      </c>
    </row>
    <row r="252" spans="1:5">
      <c r="A252">
        <v>279501</v>
      </c>
      <c r="B252" t="str">
        <f t="shared" si="10"/>
        <v/>
      </c>
      <c r="C252">
        <f t="shared" si="11"/>
        <v>1900</v>
      </c>
      <c r="D252">
        <f>IF(OR(C252=1900,$D$144=0),0,VLOOKUP(A252,'Estados Financieros'!$A$18:$H$458,5,0))</f>
        <v>0</v>
      </c>
      <c r="E252" t="str">
        <f t="shared" si="9"/>
        <v>0,000</v>
      </c>
    </row>
    <row r="253" spans="1:5">
      <c r="A253">
        <v>2207</v>
      </c>
      <c r="B253" t="str">
        <f t="shared" si="10"/>
        <v/>
      </c>
      <c r="C253">
        <f t="shared" si="11"/>
        <v>1900</v>
      </c>
      <c r="D253">
        <f>IF(OR(C253=1900,$D$144=0),0,VLOOKUP(A253,'Estados Financieros'!$A$18:$H$458,5,0))</f>
        <v>0</v>
      </c>
      <c r="E253" t="str">
        <f t="shared" si="9"/>
        <v>0,000</v>
      </c>
    </row>
    <row r="254" spans="1:5">
      <c r="A254">
        <v>290501</v>
      </c>
      <c r="B254" t="str">
        <f t="shared" si="10"/>
        <v/>
      </c>
      <c r="C254">
        <f t="shared" si="11"/>
        <v>1900</v>
      </c>
      <c r="D254">
        <f>IF(OR(C254=1900,$D$144=0),0,VLOOKUP(A254,'Estados Financieros'!$A$18:$H$458,5,0))</f>
        <v>0</v>
      </c>
      <c r="E254" t="str">
        <f t="shared" si="9"/>
        <v>0,000</v>
      </c>
    </row>
    <row r="255" spans="1:5">
      <c r="A255">
        <v>291991</v>
      </c>
      <c r="B255" t="str">
        <f t="shared" si="10"/>
        <v/>
      </c>
      <c r="C255">
        <f t="shared" si="11"/>
        <v>1900</v>
      </c>
      <c r="D255">
        <f>IF(OR(C255=1900,$D$144=0),0,VLOOKUP(A255,'Estados Financieros'!$A$18:$H$458,5,0))</f>
        <v>0</v>
      </c>
      <c r="E255" t="str">
        <f t="shared" si="9"/>
        <v>0,000</v>
      </c>
    </row>
    <row r="256" spans="1:5">
      <c r="A256">
        <v>291501</v>
      </c>
      <c r="B256" t="str">
        <f t="shared" si="10"/>
        <v/>
      </c>
      <c r="C256">
        <f t="shared" si="11"/>
        <v>1900</v>
      </c>
      <c r="D256">
        <f>IF(OR(C256=1900,$D$144=0),0,VLOOKUP(A256,'Estados Financieros'!$A$18:$H$458,5,0))</f>
        <v>0</v>
      </c>
      <c r="E256" t="str">
        <f t="shared" si="9"/>
        <v>0,000</v>
      </c>
    </row>
    <row r="257" spans="1:5">
      <c r="A257">
        <v>292001</v>
      </c>
      <c r="B257" t="str">
        <f t="shared" si="10"/>
        <v/>
      </c>
      <c r="C257">
        <f t="shared" si="11"/>
        <v>1900</v>
      </c>
      <c r="D257">
        <f>IF(OR(C257=1900,$D$144=0),0,VLOOKUP(A257,'Estados Financieros'!$A$18:$H$458,5,0))</f>
        <v>0</v>
      </c>
      <c r="E257" t="str">
        <f t="shared" si="9"/>
        <v>0,000</v>
      </c>
    </row>
    <row r="258" spans="1:5">
      <c r="A258">
        <v>299501</v>
      </c>
      <c r="B258" t="str">
        <f t="shared" si="10"/>
        <v/>
      </c>
      <c r="C258">
        <f t="shared" si="11"/>
        <v>1900</v>
      </c>
      <c r="D258">
        <f>IF(OR(C258=1900,$D$144=0),0,VLOOKUP(A258,'Estados Financieros'!$A$18:$H$458,5,0))</f>
        <v>0</v>
      </c>
      <c r="E258" t="str">
        <f t="shared" ref="E258:E321" si="12">IFERROR(FIXED(D258,3,1),0)</f>
        <v>0,000</v>
      </c>
    </row>
    <row r="259" spans="1:5">
      <c r="A259">
        <v>2209</v>
      </c>
      <c r="B259" t="str">
        <f t="shared" ref="B259:B322" si="13">+B258</f>
        <v/>
      </c>
      <c r="C259">
        <f t="shared" ref="C259:C322" si="14">+C258</f>
        <v>1900</v>
      </c>
      <c r="D259">
        <f>IF(OR(C259=1900,$D$144=0),0,VLOOKUP(A259,'Estados Financieros'!$A$18:$H$458,5,0))</f>
        <v>0</v>
      </c>
      <c r="E259" t="str">
        <f t="shared" si="12"/>
        <v>0,000</v>
      </c>
    </row>
    <row r="260" spans="1:5">
      <c r="A260">
        <v>22</v>
      </c>
      <c r="B260" t="str">
        <f t="shared" si="13"/>
        <v/>
      </c>
      <c r="C260">
        <f t="shared" si="14"/>
        <v>1900</v>
      </c>
      <c r="D260">
        <f>IF(OR(C260=1900,$D$144=0),0,VLOOKUP(A260,'Estados Financieros'!$A$18:$H$458,5,0))</f>
        <v>0</v>
      </c>
      <c r="E260" t="str">
        <f t="shared" si="12"/>
        <v>0,000</v>
      </c>
    </row>
    <row r="261" spans="1:5">
      <c r="A261">
        <v>2</v>
      </c>
      <c r="B261" t="str">
        <f t="shared" si="13"/>
        <v/>
      </c>
      <c r="C261">
        <f t="shared" si="14"/>
        <v>1900</v>
      </c>
      <c r="D261">
        <f>IF(OR(C261=1900,$D$144=0),0,VLOOKUP(A261,'Estados Financieros'!$A$18:$H$458,5,0))</f>
        <v>0</v>
      </c>
      <c r="E261" t="str">
        <f t="shared" si="12"/>
        <v>0,000</v>
      </c>
    </row>
    <row r="262" spans="1:5">
      <c r="A262">
        <v>310500</v>
      </c>
      <c r="B262" t="str">
        <f t="shared" si="13"/>
        <v/>
      </c>
      <c r="C262">
        <f t="shared" si="14"/>
        <v>1900</v>
      </c>
      <c r="D262">
        <f>IF(OR(C262=1900,$D$144=0),0,VLOOKUP(A262,'Estados Financieros'!$A$18:$H$458,5,0))</f>
        <v>0</v>
      </c>
      <c r="E262" t="str">
        <f t="shared" si="12"/>
        <v>0,000</v>
      </c>
    </row>
    <row r="263" spans="1:5">
      <c r="A263">
        <v>311500</v>
      </c>
      <c r="B263" t="str">
        <f t="shared" si="13"/>
        <v/>
      </c>
      <c r="C263">
        <f t="shared" si="14"/>
        <v>1900</v>
      </c>
      <c r="D263">
        <f>IF(OR(C263=1900,$D$144=0),0,VLOOKUP(A263,'Estados Financieros'!$A$18:$H$458,5,0))</f>
        <v>0</v>
      </c>
      <c r="E263" t="str">
        <f t="shared" si="12"/>
        <v>0,000</v>
      </c>
    </row>
    <row r="264" spans="1:5">
      <c r="A264">
        <v>312000</v>
      </c>
      <c r="B264" t="str">
        <f t="shared" si="13"/>
        <v/>
      </c>
      <c r="C264">
        <f t="shared" si="14"/>
        <v>1900</v>
      </c>
      <c r="D264">
        <f>IF(OR(C264=1900,$D$144=0),0,VLOOKUP(A264,'Estados Financieros'!$A$18:$H$458,5,0))</f>
        <v>0</v>
      </c>
      <c r="E264" t="str">
        <f t="shared" si="12"/>
        <v>0,000</v>
      </c>
    </row>
    <row r="265" spans="1:5">
      <c r="A265">
        <v>312500</v>
      </c>
      <c r="B265" t="str">
        <f t="shared" si="13"/>
        <v/>
      </c>
      <c r="C265">
        <f t="shared" si="14"/>
        <v>1900</v>
      </c>
      <c r="D265">
        <f>IF(OR(C265=1900,$D$144=0),0,VLOOKUP(A265,'Estados Financieros'!$A$18:$H$458,5,0))</f>
        <v>0</v>
      </c>
      <c r="E265" t="str">
        <f t="shared" si="12"/>
        <v>0,000</v>
      </c>
    </row>
    <row r="266" spans="1:5">
      <c r="A266">
        <v>313000</v>
      </c>
      <c r="B266" t="str">
        <f t="shared" si="13"/>
        <v/>
      </c>
      <c r="C266">
        <f t="shared" si="14"/>
        <v>1900</v>
      </c>
      <c r="D266">
        <f>IF(OR(C266=1900,$D$144=0),0,VLOOKUP(A266,'Estados Financieros'!$A$18:$H$458,5,0))</f>
        <v>0</v>
      </c>
      <c r="E266" t="str">
        <f t="shared" si="12"/>
        <v>0,000</v>
      </c>
    </row>
    <row r="267" spans="1:5">
      <c r="A267">
        <v>313500</v>
      </c>
      <c r="B267" t="str">
        <f t="shared" si="13"/>
        <v/>
      </c>
      <c r="C267">
        <f t="shared" si="14"/>
        <v>1900</v>
      </c>
      <c r="D267">
        <f>IF(OR(C267=1900,$D$144=0),0,VLOOKUP(A267,'Estados Financieros'!$A$18:$H$458,5,0))</f>
        <v>0</v>
      </c>
      <c r="E267" t="str">
        <f t="shared" si="12"/>
        <v>0,000</v>
      </c>
    </row>
    <row r="268" spans="1:5">
      <c r="A268">
        <v>314000</v>
      </c>
      <c r="B268" t="str">
        <f t="shared" si="13"/>
        <v/>
      </c>
      <c r="C268">
        <f t="shared" si="14"/>
        <v>1900</v>
      </c>
      <c r="D268">
        <f>IF(OR(C268=1900,$D$144=0),0,VLOOKUP(A268,'Estados Financieros'!$A$18:$H$458,5,0))</f>
        <v>0</v>
      </c>
      <c r="E268" t="str">
        <f t="shared" si="12"/>
        <v>0,000</v>
      </c>
    </row>
    <row r="269" spans="1:5">
      <c r="A269">
        <v>31</v>
      </c>
      <c r="B269" t="str">
        <f t="shared" si="13"/>
        <v/>
      </c>
      <c r="C269">
        <f t="shared" si="14"/>
        <v>1900</v>
      </c>
      <c r="D269">
        <f>IF(OR(C269=1900,$D$144=0),0,VLOOKUP(A269,'Estados Financieros'!$A$18:$H$458,5,0))</f>
        <v>0</v>
      </c>
      <c r="E269" t="str">
        <f t="shared" si="12"/>
        <v>0,000</v>
      </c>
    </row>
    <row r="270" spans="1:5">
      <c r="A270">
        <v>320500</v>
      </c>
      <c r="B270" t="str">
        <f t="shared" si="13"/>
        <v/>
      </c>
      <c r="C270">
        <f t="shared" si="14"/>
        <v>1900</v>
      </c>
      <c r="D270">
        <f>IF(OR(C270=1900,$D$144=0),0,VLOOKUP(A270,'Estados Financieros'!$A$18:$H$458,5,0))</f>
        <v>0</v>
      </c>
      <c r="E270" t="str">
        <f t="shared" si="12"/>
        <v>0,000</v>
      </c>
    </row>
    <row r="271" spans="1:5">
      <c r="A271">
        <v>321000</v>
      </c>
      <c r="B271" t="str">
        <f t="shared" si="13"/>
        <v/>
      </c>
      <c r="C271">
        <f t="shared" si="14"/>
        <v>1900</v>
      </c>
      <c r="D271">
        <f>IF(OR(C271=1900,$D$144=0),0,VLOOKUP(A271,'Estados Financieros'!$A$18:$H$458,5,0))</f>
        <v>0</v>
      </c>
      <c r="E271" t="str">
        <f t="shared" si="12"/>
        <v>0,000</v>
      </c>
    </row>
    <row r="272" spans="1:5">
      <c r="A272">
        <v>321500</v>
      </c>
      <c r="B272" t="str">
        <f t="shared" si="13"/>
        <v/>
      </c>
      <c r="C272">
        <f t="shared" si="14"/>
        <v>1900</v>
      </c>
      <c r="D272">
        <f>IF(OR(C272=1900,$D$144=0),0,VLOOKUP(A272,'Estados Financieros'!$A$18:$H$458,5,0))</f>
        <v>0</v>
      </c>
      <c r="E272" t="str">
        <f t="shared" si="12"/>
        <v>0,000</v>
      </c>
    </row>
    <row r="273" spans="1:5">
      <c r="A273">
        <v>322000</v>
      </c>
      <c r="B273" t="str">
        <f t="shared" si="13"/>
        <v/>
      </c>
      <c r="C273">
        <f t="shared" si="14"/>
        <v>1900</v>
      </c>
      <c r="D273">
        <f>IF(OR(C273=1900,$D$144=0),0,VLOOKUP(A273,'Estados Financieros'!$A$18:$H$458,5,0))</f>
        <v>0</v>
      </c>
      <c r="E273" t="str">
        <f t="shared" si="12"/>
        <v>0,000</v>
      </c>
    </row>
    <row r="274" spans="1:5">
      <c r="A274">
        <v>322500</v>
      </c>
      <c r="B274" t="str">
        <f t="shared" si="13"/>
        <v/>
      </c>
      <c r="C274">
        <f t="shared" si="14"/>
        <v>1900</v>
      </c>
      <c r="D274">
        <f>IF(OR(C274=1900,$D$144=0),0,VLOOKUP(A274,'Estados Financieros'!$A$18:$H$458,5,0))</f>
        <v>0</v>
      </c>
      <c r="E274" t="str">
        <f t="shared" si="12"/>
        <v>0,000</v>
      </c>
    </row>
    <row r="275" spans="1:5">
      <c r="A275">
        <v>32</v>
      </c>
      <c r="B275" t="str">
        <f t="shared" si="13"/>
        <v/>
      </c>
      <c r="C275">
        <f t="shared" si="14"/>
        <v>1900</v>
      </c>
      <c r="D275">
        <f>IF(OR(C275=1900,$D$144=0),0,VLOOKUP(A275,'Estados Financieros'!$A$18:$H$458,5,0))</f>
        <v>0</v>
      </c>
      <c r="E275" t="str">
        <f t="shared" si="12"/>
        <v>0,000</v>
      </c>
    </row>
    <row r="276" spans="1:5">
      <c r="A276">
        <v>330500</v>
      </c>
      <c r="B276" t="str">
        <f t="shared" si="13"/>
        <v/>
      </c>
      <c r="C276">
        <f t="shared" si="14"/>
        <v>1900</v>
      </c>
      <c r="D276">
        <f>IF(OR(C276=1900,$D$144=0),0,VLOOKUP(A276,'Estados Financieros'!$A$18:$H$458,5,0))</f>
        <v>0</v>
      </c>
      <c r="E276" t="str">
        <f t="shared" si="12"/>
        <v>0,000</v>
      </c>
    </row>
    <row r="277" spans="1:5">
      <c r="A277">
        <v>331000</v>
      </c>
      <c r="B277" t="str">
        <f t="shared" si="13"/>
        <v/>
      </c>
      <c r="C277">
        <f t="shared" si="14"/>
        <v>1900</v>
      </c>
      <c r="D277">
        <f>IF(OR(C277=1900,$D$144=0),0,VLOOKUP(A277,'Estados Financieros'!$A$18:$H$458,5,0))</f>
        <v>0</v>
      </c>
      <c r="E277" t="str">
        <f t="shared" si="12"/>
        <v>0,000</v>
      </c>
    </row>
    <row r="278" spans="1:5">
      <c r="A278">
        <v>331500</v>
      </c>
      <c r="B278" t="str">
        <f t="shared" si="13"/>
        <v/>
      </c>
      <c r="C278">
        <f t="shared" si="14"/>
        <v>1900</v>
      </c>
      <c r="D278">
        <f>IF(OR(C278=1900,$D$144=0),0,VLOOKUP(A278,'Estados Financieros'!$A$18:$H$458,5,0))</f>
        <v>0</v>
      </c>
      <c r="E278" t="str">
        <f t="shared" si="12"/>
        <v>0,000</v>
      </c>
    </row>
    <row r="279" spans="1:5">
      <c r="A279">
        <v>33</v>
      </c>
      <c r="B279" t="str">
        <f t="shared" si="13"/>
        <v/>
      </c>
      <c r="C279">
        <f t="shared" si="14"/>
        <v>1900</v>
      </c>
      <c r="D279">
        <f>IF(OR(C279=1900,$D$144=0),0,VLOOKUP(A279,'Estados Financieros'!$A$18:$H$458,5,0))</f>
        <v>0</v>
      </c>
      <c r="E279" t="str">
        <f t="shared" si="12"/>
        <v>0,000</v>
      </c>
    </row>
    <row r="280" spans="1:5">
      <c r="A280">
        <v>340505</v>
      </c>
      <c r="B280" t="str">
        <f t="shared" si="13"/>
        <v/>
      </c>
      <c r="C280">
        <f t="shared" si="14"/>
        <v>1900</v>
      </c>
      <c r="D280">
        <f>IF(OR(C280=1900,$D$144=0),0,VLOOKUP(A280,'Estados Financieros'!$A$18:$H$458,5,0))</f>
        <v>0</v>
      </c>
      <c r="E280" t="str">
        <f t="shared" si="12"/>
        <v>0,000</v>
      </c>
    </row>
    <row r="281" spans="1:5">
      <c r="A281">
        <v>340515</v>
      </c>
      <c r="B281" t="str">
        <f t="shared" si="13"/>
        <v/>
      </c>
      <c r="C281">
        <f t="shared" si="14"/>
        <v>1900</v>
      </c>
      <c r="D281">
        <f>IF(OR(C281=1900,$D$144=0),0,VLOOKUP(A281,'Estados Financieros'!$A$18:$H$458,5,0))</f>
        <v>0</v>
      </c>
      <c r="E281" t="str">
        <f t="shared" si="12"/>
        <v>0,000</v>
      </c>
    </row>
    <row r="282" spans="1:5">
      <c r="A282">
        <v>349500</v>
      </c>
      <c r="B282" t="str">
        <f t="shared" si="13"/>
        <v/>
      </c>
      <c r="C282">
        <f t="shared" si="14"/>
        <v>1900</v>
      </c>
      <c r="D282">
        <f>IF(OR(C282=1900,$D$144=0),0,VLOOKUP(A282,'Estados Financieros'!$A$18:$H$458,5,0))</f>
        <v>0</v>
      </c>
      <c r="E282" t="str">
        <f t="shared" si="12"/>
        <v>0,000</v>
      </c>
    </row>
    <row r="283" spans="1:5">
      <c r="A283">
        <v>34</v>
      </c>
      <c r="B283" t="str">
        <f t="shared" si="13"/>
        <v/>
      </c>
      <c r="C283">
        <f t="shared" si="14"/>
        <v>1900</v>
      </c>
      <c r="D283">
        <f>IF(OR(C283=1900,$D$144=0),0,VLOOKUP(A283,'Estados Financieros'!$A$18:$H$458,5,0))</f>
        <v>0</v>
      </c>
      <c r="E283" t="str">
        <f t="shared" si="12"/>
        <v>0,000</v>
      </c>
    </row>
    <row r="284" spans="1:5">
      <c r="A284">
        <v>35</v>
      </c>
      <c r="B284" t="str">
        <f t="shared" si="13"/>
        <v/>
      </c>
      <c r="C284">
        <f t="shared" si="14"/>
        <v>1900</v>
      </c>
      <c r="D284">
        <f>IF(OR(C284=1900,$D$144=0),0,VLOOKUP(A284,'Estados Financieros'!$A$18:$H$458,5,0))</f>
        <v>0</v>
      </c>
      <c r="E284" t="str">
        <f t="shared" si="12"/>
        <v>0,000</v>
      </c>
    </row>
    <row r="285" spans="1:5">
      <c r="A285">
        <v>36</v>
      </c>
      <c r="B285" t="str">
        <f t="shared" si="13"/>
        <v/>
      </c>
      <c r="C285">
        <f t="shared" si="14"/>
        <v>1900</v>
      </c>
      <c r="D285">
        <f>IF(OR(C285=1900,$D$144=0),0,VLOOKUP(A285,'Estados Financieros'!$A$18:$H$458,5,0))</f>
        <v>0</v>
      </c>
      <c r="E285" t="str">
        <f t="shared" si="12"/>
        <v>0,000</v>
      </c>
    </row>
    <row r="286" spans="1:5">
      <c r="A286">
        <v>37</v>
      </c>
      <c r="B286" t="str">
        <f t="shared" si="13"/>
        <v/>
      </c>
      <c r="C286">
        <f t="shared" si="14"/>
        <v>1900</v>
      </c>
      <c r="D286">
        <f>IF(OR(C286=1900,$D$144=0),0,VLOOKUP(A286,'Estados Financieros'!$A$18:$H$458,5,0))</f>
        <v>0</v>
      </c>
      <c r="E286" t="str">
        <f t="shared" si="12"/>
        <v>0,000</v>
      </c>
    </row>
    <row r="287" spans="1:5">
      <c r="A287">
        <v>38</v>
      </c>
      <c r="B287" t="str">
        <f t="shared" si="13"/>
        <v/>
      </c>
      <c r="C287">
        <f t="shared" si="14"/>
        <v>1900</v>
      </c>
      <c r="D287">
        <f>IF(OR(C287=1900,$D$144=0),0,VLOOKUP(A287,'Estados Financieros'!$A$18:$H$458,5,0))</f>
        <v>0</v>
      </c>
      <c r="E287" t="str">
        <f t="shared" si="12"/>
        <v>0,000</v>
      </c>
    </row>
    <row r="288" spans="1:5">
      <c r="A288">
        <v>3</v>
      </c>
      <c r="B288" t="str">
        <f t="shared" si="13"/>
        <v/>
      </c>
      <c r="C288">
        <f t="shared" si="14"/>
        <v>1900</v>
      </c>
      <c r="D288">
        <f>IF(OR(C288=1900,$D$144=0),0,VLOOKUP(A288,'Estados Financieros'!$A$18:$H$458,5,0))</f>
        <v>0</v>
      </c>
      <c r="E288" t="str">
        <f t="shared" si="12"/>
        <v>0,000</v>
      </c>
    </row>
    <row r="289" spans="1:5">
      <c r="A289">
        <v>0</v>
      </c>
      <c r="B289" t="str">
        <f t="shared" si="13"/>
        <v/>
      </c>
      <c r="C289">
        <f t="shared" si="14"/>
        <v>1900</v>
      </c>
      <c r="D289">
        <f>IF(OR(C289=1900,$D$144=0),0,VLOOKUP(A289,'Estados Financieros'!$A$18:$H$458,5,0))</f>
        <v>0</v>
      </c>
      <c r="E289" t="str">
        <f t="shared" si="12"/>
        <v>0,000</v>
      </c>
    </row>
    <row r="290" spans="1:5">
      <c r="A290">
        <v>291000</v>
      </c>
      <c r="B290" t="str">
        <f t="shared" si="13"/>
        <v/>
      </c>
      <c r="C290">
        <f t="shared" si="14"/>
        <v>1900</v>
      </c>
      <c r="D290">
        <f>IF(OR(C290=1900,$D$144=0),0,VLOOKUP(A290,'Estados Financieros'!$A$18:$H$458,5,0))</f>
        <v>0</v>
      </c>
      <c r="E290" t="str">
        <f t="shared" si="12"/>
        <v>0,000</v>
      </c>
    </row>
    <row r="291" spans="1:5">
      <c r="A291">
        <v>292000</v>
      </c>
      <c r="B291" t="str">
        <f t="shared" si="13"/>
        <v/>
      </c>
      <c r="C291">
        <f t="shared" si="14"/>
        <v>1900</v>
      </c>
      <c r="D291">
        <f>IF(OR(C291=1900,$D$144=0),0,VLOOKUP(A291,'Estados Financieros'!$A$18:$H$458,5,0))</f>
        <v>0</v>
      </c>
      <c r="E291" t="str">
        <f t="shared" si="12"/>
        <v>0,000</v>
      </c>
    </row>
    <row r="292" spans="1:5">
      <c r="A292">
        <v>293000</v>
      </c>
      <c r="B292" t="str">
        <f t="shared" si="13"/>
        <v/>
      </c>
      <c r="C292">
        <f t="shared" si="14"/>
        <v>1900</v>
      </c>
      <c r="D292">
        <f>IF(OR(C292=1900,$D$144=0),0,VLOOKUP(A292,'Estados Financieros'!$A$18:$H$458,5,0))</f>
        <v>0</v>
      </c>
      <c r="E292" t="str">
        <f t="shared" si="12"/>
        <v>0,000</v>
      </c>
    </row>
    <row r="293" spans="1:5">
      <c r="A293">
        <v>294000</v>
      </c>
      <c r="B293" t="str">
        <f t="shared" si="13"/>
        <v/>
      </c>
      <c r="C293">
        <f t="shared" si="14"/>
        <v>1900</v>
      </c>
      <c r="D293">
        <f>IF(OR(C293=1900,$D$144=0),0,VLOOKUP(A293,'Estados Financieros'!$A$18:$H$458,5,0))</f>
        <v>0</v>
      </c>
      <c r="E293" t="str">
        <f t="shared" si="12"/>
        <v>0,000</v>
      </c>
    </row>
    <row r="294" spans="1:5">
      <c r="A294">
        <v>190000</v>
      </c>
      <c r="B294" t="str">
        <f t="shared" si="13"/>
        <v/>
      </c>
      <c r="C294">
        <f t="shared" si="14"/>
        <v>1900</v>
      </c>
      <c r="D294">
        <f>IF(OR(C294=1900,$D$144=0),0,VLOOKUP(A294,'Estados Financieros'!$A$18:$H$458,5,0))</f>
        <v>0</v>
      </c>
      <c r="E294" t="str">
        <f t="shared" si="12"/>
        <v>0,000</v>
      </c>
    </row>
    <row r="295" spans="1:5">
      <c r="A295">
        <v>410500</v>
      </c>
      <c r="B295" t="str">
        <f t="shared" si="13"/>
        <v/>
      </c>
      <c r="C295">
        <f t="shared" si="14"/>
        <v>1900</v>
      </c>
      <c r="D295">
        <f>IF(OR(C295=1900,$D$144=0),0,VLOOKUP(A295,'Estados Financieros'!$A$18:$H$458,5,0))</f>
        <v>0</v>
      </c>
      <c r="E295" t="str">
        <f t="shared" si="12"/>
        <v>0,000</v>
      </c>
    </row>
    <row r="296" spans="1:5">
      <c r="A296">
        <v>411000</v>
      </c>
      <c r="B296" t="str">
        <f t="shared" si="13"/>
        <v/>
      </c>
      <c r="C296">
        <f t="shared" si="14"/>
        <v>1900</v>
      </c>
      <c r="D296">
        <f>IF(OR(C296=1900,$D$144=0),0,VLOOKUP(A296,'Estados Financieros'!$A$18:$H$458,5,0))</f>
        <v>0</v>
      </c>
      <c r="E296" t="str">
        <f t="shared" si="12"/>
        <v>0,000</v>
      </c>
    </row>
    <row r="297" spans="1:5">
      <c r="A297">
        <v>41</v>
      </c>
      <c r="B297" t="str">
        <f t="shared" si="13"/>
        <v/>
      </c>
      <c r="C297">
        <f t="shared" si="14"/>
        <v>1900</v>
      </c>
      <c r="D297">
        <f>+D295+D296</f>
        <v>0</v>
      </c>
      <c r="E297" t="str">
        <f t="shared" si="12"/>
        <v>0,000</v>
      </c>
    </row>
    <row r="298" spans="1:5">
      <c r="A298">
        <v>61</v>
      </c>
      <c r="B298" t="str">
        <f t="shared" si="13"/>
        <v/>
      </c>
      <c r="C298">
        <f t="shared" si="14"/>
        <v>1900</v>
      </c>
      <c r="D298">
        <f>IF(OR(C298=1900,$D$144=0),0,VLOOKUP(A298,'Estados Financieros'!$A$18:$H$458,5,0))</f>
        <v>0</v>
      </c>
      <c r="E298" t="str">
        <f t="shared" si="12"/>
        <v>0,000</v>
      </c>
    </row>
    <row r="299" spans="1:5">
      <c r="A299">
        <v>606000</v>
      </c>
      <c r="B299" t="str">
        <f t="shared" si="13"/>
        <v/>
      </c>
      <c r="C299">
        <f t="shared" si="14"/>
        <v>1900</v>
      </c>
      <c r="D299">
        <f>IF(OR(C299=1900,$D$144=0),0,VLOOKUP(A299,'Estados Financieros'!$A$18:$H$458,5,0))</f>
        <v>0</v>
      </c>
      <c r="E299" t="str">
        <f t="shared" si="12"/>
        <v>0,000</v>
      </c>
    </row>
    <row r="300" spans="1:5">
      <c r="A300">
        <v>95</v>
      </c>
      <c r="B300" t="str">
        <f t="shared" si="13"/>
        <v/>
      </c>
      <c r="C300">
        <f t="shared" si="14"/>
        <v>1900</v>
      </c>
      <c r="D300">
        <f>IF(OR(C300=1900,$D$144=0),0,VLOOKUP(A300,'Estados Financieros'!$A$18:$H$458,5,0))</f>
        <v>0</v>
      </c>
      <c r="E300" t="str">
        <f t="shared" si="12"/>
        <v>0,000</v>
      </c>
    </row>
    <row r="301" spans="1:5">
      <c r="A301">
        <v>510500</v>
      </c>
      <c r="B301" t="str">
        <f t="shared" si="13"/>
        <v/>
      </c>
      <c r="C301">
        <f t="shared" si="14"/>
        <v>1900</v>
      </c>
      <c r="D301">
        <f>IF(OR(C301=1900,$D$144=0),0,VLOOKUP(A301,'Estados Financieros'!$A$18:$H$458,5,0))</f>
        <v>0</v>
      </c>
      <c r="E301" t="str">
        <f t="shared" si="12"/>
        <v>0,000</v>
      </c>
    </row>
    <row r="302" spans="1:5">
      <c r="A302">
        <v>511000</v>
      </c>
      <c r="B302" t="str">
        <f t="shared" si="13"/>
        <v/>
      </c>
      <c r="C302">
        <f t="shared" si="14"/>
        <v>1900</v>
      </c>
      <c r="D302">
        <f>IF(OR(C302=1900,$D$144=0),0,VLOOKUP(A302,'Estados Financieros'!$A$18:$H$458,5,0))</f>
        <v>0</v>
      </c>
      <c r="E302" t="str">
        <f t="shared" si="12"/>
        <v>0,000</v>
      </c>
    </row>
    <row r="303" spans="1:5">
      <c r="A303">
        <v>511500</v>
      </c>
      <c r="B303" t="str">
        <f t="shared" si="13"/>
        <v/>
      </c>
      <c r="C303">
        <f t="shared" si="14"/>
        <v>1900</v>
      </c>
      <c r="D303">
        <f>IF(OR(C303=1900,$D$144=0),0,VLOOKUP(A303,'Estados Financieros'!$A$18:$H$458,5,0))</f>
        <v>0</v>
      </c>
      <c r="E303" t="str">
        <f t="shared" si="12"/>
        <v>0,000</v>
      </c>
    </row>
    <row r="304" spans="1:5">
      <c r="A304">
        <v>512000</v>
      </c>
      <c r="B304" t="str">
        <f t="shared" si="13"/>
        <v/>
      </c>
      <c r="C304">
        <f t="shared" si="14"/>
        <v>1900</v>
      </c>
      <c r="D304">
        <f>IF(OR(C304=1900,$D$144=0),0,VLOOKUP(A304,'Estados Financieros'!$A$18:$H$458,5,0))</f>
        <v>0</v>
      </c>
      <c r="E304" t="str">
        <f t="shared" si="12"/>
        <v>0,000</v>
      </c>
    </row>
    <row r="305" spans="1:5">
      <c r="A305">
        <v>512500</v>
      </c>
      <c r="B305" t="str">
        <f t="shared" si="13"/>
        <v/>
      </c>
      <c r="C305">
        <f t="shared" si="14"/>
        <v>1900</v>
      </c>
      <c r="D305">
        <f>IF(OR(C305=1900,$D$144=0),0,VLOOKUP(A305,'Estados Financieros'!$A$18:$H$458,5,0))</f>
        <v>0</v>
      </c>
      <c r="E305" t="str">
        <f t="shared" si="12"/>
        <v>0,000</v>
      </c>
    </row>
    <row r="306" spans="1:5">
      <c r="A306">
        <v>513000</v>
      </c>
      <c r="B306" t="str">
        <f t="shared" si="13"/>
        <v/>
      </c>
      <c r="C306">
        <f t="shared" si="14"/>
        <v>1900</v>
      </c>
      <c r="D306">
        <f>IF(OR(C306=1900,$D$144=0),0,VLOOKUP(A306,'Estados Financieros'!$A$18:$H$458,5,0))</f>
        <v>0</v>
      </c>
      <c r="E306" t="str">
        <f t="shared" si="12"/>
        <v>0,000</v>
      </c>
    </row>
    <row r="307" spans="1:5">
      <c r="A307">
        <v>513500</v>
      </c>
      <c r="B307" t="str">
        <f t="shared" si="13"/>
        <v/>
      </c>
      <c r="C307">
        <f t="shared" si="14"/>
        <v>1900</v>
      </c>
      <c r="D307">
        <f>IF(OR(C307=1900,$D$144=0),0,VLOOKUP(A307,'Estados Financieros'!$A$18:$H$458,5,0))</f>
        <v>0</v>
      </c>
      <c r="E307" t="str">
        <f t="shared" si="12"/>
        <v>0,000</v>
      </c>
    </row>
    <row r="308" spans="1:5">
      <c r="A308">
        <v>514000</v>
      </c>
      <c r="B308" t="str">
        <f t="shared" si="13"/>
        <v/>
      </c>
      <c r="C308">
        <f t="shared" si="14"/>
        <v>1900</v>
      </c>
      <c r="D308">
        <f>IF(OR(C308=1900,$D$144=0),0,VLOOKUP(A308,'Estados Financieros'!$A$18:$H$458,5,0))</f>
        <v>0</v>
      </c>
      <c r="E308" t="str">
        <f t="shared" si="12"/>
        <v>0,000</v>
      </c>
    </row>
    <row r="309" spans="1:5">
      <c r="A309">
        <v>514500</v>
      </c>
      <c r="B309" t="str">
        <f t="shared" si="13"/>
        <v/>
      </c>
      <c r="C309">
        <f t="shared" si="14"/>
        <v>1900</v>
      </c>
      <c r="D309">
        <f>IF(OR(C309=1900,$D$144=0),0,VLOOKUP(A309,'Estados Financieros'!$A$18:$H$458,5,0))</f>
        <v>0</v>
      </c>
      <c r="E309" t="str">
        <f t="shared" si="12"/>
        <v>0,000</v>
      </c>
    </row>
    <row r="310" spans="1:5">
      <c r="A310">
        <v>515000</v>
      </c>
      <c r="B310" t="str">
        <f t="shared" si="13"/>
        <v/>
      </c>
      <c r="C310">
        <f t="shared" si="14"/>
        <v>1900</v>
      </c>
      <c r="D310">
        <f>IF(OR(C310=1900,$D$144=0),0,VLOOKUP(A310,'Estados Financieros'!$A$18:$H$458,5,0))</f>
        <v>0</v>
      </c>
      <c r="E310" t="str">
        <f t="shared" si="12"/>
        <v>0,000</v>
      </c>
    </row>
    <row r="311" spans="1:5">
      <c r="A311">
        <v>515500</v>
      </c>
      <c r="B311" t="str">
        <f t="shared" si="13"/>
        <v/>
      </c>
      <c r="C311">
        <f t="shared" si="14"/>
        <v>1900</v>
      </c>
      <c r="D311">
        <f>IF(OR(C311=1900,$D$144=0),0,VLOOKUP(A311,'Estados Financieros'!$A$18:$H$458,5,0))</f>
        <v>0</v>
      </c>
      <c r="E311" t="str">
        <f t="shared" si="12"/>
        <v>0,000</v>
      </c>
    </row>
    <row r="312" spans="1:5">
      <c r="A312">
        <v>519500</v>
      </c>
      <c r="B312" t="str">
        <f t="shared" si="13"/>
        <v/>
      </c>
      <c r="C312">
        <f t="shared" si="14"/>
        <v>1900</v>
      </c>
      <c r="D312">
        <f>IF(OR(C312=1900,$D$144=0),0,VLOOKUP(A312,'Estados Financieros'!$A$18:$H$458,5,0))</f>
        <v>0</v>
      </c>
      <c r="E312" t="str">
        <f t="shared" si="12"/>
        <v>0,000</v>
      </c>
    </row>
    <row r="313" spans="1:5">
      <c r="A313">
        <v>516000</v>
      </c>
      <c r="B313" t="str">
        <f t="shared" si="13"/>
        <v/>
      </c>
      <c r="C313">
        <f t="shared" si="14"/>
        <v>1900</v>
      </c>
      <c r="D313">
        <f>IF(OR(C313=1900,$D$144=0),0,VLOOKUP(A313,'Estados Financieros'!$A$18:$H$458,5,0))</f>
        <v>0</v>
      </c>
      <c r="E313" t="str">
        <f t="shared" si="12"/>
        <v>0,000</v>
      </c>
    </row>
    <row r="314" spans="1:5">
      <c r="A314">
        <v>516500</v>
      </c>
      <c r="B314" t="str">
        <f t="shared" si="13"/>
        <v/>
      </c>
      <c r="C314">
        <f t="shared" si="14"/>
        <v>1900</v>
      </c>
      <c r="D314">
        <f>IF(OR(C314=1900,$D$144=0),0,VLOOKUP(A314,'Estados Financieros'!$A$18:$H$458,5,0))</f>
        <v>0</v>
      </c>
      <c r="E314" t="str">
        <f t="shared" si="12"/>
        <v>0,000</v>
      </c>
    </row>
    <row r="315" spans="1:5">
      <c r="A315">
        <v>519900</v>
      </c>
      <c r="B315" t="str">
        <f t="shared" si="13"/>
        <v/>
      </c>
      <c r="C315">
        <f t="shared" si="14"/>
        <v>1900</v>
      </c>
      <c r="D315">
        <f>IF(OR(C315=1900,$D$144=0),0,VLOOKUP(A315,'Estados Financieros'!$A$18:$H$458,5,0))</f>
        <v>0</v>
      </c>
      <c r="E315" t="str">
        <f t="shared" si="12"/>
        <v>0,000</v>
      </c>
    </row>
    <row r="316" spans="1:5">
      <c r="A316">
        <v>51</v>
      </c>
      <c r="B316" t="str">
        <f t="shared" si="13"/>
        <v/>
      </c>
      <c r="C316">
        <f t="shared" si="14"/>
        <v>1900</v>
      </c>
      <c r="D316">
        <f>IF(OR(C316=1900,$D$144=0),0,VLOOKUP(A316,'Estados Financieros'!$A$18:$H$458,5,0))</f>
        <v>0</v>
      </c>
      <c r="E316" t="str">
        <f t="shared" si="12"/>
        <v>0,000</v>
      </c>
    </row>
    <row r="317" spans="1:5">
      <c r="A317">
        <v>520500</v>
      </c>
      <c r="B317" t="str">
        <f t="shared" si="13"/>
        <v/>
      </c>
      <c r="C317">
        <f t="shared" si="14"/>
        <v>1900</v>
      </c>
      <c r="D317">
        <f>IF(OR(C317=1900,$D$144=0),0,VLOOKUP(A317,'Estados Financieros'!$A$18:$H$458,5,0))</f>
        <v>0</v>
      </c>
      <c r="E317" t="str">
        <f t="shared" si="12"/>
        <v>0,000</v>
      </c>
    </row>
    <row r="318" spans="1:5">
      <c r="A318">
        <v>521000</v>
      </c>
      <c r="B318" t="str">
        <f t="shared" si="13"/>
        <v/>
      </c>
      <c r="C318">
        <f t="shared" si="14"/>
        <v>1900</v>
      </c>
      <c r="D318">
        <f>IF(OR(C318=1900,$D$144=0),0,VLOOKUP(A318,'Estados Financieros'!$A$18:$H$458,5,0))</f>
        <v>0</v>
      </c>
      <c r="E318" t="str">
        <f t="shared" si="12"/>
        <v>0,000</v>
      </c>
    </row>
    <row r="319" spans="1:5">
      <c r="A319">
        <v>521500</v>
      </c>
      <c r="B319" t="str">
        <f t="shared" si="13"/>
        <v/>
      </c>
      <c r="C319">
        <f t="shared" si="14"/>
        <v>1900</v>
      </c>
      <c r="D319">
        <f>IF(OR(C319=1900,$D$144=0),0,VLOOKUP(A319,'Estados Financieros'!$A$18:$H$458,5,0))</f>
        <v>0</v>
      </c>
      <c r="E319" t="str">
        <f t="shared" si="12"/>
        <v>0,000</v>
      </c>
    </row>
    <row r="320" spans="1:5">
      <c r="A320">
        <v>522000</v>
      </c>
      <c r="B320" t="str">
        <f t="shared" si="13"/>
        <v/>
      </c>
      <c r="C320">
        <f t="shared" si="14"/>
        <v>1900</v>
      </c>
      <c r="D320">
        <f>IF(OR(C320=1900,$D$144=0),0,VLOOKUP(A320,'Estados Financieros'!$A$18:$H$458,5,0))</f>
        <v>0</v>
      </c>
      <c r="E320" t="str">
        <f t="shared" si="12"/>
        <v>0,000</v>
      </c>
    </row>
    <row r="321" spans="1:5">
      <c r="A321">
        <v>522500</v>
      </c>
      <c r="B321" t="str">
        <f t="shared" si="13"/>
        <v/>
      </c>
      <c r="C321">
        <f t="shared" si="14"/>
        <v>1900</v>
      </c>
      <c r="D321">
        <f>IF(OR(C321=1900,$D$144=0),0,VLOOKUP(A321,'Estados Financieros'!$A$18:$H$458,5,0))</f>
        <v>0</v>
      </c>
      <c r="E321" t="str">
        <f t="shared" si="12"/>
        <v>0,000</v>
      </c>
    </row>
    <row r="322" spans="1:5">
      <c r="A322">
        <v>523000</v>
      </c>
      <c r="B322" t="str">
        <f t="shared" si="13"/>
        <v/>
      </c>
      <c r="C322">
        <f t="shared" si="14"/>
        <v>1900</v>
      </c>
      <c r="D322">
        <f>IF(OR(C322=1900,$D$144=0),0,VLOOKUP(A322,'Estados Financieros'!$A$18:$H$458,5,0))</f>
        <v>0</v>
      </c>
      <c r="E322" t="str">
        <f t="shared" ref="E322:E385" si="15">IFERROR(FIXED(D322,3,1),0)</f>
        <v>0,000</v>
      </c>
    </row>
    <row r="323" spans="1:5">
      <c r="A323">
        <v>523500</v>
      </c>
      <c r="B323" t="str">
        <f t="shared" ref="B323:B363" si="16">+B322</f>
        <v/>
      </c>
      <c r="C323">
        <f t="shared" ref="C323:C363" si="17">+C322</f>
        <v>1900</v>
      </c>
      <c r="D323">
        <f>IF(OR(C323=1900,$D$144=0),0,VLOOKUP(A323,'Estados Financieros'!$A$18:$H$458,5,0))</f>
        <v>0</v>
      </c>
      <c r="E323" t="str">
        <f t="shared" si="15"/>
        <v>0,000</v>
      </c>
    </row>
    <row r="324" spans="1:5">
      <c r="A324">
        <v>524000</v>
      </c>
      <c r="B324" t="str">
        <f t="shared" si="16"/>
        <v/>
      </c>
      <c r="C324">
        <f t="shared" si="17"/>
        <v>1900</v>
      </c>
      <c r="D324">
        <f>IF(OR(C324=1900,$D$144=0),0,VLOOKUP(A324,'Estados Financieros'!$A$18:$H$458,5,0))</f>
        <v>0</v>
      </c>
      <c r="E324" t="str">
        <f t="shared" si="15"/>
        <v>0,000</v>
      </c>
    </row>
    <row r="325" spans="1:5">
      <c r="A325">
        <v>524500</v>
      </c>
      <c r="B325" t="str">
        <f t="shared" si="16"/>
        <v/>
      </c>
      <c r="C325">
        <f t="shared" si="17"/>
        <v>1900</v>
      </c>
      <c r="D325">
        <f>IF(OR(C325=1900,$D$144=0),0,VLOOKUP(A325,'Estados Financieros'!$A$18:$H$458,5,0))</f>
        <v>0</v>
      </c>
      <c r="E325" t="str">
        <f t="shared" si="15"/>
        <v>0,000</v>
      </c>
    </row>
    <row r="326" spans="1:5">
      <c r="A326">
        <v>525000</v>
      </c>
      <c r="B326" t="str">
        <f t="shared" si="16"/>
        <v/>
      </c>
      <c r="C326">
        <f t="shared" si="17"/>
        <v>1900</v>
      </c>
      <c r="D326">
        <f>IF(OR(C326=1900,$D$144=0),0,VLOOKUP(A326,'Estados Financieros'!$A$18:$H$458,5,0))</f>
        <v>0</v>
      </c>
      <c r="E326" t="str">
        <f t="shared" si="15"/>
        <v>0,000</v>
      </c>
    </row>
    <row r="327" spans="1:5">
      <c r="A327">
        <v>525500</v>
      </c>
      <c r="B327" t="str">
        <f t="shared" si="16"/>
        <v/>
      </c>
      <c r="C327">
        <f t="shared" si="17"/>
        <v>1900</v>
      </c>
      <c r="D327">
        <f>IF(OR(C327=1900,$D$144=0),0,VLOOKUP(A327,'Estados Financieros'!$A$18:$H$458,5,0))</f>
        <v>0</v>
      </c>
      <c r="E327" t="str">
        <f t="shared" si="15"/>
        <v>0,000</v>
      </c>
    </row>
    <row r="328" spans="1:5">
      <c r="A328">
        <v>529500</v>
      </c>
      <c r="B328" t="str">
        <f t="shared" si="16"/>
        <v/>
      </c>
      <c r="C328">
        <f t="shared" si="17"/>
        <v>1900</v>
      </c>
      <c r="D328">
        <f>IF(OR(C328=1900,$D$144=0),0,VLOOKUP(A328,'Estados Financieros'!$A$18:$H$458,5,0))</f>
        <v>0</v>
      </c>
      <c r="E328" t="str">
        <f t="shared" si="15"/>
        <v>0,000</v>
      </c>
    </row>
    <row r="329" spans="1:5">
      <c r="A329">
        <v>526000</v>
      </c>
      <c r="B329" t="str">
        <f t="shared" si="16"/>
        <v/>
      </c>
      <c r="C329">
        <f t="shared" si="17"/>
        <v>1900</v>
      </c>
      <c r="D329">
        <f>IF(OR(C329=1900,$D$144=0),0,VLOOKUP(A329,'Estados Financieros'!$A$18:$H$458,5,0))</f>
        <v>0</v>
      </c>
      <c r="E329" t="str">
        <f t="shared" si="15"/>
        <v>0,000</v>
      </c>
    </row>
    <row r="330" spans="1:5">
      <c r="A330">
        <v>526500</v>
      </c>
      <c r="B330" t="str">
        <f t="shared" si="16"/>
        <v/>
      </c>
      <c r="C330">
        <f t="shared" si="17"/>
        <v>1900</v>
      </c>
      <c r="D330">
        <f>IF(OR(C330=1900,$D$144=0),0,VLOOKUP(A330,'Estados Financieros'!$A$18:$H$458,5,0))</f>
        <v>0</v>
      </c>
      <c r="E330" t="str">
        <f t="shared" si="15"/>
        <v>0,000</v>
      </c>
    </row>
    <row r="331" spans="1:5">
      <c r="A331">
        <v>529900</v>
      </c>
      <c r="B331" t="str">
        <f t="shared" si="16"/>
        <v/>
      </c>
      <c r="C331">
        <f t="shared" si="17"/>
        <v>1900</v>
      </c>
      <c r="D331">
        <f>IF(OR(C331=1900,$D$144=0),0,VLOOKUP(A331,'Estados Financieros'!$A$18:$H$458,5,0))</f>
        <v>0</v>
      </c>
      <c r="E331" t="str">
        <f t="shared" si="15"/>
        <v>0,000</v>
      </c>
    </row>
    <row r="332" spans="1:5">
      <c r="A332">
        <v>52</v>
      </c>
      <c r="B332" t="str">
        <f t="shared" si="16"/>
        <v/>
      </c>
      <c r="C332">
        <f t="shared" si="17"/>
        <v>1900</v>
      </c>
      <c r="D332">
        <f>IF(OR(C332=1900,$D$144=0),0,VLOOKUP(A332,'Estados Financieros'!$A$18:$H$458,5,0))</f>
        <v>0</v>
      </c>
      <c r="E332" t="str">
        <f t="shared" si="15"/>
        <v>0,000</v>
      </c>
    </row>
    <row r="333" spans="1:5">
      <c r="A333">
        <v>96</v>
      </c>
      <c r="B333" t="str">
        <f t="shared" si="16"/>
        <v/>
      </c>
      <c r="C333">
        <f t="shared" si="17"/>
        <v>1900</v>
      </c>
      <c r="D333">
        <f>IF(OR(C333=1900,$D$144=0),0,VLOOKUP(A333,'Estados Financieros'!$A$18:$H$458,5,0))</f>
        <v>0</v>
      </c>
      <c r="E333" t="str">
        <f t="shared" si="15"/>
        <v>0,000</v>
      </c>
    </row>
    <row r="334" spans="1:5">
      <c r="A334">
        <v>421000</v>
      </c>
      <c r="B334" t="str">
        <f t="shared" si="16"/>
        <v/>
      </c>
      <c r="C334">
        <f t="shared" si="17"/>
        <v>1900</v>
      </c>
      <c r="D334">
        <f>IF(OR(C334=1900,$D$144=0),0,VLOOKUP(A334,'Estados Financieros'!$A$18:$H$458,5,0))</f>
        <v>0</v>
      </c>
      <c r="E334" t="str">
        <f t="shared" si="15"/>
        <v>0,000</v>
      </c>
    </row>
    <row r="335" spans="1:5">
      <c r="A335">
        <v>421020</v>
      </c>
      <c r="B335" t="str">
        <f t="shared" si="16"/>
        <v/>
      </c>
      <c r="C335">
        <f t="shared" si="17"/>
        <v>1900</v>
      </c>
      <c r="D335">
        <f>IF(OR(C335=1900,$D$144=0),0,VLOOKUP(A335,'Estados Financieros'!$A$18:$H$458,5,0))</f>
        <v>0</v>
      </c>
      <c r="E335" t="str">
        <f t="shared" si="15"/>
        <v>0,000</v>
      </c>
    </row>
    <row r="336" spans="1:5">
      <c r="A336">
        <v>420500</v>
      </c>
      <c r="B336" t="str">
        <f t="shared" si="16"/>
        <v/>
      </c>
      <c r="C336">
        <f t="shared" si="17"/>
        <v>1900</v>
      </c>
      <c r="D336">
        <f>IF(OR(C336=1900,$D$144=0),0,VLOOKUP(A336,'Estados Financieros'!$A$18:$H$458,5,0))</f>
        <v>0</v>
      </c>
      <c r="E336" t="str">
        <f t="shared" si="15"/>
        <v>0,000</v>
      </c>
    </row>
    <row r="337" spans="1:5">
      <c r="A337">
        <v>421040</v>
      </c>
      <c r="B337" t="str">
        <f t="shared" si="16"/>
        <v/>
      </c>
      <c r="C337">
        <f t="shared" si="17"/>
        <v>1900</v>
      </c>
      <c r="D337">
        <f>IF(OR(C337=1900,$D$144=0),0,VLOOKUP(A337,'Estados Financieros'!$A$18:$H$458,5,0))</f>
        <v>0</v>
      </c>
      <c r="E337" t="str">
        <f t="shared" si="15"/>
        <v>0,000</v>
      </c>
    </row>
    <row r="338" spans="1:5">
      <c r="A338">
        <v>421500</v>
      </c>
      <c r="B338" t="str">
        <f t="shared" si="16"/>
        <v/>
      </c>
      <c r="C338">
        <f t="shared" si="17"/>
        <v>1900</v>
      </c>
      <c r="D338">
        <f>IF(OR(C338=1900,$D$144=0),0,VLOOKUP(A338,'Estados Financieros'!$A$18:$H$458,5,0))</f>
        <v>0</v>
      </c>
      <c r="E338" t="str">
        <f t="shared" si="15"/>
        <v>0,000</v>
      </c>
    </row>
    <row r="339" spans="1:5">
      <c r="A339">
        <v>422000</v>
      </c>
      <c r="B339" t="str">
        <f t="shared" si="16"/>
        <v/>
      </c>
      <c r="C339">
        <f t="shared" si="17"/>
        <v>1900</v>
      </c>
      <c r="D339">
        <f>IF(OR(C339=1900,$D$144=0),0,VLOOKUP(A339,'Estados Financieros'!$A$18:$H$458,5,0))</f>
        <v>0</v>
      </c>
      <c r="E339" t="str">
        <f t="shared" si="15"/>
        <v>0,000</v>
      </c>
    </row>
    <row r="340" spans="1:5">
      <c r="A340">
        <v>422500</v>
      </c>
      <c r="B340" t="str">
        <f t="shared" si="16"/>
        <v/>
      </c>
      <c r="C340">
        <f t="shared" si="17"/>
        <v>1900</v>
      </c>
      <c r="D340">
        <f>IF(OR(C340=1900,$D$144=0),0,VLOOKUP(A340,'Estados Financieros'!$A$18:$H$458,5,0))</f>
        <v>0</v>
      </c>
      <c r="E340" t="str">
        <f t="shared" si="15"/>
        <v>0,000</v>
      </c>
    </row>
    <row r="341" spans="1:5">
      <c r="A341">
        <v>423500</v>
      </c>
      <c r="B341" t="str">
        <f t="shared" si="16"/>
        <v/>
      </c>
      <c r="C341">
        <f t="shared" si="17"/>
        <v>1900</v>
      </c>
      <c r="D341">
        <f>IF(OR(C341=1900,$D$144=0),0,VLOOKUP(A341,'Estados Financieros'!$A$18:$H$458,5,0))</f>
        <v>0</v>
      </c>
      <c r="E341" t="str">
        <f t="shared" si="15"/>
        <v>0,000</v>
      </c>
    </row>
    <row r="342" spans="1:5">
      <c r="A342">
        <v>424000</v>
      </c>
      <c r="B342" t="str">
        <f t="shared" si="16"/>
        <v/>
      </c>
      <c r="C342">
        <f t="shared" si="17"/>
        <v>1900</v>
      </c>
      <c r="D342">
        <f>IF(OR(C342=1900,$D$144=0),0,VLOOKUP(A342,'Estados Financieros'!$A$18:$H$458,5,0))</f>
        <v>0</v>
      </c>
      <c r="E342" t="str">
        <f t="shared" si="15"/>
        <v>0,000</v>
      </c>
    </row>
    <row r="343" spans="1:5">
      <c r="A343">
        <v>425000</v>
      </c>
      <c r="B343" t="str">
        <f t="shared" si="16"/>
        <v/>
      </c>
      <c r="C343">
        <f t="shared" si="17"/>
        <v>1900</v>
      </c>
      <c r="D343">
        <f>IF(OR(C343=1900,$D$144=0),0,VLOOKUP(A343,'Estados Financieros'!$A$18:$H$458,5,0))</f>
        <v>0</v>
      </c>
      <c r="E343" t="str">
        <f t="shared" si="15"/>
        <v>0,000</v>
      </c>
    </row>
    <row r="344" spans="1:5">
      <c r="A344">
        <v>426500</v>
      </c>
      <c r="B344" t="str">
        <f t="shared" si="16"/>
        <v/>
      </c>
      <c r="C344">
        <f t="shared" si="17"/>
        <v>1900</v>
      </c>
      <c r="D344">
        <f>IF(OR(C344=1900,$D$144=0),0,VLOOKUP(A344,'Estados Financieros'!$A$18:$H$458,5,0))</f>
        <v>0</v>
      </c>
      <c r="E344" t="str">
        <f t="shared" si="15"/>
        <v>0,000</v>
      </c>
    </row>
    <row r="345" spans="1:5">
      <c r="A345">
        <v>429500</v>
      </c>
      <c r="B345" t="str">
        <f t="shared" si="16"/>
        <v/>
      </c>
      <c r="C345">
        <f t="shared" si="17"/>
        <v>1900</v>
      </c>
      <c r="D345">
        <f>IF(OR(C345=1900,$D$144=0),0,VLOOKUP(A345,'Estados Financieros'!$A$18:$H$458,5,0))</f>
        <v>0</v>
      </c>
      <c r="E345" t="str">
        <f t="shared" si="15"/>
        <v>0,000</v>
      </c>
    </row>
    <row r="346" spans="1:5">
      <c r="A346">
        <v>42</v>
      </c>
      <c r="B346" t="str">
        <f t="shared" si="16"/>
        <v/>
      </c>
      <c r="C346">
        <f t="shared" si="17"/>
        <v>1900</v>
      </c>
      <c r="D346">
        <f>IF(OR(C346=1900,$D$144=0),0,VLOOKUP(A346,'Estados Financieros'!$A$18:$H$458,5,0))</f>
        <v>0</v>
      </c>
      <c r="E346" t="str">
        <f t="shared" si="15"/>
        <v>0,000</v>
      </c>
    </row>
    <row r="347" spans="1:5">
      <c r="A347">
        <v>5301</v>
      </c>
      <c r="B347" t="str">
        <f t="shared" si="16"/>
        <v/>
      </c>
      <c r="C347">
        <f t="shared" si="17"/>
        <v>1900</v>
      </c>
      <c r="D347">
        <f>IF(OR(C347=1900,$D$144=0),0,VLOOKUP(A347,'Estados Financieros'!$A$18:$H$458,5,0))</f>
        <v>0</v>
      </c>
      <c r="E347" t="str">
        <f t="shared" si="15"/>
        <v>0,000</v>
      </c>
    </row>
    <row r="348" spans="1:5">
      <c r="A348">
        <v>530525</v>
      </c>
      <c r="B348" t="str">
        <f t="shared" si="16"/>
        <v/>
      </c>
      <c r="C348">
        <f t="shared" si="17"/>
        <v>1900</v>
      </c>
      <c r="D348">
        <f>IF(OR(C348=1900,$D$144=0),0,VLOOKUP(A348,'Estados Financieros'!$A$18:$H$458,5,0))</f>
        <v>0</v>
      </c>
      <c r="E348" t="str">
        <f t="shared" si="15"/>
        <v>0,000</v>
      </c>
    </row>
    <row r="349" spans="1:5">
      <c r="A349">
        <v>530505</v>
      </c>
      <c r="B349" t="str">
        <f t="shared" si="16"/>
        <v/>
      </c>
      <c r="C349">
        <f t="shared" si="17"/>
        <v>1900</v>
      </c>
      <c r="D349">
        <f>IF(OR(C349=1900,$D$144=0),0,VLOOKUP(A349,'Estados Financieros'!$A$18:$H$458,5,0))</f>
        <v>0</v>
      </c>
      <c r="E349" t="str">
        <f t="shared" si="15"/>
        <v>0,000</v>
      </c>
    </row>
    <row r="350" spans="1:5">
      <c r="A350">
        <v>530515</v>
      </c>
      <c r="B350" t="str">
        <f t="shared" si="16"/>
        <v/>
      </c>
      <c r="C350">
        <f t="shared" si="17"/>
        <v>1900</v>
      </c>
      <c r="D350">
        <f>IF(OR(C350=1900,$D$144=0),0,VLOOKUP(A350,'Estados Financieros'!$A$18:$H$458,5,0))</f>
        <v>0</v>
      </c>
      <c r="E350" t="str">
        <f t="shared" si="15"/>
        <v>0,000</v>
      </c>
    </row>
    <row r="351" spans="1:5">
      <c r="A351">
        <v>530535</v>
      </c>
      <c r="B351" t="str">
        <f t="shared" si="16"/>
        <v/>
      </c>
      <c r="C351">
        <f t="shared" si="17"/>
        <v>1900</v>
      </c>
      <c r="D351">
        <f>IF(OR(C351=1900,$D$144=0),0,VLOOKUP(A351,'Estados Financieros'!$A$18:$H$458,5,0))</f>
        <v>0</v>
      </c>
      <c r="E351" t="str">
        <f t="shared" si="15"/>
        <v>0,000</v>
      </c>
    </row>
    <row r="352" spans="1:5">
      <c r="A352">
        <v>531000</v>
      </c>
      <c r="B352" t="str">
        <f t="shared" si="16"/>
        <v/>
      </c>
      <c r="C352">
        <f t="shared" si="17"/>
        <v>1900</v>
      </c>
      <c r="D352">
        <f>IF(OR(C352=1900,$D$144=0),0,VLOOKUP(A352,'Estados Financieros'!$A$18:$H$458,5,0))</f>
        <v>0</v>
      </c>
      <c r="E352" t="str">
        <f t="shared" si="15"/>
        <v>0,000</v>
      </c>
    </row>
    <row r="353" spans="1:5">
      <c r="A353">
        <v>531300</v>
      </c>
      <c r="B353" t="str">
        <f t="shared" si="16"/>
        <v/>
      </c>
      <c r="C353">
        <f t="shared" si="17"/>
        <v>1900</v>
      </c>
      <c r="D353">
        <f>IF(OR(C353=1900,$D$144=0),0,VLOOKUP(A353,'Estados Financieros'!$A$18:$H$458,5,0))</f>
        <v>0</v>
      </c>
      <c r="E353" t="str">
        <f t="shared" si="15"/>
        <v>0,000</v>
      </c>
    </row>
    <row r="354" spans="1:5">
      <c r="A354">
        <v>531500</v>
      </c>
      <c r="B354" t="str">
        <f t="shared" si="16"/>
        <v/>
      </c>
      <c r="C354">
        <f t="shared" si="17"/>
        <v>1900</v>
      </c>
      <c r="D354">
        <f>IF(OR(C354=1900,$D$144=0),0,VLOOKUP(A354,'Estados Financieros'!$A$18:$H$458,5,0))</f>
        <v>0</v>
      </c>
      <c r="E354" t="str">
        <f t="shared" si="15"/>
        <v>0,000</v>
      </c>
    </row>
    <row r="355" spans="1:5">
      <c r="A355">
        <v>531515</v>
      </c>
      <c r="B355" t="str">
        <f t="shared" si="16"/>
        <v/>
      </c>
      <c r="C355">
        <f t="shared" si="17"/>
        <v>1900</v>
      </c>
      <c r="D355">
        <f>IF(OR(C355=1900,$D$144=0),0,VLOOKUP(A355,'Estados Financieros'!$A$18:$H$458,5,0))</f>
        <v>0</v>
      </c>
      <c r="E355" t="str">
        <f t="shared" si="15"/>
        <v>0,000</v>
      </c>
    </row>
    <row r="356" spans="1:5">
      <c r="A356">
        <v>531520</v>
      </c>
      <c r="B356" t="str">
        <f t="shared" si="16"/>
        <v/>
      </c>
      <c r="C356">
        <f t="shared" si="17"/>
        <v>1900</v>
      </c>
      <c r="D356">
        <f>IF(OR(C356=1900,$D$144=0),0,VLOOKUP(A356,'Estados Financieros'!$A$18:$H$458,5,0))</f>
        <v>0</v>
      </c>
      <c r="E356" t="str">
        <f t="shared" si="15"/>
        <v>0,000</v>
      </c>
    </row>
    <row r="357" spans="1:5">
      <c r="A357">
        <v>539525</v>
      </c>
      <c r="B357" t="str">
        <f t="shared" si="16"/>
        <v/>
      </c>
      <c r="C357">
        <f t="shared" si="17"/>
        <v>1900</v>
      </c>
      <c r="D357">
        <f>IF(OR(C357=1900,$D$144=0),0,VLOOKUP(A357,'Estados Financieros'!$A$18:$H$458,5,0))</f>
        <v>0</v>
      </c>
      <c r="E357" t="str">
        <f t="shared" si="15"/>
        <v>0,000</v>
      </c>
    </row>
    <row r="358" spans="1:5">
      <c r="A358">
        <v>539595</v>
      </c>
      <c r="B358" t="str">
        <f t="shared" si="16"/>
        <v/>
      </c>
      <c r="C358">
        <f t="shared" si="17"/>
        <v>1900</v>
      </c>
      <c r="D358">
        <f>IF(OR(C358=1900,$D$144=0),0,VLOOKUP(A358,'Estados Financieros'!$A$18:$H$458,5,0))</f>
        <v>0</v>
      </c>
      <c r="E358" t="str">
        <f t="shared" si="15"/>
        <v>0,000</v>
      </c>
    </row>
    <row r="359" spans="1:5">
      <c r="A359">
        <v>53</v>
      </c>
      <c r="B359" t="str">
        <f t="shared" si="16"/>
        <v/>
      </c>
      <c r="C359">
        <f t="shared" si="17"/>
        <v>1900</v>
      </c>
      <c r="D359">
        <f>IF(OR(C359=1900,$D$144=0),0,VLOOKUP(A359,'Estados Financieros'!$A$18:$H$458,5,0))</f>
        <v>0</v>
      </c>
      <c r="E359" t="str">
        <f t="shared" si="15"/>
        <v>0,000</v>
      </c>
    </row>
    <row r="360" spans="1:5">
      <c r="A360">
        <v>98</v>
      </c>
      <c r="B360" t="str">
        <f t="shared" si="16"/>
        <v/>
      </c>
      <c r="C360">
        <f t="shared" si="17"/>
        <v>1900</v>
      </c>
      <c r="D360">
        <f>IF(OR(C360=1900,$D$144=0),0,VLOOKUP(A360,'Estados Financieros'!$A$18:$H$458,5,0))</f>
        <v>0</v>
      </c>
      <c r="E360" t="str">
        <f t="shared" si="15"/>
        <v>0,000</v>
      </c>
    </row>
    <row r="361" spans="1:5">
      <c r="A361">
        <v>97</v>
      </c>
      <c r="B361" t="str">
        <f t="shared" si="16"/>
        <v/>
      </c>
      <c r="C361">
        <f t="shared" si="17"/>
        <v>1900</v>
      </c>
      <c r="D361">
        <f>IF(OR(C361=1900,$D$144=0),0,VLOOKUP(A361,'Estados Financieros'!$A$18:$H$458,5,0))</f>
        <v>0</v>
      </c>
      <c r="E361" t="str">
        <f t="shared" si="15"/>
        <v>0,000</v>
      </c>
    </row>
    <row r="362" spans="1:5">
      <c r="A362">
        <v>54</v>
      </c>
      <c r="B362" t="str">
        <f t="shared" si="16"/>
        <v/>
      </c>
      <c r="C362">
        <f t="shared" si="17"/>
        <v>1900</v>
      </c>
      <c r="D362">
        <f>IF(OR(C362=1900,$D$144=0),0,VLOOKUP(A362,'Estados Financieros'!$A$18:$H$458,5,0))</f>
        <v>0</v>
      </c>
      <c r="E362" t="str">
        <f t="shared" si="15"/>
        <v>0,000</v>
      </c>
    </row>
    <row r="363" spans="1:5">
      <c r="A363">
        <v>99</v>
      </c>
      <c r="B363" t="str">
        <f t="shared" si="16"/>
        <v/>
      </c>
      <c r="C363">
        <f t="shared" si="17"/>
        <v>1900</v>
      </c>
      <c r="D363">
        <f>IF(OR(C363=1900,$D$144=0),0,VLOOKUP(A363,'Estados Financieros'!$A$18:$H$458,5,0))</f>
        <v>0</v>
      </c>
      <c r="E363" t="str">
        <f t="shared" si="15"/>
        <v>0,000</v>
      </c>
    </row>
    <row r="364" spans="1:5">
      <c r="A364">
        <v>110105</v>
      </c>
      <c r="B364" t="str">
        <f>IF(C364=1900,"",'RC'!$D$6)</f>
        <v/>
      </c>
      <c r="C364">
        <f>IF(OR('RC'!$D$6=0,'RC'!$D$6=0,'Estados Financieros'!$F$185=0,'Estados Financieros'!$F$10&lt;&gt;"OK",'Estados Financieros'!$F$461&lt;&gt;"OK",'Estados Financieros'!$F$14&lt;&gt;"OK"),1900,'Estados Financieros'!$L$4+0)</f>
        <v>1900</v>
      </c>
      <c r="D364">
        <f>IF(OR(C364=1900,$D$506=0),0,VLOOKUP(A364,'Estados Financieros'!$A$18:$H$458,6,0))</f>
        <v>0</v>
      </c>
      <c r="E364" t="str">
        <f t="shared" si="15"/>
        <v>0,000</v>
      </c>
    </row>
    <row r="365" spans="1:5">
      <c r="A365">
        <v>110110</v>
      </c>
      <c r="B365" t="str">
        <f t="shared" ref="B365:B396" si="18">+B364</f>
        <v/>
      </c>
      <c r="C365">
        <f t="shared" ref="C365:C396" si="19">+C364</f>
        <v>1900</v>
      </c>
      <c r="D365">
        <f>IF(OR(C365=1900,$D$506=0),0,VLOOKUP(A365,'Estados Financieros'!$A$18:$H$458,6,0))</f>
        <v>0</v>
      </c>
      <c r="E365" t="str">
        <f t="shared" si="15"/>
        <v>0,000</v>
      </c>
    </row>
    <row r="366" spans="1:5">
      <c r="A366">
        <v>111010</v>
      </c>
      <c r="B366" t="str">
        <f t="shared" si="18"/>
        <v/>
      </c>
      <c r="C366">
        <f t="shared" si="19"/>
        <v>1900</v>
      </c>
      <c r="D366">
        <f>IF(OR(C366=1900,$D$506=0),0,VLOOKUP(A366,'Estados Financieros'!$A$18:$H$458,6,0))</f>
        <v>0</v>
      </c>
      <c r="E366" t="str">
        <f t="shared" si="15"/>
        <v>0,000</v>
      </c>
    </row>
    <row r="367" spans="1:5">
      <c r="A367">
        <v>110130</v>
      </c>
      <c r="B367" t="str">
        <f t="shared" si="18"/>
        <v/>
      </c>
      <c r="C367">
        <f t="shared" si="19"/>
        <v>1900</v>
      </c>
      <c r="D367">
        <f>IF(OR(C367=1900,$D$506=0),0,VLOOKUP(A367,'Estados Financieros'!$A$18:$H$458,6,0))</f>
        <v>0</v>
      </c>
      <c r="E367" t="str">
        <f t="shared" si="15"/>
        <v>0,000</v>
      </c>
    </row>
    <row r="368" spans="1:5">
      <c r="A368">
        <v>110125</v>
      </c>
      <c r="B368" t="str">
        <f t="shared" si="18"/>
        <v/>
      </c>
      <c r="C368">
        <f t="shared" si="19"/>
        <v>1900</v>
      </c>
      <c r="D368">
        <f>IF(OR(C368=1900,$D$506=0),0,VLOOKUP(A368,'Estados Financieros'!$A$18:$H$458,6,0))</f>
        <v>0</v>
      </c>
      <c r="E368" t="str">
        <f t="shared" si="15"/>
        <v>0,000</v>
      </c>
    </row>
    <row r="369" spans="1:5">
      <c r="A369">
        <v>1101</v>
      </c>
      <c r="B369" t="str">
        <f t="shared" si="18"/>
        <v/>
      </c>
      <c r="C369">
        <f t="shared" si="19"/>
        <v>1900</v>
      </c>
      <c r="D369">
        <f>IF(OR(C369=1900,$D$506=0),0,VLOOKUP(A369,'Estados Financieros'!$A$18:$H$458,6,0))</f>
        <v>0</v>
      </c>
      <c r="E369" t="str">
        <f t="shared" si="15"/>
        <v>0,000</v>
      </c>
    </row>
    <row r="370" spans="1:5">
      <c r="A370">
        <v>110205</v>
      </c>
      <c r="B370" t="str">
        <f t="shared" si="18"/>
        <v/>
      </c>
      <c r="C370">
        <f t="shared" si="19"/>
        <v>1900</v>
      </c>
      <c r="D370">
        <f>IF(OR(C370=1900,$D$506=0),0,VLOOKUP(A370,'Estados Financieros'!$A$18:$H$458,6,0))</f>
        <v>0</v>
      </c>
      <c r="E370" t="str">
        <f t="shared" si="15"/>
        <v>0,000</v>
      </c>
    </row>
    <row r="371" spans="1:5">
      <c r="A371">
        <v>110210</v>
      </c>
      <c r="B371" t="str">
        <f t="shared" si="18"/>
        <v/>
      </c>
      <c r="C371">
        <f t="shared" si="19"/>
        <v>1900</v>
      </c>
      <c r="D371">
        <f>IF(OR(C371=1900,$D$506=0),0,VLOOKUP(A371,'Estados Financieros'!$A$18:$H$458,6,0))</f>
        <v>0</v>
      </c>
      <c r="E371" t="str">
        <f t="shared" si="15"/>
        <v>0,000</v>
      </c>
    </row>
    <row r="372" spans="1:5">
      <c r="A372">
        <v>110215</v>
      </c>
      <c r="B372" t="str">
        <f t="shared" si="18"/>
        <v/>
      </c>
      <c r="C372">
        <f t="shared" si="19"/>
        <v>1900</v>
      </c>
      <c r="D372">
        <f>IF(OR(C372=1900,$D$506=0),0,VLOOKUP(A372,'Estados Financieros'!$A$18:$H$458,6,0))</f>
        <v>0</v>
      </c>
      <c r="E372" t="str">
        <f t="shared" si="15"/>
        <v>0,000</v>
      </c>
    </row>
    <row r="373" spans="1:5">
      <c r="A373">
        <v>110225</v>
      </c>
      <c r="B373" t="str">
        <f t="shared" si="18"/>
        <v/>
      </c>
      <c r="C373">
        <f t="shared" si="19"/>
        <v>1900</v>
      </c>
      <c r="D373">
        <f>IF(OR(C373=1900,$D$506=0),0,VLOOKUP(A373,'Estados Financieros'!$A$18:$H$458,6,0))</f>
        <v>0</v>
      </c>
      <c r="E373" t="str">
        <f t="shared" si="15"/>
        <v>0,000</v>
      </c>
    </row>
    <row r="374" spans="1:5">
      <c r="A374">
        <v>110235</v>
      </c>
      <c r="B374" t="str">
        <f t="shared" si="18"/>
        <v/>
      </c>
      <c r="C374">
        <f t="shared" si="19"/>
        <v>1900</v>
      </c>
      <c r="D374">
        <f>IF(OR(C374=1900,$D$506=0),0,VLOOKUP(A374,'Estados Financieros'!$A$18:$H$458,6,0))</f>
        <v>0</v>
      </c>
      <c r="E374" t="str">
        <f t="shared" si="15"/>
        <v>0,000</v>
      </c>
    </row>
    <row r="375" spans="1:5">
      <c r="A375">
        <v>110255</v>
      </c>
      <c r="B375" t="str">
        <f t="shared" si="18"/>
        <v/>
      </c>
      <c r="C375">
        <f t="shared" si="19"/>
        <v>1900</v>
      </c>
      <c r="D375">
        <f>IF(OR(C375=1900,$D$506=0),0,VLOOKUP(A375,'Estados Financieros'!$A$18:$H$458,6,0))</f>
        <v>0</v>
      </c>
      <c r="E375" t="str">
        <f t="shared" si="15"/>
        <v>0,000</v>
      </c>
    </row>
    <row r="376" spans="1:5">
      <c r="A376">
        <v>129700</v>
      </c>
      <c r="B376" t="str">
        <f t="shared" si="18"/>
        <v/>
      </c>
      <c r="C376">
        <f t="shared" si="19"/>
        <v>1900</v>
      </c>
      <c r="D376">
        <f>IF(OR(C376=1900,$D$506=0),0,VLOOKUP(A376,'Estados Financieros'!$A$18:$H$458,6,0))</f>
        <v>0</v>
      </c>
      <c r="E376" t="str">
        <f t="shared" si="15"/>
        <v>0,000</v>
      </c>
    </row>
    <row r="377" spans="1:5">
      <c r="A377">
        <v>110260</v>
      </c>
      <c r="B377" t="str">
        <f t="shared" si="18"/>
        <v/>
      </c>
      <c r="C377">
        <f t="shared" si="19"/>
        <v>1900</v>
      </c>
      <c r="D377">
        <f>IF(OR(C377=1900,$D$506=0),0,VLOOKUP(A377,'Estados Financieros'!$A$18:$H$458,6,0))</f>
        <v>0</v>
      </c>
      <c r="E377" t="str">
        <f t="shared" si="15"/>
        <v>0,000</v>
      </c>
    </row>
    <row r="378" spans="1:5">
      <c r="A378">
        <v>1102</v>
      </c>
      <c r="B378" t="str">
        <f t="shared" si="18"/>
        <v/>
      </c>
      <c r="C378">
        <f t="shared" si="19"/>
        <v>1900</v>
      </c>
      <c r="D378">
        <f>IF(OR(C378=1900,$D$506=0),0,VLOOKUP(A378,'Estados Financieros'!$A$18:$H$458,6,0))</f>
        <v>0</v>
      </c>
      <c r="E378" t="str">
        <f t="shared" si="15"/>
        <v>0,000</v>
      </c>
    </row>
    <row r="379" spans="1:5">
      <c r="A379">
        <v>110305</v>
      </c>
      <c r="B379" t="str">
        <f t="shared" si="18"/>
        <v/>
      </c>
      <c r="C379">
        <f t="shared" si="19"/>
        <v>1900</v>
      </c>
      <c r="D379">
        <f>IF(OR(C379=1900,$D$506=0),0,VLOOKUP(A379,'Estados Financieros'!$A$18:$H$458,6,0))</f>
        <v>0</v>
      </c>
      <c r="E379" t="str">
        <f t="shared" si="15"/>
        <v>0,000</v>
      </c>
    </row>
    <row r="380" spans="1:5">
      <c r="A380">
        <v>130510</v>
      </c>
      <c r="B380" t="str">
        <f t="shared" si="18"/>
        <v/>
      </c>
      <c r="C380">
        <f t="shared" si="19"/>
        <v>1900</v>
      </c>
      <c r="D380">
        <f>IF(OR(C380=1900,$D$506=0),0,VLOOKUP(A380,'Estados Financieros'!$A$18:$H$458,6,0))</f>
        <v>0</v>
      </c>
      <c r="E380" t="str">
        <f t="shared" si="15"/>
        <v>0,000</v>
      </c>
    </row>
    <row r="381" spans="1:5">
      <c r="A381">
        <v>131000</v>
      </c>
      <c r="B381" t="str">
        <f t="shared" si="18"/>
        <v/>
      </c>
      <c r="C381">
        <f t="shared" si="19"/>
        <v>1900</v>
      </c>
      <c r="D381">
        <f>IF(OR(C381=1900,$D$506=0),0,VLOOKUP(A381,'Estados Financieros'!$A$18:$H$458,6,0))</f>
        <v>0</v>
      </c>
      <c r="E381" t="str">
        <f t="shared" si="15"/>
        <v>0,000</v>
      </c>
    </row>
    <row r="382" spans="1:5">
      <c r="A382">
        <v>110390</v>
      </c>
      <c r="B382" t="str">
        <f t="shared" si="18"/>
        <v/>
      </c>
      <c r="C382">
        <f t="shared" si="19"/>
        <v>1900</v>
      </c>
      <c r="D382">
        <f>IF(OR(C382=1900,$D$506=0),0,VLOOKUP(A382,'Estados Financieros'!$A$18:$H$458,6,0))</f>
        <v>0</v>
      </c>
      <c r="E382" t="str">
        <f t="shared" si="15"/>
        <v>0,000</v>
      </c>
    </row>
    <row r="383" spans="1:5">
      <c r="A383">
        <v>110395</v>
      </c>
      <c r="B383" t="str">
        <f t="shared" si="18"/>
        <v/>
      </c>
      <c r="C383">
        <f t="shared" si="19"/>
        <v>1900</v>
      </c>
      <c r="D383">
        <f>IF(OR(C383=1900,$D$506=0),0,VLOOKUP(A383,'Estados Financieros'!$A$18:$H$458,6,0))</f>
        <v>0</v>
      </c>
      <c r="E383" t="str">
        <f t="shared" si="15"/>
        <v>0,000</v>
      </c>
    </row>
    <row r="384" spans="1:5">
      <c r="A384">
        <v>1103</v>
      </c>
      <c r="B384" t="str">
        <f t="shared" si="18"/>
        <v/>
      </c>
      <c r="C384">
        <f t="shared" si="19"/>
        <v>1900</v>
      </c>
      <c r="D384">
        <f>IF(OR(C384=1900,$D$506=0),0,VLOOKUP(A384,'Estados Financieros'!$A$18:$H$458,6,0))</f>
        <v>0</v>
      </c>
      <c r="E384" t="str">
        <f t="shared" si="15"/>
        <v>0,000</v>
      </c>
    </row>
    <row r="385" spans="1:5">
      <c r="A385">
        <v>132000</v>
      </c>
      <c r="B385" t="str">
        <f t="shared" si="18"/>
        <v/>
      </c>
      <c r="C385">
        <f t="shared" si="19"/>
        <v>1900</v>
      </c>
      <c r="D385">
        <f>IF(OR(C385=1900,$D$506=0),0,VLOOKUP(A385,'Estados Financieros'!$A$18:$H$458,6,0))</f>
        <v>0</v>
      </c>
      <c r="E385" t="str">
        <f t="shared" si="15"/>
        <v>0,000</v>
      </c>
    </row>
    <row r="386" spans="1:5">
      <c r="A386">
        <v>132500</v>
      </c>
      <c r="B386" t="str">
        <f t="shared" si="18"/>
        <v/>
      </c>
      <c r="C386">
        <f t="shared" si="19"/>
        <v>1900</v>
      </c>
      <c r="D386">
        <f>IF(OR(C386=1900,$D$506=0),0,VLOOKUP(A386,'Estados Financieros'!$A$18:$H$458,6,0))</f>
        <v>0</v>
      </c>
      <c r="E386" t="str">
        <f t="shared" ref="E386:E449" si="20">IFERROR(FIXED(D386,3,1),0)</f>
        <v>0,000</v>
      </c>
    </row>
    <row r="387" spans="1:5">
      <c r="A387">
        <v>133000</v>
      </c>
      <c r="B387" t="str">
        <f t="shared" si="18"/>
        <v/>
      </c>
      <c r="C387">
        <f t="shared" si="19"/>
        <v>1900</v>
      </c>
      <c r="D387">
        <f>IF(OR(C387=1900,$D$506=0),0,VLOOKUP(A387,'Estados Financieros'!$A$18:$H$458,6,0))</f>
        <v>0</v>
      </c>
      <c r="E387" t="str">
        <f t="shared" si="20"/>
        <v>0,000</v>
      </c>
    </row>
    <row r="388" spans="1:5">
      <c r="A388">
        <v>133500</v>
      </c>
      <c r="B388" t="str">
        <f t="shared" si="18"/>
        <v/>
      </c>
      <c r="C388">
        <f t="shared" si="19"/>
        <v>1900</v>
      </c>
      <c r="D388">
        <f>IF(OR(C388=1900,$D$506=0),0,VLOOKUP(A388,'Estados Financieros'!$A$18:$H$458,6,0))</f>
        <v>0</v>
      </c>
      <c r="E388" t="str">
        <f t="shared" si="20"/>
        <v>0,000</v>
      </c>
    </row>
    <row r="389" spans="1:5">
      <c r="A389">
        <v>134000</v>
      </c>
      <c r="B389" t="str">
        <f t="shared" si="18"/>
        <v/>
      </c>
      <c r="C389">
        <f t="shared" si="19"/>
        <v>1900</v>
      </c>
      <c r="D389">
        <f>IF(OR(C389=1900,$D$506=0),0,VLOOKUP(A389,'Estados Financieros'!$A$18:$H$458,6,0))</f>
        <v>0</v>
      </c>
      <c r="E389" t="str">
        <f t="shared" si="20"/>
        <v>0,000</v>
      </c>
    </row>
    <row r="390" spans="1:5">
      <c r="A390">
        <v>134500</v>
      </c>
      <c r="B390" t="str">
        <f t="shared" si="18"/>
        <v/>
      </c>
      <c r="C390">
        <f t="shared" si="19"/>
        <v>1900</v>
      </c>
      <c r="D390">
        <f>IF(OR(C390=1900,$D$506=0),0,VLOOKUP(A390,'Estados Financieros'!$A$18:$H$458,6,0))</f>
        <v>0</v>
      </c>
      <c r="E390" t="str">
        <f t="shared" si="20"/>
        <v>0,000</v>
      </c>
    </row>
    <row r="391" spans="1:5">
      <c r="A391">
        <v>135000</v>
      </c>
      <c r="B391" t="str">
        <f t="shared" si="18"/>
        <v/>
      </c>
      <c r="C391">
        <f t="shared" si="19"/>
        <v>1900</v>
      </c>
      <c r="D391">
        <f>IF(OR(C391=1900,$D$506=0),0,VLOOKUP(A391,'Estados Financieros'!$A$18:$H$458,6,0))</f>
        <v>0</v>
      </c>
      <c r="E391" t="str">
        <f t="shared" si="20"/>
        <v>0,000</v>
      </c>
    </row>
    <row r="392" spans="1:5">
      <c r="A392">
        <v>135500</v>
      </c>
      <c r="B392" t="str">
        <f t="shared" si="18"/>
        <v/>
      </c>
      <c r="C392">
        <f t="shared" si="19"/>
        <v>1900</v>
      </c>
      <c r="D392">
        <f>IF(OR(C392=1900,$D$506=0),0,VLOOKUP(A392,'Estados Financieros'!$A$18:$H$458,6,0))</f>
        <v>0</v>
      </c>
      <c r="E392" t="str">
        <f t="shared" si="20"/>
        <v>0,000</v>
      </c>
    </row>
    <row r="393" spans="1:5">
      <c r="A393">
        <v>136000</v>
      </c>
      <c r="B393" t="str">
        <f t="shared" si="18"/>
        <v/>
      </c>
      <c r="C393">
        <f t="shared" si="19"/>
        <v>1900</v>
      </c>
      <c r="D393">
        <f>IF(OR(C393=1900,$D$506=0),0,VLOOKUP(A393,'Estados Financieros'!$A$18:$H$458,6,0))</f>
        <v>0</v>
      </c>
      <c r="E393" t="str">
        <f t="shared" si="20"/>
        <v>0,000</v>
      </c>
    </row>
    <row r="394" spans="1:5">
      <c r="A394">
        <v>136500</v>
      </c>
      <c r="B394" t="str">
        <f t="shared" si="18"/>
        <v/>
      </c>
      <c r="C394">
        <f t="shared" si="19"/>
        <v>1900</v>
      </c>
      <c r="D394">
        <f>IF(OR(C394=1900,$D$506=0),0,VLOOKUP(A394,'Estados Financieros'!$A$18:$H$458,6,0))</f>
        <v>0</v>
      </c>
      <c r="E394" t="str">
        <f t="shared" si="20"/>
        <v>0,000</v>
      </c>
    </row>
    <row r="395" spans="1:5">
      <c r="A395">
        <v>137000</v>
      </c>
      <c r="B395" t="str">
        <f t="shared" si="18"/>
        <v/>
      </c>
      <c r="C395">
        <f t="shared" si="19"/>
        <v>1900</v>
      </c>
      <c r="D395">
        <f>IF(OR(C395=1900,$D$506=0),0,VLOOKUP(A395,'Estados Financieros'!$A$18:$H$458,6,0))</f>
        <v>0</v>
      </c>
      <c r="E395" t="str">
        <f t="shared" si="20"/>
        <v>0,000</v>
      </c>
    </row>
    <row r="396" spans="1:5">
      <c r="A396">
        <v>139000</v>
      </c>
      <c r="B396" t="str">
        <f t="shared" si="18"/>
        <v/>
      </c>
      <c r="C396">
        <f t="shared" si="19"/>
        <v>1900</v>
      </c>
      <c r="D396">
        <f>IF(OR(C396=1900,$D$506=0),0,VLOOKUP(A396,'Estados Financieros'!$A$18:$H$458,6,0))</f>
        <v>0</v>
      </c>
      <c r="E396" t="str">
        <f t="shared" si="20"/>
        <v>0,000</v>
      </c>
    </row>
    <row r="397" spans="1:5">
      <c r="A397">
        <v>139500</v>
      </c>
      <c r="B397" t="str">
        <f t="shared" ref="B397:B418" si="21">+B396</f>
        <v/>
      </c>
      <c r="C397">
        <f t="shared" ref="C397:C418" si="22">+C396</f>
        <v>1900</v>
      </c>
      <c r="D397">
        <f>IF(OR(C397=1900,$D$506=0),0,VLOOKUP(A397,'Estados Financieros'!$A$18:$H$458,6,0))</f>
        <v>0</v>
      </c>
      <c r="E397" t="str">
        <f t="shared" si="20"/>
        <v>0,000</v>
      </c>
    </row>
    <row r="398" spans="1:5">
      <c r="A398">
        <v>139905</v>
      </c>
      <c r="B398" t="str">
        <f t="shared" si="21"/>
        <v/>
      </c>
      <c r="C398">
        <f t="shared" si="22"/>
        <v>1900</v>
      </c>
      <c r="D398">
        <f>IF(OR(C398=1900,$D$506=0),0,VLOOKUP(A398,'Estados Financieros'!$A$18:$H$458,6,0))</f>
        <v>0</v>
      </c>
      <c r="E398" t="str">
        <f t="shared" si="20"/>
        <v>0,000</v>
      </c>
    </row>
    <row r="399" spans="1:5">
      <c r="A399">
        <v>1106</v>
      </c>
      <c r="B399" t="str">
        <f t="shared" si="21"/>
        <v/>
      </c>
      <c r="C399">
        <f t="shared" si="22"/>
        <v>1900</v>
      </c>
      <c r="D399">
        <f>IF(OR(C399=1900,$D$506=0),0,VLOOKUP(A399,'Estados Financieros'!$A$18:$H$458,6,0))</f>
        <v>0</v>
      </c>
      <c r="E399" t="str">
        <f t="shared" si="20"/>
        <v>0,000</v>
      </c>
    </row>
    <row r="400" spans="1:5">
      <c r="A400">
        <v>110405</v>
      </c>
      <c r="B400" t="str">
        <f t="shared" si="21"/>
        <v/>
      </c>
      <c r="C400">
        <f t="shared" si="22"/>
        <v>1900</v>
      </c>
      <c r="D400">
        <f>IF(OR(C400=1900,$D$506=0),0,VLOOKUP(A400,'Estados Financieros'!$A$18:$H$458,6,0))</f>
        <v>0</v>
      </c>
      <c r="E400" t="str">
        <f t="shared" si="20"/>
        <v>0,000</v>
      </c>
    </row>
    <row r="401" spans="1:5">
      <c r="A401">
        <v>110410</v>
      </c>
      <c r="B401" t="str">
        <f t="shared" si="21"/>
        <v/>
      </c>
      <c r="C401">
        <f t="shared" si="22"/>
        <v>1900</v>
      </c>
      <c r="D401">
        <f>IF(OR(C401=1900,$D$506=0),0,VLOOKUP(A401,'Estados Financieros'!$A$18:$H$458,6,0))</f>
        <v>0</v>
      </c>
      <c r="E401" t="str">
        <f t="shared" si="20"/>
        <v>0,000</v>
      </c>
    </row>
    <row r="402" spans="1:5">
      <c r="A402">
        <v>142500</v>
      </c>
      <c r="B402" t="str">
        <f t="shared" si="21"/>
        <v/>
      </c>
      <c r="C402">
        <f t="shared" si="22"/>
        <v>1900</v>
      </c>
      <c r="D402">
        <f>IF(OR(C402=1900,$D$506=0),0,VLOOKUP(A402,'Estados Financieros'!$A$18:$H$458,6,0))</f>
        <v>0</v>
      </c>
      <c r="E402" t="str">
        <f t="shared" si="20"/>
        <v>0,000</v>
      </c>
    </row>
    <row r="403" spans="1:5">
      <c r="A403">
        <v>110415</v>
      </c>
      <c r="B403" t="str">
        <f t="shared" si="21"/>
        <v/>
      </c>
      <c r="C403">
        <f t="shared" si="22"/>
        <v>1900</v>
      </c>
      <c r="D403">
        <f>IF(OR(C403=1900,$D$506=0),0,VLOOKUP(A403,'Estados Financieros'!$A$18:$H$458,6,0))</f>
        <v>0</v>
      </c>
      <c r="E403" t="str">
        <f t="shared" si="20"/>
        <v>0,000</v>
      </c>
    </row>
    <row r="404" spans="1:5">
      <c r="A404">
        <v>143500</v>
      </c>
      <c r="B404" t="str">
        <f t="shared" si="21"/>
        <v/>
      </c>
      <c r="C404">
        <f t="shared" si="22"/>
        <v>1900</v>
      </c>
      <c r="D404">
        <f>IF(OR(C404=1900,$D$506=0),0,VLOOKUP(A404,'Estados Financieros'!$A$18:$H$458,6,0))</f>
        <v>0</v>
      </c>
      <c r="E404" t="str">
        <f t="shared" si="20"/>
        <v>0,000</v>
      </c>
    </row>
    <row r="405" spans="1:5">
      <c r="A405">
        <v>110420</v>
      </c>
      <c r="B405" t="str">
        <f t="shared" si="21"/>
        <v/>
      </c>
      <c r="C405">
        <f t="shared" si="22"/>
        <v>1900</v>
      </c>
      <c r="D405">
        <f>IF(OR(C405=1900,$D$506=0),0,VLOOKUP(A405,'Estados Financieros'!$A$18:$H$458,6,0))</f>
        <v>0</v>
      </c>
      <c r="E405" t="str">
        <f t="shared" si="20"/>
        <v>0,000</v>
      </c>
    </row>
    <row r="406" spans="1:5">
      <c r="A406">
        <v>110495</v>
      </c>
      <c r="B406" t="str">
        <f t="shared" si="21"/>
        <v/>
      </c>
      <c r="C406">
        <f t="shared" si="22"/>
        <v>1900</v>
      </c>
      <c r="D406">
        <f>IF(OR(C406=1900,$D$506=0),0,VLOOKUP(A406,'Estados Financieros'!$A$18:$H$458,6,0))</f>
        <v>0</v>
      </c>
      <c r="E406" t="str">
        <f t="shared" si="20"/>
        <v>0,000</v>
      </c>
    </row>
    <row r="407" spans="1:5">
      <c r="A407">
        <v>110490</v>
      </c>
      <c r="B407" t="str">
        <f t="shared" si="21"/>
        <v/>
      </c>
      <c r="C407">
        <f t="shared" si="22"/>
        <v>1900</v>
      </c>
      <c r="D407">
        <f>IF(OR(C407=1900,$D$506=0),0,VLOOKUP(A407,'Estados Financieros'!$A$18:$H$458,6,0))</f>
        <v>0</v>
      </c>
      <c r="E407" t="str">
        <f t="shared" si="20"/>
        <v>0,000</v>
      </c>
    </row>
    <row r="408" spans="1:5">
      <c r="A408">
        <v>110491</v>
      </c>
      <c r="B408" t="str">
        <f t="shared" si="21"/>
        <v/>
      </c>
      <c r="C408">
        <f t="shared" si="22"/>
        <v>1900</v>
      </c>
      <c r="D408">
        <f>IF(OR(C408=1900,$D$506=0),0,VLOOKUP(A408,'Estados Financieros'!$A$18:$H$458,6,0))</f>
        <v>0</v>
      </c>
      <c r="E408" t="str">
        <f t="shared" si="20"/>
        <v>0,000</v>
      </c>
    </row>
    <row r="409" spans="1:5">
      <c r="A409">
        <v>149900</v>
      </c>
      <c r="B409" t="str">
        <f t="shared" si="21"/>
        <v/>
      </c>
      <c r="C409">
        <f t="shared" si="22"/>
        <v>1900</v>
      </c>
      <c r="D409">
        <f>IF(OR(C409=1900,$D$506=0),0,VLOOKUP(A409,'Estados Financieros'!$A$18:$H$458,6,0))</f>
        <v>0</v>
      </c>
      <c r="E409" t="str">
        <f t="shared" si="20"/>
        <v>0,000</v>
      </c>
    </row>
    <row r="410" spans="1:5">
      <c r="A410">
        <v>140005</v>
      </c>
      <c r="B410" t="str">
        <f t="shared" si="21"/>
        <v/>
      </c>
      <c r="C410">
        <f t="shared" si="22"/>
        <v>1900</v>
      </c>
      <c r="D410">
        <f>IF(OR(C410=1900,$D$506=0),0,VLOOKUP(A410,'Estados Financieros'!$A$18:$H$458,6,0))</f>
        <v>0</v>
      </c>
      <c r="E410" t="str">
        <f t="shared" si="20"/>
        <v>0,000</v>
      </c>
    </row>
    <row r="411" spans="1:5">
      <c r="A411">
        <v>145500</v>
      </c>
      <c r="B411" t="str">
        <f t="shared" si="21"/>
        <v/>
      </c>
      <c r="C411">
        <f t="shared" si="22"/>
        <v>1900</v>
      </c>
      <c r="D411">
        <f>IF(OR(C411=1900,$D$506=0),0,VLOOKUP(A411,'Estados Financieros'!$A$18:$H$458,6,0))</f>
        <v>0</v>
      </c>
      <c r="E411" t="str">
        <f t="shared" si="20"/>
        <v>0,000</v>
      </c>
    </row>
    <row r="412" spans="1:5">
      <c r="A412">
        <v>146000</v>
      </c>
      <c r="B412" t="str">
        <f t="shared" si="21"/>
        <v/>
      </c>
      <c r="C412">
        <f t="shared" si="22"/>
        <v>1900</v>
      </c>
      <c r="D412">
        <f>IF(OR(C412=1900,$D$506=0),0,VLOOKUP(A412,'Estados Financieros'!$A$18:$H$458,6,0))</f>
        <v>0</v>
      </c>
      <c r="E412" t="str">
        <f t="shared" si="20"/>
        <v>0,000</v>
      </c>
    </row>
    <row r="413" spans="1:5">
      <c r="A413">
        <v>149510</v>
      </c>
      <c r="B413" t="str">
        <f t="shared" si="21"/>
        <v/>
      </c>
      <c r="C413">
        <f t="shared" si="22"/>
        <v>1900</v>
      </c>
      <c r="D413">
        <f>IF(OR(C413=1900,$D$506=0),0,VLOOKUP(A413,'Estados Financieros'!$A$18:$H$458,6,0))</f>
        <v>0</v>
      </c>
      <c r="E413" t="str">
        <f t="shared" si="20"/>
        <v>0,000</v>
      </c>
    </row>
    <row r="414" spans="1:5">
      <c r="A414">
        <v>149901</v>
      </c>
      <c r="B414" t="str">
        <f t="shared" si="21"/>
        <v/>
      </c>
      <c r="C414">
        <f t="shared" si="22"/>
        <v>1900</v>
      </c>
      <c r="D414">
        <f>IF(OR(C414=1900,$D$506=0),0,VLOOKUP(A414,'Estados Financieros'!$A$18:$H$458,6,0))</f>
        <v>0</v>
      </c>
      <c r="E414" t="str">
        <f t="shared" si="20"/>
        <v>0,000</v>
      </c>
    </row>
    <row r="415" spans="1:5">
      <c r="A415">
        <v>149902</v>
      </c>
      <c r="B415" t="str">
        <f t="shared" si="21"/>
        <v/>
      </c>
      <c r="C415">
        <f t="shared" si="22"/>
        <v>1900</v>
      </c>
      <c r="D415">
        <f>IF(OR(C415=1900,$D$506=0),0,VLOOKUP(A415,'Estados Financieros'!$A$18:$H$458,6,0))</f>
        <v>0</v>
      </c>
      <c r="E415" t="str">
        <f t="shared" si="20"/>
        <v>0,000</v>
      </c>
    </row>
    <row r="416" spans="1:5">
      <c r="A416">
        <v>149910</v>
      </c>
      <c r="B416" t="str">
        <f t="shared" si="21"/>
        <v/>
      </c>
      <c r="C416">
        <f t="shared" si="22"/>
        <v>1900</v>
      </c>
      <c r="D416">
        <f>IF(OR(C416=1900,$D$506=0),0,VLOOKUP(A416,'Estados Financieros'!$A$18:$H$458,6,0))</f>
        <v>0</v>
      </c>
      <c r="E416" t="str">
        <f t="shared" si="20"/>
        <v>0,000</v>
      </c>
    </row>
    <row r="417" spans="1:5">
      <c r="A417">
        <v>140010</v>
      </c>
      <c r="B417" t="str">
        <f t="shared" si="21"/>
        <v/>
      </c>
      <c r="C417">
        <f t="shared" si="22"/>
        <v>1900</v>
      </c>
      <c r="D417">
        <f>IF(OR(C417=1900,$D$506=0),0,VLOOKUP(A417,'Estados Financieros'!$A$18:$H$458,6,0))</f>
        <v>0</v>
      </c>
      <c r="E417" t="str">
        <f t="shared" si="20"/>
        <v>0,000</v>
      </c>
    </row>
    <row r="418" spans="1:5">
      <c r="A418">
        <v>1104</v>
      </c>
      <c r="B418" t="str">
        <f t="shared" si="21"/>
        <v/>
      </c>
      <c r="C418">
        <f t="shared" si="22"/>
        <v>1900</v>
      </c>
      <c r="D418">
        <f>+D417+D410</f>
        <v>0</v>
      </c>
      <c r="E418" t="str">
        <f t="shared" si="20"/>
        <v>0,000</v>
      </c>
    </row>
    <row r="419" spans="1:5">
      <c r="A419">
        <v>170500</v>
      </c>
      <c r="B419" t="str">
        <f>+B417</f>
        <v/>
      </c>
      <c r="C419">
        <f>+C417</f>
        <v>1900</v>
      </c>
      <c r="D419">
        <f>IF(OR(C419=1900,$D$506=0),0,VLOOKUP(A419,'Estados Financieros'!$A$18:$H$458,6,0))</f>
        <v>0</v>
      </c>
      <c r="E419" t="str">
        <f t="shared" si="20"/>
        <v>0,000</v>
      </c>
    </row>
    <row r="420" spans="1:5">
      <c r="A420">
        <v>171000</v>
      </c>
      <c r="B420" t="str">
        <f t="shared" ref="B420:B483" si="23">+B419</f>
        <v/>
      </c>
      <c r="C420">
        <f t="shared" ref="C420:C483" si="24">+C419</f>
        <v>1900</v>
      </c>
      <c r="D420">
        <f>IF(OR(C420=1900,$D$506=0),0,VLOOKUP(A420,'Estados Financieros'!$A$18:$H$458,6,0))</f>
        <v>0</v>
      </c>
      <c r="E420" t="str">
        <f t="shared" si="20"/>
        <v>0,000</v>
      </c>
    </row>
    <row r="421" spans="1:5">
      <c r="A421">
        <v>173000</v>
      </c>
      <c r="B421" t="str">
        <f t="shared" si="23"/>
        <v/>
      </c>
      <c r="C421">
        <f t="shared" si="24"/>
        <v>1900</v>
      </c>
      <c r="D421">
        <f>IF(OR(C421=1900,$D$506=0),0,VLOOKUP(A421,'Estados Financieros'!$A$18:$H$458,6,0))</f>
        <v>0</v>
      </c>
      <c r="E421" t="str">
        <f t="shared" si="20"/>
        <v>0,000</v>
      </c>
    </row>
    <row r="422" spans="1:5">
      <c r="A422">
        <v>179500</v>
      </c>
      <c r="B422" t="str">
        <f t="shared" si="23"/>
        <v/>
      </c>
      <c r="C422">
        <f t="shared" si="24"/>
        <v>1900</v>
      </c>
      <c r="D422">
        <f>IF(OR(C422=1900,$D$506=0),0,VLOOKUP(A422,'Estados Financieros'!$A$18:$H$458,6,0))</f>
        <v>0</v>
      </c>
      <c r="E422" t="str">
        <f t="shared" si="20"/>
        <v>0,000</v>
      </c>
    </row>
    <row r="423" spans="1:5">
      <c r="A423">
        <v>179700</v>
      </c>
      <c r="B423" t="str">
        <f t="shared" si="23"/>
        <v/>
      </c>
      <c r="C423">
        <f t="shared" si="24"/>
        <v>1900</v>
      </c>
      <c r="D423">
        <f>IF(OR(C423=1900,$D$506=0),0,VLOOKUP(A423,'Estados Financieros'!$A$18:$H$458,6,0))</f>
        <v>0</v>
      </c>
      <c r="E423" t="str">
        <f t="shared" si="20"/>
        <v>0,000</v>
      </c>
    </row>
    <row r="424" spans="1:5">
      <c r="A424">
        <v>1107</v>
      </c>
      <c r="B424" t="str">
        <f t="shared" si="23"/>
        <v/>
      </c>
      <c r="C424">
        <f t="shared" si="24"/>
        <v>1900</v>
      </c>
      <c r="D424">
        <f>IF(OR(C424=1900,$D$506=0),0,VLOOKUP(A424,'Estados Financieros'!$A$18:$H$458,6,0))</f>
        <v>0</v>
      </c>
      <c r="E424" t="str">
        <f t="shared" si="20"/>
        <v>0,000</v>
      </c>
    </row>
    <row r="425" spans="1:5">
      <c r="A425">
        <v>189500</v>
      </c>
      <c r="B425" t="str">
        <f t="shared" si="23"/>
        <v/>
      </c>
      <c r="C425">
        <f t="shared" si="24"/>
        <v>1900</v>
      </c>
      <c r="D425">
        <f>IF(OR(C425=1900,$D$506=0),0,VLOOKUP(A425,'Estados Financieros'!$A$18:$H$458,6,0))</f>
        <v>0</v>
      </c>
      <c r="E425" t="str">
        <f t="shared" si="20"/>
        <v>0,000</v>
      </c>
    </row>
    <row r="426" spans="1:5">
      <c r="A426">
        <v>181000</v>
      </c>
      <c r="B426" t="str">
        <f t="shared" si="23"/>
        <v/>
      </c>
      <c r="C426">
        <f t="shared" si="24"/>
        <v>1900</v>
      </c>
      <c r="D426">
        <f>IF(OR(C426=1900,$D$506=0),0,VLOOKUP(A426,'Estados Financieros'!$A$18:$H$458,6,0))</f>
        <v>0</v>
      </c>
      <c r="E426" t="str">
        <f t="shared" si="20"/>
        <v>0,000</v>
      </c>
    </row>
    <row r="427" spans="1:5">
      <c r="A427">
        <v>180000</v>
      </c>
      <c r="B427" t="str">
        <f t="shared" si="23"/>
        <v/>
      </c>
      <c r="C427">
        <f t="shared" si="24"/>
        <v>1900</v>
      </c>
      <c r="D427">
        <f>IF(OR(C427=1900,$D$506=0),0,VLOOKUP(A427,'Estados Financieros'!$A$18:$H$458,6,0))</f>
        <v>0</v>
      </c>
      <c r="E427" t="str">
        <f t="shared" si="20"/>
        <v>0,000</v>
      </c>
    </row>
    <row r="428" spans="1:5">
      <c r="A428">
        <v>11</v>
      </c>
      <c r="B428" t="str">
        <f t="shared" si="23"/>
        <v/>
      </c>
      <c r="C428">
        <f t="shared" si="24"/>
        <v>1900</v>
      </c>
      <c r="D428">
        <f>IF(OR(C428=1900,$D$506=0),0,VLOOKUP(A428,'Estados Financieros'!$A$18:$H$458,6,0))</f>
        <v>0</v>
      </c>
      <c r="E428" t="str">
        <f t="shared" si="20"/>
        <v>0,000</v>
      </c>
    </row>
    <row r="429" spans="1:5">
      <c r="A429">
        <v>120104</v>
      </c>
      <c r="B429" t="str">
        <f t="shared" si="23"/>
        <v/>
      </c>
      <c r="C429">
        <f t="shared" si="24"/>
        <v>1900</v>
      </c>
      <c r="D429">
        <f>IF(OR(C429=1900,$D$506=0),0,VLOOKUP(A429,'Estados Financieros'!$A$18:$H$458,6,0))</f>
        <v>0</v>
      </c>
      <c r="E429" t="str">
        <f t="shared" si="20"/>
        <v>0,000</v>
      </c>
    </row>
    <row r="430" spans="1:5">
      <c r="A430">
        <v>120108</v>
      </c>
      <c r="B430" t="str">
        <f t="shared" si="23"/>
        <v/>
      </c>
      <c r="C430">
        <f t="shared" si="24"/>
        <v>1900</v>
      </c>
      <c r="D430">
        <f>IF(OR(C430=1900,$D$506=0),0,VLOOKUP(A430,'Estados Financieros'!$A$18:$H$458,6,0))</f>
        <v>0</v>
      </c>
      <c r="E430" t="str">
        <f t="shared" si="20"/>
        <v>0,000</v>
      </c>
    </row>
    <row r="431" spans="1:5">
      <c r="A431">
        <v>151201</v>
      </c>
      <c r="B431" t="str">
        <f t="shared" si="23"/>
        <v/>
      </c>
      <c r="C431">
        <f t="shared" si="24"/>
        <v>1900</v>
      </c>
      <c r="D431">
        <f>IF(OR(C431=1900,$D$506=0),0,VLOOKUP(A431,'Estados Financieros'!$A$18:$H$458,6,0))</f>
        <v>0</v>
      </c>
      <c r="E431" t="str">
        <f t="shared" si="20"/>
        <v>0,000</v>
      </c>
    </row>
    <row r="432" spans="1:5">
      <c r="A432">
        <v>120116</v>
      </c>
      <c r="B432" t="str">
        <f t="shared" si="23"/>
        <v/>
      </c>
      <c r="C432">
        <f t="shared" si="24"/>
        <v>1900</v>
      </c>
      <c r="D432">
        <f>IF(OR(C432=1900,$D$506=0),0,VLOOKUP(A432,'Estados Financieros'!$A$18:$H$458,6,0))</f>
        <v>0</v>
      </c>
      <c r="E432" t="str">
        <f t="shared" si="20"/>
        <v>0,000</v>
      </c>
    </row>
    <row r="433" spans="1:5">
      <c r="A433">
        <v>120120</v>
      </c>
      <c r="B433" t="str">
        <f t="shared" si="23"/>
        <v/>
      </c>
      <c r="C433">
        <f t="shared" si="24"/>
        <v>1900</v>
      </c>
      <c r="D433">
        <f>IF(OR(C433=1900,$D$506=0),0,VLOOKUP(A433,'Estados Financieros'!$A$18:$H$458,6,0))</f>
        <v>0</v>
      </c>
      <c r="E433" t="str">
        <f t="shared" si="20"/>
        <v>0,000</v>
      </c>
    </row>
    <row r="434" spans="1:5">
      <c r="A434">
        <v>120124</v>
      </c>
      <c r="B434" t="str">
        <f t="shared" si="23"/>
        <v/>
      </c>
      <c r="C434">
        <f t="shared" si="24"/>
        <v>1900</v>
      </c>
      <c r="D434">
        <f>IF(OR(C434=1900,$D$506=0),0,VLOOKUP(A434,'Estados Financieros'!$A$18:$H$458,6,0))</f>
        <v>0</v>
      </c>
      <c r="E434" t="str">
        <f t="shared" si="20"/>
        <v>0,000</v>
      </c>
    </row>
    <row r="435" spans="1:5">
      <c r="A435">
        <v>120128</v>
      </c>
      <c r="B435" t="str">
        <f t="shared" si="23"/>
        <v/>
      </c>
      <c r="C435">
        <f t="shared" si="24"/>
        <v>1900</v>
      </c>
      <c r="D435">
        <f>IF(OR(C435=1900,$D$506=0),0,VLOOKUP(A435,'Estados Financieros'!$A$18:$H$458,6,0))</f>
        <v>0</v>
      </c>
      <c r="E435" t="str">
        <f t="shared" si="20"/>
        <v>0,000</v>
      </c>
    </row>
    <row r="436" spans="1:5">
      <c r="A436">
        <v>120140</v>
      </c>
      <c r="B436" t="str">
        <f t="shared" si="23"/>
        <v/>
      </c>
      <c r="C436">
        <f t="shared" si="24"/>
        <v>1900</v>
      </c>
      <c r="D436">
        <f>IF(OR(C436=1900,$D$506=0),0,VLOOKUP(A436,'Estados Financieros'!$A$18:$H$458,6,0))</f>
        <v>0</v>
      </c>
      <c r="E436" t="str">
        <f t="shared" si="20"/>
        <v>0,000</v>
      </c>
    </row>
    <row r="437" spans="1:5">
      <c r="A437">
        <v>155601</v>
      </c>
      <c r="B437" t="str">
        <f t="shared" si="23"/>
        <v/>
      </c>
      <c r="C437">
        <f t="shared" si="24"/>
        <v>1900</v>
      </c>
      <c r="D437">
        <f>IF(OR(C437=1900,$D$506=0),0,VLOOKUP(A437,'Estados Financieros'!$A$18:$H$458,6,0))</f>
        <v>0</v>
      </c>
      <c r="E437" t="str">
        <f t="shared" si="20"/>
        <v>0,000</v>
      </c>
    </row>
    <row r="438" spans="1:5">
      <c r="A438">
        <v>156001</v>
      </c>
      <c r="B438" t="str">
        <f t="shared" si="23"/>
        <v/>
      </c>
      <c r="C438">
        <f t="shared" si="24"/>
        <v>1900</v>
      </c>
      <c r="D438">
        <f>IF(OR(C438=1900,$D$506=0),0,VLOOKUP(A438,'Estados Financieros'!$A$18:$H$458,6,0))</f>
        <v>0</v>
      </c>
      <c r="E438" t="str">
        <f t="shared" si="20"/>
        <v>0,000</v>
      </c>
    </row>
    <row r="439" spans="1:5">
      <c r="A439">
        <v>156401</v>
      </c>
      <c r="B439" t="str">
        <f t="shared" si="23"/>
        <v/>
      </c>
      <c r="C439">
        <f t="shared" si="24"/>
        <v>1900</v>
      </c>
      <c r="D439">
        <f>IF(OR(C439=1900,$D$506=0),0,VLOOKUP(A439,'Estados Financieros'!$A$18:$H$458,6,0))</f>
        <v>0</v>
      </c>
      <c r="E439" t="str">
        <f t="shared" si="20"/>
        <v>0,000</v>
      </c>
    </row>
    <row r="440" spans="1:5">
      <c r="A440">
        <v>157201</v>
      </c>
      <c r="B440" t="str">
        <f t="shared" si="23"/>
        <v/>
      </c>
      <c r="C440">
        <f t="shared" si="24"/>
        <v>1900</v>
      </c>
      <c r="D440">
        <f>IF(OR(C440=1900,$D$506=0),0,VLOOKUP(A440,'Estados Financieros'!$A$18:$H$458,6,0))</f>
        <v>0</v>
      </c>
      <c r="E440" t="str">
        <f t="shared" si="20"/>
        <v>0,000</v>
      </c>
    </row>
    <row r="441" spans="1:5">
      <c r="A441">
        <v>157601</v>
      </c>
      <c r="B441" t="str">
        <f t="shared" si="23"/>
        <v/>
      </c>
      <c r="C441">
        <f t="shared" si="24"/>
        <v>1900</v>
      </c>
      <c r="D441">
        <f>IF(OR(C441=1900,$D$506=0),0,VLOOKUP(A441,'Estados Financieros'!$A$18:$H$458,6,0))</f>
        <v>0</v>
      </c>
      <c r="E441" t="str">
        <f t="shared" si="20"/>
        <v>0,000</v>
      </c>
    </row>
    <row r="442" spans="1:5">
      <c r="A442">
        <v>158401</v>
      </c>
      <c r="B442" t="str">
        <f t="shared" si="23"/>
        <v/>
      </c>
      <c r="C442">
        <f t="shared" si="24"/>
        <v>1900</v>
      </c>
      <c r="D442">
        <f>IF(OR(C442=1900,$D$506=0),0,VLOOKUP(A442,'Estados Financieros'!$A$18:$H$458,6,0))</f>
        <v>0</v>
      </c>
      <c r="E442" t="str">
        <f t="shared" si="20"/>
        <v>0,000</v>
      </c>
    </row>
    <row r="443" spans="1:5">
      <c r="A443">
        <v>158801</v>
      </c>
      <c r="B443" t="str">
        <f t="shared" si="23"/>
        <v/>
      </c>
      <c r="C443">
        <f t="shared" si="24"/>
        <v>1900</v>
      </c>
      <c r="D443">
        <f>IF(OR(C443=1900,$D$506=0),0,VLOOKUP(A443,'Estados Financieros'!$A$18:$H$458,6,0))</f>
        <v>0</v>
      </c>
      <c r="E443" t="str">
        <f t="shared" si="20"/>
        <v>0,000</v>
      </c>
    </row>
    <row r="444" spans="1:5">
      <c r="A444">
        <v>120145</v>
      </c>
      <c r="B444" t="str">
        <f t="shared" si="23"/>
        <v/>
      </c>
      <c r="C444">
        <f t="shared" si="24"/>
        <v>1900</v>
      </c>
      <c r="D444">
        <f>IF(OR(C444=1900,$D$506=0),0,VLOOKUP(A444,'Estados Financieros'!$A$18:$H$458,6,0))</f>
        <v>0</v>
      </c>
      <c r="E444" t="str">
        <f t="shared" si="20"/>
        <v>0,000</v>
      </c>
    </row>
    <row r="445" spans="1:5">
      <c r="A445">
        <v>120195</v>
      </c>
      <c r="B445" t="str">
        <f t="shared" si="23"/>
        <v/>
      </c>
      <c r="C445">
        <f t="shared" si="24"/>
        <v>1900</v>
      </c>
      <c r="D445">
        <f>IF(OR(C445=1900,$D$506=0),0,VLOOKUP(A445,'Estados Financieros'!$A$18:$H$458,6,0))</f>
        <v>0</v>
      </c>
      <c r="E445" t="str">
        <f t="shared" si="20"/>
        <v>0,000</v>
      </c>
    </row>
    <row r="446" spans="1:5">
      <c r="A446">
        <v>159701</v>
      </c>
      <c r="B446" t="str">
        <f t="shared" si="23"/>
        <v/>
      </c>
      <c r="C446">
        <f t="shared" si="24"/>
        <v>1900</v>
      </c>
      <c r="D446">
        <f>IF(OR(C446=1900,$D$506=0),0,VLOOKUP(A446,'Estados Financieros'!$A$18:$H$458,6,0))</f>
        <v>0</v>
      </c>
      <c r="E446" t="str">
        <f t="shared" si="20"/>
        <v>0,000</v>
      </c>
    </row>
    <row r="447" spans="1:5">
      <c r="A447">
        <v>159899</v>
      </c>
      <c r="B447" t="str">
        <f t="shared" si="23"/>
        <v/>
      </c>
      <c r="C447">
        <f t="shared" si="24"/>
        <v>1900</v>
      </c>
      <c r="D447">
        <f>IF(OR(C447=1900,$D$506=0),0,VLOOKUP(A447,'Estados Financieros'!$A$18:$H$458,6,0))</f>
        <v>0</v>
      </c>
      <c r="E447" t="str">
        <f t="shared" si="20"/>
        <v>0,000</v>
      </c>
    </row>
    <row r="448" spans="1:5">
      <c r="A448">
        <v>159901</v>
      </c>
      <c r="B448" t="str">
        <f t="shared" si="23"/>
        <v/>
      </c>
      <c r="C448">
        <f t="shared" si="24"/>
        <v>1900</v>
      </c>
      <c r="D448">
        <f>IF(OR(C448=1900,$D$506=0),0,VLOOKUP(A448,'Estados Financieros'!$A$18:$H$458,6,0))</f>
        <v>0</v>
      </c>
      <c r="E448" t="str">
        <f t="shared" si="20"/>
        <v>0,000</v>
      </c>
    </row>
    <row r="449" spans="1:5">
      <c r="A449">
        <v>1201</v>
      </c>
      <c r="B449" t="str">
        <f t="shared" si="23"/>
        <v/>
      </c>
      <c r="C449">
        <f t="shared" si="24"/>
        <v>1900</v>
      </c>
      <c r="D449">
        <f>IF(OR(C449=1900,$D$506=0),0,VLOOKUP(A449,'Estados Financieros'!$A$18:$H$458,6,0))</f>
        <v>0</v>
      </c>
      <c r="E449" t="str">
        <f t="shared" si="20"/>
        <v>0,000</v>
      </c>
    </row>
    <row r="450" spans="1:5">
      <c r="A450">
        <v>130506</v>
      </c>
      <c r="B450" t="str">
        <f t="shared" si="23"/>
        <v/>
      </c>
      <c r="C450">
        <f t="shared" si="24"/>
        <v>1900</v>
      </c>
      <c r="D450">
        <f>IF(OR(C450=1900,$D$506=0),0,VLOOKUP(A450,'Estados Financieros'!$A$18:$H$458,6,0))</f>
        <v>0</v>
      </c>
      <c r="E450" t="str">
        <f t="shared" ref="E450:E513" si="25">IFERROR(FIXED(D450,3,1),0)</f>
        <v>0,000</v>
      </c>
    </row>
    <row r="451" spans="1:5">
      <c r="A451">
        <v>130511</v>
      </c>
      <c r="B451" t="str">
        <f t="shared" si="23"/>
        <v/>
      </c>
      <c r="C451">
        <f t="shared" si="24"/>
        <v>1900</v>
      </c>
      <c r="D451">
        <f>IF(OR(C451=1900,$D$506=0),0,VLOOKUP(A451,'Estados Financieros'!$A$18:$H$458,6,0))</f>
        <v>0</v>
      </c>
      <c r="E451" t="str">
        <f t="shared" si="25"/>
        <v>0,000</v>
      </c>
    </row>
    <row r="452" spans="1:5">
      <c r="A452">
        <v>131001</v>
      </c>
      <c r="B452" t="str">
        <f t="shared" si="23"/>
        <v/>
      </c>
      <c r="C452">
        <f t="shared" si="24"/>
        <v>1900</v>
      </c>
      <c r="D452">
        <f>IF(OR(C452=1900,$D$506=0),0,VLOOKUP(A452,'Estados Financieros'!$A$18:$H$458,6,0))</f>
        <v>0</v>
      </c>
      <c r="E452" t="str">
        <f t="shared" si="25"/>
        <v>0,000</v>
      </c>
    </row>
    <row r="453" spans="1:5">
      <c r="A453">
        <v>131501</v>
      </c>
      <c r="B453" t="str">
        <f t="shared" si="23"/>
        <v/>
      </c>
      <c r="C453">
        <f t="shared" si="24"/>
        <v>1900</v>
      </c>
      <c r="D453">
        <f>IF(OR(C453=1900,$D$506=0),0,VLOOKUP(A453,'Estados Financieros'!$A$18:$H$458,6,0))</f>
        <v>0</v>
      </c>
      <c r="E453" t="str">
        <f t="shared" si="25"/>
        <v>0,000</v>
      </c>
    </row>
    <row r="454" spans="1:5">
      <c r="A454">
        <v>132001</v>
      </c>
      <c r="B454" t="str">
        <f t="shared" si="23"/>
        <v/>
      </c>
      <c r="C454">
        <f t="shared" si="24"/>
        <v>1900</v>
      </c>
      <c r="D454">
        <f>IF(OR(C454=1900,$D$506=0),0,VLOOKUP(A454,'Estados Financieros'!$A$18:$H$458,6,0))</f>
        <v>0</v>
      </c>
      <c r="E454" t="str">
        <f t="shared" si="25"/>
        <v>0,000</v>
      </c>
    </row>
    <row r="455" spans="1:5">
      <c r="A455">
        <v>132501</v>
      </c>
      <c r="B455" t="str">
        <f t="shared" si="23"/>
        <v/>
      </c>
      <c r="C455">
        <f t="shared" si="24"/>
        <v>1900</v>
      </c>
      <c r="D455">
        <f>IF(OR(C455=1900,$D$506=0),0,VLOOKUP(A455,'Estados Financieros'!$A$18:$H$458,6,0))</f>
        <v>0</v>
      </c>
      <c r="E455" t="str">
        <f t="shared" si="25"/>
        <v>0,000</v>
      </c>
    </row>
    <row r="456" spans="1:5">
      <c r="A456">
        <v>133001</v>
      </c>
      <c r="B456" t="str">
        <f t="shared" si="23"/>
        <v/>
      </c>
      <c r="C456">
        <f t="shared" si="24"/>
        <v>1900</v>
      </c>
      <c r="D456">
        <f>IF(OR(C456=1900,$D$506=0),0,VLOOKUP(A456,'Estados Financieros'!$A$18:$H$458,6,0))</f>
        <v>0</v>
      </c>
      <c r="E456" t="str">
        <f t="shared" si="25"/>
        <v>0,000</v>
      </c>
    </row>
    <row r="457" spans="1:5">
      <c r="A457">
        <v>133501</v>
      </c>
      <c r="B457" t="str">
        <f t="shared" si="23"/>
        <v/>
      </c>
      <c r="C457">
        <f t="shared" si="24"/>
        <v>1900</v>
      </c>
      <c r="D457">
        <f>IF(OR(C457=1900,$D$506=0),0,VLOOKUP(A457,'Estados Financieros'!$A$18:$H$458,6,0))</f>
        <v>0</v>
      </c>
      <c r="E457" t="str">
        <f t="shared" si="25"/>
        <v>0,000</v>
      </c>
    </row>
    <row r="458" spans="1:5">
      <c r="A458">
        <v>134001</v>
      </c>
      <c r="B458" t="str">
        <f t="shared" si="23"/>
        <v/>
      </c>
      <c r="C458">
        <f t="shared" si="24"/>
        <v>1900</v>
      </c>
      <c r="D458">
        <f>IF(OR(C458=1900,$D$506=0),0,VLOOKUP(A458,'Estados Financieros'!$A$18:$H$458,6,0))</f>
        <v>0</v>
      </c>
      <c r="E458" t="str">
        <f t="shared" si="25"/>
        <v>0,000</v>
      </c>
    </row>
    <row r="459" spans="1:5">
      <c r="A459">
        <v>134501</v>
      </c>
      <c r="B459" t="str">
        <f t="shared" si="23"/>
        <v/>
      </c>
      <c r="C459">
        <f t="shared" si="24"/>
        <v>1900</v>
      </c>
      <c r="D459">
        <f>IF(OR(C459=1900,$D$506=0),0,VLOOKUP(A459,'Estados Financieros'!$A$18:$H$458,6,0))</f>
        <v>0</v>
      </c>
      <c r="E459" t="str">
        <f t="shared" si="25"/>
        <v>0,000</v>
      </c>
    </row>
    <row r="460" spans="1:5">
      <c r="A460">
        <v>135001</v>
      </c>
      <c r="B460" t="str">
        <f t="shared" si="23"/>
        <v/>
      </c>
      <c r="C460">
        <f t="shared" si="24"/>
        <v>1900</v>
      </c>
      <c r="D460">
        <f>IF(OR(C460=1900,$D$506=0),0,VLOOKUP(A460,'Estados Financieros'!$A$18:$H$458,6,0))</f>
        <v>0</v>
      </c>
      <c r="E460" t="str">
        <f t="shared" si="25"/>
        <v>0,000</v>
      </c>
    </row>
    <row r="461" spans="1:5">
      <c r="A461">
        <v>135501</v>
      </c>
      <c r="B461" t="str">
        <f t="shared" si="23"/>
        <v/>
      </c>
      <c r="C461">
        <f t="shared" si="24"/>
        <v>1900</v>
      </c>
      <c r="D461">
        <f>IF(OR(C461=1900,$D$506=0),0,VLOOKUP(A461,'Estados Financieros'!$A$18:$H$458,6,0))</f>
        <v>0</v>
      </c>
      <c r="E461" t="str">
        <f t="shared" si="25"/>
        <v>0,000</v>
      </c>
    </row>
    <row r="462" spans="1:5">
      <c r="A462">
        <v>136001</v>
      </c>
      <c r="B462" t="str">
        <f t="shared" si="23"/>
        <v/>
      </c>
      <c r="C462">
        <f t="shared" si="24"/>
        <v>1900</v>
      </c>
      <c r="D462">
        <f>IF(OR(C462=1900,$D$506=0),0,VLOOKUP(A462,'Estados Financieros'!$A$18:$H$458,6,0))</f>
        <v>0</v>
      </c>
      <c r="E462" t="str">
        <f t="shared" si="25"/>
        <v>0,000</v>
      </c>
    </row>
    <row r="463" spans="1:5">
      <c r="A463">
        <v>136501</v>
      </c>
      <c r="B463" t="str">
        <f t="shared" si="23"/>
        <v/>
      </c>
      <c r="C463">
        <f t="shared" si="24"/>
        <v>1900</v>
      </c>
      <c r="D463">
        <f>IF(OR(C463=1900,$D$506=0),0,VLOOKUP(A463,'Estados Financieros'!$A$18:$H$458,6,0))</f>
        <v>0</v>
      </c>
      <c r="E463" t="str">
        <f t="shared" si="25"/>
        <v>0,000</v>
      </c>
    </row>
    <row r="464" spans="1:5">
      <c r="A464">
        <v>137001</v>
      </c>
      <c r="B464" t="str">
        <f t="shared" si="23"/>
        <v/>
      </c>
      <c r="C464">
        <f t="shared" si="24"/>
        <v>1900</v>
      </c>
      <c r="D464">
        <f>IF(OR(C464=1900,$D$506=0),0,VLOOKUP(A464,'Estados Financieros'!$A$18:$H$458,6,0))</f>
        <v>0</v>
      </c>
      <c r="E464" t="str">
        <f t="shared" si="25"/>
        <v>0,000</v>
      </c>
    </row>
    <row r="465" spans="1:5">
      <c r="A465">
        <v>138001</v>
      </c>
      <c r="B465" t="str">
        <f t="shared" si="23"/>
        <v/>
      </c>
      <c r="C465">
        <f t="shared" si="24"/>
        <v>1900</v>
      </c>
      <c r="D465">
        <f>IF(OR(C465=1900,$D$506=0),0,VLOOKUP(A465,'Estados Financieros'!$A$18:$H$458,6,0))</f>
        <v>0</v>
      </c>
      <c r="E465" t="str">
        <f t="shared" si="25"/>
        <v>0,000</v>
      </c>
    </row>
    <row r="466" spans="1:5">
      <c r="A466">
        <v>138501</v>
      </c>
      <c r="B466" t="str">
        <f t="shared" si="23"/>
        <v/>
      </c>
      <c r="C466">
        <f t="shared" si="24"/>
        <v>1900</v>
      </c>
      <c r="D466">
        <f>IF(OR(C466=1900,$D$506=0),0,VLOOKUP(A466,'Estados Financieros'!$A$18:$H$458,6,0))</f>
        <v>0</v>
      </c>
      <c r="E466" t="str">
        <f t="shared" si="25"/>
        <v>0,000</v>
      </c>
    </row>
    <row r="467" spans="1:5">
      <c r="A467">
        <v>139001</v>
      </c>
      <c r="B467" t="str">
        <f t="shared" si="23"/>
        <v/>
      </c>
      <c r="C467">
        <f t="shared" si="24"/>
        <v>1900</v>
      </c>
      <c r="D467">
        <f>IF(OR(C467=1900,$D$506=0),0,VLOOKUP(A467,'Estados Financieros'!$A$18:$H$458,6,0))</f>
        <v>0</v>
      </c>
      <c r="E467" t="str">
        <f t="shared" si="25"/>
        <v>0,000</v>
      </c>
    </row>
    <row r="468" spans="1:5">
      <c r="A468">
        <v>139901</v>
      </c>
      <c r="B468" t="str">
        <f t="shared" si="23"/>
        <v/>
      </c>
      <c r="C468">
        <f t="shared" si="24"/>
        <v>1900</v>
      </c>
      <c r="D468">
        <f>IF(OR(C468=1900,$D$506=0),0,VLOOKUP(A468,'Estados Financieros'!$A$18:$H$458,6,0))</f>
        <v>0</v>
      </c>
      <c r="E468" t="str">
        <f t="shared" si="25"/>
        <v>0,000</v>
      </c>
    </row>
    <row r="469" spans="1:5">
      <c r="A469">
        <v>1205</v>
      </c>
      <c r="B469" t="str">
        <f t="shared" si="23"/>
        <v/>
      </c>
      <c r="C469">
        <f t="shared" si="24"/>
        <v>1900</v>
      </c>
      <c r="D469">
        <f>IF(OR(C469=1900,$D$506=0),0,VLOOKUP(A469,'Estados Financieros'!$A$18:$H$458,6,0))</f>
        <v>0</v>
      </c>
      <c r="E469" t="str">
        <f t="shared" si="25"/>
        <v>0,000</v>
      </c>
    </row>
    <row r="470" spans="1:5">
      <c r="A470">
        <v>120501</v>
      </c>
      <c r="B470" t="str">
        <f t="shared" si="23"/>
        <v/>
      </c>
      <c r="C470">
        <f t="shared" si="24"/>
        <v>1900</v>
      </c>
      <c r="D470">
        <f>IF(OR(C470=1900,$D$506=0),0,VLOOKUP(A470,'Estados Financieros'!$A$18:$H$458,6,0))</f>
        <v>0</v>
      </c>
      <c r="E470" t="str">
        <f t="shared" si="25"/>
        <v>0,000</v>
      </c>
    </row>
    <row r="471" spans="1:5">
      <c r="A471">
        <v>121001</v>
      </c>
      <c r="B471" t="str">
        <f t="shared" si="23"/>
        <v/>
      </c>
      <c r="C471">
        <f t="shared" si="24"/>
        <v>1900</v>
      </c>
      <c r="D471">
        <f>IF(OR(C471=1900,$D$506=0),0,VLOOKUP(A471,'Estados Financieros'!$A$18:$H$458,6,0))</f>
        <v>0</v>
      </c>
      <c r="E471" t="str">
        <f t="shared" si="25"/>
        <v>0,000</v>
      </c>
    </row>
    <row r="472" spans="1:5">
      <c r="A472">
        <v>121501</v>
      </c>
      <c r="B472" t="str">
        <f t="shared" si="23"/>
        <v/>
      </c>
      <c r="C472">
        <f t="shared" si="24"/>
        <v>1900</v>
      </c>
      <c r="D472">
        <f>IF(OR(C472=1900,$D$506=0),0,VLOOKUP(A472,'Estados Financieros'!$A$18:$H$458,6,0))</f>
        <v>0</v>
      </c>
      <c r="E472" t="str">
        <f t="shared" si="25"/>
        <v>0,000</v>
      </c>
    </row>
    <row r="473" spans="1:5">
      <c r="A473">
        <v>123501</v>
      </c>
      <c r="B473" t="str">
        <f t="shared" si="23"/>
        <v/>
      </c>
      <c r="C473">
        <f t="shared" si="24"/>
        <v>1900</v>
      </c>
      <c r="D473">
        <f>IF(OR(C473=1900,$D$506=0),0,VLOOKUP(A473,'Estados Financieros'!$A$18:$H$458,6,0))</f>
        <v>0</v>
      </c>
      <c r="E473" t="str">
        <f t="shared" si="25"/>
        <v>0,000</v>
      </c>
    </row>
    <row r="474" spans="1:5">
      <c r="A474">
        <v>125501</v>
      </c>
      <c r="B474" t="str">
        <f t="shared" si="23"/>
        <v/>
      </c>
      <c r="C474">
        <f t="shared" si="24"/>
        <v>1900</v>
      </c>
      <c r="D474">
        <f>IF(OR(C474=1900,$D$506=0),0,VLOOKUP(A474,'Estados Financieros'!$A$18:$H$458,6,0))</f>
        <v>0</v>
      </c>
      <c r="E474" t="str">
        <f t="shared" si="25"/>
        <v>0,000</v>
      </c>
    </row>
    <row r="475" spans="1:5">
      <c r="A475">
        <v>126001</v>
      </c>
      <c r="B475" t="str">
        <f t="shared" si="23"/>
        <v/>
      </c>
      <c r="C475">
        <f t="shared" si="24"/>
        <v>1900</v>
      </c>
      <c r="D475">
        <f>IF(OR(C475=1900,$D$506=0),0,VLOOKUP(A475,'Estados Financieros'!$A$18:$H$458,6,0))</f>
        <v>0</v>
      </c>
      <c r="E475" t="str">
        <f t="shared" si="25"/>
        <v>0,000</v>
      </c>
    </row>
    <row r="476" spans="1:5">
      <c r="A476">
        <v>129501</v>
      </c>
      <c r="B476" t="str">
        <f t="shared" si="23"/>
        <v/>
      </c>
      <c r="C476">
        <f t="shared" si="24"/>
        <v>1900</v>
      </c>
      <c r="D476">
        <f>IF(OR(C476=1900,$D$506=0),0,VLOOKUP(A476,'Estados Financieros'!$A$18:$H$458,6,0))</f>
        <v>0</v>
      </c>
      <c r="E476" t="str">
        <f t="shared" si="25"/>
        <v>0,000</v>
      </c>
    </row>
    <row r="477" spans="1:5">
      <c r="A477">
        <v>129701</v>
      </c>
      <c r="B477" t="str">
        <f t="shared" si="23"/>
        <v/>
      </c>
      <c r="C477">
        <f t="shared" si="24"/>
        <v>1900</v>
      </c>
      <c r="D477">
        <f>IF(OR(C477=1900,$D$506=0),0,VLOOKUP(A477,'Estados Financieros'!$A$18:$H$458,6,0))</f>
        <v>0</v>
      </c>
      <c r="E477" t="str">
        <f t="shared" si="25"/>
        <v>0,000</v>
      </c>
    </row>
    <row r="478" spans="1:5">
      <c r="A478">
        <v>129901</v>
      </c>
      <c r="B478" t="str">
        <f t="shared" si="23"/>
        <v/>
      </c>
      <c r="C478">
        <f t="shared" si="24"/>
        <v>1900</v>
      </c>
      <c r="D478">
        <f>IF(OR(C478=1900,$D$506=0),0,VLOOKUP(A478,'Estados Financieros'!$A$18:$H$458,6,0))</f>
        <v>0</v>
      </c>
      <c r="E478" t="str">
        <f t="shared" si="25"/>
        <v>0,000</v>
      </c>
    </row>
    <row r="479" spans="1:5">
      <c r="A479">
        <v>1203</v>
      </c>
      <c r="B479" t="str">
        <f t="shared" si="23"/>
        <v/>
      </c>
      <c r="C479">
        <f t="shared" si="24"/>
        <v>1900</v>
      </c>
      <c r="D479">
        <f>IF(OR(C479=1900,$D$506=0),0,VLOOKUP(A479,'Estados Financieros'!$A$18:$H$458,6,0))</f>
        <v>0</v>
      </c>
      <c r="E479" t="str">
        <f t="shared" si="25"/>
        <v>0,000</v>
      </c>
    </row>
    <row r="480" spans="1:5">
      <c r="A480">
        <v>120610</v>
      </c>
      <c r="B480" t="str">
        <f t="shared" si="23"/>
        <v/>
      </c>
      <c r="C480">
        <f t="shared" si="24"/>
        <v>1900</v>
      </c>
      <c r="D480">
        <f>IF(OR(C480=1900,$D$506=0),0,VLOOKUP(A480,'Estados Financieros'!$A$18:$H$458,6,0))</f>
        <v>0</v>
      </c>
      <c r="E480" t="str">
        <f t="shared" si="25"/>
        <v>0,000</v>
      </c>
    </row>
    <row r="481" spans="1:5">
      <c r="A481">
        <v>120615</v>
      </c>
      <c r="B481" t="str">
        <f t="shared" si="23"/>
        <v/>
      </c>
      <c r="C481">
        <f t="shared" si="24"/>
        <v>1900</v>
      </c>
      <c r="D481">
        <f>IF(OR(C481=1900,$D$506=0),0,VLOOKUP(A481,'Estados Financieros'!$A$18:$H$458,6,0))</f>
        <v>0</v>
      </c>
      <c r="E481" t="str">
        <f t="shared" si="25"/>
        <v>0,000</v>
      </c>
    </row>
    <row r="482" spans="1:5">
      <c r="A482">
        <v>173001</v>
      </c>
      <c r="B482" t="str">
        <f t="shared" si="23"/>
        <v/>
      </c>
      <c r="C482">
        <f t="shared" si="24"/>
        <v>1900</v>
      </c>
      <c r="D482">
        <f>IF(OR(C482=1900,$D$506=0),0,VLOOKUP(A482,'Estados Financieros'!$A$18:$H$458,6,0))</f>
        <v>0</v>
      </c>
      <c r="E482" t="str">
        <f t="shared" si="25"/>
        <v>0,000</v>
      </c>
    </row>
    <row r="483" spans="1:5">
      <c r="A483">
        <v>120620</v>
      </c>
      <c r="B483" t="str">
        <f t="shared" si="23"/>
        <v/>
      </c>
      <c r="C483">
        <f t="shared" si="24"/>
        <v>1900</v>
      </c>
      <c r="D483">
        <f>IF(OR(C483=1900,$D$506=0),0,VLOOKUP(A483,'Estados Financieros'!$A$18:$H$458,6,0))</f>
        <v>0</v>
      </c>
      <c r="E483" t="str">
        <f t="shared" si="25"/>
        <v>0,000</v>
      </c>
    </row>
    <row r="484" spans="1:5">
      <c r="A484">
        <v>179701</v>
      </c>
      <c r="B484" t="str">
        <f t="shared" ref="B484:B547" si="26">+B483</f>
        <v/>
      </c>
      <c r="C484">
        <f t="shared" ref="C484:C547" si="27">+C483</f>
        <v>1900</v>
      </c>
      <c r="D484">
        <f>IF(OR(C484=1900,$D$506=0),0,VLOOKUP(A484,'Estados Financieros'!$A$18:$H$458,6,0))</f>
        <v>0</v>
      </c>
      <c r="E484" t="str">
        <f t="shared" si="25"/>
        <v>0,000</v>
      </c>
    </row>
    <row r="485" spans="1:5">
      <c r="A485">
        <v>179801</v>
      </c>
      <c r="B485" t="str">
        <f t="shared" si="26"/>
        <v/>
      </c>
      <c r="C485">
        <f t="shared" si="27"/>
        <v>1900</v>
      </c>
      <c r="D485">
        <f>IF(OR(C485=1900,$D$506=0),0,VLOOKUP(A485,'Estados Financieros'!$A$18:$H$458,6,0))</f>
        <v>0</v>
      </c>
      <c r="E485" t="str">
        <f t="shared" si="25"/>
        <v>0,000</v>
      </c>
    </row>
    <row r="486" spans="1:5">
      <c r="A486">
        <v>1206</v>
      </c>
      <c r="B486" t="str">
        <f t="shared" si="26"/>
        <v/>
      </c>
      <c r="C486">
        <f t="shared" si="27"/>
        <v>1900</v>
      </c>
      <c r="D486">
        <f>IF(OR(C486=1900,$D$506=0),0,VLOOKUP(A486,'Estados Financieros'!$A$18:$H$458,6,0))</f>
        <v>0</v>
      </c>
      <c r="E486" t="str">
        <f t="shared" si="25"/>
        <v>0,000</v>
      </c>
    </row>
    <row r="487" spans="1:5">
      <c r="A487">
        <v>160501</v>
      </c>
      <c r="B487" t="str">
        <f t="shared" si="26"/>
        <v/>
      </c>
      <c r="C487">
        <f t="shared" si="27"/>
        <v>1900</v>
      </c>
      <c r="D487">
        <f>IF(OR(C487=1900,$D$506=0),0,VLOOKUP(A487,'Estados Financieros'!$A$18:$H$458,6,0))</f>
        <v>0</v>
      </c>
      <c r="E487" t="str">
        <f t="shared" si="25"/>
        <v>0,000</v>
      </c>
    </row>
    <row r="488" spans="1:5">
      <c r="A488">
        <v>161001</v>
      </c>
      <c r="B488" t="str">
        <f t="shared" si="26"/>
        <v/>
      </c>
      <c r="C488">
        <f t="shared" si="27"/>
        <v>1900</v>
      </c>
      <c r="D488">
        <f>IF(OR(C488=1900,$D$506=0),0,VLOOKUP(A488,'Estados Financieros'!$A$18:$H$458,6,0))</f>
        <v>0</v>
      </c>
      <c r="E488" t="str">
        <f t="shared" si="25"/>
        <v>0,000</v>
      </c>
    </row>
    <row r="489" spans="1:5">
      <c r="A489">
        <v>163001</v>
      </c>
      <c r="B489" t="str">
        <f t="shared" si="26"/>
        <v/>
      </c>
      <c r="C489">
        <f t="shared" si="27"/>
        <v>1900</v>
      </c>
      <c r="D489">
        <f>IF(OR(C489=1900,$D$506=0),0,VLOOKUP(A489,'Estados Financieros'!$A$18:$H$458,6,0))</f>
        <v>0</v>
      </c>
      <c r="E489" t="str">
        <f t="shared" si="25"/>
        <v>0,000</v>
      </c>
    </row>
    <row r="490" spans="1:5">
      <c r="A490">
        <v>164001</v>
      </c>
      <c r="B490" t="str">
        <f t="shared" si="26"/>
        <v/>
      </c>
      <c r="C490">
        <f t="shared" si="27"/>
        <v>1900</v>
      </c>
      <c r="D490">
        <f>IF(OR(C490=1900,$D$506=0),0,VLOOKUP(A490,'Estados Financieros'!$A$18:$H$458,6,0))</f>
        <v>0</v>
      </c>
      <c r="E490" t="str">
        <f t="shared" si="25"/>
        <v>0,000</v>
      </c>
    </row>
    <row r="491" spans="1:5">
      <c r="A491">
        <v>109801</v>
      </c>
      <c r="B491" t="str">
        <f t="shared" si="26"/>
        <v/>
      </c>
      <c r="C491">
        <f t="shared" si="27"/>
        <v>1900</v>
      </c>
      <c r="D491">
        <f>IF(OR(C491=1900,$D$506=0),0,VLOOKUP(A491,'Estados Financieros'!$A$18:$H$458,6,0))</f>
        <v>0</v>
      </c>
      <c r="E491" t="str">
        <f t="shared" si="25"/>
        <v>0,000</v>
      </c>
    </row>
    <row r="492" spans="1:5">
      <c r="A492">
        <v>169899</v>
      </c>
      <c r="B492" t="str">
        <f t="shared" si="26"/>
        <v/>
      </c>
      <c r="C492">
        <f t="shared" si="27"/>
        <v>1900</v>
      </c>
      <c r="D492">
        <f>IF(OR(C492=1900,$D$506=0),0,VLOOKUP(A492,'Estados Financieros'!$A$18:$H$458,6,0))</f>
        <v>0</v>
      </c>
      <c r="E492" t="str">
        <f t="shared" si="25"/>
        <v>0,000</v>
      </c>
    </row>
    <row r="493" spans="1:5">
      <c r="A493">
        <v>169901</v>
      </c>
      <c r="B493" t="str">
        <f t="shared" si="26"/>
        <v/>
      </c>
      <c r="C493">
        <f t="shared" si="27"/>
        <v>1900</v>
      </c>
      <c r="D493">
        <f>IF(OR(C493=1900,$D$506=0),0,VLOOKUP(A493,'Estados Financieros'!$A$18:$H$458,6,0))</f>
        <v>0</v>
      </c>
      <c r="E493" t="str">
        <f t="shared" si="25"/>
        <v>0,000</v>
      </c>
    </row>
    <row r="494" spans="1:5">
      <c r="A494">
        <v>1202</v>
      </c>
      <c r="B494" t="str">
        <f t="shared" si="26"/>
        <v/>
      </c>
      <c r="C494">
        <f t="shared" si="27"/>
        <v>1900</v>
      </c>
      <c r="D494">
        <f>IF(OR(C494=1900,$D$506=0),0,VLOOKUP(A494,'Estados Financieros'!$A$18:$H$458,6,0))</f>
        <v>0</v>
      </c>
      <c r="E494" t="str">
        <f t="shared" si="25"/>
        <v>0,000</v>
      </c>
    </row>
    <row r="495" spans="1:5">
      <c r="A495">
        <v>180501</v>
      </c>
      <c r="B495" t="str">
        <f t="shared" si="26"/>
        <v/>
      </c>
      <c r="C495">
        <f t="shared" si="27"/>
        <v>1900</v>
      </c>
      <c r="D495">
        <f>IF(OR(C495=1900,$D$506=0),0,VLOOKUP(A495,'Estados Financieros'!$A$18:$H$458,6,0))</f>
        <v>0</v>
      </c>
      <c r="E495" t="str">
        <f t="shared" si="25"/>
        <v>0,000</v>
      </c>
    </row>
    <row r="496" spans="1:5">
      <c r="A496">
        <v>189501</v>
      </c>
      <c r="B496" t="str">
        <f t="shared" si="26"/>
        <v/>
      </c>
      <c r="C496">
        <f t="shared" si="27"/>
        <v>1900</v>
      </c>
      <c r="D496">
        <f>IF(OR(C496=1900,$D$506=0),0,VLOOKUP(A496,'Estados Financieros'!$A$18:$H$458,6,0))</f>
        <v>0</v>
      </c>
      <c r="E496" t="str">
        <f t="shared" si="25"/>
        <v>0,000</v>
      </c>
    </row>
    <row r="497" spans="1:5">
      <c r="A497">
        <v>189520</v>
      </c>
      <c r="B497" t="str">
        <f t="shared" si="26"/>
        <v/>
      </c>
      <c r="C497">
        <f t="shared" si="27"/>
        <v>1900</v>
      </c>
      <c r="D497">
        <f>IF(OR(C497=1900,$D$506=0),0,VLOOKUP(A497,'Estados Financieros'!$A$18:$H$458,6,0))</f>
        <v>0</v>
      </c>
      <c r="E497" t="str">
        <f t="shared" si="25"/>
        <v>0,000</v>
      </c>
    </row>
    <row r="498" spans="1:5">
      <c r="A498">
        <v>189701</v>
      </c>
      <c r="B498" t="str">
        <f t="shared" si="26"/>
        <v/>
      </c>
      <c r="C498">
        <f t="shared" si="27"/>
        <v>1900</v>
      </c>
      <c r="D498">
        <f>IF(OR(C498=1900,$D$506=0),0,VLOOKUP(A498,'Estados Financieros'!$A$18:$H$458,6,0))</f>
        <v>0</v>
      </c>
      <c r="E498" t="str">
        <f t="shared" si="25"/>
        <v>0,000</v>
      </c>
    </row>
    <row r="499" spans="1:5">
      <c r="A499">
        <v>189901</v>
      </c>
      <c r="B499" t="str">
        <f t="shared" si="26"/>
        <v/>
      </c>
      <c r="C499">
        <f t="shared" si="27"/>
        <v>1900</v>
      </c>
      <c r="D499">
        <f>IF(OR(C499=1900,$D$506=0),0,VLOOKUP(A499,'Estados Financieros'!$A$18:$H$458,6,0))</f>
        <v>0</v>
      </c>
      <c r="E499" t="str">
        <f t="shared" si="25"/>
        <v>0,000</v>
      </c>
    </row>
    <row r="500" spans="1:5">
      <c r="A500">
        <v>1207</v>
      </c>
      <c r="B500" t="str">
        <f t="shared" si="26"/>
        <v/>
      </c>
      <c r="C500">
        <f t="shared" si="27"/>
        <v>1900</v>
      </c>
      <c r="D500">
        <f>IF(OR(C500=1900,$D$506=0),0,VLOOKUP(A500,'Estados Financieros'!$A$18:$H$458,6,0))</f>
        <v>0</v>
      </c>
      <c r="E500" t="str">
        <f t="shared" si="25"/>
        <v>0,000</v>
      </c>
    </row>
    <row r="501" spans="1:5">
      <c r="A501">
        <v>190501</v>
      </c>
      <c r="B501" t="str">
        <f t="shared" si="26"/>
        <v/>
      </c>
      <c r="C501">
        <f t="shared" si="27"/>
        <v>1900</v>
      </c>
      <c r="D501">
        <f>IF(OR(C501=1900,$D$506=0),0,VLOOKUP(A501,'Estados Financieros'!$A$18:$H$458,6,0))</f>
        <v>0</v>
      </c>
      <c r="E501" t="str">
        <f t="shared" si="25"/>
        <v>0,000</v>
      </c>
    </row>
    <row r="502" spans="1:5">
      <c r="A502">
        <v>191001</v>
      </c>
      <c r="B502" t="str">
        <f t="shared" si="26"/>
        <v/>
      </c>
      <c r="C502">
        <f t="shared" si="27"/>
        <v>1900</v>
      </c>
      <c r="D502">
        <f>IF(OR(C502=1900,$D$506=0),0,VLOOKUP(A502,'Estados Financieros'!$A$18:$H$458,6,0))</f>
        <v>0</v>
      </c>
      <c r="E502" t="str">
        <f t="shared" si="25"/>
        <v>0,000</v>
      </c>
    </row>
    <row r="503" spans="1:5">
      <c r="A503">
        <v>199501</v>
      </c>
      <c r="B503" t="str">
        <f t="shared" si="26"/>
        <v/>
      </c>
      <c r="C503">
        <f t="shared" si="27"/>
        <v>1900</v>
      </c>
      <c r="D503">
        <f>IF(OR(C503=1900,$D$506=0),0,VLOOKUP(A503,'Estados Financieros'!$A$18:$H$458,6,0))</f>
        <v>0</v>
      </c>
      <c r="E503" t="str">
        <f t="shared" si="25"/>
        <v>0,000</v>
      </c>
    </row>
    <row r="504" spans="1:5">
      <c r="A504">
        <v>1208</v>
      </c>
      <c r="B504" t="str">
        <f t="shared" si="26"/>
        <v/>
      </c>
      <c r="C504">
        <f t="shared" si="27"/>
        <v>1900</v>
      </c>
      <c r="D504">
        <f>IF(OR(C504=1900,$D$506=0),0,VLOOKUP(A504,'Estados Financieros'!$A$18:$H$458,6,0))</f>
        <v>0</v>
      </c>
      <c r="E504" t="str">
        <f t="shared" si="25"/>
        <v>0,000</v>
      </c>
    </row>
    <row r="505" spans="1:5">
      <c r="A505">
        <v>12</v>
      </c>
      <c r="B505" t="str">
        <f t="shared" si="26"/>
        <v/>
      </c>
      <c r="C505">
        <f t="shared" si="27"/>
        <v>1900</v>
      </c>
      <c r="D505">
        <f>IF(OR(C505=1900,$D$506=0),0,VLOOKUP(A505,'Estados Financieros'!$A$18:$H$458,6,0))</f>
        <v>0</v>
      </c>
      <c r="E505" t="str">
        <f t="shared" si="25"/>
        <v>0,000</v>
      </c>
    </row>
    <row r="506" spans="1:5">
      <c r="A506">
        <v>1</v>
      </c>
      <c r="B506" t="str">
        <f t="shared" si="26"/>
        <v/>
      </c>
      <c r="C506">
        <f t="shared" si="27"/>
        <v>1900</v>
      </c>
      <c r="D506">
        <f>IF(C506=1900,0,VLOOKUP(A506,'Estados Financieros'!$A$18:$H$458,6,0))</f>
        <v>0</v>
      </c>
      <c r="E506" t="str">
        <f t="shared" si="25"/>
        <v>0,000</v>
      </c>
    </row>
    <row r="507" spans="1:5">
      <c r="A507">
        <v>108100</v>
      </c>
      <c r="B507" t="str">
        <f t="shared" si="26"/>
        <v/>
      </c>
      <c r="C507">
        <f t="shared" si="27"/>
        <v>1900</v>
      </c>
      <c r="D507">
        <f>IF(OR(C507=1900,$D$506=0),0,VLOOKUP(A507,'Estados Financieros'!$A$18:$H$458,6,0))</f>
        <v>0</v>
      </c>
      <c r="E507" t="str">
        <f t="shared" si="25"/>
        <v>0,000</v>
      </c>
    </row>
    <row r="508" spans="1:5">
      <c r="A508">
        <v>108200</v>
      </c>
      <c r="B508" t="str">
        <f t="shared" si="26"/>
        <v/>
      </c>
      <c r="C508">
        <f t="shared" si="27"/>
        <v>1900</v>
      </c>
      <c r="D508">
        <f>IF(OR(C508=1900,$D$506=0),0,VLOOKUP(A508,'Estados Financieros'!$A$18:$H$458,6,0))</f>
        <v>0</v>
      </c>
      <c r="E508" t="str">
        <f t="shared" si="25"/>
        <v>0,000</v>
      </c>
    </row>
    <row r="509" spans="1:5">
      <c r="A509">
        <v>108300</v>
      </c>
      <c r="B509" t="str">
        <f t="shared" si="26"/>
        <v/>
      </c>
      <c r="C509">
        <f t="shared" si="27"/>
        <v>1900</v>
      </c>
      <c r="D509">
        <f>IF(OR(C509=1900,$D$506=0),0,VLOOKUP(A509,'Estados Financieros'!$A$18:$H$458,6,0))</f>
        <v>0</v>
      </c>
      <c r="E509" t="str">
        <f t="shared" si="25"/>
        <v>0,000</v>
      </c>
    </row>
    <row r="510" spans="1:5">
      <c r="A510">
        <v>108400</v>
      </c>
      <c r="B510" t="str">
        <f t="shared" si="26"/>
        <v/>
      </c>
      <c r="C510">
        <f t="shared" si="27"/>
        <v>1900</v>
      </c>
      <c r="D510">
        <f>IF(OR(C510=1900,$D$506=0),0,VLOOKUP(A510,'Estados Financieros'!$A$18:$H$458,6,0))</f>
        <v>0</v>
      </c>
      <c r="E510" t="str">
        <f t="shared" si="25"/>
        <v>0,000</v>
      </c>
    </row>
    <row r="511" spans="1:5">
      <c r="A511">
        <v>108000</v>
      </c>
      <c r="B511" t="str">
        <f t="shared" si="26"/>
        <v/>
      </c>
      <c r="C511">
        <f t="shared" si="27"/>
        <v>1900</v>
      </c>
      <c r="D511">
        <f>IF(OR(C511=1900,$D$506=0),0,VLOOKUP(A511,'Estados Financieros'!$A$18:$H$458,6,0))</f>
        <v>0</v>
      </c>
      <c r="E511" t="str">
        <f t="shared" si="25"/>
        <v>0,000</v>
      </c>
    </row>
    <row r="512" spans="1:5">
      <c r="A512">
        <v>210500</v>
      </c>
      <c r="B512" t="str">
        <f t="shared" si="26"/>
        <v/>
      </c>
      <c r="C512">
        <f t="shared" si="27"/>
        <v>1900</v>
      </c>
      <c r="D512">
        <f>IF(OR(C512=1900,$D$506=0),0,VLOOKUP(A512,'Estados Financieros'!$A$18:$H$458,6,0))</f>
        <v>0</v>
      </c>
      <c r="E512" t="str">
        <f t="shared" si="25"/>
        <v>0,000</v>
      </c>
    </row>
    <row r="513" spans="1:5">
      <c r="A513">
        <v>211500</v>
      </c>
      <c r="B513" t="str">
        <f t="shared" si="26"/>
        <v/>
      </c>
      <c r="C513">
        <f t="shared" si="27"/>
        <v>1900</v>
      </c>
      <c r="D513">
        <f>IF(OR(C513=1900,$D$506=0),0,VLOOKUP(A513,'Estados Financieros'!$A$18:$H$458,6,0))</f>
        <v>0</v>
      </c>
      <c r="E513" t="str">
        <f t="shared" si="25"/>
        <v>0,000</v>
      </c>
    </row>
    <row r="514" spans="1:5">
      <c r="A514">
        <v>219500</v>
      </c>
      <c r="B514" t="str">
        <f t="shared" si="26"/>
        <v/>
      </c>
      <c r="C514">
        <f t="shared" si="27"/>
        <v>1900</v>
      </c>
      <c r="D514">
        <f>IF(OR(C514=1900,$D$506=0),0,VLOOKUP(A514,'Estados Financieros'!$A$18:$H$458,6,0))</f>
        <v>0</v>
      </c>
      <c r="E514" t="str">
        <f t="shared" ref="E514:E577" si="28">IFERROR(FIXED(D514,3,1),0)</f>
        <v>0,000</v>
      </c>
    </row>
    <row r="515" spans="1:5">
      <c r="A515">
        <v>2101</v>
      </c>
      <c r="B515" t="str">
        <f t="shared" si="26"/>
        <v/>
      </c>
      <c r="C515">
        <f t="shared" si="27"/>
        <v>1900</v>
      </c>
      <c r="D515">
        <f>IF(OR(C515=1900,$D$506=0),0,VLOOKUP(A515,'Estados Financieros'!$A$18:$H$458,6,0))</f>
        <v>0</v>
      </c>
      <c r="E515" t="str">
        <f t="shared" si="28"/>
        <v>0,000</v>
      </c>
    </row>
    <row r="516" spans="1:5">
      <c r="A516">
        <v>220500</v>
      </c>
      <c r="B516" t="str">
        <f t="shared" si="26"/>
        <v/>
      </c>
      <c r="C516">
        <f t="shared" si="27"/>
        <v>1900</v>
      </c>
      <c r="D516">
        <f>IF(OR(C516=1900,$D$506=0),0,VLOOKUP(A516,'Estados Financieros'!$A$18:$H$458,6,0))</f>
        <v>0</v>
      </c>
      <c r="E516" t="str">
        <f t="shared" si="28"/>
        <v>0,000</v>
      </c>
    </row>
    <row r="517" spans="1:5">
      <c r="A517">
        <v>221000</v>
      </c>
      <c r="B517" t="str">
        <f t="shared" si="26"/>
        <v/>
      </c>
      <c r="C517">
        <f t="shared" si="27"/>
        <v>1900</v>
      </c>
      <c r="D517">
        <f>IF(OR(C517=1900,$D$506=0),0,VLOOKUP(A517,'Estados Financieros'!$A$18:$H$458,6,0))</f>
        <v>0</v>
      </c>
      <c r="E517" t="str">
        <f t="shared" si="28"/>
        <v>0,000</v>
      </c>
    </row>
    <row r="518" spans="1:5">
      <c r="A518">
        <v>221500</v>
      </c>
      <c r="B518" t="str">
        <f t="shared" si="26"/>
        <v/>
      </c>
      <c r="C518">
        <f t="shared" si="27"/>
        <v>1900</v>
      </c>
      <c r="D518">
        <f>IF(OR(C518=1900,$D$506=0),0,VLOOKUP(A518,'Estados Financieros'!$A$18:$H$458,6,0))</f>
        <v>0</v>
      </c>
      <c r="E518" t="str">
        <f t="shared" si="28"/>
        <v>0,000</v>
      </c>
    </row>
    <row r="519" spans="1:5">
      <c r="A519">
        <v>2102</v>
      </c>
      <c r="B519" t="str">
        <f t="shared" si="26"/>
        <v/>
      </c>
      <c r="C519">
        <f t="shared" si="27"/>
        <v>1900</v>
      </c>
      <c r="D519">
        <f>IF(OR(C519=1900,$D$506=0),0,VLOOKUP(A519,'Estados Financieros'!$A$18:$H$458,6,0))</f>
        <v>0</v>
      </c>
      <c r="E519" t="str">
        <f t="shared" si="28"/>
        <v>0,000</v>
      </c>
    </row>
    <row r="520" spans="1:5">
      <c r="A520">
        <v>230500</v>
      </c>
      <c r="B520" t="str">
        <f t="shared" si="26"/>
        <v/>
      </c>
      <c r="C520">
        <f t="shared" si="27"/>
        <v>1900</v>
      </c>
      <c r="D520">
        <f>IF(OR(C520=1900,$D$506=0),0,VLOOKUP(A520,'Estados Financieros'!$A$18:$H$458,6,0))</f>
        <v>0</v>
      </c>
      <c r="E520" t="str">
        <f t="shared" si="28"/>
        <v>0,000</v>
      </c>
    </row>
    <row r="521" spans="1:5">
      <c r="A521">
        <v>231000</v>
      </c>
      <c r="B521" t="str">
        <f t="shared" si="26"/>
        <v/>
      </c>
      <c r="C521">
        <f t="shared" si="27"/>
        <v>1900</v>
      </c>
      <c r="D521">
        <f>IF(OR(C521=1900,$D$506=0),0,VLOOKUP(A521,'Estados Financieros'!$A$18:$H$458,6,0))</f>
        <v>0</v>
      </c>
      <c r="E521" t="str">
        <f t="shared" si="28"/>
        <v>0,000</v>
      </c>
    </row>
    <row r="522" spans="1:5">
      <c r="A522">
        <v>231500</v>
      </c>
      <c r="B522" t="str">
        <f t="shared" si="26"/>
        <v/>
      </c>
      <c r="C522">
        <f t="shared" si="27"/>
        <v>1900</v>
      </c>
      <c r="D522">
        <f>IF(OR(C522=1900,$D$506=0),0,VLOOKUP(A522,'Estados Financieros'!$A$18:$H$458,6,0))</f>
        <v>0</v>
      </c>
      <c r="E522" t="str">
        <f t="shared" si="28"/>
        <v>0,000</v>
      </c>
    </row>
    <row r="523" spans="1:5">
      <c r="A523">
        <v>232000</v>
      </c>
      <c r="B523" t="str">
        <f t="shared" si="26"/>
        <v/>
      </c>
      <c r="C523">
        <f t="shared" si="27"/>
        <v>1900</v>
      </c>
      <c r="D523">
        <f>IF(OR(C523=1900,$D$506=0),0,VLOOKUP(A523,'Estados Financieros'!$A$18:$H$458,6,0))</f>
        <v>0</v>
      </c>
      <c r="E523" t="str">
        <f t="shared" si="28"/>
        <v>0,000</v>
      </c>
    </row>
    <row r="524" spans="1:5">
      <c r="A524">
        <v>233500</v>
      </c>
      <c r="B524" t="str">
        <f t="shared" si="26"/>
        <v/>
      </c>
      <c r="C524">
        <f t="shared" si="27"/>
        <v>1900</v>
      </c>
      <c r="D524">
        <f>IF(OR(C524=1900,$D$506=0),0,VLOOKUP(A524,'Estados Financieros'!$A$18:$H$458,6,0))</f>
        <v>0</v>
      </c>
      <c r="E524" t="str">
        <f t="shared" si="28"/>
        <v>0,000</v>
      </c>
    </row>
    <row r="525" spans="1:5">
      <c r="A525">
        <v>234500</v>
      </c>
      <c r="B525" t="str">
        <f t="shared" si="26"/>
        <v/>
      </c>
      <c r="C525">
        <f t="shared" si="27"/>
        <v>1900</v>
      </c>
      <c r="D525">
        <f>IF(OR(C525=1900,$D$506=0),0,VLOOKUP(A525,'Estados Financieros'!$A$18:$H$458,6,0))</f>
        <v>0</v>
      </c>
      <c r="E525" t="str">
        <f t="shared" si="28"/>
        <v>0,000</v>
      </c>
    </row>
    <row r="526" spans="1:5">
      <c r="A526">
        <v>235000</v>
      </c>
      <c r="B526" t="str">
        <f t="shared" si="26"/>
        <v/>
      </c>
      <c r="C526">
        <f t="shared" si="27"/>
        <v>1900</v>
      </c>
      <c r="D526">
        <f>IF(OR(C526=1900,$D$506=0),0,VLOOKUP(A526,'Estados Financieros'!$A$18:$H$458,6,0))</f>
        <v>0</v>
      </c>
      <c r="E526" t="str">
        <f t="shared" si="28"/>
        <v>0,000</v>
      </c>
    </row>
    <row r="527" spans="1:5">
      <c r="A527">
        <v>235500</v>
      </c>
      <c r="B527" t="str">
        <f t="shared" si="26"/>
        <v/>
      </c>
      <c r="C527">
        <f t="shared" si="27"/>
        <v>1900</v>
      </c>
      <c r="D527">
        <f>IF(OR(C527=1900,$D$506=0),0,VLOOKUP(A527,'Estados Financieros'!$A$18:$H$458,6,0))</f>
        <v>0</v>
      </c>
      <c r="E527" t="str">
        <f t="shared" si="28"/>
        <v>0,000</v>
      </c>
    </row>
    <row r="528" spans="1:5">
      <c r="A528">
        <v>236000</v>
      </c>
      <c r="B528" t="str">
        <f t="shared" si="26"/>
        <v/>
      </c>
      <c r="C528">
        <f t="shared" si="27"/>
        <v>1900</v>
      </c>
      <c r="D528">
        <f>IF(OR(C528=1900,$D$506=0),0,VLOOKUP(A528,'Estados Financieros'!$A$18:$H$458,6,0))</f>
        <v>0</v>
      </c>
      <c r="E528" t="str">
        <f t="shared" si="28"/>
        <v>0,000</v>
      </c>
    </row>
    <row r="529" spans="1:5">
      <c r="A529">
        <v>236500</v>
      </c>
      <c r="B529" t="str">
        <f t="shared" si="26"/>
        <v/>
      </c>
      <c r="C529">
        <f t="shared" si="27"/>
        <v>1900</v>
      </c>
      <c r="D529">
        <f>IF(OR(C529=1900,$D$506=0),0,VLOOKUP(A529,'Estados Financieros'!$A$18:$H$458,6,0))</f>
        <v>0</v>
      </c>
      <c r="E529" t="str">
        <f t="shared" si="28"/>
        <v>0,000</v>
      </c>
    </row>
    <row r="530" spans="1:5">
      <c r="A530">
        <v>236700</v>
      </c>
      <c r="B530" t="str">
        <f t="shared" si="26"/>
        <v/>
      </c>
      <c r="C530">
        <f t="shared" si="27"/>
        <v>1900</v>
      </c>
      <c r="D530">
        <f>IF(OR(C530=1900,$D$506=0),0,VLOOKUP(A530,'Estados Financieros'!$A$18:$H$458,6,0))</f>
        <v>0</v>
      </c>
      <c r="E530" t="str">
        <f t="shared" si="28"/>
        <v>0,000</v>
      </c>
    </row>
    <row r="531" spans="1:5">
      <c r="A531">
        <v>236800</v>
      </c>
      <c r="B531" t="str">
        <f t="shared" si="26"/>
        <v/>
      </c>
      <c r="C531">
        <f t="shared" si="27"/>
        <v>1900</v>
      </c>
      <c r="D531">
        <f>IF(OR(C531=1900,$D$506=0),0,VLOOKUP(A531,'Estados Financieros'!$A$18:$H$458,6,0))</f>
        <v>0</v>
      </c>
      <c r="E531" t="str">
        <f t="shared" si="28"/>
        <v>0,000</v>
      </c>
    </row>
    <row r="532" spans="1:5">
      <c r="A532">
        <v>237000</v>
      </c>
      <c r="B532" t="str">
        <f t="shared" si="26"/>
        <v/>
      </c>
      <c r="C532">
        <f t="shared" si="27"/>
        <v>1900</v>
      </c>
      <c r="D532">
        <f>IF(OR(C532=1900,$D$506=0),0,VLOOKUP(A532,'Estados Financieros'!$A$18:$H$458,6,0))</f>
        <v>0</v>
      </c>
      <c r="E532" t="str">
        <f t="shared" si="28"/>
        <v>0,000</v>
      </c>
    </row>
    <row r="533" spans="1:5">
      <c r="A533">
        <v>238000</v>
      </c>
      <c r="B533" t="str">
        <f t="shared" si="26"/>
        <v/>
      </c>
      <c r="C533">
        <f t="shared" si="27"/>
        <v>1900</v>
      </c>
      <c r="D533">
        <f>IF(OR(C533=1900,$D$506=0),0,VLOOKUP(A533,'Estados Financieros'!$A$18:$H$458,6,0))</f>
        <v>0</v>
      </c>
      <c r="E533" t="str">
        <f t="shared" si="28"/>
        <v>0,000</v>
      </c>
    </row>
    <row r="534" spans="1:5">
      <c r="A534">
        <v>2103</v>
      </c>
      <c r="B534" t="str">
        <f t="shared" si="26"/>
        <v/>
      </c>
      <c r="C534">
        <f t="shared" si="27"/>
        <v>1900</v>
      </c>
      <c r="D534">
        <f>IF(OR(C534=1900,$D$506=0),0,VLOOKUP(A534,'Estados Financieros'!$A$18:$H$458,6,0))</f>
        <v>0</v>
      </c>
      <c r="E534" t="str">
        <f t="shared" si="28"/>
        <v>0,000</v>
      </c>
    </row>
    <row r="535" spans="1:5">
      <c r="A535">
        <v>240400</v>
      </c>
      <c r="B535" t="str">
        <f t="shared" si="26"/>
        <v/>
      </c>
      <c r="C535">
        <f t="shared" si="27"/>
        <v>1900</v>
      </c>
      <c r="D535">
        <f>IF(OR(C535=1900,$D$506=0),0,VLOOKUP(A535,'Estados Financieros'!$A$18:$H$458,6,0))</f>
        <v>0</v>
      </c>
      <c r="E535" t="str">
        <f t="shared" si="28"/>
        <v>0,000</v>
      </c>
    </row>
    <row r="536" spans="1:5">
      <c r="A536">
        <v>240800</v>
      </c>
      <c r="B536" t="str">
        <f t="shared" si="26"/>
        <v/>
      </c>
      <c r="C536">
        <f t="shared" si="27"/>
        <v>1900</v>
      </c>
      <c r="D536">
        <f>IF(OR(C536=1900,$D$506=0),0,VLOOKUP(A536,'Estados Financieros'!$A$18:$H$458,6,0))</f>
        <v>0</v>
      </c>
      <c r="E536" t="str">
        <f t="shared" si="28"/>
        <v>0,000</v>
      </c>
    </row>
    <row r="537" spans="1:5">
      <c r="A537">
        <v>241200</v>
      </c>
      <c r="B537" t="str">
        <f t="shared" si="26"/>
        <v/>
      </c>
      <c r="C537">
        <f t="shared" si="27"/>
        <v>1900</v>
      </c>
      <c r="D537">
        <f>IF(OR(C537=1900,$D$506=0),0,VLOOKUP(A537,'Estados Financieros'!$A$18:$H$458,6,0))</f>
        <v>0</v>
      </c>
      <c r="E537" t="str">
        <f t="shared" si="28"/>
        <v>0,000</v>
      </c>
    </row>
    <row r="538" spans="1:5">
      <c r="A538">
        <v>249500</v>
      </c>
      <c r="B538" t="str">
        <f t="shared" si="26"/>
        <v/>
      </c>
      <c r="C538">
        <f t="shared" si="27"/>
        <v>1900</v>
      </c>
      <c r="D538">
        <f>IF(OR(C538=1900,$D$506=0),0,VLOOKUP(A538,'Estados Financieros'!$A$18:$H$458,6,0))</f>
        <v>0</v>
      </c>
      <c r="E538" t="str">
        <f t="shared" si="28"/>
        <v>0,000</v>
      </c>
    </row>
    <row r="539" spans="1:5">
      <c r="A539">
        <v>2105</v>
      </c>
      <c r="B539" t="str">
        <f t="shared" si="26"/>
        <v/>
      </c>
      <c r="C539">
        <f t="shared" si="27"/>
        <v>1900</v>
      </c>
      <c r="D539">
        <f>IF(OR(C539=1900,$D$506=0),0,VLOOKUP(A539,'Estados Financieros'!$A$18:$H$458,6,0))</f>
        <v>0</v>
      </c>
      <c r="E539" t="str">
        <f t="shared" si="28"/>
        <v>0,000</v>
      </c>
    </row>
    <row r="540" spans="1:5">
      <c r="A540">
        <v>250500</v>
      </c>
      <c r="B540" t="str">
        <f t="shared" si="26"/>
        <v/>
      </c>
      <c r="C540">
        <f t="shared" si="27"/>
        <v>1900</v>
      </c>
      <c r="D540">
        <f>IF(OR(C540=1900,$D$506=0),0,VLOOKUP(A540,'Estados Financieros'!$A$18:$H$458,6,0))</f>
        <v>0</v>
      </c>
      <c r="E540" t="str">
        <f t="shared" si="28"/>
        <v>0,000</v>
      </c>
    </row>
    <row r="541" spans="1:5">
      <c r="A541">
        <v>251000</v>
      </c>
      <c r="B541" t="str">
        <f t="shared" si="26"/>
        <v/>
      </c>
      <c r="C541">
        <f t="shared" si="27"/>
        <v>1900</v>
      </c>
      <c r="D541">
        <f>IF(OR(C541=1900,$D$506=0),0,VLOOKUP(A541,'Estados Financieros'!$A$18:$H$458,6,0))</f>
        <v>0</v>
      </c>
      <c r="E541" t="str">
        <f t="shared" si="28"/>
        <v>0,000</v>
      </c>
    </row>
    <row r="542" spans="1:5">
      <c r="A542">
        <v>251500</v>
      </c>
      <c r="B542" t="str">
        <f t="shared" si="26"/>
        <v/>
      </c>
      <c r="C542">
        <f t="shared" si="27"/>
        <v>1900</v>
      </c>
      <c r="D542">
        <f>IF(OR(C542=1900,$D$506=0),0,VLOOKUP(A542,'Estados Financieros'!$A$18:$H$458,6,0))</f>
        <v>0</v>
      </c>
      <c r="E542" t="str">
        <f t="shared" si="28"/>
        <v>0,000</v>
      </c>
    </row>
    <row r="543" spans="1:5">
      <c r="A543">
        <v>252500</v>
      </c>
      <c r="B543" t="str">
        <f t="shared" si="26"/>
        <v/>
      </c>
      <c r="C543">
        <f t="shared" si="27"/>
        <v>1900</v>
      </c>
      <c r="D543">
        <f>IF(OR(C543=1900,$D$506=0),0,VLOOKUP(A543,'Estados Financieros'!$A$18:$H$458,6,0))</f>
        <v>0</v>
      </c>
      <c r="E543" t="str">
        <f t="shared" si="28"/>
        <v>0,000</v>
      </c>
    </row>
    <row r="544" spans="1:5">
      <c r="A544">
        <v>253000</v>
      </c>
      <c r="B544" t="str">
        <f t="shared" si="26"/>
        <v/>
      </c>
      <c r="C544">
        <f t="shared" si="27"/>
        <v>1900</v>
      </c>
      <c r="D544">
        <f>IF(OR(C544=1900,$D$506=0),0,VLOOKUP(A544,'Estados Financieros'!$A$18:$H$458,6,0))</f>
        <v>0</v>
      </c>
      <c r="E544" t="str">
        <f t="shared" si="28"/>
        <v>0,000</v>
      </c>
    </row>
    <row r="545" spans="1:5">
      <c r="A545">
        <v>259500</v>
      </c>
      <c r="B545" t="str">
        <f t="shared" si="26"/>
        <v/>
      </c>
      <c r="C545">
        <f t="shared" si="27"/>
        <v>1900</v>
      </c>
      <c r="D545">
        <f>IF(OR(C545=1900,$D$506=0),0,VLOOKUP(A545,'Estados Financieros'!$A$18:$H$458,6,0))</f>
        <v>0</v>
      </c>
      <c r="E545" t="str">
        <f t="shared" si="28"/>
        <v>0,000</v>
      </c>
    </row>
    <row r="546" spans="1:5">
      <c r="A546">
        <v>2104</v>
      </c>
      <c r="B546" t="str">
        <f t="shared" si="26"/>
        <v/>
      </c>
      <c r="C546">
        <f t="shared" si="27"/>
        <v>1900</v>
      </c>
      <c r="D546">
        <f>IF(OR(C546=1900,$D$506=0),0,VLOOKUP(A546,'Estados Financieros'!$A$18:$H$458,6,0))</f>
        <v>0</v>
      </c>
      <c r="E546" t="str">
        <f t="shared" si="28"/>
        <v>0,000</v>
      </c>
    </row>
    <row r="547" spans="1:5">
      <c r="A547">
        <v>260500</v>
      </c>
      <c r="B547" t="str">
        <f t="shared" si="26"/>
        <v/>
      </c>
      <c r="C547">
        <f t="shared" si="27"/>
        <v>1900</v>
      </c>
      <c r="D547">
        <f>IF(OR(C547=1900,$D$506=0),0,VLOOKUP(A547,'Estados Financieros'!$A$18:$H$458,6,0))</f>
        <v>0</v>
      </c>
      <c r="E547" t="str">
        <f t="shared" si="28"/>
        <v>0,000</v>
      </c>
    </row>
    <row r="548" spans="1:5">
      <c r="A548">
        <v>261000</v>
      </c>
      <c r="B548" t="str">
        <f t="shared" ref="B548:B611" si="29">+B547</f>
        <v/>
      </c>
      <c r="C548">
        <f t="shared" ref="C548:C611" si="30">+C547</f>
        <v>1900</v>
      </c>
      <c r="D548">
        <f>IF(OR(C548=1900,$D$506=0),0,VLOOKUP(A548,'Estados Financieros'!$A$18:$H$458,6,0))</f>
        <v>0</v>
      </c>
      <c r="E548" t="str">
        <f t="shared" si="28"/>
        <v>0,000</v>
      </c>
    </row>
    <row r="549" spans="1:5">
      <c r="A549">
        <v>261500</v>
      </c>
      <c r="B549" t="str">
        <f t="shared" si="29"/>
        <v/>
      </c>
      <c r="C549">
        <f t="shared" si="30"/>
        <v>1900</v>
      </c>
      <c r="D549">
        <f>IF(OR(C549=1900,$D$506=0),0,VLOOKUP(A549,'Estados Financieros'!$A$18:$H$458,6,0))</f>
        <v>0</v>
      </c>
      <c r="E549" t="str">
        <f t="shared" si="28"/>
        <v>0,000</v>
      </c>
    </row>
    <row r="550" spans="1:5">
      <c r="A550">
        <v>262000</v>
      </c>
      <c r="B550" t="str">
        <f t="shared" si="29"/>
        <v/>
      </c>
      <c r="C550">
        <f t="shared" si="30"/>
        <v>1900</v>
      </c>
      <c r="D550">
        <f>IF(OR(C550=1900,$D$506=0),0,VLOOKUP(A550,'Estados Financieros'!$A$18:$H$458,6,0))</f>
        <v>0</v>
      </c>
      <c r="E550" t="str">
        <f t="shared" si="28"/>
        <v>0,000</v>
      </c>
    </row>
    <row r="551" spans="1:5">
      <c r="A551">
        <v>262500</v>
      </c>
      <c r="B551" t="str">
        <f t="shared" si="29"/>
        <v/>
      </c>
      <c r="C551">
        <f t="shared" si="30"/>
        <v>1900</v>
      </c>
      <c r="D551">
        <f>IF(OR(C551=1900,$D$506=0),0,VLOOKUP(A551,'Estados Financieros'!$A$18:$H$458,6,0))</f>
        <v>0</v>
      </c>
      <c r="E551" t="str">
        <f t="shared" si="28"/>
        <v>0,000</v>
      </c>
    </row>
    <row r="552" spans="1:5">
      <c r="A552">
        <v>263000</v>
      </c>
      <c r="B552" t="str">
        <f t="shared" si="29"/>
        <v/>
      </c>
      <c r="C552">
        <f t="shared" si="30"/>
        <v>1900</v>
      </c>
      <c r="D552">
        <f>IF(OR(C552=1900,$D$506=0),0,VLOOKUP(A552,'Estados Financieros'!$A$18:$H$458,6,0))</f>
        <v>0</v>
      </c>
      <c r="E552" t="str">
        <f t="shared" si="28"/>
        <v>0,000</v>
      </c>
    </row>
    <row r="553" spans="1:5">
      <c r="A553">
        <v>263500</v>
      </c>
      <c r="B553" t="str">
        <f t="shared" si="29"/>
        <v/>
      </c>
      <c r="C553">
        <f t="shared" si="30"/>
        <v>1900</v>
      </c>
      <c r="D553">
        <f>IF(OR(C553=1900,$D$506=0),0,VLOOKUP(A553,'Estados Financieros'!$A$18:$H$458,6,0))</f>
        <v>0</v>
      </c>
      <c r="E553" t="str">
        <f t="shared" si="28"/>
        <v>0,000</v>
      </c>
    </row>
    <row r="554" spans="1:5">
      <c r="A554">
        <v>264000</v>
      </c>
      <c r="B554" t="str">
        <f t="shared" si="29"/>
        <v/>
      </c>
      <c r="C554">
        <f t="shared" si="30"/>
        <v>1900</v>
      </c>
      <c r="D554">
        <f>IF(OR(C554=1900,$D$506=0),0,VLOOKUP(A554,'Estados Financieros'!$A$18:$H$458,6,0))</f>
        <v>0</v>
      </c>
      <c r="E554" t="str">
        <f t="shared" si="28"/>
        <v>0,000</v>
      </c>
    </row>
    <row r="555" spans="1:5">
      <c r="A555">
        <v>269500</v>
      </c>
      <c r="B555" t="str">
        <f t="shared" si="29"/>
        <v/>
      </c>
      <c r="C555">
        <f t="shared" si="30"/>
        <v>1900</v>
      </c>
      <c r="D555">
        <f>IF(OR(C555=1900,$D$506=0),0,VLOOKUP(A555,'Estados Financieros'!$A$18:$H$458,6,0))</f>
        <v>0</v>
      </c>
      <c r="E555" t="str">
        <f t="shared" si="28"/>
        <v>0,000</v>
      </c>
    </row>
    <row r="556" spans="1:5">
      <c r="A556">
        <v>2106</v>
      </c>
      <c r="B556" t="str">
        <f t="shared" si="29"/>
        <v/>
      </c>
      <c r="C556">
        <f t="shared" si="30"/>
        <v>1900</v>
      </c>
      <c r="D556">
        <f>IF(OR(C556=1900,$D$506=0),0,VLOOKUP(A556,'Estados Financieros'!$A$18:$H$458,6,0))</f>
        <v>0</v>
      </c>
      <c r="E556" t="str">
        <f t="shared" si="28"/>
        <v>0,000</v>
      </c>
    </row>
    <row r="557" spans="1:5">
      <c r="A557">
        <v>270500</v>
      </c>
      <c r="B557" t="str">
        <f t="shared" si="29"/>
        <v/>
      </c>
      <c r="C557">
        <f t="shared" si="30"/>
        <v>1900</v>
      </c>
      <c r="D557">
        <f>IF(OR(C557=1900,$D$506=0),0,VLOOKUP(A557,'Estados Financieros'!$A$18:$H$458,6,0))</f>
        <v>0</v>
      </c>
      <c r="E557" t="str">
        <f t="shared" si="28"/>
        <v>0,000</v>
      </c>
    </row>
    <row r="558" spans="1:5">
      <c r="A558">
        <v>271000</v>
      </c>
      <c r="B558" t="str">
        <f t="shared" si="29"/>
        <v/>
      </c>
      <c r="C558">
        <f t="shared" si="30"/>
        <v>1900</v>
      </c>
      <c r="D558">
        <f>IF(OR(C558=1900,$D$506=0),0,VLOOKUP(A558,'Estados Financieros'!$A$18:$H$458,6,0))</f>
        <v>0</v>
      </c>
      <c r="E558" t="str">
        <f t="shared" si="28"/>
        <v>0,000</v>
      </c>
    </row>
    <row r="559" spans="1:5">
      <c r="A559">
        <v>272500</v>
      </c>
      <c r="B559" t="str">
        <f t="shared" si="29"/>
        <v/>
      </c>
      <c r="C559">
        <f t="shared" si="30"/>
        <v>1900</v>
      </c>
      <c r="D559">
        <f>IF(OR(C559=1900,$D$506=0),0,VLOOKUP(A559,'Estados Financieros'!$A$18:$H$458,6,0))</f>
        <v>0</v>
      </c>
      <c r="E559" t="str">
        <f t="shared" si="28"/>
        <v>0,000</v>
      </c>
    </row>
    <row r="560" spans="1:5">
      <c r="A560">
        <v>279500</v>
      </c>
      <c r="B560" t="str">
        <f t="shared" si="29"/>
        <v/>
      </c>
      <c r="C560">
        <f t="shared" si="30"/>
        <v>1900</v>
      </c>
      <c r="D560">
        <f>IF(OR(C560=1900,$D$506=0),0,VLOOKUP(A560,'Estados Financieros'!$A$18:$H$458,6,0))</f>
        <v>0</v>
      </c>
      <c r="E560" t="str">
        <f t="shared" si="28"/>
        <v>0,000</v>
      </c>
    </row>
    <row r="561" spans="1:5">
      <c r="A561">
        <v>2107</v>
      </c>
      <c r="B561" t="str">
        <f t="shared" si="29"/>
        <v/>
      </c>
      <c r="C561">
        <f t="shared" si="30"/>
        <v>1900</v>
      </c>
      <c r="D561">
        <f>IF(OR(C561=1900,$D$506=0),0,VLOOKUP(A561,'Estados Financieros'!$A$18:$H$458,6,0))</f>
        <v>0</v>
      </c>
      <c r="E561" t="str">
        <f t="shared" si="28"/>
        <v>0,000</v>
      </c>
    </row>
    <row r="562" spans="1:5">
      <c r="A562">
        <v>281000</v>
      </c>
      <c r="B562" t="str">
        <f t="shared" si="29"/>
        <v/>
      </c>
      <c r="C562">
        <f t="shared" si="30"/>
        <v>1900</v>
      </c>
      <c r="D562">
        <f>IF(OR(C562=1900,$D$506=0),0,VLOOKUP(A562,'Estados Financieros'!$A$18:$H$458,6,0))</f>
        <v>0</v>
      </c>
      <c r="E562" t="str">
        <f t="shared" si="28"/>
        <v>0,000</v>
      </c>
    </row>
    <row r="563" spans="1:5">
      <c r="A563">
        <v>282000</v>
      </c>
      <c r="B563" t="str">
        <f t="shared" si="29"/>
        <v/>
      </c>
      <c r="C563">
        <f t="shared" si="30"/>
        <v>1900</v>
      </c>
      <c r="D563">
        <f>IF(OR(C563=1900,$D$506=0),0,VLOOKUP(A563,'Estados Financieros'!$A$18:$H$458,6,0))</f>
        <v>0</v>
      </c>
      <c r="E563" t="str">
        <f t="shared" si="28"/>
        <v>0,000</v>
      </c>
    </row>
    <row r="564" spans="1:5">
      <c r="A564">
        <v>282500</v>
      </c>
      <c r="B564" t="str">
        <f t="shared" si="29"/>
        <v/>
      </c>
      <c r="C564">
        <f t="shared" si="30"/>
        <v>1900</v>
      </c>
      <c r="D564">
        <f>IF(OR(C564=1900,$D$506=0),0,VLOOKUP(A564,'Estados Financieros'!$A$18:$H$458,6,0))</f>
        <v>0</v>
      </c>
      <c r="E564" t="str">
        <f t="shared" si="28"/>
        <v>0,000</v>
      </c>
    </row>
    <row r="565" spans="1:5">
      <c r="A565">
        <v>284000</v>
      </c>
      <c r="B565" t="str">
        <f t="shared" si="29"/>
        <v/>
      </c>
      <c r="C565">
        <f t="shared" si="30"/>
        <v>1900</v>
      </c>
      <c r="D565">
        <f>IF(OR(C565=1900,$D$506=0),0,VLOOKUP(A565,'Estados Financieros'!$A$18:$H$458,6,0))</f>
        <v>0</v>
      </c>
      <c r="E565" t="str">
        <f t="shared" si="28"/>
        <v>0,000</v>
      </c>
    </row>
    <row r="566" spans="1:5">
      <c r="A566">
        <v>289500</v>
      </c>
      <c r="B566" t="str">
        <f t="shared" si="29"/>
        <v/>
      </c>
      <c r="C566">
        <f t="shared" si="30"/>
        <v>1900</v>
      </c>
      <c r="D566">
        <f>IF(OR(C566=1900,$D$506=0),0,VLOOKUP(A566,'Estados Financieros'!$A$18:$H$458,6,0))</f>
        <v>0</v>
      </c>
      <c r="E566" t="str">
        <f t="shared" si="28"/>
        <v>0,000</v>
      </c>
    </row>
    <row r="567" spans="1:5">
      <c r="A567">
        <v>2109</v>
      </c>
      <c r="B567" t="str">
        <f t="shared" si="29"/>
        <v/>
      </c>
      <c r="C567">
        <f t="shared" si="30"/>
        <v>1900</v>
      </c>
      <c r="D567">
        <f>IF(OR(C567=1900,$D$506=0),0,VLOOKUP(A567,'Estados Financieros'!$A$18:$H$458,6,0))</f>
        <v>0</v>
      </c>
      <c r="E567" t="str">
        <f t="shared" si="28"/>
        <v>0,000</v>
      </c>
    </row>
    <row r="568" spans="1:5">
      <c r="A568">
        <v>21</v>
      </c>
      <c r="B568" t="str">
        <f t="shared" si="29"/>
        <v/>
      </c>
      <c r="C568">
        <f t="shared" si="30"/>
        <v>1900</v>
      </c>
      <c r="D568">
        <f>IF(OR(C568=1900,$D$506=0),0,VLOOKUP(A568,'Estados Financieros'!$A$18:$H$458,6,0))</f>
        <v>0</v>
      </c>
      <c r="E568" t="str">
        <f t="shared" si="28"/>
        <v>0,000</v>
      </c>
    </row>
    <row r="569" spans="1:5">
      <c r="A569">
        <v>210501</v>
      </c>
      <c r="B569" t="str">
        <f t="shared" si="29"/>
        <v/>
      </c>
      <c r="C569">
        <f t="shared" si="30"/>
        <v>1900</v>
      </c>
      <c r="D569">
        <f>IF(OR(C569=1900,$D$506=0),0,VLOOKUP(A569,'Estados Financieros'!$A$18:$H$458,6,0))</f>
        <v>0</v>
      </c>
      <c r="E569" t="str">
        <f t="shared" si="28"/>
        <v>0,000</v>
      </c>
    </row>
    <row r="570" spans="1:5">
      <c r="A570">
        <v>211001</v>
      </c>
      <c r="B570" t="str">
        <f t="shared" si="29"/>
        <v/>
      </c>
      <c r="C570">
        <f t="shared" si="30"/>
        <v>1900</v>
      </c>
      <c r="D570">
        <f>IF(OR(C570=1900,$D$506=0),0,VLOOKUP(A570,'Estados Financieros'!$A$18:$H$458,6,0))</f>
        <v>0</v>
      </c>
      <c r="E570" t="str">
        <f t="shared" si="28"/>
        <v>0,000</v>
      </c>
    </row>
    <row r="571" spans="1:5">
      <c r="A571">
        <v>2201</v>
      </c>
      <c r="B571" t="str">
        <f t="shared" si="29"/>
        <v/>
      </c>
      <c r="C571">
        <f t="shared" si="30"/>
        <v>1900</v>
      </c>
      <c r="D571">
        <f>IF(OR(C571=1900,$D$506=0),0,VLOOKUP(A571,'Estados Financieros'!$A$18:$H$458,6,0))</f>
        <v>0</v>
      </c>
      <c r="E571" t="str">
        <f t="shared" si="28"/>
        <v>0,000</v>
      </c>
    </row>
    <row r="572" spans="1:5">
      <c r="A572">
        <v>220501</v>
      </c>
      <c r="B572" t="str">
        <f t="shared" si="29"/>
        <v/>
      </c>
      <c r="C572">
        <f t="shared" si="30"/>
        <v>1900</v>
      </c>
      <c r="D572">
        <f>IF(OR(C572=1900,$D$506=0),0,VLOOKUP(A572,'Estados Financieros'!$A$18:$H$458,6,0))</f>
        <v>0</v>
      </c>
      <c r="E572" t="str">
        <f t="shared" si="28"/>
        <v>0,000</v>
      </c>
    </row>
    <row r="573" spans="1:5">
      <c r="A573">
        <v>221001</v>
      </c>
      <c r="B573" t="str">
        <f t="shared" si="29"/>
        <v/>
      </c>
      <c r="C573">
        <f t="shared" si="30"/>
        <v>1900</v>
      </c>
      <c r="D573">
        <f>IF(OR(C573=1900,$D$506=0),0,VLOOKUP(A573,'Estados Financieros'!$A$18:$H$458,6,0))</f>
        <v>0</v>
      </c>
      <c r="E573" t="str">
        <f t="shared" si="28"/>
        <v>0,000</v>
      </c>
    </row>
    <row r="574" spans="1:5">
      <c r="A574">
        <v>230501</v>
      </c>
      <c r="B574" t="str">
        <f t="shared" si="29"/>
        <v/>
      </c>
      <c r="C574">
        <f t="shared" si="30"/>
        <v>1900</v>
      </c>
      <c r="D574">
        <f>IF(OR(C574=1900,$D$506=0),0,VLOOKUP(A574,'Estados Financieros'!$A$18:$H$458,6,0))</f>
        <v>0</v>
      </c>
      <c r="E574" t="str">
        <f t="shared" si="28"/>
        <v>0,000</v>
      </c>
    </row>
    <row r="575" spans="1:5">
      <c r="A575">
        <v>231001</v>
      </c>
      <c r="B575" t="str">
        <f t="shared" si="29"/>
        <v/>
      </c>
      <c r="C575">
        <f t="shared" si="30"/>
        <v>1900</v>
      </c>
      <c r="D575">
        <f>IF(OR(C575=1900,$D$506=0),0,VLOOKUP(A575,'Estados Financieros'!$A$18:$H$458,6,0))</f>
        <v>0</v>
      </c>
      <c r="E575" t="str">
        <f t="shared" si="28"/>
        <v>0,000</v>
      </c>
    </row>
    <row r="576" spans="1:5">
      <c r="A576">
        <v>231501</v>
      </c>
      <c r="B576" t="str">
        <f t="shared" si="29"/>
        <v/>
      </c>
      <c r="C576">
        <f t="shared" si="30"/>
        <v>1900</v>
      </c>
      <c r="D576">
        <f>IF(OR(C576=1900,$D$506=0),0,VLOOKUP(A576,'Estados Financieros'!$A$18:$H$458,6,0))</f>
        <v>0</v>
      </c>
      <c r="E576" t="str">
        <f t="shared" si="28"/>
        <v>0,000</v>
      </c>
    </row>
    <row r="577" spans="1:5">
      <c r="A577">
        <v>232001</v>
      </c>
      <c r="B577" t="str">
        <f t="shared" si="29"/>
        <v/>
      </c>
      <c r="C577">
        <f t="shared" si="30"/>
        <v>1900</v>
      </c>
      <c r="D577">
        <f>IF(OR(C577=1900,$D$506=0),0,VLOOKUP(A577,'Estados Financieros'!$A$18:$H$458,6,0))</f>
        <v>0</v>
      </c>
      <c r="E577" t="str">
        <f t="shared" si="28"/>
        <v>0,000</v>
      </c>
    </row>
    <row r="578" spans="1:5">
      <c r="A578">
        <v>233501</v>
      </c>
      <c r="B578" t="str">
        <f t="shared" si="29"/>
        <v/>
      </c>
      <c r="C578">
        <f t="shared" si="30"/>
        <v>1900</v>
      </c>
      <c r="D578">
        <f>IF(OR(C578=1900,$D$506=0),0,VLOOKUP(A578,'Estados Financieros'!$A$18:$H$458,6,0))</f>
        <v>0</v>
      </c>
      <c r="E578" t="str">
        <f t="shared" ref="E578:E641" si="31">IFERROR(FIXED(D578,3,1),0)</f>
        <v>0,000</v>
      </c>
    </row>
    <row r="579" spans="1:5">
      <c r="A579">
        <v>234501</v>
      </c>
      <c r="B579" t="str">
        <f t="shared" si="29"/>
        <v/>
      </c>
      <c r="C579">
        <f t="shared" si="30"/>
        <v>1900</v>
      </c>
      <c r="D579">
        <f>IF(OR(C579=1900,$D$506=0),0,VLOOKUP(A579,'Estados Financieros'!$A$18:$H$458,6,0))</f>
        <v>0</v>
      </c>
      <c r="E579" t="str">
        <f t="shared" si="31"/>
        <v>0,000</v>
      </c>
    </row>
    <row r="580" spans="1:5">
      <c r="A580">
        <v>235001</v>
      </c>
      <c r="B580" t="str">
        <f t="shared" si="29"/>
        <v/>
      </c>
      <c r="C580">
        <f t="shared" si="30"/>
        <v>1900</v>
      </c>
      <c r="D580">
        <f>IF(OR(C580=1900,$D$506=0),0,VLOOKUP(A580,'Estados Financieros'!$A$18:$H$458,6,0))</f>
        <v>0</v>
      </c>
      <c r="E580" t="str">
        <f t="shared" si="31"/>
        <v>0,000</v>
      </c>
    </row>
    <row r="581" spans="1:5">
      <c r="A581">
        <v>235501</v>
      </c>
      <c r="B581" t="str">
        <f t="shared" si="29"/>
        <v/>
      </c>
      <c r="C581">
        <f t="shared" si="30"/>
        <v>1900</v>
      </c>
      <c r="D581">
        <f>IF(OR(C581=1900,$D$506=0),0,VLOOKUP(A581,'Estados Financieros'!$A$18:$H$458,6,0))</f>
        <v>0</v>
      </c>
      <c r="E581" t="str">
        <f t="shared" si="31"/>
        <v>0,000</v>
      </c>
    </row>
    <row r="582" spans="1:5">
      <c r="A582">
        <v>236001</v>
      </c>
      <c r="B582" t="str">
        <f t="shared" si="29"/>
        <v/>
      </c>
      <c r="C582">
        <f t="shared" si="30"/>
        <v>1900</v>
      </c>
      <c r="D582">
        <f>IF(OR(C582=1900,$D$506=0),0,VLOOKUP(A582,'Estados Financieros'!$A$18:$H$458,6,0))</f>
        <v>0</v>
      </c>
      <c r="E582" t="str">
        <f t="shared" si="31"/>
        <v>0,000</v>
      </c>
    </row>
    <row r="583" spans="1:5">
      <c r="A583">
        <v>236501</v>
      </c>
      <c r="B583" t="str">
        <f t="shared" si="29"/>
        <v/>
      </c>
      <c r="C583">
        <f t="shared" si="30"/>
        <v>1900</v>
      </c>
      <c r="D583">
        <f>IF(OR(C583=1900,$D$506=0),0,VLOOKUP(A583,'Estados Financieros'!$A$18:$H$458,6,0))</f>
        <v>0</v>
      </c>
      <c r="E583" t="str">
        <f t="shared" si="31"/>
        <v>0,000</v>
      </c>
    </row>
    <row r="584" spans="1:5">
      <c r="A584">
        <v>236701</v>
      </c>
      <c r="B584" t="str">
        <f t="shared" si="29"/>
        <v/>
      </c>
      <c r="C584">
        <f t="shared" si="30"/>
        <v>1900</v>
      </c>
      <c r="D584">
        <f>IF(OR(C584=1900,$D$506=0),0,VLOOKUP(A584,'Estados Financieros'!$A$18:$H$458,6,0))</f>
        <v>0</v>
      </c>
      <c r="E584" t="str">
        <f t="shared" si="31"/>
        <v>0,000</v>
      </c>
    </row>
    <row r="585" spans="1:5">
      <c r="A585">
        <v>237001</v>
      </c>
      <c r="B585" t="str">
        <f t="shared" si="29"/>
        <v/>
      </c>
      <c r="C585">
        <f t="shared" si="30"/>
        <v>1900</v>
      </c>
      <c r="D585">
        <f>IF(OR(C585=1900,$D$506=0),0,VLOOKUP(A585,'Estados Financieros'!$A$18:$H$458,6,0))</f>
        <v>0</v>
      </c>
      <c r="E585" t="str">
        <f t="shared" si="31"/>
        <v>0,000</v>
      </c>
    </row>
    <row r="586" spans="1:5">
      <c r="A586">
        <v>238001</v>
      </c>
      <c r="B586" t="str">
        <f t="shared" si="29"/>
        <v/>
      </c>
      <c r="C586">
        <f t="shared" si="30"/>
        <v>1900</v>
      </c>
      <c r="D586">
        <f>IF(OR(C586=1900,$D$506=0),0,VLOOKUP(A586,'Estados Financieros'!$A$18:$H$458,6,0))</f>
        <v>0</v>
      </c>
      <c r="E586" t="str">
        <f t="shared" si="31"/>
        <v>0,000</v>
      </c>
    </row>
    <row r="587" spans="1:5">
      <c r="A587">
        <v>2203</v>
      </c>
      <c r="B587" t="str">
        <f t="shared" si="29"/>
        <v/>
      </c>
      <c r="C587">
        <f t="shared" si="30"/>
        <v>1900</v>
      </c>
      <c r="D587">
        <f>IF(OR(C587=1900,$D$506=0),0,VLOOKUP(A587,'Estados Financieros'!$A$18:$H$458,6,0))</f>
        <v>0</v>
      </c>
      <c r="E587" t="str">
        <f t="shared" si="31"/>
        <v>0,000</v>
      </c>
    </row>
    <row r="588" spans="1:5">
      <c r="A588">
        <v>240401</v>
      </c>
      <c r="B588" t="str">
        <f t="shared" si="29"/>
        <v/>
      </c>
      <c r="C588">
        <f t="shared" si="30"/>
        <v>1900</v>
      </c>
      <c r="D588">
        <f>IF(OR(C588=1900,$D$506=0),0,VLOOKUP(A588,'Estados Financieros'!$A$18:$H$458,6,0))</f>
        <v>0</v>
      </c>
      <c r="E588" t="str">
        <f t="shared" si="31"/>
        <v>0,000</v>
      </c>
    </row>
    <row r="589" spans="1:5">
      <c r="A589">
        <v>240801</v>
      </c>
      <c r="B589" t="str">
        <f t="shared" si="29"/>
        <v/>
      </c>
      <c r="C589">
        <f t="shared" si="30"/>
        <v>1900</v>
      </c>
      <c r="D589">
        <f>IF(OR(C589=1900,$D$506=0),0,VLOOKUP(A589,'Estados Financieros'!$A$18:$H$458,6,0))</f>
        <v>0</v>
      </c>
      <c r="E589" t="str">
        <f t="shared" si="31"/>
        <v>0,000</v>
      </c>
    </row>
    <row r="590" spans="1:5">
      <c r="A590">
        <v>241201</v>
      </c>
      <c r="B590" t="str">
        <f t="shared" si="29"/>
        <v/>
      </c>
      <c r="C590">
        <f t="shared" si="30"/>
        <v>1900</v>
      </c>
      <c r="D590">
        <f>IF(OR(C590=1900,$D$506=0),0,VLOOKUP(A590,'Estados Financieros'!$A$18:$H$458,6,0))</f>
        <v>0</v>
      </c>
      <c r="E590" t="str">
        <f t="shared" si="31"/>
        <v>0,000</v>
      </c>
    </row>
    <row r="591" spans="1:5">
      <c r="A591">
        <v>249501</v>
      </c>
      <c r="B591" t="str">
        <f t="shared" si="29"/>
        <v/>
      </c>
      <c r="C591">
        <f t="shared" si="30"/>
        <v>1900</v>
      </c>
      <c r="D591">
        <f>IF(OR(C591=1900,$D$506=0),0,VLOOKUP(A591,'Estados Financieros'!$A$18:$H$458,6,0))</f>
        <v>0</v>
      </c>
      <c r="E591" t="str">
        <f t="shared" si="31"/>
        <v>0,000</v>
      </c>
    </row>
    <row r="592" spans="1:5">
      <c r="A592">
        <v>240001</v>
      </c>
      <c r="B592" t="str">
        <f t="shared" si="29"/>
        <v/>
      </c>
      <c r="C592">
        <f t="shared" si="30"/>
        <v>1900</v>
      </c>
      <c r="D592">
        <f>IF(OR(C592=1900,$D$506=0),0,VLOOKUP(A592,'Estados Financieros'!$A$18:$H$458,6,0))</f>
        <v>0</v>
      </c>
      <c r="E592" t="str">
        <f t="shared" si="31"/>
        <v>0,000</v>
      </c>
    </row>
    <row r="593" spans="1:5">
      <c r="A593">
        <v>250501</v>
      </c>
      <c r="B593" t="str">
        <f t="shared" si="29"/>
        <v/>
      </c>
      <c r="C593">
        <f t="shared" si="30"/>
        <v>1900</v>
      </c>
      <c r="D593">
        <f>IF(OR(C593=1900,$D$506=0),0,VLOOKUP(A593,'Estados Financieros'!$A$18:$H$458,6,0))</f>
        <v>0</v>
      </c>
      <c r="E593" t="str">
        <f t="shared" si="31"/>
        <v>0,000</v>
      </c>
    </row>
    <row r="594" spans="1:5">
      <c r="A594">
        <v>251001</v>
      </c>
      <c r="B594" t="str">
        <f t="shared" si="29"/>
        <v/>
      </c>
      <c r="C594">
        <f t="shared" si="30"/>
        <v>1900</v>
      </c>
      <c r="D594">
        <f>IF(OR(C594=1900,$D$506=0),0,VLOOKUP(A594,'Estados Financieros'!$A$18:$H$458,6,0))</f>
        <v>0</v>
      </c>
      <c r="E594" t="str">
        <f t="shared" si="31"/>
        <v>0,000</v>
      </c>
    </row>
    <row r="595" spans="1:5">
      <c r="A595">
        <v>251501</v>
      </c>
      <c r="B595" t="str">
        <f t="shared" si="29"/>
        <v/>
      </c>
      <c r="C595">
        <f t="shared" si="30"/>
        <v>1900</v>
      </c>
      <c r="D595">
        <f>IF(OR(C595=1900,$D$506=0),0,VLOOKUP(A595,'Estados Financieros'!$A$18:$H$458,6,0))</f>
        <v>0</v>
      </c>
      <c r="E595" t="str">
        <f t="shared" si="31"/>
        <v>0,000</v>
      </c>
    </row>
    <row r="596" spans="1:5">
      <c r="A596">
        <v>252501</v>
      </c>
      <c r="B596" t="str">
        <f t="shared" si="29"/>
        <v/>
      </c>
      <c r="C596">
        <f t="shared" si="30"/>
        <v>1900</v>
      </c>
      <c r="D596">
        <f>IF(OR(C596=1900,$D$506=0),0,VLOOKUP(A596,'Estados Financieros'!$A$18:$H$458,6,0))</f>
        <v>0</v>
      </c>
      <c r="E596" t="str">
        <f t="shared" si="31"/>
        <v>0,000</v>
      </c>
    </row>
    <row r="597" spans="1:5">
      <c r="A597">
        <v>253001</v>
      </c>
      <c r="B597" t="str">
        <f t="shared" si="29"/>
        <v/>
      </c>
      <c r="C597">
        <f t="shared" si="30"/>
        <v>1900</v>
      </c>
      <c r="D597">
        <f>IF(OR(C597=1900,$D$506=0),0,VLOOKUP(A597,'Estados Financieros'!$A$18:$H$458,6,0))</f>
        <v>0</v>
      </c>
      <c r="E597" t="str">
        <f t="shared" si="31"/>
        <v>0,000</v>
      </c>
    </row>
    <row r="598" spans="1:5">
      <c r="A598">
        <v>259501</v>
      </c>
      <c r="B598" t="str">
        <f t="shared" si="29"/>
        <v/>
      </c>
      <c r="C598">
        <f t="shared" si="30"/>
        <v>1900</v>
      </c>
      <c r="D598">
        <f>IF(OR(C598=1900,$D$506=0),0,VLOOKUP(A598,'Estados Financieros'!$A$18:$H$458,6,0))</f>
        <v>0</v>
      </c>
      <c r="E598" t="str">
        <f t="shared" si="31"/>
        <v>0,000</v>
      </c>
    </row>
    <row r="599" spans="1:5">
      <c r="A599">
        <v>2204</v>
      </c>
      <c r="B599" t="str">
        <f t="shared" si="29"/>
        <v/>
      </c>
      <c r="C599">
        <f t="shared" si="30"/>
        <v>1900</v>
      </c>
      <c r="D599">
        <f>IF(OR(C599=1900,$D$506=0),0,VLOOKUP(A599,'Estados Financieros'!$A$18:$H$458,6,0))</f>
        <v>0</v>
      </c>
      <c r="E599" t="str">
        <f t="shared" si="31"/>
        <v>0,000</v>
      </c>
    </row>
    <row r="600" spans="1:5">
      <c r="A600">
        <v>260501</v>
      </c>
      <c r="B600" t="str">
        <f t="shared" si="29"/>
        <v/>
      </c>
      <c r="C600">
        <f t="shared" si="30"/>
        <v>1900</v>
      </c>
      <c r="D600">
        <f>IF(OR(C600=1900,$D$506=0),0,VLOOKUP(A600,'Estados Financieros'!$A$18:$H$458,6,0))</f>
        <v>0</v>
      </c>
      <c r="E600" t="str">
        <f t="shared" si="31"/>
        <v>0,000</v>
      </c>
    </row>
    <row r="601" spans="1:5">
      <c r="A601">
        <v>261001</v>
      </c>
      <c r="B601" t="str">
        <f t="shared" si="29"/>
        <v/>
      </c>
      <c r="C601">
        <f t="shared" si="30"/>
        <v>1900</v>
      </c>
      <c r="D601">
        <f>IF(OR(C601=1900,$D$506=0),0,VLOOKUP(A601,'Estados Financieros'!$A$18:$H$458,6,0))</f>
        <v>0</v>
      </c>
      <c r="E601" t="str">
        <f t="shared" si="31"/>
        <v>0,000</v>
      </c>
    </row>
    <row r="602" spans="1:5">
      <c r="A602">
        <v>261501</v>
      </c>
      <c r="B602" t="str">
        <f t="shared" si="29"/>
        <v/>
      </c>
      <c r="C602">
        <f t="shared" si="30"/>
        <v>1900</v>
      </c>
      <c r="D602">
        <f>IF(OR(C602=1900,$D$506=0),0,VLOOKUP(A602,'Estados Financieros'!$A$18:$H$458,6,0))</f>
        <v>0</v>
      </c>
      <c r="E602" t="str">
        <f t="shared" si="31"/>
        <v>0,000</v>
      </c>
    </row>
    <row r="603" spans="1:5">
      <c r="A603">
        <v>262001</v>
      </c>
      <c r="B603" t="str">
        <f t="shared" si="29"/>
        <v/>
      </c>
      <c r="C603">
        <f t="shared" si="30"/>
        <v>1900</v>
      </c>
      <c r="D603">
        <f>IF(OR(C603=1900,$D$506=0),0,VLOOKUP(A603,'Estados Financieros'!$A$18:$H$458,6,0))</f>
        <v>0</v>
      </c>
      <c r="E603" t="str">
        <f t="shared" si="31"/>
        <v>0,000</v>
      </c>
    </row>
    <row r="604" spans="1:5">
      <c r="A604">
        <v>262501</v>
      </c>
      <c r="B604" t="str">
        <f t="shared" si="29"/>
        <v/>
      </c>
      <c r="C604">
        <f t="shared" si="30"/>
        <v>1900</v>
      </c>
      <c r="D604">
        <f>IF(OR(C604=1900,$D$506=0),0,VLOOKUP(A604,'Estados Financieros'!$A$18:$H$458,6,0))</f>
        <v>0</v>
      </c>
      <c r="E604" t="str">
        <f t="shared" si="31"/>
        <v>0,000</v>
      </c>
    </row>
    <row r="605" spans="1:5">
      <c r="A605">
        <v>263001</v>
      </c>
      <c r="B605" t="str">
        <f t="shared" si="29"/>
        <v/>
      </c>
      <c r="C605">
        <f t="shared" si="30"/>
        <v>1900</v>
      </c>
      <c r="D605">
        <f>IF(OR(C605=1900,$D$506=0),0,VLOOKUP(A605,'Estados Financieros'!$A$18:$H$458,6,0))</f>
        <v>0</v>
      </c>
      <c r="E605" t="str">
        <f t="shared" si="31"/>
        <v>0,000</v>
      </c>
    </row>
    <row r="606" spans="1:5">
      <c r="A606">
        <v>263501</v>
      </c>
      <c r="B606" t="str">
        <f t="shared" si="29"/>
        <v/>
      </c>
      <c r="C606">
        <f t="shared" si="30"/>
        <v>1900</v>
      </c>
      <c r="D606">
        <f>IF(OR(C606=1900,$D$506=0),0,VLOOKUP(A606,'Estados Financieros'!$A$18:$H$458,6,0))</f>
        <v>0</v>
      </c>
      <c r="E606" t="str">
        <f t="shared" si="31"/>
        <v>0,000</v>
      </c>
    </row>
    <row r="607" spans="1:5">
      <c r="A607">
        <v>264001</v>
      </c>
      <c r="B607" t="str">
        <f t="shared" si="29"/>
        <v/>
      </c>
      <c r="C607">
        <f t="shared" si="30"/>
        <v>1900</v>
      </c>
      <c r="D607">
        <f>IF(OR(C607=1900,$D$506=0),0,VLOOKUP(A607,'Estados Financieros'!$A$18:$H$458,6,0))</f>
        <v>0</v>
      </c>
      <c r="E607" t="str">
        <f t="shared" si="31"/>
        <v>0,000</v>
      </c>
    </row>
    <row r="608" spans="1:5">
      <c r="A608">
        <v>269501</v>
      </c>
      <c r="B608" t="str">
        <f t="shared" si="29"/>
        <v/>
      </c>
      <c r="C608">
        <f t="shared" si="30"/>
        <v>1900</v>
      </c>
      <c r="D608">
        <f>IF(OR(C608=1900,$D$506=0),0,VLOOKUP(A608,'Estados Financieros'!$A$18:$H$458,6,0))</f>
        <v>0</v>
      </c>
      <c r="E608" t="str">
        <f t="shared" si="31"/>
        <v>0,000</v>
      </c>
    </row>
    <row r="609" spans="1:5">
      <c r="A609">
        <v>2206</v>
      </c>
      <c r="B609" t="str">
        <f t="shared" si="29"/>
        <v/>
      </c>
      <c r="C609">
        <f t="shared" si="30"/>
        <v>1900</v>
      </c>
      <c r="D609">
        <f>IF(OR(C609=1900,$D$506=0),0,VLOOKUP(A609,'Estados Financieros'!$A$18:$H$458,6,0))</f>
        <v>0</v>
      </c>
      <c r="E609" t="str">
        <f t="shared" si="31"/>
        <v>0,000</v>
      </c>
    </row>
    <row r="610" spans="1:5">
      <c r="A610">
        <v>270501</v>
      </c>
      <c r="B610" t="str">
        <f t="shared" si="29"/>
        <v/>
      </c>
      <c r="C610">
        <f t="shared" si="30"/>
        <v>1900</v>
      </c>
      <c r="D610">
        <f>IF(OR(C610=1900,$D$506=0),0,VLOOKUP(A610,'Estados Financieros'!$A$18:$H$458,6,0))</f>
        <v>0</v>
      </c>
      <c r="E610" t="str">
        <f t="shared" si="31"/>
        <v>0,000</v>
      </c>
    </row>
    <row r="611" spans="1:5">
      <c r="A611">
        <v>271001</v>
      </c>
      <c r="B611" t="str">
        <f t="shared" si="29"/>
        <v/>
      </c>
      <c r="C611">
        <f t="shared" si="30"/>
        <v>1900</v>
      </c>
      <c r="D611">
        <f>IF(OR(C611=1900,$D$506=0),0,VLOOKUP(A611,'Estados Financieros'!$A$18:$H$458,6,0))</f>
        <v>0</v>
      </c>
      <c r="E611" t="str">
        <f t="shared" si="31"/>
        <v>0,000</v>
      </c>
    </row>
    <row r="612" spans="1:5">
      <c r="A612">
        <v>272001</v>
      </c>
      <c r="B612" t="str">
        <f t="shared" ref="B612:B659" si="32">+B611</f>
        <v/>
      </c>
      <c r="C612">
        <f t="shared" ref="C612:C659" si="33">+C611</f>
        <v>1900</v>
      </c>
      <c r="D612">
        <f>IF(OR(C612=1900,$D$506=0),0,VLOOKUP(A612,'Estados Financieros'!$A$18:$H$458,6,0))</f>
        <v>0</v>
      </c>
      <c r="E612" t="str">
        <f t="shared" si="31"/>
        <v>0,000</v>
      </c>
    </row>
    <row r="613" spans="1:5">
      <c r="A613">
        <v>272501</v>
      </c>
      <c r="B613" t="str">
        <f t="shared" si="32"/>
        <v/>
      </c>
      <c r="C613">
        <f t="shared" si="33"/>
        <v>1900</v>
      </c>
      <c r="D613">
        <f>IF(OR(C613=1900,$D$506=0),0,VLOOKUP(A613,'Estados Financieros'!$A$18:$H$458,6,0))</f>
        <v>0</v>
      </c>
      <c r="E613" t="str">
        <f t="shared" si="31"/>
        <v>0,000</v>
      </c>
    </row>
    <row r="614" spans="1:5">
      <c r="A614">
        <v>279501</v>
      </c>
      <c r="B614" t="str">
        <f t="shared" si="32"/>
        <v/>
      </c>
      <c r="C614">
        <f t="shared" si="33"/>
        <v>1900</v>
      </c>
      <c r="D614">
        <f>IF(OR(C614=1900,$D$506=0),0,VLOOKUP(A614,'Estados Financieros'!$A$18:$H$458,6,0))</f>
        <v>0</v>
      </c>
      <c r="E614" t="str">
        <f t="shared" si="31"/>
        <v>0,000</v>
      </c>
    </row>
    <row r="615" spans="1:5">
      <c r="A615">
        <v>2207</v>
      </c>
      <c r="B615" t="str">
        <f t="shared" si="32"/>
        <v/>
      </c>
      <c r="C615">
        <f t="shared" si="33"/>
        <v>1900</v>
      </c>
      <c r="D615">
        <f>IF(OR(C615=1900,$D$506=0),0,VLOOKUP(A615,'Estados Financieros'!$A$18:$H$458,6,0))</f>
        <v>0</v>
      </c>
      <c r="E615" t="str">
        <f t="shared" si="31"/>
        <v>0,000</v>
      </c>
    </row>
    <row r="616" spans="1:5">
      <c r="A616">
        <v>290501</v>
      </c>
      <c r="B616" t="str">
        <f t="shared" si="32"/>
        <v/>
      </c>
      <c r="C616">
        <f t="shared" si="33"/>
        <v>1900</v>
      </c>
      <c r="D616">
        <f>IF(OR(C616=1900,$D$506=0),0,VLOOKUP(A616,'Estados Financieros'!$A$18:$H$458,6,0))</f>
        <v>0</v>
      </c>
      <c r="E616" t="str">
        <f t="shared" si="31"/>
        <v>0,000</v>
      </c>
    </row>
    <row r="617" spans="1:5">
      <c r="A617">
        <v>291991</v>
      </c>
      <c r="B617" t="str">
        <f t="shared" si="32"/>
        <v/>
      </c>
      <c r="C617">
        <f t="shared" si="33"/>
        <v>1900</v>
      </c>
      <c r="D617">
        <f>IF(OR(C617=1900,$D$506=0),0,VLOOKUP(A617,'Estados Financieros'!$A$18:$H$458,6,0))</f>
        <v>0</v>
      </c>
      <c r="E617" t="str">
        <f t="shared" si="31"/>
        <v>0,000</v>
      </c>
    </row>
    <row r="618" spans="1:5">
      <c r="A618">
        <v>291501</v>
      </c>
      <c r="B618" t="str">
        <f t="shared" si="32"/>
        <v/>
      </c>
      <c r="C618">
        <f t="shared" si="33"/>
        <v>1900</v>
      </c>
      <c r="D618">
        <f>IF(OR(C618=1900,$D$506=0),0,VLOOKUP(A618,'Estados Financieros'!$A$18:$H$458,6,0))</f>
        <v>0</v>
      </c>
      <c r="E618" t="str">
        <f t="shared" si="31"/>
        <v>0,000</v>
      </c>
    </row>
    <row r="619" spans="1:5">
      <c r="A619">
        <v>292001</v>
      </c>
      <c r="B619" t="str">
        <f t="shared" si="32"/>
        <v/>
      </c>
      <c r="C619">
        <f t="shared" si="33"/>
        <v>1900</v>
      </c>
      <c r="D619">
        <f>IF(OR(C619=1900,$D$506=0),0,VLOOKUP(A619,'Estados Financieros'!$A$18:$H$458,6,0))</f>
        <v>0</v>
      </c>
      <c r="E619" t="str">
        <f t="shared" si="31"/>
        <v>0,000</v>
      </c>
    </row>
    <row r="620" spans="1:5">
      <c r="A620">
        <v>299501</v>
      </c>
      <c r="B620" t="str">
        <f t="shared" si="32"/>
        <v/>
      </c>
      <c r="C620">
        <f t="shared" si="33"/>
        <v>1900</v>
      </c>
      <c r="D620">
        <f>IF(OR(C620=1900,$D$506=0),0,VLOOKUP(A620,'Estados Financieros'!$A$18:$H$458,6,0))</f>
        <v>0</v>
      </c>
      <c r="E620" t="str">
        <f t="shared" si="31"/>
        <v>0,000</v>
      </c>
    </row>
    <row r="621" spans="1:5">
      <c r="A621">
        <v>2209</v>
      </c>
      <c r="B621" t="str">
        <f t="shared" si="32"/>
        <v/>
      </c>
      <c r="C621">
        <f t="shared" si="33"/>
        <v>1900</v>
      </c>
      <c r="D621">
        <f>IF(OR(C621=1900,$D$506=0),0,VLOOKUP(A621,'Estados Financieros'!$A$18:$H$458,6,0))</f>
        <v>0</v>
      </c>
      <c r="E621" t="str">
        <f t="shared" si="31"/>
        <v>0,000</v>
      </c>
    </row>
    <row r="622" spans="1:5">
      <c r="A622">
        <v>22</v>
      </c>
      <c r="B622" t="str">
        <f t="shared" si="32"/>
        <v/>
      </c>
      <c r="C622">
        <f t="shared" si="33"/>
        <v>1900</v>
      </c>
      <c r="D622">
        <f>IF(OR(C622=1900,$D$506=0),0,VLOOKUP(A622,'Estados Financieros'!$A$18:$H$458,6,0))</f>
        <v>0</v>
      </c>
      <c r="E622" t="str">
        <f t="shared" si="31"/>
        <v>0,000</v>
      </c>
    </row>
    <row r="623" spans="1:5">
      <c r="A623">
        <v>2</v>
      </c>
      <c r="B623" t="str">
        <f t="shared" si="32"/>
        <v/>
      </c>
      <c r="C623">
        <f t="shared" si="33"/>
        <v>1900</v>
      </c>
      <c r="D623">
        <f>IF(OR(C623=1900,$D$506=0),0,VLOOKUP(A623,'Estados Financieros'!$A$18:$H$458,6,0))</f>
        <v>0</v>
      </c>
      <c r="E623" t="str">
        <f t="shared" si="31"/>
        <v>0,000</v>
      </c>
    </row>
    <row r="624" spans="1:5">
      <c r="A624">
        <v>310500</v>
      </c>
      <c r="B624" t="str">
        <f t="shared" si="32"/>
        <v/>
      </c>
      <c r="C624">
        <f t="shared" si="33"/>
        <v>1900</v>
      </c>
      <c r="D624">
        <f>IF(OR(C624=1900,$D$506=0),0,VLOOKUP(A624,'Estados Financieros'!$A$18:$H$458,6,0))</f>
        <v>0</v>
      </c>
      <c r="E624" t="str">
        <f t="shared" si="31"/>
        <v>0,000</v>
      </c>
    </row>
    <row r="625" spans="1:5">
      <c r="A625">
        <v>311500</v>
      </c>
      <c r="B625" t="str">
        <f t="shared" si="32"/>
        <v/>
      </c>
      <c r="C625">
        <f t="shared" si="33"/>
        <v>1900</v>
      </c>
      <c r="D625">
        <f>IF(OR(C625=1900,$D$506=0),0,VLOOKUP(A625,'Estados Financieros'!$A$18:$H$458,6,0))</f>
        <v>0</v>
      </c>
      <c r="E625" t="str">
        <f t="shared" si="31"/>
        <v>0,000</v>
      </c>
    </row>
    <row r="626" spans="1:5">
      <c r="A626">
        <v>312000</v>
      </c>
      <c r="B626" t="str">
        <f t="shared" si="32"/>
        <v/>
      </c>
      <c r="C626">
        <f t="shared" si="33"/>
        <v>1900</v>
      </c>
      <c r="D626">
        <f>IF(OR(C626=1900,$D$506=0),0,VLOOKUP(A626,'Estados Financieros'!$A$18:$H$458,6,0))</f>
        <v>0</v>
      </c>
      <c r="E626" t="str">
        <f t="shared" si="31"/>
        <v>0,000</v>
      </c>
    </row>
    <row r="627" spans="1:5">
      <c r="A627">
        <v>312500</v>
      </c>
      <c r="B627" t="str">
        <f t="shared" si="32"/>
        <v/>
      </c>
      <c r="C627">
        <f t="shared" si="33"/>
        <v>1900</v>
      </c>
      <c r="D627">
        <f>IF(OR(C627=1900,$D$506=0),0,VLOOKUP(A627,'Estados Financieros'!$A$18:$H$458,6,0))</f>
        <v>0</v>
      </c>
      <c r="E627" t="str">
        <f t="shared" si="31"/>
        <v>0,000</v>
      </c>
    </row>
    <row r="628" spans="1:5">
      <c r="A628">
        <v>313000</v>
      </c>
      <c r="B628" t="str">
        <f t="shared" si="32"/>
        <v/>
      </c>
      <c r="C628">
        <f t="shared" si="33"/>
        <v>1900</v>
      </c>
      <c r="D628">
        <f>IF(OR(C628=1900,$D$506=0),0,VLOOKUP(A628,'Estados Financieros'!$A$18:$H$458,6,0))</f>
        <v>0</v>
      </c>
      <c r="E628" t="str">
        <f t="shared" si="31"/>
        <v>0,000</v>
      </c>
    </row>
    <row r="629" spans="1:5">
      <c r="A629">
        <v>313500</v>
      </c>
      <c r="B629" t="str">
        <f t="shared" si="32"/>
        <v/>
      </c>
      <c r="C629">
        <f t="shared" si="33"/>
        <v>1900</v>
      </c>
      <c r="D629">
        <f>IF(OR(C629=1900,$D$506=0),0,VLOOKUP(A629,'Estados Financieros'!$A$18:$H$458,6,0))</f>
        <v>0</v>
      </c>
      <c r="E629" t="str">
        <f t="shared" si="31"/>
        <v>0,000</v>
      </c>
    </row>
    <row r="630" spans="1:5">
      <c r="A630">
        <v>314000</v>
      </c>
      <c r="B630" t="str">
        <f t="shared" si="32"/>
        <v/>
      </c>
      <c r="C630">
        <f t="shared" si="33"/>
        <v>1900</v>
      </c>
      <c r="D630">
        <f>IF(OR(C630=1900,$D$506=0),0,VLOOKUP(A630,'Estados Financieros'!$A$18:$H$458,6,0))</f>
        <v>0</v>
      </c>
      <c r="E630" t="str">
        <f t="shared" si="31"/>
        <v>0,000</v>
      </c>
    </row>
    <row r="631" spans="1:5">
      <c r="A631">
        <v>31</v>
      </c>
      <c r="B631" t="str">
        <f t="shared" si="32"/>
        <v/>
      </c>
      <c r="C631">
        <f t="shared" si="33"/>
        <v>1900</v>
      </c>
      <c r="D631">
        <f>IF(OR(C631=1900,$D$506=0),0,VLOOKUP(A631,'Estados Financieros'!$A$18:$H$458,6,0))</f>
        <v>0</v>
      </c>
      <c r="E631" t="str">
        <f t="shared" si="31"/>
        <v>0,000</v>
      </c>
    </row>
    <row r="632" spans="1:5">
      <c r="A632">
        <v>320500</v>
      </c>
      <c r="B632" t="str">
        <f t="shared" si="32"/>
        <v/>
      </c>
      <c r="C632">
        <f t="shared" si="33"/>
        <v>1900</v>
      </c>
      <c r="D632">
        <f>IF(OR(C632=1900,$D$506=0),0,VLOOKUP(A632,'Estados Financieros'!$A$18:$H$458,6,0))</f>
        <v>0</v>
      </c>
      <c r="E632" t="str">
        <f t="shared" si="31"/>
        <v>0,000</v>
      </c>
    </row>
    <row r="633" spans="1:5">
      <c r="A633">
        <v>321000</v>
      </c>
      <c r="B633" t="str">
        <f t="shared" si="32"/>
        <v/>
      </c>
      <c r="C633">
        <f t="shared" si="33"/>
        <v>1900</v>
      </c>
      <c r="D633">
        <f>IF(OR(C633=1900,$D$506=0),0,VLOOKUP(A633,'Estados Financieros'!$A$18:$H$458,6,0))</f>
        <v>0</v>
      </c>
      <c r="E633" t="str">
        <f t="shared" si="31"/>
        <v>0,000</v>
      </c>
    </row>
    <row r="634" spans="1:5">
      <c r="A634">
        <v>321500</v>
      </c>
      <c r="B634" t="str">
        <f t="shared" si="32"/>
        <v/>
      </c>
      <c r="C634">
        <f t="shared" si="33"/>
        <v>1900</v>
      </c>
      <c r="D634">
        <f>IF(OR(C634=1900,$D$506=0),0,VLOOKUP(A634,'Estados Financieros'!$A$18:$H$458,6,0))</f>
        <v>0</v>
      </c>
      <c r="E634" t="str">
        <f t="shared" si="31"/>
        <v>0,000</v>
      </c>
    </row>
    <row r="635" spans="1:5">
      <c r="A635">
        <v>322000</v>
      </c>
      <c r="B635" t="str">
        <f t="shared" si="32"/>
        <v/>
      </c>
      <c r="C635">
        <f t="shared" si="33"/>
        <v>1900</v>
      </c>
      <c r="D635">
        <f>IF(OR(C635=1900,$D$506=0),0,VLOOKUP(A635,'Estados Financieros'!$A$18:$H$458,6,0))</f>
        <v>0</v>
      </c>
      <c r="E635" t="str">
        <f t="shared" si="31"/>
        <v>0,000</v>
      </c>
    </row>
    <row r="636" spans="1:5">
      <c r="A636">
        <v>322500</v>
      </c>
      <c r="B636" t="str">
        <f t="shared" si="32"/>
        <v/>
      </c>
      <c r="C636">
        <f t="shared" si="33"/>
        <v>1900</v>
      </c>
      <c r="D636">
        <f>IF(OR(C636=1900,$D$506=0),0,VLOOKUP(A636,'Estados Financieros'!$A$18:$H$458,6,0))</f>
        <v>0</v>
      </c>
      <c r="E636" t="str">
        <f t="shared" si="31"/>
        <v>0,000</v>
      </c>
    </row>
    <row r="637" spans="1:5">
      <c r="A637">
        <v>32</v>
      </c>
      <c r="B637" t="str">
        <f t="shared" si="32"/>
        <v/>
      </c>
      <c r="C637">
        <f t="shared" si="33"/>
        <v>1900</v>
      </c>
      <c r="D637">
        <f>IF(OR(C637=1900,$D$506=0),0,VLOOKUP(A637,'Estados Financieros'!$A$18:$H$458,6,0))</f>
        <v>0</v>
      </c>
      <c r="E637" t="str">
        <f t="shared" si="31"/>
        <v>0,000</v>
      </c>
    </row>
    <row r="638" spans="1:5">
      <c r="A638">
        <v>330500</v>
      </c>
      <c r="B638" t="str">
        <f t="shared" si="32"/>
        <v/>
      </c>
      <c r="C638">
        <f t="shared" si="33"/>
        <v>1900</v>
      </c>
      <c r="D638">
        <f>IF(OR(C638=1900,$D$506=0),0,VLOOKUP(A638,'Estados Financieros'!$A$18:$H$458,6,0))</f>
        <v>0</v>
      </c>
      <c r="E638" t="str">
        <f t="shared" si="31"/>
        <v>0,000</v>
      </c>
    </row>
    <row r="639" spans="1:5">
      <c r="A639">
        <v>331000</v>
      </c>
      <c r="B639" t="str">
        <f t="shared" si="32"/>
        <v/>
      </c>
      <c r="C639">
        <f t="shared" si="33"/>
        <v>1900</v>
      </c>
      <c r="D639">
        <f>IF(OR(C639=1900,$D$506=0),0,VLOOKUP(A639,'Estados Financieros'!$A$18:$H$458,6,0))</f>
        <v>0</v>
      </c>
      <c r="E639" t="str">
        <f t="shared" si="31"/>
        <v>0,000</v>
      </c>
    </row>
    <row r="640" spans="1:5">
      <c r="A640">
        <v>331500</v>
      </c>
      <c r="B640" t="str">
        <f t="shared" si="32"/>
        <v/>
      </c>
      <c r="C640">
        <f t="shared" si="33"/>
        <v>1900</v>
      </c>
      <c r="D640">
        <f>IF(OR(C640=1900,$D$506=0),0,VLOOKUP(A640,'Estados Financieros'!$A$18:$H$458,6,0))</f>
        <v>0</v>
      </c>
      <c r="E640" t="str">
        <f t="shared" si="31"/>
        <v>0,000</v>
      </c>
    </row>
    <row r="641" spans="1:5">
      <c r="A641">
        <v>33</v>
      </c>
      <c r="B641" t="str">
        <f t="shared" si="32"/>
        <v/>
      </c>
      <c r="C641">
        <f t="shared" si="33"/>
        <v>1900</v>
      </c>
      <c r="D641">
        <f>IF(OR(C641=1900,$D$506=0),0,VLOOKUP(A641,'Estados Financieros'!$A$18:$H$458,6,0))</f>
        <v>0</v>
      </c>
      <c r="E641" t="str">
        <f t="shared" si="31"/>
        <v>0,000</v>
      </c>
    </row>
    <row r="642" spans="1:5">
      <c r="A642">
        <v>340505</v>
      </c>
      <c r="B642" t="str">
        <f t="shared" si="32"/>
        <v/>
      </c>
      <c r="C642">
        <f t="shared" si="33"/>
        <v>1900</v>
      </c>
      <c r="D642">
        <f>IF(OR(C642=1900,$D$506=0),0,VLOOKUP(A642,'Estados Financieros'!$A$18:$H$458,6,0))</f>
        <v>0</v>
      </c>
      <c r="E642" t="str">
        <f t="shared" ref="E642:E705" si="34">IFERROR(FIXED(D642,3,1),0)</f>
        <v>0,000</v>
      </c>
    </row>
    <row r="643" spans="1:5">
      <c r="A643">
        <v>340515</v>
      </c>
      <c r="B643" t="str">
        <f t="shared" si="32"/>
        <v/>
      </c>
      <c r="C643">
        <f t="shared" si="33"/>
        <v>1900</v>
      </c>
      <c r="D643">
        <f>IF(OR(C643=1900,$D$506=0),0,VLOOKUP(A643,'Estados Financieros'!$A$18:$H$458,6,0))</f>
        <v>0</v>
      </c>
      <c r="E643" t="str">
        <f t="shared" si="34"/>
        <v>0,000</v>
      </c>
    </row>
    <row r="644" spans="1:5">
      <c r="A644">
        <v>349500</v>
      </c>
      <c r="B644" t="str">
        <f t="shared" si="32"/>
        <v/>
      </c>
      <c r="C644">
        <f t="shared" si="33"/>
        <v>1900</v>
      </c>
      <c r="D644">
        <f>IF(OR(C644=1900,$D$506=0),0,VLOOKUP(A644,'Estados Financieros'!$A$18:$H$458,6,0))</f>
        <v>0</v>
      </c>
      <c r="E644" t="str">
        <f t="shared" si="34"/>
        <v>0,000</v>
      </c>
    </row>
    <row r="645" spans="1:5">
      <c r="A645">
        <v>34</v>
      </c>
      <c r="B645" t="str">
        <f t="shared" si="32"/>
        <v/>
      </c>
      <c r="C645">
        <f t="shared" si="33"/>
        <v>1900</v>
      </c>
      <c r="D645">
        <f>IF(OR(C645=1900,$D$506=0),0,VLOOKUP(A645,'Estados Financieros'!$A$18:$H$458,6,0))</f>
        <v>0</v>
      </c>
      <c r="E645" t="str">
        <f t="shared" si="34"/>
        <v>0,000</v>
      </c>
    </row>
    <row r="646" spans="1:5">
      <c r="A646">
        <v>35</v>
      </c>
      <c r="B646" t="str">
        <f t="shared" si="32"/>
        <v/>
      </c>
      <c r="C646">
        <f t="shared" si="33"/>
        <v>1900</v>
      </c>
      <c r="D646">
        <f>IF(OR(C646=1900,$D$506=0),0,VLOOKUP(A646,'Estados Financieros'!$A$18:$H$458,6,0))</f>
        <v>0</v>
      </c>
      <c r="E646" t="str">
        <f t="shared" si="34"/>
        <v>0,000</v>
      </c>
    </row>
    <row r="647" spans="1:5">
      <c r="A647">
        <v>36</v>
      </c>
      <c r="B647" t="str">
        <f t="shared" si="32"/>
        <v/>
      </c>
      <c r="C647">
        <f t="shared" si="33"/>
        <v>1900</v>
      </c>
      <c r="D647">
        <f>IF(OR(C647=1900,$D$506=0),0,VLOOKUP(A647,'Estados Financieros'!$A$18:$H$458,6,0))</f>
        <v>0</v>
      </c>
      <c r="E647" t="str">
        <f t="shared" si="34"/>
        <v>0,000</v>
      </c>
    </row>
    <row r="648" spans="1:5">
      <c r="A648">
        <v>37</v>
      </c>
      <c r="B648" t="str">
        <f t="shared" si="32"/>
        <v/>
      </c>
      <c r="C648">
        <f t="shared" si="33"/>
        <v>1900</v>
      </c>
      <c r="D648">
        <f>IF(OR(C648=1900,$D$506=0),0,VLOOKUP(A648,'Estados Financieros'!$A$18:$H$458,6,0))</f>
        <v>0</v>
      </c>
      <c r="E648" t="str">
        <f t="shared" si="34"/>
        <v>0,000</v>
      </c>
    </row>
    <row r="649" spans="1:5">
      <c r="A649">
        <v>38</v>
      </c>
      <c r="B649" t="str">
        <f t="shared" si="32"/>
        <v/>
      </c>
      <c r="C649">
        <f t="shared" si="33"/>
        <v>1900</v>
      </c>
      <c r="D649">
        <f>IF(OR(C649=1900,$D$506=0),0,VLOOKUP(A649,'Estados Financieros'!$A$18:$H$458,6,0))</f>
        <v>0</v>
      </c>
      <c r="E649" t="str">
        <f t="shared" si="34"/>
        <v>0,000</v>
      </c>
    </row>
    <row r="650" spans="1:5">
      <c r="A650">
        <v>3</v>
      </c>
      <c r="B650" t="str">
        <f t="shared" si="32"/>
        <v/>
      </c>
      <c r="C650">
        <f t="shared" si="33"/>
        <v>1900</v>
      </c>
      <c r="D650">
        <f>IF(OR(C650=1900,$D$506=0),0,VLOOKUP(A650,'Estados Financieros'!$A$18:$H$458,6,0))</f>
        <v>0</v>
      </c>
      <c r="E650" t="str">
        <f t="shared" si="34"/>
        <v>0,000</v>
      </c>
    </row>
    <row r="651" spans="1:5">
      <c r="A651">
        <v>0</v>
      </c>
      <c r="B651" t="str">
        <f t="shared" si="32"/>
        <v/>
      </c>
      <c r="C651">
        <f t="shared" si="33"/>
        <v>1900</v>
      </c>
      <c r="D651">
        <f>IF(OR(C651=1900,$D$506=0),0,VLOOKUP(A651,'Estados Financieros'!$A$18:$H$458,6,0))</f>
        <v>0</v>
      </c>
      <c r="E651" t="str">
        <f t="shared" si="34"/>
        <v>0,000</v>
      </c>
    </row>
    <row r="652" spans="1:5">
      <c r="A652">
        <v>291000</v>
      </c>
      <c r="B652" t="str">
        <f t="shared" si="32"/>
        <v/>
      </c>
      <c r="C652">
        <f t="shared" si="33"/>
        <v>1900</v>
      </c>
      <c r="D652">
        <f>IF(OR(C652=1900,$D$506=0),0,VLOOKUP(A652,'Estados Financieros'!$A$18:$H$458,6,0))</f>
        <v>0</v>
      </c>
      <c r="E652" t="str">
        <f t="shared" si="34"/>
        <v>0,000</v>
      </c>
    </row>
    <row r="653" spans="1:5">
      <c r="A653">
        <v>292000</v>
      </c>
      <c r="B653" t="str">
        <f t="shared" si="32"/>
        <v/>
      </c>
      <c r="C653">
        <f t="shared" si="33"/>
        <v>1900</v>
      </c>
      <c r="D653">
        <f>IF(OR(C653=1900,$D$506=0),0,VLOOKUP(A653,'Estados Financieros'!$A$18:$H$458,6,0))</f>
        <v>0</v>
      </c>
      <c r="E653" t="str">
        <f t="shared" si="34"/>
        <v>0,000</v>
      </c>
    </row>
    <row r="654" spans="1:5">
      <c r="A654">
        <v>293000</v>
      </c>
      <c r="B654" t="str">
        <f t="shared" si="32"/>
        <v/>
      </c>
      <c r="C654">
        <f t="shared" si="33"/>
        <v>1900</v>
      </c>
      <c r="D654">
        <f>IF(OR(C654=1900,$D$506=0),0,VLOOKUP(A654,'Estados Financieros'!$A$18:$H$458,6,0))</f>
        <v>0</v>
      </c>
      <c r="E654" t="str">
        <f t="shared" si="34"/>
        <v>0,000</v>
      </c>
    </row>
    <row r="655" spans="1:5">
      <c r="A655">
        <v>294000</v>
      </c>
      <c r="B655" t="str">
        <f t="shared" si="32"/>
        <v/>
      </c>
      <c r="C655">
        <f t="shared" si="33"/>
        <v>1900</v>
      </c>
      <c r="D655">
        <f>IF(OR(C655=1900,$D$506=0),0,VLOOKUP(A655,'Estados Financieros'!$A$18:$H$458,6,0))</f>
        <v>0</v>
      </c>
      <c r="E655" t="str">
        <f t="shared" si="34"/>
        <v>0,000</v>
      </c>
    </row>
    <row r="656" spans="1:5">
      <c r="A656">
        <v>190000</v>
      </c>
      <c r="B656" t="str">
        <f t="shared" si="32"/>
        <v/>
      </c>
      <c r="C656">
        <f t="shared" si="33"/>
        <v>1900</v>
      </c>
      <c r="D656">
        <f>IF(OR(C656=1900,$D$506=0),0,VLOOKUP(A656,'Estados Financieros'!$A$18:$H$458,6,0))</f>
        <v>0</v>
      </c>
      <c r="E656" t="str">
        <f t="shared" si="34"/>
        <v>0,000</v>
      </c>
    </row>
    <row r="657" spans="1:5">
      <c r="A657">
        <v>410500</v>
      </c>
      <c r="B657" t="str">
        <f t="shared" si="32"/>
        <v/>
      </c>
      <c r="C657">
        <f t="shared" si="33"/>
        <v>1900</v>
      </c>
      <c r="D657">
        <f>IF(OR(C657=1900,$D$506=0),0,VLOOKUP(A657,'Estados Financieros'!$A$18:$H$458,6,0))</f>
        <v>0</v>
      </c>
      <c r="E657" t="str">
        <f t="shared" si="34"/>
        <v>0,000</v>
      </c>
    </row>
    <row r="658" spans="1:5">
      <c r="A658">
        <v>411000</v>
      </c>
      <c r="B658" t="str">
        <f t="shared" si="32"/>
        <v/>
      </c>
      <c r="C658">
        <f t="shared" si="33"/>
        <v>1900</v>
      </c>
      <c r="D658">
        <f>IF(OR(C658=1900,$D$506=0),0,VLOOKUP(A658,'Estados Financieros'!$A$18:$H$458,6,0))</f>
        <v>0</v>
      </c>
      <c r="E658" t="str">
        <f t="shared" si="34"/>
        <v>0,000</v>
      </c>
    </row>
    <row r="659" spans="1:5">
      <c r="A659">
        <v>41</v>
      </c>
      <c r="B659" t="str">
        <f t="shared" si="32"/>
        <v/>
      </c>
      <c r="C659">
        <f t="shared" si="33"/>
        <v>1900</v>
      </c>
      <c r="D659">
        <f>+D657+D658</f>
        <v>0</v>
      </c>
      <c r="E659" t="str">
        <f t="shared" si="34"/>
        <v>0,000</v>
      </c>
    </row>
    <row r="660" spans="1:5">
      <c r="A660">
        <v>61</v>
      </c>
      <c r="B660" t="str">
        <f>+B658</f>
        <v/>
      </c>
      <c r="C660">
        <f>+C658</f>
        <v>1900</v>
      </c>
      <c r="D660">
        <f>IF(OR(C660=1900,$D$506=0),0,VLOOKUP(A660,'Estados Financieros'!$A$18:$H$458,6,0))</f>
        <v>0</v>
      </c>
      <c r="E660" t="str">
        <f t="shared" si="34"/>
        <v>0,000</v>
      </c>
    </row>
    <row r="661" spans="1:5">
      <c r="A661">
        <v>606000</v>
      </c>
      <c r="B661" t="str">
        <f t="shared" ref="B661:B692" si="35">+B660</f>
        <v/>
      </c>
      <c r="C661">
        <f t="shared" ref="C661:C692" si="36">+C660</f>
        <v>1900</v>
      </c>
      <c r="D661">
        <f>IF(OR(C661=1900,$D$506=0),0,VLOOKUP(A661,'Estados Financieros'!$A$18:$H$458,6,0))</f>
        <v>0</v>
      </c>
      <c r="E661" t="str">
        <f t="shared" si="34"/>
        <v>0,000</v>
      </c>
    </row>
    <row r="662" spans="1:5">
      <c r="A662">
        <v>95</v>
      </c>
      <c r="B662" t="str">
        <f t="shared" si="35"/>
        <v/>
      </c>
      <c r="C662">
        <f t="shared" si="36"/>
        <v>1900</v>
      </c>
      <c r="D662">
        <f>IF(OR(C662=1900,$D$506=0),0,VLOOKUP(A662,'Estados Financieros'!$A$18:$H$458,6,0))</f>
        <v>0</v>
      </c>
      <c r="E662" t="str">
        <f t="shared" si="34"/>
        <v>0,000</v>
      </c>
    </row>
    <row r="663" spans="1:5">
      <c r="A663">
        <v>510500</v>
      </c>
      <c r="B663" t="str">
        <f t="shared" si="35"/>
        <v/>
      </c>
      <c r="C663">
        <f t="shared" si="36"/>
        <v>1900</v>
      </c>
      <c r="D663">
        <f>IF(OR(C663=1900,$D$506=0),0,VLOOKUP(A663,'Estados Financieros'!$A$18:$H$458,6,0))</f>
        <v>0</v>
      </c>
      <c r="E663" t="str">
        <f t="shared" si="34"/>
        <v>0,000</v>
      </c>
    </row>
    <row r="664" spans="1:5">
      <c r="A664">
        <v>511000</v>
      </c>
      <c r="B664" t="str">
        <f t="shared" si="35"/>
        <v/>
      </c>
      <c r="C664">
        <f t="shared" si="36"/>
        <v>1900</v>
      </c>
      <c r="D664">
        <f>IF(OR(C664=1900,$D$506=0),0,VLOOKUP(A664,'Estados Financieros'!$A$18:$H$458,6,0))</f>
        <v>0</v>
      </c>
      <c r="E664" t="str">
        <f t="shared" si="34"/>
        <v>0,000</v>
      </c>
    </row>
    <row r="665" spans="1:5">
      <c r="A665">
        <v>511500</v>
      </c>
      <c r="B665" t="str">
        <f t="shared" si="35"/>
        <v/>
      </c>
      <c r="C665">
        <f t="shared" si="36"/>
        <v>1900</v>
      </c>
      <c r="D665">
        <f>IF(OR(C665=1900,$D$506=0),0,VLOOKUP(A665,'Estados Financieros'!$A$18:$H$458,6,0))</f>
        <v>0</v>
      </c>
      <c r="E665" t="str">
        <f t="shared" si="34"/>
        <v>0,000</v>
      </c>
    </row>
    <row r="666" spans="1:5">
      <c r="A666">
        <v>512000</v>
      </c>
      <c r="B666" t="str">
        <f t="shared" si="35"/>
        <v/>
      </c>
      <c r="C666">
        <f t="shared" si="36"/>
        <v>1900</v>
      </c>
      <c r="D666">
        <f>IF(OR(C666=1900,$D$506=0),0,VLOOKUP(A666,'Estados Financieros'!$A$18:$H$458,6,0))</f>
        <v>0</v>
      </c>
      <c r="E666" t="str">
        <f t="shared" si="34"/>
        <v>0,000</v>
      </c>
    </row>
    <row r="667" spans="1:5">
      <c r="A667">
        <v>512500</v>
      </c>
      <c r="B667" t="str">
        <f t="shared" si="35"/>
        <v/>
      </c>
      <c r="C667">
        <f t="shared" si="36"/>
        <v>1900</v>
      </c>
      <c r="D667">
        <f>IF(OR(C667=1900,$D$506=0),0,VLOOKUP(A667,'Estados Financieros'!$A$18:$H$458,6,0))</f>
        <v>0</v>
      </c>
      <c r="E667" t="str">
        <f t="shared" si="34"/>
        <v>0,000</v>
      </c>
    </row>
    <row r="668" spans="1:5">
      <c r="A668">
        <v>513000</v>
      </c>
      <c r="B668" t="str">
        <f t="shared" si="35"/>
        <v/>
      </c>
      <c r="C668">
        <f t="shared" si="36"/>
        <v>1900</v>
      </c>
      <c r="D668">
        <f>IF(OR(C668=1900,$D$506=0),0,VLOOKUP(A668,'Estados Financieros'!$A$18:$H$458,6,0))</f>
        <v>0</v>
      </c>
      <c r="E668" t="str">
        <f t="shared" si="34"/>
        <v>0,000</v>
      </c>
    </row>
    <row r="669" spans="1:5">
      <c r="A669">
        <v>513500</v>
      </c>
      <c r="B669" t="str">
        <f t="shared" si="35"/>
        <v/>
      </c>
      <c r="C669">
        <f t="shared" si="36"/>
        <v>1900</v>
      </c>
      <c r="D669">
        <f>IF(OR(C669=1900,$D$506=0),0,VLOOKUP(A669,'Estados Financieros'!$A$18:$H$458,6,0))</f>
        <v>0</v>
      </c>
      <c r="E669" t="str">
        <f t="shared" si="34"/>
        <v>0,000</v>
      </c>
    </row>
    <row r="670" spans="1:5">
      <c r="A670">
        <v>514000</v>
      </c>
      <c r="B670" t="str">
        <f t="shared" si="35"/>
        <v/>
      </c>
      <c r="C670">
        <f t="shared" si="36"/>
        <v>1900</v>
      </c>
      <c r="D670">
        <f>IF(OR(C670=1900,$D$506=0),0,VLOOKUP(A670,'Estados Financieros'!$A$18:$H$458,6,0))</f>
        <v>0</v>
      </c>
      <c r="E670" t="str">
        <f t="shared" si="34"/>
        <v>0,000</v>
      </c>
    </row>
    <row r="671" spans="1:5">
      <c r="A671">
        <v>514500</v>
      </c>
      <c r="B671" t="str">
        <f t="shared" si="35"/>
        <v/>
      </c>
      <c r="C671">
        <f t="shared" si="36"/>
        <v>1900</v>
      </c>
      <c r="D671">
        <f>IF(OR(C671=1900,$D$506=0),0,VLOOKUP(A671,'Estados Financieros'!$A$18:$H$458,6,0))</f>
        <v>0</v>
      </c>
      <c r="E671" t="str">
        <f t="shared" si="34"/>
        <v>0,000</v>
      </c>
    </row>
    <row r="672" spans="1:5">
      <c r="A672">
        <v>515000</v>
      </c>
      <c r="B672" t="str">
        <f t="shared" si="35"/>
        <v/>
      </c>
      <c r="C672">
        <f t="shared" si="36"/>
        <v>1900</v>
      </c>
      <c r="D672">
        <f>IF(OR(C672=1900,$D$506=0),0,VLOOKUP(A672,'Estados Financieros'!$A$18:$H$458,6,0))</f>
        <v>0</v>
      </c>
      <c r="E672" t="str">
        <f t="shared" si="34"/>
        <v>0,000</v>
      </c>
    </row>
    <row r="673" spans="1:5">
      <c r="A673">
        <v>515500</v>
      </c>
      <c r="B673" t="str">
        <f t="shared" si="35"/>
        <v/>
      </c>
      <c r="C673">
        <f t="shared" si="36"/>
        <v>1900</v>
      </c>
      <c r="D673">
        <f>IF(OR(C673=1900,$D$506=0),0,VLOOKUP(A673,'Estados Financieros'!$A$18:$H$458,6,0))</f>
        <v>0</v>
      </c>
      <c r="E673" t="str">
        <f t="shared" si="34"/>
        <v>0,000</v>
      </c>
    </row>
    <row r="674" spans="1:5">
      <c r="A674">
        <v>519500</v>
      </c>
      <c r="B674" t="str">
        <f t="shared" si="35"/>
        <v/>
      </c>
      <c r="C674">
        <f t="shared" si="36"/>
        <v>1900</v>
      </c>
      <c r="D674">
        <f>IF(OR(C674=1900,$D$506=0),0,VLOOKUP(A674,'Estados Financieros'!$A$18:$H$458,6,0))</f>
        <v>0</v>
      </c>
      <c r="E674" t="str">
        <f t="shared" si="34"/>
        <v>0,000</v>
      </c>
    </row>
    <row r="675" spans="1:5">
      <c r="A675">
        <v>516000</v>
      </c>
      <c r="B675" t="str">
        <f t="shared" si="35"/>
        <v/>
      </c>
      <c r="C675">
        <f t="shared" si="36"/>
        <v>1900</v>
      </c>
      <c r="D675">
        <f>IF(OR(C675=1900,$D$506=0),0,VLOOKUP(A675,'Estados Financieros'!$A$18:$H$458,6,0))</f>
        <v>0</v>
      </c>
      <c r="E675" t="str">
        <f t="shared" si="34"/>
        <v>0,000</v>
      </c>
    </row>
    <row r="676" spans="1:5">
      <c r="A676">
        <v>516500</v>
      </c>
      <c r="B676" t="str">
        <f t="shared" si="35"/>
        <v/>
      </c>
      <c r="C676">
        <f t="shared" si="36"/>
        <v>1900</v>
      </c>
      <c r="D676">
        <f>IF(OR(C676=1900,$D$506=0),0,VLOOKUP(A676,'Estados Financieros'!$A$18:$H$458,6,0))</f>
        <v>0</v>
      </c>
      <c r="E676" t="str">
        <f t="shared" si="34"/>
        <v>0,000</v>
      </c>
    </row>
    <row r="677" spans="1:5">
      <c r="A677">
        <v>519900</v>
      </c>
      <c r="B677" t="str">
        <f t="shared" si="35"/>
        <v/>
      </c>
      <c r="C677">
        <f t="shared" si="36"/>
        <v>1900</v>
      </c>
      <c r="D677">
        <f>IF(OR(C677=1900,$D$506=0),0,VLOOKUP(A677,'Estados Financieros'!$A$18:$H$458,6,0))</f>
        <v>0</v>
      </c>
      <c r="E677" t="str">
        <f t="shared" si="34"/>
        <v>0,000</v>
      </c>
    </row>
    <row r="678" spans="1:5">
      <c r="A678">
        <v>51</v>
      </c>
      <c r="B678" t="str">
        <f t="shared" si="35"/>
        <v/>
      </c>
      <c r="C678">
        <f t="shared" si="36"/>
        <v>1900</v>
      </c>
      <c r="D678">
        <f>IF(OR(C678=1900,$D$506=0),0,VLOOKUP(A678,'Estados Financieros'!$A$18:$H$458,6,0))</f>
        <v>0</v>
      </c>
      <c r="E678" t="str">
        <f t="shared" si="34"/>
        <v>0,000</v>
      </c>
    </row>
    <row r="679" spans="1:5">
      <c r="A679">
        <v>520500</v>
      </c>
      <c r="B679" t="str">
        <f t="shared" si="35"/>
        <v/>
      </c>
      <c r="C679">
        <f t="shared" si="36"/>
        <v>1900</v>
      </c>
      <c r="D679">
        <f>IF(OR(C679=1900,$D$506=0),0,VLOOKUP(A679,'Estados Financieros'!$A$18:$H$458,6,0))</f>
        <v>0</v>
      </c>
      <c r="E679" t="str">
        <f t="shared" si="34"/>
        <v>0,000</v>
      </c>
    </row>
    <row r="680" spans="1:5">
      <c r="A680">
        <v>521000</v>
      </c>
      <c r="B680" t="str">
        <f t="shared" si="35"/>
        <v/>
      </c>
      <c r="C680">
        <f t="shared" si="36"/>
        <v>1900</v>
      </c>
      <c r="D680">
        <f>IF(OR(C680=1900,$D$506=0),0,VLOOKUP(A680,'Estados Financieros'!$A$18:$H$458,6,0))</f>
        <v>0</v>
      </c>
      <c r="E680" t="str">
        <f t="shared" si="34"/>
        <v>0,000</v>
      </c>
    </row>
    <row r="681" spans="1:5">
      <c r="A681">
        <v>521500</v>
      </c>
      <c r="B681" t="str">
        <f t="shared" si="35"/>
        <v/>
      </c>
      <c r="C681">
        <f t="shared" si="36"/>
        <v>1900</v>
      </c>
      <c r="D681">
        <f>IF(OR(C681=1900,$D$506=0),0,VLOOKUP(A681,'Estados Financieros'!$A$18:$H$458,6,0))</f>
        <v>0</v>
      </c>
      <c r="E681" t="str">
        <f t="shared" si="34"/>
        <v>0,000</v>
      </c>
    </row>
    <row r="682" spans="1:5">
      <c r="A682">
        <v>522000</v>
      </c>
      <c r="B682" t="str">
        <f t="shared" si="35"/>
        <v/>
      </c>
      <c r="C682">
        <f t="shared" si="36"/>
        <v>1900</v>
      </c>
      <c r="D682">
        <f>IF(OR(C682=1900,$D$506=0),0,VLOOKUP(A682,'Estados Financieros'!$A$18:$H$458,6,0))</f>
        <v>0</v>
      </c>
      <c r="E682" t="str">
        <f t="shared" si="34"/>
        <v>0,000</v>
      </c>
    </row>
    <row r="683" spans="1:5">
      <c r="A683">
        <v>522500</v>
      </c>
      <c r="B683" t="str">
        <f t="shared" si="35"/>
        <v/>
      </c>
      <c r="C683">
        <f t="shared" si="36"/>
        <v>1900</v>
      </c>
      <c r="D683">
        <f>IF(OR(C683=1900,$D$506=0),0,VLOOKUP(A683,'Estados Financieros'!$A$18:$H$458,6,0))</f>
        <v>0</v>
      </c>
      <c r="E683" t="str">
        <f t="shared" si="34"/>
        <v>0,000</v>
      </c>
    </row>
    <row r="684" spans="1:5">
      <c r="A684">
        <v>523000</v>
      </c>
      <c r="B684" t="str">
        <f t="shared" si="35"/>
        <v/>
      </c>
      <c r="C684">
        <f t="shared" si="36"/>
        <v>1900</v>
      </c>
      <c r="D684">
        <f>IF(OR(C684=1900,$D$506=0),0,VLOOKUP(A684,'Estados Financieros'!$A$18:$H$458,6,0))</f>
        <v>0</v>
      </c>
      <c r="E684" t="str">
        <f t="shared" si="34"/>
        <v>0,000</v>
      </c>
    </row>
    <row r="685" spans="1:5">
      <c r="A685">
        <v>523500</v>
      </c>
      <c r="B685" t="str">
        <f t="shared" si="35"/>
        <v/>
      </c>
      <c r="C685">
        <f t="shared" si="36"/>
        <v>1900</v>
      </c>
      <c r="D685">
        <f>IF(OR(C685=1900,$D$506=0),0,VLOOKUP(A685,'Estados Financieros'!$A$18:$H$458,6,0))</f>
        <v>0</v>
      </c>
      <c r="E685" t="str">
        <f t="shared" si="34"/>
        <v>0,000</v>
      </c>
    </row>
    <row r="686" spans="1:5">
      <c r="A686">
        <v>524000</v>
      </c>
      <c r="B686" t="str">
        <f t="shared" si="35"/>
        <v/>
      </c>
      <c r="C686">
        <f t="shared" si="36"/>
        <v>1900</v>
      </c>
      <c r="D686">
        <f>IF(OR(C686=1900,$D$506=0),0,VLOOKUP(A686,'Estados Financieros'!$A$18:$H$458,6,0))</f>
        <v>0</v>
      </c>
      <c r="E686" t="str">
        <f t="shared" si="34"/>
        <v>0,000</v>
      </c>
    </row>
    <row r="687" spans="1:5">
      <c r="A687">
        <v>524500</v>
      </c>
      <c r="B687" t="str">
        <f t="shared" si="35"/>
        <v/>
      </c>
      <c r="C687">
        <f t="shared" si="36"/>
        <v>1900</v>
      </c>
      <c r="D687">
        <f>IF(OR(C687=1900,$D$506=0),0,VLOOKUP(A687,'Estados Financieros'!$A$18:$H$458,6,0))</f>
        <v>0</v>
      </c>
      <c r="E687" t="str">
        <f t="shared" si="34"/>
        <v>0,000</v>
      </c>
    </row>
    <row r="688" spans="1:5">
      <c r="A688">
        <v>525000</v>
      </c>
      <c r="B688" t="str">
        <f t="shared" si="35"/>
        <v/>
      </c>
      <c r="C688">
        <f t="shared" si="36"/>
        <v>1900</v>
      </c>
      <c r="D688">
        <f>IF(OR(C688=1900,$D$506=0),0,VLOOKUP(A688,'Estados Financieros'!$A$18:$H$458,6,0))</f>
        <v>0</v>
      </c>
      <c r="E688" t="str">
        <f t="shared" si="34"/>
        <v>0,000</v>
      </c>
    </row>
    <row r="689" spans="1:5">
      <c r="A689">
        <v>525500</v>
      </c>
      <c r="B689" t="str">
        <f t="shared" si="35"/>
        <v/>
      </c>
      <c r="C689">
        <f t="shared" si="36"/>
        <v>1900</v>
      </c>
      <c r="D689">
        <f>IF(OR(C689=1900,$D$506=0),0,VLOOKUP(A689,'Estados Financieros'!$A$18:$H$458,6,0))</f>
        <v>0</v>
      </c>
      <c r="E689" t="str">
        <f t="shared" si="34"/>
        <v>0,000</v>
      </c>
    </row>
    <row r="690" spans="1:5">
      <c r="A690">
        <v>529500</v>
      </c>
      <c r="B690" t="str">
        <f t="shared" si="35"/>
        <v/>
      </c>
      <c r="C690">
        <f t="shared" si="36"/>
        <v>1900</v>
      </c>
      <c r="D690">
        <f>IF(OR(C690=1900,$D$506=0),0,VLOOKUP(A690,'Estados Financieros'!$A$18:$H$458,6,0))</f>
        <v>0</v>
      </c>
      <c r="E690" t="str">
        <f t="shared" si="34"/>
        <v>0,000</v>
      </c>
    </row>
    <row r="691" spans="1:5">
      <c r="A691">
        <v>526000</v>
      </c>
      <c r="B691" t="str">
        <f t="shared" si="35"/>
        <v/>
      </c>
      <c r="C691">
        <f t="shared" si="36"/>
        <v>1900</v>
      </c>
      <c r="D691">
        <f>IF(OR(C691=1900,$D$506=0),0,VLOOKUP(A691,'Estados Financieros'!$A$18:$H$458,6,0))</f>
        <v>0</v>
      </c>
      <c r="E691" t="str">
        <f t="shared" si="34"/>
        <v>0,000</v>
      </c>
    </row>
    <row r="692" spans="1:5">
      <c r="A692">
        <v>526500</v>
      </c>
      <c r="B692" t="str">
        <f t="shared" si="35"/>
        <v/>
      </c>
      <c r="C692">
        <f t="shared" si="36"/>
        <v>1900</v>
      </c>
      <c r="D692">
        <f>IF(OR(C692=1900,$D$506=0),0,VLOOKUP(A692,'Estados Financieros'!$A$18:$H$458,6,0))</f>
        <v>0</v>
      </c>
      <c r="E692" t="str">
        <f t="shared" si="34"/>
        <v>0,000</v>
      </c>
    </row>
    <row r="693" spans="1:5">
      <c r="A693">
        <v>529900</v>
      </c>
      <c r="B693" t="str">
        <f t="shared" ref="B693:B725" si="37">+B692</f>
        <v/>
      </c>
      <c r="C693">
        <f t="shared" ref="C693:C725" si="38">+C692</f>
        <v>1900</v>
      </c>
      <c r="D693">
        <f>IF(OR(C693=1900,$D$506=0),0,VLOOKUP(A693,'Estados Financieros'!$A$18:$H$458,6,0))</f>
        <v>0</v>
      </c>
      <c r="E693" t="str">
        <f t="shared" si="34"/>
        <v>0,000</v>
      </c>
    </row>
    <row r="694" spans="1:5">
      <c r="A694">
        <v>52</v>
      </c>
      <c r="B694" t="str">
        <f t="shared" si="37"/>
        <v/>
      </c>
      <c r="C694">
        <f t="shared" si="38"/>
        <v>1900</v>
      </c>
      <c r="D694">
        <f>IF(OR(C694=1900,$D$506=0),0,VLOOKUP(A694,'Estados Financieros'!$A$18:$H$458,6,0))</f>
        <v>0</v>
      </c>
      <c r="E694" t="str">
        <f t="shared" si="34"/>
        <v>0,000</v>
      </c>
    </row>
    <row r="695" spans="1:5">
      <c r="A695">
        <v>96</v>
      </c>
      <c r="B695" t="str">
        <f t="shared" si="37"/>
        <v/>
      </c>
      <c r="C695">
        <f t="shared" si="38"/>
        <v>1900</v>
      </c>
      <c r="D695">
        <f>IF(OR(C695=1900,$D$506=0),0,VLOOKUP(A695,'Estados Financieros'!$A$18:$H$458,6,0))</f>
        <v>0</v>
      </c>
      <c r="E695" t="str">
        <f t="shared" si="34"/>
        <v>0,000</v>
      </c>
    </row>
    <row r="696" spans="1:5">
      <c r="A696">
        <v>421000</v>
      </c>
      <c r="B696" t="str">
        <f t="shared" si="37"/>
        <v/>
      </c>
      <c r="C696">
        <f t="shared" si="38"/>
        <v>1900</v>
      </c>
      <c r="D696">
        <f>IF(OR(C696=1900,$D$506=0),0,VLOOKUP(A696,'Estados Financieros'!$A$18:$H$458,6,0))</f>
        <v>0</v>
      </c>
      <c r="E696" t="str">
        <f t="shared" si="34"/>
        <v>0,000</v>
      </c>
    </row>
    <row r="697" spans="1:5">
      <c r="A697">
        <v>421020</v>
      </c>
      <c r="B697" t="str">
        <f t="shared" si="37"/>
        <v/>
      </c>
      <c r="C697">
        <f t="shared" si="38"/>
        <v>1900</v>
      </c>
      <c r="D697">
        <f>IF(OR(C697=1900,$D$506=0),0,VLOOKUP(A697,'Estados Financieros'!$A$18:$H$458,6,0))</f>
        <v>0</v>
      </c>
      <c r="E697" t="str">
        <f t="shared" si="34"/>
        <v>0,000</v>
      </c>
    </row>
    <row r="698" spans="1:5">
      <c r="A698">
        <v>420500</v>
      </c>
      <c r="B698" t="str">
        <f t="shared" si="37"/>
        <v/>
      </c>
      <c r="C698">
        <f t="shared" si="38"/>
        <v>1900</v>
      </c>
      <c r="D698">
        <f>IF(OR(C698=1900,$D$506=0),0,VLOOKUP(A698,'Estados Financieros'!$A$18:$H$458,6,0))</f>
        <v>0</v>
      </c>
      <c r="E698" t="str">
        <f t="shared" si="34"/>
        <v>0,000</v>
      </c>
    </row>
    <row r="699" spans="1:5">
      <c r="A699">
        <v>421040</v>
      </c>
      <c r="B699" t="str">
        <f t="shared" si="37"/>
        <v/>
      </c>
      <c r="C699">
        <f t="shared" si="38"/>
        <v>1900</v>
      </c>
      <c r="D699">
        <f>IF(OR(C699=1900,$D$506=0),0,VLOOKUP(A699,'Estados Financieros'!$A$18:$H$458,6,0))</f>
        <v>0</v>
      </c>
      <c r="E699" t="str">
        <f t="shared" si="34"/>
        <v>0,000</v>
      </c>
    </row>
    <row r="700" spans="1:5">
      <c r="A700">
        <v>421500</v>
      </c>
      <c r="B700" t="str">
        <f t="shared" si="37"/>
        <v/>
      </c>
      <c r="C700">
        <f t="shared" si="38"/>
        <v>1900</v>
      </c>
      <c r="D700">
        <f>IF(OR(C700=1900,$D$506=0),0,VLOOKUP(A700,'Estados Financieros'!$A$18:$H$458,6,0))</f>
        <v>0</v>
      </c>
      <c r="E700" t="str">
        <f t="shared" si="34"/>
        <v>0,000</v>
      </c>
    </row>
    <row r="701" spans="1:5">
      <c r="A701">
        <v>422000</v>
      </c>
      <c r="B701" t="str">
        <f t="shared" si="37"/>
        <v/>
      </c>
      <c r="C701">
        <f t="shared" si="38"/>
        <v>1900</v>
      </c>
      <c r="D701">
        <f>IF(OR(C701=1900,$D$506=0),0,VLOOKUP(A701,'Estados Financieros'!$A$18:$H$458,6,0))</f>
        <v>0</v>
      </c>
      <c r="E701" t="str">
        <f t="shared" si="34"/>
        <v>0,000</v>
      </c>
    </row>
    <row r="702" spans="1:5">
      <c r="A702">
        <v>422500</v>
      </c>
      <c r="B702" t="str">
        <f t="shared" si="37"/>
        <v/>
      </c>
      <c r="C702">
        <f t="shared" si="38"/>
        <v>1900</v>
      </c>
      <c r="D702">
        <f>IF(OR(C702=1900,$D$506=0),0,VLOOKUP(A702,'Estados Financieros'!$A$18:$H$458,6,0))</f>
        <v>0</v>
      </c>
      <c r="E702" t="str">
        <f t="shared" si="34"/>
        <v>0,000</v>
      </c>
    </row>
    <row r="703" spans="1:5">
      <c r="A703">
        <v>423500</v>
      </c>
      <c r="B703" t="str">
        <f t="shared" si="37"/>
        <v/>
      </c>
      <c r="C703">
        <f t="shared" si="38"/>
        <v>1900</v>
      </c>
      <c r="D703">
        <f>IF(OR(C703=1900,$D$506=0),0,VLOOKUP(A703,'Estados Financieros'!$A$18:$H$458,6,0))</f>
        <v>0</v>
      </c>
      <c r="E703" t="str">
        <f t="shared" si="34"/>
        <v>0,000</v>
      </c>
    </row>
    <row r="704" spans="1:5">
      <c r="A704">
        <v>424000</v>
      </c>
      <c r="B704" t="str">
        <f t="shared" si="37"/>
        <v/>
      </c>
      <c r="C704">
        <f t="shared" si="38"/>
        <v>1900</v>
      </c>
      <c r="D704">
        <f>IF(OR(C704=1900,$D$506=0),0,VLOOKUP(A704,'Estados Financieros'!$A$18:$H$458,6,0))</f>
        <v>0</v>
      </c>
      <c r="E704" t="str">
        <f t="shared" si="34"/>
        <v>0,000</v>
      </c>
    </row>
    <row r="705" spans="1:5">
      <c r="A705">
        <v>425000</v>
      </c>
      <c r="B705" t="str">
        <f t="shared" si="37"/>
        <v/>
      </c>
      <c r="C705">
        <f t="shared" si="38"/>
        <v>1900</v>
      </c>
      <c r="D705">
        <f>IF(OR(C705=1900,$D$506=0),0,VLOOKUP(A705,'Estados Financieros'!$A$18:$H$458,6,0))</f>
        <v>0</v>
      </c>
      <c r="E705" t="str">
        <f t="shared" si="34"/>
        <v>0,000</v>
      </c>
    </row>
    <row r="706" spans="1:5">
      <c r="A706">
        <v>426500</v>
      </c>
      <c r="B706" t="str">
        <f t="shared" si="37"/>
        <v/>
      </c>
      <c r="C706">
        <f t="shared" si="38"/>
        <v>1900</v>
      </c>
      <c r="D706">
        <f>IF(OR(C706=1900,$D$506=0),0,VLOOKUP(A706,'Estados Financieros'!$A$18:$H$458,6,0))</f>
        <v>0</v>
      </c>
      <c r="E706" t="str">
        <f t="shared" ref="E706:E769" si="39">IFERROR(FIXED(D706,3,1),0)</f>
        <v>0,000</v>
      </c>
    </row>
    <row r="707" spans="1:5">
      <c r="A707">
        <v>429500</v>
      </c>
      <c r="B707" t="str">
        <f t="shared" si="37"/>
        <v/>
      </c>
      <c r="C707">
        <f t="shared" si="38"/>
        <v>1900</v>
      </c>
      <c r="D707">
        <f>IF(OR(C707=1900,$D$506=0),0,VLOOKUP(A707,'Estados Financieros'!$A$18:$H$458,6,0))</f>
        <v>0</v>
      </c>
      <c r="E707" t="str">
        <f t="shared" si="39"/>
        <v>0,000</v>
      </c>
    </row>
    <row r="708" spans="1:5">
      <c r="A708">
        <v>42</v>
      </c>
      <c r="B708" t="str">
        <f t="shared" si="37"/>
        <v/>
      </c>
      <c r="C708">
        <f t="shared" si="38"/>
        <v>1900</v>
      </c>
      <c r="D708">
        <f>IF(OR(C708=1900,$D$506=0),0,VLOOKUP(A708,'Estados Financieros'!$A$18:$H$458,6,0))</f>
        <v>0</v>
      </c>
      <c r="E708" t="str">
        <f t="shared" si="39"/>
        <v>0,000</v>
      </c>
    </row>
    <row r="709" spans="1:5">
      <c r="A709">
        <v>5301</v>
      </c>
      <c r="B709" t="str">
        <f t="shared" si="37"/>
        <v/>
      </c>
      <c r="C709">
        <f t="shared" si="38"/>
        <v>1900</v>
      </c>
      <c r="D709">
        <f>IF(OR(C709=1900,$D$506=0),0,VLOOKUP(A709,'Estados Financieros'!$A$18:$H$458,6,0))</f>
        <v>0</v>
      </c>
      <c r="E709" t="str">
        <f t="shared" si="39"/>
        <v>0,000</v>
      </c>
    </row>
    <row r="710" spans="1:5">
      <c r="A710">
        <v>530525</v>
      </c>
      <c r="B710" t="str">
        <f t="shared" si="37"/>
        <v/>
      </c>
      <c r="C710">
        <f t="shared" si="38"/>
        <v>1900</v>
      </c>
      <c r="D710">
        <f>IF(OR(C710=1900,$D$506=0),0,VLOOKUP(A710,'Estados Financieros'!$A$18:$H$458,6,0))</f>
        <v>0</v>
      </c>
      <c r="E710" t="str">
        <f t="shared" si="39"/>
        <v>0,000</v>
      </c>
    </row>
    <row r="711" spans="1:5">
      <c r="A711">
        <v>530505</v>
      </c>
      <c r="B711" t="str">
        <f t="shared" si="37"/>
        <v/>
      </c>
      <c r="C711">
        <f t="shared" si="38"/>
        <v>1900</v>
      </c>
      <c r="D711">
        <f>IF(OR(C711=1900,$D$506=0),0,VLOOKUP(A711,'Estados Financieros'!$A$18:$H$458,6,0))</f>
        <v>0</v>
      </c>
      <c r="E711" t="str">
        <f t="shared" si="39"/>
        <v>0,000</v>
      </c>
    </row>
    <row r="712" spans="1:5">
      <c r="A712">
        <v>530515</v>
      </c>
      <c r="B712" t="str">
        <f t="shared" si="37"/>
        <v/>
      </c>
      <c r="C712">
        <f t="shared" si="38"/>
        <v>1900</v>
      </c>
      <c r="D712">
        <f>IF(OR(C712=1900,$D$506=0),0,VLOOKUP(A712,'Estados Financieros'!$A$18:$H$458,6,0))</f>
        <v>0</v>
      </c>
      <c r="E712" t="str">
        <f t="shared" si="39"/>
        <v>0,000</v>
      </c>
    </row>
    <row r="713" spans="1:5">
      <c r="A713">
        <v>530535</v>
      </c>
      <c r="B713" t="str">
        <f t="shared" si="37"/>
        <v/>
      </c>
      <c r="C713">
        <f t="shared" si="38"/>
        <v>1900</v>
      </c>
      <c r="D713">
        <f>IF(OR(C713=1900,$D$506=0),0,VLOOKUP(A713,'Estados Financieros'!$A$18:$H$458,6,0))</f>
        <v>0</v>
      </c>
      <c r="E713" t="str">
        <f t="shared" si="39"/>
        <v>0,000</v>
      </c>
    </row>
    <row r="714" spans="1:5">
      <c r="A714">
        <v>531000</v>
      </c>
      <c r="B714" t="str">
        <f t="shared" si="37"/>
        <v/>
      </c>
      <c r="C714">
        <f t="shared" si="38"/>
        <v>1900</v>
      </c>
      <c r="D714">
        <f>IF(OR(C714=1900,$D$506=0),0,VLOOKUP(A714,'Estados Financieros'!$A$18:$H$458,6,0))</f>
        <v>0</v>
      </c>
      <c r="E714" t="str">
        <f t="shared" si="39"/>
        <v>0,000</v>
      </c>
    </row>
    <row r="715" spans="1:5">
      <c r="A715">
        <v>531300</v>
      </c>
      <c r="B715" t="str">
        <f t="shared" si="37"/>
        <v/>
      </c>
      <c r="C715">
        <f t="shared" si="38"/>
        <v>1900</v>
      </c>
      <c r="D715">
        <f>IF(OR(C715=1900,$D$506=0),0,VLOOKUP(A715,'Estados Financieros'!$A$18:$H$458,6,0))</f>
        <v>0</v>
      </c>
      <c r="E715" t="str">
        <f t="shared" si="39"/>
        <v>0,000</v>
      </c>
    </row>
    <row r="716" spans="1:5">
      <c r="A716">
        <v>531500</v>
      </c>
      <c r="B716" t="str">
        <f t="shared" si="37"/>
        <v/>
      </c>
      <c r="C716">
        <f t="shared" si="38"/>
        <v>1900</v>
      </c>
      <c r="D716">
        <f>IF(OR(C716=1900,$D$506=0),0,VLOOKUP(A716,'Estados Financieros'!$A$18:$H$458,6,0))</f>
        <v>0</v>
      </c>
      <c r="E716" t="str">
        <f t="shared" si="39"/>
        <v>0,000</v>
      </c>
    </row>
    <row r="717" spans="1:5">
      <c r="A717">
        <v>531515</v>
      </c>
      <c r="B717" t="str">
        <f t="shared" si="37"/>
        <v/>
      </c>
      <c r="C717">
        <f t="shared" si="38"/>
        <v>1900</v>
      </c>
      <c r="D717">
        <f>IF(OR(C717=1900,$D$506=0),0,VLOOKUP(A717,'Estados Financieros'!$A$18:$H$458,6,0))</f>
        <v>0</v>
      </c>
      <c r="E717" t="str">
        <f t="shared" si="39"/>
        <v>0,000</v>
      </c>
    </row>
    <row r="718" spans="1:5">
      <c r="A718">
        <v>531520</v>
      </c>
      <c r="B718" t="str">
        <f t="shared" si="37"/>
        <v/>
      </c>
      <c r="C718">
        <f t="shared" si="38"/>
        <v>1900</v>
      </c>
      <c r="D718">
        <f>IF(OR(C718=1900,$D$506=0),0,VLOOKUP(A718,'Estados Financieros'!$A$18:$H$458,6,0))</f>
        <v>0</v>
      </c>
      <c r="E718" t="str">
        <f t="shared" si="39"/>
        <v>0,000</v>
      </c>
    </row>
    <row r="719" spans="1:5">
      <c r="A719">
        <v>539525</v>
      </c>
      <c r="B719" t="str">
        <f t="shared" si="37"/>
        <v/>
      </c>
      <c r="C719">
        <f t="shared" si="38"/>
        <v>1900</v>
      </c>
      <c r="D719">
        <f>IF(OR(C719=1900,$D$506=0),0,VLOOKUP(A719,'Estados Financieros'!$A$18:$H$458,6,0))</f>
        <v>0</v>
      </c>
      <c r="E719" t="str">
        <f t="shared" si="39"/>
        <v>0,000</v>
      </c>
    </row>
    <row r="720" spans="1:5">
      <c r="A720">
        <v>539595</v>
      </c>
      <c r="B720" t="str">
        <f t="shared" si="37"/>
        <v/>
      </c>
      <c r="C720">
        <f t="shared" si="38"/>
        <v>1900</v>
      </c>
      <c r="D720">
        <f>IF(OR(C720=1900,$D$506=0),0,VLOOKUP(A720,'Estados Financieros'!$A$18:$H$458,6,0))</f>
        <v>0</v>
      </c>
      <c r="E720" t="str">
        <f t="shared" si="39"/>
        <v>0,000</v>
      </c>
    </row>
    <row r="721" spans="1:5">
      <c r="A721">
        <v>53</v>
      </c>
      <c r="B721" t="str">
        <f t="shared" si="37"/>
        <v/>
      </c>
      <c r="C721">
        <f t="shared" si="38"/>
        <v>1900</v>
      </c>
      <c r="D721">
        <f>IF(OR(C721=1900,$D$506=0),0,VLOOKUP(A721,'Estados Financieros'!$A$18:$H$458,6,0))</f>
        <v>0</v>
      </c>
      <c r="E721" t="str">
        <f t="shared" si="39"/>
        <v>0,000</v>
      </c>
    </row>
    <row r="722" spans="1:5">
      <c r="A722">
        <v>98</v>
      </c>
      <c r="B722" t="str">
        <f t="shared" si="37"/>
        <v/>
      </c>
      <c r="C722">
        <f t="shared" si="38"/>
        <v>1900</v>
      </c>
      <c r="D722">
        <f>IF(OR(C722=1900,$D$506=0),0,VLOOKUP(A722,'Estados Financieros'!$A$18:$H$458,6,0))</f>
        <v>0</v>
      </c>
      <c r="E722" t="str">
        <f t="shared" si="39"/>
        <v>0,000</v>
      </c>
    </row>
    <row r="723" spans="1:5">
      <c r="A723">
        <v>97</v>
      </c>
      <c r="B723" t="str">
        <f t="shared" si="37"/>
        <v/>
      </c>
      <c r="C723">
        <f t="shared" si="38"/>
        <v>1900</v>
      </c>
      <c r="D723">
        <f>IF(OR(C723=1900,$D$506=0),0,VLOOKUP(A723,'Estados Financieros'!$A$18:$H$458,6,0))</f>
        <v>0</v>
      </c>
      <c r="E723" t="str">
        <f t="shared" si="39"/>
        <v>0,000</v>
      </c>
    </row>
    <row r="724" spans="1:5">
      <c r="A724">
        <v>54</v>
      </c>
      <c r="B724" t="str">
        <f t="shared" si="37"/>
        <v/>
      </c>
      <c r="C724">
        <f t="shared" si="38"/>
        <v>1900</v>
      </c>
      <c r="D724">
        <f>IF(OR(C724=1900,$D$506=0),0,VLOOKUP(A724,'Estados Financieros'!$A$18:$H$458,6,0))</f>
        <v>0</v>
      </c>
      <c r="E724" t="str">
        <f t="shared" si="39"/>
        <v>0,000</v>
      </c>
    </row>
    <row r="725" spans="1:5">
      <c r="A725">
        <v>99</v>
      </c>
      <c r="B725" t="str">
        <f t="shared" si="37"/>
        <v/>
      </c>
      <c r="C725">
        <f t="shared" si="38"/>
        <v>1900</v>
      </c>
      <c r="D725">
        <f>IF(OR(C725=1900,$D$506=0),0,VLOOKUP(A725,'Estados Financieros'!$A$18:$H$458,6,0))</f>
        <v>0</v>
      </c>
      <c r="E725" t="str">
        <f t="shared" si="39"/>
        <v>0,000</v>
      </c>
    </row>
    <row r="726" spans="1:5">
      <c r="A726">
        <v>110105</v>
      </c>
      <c r="B726" t="str">
        <f>IF(C726=1900,"",'RC'!$D$6)</f>
        <v/>
      </c>
      <c r="C726">
        <f>IF(OR('RC'!$D$6=0,'RC'!$D$6=0,'Estados Financieros'!$G$185=0,'Estados Financieros'!$G$10&lt;&gt;"OK",'Estados Financieros'!$G$461&lt;&gt;"OK",'Estados Financieros'!$G$14&lt;&gt;"OK"),1900,'Estados Financieros'!$M$4+0)</f>
        <v>1900</v>
      </c>
      <c r="D726">
        <f>IF(OR(C726=1900,$D$868=0),0,VLOOKUP(A726,'Estados Financieros'!$A$18:$H$458,7,0))</f>
        <v>0</v>
      </c>
      <c r="E726" t="str">
        <f t="shared" si="39"/>
        <v>0,000</v>
      </c>
    </row>
    <row r="727" spans="1:5">
      <c r="A727">
        <v>110110</v>
      </c>
      <c r="B727" t="str">
        <f t="shared" ref="B727:B758" si="40">+B726</f>
        <v/>
      </c>
      <c r="C727">
        <f t="shared" ref="C727:C758" si="41">+C726</f>
        <v>1900</v>
      </c>
      <c r="D727">
        <f>IF(OR(C727=1900,$D$868=0),0,VLOOKUP(A727,'Estados Financieros'!$A$18:$H$458,7,0))</f>
        <v>0</v>
      </c>
      <c r="E727" t="str">
        <f t="shared" si="39"/>
        <v>0,000</v>
      </c>
    </row>
    <row r="728" spans="1:5">
      <c r="A728">
        <v>111010</v>
      </c>
      <c r="B728" t="str">
        <f t="shared" si="40"/>
        <v/>
      </c>
      <c r="C728">
        <f t="shared" si="41"/>
        <v>1900</v>
      </c>
      <c r="D728">
        <f>IF(OR(C728=1900,$D$868=0),0,VLOOKUP(A728,'Estados Financieros'!$A$18:$H$458,7,0))</f>
        <v>0</v>
      </c>
      <c r="E728" t="str">
        <f t="shared" si="39"/>
        <v>0,000</v>
      </c>
    </row>
    <row r="729" spans="1:5">
      <c r="A729">
        <v>110130</v>
      </c>
      <c r="B729" t="str">
        <f t="shared" si="40"/>
        <v/>
      </c>
      <c r="C729">
        <f t="shared" si="41"/>
        <v>1900</v>
      </c>
      <c r="D729">
        <f>IF(OR(C729=1900,$D$868=0),0,VLOOKUP(A729,'Estados Financieros'!$A$18:$H$458,7,0))</f>
        <v>0</v>
      </c>
      <c r="E729" t="str">
        <f t="shared" si="39"/>
        <v>0,000</v>
      </c>
    </row>
    <row r="730" spans="1:5">
      <c r="A730">
        <v>110125</v>
      </c>
      <c r="B730" t="str">
        <f t="shared" si="40"/>
        <v/>
      </c>
      <c r="C730">
        <f t="shared" si="41"/>
        <v>1900</v>
      </c>
      <c r="D730">
        <f>IF(OR(C730=1900,$D$868=0),0,VLOOKUP(A730,'Estados Financieros'!$A$18:$H$458,7,0))</f>
        <v>0</v>
      </c>
      <c r="E730" t="str">
        <f t="shared" si="39"/>
        <v>0,000</v>
      </c>
    </row>
    <row r="731" spans="1:5">
      <c r="A731">
        <v>1101</v>
      </c>
      <c r="B731" t="str">
        <f t="shared" si="40"/>
        <v/>
      </c>
      <c r="C731">
        <f t="shared" si="41"/>
        <v>1900</v>
      </c>
      <c r="D731">
        <f>IF(OR(C731=1900,$D$868=0),0,VLOOKUP(A731,'Estados Financieros'!$A$18:$H$458,7,0))</f>
        <v>0</v>
      </c>
      <c r="E731" t="str">
        <f t="shared" si="39"/>
        <v>0,000</v>
      </c>
    </row>
    <row r="732" spans="1:5">
      <c r="A732">
        <v>110205</v>
      </c>
      <c r="B732" t="str">
        <f t="shared" si="40"/>
        <v/>
      </c>
      <c r="C732">
        <f t="shared" si="41"/>
        <v>1900</v>
      </c>
      <c r="D732">
        <f>IF(OR(C732=1900,$D$868=0),0,VLOOKUP(A732,'Estados Financieros'!$A$18:$H$458,7,0))</f>
        <v>0</v>
      </c>
      <c r="E732" t="str">
        <f t="shared" si="39"/>
        <v>0,000</v>
      </c>
    </row>
    <row r="733" spans="1:5">
      <c r="A733">
        <v>110210</v>
      </c>
      <c r="B733" t="str">
        <f t="shared" si="40"/>
        <v/>
      </c>
      <c r="C733">
        <f t="shared" si="41"/>
        <v>1900</v>
      </c>
      <c r="D733">
        <f>IF(OR(C733=1900,$D$868=0),0,VLOOKUP(A733,'Estados Financieros'!$A$18:$H$458,7,0))</f>
        <v>0</v>
      </c>
      <c r="E733" t="str">
        <f t="shared" si="39"/>
        <v>0,000</v>
      </c>
    </row>
    <row r="734" spans="1:5">
      <c r="A734">
        <v>110215</v>
      </c>
      <c r="B734" t="str">
        <f t="shared" si="40"/>
        <v/>
      </c>
      <c r="C734">
        <f t="shared" si="41"/>
        <v>1900</v>
      </c>
      <c r="D734">
        <f>IF(OR(C734=1900,$D$868=0),0,VLOOKUP(A734,'Estados Financieros'!$A$18:$H$458,7,0))</f>
        <v>0</v>
      </c>
      <c r="E734" t="str">
        <f t="shared" si="39"/>
        <v>0,000</v>
      </c>
    </row>
    <row r="735" spans="1:5">
      <c r="A735">
        <v>110225</v>
      </c>
      <c r="B735" t="str">
        <f t="shared" si="40"/>
        <v/>
      </c>
      <c r="C735">
        <f t="shared" si="41"/>
        <v>1900</v>
      </c>
      <c r="D735">
        <f>IF(OR(C735=1900,$D$868=0),0,VLOOKUP(A735,'Estados Financieros'!$A$18:$H$458,7,0))</f>
        <v>0</v>
      </c>
      <c r="E735" t="str">
        <f t="shared" si="39"/>
        <v>0,000</v>
      </c>
    </row>
    <row r="736" spans="1:5">
      <c r="A736">
        <v>110235</v>
      </c>
      <c r="B736" t="str">
        <f t="shared" si="40"/>
        <v/>
      </c>
      <c r="C736">
        <f t="shared" si="41"/>
        <v>1900</v>
      </c>
      <c r="D736">
        <f>IF(OR(C736=1900,$D$868=0),0,VLOOKUP(A736,'Estados Financieros'!$A$18:$H$458,7,0))</f>
        <v>0</v>
      </c>
      <c r="E736" t="str">
        <f t="shared" si="39"/>
        <v>0,000</v>
      </c>
    </row>
    <row r="737" spans="1:5">
      <c r="A737">
        <v>110255</v>
      </c>
      <c r="B737" t="str">
        <f t="shared" si="40"/>
        <v/>
      </c>
      <c r="C737">
        <f t="shared" si="41"/>
        <v>1900</v>
      </c>
      <c r="D737">
        <f>IF(OR(C737=1900,$D$868=0),0,VLOOKUP(A737,'Estados Financieros'!$A$18:$H$458,7,0))</f>
        <v>0</v>
      </c>
      <c r="E737" t="str">
        <f t="shared" si="39"/>
        <v>0,000</v>
      </c>
    </row>
    <row r="738" spans="1:5">
      <c r="A738">
        <v>129700</v>
      </c>
      <c r="B738" t="str">
        <f t="shared" si="40"/>
        <v/>
      </c>
      <c r="C738">
        <f t="shared" si="41"/>
        <v>1900</v>
      </c>
      <c r="D738">
        <f>IF(OR(C738=1900,$D$868=0),0,VLOOKUP(A738,'Estados Financieros'!$A$18:$H$458,7,0))</f>
        <v>0</v>
      </c>
      <c r="E738" t="str">
        <f t="shared" si="39"/>
        <v>0,000</v>
      </c>
    </row>
    <row r="739" spans="1:5">
      <c r="A739">
        <v>110260</v>
      </c>
      <c r="B739" t="str">
        <f t="shared" si="40"/>
        <v/>
      </c>
      <c r="C739">
        <f t="shared" si="41"/>
        <v>1900</v>
      </c>
      <c r="D739">
        <f>IF(OR(C739=1900,$D$868=0),0,VLOOKUP(A739,'Estados Financieros'!$A$18:$H$458,7,0))</f>
        <v>0</v>
      </c>
      <c r="E739" t="str">
        <f t="shared" si="39"/>
        <v>0,000</v>
      </c>
    </row>
    <row r="740" spans="1:5">
      <c r="A740">
        <v>1102</v>
      </c>
      <c r="B740" t="str">
        <f t="shared" si="40"/>
        <v/>
      </c>
      <c r="C740">
        <f t="shared" si="41"/>
        <v>1900</v>
      </c>
      <c r="D740">
        <f>IF(OR(C740=1900,$D$868=0),0,VLOOKUP(A740,'Estados Financieros'!$A$18:$H$458,7,0))</f>
        <v>0</v>
      </c>
      <c r="E740" t="str">
        <f t="shared" si="39"/>
        <v>0,000</v>
      </c>
    </row>
    <row r="741" spans="1:5">
      <c r="A741">
        <v>110305</v>
      </c>
      <c r="B741" t="str">
        <f t="shared" si="40"/>
        <v/>
      </c>
      <c r="C741">
        <f t="shared" si="41"/>
        <v>1900</v>
      </c>
      <c r="D741">
        <f>IF(OR(C741=1900,$D$868=0),0,VLOOKUP(A741,'Estados Financieros'!$A$18:$H$458,7,0))</f>
        <v>0</v>
      </c>
      <c r="E741" t="str">
        <f t="shared" si="39"/>
        <v>0,000</v>
      </c>
    </row>
    <row r="742" spans="1:5">
      <c r="A742">
        <v>130510</v>
      </c>
      <c r="B742" t="str">
        <f t="shared" si="40"/>
        <v/>
      </c>
      <c r="C742">
        <f t="shared" si="41"/>
        <v>1900</v>
      </c>
      <c r="D742">
        <f>IF(OR(C742=1900,$D$868=0),0,VLOOKUP(A742,'Estados Financieros'!$A$18:$H$458,7,0))</f>
        <v>0</v>
      </c>
      <c r="E742" t="str">
        <f t="shared" si="39"/>
        <v>0,000</v>
      </c>
    </row>
    <row r="743" spans="1:5">
      <c r="A743">
        <v>131000</v>
      </c>
      <c r="B743" t="str">
        <f t="shared" si="40"/>
        <v/>
      </c>
      <c r="C743">
        <f t="shared" si="41"/>
        <v>1900</v>
      </c>
      <c r="D743">
        <f>IF(OR(C743=1900,$D$868=0),0,VLOOKUP(A743,'Estados Financieros'!$A$18:$H$458,7,0))</f>
        <v>0</v>
      </c>
      <c r="E743" t="str">
        <f t="shared" si="39"/>
        <v>0,000</v>
      </c>
    </row>
    <row r="744" spans="1:5">
      <c r="A744">
        <v>110390</v>
      </c>
      <c r="B744" t="str">
        <f t="shared" si="40"/>
        <v/>
      </c>
      <c r="C744">
        <f t="shared" si="41"/>
        <v>1900</v>
      </c>
      <c r="D744">
        <f>IF(OR(C744=1900,$D$868=0),0,VLOOKUP(A744,'Estados Financieros'!$A$18:$H$458,7,0))</f>
        <v>0</v>
      </c>
      <c r="E744" t="str">
        <f t="shared" si="39"/>
        <v>0,000</v>
      </c>
    </row>
    <row r="745" spans="1:5">
      <c r="A745">
        <v>110395</v>
      </c>
      <c r="B745" t="str">
        <f t="shared" si="40"/>
        <v/>
      </c>
      <c r="C745">
        <f t="shared" si="41"/>
        <v>1900</v>
      </c>
      <c r="D745">
        <f>IF(OR(C745=1900,$D$868=0),0,VLOOKUP(A745,'Estados Financieros'!$A$18:$H$458,7,0))</f>
        <v>0</v>
      </c>
      <c r="E745" t="str">
        <f t="shared" si="39"/>
        <v>0,000</v>
      </c>
    </row>
    <row r="746" spans="1:5">
      <c r="A746">
        <v>1103</v>
      </c>
      <c r="B746" t="str">
        <f t="shared" si="40"/>
        <v/>
      </c>
      <c r="C746">
        <f t="shared" si="41"/>
        <v>1900</v>
      </c>
      <c r="D746">
        <f>IF(OR(C746=1900,$D$868=0),0,VLOOKUP(A746,'Estados Financieros'!$A$18:$H$458,7,0))</f>
        <v>0</v>
      </c>
      <c r="E746" t="str">
        <f t="shared" si="39"/>
        <v>0,000</v>
      </c>
    </row>
    <row r="747" spans="1:5">
      <c r="A747">
        <v>132000</v>
      </c>
      <c r="B747" t="str">
        <f t="shared" si="40"/>
        <v/>
      </c>
      <c r="C747">
        <f t="shared" si="41"/>
        <v>1900</v>
      </c>
      <c r="D747">
        <f>IF(OR(C747=1900,$D$868=0),0,VLOOKUP(A747,'Estados Financieros'!$A$18:$H$458,7,0))</f>
        <v>0</v>
      </c>
      <c r="E747" t="str">
        <f t="shared" si="39"/>
        <v>0,000</v>
      </c>
    </row>
    <row r="748" spans="1:5">
      <c r="A748">
        <v>132500</v>
      </c>
      <c r="B748" t="str">
        <f t="shared" si="40"/>
        <v/>
      </c>
      <c r="C748">
        <f t="shared" si="41"/>
        <v>1900</v>
      </c>
      <c r="D748">
        <f>IF(OR(C748=1900,$D$868=0),0,VLOOKUP(A748,'Estados Financieros'!$A$18:$H$458,7,0))</f>
        <v>0</v>
      </c>
      <c r="E748" t="str">
        <f t="shared" si="39"/>
        <v>0,000</v>
      </c>
    </row>
    <row r="749" spans="1:5">
      <c r="A749">
        <v>133000</v>
      </c>
      <c r="B749" t="str">
        <f t="shared" si="40"/>
        <v/>
      </c>
      <c r="C749">
        <f t="shared" si="41"/>
        <v>1900</v>
      </c>
      <c r="D749">
        <f>IF(OR(C749=1900,$D$868=0),0,VLOOKUP(A749,'Estados Financieros'!$A$18:$H$458,7,0))</f>
        <v>0</v>
      </c>
      <c r="E749" t="str">
        <f t="shared" si="39"/>
        <v>0,000</v>
      </c>
    </row>
    <row r="750" spans="1:5">
      <c r="A750">
        <v>133500</v>
      </c>
      <c r="B750" t="str">
        <f t="shared" si="40"/>
        <v/>
      </c>
      <c r="C750">
        <f t="shared" si="41"/>
        <v>1900</v>
      </c>
      <c r="D750">
        <f>IF(OR(C750=1900,$D$868=0),0,VLOOKUP(A750,'Estados Financieros'!$A$18:$H$458,7,0))</f>
        <v>0</v>
      </c>
      <c r="E750" t="str">
        <f t="shared" si="39"/>
        <v>0,000</v>
      </c>
    </row>
    <row r="751" spans="1:5">
      <c r="A751">
        <v>134000</v>
      </c>
      <c r="B751" t="str">
        <f t="shared" si="40"/>
        <v/>
      </c>
      <c r="C751">
        <f t="shared" si="41"/>
        <v>1900</v>
      </c>
      <c r="D751">
        <f>IF(OR(C751=1900,$D$868=0),0,VLOOKUP(A751,'Estados Financieros'!$A$18:$H$458,7,0))</f>
        <v>0</v>
      </c>
      <c r="E751" t="str">
        <f t="shared" si="39"/>
        <v>0,000</v>
      </c>
    </row>
    <row r="752" spans="1:5">
      <c r="A752">
        <v>134500</v>
      </c>
      <c r="B752" t="str">
        <f t="shared" si="40"/>
        <v/>
      </c>
      <c r="C752">
        <f t="shared" si="41"/>
        <v>1900</v>
      </c>
      <c r="D752">
        <f>IF(OR(C752=1900,$D$868=0),0,VLOOKUP(A752,'Estados Financieros'!$A$18:$H$458,7,0))</f>
        <v>0</v>
      </c>
      <c r="E752" t="str">
        <f t="shared" si="39"/>
        <v>0,000</v>
      </c>
    </row>
    <row r="753" spans="1:5">
      <c r="A753">
        <v>135000</v>
      </c>
      <c r="B753" t="str">
        <f t="shared" si="40"/>
        <v/>
      </c>
      <c r="C753">
        <f t="shared" si="41"/>
        <v>1900</v>
      </c>
      <c r="D753">
        <f>IF(OR(C753=1900,$D$868=0),0,VLOOKUP(A753,'Estados Financieros'!$A$18:$H$458,7,0))</f>
        <v>0</v>
      </c>
      <c r="E753" t="str">
        <f t="shared" si="39"/>
        <v>0,000</v>
      </c>
    </row>
    <row r="754" spans="1:5">
      <c r="A754">
        <v>135500</v>
      </c>
      <c r="B754" t="str">
        <f t="shared" si="40"/>
        <v/>
      </c>
      <c r="C754">
        <f t="shared" si="41"/>
        <v>1900</v>
      </c>
      <c r="D754">
        <f>IF(OR(C754=1900,$D$868=0),0,VLOOKUP(A754,'Estados Financieros'!$A$18:$H$458,7,0))</f>
        <v>0</v>
      </c>
      <c r="E754" t="str">
        <f t="shared" si="39"/>
        <v>0,000</v>
      </c>
    </row>
    <row r="755" spans="1:5">
      <c r="A755">
        <v>136000</v>
      </c>
      <c r="B755" t="str">
        <f t="shared" si="40"/>
        <v/>
      </c>
      <c r="C755">
        <f t="shared" si="41"/>
        <v>1900</v>
      </c>
      <c r="D755">
        <f>IF(OR(C755=1900,$D$868=0),0,VLOOKUP(A755,'Estados Financieros'!$A$18:$H$458,7,0))</f>
        <v>0</v>
      </c>
      <c r="E755" t="str">
        <f t="shared" si="39"/>
        <v>0,000</v>
      </c>
    </row>
    <row r="756" spans="1:5">
      <c r="A756">
        <v>136500</v>
      </c>
      <c r="B756" t="str">
        <f t="shared" si="40"/>
        <v/>
      </c>
      <c r="C756">
        <f t="shared" si="41"/>
        <v>1900</v>
      </c>
      <c r="D756">
        <f>IF(OR(C756=1900,$D$868=0),0,VLOOKUP(A756,'Estados Financieros'!$A$18:$H$458,7,0))</f>
        <v>0</v>
      </c>
      <c r="E756" t="str">
        <f t="shared" si="39"/>
        <v>0,000</v>
      </c>
    </row>
    <row r="757" spans="1:5">
      <c r="A757">
        <v>137000</v>
      </c>
      <c r="B757" t="str">
        <f t="shared" si="40"/>
        <v/>
      </c>
      <c r="C757">
        <f t="shared" si="41"/>
        <v>1900</v>
      </c>
      <c r="D757">
        <f>IF(OR(C757=1900,$D$868=0),0,VLOOKUP(A757,'Estados Financieros'!$A$18:$H$458,7,0))</f>
        <v>0</v>
      </c>
      <c r="E757" t="str">
        <f t="shared" si="39"/>
        <v>0,000</v>
      </c>
    </row>
    <row r="758" spans="1:5">
      <c r="A758">
        <v>139000</v>
      </c>
      <c r="B758" t="str">
        <f t="shared" si="40"/>
        <v/>
      </c>
      <c r="C758">
        <f t="shared" si="41"/>
        <v>1900</v>
      </c>
      <c r="D758">
        <f>IF(OR(C758=1900,$D$868=0),0,VLOOKUP(A758,'Estados Financieros'!$A$18:$H$458,7,0))</f>
        <v>0</v>
      </c>
      <c r="E758" t="str">
        <f t="shared" si="39"/>
        <v>0,000</v>
      </c>
    </row>
    <row r="759" spans="1:5">
      <c r="A759">
        <v>139500</v>
      </c>
      <c r="B759" t="str">
        <f t="shared" ref="B759:B780" si="42">+B758</f>
        <v/>
      </c>
      <c r="C759">
        <f t="shared" ref="C759:C780" si="43">+C758</f>
        <v>1900</v>
      </c>
      <c r="D759">
        <f>IF(OR(C759=1900,$D$868=0),0,VLOOKUP(A759,'Estados Financieros'!$A$18:$H$458,7,0))</f>
        <v>0</v>
      </c>
      <c r="E759" t="str">
        <f t="shared" si="39"/>
        <v>0,000</v>
      </c>
    </row>
    <row r="760" spans="1:5">
      <c r="A760">
        <v>139905</v>
      </c>
      <c r="B760" t="str">
        <f t="shared" si="42"/>
        <v/>
      </c>
      <c r="C760">
        <f t="shared" si="43"/>
        <v>1900</v>
      </c>
      <c r="D760">
        <f>IF(OR(C760=1900,$D$868=0),0,VLOOKUP(A760,'Estados Financieros'!$A$18:$H$458,7,0))</f>
        <v>0</v>
      </c>
      <c r="E760" t="str">
        <f t="shared" si="39"/>
        <v>0,000</v>
      </c>
    </row>
    <row r="761" spans="1:5">
      <c r="A761">
        <v>1106</v>
      </c>
      <c r="B761" t="str">
        <f t="shared" si="42"/>
        <v/>
      </c>
      <c r="C761">
        <f t="shared" si="43"/>
        <v>1900</v>
      </c>
      <c r="D761">
        <f>IF(OR(C761=1900,$D$868=0),0,VLOOKUP(A761,'Estados Financieros'!$A$18:$H$458,7,0))</f>
        <v>0</v>
      </c>
      <c r="E761" t="str">
        <f t="shared" si="39"/>
        <v>0,000</v>
      </c>
    </row>
    <row r="762" spans="1:5">
      <c r="A762">
        <v>110405</v>
      </c>
      <c r="B762" t="str">
        <f t="shared" si="42"/>
        <v/>
      </c>
      <c r="C762">
        <f t="shared" si="43"/>
        <v>1900</v>
      </c>
      <c r="D762">
        <f>IF(OR(C762=1900,$D$868=0),0,VLOOKUP(A762,'Estados Financieros'!$A$18:$H$458,7,0))</f>
        <v>0</v>
      </c>
      <c r="E762" t="str">
        <f t="shared" si="39"/>
        <v>0,000</v>
      </c>
    </row>
    <row r="763" spans="1:5">
      <c r="A763">
        <v>110410</v>
      </c>
      <c r="B763" t="str">
        <f t="shared" si="42"/>
        <v/>
      </c>
      <c r="C763">
        <f t="shared" si="43"/>
        <v>1900</v>
      </c>
      <c r="D763">
        <f>IF(OR(C763=1900,$D$868=0),0,VLOOKUP(A763,'Estados Financieros'!$A$18:$H$458,7,0))</f>
        <v>0</v>
      </c>
      <c r="E763" t="str">
        <f t="shared" si="39"/>
        <v>0,000</v>
      </c>
    </row>
    <row r="764" spans="1:5">
      <c r="A764">
        <v>142500</v>
      </c>
      <c r="B764" t="str">
        <f t="shared" si="42"/>
        <v/>
      </c>
      <c r="C764">
        <f t="shared" si="43"/>
        <v>1900</v>
      </c>
      <c r="D764">
        <f>IF(OR(C764=1900,$D$868=0),0,VLOOKUP(A764,'Estados Financieros'!$A$18:$H$458,7,0))</f>
        <v>0</v>
      </c>
      <c r="E764" t="str">
        <f t="shared" si="39"/>
        <v>0,000</v>
      </c>
    </row>
    <row r="765" spans="1:5">
      <c r="A765">
        <v>110415</v>
      </c>
      <c r="B765" t="str">
        <f t="shared" si="42"/>
        <v/>
      </c>
      <c r="C765">
        <f t="shared" si="43"/>
        <v>1900</v>
      </c>
      <c r="D765">
        <f>IF(OR(C765=1900,$D$868=0),0,VLOOKUP(A765,'Estados Financieros'!$A$18:$H$458,7,0))</f>
        <v>0</v>
      </c>
      <c r="E765" t="str">
        <f t="shared" si="39"/>
        <v>0,000</v>
      </c>
    </row>
    <row r="766" spans="1:5">
      <c r="A766">
        <v>143500</v>
      </c>
      <c r="B766" t="str">
        <f t="shared" si="42"/>
        <v/>
      </c>
      <c r="C766">
        <f t="shared" si="43"/>
        <v>1900</v>
      </c>
      <c r="D766">
        <f>IF(OR(C766=1900,$D$868=0),0,VLOOKUP(A766,'Estados Financieros'!$A$18:$H$458,7,0))</f>
        <v>0</v>
      </c>
      <c r="E766" t="str">
        <f t="shared" si="39"/>
        <v>0,000</v>
      </c>
    </row>
    <row r="767" spans="1:5">
      <c r="A767">
        <v>110420</v>
      </c>
      <c r="B767" t="str">
        <f t="shared" si="42"/>
        <v/>
      </c>
      <c r="C767">
        <f t="shared" si="43"/>
        <v>1900</v>
      </c>
      <c r="D767">
        <f>IF(OR(C767=1900,$D$868=0),0,VLOOKUP(A767,'Estados Financieros'!$A$18:$H$458,7,0))</f>
        <v>0</v>
      </c>
      <c r="E767" t="str">
        <f t="shared" si="39"/>
        <v>0,000</v>
      </c>
    </row>
    <row r="768" spans="1:5">
      <c r="A768">
        <v>110495</v>
      </c>
      <c r="B768" t="str">
        <f t="shared" si="42"/>
        <v/>
      </c>
      <c r="C768">
        <f t="shared" si="43"/>
        <v>1900</v>
      </c>
      <c r="D768">
        <f>IF(OR(C768=1900,$D$868=0),0,VLOOKUP(A768,'Estados Financieros'!$A$18:$H$458,7,0))</f>
        <v>0</v>
      </c>
      <c r="E768" t="str">
        <f t="shared" si="39"/>
        <v>0,000</v>
      </c>
    </row>
    <row r="769" spans="1:5">
      <c r="A769">
        <v>110490</v>
      </c>
      <c r="B769" t="str">
        <f t="shared" si="42"/>
        <v/>
      </c>
      <c r="C769">
        <f t="shared" si="43"/>
        <v>1900</v>
      </c>
      <c r="D769">
        <f>IF(OR(C769=1900,$D$868=0),0,VLOOKUP(A769,'Estados Financieros'!$A$18:$H$458,7,0))</f>
        <v>0</v>
      </c>
      <c r="E769" t="str">
        <f t="shared" si="39"/>
        <v>0,000</v>
      </c>
    </row>
    <row r="770" spans="1:5">
      <c r="A770">
        <v>110491</v>
      </c>
      <c r="B770" t="str">
        <f t="shared" si="42"/>
        <v/>
      </c>
      <c r="C770">
        <f t="shared" si="43"/>
        <v>1900</v>
      </c>
      <c r="D770">
        <f>IF(OR(C770=1900,$D$868=0),0,VLOOKUP(A770,'Estados Financieros'!$A$18:$H$458,7,0))</f>
        <v>0</v>
      </c>
      <c r="E770" t="str">
        <f t="shared" ref="E770:E833" si="44">IFERROR(FIXED(D770,3,1),0)</f>
        <v>0,000</v>
      </c>
    </row>
    <row r="771" spans="1:5">
      <c r="A771">
        <v>149900</v>
      </c>
      <c r="B771" t="str">
        <f t="shared" si="42"/>
        <v/>
      </c>
      <c r="C771">
        <f t="shared" si="43"/>
        <v>1900</v>
      </c>
      <c r="D771">
        <f>IF(OR(C771=1900,$D$868=0),0,VLOOKUP(A771,'Estados Financieros'!$A$18:$H$458,7,0))</f>
        <v>0</v>
      </c>
      <c r="E771" t="str">
        <f t="shared" si="44"/>
        <v>0,000</v>
      </c>
    </row>
    <row r="772" spans="1:5">
      <c r="A772">
        <v>140005</v>
      </c>
      <c r="B772" t="str">
        <f t="shared" si="42"/>
        <v/>
      </c>
      <c r="C772">
        <f t="shared" si="43"/>
        <v>1900</v>
      </c>
      <c r="D772">
        <f>IF(OR(C772=1900,$D$868=0),0,VLOOKUP(A772,'Estados Financieros'!$A$18:$H$458,7,0))</f>
        <v>0</v>
      </c>
      <c r="E772" t="str">
        <f t="shared" si="44"/>
        <v>0,000</v>
      </c>
    </row>
    <row r="773" spans="1:5">
      <c r="A773">
        <v>145500</v>
      </c>
      <c r="B773" t="str">
        <f t="shared" si="42"/>
        <v/>
      </c>
      <c r="C773">
        <f t="shared" si="43"/>
        <v>1900</v>
      </c>
      <c r="D773">
        <f>IF(OR(C773=1900,$D$868=0),0,VLOOKUP(A773,'Estados Financieros'!$A$18:$H$458,7,0))</f>
        <v>0</v>
      </c>
      <c r="E773" t="str">
        <f t="shared" si="44"/>
        <v>0,000</v>
      </c>
    </row>
    <row r="774" spans="1:5">
      <c r="A774">
        <v>146000</v>
      </c>
      <c r="B774" t="str">
        <f t="shared" si="42"/>
        <v/>
      </c>
      <c r="C774">
        <f t="shared" si="43"/>
        <v>1900</v>
      </c>
      <c r="D774">
        <f>IF(OR(C774=1900,$D$868=0),0,VLOOKUP(A774,'Estados Financieros'!$A$18:$H$458,7,0))</f>
        <v>0</v>
      </c>
      <c r="E774" t="str">
        <f t="shared" si="44"/>
        <v>0,000</v>
      </c>
    </row>
    <row r="775" spans="1:5">
      <c r="A775">
        <v>149510</v>
      </c>
      <c r="B775" t="str">
        <f t="shared" si="42"/>
        <v/>
      </c>
      <c r="C775">
        <f t="shared" si="43"/>
        <v>1900</v>
      </c>
      <c r="D775">
        <f>IF(OR(C775=1900,$D$868=0),0,VLOOKUP(A775,'Estados Financieros'!$A$18:$H$458,7,0))</f>
        <v>0</v>
      </c>
      <c r="E775" t="str">
        <f t="shared" si="44"/>
        <v>0,000</v>
      </c>
    </row>
    <row r="776" spans="1:5">
      <c r="A776">
        <v>149901</v>
      </c>
      <c r="B776" t="str">
        <f t="shared" si="42"/>
        <v/>
      </c>
      <c r="C776">
        <f t="shared" si="43"/>
        <v>1900</v>
      </c>
      <c r="D776">
        <f>IF(OR(C776=1900,$D$868=0),0,VLOOKUP(A776,'Estados Financieros'!$A$18:$H$458,7,0))</f>
        <v>0</v>
      </c>
      <c r="E776" t="str">
        <f t="shared" si="44"/>
        <v>0,000</v>
      </c>
    </row>
    <row r="777" spans="1:5">
      <c r="A777">
        <v>149902</v>
      </c>
      <c r="B777" t="str">
        <f t="shared" si="42"/>
        <v/>
      </c>
      <c r="C777">
        <f t="shared" si="43"/>
        <v>1900</v>
      </c>
      <c r="D777">
        <f>IF(OR(C777=1900,$D$868=0),0,VLOOKUP(A777,'Estados Financieros'!$A$18:$H$458,7,0))</f>
        <v>0</v>
      </c>
      <c r="E777" t="str">
        <f t="shared" si="44"/>
        <v>0,000</v>
      </c>
    </row>
    <row r="778" spans="1:5">
      <c r="A778">
        <v>149910</v>
      </c>
      <c r="B778" t="str">
        <f t="shared" si="42"/>
        <v/>
      </c>
      <c r="C778">
        <f t="shared" si="43"/>
        <v>1900</v>
      </c>
      <c r="D778">
        <f>IF(OR(C778=1900,$D$868=0),0,VLOOKUP(A778,'Estados Financieros'!$A$18:$H$458,7,0))</f>
        <v>0</v>
      </c>
      <c r="E778" t="str">
        <f t="shared" si="44"/>
        <v>0,000</v>
      </c>
    </row>
    <row r="779" spans="1:5">
      <c r="A779">
        <v>140010</v>
      </c>
      <c r="B779" t="str">
        <f t="shared" si="42"/>
        <v/>
      </c>
      <c r="C779">
        <f t="shared" si="43"/>
        <v>1900</v>
      </c>
      <c r="D779">
        <f>IF(OR(C779=1900,$D$868=0),0,VLOOKUP(A779,'Estados Financieros'!$A$18:$H$458,7,0))</f>
        <v>0</v>
      </c>
      <c r="E779" t="str">
        <f t="shared" si="44"/>
        <v>0,000</v>
      </c>
    </row>
    <row r="780" spans="1:5">
      <c r="A780">
        <v>1104</v>
      </c>
      <c r="B780" t="str">
        <f t="shared" si="42"/>
        <v/>
      </c>
      <c r="C780">
        <f t="shared" si="43"/>
        <v>1900</v>
      </c>
      <c r="D780">
        <f>+D779+D772</f>
        <v>0</v>
      </c>
      <c r="E780" t="str">
        <f t="shared" si="44"/>
        <v>0,000</v>
      </c>
    </row>
    <row r="781" spans="1:5">
      <c r="A781">
        <v>170500</v>
      </c>
      <c r="B781" t="str">
        <f>+B779</f>
        <v/>
      </c>
      <c r="C781">
        <f>+C779</f>
        <v>1900</v>
      </c>
      <c r="D781">
        <f>IF(OR(C781=1900,$D$868=0),0,VLOOKUP(A781,'Estados Financieros'!$A$18:$H$458,7,0))</f>
        <v>0</v>
      </c>
      <c r="E781" t="str">
        <f t="shared" si="44"/>
        <v>0,000</v>
      </c>
    </row>
    <row r="782" spans="1:5">
      <c r="A782">
        <v>171000</v>
      </c>
      <c r="B782" t="str">
        <f t="shared" ref="B782:B845" si="45">+B781</f>
        <v/>
      </c>
      <c r="C782">
        <f t="shared" ref="C782:C845" si="46">+C781</f>
        <v>1900</v>
      </c>
      <c r="D782">
        <f>IF(OR(C782=1900,$D$868=0),0,VLOOKUP(A782,'Estados Financieros'!$A$18:$H$458,7,0))</f>
        <v>0</v>
      </c>
      <c r="E782" t="str">
        <f t="shared" si="44"/>
        <v>0,000</v>
      </c>
    </row>
    <row r="783" spans="1:5">
      <c r="A783">
        <v>173000</v>
      </c>
      <c r="B783" t="str">
        <f t="shared" si="45"/>
        <v/>
      </c>
      <c r="C783">
        <f t="shared" si="46"/>
        <v>1900</v>
      </c>
      <c r="D783">
        <f>IF(OR(C783=1900,$D$868=0),0,VLOOKUP(A783,'Estados Financieros'!$A$18:$H$458,7,0))</f>
        <v>0</v>
      </c>
      <c r="E783" t="str">
        <f t="shared" si="44"/>
        <v>0,000</v>
      </c>
    </row>
    <row r="784" spans="1:5">
      <c r="A784">
        <v>179500</v>
      </c>
      <c r="B784" t="str">
        <f t="shared" si="45"/>
        <v/>
      </c>
      <c r="C784">
        <f t="shared" si="46"/>
        <v>1900</v>
      </c>
      <c r="D784">
        <f>IF(OR(C784=1900,$D$868=0),0,VLOOKUP(A784,'Estados Financieros'!$A$18:$H$458,7,0))</f>
        <v>0</v>
      </c>
      <c r="E784" t="str">
        <f t="shared" si="44"/>
        <v>0,000</v>
      </c>
    </row>
    <row r="785" spans="1:5">
      <c r="A785">
        <v>179700</v>
      </c>
      <c r="B785" t="str">
        <f t="shared" si="45"/>
        <v/>
      </c>
      <c r="C785">
        <f t="shared" si="46"/>
        <v>1900</v>
      </c>
      <c r="D785">
        <f>IF(OR(C785=1900,$D$868=0),0,VLOOKUP(A785,'Estados Financieros'!$A$18:$H$458,7,0))</f>
        <v>0</v>
      </c>
      <c r="E785" t="str">
        <f t="shared" si="44"/>
        <v>0,000</v>
      </c>
    </row>
    <row r="786" spans="1:5">
      <c r="A786">
        <v>1107</v>
      </c>
      <c r="B786" t="str">
        <f t="shared" si="45"/>
        <v/>
      </c>
      <c r="C786">
        <f t="shared" si="46"/>
        <v>1900</v>
      </c>
      <c r="D786">
        <f>IF(OR(C786=1900,$D$868=0),0,VLOOKUP(A786,'Estados Financieros'!$A$18:$H$458,7,0))</f>
        <v>0</v>
      </c>
      <c r="E786" t="str">
        <f t="shared" si="44"/>
        <v>0,000</v>
      </c>
    </row>
    <row r="787" spans="1:5">
      <c r="A787">
        <v>189500</v>
      </c>
      <c r="B787" t="str">
        <f t="shared" si="45"/>
        <v/>
      </c>
      <c r="C787">
        <f t="shared" si="46"/>
        <v>1900</v>
      </c>
      <c r="D787">
        <f>IF(OR(C787=1900,$D$868=0),0,VLOOKUP(A787,'Estados Financieros'!$A$18:$H$458,7,0))</f>
        <v>0</v>
      </c>
      <c r="E787" t="str">
        <f t="shared" si="44"/>
        <v>0,000</v>
      </c>
    </row>
    <row r="788" spans="1:5">
      <c r="A788">
        <v>181000</v>
      </c>
      <c r="B788" t="str">
        <f t="shared" si="45"/>
        <v/>
      </c>
      <c r="C788">
        <f t="shared" si="46"/>
        <v>1900</v>
      </c>
      <c r="D788">
        <f>IF(OR(C788=1900,$D$868=0),0,VLOOKUP(A788,'Estados Financieros'!$A$18:$H$458,7,0))</f>
        <v>0</v>
      </c>
      <c r="E788" t="str">
        <f t="shared" si="44"/>
        <v>0,000</v>
      </c>
    </row>
    <row r="789" spans="1:5">
      <c r="A789">
        <v>180000</v>
      </c>
      <c r="B789" t="str">
        <f t="shared" si="45"/>
        <v/>
      </c>
      <c r="C789">
        <f t="shared" si="46"/>
        <v>1900</v>
      </c>
      <c r="D789">
        <f>IF(OR(C789=1900,$D$868=0),0,VLOOKUP(A789,'Estados Financieros'!$A$18:$H$458,7,0))</f>
        <v>0</v>
      </c>
      <c r="E789" t="str">
        <f t="shared" si="44"/>
        <v>0,000</v>
      </c>
    </row>
    <row r="790" spans="1:5">
      <c r="A790">
        <v>11</v>
      </c>
      <c r="B790" t="str">
        <f t="shared" si="45"/>
        <v/>
      </c>
      <c r="C790">
        <f t="shared" si="46"/>
        <v>1900</v>
      </c>
      <c r="D790">
        <f>IF(OR(C790=1900,$D$868=0),0,VLOOKUP(A790,'Estados Financieros'!$A$18:$H$458,7,0))</f>
        <v>0</v>
      </c>
      <c r="E790" t="str">
        <f t="shared" si="44"/>
        <v>0,000</v>
      </c>
    </row>
    <row r="791" spans="1:5">
      <c r="A791">
        <v>120104</v>
      </c>
      <c r="B791" t="str">
        <f t="shared" si="45"/>
        <v/>
      </c>
      <c r="C791">
        <f t="shared" si="46"/>
        <v>1900</v>
      </c>
      <c r="D791">
        <f>IF(OR(C791=1900,$D$868=0),0,VLOOKUP(A791,'Estados Financieros'!$A$18:$H$458,7,0))</f>
        <v>0</v>
      </c>
      <c r="E791" t="str">
        <f t="shared" si="44"/>
        <v>0,000</v>
      </c>
    </row>
    <row r="792" spans="1:5">
      <c r="A792">
        <v>120108</v>
      </c>
      <c r="B792" t="str">
        <f t="shared" si="45"/>
        <v/>
      </c>
      <c r="C792">
        <f t="shared" si="46"/>
        <v>1900</v>
      </c>
      <c r="D792">
        <f>IF(OR(C792=1900,$D$868=0),0,VLOOKUP(A792,'Estados Financieros'!$A$18:$H$458,7,0))</f>
        <v>0</v>
      </c>
      <c r="E792" t="str">
        <f t="shared" si="44"/>
        <v>0,000</v>
      </c>
    </row>
    <row r="793" spans="1:5">
      <c r="A793">
        <v>151201</v>
      </c>
      <c r="B793" t="str">
        <f t="shared" si="45"/>
        <v/>
      </c>
      <c r="C793">
        <f t="shared" si="46"/>
        <v>1900</v>
      </c>
      <c r="D793">
        <f>IF(OR(C793=1900,$D$868=0),0,VLOOKUP(A793,'Estados Financieros'!$A$18:$H$458,7,0))</f>
        <v>0</v>
      </c>
      <c r="E793" t="str">
        <f t="shared" si="44"/>
        <v>0,000</v>
      </c>
    </row>
    <row r="794" spans="1:5">
      <c r="A794">
        <v>120116</v>
      </c>
      <c r="B794" t="str">
        <f t="shared" si="45"/>
        <v/>
      </c>
      <c r="C794">
        <f t="shared" si="46"/>
        <v>1900</v>
      </c>
      <c r="D794">
        <f>IF(OR(C794=1900,$D$868=0),0,VLOOKUP(A794,'Estados Financieros'!$A$18:$H$458,7,0))</f>
        <v>0</v>
      </c>
      <c r="E794" t="str">
        <f t="shared" si="44"/>
        <v>0,000</v>
      </c>
    </row>
    <row r="795" spans="1:5">
      <c r="A795">
        <v>120120</v>
      </c>
      <c r="B795" t="str">
        <f t="shared" si="45"/>
        <v/>
      </c>
      <c r="C795">
        <f t="shared" si="46"/>
        <v>1900</v>
      </c>
      <c r="D795">
        <f>IF(OR(C795=1900,$D$868=0),0,VLOOKUP(A795,'Estados Financieros'!$A$18:$H$458,7,0))</f>
        <v>0</v>
      </c>
      <c r="E795" t="str">
        <f t="shared" si="44"/>
        <v>0,000</v>
      </c>
    </row>
    <row r="796" spans="1:5">
      <c r="A796">
        <v>120124</v>
      </c>
      <c r="B796" t="str">
        <f t="shared" si="45"/>
        <v/>
      </c>
      <c r="C796">
        <f t="shared" si="46"/>
        <v>1900</v>
      </c>
      <c r="D796">
        <f>IF(OR(C796=1900,$D$868=0),0,VLOOKUP(A796,'Estados Financieros'!$A$18:$H$458,7,0))</f>
        <v>0</v>
      </c>
      <c r="E796" t="str">
        <f t="shared" si="44"/>
        <v>0,000</v>
      </c>
    </row>
    <row r="797" spans="1:5">
      <c r="A797">
        <v>120128</v>
      </c>
      <c r="B797" t="str">
        <f t="shared" si="45"/>
        <v/>
      </c>
      <c r="C797">
        <f t="shared" si="46"/>
        <v>1900</v>
      </c>
      <c r="D797">
        <f>IF(OR(C797=1900,$D$868=0),0,VLOOKUP(A797,'Estados Financieros'!$A$18:$H$458,7,0))</f>
        <v>0</v>
      </c>
      <c r="E797" t="str">
        <f t="shared" si="44"/>
        <v>0,000</v>
      </c>
    </row>
    <row r="798" spans="1:5">
      <c r="A798">
        <v>120140</v>
      </c>
      <c r="B798" t="str">
        <f t="shared" si="45"/>
        <v/>
      </c>
      <c r="C798">
        <f t="shared" si="46"/>
        <v>1900</v>
      </c>
      <c r="D798">
        <f>IF(OR(C798=1900,$D$868=0),0,VLOOKUP(A798,'Estados Financieros'!$A$18:$H$458,7,0))</f>
        <v>0</v>
      </c>
      <c r="E798" t="str">
        <f t="shared" si="44"/>
        <v>0,000</v>
      </c>
    </row>
    <row r="799" spans="1:5">
      <c r="A799">
        <v>155601</v>
      </c>
      <c r="B799" t="str">
        <f t="shared" si="45"/>
        <v/>
      </c>
      <c r="C799">
        <f t="shared" si="46"/>
        <v>1900</v>
      </c>
      <c r="D799">
        <f>IF(OR(C799=1900,$D$868=0),0,VLOOKUP(A799,'Estados Financieros'!$A$18:$H$458,7,0))</f>
        <v>0</v>
      </c>
      <c r="E799" t="str">
        <f t="shared" si="44"/>
        <v>0,000</v>
      </c>
    </row>
    <row r="800" spans="1:5">
      <c r="A800">
        <v>156001</v>
      </c>
      <c r="B800" t="str">
        <f t="shared" si="45"/>
        <v/>
      </c>
      <c r="C800">
        <f t="shared" si="46"/>
        <v>1900</v>
      </c>
      <c r="D800">
        <f>IF(OR(C800=1900,$D$868=0),0,VLOOKUP(A800,'Estados Financieros'!$A$18:$H$458,7,0))</f>
        <v>0</v>
      </c>
      <c r="E800" t="str">
        <f t="shared" si="44"/>
        <v>0,000</v>
      </c>
    </row>
    <row r="801" spans="1:5">
      <c r="A801">
        <v>156401</v>
      </c>
      <c r="B801" t="str">
        <f t="shared" si="45"/>
        <v/>
      </c>
      <c r="C801">
        <f t="shared" si="46"/>
        <v>1900</v>
      </c>
      <c r="D801">
        <f>IF(OR(C801=1900,$D$868=0),0,VLOOKUP(A801,'Estados Financieros'!$A$18:$H$458,7,0))</f>
        <v>0</v>
      </c>
      <c r="E801" t="str">
        <f t="shared" si="44"/>
        <v>0,000</v>
      </c>
    </row>
    <row r="802" spans="1:5">
      <c r="A802">
        <v>157201</v>
      </c>
      <c r="B802" t="str">
        <f t="shared" si="45"/>
        <v/>
      </c>
      <c r="C802">
        <f t="shared" si="46"/>
        <v>1900</v>
      </c>
      <c r="D802">
        <f>IF(OR(C802=1900,$D$868=0),0,VLOOKUP(A802,'Estados Financieros'!$A$18:$H$458,7,0))</f>
        <v>0</v>
      </c>
      <c r="E802" t="str">
        <f t="shared" si="44"/>
        <v>0,000</v>
      </c>
    </row>
    <row r="803" spans="1:5">
      <c r="A803">
        <v>157601</v>
      </c>
      <c r="B803" t="str">
        <f t="shared" si="45"/>
        <v/>
      </c>
      <c r="C803">
        <f t="shared" si="46"/>
        <v>1900</v>
      </c>
      <c r="D803">
        <f>IF(OR(C803=1900,$D$868=0),0,VLOOKUP(A803,'Estados Financieros'!$A$18:$H$458,7,0))</f>
        <v>0</v>
      </c>
      <c r="E803" t="str">
        <f t="shared" si="44"/>
        <v>0,000</v>
      </c>
    </row>
    <row r="804" spans="1:5">
      <c r="A804">
        <v>158401</v>
      </c>
      <c r="B804" t="str">
        <f t="shared" si="45"/>
        <v/>
      </c>
      <c r="C804">
        <f t="shared" si="46"/>
        <v>1900</v>
      </c>
      <c r="D804">
        <f>IF(OR(C804=1900,$D$868=0),0,VLOOKUP(A804,'Estados Financieros'!$A$18:$H$458,7,0))</f>
        <v>0</v>
      </c>
      <c r="E804" t="str">
        <f t="shared" si="44"/>
        <v>0,000</v>
      </c>
    </row>
    <row r="805" spans="1:5">
      <c r="A805">
        <v>158801</v>
      </c>
      <c r="B805" t="str">
        <f t="shared" si="45"/>
        <v/>
      </c>
      <c r="C805">
        <f t="shared" si="46"/>
        <v>1900</v>
      </c>
      <c r="D805">
        <f>IF(OR(C805=1900,$D$868=0),0,VLOOKUP(A805,'Estados Financieros'!$A$18:$H$458,7,0))</f>
        <v>0</v>
      </c>
      <c r="E805" t="str">
        <f t="shared" si="44"/>
        <v>0,000</v>
      </c>
    </row>
    <row r="806" spans="1:5">
      <c r="A806">
        <v>120145</v>
      </c>
      <c r="B806" t="str">
        <f t="shared" si="45"/>
        <v/>
      </c>
      <c r="C806">
        <f t="shared" si="46"/>
        <v>1900</v>
      </c>
      <c r="D806">
        <f>IF(OR(C806=1900,$D$868=0),0,VLOOKUP(A806,'Estados Financieros'!$A$18:$H$458,7,0))</f>
        <v>0</v>
      </c>
      <c r="E806" t="str">
        <f t="shared" si="44"/>
        <v>0,000</v>
      </c>
    </row>
    <row r="807" spans="1:5">
      <c r="A807">
        <v>120195</v>
      </c>
      <c r="B807" t="str">
        <f t="shared" si="45"/>
        <v/>
      </c>
      <c r="C807">
        <f t="shared" si="46"/>
        <v>1900</v>
      </c>
      <c r="D807">
        <f>IF(OR(C807=1900,$D$868=0),0,VLOOKUP(A807,'Estados Financieros'!$A$18:$H$458,7,0))</f>
        <v>0</v>
      </c>
      <c r="E807" t="str">
        <f t="shared" si="44"/>
        <v>0,000</v>
      </c>
    </row>
    <row r="808" spans="1:5">
      <c r="A808">
        <v>159701</v>
      </c>
      <c r="B808" t="str">
        <f t="shared" si="45"/>
        <v/>
      </c>
      <c r="C808">
        <f t="shared" si="46"/>
        <v>1900</v>
      </c>
      <c r="D808">
        <f>IF(OR(C808=1900,$D$868=0),0,VLOOKUP(A808,'Estados Financieros'!$A$18:$H$458,7,0))</f>
        <v>0</v>
      </c>
      <c r="E808" t="str">
        <f t="shared" si="44"/>
        <v>0,000</v>
      </c>
    </row>
    <row r="809" spans="1:5">
      <c r="A809">
        <v>159899</v>
      </c>
      <c r="B809" t="str">
        <f t="shared" si="45"/>
        <v/>
      </c>
      <c r="C809">
        <f t="shared" si="46"/>
        <v>1900</v>
      </c>
      <c r="D809">
        <f>IF(OR(C809=1900,$D$868=0),0,VLOOKUP(A809,'Estados Financieros'!$A$18:$H$458,7,0))</f>
        <v>0</v>
      </c>
      <c r="E809" t="str">
        <f t="shared" si="44"/>
        <v>0,000</v>
      </c>
    </row>
    <row r="810" spans="1:5">
      <c r="A810">
        <v>159901</v>
      </c>
      <c r="B810" t="str">
        <f t="shared" si="45"/>
        <v/>
      </c>
      <c r="C810">
        <f t="shared" si="46"/>
        <v>1900</v>
      </c>
      <c r="D810">
        <f>IF(OR(C810=1900,$D$868=0),0,VLOOKUP(A810,'Estados Financieros'!$A$18:$H$458,7,0))</f>
        <v>0</v>
      </c>
      <c r="E810" t="str">
        <f t="shared" si="44"/>
        <v>0,000</v>
      </c>
    </row>
    <row r="811" spans="1:5">
      <c r="A811">
        <v>1201</v>
      </c>
      <c r="B811" t="str">
        <f t="shared" si="45"/>
        <v/>
      </c>
      <c r="C811">
        <f t="shared" si="46"/>
        <v>1900</v>
      </c>
      <c r="D811">
        <f>IF(OR(C811=1900,$D$868=0),0,VLOOKUP(A811,'Estados Financieros'!$A$18:$H$458,7,0))</f>
        <v>0</v>
      </c>
      <c r="E811" t="str">
        <f t="shared" si="44"/>
        <v>0,000</v>
      </c>
    </row>
    <row r="812" spans="1:5">
      <c r="A812">
        <v>130506</v>
      </c>
      <c r="B812" t="str">
        <f t="shared" si="45"/>
        <v/>
      </c>
      <c r="C812">
        <f t="shared" si="46"/>
        <v>1900</v>
      </c>
      <c r="D812">
        <f>IF(OR(C812=1900,$D$868=0),0,VLOOKUP(A812,'Estados Financieros'!$A$18:$H$458,7,0))</f>
        <v>0</v>
      </c>
      <c r="E812" t="str">
        <f t="shared" si="44"/>
        <v>0,000</v>
      </c>
    </row>
    <row r="813" spans="1:5">
      <c r="A813">
        <v>130511</v>
      </c>
      <c r="B813" t="str">
        <f t="shared" si="45"/>
        <v/>
      </c>
      <c r="C813">
        <f t="shared" si="46"/>
        <v>1900</v>
      </c>
      <c r="D813">
        <f>IF(OR(C813=1900,$D$868=0),0,VLOOKUP(A813,'Estados Financieros'!$A$18:$H$458,7,0))</f>
        <v>0</v>
      </c>
      <c r="E813" t="str">
        <f t="shared" si="44"/>
        <v>0,000</v>
      </c>
    </row>
    <row r="814" spans="1:5">
      <c r="A814">
        <v>131001</v>
      </c>
      <c r="B814" t="str">
        <f t="shared" si="45"/>
        <v/>
      </c>
      <c r="C814">
        <f t="shared" si="46"/>
        <v>1900</v>
      </c>
      <c r="D814">
        <f>IF(OR(C814=1900,$D$868=0),0,VLOOKUP(A814,'Estados Financieros'!$A$18:$H$458,7,0))</f>
        <v>0</v>
      </c>
      <c r="E814" t="str">
        <f t="shared" si="44"/>
        <v>0,000</v>
      </c>
    </row>
    <row r="815" spans="1:5">
      <c r="A815">
        <v>131501</v>
      </c>
      <c r="B815" t="str">
        <f t="shared" si="45"/>
        <v/>
      </c>
      <c r="C815">
        <f t="shared" si="46"/>
        <v>1900</v>
      </c>
      <c r="D815">
        <f>IF(OR(C815=1900,$D$868=0),0,VLOOKUP(A815,'Estados Financieros'!$A$18:$H$458,7,0))</f>
        <v>0</v>
      </c>
      <c r="E815" t="str">
        <f t="shared" si="44"/>
        <v>0,000</v>
      </c>
    </row>
    <row r="816" spans="1:5">
      <c r="A816">
        <v>132001</v>
      </c>
      <c r="B816" t="str">
        <f t="shared" si="45"/>
        <v/>
      </c>
      <c r="C816">
        <f t="shared" si="46"/>
        <v>1900</v>
      </c>
      <c r="D816">
        <f>IF(OR(C816=1900,$D$868=0),0,VLOOKUP(A816,'Estados Financieros'!$A$18:$H$458,7,0))</f>
        <v>0</v>
      </c>
      <c r="E816" t="str">
        <f t="shared" si="44"/>
        <v>0,000</v>
      </c>
    </row>
    <row r="817" spans="1:5">
      <c r="A817">
        <v>132501</v>
      </c>
      <c r="B817" t="str">
        <f t="shared" si="45"/>
        <v/>
      </c>
      <c r="C817">
        <f t="shared" si="46"/>
        <v>1900</v>
      </c>
      <c r="D817">
        <f>IF(OR(C817=1900,$D$868=0),0,VLOOKUP(A817,'Estados Financieros'!$A$18:$H$458,7,0))</f>
        <v>0</v>
      </c>
      <c r="E817" t="str">
        <f t="shared" si="44"/>
        <v>0,000</v>
      </c>
    </row>
    <row r="818" spans="1:5">
      <c r="A818">
        <v>133001</v>
      </c>
      <c r="B818" t="str">
        <f t="shared" si="45"/>
        <v/>
      </c>
      <c r="C818">
        <f t="shared" si="46"/>
        <v>1900</v>
      </c>
      <c r="D818">
        <f>IF(OR(C818=1900,$D$868=0),0,VLOOKUP(A818,'Estados Financieros'!$A$18:$H$458,7,0))</f>
        <v>0</v>
      </c>
      <c r="E818" t="str">
        <f t="shared" si="44"/>
        <v>0,000</v>
      </c>
    </row>
    <row r="819" spans="1:5">
      <c r="A819">
        <v>133501</v>
      </c>
      <c r="B819" t="str">
        <f t="shared" si="45"/>
        <v/>
      </c>
      <c r="C819">
        <f t="shared" si="46"/>
        <v>1900</v>
      </c>
      <c r="D819">
        <f>IF(OR(C819=1900,$D$868=0),0,VLOOKUP(A819,'Estados Financieros'!$A$18:$H$458,7,0))</f>
        <v>0</v>
      </c>
      <c r="E819" t="str">
        <f t="shared" si="44"/>
        <v>0,000</v>
      </c>
    </row>
    <row r="820" spans="1:5">
      <c r="A820">
        <v>134001</v>
      </c>
      <c r="B820" t="str">
        <f t="shared" si="45"/>
        <v/>
      </c>
      <c r="C820">
        <f t="shared" si="46"/>
        <v>1900</v>
      </c>
      <c r="D820">
        <f>IF(OR(C820=1900,$D$868=0),0,VLOOKUP(A820,'Estados Financieros'!$A$18:$H$458,7,0))</f>
        <v>0</v>
      </c>
      <c r="E820" t="str">
        <f t="shared" si="44"/>
        <v>0,000</v>
      </c>
    </row>
    <row r="821" spans="1:5">
      <c r="A821">
        <v>134501</v>
      </c>
      <c r="B821" t="str">
        <f t="shared" si="45"/>
        <v/>
      </c>
      <c r="C821">
        <f t="shared" si="46"/>
        <v>1900</v>
      </c>
      <c r="D821">
        <f>IF(OR(C821=1900,$D$868=0),0,VLOOKUP(A821,'Estados Financieros'!$A$18:$H$458,7,0))</f>
        <v>0</v>
      </c>
      <c r="E821" t="str">
        <f t="shared" si="44"/>
        <v>0,000</v>
      </c>
    </row>
    <row r="822" spans="1:5">
      <c r="A822">
        <v>135001</v>
      </c>
      <c r="B822" t="str">
        <f t="shared" si="45"/>
        <v/>
      </c>
      <c r="C822">
        <f t="shared" si="46"/>
        <v>1900</v>
      </c>
      <c r="D822">
        <f>IF(OR(C822=1900,$D$868=0),0,VLOOKUP(A822,'Estados Financieros'!$A$18:$H$458,7,0))</f>
        <v>0</v>
      </c>
      <c r="E822" t="str">
        <f t="shared" si="44"/>
        <v>0,000</v>
      </c>
    </row>
    <row r="823" spans="1:5">
      <c r="A823">
        <v>135501</v>
      </c>
      <c r="B823" t="str">
        <f t="shared" si="45"/>
        <v/>
      </c>
      <c r="C823">
        <f t="shared" si="46"/>
        <v>1900</v>
      </c>
      <c r="D823">
        <f>IF(OR(C823=1900,$D$868=0),0,VLOOKUP(A823,'Estados Financieros'!$A$18:$H$458,7,0))</f>
        <v>0</v>
      </c>
      <c r="E823" t="str">
        <f t="shared" si="44"/>
        <v>0,000</v>
      </c>
    </row>
    <row r="824" spans="1:5">
      <c r="A824">
        <v>136001</v>
      </c>
      <c r="B824" t="str">
        <f t="shared" si="45"/>
        <v/>
      </c>
      <c r="C824">
        <f t="shared" si="46"/>
        <v>1900</v>
      </c>
      <c r="D824">
        <f>IF(OR(C824=1900,$D$868=0),0,VLOOKUP(A824,'Estados Financieros'!$A$18:$H$458,7,0))</f>
        <v>0</v>
      </c>
      <c r="E824" t="str">
        <f t="shared" si="44"/>
        <v>0,000</v>
      </c>
    </row>
    <row r="825" spans="1:5">
      <c r="A825">
        <v>136501</v>
      </c>
      <c r="B825" t="str">
        <f t="shared" si="45"/>
        <v/>
      </c>
      <c r="C825">
        <f t="shared" si="46"/>
        <v>1900</v>
      </c>
      <c r="D825">
        <f>IF(OR(C825=1900,$D$868=0),0,VLOOKUP(A825,'Estados Financieros'!$A$18:$H$458,7,0))</f>
        <v>0</v>
      </c>
      <c r="E825" t="str">
        <f t="shared" si="44"/>
        <v>0,000</v>
      </c>
    </row>
    <row r="826" spans="1:5">
      <c r="A826">
        <v>137001</v>
      </c>
      <c r="B826" t="str">
        <f t="shared" si="45"/>
        <v/>
      </c>
      <c r="C826">
        <f t="shared" si="46"/>
        <v>1900</v>
      </c>
      <c r="D826">
        <f>IF(OR(C826=1900,$D$868=0),0,VLOOKUP(A826,'Estados Financieros'!$A$18:$H$458,7,0))</f>
        <v>0</v>
      </c>
      <c r="E826" t="str">
        <f t="shared" si="44"/>
        <v>0,000</v>
      </c>
    </row>
    <row r="827" spans="1:5">
      <c r="A827">
        <v>138001</v>
      </c>
      <c r="B827" t="str">
        <f t="shared" si="45"/>
        <v/>
      </c>
      <c r="C827">
        <f t="shared" si="46"/>
        <v>1900</v>
      </c>
      <c r="D827">
        <f>IF(OR(C827=1900,$D$868=0),0,VLOOKUP(A827,'Estados Financieros'!$A$18:$H$458,7,0))</f>
        <v>0</v>
      </c>
      <c r="E827" t="str">
        <f t="shared" si="44"/>
        <v>0,000</v>
      </c>
    </row>
    <row r="828" spans="1:5">
      <c r="A828">
        <v>138501</v>
      </c>
      <c r="B828" t="str">
        <f t="shared" si="45"/>
        <v/>
      </c>
      <c r="C828">
        <f t="shared" si="46"/>
        <v>1900</v>
      </c>
      <c r="D828">
        <f>IF(OR(C828=1900,$D$868=0),0,VLOOKUP(A828,'Estados Financieros'!$A$18:$H$458,7,0))</f>
        <v>0</v>
      </c>
      <c r="E828" t="str">
        <f t="shared" si="44"/>
        <v>0,000</v>
      </c>
    </row>
    <row r="829" spans="1:5">
      <c r="A829">
        <v>139001</v>
      </c>
      <c r="B829" t="str">
        <f t="shared" si="45"/>
        <v/>
      </c>
      <c r="C829">
        <f t="shared" si="46"/>
        <v>1900</v>
      </c>
      <c r="D829">
        <f>IF(OR(C829=1900,$D$868=0),0,VLOOKUP(A829,'Estados Financieros'!$A$18:$H$458,7,0))</f>
        <v>0</v>
      </c>
      <c r="E829" t="str">
        <f t="shared" si="44"/>
        <v>0,000</v>
      </c>
    </row>
    <row r="830" spans="1:5">
      <c r="A830">
        <v>139901</v>
      </c>
      <c r="B830" t="str">
        <f t="shared" si="45"/>
        <v/>
      </c>
      <c r="C830">
        <f t="shared" si="46"/>
        <v>1900</v>
      </c>
      <c r="D830">
        <f>IF(OR(C830=1900,$D$868=0),0,VLOOKUP(A830,'Estados Financieros'!$A$18:$H$458,7,0))</f>
        <v>0</v>
      </c>
      <c r="E830" t="str">
        <f t="shared" si="44"/>
        <v>0,000</v>
      </c>
    </row>
    <row r="831" spans="1:5">
      <c r="A831">
        <v>1205</v>
      </c>
      <c r="B831" t="str">
        <f t="shared" si="45"/>
        <v/>
      </c>
      <c r="C831">
        <f t="shared" si="46"/>
        <v>1900</v>
      </c>
      <c r="D831">
        <f>IF(OR(C831=1900,$D$868=0),0,VLOOKUP(A831,'Estados Financieros'!$A$18:$H$458,7,0))</f>
        <v>0</v>
      </c>
      <c r="E831" t="str">
        <f t="shared" si="44"/>
        <v>0,000</v>
      </c>
    </row>
    <row r="832" spans="1:5">
      <c r="A832">
        <v>120501</v>
      </c>
      <c r="B832" t="str">
        <f t="shared" si="45"/>
        <v/>
      </c>
      <c r="C832">
        <f t="shared" si="46"/>
        <v>1900</v>
      </c>
      <c r="D832">
        <f>IF(OR(C832=1900,$D$868=0),0,VLOOKUP(A832,'Estados Financieros'!$A$18:$H$458,7,0))</f>
        <v>0</v>
      </c>
      <c r="E832" t="str">
        <f t="shared" si="44"/>
        <v>0,000</v>
      </c>
    </row>
    <row r="833" spans="1:5">
      <c r="A833">
        <v>121001</v>
      </c>
      <c r="B833" t="str">
        <f t="shared" si="45"/>
        <v/>
      </c>
      <c r="C833">
        <f t="shared" si="46"/>
        <v>1900</v>
      </c>
      <c r="D833">
        <f>IF(OR(C833=1900,$D$868=0),0,VLOOKUP(A833,'Estados Financieros'!$A$18:$H$458,7,0))</f>
        <v>0</v>
      </c>
      <c r="E833" t="str">
        <f t="shared" si="44"/>
        <v>0,000</v>
      </c>
    </row>
    <row r="834" spans="1:5">
      <c r="A834">
        <v>121501</v>
      </c>
      <c r="B834" t="str">
        <f t="shared" si="45"/>
        <v/>
      </c>
      <c r="C834">
        <f t="shared" si="46"/>
        <v>1900</v>
      </c>
      <c r="D834">
        <f>IF(OR(C834=1900,$D$868=0),0,VLOOKUP(A834,'Estados Financieros'!$A$18:$H$458,7,0))</f>
        <v>0</v>
      </c>
      <c r="E834" t="str">
        <f t="shared" ref="E834:E897" si="47">IFERROR(FIXED(D834,3,1),0)</f>
        <v>0,000</v>
      </c>
    </row>
    <row r="835" spans="1:5">
      <c r="A835">
        <v>123501</v>
      </c>
      <c r="B835" t="str">
        <f t="shared" si="45"/>
        <v/>
      </c>
      <c r="C835">
        <f t="shared" si="46"/>
        <v>1900</v>
      </c>
      <c r="D835">
        <f>IF(OR(C835=1900,$D$868=0),0,VLOOKUP(A835,'Estados Financieros'!$A$18:$H$458,7,0))</f>
        <v>0</v>
      </c>
      <c r="E835" t="str">
        <f t="shared" si="47"/>
        <v>0,000</v>
      </c>
    </row>
    <row r="836" spans="1:5">
      <c r="A836">
        <v>125501</v>
      </c>
      <c r="B836" t="str">
        <f t="shared" si="45"/>
        <v/>
      </c>
      <c r="C836">
        <f t="shared" si="46"/>
        <v>1900</v>
      </c>
      <c r="D836">
        <f>IF(OR(C836=1900,$D$868=0),0,VLOOKUP(A836,'Estados Financieros'!$A$18:$H$458,7,0))</f>
        <v>0</v>
      </c>
      <c r="E836" t="str">
        <f t="shared" si="47"/>
        <v>0,000</v>
      </c>
    </row>
    <row r="837" spans="1:5">
      <c r="A837">
        <v>126001</v>
      </c>
      <c r="B837" t="str">
        <f t="shared" si="45"/>
        <v/>
      </c>
      <c r="C837">
        <f t="shared" si="46"/>
        <v>1900</v>
      </c>
      <c r="D837">
        <f>IF(OR(C837=1900,$D$868=0),0,VLOOKUP(A837,'Estados Financieros'!$A$18:$H$458,7,0))</f>
        <v>0</v>
      </c>
      <c r="E837" t="str">
        <f t="shared" si="47"/>
        <v>0,000</v>
      </c>
    </row>
    <row r="838" spans="1:5">
      <c r="A838">
        <v>129501</v>
      </c>
      <c r="B838" t="str">
        <f t="shared" si="45"/>
        <v/>
      </c>
      <c r="C838">
        <f t="shared" si="46"/>
        <v>1900</v>
      </c>
      <c r="D838">
        <f>IF(OR(C838=1900,$D$868=0),0,VLOOKUP(A838,'Estados Financieros'!$A$18:$H$458,7,0))</f>
        <v>0</v>
      </c>
      <c r="E838" t="str">
        <f t="shared" si="47"/>
        <v>0,000</v>
      </c>
    </row>
    <row r="839" spans="1:5">
      <c r="A839">
        <v>129701</v>
      </c>
      <c r="B839" t="str">
        <f t="shared" si="45"/>
        <v/>
      </c>
      <c r="C839">
        <f t="shared" si="46"/>
        <v>1900</v>
      </c>
      <c r="D839">
        <f>IF(OR(C839=1900,$D$868=0),0,VLOOKUP(A839,'Estados Financieros'!$A$18:$H$458,7,0))</f>
        <v>0</v>
      </c>
      <c r="E839" t="str">
        <f t="shared" si="47"/>
        <v>0,000</v>
      </c>
    </row>
    <row r="840" spans="1:5">
      <c r="A840">
        <v>129901</v>
      </c>
      <c r="B840" t="str">
        <f t="shared" si="45"/>
        <v/>
      </c>
      <c r="C840">
        <f t="shared" si="46"/>
        <v>1900</v>
      </c>
      <c r="D840">
        <f>IF(OR(C840=1900,$D$868=0),0,VLOOKUP(A840,'Estados Financieros'!$A$18:$H$458,7,0))</f>
        <v>0</v>
      </c>
      <c r="E840" t="str">
        <f t="shared" si="47"/>
        <v>0,000</v>
      </c>
    </row>
    <row r="841" spans="1:5">
      <c r="A841">
        <v>1203</v>
      </c>
      <c r="B841" t="str">
        <f t="shared" si="45"/>
        <v/>
      </c>
      <c r="C841">
        <f t="shared" si="46"/>
        <v>1900</v>
      </c>
      <c r="D841">
        <f>IF(OR(C841=1900,$D$868=0),0,VLOOKUP(A841,'Estados Financieros'!$A$18:$H$458,7,0))</f>
        <v>0</v>
      </c>
      <c r="E841" t="str">
        <f t="shared" si="47"/>
        <v>0,000</v>
      </c>
    </row>
    <row r="842" spans="1:5">
      <c r="A842">
        <v>120610</v>
      </c>
      <c r="B842" t="str">
        <f t="shared" si="45"/>
        <v/>
      </c>
      <c r="C842">
        <f t="shared" si="46"/>
        <v>1900</v>
      </c>
      <c r="D842">
        <f>IF(OR(C842=1900,$D$868=0),0,VLOOKUP(A842,'Estados Financieros'!$A$18:$H$458,7,0))</f>
        <v>0</v>
      </c>
      <c r="E842" t="str">
        <f t="shared" si="47"/>
        <v>0,000</v>
      </c>
    </row>
    <row r="843" spans="1:5">
      <c r="A843">
        <v>120615</v>
      </c>
      <c r="B843" t="str">
        <f t="shared" si="45"/>
        <v/>
      </c>
      <c r="C843">
        <f t="shared" si="46"/>
        <v>1900</v>
      </c>
      <c r="D843">
        <f>IF(OR(C843=1900,$D$868=0),0,VLOOKUP(A843,'Estados Financieros'!$A$18:$H$458,7,0))</f>
        <v>0</v>
      </c>
      <c r="E843" t="str">
        <f t="shared" si="47"/>
        <v>0,000</v>
      </c>
    </row>
    <row r="844" spans="1:5">
      <c r="A844">
        <v>173001</v>
      </c>
      <c r="B844" t="str">
        <f t="shared" si="45"/>
        <v/>
      </c>
      <c r="C844">
        <f t="shared" si="46"/>
        <v>1900</v>
      </c>
      <c r="D844">
        <f>IF(OR(C844=1900,$D$868=0),0,VLOOKUP(A844,'Estados Financieros'!$A$18:$H$458,7,0))</f>
        <v>0</v>
      </c>
      <c r="E844" t="str">
        <f t="shared" si="47"/>
        <v>0,000</v>
      </c>
    </row>
    <row r="845" spans="1:5">
      <c r="A845">
        <v>120620</v>
      </c>
      <c r="B845" t="str">
        <f t="shared" si="45"/>
        <v/>
      </c>
      <c r="C845">
        <f t="shared" si="46"/>
        <v>1900</v>
      </c>
      <c r="D845">
        <f>IF(OR(C845=1900,$D$868=0),0,VLOOKUP(A845,'Estados Financieros'!$A$18:$H$458,7,0))</f>
        <v>0</v>
      </c>
      <c r="E845" t="str">
        <f t="shared" si="47"/>
        <v>0,000</v>
      </c>
    </row>
    <row r="846" spans="1:5">
      <c r="A846">
        <v>179701</v>
      </c>
      <c r="B846" t="str">
        <f t="shared" ref="B846:B909" si="48">+B845</f>
        <v/>
      </c>
      <c r="C846">
        <f t="shared" ref="C846:C909" si="49">+C845</f>
        <v>1900</v>
      </c>
      <c r="D846">
        <f>IF(OR(C846=1900,$D$868=0),0,VLOOKUP(A846,'Estados Financieros'!$A$18:$H$458,7,0))</f>
        <v>0</v>
      </c>
      <c r="E846" t="str">
        <f t="shared" si="47"/>
        <v>0,000</v>
      </c>
    </row>
    <row r="847" spans="1:5">
      <c r="A847">
        <v>179801</v>
      </c>
      <c r="B847" t="str">
        <f t="shared" si="48"/>
        <v/>
      </c>
      <c r="C847">
        <f t="shared" si="49"/>
        <v>1900</v>
      </c>
      <c r="D847">
        <f>IF(OR(C847=1900,$D$868=0),0,VLOOKUP(A847,'Estados Financieros'!$A$18:$H$458,7,0))</f>
        <v>0</v>
      </c>
      <c r="E847" t="str">
        <f t="shared" si="47"/>
        <v>0,000</v>
      </c>
    </row>
    <row r="848" spans="1:5">
      <c r="A848">
        <v>1206</v>
      </c>
      <c r="B848" t="str">
        <f t="shared" si="48"/>
        <v/>
      </c>
      <c r="C848">
        <f t="shared" si="49"/>
        <v>1900</v>
      </c>
      <c r="D848">
        <f>IF(OR(C848=1900,$D$868=0),0,VLOOKUP(A848,'Estados Financieros'!$A$18:$H$458,7,0))</f>
        <v>0</v>
      </c>
      <c r="E848" t="str">
        <f t="shared" si="47"/>
        <v>0,000</v>
      </c>
    </row>
    <row r="849" spans="1:5">
      <c r="A849">
        <v>160501</v>
      </c>
      <c r="B849" t="str">
        <f t="shared" si="48"/>
        <v/>
      </c>
      <c r="C849">
        <f t="shared" si="49"/>
        <v>1900</v>
      </c>
      <c r="D849">
        <f>IF(OR(C849=1900,$D$868=0),0,VLOOKUP(A849,'Estados Financieros'!$A$18:$H$458,7,0))</f>
        <v>0</v>
      </c>
      <c r="E849" t="str">
        <f t="shared" si="47"/>
        <v>0,000</v>
      </c>
    </row>
    <row r="850" spans="1:5">
      <c r="A850">
        <v>161001</v>
      </c>
      <c r="B850" t="str">
        <f t="shared" si="48"/>
        <v/>
      </c>
      <c r="C850">
        <f t="shared" si="49"/>
        <v>1900</v>
      </c>
      <c r="D850">
        <f>IF(OR(C850=1900,$D$868=0),0,VLOOKUP(A850,'Estados Financieros'!$A$18:$H$458,7,0))</f>
        <v>0</v>
      </c>
      <c r="E850" t="str">
        <f t="shared" si="47"/>
        <v>0,000</v>
      </c>
    </row>
    <row r="851" spans="1:5">
      <c r="A851">
        <v>163001</v>
      </c>
      <c r="B851" t="str">
        <f t="shared" si="48"/>
        <v/>
      </c>
      <c r="C851">
        <f t="shared" si="49"/>
        <v>1900</v>
      </c>
      <c r="D851">
        <f>IF(OR(C851=1900,$D$868=0),0,VLOOKUP(A851,'Estados Financieros'!$A$18:$H$458,7,0))</f>
        <v>0</v>
      </c>
      <c r="E851" t="str">
        <f t="shared" si="47"/>
        <v>0,000</v>
      </c>
    </row>
    <row r="852" spans="1:5">
      <c r="A852">
        <v>164001</v>
      </c>
      <c r="B852" t="str">
        <f t="shared" si="48"/>
        <v/>
      </c>
      <c r="C852">
        <f t="shared" si="49"/>
        <v>1900</v>
      </c>
      <c r="D852">
        <f>IF(OR(C852=1900,$D$868=0),0,VLOOKUP(A852,'Estados Financieros'!$A$18:$H$458,7,0))</f>
        <v>0</v>
      </c>
      <c r="E852" t="str">
        <f t="shared" si="47"/>
        <v>0,000</v>
      </c>
    </row>
    <row r="853" spans="1:5">
      <c r="A853">
        <v>109801</v>
      </c>
      <c r="B853" t="str">
        <f t="shared" si="48"/>
        <v/>
      </c>
      <c r="C853">
        <f t="shared" si="49"/>
        <v>1900</v>
      </c>
      <c r="D853">
        <f>IF(OR(C853=1900,$D$868=0),0,VLOOKUP(A853,'Estados Financieros'!$A$18:$H$458,7,0))</f>
        <v>0</v>
      </c>
      <c r="E853" t="str">
        <f t="shared" si="47"/>
        <v>0,000</v>
      </c>
    </row>
    <row r="854" spans="1:5">
      <c r="A854">
        <v>169899</v>
      </c>
      <c r="B854" t="str">
        <f t="shared" si="48"/>
        <v/>
      </c>
      <c r="C854">
        <f t="shared" si="49"/>
        <v>1900</v>
      </c>
      <c r="D854">
        <f>IF(OR(C854=1900,$D$868=0),0,VLOOKUP(A854,'Estados Financieros'!$A$18:$H$458,7,0))</f>
        <v>0</v>
      </c>
      <c r="E854" t="str">
        <f t="shared" si="47"/>
        <v>0,000</v>
      </c>
    </row>
    <row r="855" spans="1:5">
      <c r="A855">
        <v>169901</v>
      </c>
      <c r="B855" t="str">
        <f t="shared" si="48"/>
        <v/>
      </c>
      <c r="C855">
        <f t="shared" si="49"/>
        <v>1900</v>
      </c>
      <c r="D855">
        <f>IF(OR(C855=1900,$D$868=0),0,VLOOKUP(A855,'Estados Financieros'!$A$18:$H$458,7,0))</f>
        <v>0</v>
      </c>
      <c r="E855" t="str">
        <f t="shared" si="47"/>
        <v>0,000</v>
      </c>
    </row>
    <row r="856" spans="1:5">
      <c r="A856">
        <v>1202</v>
      </c>
      <c r="B856" t="str">
        <f t="shared" si="48"/>
        <v/>
      </c>
      <c r="C856">
        <f t="shared" si="49"/>
        <v>1900</v>
      </c>
      <c r="D856">
        <f>IF(OR(C856=1900,$D$868=0),0,VLOOKUP(A856,'Estados Financieros'!$A$18:$H$458,7,0))</f>
        <v>0</v>
      </c>
      <c r="E856" t="str">
        <f t="shared" si="47"/>
        <v>0,000</v>
      </c>
    </row>
    <row r="857" spans="1:5">
      <c r="A857">
        <v>180501</v>
      </c>
      <c r="B857" t="str">
        <f t="shared" si="48"/>
        <v/>
      </c>
      <c r="C857">
        <f t="shared" si="49"/>
        <v>1900</v>
      </c>
      <c r="D857">
        <f>IF(OR(C857=1900,$D$868=0),0,VLOOKUP(A857,'Estados Financieros'!$A$18:$H$458,7,0))</f>
        <v>0</v>
      </c>
      <c r="E857" t="str">
        <f t="shared" si="47"/>
        <v>0,000</v>
      </c>
    </row>
    <row r="858" spans="1:5">
      <c r="A858">
        <v>189501</v>
      </c>
      <c r="B858" t="str">
        <f t="shared" si="48"/>
        <v/>
      </c>
      <c r="C858">
        <f t="shared" si="49"/>
        <v>1900</v>
      </c>
      <c r="D858">
        <f>IF(OR(C858=1900,$D$868=0),0,VLOOKUP(A858,'Estados Financieros'!$A$18:$H$458,7,0))</f>
        <v>0</v>
      </c>
      <c r="E858" t="str">
        <f t="shared" si="47"/>
        <v>0,000</v>
      </c>
    </row>
    <row r="859" spans="1:5">
      <c r="A859">
        <v>189520</v>
      </c>
      <c r="B859" t="str">
        <f t="shared" si="48"/>
        <v/>
      </c>
      <c r="C859">
        <f t="shared" si="49"/>
        <v>1900</v>
      </c>
      <c r="D859">
        <f>IF(OR(C859=1900,$D$868=0),0,VLOOKUP(A859,'Estados Financieros'!$A$18:$H$458,7,0))</f>
        <v>0</v>
      </c>
      <c r="E859" t="str">
        <f t="shared" si="47"/>
        <v>0,000</v>
      </c>
    </row>
    <row r="860" spans="1:5">
      <c r="A860">
        <v>189701</v>
      </c>
      <c r="B860" t="str">
        <f t="shared" si="48"/>
        <v/>
      </c>
      <c r="C860">
        <f t="shared" si="49"/>
        <v>1900</v>
      </c>
      <c r="D860">
        <f>IF(OR(C860=1900,$D$868=0),0,VLOOKUP(A860,'Estados Financieros'!$A$18:$H$458,7,0))</f>
        <v>0</v>
      </c>
      <c r="E860" t="str">
        <f t="shared" si="47"/>
        <v>0,000</v>
      </c>
    </row>
    <row r="861" spans="1:5">
      <c r="A861">
        <v>189901</v>
      </c>
      <c r="B861" t="str">
        <f t="shared" si="48"/>
        <v/>
      </c>
      <c r="C861">
        <f t="shared" si="49"/>
        <v>1900</v>
      </c>
      <c r="D861">
        <f>IF(OR(C861=1900,$D$868=0),0,VLOOKUP(A861,'Estados Financieros'!$A$18:$H$458,7,0))</f>
        <v>0</v>
      </c>
      <c r="E861" t="str">
        <f t="shared" si="47"/>
        <v>0,000</v>
      </c>
    </row>
    <row r="862" spans="1:5">
      <c r="A862">
        <v>1207</v>
      </c>
      <c r="B862" t="str">
        <f t="shared" si="48"/>
        <v/>
      </c>
      <c r="C862">
        <f t="shared" si="49"/>
        <v>1900</v>
      </c>
      <c r="D862">
        <f>IF(OR(C862=1900,$D$868=0),0,VLOOKUP(A862,'Estados Financieros'!$A$18:$H$458,7,0))</f>
        <v>0</v>
      </c>
      <c r="E862" t="str">
        <f t="shared" si="47"/>
        <v>0,000</v>
      </c>
    </row>
    <row r="863" spans="1:5">
      <c r="A863">
        <v>190501</v>
      </c>
      <c r="B863" t="str">
        <f t="shared" si="48"/>
        <v/>
      </c>
      <c r="C863">
        <f t="shared" si="49"/>
        <v>1900</v>
      </c>
      <c r="D863">
        <f>IF(OR(C863=1900,$D$868=0),0,VLOOKUP(A863,'Estados Financieros'!$A$18:$H$458,7,0))</f>
        <v>0</v>
      </c>
      <c r="E863" t="str">
        <f t="shared" si="47"/>
        <v>0,000</v>
      </c>
    </row>
    <row r="864" spans="1:5">
      <c r="A864">
        <v>191001</v>
      </c>
      <c r="B864" t="str">
        <f t="shared" si="48"/>
        <v/>
      </c>
      <c r="C864">
        <f t="shared" si="49"/>
        <v>1900</v>
      </c>
      <c r="D864">
        <f>IF(OR(C864=1900,$D$868=0),0,VLOOKUP(A864,'Estados Financieros'!$A$18:$H$458,7,0))</f>
        <v>0</v>
      </c>
      <c r="E864" t="str">
        <f t="shared" si="47"/>
        <v>0,000</v>
      </c>
    </row>
    <row r="865" spans="1:5">
      <c r="A865">
        <v>199501</v>
      </c>
      <c r="B865" t="str">
        <f t="shared" si="48"/>
        <v/>
      </c>
      <c r="C865">
        <f t="shared" si="49"/>
        <v>1900</v>
      </c>
      <c r="D865">
        <f>IF(OR(C865=1900,$D$868=0),0,VLOOKUP(A865,'Estados Financieros'!$A$18:$H$458,7,0))</f>
        <v>0</v>
      </c>
      <c r="E865" t="str">
        <f t="shared" si="47"/>
        <v>0,000</v>
      </c>
    </row>
    <row r="866" spans="1:5">
      <c r="A866">
        <v>1208</v>
      </c>
      <c r="B866" t="str">
        <f t="shared" si="48"/>
        <v/>
      </c>
      <c r="C866">
        <f t="shared" si="49"/>
        <v>1900</v>
      </c>
      <c r="D866">
        <f>IF(OR(C866=1900,$D$868=0),0,VLOOKUP(A866,'Estados Financieros'!$A$18:$H$458,7,0))</f>
        <v>0</v>
      </c>
      <c r="E866" t="str">
        <f t="shared" si="47"/>
        <v>0,000</v>
      </c>
    </row>
    <row r="867" spans="1:5">
      <c r="A867">
        <v>12</v>
      </c>
      <c r="B867" t="str">
        <f t="shared" si="48"/>
        <v/>
      </c>
      <c r="C867">
        <f t="shared" si="49"/>
        <v>1900</v>
      </c>
      <c r="D867">
        <f>IF(OR(C867=1900,$D$868=0),0,VLOOKUP(A867,'Estados Financieros'!$A$18:$H$458,7,0))</f>
        <v>0</v>
      </c>
      <c r="E867" t="str">
        <f t="shared" si="47"/>
        <v>0,000</v>
      </c>
    </row>
    <row r="868" spans="1:5">
      <c r="A868">
        <v>1</v>
      </c>
      <c r="B868" t="str">
        <f t="shared" si="48"/>
        <v/>
      </c>
      <c r="C868">
        <f t="shared" si="49"/>
        <v>1900</v>
      </c>
      <c r="D868">
        <f>IF(C868=1900,0,VLOOKUP(A868,'Estados Financieros'!$A$18:$H$458,7,0))</f>
        <v>0</v>
      </c>
      <c r="E868" t="str">
        <f t="shared" si="47"/>
        <v>0,000</v>
      </c>
    </row>
    <row r="869" spans="1:5">
      <c r="A869">
        <v>108100</v>
      </c>
      <c r="B869" t="str">
        <f t="shared" si="48"/>
        <v/>
      </c>
      <c r="C869">
        <f t="shared" si="49"/>
        <v>1900</v>
      </c>
      <c r="D869">
        <f>IF(OR(C869=1900,$D$868=0),0,VLOOKUP(A869,'Estados Financieros'!$A$18:$H$458,7,0))</f>
        <v>0</v>
      </c>
      <c r="E869" t="str">
        <f t="shared" si="47"/>
        <v>0,000</v>
      </c>
    </row>
    <row r="870" spans="1:5">
      <c r="A870">
        <v>108200</v>
      </c>
      <c r="B870" t="str">
        <f t="shared" si="48"/>
        <v/>
      </c>
      <c r="C870">
        <f t="shared" si="49"/>
        <v>1900</v>
      </c>
      <c r="D870">
        <f>IF(OR(C870=1900,$D$868=0),0,VLOOKUP(A870,'Estados Financieros'!$A$18:$H$458,7,0))</f>
        <v>0</v>
      </c>
      <c r="E870" t="str">
        <f t="shared" si="47"/>
        <v>0,000</v>
      </c>
    </row>
    <row r="871" spans="1:5">
      <c r="A871">
        <v>108300</v>
      </c>
      <c r="B871" t="str">
        <f t="shared" si="48"/>
        <v/>
      </c>
      <c r="C871">
        <f t="shared" si="49"/>
        <v>1900</v>
      </c>
      <c r="D871">
        <f>IF(OR(C871=1900,$D$868=0),0,VLOOKUP(A871,'Estados Financieros'!$A$18:$H$458,7,0))</f>
        <v>0</v>
      </c>
      <c r="E871" t="str">
        <f t="shared" si="47"/>
        <v>0,000</v>
      </c>
    </row>
    <row r="872" spans="1:5">
      <c r="A872">
        <v>108400</v>
      </c>
      <c r="B872" t="str">
        <f t="shared" si="48"/>
        <v/>
      </c>
      <c r="C872">
        <f t="shared" si="49"/>
        <v>1900</v>
      </c>
      <c r="D872">
        <f>IF(OR(C872=1900,$D$868=0),0,VLOOKUP(A872,'Estados Financieros'!$A$18:$H$458,7,0))</f>
        <v>0</v>
      </c>
      <c r="E872" t="str">
        <f t="shared" si="47"/>
        <v>0,000</v>
      </c>
    </row>
    <row r="873" spans="1:5">
      <c r="A873">
        <v>108000</v>
      </c>
      <c r="B873" t="str">
        <f t="shared" si="48"/>
        <v/>
      </c>
      <c r="C873">
        <f t="shared" si="49"/>
        <v>1900</v>
      </c>
      <c r="D873">
        <f>IF(OR(C873=1900,$D$868=0),0,VLOOKUP(A873,'Estados Financieros'!$A$18:$H$458,7,0))</f>
        <v>0</v>
      </c>
      <c r="E873" t="str">
        <f t="shared" si="47"/>
        <v>0,000</v>
      </c>
    </row>
    <row r="874" spans="1:5">
      <c r="A874">
        <v>210500</v>
      </c>
      <c r="B874" t="str">
        <f t="shared" si="48"/>
        <v/>
      </c>
      <c r="C874">
        <f t="shared" si="49"/>
        <v>1900</v>
      </c>
      <c r="D874">
        <f>IF(OR(C874=1900,$D$868=0),0,VLOOKUP(A874,'Estados Financieros'!$A$18:$H$458,7,0))</f>
        <v>0</v>
      </c>
      <c r="E874" t="str">
        <f t="shared" si="47"/>
        <v>0,000</v>
      </c>
    </row>
    <row r="875" spans="1:5">
      <c r="A875">
        <v>211500</v>
      </c>
      <c r="B875" t="str">
        <f t="shared" si="48"/>
        <v/>
      </c>
      <c r="C875">
        <f t="shared" si="49"/>
        <v>1900</v>
      </c>
      <c r="D875">
        <f>IF(OR(C875=1900,$D$868=0),0,VLOOKUP(A875,'Estados Financieros'!$A$18:$H$458,7,0))</f>
        <v>0</v>
      </c>
      <c r="E875" t="str">
        <f t="shared" si="47"/>
        <v>0,000</v>
      </c>
    </row>
    <row r="876" spans="1:5">
      <c r="A876">
        <v>219500</v>
      </c>
      <c r="B876" t="str">
        <f t="shared" si="48"/>
        <v/>
      </c>
      <c r="C876">
        <f t="shared" si="49"/>
        <v>1900</v>
      </c>
      <c r="D876">
        <f>IF(OR(C876=1900,$D$868=0),0,VLOOKUP(A876,'Estados Financieros'!$A$18:$H$458,7,0))</f>
        <v>0</v>
      </c>
      <c r="E876" t="str">
        <f t="shared" si="47"/>
        <v>0,000</v>
      </c>
    </row>
    <row r="877" spans="1:5">
      <c r="A877">
        <v>2101</v>
      </c>
      <c r="B877" t="str">
        <f t="shared" si="48"/>
        <v/>
      </c>
      <c r="C877">
        <f t="shared" si="49"/>
        <v>1900</v>
      </c>
      <c r="D877">
        <f>IF(OR(C877=1900,$D$868=0),0,VLOOKUP(A877,'Estados Financieros'!$A$18:$H$458,7,0))</f>
        <v>0</v>
      </c>
      <c r="E877" t="str">
        <f t="shared" si="47"/>
        <v>0,000</v>
      </c>
    </row>
    <row r="878" spans="1:5">
      <c r="A878">
        <v>220500</v>
      </c>
      <c r="B878" t="str">
        <f t="shared" si="48"/>
        <v/>
      </c>
      <c r="C878">
        <f t="shared" si="49"/>
        <v>1900</v>
      </c>
      <c r="D878">
        <f>IF(OR(C878=1900,$D$868=0),0,VLOOKUP(A878,'Estados Financieros'!$A$18:$H$458,7,0))</f>
        <v>0</v>
      </c>
      <c r="E878" t="str">
        <f t="shared" si="47"/>
        <v>0,000</v>
      </c>
    </row>
    <row r="879" spans="1:5">
      <c r="A879">
        <v>221000</v>
      </c>
      <c r="B879" t="str">
        <f t="shared" si="48"/>
        <v/>
      </c>
      <c r="C879">
        <f t="shared" si="49"/>
        <v>1900</v>
      </c>
      <c r="D879">
        <f>IF(OR(C879=1900,$D$868=0),0,VLOOKUP(A879,'Estados Financieros'!$A$18:$H$458,7,0))</f>
        <v>0</v>
      </c>
      <c r="E879" t="str">
        <f t="shared" si="47"/>
        <v>0,000</v>
      </c>
    </row>
    <row r="880" spans="1:5">
      <c r="A880">
        <v>221500</v>
      </c>
      <c r="B880" t="str">
        <f t="shared" si="48"/>
        <v/>
      </c>
      <c r="C880">
        <f t="shared" si="49"/>
        <v>1900</v>
      </c>
      <c r="D880">
        <f>IF(OR(C880=1900,$D$868=0),0,VLOOKUP(A880,'Estados Financieros'!$A$18:$H$458,7,0))</f>
        <v>0</v>
      </c>
      <c r="E880" t="str">
        <f t="shared" si="47"/>
        <v>0,000</v>
      </c>
    </row>
    <row r="881" spans="1:5">
      <c r="A881">
        <v>2102</v>
      </c>
      <c r="B881" t="str">
        <f t="shared" si="48"/>
        <v/>
      </c>
      <c r="C881">
        <f t="shared" si="49"/>
        <v>1900</v>
      </c>
      <c r="D881">
        <f>IF(OR(C881=1900,$D$868=0),0,VLOOKUP(A881,'Estados Financieros'!$A$18:$H$458,7,0))</f>
        <v>0</v>
      </c>
      <c r="E881" t="str">
        <f t="shared" si="47"/>
        <v>0,000</v>
      </c>
    </row>
    <row r="882" spans="1:5">
      <c r="A882">
        <v>230500</v>
      </c>
      <c r="B882" t="str">
        <f t="shared" si="48"/>
        <v/>
      </c>
      <c r="C882">
        <f t="shared" si="49"/>
        <v>1900</v>
      </c>
      <c r="D882">
        <f>IF(OR(C882=1900,$D$868=0),0,VLOOKUP(A882,'Estados Financieros'!$A$18:$H$458,7,0))</f>
        <v>0</v>
      </c>
      <c r="E882" t="str">
        <f t="shared" si="47"/>
        <v>0,000</v>
      </c>
    </row>
    <row r="883" spans="1:5">
      <c r="A883">
        <v>231000</v>
      </c>
      <c r="B883" t="str">
        <f t="shared" si="48"/>
        <v/>
      </c>
      <c r="C883">
        <f t="shared" si="49"/>
        <v>1900</v>
      </c>
      <c r="D883">
        <f>IF(OR(C883=1900,$D$868=0),0,VLOOKUP(A883,'Estados Financieros'!$A$18:$H$458,7,0))</f>
        <v>0</v>
      </c>
      <c r="E883" t="str">
        <f t="shared" si="47"/>
        <v>0,000</v>
      </c>
    </row>
    <row r="884" spans="1:5">
      <c r="A884">
        <v>231500</v>
      </c>
      <c r="B884" t="str">
        <f t="shared" si="48"/>
        <v/>
      </c>
      <c r="C884">
        <f t="shared" si="49"/>
        <v>1900</v>
      </c>
      <c r="D884">
        <f>IF(OR(C884=1900,$D$868=0),0,VLOOKUP(A884,'Estados Financieros'!$A$18:$H$458,7,0))</f>
        <v>0</v>
      </c>
      <c r="E884" t="str">
        <f t="shared" si="47"/>
        <v>0,000</v>
      </c>
    </row>
    <row r="885" spans="1:5">
      <c r="A885">
        <v>232000</v>
      </c>
      <c r="B885" t="str">
        <f t="shared" si="48"/>
        <v/>
      </c>
      <c r="C885">
        <f t="shared" si="49"/>
        <v>1900</v>
      </c>
      <c r="D885">
        <f>IF(OR(C885=1900,$D$868=0),0,VLOOKUP(A885,'Estados Financieros'!$A$18:$H$458,7,0))</f>
        <v>0</v>
      </c>
      <c r="E885" t="str">
        <f t="shared" si="47"/>
        <v>0,000</v>
      </c>
    </row>
    <row r="886" spans="1:5">
      <c r="A886">
        <v>233500</v>
      </c>
      <c r="B886" t="str">
        <f t="shared" si="48"/>
        <v/>
      </c>
      <c r="C886">
        <f t="shared" si="49"/>
        <v>1900</v>
      </c>
      <c r="D886">
        <f>IF(OR(C886=1900,$D$868=0),0,VLOOKUP(A886,'Estados Financieros'!$A$18:$H$458,7,0))</f>
        <v>0</v>
      </c>
      <c r="E886" t="str">
        <f t="shared" si="47"/>
        <v>0,000</v>
      </c>
    </row>
    <row r="887" spans="1:5">
      <c r="A887">
        <v>234500</v>
      </c>
      <c r="B887" t="str">
        <f t="shared" si="48"/>
        <v/>
      </c>
      <c r="C887">
        <f t="shared" si="49"/>
        <v>1900</v>
      </c>
      <c r="D887">
        <f>IF(OR(C887=1900,$D$868=0),0,VLOOKUP(A887,'Estados Financieros'!$A$18:$H$458,7,0))</f>
        <v>0</v>
      </c>
      <c r="E887" t="str">
        <f t="shared" si="47"/>
        <v>0,000</v>
      </c>
    </row>
    <row r="888" spans="1:5">
      <c r="A888">
        <v>235000</v>
      </c>
      <c r="B888" t="str">
        <f t="shared" si="48"/>
        <v/>
      </c>
      <c r="C888">
        <f t="shared" si="49"/>
        <v>1900</v>
      </c>
      <c r="D888">
        <f>IF(OR(C888=1900,$D$868=0),0,VLOOKUP(A888,'Estados Financieros'!$A$18:$H$458,7,0))</f>
        <v>0</v>
      </c>
      <c r="E888" t="str">
        <f t="shared" si="47"/>
        <v>0,000</v>
      </c>
    </row>
    <row r="889" spans="1:5">
      <c r="A889">
        <v>235500</v>
      </c>
      <c r="B889" t="str">
        <f t="shared" si="48"/>
        <v/>
      </c>
      <c r="C889">
        <f t="shared" si="49"/>
        <v>1900</v>
      </c>
      <c r="D889">
        <f>IF(OR(C889=1900,$D$868=0),0,VLOOKUP(A889,'Estados Financieros'!$A$18:$H$458,7,0))</f>
        <v>0</v>
      </c>
      <c r="E889" t="str">
        <f t="shared" si="47"/>
        <v>0,000</v>
      </c>
    </row>
    <row r="890" spans="1:5">
      <c r="A890">
        <v>236000</v>
      </c>
      <c r="B890" t="str">
        <f t="shared" si="48"/>
        <v/>
      </c>
      <c r="C890">
        <f t="shared" si="49"/>
        <v>1900</v>
      </c>
      <c r="D890">
        <f>IF(OR(C890=1900,$D$868=0),0,VLOOKUP(A890,'Estados Financieros'!$A$18:$H$458,7,0))</f>
        <v>0</v>
      </c>
      <c r="E890" t="str">
        <f t="shared" si="47"/>
        <v>0,000</v>
      </c>
    </row>
    <row r="891" spans="1:5">
      <c r="A891">
        <v>236500</v>
      </c>
      <c r="B891" t="str">
        <f t="shared" si="48"/>
        <v/>
      </c>
      <c r="C891">
        <f t="shared" si="49"/>
        <v>1900</v>
      </c>
      <c r="D891">
        <f>IF(OR(C891=1900,$D$868=0),0,VLOOKUP(A891,'Estados Financieros'!$A$18:$H$458,7,0))</f>
        <v>0</v>
      </c>
      <c r="E891" t="str">
        <f t="shared" si="47"/>
        <v>0,000</v>
      </c>
    </row>
    <row r="892" spans="1:5">
      <c r="A892">
        <v>236700</v>
      </c>
      <c r="B892" t="str">
        <f t="shared" si="48"/>
        <v/>
      </c>
      <c r="C892">
        <f t="shared" si="49"/>
        <v>1900</v>
      </c>
      <c r="D892">
        <f>IF(OR(C892=1900,$D$868=0),0,VLOOKUP(A892,'Estados Financieros'!$A$18:$H$458,7,0))</f>
        <v>0</v>
      </c>
      <c r="E892" t="str">
        <f t="shared" si="47"/>
        <v>0,000</v>
      </c>
    </row>
    <row r="893" spans="1:5">
      <c r="A893">
        <v>236800</v>
      </c>
      <c r="B893" t="str">
        <f t="shared" si="48"/>
        <v/>
      </c>
      <c r="C893">
        <f t="shared" si="49"/>
        <v>1900</v>
      </c>
      <c r="D893">
        <f>IF(OR(C893=1900,$D$868=0),0,VLOOKUP(A893,'Estados Financieros'!$A$18:$H$458,7,0))</f>
        <v>0</v>
      </c>
      <c r="E893" t="str">
        <f t="shared" si="47"/>
        <v>0,000</v>
      </c>
    </row>
    <row r="894" spans="1:5">
      <c r="A894">
        <v>237000</v>
      </c>
      <c r="B894" t="str">
        <f t="shared" si="48"/>
        <v/>
      </c>
      <c r="C894">
        <f t="shared" si="49"/>
        <v>1900</v>
      </c>
      <c r="D894">
        <f>IF(OR(C894=1900,$D$868=0),0,VLOOKUP(A894,'Estados Financieros'!$A$18:$H$458,7,0))</f>
        <v>0</v>
      </c>
      <c r="E894" t="str">
        <f t="shared" si="47"/>
        <v>0,000</v>
      </c>
    </row>
    <row r="895" spans="1:5">
      <c r="A895">
        <v>238000</v>
      </c>
      <c r="B895" t="str">
        <f t="shared" si="48"/>
        <v/>
      </c>
      <c r="C895">
        <f t="shared" si="49"/>
        <v>1900</v>
      </c>
      <c r="D895">
        <f>IF(OR(C895=1900,$D$868=0),0,VLOOKUP(A895,'Estados Financieros'!$A$18:$H$458,7,0))</f>
        <v>0</v>
      </c>
      <c r="E895" t="str">
        <f t="shared" si="47"/>
        <v>0,000</v>
      </c>
    </row>
    <row r="896" spans="1:5">
      <c r="A896">
        <v>2103</v>
      </c>
      <c r="B896" t="str">
        <f t="shared" si="48"/>
        <v/>
      </c>
      <c r="C896">
        <f t="shared" si="49"/>
        <v>1900</v>
      </c>
      <c r="D896">
        <f>IF(OR(C896=1900,$D$868=0),0,VLOOKUP(A896,'Estados Financieros'!$A$18:$H$458,7,0))</f>
        <v>0</v>
      </c>
      <c r="E896" t="str">
        <f t="shared" si="47"/>
        <v>0,000</v>
      </c>
    </row>
    <row r="897" spans="1:5">
      <c r="A897">
        <v>240400</v>
      </c>
      <c r="B897" t="str">
        <f t="shared" si="48"/>
        <v/>
      </c>
      <c r="C897">
        <f t="shared" si="49"/>
        <v>1900</v>
      </c>
      <c r="D897">
        <f>IF(OR(C897=1900,$D$868=0),0,VLOOKUP(A897,'Estados Financieros'!$A$18:$H$458,7,0))</f>
        <v>0</v>
      </c>
      <c r="E897" t="str">
        <f t="shared" si="47"/>
        <v>0,000</v>
      </c>
    </row>
    <row r="898" spans="1:5">
      <c r="A898">
        <v>240800</v>
      </c>
      <c r="B898" t="str">
        <f t="shared" si="48"/>
        <v/>
      </c>
      <c r="C898">
        <f t="shared" si="49"/>
        <v>1900</v>
      </c>
      <c r="D898">
        <f>IF(OR(C898=1900,$D$868=0),0,VLOOKUP(A898,'Estados Financieros'!$A$18:$H$458,7,0))</f>
        <v>0</v>
      </c>
      <c r="E898" t="str">
        <f t="shared" ref="E898:E961" si="50">IFERROR(FIXED(D898,3,1),0)</f>
        <v>0,000</v>
      </c>
    </row>
    <row r="899" spans="1:5">
      <c r="A899">
        <v>241200</v>
      </c>
      <c r="B899" t="str">
        <f t="shared" si="48"/>
        <v/>
      </c>
      <c r="C899">
        <f t="shared" si="49"/>
        <v>1900</v>
      </c>
      <c r="D899">
        <f>IF(OR(C899=1900,$D$868=0),0,VLOOKUP(A899,'Estados Financieros'!$A$18:$H$458,7,0))</f>
        <v>0</v>
      </c>
      <c r="E899" t="str">
        <f t="shared" si="50"/>
        <v>0,000</v>
      </c>
    </row>
    <row r="900" spans="1:5">
      <c r="A900">
        <v>249500</v>
      </c>
      <c r="B900" t="str">
        <f t="shared" si="48"/>
        <v/>
      </c>
      <c r="C900">
        <f t="shared" si="49"/>
        <v>1900</v>
      </c>
      <c r="D900">
        <f>IF(OR(C900=1900,$D$868=0),0,VLOOKUP(A900,'Estados Financieros'!$A$18:$H$458,7,0))</f>
        <v>0</v>
      </c>
      <c r="E900" t="str">
        <f t="shared" si="50"/>
        <v>0,000</v>
      </c>
    </row>
    <row r="901" spans="1:5">
      <c r="A901">
        <v>2105</v>
      </c>
      <c r="B901" t="str">
        <f t="shared" si="48"/>
        <v/>
      </c>
      <c r="C901">
        <f t="shared" si="49"/>
        <v>1900</v>
      </c>
      <c r="D901">
        <f>IF(OR(C901=1900,$D$868=0),0,VLOOKUP(A901,'Estados Financieros'!$A$18:$H$458,7,0))</f>
        <v>0</v>
      </c>
      <c r="E901" t="str">
        <f t="shared" si="50"/>
        <v>0,000</v>
      </c>
    </row>
    <row r="902" spans="1:5">
      <c r="A902">
        <v>250500</v>
      </c>
      <c r="B902" t="str">
        <f t="shared" si="48"/>
        <v/>
      </c>
      <c r="C902">
        <f t="shared" si="49"/>
        <v>1900</v>
      </c>
      <c r="D902">
        <f>IF(OR(C902=1900,$D$868=0),0,VLOOKUP(A902,'Estados Financieros'!$A$18:$H$458,7,0))</f>
        <v>0</v>
      </c>
      <c r="E902" t="str">
        <f t="shared" si="50"/>
        <v>0,000</v>
      </c>
    </row>
    <row r="903" spans="1:5">
      <c r="A903">
        <v>251000</v>
      </c>
      <c r="B903" t="str">
        <f t="shared" si="48"/>
        <v/>
      </c>
      <c r="C903">
        <f t="shared" si="49"/>
        <v>1900</v>
      </c>
      <c r="D903">
        <f>IF(OR(C903=1900,$D$868=0),0,VLOOKUP(A903,'Estados Financieros'!$A$18:$H$458,7,0))</f>
        <v>0</v>
      </c>
      <c r="E903" t="str">
        <f t="shared" si="50"/>
        <v>0,000</v>
      </c>
    </row>
    <row r="904" spans="1:5">
      <c r="A904">
        <v>251500</v>
      </c>
      <c r="B904" t="str">
        <f t="shared" si="48"/>
        <v/>
      </c>
      <c r="C904">
        <f t="shared" si="49"/>
        <v>1900</v>
      </c>
      <c r="D904">
        <f>IF(OR(C904=1900,$D$868=0),0,VLOOKUP(A904,'Estados Financieros'!$A$18:$H$458,7,0))</f>
        <v>0</v>
      </c>
      <c r="E904" t="str">
        <f t="shared" si="50"/>
        <v>0,000</v>
      </c>
    </row>
    <row r="905" spans="1:5">
      <c r="A905">
        <v>252500</v>
      </c>
      <c r="B905" t="str">
        <f t="shared" si="48"/>
        <v/>
      </c>
      <c r="C905">
        <f t="shared" si="49"/>
        <v>1900</v>
      </c>
      <c r="D905">
        <f>IF(OR(C905=1900,$D$868=0),0,VLOOKUP(A905,'Estados Financieros'!$A$18:$H$458,7,0))</f>
        <v>0</v>
      </c>
      <c r="E905" t="str">
        <f t="shared" si="50"/>
        <v>0,000</v>
      </c>
    </row>
    <row r="906" spans="1:5">
      <c r="A906">
        <v>253000</v>
      </c>
      <c r="B906" t="str">
        <f t="shared" si="48"/>
        <v/>
      </c>
      <c r="C906">
        <f t="shared" si="49"/>
        <v>1900</v>
      </c>
      <c r="D906">
        <f>IF(OR(C906=1900,$D$868=0),0,VLOOKUP(A906,'Estados Financieros'!$A$18:$H$458,7,0))</f>
        <v>0</v>
      </c>
      <c r="E906" t="str">
        <f t="shared" si="50"/>
        <v>0,000</v>
      </c>
    </row>
    <row r="907" spans="1:5">
      <c r="A907">
        <v>259500</v>
      </c>
      <c r="B907" t="str">
        <f t="shared" si="48"/>
        <v/>
      </c>
      <c r="C907">
        <f t="shared" si="49"/>
        <v>1900</v>
      </c>
      <c r="D907">
        <f>IF(OR(C907=1900,$D$868=0),0,VLOOKUP(A907,'Estados Financieros'!$A$18:$H$458,7,0))</f>
        <v>0</v>
      </c>
      <c r="E907" t="str">
        <f t="shared" si="50"/>
        <v>0,000</v>
      </c>
    </row>
    <row r="908" spans="1:5">
      <c r="A908">
        <v>2104</v>
      </c>
      <c r="B908" t="str">
        <f t="shared" si="48"/>
        <v/>
      </c>
      <c r="C908">
        <f t="shared" si="49"/>
        <v>1900</v>
      </c>
      <c r="D908">
        <f>IF(OR(C908=1900,$D$868=0),0,VLOOKUP(A908,'Estados Financieros'!$A$18:$H$458,7,0))</f>
        <v>0</v>
      </c>
      <c r="E908" t="str">
        <f t="shared" si="50"/>
        <v>0,000</v>
      </c>
    </row>
    <row r="909" spans="1:5">
      <c r="A909">
        <v>260500</v>
      </c>
      <c r="B909" t="str">
        <f t="shared" si="48"/>
        <v/>
      </c>
      <c r="C909">
        <f t="shared" si="49"/>
        <v>1900</v>
      </c>
      <c r="D909">
        <f>IF(OR(C909=1900,$D$868=0),0,VLOOKUP(A909,'Estados Financieros'!$A$18:$H$458,7,0))</f>
        <v>0</v>
      </c>
      <c r="E909" t="str">
        <f t="shared" si="50"/>
        <v>0,000</v>
      </c>
    </row>
    <row r="910" spans="1:5">
      <c r="A910">
        <v>261000</v>
      </c>
      <c r="B910" t="str">
        <f t="shared" ref="B910:B973" si="51">+B909</f>
        <v/>
      </c>
      <c r="C910">
        <f t="shared" ref="C910:C973" si="52">+C909</f>
        <v>1900</v>
      </c>
      <c r="D910">
        <f>IF(OR(C910=1900,$D$868=0),0,VLOOKUP(A910,'Estados Financieros'!$A$18:$H$458,7,0))</f>
        <v>0</v>
      </c>
      <c r="E910" t="str">
        <f t="shared" si="50"/>
        <v>0,000</v>
      </c>
    </row>
    <row r="911" spans="1:5">
      <c r="A911">
        <v>261500</v>
      </c>
      <c r="B911" t="str">
        <f t="shared" si="51"/>
        <v/>
      </c>
      <c r="C911">
        <f t="shared" si="52"/>
        <v>1900</v>
      </c>
      <c r="D911">
        <f>IF(OR(C911=1900,$D$868=0),0,VLOOKUP(A911,'Estados Financieros'!$A$18:$H$458,7,0))</f>
        <v>0</v>
      </c>
      <c r="E911" t="str">
        <f t="shared" si="50"/>
        <v>0,000</v>
      </c>
    </row>
    <row r="912" spans="1:5">
      <c r="A912">
        <v>262000</v>
      </c>
      <c r="B912" t="str">
        <f t="shared" si="51"/>
        <v/>
      </c>
      <c r="C912">
        <f t="shared" si="52"/>
        <v>1900</v>
      </c>
      <c r="D912">
        <f>IF(OR(C912=1900,$D$868=0),0,VLOOKUP(A912,'Estados Financieros'!$A$18:$H$458,7,0))</f>
        <v>0</v>
      </c>
      <c r="E912" t="str">
        <f t="shared" si="50"/>
        <v>0,000</v>
      </c>
    </row>
    <row r="913" spans="1:5">
      <c r="A913">
        <v>262500</v>
      </c>
      <c r="B913" t="str">
        <f t="shared" si="51"/>
        <v/>
      </c>
      <c r="C913">
        <f t="shared" si="52"/>
        <v>1900</v>
      </c>
      <c r="D913">
        <f>IF(OR(C913=1900,$D$868=0),0,VLOOKUP(A913,'Estados Financieros'!$A$18:$H$458,7,0))</f>
        <v>0</v>
      </c>
      <c r="E913" t="str">
        <f t="shared" si="50"/>
        <v>0,000</v>
      </c>
    </row>
    <row r="914" spans="1:5">
      <c r="A914">
        <v>263000</v>
      </c>
      <c r="B914" t="str">
        <f t="shared" si="51"/>
        <v/>
      </c>
      <c r="C914">
        <f t="shared" si="52"/>
        <v>1900</v>
      </c>
      <c r="D914">
        <f>IF(OR(C914=1900,$D$868=0),0,VLOOKUP(A914,'Estados Financieros'!$A$18:$H$458,7,0))</f>
        <v>0</v>
      </c>
      <c r="E914" t="str">
        <f t="shared" si="50"/>
        <v>0,000</v>
      </c>
    </row>
    <row r="915" spans="1:5">
      <c r="A915">
        <v>263500</v>
      </c>
      <c r="B915" t="str">
        <f t="shared" si="51"/>
        <v/>
      </c>
      <c r="C915">
        <f t="shared" si="52"/>
        <v>1900</v>
      </c>
      <c r="D915">
        <f>IF(OR(C915=1900,$D$868=0),0,VLOOKUP(A915,'Estados Financieros'!$A$18:$H$458,7,0))</f>
        <v>0</v>
      </c>
      <c r="E915" t="str">
        <f t="shared" si="50"/>
        <v>0,000</v>
      </c>
    </row>
    <row r="916" spans="1:5">
      <c r="A916">
        <v>264000</v>
      </c>
      <c r="B916" t="str">
        <f t="shared" si="51"/>
        <v/>
      </c>
      <c r="C916">
        <f t="shared" si="52"/>
        <v>1900</v>
      </c>
      <c r="D916">
        <f>IF(OR(C916=1900,$D$868=0),0,VLOOKUP(A916,'Estados Financieros'!$A$18:$H$458,7,0))</f>
        <v>0</v>
      </c>
      <c r="E916" t="str">
        <f t="shared" si="50"/>
        <v>0,000</v>
      </c>
    </row>
    <row r="917" spans="1:5">
      <c r="A917">
        <v>269500</v>
      </c>
      <c r="B917" t="str">
        <f t="shared" si="51"/>
        <v/>
      </c>
      <c r="C917">
        <f t="shared" si="52"/>
        <v>1900</v>
      </c>
      <c r="D917">
        <f>IF(OR(C917=1900,$D$868=0),0,VLOOKUP(A917,'Estados Financieros'!$A$18:$H$458,7,0))</f>
        <v>0</v>
      </c>
      <c r="E917" t="str">
        <f t="shared" si="50"/>
        <v>0,000</v>
      </c>
    </row>
    <row r="918" spans="1:5">
      <c r="A918">
        <v>2106</v>
      </c>
      <c r="B918" t="str">
        <f t="shared" si="51"/>
        <v/>
      </c>
      <c r="C918">
        <f t="shared" si="52"/>
        <v>1900</v>
      </c>
      <c r="D918">
        <f>IF(OR(C918=1900,$D$868=0),0,VLOOKUP(A918,'Estados Financieros'!$A$18:$H$458,7,0))</f>
        <v>0</v>
      </c>
      <c r="E918" t="str">
        <f t="shared" si="50"/>
        <v>0,000</v>
      </c>
    </row>
    <row r="919" spans="1:5">
      <c r="A919">
        <v>270500</v>
      </c>
      <c r="B919" t="str">
        <f t="shared" si="51"/>
        <v/>
      </c>
      <c r="C919">
        <f t="shared" si="52"/>
        <v>1900</v>
      </c>
      <c r="D919">
        <f>IF(OR(C919=1900,$D$868=0),0,VLOOKUP(A919,'Estados Financieros'!$A$18:$H$458,7,0))</f>
        <v>0</v>
      </c>
      <c r="E919" t="str">
        <f t="shared" si="50"/>
        <v>0,000</v>
      </c>
    </row>
    <row r="920" spans="1:5">
      <c r="A920">
        <v>271000</v>
      </c>
      <c r="B920" t="str">
        <f t="shared" si="51"/>
        <v/>
      </c>
      <c r="C920">
        <f t="shared" si="52"/>
        <v>1900</v>
      </c>
      <c r="D920">
        <f>IF(OR(C920=1900,$D$868=0),0,VLOOKUP(A920,'Estados Financieros'!$A$18:$H$458,7,0))</f>
        <v>0</v>
      </c>
      <c r="E920" t="str">
        <f t="shared" si="50"/>
        <v>0,000</v>
      </c>
    </row>
    <row r="921" spans="1:5">
      <c r="A921">
        <v>272500</v>
      </c>
      <c r="B921" t="str">
        <f t="shared" si="51"/>
        <v/>
      </c>
      <c r="C921">
        <f t="shared" si="52"/>
        <v>1900</v>
      </c>
      <c r="D921">
        <f>IF(OR(C921=1900,$D$868=0),0,VLOOKUP(A921,'Estados Financieros'!$A$18:$H$458,7,0))</f>
        <v>0</v>
      </c>
      <c r="E921" t="str">
        <f t="shared" si="50"/>
        <v>0,000</v>
      </c>
    </row>
    <row r="922" spans="1:5">
      <c r="A922">
        <v>279500</v>
      </c>
      <c r="B922" t="str">
        <f t="shared" si="51"/>
        <v/>
      </c>
      <c r="C922">
        <f t="shared" si="52"/>
        <v>1900</v>
      </c>
      <c r="D922">
        <f>IF(OR(C922=1900,$D$868=0),0,VLOOKUP(A922,'Estados Financieros'!$A$18:$H$458,7,0))</f>
        <v>0</v>
      </c>
      <c r="E922" t="str">
        <f t="shared" si="50"/>
        <v>0,000</v>
      </c>
    </row>
    <row r="923" spans="1:5">
      <c r="A923">
        <v>2107</v>
      </c>
      <c r="B923" t="str">
        <f t="shared" si="51"/>
        <v/>
      </c>
      <c r="C923">
        <f t="shared" si="52"/>
        <v>1900</v>
      </c>
      <c r="D923">
        <f>IF(OR(C923=1900,$D$868=0),0,VLOOKUP(A923,'Estados Financieros'!$A$18:$H$458,7,0))</f>
        <v>0</v>
      </c>
      <c r="E923" t="str">
        <f t="shared" si="50"/>
        <v>0,000</v>
      </c>
    </row>
    <row r="924" spans="1:5">
      <c r="A924">
        <v>281000</v>
      </c>
      <c r="B924" t="str">
        <f t="shared" si="51"/>
        <v/>
      </c>
      <c r="C924">
        <f t="shared" si="52"/>
        <v>1900</v>
      </c>
      <c r="D924">
        <f>IF(OR(C924=1900,$D$868=0),0,VLOOKUP(A924,'Estados Financieros'!$A$18:$H$458,7,0))</f>
        <v>0</v>
      </c>
      <c r="E924" t="str">
        <f t="shared" si="50"/>
        <v>0,000</v>
      </c>
    </row>
    <row r="925" spans="1:5">
      <c r="A925">
        <v>282000</v>
      </c>
      <c r="B925" t="str">
        <f t="shared" si="51"/>
        <v/>
      </c>
      <c r="C925">
        <f t="shared" si="52"/>
        <v>1900</v>
      </c>
      <c r="D925">
        <f>IF(OR(C925=1900,$D$868=0),0,VLOOKUP(A925,'Estados Financieros'!$A$18:$H$458,7,0))</f>
        <v>0</v>
      </c>
      <c r="E925" t="str">
        <f t="shared" si="50"/>
        <v>0,000</v>
      </c>
    </row>
    <row r="926" spans="1:5">
      <c r="A926">
        <v>282500</v>
      </c>
      <c r="B926" t="str">
        <f t="shared" si="51"/>
        <v/>
      </c>
      <c r="C926">
        <f t="shared" si="52"/>
        <v>1900</v>
      </c>
      <c r="D926">
        <f>IF(OR(C926=1900,$D$868=0),0,VLOOKUP(A926,'Estados Financieros'!$A$18:$H$458,7,0))</f>
        <v>0</v>
      </c>
      <c r="E926" t="str">
        <f t="shared" si="50"/>
        <v>0,000</v>
      </c>
    </row>
    <row r="927" spans="1:5">
      <c r="A927">
        <v>284000</v>
      </c>
      <c r="B927" t="str">
        <f t="shared" si="51"/>
        <v/>
      </c>
      <c r="C927">
        <f t="shared" si="52"/>
        <v>1900</v>
      </c>
      <c r="D927">
        <f>IF(OR(C927=1900,$D$868=0),0,VLOOKUP(A927,'Estados Financieros'!$A$18:$H$458,7,0))</f>
        <v>0</v>
      </c>
      <c r="E927" t="str">
        <f t="shared" si="50"/>
        <v>0,000</v>
      </c>
    </row>
    <row r="928" spans="1:5">
      <c r="A928">
        <v>289500</v>
      </c>
      <c r="B928" t="str">
        <f t="shared" si="51"/>
        <v/>
      </c>
      <c r="C928">
        <f t="shared" si="52"/>
        <v>1900</v>
      </c>
      <c r="D928">
        <f>IF(OR(C928=1900,$D$868=0),0,VLOOKUP(A928,'Estados Financieros'!$A$18:$H$458,7,0))</f>
        <v>0</v>
      </c>
      <c r="E928" t="str">
        <f t="shared" si="50"/>
        <v>0,000</v>
      </c>
    </row>
    <row r="929" spans="1:5">
      <c r="A929">
        <v>2109</v>
      </c>
      <c r="B929" t="str">
        <f t="shared" si="51"/>
        <v/>
      </c>
      <c r="C929">
        <f t="shared" si="52"/>
        <v>1900</v>
      </c>
      <c r="D929">
        <f>IF(OR(C929=1900,$D$868=0),0,VLOOKUP(A929,'Estados Financieros'!$A$18:$H$458,7,0))</f>
        <v>0</v>
      </c>
      <c r="E929" t="str">
        <f t="shared" si="50"/>
        <v>0,000</v>
      </c>
    </row>
    <row r="930" spans="1:5">
      <c r="A930">
        <v>21</v>
      </c>
      <c r="B930" t="str">
        <f t="shared" si="51"/>
        <v/>
      </c>
      <c r="C930">
        <f t="shared" si="52"/>
        <v>1900</v>
      </c>
      <c r="D930">
        <f>IF(OR(C930=1900,$D$868=0),0,VLOOKUP(A930,'Estados Financieros'!$A$18:$H$458,7,0))</f>
        <v>0</v>
      </c>
      <c r="E930" t="str">
        <f t="shared" si="50"/>
        <v>0,000</v>
      </c>
    </row>
    <row r="931" spans="1:5">
      <c r="A931">
        <v>210501</v>
      </c>
      <c r="B931" t="str">
        <f t="shared" si="51"/>
        <v/>
      </c>
      <c r="C931">
        <f t="shared" si="52"/>
        <v>1900</v>
      </c>
      <c r="D931">
        <f>IF(OR(C931=1900,$D$868=0),0,VLOOKUP(A931,'Estados Financieros'!$A$18:$H$458,7,0))</f>
        <v>0</v>
      </c>
      <c r="E931" t="str">
        <f t="shared" si="50"/>
        <v>0,000</v>
      </c>
    </row>
    <row r="932" spans="1:5">
      <c r="A932">
        <v>211001</v>
      </c>
      <c r="B932" t="str">
        <f t="shared" si="51"/>
        <v/>
      </c>
      <c r="C932">
        <f t="shared" si="52"/>
        <v>1900</v>
      </c>
      <c r="D932">
        <f>IF(OR(C932=1900,$D$868=0),0,VLOOKUP(A932,'Estados Financieros'!$A$18:$H$458,7,0))</f>
        <v>0</v>
      </c>
      <c r="E932" t="str">
        <f t="shared" si="50"/>
        <v>0,000</v>
      </c>
    </row>
    <row r="933" spans="1:5">
      <c r="A933">
        <v>2201</v>
      </c>
      <c r="B933" t="str">
        <f t="shared" si="51"/>
        <v/>
      </c>
      <c r="C933">
        <f t="shared" si="52"/>
        <v>1900</v>
      </c>
      <c r="D933">
        <f>IF(OR(C933=1900,$D$868=0),0,VLOOKUP(A933,'Estados Financieros'!$A$18:$H$458,7,0))</f>
        <v>0</v>
      </c>
      <c r="E933" t="str">
        <f t="shared" si="50"/>
        <v>0,000</v>
      </c>
    </row>
    <row r="934" spans="1:5">
      <c r="A934">
        <v>220501</v>
      </c>
      <c r="B934" t="str">
        <f t="shared" si="51"/>
        <v/>
      </c>
      <c r="C934">
        <f t="shared" si="52"/>
        <v>1900</v>
      </c>
      <c r="D934">
        <f>IF(OR(C934=1900,$D$868=0),0,VLOOKUP(A934,'Estados Financieros'!$A$18:$H$458,7,0))</f>
        <v>0</v>
      </c>
      <c r="E934" t="str">
        <f t="shared" si="50"/>
        <v>0,000</v>
      </c>
    </row>
    <row r="935" spans="1:5">
      <c r="A935">
        <v>221001</v>
      </c>
      <c r="B935" t="str">
        <f t="shared" si="51"/>
        <v/>
      </c>
      <c r="C935">
        <f t="shared" si="52"/>
        <v>1900</v>
      </c>
      <c r="D935">
        <f>IF(OR(C935=1900,$D$868=0),0,VLOOKUP(A935,'Estados Financieros'!$A$18:$H$458,7,0))</f>
        <v>0</v>
      </c>
      <c r="E935" t="str">
        <f t="shared" si="50"/>
        <v>0,000</v>
      </c>
    </row>
    <row r="936" spans="1:5">
      <c r="A936">
        <v>230501</v>
      </c>
      <c r="B936" t="str">
        <f t="shared" si="51"/>
        <v/>
      </c>
      <c r="C936">
        <f t="shared" si="52"/>
        <v>1900</v>
      </c>
      <c r="D936">
        <f>IF(OR(C936=1900,$D$868=0),0,VLOOKUP(A936,'Estados Financieros'!$A$18:$H$458,7,0))</f>
        <v>0</v>
      </c>
      <c r="E936" t="str">
        <f t="shared" si="50"/>
        <v>0,000</v>
      </c>
    </row>
    <row r="937" spans="1:5">
      <c r="A937">
        <v>231001</v>
      </c>
      <c r="B937" t="str">
        <f t="shared" si="51"/>
        <v/>
      </c>
      <c r="C937">
        <f t="shared" si="52"/>
        <v>1900</v>
      </c>
      <c r="D937">
        <f>IF(OR(C937=1900,$D$868=0),0,VLOOKUP(A937,'Estados Financieros'!$A$18:$H$458,7,0))</f>
        <v>0</v>
      </c>
      <c r="E937" t="str">
        <f t="shared" si="50"/>
        <v>0,000</v>
      </c>
    </row>
    <row r="938" spans="1:5">
      <c r="A938">
        <v>231501</v>
      </c>
      <c r="B938" t="str">
        <f t="shared" si="51"/>
        <v/>
      </c>
      <c r="C938">
        <f t="shared" si="52"/>
        <v>1900</v>
      </c>
      <c r="D938">
        <f>IF(OR(C938=1900,$D$868=0),0,VLOOKUP(A938,'Estados Financieros'!$A$18:$H$458,7,0))</f>
        <v>0</v>
      </c>
      <c r="E938" t="str">
        <f t="shared" si="50"/>
        <v>0,000</v>
      </c>
    </row>
    <row r="939" spans="1:5">
      <c r="A939">
        <v>232001</v>
      </c>
      <c r="B939" t="str">
        <f t="shared" si="51"/>
        <v/>
      </c>
      <c r="C939">
        <f t="shared" si="52"/>
        <v>1900</v>
      </c>
      <c r="D939">
        <f>IF(OR(C939=1900,$D$868=0),0,VLOOKUP(A939,'Estados Financieros'!$A$18:$H$458,7,0))</f>
        <v>0</v>
      </c>
      <c r="E939" t="str">
        <f t="shared" si="50"/>
        <v>0,000</v>
      </c>
    </row>
    <row r="940" spans="1:5">
      <c r="A940">
        <v>233501</v>
      </c>
      <c r="B940" t="str">
        <f t="shared" si="51"/>
        <v/>
      </c>
      <c r="C940">
        <f t="shared" si="52"/>
        <v>1900</v>
      </c>
      <c r="D940">
        <f>IF(OR(C940=1900,$D$868=0),0,VLOOKUP(A940,'Estados Financieros'!$A$18:$H$458,7,0))</f>
        <v>0</v>
      </c>
      <c r="E940" t="str">
        <f t="shared" si="50"/>
        <v>0,000</v>
      </c>
    </row>
    <row r="941" spans="1:5">
      <c r="A941">
        <v>234501</v>
      </c>
      <c r="B941" t="str">
        <f t="shared" si="51"/>
        <v/>
      </c>
      <c r="C941">
        <f t="shared" si="52"/>
        <v>1900</v>
      </c>
      <c r="D941">
        <f>IF(OR(C941=1900,$D$868=0),0,VLOOKUP(A941,'Estados Financieros'!$A$18:$H$458,7,0))</f>
        <v>0</v>
      </c>
      <c r="E941" t="str">
        <f t="shared" si="50"/>
        <v>0,000</v>
      </c>
    </row>
    <row r="942" spans="1:5">
      <c r="A942">
        <v>235001</v>
      </c>
      <c r="B942" t="str">
        <f t="shared" si="51"/>
        <v/>
      </c>
      <c r="C942">
        <f t="shared" si="52"/>
        <v>1900</v>
      </c>
      <c r="D942">
        <f>IF(OR(C942=1900,$D$868=0),0,VLOOKUP(A942,'Estados Financieros'!$A$18:$H$458,7,0))</f>
        <v>0</v>
      </c>
      <c r="E942" t="str">
        <f t="shared" si="50"/>
        <v>0,000</v>
      </c>
    </row>
    <row r="943" spans="1:5">
      <c r="A943">
        <v>235501</v>
      </c>
      <c r="B943" t="str">
        <f t="shared" si="51"/>
        <v/>
      </c>
      <c r="C943">
        <f t="shared" si="52"/>
        <v>1900</v>
      </c>
      <c r="D943">
        <f>IF(OR(C943=1900,$D$868=0),0,VLOOKUP(A943,'Estados Financieros'!$A$18:$H$458,7,0))</f>
        <v>0</v>
      </c>
      <c r="E943" t="str">
        <f t="shared" si="50"/>
        <v>0,000</v>
      </c>
    </row>
    <row r="944" spans="1:5">
      <c r="A944">
        <v>236001</v>
      </c>
      <c r="B944" t="str">
        <f t="shared" si="51"/>
        <v/>
      </c>
      <c r="C944">
        <f t="shared" si="52"/>
        <v>1900</v>
      </c>
      <c r="D944">
        <f>IF(OR(C944=1900,$D$868=0),0,VLOOKUP(A944,'Estados Financieros'!$A$18:$H$458,7,0))</f>
        <v>0</v>
      </c>
      <c r="E944" t="str">
        <f t="shared" si="50"/>
        <v>0,000</v>
      </c>
    </row>
    <row r="945" spans="1:5">
      <c r="A945">
        <v>236501</v>
      </c>
      <c r="B945" t="str">
        <f t="shared" si="51"/>
        <v/>
      </c>
      <c r="C945">
        <f t="shared" si="52"/>
        <v>1900</v>
      </c>
      <c r="D945">
        <f>IF(OR(C945=1900,$D$868=0),0,VLOOKUP(A945,'Estados Financieros'!$A$18:$H$458,7,0))</f>
        <v>0</v>
      </c>
      <c r="E945" t="str">
        <f t="shared" si="50"/>
        <v>0,000</v>
      </c>
    </row>
    <row r="946" spans="1:5">
      <c r="A946">
        <v>236701</v>
      </c>
      <c r="B946" t="str">
        <f t="shared" si="51"/>
        <v/>
      </c>
      <c r="C946">
        <f t="shared" si="52"/>
        <v>1900</v>
      </c>
      <c r="D946">
        <f>IF(OR(C946=1900,$D$868=0),0,VLOOKUP(A946,'Estados Financieros'!$A$18:$H$458,7,0))</f>
        <v>0</v>
      </c>
      <c r="E946" t="str">
        <f t="shared" si="50"/>
        <v>0,000</v>
      </c>
    </row>
    <row r="947" spans="1:5">
      <c r="A947">
        <v>237001</v>
      </c>
      <c r="B947" t="str">
        <f t="shared" si="51"/>
        <v/>
      </c>
      <c r="C947">
        <f t="shared" si="52"/>
        <v>1900</v>
      </c>
      <c r="D947">
        <f>IF(OR(C947=1900,$D$868=0),0,VLOOKUP(A947,'Estados Financieros'!$A$18:$H$458,7,0))</f>
        <v>0</v>
      </c>
      <c r="E947" t="str">
        <f t="shared" si="50"/>
        <v>0,000</v>
      </c>
    </row>
    <row r="948" spans="1:5">
      <c r="A948">
        <v>238001</v>
      </c>
      <c r="B948" t="str">
        <f t="shared" si="51"/>
        <v/>
      </c>
      <c r="C948">
        <f t="shared" si="52"/>
        <v>1900</v>
      </c>
      <c r="D948">
        <f>IF(OR(C948=1900,$D$868=0),0,VLOOKUP(A948,'Estados Financieros'!$A$18:$H$458,7,0))</f>
        <v>0</v>
      </c>
      <c r="E948" t="str">
        <f t="shared" si="50"/>
        <v>0,000</v>
      </c>
    </row>
    <row r="949" spans="1:5">
      <c r="A949">
        <v>2203</v>
      </c>
      <c r="B949" t="str">
        <f t="shared" si="51"/>
        <v/>
      </c>
      <c r="C949">
        <f t="shared" si="52"/>
        <v>1900</v>
      </c>
      <c r="D949">
        <f>IF(OR(C949=1900,$D$868=0),0,VLOOKUP(A949,'Estados Financieros'!$A$18:$H$458,7,0))</f>
        <v>0</v>
      </c>
      <c r="E949" t="str">
        <f t="shared" si="50"/>
        <v>0,000</v>
      </c>
    </row>
    <row r="950" spans="1:5">
      <c r="A950">
        <v>240401</v>
      </c>
      <c r="B950" t="str">
        <f t="shared" si="51"/>
        <v/>
      </c>
      <c r="C950">
        <f t="shared" si="52"/>
        <v>1900</v>
      </c>
      <c r="D950">
        <f>IF(OR(C950=1900,$D$868=0),0,VLOOKUP(A950,'Estados Financieros'!$A$18:$H$458,7,0))</f>
        <v>0</v>
      </c>
      <c r="E950" t="str">
        <f t="shared" si="50"/>
        <v>0,000</v>
      </c>
    </row>
    <row r="951" spans="1:5">
      <c r="A951">
        <v>240801</v>
      </c>
      <c r="B951" t="str">
        <f t="shared" si="51"/>
        <v/>
      </c>
      <c r="C951">
        <f t="shared" si="52"/>
        <v>1900</v>
      </c>
      <c r="D951">
        <f>IF(OR(C951=1900,$D$868=0),0,VLOOKUP(A951,'Estados Financieros'!$A$18:$H$458,7,0))</f>
        <v>0</v>
      </c>
      <c r="E951" t="str">
        <f t="shared" si="50"/>
        <v>0,000</v>
      </c>
    </row>
    <row r="952" spans="1:5">
      <c r="A952">
        <v>241201</v>
      </c>
      <c r="B952" t="str">
        <f t="shared" si="51"/>
        <v/>
      </c>
      <c r="C952">
        <f t="shared" si="52"/>
        <v>1900</v>
      </c>
      <c r="D952">
        <f>IF(OR(C952=1900,$D$868=0),0,VLOOKUP(A952,'Estados Financieros'!$A$18:$H$458,7,0))</f>
        <v>0</v>
      </c>
      <c r="E952" t="str">
        <f t="shared" si="50"/>
        <v>0,000</v>
      </c>
    </row>
    <row r="953" spans="1:5">
      <c r="A953">
        <v>249501</v>
      </c>
      <c r="B953" t="str">
        <f t="shared" si="51"/>
        <v/>
      </c>
      <c r="C953">
        <f t="shared" si="52"/>
        <v>1900</v>
      </c>
      <c r="D953">
        <f>IF(OR(C953=1900,$D$868=0),0,VLOOKUP(A953,'Estados Financieros'!$A$18:$H$458,7,0))</f>
        <v>0</v>
      </c>
      <c r="E953" t="str">
        <f t="shared" si="50"/>
        <v>0,000</v>
      </c>
    </row>
    <row r="954" spans="1:5">
      <c r="A954">
        <v>240001</v>
      </c>
      <c r="B954" t="str">
        <f t="shared" si="51"/>
        <v/>
      </c>
      <c r="C954">
        <f t="shared" si="52"/>
        <v>1900</v>
      </c>
      <c r="D954">
        <f>IF(OR(C954=1900,$D$868=0),0,VLOOKUP(A954,'Estados Financieros'!$A$18:$H$458,7,0))</f>
        <v>0</v>
      </c>
      <c r="E954" t="str">
        <f t="shared" si="50"/>
        <v>0,000</v>
      </c>
    </row>
    <row r="955" spans="1:5">
      <c r="A955">
        <v>250501</v>
      </c>
      <c r="B955" t="str">
        <f t="shared" si="51"/>
        <v/>
      </c>
      <c r="C955">
        <f t="shared" si="52"/>
        <v>1900</v>
      </c>
      <c r="D955">
        <f>IF(OR(C955=1900,$D$868=0),0,VLOOKUP(A955,'Estados Financieros'!$A$18:$H$458,7,0))</f>
        <v>0</v>
      </c>
      <c r="E955" t="str">
        <f t="shared" si="50"/>
        <v>0,000</v>
      </c>
    </row>
    <row r="956" spans="1:5">
      <c r="A956">
        <v>251001</v>
      </c>
      <c r="B956" t="str">
        <f t="shared" si="51"/>
        <v/>
      </c>
      <c r="C956">
        <f t="shared" si="52"/>
        <v>1900</v>
      </c>
      <c r="D956">
        <f>IF(OR(C956=1900,$D$868=0),0,VLOOKUP(A956,'Estados Financieros'!$A$18:$H$458,7,0))</f>
        <v>0</v>
      </c>
      <c r="E956" t="str">
        <f t="shared" si="50"/>
        <v>0,000</v>
      </c>
    </row>
    <row r="957" spans="1:5">
      <c r="A957">
        <v>251501</v>
      </c>
      <c r="B957" t="str">
        <f t="shared" si="51"/>
        <v/>
      </c>
      <c r="C957">
        <f t="shared" si="52"/>
        <v>1900</v>
      </c>
      <c r="D957">
        <f>IF(OR(C957=1900,$D$868=0),0,VLOOKUP(A957,'Estados Financieros'!$A$18:$H$458,7,0))</f>
        <v>0</v>
      </c>
      <c r="E957" t="str">
        <f t="shared" si="50"/>
        <v>0,000</v>
      </c>
    </row>
    <row r="958" spans="1:5">
      <c r="A958">
        <v>252501</v>
      </c>
      <c r="B958" t="str">
        <f t="shared" si="51"/>
        <v/>
      </c>
      <c r="C958">
        <f t="shared" si="52"/>
        <v>1900</v>
      </c>
      <c r="D958">
        <f>IF(OR(C958=1900,$D$868=0),0,VLOOKUP(A958,'Estados Financieros'!$A$18:$H$458,7,0))</f>
        <v>0</v>
      </c>
      <c r="E958" t="str">
        <f t="shared" si="50"/>
        <v>0,000</v>
      </c>
    </row>
    <row r="959" spans="1:5">
      <c r="A959">
        <v>253001</v>
      </c>
      <c r="B959" t="str">
        <f t="shared" si="51"/>
        <v/>
      </c>
      <c r="C959">
        <f t="shared" si="52"/>
        <v>1900</v>
      </c>
      <c r="D959">
        <f>IF(OR(C959=1900,$D$868=0),0,VLOOKUP(A959,'Estados Financieros'!$A$18:$H$458,7,0))</f>
        <v>0</v>
      </c>
      <c r="E959" t="str">
        <f t="shared" si="50"/>
        <v>0,000</v>
      </c>
    </row>
    <row r="960" spans="1:5">
      <c r="A960">
        <v>259501</v>
      </c>
      <c r="B960" t="str">
        <f t="shared" si="51"/>
        <v/>
      </c>
      <c r="C960">
        <f t="shared" si="52"/>
        <v>1900</v>
      </c>
      <c r="D960">
        <f>IF(OR(C960=1900,$D$868=0),0,VLOOKUP(A960,'Estados Financieros'!$A$18:$H$458,7,0))</f>
        <v>0</v>
      </c>
      <c r="E960" t="str">
        <f t="shared" si="50"/>
        <v>0,000</v>
      </c>
    </row>
    <row r="961" spans="1:5">
      <c r="A961">
        <v>2204</v>
      </c>
      <c r="B961" t="str">
        <f t="shared" si="51"/>
        <v/>
      </c>
      <c r="C961">
        <f t="shared" si="52"/>
        <v>1900</v>
      </c>
      <c r="D961">
        <f>IF(OR(C961=1900,$D$868=0),0,VLOOKUP(A961,'Estados Financieros'!$A$18:$H$458,7,0))</f>
        <v>0</v>
      </c>
      <c r="E961" t="str">
        <f t="shared" si="50"/>
        <v>0,000</v>
      </c>
    </row>
    <row r="962" spans="1:5">
      <c r="A962">
        <v>260501</v>
      </c>
      <c r="B962" t="str">
        <f t="shared" si="51"/>
        <v/>
      </c>
      <c r="C962">
        <f t="shared" si="52"/>
        <v>1900</v>
      </c>
      <c r="D962">
        <f>IF(OR(C962=1900,$D$868=0),0,VLOOKUP(A962,'Estados Financieros'!$A$18:$H$458,7,0))</f>
        <v>0</v>
      </c>
      <c r="E962" t="str">
        <f t="shared" ref="E962:E1025" si="53">IFERROR(FIXED(D962,3,1),0)</f>
        <v>0,000</v>
      </c>
    </row>
    <row r="963" spans="1:5">
      <c r="A963">
        <v>261001</v>
      </c>
      <c r="B963" t="str">
        <f t="shared" si="51"/>
        <v/>
      </c>
      <c r="C963">
        <f t="shared" si="52"/>
        <v>1900</v>
      </c>
      <c r="D963">
        <f>IF(OR(C963=1900,$D$868=0),0,VLOOKUP(A963,'Estados Financieros'!$A$18:$H$458,7,0))</f>
        <v>0</v>
      </c>
      <c r="E963" t="str">
        <f t="shared" si="53"/>
        <v>0,000</v>
      </c>
    </row>
    <row r="964" spans="1:5">
      <c r="A964">
        <v>261501</v>
      </c>
      <c r="B964" t="str">
        <f t="shared" si="51"/>
        <v/>
      </c>
      <c r="C964">
        <f t="shared" si="52"/>
        <v>1900</v>
      </c>
      <c r="D964">
        <f>IF(OR(C964=1900,$D$868=0),0,VLOOKUP(A964,'Estados Financieros'!$A$18:$H$458,7,0))</f>
        <v>0</v>
      </c>
      <c r="E964" t="str">
        <f t="shared" si="53"/>
        <v>0,000</v>
      </c>
    </row>
    <row r="965" spans="1:5">
      <c r="A965">
        <v>262001</v>
      </c>
      <c r="B965" t="str">
        <f t="shared" si="51"/>
        <v/>
      </c>
      <c r="C965">
        <f t="shared" si="52"/>
        <v>1900</v>
      </c>
      <c r="D965">
        <f>IF(OR(C965=1900,$D$868=0),0,VLOOKUP(A965,'Estados Financieros'!$A$18:$H$458,7,0))</f>
        <v>0</v>
      </c>
      <c r="E965" t="str">
        <f t="shared" si="53"/>
        <v>0,000</v>
      </c>
    </row>
    <row r="966" spans="1:5">
      <c r="A966">
        <v>262501</v>
      </c>
      <c r="B966" t="str">
        <f t="shared" si="51"/>
        <v/>
      </c>
      <c r="C966">
        <f t="shared" si="52"/>
        <v>1900</v>
      </c>
      <c r="D966">
        <f>IF(OR(C966=1900,$D$868=0),0,VLOOKUP(A966,'Estados Financieros'!$A$18:$H$458,7,0))</f>
        <v>0</v>
      </c>
      <c r="E966" t="str">
        <f t="shared" si="53"/>
        <v>0,000</v>
      </c>
    </row>
    <row r="967" spans="1:5">
      <c r="A967">
        <v>263001</v>
      </c>
      <c r="B967" t="str">
        <f t="shared" si="51"/>
        <v/>
      </c>
      <c r="C967">
        <f t="shared" si="52"/>
        <v>1900</v>
      </c>
      <c r="D967">
        <f>IF(OR(C967=1900,$D$868=0),0,VLOOKUP(A967,'Estados Financieros'!$A$18:$H$458,7,0))</f>
        <v>0</v>
      </c>
      <c r="E967" t="str">
        <f t="shared" si="53"/>
        <v>0,000</v>
      </c>
    </row>
    <row r="968" spans="1:5">
      <c r="A968">
        <v>263501</v>
      </c>
      <c r="B968" t="str">
        <f t="shared" si="51"/>
        <v/>
      </c>
      <c r="C968">
        <f t="shared" si="52"/>
        <v>1900</v>
      </c>
      <c r="D968">
        <f>IF(OR(C968=1900,$D$868=0),0,VLOOKUP(A968,'Estados Financieros'!$A$18:$H$458,7,0))</f>
        <v>0</v>
      </c>
      <c r="E968" t="str">
        <f t="shared" si="53"/>
        <v>0,000</v>
      </c>
    </row>
    <row r="969" spans="1:5">
      <c r="A969">
        <v>264001</v>
      </c>
      <c r="B969" t="str">
        <f t="shared" si="51"/>
        <v/>
      </c>
      <c r="C969">
        <f t="shared" si="52"/>
        <v>1900</v>
      </c>
      <c r="D969">
        <f>IF(OR(C969=1900,$D$868=0),0,VLOOKUP(A969,'Estados Financieros'!$A$18:$H$458,7,0))</f>
        <v>0</v>
      </c>
      <c r="E969" t="str">
        <f t="shared" si="53"/>
        <v>0,000</v>
      </c>
    </row>
    <row r="970" spans="1:5">
      <c r="A970">
        <v>269501</v>
      </c>
      <c r="B970" t="str">
        <f t="shared" si="51"/>
        <v/>
      </c>
      <c r="C970">
        <f t="shared" si="52"/>
        <v>1900</v>
      </c>
      <c r="D970">
        <f>IF(OR(C970=1900,$D$868=0),0,VLOOKUP(A970,'Estados Financieros'!$A$18:$H$458,7,0))</f>
        <v>0</v>
      </c>
      <c r="E970" t="str">
        <f t="shared" si="53"/>
        <v>0,000</v>
      </c>
    </row>
    <row r="971" spans="1:5">
      <c r="A971">
        <v>2206</v>
      </c>
      <c r="B971" t="str">
        <f t="shared" si="51"/>
        <v/>
      </c>
      <c r="C971">
        <f t="shared" si="52"/>
        <v>1900</v>
      </c>
      <c r="D971">
        <f>IF(OR(C971=1900,$D$868=0),0,VLOOKUP(A971,'Estados Financieros'!$A$18:$H$458,7,0))</f>
        <v>0</v>
      </c>
      <c r="E971" t="str">
        <f t="shared" si="53"/>
        <v>0,000</v>
      </c>
    </row>
    <row r="972" spans="1:5">
      <c r="A972">
        <v>270501</v>
      </c>
      <c r="B972" t="str">
        <f t="shared" si="51"/>
        <v/>
      </c>
      <c r="C972">
        <f t="shared" si="52"/>
        <v>1900</v>
      </c>
      <c r="D972">
        <f>IF(OR(C972=1900,$D$868=0),0,VLOOKUP(A972,'Estados Financieros'!$A$18:$H$458,7,0))</f>
        <v>0</v>
      </c>
      <c r="E972" t="str">
        <f t="shared" si="53"/>
        <v>0,000</v>
      </c>
    </row>
    <row r="973" spans="1:5">
      <c r="A973">
        <v>271001</v>
      </c>
      <c r="B973" t="str">
        <f t="shared" si="51"/>
        <v/>
      </c>
      <c r="C973">
        <f t="shared" si="52"/>
        <v>1900</v>
      </c>
      <c r="D973">
        <f>IF(OR(C973=1900,$D$868=0),0,VLOOKUP(A973,'Estados Financieros'!$A$18:$H$458,7,0))</f>
        <v>0</v>
      </c>
      <c r="E973" t="str">
        <f t="shared" si="53"/>
        <v>0,000</v>
      </c>
    </row>
    <row r="974" spans="1:5">
      <c r="A974">
        <v>272001</v>
      </c>
      <c r="B974" t="str">
        <f t="shared" ref="B974:B1021" si="54">+B973</f>
        <v/>
      </c>
      <c r="C974">
        <f t="shared" ref="C974:C1021" si="55">+C973</f>
        <v>1900</v>
      </c>
      <c r="D974">
        <f>IF(OR(C974=1900,$D$868=0),0,VLOOKUP(A974,'Estados Financieros'!$A$18:$H$458,7,0))</f>
        <v>0</v>
      </c>
      <c r="E974" t="str">
        <f t="shared" si="53"/>
        <v>0,000</v>
      </c>
    </row>
    <row r="975" spans="1:5">
      <c r="A975">
        <v>272501</v>
      </c>
      <c r="B975" t="str">
        <f t="shared" si="54"/>
        <v/>
      </c>
      <c r="C975">
        <f t="shared" si="55"/>
        <v>1900</v>
      </c>
      <c r="D975">
        <f>IF(OR(C975=1900,$D$868=0),0,VLOOKUP(A975,'Estados Financieros'!$A$18:$H$458,7,0))</f>
        <v>0</v>
      </c>
      <c r="E975" t="str">
        <f t="shared" si="53"/>
        <v>0,000</v>
      </c>
    </row>
    <row r="976" spans="1:5">
      <c r="A976">
        <v>279501</v>
      </c>
      <c r="B976" t="str">
        <f t="shared" si="54"/>
        <v/>
      </c>
      <c r="C976">
        <f t="shared" si="55"/>
        <v>1900</v>
      </c>
      <c r="D976">
        <f>IF(OR(C976=1900,$D$868=0),0,VLOOKUP(A976,'Estados Financieros'!$A$18:$H$458,7,0))</f>
        <v>0</v>
      </c>
      <c r="E976" t="str">
        <f t="shared" si="53"/>
        <v>0,000</v>
      </c>
    </row>
    <row r="977" spans="1:5">
      <c r="A977">
        <v>2207</v>
      </c>
      <c r="B977" t="str">
        <f t="shared" si="54"/>
        <v/>
      </c>
      <c r="C977">
        <f t="shared" si="55"/>
        <v>1900</v>
      </c>
      <c r="D977">
        <f>IF(OR(C977=1900,$D$868=0),0,VLOOKUP(A977,'Estados Financieros'!$A$18:$H$458,7,0))</f>
        <v>0</v>
      </c>
      <c r="E977" t="str">
        <f t="shared" si="53"/>
        <v>0,000</v>
      </c>
    </row>
    <row r="978" spans="1:5">
      <c r="A978">
        <v>290501</v>
      </c>
      <c r="B978" t="str">
        <f t="shared" si="54"/>
        <v/>
      </c>
      <c r="C978">
        <f t="shared" si="55"/>
        <v>1900</v>
      </c>
      <c r="D978">
        <f>IF(OR(C978=1900,$D$868=0),0,VLOOKUP(A978,'Estados Financieros'!$A$18:$H$458,7,0))</f>
        <v>0</v>
      </c>
      <c r="E978" t="str">
        <f t="shared" si="53"/>
        <v>0,000</v>
      </c>
    </row>
    <row r="979" spans="1:5">
      <c r="A979">
        <v>291991</v>
      </c>
      <c r="B979" t="str">
        <f t="shared" si="54"/>
        <v/>
      </c>
      <c r="C979">
        <f t="shared" si="55"/>
        <v>1900</v>
      </c>
      <c r="D979">
        <f>IF(OR(C979=1900,$D$868=0),0,VLOOKUP(A979,'Estados Financieros'!$A$18:$H$458,7,0))</f>
        <v>0</v>
      </c>
      <c r="E979" t="str">
        <f t="shared" si="53"/>
        <v>0,000</v>
      </c>
    </row>
    <row r="980" spans="1:5">
      <c r="A980">
        <v>291501</v>
      </c>
      <c r="B980" t="str">
        <f t="shared" si="54"/>
        <v/>
      </c>
      <c r="C980">
        <f t="shared" si="55"/>
        <v>1900</v>
      </c>
      <c r="D980">
        <f>IF(OR(C980=1900,$D$868=0),0,VLOOKUP(A980,'Estados Financieros'!$A$18:$H$458,7,0))</f>
        <v>0</v>
      </c>
      <c r="E980" t="str">
        <f t="shared" si="53"/>
        <v>0,000</v>
      </c>
    </row>
    <row r="981" spans="1:5">
      <c r="A981">
        <v>292001</v>
      </c>
      <c r="B981" t="str">
        <f t="shared" si="54"/>
        <v/>
      </c>
      <c r="C981">
        <f t="shared" si="55"/>
        <v>1900</v>
      </c>
      <c r="D981">
        <f>IF(OR(C981=1900,$D$868=0),0,VLOOKUP(A981,'Estados Financieros'!$A$18:$H$458,7,0))</f>
        <v>0</v>
      </c>
      <c r="E981" t="str">
        <f t="shared" si="53"/>
        <v>0,000</v>
      </c>
    </row>
    <row r="982" spans="1:5">
      <c r="A982">
        <v>299501</v>
      </c>
      <c r="B982" t="str">
        <f t="shared" si="54"/>
        <v/>
      </c>
      <c r="C982">
        <f t="shared" si="55"/>
        <v>1900</v>
      </c>
      <c r="D982">
        <f>IF(OR(C982=1900,$D$868=0),0,VLOOKUP(A982,'Estados Financieros'!$A$18:$H$458,7,0))</f>
        <v>0</v>
      </c>
      <c r="E982" t="str">
        <f t="shared" si="53"/>
        <v>0,000</v>
      </c>
    </row>
    <row r="983" spans="1:5">
      <c r="A983">
        <v>2209</v>
      </c>
      <c r="B983" t="str">
        <f t="shared" si="54"/>
        <v/>
      </c>
      <c r="C983">
        <f t="shared" si="55"/>
        <v>1900</v>
      </c>
      <c r="D983">
        <f>IF(OR(C983=1900,$D$868=0),0,VLOOKUP(A983,'Estados Financieros'!$A$18:$H$458,7,0))</f>
        <v>0</v>
      </c>
      <c r="E983" t="str">
        <f t="shared" si="53"/>
        <v>0,000</v>
      </c>
    </row>
    <row r="984" spans="1:5">
      <c r="A984">
        <v>22</v>
      </c>
      <c r="B984" t="str">
        <f t="shared" si="54"/>
        <v/>
      </c>
      <c r="C984">
        <f t="shared" si="55"/>
        <v>1900</v>
      </c>
      <c r="D984">
        <f>IF(OR(C984=1900,$D$868=0),0,VLOOKUP(A984,'Estados Financieros'!$A$18:$H$458,7,0))</f>
        <v>0</v>
      </c>
      <c r="E984" t="str">
        <f t="shared" si="53"/>
        <v>0,000</v>
      </c>
    </row>
    <row r="985" spans="1:5">
      <c r="A985">
        <v>2</v>
      </c>
      <c r="B985" t="str">
        <f t="shared" si="54"/>
        <v/>
      </c>
      <c r="C985">
        <f t="shared" si="55"/>
        <v>1900</v>
      </c>
      <c r="D985">
        <f>IF(OR(C985=1900,$D$868=0),0,VLOOKUP(A985,'Estados Financieros'!$A$18:$H$458,7,0))</f>
        <v>0</v>
      </c>
      <c r="E985" t="str">
        <f t="shared" si="53"/>
        <v>0,000</v>
      </c>
    </row>
    <row r="986" spans="1:5">
      <c r="A986">
        <v>310500</v>
      </c>
      <c r="B986" t="str">
        <f t="shared" si="54"/>
        <v/>
      </c>
      <c r="C986">
        <f t="shared" si="55"/>
        <v>1900</v>
      </c>
      <c r="D986">
        <f>IF(OR(C986=1900,$D$868=0),0,VLOOKUP(A986,'Estados Financieros'!$A$18:$H$458,7,0))</f>
        <v>0</v>
      </c>
      <c r="E986" t="str">
        <f t="shared" si="53"/>
        <v>0,000</v>
      </c>
    </row>
    <row r="987" spans="1:5">
      <c r="A987">
        <v>311500</v>
      </c>
      <c r="B987" t="str">
        <f t="shared" si="54"/>
        <v/>
      </c>
      <c r="C987">
        <f t="shared" si="55"/>
        <v>1900</v>
      </c>
      <c r="D987">
        <f>IF(OR(C987=1900,$D$868=0),0,VLOOKUP(A987,'Estados Financieros'!$A$18:$H$458,7,0))</f>
        <v>0</v>
      </c>
      <c r="E987" t="str">
        <f t="shared" si="53"/>
        <v>0,000</v>
      </c>
    </row>
    <row r="988" spans="1:5">
      <c r="A988">
        <v>312000</v>
      </c>
      <c r="B988" t="str">
        <f t="shared" si="54"/>
        <v/>
      </c>
      <c r="C988">
        <f t="shared" si="55"/>
        <v>1900</v>
      </c>
      <c r="D988">
        <f>IF(OR(C988=1900,$D$868=0),0,VLOOKUP(A988,'Estados Financieros'!$A$18:$H$458,7,0))</f>
        <v>0</v>
      </c>
      <c r="E988" t="str">
        <f t="shared" si="53"/>
        <v>0,000</v>
      </c>
    </row>
    <row r="989" spans="1:5">
      <c r="A989">
        <v>312500</v>
      </c>
      <c r="B989" t="str">
        <f t="shared" si="54"/>
        <v/>
      </c>
      <c r="C989">
        <f t="shared" si="55"/>
        <v>1900</v>
      </c>
      <c r="D989">
        <f>IF(OR(C989=1900,$D$868=0),0,VLOOKUP(A989,'Estados Financieros'!$A$18:$H$458,7,0))</f>
        <v>0</v>
      </c>
      <c r="E989" t="str">
        <f t="shared" si="53"/>
        <v>0,000</v>
      </c>
    </row>
    <row r="990" spans="1:5">
      <c r="A990">
        <v>313000</v>
      </c>
      <c r="B990" t="str">
        <f t="shared" si="54"/>
        <v/>
      </c>
      <c r="C990">
        <f t="shared" si="55"/>
        <v>1900</v>
      </c>
      <c r="D990">
        <f>IF(OR(C990=1900,$D$868=0),0,VLOOKUP(A990,'Estados Financieros'!$A$18:$H$458,7,0))</f>
        <v>0</v>
      </c>
      <c r="E990" t="str">
        <f t="shared" si="53"/>
        <v>0,000</v>
      </c>
    </row>
    <row r="991" spans="1:5">
      <c r="A991">
        <v>313500</v>
      </c>
      <c r="B991" t="str">
        <f t="shared" si="54"/>
        <v/>
      </c>
      <c r="C991">
        <f t="shared" si="55"/>
        <v>1900</v>
      </c>
      <c r="D991">
        <f>IF(OR(C991=1900,$D$868=0),0,VLOOKUP(A991,'Estados Financieros'!$A$18:$H$458,7,0))</f>
        <v>0</v>
      </c>
      <c r="E991" t="str">
        <f t="shared" si="53"/>
        <v>0,000</v>
      </c>
    </row>
    <row r="992" spans="1:5">
      <c r="A992">
        <v>314000</v>
      </c>
      <c r="B992" t="str">
        <f t="shared" si="54"/>
        <v/>
      </c>
      <c r="C992">
        <f t="shared" si="55"/>
        <v>1900</v>
      </c>
      <c r="D992">
        <f>IF(OR(C992=1900,$D$868=0),0,VLOOKUP(A992,'Estados Financieros'!$A$18:$H$458,7,0))</f>
        <v>0</v>
      </c>
      <c r="E992" t="str">
        <f t="shared" si="53"/>
        <v>0,000</v>
      </c>
    </row>
    <row r="993" spans="1:5">
      <c r="A993">
        <v>31</v>
      </c>
      <c r="B993" t="str">
        <f t="shared" si="54"/>
        <v/>
      </c>
      <c r="C993">
        <f t="shared" si="55"/>
        <v>1900</v>
      </c>
      <c r="D993">
        <f>IF(OR(C993=1900,$D$868=0),0,VLOOKUP(A993,'Estados Financieros'!$A$18:$H$458,7,0))</f>
        <v>0</v>
      </c>
      <c r="E993" t="str">
        <f t="shared" si="53"/>
        <v>0,000</v>
      </c>
    </row>
    <row r="994" spans="1:5">
      <c r="A994">
        <v>320500</v>
      </c>
      <c r="B994" t="str">
        <f t="shared" si="54"/>
        <v/>
      </c>
      <c r="C994">
        <f t="shared" si="55"/>
        <v>1900</v>
      </c>
      <c r="D994">
        <f>IF(OR(C994=1900,$D$868=0),0,VLOOKUP(A994,'Estados Financieros'!$A$18:$H$458,7,0))</f>
        <v>0</v>
      </c>
      <c r="E994" t="str">
        <f t="shared" si="53"/>
        <v>0,000</v>
      </c>
    </row>
    <row r="995" spans="1:5">
      <c r="A995">
        <v>321000</v>
      </c>
      <c r="B995" t="str">
        <f t="shared" si="54"/>
        <v/>
      </c>
      <c r="C995">
        <f t="shared" si="55"/>
        <v>1900</v>
      </c>
      <c r="D995">
        <f>IF(OR(C995=1900,$D$868=0),0,VLOOKUP(A995,'Estados Financieros'!$A$18:$H$458,7,0))</f>
        <v>0</v>
      </c>
      <c r="E995" t="str">
        <f t="shared" si="53"/>
        <v>0,000</v>
      </c>
    </row>
    <row r="996" spans="1:5">
      <c r="A996">
        <v>321500</v>
      </c>
      <c r="B996" t="str">
        <f t="shared" si="54"/>
        <v/>
      </c>
      <c r="C996">
        <f t="shared" si="55"/>
        <v>1900</v>
      </c>
      <c r="D996">
        <f>IF(OR(C996=1900,$D$868=0),0,VLOOKUP(A996,'Estados Financieros'!$A$18:$H$458,7,0))</f>
        <v>0</v>
      </c>
      <c r="E996" t="str">
        <f t="shared" si="53"/>
        <v>0,000</v>
      </c>
    </row>
    <row r="997" spans="1:5">
      <c r="A997">
        <v>322000</v>
      </c>
      <c r="B997" t="str">
        <f t="shared" si="54"/>
        <v/>
      </c>
      <c r="C997">
        <f t="shared" si="55"/>
        <v>1900</v>
      </c>
      <c r="D997">
        <f>IF(OR(C997=1900,$D$868=0),0,VLOOKUP(A997,'Estados Financieros'!$A$18:$H$458,7,0))</f>
        <v>0</v>
      </c>
      <c r="E997" t="str">
        <f t="shared" si="53"/>
        <v>0,000</v>
      </c>
    </row>
    <row r="998" spans="1:5">
      <c r="A998">
        <v>322500</v>
      </c>
      <c r="B998" t="str">
        <f t="shared" si="54"/>
        <v/>
      </c>
      <c r="C998">
        <f t="shared" si="55"/>
        <v>1900</v>
      </c>
      <c r="D998">
        <f>IF(OR(C998=1900,$D$868=0),0,VLOOKUP(A998,'Estados Financieros'!$A$18:$H$458,7,0))</f>
        <v>0</v>
      </c>
      <c r="E998" t="str">
        <f t="shared" si="53"/>
        <v>0,000</v>
      </c>
    </row>
    <row r="999" spans="1:5">
      <c r="A999">
        <v>32</v>
      </c>
      <c r="B999" t="str">
        <f t="shared" si="54"/>
        <v/>
      </c>
      <c r="C999">
        <f t="shared" si="55"/>
        <v>1900</v>
      </c>
      <c r="D999">
        <f>IF(OR(C999=1900,$D$868=0),0,VLOOKUP(A999,'Estados Financieros'!$A$18:$H$458,7,0))</f>
        <v>0</v>
      </c>
      <c r="E999" t="str">
        <f t="shared" si="53"/>
        <v>0,000</v>
      </c>
    </row>
    <row r="1000" spans="1:5">
      <c r="A1000">
        <v>330500</v>
      </c>
      <c r="B1000" t="str">
        <f t="shared" si="54"/>
        <v/>
      </c>
      <c r="C1000">
        <f t="shared" si="55"/>
        <v>1900</v>
      </c>
      <c r="D1000">
        <f>IF(OR(C1000=1900,$D$868=0),0,VLOOKUP(A1000,'Estados Financieros'!$A$18:$H$458,7,0))</f>
        <v>0</v>
      </c>
      <c r="E1000" t="str">
        <f t="shared" si="53"/>
        <v>0,000</v>
      </c>
    </row>
    <row r="1001" spans="1:5">
      <c r="A1001">
        <v>331000</v>
      </c>
      <c r="B1001" t="str">
        <f t="shared" si="54"/>
        <v/>
      </c>
      <c r="C1001">
        <f t="shared" si="55"/>
        <v>1900</v>
      </c>
      <c r="D1001">
        <f>IF(OR(C1001=1900,$D$868=0),0,VLOOKUP(A1001,'Estados Financieros'!$A$18:$H$458,7,0))</f>
        <v>0</v>
      </c>
      <c r="E1001" t="str">
        <f t="shared" si="53"/>
        <v>0,000</v>
      </c>
    </row>
    <row r="1002" spans="1:5">
      <c r="A1002">
        <v>331500</v>
      </c>
      <c r="B1002" t="str">
        <f t="shared" si="54"/>
        <v/>
      </c>
      <c r="C1002">
        <f t="shared" si="55"/>
        <v>1900</v>
      </c>
      <c r="D1002">
        <f>IF(OR(C1002=1900,$D$868=0),0,VLOOKUP(A1002,'Estados Financieros'!$A$18:$H$458,7,0))</f>
        <v>0</v>
      </c>
      <c r="E1002" t="str">
        <f t="shared" si="53"/>
        <v>0,000</v>
      </c>
    </row>
    <row r="1003" spans="1:5">
      <c r="A1003">
        <v>33</v>
      </c>
      <c r="B1003" t="str">
        <f t="shared" si="54"/>
        <v/>
      </c>
      <c r="C1003">
        <f t="shared" si="55"/>
        <v>1900</v>
      </c>
      <c r="D1003">
        <f>IF(OR(C1003=1900,$D$868=0),0,VLOOKUP(A1003,'Estados Financieros'!$A$18:$H$458,7,0))</f>
        <v>0</v>
      </c>
      <c r="E1003" t="str">
        <f t="shared" si="53"/>
        <v>0,000</v>
      </c>
    </row>
    <row r="1004" spans="1:5">
      <c r="A1004">
        <v>340505</v>
      </c>
      <c r="B1004" t="str">
        <f t="shared" si="54"/>
        <v/>
      </c>
      <c r="C1004">
        <f t="shared" si="55"/>
        <v>1900</v>
      </c>
      <c r="D1004">
        <f>IF(OR(C1004=1900,$D$868=0),0,VLOOKUP(A1004,'Estados Financieros'!$A$18:$H$458,7,0))</f>
        <v>0</v>
      </c>
      <c r="E1004" t="str">
        <f t="shared" si="53"/>
        <v>0,000</v>
      </c>
    </row>
    <row r="1005" spans="1:5">
      <c r="A1005">
        <v>340515</v>
      </c>
      <c r="B1005" t="str">
        <f t="shared" si="54"/>
        <v/>
      </c>
      <c r="C1005">
        <f t="shared" si="55"/>
        <v>1900</v>
      </c>
      <c r="D1005">
        <f>IF(OR(C1005=1900,$D$868=0),0,VLOOKUP(A1005,'Estados Financieros'!$A$18:$H$458,7,0))</f>
        <v>0</v>
      </c>
      <c r="E1005" t="str">
        <f t="shared" si="53"/>
        <v>0,000</v>
      </c>
    </row>
    <row r="1006" spans="1:5">
      <c r="A1006">
        <v>349500</v>
      </c>
      <c r="B1006" t="str">
        <f t="shared" si="54"/>
        <v/>
      </c>
      <c r="C1006">
        <f t="shared" si="55"/>
        <v>1900</v>
      </c>
      <c r="D1006">
        <f>IF(OR(C1006=1900,$D$868=0),0,VLOOKUP(A1006,'Estados Financieros'!$A$18:$H$458,7,0))</f>
        <v>0</v>
      </c>
      <c r="E1006" t="str">
        <f t="shared" si="53"/>
        <v>0,000</v>
      </c>
    </row>
    <row r="1007" spans="1:5">
      <c r="A1007">
        <v>34</v>
      </c>
      <c r="B1007" t="str">
        <f t="shared" si="54"/>
        <v/>
      </c>
      <c r="C1007">
        <f t="shared" si="55"/>
        <v>1900</v>
      </c>
      <c r="D1007">
        <f>IF(OR(C1007=1900,$D$868=0),0,VLOOKUP(A1007,'Estados Financieros'!$A$18:$H$458,7,0))</f>
        <v>0</v>
      </c>
      <c r="E1007" t="str">
        <f t="shared" si="53"/>
        <v>0,000</v>
      </c>
    </row>
    <row r="1008" spans="1:5">
      <c r="A1008">
        <v>35</v>
      </c>
      <c r="B1008" t="str">
        <f t="shared" si="54"/>
        <v/>
      </c>
      <c r="C1008">
        <f t="shared" si="55"/>
        <v>1900</v>
      </c>
      <c r="D1008">
        <f>IF(OR(C1008=1900,$D$868=0),0,VLOOKUP(A1008,'Estados Financieros'!$A$18:$H$458,7,0))</f>
        <v>0</v>
      </c>
      <c r="E1008" t="str">
        <f t="shared" si="53"/>
        <v>0,000</v>
      </c>
    </row>
    <row r="1009" spans="1:5">
      <c r="A1009">
        <v>36</v>
      </c>
      <c r="B1009" t="str">
        <f t="shared" si="54"/>
        <v/>
      </c>
      <c r="C1009">
        <f t="shared" si="55"/>
        <v>1900</v>
      </c>
      <c r="D1009">
        <f>IF(OR(C1009=1900,$D$868=0),0,VLOOKUP(A1009,'Estados Financieros'!$A$18:$H$458,7,0))</f>
        <v>0</v>
      </c>
      <c r="E1009" t="str">
        <f t="shared" si="53"/>
        <v>0,000</v>
      </c>
    </row>
    <row r="1010" spans="1:5">
      <c r="A1010">
        <v>37</v>
      </c>
      <c r="B1010" t="str">
        <f t="shared" si="54"/>
        <v/>
      </c>
      <c r="C1010">
        <f t="shared" si="55"/>
        <v>1900</v>
      </c>
      <c r="D1010">
        <f>IF(OR(C1010=1900,$D$868=0),0,VLOOKUP(A1010,'Estados Financieros'!$A$18:$H$458,7,0))</f>
        <v>0</v>
      </c>
      <c r="E1010" t="str">
        <f t="shared" si="53"/>
        <v>0,000</v>
      </c>
    </row>
    <row r="1011" spans="1:5">
      <c r="A1011">
        <v>38</v>
      </c>
      <c r="B1011" t="str">
        <f t="shared" si="54"/>
        <v/>
      </c>
      <c r="C1011">
        <f t="shared" si="55"/>
        <v>1900</v>
      </c>
      <c r="D1011">
        <f>IF(OR(C1011=1900,$D$868=0),0,VLOOKUP(A1011,'Estados Financieros'!$A$18:$H$458,7,0))</f>
        <v>0</v>
      </c>
      <c r="E1011" t="str">
        <f t="shared" si="53"/>
        <v>0,000</v>
      </c>
    </row>
    <row r="1012" spans="1:5">
      <c r="A1012">
        <v>3</v>
      </c>
      <c r="B1012" t="str">
        <f t="shared" si="54"/>
        <v/>
      </c>
      <c r="C1012">
        <f t="shared" si="55"/>
        <v>1900</v>
      </c>
      <c r="D1012">
        <f>IF(OR(C1012=1900,$D$868=0),0,VLOOKUP(A1012,'Estados Financieros'!$A$18:$H$458,7,0))</f>
        <v>0</v>
      </c>
      <c r="E1012" t="str">
        <f t="shared" si="53"/>
        <v>0,000</v>
      </c>
    </row>
    <row r="1013" spans="1:5">
      <c r="A1013">
        <v>0</v>
      </c>
      <c r="B1013" t="str">
        <f t="shared" si="54"/>
        <v/>
      </c>
      <c r="C1013">
        <f t="shared" si="55"/>
        <v>1900</v>
      </c>
      <c r="D1013">
        <f>IF(OR(C1013=1900,$D$868=0),0,VLOOKUP(A1013,'Estados Financieros'!$A$18:$H$458,7,0))</f>
        <v>0</v>
      </c>
      <c r="E1013" t="str">
        <f t="shared" si="53"/>
        <v>0,000</v>
      </c>
    </row>
    <row r="1014" spans="1:5">
      <c r="A1014">
        <v>291000</v>
      </c>
      <c r="B1014" t="str">
        <f t="shared" si="54"/>
        <v/>
      </c>
      <c r="C1014">
        <f t="shared" si="55"/>
        <v>1900</v>
      </c>
      <c r="D1014">
        <f>IF(OR(C1014=1900,$D$868=0),0,VLOOKUP(A1014,'Estados Financieros'!$A$18:$H$458,7,0))</f>
        <v>0</v>
      </c>
      <c r="E1014" t="str">
        <f t="shared" si="53"/>
        <v>0,000</v>
      </c>
    </row>
    <row r="1015" spans="1:5">
      <c r="A1015">
        <v>292000</v>
      </c>
      <c r="B1015" t="str">
        <f t="shared" si="54"/>
        <v/>
      </c>
      <c r="C1015">
        <f t="shared" si="55"/>
        <v>1900</v>
      </c>
      <c r="D1015">
        <f>IF(OR(C1015=1900,$D$868=0),0,VLOOKUP(A1015,'Estados Financieros'!$A$18:$H$458,7,0))</f>
        <v>0</v>
      </c>
      <c r="E1015" t="str">
        <f t="shared" si="53"/>
        <v>0,000</v>
      </c>
    </row>
    <row r="1016" spans="1:5">
      <c r="A1016">
        <v>293000</v>
      </c>
      <c r="B1016" t="str">
        <f t="shared" si="54"/>
        <v/>
      </c>
      <c r="C1016">
        <f t="shared" si="55"/>
        <v>1900</v>
      </c>
      <c r="D1016">
        <f>IF(OR(C1016=1900,$D$868=0),0,VLOOKUP(A1016,'Estados Financieros'!$A$18:$H$458,7,0))</f>
        <v>0</v>
      </c>
      <c r="E1016" t="str">
        <f t="shared" si="53"/>
        <v>0,000</v>
      </c>
    </row>
    <row r="1017" spans="1:5">
      <c r="A1017">
        <v>294000</v>
      </c>
      <c r="B1017" t="str">
        <f t="shared" si="54"/>
        <v/>
      </c>
      <c r="C1017">
        <f t="shared" si="55"/>
        <v>1900</v>
      </c>
      <c r="D1017">
        <f>IF(OR(C1017=1900,$D$868=0),0,VLOOKUP(A1017,'Estados Financieros'!$A$18:$H$458,7,0))</f>
        <v>0</v>
      </c>
      <c r="E1017" t="str">
        <f t="shared" si="53"/>
        <v>0,000</v>
      </c>
    </row>
    <row r="1018" spans="1:5">
      <c r="A1018">
        <v>190000</v>
      </c>
      <c r="B1018" t="str">
        <f t="shared" si="54"/>
        <v/>
      </c>
      <c r="C1018">
        <f t="shared" si="55"/>
        <v>1900</v>
      </c>
      <c r="D1018">
        <f>IF(OR(C1018=1900,$D$868=0),0,VLOOKUP(A1018,'Estados Financieros'!$A$18:$H$458,7,0))</f>
        <v>0</v>
      </c>
      <c r="E1018" t="str">
        <f t="shared" si="53"/>
        <v>0,000</v>
      </c>
    </row>
    <row r="1019" spans="1:5">
      <c r="A1019">
        <v>410500</v>
      </c>
      <c r="B1019" t="str">
        <f t="shared" si="54"/>
        <v/>
      </c>
      <c r="C1019">
        <f t="shared" si="55"/>
        <v>1900</v>
      </c>
      <c r="D1019">
        <f>IF(OR(C1019=1900,$D$868=0),0,VLOOKUP(A1019,'Estados Financieros'!$A$18:$H$458,7,0))</f>
        <v>0</v>
      </c>
      <c r="E1019" t="str">
        <f t="shared" si="53"/>
        <v>0,000</v>
      </c>
    </row>
    <row r="1020" spans="1:5">
      <c r="A1020">
        <v>411000</v>
      </c>
      <c r="B1020" t="str">
        <f t="shared" si="54"/>
        <v/>
      </c>
      <c r="C1020">
        <f t="shared" si="55"/>
        <v>1900</v>
      </c>
      <c r="D1020">
        <f>IF(OR(C1020=1900,$D$868=0),0,VLOOKUP(A1020,'Estados Financieros'!$A$18:$H$458,7,0))</f>
        <v>0</v>
      </c>
      <c r="E1020" t="str">
        <f t="shared" si="53"/>
        <v>0,000</v>
      </c>
    </row>
    <row r="1021" spans="1:5">
      <c r="A1021">
        <v>41</v>
      </c>
      <c r="B1021" t="str">
        <f t="shared" si="54"/>
        <v/>
      </c>
      <c r="C1021">
        <f t="shared" si="55"/>
        <v>1900</v>
      </c>
      <c r="D1021">
        <f>+D1020+D1019</f>
        <v>0</v>
      </c>
      <c r="E1021" t="str">
        <f t="shared" si="53"/>
        <v>0,000</v>
      </c>
    </row>
    <row r="1022" spans="1:5">
      <c r="A1022">
        <v>61</v>
      </c>
      <c r="B1022" t="str">
        <f>+B1020</f>
        <v/>
      </c>
      <c r="C1022">
        <f>+C1020</f>
        <v>1900</v>
      </c>
      <c r="D1022">
        <f>IF(OR(C1022=1900,$D$868=0),0,VLOOKUP(A1022,'Estados Financieros'!$A$18:$H$458,7,0))</f>
        <v>0</v>
      </c>
      <c r="E1022" t="str">
        <f t="shared" si="53"/>
        <v>0,000</v>
      </c>
    </row>
    <row r="1023" spans="1:5">
      <c r="A1023">
        <v>606000</v>
      </c>
      <c r="B1023" t="str">
        <f t="shared" ref="B1023:B1054" si="56">+B1022</f>
        <v/>
      </c>
      <c r="C1023">
        <f t="shared" ref="C1023:C1054" si="57">+C1022</f>
        <v>1900</v>
      </c>
      <c r="D1023">
        <f>IF(OR(C1023=1900,$D$868=0),0,VLOOKUP(A1023,'Estados Financieros'!$A$18:$H$458,7,0))</f>
        <v>0</v>
      </c>
      <c r="E1023" t="str">
        <f t="shared" si="53"/>
        <v>0,000</v>
      </c>
    </row>
    <row r="1024" spans="1:5">
      <c r="A1024">
        <v>95</v>
      </c>
      <c r="B1024" t="str">
        <f t="shared" si="56"/>
        <v/>
      </c>
      <c r="C1024">
        <f t="shared" si="57"/>
        <v>1900</v>
      </c>
      <c r="D1024">
        <f>IF(OR(C1024=1900,$D$868=0),0,VLOOKUP(A1024,'Estados Financieros'!$A$18:$H$458,7,0))</f>
        <v>0</v>
      </c>
      <c r="E1024" t="str">
        <f t="shared" si="53"/>
        <v>0,000</v>
      </c>
    </row>
    <row r="1025" spans="1:5">
      <c r="A1025">
        <v>510500</v>
      </c>
      <c r="B1025" t="str">
        <f t="shared" si="56"/>
        <v/>
      </c>
      <c r="C1025">
        <f t="shared" si="57"/>
        <v>1900</v>
      </c>
      <c r="D1025">
        <f>IF(OR(C1025=1900,$D$868=0),0,VLOOKUP(A1025,'Estados Financieros'!$A$18:$H$458,7,0))</f>
        <v>0</v>
      </c>
      <c r="E1025" t="str">
        <f t="shared" si="53"/>
        <v>0,000</v>
      </c>
    </row>
    <row r="1026" spans="1:5">
      <c r="A1026">
        <v>511000</v>
      </c>
      <c r="B1026" t="str">
        <f t="shared" si="56"/>
        <v/>
      </c>
      <c r="C1026">
        <f t="shared" si="57"/>
        <v>1900</v>
      </c>
      <c r="D1026">
        <f>IF(OR(C1026=1900,$D$868=0),0,VLOOKUP(A1026,'Estados Financieros'!$A$18:$H$458,7,0))</f>
        <v>0</v>
      </c>
      <c r="E1026" t="str">
        <f t="shared" ref="E1026:E1087" si="58">IFERROR(FIXED(D1026,3,1),0)</f>
        <v>0,000</v>
      </c>
    </row>
    <row r="1027" spans="1:5">
      <c r="A1027">
        <v>511500</v>
      </c>
      <c r="B1027" t="str">
        <f t="shared" si="56"/>
        <v/>
      </c>
      <c r="C1027">
        <f t="shared" si="57"/>
        <v>1900</v>
      </c>
      <c r="D1027">
        <f>IF(OR(C1027=1900,$D$868=0),0,VLOOKUP(A1027,'Estados Financieros'!$A$18:$H$458,7,0))</f>
        <v>0</v>
      </c>
      <c r="E1027" t="str">
        <f t="shared" si="58"/>
        <v>0,000</v>
      </c>
    </row>
    <row r="1028" spans="1:5">
      <c r="A1028">
        <v>512000</v>
      </c>
      <c r="B1028" t="str">
        <f t="shared" si="56"/>
        <v/>
      </c>
      <c r="C1028">
        <f t="shared" si="57"/>
        <v>1900</v>
      </c>
      <c r="D1028">
        <f>IF(OR(C1028=1900,$D$868=0),0,VLOOKUP(A1028,'Estados Financieros'!$A$18:$H$458,7,0))</f>
        <v>0</v>
      </c>
      <c r="E1028" t="str">
        <f t="shared" si="58"/>
        <v>0,000</v>
      </c>
    </row>
    <row r="1029" spans="1:5">
      <c r="A1029">
        <v>512500</v>
      </c>
      <c r="B1029" t="str">
        <f t="shared" si="56"/>
        <v/>
      </c>
      <c r="C1029">
        <f t="shared" si="57"/>
        <v>1900</v>
      </c>
      <c r="D1029">
        <f>IF(OR(C1029=1900,$D$868=0),0,VLOOKUP(A1029,'Estados Financieros'!$A$18:$H$458,7,0))</f>
        <v>0</v>
      </c>
      <c r="E1029" t="str">
        <f t="shared" si="58"/>
        <v>0,000</v>
      </c>
    </row>
    <row r="1030" spans="1:5">
      <c r="A1030">
        <v>513000</v>
      </c>
      <c r="B1030" t="str">
        <f t="shared" si="56"/>
        <v/>
      </c>
      <c r="C1030">
        <f t="shared" si="57"/>
        <v>1900</v>
      </c>
      <c r="D1030">
        <f>IF(OR(C1030=1900,$D$868=0),0,VLOOKUP(A1030,'Estados Financieros'!$A$18:$H$458,7,0))</f>
        <v>0</v>
      </c>
      <c r="E1030" t="str">
        <f t="shared" si="58"/>
        <v>0,000</v>
      </c>
    </row>
    <row r="1031" spans="1:5">
      <c r="A1031">
        <v>513500</v>
      </c>
      <c r="B1031" t="str">
        <f t="shared" si="56"/>
        <v/>
      </c>
      <c r="C1031">
        <f t="shared" si="57"/>
        <v>1900</v>
      </c>
      <c r="D1031">
        <f>IF(OR(C1031=1900,$D$868=0),0,VLOOKUP(A1031,'Estados Financieros'!$A$18:$H$458,7,0))</f>
        <v>0</v>
      </c>
      <c r="E1031" t="str">
        <f t="shared" si="58"/>
        <v>0,000</v>
      </c>
    </row>
    <row r="1032" spans="1:5">
      <c r="A1032">
        <v>514000</v>
      </c>
      <c r="B1032" t="str">
        <f t="shared" si="56"/>
        <v/>
      </c>
      <c r="C1032">
        <f t="shared" si="57"/>
        <v>1900</v>
      </c>
      <c r="D1032">
        <f>IF(OR(C1032=1900,$D$868=0),0,VLOOKUP(A1032,'Estados Financieros'!$A$18:$H$458,7,0))</f>
        <v>0</v>
      </c>
      <c r="E1032" t="str">
        <f t="shared" si="58"/>
        <v>0,000</v>
      </c>
    </row>
    <row r="1033" spans="1:5">
      <c r="A1033">
        <v>514500</v>
      </c>
      <c r="B1033" t="str">
        <f t="shared" si="56"/>
        <v/>
      </c>
      <c r="C1033">
        <f t="shared" si="57"/>
        <v>1900</v>
      </c>
      <c r="D1033">
        <f>IF(OR(C1033=1900,$D$868=0),0,VLOOKUP(A1033,'Estados Financieros'!$A$18:$H$458,7,0))</f>
        <v>0</v>
      </c>
      <c r="E1033" t="str">
        <f t="shared" si="58"/>
        <v>0,000</v>
      </c>
    </row>
    <row r="1034" spans="1:5">
      <c r="A1034">
        <v>515000</v>
      </c>
      <c r="B1034" t="str">
        <f t="shared" si="56"/>
        <v/>
      </c>
      <c r="C1034">
        <f t="shared" si="57"/>
        <v>1900</v>
      </c>
      <c r="D1034">
        <f>IF(OR(C1034=1900,$D$868=0),0,VLOOKUP(A1034,'Estados Financieros'!$A$18:$H$458,7,0))</f>
        <v>0</v>
      </c>
      <c r="E1034" t="str">
        <f t="shared" si="58"/>
        <v>0,000</v>
      </c>
    </row>
    <row r="1035" spans="1:5">
      <c r="A1035">
        <v>515500</v>
      </c>
      <c r="B1035" t="str">
        <f t="shared" si="56"/>
        <v/>
      </c>
      <c r="C1035">
        <f t="shared" si="57"/>
        <v>1900</v>
      </c>
      <c r="D1035">
        <f>IF(OR(C1035=1900,$D$868=0),0,VLOOKUP(A1035,'Estados Financieros'!$A$18:$H$458,7,0))</f>
        <v>0</v>
      </c>
      <c r="E1035" t="str">
        <f t="shared" si="58"/>
        <v>0,000</v>
      </c>
    </row>
    <row r="1036" spans="1:5">
      <c r="A1036">
        <v>519500</v>
      </c>
      <c r="B1036" t="str">
        <f t="shared" si="56"/>
        <v/>
      </c>
      <c r="C1036">
        <f t="shared" si="57"/>
        <v>1900</v>
      </c>
      <c r="D1036">
        <f>IF(OR(C1036=1900,$D$868=0),0,VLOOKUP(A1036,'Estados Financieros'!$A$18:$H$458,7,0))</f>
        <v>0</v>
      </c>
      <c r="E1036" t="str">
        <f t="shared" si="58"/>
        <v>0,000</v>
      </c>
    </row>
    <row r="1037" spans="1:5">
      <c r="A1037">
        <v>516000</v>
      </c>
      <c r="B1037" t="str">
        <f t="shared" si="56"/>
        <v/>
      </c>
      <c r="C1037">
        <f t="shared" si="57"/>
        <v>1900</v>
      </c>
      <c r="D1037">
        <f>IF(OR(C1037=1900,$D$868=0),0,VLOOKUP(A1037,'Estados Financieros'!$A$18:$H$458,7,0))</f>
        <v>0</v>
      </c>
      <c r="E1037" t="str">
        <f t="shared" si="58"/>
        <v>0,000</v>
      </c>
    </row>
    <row r="1038" spans="1:5">
      <c r="A1038">
        <v>516500</v>
      </c>
      <c r="B1038" t="str">
        <f t="shared" si="56"/>
        <v/>
      </c>
      <c r="C1038">
        <f t="shared" si="57"/>
        <v>1900</v>
      </c>
      <c r="D1038">
        <f>IF(OR(C1038=1900,$D$868=0),0,VLOOKUP(A1038,'Estados Financieros'!$A$18:$H$458,7,0))</f>
        <v>0</v>
      </c>
      <c r="E1038" t="str">
        <f t="shared" si="58"/>
        <v>0,000</v>
      </c>
    </row>
    <row r="1039" spans="1:5">
      <c r="A1039">
        <v>519900</v>
      </c>
      <c r="B1039" t="str">
        <f t="shared" si="56"/>
        <v/>
      </c>
      <c r="C1039">
        <f t="shared" si="57"/>
        <v>1900</v>
      </c>
      <c r="D1039">
        <f>IF(OR(C1039=1900,$D$868=0),0,VLOOKUP(A1039,'Estados Financieros'!$A$18:$H$458,7,0))</f>
        <v>0</v>
      </c>
      <c r="E1039" t="str">
        <f t="shared" si="58"/>
        <v>0,000</v>
      </c>
    </row>
    <row r="1040" spans="1:5">
      <c r="A1040">
        <v>51</v>
      </c>
      <c r="B1040" t="str">
        <f t="shared" si="56"/>
        <v/>
      </c>
      <c r="C1040">
        <f t="shared" si="57"/>
        <v>1900</v>
      </c>
      <c r="D1040">
        <f>IF(OR(C1040=1900,$D$868=0),0,VLOOKUP(A1040,'Estados Financieros'!$A$18:$H$458,7,0))</f>
        <v>0</v>
      </c>
      <c r="E1040" t="str">
        <f t="shared" si="58"/>
        <v>0,000</v>
      </c>
    </row>
    <row r="1041" spans="1:5">
      <c r="A1041">
        <v>520500</v>
      </c>
      <c r="B1041" t="str">
        <f t="shared" si="56"/>
        <v/>
      </c>
      <c r="C1041">
        <f t="shared" si="57"/>
        <v>1900</v>
      </c>
      <c r="D1041">
        <f>IF(OR(C1041=1900,$D$868=0),0,VLOOKUP(A1041,'Estados Financieros'!$A$18:$H$458,7,0))</f>
        <v>0</v>
      </c>
      <c r="E1041" t="str">
        <f t="shared" si="58"/>
        <v>0,000</v>
      </c>
    </row>
    <row r="1042" spans="1:5">
      <c r="A1042">
        <v>521000</v>
      </c>
      <c r="B1042" t="str">
        <f t="shared" si="56"/>
        <v/>
      </c>
      <c r="C1042">
        <f t="shared" si="57"/>
        <v>1900</v>
      </c>
      <c r="D1042">
        <f>IF(OR(C1042=1900,$D$868=0),0,VLOOKUP(A1042,'Estados Financieros'!$A$18:$H$458,7,0))</f>
        <v>0</v>
      </c>
      <c r="E1042" t="str">
        <f t="shared" si="58"/>
        <v>0,000</v>
      </c>
    </row>
    <row r="1043" spans="1:5">
      <c r="A1043">
        <v>521500</v>
      </c>
      <c r="B1043" t="str">
        <f t="shared" si="56"/>
        <v/>
      </c>
      <c r="C1043">
        <f t="shared" si="57"/>
        <v>1900</v>
      </c>
      <c r="D1043">
        <f>IF(OR(C1043=1900,$D$868=0),0,VLOOKUP(A1043,'Estados Financieros'!$A$18:$H$458,7,0))</f>
        <v>0</v>
      </c>
      <c r="E1043" t="str">
        <f t="shared" si="58"/>
        <v>0,000</v>
      </c>
    </row>
    <row r="1044" spans="1:5">
      <c r="A1044">
        <v>522000</v>
      </c>
      <c r="B1044" t="str">
        <f t="shared" si="56"/>
        <v/>
      </c>
      <c r="C1044">
        <f t="shared" si="57"/>
        <v>1900</v>
      </c>
      <c r="D1044">
        <f>IF(OR(C1044=1900,$D$868=0),0,VLOOKUP(A1044,'Estados Financieros'!$A$18:$H$458,7,0))</f>
        <v>0</v>
      </c>
      <c r="E1044" t="str">
        <f t="shared" si="58"/>
        <v>0,000</v>
      </c>
    </row>
    <row r="1045" spans="1:5">
      <c r="A1045">
        <v>522500</v>
      </c>
      <c r="B1045" t="str">
        <f t="shared" si="56"/>
        <v/>
      </c>
      <c r="C1045">
        <f t="shared" si="57"/>
        <v>1900</v>
      </c>
      <c r="D1045">
        <f>IF(OR(C1045=1900,$D$868=0),0,VLOOKUP(A1045,'Estados Financieros'!$A$18:$H$458,7,0))</f>
        <v>0</v>
      </c>
      <c r="E1045" t="str">
        <f t="shared" si="58"/>
        <v>0,000</v>
      </c>
    </row>
    <row r="1046" spans="1:5">
      <c r="A1046">
        <v>523000</v>
      </c>
      <c r="B1046" t="str">
        <f t="shared" si="56"/>
        <v/>
      </c>
      <c r="C1046">
        <f t="shared" si="57"/>
        <v>1900</v>
      </c>
      <c r="D1046">
        <f>IF(OR(C1046=1900,$D$868=0),0,VLOOKUP(A1046,'Estados Financieros'!$A$18:$H$458,7,0))</f>
        <v>0</v>
      </c>
      <c r="E1046" t="str">
        <f t="shared" si="58"/>
        <v>0,000</v>
      </c>
    </row>
    <row r="1047" spans="1:5">
      <c r="A1047">
        <v>523500</v>
      </c>
      <c r="B1047" t="str">
        <f t="shared" si="56"/>
        <v/>
      </c>
      <c r="C1047">
        <f t="shared" si="57"/>
        <v>1900</v>
      </c>
      <c r="D1047">
        <f>IF(OR(C1047=1900,$D$868=0),0,VLOOKUP(A1047,'Estados Financieros'!$A$18:$H$458,7,0))</f>
        <v>0</v>
      </c>
      <c r="E1047" t="str">
        <f t="shared" si="58"/>
        <v>0,000</v>
      </c>
    </row>
    <row r="1048" spans="1:5">
      <c r="A1048">
        <v>524000</v>
      </c>
      <c r="B1048" t="str">
        <f t="shared" si="56"/>
        <v/>
      </c>
      <c r="C1048">
        <f t="shared" si="57"/>
        <v>1900</v>
      </c>
      <c r="D1048">
        <f>IF(OR(C1048=1900,$D$868=0),0,VLOOKUP(A1048,'Estados Financieros'!$A$18:$H$458,7,0))</f>
        <v>0</v>
      </c>
      <c r="E1048" t="str">
        <f t="shared" si="58"/>
        <v>0,000</v>
      </c>
    </row>
    <row r="1049" spans="1:5">
      <c r="A1049">
        <v>524500</v>
      </c>
      <c r="B1049" t="str">
        <f t="shared" si="56"/>
        <v/>
      </c>
      <c r="C1049">
        <f t="shared" si="57"/>
        <v>1900</v>
      </c>
      <c r="D1049">
        <f>IF(OR(C1049=1900,$D$868=0),0,VLOOKUP(A1049,'Estados Financieros'!$A$18:$H$458,7,0))</f>
        <v>0</v>
      </c>
      <c r="E1049" t="str">
        <f t="shared" si="58"/>
        <v>0,000</v>
      </c>
    </row>
    <row r="1050" spans="1:5">
      <c r="A1050">
        <v>525000</v>
      </c>
      <c r="B1050" t="str">
        <f t="shared" si="56"/>
        <v/>
      </c>
      <c r="C1050">
        <f t="shared" si="57"/>
        <v>1900</v>
      </c>
      <c r="D1050">
        <f>IF(OR(C1050=1900,$D$868=0),0,VLOOKUP(A1050,'Estados Financieros'!$A$18:$H$458,7,0))</f>
        <v>0</v>
      </c>
      <c r="E1050" t="str">
        <f t="shared" si="58"/>
        <v>0,000</v>
      </c>
    </row>
    <row r="1051" spans="1:5">
      <c r="A1051">
        <v>525500</v>
      </c>
      <c r="B1051" t="str">
        <f t="shared" si="56"/>
        <v/>
      </c>
      <c r="C1051">
        <f t="shared" si="57"/>
        <v>1900</v>
      </c>
      <c r="D1051">
        <f>IF(OR(C1051=1900,$D$868=0),0,VLOOKUP(A1051,'Estados Financieros'!$A$18:$H$458,7,0))</f>
        <v>0</v>
      </c>
      <c r="E1051" t="str">
        <f t="shared" si="58"/>
        <v>0,000</v>
      </c>
    </row>
    <row r="1052" spans="1:5">
      <c r="A1052">
        <v>529500</v>
      </c>
      <c r="B1052" t="str">
        <f t="shared" si="56"/>
        <v/>
      </c>
      <c r="C1052">
        <f t="shared" si="57"/>
        <v>1900</v>
      </c>
      <c r="D1052">
        <f>IF(OR(C1052=1900,$D$868=0),0,VLOOKUP(A1052,'Estados Financieros'!$A$18:$H$458,7,0))</f>
        <v>0</v>
      </c>
      <c r="E1052" t="str">
        <f t="shared" si="58"/>
        <v>0,000</v>
      </c>
    </row>
    <row r="1053" spans="1:5">
      <c r="A1053">
        <v>526000</v>
      </c>
      <c r="B1053" t="str">
        <f t="shared" si="56"/>
        <v/>
      </c>
      <c r="C1053">
        <f t="shared" si="57"/>
        <v>1900</v>
      </c>
      <c r="D1053">
        <f>IF(OR(C1053=1900,$D$868=0),0,VLOOKUP(A1053,'Estados Financieros'!$A$18:$H$458,7,0))</f>
        <v>0</v>
      </c>
      <c r="E1053" t="str">
        <f t="shared" si="58"/>
        <v>0,000</v>
      </c>
    </row>
    <row r="1054" spans="1:5">
      <c r="A1054">
        <v>526500</v>
      </c>
      <c r="B1054" t="str">
        <f t="shared" si="56"/>
        <v/>
      </c>
      <c r="C1054">
        <f t="shared" si="57"/>
        <v>1900</v>
      </c>
      <c r="D1054">
        <f>IF(OR(C1054=1900,$D$868=0),0,VLOOKUP(A1054,'Estados Financieros'!$A$18:$H$458,7,0))</f>
        <v>0</v>
      </c>
      <c r="E1054" t="str">
        <f t="shared" si="58"/>
        <v>0,000</v>
      </c>
    </row>
    <row r="1055" spans="1:5">
      <c r="A1055">
        <v>529900</v>
      </c>
      <c r="B1055" t="str">
        <f t="shared" ref="B1055:B1087" si="59">+B1054</f>
        <v/>
      </c>
      <c r="C1055">
        <f t="shared" ref="C1055:C1087" si="60">+C1054</f>
        <v>1900</v>
      </c>
      <c r="D1055">
        <f>IF(OR(C1055=1900,$D$868=0),0,VLOOKUP(A1055,'Estados Financieros'!$A$18:$H$458,7,0))</f>
        <v>0</v>
      </c>
      <c r="E1055" t="str">
        <f t="shared" si="58"/>
        <v>0,000</v>
      </c>
    </row>
    <row r="1056" spans="1:5">
      <c r="A1056">
        <v>52</v>
      </c>
      <c r="B1056" t="str">
        <f t="shared" si="59"/>
        <v/>
      </c>
      <c r="C1056">
        <f t="shared" si="60"/>
        <v>1900</v>
      </c>
      <c r="D1056">
        <f>IF(OR(C1056=1900,$D$868=0),0,VLOOKUP(A1056,'Estados Financieros'!$A$18:$H$458,7,0))</f>
        <v>0</v>
      </c>
      <c r="E1056" t="str">
        <f t="shared" si="58"/>
        <v>0,000</v>
      </c>
    </row>
    <row r="1057" spans="1:5">
      <c r="A1057">
        <v>96</v>
      </c>
      <c r="B1057" t="str">
        <f t="shared" si="59"/>
        <v/>
      </c>
      <c r="C1057">
        <f t="shared" si="60"/>
        <v>1900</v>
      </c>
      <c r="D1057">
        <f>IF(OR(C1057=1900,$D$868=0),0,VLOOKUP(A1057,'Estados Financieros'!$A$18:$H$458,7,0))</f>
        <v>0</v>
      </c>
      <c r="E1057" t="str">
        <f t="shared" si="58"/>
        <v>0,000</v>
      </c>
    </row>
    <row r="1058" spans="1:5">
      <c r="A1058">
        <v>421000</v>
      </c>
      <c r="B1058" t="str">
        <f t="shared" si="59"/>
        <v/>
      </c>
      <c r="C1058">
        <f t="shared" si="60"/>
        <v>1900</v>
      </c>
      <c r="D1058">
        <f>IF(OR(C1058=1900,$D$868=0),0,VLOOKUP(A1058,'Estados Financieros'!$A$18:$H$458,7,0))</f>
        <v>0</v>
      </c>
      <c r="E1058" t="str">
        <f t="shared" si="58"/>
        <v>0,000</v>
      </c>
    </row>
    <row r="1059" spans="1:5">
      <c r="A1059">
        <v>421020</v>
      </c>
      <c r="B1059" t="str">
        <f t="shared" si="59"/>
        <v/>
      </c>
      <c r="C1059">
        <f t="shared" si="60"/>
        <v>1900</v>
      </c>
      <c r="D1059">
        <f>IF(OR(C1059=1900,$D$868=0),0,VLOOKUP(A1059,'Estados Financieros'!$A$18:$H$458,7,0))</f>
        <v>0</v>
      </c>
      <c r="E1059" t="str">
        <f t="shared" si="58"/>
        <v>0,000</v>
      </c>
    </row>
    <row r="1060" spans="1:5">
      <c r="A1060">
        <v>420500</v>
      </c>
      <c r="B1060" t="str">
        <f t="shared" si="59"/>
        <v/>
      </c>
      <c r="C1060">
        <f t="shared" si="60"/>
        <v>1900</v>
      </c>
      <c r="D1060">
        <f>IF(OR(C1060=1900,$D$868=0),0,VLOOKUP(A1060,'Estados Financieros'!$A$18:$H$458,7,0))</f>
        <v>0</v>
      </c>
      <c r="E1060" t="str">
        <f t="shared" si="58"/>
        <v>0,000</v>
      </c>
    </row>
    <row r="1061" spans="1:5">
      <c r="A1061">
        <v>421040</v>
      </c>
      <c r="B1061" t="str">
        <f t="shared" si="59"/>
        <v/>
      </c>
      <c r="C1061">
        <f t="shared" si="60"/>
        <v>1900</v>
      </c>
      <c r="D1061">
        <f>IF(OR(C1061=1900,$D$868=0),0,VLOOKUP(A1061,'Estados Financieros'!$A$18:$H$458,7,0))</f>
        <v>0</v>
      </c>
      <c r="E1061" t="str">
        <f t="shared" si="58"/>
        <v>0,000</v>
      </c>
    </row>
    <row r="1062" spans="1:5">
      <c r="A1062">
        <v>421500</v>
      </c>
      <c r="B1062" t="str">
        <f t="shared" si="59"/>
        <v/>
      </c>
      <c r="C1062">
        <f t="shared" si="60"/>
        <v>1900</v>
      </c>
      <c r="D1062">
        <f>IF(OR(C1062=1900,$D$868=0),0,VLOOKUP(A1062,'Estados Financieros'!$A$18:$H$458,7,0))</f>
        <v>0</v>
      </c>
      <c r="E1062" t="str">
        <f t="shared" si="58"/>
        <v>0,000</v>
      </c>
    </row>
    <row r="1063" spans="1:5">
      <c r="A1063">
        <v>422000</v>
      </c>
      <c r="B1063" t="str">
        <f t="shared" si="59"/>
        <v/>
      </c>
      <c r="C1063">
        <f t="shared" si="60"/>
        <v>1900</v>
      </c>
      <c r="D1063">
        <f>IF(OR(C1063=1900,$D$868=0),0,VLOOKUP(A1063,'Estados Financieros'!$A$18:$H$458,7,0))</f>
        <v>0</v>
      </c>
      <c r="E1063" t="str">
        <f t="shared" si="58"/>
        <v>0,000</v>
      </c>
    </row>
    <row r="1064" spans="1:5">
      <c r="A1064">
        <v>422500</v>
      </c>
      <c r="B1064" t="str">
        <f t="shared" si="59"/>
        <v/>
      </c>
      <c r="C1064">
        <f t="shared" si="60"/>
        <v>1900</v>
      </c>
      <c r="D1064">
        <f>IF(OR(C1064=1900,$D$868=0),0,VLOOKUP(A1064,'Estados Financieros'!$A$18:$H$458,7,0))</f>
        <v>0</v>
      </c>
      <c r="E1064" t="str">
        <f t="shared" si="58"/>
        <v>0,000</v>
      </c>
    </row>
    <row r="1065" spans="1:5">
      <c r="A1065">
        <v>423500</v>
      </c>
      <c r="B1065" t="str">
        <f t="shared" si="59"/>
        <v/>
      </c>
      <c r="C1065">
        <f t="shared" si="60"/>
        <v>1900</v>
      </c>
      <c r="D1065">
        <f>IF(OR(C1065=1900,$D$868=0),0,VLOOKUP(A1065,'Estados Financieros'!$A$18:$H$458,7,0))</f>
        <v>0</v>
      </c>
      <c r="E1065" t="str">
        <f t="shared" si="58"/>
        <v>0,000</v>
      </c>
    </row>
    <row r="1066" spans="1:5">
      <c r="A1066">
        <v>424000</v>
      </c>
      <c r="B1066" t="str">
        <f t="shared" si="59"/>
        <v/>
      </c>
      <c r="C1066">
        <f t="shared" si="60"/>
        <v>1900</v>
      </c>
      <c r="D1066">
        <f>IF(OR(C1066=1900,$D$868=0),0,VLOOKUP(A1066,'Estados Financieros'!$A$18:$H$458,7,0))</f>
        <v>0</v>
      </c>
      <c r="E1066" t="str">
        <f t="shared" si="58"/>
        <v>0,000</v>
      </c>
    </row>
    <row r="1067" spans="1:5">
      <c r="A1067">
        <v>425000</v>
      </c>
      <c r="B1067" t="str">
        <f t="shared" si="59"/>
        <v/>
      </c>
      <c r="C1067">
        <f t="shared" si="60"/>
        <v>1900</v>
      </c>
      <c r="D1067">
        <f>IF(OR(C1067=1900,$D$868=0),0,VLOOKUP(A1067,'Estados Financieros'!$A$18:$H$458,7,0))</f>
        <v>0</v>
      </c>
      <c r="E1067" t="str">
        <f t="shared" si="58"/>
        <v>0,000</v>
      </c>
    </row>
    <row r="1068" spans="1:5">
      <c r="A1068">
        <v>426500</v>
      </c>
      <c r="B1068" t="str">
        <f t="shared" si="59"/>
        <v/>
      </c>
      <c r="C1068">
        <f t="shared" si="60"/>
        <v>1900</v>
      </c>
      <c r="D1068">
        <f>IF(OR(C1068=1900,$D$868=0),0,VLOOKUP(A1068,'Estados Financieros'!$A$18:$H$458,7,0))</f>
        <v>0</v>
      </c>
      <c r="E1068" t="str">
        <f t="shared" si="58"/>
        <v>0,000</v>
      </c>
    </row>
    <row r="1069" spans="1:5">
      <c r="A1069">
        <v>429500</v>
      </c>
      <c r="B1069" t="str">
        <f t="shared" si="59"/>
        <v/>
      </c>
      <c r="C1069">
        <f t="shared" si="60"/>
        <v>1900</v>
      </c>
      <c r="D1069">
        <f>IF(OR(C1069=1900,$D$868=0),0,VLOOKUP(A1069,'Estados Financieros'!$A$18:$H$458,7,0))</f>
        <v>0</v>
      </c>
      <c r="E1069" t="str">
        <f t="shared" si="58"/>
        <v>0,000</v>
      </c>
    </row>
    <row r="1070" spans="1:5">
      <c r="A1070">
        <v>42</v>
      </c>
      <c r="B1070" t="str">
        <f t="shared" si="59"/>
        <v/>
      </c>
      <c r="C1070">
        <f t="shared" si="60"/>
        <v>1900</v>
      </c>
      <c r="D1070">
        <f>IF(OR(C1070=1900,$D$868=0),0,VLOOKUP(A1070,'Estados Financieros'!$A$18:$H$458,7,0))</f>
        <v>0</v>
      </c>
      <c r="E1070" t="str">
        <f t="shared" si="58"/>
        <v>0,000</v>
      </c>
    </row>
    <row r="1071" spans="1:5">
      <c r="A1071">
        <v>5301</v>
      </c>
      <c r="B1071" t="str">
        <f t="shared" si="59"/>
        <v/>
      </c>
      <c r="C1071">
        <f t="shared" si="60"/>
        <v>1900</v>
      </c>
      <c r="D1071">
        <f>IF(OR(C1071=1900,$D$868=0),0,VLOOKUP(A1071,'Estados Financieros'!$A$18:$H$458,7,0))</f>
        <v>0</v>
      </c>
      <c r="E1071" t="str">
        <f t="shared" si="58"/>
        <v>0,000</v>
      </c>
    </row>
    <row r="1072" spans="1:5">
      <c r="A1072">
        <v>530525</v>
      </c>
      <c r="B1072" t="str">
        <f t="shared" si="59"/>
        <v/>
      </c>
      <c r="C1072">
        <f t="shared" si="60"/>
        <v>1900</v>
      </c>
      <c r="D1072">
        <f>IF(OR(C1072=1900,$D$868=0),0,VLOOKUP(A1072,'Estados Financieros'!$A$18:$H$458,7,0))</f>
        <v>0</v>
      </c>
      <c r="E1072" t="str">
        <f t="shared" si="58"/>
        <v>0,000</v>
      </c>
    </row>
    <row r="1073" spans="1:5">
      <c r="A1073">
        <v>530505</v>
      </c>
      <c r="B1073" t="str">
        <f t="shared" si="59"/>
        <v/>
      </c>
      <c r="C1073">
        <f t="shared" si="60"/>
        <v>1900</v>
      </c>
      <c r="D1073">
        <f>IF(OR(C1073=1900,$D$868=0),0,VLOOKUP(A1073,'Estados Financieros'!$A$18:$H$458,7,0))</f>
        <v>0</v>
      </c>
      <c r="E1073" t="str">
        <f t="shared" si="58"/>
        <v>0,000</v>
      </c>
    </row>
    <row r="1074" spans="1:5">
      <c r="A1074">
        <v>530515</v>
      </c>
      <c r="B1074" t="str">
        <f t="shared" si="59"/>
        <v/>
      </c>
      <c r="C1074">
        <f t="shared" si="60"/>
        <v>1900</v>
      </c>
      <c r="D1074">
        <f>IF(OR(C1074=1900,$D$868=0),0,VLOOKUP(A1074,'Estados Financieros'!$A$18:$H$458,7,0))</f>
        <v>0</v>
      </c>
      <c r="E1074" t="str">
        <f t="shared" si="58"/>
        <v>0,000</v>
      </c>
    </row>
    <row r="1075" spans="1:5">
      <c r="A1075">
        <v>530535</v>
      </c>
      <c r="B1075" t="str">
        <f t="shared" si="59"/>
        <v/>
      </c>
      <c r="C1075">
        <f t="shared" si="60"/>
        <v>1900</v>
      </c>
      <c r="D1075">
        <f>IF(OR(C1075=1900,$D$868=0),0,VLOOKUP(A1075,'Estados Financieros'!$A$18:$H$458,7,0))</f>
        <v>0</v>
      </c>
      <c r="E1075" t="str">
        <f t="shared" si="58"/>
        <v>0,000</v>
      </c>
    </row>
    <row r="1076" spans="1:5">
      <c r="A1076">
        <v>531000</v>
      </c>
      <c r="B1076" t="str">
        <f t="shared" si="59"/>
        <v/>
      </c>
      <c r="C1076">
        <f t="shared" si="60"/>
        <v>1900</v>
      </c>
      <c r="D1076">
        <f>IF(OR(C1076=1900,$D$868=0),0,VLOOKUP(A1076,'Estados Financieros'!$A$18:$H$458,7,0))</f>
        <v>0</v>
      </c>
      <c r="E1076" t="str">
        <f t="shared" si="58"/>
        <v>0,000</v>
      </c>
    </row>
    <row r="1077" spans="1:5">
      <c r="A1077">
        <v>531300</v>
      </c>
      <c r="B1077" t="str">
        <f t="shared" si="59"/>
        <v/>
      </c>
      <c r="C1077">
        <f t="shared" si="60"/>
        <v>1900</v>
      </c>
      <c r="D1077">
        <f>IF(OR(C1077=1900,$D$868=0),0,VLOOKUP(A1077,'Estados Financieros'!$A$18:$H$458,7,0))</f>
        <v>0</v>
      </c>
      <c r="E1077" t="str">
        <f t="shared" si="58"/>
        <v>0,000</v>
      </c>
    </row>
    <row r="1078" spans="1:5">
      <c r="A1078">
        <v>531500</v>
      </c>
      <c r="B1078" t="str">
        <f t="shared" si="59"/>
        <v/>
      </c>
      <c r="C1078">
        <f t="shared" si="60"/>
        <v>1900</v>
      </c>
      <c r="D1078">
        <f>IF(OR(C1078=1900,$D$868=0),0,VLOOKUP(A1078,'Estados Financieros'!$A$18:$H$458,7,0))</f>
        <v>0</v>
      </c>
      <c r="E1078" t="str">
        <f t="shared" si="58"/>
        <v>0,000</v>
      </c>
    </row>
    <row r="1079" spans="1:5">
      <c r="A1079">
        <v>531515</v>
      </c>
      <c r="B1079" t="str">
        <f t="shared" si="59"/>
        <v/>
      </c>
      <c r="C1079">
        <f t="shared" si="60"/>
        <v>1900</v>
      </c>
      <c r="D1079">
        <f>IF(OR(C1079=1900,$D$868=0),0,VLOOKUP(A1079,'Estados Financieros'!$A$18:$H$458,7,0))</f>
        <v>0</v>
      </c>
      <c r="E1079" t="str">
        <f t="shared" si="58"/>
        <v>0,000</v>
      </c>
    </row>
    <row r="1080" spans="1:5">
      <c r="A1080">
        <v>531520</v>
      </c>
      <c r="B1080" t="str">
        <f t="shared" si="59"/>
        <v/>
      </c>
      <c r="C1080">
        <f t="shared" si="60"/>
        <v>1900</v>
      </c>
      <c r="D1080">
        <f>IF(OR(C1080=1900,$D$868=0),0,VLOOKUP(A1080,'Estados Financieros'!$A$18:$H$458,7,0))</f>
        <v>0</v>
      </c>
      <c r="E1080" t="str">
        <f t="shared" si="58"/>
        <v>0,000</v>
      </c>
    </row>
    <row r="1081" spans="1:5">
      <c r="A1081">
        <v>539525</v>
      </c>
      <c r="B1081" t="str">
        <f t="shared" si="59"/>
        <v/>
      </c>
      <c r="C1081">
        <f t="shared" si="60"/>
        <v>1900</v>
      </c>
      <c r="D1081">
        <f>IF(OR(C1081=1900,$D$868=0),0,VLOOKUP(A1081,'Estados Financieros'!$A$18:$H$458,7,0))</f>
        <v>0</v>
      </c>
      <c r="E1081" t="str">
        <f t="shared" si="58"/>
        <v>0,000</v>
      </c>
    </row>
    <row r="1082" spans="1:5">
      <c r="A1082">
        <v>539595</v>
      </c>
      <c r="B1082" t="str">
        <f t="shared" si="59"/>
        <v/>
      </c>
      <c r="C1082">
        <f t="shared" si="60"/>
        <v>1900</v>
      </c>
      <c r="D1082">
        <f>IF(OR(C1082=1900,$D$868=0),0,VLOOKUP(A1082,'Estados Financieros'!$A$18:$H$458,7,0))</f>
        <v>0</v>
      </c>
      <c r="E1082" t="str">
        <f t="shared" si="58"/>
        <v>0,000</v>
      </c>
    </row>
    <row r="1083" spans="1:5">
      <c r="A1083">
        <v>53</v>
      </c>
      <c r="B1083" t="str">
        <f t="shared" si="59"/>
        <v/>
      </c>
      <c r="C1083">
        <f t="shared" si="60"/>
        <v>1900</v>
      </c>
      <c r="D1083">
        <f>IF(OR(C1083=1900,$D$868=0),0,VLOOKUP(A1083,'Estados Financieros'!$A$18:$H$458,7,0))</f>
        <v>0</v>
      </c>
      <c r="E1083" t="str">
        <f t="shared" si="58"/>
        <v>0,000</v>
      </c>
    </row>
    <row r="1084" spans="1:5">
      <c r="A1084">
        <v>98</v>
      </c>
      <c r="B1084" t="str">
        <f t="shared" si="59"/>
        <v/>
      </c>
      <c r="C1084">
        <f t="shared" si="60"/>
        <v>1900</v>
      </c>
      <c r="D1084">
        <f>IF(OR(C1084=1900,$D$868=0),0,VLOOKUP(A1084,'Estados Financieros'!$A$18:$H$458,7,0))</f>
        <v>0</v>
      </c>
      <c r="E1084" t="str">
        <f t="shared" si="58"/>
        <v>0,000</v>
      </c>
    </row>
    <row r="1085" spans="1:5">
      <c r="A1085">
        <v>97</v>
      </c>
      <c r="B1085" t="str">
        <f t="shared" si="59"/>
        <v/>
      </c>
      <c r="C1085">
        <f t="shared" si="60"/>
        <v>1900</v>
      </c>
      <c r="D1085">
        <f>IF(OR(C1085=1900,$D$868=0),0,VLOOKUP(A1085,'Estados Financieros'!$A$18:$H$458,7,0))</f>
        <v>0</v>
      </c>
      <c r="E1085" t="str">
        <f t="shared" si="58"/>
        <v>0,000</v>
      </c>
    </row>
    <row r="1086" spans="1:5">
      <c r="A1086">
        <v>54</v>
      </c>
      <c r="B1086" t="str">
        <f t="shared" si="59"/>
        <v/>
      </c>
      <c r="C1086">
        <f t="shared" si="60"/>
        <v>1900</v>
      </c>
      <c r="D1086">
        <f>IF(OR(C1086=1900,$D$868=0),0,VLOOKUP(A1086,'Estados Financieros'!$A$18:$H$458,7,0))</f>
        <v>0</v>
      </c>
      <c r="E1086" t="str">
        <f t="shared" si="58"/>
        <v>0,000</v>
      </c>
    </row>
    <row r="1087" spans="1:5">
      <c r="A1087">
        <v>99</v>
      </c>
      <c r="B1087" t="str">
        <f t="shared" si="59"/>
        <v/>
      </c>
      <c r="C1087">
        <f t="shared" si="60"/>
        <v>1900</v>
      </c>
      <c r="D1087">
        <f>IF(OR(C1087=1900,$D$868=0),0,VLOOKUP(A1087,'Estados Financieros'!$A$18:$H$458,7,0))</f>
        <v>0</v>
      </c>
      <c r="E1087" t="str">
        <f t="shared" si="58"/>
        <v>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5"/>
  <dimension ref="A1:E725"/>
  <sheetViews>
    <sheetView workbookViewId="0"/>
  </sheetViews>
  <sheetFormatPr baseColWidth="10" defaultRowHeight="14.5"/>
  <sheetData>
    <row r="1" spans="1:5">
      <c r="A1" t="s">
        <v>38</v>
      </c>
      <c r="B1" t="s">
        <v>0</v>
      </c>
      <c r="C1" t="s">
        <v>39</v>
      </c>
      <c r="D1" t="s">
        <v>40</v>
      </c>
      <c r="E1" t="s">
        <v>41</v>
      </c>
    </row>
    <row r="2" spans="1:5">
      <c r="A2">
        <v>110105</v>
      </c>
      <c r="B2" t="str">
        <f>IF(C2=1900,"",'RC'!$D$6)</f>
        <v/>
      </c>
      <c r="C2">
        <f>IF(OR('RC'!$D$6=0,'RC'!$D$6="",'Estados Financieros'!$I$185=0,'Estados Financieros'!$I$10&lt;&gt;"OK",'Estados Financieros'!$I$461&lt;&gt;"OK",'Estados Financieros'!$I$14&lt;&gt;"OK"),1900,'Estados Financieros'!O4+0)</f>
        <v>1900</v>
      </c>
      <c r="D2">
        <f>IF(OR(C2=1900,$D$144=0),0,VLOOKUP(A2,'Estados Financieros'!$A$18:$I$458,9,0))</f>
        <v>0</v>
      </c>
      <c r="E2" t="str">
        <f t="shared" ref="E2:E65" si="0">IFERROR(FIXED(D2,3,1),0)</f>
        <v>0,000</v>
      </c>
    </row>
    <row r="3" spans="1:5">
      <c r="A3">
        <v>110110</v>
      </c>
      <c r="B3" t="str">
        <f t="shared" ref="B3:B66" si="1">+B2</f>
        <v/>
      </c>
      <c r="C3">
        <f t="shared" ref="C3:C66" si="2">C2</f>
        <v>1900</v>
      </c>
      <c r="D3">
        <f>IF(OR(C3=1900,$D$144=0),0,VLOOKUP(A3,'Estados Financieros'!$A$18:$I$458,9,0))</f>
        <v>0</v>
      </c>
      <c r="E3" t="str">
        <f t="shared" si="0"/>
        <v>0,000</v>
      </c>
    </row>
    <row r="4" spans="1:5">
      <c r="A4">
        <v>111010</v>
      </c>
      <c r="B4" t="str">
        <f t="shared" si="1"/>
        <v/>
      </c>
      <c r="C4">
        <f t="shared" si="2"/>
        <v>1900</v>
      </c>
      <c r="D4">
        <f>IF(OR(C4=1900,$D$144=0),0,VLOOKUP(A4,'Estados Financieros'!$A$18:$I$458,9,0))</f>
        <v>0</v>
      </c>
      <c r="E4" t="str">
        <f t="shared" si="0"/>
        <v>0,000</v>
      </c>
    </row>
    <row r="5" spans="1:5">
      <c r="A5">
        <v>110130</v>
      </c>
      <c r="B5" t="str">
        <f t="shared" si="1"/>
        <v/>
      </c>
      <c r="C5">
        <f t="shared" si="2"/>
        <v>1900</v>
      </c>
      <c r="D5">
        <f>IF(OR(C5=1900,$D$144=0),0,VLOOKUP(A5,'Estados Financieros'!$A$18:$I$458,9,0))</f>
        <v>0</v>
      </c>
      <c r="E5" t="str">
        <f t="shared" si="0"/>
        <v>0,000</v>
      </c>
    </row>
    <row r="6" spans="1:5">
      <c r="A6">
        <v>110125</v>
      </c>
      <c r="B6" t="str">
        <f t="shared" si="1"/>
        <v/>
      </c>
      <c r="C6">
        <f t="shared" si="2"/>
        <v>1900</v>
      </c>
      <c r="D6">
        <f>IF(OR(C6=1900,$D$144=0),0,VLOOKUP(A6,'Estados Financieros'!$A$18:$I$458,9,0))</f>
        <v>0</v>
      </c>
      <c r="E6" t="str">
        <f t="shared" si="0"/>
        <v>0,000</v>
      </c>
    </row>
    <row r="7" spans="1:5">
      <c r="A7">
        <v>1101</v>
      </c>
      <c r="B7" t="str">
        <f t="shared" si="1"/>
        <v/>
      </c>
      <c r="C7">
        <f t="shared" si="2"/>
        <v>1900</v>
      </c>
      <c r="D7">
        <f>IF(OR(C7=1900,$D$144=0),0,VLOOKUP(A7,'Estados Financieros'!$A$18:$I$458,9,0))</f>
        <v>0</v>
      </c>
      <c r="E7" t="str">
        <f t="shared" si="0"/>
        <v>0,000</v>
      </c>
    </row>
    <row r="8" spans="1:5">
      <c r="A8">
        <v>110205</v>
      </c>
      <c r="B8" t="str">
        <f t="shared" si="1"/>
        <v/>
      </c>
      <c r="C8">
        <f t="shared" si="2"/>
        <v>1900</v>
      </c>
      <c r="D8">
        <f>IF(OR(C8=1900,$D$144=0),0,VLOOKUP(A8,'Estados Financieros'!$A$18:$I$458,9,0))</f>
        <v>0</v>
      </c>
      <c r="E8" t="str">
        <f t="shared" si="0"/>
        <v>0,000</v>
      </c>
    </row>
    <row r="9" spans="1:5">
      <c r="A9">
        <v>110210</v>
      </c>
      <c r="B9" t="str">
        <f t="shared" si="1"/>
        <v/>
      </c>
      <c r="C9">
        <f t="shared" si="2"/>
        <v>1900</v>
      </c>
      <c r="D9">
        <f>IF(OR(C9=1900,$D$144=0),0,VLOOKUP(A9,'Estados Financieros'!$A$18:$I$458,9,0))</f>
        <v>0</v>
      </c>
      <c r="E9" t="str">
        <f t="shared" si="0"/>
        <v>0,000</v>
      </c>
    </row>
    <row r="10" spans="1:5">
      <c r="A10">
        <v>110215</v>
      </c>
      <c r="B10" t="str">
        <f t="shared" si="1"/>
        <v/>
      </c>
      <c r="C10">
        <f t="shared" si="2"/>
        <v>1900</v>
      </c>
      <c r="D10">
        <f>IF(OR(C10=1900,$D$144=0),0,VLOOKUP(A10,'Estados Financieros'!$A$18:$I$458,9,0))</f>
        <v>0</v>
      </c>
      <c r="E10" t="str">
        <f t="shared" si="0"/>
        <v>0,000</v>
      </c>
    </row>
    <row r="11" spans="1:5">
      <c r="A11">
        <v>110225</v>
      </c>
      <c r="B11" t="str">
        <f t="shared" si="1"/>
        <v/>
      </c>
      <c r="C11">
        <f t="shared" si="2"/>
        <v>1900</v>
      </c>
      <c r="D11">
        <f>IF(OR(C11=1900,$D$144=0),0,VLOOKUP(A11,'Estados Financieros'!$A$18:$I$458,9,0))</f>
        <v>0</v>
      </c>
      <c r="E11" t="str">
        <f t="shared" si="0"/>
        <v>0,000</v>
      </c>
    </row>
    <row r="12" spans="1:5">
      <c r="A12">
        <v>110235</v>
      </c>
      <c r="B12" t="str">
        <f t="shared" si="1"/>
        <v/>
      </c>
      <c r="C12">
        <f t="shared" si="2"/>
        <v>1900</v>
      </c>
      <c r="D12">
        <f>IF(OR(C12=1900,$D$144=0),0,VLOOKUP(A12,'Estados Financieros'!$A$18:$I$458,9,0))</f>
        <v>0</v>
      </c>
      <c r="E12" t="str">
        <f t="shared" si="0"/>
        <v>0,000</v>
      </c>
    </row>
    <row r="13" spans="1:5">
      <c r="A13">
        <v>110255</v>
      </c>
      <c r="B13" t="str">
        <f t="shared" si="1"/>
        <v/>
      </c>
      <c r="C13">
        <f t="shared" si="2"/>
        <v>1900</v>
      </c>
      <c r="D13">
        <f>IF(OR(C13=1900,$D$144=0),0,VLOOKUP(A13,'Estados Financieros'!$A$18:$I$458,9,0))</f>
        <v>0</v>
      </c>
      <c r="E13" t="str">
        <f t="shared" si="0"/>
        <v>0,000</v>
      </c>
    </row>
    <row r="14" spans="1:5">
      <c r="A14">
        <v>129700</v>
      </c>
      <c r="B14" t="str">
        <f t="shared" si="1"/>
        <v/>
      </c>
      <c r="C14">
        <f t="shared" si="2"/>
        <v>1900</v>
      </c>
      <c r="D14">
        <f>IF(OR(C14=1900,$D$144=0),0,VLOOKUP(A14,'Estados Financieros'!$A$18:$I$458,9,0))</f>
        <v>0</v>
      </c>
      <c r="E14" t="str">
        <f t="shared" si="0"/>
        <v>0,000</v>
      </c>
    </row>
    <row r="15" spans="1:5">
      <c r="A15">
        <v>110260</v>
      </c>
      <c r="B15" t="str">
        <f t="shared" si="1"/>
        <v/>
      </c>
      <c r="C15">
        <f t="shared" si="2"/>
        <v>1900</v>
      </c>
      <c r="D15">
        <f>IF(OR(C15=1900,$D$144=0),0,VLOOKUP(A15,'Estados Financieros'!$A$18:$I$458,9,0))</f>
        <v>0</v>
      </c>
      <c r="E15" t="str">
        <f t="shared" si="0"/>
        <v>0,000</v>
      </c>
    </row>
    <row r="16" spans="1:5">
      <c r="A16">
        <v>1102</v>
      </c>
      <c r="B16" t="str">
        <f t="shared" si="1"/>
        <v/>
      </c>
      <c r="C16">
        <f t="shared" si="2"/>
        <v>1900</v>
      </c>
      <c r="D16">
        <f>IF(OR(C16=1900,$D$144=0),0,VLOOKUP(A16,'Estados Financieros'!$A$18:$I$458,9,0))</f>
        <v>0</v>
      </c>
      <c r="E16" t="str">
        <f t="shared" si="0"/>
        <v>0,000</v>
      </c>
    </row>
    <row r="17" spans="1:5">
      <c r="A17">
        <v>110305</v>
      </c>
      <c r="B17" t="str">
        <f t="shared" si="1"/>
        <v/>
      </c>
      <c r="C17">
        <f t="shared" si="2"/>
        <v>1900</v>
      </c>
      <c r="D17">
        <f>IF(OR(C17=1900,$D$144=0),0,VLOOKUP(A17,'Estados Financieros'!$A$18:$I$458,9,0))</f>
        <v>0</v>
      </c>
      <c r="E17" t="str">
        <f t="shared" si="0"/>
        <v>0,000</v>
      </c>
    </row>
    <row r="18" spans="1:5">
      <c r="A18">
        <v>130510</v>
      </c>
      <c r="B18" t="str">
        <f t="shared" si="1"/>
        <v/>
      </c>
      <c r="C18">
        <f t="shared" si="2"/>
        <v>1900</v>
      </c>
      <c r="D18">
        <f>IF(OR(C18=1900,$D$144=0),0,VLOOKUP(A18,'Estados Financieros'!$A$18:$I$458,9,0))</f>
        <v>0</v>
      </c>
      <c r="E18" t="str">
        <f t="shared" si="0"/>
        <v>0,000</v>
      </c>
    </row>
    <row r="19" spans="1:5">
      <c r="A19">
        <v>131000</v>
      </c>
      <c r="B19" t="str">
        <f t="shared" si="1"/>
        <v/>
      </c>
      <c r="C19">
        <f t="shared" si="2"/>
        <v>1900</v>
      </c>
      <c r="D19">
        <f>IF(OR(C19=1900,$D$144=0),0,VLOOKUP(A19,'Estados Financieros'!$A$18:$I$458,9,0))</f>
        <v>0</v>
      </c>
      <c r="E19" t="str">
        <f t="shared" si="0"/>
        <v>0,000</v>
      </c>
    </row>
    <row r="20" spans="1:5">
      <c r="A20">
        <v>110390</v>
      </c>
      <c r="B20" t="str">
        <f t="shared" si="1"/>
        <v/>
      </c>
      <c r="C20">
        <f t="shared" si="2"/>
        <v>1900</v>
      </c>
      <c r="D20">
        <f>IF(OR(C20=1900,$D$144=0),0,VLOOKUP(A20,'Estados Financieros'!$A$18:$I$458,9,0))</f>
        <v>0</v>
      </c>
      <c r="E20" t="str">
        <f t="shared" si="0"/>
        <v>0,000</v>
      </c>
    </row>
    <row r="21" spans="1:5">
      <c r="A21">
        <v>110395</v>
      </c>
      <c r="B21" t="str">
        <f t="shared" si="1"/>
        <v/>
      </c>
      <c r="C21">
        <f t="shared" si="2"/>
        <v>1900</v>
      </c>
      <c r="D21">
        <f>IF(OR(C21=1900,$D$144=0),0,VLOOKUP(A21,'Estados Financieros'!$A$18:$I$458,9,0))</f>
        <v>0</v>
      </c>
      <c r="E21" t="str">
        <f t="shared" si="0"/>
        <v>0,000</v>
      </c>
    </row>
    <row r="22" spans="1:5">
      <c r="A22">
        <v>1103</v>
      </c>
      <c r="B22" t="str">
        <f t="shared" si="1"/>
        <v/>
      </c>
      <c r="C22">
        <f t="shared" si="2"/>
        <v>1900</v>
      </c>
      <c r="D22">
        <f>IF(OR(C22=1900,$D$144=0),0,VLOOKUP(A22,'Estados Financieros'!$A$18:$I$458,9,0))</f>
        <v>0</v>
      </c>
      <c r="E22" t="str">
        <f t="shared" si="0"/>
        <v>0,000</v>
      </c>
    </row>
    <row r="23" spans="1:5">
      <c r="A23">
        <v>132000</v>
      </c>
      <c r="B23" t="str">
        <f t="shared" si="1"/>
        <v/>
      </c>
      <c r="C23">
        <f t="shared" si="2"/>
        <v>1900</v>
      </c>
      <c r="D23">
        <f>IF(OR(C23=1900,$D$144=0),0,VLOOKUP(A23,'Estados Financieros'!$A$18:$I$458,9,0))</f>
        <v>0</v>
      </c>
      <c r="E23" t="str">
        <f t="shared" si="0"/>
        <v>0,000</v>
      </c>
    </row>
    <row r="24" spans="1:5">
      <c r="A24">
        <v>132500</v>
      </c>
      <c r="B24" t="str">
        <f t="shared" si="1"/>
        <v/>
      </c>
      <c r="C24">
        <f t="shared" si="2"/>
        <v>1900</v>
      </c>
      <c r="D24">
        <f>IF(OR(C24=1900,$D$144=0),0,VLOOKUP(A24,'Estados Financieros'!$A$18:$I$458,9,0))</f>
        <v>0</v>
      </c>
      <c r="E24" t="str">
        <f t="shared" si="0"/>
        <v>0,000</v>
      </c>
    </row>
    <row r="25" spans="1:5">
      <c r="A25">
        <v>133000</v>
      </c>
      <c r="B25" t="str">
        <f t="shared" si="1"/>
        <v/>
      </c>
      <c r="C25">
        <f t="shared" si="2"/>
        <v>1900</v>
      </c>
      <c r="D25">
        <f>IF(OR(C25=1900,$D$144=0),0,VLOOKUP(A25,'Estados Financieros'!$A$18:$I$458,9,0))</f>
        <v>0</v>
      </c>
      <c r="E25" t="str">
        <f t="shared" si="0"/>
        <v>0,000</v>
      </c>
    </row>
    <row r="26" spans="1:5">
      <c r="A26">
        <v>133500</v>
      </c>
      <c r="B26" t="str">
        <f t="shared" si="1"/>
        <v/>
      </c>
      <c r="C26">
        <f t="shared" si="2"/>
        <v>1900</v>
      </c>
      <c r="D26">
        <f>IF(OR(C26=1900,$D$144=0),0,VLOOKUP(A26,'Estados Financieros'!$A$18:$I$458,9,0))</f>
        <v>0</v>
      </c>
      <c r="E26" t="str">
        <f t="shared" si="0"/>
        <v>0,000</v>
      </c>
    </row>
    <row r="27" spans="1:5">
      <c r="A27">
        <v>134000</v>
      </c>
      <c r="B27" t="str">
        <f t="shared" si="1"/>
        <v/>
      </c>
      <c r="C27">
        <f t="shared" si="2"/>
        <v>1900</v>
      </c>
      <c r="D27">
        <f>IF(OR(C27=1900,$D$144=0),0,VLOOKUP(A27,'Estados Financieros'!$A$18:$I$458,9,0))</f>
        <v>0</v>
      </c>
      <c r="E27" t="str">
        <f t="shared" si="0"/>
        <v>0,000</v>
      </c>
    </row>
    <row r="28" spans="1:5">
      <c r="A28">
        <v>134500</v>
      </c>
      <c r="B28" t="str">
        <f t="shared" si="1"/>
        <v/>
      </c>
      <c r="C28">
        <f t="shared" si="2"/>
        <v>1900</v>
      </c>
      <c r="D28">
        <f>IF(OR(C28=1900,$D$144=0),0,VLOOKUP(A28,'Estados Financieros'!$A$18:$I$458,9,0))</f>
        <v>0</v>
      </c>
      <c r="E28" t="str">
        <f t="shared" si="0"/>
        <v>0,000</v>
      </c>
    </row>
    <row r="29" spans="1:5">
      <c r="A29">
        <v>135000</v>
      </c>
      <c r="B29" t="str">
        <f t="shared" si="1"/>
        <v/>
      </c>
      <c r="C29">
        <f t="shared" si="2"/>
        <v>1900</v>
      </c>
      <c r="D29">
        <f>IF(OR(C29=1900,$D$144=0),0,VLOOKUP(A29,'Estados Financieros'!$A$18:$I$458,9,0))</f>
        <v>0</v>
      </c>
      <c r="E29" t="str">
        <f t="shared" si="0"/>
        <v>0,000</v>
      </c>
    </row>
    <row r="30" spans="1:5">
      <c r="A30">
        <v>135500</v>
      </c>
      <c r="B30" t="str">
        <f t="shared" si="1"/>
        <v/>
      </c>
      <c r="C30">
        <f t="shared" si="2"/>
        <v>1900</v>
      </c>
      <c r="D30">
        <f>IF(OR(C30=1900,$D$144=0),0,VLOOKUP(A30,'Estados Financieros'!$A$18:$I$458,9,0))</f>
        <v>0</v>
      </c>
      <c r="E30" t="str">
        <f t="shared" si="0"/>
        <v>0,000</v>
      </c>
    </row>
    <row r="31" spans="1:5">
      <c r="A31">
        <v>136000</v>
      </c>
      <c r="B31" t="str">
        <f t="shared" si="1"/>
        <v/>
      </c>
      <c r="C31">
        <f t="shared" si="2"/>
        <v>1900</v>
      </c>
      <c r="D31">
        <f>IF(OR(C31=1900,$D$144=0),0,VLOOKUP(A31,'Estados Financieros'!$A$18:$I$458,9,0))</f>
        <v>0</v>
      </c>
      <c r="E31" t="str">
        <f t="shared" si="0"/>
        <v>0,000</v>
      </c>
    </row>
    <row r="32" spans="1:5">
      <c r="A32">
        <v>136500</v>
      </c>
      <c r="B32" t="str">
        <f t="shared" si="1"/>
        <v/>
      </c>
      <c r="C32">
        <f t="shared" si="2"/>
        <v>1900</v>
      </c>
      <c r="D32">
        <f>IF(OR(C32=1900,$D$144=0),0,VLOOKUP(A32,'Estados Financieros'!$A$18:$I$458,9,0))</f>
        <v>0</v>
      </c>
      <c r="E32" t="str">
        <f t="shared" si="0"/>
        <v>0,000</v>
      </c>
    </row>
    <row r="33" spans="1:5">
      <c r="A33">
        <v>137000</v>
      </c>
      <c r="B33" t="str">
        <f t="shared" si="1"/>
        <v/>
      </c>
      <c r="C33">
        <f t="shared" si="2"/>
        <v>1900</v>
      </c>
      <c r="D33">
        <f>IF(OR(C33=1900,$D$144=0),0,VLOOKUP(A33,'Estados Financieros'!$A$18:$I$458,9,0))</f>
        <v>0</v>
      </c>
      <c r="E33" t="str">
        <f t="shared" si="0"/>
        <v>0,000</v>
      </c>
    </row>
    <row r="34" spans="1:5">
      <c r="A34">
        <v>139000</v>
      </c>
      <c r="B34" t="str">
        <f t="shared" si="1"/>
        <v/>
      </c>
      <c r="C34">
        <f t="shared" si="2"/>
        <v>1900</v>
      </c>
      <c r="D34">
        <f>IF(OR(C34=1900,$D$144=0),0,VLOOKUP(A34,'Estados Financieros'!$A$18:$I$458,9,0))</f>
        <v>0</v>
      </c>
      <c r="E34" t="str">
        <f t="shared" si="0"/>
        <v>0,000</v>
      </c>
    </row>
    <row r="35" spans="1:5">
      <c r="A35">
        <v>139500</v>
      </c>
      <c r="B35" t="str">
        <f t="shared" si="1"/>
        <v/>
      </c>
      <c r="C35">
        <f t="shared" si="2"/>
        <v>1900</v>
      </c>
      <c r="D35">
        <f>IF(OR(C35=1900,$D$144=0),0,VLOOKUP(A35,'Estados Financieros'!$A$18:$I$458,9,0))</f>
        <v>0</v>
      </c>
      <c r="E35" t="str">
        <f t="shared" si="0"/>
        <v>0,000</v>
      </c>
    </row>
    <row r="36" spans="1:5">
      <c r="A36">
        <v>139905</v>
      </c>
      <c r="B36" t="str">
        <f t="shared" si="1"/>
        <v/>
      </c>
      <c r="C36">
        <f t="shared" si="2"/>
        <v>1900</v>
      </c>
      <c r="D36">
        <f>IF(OR(C36=1900,$D$144=0),0,VLOOKUP(A36,'Estados Financieros'!$A$18:$I$458,9,0))</f>
        <v>0</v>
      </c>
      <c r="E36" t="str">
        <f t="shared" si="0"/>
        <v>0,000</v>
      </c>
    </row>
    <row r="37" spans="1:5">
      <c r="A37">
        <v>1106</v>
      </c>
      <c r="B37" t="str">
        <f t="shared" si="1"/>
        <v/>
      </c>
      <c r="C37">
        <f t="shared" si="2"/>
        <v>1900</v>
      </c>
      <c r="D37">
        <f>IF(OR(C37=1900,$D$144=0),0,VLOOKUP(A37,'Estados Financieros'!$A$18:$I$458,9,0))</f>
        <v>0</v>
      </c>
      <c r="E37" t="str">
        <f t="shared" si="0"/>
        <v>0,000</v>
      </c>
    </row>
    <row r="38" spans="1:5">
      <c r="A38">
        <v>110405</v>
      </c>
      <c r="B38" t="str">
        <f t="shared" si="1"/>
        <v/>
      </c>
      <c r="C38">
        <f t="shared" si="2"/>
        <v>1900</v>
      </c>
      <c r="D38">
        <f>IF(OR(C38=1900,$D$144=0),0,VLOOKUP(A38,'Estados Financieros'!$A$18:$I$458,9,0))</f>
        <v>0</v>
      </c>
      <c r="E38" t="str">
        <f t="shared" si="0"/>
        <v>0,000</v>
      </c>
    </row>
    <row r="39" spans="1:5">
      <c r="A39">
        <v>110410</v>
      </c>
      <c r="B39" t="str">
        <f t="shared" si="1"/>
        <v/>
      </c>
      <c r="C39">
        <f t="shared" si="2"/>
        <v>1900</v>
      </c>
      <c r="D39">
        <f>IF(OR(C39=1900,$D$144=0),0,VLOOKUP(A39,'Estados Financieros'!$A$18:$I$458,9,0))</f>
        <v>0</v>
      </c>
      <c r="E39" t="str">
        <f t="shared" si="0"/>
        <v>0,000</v>
      </c>
    </row>
    <row r="40" spans="1:5">
      <c r="A40">
        <v>142500</v>
      </c>
      <c r="B40" t="str">
        <f t="shared" si="1"/>
        <v/>
      </c>
      <c r="C40">
        <f t="shared" si="2"/>
        <v>1900</v>
      </c>
      <c r="D40">
        <f>IF(OR(C40=1900,$D$144=0),0,VLOOKUP(A40,'Estados Financieros'!$A$18:$I$458,9,0))</f>
        <v>0</v>
      </c>
      <c r="E40" t="str">
        <f t="shared" si="0"/>
        <v>0,000</v>
      </c>
    </row>
    <row r="41" spans="1:5">
      <c r="A41">
        <v>110415</v>
      </c>
      <c r="B41" t="str">
        <f t="shared" si="1"/>
        <v/>
      </c>
      <c r="C41">
        <f t="shared" si="2"/>
        <v>1900</v>
      </c>
      <c r="D41">
        <f>IF(OR(C41=1900,$D$144=0),0,VLOOKUP(A41,'Estados Financieros'!$A$18:$I$458,9,0))</f>
        <v>0</v>
      </c>
      <c r="E41" t="str">
        <f t="shared" si="0"/>
        <v>0,000</v>
      </c>
    </row>
    <row r="42" spans="1:5">
      <c r="A42">
        <v>143500</v>
      </c>
      <c r="B42" t="str">
        <f t="shared" si="1"/>
        <v/>
      </c>
      <c r="C42">
        <f t="shared" si="2"/>
        <v>1900</v>
      </c>
      <c r="D42">
        <f>IF(OR(C42=1900,$D$144=0),0,VLOOKUP(A42,'Estados Financieros'!$A$18:$I$458,9,0))</f>
        <v>0</v>
      </c>
      <c r="E42" t="str">
        <f t="shared" si="0"/>
        <v>0,000</v>
      </c>
    </row>
    <row r="43" spans="1:5">
      <c r="A43">
        <v>110420</v>
      </c>
      <c r="B43" t="str">
        <f t="shared" si="1"/>
        <v/>
      </c>
      <c r="C43">
        <f t="shared" si="2"/>
        <v>1900</v>
      </c>
      <c r="D43">
        <f>IF(OR(C43=1900,$D$144=0),0,VLOOKUP(A43,'Estados Financieros'!$A$18:$I$458,9,0))</f>
        <v>0</v>
      </c>
      <c r="E43" t="str">
        <f t="shared" si="0"/>
        <v>0,000</v>
      </c>
    </row>
    <row r="44" spans="1:5">
      <c r="A44">
        <v>110495</v>
      </c>
      <c r="B44" t="str">
        <f t="shared" si="1"/>
        <v/>
      </c>
      <c r="C44">
        <f t="shared" si="2"/>
        <v>1900</v>
      </c>
      <c r="D44">
        <f>IF(OR(C44=1900,$D$144=0),0,VLOOKUP(A44,'Estados Financieros'!$A$18:$I$458,9,0))</f>
        <v>0</v>
      </c>
      <c r="E44" t="str">
        <f t="shared" si="0"/>
        <v>0,000</v>
      </c>
    </row>
    <row r="45" spans="1:5">
      <c r="A45">
        <v>110490</v>
      </c>
      <c r="B45" t="str">
        <f t="shared" si="1"/>
        <v/>
      </c>
      <c r="C45">
        <f t="shared" si="2"/>
        <v>1900</v>
      </c>
      <c r="D45">
        <f>IF(OR(C45=1900,$D$144=0),0,VLOOKUP(A45,'Estados Financieros'!$A$18:$I$458,9,0))</f>
        <v>0</v>
      </c>
      <c r="E45" t="str">
        <f t="shared" si="0"/>
        <v>0,000</v>
      </c>
    </row>
    <row r="46" spans="1:5">
      <c r="A46">
        <v>110491</v>
      </c>
      <c r="B46" t="str">
        <f t="shared" si="1"/>
        <v/>
      </c>
      <c r="C46">
        <f t="shared" si="2"/>
        <v>1900</v>
      </c>
      <c r="D46">
        <f>IF(OR(C46=1900,$D$144=0),0,VLOOKUP(A46,'Estados Financieros'!$A$18:$I$458,9,0))</f>
        <v>0</v>
      </c>
      <c r="E46" t="str">
        <f t="shared" si="0"/>
        <v>0,000</v>
      </c>
    </row>
    <row r="47" spans="1:5">
      <c r="A47">
        <v>149900</v>
      </c>
      <c r="B47" t="str">
        <f t="shared" si="1"/>
        <v/>
      </c>
      <c r="C47">
        <f t="shared" si="2"/>
        <v>1900</v>
      </c>
      <c r="D47">
        <f>IF(OR(C47=1900,$D$144=0),0,VLOOKUP(A47,'Estados Financieros'!$A$18:$I$458,9,0))</f>
        <v>0</v>
      </c>
      <c r="E47" t="str">
        <f t="shared" si="0"/>
        <v>0,000</v>
      </c>
    </row>
    <row r="48" spans="1:5">
      <c r="A48">
        <v>140005</v>
      </c>
      <c r="B48" t="str">
        <f t="shared" si="1"/>
        <v/>
      </c>
      <c r="C48">
        <f t="shared" si="2"/>
        <v>1900</v>
      </c>
      <c r="D48">
        <f>IF(OR(C48=1900,$D$144=0),0,VLOOKUP(A48,'Estados Financieros'!$A$18:$I$458,9,0))</f>
        <v>0</v>
      </c>
      <c r="E48" t="str">
        <f t="shared" si="0"/>
        <v>0,000</v>
      </c>
    </row>
    <row r="49" spans="1:5">
      <c r="A49">
        <v>145500</v>
      </c>
      <c r="B49" t="str">
        <f t="shared" si="1"/>
        <v/>
      </c>
      <c r="C49">
        <f t="shared" si="2"/>
        <v>1900</v>
      </c>
      <c r="D49">
        <f>IF(OR(C49=1900,$D$144=0),0,VLOOKUP(A49,'Estados Financieros'!$A$18:$I$458,9,0))</f>
        <v>0</v>
      </c>
      <c r="E49" t="str">
        <f t="shared" si="0"/>
        <v>0,000</v>
      </c>
    </row>
    <row r="50" spans="1:5">
      <c r="A50">
        <v>146000</v>
      </c>
      <c r="B50" t="str">
        <f t="shared" si="1"/>
        <v/>
      </c>
      <c r="C50">
        <f t="shared" si="2"/>
        <v>1900</v>
      </c>
      <c r="D50">
        <f>IF(OR(C50=1900,$D$144=0),0,VLOOKUP(A50,'Estados Financieros'!$A$18:$I$458,9,0))</f>
        <v>0</v>
      </c>
      <c r="E50" t="str">
        <f t="shared" si="0"/>
        <v>0,000</v>
      </c>
    </row>
    <row r="51" spans="1:5">
      <c r="A51">
        <v>149510</v>
      </c>
      <c r="B51" t="str">
        <f t="shared" si="1"/>
        <v/>
      </c>
      <c r="C51">
        <f t="shared" si="2"/>
        <v>1900</v>
      </c>
      <c r="D51">
        <f>IF(OR(C51=1900,$D$144=0),0,VLOOKUP(A51,'Estados Financieros'!$A$18:$I$458,9,0))</f>
        <v>0</v>
      </c>
      <c r="E51" t="str">
        <f t="shared" si="0"/>
        <v>0,000</v>
      </c>
    </row>
    <row r="52" spans="1:5">
      <c r="A52">
        <v>149901</v>
      </c>
      <c r="B52" t="str">
        <f t="shared" si="1"/>
        <v/>
      </c>
      <c r="C52">
        <f t="shared" si="2"/>
        <v>1900</v>
      </c>
      <c r="D52">
        <f>IF(OR(C52=1900,$D$144=0),0,VLOOKUP(A52,'Estados Financieros'!$A$18:$I$458,9,0))</f>
        <v>0</v>
      </c>
      <c r="E52" t="str">
        <f t="shared" si="0"/>
        <v>0,000</v>
      </c>
    </row>
    <row r="53" spans="1:5">
      <c r="A53">
        <v>149902</v>
      </c>
      <c r="B53" t="str">
        <f t="shared" si="1"/>
        <v/>
      </c>
      <c r="C53">
        <f t="shared" si="2"/>
        <v>1900</v>
      </c>
      <c r="D53">
        <f>IF(OR(C53=1900,$D$144=0),0,VLOOKUP(A53,'Estados Financieros'!$A$18:$I$458,9,0))</f>
        <v>0</v>
      </c>
      <c r="E53" t="str">
        <f t="shared" si="0"/>
        <v>0,000</v>
      </c>
    </row>
    <row r="54" spans="1:5">
      <c r="A54">
        <v>149910</v>
      </c>
      <c r="B54" t="str">
        <f t="shared" si="1"/>
        <v/>
      </c>
      <c r="C54">
        <f t="shared" si="2"/>
        <v>1900</v>
      </c>
      <c r="D54">
        <f>IF(OR(C54=1900,$D$144=0),0,VLOOKUP(A54,'Estados Financieros'!$A$18:$I$458,9,0))</f>
        <v>0</v>
      </c>
      <c r="E54" t="str">
        <f t="shared" si="0"/>
        <v>0,000</v>
      </c>
    </row>
    <row r="55" spans="1:5">
      <c r="A55">
        <v>140010</v>
      </c>
      <c r="B55" t="str">
        <f t="shared" si="1"/>
        <v/>
      </c>
      <c r="C55">
        <f t="shared" si="2"/>
        <v>1900</v>
      </c>
      <c r="D55">
        <f>IF(OR(C55=1900,$D$144=0),0,VLOOKUP(A55,'Estados Financieros'!$A$18:$I$458,9,0))</f>
        <v>0</v>
      </c>
      <c r="E55" t="str">
        <f t="shared" si="0"/>
        <v>0,000</v>
      </c>
    </row>
    <row r="56" spans="1:5">
      <c r="A56">
        <v>1104</v>
      </c>
      <c r="B56" t="str">
        <f t="shared" si="1"/>
        <v/>
      </c>
      <c r="C56">
        <f t="shared" si="2"/>
        <v>1900</v>
      </c>
      <c r="D56">
        <f>+D55+D48</f>
        <v>0</v>
      </c>
      <c r="E56" t="str">
        <f t="shared" si="0"/>
        <v>0,000</v>
      </c>
    </row>
    <row r="57" spans="1:5">
      <c r="A57">
        <v>170500</v>
      </c>
      <c r="B57" t="str">
        <f t="shared" si="1"/>
        <v/>
      </c>
      <c r="C57">
        <f t="shared" si="2"/>
        <v>1900</v>
      </c>
      <c r="D57">
        <f>IF(OR(C57=1900,$D$144=0),0,VLOOKUP(A57,'Estados Financieros'!$A$18:$I$458,9,0))</f>
        <v>0</v>
      </c>
      <c r="E57" t="str">
        <f t="shared" si="0"/>
        <v>0,000</v>
      </c>
    </row>
    <row r="58" spans="1:5">
      <c r="A58">
        <v>171000</v>
      </c>
      <c r="B58" t="str">
        <f t="shared" si="1"/>
        <v/>
      </c>
      <c r="C58">
        <f t="shared" si="2"/>
        <v>1900</v>
      </c>
      <c r="D58">
        <f>IF(OR(C58=1900,$D$144=0),0,VLOOKUP(A58,'Estados Financieros'!$A$18:$I$458,9,0))</f>
        <v>0</v>
      </c>
      <c r="E58" t="str">
        <f t="shared" si="0"/>
        <v>0,000</v>
      </c>
    </row>
    <row r="59" spans="1:5">
      <c r="A59">
        <v>173000</v>
      </c>
      <c r="B59" t="str">
        <f t="shared" si="1"/>
        <v/>
      </c>
      <c r="C59">
        <f t="shared" si="2"/>
        <v>1900</v>
      </c>
      <c r="D59">
        <f>IF(OR(C59=1900,$D$144=0),0,VLOOKUP(A59,'Estados Financieros'!$A$18:$I$458,9,0))</f>
        <v>0</v>
      </c>
      <c r="E59" t="str">
        <f t="shared" si="0"/>
        <v>0,000</v>
      </c>
    </row>
    <row r="60" spans="1:5">
      <c r="A60">
        <v>179500</v>
      </c>
      <c r="B60" t="str">
        <f t="shared" si="1"/>
        <v/>
      </c>
      <c r="C60">
        <f t="shared" si="2"/>
        <v>1900</v>
      </c>
      <c r="D60">
        <f>IF(OR(C60=1900,$D$144=0),0,VLOOKUP(A60,'Estados Financieros'!$A$18:$I$458,9,0))</f>
        <v>0</v>
      </c>
      <c r="E60" t="str">
        <f t="shared" si="0"/>
        <v>0,000</v>
      </c>
    </row>
    <row r="61" spans="1:5">
      <c r="A61">
        <v>179700</v>
      </c>
      <c r="B61" t="str">
        <f t="shared" si="1"/>
        <v/>
      </c>
      <c r="C61">
        <f t="shared" si="2"/>
        <v>1900</v>
      </c>
      <c r="D61">
        <f>IF(OR(C61=1900,$D$144=0),0,VLOOKUP(A61,'Estados Financieros'!$A$18:$I$458,9,0))</f>
        <v>0</v>
      </c>
      <c r="E61" t="str">
        <f t="shared" si="0"/>
        <v>0,000</v>
      </c>
    </row>
    <row r="62" spans="1:5">
      <c r="A62">
        <v>1107</v>
      </c>
      <c r="B62" t="str">
        <f t="shared" si="1"/>
        <v/>
      </c>
      <c r="C62">
        <f t="shared" si="2"/>
        <v>1900</v>
      </c>
      <c r="D62">
        <f>IF(OR(C62=1900,$D$144=0),0,VLOOKUP(A62,'Estados Financieros'!$A$18:$I$458,9,0))</f>
        <v>0</v>
      </c>
      <c r="E62" t="str">
        <f t="shared" si="0"/>
        <v>0,000</v>
      </c>
    </row>
    <row r="63" spans="1:5">
      <c r="A63">
        <v>189500</v>
      </c>
      <c r="B63" t="str">
        <f t="shared" si="1"/>
        <v/>
      </c>
      <c r="C63">
        <f t="shared" si="2"/>
        <v>1900</v>
      </c>
      <c r="D63">
        <f>IF(OR(C63=1900,$D$144=0),0,VLOOKUP(A63,'Estados Financieros'!$A$18:$I$458,9,0))</f>
        <v>0</v>
      </c>
      <c r="E63" t="str">
        <f t="shared" si="0"/>
        <v>0,000</v>
      </c>
    </row>
    <row r="64" spans="1:5">
      <c r="A64">
        <v>181000</v>
      </c>
      <c r="B64" t="str">
        <f t="shared" si="1"/>
        <v/>
      </c>
      <c r="C64">
        <f t="shared" si="2"/>
        <v>1900</v>
      </c>
      <c r="D64">
        <f>IF(OR(C64=1900,$D$144=0),0,VLOOKUP(A64,'Estados Financieros'!$A$18:$I$458,9,0))</f>
        <v>0</v>
      </c>
      <c r="E64" t="str">
        <f t="shared" si="0"/>
        <v>0,000</v>
      </c>
    </row>
    <row r="65" spans="1:5">
      <c r="A65">
        <v>180000</v>
      </c>
      <c r="B65" t="str">
        <f t="shared" si="1"/>
        <v/>
      </c>
      <c r="C65">
        <f t="shared" si="2"/>
        <v>1900</v>
      </c>
      <c r="D65">
        <f>IF(OR(C65=1900,$D$144=0),0,VLOOKUP(A65,'Estados Financieros'!$A$18:$I$458,9,0))</f>
        <v>0</v>
      </c>
      <c r="E65" t="str">
        <f t="shared" si="0"/>
        <v>0,000</v>
      </c>
    </row>
    <row r="66" spans="1:5">
      <c r="A66">
        <v>11</v>
      </c>
      <c r="B66" t="str">
        <f t="shared" si="1"/>
        <v/>
      </c>
      <c r="C66">
        <f t="shared" si="2"/>
        <v>1900</v>
      </c>
      <c r="D66">
        <f>IF(OR(C66=1900,$D$144=0),0,VLOOKUP(A66,'Estados Financieros'!$A$18:$I$458,9,0))</f>
        <v>0</v>
      </c>
      <c r="E66" t="str">
        <f t="shared" ref="E66:E129" si="3">IFERROR(FIXED(D66,3,1),0)</f>
        <v>0,000</v>
      </c>
    </row>
    <row r="67" spans="1:5">
      <c r="A67">
        <v>120104</v>
      </c>
      <c r="B67" t="str">
        <f t="shared" ref="B67:B130" si="4">+B66</f>
        <v/>
      </c>
      <c r="C67">
        <f t="shared" ref="C67:C130" si="5">C66</f>
        <v>1900</v>
      </c>
      <c r="D67">
        <f>IF(OR(C67=1900,$D$144=0),0,VLOOKUP(A67,'Estados Financieros'!$A$18:$I$458,9,0))</f>
        <v>0</v>
      </c>
      <c r="E67" t="str">
        <f t="shared" si="3"/>
        <v>0,000</v>
      </c>
    </row>
    <row r="68" spans="1:5">
      <c r="A68">
        <v>120108</v>
      </c>
      <c r="B68" t="str">
        <f t="shared" si="4"/>
        <v/>
      </c>
      <c r="C68">
        <f t="shared" si="5"/>
        <v>1900</v>
      </c>
      <c r="D68">
        <f>IF(OR(C68=1900,$D$144=0),0,VLOOKUP(A68,'Estados Financieros'!$A$18:$I$458,9,0))</f>
        <v>0</v>
      </c>
      <c r="E68" t="str">
        <f t="shared" si="3"/>
        <v>0,000</v>
      </c>
    </row>
    <row r="69" spans="1:5">
      <c r="A69">
        <v>151201</v>
      </c>
      <c r="B69" t="str">
        <f t="shared" si="4"/>
        <v/>
      </c>
      <c r="C69">
        <f t="shared" si="5"/>
        <v>1900</v>
      </c>
      <c r="D69">
        <f>IF(OR(C69=1900,$D$144=0),0,VLOOKUP(A69,'Estados Financieros'!$A$18:$I$458,9,0))</f>
        <v>0</v>
      </c>
      <c r="E69" t="str">
        <f t="shared" si="3"/>
        <v>0,000</v>
      </c>
    </row>
    <row r="70" spans="1:5">
      <c r="A70">
        <v>120116</v>
      </c>
      <c r="B70" t="str">
        <f t="shared" si="4"/>
        <v/>
      </c>
      <c r="C70">
        <f t="shared" si="5"/>
        <v>1900</v>
      </c>
      <c r="D70">
        <f>IF(OR(C70=1900,$D$144=0),0,VLOOKUP(A70,'Estados Financieros'!$A$18:$I$458,9,0))</f>
        <v>0</v>
      </c>
      <c r="E70" t="str">
        <f t="shared" si="3"/>
        <v>0,000</v>
      </c>
    </row>
    <row r="71" spans="1:5">
      <c r="A71">
        <v>120120</v>
      </c>
      <c r="B71" t="str">
        <f t="shared" si="4"/>
        <v/>
      </c>
      <c r="C71">
        <f t="shared" si="5"/>
        <v>1900</v>
      </c>
      <c r="D71">
        <f>IF(OR(C71=1900,$D$144=0),0,VLOOKUP(A71,'Estados Financieros'!$A$18:$I$458,9,0))</f>
        <v>0</v>
      </c>
      <c r="E71" t="str">
        <f t="shared" si="3"/>
        <v>0,000</v>
      </c>
    </row>
    <row r="72" spans="1:5">
      <c r="A72">
        <v>120124</v>
      </c>
      <c r="B72" t="str">
        <f t="shared" si="4"/>
        <v/>
      </c>
      <c r="C72">
        <f t="shared" si="5"/>
        <v>1900</v>
      </c>
      <c r="D72">
        <f>IF(OR(C72=1900,$D$144=0),0,VLOOKUP(A72,'Estados Financieros'!$A$18:$I$458,9,0))</f>
        <v>0</v>
      </c>
      <c r="E72" t="str">
        <f t="shared" si="3"/>
        <v>0,000</v>
      </c>
    </row>
    <row r="73" spans="1:5">
      <c r="A73">
        <v>120128</v>
      </c>
      <c r="B73" t="str">
        <f t="shared" si="4"/>
        <v/>
      </c>
      <c r="C73">
        <f t="shared" si="5"/>
        <v>1900</v>
      </c>
      <c r="D73">
        <f>IF(OR(C73=1900,$D$144=0),0,VLOOKUP(A73,'Estados Financieros'!$A$18:$I$458,9,0))</f>
        <v>0</v>
      </c>
      <c r="E73" t="str">
        <f t="shared" si="3"/>
        <v>0,000</v>
      </c>
    </row>
    <row r="74" spans="1:5">
      <c r="A74">
        <v>120140</v>
      </c>
      <c r="B74" t="str">
        <f t="shared" si="4"/>
        <v/>
      </c>
      <c r="C74">
        <f t="shared" si="5"/>
        <v>1900</v>
      </c>
      <c r="D74">
        <f>IF(OR(C74=1900,$D$144=0),0,VLOOKUP(A74,'Estados Financieros'!$A$18:$I$458,9,0))</f>
        <v>0</v>
      </c>
      <c r="E74" t="str">
        <f t="shared" si="3"/>
        <v>0,000</v>
      </c>
    </row>
    <row r="75" spans="1:5">
      <c r="A75">
        <v>155601</v>
      </c>
      <c r="B75" t="str">
        <f t="shared" si="4"/>
        <v/>
      </c>
      <c r="C75">
        <f t="shared" si="5"/>
        <v>1900</v>
      </c>
      <c r="D75">
        <f>IF(OR(C75=1900,$D$144=0),0,VLOOKUP(A75,'Estados Financieros'!$A$18:$I$458,9,0))</f>
        <v>0</v>
      </c>
      <c r="E75" t="str">
        <f t="shared" si="3"/>
        <v>0,000</v>
      </c>
    </row>
    <row r="76" spans="1:5">
      <c r="A76">
        <v>156001</v>
      </c>
      <c r="B76" t="str">
        <f t="shared" si="4"/>
        <v/>
      </c>
      <c r="C76">
        <f t="shared" si="5"/>
        <v>1900</v>
      </c>
      <c r="D76">
        <f>IF(OR(C76=1900,$D$144=0),0,VLOOKUP(A76,'Estados Financieros'!$A$18:$I$458,9,0))</f>
        <v>0</v>
      </c>
      <c r="E76" t="str">
        <f t="shared" si="3"/>
        <v>0,000</v>
      </c>
    </row>
    <row r="77" spans="1:5">
      <c r="A77">
        <v>156401</v>
      </c>
      <c r="B77" t="str">
        <f t="shared" si="4"/>
        <v/>
      </c>
      <c r="C77">
        <f t="shared" si="5"/>
        <v>1900</v>
      </c>
      <c r="D77">
        <f>IF(OR(C77=1900,$D$144=0),0,VLOOKUP(A77,'Estados Financieros'!$A$18:$I$458,9,0))</f>
        <v>0</v>
      </c>
      <c r="E77" t="str">
        <f t="shared" si="3"/>
        <v>0,000</v>
      </c>
    </row>
    <row r="78" spans="1:5">
      <c r="A78">
        <v>157201</v>
      </c>
      <c r="B78" t="str">
        <f t="shared" si="4"/>
        <v/>
      </c>
      <c r="C78">
        <f t="shared" si="5"/>
        <v>1900</v>
      </c>
      <c r="D78">
        <f>IF(OR(C78=1900,$D$144=0),0,VLOOKUP(A78,'Estados Financieros'!$A$18:$I$458,9,0))</f>
        <v>0</v>
      </c>
      <c r="E78" t="str">
        <f t="shared" si="3"/>
        <v>0,000</v>
      </c>
    </row>
    <row r="79" spans="1:5">
      <c r="A79">
        <v>157601</v>
      </c>
      <c r="B79" t="str">
        <f t="shared" si="4"/>
        <v/>
      </c>
      <c r="C79">
        <f t="shared" si="5"/>
        <v>1900</v>
      </c>
      <c r="D79">
        <f>IF(OR(C79=1900,$D$144=0),0,VLOOKUP(A79,'Estados Financieros'!$A$18:$I$458,9,0))</f>
        <v>0</v>
      </c>
      <c r="E79" t="str">
        <f t="shared" si="3"/>
        <v>0,000</v>
      </c>
    </row>
    <row r="80" spans="1:5">
      <c r="A80">
        <v>158401</v>
      </c>
      <c r="B80" t="str">
        <f t="shared" si="4"/>
        <v/>
      </c>
      <c r="C80">
        <f t="shared" si="5"/>
        <v>1900</v>
      </c>
      <c r="D80">
        <f>IF(OR(C80=1900,$D$144=0),0,VLOOKUP(A80,'Estados Financieros'!$A$18:$I$458,9,0))</f>
        <v>0</v>
      </c>
      <c r="E80" t="str">
        <f t="shared" si="3"/>
        <v>0,000</v>
      </c>
    </row>
    <row r="81" spans="1:5">
      <c r="A81">
        <v>158801</v>
      </c>
      <c r="B81" t="str">
        <f t="shared" si="4"/>
        <v/>
      </c>
      <c r="C81">
        <f t="shared" si="5"/>
        <v>1900</v>
      </c>
      <c r="D81">
        <f>IF(OR(C81=1900,$D$144=0),0,VLOOKUP(A81,'Estados Financieros'!$A$18:$I$458,9,0))</f>
        <v>0</v>
      </c>
      <c r="E81" t="str">
        <f t="shared" si="3"/>
        <v>0,000</v>
      </c>
    </row>
    <row r="82" spans="1:5">
      <c r="A82">
        <v>120145</v>
      </c>
      <c r="B82" t="str">
        <f t="shared" si="4"/>
        <v/>
      </c>
      <c r="C82">
        <f t="shared" si="5"/>
        <v>1900</v>
      </c>
      <c r="D82">
        <f>IF(OR(C82=1900,$D$144=0),0,VLOOKUP(A82,'Estados Financieros'!$A$18:$I$458,9,0))</f>
        <v>0</v>
      </c>
      <c r="E82" t="str">
        <f t="shared" si="3"/>
        <v>0,000</v>
      </c>
    </row>
    <row r="83" spans="1:5">
      <c r="A83">
        <v>120195</v>
      </c>
      <c r="B83" t="str">
        <f t="shared" si="4"/>
        <v/>
      </c>
      <c r="C83">
        <f t="shared" si="5"/>
        <v>1900</v>
      </c>
      <c r="D83">
        <f>IF(OR(C83=1900,$D$144=0),0,VLOOKUP(A83,'Estados Financieros'!$A$18:$I$458,9,0))</f>
        <v>0</v>
      </c>
      <c r="E83" t="str">
        <f t="shared" si="3"/>
        <v>0,000</v>
      </c>
    </row>
    <row r="84" spans="1:5">
      <c r="A84">
        <v>159701</v>
      </c>
      <c r="B84" t="str">
        <f t="shared" si="4"/>
        <v/>
      </c>
      <c r="C84">
        <f t="shared" si="5"/>
        <v>1900</v>
      </c>
      <c r="D84">
        <f>IF(OR(C84=1900,$D$144=0),0,VLOOKUP(A84,'Estados Financieros'!$A$18:$I$458,9,0))</f>
        <v>0</v>
      </c>
      <c r="E84" t="str">
        <f t="shared" si="3"/>
        <v>0,000</v>
      </c>
    </row>
    <row r="85" spans="1:5">
      <c r="A85">
        <v>159899</v>
      </c>
      <c r="B85" t="str">
        <f t="shared" si="4"/>
        <v/>
      </c>
      <c r="C85">
        <f t="shared" si="5"/>
        <v>1900</v>
      </c>
      <c r="D85">
        <f>IF(OR(C85=1900,$D$144=0),0,VLOOKUP(A85,'Estados Financieros'!$A$18:$I$458,9,0))</f>
        <v>0</v>
      </c>
      <c r="E85" t="str">
        <f t="shared" si="3"/>
        <v>0,000</v>
      </c>
    </row>
    <row r="86" spans="1:5">
      <c r="A86">
        <v>159901</v>
      </c>
      <c r="B86" t="str">
        <f t="shared" si="4"/>
        <v/>
      </c>
      <c r="C86">
        <f t="shared" si="5"/>
        <v>1900</v>
      </c>
      <c r="D86">
        <f>IF(OR(C86=1900,$D$144=0),0,VLOOKUP(A86,'Estados Financieros'!$A$18:$I$458,9,0))</f>
        <v>0</v>
      </c>
      <c r="E86" t="str">
        <f t="shared" si="3"/>
        <v>0,000</v>
      </c>
    </row>
    <row r="87" spans="1:5">
      <c r="A87">
        <v>1201</v>
      </c>
      <c r="B87" t="str">
        <f t="shared" si="4"/>
        <v/>
      </c>
      <c r="C87">
        <f t="shared" si="5"/>
        <v>1900</v>
      </c>
      <c r="D87">
        <f>IF(OR(C87=1900,$D$144=0),0,VLOOKUP(A87,'Estados Financieros'!$A$18:$I$458,9,0))</f>
        <v>0</v>
      </c>
      <c r="E87" t="str">
        <f t="shared" si="3"/>
        <v>0,000</v>
      </c>
    </row>
    <row r="88" spans="1:5">
      <c r="A88">
        <v>130506</v>
      </c>
      <c r="B88" t="str">
        <f t="shared" si="4"/>
        <v/>
      </c>
      <c r="C88">
        <f t="shared" si="5"/>
        <v>1900</v>
      </c>
      <c r="D88">
        <f>IF(OR(C88=1900,$D$144=0),0,VLOOKUP(A88,'Estados Financieros'!$A$18:$I$458,9,0))</f>
        <v>0</v>
      </c>
      <c r="E88" t="str">
        <f t="shared" si="3"/>
        <v>0,000</v>
      </c>
    </row>
    <row r="89" spans="1:5">
      <c r="A89">
        <v>130511</v>
      </c>
      <c r="B89" t="str">
        <f t="shared" si="4"/>
        <v/>
      </c>
      <c r="C89">
        <f t="shared" si="5"/>
        <v>1900</v>
      </c>
      <c r="D89">
        <f>IF(OR(C89=1900,$D$144=0),0,VLOOKUP(A89,'Estados Financieros'!$A$18:$I$458,9,0))</f>
        <v>0</v>
      </c>
      <c r="E89" t="str">
        <f t="shared" si="3"/>
        <v>0,000</v>
      </c>
    </row>
    <row r="90" spans="1:5">
      <c r="A90">
        <v>131001</v>
      </c>
      <c r="B90" t="str">
        <f t="shared" si="4"/>
        <v/>
      </c>
      <c r="C90">
        <f t="shared" si="5"/>
        <v>1900</v>
      </c>
      <c r="D90">
        <f>IF(OR(C90=1900,$D$144=0),0,VLOOKUP(A90,'Estados Financieros'!$A$18:$I$458,9,0))</f>
        <v>0</v>
      </c>
      <c r="E90" t="str">
        <f t="shared" si="3"/>
        <v>0,000</v>
      </c>
    </row>
    <row r="91" spans="1:5">
      <c r="A91">
        <v>131501</v>
      </c>
      <c r="B91" t="str">
        <f t="shared" si="4"/>
        <v/>
      </c>
      <c r="C91">
        <f t="shared" si="5"/>
        <v>1900</v>
      </c>
      <c r="D91">
        <f>IF(OR(C91=1900,$D$144=0),0,VLOOKUP(A91,'Estados Financieros'!$A$18:$I$458,9,0))</f>
        <v>0</v>
      </c>
      <c r="E91" t="str">
        <f t="shared" si="3"/>
        <v>0,000</v>
      </c>
    </row>
    <row r="92" spans="1:5">
      <c r="A92">
        <v>132001</v>
      </c>
      <c r="B92" t="str">
        <f t="shared" si="4"/>
        <v/>
      </c>
      <c r="C92">
        <f t="shared" si="5"/>
        <v>1900</v>
      </c>
      <c r="D92">
        <f>IF(OR(C92=1900,$D$144=0),0,VLOOKUP(A92,'Estados Financieros'!$A$18:$I$458,9,0))</f>
        <v>0</v>
      </c>
      <c r="E92" t="str">
        <f t="shared" si="3"/>
        <v>0,000</v>
      </c>
    </row>
    <row r="93" spans="1:5">
      <c r="A93">
        <v>132501</v>
      </c>
      <c r="B93" t="str">
        <f t="shared" si="4"/>
        <v/>
      </c>
      <c r="C93">
        <f t="shared" si="5"/>
        <v>1900</v>
      </c>
      <c r="D93">
        <f>IF(OR(C93=1900,$D$144=0),0,VLOOKUP(A93,'Estados Financieros'!$A$18:$I$458,9,0))</f>
        <v>0</v>
      </c>
      <c r="E93" t="str">
        <f t="shared" si="3"/>
        <v>0,000</v>
      </c>
    </row>
    <row r="94" spans="1:5">
      <c r="A94">
        <v>133001</v>
      </c>
      <c r="B94" t="str">
        <f t="shared" si="4"/>
        <v/>
      </c>
      <c r="C94">
        <f t="shared" si="5"/>
        <v>1900</v>
      </c>
      <c r="D94">
        <f>IF(OR(C94=1900,$D$144=0),0,VLOOKUP(A94,'Estados Financieros'!$A$18:$I$458,9,0))</f>
        <v>0</v>
      </c>
      <c r="E94" t="str">
        <f t="shared" si="3"/>
        <v>0,000</v>
      </c>
    </row>
    <row r="95" spans="1:5">
      <c r="A95">
        <v>133501</v>
      </c>
      <c r="B95" t="str">
        <f t="shared" si="4"/>
        <v/>
      </c>
      <c r="C95">
        <f t="shared" si="5"/>
        <v>1900</v>
      </c>
      <c r="D95">
        <f>IF(OR(C95=1900,$D$144=0),0,VLOOKUP(A95,'Estados Financieros'!$A$18:$I$458,9,0))</f>
        <v>0</v>
      </c>
      <c r="E95" t="str">
        <f t="shared" si="3"/>
        <v>0,000</v>
      </c>
    </row>
    <row r="96" spans="1:5">
      <c r="A96">
        <v>134001</v>
      </c>
      <c r="B96" t="str">
        <f t="shared" si="4"/>
        <v/>
      </c>
      <c r="C96">
        <f t="shared" si="5"/>
        <v>1900</v>
      </c>
      <c r="D96">
        <f>IF(OR(C96=1900,$D$144=0),0,VLOOKUP(A96,'Estados Financieros'!$A$18:$I$458,9,0))</f>
        <v>0</v>
      </c>
      <c r="E96" t="str">
        <f t="shared" si="3"/>
        <v>0,000</v>
      </c>
    </row>
    <row r="97" spans="1:5">
      <c r="A97">
        <v>134501</v>
      </c>
      <c r="B97" t="str">
        <f t="shared" si="4"/>
        <v/>
      </c>
      <c r="C97">
        <f t="shared" si="5"/>
        <v>1900</v>
      </c>
      <c r="D97">
        <f>IF(OR(C97=1900,$D$144=0),0,VLOOKUP(A97,'Estados Financieros'!$A$18:$I$458,9,0))</f>
        <v>0</v>
      </c>
      <c r="E97" t="str">
        <f t="shared" si="3"/>
        <v>0,000</v>
      </c>
    </row>
    <row r="98" spans="1:5">
      <c r="A98">
        <v>135001</v>
      </c>
      <c r="B98" t="str">
        <f t="shared" si="4"/>
        <v/>
      </c>
      <c r="C98">
        <f t="shared" si="5"/>
        <v>1900</v>
      </c>
      <c r="D98">
        <f>IF(OR(C98=1900,$D$144=0),0,VLOOKUP(A98,'Estados Financieros'!$A$18:$I$458,9,0))</f>
        <v>0</v>
      </c>
      <c r="E98" t="str">
        <f t="shared" si="3"/>
        <v>0,000</v>
      </c>
    </row>
    <row r="99" spans="1:5">
      <c r="A99">
        <v>135501</v>
      </c>
      <c r="B99" t="str">
        <f t="shared" si="4"/>
        <v/>
      </c>
      <c r="C99">
        <f t="shared" si="5"/>
        <v>1900</v>
      </c>
      <c r="D99">
        <f>IF(OR(C99=1900,$D$144=0),0,VLOOKUP(A99,'Estados Financieros'!$A$18:$I$458,9,0))</f>
        <v>0</v>
      </c>
      <c r="E99" t="str">
        <f t="shared" si="3"/>
        <v>0,000</v>
      </c>
    </row>
    <row r="100" spans="1:5">
      <c r="A100">
        <v>136001</v>
      </c>
      <c r="B100" t="str">
        <f t="shared" si="4"/>
        <v/>
      </c>
      <c r="C100">
        <f t="shared" si="5"/>
        <v>1900</v>
      </c>
      <c r="D100">
        <f>IF(OR(C100=1900,$D$144=0),0,VLOOKUP(A100,'Estados Financieros'!$A$18:$I$458,9,0))</f>
        <v>0</v>
      </c>
      <c r="E100" t="str">
        <f t="shared" si="3"/>
        <v>0,000</v>
      </c>
    </row>
    <row r="101" spans="1:5">
      <c r="A101">
        <v>136501</v>
      </c>
      <c r="B101" t="str">
        <f t="shared" si="4"/>
        <v/>
      </c>
      <c r="C101">
        <f t="shared" si="5"/>
        <v>1900</v>
      </c>
      <c r="D101">
        <f>IF(OR(C101=1900,$D$144=0),0,VLOOKUP(A101,'Estados Financieros'!$A$18:$I$458,9,0))</f>
        <v>0</v>
      </c>
      <c r="E101" t="str">
        <f t="shared" si="3"/>
        <v>0,000</v>
      </c>
    </row>
    <row r="102" spans="1:5">
      <c r="A102">
        <v>137001</v>
      </c>
      <c r="B102" t="str">
        <f t="shared" si="4"/>
        <v/>
      </c>
      <c r="C102">
        <f t="shared" si="5"/>
        <v>1900</v>
      </c>
      <c r="D102">
        <f>IF(OR(C102=1900,$D$144=0),0,VLOOKUP(A102,'Estados Financieros'!$A$18:$I$458,9,0))</f>
        <v>0</v>
      </c>
      <c r="E102" t="str">
        <f t="shared" si="3"/>
        <v>0,000</v>
      </c>
    </row>
    <row r="103" spans="1:5">
      <c r="A103">
        <v>138001</v>
      </c>
      <c r="B103" t="str">
        <f t="shared" si="4"/>
        <v/>
      </c>
      <c r="C103">
        <f t="shared" si="5"/>
        <v>1900</v>
      </c>
      <c r="D103">
        <f>IF(OR(C103=1900,$D$144=0),0,VLOOKUP(A103,'Estados Financieros'!$A$18:$I$458,9,0))</f>
        <v>0</v>
      </c>
      <c r="E103" t="str">
        <f t="shared" si="3"/>
        <v>0,000</v>
      </c>
    </row>
    <row r="104" spans="1:5">
      <c r="A104">
        <v>138501</v>
      </c>
      <c r="B104" t="str">
        <f t="shared" si="4"/>
        <v/>
      </c>
      <c r="C104">
        <f t="shared" si="5"/>
        <v>1900</v>
      </c>
      <c r="D104">
        <f>IF(OR(C104=1900,$D$144=0),0,VLOOKUP(A104,'Estados Financieros'!$A$18:$I$458,9,0))</f>
        <v>0</v>
      </c>
      <c r="E104" t="str">
        <f t="shared" si="3"/>
        <v>0,000</v>
      </c>
    </row>
    <row r="105" spans="1:5">
      <c r="A105">
        <v>139001</v>
      </c>
      <c r="B105" t="str">
        <f t="shared" si="4"/>
        <v/>
      </c>
      <c r="C105">
        <f t="shared" si="5"/>
        <v>1900</v>
      </c>
      <c r="D105">
        <f>IF(OR(C105=1900,$D$144=0),0,VLOOKUP(A105,'Estados Financieros'!$A$18:$I$458,9,0))</f>
        <v>0</v>
      </c>
      <c r="E105" t="str">
        <f t="shared" si="3"/>
        <v>0,000</v>
      </c>
    </row>
    <row r="106" spans="1:5">
      <c r="A106">
        <v>139901</v>
      </c>
      <c r="B106" t="str">
        <f t="shared" si="4"/>
        <v/>
      </c>
      <c r="C106">
        <f t="shared" si="5"/>
        <v>1900</v>
      </c>
      <c r="D106">
        <f>IF(OR(C106=1900,$D$144=0),0,VLOOKUP(A106,'Estados Financieros'!$A$18:$I$458,9,0))</f>
        <v>0</v>
      </c>
      <c r="E106" t="str">
        <f t="shared" si="3"/>
        <v>0,000</v>
      </c>
    </row>
    <row r="107" spans="1:5">
      <c r="A107">
        <v>1205</v>
      </c>
      <c r="B107" t="str">
        <f t="shared" si="4"/>
        <v/>
      </c>
      <c r="C107">
        <f t="shared" si="5"/>
        <v>1900</v>
      </c>
      <c r="D107">
        <f>IF(OR(C107=1900,$D$144=0),0,VLOOKUP(A107,'Estados Financieros'!$A$18:$I$458,9,0))</f>
        <v>0</v>
      </c>
      <c r="E107" t="str">
        <f t="shared" si="3"/>
        <v>0,000</v>
      </c>
    </row>
    <row r="108" spans="1:5">
      <c r="A108">
        <v>120501</v>
      </c>
      <c r="B108" t="str">
        <f t="shared" si="4"/>
        <v/>
      </c>
      <c r="C108">
        <f t="shared" si="5"/>
        <v>1900</v>
      </c>
      <c r="D108">
        <f>IF(OR(C108=1900,$D$144=0),0,VLOOKUP(A108,'Estados Financieros'!$A$18:$I$458,9,0))</f>
        <v>0</v>
      </c>
      <c r="E108" t="str">
        <f t="shared" si="3"/>
        <v>0,000</v>
      </c>
    </row>
    <row r="109" spans="1:5">
      <c r="A109">
        <v>121001</v>
      </c>
      <c r="B109" t="str">
        <f t="shared" si="4"/>
        <v/>
      </c>
      <c r="C109">
        <f t="shared" si="5"/>
        <v>1900</v>
      </c>
      <c r="D109">
        <f>IF(OR(C109=1900,$D$144=0),0,VLOOKUP(A109,'Estados Financieros'!$A$18:$I$458,9,0))</f>
        <v>0</v>
      </c>
      <c r="E109" t="str">
        <f t="shared" si="3"/>
        <v>0,000</v>
      </c>
    </row>
    <row r="110" spans="1:5">
      <c r="A110">
        <v>121501</v>
      </c>
      <c r="B110" t="str">
        <f t="shared" si="4"/>
        <v/>
      </c>
      <c r="C110">
        <f t="shared" si="5"/>
        <v>1900</v>
      </c>
      <c r="D110">
        <f>IF(OR(C110=1900,$D$144=0),0,VLOOKUP(A110,'Estados Financieros'!$A$18:$I$458,9,0))</f>
        <v>0</v>
      </c>
      <c r="E110" t="str">
        <f t="shared" si="3"/>
        <v>0,000</v>
      </c>
    </row>
    <row r="111" spans="1:5">
      <c r="A111">
        <v>123501</v>
      </c>
      <c r="B111" t="str">
        <f t="shared" si="4"/>
        <v/>
      </c>
      <c r="C111">
        <f t="shared" si="5"/>
        <v>1900</v>
      </c>
      <c r="D111">
        <f>IF(OR(C111=1900,$D$144=0),0,VLOOKUP(A111,'Estados Financieros'!$A$18:$I$458,9,0))</f>
        <v>0</v>
      </c>
      <c r="E111" t="str">
        <f t="shared" si="3"/>
        <v>0,000</v>
      </c>
    </row>
    <row r="112" spans="1:5">
      <c r="A112">
        <v>125501</v>
      </c>
      <c r="B112" t="str">
        <f t="shared" si="4"/>
        <v/>
      </c>
      <c r="C112">
        <f t="shared" si="5"/>
        <v>1900</v>
      </c>
      <c r="D112">
        <f>IF(OR(C112=1900,$D$144=0),0,VLOOKUP(A112,'Estados Financieros'!$A$18:$I$458,9,0))</f>
        <v>0</v>
      </c>
      <c r="E112" t="str">
        <f t="shared" si="3"/>
        <v>0,000</v>
      </c>
    </row>
    <row r="113" spans="1:5">
      <c r="A113">
        <v>126001</v>
      </c>
      <c r="B113" t="str">
        <f t="shared" si="4"/>
        <v/>
      </c>
      <c r="C113">
        <f t="shared" si="5"/>
        <v>1900</v>
      </c>
      <c r="D113">
        <f>IF(OR(C113=1900,$D$144=0),0,VLOOKUP(A113,'Estados Financieros'!$A$18:$I$458,9,0))</f>
        <v>0</v>
      </c>
      <c r="E113" t="str">
        <f t="shared" si="3"/>
        <v>0,000</v>
      </c>
    </row>
    <row r="114" spans="1:5">
      <c r="A114">
        <v>129501</v>
      </c>
      <c r="B114" t="str">
        <f t="shared" si="4"/>
        <v/>
      </c>
      <c r="C114">
        <f t="shared" si="5"/>
        <v>1900</v>
      </c>
      <c r="D114">
        <f>IF(OR(C114=1900,$D$144=0),0,VLOOKUP(A114,'Estados Financieros'!$A$18:$I$458,9,0))</f>
        <v>0</v>
      </c>
      <c r="E114" t="str">
        <f t="shared" si="3"/>
        <v>0,000</v>
      </c>
    </row>
    <row r="115" spans="1:5">
      <c r="A115">
        <v>129701</v>
      </c>
      <c r="B115" t="str">
        <f t="shared" si="4"/>
        <v/>
      </c>
      <c r="C115">
        <f t="shared" si="5"/>
        <v>1900</v>
      </c>
      <c r="D115">
        <f>IF(OR(C115=1900,$D$144=0),0,VLOOKUP(A115,'Estados Financieros'!$A$18:$I$458,9,0))</f>
        <v>0</v>
      </c>
      <c r="E115" t="str">
        <f t="shared" si="3"/>
        <v>0,000</v>
      </c>
    </row>
    <row r="116" spans="1:5">
      <c r="A116">
        <v>129901</v>
      </c>
      <c r="B116" t="str">
        <f t="shared" si="4"/>
        <v/>
      </c>
      <c r="C116">
        <f t="shared" si="5"/>
        <v>1900</v>
      </c>
      <c r="D116">
        <f>IF(OR(C116=1900,$D$144=0),0,VLOOKUP(A116,'Estados Financieros'!$A$18:$I$458,9,0))</f>
        <v>0</v>
      </c>
      <c r="E116" t="str">
        <f t="shared" si="3"/>
        <v>0,000</v>
      </c>
    </row>
    <row r="117" spans="1:5">
      <c r="A117">
        <v>1203</v>
      </c>
      <c r="B117" t="str">
        <f t="shared" si="4"/>
        <v/>
      </c>
      <c r="C117">
        <f t="shared" si="5"/>
        <v>1900</v>
      </c>
      <c r="D117">
        <f>IF(OR(C117=1900,$D$144=0),0,VLOOKUP(A117,'Estados Financieros'!$A$18:$I$458,9,0))</f>
        <v>0</v>
      </c>
      <c r="E117" t="str">
        <f t="shared" si="3"/>
        <v>0,000</v>
      </c>
    </row>
    <row r="118" spans="1:5">
      <c r="A118">
        <v>120610</v>
      </c>
      <c r="B118" t="str">
        <f t="shared" si="4"/>
        <v/>
      </c>
      <c r="C118">
        <f t="shared" si="5"/>
        <v>1900</v>
      </c>
      <c r="D118">
        <f>IF(OR(C118=1900,$D$144=0),0,VLOOKUP(A118,'Estados Financieros'!$A$18:$I$458,9,0))</f>
        <v>0</v>
      </c>
      <c r="E118" t="str">
        <f t="shared" si="3"/>
        <v>0,000</v>
      </c>
    </row>
    <row r="119" spans="1:5">
      <c r="A119">
        <v>120615</v>
      </c>
      <c r="B119" t="str">
        <f t="shared" si="4"/>
        <v/>
      </c>
      <c r="C119">
        <f t="shared" si="5"/>
        <v>1900</v>
      </c>
      <c r="D119">
        <f>IF(OR(C119=1900,$D$144=0),0,VLOOKUP(A119,'Estados Financieros'!$A$18:$I$458,9,0))</f>
        <v>0</v>
      </c>
      <c r="E119" t="str">
        <f t="shared" si="3"/>
        <v>0,000</v>
      </c>
    </row>
    <row r="120" spans="1:5">
      <c r="A120">
        <v>173001</v>
      </c>
      <c r="B120" t="str">
        <f t="shared" si="4"/>
        <v/>
      </c>
      <c r="C120">
        <f t="shared" si="5"/>
        <v>1900</v>
      </c>
      <c r="D120">
        <f>IF(OR(C120=1900,$D$144=0),0,VLOOKUP(A120,'Estados Financieros'!$A$18:$I$458,9,0))</f>
        <v>0</v>
      </c>
      <c r="E120" t="str">
        <f t="shared" si="3"/>
        <v>0,000</v>
      </c>
    </row>
    <row r="121" spans="1:5">
      <c r="A121">
        <v>120620</v>
      </c>
      <c r="B121" t="str">
        <f t="shared" si="4"/>
        <v/>
      </c>
      <c r="C121">
        <f t="shared" si="5"/>
        <v>1900</v>
      </c>
      <c r="D121">
        <f>IF(OR(C121=1900,$D$144=0),0,VLOOKUP(A121,'Estados Financieros'!$A$18:$I$458,9,0))</f>
        <v>0</v>
      </c>
      <c r="E121" t="str">
        <f t="shared" si="3"/>
        <v>0,000</v>
      </c>
    </row>
    <row r="122" spans="1:5">
      <c r="A122">
        <v>179701</v>
      </c>
      <c r="B122" t="str">
        <f t="shared" si="4"/>
        <v/>
      </c>
      <c r="C122">
        <f t="shared" si="5"/>
        <v>1900</v>
      </c>
      <c r="D122">
        <f>IF(OR(C122=1900,$D$144=0),0,VLOOKUP(A122,'Estados Financieros'!$A$18:$I$458,9,0))</f>
        <v>0</v>
      </c>
      <c r="E122" t="str">
        <f t="shared" si="3"/>
        <v>0,000</v>
      </c>
    </row>
    <row r="123" spans="1:5">
      <c r="A123">
        <v>179801</v>
      </c>
      <c r="B123" t="str">
        <f t="shared" si="4"/>
        <v/>
      </c>
      <c r="C123">
        <f t="shared" si="5"/>
        <v>1900</v>
      </c>
      <c r="D123">
        <f>IF(OR(C123=1900,$D$144=0),0,VLOOKUP(A123,'Estados Financieros'!$A$18:$I$458,9,0))</f>
        <v>0</v>
      </c>
      <c r="E123" t="str">
        <f t="shared" si="3"/>
        <v>0,000</v>
      </c>
    </row>
    <row r="124" spans="1:5">
      <c r="A124">
        <v>1206</v>
      </c>
      <c r="B124" t="str">
        <f t="shared" si="4"/>
        <v/>
      </c>
      <c r="C124">
        <f t="shared" si="5"/>
        <v>1900</v>
      </c>
      <c r="D124">
        <f>IF(OR(C124=1900,$D$144=0),0,VLOOKUP(A124,'Estados Financieros'!$A$18:$I$458,9,0))</f>
        <v>0</v>
      </c>
      <c r="E124" t="str">
        <f t="shared" si="3"/>
        <v>0,000</v>
      </c>
    </row>
    <row r="125" spans="1:5">
      <c r="A125">
        <v>160501</v>
      </c>
      <c r="B125" t="str">
        <f t="shared" si="4"/>
        <v/>
      </c>
      <c r="C125">
        <f t="shared" si="5"/>
        <v>1900</v>
      </c>
      <c r="D125">
        <f>IF(OR(C125=1900,$D$144=0),0,VLOOKUP(A125,'Estados Financieros'!$A$18:$I$458,9,0))</f>
        <v>0</v>
      </c>
      <c r="E125" t="str">
        <f t="shared" si="3"/>
        <v>0,000</v>
      </c>
    </row>
    <row r="126" spans="1:5">
      <c r="A126">
        <v>161001</v>
      </c>
      <c r="B126" t="str">
        <f t="shared" si="4"/>
        <v/>
      </c>
      <c r="C126">
        <f t="shared" si="5"/>
        <v>1900</v>
      </c>
      <c r="D126">
        <f>IF(OR(C126=1900,$D$144=0),0,VLOOKUP(A126,'Estados Financieros'!$A$18:$I$458,9,0))</f>
        <v>0</v>
      </c>
      <c r="E126" t="str">
        <f t="shared" si="3"/>
        <v>0,000</v>
      </c>
    </row>
    <row r="127" spans="1:5">
      <c r="A127">
        <v>163001</v>
      </c>
      <c r="B127" t="str">
        <f t="shared" si="4"/>
        <v/>
      </c>
      <c r="C127">
        <f t="shared" si="5"/>
        <v>1900</v>
      </c>
      <c r="D127">
        <f>IF(OR(C127=1900,$D$144=0),0,VLOOKUP(A127,'Estados Financieros'!$A$18:$I$458,9,0))</f>
        <v>0</v>
      </c>
      <c r="E127" t="str">
        <f t="shared" si="3"/>
        <v>0,000</v>
      </c>
    </row>
    <row r="128" spans="1:5">
      <c r="A128">
        <v>164001</v>
      </c>
      <c r="B128" t="str">
        <f t="shared" si="4"/>
        <v/>
      </c>
      <c r="C128">
        <f t="shared" si="5"/>
        <v>1900</v>
      </c>
      <c r="D128">
        <f>IF(OR(C128=1900,$D$144=0),0,VLOOKUP(A128,'Estados Financieros'!$A$18:$I$458,9,0))</f>
        <v>0</v>
      </c>
      <c r="E128" t="str">
        <f t="shared" si="3"/>
        <v>0,000</v>
      </c>
    </row>
    <row r="129" spans="1:5">
      <c r="A129">
        <v>109801</v>
      </c>
      <c r="B129" t="str">
        <f t="shared" si="4"/>
        <v/>
      </c>
      <c r="C129">
        <f t="shared" si="5"/>
        <v>1900</v>
      </c>
      <c r="D129">
        <f>IF(OR(C129=1900,$D$144=0),0,VLOOKUP(A129,'Estados Financieros'!$A$18:$I$458,9,0))</f>
        <v>0</v>
      </c>
      <c r="E129" t="str">
        <f t="shared" si="3"/>
        <v>0,000</v>
      </c>
    </row>
    <row r="130" spans="1:5">
      <c r="A130">
        <v>169899</v>
      </c>
      <c r="B130" t="str">
        <f t="shared" si="4"/>
        <v/>
      </c>
      <c r="C130">
        <f t="shared" si="5"/>
        <v>1900</v>
      </c>
      <c r="D130">
        <f>IF(OR(C130=1900,$D$144=0),0,VLOOKUP(A130,'Estados Financieros'!$A$18:$I$458,9,0))</f>
        <v>0</v>
      </c>
      <c r="E130" t="str">
        <f t="shared" ref="E130:E193" si="6">IFERROR(FIXED(D130,3,1),0)</f>
        <v>0,000</v>
      </c>
    </row>
    <row r="131" spans="1:5">
      <c r="A131">
        <v>169901</v>
      </c>
      <c r="B131" t="str">
        <f t="shared" ref="B131:B194" si="7">+B130</f>
        <v/>
      </c>
      <c r="C131">
        <f t="shared" ref="C131:C194" si="8">C130</f>
        <v>1900</v>
      </c>
      <c r="D131">
        <f>IF(OR(C131=1900,$D$144=0),0,VLOOKUP(A131,'Estados Financieros'!$A$18:$I$458,9,0))</f>
        <v>0</v>
      </c>
      <c r="E131" t="str">
        <f t="shared" si="6"/>
        <v>0,000</v>
      </c>
    </row>
    <row r="132" spans="1:5">
      <c r="A132">
        <v>1202</v>
      </c>
      <c r="B132" t="str">
        <f t="shared" si="7"/>
        <v/>
      </c>
      <c r="C132">
        <f t="shared" si="8"/>
        <v>1900</v>
      </c>
      <c r="D132">
        <f>IF(OR(C132=1900,$D$144=0),0,VLOOKUP(A132,'Estados Financieros'!$A$18:$I$458,9,0))</f>
        <v>0</v>
      </c>
      <c r="E132" t="str">
        <f t="shared" si="6"/>
        <v>0,000</v>
      </c>
    </row>
    <row r="133" spans="1:5">
      <c r="A133">
        <v>180501</v>
      </c>
      <c r="B133" t="str">
        <f t="shared" si="7"/>
        <v/>
      </c>
      <c r="C133">
        <f t="shared" si="8"/>
        <v>1900</v>
      </c>
      <c r="D133">
        <f>IF(OR(C133=1900,$D$144=0),0,VLOOKUP(A133,'Estados Financieros'!$A$18:$I$458,9,0))</f>
        <v>0</v>
      </c>
      <c r="E133" t="str">
        <f t="shared" si="6"/>
        <v>0,000</v>
      </c>
    </row>
    <row r="134" spans="1:5">
      <c r="A134">
        <v>189501</v>
      </c>
      <c r="B134" t="str">
        <f t="shared" si="7"/>
        <v/>
      </c>
      <c r="C134">
        <f t="shared" si="8"/>
        <v>1900</v>
      </c>
      <c r="D134">
        <f>IF(OR(C134=1900,$D$144=0),0,VLOOKUP(A134,'Estados Financieros'!$A$18:$I$458,9,0))</f>
        <v>0</v>
      </c>
      <c r="E134" t="str">
        <f t="shared" si="6"/>
        <v>0,000</v>
      </c>
    </row>
    <row r="135" spans="1:5">
      <c r="A135">
        <v>189520</v>
      </c>
      <c r="B135" t="str">
        <f t="shared" si="7"/>
        <v/>
      </c>
      <c r="C135">
        <f t="shared" si="8"/>
        <v>1900</v>
      </c>
      <c r="D135">
        <f>IF(OR(C135=1900,$D$144=0),0,VLOOKUP(A135,'Estados Financieros'!$A$18:$I$458,9,0))</f>
        <v>0</v>
      </c>
      <c r="E135" t="str">
        <f t="shared" si="6"/>
        <v>0,000</v>
      </c>
    </row>
    <row r="136" spans="1:5">
      <c r="A136">
        <v>189701</v>
      </c>
      <c r="B136" t="str">
        <f t="shared" si="7"/>
        <v/>
      </c>
      <c r="C136">
        <f t="shared" si="8"/>
        <v>1900</v>
      </c>
      <c r="D136">
        <f>IF(OR(C136=1900,$D$144=0),0,VLOOKUP(A136,'Estados Financieros'!$A$18:$I$458,9,0))</f>
        <v>0</v>
      </c>
      <c r="E136" t="str">
        <f t="shared" si="6"/>
        <v>0,000</v>
      </c>
    </row>
    <row r="137" spans="1:5">
      <c r="A137">
        <v>189901</v>
      </c>
      <c r="B137" t="str">
        <f t="shared" si="7"/>
        <v/>
      </c>
      <c r="C137">
        <f t="shared" si="8"/>
        <v>1900</v>
      </c>
      <c r="D137">
        <f>IF(OR(C137=1900,$D$144=0),0,VLOOKUP(A137,'Estados Financieros'!$A$18:$I$458,9,0))</f>
        <v>0</v>
      </c>
      <c r="E137" t="str">
        <f t="shared" si="6"/>
        <v>0,000</v>
      </c>
    </row>
    <row r="138" spans="1:5">
      <c r="A138">
        <v>1207</v>
      </c>
      <c r="B138" t="str">
        <f t="shared" si="7"/>
        <v/>
      </c>
      <c r="C138">
        <f t="shared" si="8"/>
        <v>1900</v>
      </c>
      <c r="D138">
        <f>IF(OR(C138=1900,$D$144=0),0,VLOOKUP(A138,'Estados Financieros'!$A$18:$I$458,9,0))</f>
        <v>0</v>
      </c>
      <c r="E138" t="str">
        <f t="shared" si="6"/>
        <v>0,000</v>
      </c>
    </row>
    <row r="139" spans="1:5">
      <c r="A139">
        <v>190501</v>
      </c>
      <c r="B139" t="str">
        <f t="shared" si="7"/>
        <v/>
      </c>
      <c r="C139">
        <f t="shared" si="8"/>
        <v>1900</v>
      </c>
      <c r="D139">
        <f>IF(OR(C139=1900,$D$144=0),0,VLOOKUP(A139,'Estados Financieros'!$A$18:$I$458,9,0))</f>
        <v>0</v>
      </c>
      <c r="E139" t="str">
        <f t="shared" si="6"/>
        <v>0,000</v>
      </c>
    </row>
    <row r="140" spans="1:5">
      <c r="A140">
        <v>191001</v>
      </c>
      <c r="B140" t="str">
        <f t="shared" si="7"/>
        <v/>
      </c>
      <c r="C140">
        <f t="shared" si="8"/>
        <v>1900</v>
      </c>
      <c r="D140">
        <f>IF(OR(C140=1900,$D$144=0),0,VLOOKUP(A140,'Estados Financieros'!$A$18:$I$458,9,0))</f>
        <v>0</v>
      </c>
      <c r="E140" t="str">
        <f t="shared" si="6"/>
        <v>0,000</v>
      </c>
    </row>
    <row r="141" spans="1:5">
      <c r="A141">
        <v>199501</v>
      </c>
      <c r="B141" t="str">
        <f t="shared" si="7"/>
        <v/>
      </c>
      <c r="C141">
        <f t="shared" si="8"/>
        <v>1900</v>
      </c>
      <c r="D141">
        <f>IF(OR(C141=1900,$D$144=0),0,VLOOKUP(A141,'Estados Financieros'!$A$18:$I$458,9,0))</f>
        <v>0</v>
      </c>
      <c r="E141" t="str">
        <f t="shared" si="6"/>
        <v>0,000</v>
      </c>
    </row>
    <row r="142" spans="1:5">
      <c r="A142">
        <v>1208</v>
      </c>
      <c r="B142" t="str">
        <f t="shared" si="7"/>
        <v/>
      </c>
      <c r="C142">
        <f t="shared" si="8"/>
        <v>1900</v>
      </c>
      <c r="D142">
        <f>IF(OR(C142=1900,$D$144=0),0,VLOOKUP(A142,'Estados Financieros'!$A$18:$I$458,9,0))</f>
        <v>0</v>
      </c>
      <c r="E142" t="str">
        <f t="shared" si="6"/>
        <v>0,000</v>
      </c>
    </row>
    <row r="143" spans="1:5">
      <c r="A143">
        <v>12</v>
      </c>
      <c r="B143" t="str">
        <f t="shared" si="7"/>
        <v/>
      </c>
      <c r="C143">
        <f t="shared" si="8"/>
        <v>1900</v>
      </c>
      <c r="D143">
        <f>IF(OR(C143=1900,$D$144=0),0,VLOOKUP(A143,'Estados Financieros'!$A$18:$I$458,9,0))</f>
        <v>0</v>
      </c>
      <c r="E143" t="str">
        <f t="shared" si="6"/>
        <v>0,000</v>
      </c>
    </row>
    <row r="144" spans="1:5">
      <c r="A144">
        <v>1</v>
      </c>
      <c r="B144" t="str">
        <f t="shared" si="7"/>
        <v/>
      </c>
      <c r="C144">
        <f t="shared" si="8"/>
        <v>1900</v>
      </c>
      <c r="D144">
        <f>IF(C144=1900,0,VLOOKUP(A144,'Estados Financieros'!$A$18:$I$458,9,0))</f>
        <v>0</v>
      </c>
      <c r="E144" t="str">
        <f t="shared" si="6"/>
        <v>0,000</v>
      </c>
    </row>
    <row r="145" spans="1:5">
      <c r="A145">
        <v>108100</v>
      </c>
      <c r="B145" t="str">
        <f t="shared" si="7"/>
        <v/>
      </c>
      <c r="C145">
        <f t="shared" si="8"/>
        <v>1900</v>
      </c>
      <c r="D145">
        <f>IF(OR(C145=1900,$D$144=0),0,VLOOKUP(A145,'Estados Financieros'!$A$18:$I$458,9,0))</f>
        <v>0</v>
      </c>
      <c r="E145" t="str">
        <f t="shared" si="6"/>
        <v>0,000</v>
      </c>
    </row>
    <row r="146" spans="1:5">
      <c r="A146">
        <v>108200</v>
      </c>
      <c r="B146" t="str">
        <f t="shared" si="7"/>
        <v/>
      </c>
      <c r="C146">
        <f t="shared" si="8"/>
        <v>1900</v>
      </c>
      <c r="D146">
        <f>IF(OR(C146=1900,$D$144=0),0,VLOOKUP(A146,'Estados Financieros'!$A$18:$I$458,9,0))</f>
        <v>0</v>
      </c>
      <c r="E146" t="str">
        <f t="shared" si="6"/>
        <v>0,000</v>
      </c>
    </row>
    <row r="147" spans="1:5">
      <c r="A147">
        <v>108300</v>
      </c>
      <c r="B147" t="str">
        <f t="shared" si="7"/>
        <v/>
      </c>
      <c r="C147">
        <f t="shared" si="8"/>
        <v>1900</v>
      </c>
      <c r="D147">
        <f>IF(OR(C147=1900,$D$144=0),0,VLOOKUP(A147,'Estados Financieros'!$A$18:$I$458,9,0))</f>
        <v>0</v>
      </c>
      <c r="E147" t="str">
        <f t="shared" si="6"/>
        <v>0,000</v>
      </c>
    </row>
    <row r="148" spans="1:5">
      <c r="A148">
        <v>108400</v>
      </c>
      <c r="B148" t="str">
        <f t="shared" si="7"/>
        <v/>
      </c>
      <c r="C148">
        <f t="shared" si="8"/>
        <v>1900</v>
      </c>
      <c r="D148">
        <f>IF(OR(C148=1900,$D$144=0),0,VLOOKUP(A148,'Estados Financieros'!$A$18:$I$458,9,0))</f>
        <v>0</v>
      </c>
      <c r="E148" t="str">
        <f t="shared" si="6"/>
        <v>0,000</v>
      </c>
    </row>
    <row r="149" spans="1:5">
      <c r="A149">
        <v>108000</v>
      </c>
      <c r="B149" t="str">
        <f t="shared" si="7"/>
        <v/>
      </c>
      <c r="C149">
        <f t="shared" si="8"/>
        <v>1900</v>
      </c>
      <c r="D149">
        <f>IF(OR(C149=1900,$D$144=0),0,VLOOKUP(A149,'Estados Financieros'!$A$18:$I$458,9,0))</f>
        <v>0</v>
      </c>
      <c r="E149" t="str">
        <f t="shared" si="6"/>
        <v>0,000</v>
      </c>
    </row>
    <row r="150" spans="1:5">
      <c r="A150">
        <v>210500</v>
      </c>
      <c r="B150" t="str">
        <f t="shared" si="7"/>
        <v/>
      </c>
      <c r="C150">
        <f t="shared" si="8"/>
        <v>1900</v>
      </c>
      <c r="D150">
        <f>IF(OR(C150=1900,$D$144=0),0,VLOOKUP(A150,'Estados Financieros'!$A$18:$I$458,9,0))</f>
        <v>0</v>
      </c>
      <c r="E150" t="str">
        <f t="shared" si="6"/>
        <v>0,000</v>
      </c>
    </row>
    <row r="151" spans="1:5">
      <c r="A151">
        <v>211500</v>
      </c>
      <c r="B151" t="str">
        <f t="shared" si="7"/>
        <v/>
      </c>
      <c r="C151">
        <f t="shared" si="8"/>
        <v>1900</v>
      </c>
      <c r="D151">
        <f>IF(OR(C151=1900,$D$144=0),0,VLOOKUP(A151,'Estados Financieros'!$A$18:$I$458,9,0))</f>
        <v>0</v>
      </c>
      <c r="E151" t="str">
        <f t="shared" si="6"/>
        <v>0,000</v>
      </c>
    </row>
    <row r="152" spans="1:5">
      <c r="A152">
        <v>219500</v>
      </c>
      <c r="B152" t="str">
        <f t="shared" si="7"/>
        <v/>
      </c>
      <c r="C152">
        <f t="shared" si="8"/>
        <v>1900</v>
      </c>
      <c r="D152">
        <f>IF(OR(C152=1900,$D$144=0),0,VLOOKUP(A152,'Estados Financieros'!$A$18:$I$458,9,0))</f>
        <v>0</v>
      </c>
      <c r="E152" t="str">
        <f t="shared" si="6"/>
        <v>0,000</v>
      </c>
    </row>
    <row r="153" spans="1:5">
      <c r="A153">
        <v>2101</v>
      </c>
      <c r="B153" t="str">
        <f t="shared" si="7"/>
        <v/>
      </c>
      <c r="C153">
        <f t="shared" si="8"/>
        <v>1900</v>
      </c>
      <c r="D153">
        <f>IF(OR(C153=1900,$D$144=0),0,VLOOKUP(A153,'Estados Financieros'!$A$18:$I$458,9,0))</f>
        <v>0</v>
      </c>
      <c r="E153" t="str">
        <f t="shared" si="6"/>
        <v>0,000</v>
      </c>
    </row>
    <row r="154" spans="1:5">
      <c r="A154">
        <v>220500</v>
      </c>
      <c r="B154" t="str">
        <f t="shared" si="7"/>
        <v/>
      </c>
      <c r="C154">
        <f t="shared" si="8"/>
        <v>1900</v>
      </c>
      <c r="D154">
        <f>IF(OR(C154=1900,$D$144=0),0,VLOOKUP(A154,'Estados Financieros'!$A$18:$I$458,9,0))</f>
        <v>0</v>
      </c>
      <c r="E154" t="str">
        <f t="shared" si="6"/>
        <v>0,000</v>
      </c>
    </row>
    <row r="155" spans="1:5">
      <c r="A155">
        <v>221000</v>
      </c>
      <c r="B155" t="str">
        <f t="shared" si="7"/>
        <v/>
      </c>
      <c r="C155">
        <f t="shared" si="8"/>
        <v>1900</v>
      </c>
      <c r="D155">
        <f>IF(OR(C155=1900,$D$144=0),0,VLOOKUP(A155,'Estados Financieros'!$A$18:$I$458,9,0))</f>
        <v>0</v>
      </c>
      <c r="E155" t="str">
        <f t="shared" si="6"/>
        <v>0,000</v>
      </c>
    </row>
    <row r="156" spans="1:5">
      <c r="A156">
        <v>221500</v>
      </c>
      <c r="B156" t="str">
        <f t="shared" si="7"/>
        <v/>
      </c>
      <c r="C156">
        <f t="shared" si="8"/>
        <v>1900</v>
      </c>
      <c r="D156">
        <f>IF(OR(C156=1900,$D$144=0),0,VLOOKUP(A156,'Estados Financieros'!$A$18:$I$458,9,0))</f>
        <v>0</v>
      </c>
      <c r="E156" t="str">
        <f t="shared" si="6"/>
        <v>0,000</v>
      </c>
    </row>
    <row r="157" spans="1:5">
      <c r="A157">
        <v>2102</v>
      </c>
      <c r="B157" t="str">
        <f t="shared" si="7"/>
        <v/>
      </c>
      <c r="C157">
        <f t="shared" si="8"/>
        <v>1900</v>
      </c>
      <c r="D157">
        <f>IF(OR(C157=1900,$D$144=0),0,VLOOKUP(A157,'Estados Financieros'!$A$18:$I$458,9,0))</f>
        <v>0</v>
      </c>
      <c r="E157" t="str">
        <f t="shared" si="6"/>
        <v>0,000</v>
      </c>
    </row>
    <row r="158" spans="1:5">
      <c r="A158">
        <v>230500</v>
      </c>
      <c r="B158" t="str">
        <f t="shared" si="7"/>
        <v/>
      </c>
      <c r="C158">
        <f t="shared" si="8"/>
        <v>1900</v>
      </c>
      <c r="D158">
        <f>IF(OR(C158=1900,$D$144=0),0,VLOOKUP(A158,'Estados Financieros'!$A$18:$I$458,9,0))</f>
        <v>0</v>
      </c>
      <c r="E158" t="str">
        <f t="shared" si="6"/>
        <v>0,000</v>
      </c>
    </row>
    <row r="159" spans="1:5">
      <c r="A159">
        <v>231000</v>
      </c>
      <c r="B159" t="str">
        <f t="shared" si="7"/>
        <v/>
      </c>
      <c r="C159">
        <f t="shared" si="8"/>
        <v>1900</v>
      </c>
      <c r="D159">
        <f>IF(OR(C159=1900,$D$144=0),0,VLOOKUP(A159,'Estados Financieros'!$A$18:$I$458,9,0))</f>
        <v>0</v>
      </c>
      <c r="E159" t="str">
        <f t="shared" si="6"/>
        <v>0,000</v>
      </c>
    </row>
    <row r="160" spans="1:5">
      <c r="A160">
        <v>231500</v>
      </c>
      <c r="B160" t="str">
        <f t="shared" si="7"/>
        <v/>
      </c>
      <c r="C160">
        <f t="shared" si="8"/>
        <v>1900</v>
      </c>
      <c r="D160">
        <f>IF(OR(C160=1900,$D$144=0),0,VLOOKUP(A160,'Estados Financieros'!$A$18:$I$458,9,0))</f>
        <v>0</v>
      </c>
      <c r="E160" t="str">
        <f t="shared" si="6"/>
        <v>0,000</v>
      </c>
    </row>
    <row r="161" spans="1:5">
      <c r="A161">
        <v>232000</v>
      </c>
      <c r="B161" t="str">
        <f t="shared" si="7"/>
        <v/>
      </c>
      <c r="C161">
        <f t="shared" si="8"/>
        <v>1900</v>
      </c>
      <c r="D161">
        <f>IF(OR(C161=1900,$D$144=0),0,VLOOKUP(A161,'Estados Financieros'!$A$18:$I$458,9,0))</f>
        <v>0</v>
      </c>
      <c r="E161" t="str">
        <f t="shared" si="6"/>
        <v>0,000</v>
      </c>
    </row>
    <row r="162" spans="1:5">
      <c r="A162">
        <v>233500</v>
      </c>
      <c r="B162" t="str">
        <f t="shared" si="7"/>
        <v/>
      </c>
      <c r="C162">
        <f t="shared" si="8"/>
        <v>1900</v>
      </c>
      <c r="D162">
        <f>IF(OR(C162=1900,$D$144=0),0,VLOOKUP(A162,'Estados Financieros'!$A$18:$I$458,9,0))</f>
        <v>0</v>
      </c>
      <c r="E162" t="str">
        <f t="shared" si="6"/>
        <v>0,000</v>
      </c>
    </row>
    <row r="163" spans="1:5">
      <c r="A163">
        <v>234500</v>
      </c>
      <c r="B163" t="str">
        <f t="shared" si="7"/>
        <v/>
      </c>
      <c r="C163">
        <f t="shared" si="8"/>
        <v>1900</v>
      </c>
      <c r="D163">
        <f>IF(OR(C163=1900,$D$144=0),0,VLOOKUP(A163,'Estados Financieros'!$A$18:$I$458,9,0))</f>
        <v>0</v>
      </c>
      <c r="E163" t="str">
        <f t="shared" si="6"/>
        <v>0,000</v>
      </c>
    </row>
    <row r="164" spans="1:5">
      <c r="A164">
        <v>235000</v>
      </c>
      <c r="B164" t="str">
        <f t="shared" si="7"/>
        <v/>
      </c>
      <c r="C164">
        <f t="shared" si="8"/>
        <v>1900</v>
      </c>
      <c r="D164">
        <f>IF(OR(C164=1900,$D$144=0),0,VLOOKUP(A164,'Estados Financieros'!$A$18:$I$458,9,0))</f>
        <v>0</v>
      </c>
      <c r="E164" t="str">
        <f t="shared" si="6"/>
        <v>0,000</v>
      </c>
    </row>
    <row r="165" spans="1:5">
      <c r="A165">
        <v>235500</v>
      </c>
      <c r="B165" t="str">
        <f t="shared" si="7"/>
        <v/>
      </c>
      <c r="C165">
        <f t="shared" si="8"/>
        <v>1900</v>
      </c>
      <c r="D165">
        <f>IF(OR(C165=1900,$D$144=0),0,VLOOKUP(A165,'Estados Financieros'!$A$18:$I$458,9,0))</f>
        <v>0</v>
      </c>
      <c r="E165" t="str">
        <f t="shared" si="6"/>
        <v>0,000</v>
      </c>
    </row>
    <row r="166" spans="1:5">
      <c r="A166">
        <v>236000</v>
      </c>
      <c r="B166" t="str">
        <f t="shared" si="7"/>
        <v/>
      </c>
      <c r="C166">
        <f t="shared" si="8"/>
        <v>1900</v>
      </c>
      <c r="D166">
        <f>IF(OR(C166=1900,$D$144=0),0,VLOOKUP(A166,'Estados Financieros'!$A$18:$I$458,9,0))</f>
        <v>0</v>
      </c>
      <c r="E166" t="str">
        <f t="shared" si="6"/>
        <v>0,000</v>
      </c>
    </row>
    <row r="167" spans="1:5">
      <c r="A167">
        <v>236500</v>
      </c>
      <c r="B167" t="str">
        <f t="shared" si="7"/>
        <v/>
      </c>
      <c r="C167">
        <f t="shared" si="8"/>
        <v>1900</v>
      </c>
      <c r="D167">
        <f>IF(OR(C167=1900,$D$144=0),0,VLOOKUP(A167,'Estados Financieros'!$A$18:$I$458,9,0))</f>
        <v>0</v>
      </c>
      <c r="E167" t="str">
        <f t="shared" si="6"/>
        <v>0,000</v>
      </c>
    </row>
    <row r="168" spans="1:5">
      <c r="A168">
        <v>236700</v>
      </c>
      <c r="B168" t="str">
        <f t="shared" si="7"/>
        <v/>
      </c>
      <c r="C168">
        <f t="shared" si="8"/>
        <v>1900</v>
      </c>
      <c r="D168">
        <f>IF(OR(C168=1900,$D$144=0),0,VLOOKUP(A168,'Estados Financieros'!$A$18:$I$458,9,0))</f>
        <v>0</v>
      </c>
      <c r="E168" t="str">
        <f t="shared" si="6"/>
        <v>0,000</v>
      </c>
    </row>
    <row r="169" spans="1:5">
      <c r="A169">
        <v>236800</v>
      </c>
      <c r="B169" t="str">
        <f t="shared" si="7"/>
        <v/>
      </c>
      <c r="C169">
        <f t="shared" si="8"/>
        <v>1900</v>
      </c>
      <c r="D169">
        <f>IF(OR(C169=1900,$D$144=0),0,VLOOKUP(A169,'Estados Financieros'!$A$18:$I$458,9,0))</f>
        <v>0</v>
      </c>
      <c r="E169" t="str">
        <f t="shared" si="6"/>
        <v>0,000</v>
      </c>
    </row>
    <row r="170" spans="1:5">
      <c r="A170">
        <v>237000</v>
      </c>
      <c r="B170" t="str">
        <f t="shared" si="7"/>
        <v/>
      </c>
      <c r="C170">
        <f t="shared" si="8"/>
        <v>1900</v>
      </c>
      <c r="D170">
        <f>IF(OR(C170=1900,$D$144=0),0,VLOOKUP(A170,'Estados Financieros'!$A$18:$I$458,9,0))</f>
        <v>0</v>
      </c>
      <c r="E170" t="str">
        <f t="shared" si="6"/>
        <v>0,000</v>
      </c>
    </row>
    <row r="171" spans="1:5">
      <c r="A171">
        <v>238000</v>
      </c>
      <c r="B171" t="str">
        <f t="shared" si="7"/>
        <v/>
      </c>
      <c r="C171">
        <f t="shared" si="8"/>
        <v>1900</v>
      </c>
      <c r="D171">
        <f>IF(OR(C171=1900,$D$144=0),0,VLOOKUP(A171,'Estados Financieros'!$A$18:$I$458,9,0))</f>
        <v>0</v>
      </c>
      <c r="E171" t="str">
        <f t="shared" si="6"/>
        <v>0,000</v>
      </c>
    </row>
    <row r="172" spans="1:5">
      <c r="A172">
        <v>2103</v>
      </c>
      <c r="B172" t="str">
        <f t="shared" si="7"/>
        <v/>
      </c>
      <c r="C172">
        <f t="shared" si="8"/>
        <v>1900</v>
      </c>
      <c r="D172">
        <f>IF(OR(C172=1900,$D$144=0),0,VLOOKUP(A172,'Estados Financieros'!$A$18:$I$458,9,0))</f>
        <v>0</v>
      </c>
      <c r="E172" t="str">
        <f t="shared" si="6"/>
        <v>0,000</v>
      </c>
    </row>
    <row r="173" spans="1:5">
      <c r="A173">
        <v>240400</v>
      </c>
      <c r="B173" t="str">
        <f t="shared" si="7"/>
        <v/>
      </c>
      <c r="C173">
        <f t="shared" si="8"/>
        <v>1900</v>
      </c>
      <c r="D173">
        <f>IF(OR(C173=1900,$D$144=0),0,VLOOKUP(A173,'Estados Financieros'!$A$18:$I$458,9,0))</f>
        <v>0</v>
      </c>
      <c r="E173" t="str">
        <f t="shared" si="6"/>
        <v>0,000</v>
      </c>
    </row>
    <row r="174" spans="1:5">
      <c r="A174">
        <v>240800</v>
      </c>
      <c r="B174" t="str">
        <f t="shared" si="7"/>
        <v/>
      </c>
      <c r="C174">
        <f t="shared" si="8"/>
        <v>1900</v>
      </c>
      <c r="D174">
        <f>IF(OR(C174=1900,$D$144=0),0,VLOOKUP(A174,'Estados Financieros'!$A$18:$I$458,9,0))</f>
        <v>0</v>
      </c>
      <c r="E174" t="str">
        <f t="shared" si="6"/>
        <v>0,000</v>
      </c>
    </row>
    <row r="175" spans="1:5">
      <c r="A175">
        <v>241200</v>
      </c>
      <c r="B175" t="str">
        <f t="shared" si="7"/>
        <v/>
      </c>
      <c r="C175">
        <f t="shared" si="8"/>
        <v>1900</v>
      </c>
      <c r="D175">
        <f>IF(OR(C175=1900,$D$144=0),0,VLOOKUP(A175,'Estados Financieros'!$A$18:$I$458,9,0))</f>
        <v>0</v>
      </c>
      <c r="E175" t="str">
        <f t="shared" si="6"/>
        <v>0,000</v>
      </c>
    </row>
    <row r="176" spans="1:5">
      <c r="A176">
        <v>249500</v>
      </c>
      <c r="B176" t="str">
        <f t="shared" si="7"/>
        <v/>
      </c>
      <c r="C176">
        <f t="shared" si="8"/>
        <v>1900</v>
      </c>
      <c r="D176">
        <f>IF(OR(C176=1900,$D$144=0),0,VLOOKUP(A176,'Estados Financieros'!$A$18:$I$458,9,0))</f>
        <v>0</v>
      </c>
      <c r="E176" t="str">
        <f t="shared" si="6"/>
        <v>0,000</v>
      </c>
    </row>
    <row r="177" spans="1:5">
      <c r="A177">
        <v>2105</v>
      </c>
      <c r="B177" t="str">
        <f t="shared" si="7"/>
        <v/>
      </c>
      <c r="C177">
        <f t="shared" si="8"/>
        <v>1900</v>
      </c>
      <c r="D177">
        <f>IF(OR(C177=1900,$D$144=0),0,VLOOKUP(A177,'Estados Financieros'!$A$18:$I$458,9,0))</f>
        <v>0</v>
      </c>
      <c r="E177" t="str">
        <f t="shared" si="6"/>
        <v>0,000</v>
      </c>
    </row>
    <row r="178" spans="1:5">
      <c r="A178">
        <v>250500</v>
      </c>
      <c r="B178" t="str">
        <f t="shared" si="7"/>
        <v/>
      </c>
      <c r="C178">
        <f t="shared" si="8"/>
        <v>1900</v>
      </c>
      <c r="D178">
        <f>IF(OR(C178=1900,$D$144=0),0,VLOOKUP(A178,'Estados Financieros'!$A$18:$I$458,9,0))</f>
        <v>0</v>
      </c>
      <c r="E178" t="str">
        <f t="shared" si="6"/>
        <v>0,000</v>
      </c>
    </row>
    <row r="179" spans="1:5">
      <c r="A179">
        <v>251000</v>
      </c>
      <c r="B179" t="str">
        <f t="shared" si="7"/>
        <v/>
      </c>
      <c r="C179">
        <f t="shared" si="8"/>
        <v>1900</v>
      </c>
      <c r="D179">
        <f>IF(OR(C179=1900,$D$144=0),0,VLOOKUP(A179,'Estados Financieros'!$A$18:$I$458,9,0))</f>
        <v>0</v>
      </c>
      <c r="E179" t="str">
        <f t="shared" si="6"/>
        <v>0,000</v>
      </c>
    </row>
    <row r="180" spans="1:5">
      <c r="A180">
        <v>251500</v>
      </c>
      <c r="B180" t="str">
        <f t="shared" si="7"/>
        <v/>
      </c>
      <c r="C180">
        <f t="shared" si="8"/>
        <v>1900</v>
      </c>
      <c r="D180">
        <f>IF(OR(C180=1900,$D$144=0),0,VLOOKUP(A180,'Estados Financieros'!$A$18:$I$458,9,0))</f>
        <v>0</v>
      </c>
      <c r="E180" t="str">
        <f t="shared" si="6"/>
        <v>0,000</v>
      </c>
    </row>
    <row r="181" spans="1:5">
      <c r="A181">
        <v>252500</v>
      </c>
      <c r="B181" t="str">
        <f t="shared" si="7"/>
        <v/>
      </c>
      <c r="C181">
        <f t="shared" si="8"/>
        <v>1900</v>
      </c>
      <c r="D181">
        <f>IF(OR(C181=1900,$D$144=0),0,VLOOKUP(A181,'Estados Financieros'!$A$18:$I$458,9,0))</f>
        <v>0</v>
      </c>
      <c r="E181" t="str">
        <f t="shared" si="6"/>
        <v>0,000</v>
      </c>
    </row>
    <row r="182" spans="1:5">
      <c r="A182">
        <v>253000</v>
      </c>
      <c r="B182" t="str">
        <f t="shared" si="7"/>
        <v/>
      </c>
      <c r="C182">
        <f t="shared" si="8"/>
        <v>1900</v>
      </c>
      <c r="D182">
        <f>IF(OR(C182=1900,$D$144=0),0,VLOOKUP(A182,'Estados Financieros'!$A$18:$I$458,9,0))</f>
        <v>0</v>
      </c>
      <c r="E182" t="str">
        <f t="shared" si="6"/>
        <v>0,000</v>
      </c>
    </row>
    <row r="183" spans="1:5">
      <c r="A183">
        <v>259500</v>
      </c>
      <c r="B183" t="str">
        <f t="shared" si="7"/>
        <v/>
      </c>
      <c r="C183">
        <f t="shared" si="8"/>
        <v>1900</v>
      </c>
      <c r="D183">
        <f>IF(OR(C183=1900,$D$144=0),0,VLOOKUP(A183,'Estados Financieros'!$A$18:$I$458,9,0))</f>
        <v>0</v>
      </c>
      <c r="E183" t="str">
        <f t="shared" si="6"/>
        <v>0,000</v>
      </c>
    </row>
    <row r="184" spans="1:5">
      <c r="A184">
        <v>2104</v>
      </c>
      <c r="B184" t="str">
        <f t="shared" si="7"/>
        <v/>
      </c>
      <c r="C184">
        <f t="shared" si="8"/>
        <v>1900</v>
      </c>
      <c r="D184">
        <f>IF(OR(C184=1900,$D$144=0),0,VLOOKUP(A184,'Estados Financieros'!$A$18:$I$458,9,0))</f>
        <v>0</v>
      </c>
      <c r="E184" t="str">
        <f t="shared" si="6"/>
        <v>0,000</v>
      </c>
    </row>
    <row r="185" spans="1:5">
      <c r="A185">
        <v>260500</v>
      </c>
      <c r="B185" t="str">
        <f t="shared" si="7"/>
        <v/>
      </c>
      <c r="C185">
        <f t="shared" si="8"/>
        <v>1900</v>
      </c>
      <c r="D185">
        <f>IF(OR(C185=1900,$D$144=0),0,VLOOKUP(A185,'Estados Financieros'!$A$18:$I$458,9,0))</f>
        <v>0</v>
      </c>
      <c r="E185" t="str">
        <f t="shared" si="6"/>
        <v>0,000</v>
      </c>
    </row>
    <row r="186" spans="1:5">
      <c r="A186">
        <v>261000</v>
      </c>
      <c r="B186" t="str">
        <f t="shared" si="7"/>
        <v/>
      </c>
      <c r="C186">
        <f t="shared" si="8"/>
        <v>1900</v>
      </c>
      <c r="D186">
        <f>IF(OR(C186=1900,$D$144=0),0,VLOOKUP(A186,'Estados Financieros'!$A$18:$I$458,9,0))</f>
        <v>0</v>
      </c>
      <c r="E186" t="str">
        <f t="shared" si="6"/>
        <v>0,000</v>
      </c>
    </row>
    <row r="187" spans="1:5">
      <c r="A187">
        <v>261500</v>
      </c>
      <c r="B187" t="str">
        <f t="shared" si="7"/>
        <v/>
      </c>
      <c r="C187">
        <f t="shared" si="8"/>
        <v>1900</v>
      </c>
      <c r="D187">
        <f>IF(OR(C187=1900,$D$144=0),0,VLOOKUP(A187,'Estados Financieros'!$A$18:$I$458,9,0))</f>
        <v>0</v>
      </c>
      <c r="E187" t="str">
        <f t="shared" si="6"/>
        <v>0,000</v>
      </c>
    </row>
    <row r="188" spans="1:5">
      <c r="A188">
        <v>262000</v>
      </c>
      <c r="B188" t="str">
        <f t="shared" si="7"/>
        <v/>
      </c>
      <c r="C188">
        <f t="shared" si="8"/>
        <v>1900</v>
      </c>
      <c r="D188">
        <f>IF(OR(C188=1900,$D$144=0),0,VLOOKUP(A188,'Estados Financieros'!$A$18:$I$458,9,0))</f>
        <v>0</v>
      </c>
      <c r="E188" t="str">
        <f t="shared" si="6"/>
        <v>0,000</v>
      </c>
    </row>
    <row r="189" spans="1:5">
      <c r="A189">
        <v>262500</v>
      </c>
      <c r="B189" t="str">
        <f t="shared" si="7"/>
        <v/>
      </c>
      <c r="C189">
        <f t="shared" si="8"/>
        <v>1900</v>
      </c>
      <c r="D189">
        <f>IF(OR(C189=1900,$D$144=0),0,VLOOKUP(A189,'Estados Financieros'!$A$18:$I$458,9,0))</f>
        <v>0</v>
      </c>
      <c r="E189" t="str">
        <f t="shared" si="6"/>
        <v>0,000</v>
      </c>
    </row>
    <row r="190" spans="1:5">
      <c r="A190">
        <v>263000</v>
      </c>
      <c r="B190" t="str">
        <f t="shared" si="7"/>
        <v/>
      </c>
      <c r="C190">
        <f t="shared" si="8"/>
        <v>1900</v>
      </c>
      <c r="D190">
        <f>IF(OR(C190=1900,$D$144=0),0,VLOOKUP(A190,'Estados Financieros'!$A$18:$I$458,9,0))</f>
        <v>0</v>
      </c>
      <c r="E190" t="str">
        <f t="shared" si="6"/>
        <v>0,000</v>
      </c>
    </row>
    <row r="191" spans="1:5">
      <c r="A191">
        <v>263500</v>
      </c>
      <c r="B191" t="str">
        <f t="shared" si="7"/>
        <v/>
      </c>
      <c r="C191">
        <f t="shared" si="8"/>
        <v>1900</v>
      </c>
      <c r="D191">
        <f>IF(OR(C191=1900,$D$144=0),0,VLOOKUP(A191,'Estados Financieros'!$A$18:$I$458,9,0))</f>
        <v>0</v>
      </c>
      <c r="E191" t="str">
        <f t="shared" si="6"/>
        <v>0,000</v>
      </c>
    </row>
    <row r="192" spans="1:5">
      <c r="A192">
        <v>264000</v>
      </c>
      <c r="B192" t="str">
        <f t="shared" si="7"/>
        <v/>
      </c>
      <c r="C192">
        <f t="shared" si="8"/>
        <v>1900</v>
      </c>
      <c r="D192">
        <f>IF(OR(C192=1900,$D$144=0),0,VLOOKUP(A192,'Estados Financieros'!$A$18:$I$458,9,0))</f>
        <v>0</v>
      </c>
      <c r="E192" t="str">
        <f t="shared" si="6"/>
        <v>0,000</v>
      </c>
    </row>
    <row r="193" spans="1:5">
      <c r="A193">
        <v>269500</v>
      </c>
      <c r="B193" t="str">
        <f t="shared" si="7"/>
        <v/>
      </c>
      <c r="C193">
        <f t="shared" si="8"/>
        <v>1900</v>
      </c>
      <c r="D193">
        <f>IF(OR(C193=1900,$D$144=0),0,VLOOKUP(A193,'Estados Financieros'!$A$18:$I$458,9,0))</f>
        <v>0</v>
      </c>
      <c r="E193" t="str">
        <f t="shared" si="6"/>
        <v>0,000</v>
      </c>
    </row>
    <row r="194" spans="1:5">
      <c r="A194">
        <v>2106</v>
      </c>
      <c r="B194" t="str">
        <f t="shared" si="7"/>
        <v/>
      </c>
      <c r="C194">
        <f t="shared" si="8"/>
        <v>1900</v>
      </c>
      <c r="D194">
        <f>IF(OR(C194=1900,$D$144=0),0,VLOOKUP(A194,'Estados Financieros'!$A$18:$I$458,9,0))</f>
        <v>0</v>
      </c>
      <c r="E194" t="str">
        <f t="shared" ref="E194:E257" si="9">IFERROR(FIXED(D194,3,1),0)</f>
        <v>0,000</v>
      </c>
    </row>
    <row r="195" spans="1:5">
      <c r="A195">
        <v>270500</v>
      </c>
      <c r="B195" t="str">
        <f t="shared" ref="B195:B258" si="10">+B194</f>
        <v/>
      </c>
      <c r="C195">
        <f t="shared" ref="C195:C258" si="11">C194</f>
        <v>1900</v>
      </c>
      <c r="D195">
        <f>IF(OR(C195=1900,$D$144=0),0,VLOOKUP(A195,'Estados Financieros'!$A$18:$I$458,9,0))</f>
        <v>0</v>
      </c>
      <c r="E195" t="str">
        <f t="shared" si="9"/>
        <v>0,000</v>
      </c>
    </row>
    <row r="196" spans="1:5">
      <c r="A196">
        <v>271000</v>
      </c>
      <c r="B196" t="str">
        <f t="shared" si="10"/>
        <v/>
      </c>
      <c r="C196">
        <f t="shared" si="11"/>
        <v>1900</v>
      </c>
      <c r="D196">
        <f>IF(OR(C196=1900,$D$144=0),0,VLOOKUP(A196,'Estados Financieros'!$A$18:$I$458,9,0))</f>
        <v>0</v>
      </c>
      <c r="E196" t="str">
        <f t="shared" si="9"/>
        <v>0,000</v>
      </c>
    </row>
    <row r="197" spans="1:5">
      <c r="A197">
        <v>272500</v>
      </c>
      <c r="B197" t="str">
        <f t="shared" si="10"/>
        <v/>
      </c>
      <c r="C197">
        <f t="shared" si="11"/>
        <v>1900</v>
      </c>
      <c r="D197">
        <f>IF(OR(C197=1900,$D$144=0),0,VLOOKUP(A197,'Estados Financieros'!$A$18:$I$458,9,0))</f>
        <v>0</v>
      </c>
      <c r="E197" t="str">
        <f t="shared" si="9"/>
        <v>0,000</v>
      </c>
    </row>
    <row r="198" spans="1:5">
      <c r="A198">
        <v>279500</v>
      </c>
      <c r="B198" t="str">
        <f t="shared" si="10"/>
        <v/>
      </c>
      <c r="C198">
        <f t="shared" si="11"/>
        <v>1900</v>
      </c>
      <c r="D198">
        <f>IF(OR(C198=1900,$D$144=0),0,VLOOKUP(A198,'Estados Financieros'!$A$18:$I$458,9,0))</f>
        <v>0</v>
      </c>
      <c r="E198" t="str">
        <f t="shared" si="9"/>
        <v>0,000</v>
      </c>
    </row>
    <row r="199" spans="1:5">
      <c r="A199">
        <v>2107</v>
      </c>
      <c r="B199" t="str">
        <f t="shared" si="10"/>
        <v/>
      </c>
      <c r="C199">
        <f t="shared" si="11"/>
        <v>1900</v>
      </c>
      <c r="D199">
        <f>IF(OR(C199=1900,$D$144=0),0,VLOOKUP(A199,'Estados Financieros'!$A$18:$I$458,9,0))</f>
        <v>0</v>
      </c>
      <c r="E199" t="str">
        <f t="shared" si="9"/>
        <v>0,000</v>
      </c>
    </row>
    <row r="200" spans="1:5">
      <c r="A200">
        <v>281000</v>
      </c>
      <c r="B200" t="str">
        <f t="shared" si="10"/>
        <v/>
      </c>
      <c r="C200">
        <f t="shared" si="11"/>
        <v>1900</v>
      </c>
      <c r="D200">
        <f>IF(OR(C200=1900,$D$144=0),0,VLOOKUP(A200,'Estados Financieros'!$A$18:$I$458,9,0))</f>
        <v>0</v>
      </c>
      <c r="E200" t="str">
        <f t="shared" si="9"/>
        <v>0,000</v>
      </c>
    </row>
    <row r="201" spans="1:5">
      <c r="A201">
        <v>282000</v>
      </c>
      <c r="B201" t="str">
        <f t="shared" si="10"/>
        <v/>
      </c>
      <c r="C201">
        <f t="shared" si="11"/>
        <v>1900</v>
      </c>
      <c r="D201">
        <f>IF(OR(C201=1900,$D$144=0),0,VLOOKUP(A201,'Estados Financieros'!$A$18:$I$458,9,0))</f>
        <v>0</v>
      </c>
      <c r="E201" t="str">
        <f t="shared" si="9"/>
        <v>0,000</v>
      </c>
    </row>
    <row r="202" spans="1:5">
      <c r="A202">
        <v>282500</v>
      </c>
      <c r="B202" t="str">
        <f t="shared" si="10"/>
        <v/>
      </c>
      <c r="C202">
        <f t="shared" si="11"/>
        <v>1900</v>
      </c>
      <c r="D202">
        <f>IF(OR(C202=1900,$D$144=0),0,VLOOKUP(A202,'Estados Financieros'!$A$18:$I$458,9,0))</f>
        <v>0</v>
      </c>
      <c r="E202" t="str">
        <f t="shared" si="9"/>
        <v>0,000</v>
      </c>
    </row>
    <row r="203" spans="1:5">
      <c r="A203">
        <v>284000</v>
      </c>
      <c r="B203" t="str">
        <f t="shared" si="10"/>
        <v/>
      </c>
      <c r="C203">
        <f t="shared" si="11"/>
        <v>1900</v>
      </c>
      <c r="D203">
        <f>IF(OR(C203=1900,$D$144=0),0,VLOOKUP(A203,'Estados Financieros'!$A$18:$I$458,9,0))</f>
        <v>0</v>
      </c>
      <c r="E203" t="str">
        <f t="shared" si="9"/>
        <v>0,000</v>
      </c>
    </row>
    <row r="204" spans="1:5">
      <c r="A204">
        <v>289500</v>
      </c>
      <c r="B204" t="str">
        <f t="shared" si="10"/>
        <v/>
      </c>
      <c r="C204">
        <f t="shared" si="11"/>
        <v>1900</v>
      </c>
      <c r="D204">
        <f>IF(OR(C204=1900,$D$144=0),0,VLOOKUP(A204,'Estados Financieros'!$A$18:$I$458,9,0))</f>
        <v>0</v>
      </c>
      <c r="E204" t="str">
        <f t="shared" si="9"/>
        <v>0,000</v>
      </c>
    </row>
    <row r="205" spans="1:5">
      <c r="A205">
        <v>2109</v>
      </c>
      <c r="B205" t="str">
        <f t="shared" si="10"/>
        <v/>
      </c>
      <c r="C205">
        <f t="shared" si="11"/>
        <v>1900</v>
      </c>
      <c r="D205">
        <f>IF(OR(C205=1900,$D$144=0),0,VLOOKUP(A205,'Estados Financieros'!$A$18:$I$458,9,0))</f>
        <v>0</v>
      </c>
      <c r="E205" t="str">
        <f t="shared" si="9"/>
        <v>0,000</v>
      </c>
    </row>
    <row r="206" spans="1:5">
      <c r="A206">
        <v>21</v>
      </c>
      <c r="B206" t="str">
        <f t="shared" si="10"/>
        <v/>
      </c>
      <c r="C206">
        <f t="shared" si="11"/>
        <v>1900</v>
      </c>
      <c r="D206">
        <f>IF(OR(C206=1900,$D$144=0),0,VLOOKUP(A206,'Estados Financieros'!$A$18:$I$458,9,0))</f>
        <v>0</v>
      </c>
      <c r="E206" t="str">
        <f t="shared" si="9"/>
        <v>0,000</v>
      </c>
    </row>
    <row r="207" spans="1:5">
      <c r="A207">
        <v>210501</v>
      </c>
      <c r="B207" t="str">
        <f t="shared" si="10"/>
        <v/>
      </c>
      <c r="C207">
        <f t="shared" si="11"/>
        <v>1900</v>
      </c>
      <c r="D207">
        <f>IF(OR(C207=1900,$D$144=0),0,VLOOKUP(A207,'Estados Financieros'!$A$18:$I$458,9,0))</f>
        <v>0</v>
      </c>
      <c r="E207" t="str">
        <f t="shared" si="9"/>
        <v>0,000</v>
      </c>
    </row>
    <row r="208" spans="1:5">
      <c r="A208">
        <v>211001</v>
      </c>
      <c r="B208" t="str">
        <f t="shared" si="10"/>
        <v/>
      </c>
      <c r="C208">
        <f t="shared" si="11"/>
        <v>1900</v>
      </c>
      <c r="D208">
        <f>IF(OR(C208=1900,$D$144=0),0,VLOOKUP(A208,'Estados Financieros'!$A$18:$I$458,9,0))</f>
        <v>0</v>
      </c>
      <c r="E208" t="str">
        <f t="shared" si="9"/>
        <v>0,000</v>
      </c>
    </row>
    <row r="209" spans="1:5">
      <c r="A209">
        <v>2201</v>
      </c>
      <c r="B209" t="str">
        <f t="shared" si="10"/>
        <v/>
      </c>
      <c r="C209">
        <f t="shared" si="11"/>
        <v>1900</v>
      </c>
      <c r="D209">
        <f>IF(OR(C209=1900,$D$144=0),0,VLOOKUP(A209,'Estados Financieros'!$A$18:$I$458,9,0))</f>
        <v>0</v>
      </c>
      <c r="E209" t="str">
        <f t="shared" si="9"/>
        <v>0,000</v>
      </c>
    </row>
    <row r="210" spans="1:5">
      <c r="A210">
        <v>220501</v>
      </c>
      <c r="B210" t="str">
        <f t="shared" si="10"/>
        <v/>
      </c>
      <c r="C210">
        <f t="shared" si="11"/>
        <v>1900</v>
      </c>
      <c r="D210">
        <f>IF(OR(C210=1900,$D$144=0),0,VLOOKUP(A210,'Estados Financieros'!$A$18:$I$458,9,0))</f>
        <v>0</v>
      </c>
      <c r="E210" t="str">
        <f t="shared" si="9"/>
        <v>0,000</v>
      </c>
    </row>
    <row r="211" spans="1:5">
      <c r="A211">
        <v>221001</v>
      </c>
      <c r="B211" t="str">
        <f t="shared" si="10"/>
        <v/>
      </c>
      <c r="C211">
        <f t="shared" si="11"/>
        <v>1900</v>
      </c>
      <c r="D211">
        <f>IF(OR(C211=1900,$D$144=0),0,VLOOKUP(A211,'Estados Financieros'!$A$18:$I$458,9,0))</f>
        <v>0</v>
      </c>
      <c r="E211" t="str">
        <f t="shared" si="9"/>
        <v>0,000</v>
      </c>
    </row>
    <row r="212" spans="1:5">
      <c r="A212">
        <v>230501</v>
      </c>
      <c r="B212" t="str">
        <f t="shared" si="10"/>
        <v/>
      </c>
      <c r="C212">
        <f t="shared" si="11"/>
        <v>1900</v>
      </c>
      <c r="D212">
        <f>IF(OR(C212=1900,$D$144=0),0,VLOOKUP(A212,'Estados Financieros'!$A$18:$I$458,9,0))</f>
        <v>0</v>
      </c>
      <c r="E212" t="str">
        <f t="shared" si="9"/>
        <v>0,000</v>
      </c>
    </row>
    <row r="213" spans="1:5">
      <c r="A213">
        <v>231001</v>
      </c>
      <c r="B213" t="str">
        <f t="shared" si="10"/>
        <v/>
      </c>
      <c r="C213">
        <f t="shared" si="11"/>
        <v>1900</v>
      </c>
      <c r="D213">
        <f>IF(OR(C213=1900,$D$144=0),0,VLOOKUP(A213,'Estados Financieros'!$A$18:$I$458,9,0))</f>
        <v>0</v>
      </c>
      <c r="E213" t="str">
        <f t="shared" si="9"/>
        <v>0,000</v>
      </c>
    </row>
    <row r="214" spans="1:5">
      <c r="A214">
        <v>231501</v>
      </c>
      <c r="B214" t="str">
        <f t="shared" si="10"/>
        <v/>
      </c>
      <c r="C214">
        <f t="shared" si="11"/>
        <v>1900</v>
      </c>
      <c r="D214">
        <f>IF(OR(C214=1900,$D$144=0),0,VLOOKUP(A214,'Estados Financieros'!$A$18:$I$458,9,0))</f>
        <v>0</v>
      </c>
      <c r="E214" t="str">
        <f t="shared" si="9"/>
        <v>0,000</v>
      </c>
    </row>
    <row r="215" spans="1:5">
      <c r="A215">
        <v>232001</v>
      </c>
      <c r="B215" t="str">
        <f t="shared" si="10"/>
        <v/>
      </c>
      <c r="C215">
        <f t="shared" si="11"/>
        <v>1900</v>
      </c>
      <c r="D215">
        <f>IF(OR(C215=1900,$D$144=0),0,VLOOKUP(A215,'Estados Financieros'!$A$18:$I$458,9,0))</f>
        <v>0</v>
      </c>
      <c r="E215" t="str">
        <f t="shared" si="9"/>
        <v>0,000</v>
      </c>
    </row>
    <row r="216" spans="1:5">
      <c r="A216">
        <v>233501</v>
      </c>
      <c r="B216" t="str">
        <f t="shared" si="10"/>
        <v/>
      </c>
      <c r="C216">
        <f t="shared" si="11"/>
        <v>1900</v>
      </c>
      <c r="D216">
        <f>IF(OR(C216=1900,$D$144=0),0,VLOOKUP(A216,'Estados Financieros'!$A$18:$I$458,9,0))</f>
        <v>0</v>
      </c>
      <c r="E216" t="str">
        <f t="shared" si="9"/>
        <v>0,000</v>
      </c>
    </row>
    <row r="217" spans="1:5">
      <c r="A217">
        <v>234501</v>
      </c>
      <c r="B217" t="str">
        <f t="shared" si="10"/>
        <v/>
      </c>
      <c r="C217">
        <f t="shared" si="11"/>
        <v>1900</v>
      </c>
      <c r="D217">
        <f>IF(OR(C217=1900,$D$144=0),0,VLOOKUP(A217,'Estados Financieros'!$A$18:$I$458,9,0))</f>
        <v>0</v>
      </c>
      <c r="E217" t="str">
        <f t="shared" si="9"/>
        <v>0,000</v>
      </c>
    </row>
    <row r="218" spans="1:5">
      <c r="A218">
        <v>235001</v>
      </c>
      <c r="B218" t="str">
        <f t="shared" si="10"/>
        <v/>
      </c>
      <c r="C218">
        <f t="shared" si="11"/>
        <v>1900</v>
      </c>
      <c r="D218">
        <f>IF(OR(C218=1900,$D$144=0),0,VLOOKUP(A218,'Estados Financieros'!$A$18:$I$458,9,0))</f>
        <v>0</v>
      </c>
      <c r="E218" t="str">
        <f t="shared" si="9"/>
        <v>0,000</v>
      </c>
    </row>
    <row r="219" spans="1:5">
      <c r="A219">
        <v>235501</v>
      </c>
      <c r="B219" t="str">
        <f t="shared" si="10"/>
        <v/>
      </c>
      <c r="C219">
        <f t="shared" si="11"/>
        <v>1900</v>
      </c>
      <c r="D219">
        <f>IF(OR(C219=1900,$D$144=0),0,VLOOKUP(A219,'Estados Financieros'!$A$18:$I$458,9,0))</f>
        <v>0</v>
      </c>
      <c r="E219" t="str">
        <f t="shared" si="9"/>
        <v>0,000</v>
      </c>
    </row>
    <row r="220" spans="1:5">
      <c r="A220">
        <v>236001</v>
      </c>
      <c r="B220" t="str">
        <f t="shared" si="10"/>
        <v/>
      </c>
      <c r="C220">
        <f t="shared" si="11"/>
        <v>1900</v>
      </c>
      <c r="D220">
        <f>IF(OR(C220=1900,$D$144=0),0,VLOOKUP(A220,'Estados Financieros'!$A$18:$I$458,9,0))</f>
        <v>0</v>
      </c>
      <c r="E220" t="str">
        <f t="shared" si="9"/>
        <v>0,000</v>
      </c>
    </row>
    <row r="221" spans="1:5">
      <c r="A221">
        <v>236501</v>
      </c>
      <c r="B221" t="str">
        <f t="shared" si="10"/>
        <v/>
      </c>
      <c r="C221">
        <f t="shared" si="11"/>
        <v>1900</v>
      </c>
      <c r="D221">
        <f>IF(OR(C221=1900,$D$144=0),0,VLOOKUP(A221,'Estados Financieros'!$A$18:$I$458,9,0))</f>
        <v>0</v>
      </c>
      <c r="E221" t="str">
        <f t="shared" si="9"/>
        <v>0,000</v>
      </c>
    </row>
    <row r="222" spans="1:5">
      <c r="A222">
        <v>236701</v>
      </c>
      <c r="B222" t="str">
        <f t="shared" si="10"/>
        <v/>
      </c>
      <c r="C222">
        <f t="shared" si="11"/>
        <v>1900</v>
      </c>
      <c r="D222">
        <f>IF(OR(C222=1900,$D$144=0),0,VLOOKUP(A222,'Estados Financieros'!$A$18:$I$458,9,0))</f>
        <v>0</v>
      </c>
      <c r="E222" t="str">
        <f t="shared" si="9"/>
        <v>0,000</v>
      </c>
    </row>
    <row r="223" spans="1:5">
      <c r="A223">
        <v>237001</v>
      </c>
      <c r="B223" t="str">
        <f t="shared" si="10"/>
        <v/>
      </c>
      <c r="C223">
        <f t="shared" si="11"/>
        <v>1900</v>
      </c>
      <c r="D223">
        <f>IF(OR(C223=1900,$D$144=0),0,VLOOKUP(A223,'Estados Financieros'!$A$18:$I$458,9,0))</f>
        <v>0</v>
      </c>
      <c r="E223" t="str">
        <f t="shared" si="9"/>
        <v>0,000</v>
      </c>
    </row>
    <row r="224" spans="1:5">
      <c r="A224">
        <v>238001</v>
      </c>
      <c r="B224" t="str">
        <f t="shared" si="10"/>
        <v/>
      </c>
      <c r="C224">
        <f t="shared" si="11"/>
        <v>1900</v>
      </c>
      <c r="D224">
        <f>IF(OR(C224=1900,$D$144=0),0,VLOOKUP(A224,'Estados Financieros'!$A$18:$I$458,9,0))</f>
        <v>0</v>
      </c>
      <c r="E224" t="str">
        <f t="shared" si="9"/>
        <v>0,000</v>
      </c>
    </row>
    <row r="225" spans="1:5">
      <c r="A225">
        <v>2203</v>
      </c>
      <c r="B225" t="str">
        <f t="shared" si="10"/>
        <v/>
      </c>
      <c r="C225">
        <f t="shared" si="11"/>
        <v>1900</v>
      </c>
      <c r="D225">
        <f>IF(OR(C225=1900,$D$144=0),0,VLOOKUP(A225,'Estados Financieros'!$A$18:$I$458,9,0))</f>
        <v>0</v>
      </c>
      <c r="E225" t="str">
        <f t="shared" si="9"/>
        <v>0,000</v>
      </c>
    </row>
    <row r="226" spans="1:5">
      <c r="A226">
        <v>240401</v>
      </c>
      <c r="B226" t="str">
        <f t="shared" si="10"/>
        <v/>
      </c>
      <c r="C226">
        <f t="shared" si="11"/>
        <v>1900</v>
      </c>
      <c r="D226">
        <f>IF(OR(C226=1900,$D$144=0),0,VLOOKUP(A226,'Estados Financieros'!$A$18:$I$458,9,0))</f>
        <v>0</v>
      </c>
      <c r="E226" t="str">
        <f t="shared" si="9"/>
        <v>0,000</v>
      </c>
    </row>
    <row r="227" spans="1:5">
      <c r="A227">
        <v>240801</v>
      </c>
      <c r="B227" t="str">
        <f t="shared" si="10"/>
        <v/>
      </c>
      <c r="C227">
        <f t="shared" si="11"/>
        <v>1900</v>
      </c>
      <c r="D227">
        <f>IF(OR(C227=1900,$D$144=0),0,VLOOKUP(A227,'Estados Financieros'!$A$18:$I$458,9,0))</f>
        <v>0</v>
      </c>
      <c r="E227" t="str">
        <f t="shared" si="9"/>
        <v>0,000</v>
      </c>
    </row>
    <row r="228" spans="1:5">
      <c r="A228">
        <v>241201</v>
      </c>
      <c r="B228" t="str">
        <f t="shared" si="10"/>
        <v/>
      </c>
      <c r="C228">
        <f t="shared" si="11"/>
        <v>1900</v>
      </c>
      <c r="D228">
        <f>IF(OR(C228=1900,$D$144=0),0,VLOOKUP(A228,'Estados Financieros'!$A$18:$I$458,9,0))</f>
        <v>0</v>
      </c>
      <c r="E228" t="str">
        <f t="shared" si="9"/>
        <v>0,000</v>
      </c>
    </row>
    <row r="229" spans="1:5">
      <c r="A229">
        <v>249501</v>
      </c>
      <c r="B229" t="str">
        <f t="shared" si="10"/>
        <v/>
      </c>
      <c r="C229">
        <f t="shared" si="11"/>
        <v>1900</v>
      </c>
      <c r="D229">
        <f>IF(OR(C229=1900,$D$144=0),0,VLOOKUP(A229,'Estados Financieros'!$A$18:$I$458,9,0))</f>
        <v>0</v>
      </c>
      <c r="E229" t="str">
        <f t="shared" si="9"/>
        <v>0,000</v>
      </c>
    </row>
    <row r="230" spans="1:5">
      <c r="A230">
        <v>240001</v>
      </c>
      <c r="B230" t="str">
        <f t="shared" si="10"/>
        <v/>
      </c>
      <c r="C230">
        <f t="shared" si="11"/>
        <v>1900</v>
      </c>
      <c r="D230">
        <f>IF(OR(C230=1900,$D$144=0),0,VLOOKUP(A230,'Estados Financieros'!$A$18:$I$458,9,0))</f>
        <v>0</v>
      </c>
      <c r="E230" t="str">
        <f t="shared" si="9"/>
        <v>0,000</v>
      </c>
    </row>
    <row r="231" spans="1:5">
      <c r="A231">
        <v>250501</v>
      </c>
      <c r="B231" t="str">
        <f t="shared" si="10"/>
        <v/>
      </c>
      <c r="C231">
        <f t="shared" si="11"/>
        <v>1900</v>
      </c>
      <c r="D231">
        <f>IF(OR(C231=1900,$D$144=0),0,VLOOKUP(A231,'Estados Financieros'!$A$18:$I$458,9,0))</f>
        <v>0</v>
      </c>
      <c r="E231" t="str">
        <f t="shared" si="9"/>
        <v>0,000</v>
      </c>
    </row>
    <row r="232" spans="1:5">
      <c r="A232">
        <v>251001</v>
      </c>
      <c r="B232" t="str">
        <f t="shared" si="10"/>
        <v/>
      </c>
      <c r="C232">
        <f t="shared" si="11"/>
        <v>1900</v>
      </c>
      <c r="D232">
        <f>IF(OR(C232=1900,$D$144=0),0,VLOOKUP(A232,'Estados Financieros'!$A$18:$I$458,9,0))</f>
        <v>0</v>
      </c>
      <c r="E232" t="str">
        <f t="shared" si="9"/>
        <v>0,000</v>
      </c>
    </row>
    <row r="233" spans="1:5">
      <c r="A233">
        <v>251501</v>
      </c>
      <c r="B233" t="str">
        <f t="shared" si="10"/>
        <v/>
      </c>
      <c r="C233">
        <f t="shared" si="11"/>
        <v>1900</v>
      </c>
      <c r="D233">
        <f>IF(OR(C233=1900,$D$144=0),0,VLOOKUP(A233,'Estados Financieros'!$A$18:$I$458,9,0))</f>
        <v>0</v>
      </c>
      <c r="E233" t="str">
        <f t="shared" si="9"/>
        <v>0,000</v>
      </c>
    </row>
    <row r="234" spans="1:5">
      <c r="A234">
        <v>252501</v>
      </c>
      <c r="B234" t="str">
        <f t="shared" si="10"/>
        <v/>
      </c>
      <c r="C234">
        <f t="shared" si="11"/>
        <v>1900</v>
      </c>
      <c r="D234">
        <f>IF(OR(C234=1900,$D$144=0),0,VLOOKUP(A234,'Estados Financieros'!$A$18:$I$458,9,0))</f>
        <v>0</v>
      </c>
      <c r="E234" t="str">
        <f t="shared" si="9"/>
        <v>0,000</v>
      </c>
    </row>
    <row r="235" spans="1:5">
      <c r="A235">
        <v>253001</v>
      </c>
      <c r="B235" t="str">
        <f t="shared" si="10"/>
        <v/>
      </c>
      <c r="C235">
        <f t="shared" si="11"/>
        <v>1900</v>
      </c>
      <c r="D235">
        <f>IF(OR(C235=1900,$D$144=0),0,VLOOKUP(A235,'Estados Financieros'!$A$18:$I$458,9,0))</f>
        <v>0</v>
      </c>
      <c r="E235" t="str">
        <f t="shared" si="9"/>
        <v>0,000</v>
      </c>
    </row>
    <row r="236" spans="1:5">
      <c r="A236">
        <v>259501</v>
      </c>
      <c r="B236" t="str">
        <f t="shared" si="10"/>
        <v/>
      </c>
      <c r="C236">
        <f t="shared" si="11"/>
        <v>1900</v>
      </c>
      <c r="D236">
        <f>IF(OR(C236=1900,$D$144=0),0,VLOOKUP(A236,'Estados Financieros'!$A$18:$I$458,9,0))</f>
        <v>0</v>
      </c>
      <c r="E236" t="str">
        <f t="shared" si="9"/>
        <v>0,000</v>
      </c>
    </row>
    <row r="237" spans="1:5">
      <c r="A237">
        <v>2204</v>
      </c>
      <c r="B237" t="str">
        <f t="shared" si="10"/>
        <v/>
      </c>
      <c r="C237">
        <f t="shared" si="11"/>
        <v>1900</v>
      </c>
      <c r="D237">
        <f>IF(OR(C237=1900,$D$144=0),0,VLOOKUP(A237,'Estados Financieros'!$A$18:$I$458,9,0))</f>
        <v>0</v>
      </c>
      <c r="E237" t="str">
        <f t="shared" si="9"/>
        <v>0,000</v>
      </c>
    </row>
    <row r="238" spans="1:5">
      <c r="A238">
        <v>260501</v>
      </c>
      <c r="B238" t="str">
        <f t="shared" si="10"/>
        <v/>
      </c>
      <c r="C238">
        <f t="shared" si="11"/>
        <v>1900</v>
      </c>
      <c r="D238">
        <f>IF(OR(C238=1900,$D$144=0),0,VLOOKUP(A238,'Estados Financieros'!$A$18:$I$458,9,0))</f>
        <v>0</v>
      </c>
      <c r="E238" t="str">
        <f t="shared" si="9"/>
        <v>0,000</v>
      </c>
    </row>
    <row r="239" spans="1:5">
      <c r="A239">
        <v>261001</v>
      </c>
      <c r="B239" t="str">
        <f t="shared" si="10"/>
        <v/>
      </c>
      <c r="C239">
        <f t="shared" si="11"/>
        <v>1900</v>
      </c>
      <c r="D239">
        <f>IF(OR(C239=1900,$D$144=0),0,VLOOKUP(A239,'Estados Financieros'!$A$18:$I$458,9,0))</f>
        <v>0</v>
      </c>
      <c r="E239" t="str">
        <f t="shared" si="9"/>
        <v>0,000</v>
      </c>
    </row>
    <row r="240" spans="1:5">
      <c r="A240">
        <v>261501</v>
      </c>
      <c r="B240" t="str">
        <f t="shared" si="10"/>
        <v/>
      </c>
      <c r="C240">
        <f t="shared" si="11"/>
        <v>1900</v>
      </c>
      <c r="D240">
        <f>IF(OR(C240=1900,$D$144=0),0,VLOOKUP(A240,'Estados Financieros'!$A$18:$I$458,9,0))</f>
        <v>0</v>
      </c>
      <c r="E240" t="str">
        <f t="shared" si="9"/>
        <v>0,000</v>
      </c>
    </row>
    <row r="241" spans="1:5">
      <c r="A241">
        <v>262001</v>
      </c>
      <c r="B241" t="str">
        <f t="shared" si="10"/>
        <v/>
      </c>
      <c r="C241">
        <f t="shared" si="11"/>
        <v>1900</v>
      </c>
      <c r="D241">
        <f>IF(OR(C241=1900,$D$144=0),0,VLOOKUP(A241,'Estados Financieros'!$A$18:$I$458,9,0))</f>
        <v>0</v>
      </c>
      <c r="E241" t="str">
        <f t="shared" si="9"/>
        <v>0,000</v>
      </c>
    </row>
    <row r="242" spans="1:5">
      <c r="A242">
        <v>262501</v>
      </c>
      <c r="B242" t="str">
        <f t="shared" si="10"/>
        <v/>
      </c>
      <c r="C242">
        <f t="shared" si="11"/>
        <v>1900</v>
      </c>
      <c r="D242">
        <f>IF(OR(C242=1900,$D$144=0),0,VLOOKUP(A242,'Estados Financieros'!$A$18:$I$458,9,0))</f>
        <v>0</v>
      </c>
      <c r="E242" t="str">
        <f t="shared" si="9"/>
        <v>0,000</v>
      </c>
    </row>
    <row r="243" spans="1:5">
      <c r="A243">
        <v>263001</v>
      </c>
      <c r="B243" t="str">
        <f t="shared" si="10"/>
        <v/>
      </c>
      <c r="C243">
        <f t="shared" si="11"/>
        <v>1900</v>
      </c>
      <c r="D243">
        <f>IF(OR(C243=1900,$D$144=0),0,VLOOKUP(A243,'Estados Financieros'!$A$18:$I$458,9,0))</f>
        <v>0</v>
      </c>
      <c r="E243" t="str">
        <f t="shared" si="9"/>
        <v>0,000</v>
      </c>
    </row>
    <row r="244" spans="1:5">
      <c r="A244">
        <v>263501</v>
      </c>
      <c r="B244" t="str">
        <f t="shared" si="10"/>
        <v/>
      </c>
      <c r="C244">
        <f t="shared" si="11"/>
        <v>1900</v>
      </c>
      <c r="D244">
        <f>IF(OR(C244=1900,$D$144=0),0,VLOOKUP(A244,'Estados Financieros'!$A$18:$I$458,9,0))</f>
        <v>0</v>
      </c>
      <c r="E244" t="str">
        <f t="shared" si="9"/>
        <v>0,000</v>
      </c>
    </row>
    <row r="245" spans="1:5">
      <c r="A245">
        <v>264001</v>
      </c>
      <c r="B245" t="str">
        <f t="shared" si="10"/>
        <v/>
      </c>
      <c r="C245">
        <f t="shared" si="11"/>
        <v>1900</v>
      </c>
      <c r="D245">
        <f>IF(OR(C245=1900,$D$144=0),0,VLOOKUP(A245,'Estados Financieros'!$A$18:$I$458,9,0))</f>
        <v>0</v>
      </c>
      <c r="E245" t="str">
        <f t="shared" si="9"/>
        <v>0,000</v>
      </c>
    </row>
    <row r="246" spans="1:5">
      <c r="A246">
        <v>269501</v>
      </c>
      <c r="B246" t="str">
        <f t="shared" si="10"/>
        <v/>
      </c>
      <c r="C246">
        <f t="shared" si="11"/>
        <v>1900</v>
      </c>
      <c r="D246">
        <f>IF(OR(C246=1900,$D$144=0),0,VLOOKUP(A246,'Estados Financieros'!$A$18:$I$458,9,0))</f>
        <v>0</v>
      </c>
      <c r="E246" t="str">
        <f t="shared" si="9"/>
        <v>0,000</v>
      </c>
    </row>
    <row r="247" spans="1:5">
      <c r="A247">
        <v>2206</v>
      </c>
      <c r="B247" t="str">
        <f t="shared" si="10"/>
        <v/>
      </c>
      <c r="C247">
        <f t="shared" si="11"/>
        <v>1900</v>
      </c>
      <c r="D247">
        <f>IF(OR(C247=1900,$D$144=0),0,VLOOKUP(A247,'Estados Financieros'!$A$18:$I$458,9,0))</f>
        <v>0</v>
      </c>
      <c r="E247" t="str">
        <f t="shared" si="9"/>
        <v>0,000</v>
      </c>
    </row>
    <row r="248" spans="1:5">
      <c r="A248">
        <v>270501</v>
      </c>
      <c r="B248" t="str">
        <f t="shared" si="10"/>
        <v/>
      </c>
      <c r="C248">
        <f t="shared" si="11"/>
        <v>1900</v>
      </c>
      <c r="D248">
        <f>IF(OR(C248=1900,$D$144=0),0,VLOOKUP(A248,'Estados Financieros'!$A$18:$I$458,9,0))</f>
        <v>0</v>
      </c>
      <c r="E248" t="str">
        <f t="shared" si="9"/>
        <v>0,000</v>
      </c>
    </row>
    <row r="249" spans="1:5">
      <c r="A249">
        <v>271001</v>
      </c>
      <c r="B249" t="str">
        <f t="shared" si="10"/>
        <v/>
      </c>
      <c r="C249">
        <f t="shared" si="11"/>
        <v>1900</v>
      </c>
      <c r="D249">
        <f>IF(OR(C249=1900,$D$144=0),0,VLOOKUP(A249,'Estados Financieros'!$A$18:$I$458,9,0))</f>
        <v>0</v>
      </c>
      <c r="E249" t="str">
        <f t="shared" si="9"/>
        <v>0,000</v>
      </c>
    </row>
    <row r="250" spans="1:5">
      <c r="A250">
        <v>272001</v>
      </c>
      <c r="B250" t="str">
        <f t="shared" si="10"/>
        <v/>
      </c>
      <c r="C250">
        <f t="shared" si="11"/>
        <v>1900</v>
      </c>
      <c r="D250">
        <f>IF(OR(C250=1900,$D$144=0),0,VLOOKUP(A250,'Estados Financieros'!$A$18:$I$458,9,0))</f>
        <v>0</v>
      </c>
      <c r="E250" t="str">
        <f t="shared" si="9"/>
        <v>0,000</v>
      </c>
    </row>
    <row r="251" spans="1:5">
      <c r="A251">
        <v>272501</v>
      </c>
      <c r="B251" t="str">
        <f t="shared" si="10"/>
        <v/>
      </c>
      <c r="C251">
        <f t="shared" si="11"/>
        <v>1900</v>
      </c>
      <c r="D251">
        <f>IF(OR(C251=1900,$D$144=0),0,VLOOKUP(A251,'Estados Financieros'!$A$18:$I$458,9,0))</f>
        <v>0</v>
      </c>
      <c r="E251" t="str">
        <f t="shared" si="9"/>
        <v>0,000</v>
      </c>
    </row>
    <row r="252" spans="1:5">
      <c r="A252">
        <v>279501</v>
      </c>
      <c r="B252" t="str">
        <f t="shared" si="10"/>
        <v/>
      </c>
      <c r="C252">
        <f t="shared" si="11"/>
        <v>1900</v>
      </c>
      <c r="D252">
        <f>IF(OR(C252=1900,$D$144=0),0,VLOOKUP(A252,'Estados Financieros'!$A$18:$I$458,9,0))</f>
        <v>0</v>
      </c>
      <c r="E252" t="str">
        <f t="shared" si="9"/>
        <v>0,000</v>
      </c>
    </row>
    <row r="253" spans="1:5">
      <c r="A253">
        <v>2207</v>
      </c>
      <c r="B253" t="str">
        <f t="shared" si="10"/>
        <v/>
      </c>
      <c r="C253">
        <f t="shared" si="11"/>
        <v>1900</v>
      </c>
      <c r="D253">
        <f>IF(OR(C253=1900,$D$144=0),0,VLOOKUP(A253,'Estados Financieros'!$A$18:$I$458,9,0))</f>
        <v>0</v>
      </c>
      <c r="E253" t="str">
        <f t="shared" si="9"/>
        <v>0,000</v>
      </c>
    </row>
    <row r="254" spans="1:5">
      <c r="A254">
        <v>290501</v>
      </c>
      <c r="B254" t="str">
        <f t="shared" si="10"/>
        <v/>
      </c>
      <c r="C254">
        <f t="shared" si="11"/>
        <v>1900</v>
      </c>
      <c r="D254">
        <f>IF(OR(C254=1900,$D$144=0),0,VLOOKUP(A254,'Estados Financieros'!$A$18:$I$458,9,0))</f>
        <v>0</v>
      </c>
      <c r="E254" t="str">
        <f t="shared" si="9"/>
        <v>0,000</v>
      </c>
    </row>
    <row r="255" spans="1:5">
      <c r="A255">
        <v>291991</v>
      </c>
      <c r="B255" t="str">
        <f t="shared" si="10"/>
        <v/>
      </c>
      <c r="C255">
        <f t="shared" si="11"/>
        <v>1900</v>
      </c>
      <c r="D255">
        <f>IF(OR(C255=1900,$D$144=0),0,VLOOKUP(A255,'Estados Financieros'!$A$18:$I$458,9,0))</f>
        <v>0</v>
      </c>
      <c r="E255" t="str">
        <f t="shared" si="9"/>
        <v>0,000</v>
      </c>
    </row>
    <row r="256" spans="1:5">
      <c r="A256">
        <v>291501</v>
      </c>
      <c r="B256" t="str">
        <f t="shared" si="10"/>
        <v/>
      </c>
      <c r="C256">
        <f t="shared" si="11"/>
        <v>1900</v>
      </c>
      <c r="D256">
        <f>IF(OR(C256=1900,$D$144=0),0,VLOOKUP(A256,'Estados Financieros'!$A$18:$I$458,9,0))</f>
        <v>0</v>
      </c>
      <c r="E256" t="str">
        <f t="shared" si="9"/>
        <v>0,000</v>
      </c>
    </row>
    <row r="257" spans="1:5">
      <c r="A257">
        <v>292001</v>
      </c>
      <c r="B257" t="str">
        <f t="shared" si="10"/>
        <v/>
      </c>
      <c r="C257">
        <f t="shared" si="11"/>
        <v>1900</v>
      </c>
      <c r="D257">
        <f>IF(OR(C257=1900,$D$144=0),0,VLOOKUP(A257,'Estados Financieros'!$A$18:$I$458,9,0))</f>
        <v>0</v>
      </c>
      <c r="E257" t="str">
        <f t="shared" si="9"/>
        <v>0,000</v>
      </c>
    </row>
    <row r="258" spans="1:5">
      <c r="A258">
        <v>299501</v>
      </c>
      <c r="B258" t="str">
        <f t="shared" si="10"/>
        <v/>
      </c>
      <c r="C258">
        <f t="shared" si="11"/>
        <v>1900</v>
      </c>
      <c r="D258">
        <f>IF(OR(C258=1900,$D$144=0),0,VLOOKUP(A258,'Estados Financieros'!$A$18:$I$458,9,0))</f>
        <v>0</v>
      </c>
      <c r="E258" t="str">
        <f t="shared" ref="E258:E321" si="12">IFERROR(FIXED(D258,3,1),0)</f>
        <v>0,000</v>
      </c>
    </row>
    <row r="259" spans="1:5">
      <c r="A259">
        <v>2209</v>
      </c>
      <c r="B259" t="str">
        <f t="shared" ref="B259:B322" si="13">+B258</f>
        <v/>
      </c>
      <c r="C259">
        <f t="shared" ref="C259:C322" si="14">C258</f>
        <v>1900</v>
      </c>
      <c r="D259">
        <f>IF(OR(C259=1900,$D$144=0),0,VLOOKUP(A259,'Estados Financieros'!$A$18:$I$458,9,0))</f>
        <v>0</v>
      </c>
      <c r="E259" t="str">
        <f t="shared" si="12"/>
        <v>0,000</v>
      </c>
    </row>
    <row r="260" spans="1:5">
      <c r="A260">
        <v>22</v>
      </c>
      <c r="B260" t="str">
        <f t="shared" si="13"/>
        <v/>
      </c>
      <c r="C260">
        <f t="shared" si="14"/>
        <v>1900</v>
      </c>
      <c r="D260">
        <f>IF(OR(C260=1900,$D$144=0),0,VLOOKUP(A260,'Estados Financieros'!$A$18:$I$458,9,0))</f>
        <v>0</v>
      </c>
      <c r="E260" t="str">
        <f t="shared" si="12"/>
        <v>0,000</v>
      </c>
    </row>
    <row r="261" spans="1:5">
      <c r="A261">
        <v>2</v>
      </c>
      <c r="B261" t="str">
        <f t="shared" si="13"/>
        <v/>
      </c>
      <c r="C261">
        <f t="shared" si="14"/>
        <v>1900</v>
      </c>
      <c r="D261">
        <f>IF(OR(C261=1900,$D$144=0),0,VLOOKUP(A261,'Estados Financieros'!$A$18:$I$458,9,0))</f>
        <v>0</v>
      </c>
      <c r="E261" t="str">
        <f t="shared" si="12"/>
        <v>0,000</v>
      </c>
    </row>
    <row r="262" spans="1:5">
      <c r="A262">
        <v>310500</v>
      </c>
      <c r="B262" t="str">
        <f t="shared" si="13"/>
        <v/>
      </c>
      <c r="C262">
        <f t="shared" si="14"/>
        <v>1900</v>
      </c>
      <c r="D262">
        <f>IF(OR(C262=1900,$D$144=0),0,VLOOKUP(A262,'Estados Financieros'!$A$18:$I$458,9,0))</f>
        <v>0</v>
      </c>
      <c r="E262" t="str">
        <f t="shared" si="12"/>
        <v>0,000</v>
      </c>
    </row>
    <row r="263" spans="1:5">
      <c r="A263">
        <v>311500</v>
      </c>
      <c r="B263" t="str">
        <f t="shared" si="13"/>
        <v/>
      </c>
      <c r="C263">
        <f t="shared" si="14"/>
        <v>1900</v>
      </c>
      <c r="D263">
        <f>IF(OR(C263=1900,$D$144=0),0,VLOOKUP(A263,'Estados Financieros'!$A$18:$I$458,9,0))</f>
        <v>0</v>
      </c>
      <c r="E263" t="str">
        <f t="shared" si="12"/>
        <v>0,000</v>
      </c>
    </row>
    <row r="264" spans="1:5">
      <c r="A264">
        <v>312000</v>
      </c>
      <c r="B264" t="str">
        <f t="shared" si="13"/>
        <v/>
      </c>
      <c r="C264">
        <f t="shared" si="14"/>
        <v>1900</v>
      </c>
      <c r="D264">
        <f>IF(OR(C264=1900,$D$144=0),0,VLOOKUP(A264,'Estados Financieros'!$A$18:$I$458,9,0))</f>
        <v>0</v>
      </c>
      <c r="E264" t="str">
        <f t="shared" si="12"/>
        <v>0,000</v>
      </c>
    </row>
    <row r="265" spans="1:5">
      <c r="A265">
        <v>312500</v>
      </c>
      <c r="B265" t="str">
        <f t="shared" si="13"/>
        <v/>
      </c>
      <c r="C265">
        <f t="shared" si="14"/>
        <v>1900</v>
      </c>
      <c r="D265">
        <f>IF(OR(C265=1900,$D$144=0),0,VLOOKUP(A265,'Estados Financieros'!$A$18:$I$458,9,0))</f>
        <v>0</v>
      </c>
      <c r="E265" t="str">
        <f t="shared" si="12"/>
        <v>0,000</v>
      </c>
    </row>
    <row r="266" spans="1:5">
      <c r="A266">
        <v>313000</v>
      </c>
      <c r="B266" t="str">
        <f t="shared" si="13"/>
        <v/>
      </c>
      <c r="C266">
        <f t="shared" si="14"/>
        <v>1900</v>
      </c>
      <c r="D266">
        <f>IF(OR(C266=1900,$D$144=0),0,VLOOKUP(A266,'Estados Financieros'!$A$18:$I$458,9,0))</f>
        <v>0</v>
      </c>
      <c r="E266" t="str">
        <f t="shared" si="12"/>
        <v>0,000</v>
      </c>
    </row>
    <row r="267" spans="1:5">
      <c r="A267">
        <v>313500</v>
      </c>
      <c r="B267" t="str">
        <f t="shared" si="13"/>
        <v/>
      </c>
      <c r="C267">
        <f t="shared" si="14"/>
        <v>1900</v>
      </c>
      <c r="D267">
        <f>IF(OR(C267=1900,$D$144=0),0,VLOOKUP(A267,'Estados Financieros'!$A$18:$I$458,9,0))</f>
        <v>0</v>
      </c>
      <c r="E267" t="str">
        <f t="shared" si="12"/>
        <v>0,000</v>
      </c>
    </row>
    <row r="268" spans="1:5">
      <c r="A268">
        <v>314000</v>
      </c>
      <c r="B268" t="str">
        <f t="shared" si="13"/>
        <v/>
      </c>
      <c r="C268">
        <f t="shared" si="14"/>
        <v>1900</v>
      </c>
      <c r="D268">
        <f>IF(OR(C268=1900,$D$144=0),0,VLOOKUP(A268,'Estados Financieros'!$A$18:$I$458,9,0))</f>
        <v>0</v>
      </c>
      <c r="E268" t="str">
        <f t="shared" si="12"/>
        <v>0,000</v>
      </c>
    </row>
    <row r="269" spans="1:5">
      <c r="A269">
        <v>31</v>
      </c>
      <c r="B269" t="str">
        <f t="shared" si="13"/>
        <v/>
      </c>
      <c r="C269">
        <f t="shared" si="14"/>
        <v>1900</v>
      </c>
      <c r="D269">
        <f>IF(OR(C269=1900,$D$144=0),0,VLOOKUP(A269,'Estados Financieros'!$A$18:$I$458,9,0))</f>
        <v>0</v>
      </c>
      <c r="E269" t="str">
        <f t="shared" si="12"/>
        <v>0,000</v>
      </c>
    </row>
    <row r="270" spans="1:5">
      <c r="A270">
        <v>320500</v>
      </c>
      <c r="B270" t="str">
        <f t="shared" si="13"/>
        <v/>
      </c>
      <c r="C270">
        <f t="shared" si="14"/>
        <v>1900</v>
      </c>
      <c r="D270">
        <f>IF(OR(C270=1900,$D$144=0),0,VLOOKUP(A270,'Estados Financieros'!$A$18:$I$458,9,0))</f>
        <v>0</v>
      </c>
      <c r="E270" t="str">
        <f t="shared" si="12"/>
        <v>0,000</v>
      </c>
    </row>
    <row r="271" spans="1:5">
      <c r="A271">
        <v>321000</v>
      </c>
      <c r="B271" t="str">
        <f t="shared" si="13"/>
        <v/>
      </c>
      <c r="C271">
        <f t="shared" si="14"/>
        <v>1900</v>
      </c>
      <c r="D271">
        <f>IF(OR(C271=1900,$D$144=0),0,VLOOKUP(A271,'Estados Financieros'!$A$18:$I$458,9,0))</f>
        <v>0</v>
      </c>
      <c r="E271" t="str">
        <f t="shared" si="12"/>
        <v>0,000</v>
      </c>
    </row>
    <row r="272" spans="1:5">
      <c r="A272">
        <v>321500</v>
      </c>
      <c r="B272" t="str">
        <f t="shared" si="13"/>
        <v/>
      </c>
      <c r="C272">
        <f t="shared" si="14"/>
        <v>1900</v>
      </c>
      <c r="D272">
        <f>IF(OR(C272=1900,$D$144=0),0,VLOOKUP(A272,'Estados Financieros'!$A$18:$I$458,9,0))</f>
        <v>0</v>
      </c>
      <c r="E272" t="str">
        <f t="shared" si="12"/>
        <v>0,000</v>
      </c>
    </row>
    <row r="273" spans="1:5">
      <c r="A273">
        <v>322000</v>
      </c>
      <c r="B273" t="str">
        <f t="shared" si="13"/>
        <v/>
      </c>
      <c r="C273">
        <f t="shared" si="14"/>
        <v>1900</v>
      </c>
      <c r="D273">
        <f>IF(OR(C273=1900,$D$144=0),0,VLOOKUP(A273,'Estados Financieros'!$A$18:$I$458,9,0))</f>
        <v>0</v>
      </c>
      <c r="E273" t="str">
        <f t="shared" si="12"/>
        <v>0,000</v>
      </c>
    </row>
    <row r="274" spans="1:5">
      <c r="A274">
        <v>322500</v>
      </c>
      <c r="B274" t="str">
        <f t="shared" si="13"/>
        <v/>
      </c>
      <c r="C274">
        <f t="shared" si="14"/>
        <v>1900</v>
      </c>
      <c r="D274">
        <f>IF(OR(C274=1900,$D$144=0),0,VLOOKUP(A274,'Estados Financieros'!$A$18:$I$458,9,0))</f>
        <v>0</v>
      </c>
      <c r="E274" t="str">
        <f t="shared" si="12"/>
        <v>0,000</v>
      </c>
    </row>
    <row r="275" spans="1:5">
      <c r="A275">
        <v>32</v>
      </c>
      <c r="B275" t="str">
        <f t="shared" si="13"/>
        <v/>
      </c>
      <c r="C275">
        <f t="shared" si="14"/>
        <v>1900</v>
      </c>
      <c r="D275">
        <f>IF(OR(C275=1900,$D$144=0),0,VLOOKUP(A275,'Estados Financieros'!$A$18:$I$458,9,0))</f>
        <v>0</v>
      </c>
      <c r="E275" t="str">
        <f t="shared" si="12"/>
        <v>0,000</v>
      </c>
    </row>
    <row r="276" spans="1:5">
      <c r="A276">
        <v>330500</v>
      </c>
      <c r="B276" t="str">
        <f t="shared" si="13"/>
        <v/>
      </c>
      <c r="C276">
        <f t="shared" si="14"/>
        <v>1900</v>
      </c>
      <c r="D276">
        <f>IF(OR(C276=1900,$D$144=0),0,VLOOKUP(A276,'Estados Financieros'!$A$18:$I$458,9,0))</f>
        <v>0</v>
      </c>
      <c r="E276" t="str">
        <f t="shared" si="12"/>
        <v>0,000</v>
      </c>
    </row>
    <row r="277" spans="1:5">
      <c r="A277">
        <v>331000</v>
      </c>
      <c r="B277" t="str">
        <f t="shared" si="13"/>
        <v/>
      </c>
      <c r="C277">
        <f t="shared" si="14"/>
        <v>1900</v>
      </c>
      <c r="D277">
        <f>IF(OR(C277=1900,$D$144=0),0,VLOOKUP(A277,'Estados Financieros'!$A$18:$I$458,9,0))</f>
        <v>0</v>
      </c>
      <c r="E277" t="str">
        <f t="shared" si="12"/>
        <v>0,000</v>
      </c>
    </row>
    <row r="278" spans="1:5">
      <c r="A278">
        <v>331500</v>
      </c>
      <c r="B278" t="str">
        <f t="shared" si="13"/>
        <v/>
      </c>
      <c r="C278">
        <f t="shared" si="14"/>
        <v>1900</v>
      </c>
      <c r="D278">
        <f>IF(OR(C278=1900,$D$144=0),0,VLOOKUP(A278,'Estados Financieros'!$A$18:$I$458,9,0))</f>
        <v>0</v>
      </c>
      <c r="E278" t="str">
        <f t="shared" si="12"/>
        <v>0,000</v>
      </c>
    </row>
    <row r="279" spans="1:5">
      <c r="A279">
        <v>33</v>
      </c>
      <c r="B279" t="str">
        <f t="shared" si="13"/>
        <v/>
      </c>
      <c r="C279">
        <f t="shared" si="14"/>
        <v>1900</v>
      </c>
      <c r="D279">
        <f>IF(OR(C279=1900,$D$144=0),0,VLOOKUP(A279,'Estados Financieros'!$A$18:$I$458,9,0))</f>
        <v>0</v>
      </c>
      <c r="E279" t="str">
        <f t="shared" si="12"/>
        <v>0,000</v>
      </c>
    </row>
    <row r="280" spans="1:5">
      <c r="A280">
        <v>340505</v>
      </c>
      <c r="B280" t="str">
        <f t="shared" si="13"/>
        <v/>
      </c>
      <c r="C280">
        <f t="shared" si="14"/>
        <v>1900</v>
      </c>
      <c r="D280">
        <f>IF(OR(C280=1900,$D$144=0),0,VLOOKUP(A280,'Estados Financieros'!$A$18:$I$458,9,0))</f>
        <v>0</v>
      </c>
      <c r="E280" t="str">
        <f t="shared" si="12"/>
        <v>0,000</v>
      </c>
    </row>
    <row r="281" spans="1:5">
      <c r="A281">
        <v>340515</v>
      </c>
      <c r="B281" t="str">
        <f t="shared" si="13"/>
        <v/>
      </c>
      <c r="C281">
        <f t="shared" si="14"/>
        <v>1900</v>
      </c>
      <c r="D281">
        <f>IF(OR(C281=1900,$D$144=0),0,VLOOKUP(A281,'Estados Financieros'!$A$18:$I$458,9,0))</f>
        <v>0</v>
      </c>
      <c r="E281" t="str">
        <f t="shared" si="12"/>
        <v>0,000</v>
      </c>
    </row>
    <row r="282" spans="1:5">
      <c r="A282">
        <v>349500</v>
      </c>
      <c r="B282" t="str">
        <f t="shared" si="13"/>
        <v/>
      </c>
      <c r="C282">
        <f t="shared" si="14"/>
        <v>1900</v>
      </c>
      <c r="D282">
        <f>IF(OR(C282=1900,$D$144=0),0,VLOOKUP(A282,'Estados Financieros'!$A$18:$I$458,9,0))</f>
        <v>0</v>
      </c>
      <c r="E282" t="str">
        <f t="shared" si="12"/>
        <v>0,000</v>
      </c>
    </row>
    <row r="283" spans="1:5">
      <c r="A283">
        <v>34</v>
      </c>
      <c r="B283" t="str">
        <f t="shared" si="13"/>
        <v/>
      </c>
      <c r="C283">
        <f t="shared" si="14"/>
        <v>1900</v>
      </c>
      <c r="D283">
        <f>IF(OR(C283=1900,$D$144=0),0,VLOOKUP(A283,'Estados Financieros'!$A$18:$I$458,9,0))</f>
        <v>0</v>
      </c>
      <c r="E283" t="str">
        <f t="shared" si="12"/>
        <v>0,000</v>
      </c>
    </row>
    <row r="284" spans="1:5">
      <c r="A284">
        <v>35</v>
      </c>
      <c r="B284" t="str">
        <f t="shared" si="13"/>
        <v/>
      </c>
      <c r="C284">
        <f t="shared" si="14"/>
        <v>1900</v>
      </c>
      <c r="D284">
        <f>IF(OR(C284=1900,$D$144=0),0,VLOOKUP(A284,'Estados Financieros'!$A$18:$I$458,9,0))</f>
        <v>0</v>
      </c>
      <c r="E284" t="str">
        <f t="shared" si="12"/>
        <v>0,000</v>
      </c>
    </row>
    <row r="285" spans="1:5">
      <c r="A285">
        <v>36</v>
      </c>
      <c r="B285" t="str">
        <f t="shared" si="13"/>
        <v/>
      </c>
      <c r="C285">
        <f t="shared" si="14"/>
        <v>1900</v>
      </c>
      <c r="D285">
        <f>IF(OR(C285=1900,$D$144=0),0,VLOOKUP(A285,'Estados Financieros'!$A$18:$I$458,9,0))</f>
        <v>0</v>
      </c>
      <c r="E285" t="str">
        <f t="shared" si="12"/>
        <v>0,000</v>
      </c>
    </row>
    <row r="286" spans="1:5">
      <c r="A286">
        <v>37</v>
      </c>
      <c r="B286" t="str">
        <f t="shared" si="13"/>
        <v/>
      </c>
      <c r="C286">
        <f t="shared" si="14"/>
        <v>1900</v>
      </c>
      <c r="D286">
        <f>IF(OR(C286=1900,$D$144=0),0,VLOOKUP(A286,'Estados Financieros'!$A$18:$I$458,9,0))</f>
        <v>0</v>
      </c>
      <c r="E286" t="str">
        <f t="shared" si="12"/>
        <v>0,000</v>
      </c>
    </row>
    <row r="287" spans="1:5">
      <c r="A287">
        <v>38</v>
      </c>
      <c r="B287" t="str">
        <f t="shared" si="13"/>
        <v/>
      </c>
      <c r="C287">
        <f t="shared" si="14"/>
        <v>1900</v>
      </c>
      <c r="D287">
        <f>IF(OR(C287=1900,$D$144=0),0,VLOOKUP(A287,'Estados Financieros'!$A$18:$I$458,9,0))</f>
        <v>0</v>
      </c>
      <c r="E287" t="str">
        <f t="shared" si="12"/>
        <v>0,000</v>
      </c>
    </row>
    <row r="288" spans="1:5">
      <c r="A288">
        <v>3</v>
      </c>
      <c r="B288" t="str">
        <f t="shared" si="13"/>
        <v/>
      </c>
      <c r="C288">
        <f t="shared" si="14"/>
        <v>1900</v>
      </c>
      <c r="D288">
        <f>IF(OR(C288=1900,$D$144=0),0,VLOOKUP(A288,'Estados Financieros'!$A$18:$I$458,9,0))</f>
        <v>0</v>
      </c>
      <c r="E288" t="str">
        <f t="shared" si="12"/>
        <v>0,000</v>
      </c>
    </row>
    <row r="289" spans="1:5">
      <c r="A289">
        <v>0</v>
      </c>
      <c r="B289" t="str">
        <f t="shared" si="13"/>
        <v/>
      </c>
      <c r="C289">
        <f t="shared" si="14"/>
        <v>1900</v>
      </c>
      <c r="D289">
        <f>IF(OR(C289=1900,$D$144=0),0,VLOOKUP(A289,'Estados Financieros'!$A$18:$I$458,9,0))</f>
        <v>0</v>
      </c>
      <c r="E289" t="str">
        <f t="shared" si="12"/>
        <v>0,000</v>
      </c>
    </row>
    <row r="290" spans="1:5">
      <c r="A290">
        <v>291000</v>
      </c>
      <c r="B290" t="str">
        <f t="shared" si="13"/>
        <v/>
      </c>
      <c r="C290">
        <f t="shared" si="14"/>
        <v>1900</v>
      </c>
      <c r="D290">
        <f>IF(OR(C290=1900,$D$144=0),0,VLOOKUP(A290,'Estados Financieros'!$A$18:$I$458,9,0))</f>
        <v>0</v>
      </c>
      <c r="E290" t="str">
        <f t="shared" si="12"/>
        <v>0,000</v>
      </c>
    </row>
    <row r="291" spans="1:5">
      <c r="A291">
        <v>292000</v>
      </c>
      <c r="B291" t="str">
        <f t="shared" si="13"/>
        <v/>
      </c>
      <c r="C291">
        <f t="shared" si="14"/>
        <v>1900</v>
      </c>
      <c r="D291">
        <f>IF(OR(C291=1900,$D$144=0),0,VLOOKUP(A291,'Estados Financieros'!$A$18:$I$458,9,0))</f>
        <v>0</v>
      </c>
      <c r="E291" t="str">
        <f t="shared" si="12"/>
        <v>0,000</v>
      </c>
    </row>
    <row r="292" spans="1:5">
      <c r="A292">
        <v>293000</v>
      </c>
      <c r="B292" t="str">
        <f t="shared" si="13"/>
        <v/>
      </c>
      <c r="C292">
        <f t="shared" si="14"/>
        <v>1900</v>
      </c>
      <c r="D292">
        <f>IF(OR(C292=1900,$D$144=0),0,VLOOKUP(A292,'Estados Financieros'!$A$18:$I$458,9,0))</f>
        <v>0</v>
      </c>
      <c r="E292" t="str">
        <f t="shared" si="12"/>
        <v>0,000</v>
      </c>
    </row>
    <row r="293" spans="1:5">
      <c r="A293">
        <v>294000</v>
      </c>
      <c r="B293" t="str">
        <f t="shared" si="13"/>
        <v/>
      </c>
      <c r="C293">
        <f t="shared" si="14"/>
        <v>1900</v>
      </c>
      <c r="D293">
        <f>IF(OR(C293=1900,$D$144=0),0,VLOOKUP(A293,'Estados Financieros'!$A$18:$I$458,9,0))</f>
        <v>0</v>
      </c>
      <c r="E293" t="str">
        <f t="shared" si="12"/>
        <v>0,000</v>
      </c>
    </row>
    <row r="294" spans="1:5">
      <c r="A294">
        <v>190000</v>
      </c>
      <c r="B294" t="str">
        <f t="shared" si="13"/>
        <v/>
      </c>
      <c r="C294">
        <f t="shared" si="14"/>
        <v>1900</v>
      </c>
      <c r="D294">
        <f>IF(OR(C294=1900,$D$144=0),0,VLOOKUP(A294,'Estados Financieros'!$A$18:$I$458,9,0))</f>
        <v>0</v>
      </c>
      <c r="E294" t="str">
        <f t="shared" si="12"/>
        <v>0,000</v>
      </c>
    </row>
    <row r="295" spans="1:5">
      <c r="A295">
        <v>410500</v>
      </c>
      <c r="B295" t="str">
        <f t="shared" si="13"/>
        <v/>
      </c>
      <c r="C295">
        <f t="shared" si="14"/>
        <v>1900</v>
      </c>
      <c r="D295">
        <f>IF(OR(C295=1900,$D$144=0),0,VLOOKUP(A295,'Estados Financieros'!$A$18:$I$458,9,0))</f>
        <v>0</v>
      </c>
      <c r="E295" t="str">
        <f t="shared" si="12"/>
        <v>0,000</v>
      </c>
    </row>
    <row r="296" spans="1:5">
      <c r="A296">
        <v>411000</v>
      </c>
      <c r="B296" t="str">
        <f t="shared" si="13"/>
        <v/>
      </c>
      <c r="C296">
        <f t="shared" si="14"/>
        <v>1900</v>
      </c>
      <c r="D296">
        <f>IF(OR(C296=1900,$D$144=0),0,VLOOKUP(A296,'Estados Financieros'!$A$18:$I$458,9,0))</f>
        <v>0</v>
      </c>
      <c r="E296" t="str">
        <f t="shared" si="12"/>
        <v>0,000</v>
      </c>
    </row>
    <row r="297" spans="1:5">
      <c r="A297">
        <v>41</v>
      </c>
      <c r="B297" t="str">
        <f t="shared" si="13"/>
        <v/>
      </c>
      <c r="C297">
        <f t="shared" si="14"/>
        <v>1900</v>
      </c>
      <c r="D297">
        <f>+D296+D295</f>
        <v>0</v>
      </c>
      <c r="E297" t="str">
        <f t="shared" si="12"/>
        <v>0,000</v>
      </c>
    </row>
    <row r="298" spans="1:5">
      <c r="A298">
        <v>61</v>
      </c>
      <c r="B298" t="str">
        <f t="shared" si="13"/>
        <v/>
      </c>
      <c r="C298">
        <f t="shared" si="14"/>
        <v>1900</v>
      </c>
      <c r="D298">
        <f>IF(OR(C298=1900,$D$144=0),0,VLOOKUP(A298,'Estados Financieros'!$A$18:$I$458,9,0))</f>
        <v>0</v>
      </c>
      <c r="E298" t="str">
        <f t="shared" si="12"/>
        <v>0,000</v>
      </c>
    </row>
    <row r="299" spans="1:5">
      <c r="A299">
        <v>606000</v>
      </c>
      <c r="B299" t="str">
        <f t="shared" si="13"/>
        <v/>
      </c>
      <c r="C299">
        <f t="shared" si="14"/>
        <v>1900</v>
      </c>
      <c r="D299">
        <f>IF(OR(C299=1900,$D$144=0),0,VLOOKUP(A299,'Estados Financieros'!$A$18:$I$458,9,0))</f>
        <v>0</v>
      </c>
      <c r="E299" t="str">
        <f t="shared" si="12"/>
        <v>0,000</v>
      </c>
    </row>
    <row r="300" spans="1:5">
      <c r="A300">
        <v>95</v>
      </c>
      <c r="B300" t="str">
        <f t="shared" si="13"/>
        <v/>
      </c>
      <c r="C300">
        <f t="shared" si="14"/>
        <v>1900</v>
      </c>
      <c r="D300">
        <f>IF(OR(C300=1900,$D$144=0),0,VLOOKUP(A300,'Estados Financieros'!$A$18:$I$458,9,0))</f>
        <v>0</v>
      </c>
      <c r="E300" t="str">
        <f t="shared" si="12"/>
        <v>0,000</v>
      </c>
    </row>
    <row r="301" spans="1:5">
      <c r="A301">
        <v>510500</v>
      </c>
      <c r="B301" t="str">
        <f t="shared" si="13"/>
        <v/>
      </c>
      <c r="C301">
        <f t="shared" si="14"/>
        <v>1900</v>
      </c>
      <c r="D301">
        <f>IF(OR(C301=1900,$D$144=0),0,VLOOKUP(A301,'Estados Financieros'!$A$18:$I$458,9,0))</f>
        <v>0</v>
      </c>
      <c r="E301" t="str">
        <f t="shared" si="12"/>
        <v>0,000</v>
      </c>
    </row>
    <row r="302" spans="1:5">
      <c r="A302">
        <v>511000</v>
      </c>
      <c r="B302" t="str">
        <f t="shared" si="13"/>
        <v/>
      </c>
      <c r="C302">
        <f t="shared" si="14"/>
        <v>1900</v>
      </c>
      <c r="D302">
        <f>IF(OR(C302=1900,$D$144=0),0,VLOOKUP(A302,'Estados Financieros'!$A$18:$I$458,9,0))</f>
        <v>0</v>
      </c>
      <c r="E302" t="str">
        <f t="shared" si="12"/>
        <v>0,000</v>
      </c>
    </row>
    <row r="303" spans="1:5">
      <c r="A303">
        <v>511500</v>
      </c>
      <c r="B303" t="str">
        <f t="shared" si="13"/>
        <v/>
      </c>
      <c r="C303">
        <f t="shared" si="14"/>
        <v>1900</v>
      </c>
      <c r="D303">
        <f>IF(OR(C303=1900,$D$144=0),0,VLOOKUP(A303,'Estados Financieros'!$A$18:$I$458,9,0))</f>
        <v>0</v>
      </c>
      <c r="E303" t="str">
        <f t="shared" si="12"/>
        <v>0,000</v>
      </c>
    </row>
    <row r="304" spans="1:5">
      <c r="A304">
        <v>512000</v>
      </c>
      <c r="B304" t="str">
        <f t="shared" si="13"/>
        <v/>
      </c>
      <c r="C304">
        <f t="shared" si="14"/>
        <v>1900</v>
      </c>
      <c r="D304">
        <f>IF(OR(C304=1900,$D$144=0),0,VLOOKUP(A304,'Estados Financieros'!$A$18:$I$458,9,0))</f>
        <v>0</v>
      </c>
      <c r="E304" t="str">
        <f t="shared" si="12"/>
        <v>0,000</v>
      </c>
    </row>
    <row r="305" spans="1:5">
      <c r="A305">
        <v>512500</v>
      </c>
      <c r="B305" t="str">
        <f t="shared" si="13"/>
        <v/>
      </c>
      <c r="C305">
        <f t="shared" si="14"/>
        <v>1900</v>
      </c>
      <c r="D305">
        <f>IF(OR(C305=1900,$D$144=0),0,VLOOKUP(A305,'Estados Financieros'!$A$18:$I$458,9,0))</f>
        <v>0</v>
      </c>
      <c r="E305" t="str">
        <f t="shared" si="12"/>
        <v>0,000</v>
      </c>
    </row>
    <row r="306" spans="1:5">
      <c r="A306">
        <v>513000</v>
      </c>
      <c r="B306" t="str">
        <f t="shared" si="13"/>
        <v/>
      </c>
      <c r="C306">
        <f t="shared" si="14"/>
        <v>1900</v>
      </c>
      <c r="D306">
        <f>IF(OR(C306=1900,$D$144=0),0,VLOOKUP(A306,'Estados Financieros'!$A$18:$I$458,9,0))</f>
        <v>0</v>
      </c>
      <c r="E306" t="str">
        <f t="shared" si="12"/>
        <v>0,000</v>
      </c>
    </row>
    <row r="307" spans="1:5">
      <c r="A307">
        <v>513500</v>
      </c>
      <c r="B307" t="str">
        <f t="shared" si="13"/>
        <v/>
      </c>
      <c r="C307">
        <f t="shared" si="14"/>
        <v>1900</v>
      </c>
      <c r="D307">
        <f>IF(OR(C307=1900,$D$144=0),0,VLOOKUP(A307,'Estados Financieros'!$A$18:$I$458,9,0))</f>
        <v>0</v>
      </c>
      <c r="E307" t="str">
        <f t="shared" si="12"/>
        <v>0,000</v>
      </c>
    </row>
    <row r="308" spans="1:5">
      <c r="A308">
        <v>514000</v>
      </c>
      <c r="B308" t="str">
        <f t="shared" si="13"/>
        <v/>
      </c>
      <c r="C308">
        <f t="shared" si="14"/>
        <v>1900</v>
      </c>
      <c r="D308">
        <f>IF(OR(C308=1900,$D$144=0),0,VLOOKUP(A308,'Estados Financieros'!$A$18:$I$458,9,0))</f>
        <v>0</v>
      </c>
      <c r="E308" t="str">
        <f t="shared" si="12"/>
        <v>0,000</v>
      </c>
    </row>
    <row r="309" spans="1:5">
      <c r="A309">
        <v>514500</v>
      </c>
      <c r="B309" t="str">
        <f t="shared" si="13"/>
        <v/>
      </c>
      <c r="C309">
        <f t="shared" si="14"/>
        <v>1900</v>
      </c>
      <c r="D309">
        <f>IF(OR(C309=1900,$D$144=0),0,VLOOKUP(A309,'Estados Financieros'!$A$18:$I$458,9,0))</f>
        <v>0</v>
      </c>
      <c r="E309" t="str">
        <f t="shared" si="12"/>
        <v>0,000</v>
      </c>
    </row>
    <row r="310" spans="1:5">
      <c r="A310">
        <v>515000</v>
      </c>
      <c r="B310" t="str">
        <f t="shared" si="13"/>
        <v/>
      </c>
      <c r="C310">
        <f t="shared" si="14"/>
        <v>1900</v>
      </c>
      <c r="D310">
        <f>IF(OR(C310=1900,$D$144=0),0,VLOOKUP(A310,'Estados Financieros'!$A$18:$I$458,9,0))</f>
        <v>0</v>
      </c>
      <c r="E310" t="str">
        <f t="shared" si="12"/>
        <v>0,000</v>
      </c>
    </row>
    <row r="311" spans="1:5">
      <c r="A311">
        <v>515500</v>
      </c>
      <c r="B311" t="str">
        <f t="shared" si="13"/>
        <v/>
      </c>
      <c r="C311">
        <f t="shared" si="14"/>
        <v>1900</v>
      </c>
      <c r="D311">
        <f>IF(OR(C311=1900,$D$144=0),0,VLOOKUP(A311,'Estados Financieros'!$A$18:$I$458,9,0))</f>
        <v>0</v>
      </c>
      <c r="E311" t="str">
        <f t="shared" si="12"/>
        <v>0,000</v>
      </c>
    </row>
    <row r="312" spans="1:5">
      <c r="A312">
        <v>519500</v>
      </c>
      <c r="B312" t="str">
        <f t="shared" si="13"/>
        <v/>
      </c>
      <c r="C312">
        <f t="shared" si="14"/>
        <v>1900</v>
      </c>
      <c r="D312">
        <f>IF(OR(C312=1900,$D$144=0),0,VLOOKUP(A312,'Estados Financieros'!$A$18:$I$458,9,0))</f>
        <v>0</v>
      </c>
      <c r="E312" t="str">
        <f t="shared" si="12"/>
        <v>0,000</v>
      </c>
    </row>
    <row r="313" spans="1:5">
      <c r="A313">
        <v>516000</v>
      </c>
      <c r="B313" t="str">
        <f t="shared" si="13"/>
        <v/>
      </c>
      <c r="C313">
        <f t="shared" si="14"/>
        <v>1900</v>
      </c>
      <c r="D313">
        <f>IF(OR(C313=1900,$D$144=0),0,VLOOKUP(A313,'Estados Financieros'!$A$18:$I$458,9,0))</f>
        <v>0</v>
      </c>
      <c r="E313" t="str">
        <f t="shared" si="12"/>
        <v>0,000</v>
      </c>
    </row>
    <row r="314" spans="1:5">
      <c r="A314">
        <v>516500</v>
      </c>
      <c r="B314" t="str">
        <f t="shared" si="13"/>
        <v/>
      </c>
      <c r="C314">
        <f t="shared" si="14"/>
        <v>1900</v>
      </c>
      <c r="D314">
        <f>IF(OR(C314=1900,$D$144=0),0,VLOOKUP(A314,'Estados Financieros'!$A$18:$I$458,9,0))</f>
        <v>0</v>
      </c>
      <c r="E314" t="str">
        <f t="shared" si="12"/>
        <v>0,000</v>
      </c>
    </row>
    <row r="315" spans="1:5">
      <c r="A315">
        <v>519900</v>
      </c>
      <c r="B315" t="str">
        <f t="shared" si="13"/>
        <v/>
      </c>
      <c r="C315">
        <f t="shared" si="14"/>
        <v>1900</v>
      </c>
      <c r="D315">
        <f>IF(OR(C315=1900,$D$144=0),0,VLOOKUP(A315,'Estados Financieros'!$A$18:$I$458,9,0))</f>
        <v>0</v>
      </c>
      <c r="E315" t="str">
        <f t="shared" si="12"/>
        <v>0,000</v>
      </c>
    </row>
    <row r="316" spans="1:5">
      <c r="A316">
        <v>51</v>
      </c>
      <c r="B316" t="str">
        <f t="shared" si="13"/>
        <v/>
      </c>
      <c r="C316">
        <f t="shared" si="14"/>
        <v>1900</v>
      </c>
      <c r="D316">
        <f>IF(OR(C316=1900,$D$144=0),0,VLOOKUP(A316,'Estados Financieros'!$A$18:$I$458,9,0))</f>
        <v>0</v>
      </c>
      <c r="E316" t="str">
        <f t="shared" si="12"/>
        <v>0,000</v>
      </c>
    </row>
    <row r="317" spans="1:5">
      <c r="A317">
        <v>520500</v>
      </c>
      <c r="B317" t="str">
        <f t="shared" si="13"/>
        <v/>
      </c>
      <c r="C317">
        <f t="shared" si="14"/>
        <v>1900</v>
      </c>
      <c r="D317">
        <f>IF(OR(C317=1900,$D$144=0),0,VLOOKUP(A317,'Estados Financieros'!$A$18:$I$458,9,0))</f>
        <v>0</v>
      </c>
      <c r="E317" t="str">
        <f t="shared" si="12"/>
        <v>0,000</v>
      </c>
    </row>
    <row r="318" spans="1:5">
      <c r="A318">
        <v>521000</v>
      </c>
      <c r="B318" t="str">
        <f t="shared" si="13"/>
        <v/>
      </c>
      <c r="C318">
        <f t="shared" si="14"/>
        <v>1900</v>
      </c>
      <c r="D318">
        <f>IF(OR(C318=1900,$D$144=0),0,VLOOKUP(A318,'Estados Financieros'!$A$18:$I$458,9,0))</f>
        <v>0</v>
      </c>
      <c r="E318" t="str">
        <f t="shared" si="12"/>
        <v>0,000</v>
      </c>
    </row>
    <row r="319" spans="1:5">
      <c r="A319">
        <v>521500</v>
      </c>
      <c r="B319" t="str">
        <f t="shared" si="13"/>
        <v/>
      </c>
      <c r="C319">
        <f t="shared" si="14"/>
        <v>1900</v>
      </c>
      <c r="D319">
        <f>IF(OR(C319=1900,$D$144=0),0,VLOOKUP(A319,'Estados Financieros'!$A$18:$I$458,9,0))</f>
        <v>0</v>
      </c>
      <c r="E319" t="str">
        <f t="shared" si="12"/>
        <v>0,000</v>
      </c>
    </row>
    <row r="320" spans="1:5">
      <c r="A320">
        <v>522000</v>
      </c>
      <c r="B320" t="str">
        <f t="shared" si="13"/>
        <v/>
      </c>
      <c r="C320">
        <f t="shared" si="14"/>
        <v>1900</v>
      </c>
      <c r="D320">
        <f>IF(OR(C320=1900,$D$144=0),0,VLOOKUP(A320,'Estados Financieros'!$A$18:$I$458,9,0))</f>
        <v>0</v>
      </c>
      <c r="E320" t="str">
        <f t="shared" si="12"/>
        <v>0,000</v>
      </c>
    </row>
    <row r="321" spans="1:5">
      <c r="A321">
        <v>522500</v>
      </c>
      <c r="B321" t="str">
        <f t="shared" si="13"/>
        <v/>
      </c>
      <c r="C321">
        <f t="shared" si="14"/>
        <v>1900</v>
      </c>
      <c r="D321">
        <f>IF(OR(C321=1900,$D$144=0),0,VLOOKUP(A321,'Estados Financieros'!$A$18:$I$458,9,0))</f>
        <v>0</v>
      </c>
      <c r="E321" t="str">
        <f t="shared" si="12"/>
        <v>0,000</v>
      </c>
    </row>
    <row r="322" spans="1:5">
      <c r="A322">
        <v>523000</v>
      </c>
      <c r="B322" t="str">
        <f t="shared" si="13"/>
        <v/>
      </c>
      <c r="C322">
        <f t="shared" si="14"/>
        <v>1900</v>
      </c>
      <c r="D322">
        <f>IF(OR(C322=1900,$D$144=0),0,VLOOKUP(A322,'Estados Financieros'!$A$18:$I$458,9,0))</f>
        <v>0</v>
      </c>
      <c r="E322" t="str">
        <f t="shared" ref="E322:E385" si="15">IFERROR(FIXED(D322,3,1),0)</f>
        <v>0,000</v>
      </c>
    </row>
    <row r="323" spans="1:5">
      <c r="A323">
        <v>523500</v>
      </c>
      <c r="B323" t="str">
        <f t="shared" ref="B323:B363" si="16">+B322</f>
        <v/>
      </c>
      <c r="C323">
        <f t="shared" ref="C323:C363" si="17">C322</f>
        <v>1900</v>
      </c>
      <c r="D323">
        <f>IF(OR(C323=1900,$D$144=0),0,VLOOKUP(A323,'Estados Financieros'!$A$18:$I$458,9,0))</f>
        <v>0</v>
      </c>
      <c r="E323" t="str">
        <f t="shared" si="15"/>
        <v>0,000</v>
      </c>
    </row>
    <row r="324" spans="1:5">
      <c r="A324">
        <v>524000</v>
      </c>
      <c r="B324" t="str">
        <f t="shared" si="16"/>
        <v/>
      </c>
      <c r="C324">
        <f t="shared" si="17"/>
        <v>1900</v>
      </c>
      <c r="D324">
        <f>IF(OR(C324=1900,$D$144=0),0,VLOOKUP(A324,'Estados Financieros'!$A$18:$I$458,9,0))</f>
        <v>0</v>
      </c>
      <c r="E324" t="str">
        <f t="shared" si="15"/>
        <v>0,000</v>
      </c>
    </row>
    <row r="325" spans="1:5">
      <c r="A325">
        <v>524500</v>
      </c>
      <c r="B325" t="str">
        <f t="shared" si="16"/>
        <v/>
      </c>
      <c r="C325">
        <f t="shared" si="17"/>
        <v>1900</v>
      </c>
      <c r="D325">
        <f>IF(OR(C325=1900,$D$144=0),0,VLOOKUP(A325,'Estados Financieros'!$A$18:$I$458,9,0))</f>
        <v>0</v>
      </c>
      <c r="E325" t="str">
        <f t="shared" si="15"/>
        <v>0,000</v>
      </c>
    </row>
    <row r="326" spans="1:5">
      <c r="A326">
        <v>525000</v>
      </c>
      <c r="B326" t="str">
        <f t="shared" si="16"/>
        <v/>
      </c>
      <c r="C326">
        <f t="shared" si="17"/>
        <v>1900</v>
      </c>
      <c r="D326">
        <f>IF(OR(C326=1900,$D$144=0),0,VLOOKUP(A326,'Estados Financieros'!$A$18:$I$458,9,0))</f>
        <v>0</v>
      </c>
      <c r="E326" t="str">
        <f t="shared" si="15"/>
        <v>0,000</v>
      </c>
    </row>
    <row r="327" spans="1:5">
      <c r="A327">
        <v>525500</v>
      </c>
      <c r="B327" t="str">
        <f t="shared" si="16"/>
        <v/>
      </c>
      <c r="C327">
        <f t="shared" si="17"/>
        <v>1900</v>
      </c>
      <c r="D327">
        <f>IF(OR(C327=1900,$D$144=0),0,VLOOKUP(A327,'Estados Financieros'!$A$18:$I$458,9,0))</f>
        <v>0</v>
      </c>
      <c r="E327" t="str">
        <f t="shared" si="15"/>
        <v>0,000</v>
      </c>
    </row>
    <row r="328" spans="1:5">
      <c r="A328">
        <v>529500</v>
      </c>
      <c r="B328" t="str">
        <f t="shared" si="16"/>
        <v/>
      </c>
      <c r="C328">
        <f t="shared" si="17"/>
        <v>1900</v>
      </c>
      <c r="D328">
        <f>IF(OR(C328=1900,$D$144=0),0,VLOOKUP(A328,'Estados Financieros'!$A$18:$I$458,9,0))</f>
        <v>0</v>
      </c>
      <c r="E328" t="str">
        <f t="shared" si="15"/>
        <v>0,000</v>
      </c>
    </row>
    <row r="329" spans="1:5">
      <c r="A329">
        <v>526000</v>
      </c>
      <c r="B329" t="str">
        <f t="shared" si="16"/>
        <v/>
      </c>
      <c r="C329">
        <f t="shared" si="17"/>
        <v>1900</v>
      </c>
      <c r="D329">
        <f>IF(OR(C329=1900,$D$144=0),0,VLOOKUP(A329,'Estados Financieros'!$A$18:$I$458,9,0))</f>
        <v>0</v>
      </c>
      <c r="E329" t="str">
        <f t="shared" si="15"/>
        <v>0,000</v>
      </c>
    </row>
    <row r="330" spans="1:5">
      <c r="A330">
        <v>526500</v>
      </c>
      <c r="B330" t="str">
        <f t="shared" si="16"/>
        <v/>
      </c>
      <c r="C330">
        <f t="shared" si="17"/>
        <v>1900</v>
      </c>
      <c r="D330">
        <f>IF(OR(C330=1900,$D$144=0),0,VLOOKUP(A330,'Estados Financieros'!$A$18:$I$458,9,0))</f>
        <v>0</v>
      </c>
      <c r="E330" t="str">
        <f t="shared" si="15"/>
        <v>0,000</v>
      </c>
    </row>
    <row r="331" spans="1:5">
      <c r="A331">
        <v>529900</v>
      </c>
      <c r="B331" t="str">
        <f t="shared" si="16"/>
        <v/>
      </c>
      <c r="C331">
        <f t="shared" si="17"/>
        <v>1900</v>
      </c>
      <c r="D331">
        <f>IF(OR(C331=1900,$D$144=0),0,VLOOKUP(A331,'Estados Financieros'!$A$18:$I$458,9,0))</f>
        <v>0</v>
      </c>
      <c r="E331" t="str">
        <f t="shared" si="15"/>
        <v>0,000</v>
      </c>
    </row>
    <row r="332" spans="1:5">
      <c r="A332">
        <v>52</v>
      </c>
      <c r="B332" t="str">
        <f t="shared" si="16"/>
        <v/>
      </c>
      <c r="C332">
        <f t="shared" si="17"/>
        <v>1900</v>
      </c>
      <c r="D332">
        <f>IF(OR(C332=1900,$D$144=0),0,VLOOKUP(A332,'Estados Financieros'!$A$18:$I$458,9,0))</f>
        <v>0</v>
      </c>
      <c r="E332" t="str">
        <f t="shared" si="15"/>
        <v>0,000</v>
      </c>
    </row>
    <row r="333" spans="1:5">
      <c r="A333">
        <v>96</v>
      </c>
      <c r="B333" t="str">
        <f t="shared" si="16"/>
        <v/>
      </c>
      <c r="C333">
        <f t="shared" si="17"/>
        <v>1900</v>
      </c>
      <c r="D333">
        <f>IF(OR(C333=1900,$D$144=0),0,VLOOKUP(A333,'Estados Financieros'!$A$18:$I$458,9,0))</f>
        <v>0</v>
      </c>
      <c r="E333" t="str">
        <f t="shared" si="15"/>
        <v>0,000</v>
      </c>
    </row>
    <row r="334" spans="1:5">
      <c r="A334">
        <v>421000</v>
      </c>
      <c r="B334" t="str">
        <f t="shared" si="16"/>
        <v/>
      </c>
      <c r="C334">
        <f t="shared" si="17"/>
        <v>1900</v>
      </c>
      <c r="D334">
        <f>IF(OR(C334=1900,$D$144=0),0,VLOOKUP(A334,'Estados Financieros'!$A$18:$I$458,9,0))</f>
        <v>0</v>
      </c>
      <c r="E334" t="str">
        <f t="shared" si="15"/>
        <v>0,000</v>
      </c>
    </row>
    <row r="335" spans="1:5">
      <c r="A335">
        <v>421020</v>
      </c>
      <c r="B335" t="str">
        <f t="shared" si="16"/>
        <v/>
      </c>
      <c r="C335">
        <f t="shared" si="17"/>
        <v>1900</v>
      </c>
      <c r="D335">
        <f>IF(OR(C335=1900,$D$144=0),0,VLOOKUP(A335,'Estados Financieros'!$A$18:$I$458,9,0))</f>
        <v>0</v>
      </c>
      <c r="E335" t="str">
        <f t="shared" si="15"/>
        <v>0,000</v>
      </c>
    </row>
    <row r="336" spans="1:5">
      <c r="A336">
        <v>420500</v>
      </c>
      <c r="B336" t="str">
        <f t="shared" si="16"/>
        <v/>
      </c>
      <c r="C336">
        <f t="shared" si="17"/>
        <v>1900</v>
      </c>
      <c r="D336">
        <f>IF(OR(C336=1900,$D$144=0),0,VLOOKUP(A336,'Estados Financieros'!$A$18:$I$458,9,0))</f>
        <v>0</v>
      </c>
      <c r="E336" t="str">
        <f t="shared" si="15"/>
        <v>0,000</v>
      </c>
    </row>
    <row r="337" spans="1:5">
      <c r="A337">
        <v>421040</v>
      </c>
      <c r="B337" t="str">
        <f t="shared" si="16"/>
        <v/>
      </c>
      <c r="C337">
        <f t="shared" si="17"/>
        <v>1900</v>
      </c>
      <c r="D337">
        <f>IF(OR(C337=1900,$D$144=0),0,VLOOKUP(A337,'Estados Financieros'!$A$18:$I$458,9,0))</f>
        <v>0</v>
      </c>
      <c r="E337" t="str">
        <f t="shared" si="15"/>
        <v>0,000</v>
      </c>
    </row>
    <row r="338" spans="1:5">
      <c r="A338">
        <v>421500</v>
      </c>
      <c r="B338" t="str">
        <f t="shared" si="16"/>
        <v/>
      </c>
      <c r="C338">
        <f t="shared" si="17"/>
        <v>1900</v>
      </c>
      <c r="D338">
        <f>IF(OR(C338=1900,$D$144=0),0,VLOOKUP(A338,'Estados Financieros'!$A$18:$I$458,9,0))</f>
        <v>0</v>
      </c>
      <c r="E338" t="str">
        <f t="shared" si="15"/>
        <v>0,000</v>
      </c>
    </row>
    <row r="339" spans="1:5">
      <c r="A339">
        <v>422000</v>
      </c>
      <c r="B339" t="str">
        <f t="shared" si="16"/>
        <v/>
      </c>
      <c r="C339">
        <f t="shared" si="17"/>
        <v>1900</v>
      </c>
      <c r="D339">
        <f>IF(OR(C339=1900,$D$144=0),0,VLOOKUP(A339,'Estados Financieros'!$A$18:$I$458,9,0))</f>
        <v>0</v>
      </c>
      <c r="E339" t="str">
        <f t="shared" si="15"/>
        <v>0,000</v>
      </c>
    </row>
    <row r="340" spans="1:5">
      <c r="A340">
        <v>422500</v>
      </c>
      <c r="B340" t="str">
        <f t="shared" si="16"/>
        <v/>
      </c>
      <c r="C340">
        <f t="shared" si="17"/>
        <v>1900</v>
      </c>
      <c r="D340">
        <f>IF(OR(C340=1900,$D$144=0),0,VLOOKUP(A340,'Estados Financieros'!$A$18:$I$458,9,0))</f>
        <v>0</v>
      </c>
      <c r="E340" t="str">
        <f t="shared" si="15"/>
        <v>0,000</v>
      </c>
    </row>
    <row r="341" spans="1:5">
      <c r="A341">
        <v>423500</v>
      </c>
      <c r="B341" t="str">
        <f t="shared" si="16"/>
        <v/>
      </c>
      <c r="C341">
        <f t="shared" si="17"/>
        <v>1900</v>
      </c>
      <c r="D341">
        <f>IF(OR(C341=1900,$D$144=0),0,VLOOKUP(A341,'Estados Financieros'!$A$18:$I$458,9,0))</f>
        <v>0</v>
      </c>
      <c r="E341" t="str">
        <f t="shared" si="15"/>
        <v>0,000</v>
      </c>
    </row>
    <row r="342" spans="1:5">
      <c r="A342">
        <v>424000</v>
      </c>
      <c r="B342" t="str">
        <f t="shared" si="16"/>
        <v/>
      </c>
      <c r="C342">
        <f t="shared" si="17"/>
        <v>1900</v>
      </c>
      <c r="D342">
        <f>IF(OR(C342=1900,$D$144=0),0,VLOOKUP(A342,'Estados Financieros'!$A$18:$I$458,9,0))</f>
        <v>0</v>
      </c>
      <c r="E342" t="str">
        <f t="shared" si="15"/>
        <v>0,000</v>
      </c>
    </row>
    <row r="343" spans="1:5">
      <c r="A343">
        <v>425000</v>
      </c>
      <c r="B343" t="str">
        <f t="shared" si="16"/>
        <v/>
      </c>
      <c r="C343">
        <f t="shared" si="17"/>
        <v>1900</v>
      </c>
      <c r="D343">
        <f>IF(OR(C343=1900,$D$144=0),0,VLOOKUP(A343,'Estados Financieros'!$A$18:$I$458,9,0))</f>
        <v>0</v>
      </c>
      <c r="E343" t="str">
        <f t="shared" si="15"/>
        <v>0,000</v>
      </c>
    </row>
    <row r="344" spans="1:5">
      <c r="A344">
        <v>426500</v>
      </c>
      <c r="B344" t="str">
        <f t="shared" si="16"/>
        <v/>
      </c>
      <c r="C344">
        <f t="shared" si="17"/>
        <v>1900</v>
      </c>
      <c r="D344">
        <f>IF(OR(C344=1900,$D$144=0),0,VLOOKUP(A344,'Estados Financieros'!$A$18:$I$458,9,0))</f>
        <v>0</v>
      </c>
      <c r="E344" t="str">
        <f t="shared" si="15"/>
        <v>0,000</v>
      </c>
    </row>
    <row r="345" spans="1:5">
      <c r="A345">
        <v>429500</v>
      </c>
      <c r="B345" t="str">
        <f t="shared" si="16"/>
        <v/>
      </c>
      <c r="C345">
        <f t="shared" si="17"/>
        <v>1900</v>
      </c>
      <c r="D345">
        <f>IF(OR(C345=1900,$D$144=0),0,VLOOKUP(A345,'Estados Financieros'!$A$18:$I$458,9,0))</f>
        <v>0</v>
      </c>
      <c r="E345" t="str">
        <f t="shared" si="15"/>
        <v>0,000</v>
      </c>
    </row>
    <row r="346" spans="1:5">
      <c r="A346">
        <v>42</v>
      </c>
      <c r="B346" t="str">
        <f t="shared" si="16"/>
        <v/>
      </c>
      <c r="C346">
        <f t="shared" si="17"/>
        <v>1900</v>
      </c>
      <c r="D346">
        <f>IF(OR(C346=1900,$D$144=0),0,VLOOKUP(A346,'Estados Financieros'!$A$18:$I$458,9,0))</f>
        <v>0</v>
      </c>
      <c r="E346" t="str">
        <f t="shared" si="15"/>
        <v>0,000</v>
      </c>
    </row>
    <row r="347" spans="1:5">
      <c r="A347">
        <v>5301</v>
      </c>
      <c r="B347" t="str">
        <f t="shared" si="16"/>
        <v/>
      </c>
      <c r="C347">
        <f t="shared" si="17"/>
        <v>1900</v>
      </c>
      <c r="D347">
        <f>IF(OR(C347=1900,$D$144=0),0,VLOOKUP(A347,'Estados Financieros'!$A$18:$I$458,9,0))</f>
        <v>0</v>
      </c>
      <c r="E347" t="str">
        <f t="shared" si="15"/>
        <v>0,000</v>
      </c>
    </row>
    <row r="348" spans="1:5">
      <c r="A348">
        <v>530525</v>
      </c>
      <c r="B348" t="str">
        <f t="shared" si="16"/>
        <v/>
      </c>
      <c r="C348">
        <f t="shared" si="17"/>
        <v>1900</v>
      </c>
      <c r="D348">
        <f>IF(OR(C348=1900,$D$144=0),0,VLOOKUP(A348,'Estados Financieros'!$A$18:$I$458,9,0))</f>
        <v>0</v>
      </c>
      <c r="E348" t="str">
        <f t="shared" si="15"/>
        <v>0,000</v>
      </c>
    </row>
    <row r="349" spans="1:5">
      <c r="A349">
        <v>530505</v>
      </c>
      <c r="B349" t="str">
        <f t="shared" si="16"/>
        <v/>
      </c>
      <c r="C349">
        <f t="shared" si="17"/>
        <v>1900</v>
      </c>
      <c r="D349">
        <f>IF(OR(C349=1900,$D$144=0),0,VLOOKUP(A349,'Estados Financieros'!$A$18:$I$458,9,0))</f>
        <v>0</v>
      </c>
      <c r="E349" t="str">
        <f t="shared" si="15"/>
        <v>0,000</v>
      </c>
    </row>
    <row r="350" spans="1:5">
      <c r="A350">
        <v>530515</v>
      </c>
      <c r="B350" t="str">
        <f t="shared" si="16"/>
        <v/>
      </c>
      <c r="C350">
        <f t="shared" si="17"/>
        <v>1900</v>
      </c>
      <c r="D350">
        <f>IF(OR(C350=1900,$D$144=0),0,VLOOKUP(A350,'Estados Financieros'!$A$18:$I$458,9,0))</f>
        <v>0</v>
      </c>
      <c r="E350" t="str">
        <f t="shared" si="15"/>
        <v>0,000</v>
      </c>
    </row>
    <row r="351" spans="1:5">
      <c r="A351">
        <v>530535</v>
      </c>
      <c r="B351" t="str">
        <f t="shared" si="16"/>
        <v/>
      </c>
      <c r="C351">
        <f t="shared" si="17"/>
        <v>1900</v>
      </c>
      <c r="D351">
        <f>IF(OR(C351=1900,$D$144=0),0,VLOOKUP(A351,'Estados Financieros'!$A$18:$I$458,9,0))</f>
        <v>0</v>
      </c>
      <c r="E351" t="str">
        <f t="shared" si="15"/>
        <v>0,000</v>
      </c>
    </row>
    <row r="352" spans="1:5">
      <c r="A352">
        <v>531000</v>
      </c>
      <c r="B352" t="str">
        <f t="shared" si="16"/>
        <v/>
      </c>
      <c r="C352">
        <f t="shared" si="17"/>
        <v>1900</v>
      </c>
      <c r="D352">
        <f>IF(OR(C352=1900,$D$144=0),0,VLOOKUP(A352,'Estados Financieros'!$A$18:$I$458,9,0))</f>
        <v>0</v>
      </c>
      <c r="E352" t="str">
        <f t="shared" si="15"/>
        <v>0,000</v>
      </c>
    </row>
    <row r="353" spans="1:5">
      <c r="A353">
        <v>531300</v>
      </c>
      <c r="B353" t="str">
        <f t="shared" si="16"/>
        <v/>
      </c>
      <c r="C353">
        <f t="shared" si="17"/>
        <v>1900</v>
      </c>
      <c r="D353">
        <f>IF(OR(C353=1900,$D$144=0),0,VLOOKUP(A353,'Estados Financieros'!$A$18:$I$458,9,0))</f>
        <v>0</v>
      </c>
      <c r="E353" t="str">
        <f t="shared" si="15"/>
        <v>0,000</v>
      </c>
    </row>
    <row r="354" spans="1:5">
      <c r="A354">
        <v>531500</v>
      </c>
      <c r="B354" t="str">
        <f t="shared" si="16"/>
        <v/>
      </c>
      <c r="C354">
        <f t="shared" si="17"/>
        <v>1900</v>
      </c>
      <c r="D354">
        <f>IF(OR(C354=1900,$D$144=0),0,VLOOKUP(A354,'Estados Financieros'!$A$18:$I$458,9,0))</f>
        <v>0</v>
      </c>
      <c r="E354" t="str">
        <f t="shared" si="15"/>
        <v>0,000</v>
      </c>
    </row>
    <row r="355" spans="1:5">
      <c r="A355">
        <v>531515</v>
      </c>
      <c r="B355" t="str">
        <f t="shared" si="16"/>
        <v/>
      </c>
      <c r="C355">
        <f t="shared" si="17"/>
        <v>1900</v>
      </c>
      <c r="D355">
        <f>IF(OR(C355=1900,$D$144=0),0,VLOOKUP(A355,'Estados Financieros'!$A$18:$I$458,9,0))</f>
        <v>0</v>
      </c>
      <c r="E355" t="str">
        <f t="shared" si="15"/>
        <v>0,000</v>
      </c>
    </row>
    <row r="356" spans="1:5">
      <c r="A356">
        <v>531520</v>
      </c>
      <c r="B356" t="str">
        <f t="shared" si="16"/>
        <v/>
      </c>
      <c r="C356">
        <f t="shared" si="17"/>
        <v>1900</v>
      </c>
      <c r="D356">
        <f>IF(OR(C356=1900,$D$144=0),0,VLOOKUP(A356,'Estados Financieros'!$A$18:$I$458,9,0))</f>
        <v>0</v>
      </c>
      <c r="E356" t="str">
        <f t="shared" si="15"/>
        <v>0,000</v>
      </c>
    </row>
    <row r="357" spans="1:5">
      <c r="A357">
        <v>539525</v>
      </c>
      <c r="B357" t="str">
        <f t="shared" si="16"/>
        <v/>
      </c>
      <c r="C357">
        <f t="shared" si="17"/>
        <v>1900</v>
      </c>
      <c r="D357">
        <f>IF(OR(C357=1900,$D$144=0),0,VLOOKUP(A357,'Estados Financieros'!$A$18:$I$458,9,0))</f>
        <v>0</v>
      </c>
      <c r="E357" t="str">
        <f t="shared" si="15"/>
        <v>0,000</v>
      </c>
    </row>
    <row r="358" spans="1:5">
      <c r="A358">
        <v>539595</v>
      </c>
      <c r="B358" t="str">
        <f t="shared" si="16"/>
        <v/>
      </c>
      <c r="C358">
        <f t="shared" si="17"/>
        <v>1900</v>
      </c>
      <c r="D358">
        <f>IF(OR(C358=1900,$D$144=0),0,VLOOKUP(A358,'Estados Financieros'!$A$18:$I$458,9,0))</f>
        <v>0</v>
      </c>
      <c r="E358" t="str">
        <f t="shared" si="15"/>
        <v>0,000</v>
      </c>
    </row>
    <row r="359" spans="1:5">
      <c r="A359">
        <v>53</v>
      </c>
      <c r="B359" t="str">
        <f t="shared" si="16"/>
        <v/>
      </c>
      <c r="C359">
        <f t="shared" si="17"/>
        <v>1900</v>
      </c>
      <c r="D359">
        <f>IF(OR(C359=1900,$D$144=0),0,VLOOKUP(A359,'Estados Financieros'!$A$18:$I$458,9,0))</f>
        <v>0</v>
      </c>
      <c r="E359" t="str">
        <f t="shared" si="15"/>
        <v>0,000</v>
      </c>
    </row>
    <row r="360" spans="1:5">
      <c r="A360">
        <v>98</v>
      </c>
      <c r="B360" t="str">
        <f t="shared" si="16"/>
        <v/>
      </c>
      <c r="C360">
        <f t="shared" si="17"/>
        <v>1900</v>
      </c>
      <c r="D360">
        <f>IF(OR(C360=1900,$D$144=0),0,VLOOKUP(A360,'Estados Financieros'!$A$18:$I$458,9,0))</f>
        <v>0</v>
      </c>
      <c r="E360" t="str">
        <f t="shared" si="15"/>
        <v>0,000</v>
      </c>
    </row>
    <row r="361" spans="1:5">
      <c r="A361">
        <v>97</v>
      </c>
      <c r="B361" t="str">
        <f t="shared" si="16"/>
        <v/>
      </c>
      <c r="C361">
        <f t="shared" si="17"/>
        <v>1900</v>
      </c>
      <c r="D361">
        <f>IF(OR(C361=1900,$D$144=0),0,VLOOKUP(A361,'Estados Financieros'!$A$18:$I$458,9,0))</f>
        <v>0</v>
      </c>
      <c r="E361" t="str">
        <f t="shared" si="15"/>
        <v>0,000</v>
      </c>
    </row>
    <row r="362" spans="1:5">
      <c r="A362">
        <v>54</v>
      </c>
      <c r="B362" t="str">
        <f t="shared" si="16"/>
        <v/>
      </c>
      <c r="C362">
        <f t="shared" si="17"/>
        <v>1900</v>
      </c>
      <c r="D362">
        <f>IF(OR(C362=1900,$D$144=0),0,VLOOKUP(A362,'Estados Financieros'!$A$18:$I$458,9,0))</f>
        <v>0</v>
      </c>
      <c r="E362" t="str">
        <f t="shared" si="15"/>
        <v>0,000</v>
      </c>
    </row>
    <row r="363" spans="1:5">
      <c r="A363">
        <v>99</v>
      </c>
      <c r="B363" t="str">
        <f t="shared" si="16"/>
        <v/>
      </c>
      <c r="C363">
        <f t="shared" si="17"/>
        <v>1900</v>
      </c>
      <c r="D363">
        <f>IF(OR(C363=1900,$D$144=0),0,VLOOKUP(A363,'Estados Financieros'!$A$18:$I$458,9,0))</f>
        <v>0</v>
      </c>
      <c r="E363" t="str">
        <f t="shared" si="15"/>
        <v>0,000</v>
      </c>
    </row>
    <row r="364" spans="1:5">
      <c r="A364">
        <v>110105</v>
      </c>
      <c r="B364" t="str">
        <f>IF(C364=1900,"",'RC'!$D$6)</f>
        <v/>
      </c>
      <c r="C364">
        <f>IF(OR('RC'!$D$6=0,'RC'!$D$6="",'Estados Financieros'!$H$185=0,'Estados Financieros'!$H$10&lt;&gt;"OK",'Estados Financieros'!$H$461&lt;&gt;"OK",'Estados Financieros'!$H$14&lt;&gt;"OK"),1900,'Estados Financieros'!N4+0)</f>
        <v>1900</v>
      </c>
      <c r="D364">
        <f>IF(OR(C364=1900,$D$506=0),0,VLOOKUP(A364,'Estados Financieros'!$A$18:$I$458,8,0))</f>
        <v>0</v>
      </c>
      <c r="E364" t="str">
        <f t="shared" si="15"/>
        <v>0,000</v>
      </c>
    </row>
    <row r="365" spans="1:5">
      <c r="A365">
        <v>110110</v>
      </c>
      <c r="B365" t="str">
        <f t="shared" ref="B365:B396" si="18">+B364</f>
        <v/>
      </c>
      <c r="C365">
        <f t="shared" ref="C365:C396" si="19">C364</f>
        <v>1900</v>
      </c>
      <c r="D365">
        <f>IF(OR(C365=1900,$D$506=0),0,VLOOKUP(A365,'Estados Financieros'!$A$18:$I$458,8,0))</f>
        <v>0</v>
      </c>
      <c r="E365" t="str">
        <f t="shared" si="15"/>
        <v>0,000</v>
      </c>
    </row>
    <row r="366" spans="1:5">
      <c r="A366">
        <v>111010</v>
      </c>
      <c r="B366" t="str">
        <f t="shared" si="18"/>
        <v/>
      </c>
      <c r="C366">
        <f t="shared" si="19"/>
        <v>1900</v>
      </c>
      <c r="D366">
        <f>IF(OR(C366=1900,$D$506=0),0,VLOOKUP(A366,'Estados Financieros'!$A$18:$I$458,8,0))</f>
        <v>0</v>
      </c>
      <c r="E366" t="str">
        <f t="shared" si="15"/>
        <v>0,000</v>
      </c>
    </row>
    <row r="367" spans="1:5">
      <c r="A367">
        <v>110130</v>
      </c>
      <c r="B367" t="str">
        <f t="shared" si="18"/>
        <v/>
      </c>
      <c r="C367">
        <f t="shared" si="19"/>
        <v>1900</v>
      </c>
      <c r="D367">
        <f>IF(OR(C367=1900,$D$506=0),0,VLOOKUP(A367,'Estados Financieros'!$A$18:$I$458,8,0))</f>
        <v>0</v>
      </c>
      <c r="E367" t="str">
        <f t="shared" si="15"/>
        <v>0,000</v>
      </c>
    </row>
    <row r="368" spans="1:5">
      <c r="A368">
        <v>110125</v>
      </c>
      <c r="B368" t="str">
        <f t="shared" si="18"/>
        <v/>
      </c>
      <c r="C368">
        <f t="shared" si="19"/>
        <v>1900</v>
      </c>
      <c r="D368">
        <f>IF(OR(C368=1900,$D$506=0),0,VLOOKUP(A368,'Estados Financieros'!$A$18:$I$458,8,0))</f>
        <v>0</v>
      </c>
      <c r="E368" t="str">
        <f t="shared" si="15"/>
        <v>0,000</v>
      </c>
    </row>
    <row r="369" spans="1:5">
      <c r="A369">
        <v>1101</v>
      </c>
      <c r="B369" t="str">
        <f t="shared" si="18"/>
        <v/>
      </c>
      <c r="C369">
        <f t="shared" si="19"/>
        <v>1900</v>
      </c>
      <c r="D369">
        <f>IF(OR(C369=1900,$D$506=0),0,VLOOKUP(A369,'Estados Financieros'!$A$18:$I$458,8,0))</f>
        <v>0</v>
      </c>
      <c r="E369" t="str">
        <f t="shared" si="15"/>
        <v>0,000</v>
      </c>
    </row>
    <row r="370" spans="1:5">
      <c r="A370">
        <v>110205</v>
      </c>
      <c r="B370" t="str">
        <f t="shared" si="18"/>
        <v/>
      </c>
      <c r="C370">
        <f t="shared" si="19"/>
        <v>1900</v>
      </c>
      <c r="D370">
        <f>IF(OR(C370=1900,$D$506=0),0,VLOOKUP(A370,'Estados Financieros'!$A$18:$I$458,8,0))</f>
        <v>0</v>
      </c>
      <c r="E370" t="str">
        <f t="shared" si="15"/>
        <v>0,000</v>
      </c>
    </row>
    <row r="371" spans="1:5">
      <c r="A371">
        <v>110210</v>
      </c>
      <c r="B371" t="str">
        <f t="shared" si="18"/>
        <v/>
      </c>
      <c r="C371">
        <f t="shared" si="19"/>
        <v>1900</v>
      </c>
      <c r="D371">
        <f>IF(OR(C371=1900,$D$506=0),0,VLOOKUP(A371,'Estados Financieros'!$A$18:$I$458,8,0))</f>
        <v>0</v>
      </c>
      <c r="E371" t="str">
        <f t="shared" si="15"/>
        <v>0,000</v>
      </c>
    </row>
    <row r="372" spans="1:5">
      <c r="A372">
        <v>110215</v>
      </c>
      <c r="B372" t="str">
        <f t="shared" si="18"/>
        <v/>
      </c>
      <c r="C372">
        <f t="shared" si="19"/>
        <v>1900</v>
      </c>
      <c r="D372">
        <f>IF(OR(C372=1900,$D$506=0),0,VLOOKUP(A372,'Estados Financieros'!$A$18:$I$458,8,0))</f>
        <v>0</v>
      </c>
      <c r="E372" t="str">
        <f t="shared" si="15"/>
        <v>0,000</v>
      </c>
    </row>
    <row r="373" spans="1:5">
      <c r="A373">
        <v>110225</v>
      </c>
      <c r="B373" t="str">
        <f t="shared" si="18"/>
        <v/>
      </c>
      <c r="C373">
        <f t="shared" si="19"/>
        <v>1900</v>
      </c>
      <c r="D373">
        <f>IF(OR(C373=1900,$D$506=0),0,VLOOKUP(A373,'Estados Financieros'!$A$18:$I$458,8,0))</f>
        <v>0</v>
      </c>
      <c r="E373" t="str">
        <f t="shared" si="15"/>
        <v>0,000</v>
      </c>
    </row>
    <row r="374" spans="1:5">
      <c r="A374">
        <v>110235</v>
      </c>
      <c r="B374" t="str">
        <f t="shared" si="18"/>
        <v/>
      </c>
      <c r="C374">
        <f t="shared" si="19"/>
        <v>1900</v>
      </c>
      <c r="D374">
        <f>IF(OR(C374=1900,$D$506=0),0,VLOOKUP(A374,'Estados Financieros'!$A$18:$I$458,8,0))</f>
        <v>0</v>
      </c>
      <c r="E374" t="str">
        <f t="shared" si="15"/>
        <v>0,000</v>
      </c>
    </row>
    <row r="375" spans="1:5">
      <c r="A375">
        <v>110255</v>
      </c>
      <c r="B375" t="str">
        <f t="shared" si="18"/>
        <v/>
      </c>
      <c r="C375">
        <f t="shared" si="19"/>
        <v>1900</v>
      </c>
      <c r="D375">
        <f>IF(OR(C375=1900,$D$506=0),0,VLOOKUP(A375,'Estados Financieros'!$A$18:$I$458,8,0))</f>
        <v>0</v>
      </c>
      <c r="E375" t="str">
        <f t="shared" si="15"/>
        <v>0,000</v>
      </c>
    </row>
    <row r="376" spans="1:5">
      <c r="A376">
        <v>129700</v>
      </c>
      <c r="B376" t="str">
        <f t="shared" si="18"/>
        <v/>
      </c>
      <c r="C376">
        <f t="shared" si="19"/>
        <v>1900</v>
      </c>
      <c r="D376">
        <f>IF(OR(C376=1900,$D$506=0),0,VLOOKUP(A376,'Estados Financieros'!$A$18:$I$458,8,0))</f>
        <v>0</v>
      </c>
      <c r="E376" t="str">
        <f t="shared" si="15"/>
        <v>0,000</v>
      </c>
    </row>
    <row r="377" spans="1:5">
      <c r="A377">
        <v>110260</v>
      </c>
      <c r="B377" t="str">
        <f t="shared" si="18"/>
        <v/>
      </c>
      <c r="C377">
        <f t="shared" si="19"/>
        <v>1900</v>
      </c>
      <c r="D377">
        <f>IF(OR(C377=1900,$D$506=0),0,VLOOKUP(A377,'Estados Financieros'!$A$18:$I$458,8,0))</f>
        <v>0</v>
      </c>
      <c r="E377" t="str">
        <f t="shared" si="15"/>
        <v>0,000</v>
      </c>
    </row>
    <row r="378" spans="1:5">
      <c r="A378">
        <v>1102</v>
      </c>
      <c r="B378" t="str">
        <f t="shared" si="18"/>
        <v/>
      </c>
      <c r="C378">
        <f t="shared" si="19"/>
        <v>1900</v>
      </c>
      <c r="D378">
        <f>IF(OR(C378=1900,$D$506=0),0,VLOOKUP(A378,'Estados Financieros'!$A$18:$I$458,8,0))</f>
        <v>0</v>
      </c>
      <c r="E378" t="str">
        <f t="shared" si="15"/>
        <v>0,000</v>
      </c>
    </row>
    <row r="379" spans="1:5">
      <c r="A379">
        <v>110305</v>
      </c>
      <c r="B379" t="str">
        <f t="shared" si="18"/>
        <v/>
      </c>
      <c r="C379">
        <f t="shared" si="19"/>
        <v>1900</v>
      </c>
      <c r="D379">
        <f>IF(OR(C379=1900,$D$506=0),0,VLOOKUP(A379,'Estados Financieros'!$A$18:$I$458,8,0))</f>
        <v>0</v>
      </c>
      <c r="E379" t="str">
        <f t="shared" si="15"/>
        <v>0,000</v>
      </c>
    </row>
    <row r="380" spans="1:5">
      <c r="A380">
        <v>130510</v>
      </c>
      <c r="B380" t="str">
        <f t="shared" si="18"/>
        <v/>
      </c>
      <c r="C380">
        <f t="shared" si="19"/>
        <v>1900</v>
      </c>
      <c r="D380">
        <f>IF(OR(C380=1900,$D$506=0),0,VLOOKUP(A380,'Estados Financieros'!$A$18:$I$458,8,0))</f>
        <v>0</v>
      </c>
      <c r="E380" t="str">
        <f t="shared" si="15"/>
        <v>0,000</v>
      </c>
    </row>
    <row r="381" spans="1:5">
      <c r="A381">
        <v>131000</v>
      </c>
      <c r="B381" t="str">
        <f t="shared" si="18"/>
        <v/>
      </c>
      <c r="C381">
        <f t="shared" si="19"/>
        <v>1900</v>
      </c>
      <c r="D381">
        <f>IF(OR(C381=1900,$D$506=0),0,VLOOKUP(A381,'Estados Financieros'!$A$18:$I$458,8,0))</f>
        <v>0</v>
      </c>
      <c r="E381" t="str">
        <f t="shared" si="15"/>
        <v>0,000</v>
      </c>
    </row>
    <row r="382" spans="1:5">
      <c r="A382">
        <v>110390</v>
      </c>
      <c r="B382" t="str">
        <f t="shared" si="18"/>
        <v/>
      </c>
      <c r="C382">
        <f t="shared" si="19"/>
        <v>1900</v>
      </c>
      <c r="D382">
        <f>IF(OR(C382=1900,$D$506=0),0,VLOOKUP(A382,'Estados Financieros'!$A$18:$I$458,8,0))</f>
        <v>0</v>
      </c>
      <c r="E382" t="str">
        <f t="shared" si="15"/>
        <v>0,000</v>
      </c>
    </row>
    <row r="383" spans="1:5">
      <c r="A383">
        <v>110395</v>
      </c>
      <c r="B383" t="str">
        <f t="shared" si="18"/>
        <v/>
      </c>
      <c r="C383">
        <f t="shared" si="19"/>
        <v>1900</v>
      </c>
      <c r="D383">
        <f>IF(OR(C383=1900,$D$506=0),0,VLOOKUP(A383,'Estados Financieros'!$A$18:$I$458,8,0))</f>
        <v>0</v>
      </c>
      <c r="E383" t="str">
        <f t="shared" si="15"/>
        <v>0,000</v>
      </c>
    </row>
    <row r="384" spans="1:5">
      <c r="A384">
        <v>1103</v>
      </c>
      <c r="B384" t="str">
        <f t="shared" si="18"/>
        <v/>
      </c>
      <c r="C384">
        <f t="shared" si="19"/>
        <v>1900</v>
      </c>
      <c r="D384">
        <f>IF(OR(C384=1900,$D$506=0),0,VLOOKUP(A384,'Estados Financieros'!$A$18:$I$458,8,0))</f>
        <v>0</v>
      </c>
      <c r="E384" t="str">
        <f t="shared" si="15"/>
        <v>0,000</v>
      </c>
    </row>
    <row r="385" spans="1:5">
      <c r="A385">
        <v>132000</v>
      </c>
      <c r="B385" t="str">
        <f t="shared" si="18"/>
        <v/>
      </c>
      <c r="C385">
        <f t="shared" si="19"/>
        <v>1900</v>
      </c>
      <c r="D385">
        <f>IF(OR(C385=1900,$D$506=0),0,VLOOKUP(A385,'Estados Financieros'!$A$18:$I$458,8,0))</f>
        <v>0</v>
      </c>
      <c r="E385" t="str">
        <f t="shared" si="15"/>
        <v>0,000</v>
      </c>
    </row>
    <row r="386" spans="1:5">
      <c r="A386">
        <v>132500</v>
      </c>
      <c r="B386" t="str">
        <f t="shared" si="18"/>
        <v/>
      </c>
      <c r="C386">
        <f t="shared" si="19"/>
        <v>1900</v>
      </c>
      <c r="D386">
        <f>IF(OR(C386=1900,$D$506=0),0,VLOOKUP(A386,'Estados Financieros'!$A$18:$I$458,8,0))</f>
        <v>0</v>
      </c>
      <c r="E386" t="str">
        <f t="shared" ref="E386:E449" si="20">IFERROR(FIXED(D386,3,1),0)</f>
        <v>0,000</v>
      </c>
    </row>
    <row r="387" spans="1:5">
      <c r="A387">
        <v>133000</v>
      </c>
      <c r="B387" t="str">
        <f t="shared" si="18"/>
        <v/>
      </c>
      <c r="C387">
        <f t="shared" si="19"/>
        <v>1900</v>
      </c>
      <c r="D387">
        <f>IF(OR(C387=1900,$D$506=0),0,VLOOKUP(A387,'Estados Financieros'!$A$18:$I$458,8,0))</f>
        <v>0</v>
      </c>
      <c r="E387" t="str">
        <f t="shared" si="20"/>
        <v>0,000</v>
      </c>
    </row>
    <row r="388" spans="1:5">
      <c r="A388">
        <v>133500</v>
      </c>
      <c r="B388" t="str">
        <f t="shared" si="18"/>
        <v/>
      </c>
      <c r="C388">
        <f t="shared" si="19"/>
        <v>1900</v>
      </c>
      <c r="D388">
        <f>IF(OR(C388=1900,$D$506=0),0,VLOOKUP(A388,'Estados Financieros'!$A$18:$I$458,8,0))</f>
        <v>0</v>
      </c>
      <c r="E388" t="str">
        <f t="shared" si="20"/>
        <v>0,000</v>
      </c>
    </row>
    <row r="389" spans="1:5">
      <c r="A389">
        <v>134000</v>
      </c>
      <c r="B389" t="str">
        <f t="shared" si="18"/>
        <v/>
      </c>
      <c r="C389">
        <f t="shared" si="19"/>
        <v>1900</v>
      </c>
      <c r="D389">
        <f>IF(OR(C389=1900,$D$506=0),0,VLOOKUP(A389,'Estados Financieros'!$A$18:$I$458,8,0))</f>
        <v>0</v>
      </c>
      <c r="E389" t="str">
        <f t="shared" si="20"/>
        <v>0,000</v>
      </c>
    </row>
    <row r="390" spans="1:5">
      <c r="A390">
        <v>134500</v>
      </c>
      <c r="B390" t="str">
        <f t="shared" si="18"/>
        <v/>
      </c>
      <c r="C390">
        <f t="shared" si="19"/>
        <v>1900</v>
      </c>
      <c r="D390">
        <f>IF(OR(C390=1900,$D$506=0),0,VLOOKUP(A390,'Estados Financieros'!$A$18:$I$458,8,0))</f>
        <v>0</v>
      </c>
      <c r="E390" t="str">
        <f t="shared" si="20"/>
        <v>0,000</v>
      </c>
    </row>
    <row r="391" spans="1:5">
      <c r="A391">
        <v>135000</v>
      </c>
      <c r="B391" t="str">
        <f t="shared" si="18"/>
        <v/>
      </c>
      <c r="C391">
        <f t="shared" si="19"/>
        <v>1900</v>
      </c>
      <c r="D391">
        <f>IF(OR(C391=1900,$D$506=0),0,VLOOKUP(A391,'Estados Financieros'!$A$18:$I$458,8,0))</f>
        <v>0</v>
      </c>
      <c r="E391" t="str">
        <f t="shared" si="20"/>
        <v>0,000</v>
      </c>
    </row>
    <row r="392" spans="1:5">
      <c r="A392">
        <v>135500</v>
      </c>
      <c r="B392" t="str">
        <f t="shared" si="18"/>
        <v/>
      </c>
      <c r="C392">
        <f t="shared" si="19"/>
        <v>1900</v>
      </c>
      <c r="D392">
        <f>IF(OR(C392=1900,$D$506=0),0,VLOOKUP(A392,'Estados Financieros'!$A$18:$I$458,8,0))</f>
        <v>0</v>
      </c>
      <c r="E392" t="str">
        <f t="shared" si="20"/>
        <v>0,000</v>
      </c>
    </row>
    <row r="393" spans="1:5">
      <c r="A393">
        <v>136000</v>
      </c>
      <c r="B393" t="str">
        <f t="shared" si="18"/>
        <v/>
      </c>
      <c r="C393">
        <f t="shared" si="19"/>
        <v>1900</v>
      </c>
      <c r="D393">
        <f>IF(OR(C393=1900,$D$506=0),0,VLOOKUP(A393,'Estados Financieros'!$A$18:$I$458,8,0))</f>
        <v>0</v>
      </c>
      <c r="E393" t="str">
        <f t="shared" si="20"/>
        <v>0,000</v>
      </c>
    </row>
    <row r="394" spans="1:5">
      <c r="A394">
        <v>136500</v>
      </c>
      <c r="B394" t="str">
        <f t="shared" si="18"/>
        <v/>
      </c>
      <c r="C394">
        <f t="shared" si="19"/>
        <v>1900</v>
      </c>
      <c r="D394">
        <f>IF(OR(C394=1900,$D$506=0),0,VLOOKUP(A394,'Estados Financieros'!$A$18:$I$458,8,0))</f>
        <v>0</v>
      </c>
      <c r="E394" t="str">
        <f t="shared" si="20"/>
        <v>0,000</v>
      </c>
    </row>
    <row r="395" spans="1:5">
      <c r="A395">
        <v>137000</v>
      </c>
      <c r="B395" t="str">
        <f t="shared" si="18"/>
        <v/>
      </c>
      <c r="C395">
        <f t="shared" si="19"/>
        <v>1900</v>
      </c>
      <c r="D395">
        <f>IF(OR(C395=1900,$D$506=0),0,VLOOKUP(A395,'Estados Financieros'!$A$18:$I$458,8,0))</f>
        <v>0</v>
      </c>
      <c r="E395" t="str">
        <f t="shared" si="20"/>
        <v>0,000</v>
      </c>
    </row>
    <row r="396" spans="1:5">
      <c r="A396">
        <v>139000</v>
      </c>
      <c r="B396" t="str">
        <f t="shared" si="18"/>
        <v/>
      </c>
      <c r="C396">
        <f t="shared" si="19"/>
        <v>1900</v>
      </c>
      <c r="D396">
        <f>IF(OR(C396=1900,$D$506=0),0,VLOOKUP(A396,'Estados Financieros'!$A$18:$I$458,8,0))</f>
        <v>0</v>
      </c>
      <c r="E396" t="str">
        <f t="shared" si="20"/>
        <v>0,000</v>
      </c>
    </row>
    <row r="397" spans="1:5">
      <c r="A397">
        <v>139500</v>
      </c>
      <c r="B397" t="str">
        <f t="shared" ref="B397:B418" si="21">+B396</f>
        <v/>
      </c>
      <c r="C397">
        <f t="shared" ref="C397:C417" si="22">C396</f>
        <v>1900</v>
      </c>
      <c r="D397">
        <f>IF(OR(C397=1900,$D$506=0),0,VLOOKUP(A397,'Estados Financieros'!$A$18:$I$458,8,0))</f>
        <v>0</v>
      </c>
      <c r="E397" t="str">
        <f t="shared" si="20"/>
        <v>0,000</v>
      </c>
    </row>
    <row r="398" spans="1:5">
      <c r="A398">
        <v>139905</v>
      </c>
      <c r="B398" t="str">
        <f t="shared" si="21"/>
        <v/>
      </c>
      <c r="C398">
        <f t="shared" si="22"/>
        <v>1900</v>
      </c>
      <c r="D398">
        <f>IF(OR(C398=1900,$D$506=0),0,VLOOKUP(A398,'Estados Financieros'!$A$18:$I$458,8,0))</f>
        <v>0</v>
      </c>
      <c r="E398" t="str">
        <f t="shared" si="20"/>
        <v>0,000</v>
      </c>
    </row>
    <row r="399" spans="1:5">
      <c r="A399">
        <v>1106</v>
      </c>
      <c r="B399" t="str">
        <f t="shared" si="21"/>
        <v/>
      </c>
      <c r="C399">
        <f t="shared" si="22"/>
        <v>1900</v>
      </c>
      <c r="D399">
        <f>IF(OR(C399=1900,$D$506=0),0,VLOOKUP(A399,'Estados Financieros'!$A$18:$I$458,8,0))</f>
        <v>0</v>
      </c>
      <c r="E399" t="str">
        <f t="shared" si="20"/>
        <v>0,000</v>
      </c>
    </row>
    <row r="400" spans="1:5">
      <c r="A400">
        <v>110405</v>
      </c>
      <c r="B400" t="str">
        <f t="shared" si="21"/>
        <v/>
      </c>
      <c r="C400">
        <f t="shared" si="22"/>
        <v>1900</v>
      </c>
      <c r="D400">
        <f>IF(OR(C400=1900,$D$506=0),0,VLOOKUP(A400,'Estados Financieros'!$A$18:$I$458,8,0))</f>
        <v>0</v>
      </c>
      <c r="E400" t="str">
        <f t="shared" si="20"/>
        <v>0,000</v>
      </c>
    </row>
    <row r="401" spans="1:5">
      <c r="A401">
        <v>110410</v>
      </c>
      <c r="B401" t="str">
        <f t="shared" si="21"/>
        <v/>
      </c>
      <c r="C401">
        <f t="shared" si="22"/>
        <v>1900</v>
      </c>
      <c r="D401">
        <f>IF(OR(C401=1900,$D$506=0),0,VLOOKUP(A401,'Estados Financieros'!$A$18:$I$458,8,0))</f>
        <v>0</v>
      </c>
      <c r="E401" t="str">
        <f t="shared" si="20"/>
        <v>0,000</v>
      </c>
    </row>
    <row r="402" spans="1:5">
      <c r="A402">
        <v>142500</v>
      </c>
      <c r="B402" t="str">
        <f t="shared" si="21"/>
        <v/>
      </c>
      <c r="C402">
        <f t="shared" si="22"/>
        <v>1900</v>
      </c>
      <c r="D402">
        <f>IF(OR(C402=1900,$D$506=0),0,VLOOKUP(A402,'Estados Financieros'!$A$18:$I$458,8,0))</f>
        <v>0</v>
      </c>
      <c r="E402" t="str">
        <f t="shared" si="20"/>
        <v>0,000</v>
      </c>
    </row>
    <row r="403" spans="1:5">
      <c r="A403">
        <v>110415</v>
      </c>
      <c r="B403" t="str">
        <f t="shared" si="21"/>
        <v/>
      </c>
      <c r="C403">
        <f t="shared" si="22"/>
        <v>1900</v>
      </c>
      <c r="D403">
        <f>IF(OR(C403=1900,$D$506=0),0,VLOOKUP(A403,'Estados Financieros'!$A$18:$I$458,8,0))</f>
        <v>0</v>
      </c>
      <c r="E403" t="str">
        <f t="shared" si="20"/>
        <v>0,000</v>
      </c>
    </row>
    <row r="404" spans="1:5">
      <c r="A404">
        <v>143500</v>
      </c>
      <c r="B404" t="str">
        <f t="shared" si="21"/>
        <v/>
      </c>
      <c r="C404">
        <f t="shared" si="22"/>
        <v>1900</v>
      </c>
      <c r="D404">
        <f>IF(OR(C404=1900,$D$506=0),0,VLOOKUP(A404,'Estados Financieros'!$A$18:$I$458,8,0))</f>
        <v>0</v>
      </c>
      <c r="E404" t="str">
        <f t="shared" si="20"/>
        <v>0,000</v>
      </c>
    </row>
    <row r="405" spans="1:5">
      <c r="A405">
        <v>110420</v>
      </c>
      <c r="B405" t="str">
        <f t="shared" si="21"/>
        <v/>
      </c>
      <c r="C405">
        <f t="shared" si="22"/>
        <v>1900</v>
      </c>
      <c r="D405">
        <f>IF(OR(C405=1900,$D$506=0),0,VLOOKUP(A405,'Estados Financieros'!$A$18:$I$458,8,0))</f>
        <v>0</v>
      </c>
      <c r="E405" t="str">
        <f t="shared" si="20"/>
        <v>0,000</v>
      </c>
    </row>
    <row r="406" spans="1:5">
      <c r="A406">
        <v>110495</v>
      </c>
      <c r="B406" t="str">
        <f t="shared" si="21"/>
        <v/>
      </c>
      <c r="C406">
        <f t="shared" si="22"/>
        <v>1900</v>
      </c>
      <c r="D406">
        <f>IF(OR(C406=1900,$D$506=0),0,VLOOKUP(A406,'Estados Financieros'!$A$18:$I$458,8,0))</f>
        <v>0</v>
      </c>
      <c r="E406" t="str">
        <f t="shared" si="20"/>
        <v>0,000</v>
      </c>
    </row>
    <row r="407" spans="1:5">
      <c r="A407">
        <v>110490</v>
      </c>
      <c r="B407" t="str">
        <f t="shared" si="21"/>
        <v/>
      </c>
      <c r="C407">
        <f t="shared" si="22"/>
        <v>1900</v>
      </c>
      <c r="D407">
        <f>IF(OR(C407=1900,$D$506=0),0,VLOOKUP(A407,'Estados Financieros'!$A$18:$I$458,8,0))</f>
        <v>0</v>
      </c>
      <c r="E407" t="str">
        <f t="shared" si="20"/>
        <v>0,000</v>
      </c>
    </row>
    <row r="408" spans="1:5">
      <c r="A408">
        <v>110491</v>
      </c>
      <c r="B408" t="str">
        <f t="shared" si="21"/>
        <v/>
      </c>
      <c r="C408">
        <f t="shared" si="22"/>
        <v>1900</v>
      </c>
      <c r="D408">
        <f>IF(OR(C408=1900,$D$506=0),0,VLOOKUP(A408,'Estados Financieros'!$A$18:$I$458,8,0))</f>
        <v>0</v>
      </c>
      <c r="E408" t="str">
        <f t="shared" si="20"/>
        <v>0,000</v>
      </c>
    </row>
    <row r="409" spans="1:5">
      <c r="A409">
        <v>149900</v>
      </c>
      <c r="B409" t="str">
        <f t="shared" si="21"/>
        <v/>
      </c>
      <c r="C409">
        <f t="shared" si="22"/>
        <v>1900</v>
      </c>
      <c r="D409">
        <f>IF(OR(C409=1900,$D$506=0),0,VLOOKUP(A409,'Estados Financieros'!$A$18:$I$458,8,0))</f>
        <v>0</v>
      </c>
      <c r="E409" t="str">
        <f t="shared" si="20"/>
        <v>0,000</v>
      </c>
    </row>
    <row r="410" spans="1:5">
      <c r="A410">
        <v>140005</v>
      </c>
      <c r="B410" t="str">
        <f t="shared" si="21"/>
        <v/>
      </c>
      <c r="C410">
        <f t="shared" si="22"/>
        <v>1900</v>
      </c>
      <c r="D410">
        <f>IF(OR(C410=1900,$D$506=0),0,VLOOKUP(A410,'Estados Financieros'!$A$18:$I$458,8,0))</f>
        <v>0</v>
      </c>
      <c r="E410" t="str">
        <f t="shared" si="20"/>
        <v>0,000</v>
      </c>
    </row>
    <row r="411" spans="1:5">
      <c r="A411">
        <v>145500</v>
      </c>
      <c r="B411" t="str">
        <f t="shared" si="21"/>
        <v/>
      </c>
      <c r="C411">
        <f t="shared" si="22"/>
        <v>1900</v>
      </c>
      <c r="D411">
        <f>IF(OR(C411=1900,$D$506=0),0,VLOOKUP(A411,'Estados Financieros'!$A$18:$I$458,8,0))</f>
        <v>0</v>
      </c>
      <c r="E411" t="str">
        <f t="shared" si="20"/>
        <v>0,000</v>
      </c>
    </row>
    <row r="412" spans="1:5">
      <c r="A412">
        <v>146000</v>
      </c>
      <c r="B412" t="str">
        <f t="shared" si="21"/>
        <v/>
      </c>
      <c r="C412">
        <f t="shared" si="22"/>
        <v>1900</v>
      </c>
      <c r="D412">
        <f>IF(OR(C412=1900,$D$506=0),0,VLOOKUP(A412,'Estados Financieros'!$A$18:$I$458,8,0))</f>
        <v>0</v>
      </c>
      <c r="E412" t="str">
        <f t="shared" si="20"/>
        <v>0,000</v>
      </c>
    </row>
    <row r="413" spans="1:5">
      <c r="A413">
        <v>149510</v>
      </c>
      <c r="B413" t="str">
        <f t="shared" si="21"/>
        <v/>
      </c>
      <c r="C413">
        <f t="shared" si="22"/>
        <v>1900</v>
      </c>
      <c r="D413">
        <f>IF(OR(C413=1900,$D$506=0),0,VLOOKUP(A413,'Estados Financieros'!$A$18:$I$458,8,0))</f>
        <v>0</v>
      </c>
      <c r="E413" t="str">
        <f t="shared" si="20"/>
        <v>0,000</v>
      </c>
    </row>
    <row r="414" spans="1:5">
      <c r="A414">
        <v>149901</v>
      </c>
      <c r="B414" t="str">
        <f t="shared" si="21"/>
        <v/>
      </c>
      <c r="C414">
        <f t="shared" si="22"/>
        <v>1900</v>
      </c>
      <c r="D414">
        <f>IF(OR(C414=1900,$D$506=0),0,VLOOKUP(A414,'Estados Financieros'!$A$18:$I$458,8,0))</f>
        <v>0</v>
      </c>
      <c r="E414" t="str">
        <f t="shared" si="20"/>
        <v>0,000</v>
      </c>
    </row>
    <row r="415" spans="1:5">
      <c r="A415">
        <v>149902</v>
      </c>
      <c r="B415" t="str">
        <f t="shared" si="21"/>
        <v/>
      </c>
      <c r="C415">
        <f t="shared" si="22"/>
        <v>1900</v>
      </c>
      <c r="D415">
        <f>IF(OR(C415=1900,$D$506=0),0,VLOOKUP(A415,'Estados Financieros'!$A$18:$I$458,8,0))</f>
        <v>0</v>
      </c>
      <c r="E415" t="str">
        <f t="shared" si="20"/>
        <v>0,000</v>
      </c>
    </row>
    <row r="416" spans="1:5">
      <c r="A416">
        <v>149910</v>
      </c>
      <c r="B416" t="str">
        <f t="shared" si="21"/>
        <v/>
      </c>
      <c r="C416">
        <f t="shared" si="22"/>
        <v>1900</v>
      </c>
      <c r="D416">
        <f>IF(OR(C416=1900,$D$506=0),0,VLOOKUP(A416,'Estados Financieros'!$A$18:$I$458,8,0))</f>
        <v>0</v>
      </c>
      <c r="E416" t="str">
        <f t="shared" si="20"/>
        <v>0,000</v>
      </c>
    </row>
    <row r="417" spans="1:5">
      <c r="A417">
        <v>140010</v>
      </c>
      <c r="B417" t="str">
        <f t="shared" si="21"/>
        <v/>
      </c>
      <c r="C417">
        <f t="shared" si="22"/>
        <v>1900</v>
      </c>
      <c r="D417">
        <f>IF(OR(C417=1900,$D$506=0),0,VLOOKUP(A417,'Estados Financieros'!$A$18:$I$458,8,0))</f>
        <v>0</v>
      </c>
      <c r="E417" t="str">
        <f t="shared" si="20"/>
        <v>0,000</v>
      </c>
    </row>
    <row r="418" spans="1:5">
      <c r="A418">
        <v>1104</v>
      </c>
      <c r="B418" t="str">
        <f t="shared" si="21"/>
        <v/>
      </c>
      <c r="C418">
        <f>+C417</f>
        <v>1900</v>
      </c>
      <c r="D418">
        <f>+D417+D410</f>
        <v>0</v>
      </c>
      <c r="E418" t="str">
        <f t="shared" si="20"/>
        <v>0,000</v>
      </c>
    </row>
    <row r="419" spans="1:5">
      <c r="A419">
        <v>170500</v>
      </c>
      <c r="B419" t="str">
        <f>+B417</f>
        <v/>
      </c>
      <c r="C419">
        <f>C417</f>
        <v>1900</v>
      </c>
      <c r="D419">
        <f>IF(OR(C419=1900,$D$506=0),0,VLOOKUP(A419,'Estados Financieros'!$A$18:$I$458,8,0))</f>
        <v>0</v>
      </c>
      <c r="E419" t="str">
        <f t="shared" si="20"/>
        <v>0,000</v>
      </c>
    </row>
    <row r="420" spans="1:5">
      <c r="A420">
        <v>171000</v>
      </c>
      <c r="B420" t="str">
        <f t="shared" ref="B420:B483" si="23">+B419</f>
        <v/>
      </c>
      <c r="C420">
        <f t="shared" ref="C420:C483" si="24">C419</f>
        <v>1900</v>
      </c>
      <c r="D420">
        <f>IF(OR(C420=1900,$D$506=0),0,VLOOKUP(A420,'Estados Financieros'!$A$18:$I$458,8,0))</f>
        <v>0</v>
      </c>
      <c r="E420" t="str">
        <f t="shared" si="20"/>
        <v>0,000</v>
      </c>
    </row>
    <row r="421" spans="1:5">
      <c r="A421">
        <v>173000</v>
      </c>
      <c r="B421" t="str">
        <f t="shared" si="23"/>
        <v/>
      </c>
      <c r="C421">
        <f t="shared" si="24"/>
        <v>1900</v>
      </c>
      <c r="D421">
        <f>IF(OR(C421=1900,$D$506=0),0,VLOOKUP(A421,'Estados Financieros'!$A$18:$I$458,8,0))</f>
        <v>0</v>
      </c>
      <c r="E421" t="str">
        <f t="shared" si="20"/>
        <v>0,000</v>
      </c>
    </row>
    <row r="422" spans="1:5">
      <c r="A422">
        <v>179500</v>
      </c>
      <c r="B422" t="str">
        <f t="shared" si="23"/>
        <v/>
      </c>
      <c r="C422">
        <f t="shared" si="24"/>
        <v>1900</v>
      </c>
      <c r="D422">
        <f>IF(OR(C422=1900,$D$506=0),0,VLOOKUP(A422,'Estados Financieros'!$A$18:$I$458,8,0))</f>
        <v>0</v>
      </c>
      <c r="E422" t="str">
        <f t="shared" si="20"/>
        <v>0,000</v>
      </c>
    </row>
    <row r="423" spans="1:5">
      <c r="A423">
        <v>179700</v>
      </c>
      <c r="B423" t="str">
        <f t="shared" si="23"/>
        <v/>
      </c>
      <c r="C423">
        <f t="shared" si="24"/>
        <v>1900</v>
      </c>
      <c r="D423">
        <f>IF(OR(C423=1900,$D$506=0),0,VLOOKUP(A423,'Estados Financieros'!$A$18:$I$458,8,0))</f>
        <v>0</v>
      </c>
      <c r="E423" t="str">
        <f t="shared" si="20"/>
        <v>0,000</v>
      </c>
    </row>
    <row r="424" spans="1:5">
      <c r="A424">
        <v>1107</v>
      </c>
      <c r="B424" t="str">
        <f t="shared" si="23"/>
        <v/>
      </c>
      <c r="C424">
        <f t="shared" si="24"/>
        <v>1900</v>
      </c>
      <c r="D424">
        <f>IF(OR(C424=1900,$D$506=0),0,VLOOKUP(A424,'Estados Financieros'!$A$18:$I$458,8,0))</f>
        <v>0</v>
      </c>
      <c r="E424" t="str">
        <f t="shared" si="20"/>
        <v>0,000</v>
      </c>
    </row>
    <row r="425" spans="1:5">
      <c r="A425">
        <v>189500</v>
      </c>
      <c r="B425" t="str">
        <f t="shared" si="23"/>
        <v/>
      </c>
      <c r="C425">
        <f t="shared" si="24"/>
        <v>1900</v>
      </c>
      <c r="D425">
        <f>IF(OR(C425=1900,$D$506=0),0,VLOOKUP(A425,'Estados Financieros'!$A$18:$I$458,8,0))</f>
        <v>0</v>
      </c>
      <c r="E425" t="str">
        <f t="shared" si="20"/>
        <v>0,000</v>
      </c>
    </row>
    <row r="426" spans="1:5">
      <c r="A426">
        <v>181000</v>
      </c>
      <c r="B426" t="str">
        <f t="shared" si="23"/>
        <v/>
      </c>
      <c r="C426">
        <f t="shared" si="24"/>
        <v>1900</v>
      </c>
      <c r="D426">
        <f>IF(OR(C426=1900,$D$506=0),0,VLOOKUP(A426,'Estados Financieros'!$A$18:$I$458,8,0))</f>
        <v>0</v>
      </c>
      <c r="E426" t="str">
        <f t="shared" si="20"/>
        <v>0,000</v>
      </c>
    </row>
    <row r="427" spans="1:5">
      <c r="A427">
        <v>180000</v>
      </c>
      <c r="B427" t="str">
        <f t="shared" si="23"/>
        <v/>
      </c>
      <c r="C427">
        <f t="shared" si="24"/>
        <v>1900</v>
      </c>
      <c r="D427">
        <f>IF(OR(C427=1900,$D$506=0),0,VLOOKUP(A427,'Estados Financieros'!$A$18:$I$458,8,0))</f>
        <v>0</v>
      </c>
      <c r="E427" t="str">
        <f t="shared" si="20"/>
        <v>0,000</v>
      </c>
    </row>
    <row r="428" spans="1:5">
      <c r="A428">
        <v>11</v>
      </c>
      <c r="B428" t="str">
        <f t="shared" si="23"/>
        <v/>
      </c>
      <c r="C428">
        <f t="shared" si="24"/>
        <v>1900</v>
      </c>
      <c r="D428">
        <f>IF(OR(C428=1900,$D$506=0),0,VLOOKUP(A428,'Estados Financieros'!$A$18:$I$458,8,0))</f>
        <v>0</v>
      </c>
      <c r="E428" t="str">
        <f t="shared" si="20"/>
        <v>0,000</v>
      </c>
    </row>
    <row r="429" spans="1:5">
      <c r="A429">
        <v>120104</v>
      </c>
      <c r="B429" t="str">
        <f t="shared" si="23"/>
        <v/>
      </c>
      <c r="C429">
        <f t="shared" si="24"/>
        <v>1900</v>
      </c>
      <c r="D429">
        <f>IF(OR(C429=1900,$D$506=0),0,VLOOKUP(A429,'Estados Financieros'!$A$18:$I$458,8,0))</f>
        <v>0</v>
      </c>
      <c r="E429" t="str">
        <f t="shared" si="20"/>
        <v>0,000</v>
      </c>
    </row>
    <row r="430" spans="1:5">
      <c r="A430">
        <v>120108</v>
      </c>
      <c r="B430" t="str">
        <f t="shared" si="23"/>
        <v/>
      </c>
      <c r="C430">
        <f t="shared" si="24"/>
        <v>1900</v>
      </c>
      <c r="D430">
        <f>IF(OR(C430=1900,$D$506=0),0,VLOOKUP(A430,'Estados Financieros'!$A$18:$I$458,8,0))</f>
        <v>0</v>
      </c>
      <c r="E430" t="str">
        <f t="shared" si="20"/>
        <v>0,000</v>
      </c>
    </row>
    <row r="431" spans="1:5">
      <c r="A431">
        <v>151201</v>
      </c>
      <c r="B431" t="str">
        <f t="shared" si="23"/>
        <v/>
      </c>
      <c r="C431">
        <f t="shared" si="24"/>
        <v>1900</v>
      </c>
      <c r="D431">
        <f>IF(OR(C431=1900,$D$506=0),0,VLOOKUP(A431,'Estados Financieros'!$A$18:$I$458,8,0))</f>
        <v>0</v>
      </c>
      <c r="E431" t="str">
        <f t="shared" si="20"/>
        <v>0,000</v>
      </c>
    </row>
    <row r="432" spans="1:5">
      <c r="A432">
        <v>120116</v>
      </c>
      <c r="B432" t="str">
        <f t="shared" si="23"/>
        <v/>
      </c>
      <c r="C432">
        <f t="shared" si="24"/>
        <v>1900</v>
      </c>
      <c r="D432">
        <f>IF(OR(C432=1900,$D$506=0),0,VLOOKUP(A432,'Estados Financieros'!$A$18:$I$458,8,0))</f>
        <v>0</v>
      </c>
      <c r="E432" t="str">
        <f t="shared" si="20"/>
        <v>0,000</v>
      </c>
    </row>
    <row r="433" spans="1:5">
      <c r="A433">
        <v>120120</v>
      </c>
      <c r="B433" t="str">
        <f t="shared" si="23"/>
        <v/>
      </c>
      <c r="C433">
        <f t="shared" si="24"/>
        <v>1900</v>
      </c>
      <c r="D433">
        <f>IF(OR(C433=1900,$D$506=0),0,VLOOKUP(A433,'Estados Financieros'!$A$18:$I$458,8,0))</f>
        <v>0</v>
      </c>
      <c r="E433" t="str">
        <f t="shared" si="20"/>
        <v>0,000</v>
      </c>
    </row>
    <row r="434" spans="1:5">
      <c r="A434">
        <v>120124</v>
      </c>
      <c r="B434" t="str">
        <f t="shared" si="23"/>
        <v/>
      </c>
      <c r="C434">
        <f t="shared" si="24"/>
        <v>1900</v>
      </c>
      <c r="D434">
        <f>IF(OR(C434=1900,$D$506=0),0,VLOOKUP(A434,'Estados Financieros'!$A$18:$I$458,8,0))</f>
        <v>0</v>
      </c>
      <c r="E434" t="str">
        <f t="shared" si="20"/>
        <v>0,000</v>
      </c>
    </row>
    <row r="435" spans="1:5">
      <c r="A435">
        <v>120128</v>
      </c>
      <c r="B435" t="str">
        <f t="shared" si="23"/>
        <v/>
      </c>
      <c r="C435">
        <f t="shared" si="24"/>
        <v>1900</v>
      </c>
      <c r="D435">
        <f>IF(OR(C435=1900,$D$506=0),0,VLOOKUP(A435,'Estados Financieros'!$A$18:$I$458,8,0))</f>
        <v>0</v>
      </c>
      <c r="E435" t="str">
        <f t="shared" si="20"/>
        <v>0,000</v>
      </c>
    </row>
    <row r="436" spans="1:5">
      <c r="A436">
        <v>120140</v>
      </c>
      <c r="B436" t="str">
        <f t="shared" si="23"/>
        <v/>
      </c>
      <c r="C436">
        <f t="shared" si="24"/>
        <v>1900</v>
      </c>
      <c r="D436">
        <f>IF(OR(C436=1900,$D$506=0),0,VLOOKUP(A436,'Estados Financieros'!$A$18:$I$458,8,0))</f>
        <v>0</v>
      </c>
      <c r="E436" t="str">
        <f t="shared" si="20"/>
        <v>0,000</v>
      </c>
    </row>
    <row r="437" spans="1:5">
      <c r="A437">
        <v>155601</v>
      </c>
      <c r="B437" t="str">
        <f t="shared" si="23"/>
        <v/>
      </c>
      <c r="C437">
        <f t="shared" si="24"/>
        <v>1900</v>
      </c>
      <c r="D437">
        <f>IF(OR(C437=1900,$D$506=0),0,VLOOKUP(A437,'Estados Financieros'!$A$18:$I$458,8,0))</f>
        <v>0</v>
      </c>
      <c r="E437" t="str">
        <f t="shared" si="20"/>
        <v>0,000</v>
      </c>
    </row>
    <row r="438" spans="1:5">
      <c r="A438">
        <v>156001</v>
      </c>
      <c r="B438" t="str">
        <f t="shared" si="23"/>
        <v/>
      </c>
      <c r="C438">
        <f t="shared" si="24"/>
        <v>1900</v>
      </c>
      <c r="D438">
        <f>IF(OR(C438=1900,$D$506=0),0,VLOOKUP(A438,'Estados Financieros'!$A$18:$I$458,8,0))</f>
        <v>0</v>
      </c>
      <c r="E438" t="str">
        <f t="shared" si="20"/>
        <v>0,000</v>
      </c>
    </row>
    <row r="439" spans="1:5">
      <c r="A439">
        <v>156401</v>
      </c>
      <c r="B439" t="str">
        <f t="shared" si="23"/>
        <v/>
      </c>
      <c r="C439">
        <f t="shared" si="24"/>
        <v>1900</v>
      </c>
      <c r="D439">
        <f>IF(OR(C439=1900,$D$506=0),0,VLOOKUP(A439,'Estados Financieros'!$A$18:$I$458,8,0))</f>
        <v>0</v>
      </c>
      <c r="E439" t="str">
        <f t="shared" si="20"/>
        <v>0,000</v>
      </c>
    </row>
    <row r="440" spans="1:5">
      <c r="A440">
        <v>157201</v>
      </c>
      <c r="B440" t="str">
        <f t="shared" si="23"/>
        <v/>
      </c>
      <c r="C440">
        <f t="shared" si="24"/>
        <v>1900</v>
      </c>
      <c r="D440">
        <f>IF(OR(C440=1900,$D$506=0),0,VLOOKUP(A440,'Estados Financieros'!$A$18:$I$458,8,0))</f>
        <v>0</v>
      </c>
      <c r="E440" t="str">
        <f t="shared" si="20"/>
        <v>0,000</v>
      </c>
    </row>
    <row r="441" spans="1:5">
      <c r="A441">
        <v>157601</v>
      </c>
      <c r="B441" t="str">
        <f t="shared" si="23"/>
        <v/>
      </c>
      <c r="C441">
        <f t="shared" si="24"/>
        <v>1900</v>
      </c>
      <c r="D441">
        <f>IF(OR(C441=1900,$D$506=0),0,VLOOKUP(A441,'Estados Financieros'!$A$18:$I$458,8,0))</f>
        <v>0</v>
      </c>
      <c r="E441" t="str">
        <f t="shared" si="20"/>
        <v>0,000</v>
      </c>
    </row>
    <row r="442" spans="1:5">
      <c r="A442">
        <v>158401</v>
      </c>
      <c r="B442" t="str">
        <f t="shared" si="23"/>
        <v/>
      </c>
      <c r="C442">
        <f t="shared" si="24"/>
        <v>1900</v>
      </c>
      <c r="D442">
        <f>IF(OR(C442=1900,$D$506=0),0,VLOOKUP(A442,'Estados Financieros'!$A$18:$I$458,8,0))</f>
        <v>0</v>
      </c>
      <c r="E442" t="str">
        <f t="shared" si="20"/>
        <v>0,000</v>
      </c>
    </row>
    <row r="443" spans="1:5">
      <c r="A443">
        <v>158801</v>
      </c>
      <c r="B443" t="str">
        <f t="shared" si="23"/>
        <v/>
      </c>
      <c r="C443">
        <f t="shared" si="24"/>
        <v>1900</v>
      </c>
      <c r="D443">
        <f>IF(OR(C443=1900,$D$506=0),0,VLOOKUP(A443,'Estados Financieros'!$A$18:$I$458,8,0))</f>
        <v>0</v>
      </c>
      <c r="E443" t="str">
        <f t="shared" si="20"/>
        <v>0,000</v>
      </c>
    </row>
    <row r="444" spans="1:5">
      <c r="A444">
        <v>120145</v>
      </c>
      <c r="B444" t="str">
        <f t="shared" si="23"/>
        <v/>
      </c>
      <c r="C444">
        <f t="shared" si="24"/>
        <v>1900</v>
      </c>
      <c r="D444">
        <f>IF(OR(C444=1900,$D$506=0),0,VLOOKUP(A444,'Estados Financieros'!$A$18:$I$458,8,0))</f>
        <v>0</v>
      </c>
      <c r="E444" t="str">
        <f t="shared" si="20"/>
        <v>0,000</v>
      </c>
    </row>
    <row r="445" spans="1:5">
      <c r="A445">
        <v>120195</v>
      </c>
      <c r="B445" t="str">
        <f t="shared" si="23"/>
        <v/>
      </c>
      <c r="C445">
        <f t="shared" si="24"/>
        <v>1900</v>
      </c>
      <c r="D445">
        <f>IF(OR(C445=1900,$D$506=0),0,VLOOKUP(A445,'Estados Financieros'!$A$18:$I$458,8,0))</f>
        <v>0</v>
      </c>
      <c r="E445" t="str">
        <f t="shared" si="20"/>
        <v>0,000</v>
      </c>
    </row>
    <row r="446" spans="1:5">
      <c r="A446">
        <v>159701</v>
      </c>
      <c r="B446" t="str">
        <f t="shared" si="23"/>
        <v/>
      </c>
      <c r="C446">
        <f t="shared" si="24"/>
        <v>1900</v>
      </c>
      <c r="D446">
        <f>IF(OR(C446=1900,$D$506=0),0,VLOOKUP(A446,'Estados Financieros'!$A$18:$I$458,8,0))</f>
        <v>0</v>
      </c>
      <c r="E446" t="str">
        <f t="shared" si="20"/>
        <v>0,000</v>
      </c>
    </row>
    <row r="447" spans="1:5">
      <c r="A447">
        <v>159899</v>
      </c>
      <c r="B447" t="str">
        <f t="shared" si="23"/>
        <v/>
      </c>
      <c r="C447">
        <f t="shared" si="24"/>
        <v>1900</v>
      </c>
      <c r="D447">
        <f>IF(OR(C447=1900,$D$506=0),0,VLOOKUP(A447,'Estados Financieros'!$A$18:$I$458,8,0))</f>
        <v>0</v>
      </c>
      <c r="E447" t="str">
        <f t="shared" si="20"/>
        <v>0,000</v>
      </c>
    </row>
    <row r="448" spans="1:5">
      <c r="A448">
        <v>159901</v>
      </c>
      <c r="B448" t="str">
        <f t="shared" si="23"/>
        <v/>
      </c>
      <c r="C448">
        <f t="shared" si="24"/>
        <v>1900</v>
      </c>
      <c r="D448">
        <f>IF(OR(C448=1900,$D$506=0),0,VLOOKUP(A448,'Estados Financieros'!$A$18:$I$458,8,0))</f>
        <v>0</v>
      </c>
      <c r="E448" t="str">
        <f t="shared" si="20"/>
        <v>0,000</v>
      </c>
    </row>
    <row r="449" spans="1:5">
      <c r="A449">
        <v>1201</v>
      </c>
      <c r="B449" t="str">
        <f t="shared" si="23"/>
        <v/>
      </c>
      <c r="C449">
        <f t="shared" si="24"/>
        <v>1900</v>
      </c>
      <c r="D449">
        <f>IF(OR(C449=1900,$D$506=0),0,VLOOKUP(A449,'Estados Financieros'!$A$18:$I$458,8,0))</f>
        <v>0</v>
      </c>
      <c r="E449" t="str">
        <f t="shared" si="20"/>
        <v>0,000</v>
      </c>
    </row>
    <row r="450" spans="1:5">
      <c r="A450">
        <v>130506</v>
      </c>
      <c r="B450" t="str">
        <f t="shared" si="23"/>
        <v/>
      </c>
      <c r="C450">
        <f t="shared" si="24"/>
        <v>1900</v>
      </c>
      <c r="D450">
        <f>IF(OR(C450=1900,$D$506=0),0,VLOOKUP(A450,'Estados Financieros'!$A$18:$I$458,8,0))</f>
        <v>0</v>
      </c>
      <c r="E450" t="str">
        <f t="shared" ref="E450:E513" si="25">IFERROR(FIXED(D450,3,1),0)</f>
        <v>0,000</v>
      </c>
    </row>
    <row r="451" spans="1:5">
      <c r="A451">
        <v>130511</v>
      </c>
      <c r="B451" t="str">
        <f t="shared" si="23"/>
        <v/>
      </c>
      <c r="C451">
        <f t="shared" si="24"/>
        <v>1900</v>
      </c>
      <c r="D451">
        <f>IF(OR(C451=1900,$D$506=0),0,VLOOKUP(A451,'Estados Financieros'!$A$18:$I$458,8,0))</f>
        <v>0</v>
      </c>
      <c r="E451" t="str">
        <f t="shared" si="25"/>
        <v>0,000</v>
      </c>
    </row>
    <row r="452" spans="1:5">
      <c r="A452">
        <v>131001</v>
      </c>
      <c r="B452" t="str">
        <f t="shared" si="23"/>
        <v/>
      </c>
      <c r="C452">
        <f t="shared" si="24"/>
        <v>1900</v>
      </c>
      <c r="D452">
        <f>IF(OR(C452=1900,$D$506=0),0,VLOOKUP(A452,'Estados Financieros'!$A$18:$I$458,8,0))</f>
        <v>0</v>
      </c>
      <c r="E452" t="str">
        <f t="shared" si="25"/>
        <v>0,000</v>
      </c>
    </row>
    <row r="453" spans="1:5">
      <c r="A453">
        <v>131501</v>
      </c>
      <c r="B453" t="str">
        <f t="shared" si="23"/>
        <v/>
      </c>
      <c r="C453">
        <f t="shared" si="24"/>
        <v>1900</v>
      </c>
      <c r="D453">
        <f>IF(OR(C453=1900,$D$506=0),0,VLOOKUP(A453,'Estados Financieros'!$A$18:$I$458,8,0))</f>
        <v>0</v>
      </c>
      <c r="E453" t="str">
        <f t="shared" si="25"/>
        <v>0,000</v>
      </c>
    </row>
    <row r="454" spans="1:5">
      <c r="A454">
        <v>132001</v>
      </c>
      <c r="B454" t="str">
        <f t="shared" si="23"/>
        <v/>
      </c>
      <c r="C454">
        <f t="shared" si="24"/>
        <v>1900</v>
      </c>
      <c r="D454">
        <f>IF(OR(C454=1900,$D$506=0),0,VLOOKUP(A454,'Estados Financieros'!$A$18:$I$458,8,0))</f>
        <v>0</v>
      </c>
      <c r="E454" t="str">
        <f t="shared" si="25"/>
        <v>0,000</v>
      </c>
    </row>
    <row r="455" spans="1:5">
      <c r="A455">
        <v>132501</v>
      </c>
      <c r="B455" t="str">
        <f t="shared" si="23"/>
        <v/>
      </c>
      <c r="C455">
        <f t="shared" si="24"/>
        <v>1900</v>
      </c>
      <c r="D455">
        <f>IF(OR(C455=1900,$D$506=0),0,VLOOKUP(A455,'Estados Financieros'!$A$18:$I$458,8,0))</f>
        <v>0</v>
      </c>
      <c r="E455" t="str">
        <f t="shared" si="25"/>
        <v>0,000</v>
      </c>
    </row>
    <row r="456" spans="1:5">
      <c r="A456">
        <v>133001</v>
      </c>
      <c r="B456" t="str">
        <f t="shared" si="23"/>
        <v/>
      </c>
      <c r="C456">
        <f t="shared" si="24"/>
        <v>1900</v>
      </c>
      <c r="D456">
        <f>IF(OR(C456=1900,$D$506=0),0,VLOOKUP(A456,'Estados Financieros'!$A$18:$I$458,8,0))</f>
        <v>0</v>
      </c>
      <c r="E456" t="str">
        <f t="shared" si="25"/>
        <v>0,000</v>
      </c>
    </row>
    <row r="457" spans="1:5">
      <c r="A457">
        <v>133501</v>
      </c>
      <c r="B457" t="str">
        <f t="shared" si="23"/>
        <v/>
      </c>
      <c r="C457">
        <f t="shared" si="24"/>
        <v>1900</v>
      </c>
      <c r="D457">
        <f>IF(OR(C457=1900,$D$506=0),0,VLOOKUP(A457,'Estados Financieros'!$A$18:$I$458,8,0))</f>
        <v>0</v>
      </c>
      <c r="E457" t="str">
        <f t="shared" si="25"/>
        <v>0,000</v>
      </c>
    </row>
    <row r="458" spans="1:5">
      <c r="A458">
        <v>134001</v>
      </c>
      <c r="B458" t="str">
        <f t="shared" si="23"/>
        <v/>
      </c>
      <c r="C458">
        <f t="shared" si="24"/>
        <v>1900</v>
      </c>
      <c r="D458">
        <f>IF(OR(C458=1900,$D$506=0),0,VLOOKUP(A458,'Estados Financieros'!$A$18:$I$458,8,0))</f>
        <v>0</v>
      </c>
      <c r="E458" t="str">
        <f t="shared" si="25"/>
        <v>0,000</v>
      </c>
    </row>
    <row r="459" spans="1:5">
      <c r="A459">
        <v>134501</v>
      </c>
      <c r="B459" t="str">
        <f t="shared" si="23"/>
        <v/>
      </c>
      <c r="C459">
        <f t="shared" si="24"/>
        <v>1900</v>
      </c>
      <c r="D459">
        <f>IF(OR(C459=1900,$D$506=0),0,VLOOKUP(A459,'Estados Financieros'!$A$18:$I$458,8,0))</f>
        <v>0</v>
      </c>
      <c r="E459" t="str">
        <f t="shared" si="25"/>
        <v>0,000</v>
      </c>
    </row>
    <row r="460" spans="1:5">
      <c r="A460">
        <v>135001</v>
      </c>
      <c r="B460" t="str">
        <f t="shared" si="23"/>
        <v/>
      </c>
      <c r="C460">
        <f t="shared" si="24"/>
        <v>1900</v>
      </c>
      <c r="D460">
        <f>IF(OR(C460=1900,$D$506=0),0,VLOOKUP(A460,'Estados Financieros'!$A$18:$I$458,8,0))</f>
        <v>0</v>
      </c>
      <c r="E460" t="str">
        <f t="shared" si="25"/>
        <v>0,000</v>
      </c>
    </row>
    <row r="461" spans="1:5">
      <c r="A461">
        <v>135501</v>
      </c>
      <c r="B461" t="str">
        <f t="shared" si="23"/>
        <v/>
      </c>
      <c r="C461">
        <f t="shared" si="24"/>
        <v>1900</v>
      </c>
      <c r="D461">
        <f>IF(OR(C461=1900,$D$506=0),0,VLOOKUP(A461,'Estados Financieros'!$A$18:$I$458,8,0))</f>
        <v>0</v>
      </c>
      <c r="E461" t="str">
        <f t="shared" si="25"/>
        <v>0,000</v>
      </c>
    </row>
    <row r="462" spans="1:5">
      <c r="A462">
        <v>136001</v>
      </c>
      <c r="B462" t="str">
        <f t="shared" si="23"/>
        <v/>
      </c>
      <c r="C462">
        <f t="shared" si="24"/>
        <v>1900</v>
      </c>
      <c r="D462">
        <f>IF(OR(C462=1900,$D$506=0),0,VLOOKUP(A462,'Estados Financieros'!$A$18:$I$458,8,0))</f>
        <v>0</v>
      </c>
      <c r="E462" t="str">
        <f t="shared" si="25"/>
        <v>0,000</v>
      </c>
    </row>
    <row r="463" spans="1:5">
      <c r="A463">
        <v>136501</v>
      </c>
      <c r="B463" t="str">
        <f t="shared" si="23"/>
        <v/>
      </c>
      <c r="C463">
        <f t="shared" si="24"/>
        <v>1900</v>
      </c>
      <c r="D463">
        <f>IF(OR(C463=1900,$D$506=0),0,VLOOKUP(A463,'Estados Financieros'!$A$18:$I$458,8,0))</f>
        <v>0</v>
      </c>
      <c r="E463" t="str">
        <f t="shared" si="25"/>
        <v>0,000</v>
      </c>
    </row>
    <row r="464" spans="1:5">
      <c r="A464">
        <v>137001</v>
      </c>
      <c r="B464" t="str">
        <f t="shared" si="23"/>
        <v/>
      </c>
      <c r="C464">
        <f t="shared" si="24"/>
        <v>1900</v>
      </c>
      <c r="D464">
        <f>IF(OR(C464=1900,$D$506=0),0,VLOOKUP(A464,'Estados Financieros'!$A$18:$I$458,8,0))</f>
        <v>0</v>
      </c>
      <c r="E464" t="str">
        <f t="shared" si="25"/>
        <v>0,000</v>
      </c>
    </row>
    <row r="465" spans="1:5">
      <c r="A465">
        <v>138001</v>
      </c>
      <c r="B465" t="str">
        <f t="shared" si="23"/>
        <v/>
      </c>
      <c r="C465">
        <f t="shared" si="24"/>
        <v>1900</v>
      </c>
      <c r="D465">
        <f>IF(OR(C465=1900,$D$506=0),0,VLOOKUP(A465,'Estados Financieros'!$A$18:$I$458,8,0))</f>
        <v>0</v>
      </c>
      <c r="E465" t="str">
        <f t="shared" si="25"/>
        <v>0,000</v>
      </c>
    </row>
    <row r="466" spans="1:5">
      <c r="A466">
        <v>138501</v>
      </c>
      <c r="B466" t="str">
        <f t="shared" si="23"/>
        <v/>
      </c>
      <c r="C466">
        <f t="shared" si="24"/>
        <v>1900</v>
      </c>
      <c r="D466">
        <f>IF(OR(C466=1900,$D$506=0),0,VLOOKUP(A466,'Estados Financieros'!$A$18:$I$458,8,0))</f>
        <v>0</v>
      </c>
      <c r="E466" t="str">
        <f t="shared" si="25"/>
        <v>0,000</v>
      </c>
    </row>
    <row r="467" spans="1:5">
      <c r="A467">
        <v>139001</v>
      </c>
      <c r="B467" t="str">
        <f t="shared" si="23"/>
        <v/>
      </c>
      <c r="C467">
        <f t="shared" si="24"/>
        <v>1900</v>
      </c>
      <c r="D467">
        <f>IF(OR(C467=1900,$D$506=0),0,VLOOKUP(A467,'Estados Financieros'!$A$18:$I$458,8,0))</f>
        <v>0</v>
      </c>
      <c r="E467" t="str">
        <f t="shared" si="25"/>
        <v>0,000</v>
      </c>
    </row>
    <row r="468" spans="1:5">
      <c r="A468">
        <v>139901</v>
      </c>
      <c r="B468" t="str">
        <f t="shared" si="23"/>
        <v/>
      </c>
      <c r="C468">
        <f t="shared" si="24"/>
        <v>1900</v>
      </c>
      <c r="D468">
        <f>IF(OR(C468=1900,$D$506=0),0,VLOOKUP(A468,'Estados Financieros'!$A$18:$I$458,8,0))</f>
        <v>0</v>
      </c>
      <c r="E468" t="str">
        <f t="shared" si="25"/>
        <v>0,000</v>
      </c>
    </row>
    <row r="469" spans="1:5">
      <c r="A469">
        <v>1205</v>
      </c>
      <c r="B469" t="str">
        <f t="shared" si="23"/>
        <v/>
      </c>
      <c r="C469">
        <f t="shared" si="24"/>
        <v>1900</v>
      </c>
      <c r="D469">
        <f>IF(OR(C469=1900,$D$506=0),0,VLOOKUP(A469,'Estados Financieros'!$A$18:$I$458,8,0))</f>
        <v>0</v>
      </c>
      <c r="E469" t="str">
        <f t="shared" si="25"/>
        <v>0,000</v>
      </c>
    </row>
    <row r="470" spans="1:5">
      <c r="A470">
        <v>120501</v>
      </c>
      <c r="B470" t="str">
        <f t="shared" si="23"/>
        <v/>
      </c>
      <c r="C470">
        <f t="shared" si="24"/>
        <v>1900</v>
      </c>
      <c r="D470">
        <f>IF(OR(C470=1900,$D$506=0),0,VLOOKUP(A470,'Estados Financieros'!$A$18:$I$458,8,0))</f>
        <v>0</v>
      </c>
      <c r="E470" t="str">
        <f t="shared" si="25"/>
        <v>0,000</v>
      </c>
    </row>
    <row r="471" spans="1:5">
      <c r="A471">
        <v>121001</v>
      </c>
      <c r="B471" t="str">
        <f t="shared" si="23"/>
        <v/>
      </c>
      <c r="C471">
        <f t="shared" si="24"/>
        <v>1900</v>
      </c>
      <c r="D471">
        <f>IF(OR(C471=1900,$D$506=0),0,VLOOKUP(A471,'Estados Financieros'!$A$18:$I$458,8,0))</f>
        <v>0</v>
      </c>
      <c r="E471" t="str">
        <f t="shared" si="25"/>
        <v>0,000</v>
      </c>
    </row>
    <row r="472" spans="1:5">
      <c r="A472">
        <v>121501</v>
      </c>
      <c r="B472" t="str">
        <f t="shared" si="23"/>
        <v/>
      </c>
      <c r="C472">
        <f t="shared" si="24"/>
        <v>1900</v>
      </c>
      <c r="D472">
        <f>IF(OR(C472=1900,$D$506=0),0,VLOOKUP(A472,'Estados Financieros'!$A$18:$I$458,8,0))</f>
        <v>0</v>
      </c>
      <c r="E472" t="str">
        <f t="shared" si="25"/>
        <v>0,000</v>
      </c>
    </row>
    <row r="473" spans="1:5">
      <c r="A473">
        <v>123501</v>
      </c>
      <c r="B473" t="str">
        <f t="shared" si="23"/>
        <v/>
      </c>
      <c r="C473">
        <f t="shared" si="24"/>
        <v>1900</v>
      </c>
      <c r="D473">
        <f>IF(OR(C473=1900,$D$506=0),0,VLOOKUP(A473,'Estados Financieros'!$A$18:$I$458,8,0))</f>
        <v>0</v>
      </c>
      <c r="E473" t="str">
        <f t="shared" si="25"/>
        <v>0,000</v>
      </c>
    </row>
    <row r="474" spans="1:5">
      <c r="A474">
        <v>125501</v>
      </c>
      <c r="B474" t="str">
        <f t="shared" si="23"/>
        <v/>
      </c>
      <c r="C474">
        <f t="shared" si="24"/>
        <v>1900</v>
      </c>
      <c r="D474">
        <f>IF(OR(C474=1900,$D$506=0),0,VLOOKUP(A474,'Estados Financieros'!$A$18:$I$458,8,0))</f>
        <v>0</v>
      </c>
      <c r="E474" t="str">
        <f t="shared" si="25"/>
        <v>0,000</v>
      </c>
    </row>
    <row r="475" spans="1:5">
      <c r="A475">
        <v>126001</v>
      </c>
      <c r="B475" t="str">
        <f t="shared" si="23"/>
        <v/>
      </c>
      <c r="C475">
        <f t="shared" si="24"/>
        <v>1900</v>
      </c>
      <c r="D475">
        <f>IF(OR(C475=1900,$D$506=0),0,VLOOKUP(A475,'Estados Financieros'!$A$18:$I$458,8,0))</f>
        <v>0</v>
      </c>
      <c r="E475" t="str">
        <f t="shared" si="25"/>
        <v>0,000</v>
      </c>
    </row>
    <row r="476" spans="1:5">
      <c r="A476">
        <v>129501</v>
      </c>
      <c r="B476" t="str">
        <f t="shared" si="23"/>
        <v/>
      </c>
      <c r="C476">
        <f t="shared" si="24"/>
        <v>1900</v>
      </c>
      <c r="D476">
        <f>IF(OR(C476=1900,$D$506=0),0,VLOOKUP(A476,'Estados Financieros'!$A$18:$I$458,8,0))</f>
        <v>0</v>
      </c>
      <c r="E476" t="str">
        <f t="shared" si="25"/>
        <v>0,000</v>
      </c>
    </row>
    <row r="477" spans="1:5">
      <c r="A477">
        <v>129701</v>
      </c>
      <c r="B477" t="str">
        <f t="shared" si="23"/>
        <v/>
      </c>
      <c r="C477">
        <f t="shared" si="24"/>
        <v>1900</v>
      </c>
      <c r="D477">
        <f>IF(OR(C477=1900,$D$506=0),0,VLOOKUP(A477,'Estados Financieros'!$A$18:$I$458,8,0))</f>
        <v>0</v>
      </c>
      <c r="E477" t="str">
        <f t="shared" si="25"/>
        <v>0,000</v>
      </c>
    </row>
    <row r="478" spans="1:5">
      <c r="A478">
        <v>129901</v>
      </c>
      <c r="B478" t="str">
        <f t="shared" si="23"/>
        <v/>
      </c>
      <c r="C478">
        <f t="shared" si="24"/>
        <v>1900</v>
      </c>
      <c r="D478">
        <f>IF(OR(C478=1900,$D$506=0),0,VLOOKUP(A478,'Estados Financieros'!$A$18:$I$458,8,0))</f>
        <v>0</v>
      </c>
      <c r="E478" t="str">
        <f t="shared" si="25"/>
        <v>0,000</v>
      </c>
    </row>
    <row r="479" spans="1:5">
      <c r="A479">
        <v>1203</v>
      </c>
      <c r="B479" t="str">
        <f t="shared" si="23"/>
        <v/>
      </c>
      <c r="C479">
        <f t="shared" si="24"/>
        <v>1900</v>
      </c>
      <c r="D479">
        <f>IF(OR(C479=1900,$D$506=0),0,VLOOKUP(A479,'Estados Financieros'!$A$18:$I$458,8,0))</f>
        <v>0</v>
      </c>
      <c r="E479" t="str">
        <f t="shared" si="25"/>
        <v>0,000</v>
      </c>
    </row>
    <row r="480" spans="1:5">
      <c r="A480">
        <v>120610</v>
      </c>
      <c r="B480" t="str">
        <f t="shared" si="23"/>
        <v/>
      </c>
      <c r="C480">
        <f t="shared" si="24"/>
        <v>1900</v>
      </c>
      <c r="D480">
        <f>IF(OR(C480=1900,$D$506=0),0,VLOOKUP(A480,'Estados Financieros'!$A$18:$I$458,8,0))</f>
        <v>0</v>
      </c>
      <c r="E480" t="str">
        <f t="shared" si="25"/>
        <v>0,000</v>
      </c>
    </row>
    <row r="481" spans="1:5">
      <c r="A481">
        <v>120615</v>
      </c>
      <c r="B481" t="str">
        <f t="shared" si="23"/>
        <v/>
      </c>
      <c r="C481">
        <f t="shared" si="24"/>
        <v>1900</v>
      </c>
      <c r="D481">
        <f>IF(OR(C481=1900,$D$506=0),0,VLOOKUP(A481,'Estados Financieros'!$A$18:$I$458,8,0))</f>
        <v>0</v>
      </c>
      <c r="E481" t="str">
        <f t="shared" si="25"/>
        <v>0,000</v>
      </c>
    </row>
    <row r="482" spans="1:5">
      <c r="A482">
        <v>173001</v>
      </c>
      <c r="B482" t="str">
        <f t="shared" si="23"/>
        <v/>
      </c>
      <c r="C482">
        <f t="shared" si="24"/>
        <v>1900</v>
      </c>
      <c r="D482">
        <f>IF(OR(C482=1900,$D$506=0),0,VLOOKUP(A482,'Estados Financieros'!$A$18:$I$458,8,0))</f>
        <v>0</v>
      </c>
      <c r="E482" t="str">
        <f t="shared" si="25"/>
        <v>0,000</v>
      </c>
    </row>
    <row r="483" spans="1:5">
      <c r="A483">
        <v>120620</v>
      </c>
      <c r="B483" t="str">
        <f t="shared" si="23"/>
        <v/>
      </c>
      <c r="C483">
        <f t="shared" si="24"/>
        <v>1900</v>
      </c>
      <c r="D483">
        <f>IF(OR(C483=1900,$D$506=0),0,VLOOKUP(A483,'Estados Financieros'!$A$18:$I$458,8,0))</f>
        <v>0</v>
      </c>
      <c r="E483" t="str">
        <f t="shared" si="25"/>
        <v>0,000</v>
      </c>
    </row>
    <row r="484" spans="1:5">
      <c r="A484">
        <v>179701</v>
      </c>
      <c r="B484" t="str">
        <f t="shared" ref="B484:B547" si="26">+B483</f>
        <v/>
      </c>
      <c r="C484">
        <f t="shared" ref="C484:C547" si="27">C483</f>
        <v>1900</v>
      </c>
      <c r="D484">
        <f>IF(OR(C484=1900,$D$506=0),0,VLOOKUP(A484,'Estados Financieros'!$A$18:$I$458,8,0))</f>
        <v>0</v>
      </c>
      <c r="E484" t="str">
        <f t="shared" si="25"/>
        <v>0,000</v>
      </c>
    </row>
    <row r="485" spans="1:5">
      <c r="A485">
        <v>179801</v>
      </c>
      <c r="B485" t="str">
        <f t="shared" si="26"/>
        <v/>
      </c>
      <c r="C485">
        <f t="shared" si="27"/>
        <v>1900</v>
      </c>
      <c r="D485">
        <f>IF(OR(C485=1900,$D$506=0),0,VLOOKUP(A485,'Estados Financieros'!$A$18:$I$458,8,0))</f>
        <v>0</v>
      </c>
      <c r="E485" t="str">
        <f t="shared" si="25"/>
        <v>0,000</v>
      </c>
    </row>
    <row r="486" spans="1:5">
      <c r="A486">
        <v>1206</v>
      </c>
      <c r="B486" t="str">
        <f t="shared" si="26"/>
        <v/>
      </c>
      <c r="C486">
        <f t="shared" si="27"/>
        <v>1900</v>
      </c>
      <c r="D486">
        <f>IF(OR(C486=1900,$D$506=0),0,VLOOKUP(A486,'Estados Financieros'!$A$18:$I$458,8,0))</f>
        <v>0</v>
      </c>
      <c r="E486" t="str">
        <f t="shared" si="25"/>
        <v>0,000</v>
      </c>
    </row>
    <row r="487" spans="1:5">
      <c r="A487">
        <v>160501</v>
      </c>
      <c r="B487" t="str">
        <f t="shared" si="26"/>
        <v/>
      </c>
      <c r="C487">
        <f t="shared" si="27"/>
        <v>1900</v>
      </c>
      <c r="D487">
        <f>IF(OR(C487=1900,$D$506=0),0,VLOOKUP(A487,'Estados Financieros'!$A$18:$I$458,8,0))</f>
        <v>0</v>
      </c>
      <c r="E487" t="str">
        <f t="shared" si="25"/>
        <v>0,000</v>
      </c>
    </row>
    <row r="488" spans="1:5">
      <c r="A488">
        <v>161001</v>
      </c>
      <c r="B488" t="str">
        <f t="shared" si="26"/>
        <v/>
      </c>
      <c r="C488">
        <f t="shared" si="27"/>
        <v>1900</v>
      </c>
      <c r="D488">
        <f>IF(OR(C488=1900,$D$506=0),0,VLOOKUP(A488,'Estados Financieros'!$A$18:$I$458,8,0))</f>
        <v>0</v>
      </c>
      <c r="E488" t="str">
        <f t="shared" si="25"/>
        <v>0,000</v>
      </c>
    </row>
    <row r="489" spans="1:5">
      <c r="A489">
        <v>163001</v>
      </c>
      <c r="B489" t="str">
        <f t="shared" si="26"/>
        <v/>
      </c>
      <c r="C489">
        <f t="shared" si="27"/>
        <v>1900</v>
      </c>
      <c r="D489">
        <f>IF(OR(C489=1900,$D$506=0),0,VLOOKUP(A489,'Estados Financieros'!$A$18:$I$458,8,0))</f>
        <v>0</v>
      </c>
      <c r="E489" t="str">
        <f t="shared" si="25"/>
        <v>0,000</v>
      </c>
    </row>
    <row r="490" spans="1:5">
      <c r="A490">
        <v>164001</v>
      </c>
      <c r="B490" t="str">
        <f t="shared" si="26"/>
        <v/>
      </c>
      <c r="C490">
        <f t="shared" si="27"/>
        <v>1900</v>
      </c>
      <c r="D490">
        <f>IF(OR(C490=1900,$D$506=0),0,VLOOKUP(A490,'Estados Financieros'!$A$18:$I$458,8,0))</f>
        <v>0</v>
      </c>
      <c r="E490" t="str">
        <f t="shared" si="25"/>
        <v>0,000</v>
      </c>
    </row>
    <row r="491" spans="1:5">
      <c r="A491">
        <v>109801</v>
      </c>
      <c r="B491" t="str">
        <f t="shared" si="26"/>
        <v/>
      </c>
      <c r="C491">
        <f t="shared" si="27"/>
        <v>1900</v>
      </c>
      <c r="D491">
        <f>IF(OR(C491=1900,$D$506=0),0,VLOOKUP(A491,'Estados Financieros'!$A$18:$I$458,8,0))</f>
        <v>0</v>
      </c>
      <c r="E491" t="str">
        <f t="shared" si="25"/>
        <v>0,000</v>
      </c>
    </row>
    <row r="492" spans="1:5">
      <c r="A492">
        <v>169899</v>
      </c>
      <c r="B492" t="str">
        <f t="shared" si="26"/>
        <v/>
      </c>
      <c r="C492">
        <f t="shared" si="27"/>
        <v>1900</v>
      </c>
      <c r="D492">
        <f>IF(OR(C492=1900,$D$506=0),0,VLOOKUP(A492,'Estados Financieros'!$A$18:$I$458,8,0))</f>
        <v>0</v>
      </c>
      <c r="E492" t="str">
        <f t="shared" si="25"/>
        <v>0,000</v>
      </c>
    </row>
    <row r="493" spans="1:5">
      <c r="A493">
        <v>169901</v>
      </c>
      <c r="B493" t="str">
        <f t="shared" si="26"/>
        <v/>
      </c>
      <c r="C493">
        <f t="shared" si="27"/>
        <v>1900</v>
      </c>
      <c r="D493">
        <f>IF(OR(C493=1900,$D$506=0),0,VLOOKUP(A493,'Estados Financieros'!$A$18:$I$458,8,0))</f>
        <v>0</v>
      </c>
      <c r="E493" t="str">
        <f t="shared" si="25"/>
        <v>0,000</v>
      </c>
    </row>
    <row r="494" spans="1:5">
      <c r="A494">
        <v>1202</v>
      </c>
      <c r="B494" t="str">
        <f t="shared" si="26"/>
        <v/>
      </c>
      <c r="C494">
        <f t="shared" si="27"/>
        <v>1900</v>
      </c>
      <c r="D494">
        <f>IF(OR(C494=1900,$D$506=0),0,VLOOKUP(A494,'Estados Financieros'!$A$18:$I$458,8,0))</f>
        <v>0</v>
      </c>
      <c r="E494" t="str">
        <f t="shared" si="25"/>
        <v>0,000</v>
      </c>
    </row>
    <row r="495" spans="1:5">
      <c r="A495">
        <v>180501</v>
      </c>
      <c r="B495" t="str">
        <f t="shared" si="26"/>
        <v/>
      </c>
      <c r="C495">
        <f t="shared" si="27"/>
        <v>1900</v>
      </c>
      <c r="D495">
        <f>IF(OR(C495=1900,$D$506=0),0,VLOOKUP(A495,'Estados Financieros'!$A$18:$I$458,8,0))</f>
        <v>0</v>
      </c>
      <c r="E495" t="str">
        <f t="shared" si="25"/>
        <v>0,000</v>
      </c>
    </row>
    <row r="496" spans="1:5">
      <c r="A496">
        <v>189501</v>
      </c>
      <c r="B496" t="str">
        <f t="shared" si="26"/>
        <v/>
      </c>
      <c r="C496">
        <f t="shared" si="27"/>
        <v>1900</v>
      </c>
      <c r="D496">
        <f>IF(OR(C496=1900,$D$506=0),0,VLOOKUP(A496,'Estados Financieros'!$A$18:$I$458,8,0))</f>
        <v>0</v>
      </c>
      <c r="E496" t="str">
        <f t="shared" si="25"/>
        <v>0,000</v>
      </c>
    </row>
    <row r="497" spans="1:5">
      <c r="A497">
        <v>189520</v>
      </c>
      <c r="B497" t="str">
        <f t="shared" si="26"/>
        <v/>
      </c>
      <c r="C497">
        <f t="shared" si="27"/>
        <v>1900</v>
      </c>
      <c r="D497">
        <f>IF(OR(C497=1900,$D$506=0),0,VLOOKUP(A497,'Estados Financieros'!$A$18:$I$458,8,0))</f>
        <v>0</v>
      </c>
      <c r="E497" t="str">
        <f t="shared" si="25"/>
        <v>0,000</v>
      </c>
    </row>
    <row r="498" spans="1:5">
      <c r="A498">
        <v>189701</v>
      </c>
      <c r="B498" t="str">
        <f t="shared" si="26"/>
        <v/>
      </c>
      <c r="C498">
        <f t="shared" si="27"/>
        <v>1900</v>
      </c>
      <c r="D498">
        <f>IF(OR(C498=1900,$D$506=0),0,VLOOKUP(A498,'Estados Financieros'!$A$18:$I$458,8,0))</f>
        <v>0</v>
      </c>
      <c r="E498" t="str">
        <f t="shared" si="25"/>
        <v>0,000</v>
      </c>
    </row>
    <row r="499" spans="1:5">
      <c r="A499">
        <v>189901</v>
      </c>
      <c r="B499" t="str">
        <f t="shared" si="26"/>
        <v/>
      </c>
      <c r="C499">
        <f t="shared" si="27"/>
        <v>1900</v>
      </c>
      <c r="D499">
        <f>IF(OR(C499=1900,$D$506=0),0,VLOOKUP(A499,'Estados Financieros'!$A$18:$I$458,8,0))</f>
        <v>0</v>
      </c>
      <c r="E499" t="str">
        <f t="shared" si="25"/>
        <v>0,000</v>
      </c>
    </row>
    <row r="500" spans="1:5">
      <c r="A500">
        <v>1207</v>
      </c>
      <c r="B500" t="str">
        <f t="shared" si="26"/>
        <v/>
      </c>
      <c r="C500">
        <f t="shared" si="27"/>
        <v>1900</v>
      </c>
      <c r="D500">
        <f>IF(OR(C500=1900,$D$506=0),0,VLOOKUP(A500,'Estados Financieros'!$A$18:$I$458,8,0))</f>
        <v>0</v>
      </c>
      <c r="E500" t="str">
        <f t="shared" si="25"/>
        <v>0,000</v>
      </c>
    </row>
    <row r="501" spans="1:5">
      <c r="A501">
        <v>190501</v>
      </c>
      <c r="B501" t="str">
        <f t="shared" si="26"/>
        <v/>
      </c>
      <c r="C501">
        <f t="shared" si="27"/>
        <v>1900</v>
      </c>
      <c r="D501">
        <f>IF(OR(C501=1900,$D$506=0),0,VLOOKUP(A501,'Estados Financieros'!$A$18:$I$458,8,0))</f>
        <v>0</v>
      </c>
      <c r="E501" t="str">
        <f t="shared" si="25"/>
        <v>0,000</v>
      </c>
    </row>
    <row r="502" spans="1:5">
      <c r="A502">
        <v>191001</v>
      </c>
      <c r="B502" t="str">
        <f t="shared" si="26"/>
        <v/>
      </c>
      <c r="C502">
        <f t="shared" si="27"/>
        <v>1900</v>
      </c>
      <c r="D502">
        <f>IF(OR(C502=1900,$D$506=0),0,VLOOKUP(A502,'Estados Financieros'!$A$18:$I$458,8,0))</f>
        <v>0</v>
      </c>
      <c r="E502" t="str">
        <f t="shared" si="25"/>
        <v>0,000</v>
      </c>
    </row>
    <row r="503" spans="1:5">
      <c r="A503">
        <v>199501</v>
      </c>
      <c r="B503" t="str">
        <f t="shared" si="26"/>
        <v/>
      </c>
      <c r="C503">
        <f t="shared" si="27"/>
        <v>1900</v>
      </c>
      <c r="D503">
        <f>IF(OR(C503=1900,$D$506=0),0,VLOOKUP(A503,'Estados Financieros'!$A$18:$I$458,8,0))</f>
        <v>0</v>
      </c>
      <c r="E503" t="str">
        <f t="shared" si="25"/>
        <v>0,000</v>
      </c>
    </row>
    <row r="504" spans="1:5">
      <c r="A504">
        <v>1208</v>
      </c>
      <c r="B504" t="str">
        <f t="shared" si="26"/>
        <v/>
      </c>
      <c r="C504">
        <f t="shared" si="27"/>
        <v>1900</v>
      </c>
      <c r="D504">
        <f>IF(OR(C504=1900,$D$506=0),0,VLOOKUP(A504,'Estados Financieros'!$A$18:$I$458,8,0))</f>
        <v>0</v>
      </c>
      <c r="E504" t="str">
        <f t="shared" si="25"/>
        <v>0,000</v>
      </c>
    </row>
    <row r="505" spans="1:5">
      <c r="A505">
        <v>12</v>
      </c>
      <c r="B505" t="str">
        <f t="shared" si="26"/>
        <v/>
      </c>
      <c r="C505">
        <f t="shared" si="27"/>
        <v>1900</v>
      </c>
      <c r="D505">
        <f>IF(OR(C505=1900,$D$506=0),0,VLOOKUP(A505,'Estados Financieros'!$A$18:$I$458,8,0))</f>
        <v>0</v>
      </c>
      <c r="E505" t="str">
        <f t="shared" si="25"/>
        <v>0,000</v>
      </c>
    </row>
    <row r="506" spans="1:5">
      <c r="A506">
        <v>1</v>
      </c>
      <c r="B506" t="str">
        <f t="shared" si="26"/>
        <v/>
      </c>
      <c r="C506">
        <f t="shared" si="27"/>
        <v>1900</v>
      </c>
      <c r="D506">
        <f>IF(C506=1900,0,VLOOKUP(A506,'Estados Financieros'!$A$18:$I$458,8,0))</f>
        <v>0</v>
      </c>
      <c r="E506" t="str">
        <f t="shared" si="25"/>
        <v>0,000</v>
      </c>
    </row>
    <row r="507" spans="1:5">
      <c r="A507">
        <v>108100</v>
      </c>
      <c r="B507" t="str">
        <f t="shared" si="26"/>
        <v/>
      </c>
      <c r="C507">
        <f t="shared" si="27"/>
        <v>1900</v>
      </c>
      <c r="D507">
        <f>IF(OR(C507=1900,$D$506=0),0,VLOOKUP(A507,'Estados Financieros'!$A$18:$I$458,8,0))</f>
        <v>0</v>
      </c>
      <c r="E507" t="str">
        <f t="shared" si="25"/>
        <v>0,000</v>
      </c>
    </row>
    <row r="508" spans="1:5">
      <c r="A508">
        <v>108200</v>
      </c>
      <c r="B508" t="str">
        <f t="shared" si="26"/>
        <v/>
      </c>
      <c r="C508">
        <f t="shared" si="27"/>
        <v>1900</v>
      </c>
      <c r="D508">
        <f>IF(OR(C508=1900,$D$506=0),0,VLOOKUP(A508,'Estados Financieros'!$A$18:$I$458,8,0))</f>
        <v>0</v>
      </c>
      <c r="E508" t="str">
        <f t="shared" si="25"/>
        <v>0,000</v>
      </c>
    </row>
    <row r="509" spans="1:5">
      <c r="A509">
        <v>108300</v>
      </c>
      <c r="B509" t="str">
        <f t="shared" si="26"/>
        <v/>
      </c>
      <c r="C509">
        <f t="shared" si="27"/>
        <v>1900</v>
      </c>
      <c r="D509">
        <f>IF(OR(C509=1900,$D$506=0),0,VLOOKUP(A509,'Estados Financieros'!$A$18:$I$458,8,0))</f>
        <v>0</v>
      </c>
      <c r="E509" t="str">
        <f t="shared" si="25"/>
        <v>0,000</v>
      </c>
    </row>
    <row r="510" spans="1:5">
      <c r="A510">
        <v>108400</v>
      </c>
      <c r="B510" t="str">
        <f t="shared" si="26"/>
        <v/>
      </c>
      <c r="C510">
        <f t="shared" si="27"/>
        <v>1900</v>
      </c>
      <c r="D510">
        <f>IF(OR(C510=1900,$D$506=0),0,VLOOKUP(A510,'Estados Financieros'!$A$18:$I$458,8,0))</f>
        <v>0</v>
      </c>
      <c r="E510" t="str">
        <f t="shared" si="25"/>
        <v>0,000</v>
      </c>
    </row>
    <row r="511" spans="1:5">
      <c r="A511">
        <v>108000</v>
      </c>
      <c r="B511" t="str">
        <f t="shared" si="26"/>
        <v/>
      </c>
      <c r="C511">
        <f t="shared" si="27"/>
        <v>1900</v>
      </c>
      <c r="D511">
        <f>IF(OR(C511=1900,$D$506=0),0,VLOOKUP(A511,'Estados Financieros'!$A$18:$I$458,8,0))</f>
        <v>0</v>
      </c>
      <c r="E511" t="str">
        <f t="shared" si="25"/>
        <v>0,000</v>
      </c>
    </row>
    <row r="512" spans="1:5">
      <c r="A512">
        <v>210500</v>
      </c>
      <c r="B512" t="str">
        <f t="shared" si="26"/>
        <v/>
      </c>
      <c r="C512">
        <f t="shared" si="27"/>
        <v>1900</v>
      </c>
      <c r="D512">
        <f>IF(OR(C512=1900,$D$506=0),0,VLOOKUP(A512,'Estados Financieros'!$A$18:$I$458,8,0))</f>
        <v>0</v>
      </c>
      <c r="E512" t="str">
        <f t="shared" si="25"/>
        <v>0,000</v>
      </c>
    </row>
    <row r="513" spans="1:5">
      <c r="A513">
        <v>211500</v>
      </c>
      <c r="B513" t="str">
        <f t="shared" si="26"/>
        <v/>
      </c>
      <c r="C513">
        <f t="shared" si="27"/>
        <v>1900</v>
      </c>
      <c r="D513">
        <f>IF(OR(C513=1900,$D$506=0),0,VLOOKUP(A513,'Estados Financieros'!$A$18:$I$458,8,0))</f>
        <v>0</v>
      </c>
      <c r="E513" t="str">
        <f t="shared" si="25"/>
        <v>0,000</v>
      </c>
    </row>
    <row r="514" spans="1:5">
      <c r="A514">
        <v>219500</v>
      </c>
      <c r="B514" t="str">
        <f t="shared" si="26"/>
        <v/>
      </c>
      <c r="C514">
        <f t="shared" si="27"/>
        <v>1900</v>
      </c>
      <c r="D514">
        <f>IF(OR(C514=1900,$D$506=0),0,VLOOKUP(A514,'Estados Financieros'!$A$18:$I$458,8,0))</f>
        <v>0</v>
      </c>
      <c r="E514" t="str">
        <f t="shared" ref="E514:E577" si="28">IFERROR(FIXED(D514,3,1),0)</f>
        <v>0,000</v>
      </c>
    </row>
    <row r="515" spans="1:5">
      <c r="A515">
        <v>2101</v>
      </c>
      <c r="B515" t="str">
        <f t="shared" si="26"/>
        <v/>
      </c>
      <c r="C515">
        <f t="shared" si="27"/>
        <v>1900</v>
      </c>
      <c r="D515">
        <f>IF(OR(C515=1900,$D$506=0),0,VLOOKUP(A515,'Estados Financieros'!$A$18:$I$458,8,0))</f>
        <v>0</v>
      </c>
      <c r="E515" t="str">
        <f t="shared" si="28"/>
        <v>0,000</v>
      </c>
    </row>
    <row r="516" spans="1:5">
      <c r="A516">
        <v>220500</v>
      </c>
      <c r="B516" t="str">
        <f t="shared" si="26"/>
        <v/>
      </c>
      <c r="C516">
        <f t="shared" si="27"/>
        <v>1900</v>
      </c>
      <c r="D516">
        <f>IF(OR(C516=1900,$D$506=0),0,VLOOKUP(A516,'Estados Financieros'!$A$18:$I$458,8,0))</f>
        <v>0</v>
      </c>
      <c r="E516" t="str">
        <f t="shared" si="28"/>
        <v>0,000</v>
      </c>
    </row>
    <row r="517" spans="1:5">
      <c r="A517">
        <v>221000</v>
      </c>
      <c r="B517" t="str">
        <f t="shared" si="26"/>
        <v/>
      </c>
      <c r="C517">
        <f t="shared" si="27"/>
        <v>1900</v>
      </c>
      <c r="D517">
        <f>IF(OR(C517=1900,$D$506=0),0,VLOOKUP(A517,'Estados Financieros'!$A$18:$I$458,8,0))</f>
        <v>0</v>
      </c>
      <c r="E517" t="str">
        <f t="shared" si="28"/>
        <v>0,000</v>
      </c>
    </row>
    <row r="518" spans="1:5">
      <c r="A518">
        <v>221500</v>
      </c>
      <c r="B518" t="str">
        <f t="shared" si="26"/>
        <v/>
      </c>
      <c r="C518">
        <f t="shared" si="27"/>
        <v>1900</v>
      </c>
      <c r="D518">
        <f>IF(OR(C518=1900,$D$506=0),0,VLOOKUP(A518,'Estados Financieros'!$A$18:$I$458,8,0))</f>
        <v>0</v>
      </c>
      <c r="E518" t="str">
        <f t="shared" si="28"/>
        <v>0,000</v>
      </c>
    </row>
    <row r="519" spans="1:5">
      <c r="A519">
        <v>2102</v>
      </c>
      <c r="B519" t="str">
        <f t="shared" si="26"/>
        <v/>
      </c>
      <c r="C519">
        <f t="shared" si="27"/>
        <v>1900</v>
      </c>
      <c r="D519">
        <f>IF(OR(C519=1900,$D$506=0),0,VLOOKUP(A519,'Estados Financieros'!$A$18:$I$458,8,0))</f>
        <v>0</v>
      </c>
      <c r="E519" t="str">
        <f t="shared" si="28"/>
        <v>0,000</v>
      </c>
    </row>
    <row r="520" spans="1:5">
      <c r="A520">
        <v>230500</v>
      </c>
      <c r="B520" t="str">
        <f t="shared" si="26"/>
        <v/>
      </c>
      <c r="C520">
        <f t="shared" si="27"/>
        <v>1900</v>
      </c>
      <c r="D520">
        <f>IF(OR(C520=1900,$D$506=0),0,VLOOKUP(A520,'Estados Financieros'!$A$18:$I$458,8,0))</f>
        <v>0</v>
      </c>
      <c r="E520" t="str">
        <f t="shared" si="28"/>
        <v>0,000</v>
      </c>
    </row>
    <row r="521" spans="1:5">
      <c r="A521">
        <v>231000</v>
      </c>
      <c r="B521" t="str">
        <f t="shared" si="26"/>
        <v/>
      </c>
      <c r="C521">
        <f t="shared" si="27"/>
        <v>1900</v>
      </c>
      <c r="D521">
        <f>IF(OR(C521=1900,$D$506=0),0,VLOOKUP(A521,'Estados Financieros'!$A$18:$I$458,8,0))</f>
        <v>0</v>
      </c>
      <c r="E521" t="str">
        <f t="shared" si="28"/>
        <v>0,000</v>
      </c>
    </row>
    <row r="522" spans="1:5">
      <c r="A522">
        <v>231500</v>
      </c>
      <c r="B522" t="str">
        <f t="shared" si="26"/>
        <v/>
      </c>
      <c r="C522">
        <f t="shared" si="27"/>
        <v>1900</v>
      </c>
      <c r="D522">
        <f>IF(OR(C522=1900,$D$506=0),0,VLOOKUP(A522,'Estados Financieros'!$A$18:$I$458,8,0))</f>
        <v>0</v>
      </c>
      <c r="E522" t="str">
        <f t="shared" si="28"/>
        <v>0,000</v>
      </c>
    </row>
    <row r="523" spans="1:5">
      <c r="A523">
        <v>232000</v>
      </c>
      <c r="B523" t="str">
        <f t="shared" si="26"/>
        <v/>
      </c>
      <c r="C523">
        <f t="shared" si="27"/>
        <v>1900</v>
      </c>
      <c r="D523">
        <f>IF(OR(C523=1900,$D$506=0),0,VLOOKUP(A523,'Estados Financieros'!$A$18:$I$458,8,0))</f>
        <v>0</v>
      </c>
      <c r="E523" t="str">
        <f t="shared" si="28"/>
        <v>0,000</v>
      </c>
    </row>
    <row r="524" spans="1:5">
      <c r="A524">
        <v>233500</v>
      </c>
      <c r="B524" t="str">
        <f t="shared" si="26"/>
        <v/>
      </c>
      <c r="C524">
        <f t="shared" si="27"/>
        <v>1900</v>
      </c>
      <c r="D524">
        <f>IF(OR(C524=1900,$D$506=0),0,VLOOKUP(A524,'Estados Financieros'!$A$18:$I$458,8,0))</f>
        <v>0</v>
      </c>
      <c r="E524" t="str">
        <f t="shared" si="28"/>
        <v>0,000</v>
      </c>
    </row>
    <row r="525" spans="1:5">
      <c r="A525">
        <v>234500</v>
      </c>
      <c r="B525" t="str">
        <f t="shared" si="26"/>
        <v/>
      </c>
      <c r="C525">
        <f t="shared" si="27"/>
        <v>1900</v>
      </c>
      <c r="D525">
        <f>IF(OR(C525=1900,$D$506=0),0,VLOOKUP(A525,'Estados Financieros'!$A$18:$I$458,8,0))</f>
        <v>0</v>
      </c>
      <c r="E525" t="str">
        <f t="shared" si="28"/>
        <v>0,000</v>
      </c>
    </row>
    <row r="526" spans="1:5">
      <c r="A526">
        <v>235000</v>
      </c>
      <c r="B526" t="str">
        <f t="shared" si="26"/>
        <v/>
      </c>
      <c r="C526">
        <f t="shared" si="27"/>
        <v>1900</v>
      </c>
      <c r="D526">
        <f>IF(OR(C526=1900,$D$506=0),0,VLOOKUP(A526,'Estados Financieros'!$A$18:$I$458,8,0))</f>
        <v>0</v>
      </c>
      <c r="E526" t="str">
        <f t="shared" si="28"/>
        <v>0,000</v>
      </c>
    </row>
    <row r="527" spans="1:5">
      <c r="A527">
        <v>235500</v>
      </c>
      <c r="B527" t="str">
        <f t="shared" si="26"/>
        <v/>
      </c>
      <c r="C527">
        <f t="shared" si="27"/>
        <v>1900</v>
      </c>
      <c r="D527">
        <f>IF(OR(C527=1900,$D$506=0),0,VLOOKUP(A527,'Estados Financieros'!$A$18:$I$458,8,0))</f>
        <v>0</v>
      </c>
      <c r="E527" t="str">
        <f t="shared" si="28"/>
        <v>0,000</v>
      </c>
    </row>
    <row r="528" spans="1:5">
      <c r="A528">
        <v>236000</v>
      </c>
      <c r="B528" t="str">
        <f t="shared" si="26"/>
        <v/>
      </c>
      <c r="C528">
        <f t="shared" si="27"/>
        <v>1900</v>
      </c>
      <c r="D528">
        <f>IF(OR(C528=1900,$D$506=0),0,VLOOKUP(A528,'Estados Financieros'!$A$18:$I$458,8,0))</f>
        <v>0</v>
      </c>
      <c r="E528" t="str">
        <f t="shared" si="28"/>
        <v>0,000</v>
      </c>
    </row>
    <row r="529" spans="1:5">
      <c r="A529">
        <v>236500</v>
      </c>
      <c r="B529" t="str">
        <f t="shared" si="26"/>
        <v/>
      </c>
      <c r="C529">
        <f t="shared" si="27"/>
        <v>1900</v>
      </c>
      <c r="D529">
        <f>IF(OR(C529=1900,$D$506=0),0,VLOOKUP(A529,'Estados Financieros'!$A$18:$I$458,8,0))</f>
        <v>0</v>
      </c>
      <c r="E529" t="str">
        <f t="shared" si="28"/>
        <v>0,000</v>
      </c>
    </row>
    <row r="530" spans="1:5">
      <c r="A530">
        <v>236700</v>
      </c>
      <c r="B530" t="str">
        <f t="shared" si="26"/>
        <v/>
      </c>
      <c r="C530">
        <f t="shared" si="27"/>
        <v>1900</v>
      </c>
      <c r="D530">
        <f>IF(OR(C530=1900,$D$506=0),0,VLOOKUP(A530,'Estados Financieros'!$A$18:$I$458,8,0))</f>
        <v>0</v>
      </c>
      <c r="E530" t="str">
        <f t="shared" si="28"/>
        <v>0,000</v>
      </c>
    </row>
    <row r="531" spans="1:5">
      <c r="A531">
        <v>236800</v>
      </c>
      <c r="B531" t="str">
        <f t="shared" si="26"/>
        <v/>
      </c>
      <c r="C531">
        <f t="shared" si="27"/>
        <v>1900</v>
      </c>
      <c r="D531">
        <f>IF(OR(C531=1900,$D$506=0),0,VLOOKUP(A531,'Estados Financieros'!$A$18:$I$458,8,0))</f>
        <v>0</v>
      </c>
      <c r="E531" t="str">
        <f t="shared" si="28"/>
        <v>0,000</v>
      </c>
    </row>
    <row r="532" spans="1:5">
      <c r="A532">
        <v>237000</v>
      </c>
      <c r="B532" t="str">
        <f t="shared" si="26"/>
        <v/>
      </c>
      <c r="C532">
        <f t="shared" si="27"/>
        <v>1900</v>
      </c>
      <c r="D532">
        <f>IF(OR(C532=1900,$D$506=0),0,VLOOKUP(A532,'Estados Financieros'!$A$18:$I$458,8,0))</f>
        <v>0</v>
      </c>
      <c r="E532" t="str">
        <f t="shared" si="28"/>
        <v>0,000</v>
      </c>
    </row>
    <row r="533" spans="1:5">
      <c r="A533">
        <v>238000</v>
      </c>
      <c r="B533" t="str">
        <f t="shared" si="26"/>
        <v/>
      </c>
      <c r="C533">
        <f t="shared" si="27"/>
        <v>1900</v>
      </c>
      <c r="D533">
        <f>IF(OR(C533=1900,$D$506=0),0,VLOOKUP(A533,'Estados Financieros'!$A$18:$I$458,8,0))</f>
        <v>0</v>
      </c>
      <c r="E533" t="str">
        <f t="shared" si="28"/>
        <v>0,000</v>
      </c>
    </row>
    <row r="534" spans="1:5">
      <c r="A534">
        <v>2103</v>
      </c>
      <c r="B534" t="str">
        <f t="shared" si="26"/>
        <v/>
      </c>
      <c r="C534">
        <f t="shared" si="27"/>
        <v>1900</v>
      </c>
      <c r="D534">
        <f>IF(OR(C534=1900,$D$506=0),0,VLOOKUP(A534,'Estados Financieros'!$A$18:$I$458,8,0))</f>
        <v>0</v>
      </c>
      <c r="E534" t="str">
        <f t="shared" si="28"/>
        <v>0,000</v>
      </c>
    </row>
    <row r="535" spans="1:5">
      <c r="A535">
        <v>240400</v>
      </c>
      <c r="B535" t="str">
        <f t="shared" si="26"/>
        <v/>
      </c>
      <c r="C535">
        <f t="shared" si="27"/>
        <v>1900</v>
      </c>
      <c r="D535">
        <f>IF(OR(C535=1900,$D$506=0),0,VLOOKUP(A535,'Estados Financieros'!$A$18:$I$458,8,0))</f>
        <v>0</v>
      </c>
      <c r="E535" t="str">
        <f t="shared" si="28"/>
        <v>0,000</v>
      </c>
    </row>
    <row r="536" spans="1:5">
      <c r="A536">
        <v>240800</v>
      </c>
      <c r="B536" t="str">
        <f t="shared" si="26"/>
        <v/>
      </c>
      <c r="C536">
        <f t="shared" si="27"/>
        <v>1900</v>
      </c>
      <c r="D536">
        <f>IF(OR(C536=1900,$D$506=0),0,VLOOKUP(A536,'Estados Financieros'!$A$18:$I$458,8,0))</f>
        <v>0</v>
      </c>
      <c r="E536" t="str">
        <f t="shared" si="28"/>
        <v>0,000</v>
      </c>
    </row>
    <row r="537" spans="1:5">
      <c r="A537">
        <v>241200</v>
      </c>
      <c r="B537" t="str">
        <f t="shared" si="26"/>
        <v/>
      </c>
      <c r="C537">
        <f t="shared" si="27"/>
        <v>1900</v>
      </c>
      <c r="D537">
        <f>IF(OR(C537=1900,$D$506=0),0,VLOOKUP(A537,'Estados Financieros'!$A$18:$I$458,8,0))</f>
        <v>0</v>
      </c>
      <c r="E537" t="str">
        <f t="shared" si="28"/>
        <v>0,000</v>
      </c>
    </row>
    <row r="538" spans="1:5">
      <c r="A538">
        <v>249500</v>
      </c>
      <c r="B538" t="str">
        <f t="shared" si="26"/>
        <v/>
      </c>
      <c r="C538">
        <f t="shared" si="27"/>
        <v>1900</v>
      </c>
      <c r="D538">
        <f>IF(OR(C538=1900,$D$506=0),0,VLOOKUP(A538,'Estados Financieros'!$A$18:$I$458,8,0))</f>
        <v>0</v>
      </c>
      <c r="E538" t="str">
        <f t="shared" si="28"/>
        <v>0,000</v>
      </c>
    </row>
    <row r="539" spans="1:5">
      <c r="A539">
        <v>2105</v>
      </c>
      <c r="B539" t="str">
        <f t="shared" si="26"/>
        <v/>
      </c>
      <c r="C539">
        <f t="shared" si="27"/>
        <v>1900</v>
      </c>
      <c r="D539">
        <f>IF(OR(C539=1900,$D$506=0),0,VLOOKUP(A539,'Estados Financieros'!$A$18:$I$458,8,0))</f>
        <v>0</v>
      </c>
      <c r="E539" t="str">
        <f t="shared" si="28"/>
        <v>0,000</v>
      </c>
    </row>
    <row r="540" spans="1:5">
      <c r="A540">
        <v>250500</v>
      </c>
      <c r="B540" t="str">
        <f t="shared" si="26"/>
        <v/>
      </c>
      <c r="C540">
        <f t="shared" si="27"/>
        <v>1900</v>
      </c>
      <c r="D540">
        <f>IF(OR(C540=1900,$D$506=0),0,VLOOKUP(A540,'Estados Financieros'!$A$18:$I$458,8,0))</f>
        <v>0</v>
      </c>
      <c r="E540" t="str">
        <f t="shared" si="28"/>
        <v>0,000</v>
      </c>
    </row>
    <row r="541" spans="1:5">
      <c r="A541">
        <v>251000</v>
      </c>
      <c r="B541" t="str">
        <f t="shared" si="26"/>
        <v/>
      </c>
      <c r="C541">
        <f t="shared" si="27"/>
        <v>1900</v>
      </c>
      <c r="D541">
        <f>IF(OR(C541=1900,$D$506=0),0,VLOOKUP(A541,'Estados Financieros'!$A$18:$I$458,8,0))</f>
        <v>0</v>
      </c>
      <c r="E541" t="str">
        <f t="shared" si="28"/>
        <v>0,000</v>
      </c>
    </row>
    <row r="542" spans="1:5">
      <c r="A542">
        <v>251500</v>
      </c>
      <c r="B542" t="str">
        <f t="shared" si="26"/>
        <v/>
      </c>
      <c r="C542">
        <f t="shared" si="27"/>
        <v>1900</v>
      </c>
      <c r="D542">
        <f>IF(OR(C542=1900,$D$506=0),0,VLOOKUP(A542,'Estados Financieros'!$A$18:$I$458,8,0))</f>
        <v>0</v>
      </c>
      <c r="E542" t="str">
        <f t="shared" si="28"/>
        <v>0,000</v>
      </c>
    </row>
    <row r="543" spans="1:5">
      <c r="A543">
        <v>252500</v>
      </c>
      <c r="B543" t="str">
        <f t="shared" si="26"/>
        <v/>
      </c>
      <c r="C543">
        <f t="shared" si="27"/>
        <v>1900</v>
      </c>
      <c r="D543">
        <f>IF(OR(C543=1900,$D$506=0),0,VLOOKUP(A543,'Estados Financieros'!$A$18:$I$458,8,0))</f>
        <v>0</v>
      </c>
      <c r="E543" t="str">
        <f t="shared" si="28"/>
        <v>0,000</v>
      </c>
    </row>
    <row r="544" spans="1:5">
      <c r="A544">
        <v>253000</v>
      </c>
      <c r="B544" t="str">
        <f t="shared" si="26"/>
        <v/>
      </c>
      <c r="C544">
        <f t="shared" si="27"/>
        <v>1900</v>
      </c>
      <c r="D544">
        <f>IF(OR(C544=1900,$D$506=0),0,VLOOKUP(A544,'Estados Financieros'!$A$18:$I$458,8,0))</f>
        <v>0</v>
      </c>
      <c r="E544" t="str">
        <f t="shared" si="28"/>
        <v>0,000</v>
      </c>
    </row>
    <row r="545" spans="1:5">
      <c r="A545">
        <v>259500</v>
      </c>
      <c r="B545" t="str">
        <f t="shared" si="26"/>
        <v/>
      </c>
      <c r="C545">
        <f t="shared" si="27"/>
        <v>1900</v>
      </c>
      <c r="D545">
        <f>IF(OR(C545=1900,$D$506=0),0,VLOOKUP(A545,'Estados Financieros'!$A$18:$I$458,8,0))</f>
        <v>0</v>
      </c>
      <c r="E545" t="str">
        <f t="shared" si="28"/>
        <v>0,000</v>
      </c>
    </row>
    <row r="546" spans="1:5">
      <c r="A546">
        <v>2104</v>
      </c>
      <c r="B546" t="str">
        <f t="shared" si="26"/>
        <v/>
      </c>
      <c r="C546">
        <f t="shared" si="27"/>
        <v>1900</v>
      </c>
      <c r="D546">
        <f>IF(OR(C546=1900,$D$506=0),0,VLOOKUP(A546,'Estados Financieros'!$A$18:$I$458,8,0))</f>
        <v>0</v>
      </c>
      <c r="E546" t="str">
        <f t="shared" si="28"/>
        <v>0,000</v>
      </c>
    </row>
    <row r="547" spans="1:5">
      <c r="A547">
        <v>260500</v>
      </c>
      <c r="B547" t="str">
        <f t="shared" si="26"/>
        <v/>
      </c>
      <c r="C547">
        <f t="shared" si="27"/>
        <v>1900</v>
      </c>
      <c r="D547">
        <f>IF(OR(C547=1900,$D$506=0),0,VLOOKUP(A547,'Estados Financieros'!$A$18:$I$458,8,0))</f>
        <v>0</v>
      </c>
      <c r="E547" t="str">
        <f t="shared" si="28"/>
        <v>0,000</v>
      </c>
    </row>
    <row r="548" spans="1:5">
      <c r="A548">
        <v>261000</v>
      </c>
      <c r="B548" t="str">
        <f t="shared" ref="B548:B611" si="29">+B547</f>
        <v/>
      </c>
      <c r="C548">
        <f t="shared" ref="C548:C611" si="30">C547</f>
        <v>1900</v>
      </c>
      <c r="D548">
        <f>IF(OR(C548=1900,$D$506=0),0,VLOOKUP(A548,'Estados Financieros'!$A$18:$I$458,8,0))</f>
        <v>0</v>
      </c>
      <c r="E548" t="str">
        <f t="shared" si="28"/>
        <v>0,000</v>
      </c>
    </row>
    <row r="549" spans="1:5">
      <c r="A549">
        <v>261500</v>
      </c>
      <c r="B549" t="str">
        <f t="shared" si="29"/>
        <v/>
      </c>
      <c r="C549">
        <f t="shared" si="30"/>
        <v>1900</v>
      </c>
      <c r="D549">
        <f>IF(OR(C549=1900,$D$506=0),0,VLOOKUP(A549,'Estados Financieros'!$A$18:$I$458,8,0))</f>
        <v>0</v>
      </c>
      <c r="E549" t="str">
        <f t="shared" si="28"/>
        <v>0,000</v>
      </c>
    </row>
    <row r="550" spans="1:5">
      <c r="A550">
        <v>262000</v>
      </c>
      <c r="B550" t="str">
        <f t="shared" si="29"/>
        <v/>
      </c>
      <c r="C550">
        <f t="shared" si="30"/>
        <v>1900</v>
      </c>
      <c r="D550">
        <f>IF(OR(C550=1900,$D$506=0),0,VLOOKUP(A550,'Estados Financieros'!$A$18:$I$458,8,0))</f>
        <v>0</v>
      </c>
      <c r="E550" t="str">
        <f t="shared" si="28"/>
        <v>0,000</v>
      </c>
    </row>
    <row r="551" spans="1:5">
      <c r="A551">
        <v>262500</v>
      </c>
      <c r="B551" t="str">
        <f t="shared" si="29"/>
        <v/>
      </c>
      <c r="C551">
        <f t="shared" si="30"/>
        <v>1900</v>
      </c>
      <c r="D551">
        <f>IF(OR(C551=1900,$D$506=0),0,VLOOKUP(A551,'Estados Financieros'!$A$18:$I$458,8,0))</f>
        <v>0</v>
      </c>
      <c r="E551" t="str">
        <f t="shared" si="28"/>
        <v>0,000</v>
      </c>
    </row>
    <row r="552" spans="1:5">
      <c r="A552">
        <v>263000</v>
      </c>
      <c r="B552" t="str">
        <f t="shared" si="29"/>
        <v/>
      </c>
      <c r="C552">
        <f t="shared" si="30"/>
        <v>1900</v>
      </c>
      <c r="D552">
        <f>IF(OR(C552=1900,$D$506=0),0,VLOOKUP(A552,'Estados Financieros'!$A$18:$I$458,8,0))</f>
        <v>0</v>
      </c>
      <c r="E552" t="str">
        <f t="shared" si="28"/>
        <v>0,000</v>
      </c>
    </row>
    <row r="553" spans="1:5">
      <c r="A553">
        <v>263500</v>
      </c>
      <c r="B553" t="str">
        <f t="shared" si="29"/>
        <v/>
      </c>
      <c r="C553">
        <f t="shared" si="30"/>
        <v>1900</v>
      </c>
      <c r="D553">
        <f>IF(OR(C553=1900,$D$506=0),0,VLOOKUP(A553,'Estados Financieros'!$A$18:$I$458,8,0))</f>
        <v>0</v>
      </c>
      <c r="E553" t="str">
        <f t="shared" si="28"/>
        <v>0,000</v>
      </c>
    </row>
    <row r="554" spans="1:5">
      <c r="A554">
        <v>264000</v>
      </c>
      <c r="B554" t="str">
        <f t="shared" si="29"/>
        <v/>
      </c>
      <c r="C554">
        <f t="shared" si="30"/>
        <v>1900</v>
      </c>
      <c r="D554">
        <f>IF(OR(C554=1900,$D$506=0),0,VLOOKUP(A554,'Estados Financieros'!$A$18:$I$458,8,0))</f>
        <v>0</v>
      </c>
      <c r="E554" t="str">
        <f t="shared" si="28"/>
        <v>0,000</v>
      </c>
    </row>
    <row r="555" spans="1:5">
      <c r="A555">
        <v>269500</v>
      </c>
      <c r="B555" t="str">
        <f t="shared" si="29"/>
        <v/>
      </c>
      <c r="C555">
        <f t="shared" si="30"/>
        <v>1900</v>
      </c>
      <c r="D555">
        <f>IF(OR(C555=1900,$D$506=0),0,VLOOKUP(A555,'Estados Financieros'!$A$18:$I$458,8,0))</f>
        <v>0</v>
      </c>
      <c r="E555" t="str">
        <f t="shared" si="28"/>
        <v>0,000</v>
      </c>
    </row>
    <row r="556" spans="1:5">
      <c r="A556">
        <v>2106</v>
      </c>
      <c r="B556" t="str">
        <f t="shared" si="29"/>
        <v/>
      </c>
      <c r="C556">
        <f t="shared" si="30"/>
        <v>1900</v>
      </c>
      <c r="D556">
        <f>IF(OR(C556=1900,$D$506=0),0,VLOOKUP(A556,'Estados Financieros'!$A$18:$I$458,8,0))</f>
        <v>0</v>
      </c>
      <c r="E556" t="str">
        <f t="shared" si="28"/>
        <v>0,000</v>
      </c>
    </row>
    <row r="557" spans="1:5">
      <c r="A557">
        <v>270500</v>
      </c>
      <c r="B557" t="str">
        <f t="shared" si="29"/>
        <v/>
      </c>
      <c r="C557">
        <f t="shared" si="30"/>
        <v>1900</v>
      </c>
      <c r="D557">
        <f>IF(OR(C557=1900,$D$506=0),0,VLOOKUP(A557,'Estados Financieros'!$A$18:$I$458,8,0))</f>
        <v>0</v>
      </c>
      <c r="E557" t="str">
        <f t="shared" si="28"/>
        <v>0,000</v>
      </c>
    </row>
    <row r="558" spans="1:5">
      <c r="A558">
        <v>271000</v>
      </c>
      <c r="B558" t="str">
        <f t="shared" si="29"/>
        <v/>
      </c>
      <c r="C558">
        <f t="shared" si="30"/>
        <v>1900</v>
      </c>
      <c r="D558">
        <f>IF(OR(C558=1900,$D$506=0),0,VLOOKUP(A558,'Estados Financieros'!$A$18:$I$458,8,0))</f>
        <v>0</v>
      </c>
      <c r="E558" t="str">
        <f t="shared" si="28"/>
        <v>0,000</v>
      </c>
    </row>
    <row r="559" spans="1:5">
      <c r="A559">
        <v>272500</v>
      </c>
      <c r="B559" t="str">
        <f t="shared" si="29"/>
        <v/>
      </c>
      <c r="C559">
        <f t="shared" si="30"/>
        <v>1900</v>
      </c>
      <c r="D559">
        <f>IF(OR(C559=1900,$D$506=0),0,VLOOKUP(A559,'Estados Financieros'!$A$18:$I$458,8,0))</f>
        <v>0</v>
      </c>
      <c r="E559" t="str">
        <f t="shared" si="28"/>
        <v>0,000</v>
      </c>
    </row>
    <row r="560" spans="1:5">
      <c r="A560">
        <v>279500</v>
      </c>
      <c r="B560" t="str">
        <f t="shared" si="29"/>
        <v/>
      </c>
      <c r="C560">
        <f t="shared" si="30"/>
        <v>1900</v>
      </c>
      <c r="D560">
        <f>IF(OR(C560=1900,$D$506=0),0,VLOOKUP(A560,'Estados Financieros'!$A$18:$I$458,8,0))</f>
        <v>0</v>
      </c>
      <c r="E560" t="str">
        <f t="shared" si="28"/>
        <v>0,000</v>
      </c>
    </row>
    <row r="561" spans="1:5">
      <c r="A561">
        <v>2107</v>
      </c>
      <c r="B561" t="str">
        <f t="shared" si="29"/>
        <v/>
      </c>
      <c r="C561">
        <f t="shared" si="30"/>
        <v>1900</v>
      </c>
      <c r="D561">
        <f>IF(OR(C561=1900,$D$506=0),0,VLOOKUP(A561,'Estados Financieros'!$A$18:$I$458,8,0))</f>
        <v>0</v>
      </c>
      <c r="E561" t="str">
        <f t="shared" si="28"/>
        <v>0,000</v>
      </c>
    </row>
    <row r="562" spans="1:5">
      <c r="A562">
        <v>281000</v>
      </c>
      <c r="B562" t="str">
        <f t="shared" si="29"/>
        <v/>
      </c>
      <c r="C562">
        <f t="shared" si="30"/>
        <v>1900</v>
      </c>
      <c r="D562">
        <f>IF(OR(C562=1900,$D$506=0),0,VLOOKUP(A562,'Estados Financieros'!$A$18:$I$458,8,0))</f>
        <v>0</v>
      </c>
      <c r="E562" t="str">
        <f t="shared" si="28"/>
        <v>0,000</v>
      </c>
    </row>
    <row r="563" spans="1:5">
      <c r="A563">
        <v>282000</v>
      </c>
      <c r="B563" t="str">
        <f t="shared" si="29"/>
        <v/>
      </c>
      <c r="C563">
        <f t="shared" si="30"/>
        <v>1900</v>
      </c>
      <c r="D563">
        <f>IF(OR(C563=1900,$D$506=0),0,VLOOKUP(A563,'Estados Financieros'!$A$18:$I$458,8,0))</f>
        <v>0</v>
      </c>
      <c r="E563" t="str">
        <f t="shared" si="28"/>
        <v>0,000</v>
      </c>
    </row>
    <row r="564" spans="1:5">
      <c r="A564">
        <v>282500</v>
      </c>
      <c r="B564" t="str">
        <f t="shared" si="29"/>
        <v/>
      </c>
      <c r="C564">
        <f t="shared" si="30"/>
        <v>1900</v>
      </c>
      <c r="D564">
        <f>IF(OR(C564=1900,$D$506=0),0,VLOOKUP(A564,'Estados Financieros'!$A$18:$I$458,8,0))</f>
        <v>0</v>
      </c>
      <c r="E564" t="str">
        <f t="shared" si="28"/>
        <v>0,000</v>
      </c>
    </row>
    <row r="565" spans="1:5">
      <c r="A565">
        <v>284000</v>
      </c>
      <c r="B565" t="str">
        <f t="shared" si="29"/>
        <v/>
      </c>
      <c r="C565">
        <f t="shared" si="30"/>
        <v>1900</v>
      </c>
      <c r="D565">
        <f>IF(OR(C565=1900,$D$506=0),0,VLOOKUP(A565,'Estados Financieros'!$A$18:$I$458,8,0))</f>
        <v>0</v>
      </c>
      <c r="E565" t="str">
        <f t="shared" si="28"/>
        <v>0,000</v>
      </c>
    </row>
    <row r="566" spans="1:5">
      <c r="A566">
        <v>289500</v>
      </c>
      <c r="B566" t="str">
        <f t="shared" si="29"/>
        <v/>
      </c>
      <c r="C566">
        <f t="shared" si="30"/>
        <v>1900</v>
      </c>
      <c r="D566">
        <f>IF(OR(C566=1900,$D$506=0),0,VLOOKUP(A566,'Estados Financieros'!$A$18:$I$458,8,0))</f>
        <v>0</v>
      </c>
      <c r="E566" t="str">
        <f t="shared" si="28"/>
        <v>0,000</v>
      </c>
    </row>
    <row r="567" spans="1:5">
      <c r="A567">
        <v>2109</v>
      </c>
      <c r="B567" t="str">
        <f t="shared" si="29"/>
        <v/>
      </c>
      <c r="C567">
        <f t="shared" si="30"/>
        <v>1900</v>
      </c>
      <c r="D567">
        <f>IF(OR(C567=1900,$D$506=0),0,VLOOKUP(A567,'Estados Financieros'!$A$18:$I$458,8,0))</f>
        <v>0</v>
      </c>
      <c r="E567" t="str">
        <f t="shared" si="28"/>
        <v>0,000</v>
      </c>
    </row>
    <row r="568" spans="1:5">
      <c r="A568">
        <v>21</v>
      </c>
      <c r="B568" t="str">
        <f t="shared" si="29"/>
        <v/>
      </c>
      <c r="C568">
        <f t="shared" si="30"/>
        <v>1900</v>
      </c>
      <c r="D568">
        <f>IF(OR(C568=1900,$D$506=0),0,VLOOKUP(A568,'Estados Financieros'!$A$18:$I$458,8,0))</f>
        <v>0</v>
      </c>
      <c r="E568" t="str">
        <f t="shared" si="28"/>
        <v>0,000</v>
      </c>
    </row>
    <row r="569" spans="1:5">
      <c r="A569">
        <v>210501</v>
      </c>
      <c r="B569" t="str">
        <f t="shared" si="29"/>
        <v/>
      </c>
      <c r="C569">
        <f t="shared" si="30"/>
        <v>1900</v>
      </c>
      <c r="D569">
        <f>IF(OR(C569=1900,$D$506=0),0,VLOOKUP(A569,'Estados Financieros'!$A$18:$I$458,8,0))</f>
        <v>0</v>
      </c>
      <c r="E569" t="str">
        <f t="shared" si="28"/>
        <v>0,000</v>
      </c>
    </row>
    <row r="570" spans="1:5">
      <c r="A570">
        <v>211001</v>
      </c>
      <c r="B570" t="str">
        <f t="shared" si="29"/>
        <v/>
      </c>
      <c r="C570">
        <f t="shared" si="30"/>
        <v>1900</v>
      </c>
      <c r="D570">
        <f>IF(OR(C570=1900,$D$506=0),0,VLOOKUP(A570,'Estados Financieros'!$A$18:$I$458,8,0))</f>
        <v>0</v>
      </c>
      <c r="E570" t="str">
        <f t="shared" si="28"/>
        <v>0,000</v>
      </c>
    </row>
    <row r="571" spans="1:5">
      <c r="A571">
        <v>2201</v>
      </c>
      <c r="B571" t="str">
        <f t="shared" si="29"/>
        <v/>
      </c>
      <c r="C571">
        <f t="shared" si="30"/>
        <v>1900</v>
      </c>
      <c r="D571">
        <f>IF(OR(C571=1900,$D$506=0),0,VLOOKUP(A571,'Estados Financieros'!$A$18:$I$458,8,0))</f>
        <v>0</v>
      </c>
      <c r="E571" t="str">
        <f t="shared" si="28"/>
        <v>0,000</v>
      </c>
    </row>
    <row r="572" spans="1:5">
      <c r="A572">
        <v>220501</v>
      </c>
      <c r="B572" t="str">
        <f t="shared" si="29"/>
        <v/>
      </c>
      <c r="C572">
        <f t="shared" si="30"/>
        <v>1900</v>
      </c>
      <c r="D572">
        <f>IF(OR(C572=1900,$D$506=0),0,VLOOKUP(A572,'Estados Financieros'!$A$18:$I$458,8,0))</f>
        <v>0</v>
      </c>
      <c r="E572" t="str">
        <f t="shared" si="28"/>
        <v>0,000</v>
      </c>
    </row>
    <row r="573" spans="1:5">
      <c r="A573">
        <v>221001</v>
      </c>
      <c r="B573" t="str">
        <f t="shared" si="29"/>
        <v/>
      </c>
      <c r="C573">
        <f t="shared" si="30"/>
        <v>1900</v>
      </c>
      <c r="D573">
        <f>IF(OR(C573=1900,$D$506=0),0,VLOOKUP(A573,'Estados Financieros'!$A$18:$I$458,8,0))</f>
        <v>0</v>
      </c>
      <c r="E573" t="str">
        <f t="shared" si="28"/>
        <v>0,000</v>
      </c>
    </row>
    <row r="574" spans="1:5">
      <c r="A574">
        <v>230501</v>
      </c>
      <c r="B574" t="str">
        <f t="shared" si="29"/>
        <v/>
      </c>
      <c r="C574">
        <f t="shared" si="30"/>
        <v>1900</v>
      </c>
      <c r="D574">
        <f>IF(OR(C574=1900,$D$506=0),0,VLOOKUP(A574,'Estados Financieros'!$A$18:$I$458,8,0))</f>
        <v>0</v>
      </c>
      <c r="E574" t="str">
        <f t="shared" si="28"/>
        <v>0,000</v>
      </c>
    </row>
    <row r="575" spans="1:5">
      <c r="A575">
        <v>231001</v>
      </c>
      <c r="B575" t="str">
        <f t="shared" si="29"/>
        <v/>
      </c>
      <c r="C575">
        <f t="shared" si="30"/>
        <v>1900</v>
      </c>
      <c r="D575">
        <f>IF(OR(C575=1900,$D$506=0),0,VLOOKUP(A575,'Estados Financieros'!$A$18:$I$458,8,0))</f>
        <v>0</v>
      </c>
      <c r="E575" t="str">
        <f t="shared" si="28"/>
        <v>0,000</v>
      </c>
    </row>
    <row r="576" spans="1:5">
      <c r="A576">
        <v>231501</v>
      </c>
      <c r="B576" t="str">
        <f t="shared" si="29"/>
        <v/>
      </c>
      <c r="C576">
        <f t="shared" si="30"/>
        <v>1900</v>
      </c>
      <c r="D576">
        <f>IF(OR(C576=1900,$D$506=0),0,VLOOKUP(A576,'Estados Financieros'!$A$18:$I$458,8,0))</f>
        <v>0</v>
      </c>
      <c r="E576" t="str">
        <f t="shared" si="28"/>
        <v>0,000</v>
      </c>
    </row>
    <row r="577" spans="1:5">
      <c r="A577">
        <v>232001</v>
      </c>
      <c r="B577" t="str">
        <f t="shared" si="29"/>
        <v/>
      </c>
      <c r="C577">
        <f t="shared" si="30"/>
        <v>1900</v>
      </c>
      <c r="D577">
        <f>IF(OR(C577=1900,$D$506=0),0,VLOOKUP(A577,'Estados Financieros'!$A$18:$I$458,8,0))</f>
        <v>0</v>
      </c>
      <c r="E577" t="str">
        <f t="shared" si="28"/>
        <v>0,000</v>
      </c>
    </row>
    <row r="578" spans="1:5">
      <c r="A578">
        <v>233501</v>
      </c>
      <c r="B578" t="str">
        <f t="shared" si="29"/>
        <v/>
      </c>
      <c r="C578">
        <f t="shared" si="30"/>
        <v>1900</v>
      </c>
      <c r="D578">
        <f>IF(OR(C578=1900,$D$506=0),0,VLOOKUP(A578,'Estados Financieros'!$A$18:$I$458,8,0))</f>
        <v>0</v>
      </c>
      <c r="E578" t="str">
        <f t="shared" ref="E578:E641" si="31">IFERROR(FIXED(D578,3,1),0)</f>
        <v>0,000</v>
      </c>
    </row>
    <row r="579" spans="1:5">
      <c r="A579">
        <v>234501</v>
      </c>
      <c r="B579" t="str">
        <f t="shared" si="29"/>
        <v/>
      </c>
      <c r="C579">
        <f t="shared" si="30"/>
        <v>1900</v>
      </c>
      <c r="D579">
        <f>IF(OR(C579=1900,$D$506=0),0,VLOOKUP(A579,'Estados Financieros'!$A$18:$I$458,8,0))</f>
        <v>0</v>
      </c>
      <c r="E579" t="str">
        <f t="shared" si="31"/>
        <v>0,000</v>
      </c>
    </row>
    <row r="580" spans="1:5">
      <c r="A580">
        <v>235001</v>
      </c>
      <c r="B580" t="str">
        <f t="shared" si="29"/>
        <v/>
      </c>
      <c r="C580">
        <f t="shared" si="30"/>
        <v>1900</v>
      </c>
      <c r="D580">
        <f>IF(OR(C580=1900,$D$506=0),0,VLOOKUP(A580,'Estados Financieros'!$A$18:$I$458,8,0))</f>
        <v>0</v>
      </c>
      <c r="E580" t="str">
        <f t="shared" si="31"/>
        <v>0,000</v>
      </c>
    </row>
    <row r="581" spans="1:5">
      <c r="A581">
        <v>235501</v>
      </c>
      <c r="B581" t="str">
        <f t="shared" si="29"/>
        <v/>
      </c>
      <c r="C581">
        <f t="shared" si="30"/>
        <v>1900</v>
      </c>
      <c r="D581">
        <f>IF(OR(C581=1900,$D$506=0),0,VLOOKUP(A581,'Estados Financieros'!$A$18:$I$458,8,0))</f>
        <v>0</v>
      </c>
      <c r="E581" t="str">
        <f t="shared" si="31"/>
        <v>0,000</v>
      </c>
    </row>
    <row r="582" spans="1:5">
      <c r="A582">
        <v>236001</v>
      </c>
      <c r="B582" t="str">
        <f t="shared" si="29"/>
        <v/>
      </c>
      <c r="C582">
        <f t="shared" si="30"/>
        <v>1900</v>
      </c>
      <c r="D582">
        <f>IF(OR(C582=1900,$D$506=0),0,VLOOKUP(A582,'Estados Financieros'!$A$18:$I$458,8,0))</f>
        <v>0</v>
      </c>
      <c r="E582" t="str">
        <f t="shared" si="31"/>
        <v>0,000</v>
      </c>
    </row>
    <row r="583" spans="1:5">
      <c r="A583">
        <v>236501</v>
      </c>
      <c r="B583" t="str">
        <f t="shared" si="29"/>
        <v/>
      </c>
      <c r="C583">
        <f t="shared" si="30"/>
        <v>1900</v>
      </c>
      <c r="D583">
        <f>IF(OR(C583=1900,$D$506=0),0,VLOOKUP(A583,'Estados Financieros'!$A$18:$I$458,8,0))</f>
        <v>0</v>
      </c>
      <c r="E583" t="str">
        <f t="shared" si="31"/>
        <v>0,000</v>
      </c>
    </row>
    <row r="584" spans="1:5">
      <c r="A584">
        <v>236701</v>
      </c>
      <c r="B584" t="str">
        <f t="shared" si="29"/>
        <v/>
      </c>
      <c r="C584">
        <f t="shared" si="30"/>
        <v>1900</v>
      </c>
      <c r="D584">
        <f>IF(OR(C584=1900,$D$506=0),0,VLOOKUP(A584,'Estados Financieros'!$A$18:$I$458,8,0))</f>
        <v>0</v>
      </c>
      <c r="E584" t="str">
        <f t="shared" si="31"/>
        <v>0,000</v>
      </c>
    </row>
    <row r="585" spans="1:5">
      <c r="A585">
        <v>237001</v>
      </c>
      <c r="B585" t="str">
        <f t="shared" si="29"/>
        <v/>
      </c>
      <c r="C585">
        <f t="shared" si="30"/>
        <v>1900</v>
      </c>
      <c r="D585">
        <f>IF(OR(C585=1900,$D$506=0),0,VLOOKUP(A585,'Estados Financieros'!$A$18:$I$458,8,0))</f>
        <v>0</v>
      </c>
      <c r="E585" t="str">
        <f t="shared" si="31"/>
        <v>0,000</v>
      </c>
    </row>
    <row r="586" spans="1:5">
      <c r="A586">
        <v>238001</v>
      </c>
      <c r="B586" t="str">
        <f t="shared" si="29"/>
        <v/>
      </c>
      <c r="C586">
        <f t="shared" si="30"/>
        <v>1900</v>
      </c>
      <c r="D586">
        <f>IF(OR(C586=1900,$D$506=0),0,VLOOKUP(A586,'Estados Financieros'!$A$18:$I$458,8,0))</f>
        <v>0</v>
      </c>
      <c r="E586" t="str">
        <f t="shared" si="31"/>
        <v>0,000</v>
      </c>
    </row>
    <row r="587" spans="1:5">
      <c r="A587">
        <v>2203</v>
      </c>
      <c r="B587" t="str">
        <f t="shared" si="29"/>
        <v/>
      </c>
      <c r="C587">
        <f t="shared" si="30"/>
        <v>1900</v>
      </c>
      <c r="D587">
        <f>IF(OR(C587=1900,$D$506=0),0,VLOOKUP(A587,'Estados Financieros'!$A$18:$I$458,8,0))</f>
        <v>0</v>
      </c>
      <c r="E587" t="str">
        <f t="shared" si="31"/>
        <v>0,000</v>
      </c>
    </row>
    <row r="588" spans="1:5">
      <c r="A588">
        <v>240401</v>
      </c>
      <c r="B588" t="str">
        <f t="shared" si="29"/>
        <v/>
      </c>
      <c r="C588">
        <f t="shared" si="30"/>
        <v>1900</v>
      </c>
      <c r="D588">
        <f>IF(OR(C588=1900,$D$506=0),0,VLOOKUP(A588,'Estados Financieros'!$A$18:$I$458,8,0))</f>
        <v>0</v>
      </c>
      <c r="E588" t="str">
        <f t="shared" si="31"/>
        <v>0,000</v>
      </c>
    </row>
    <row r="589" spans="1:5">
      <c r="A589">
        <v>240801</v>
      </c>
      <c r="B589" t="str">
        <f t="shared" si="29"/>
        <v/>
      </c>
      <c r="C589">
        <f t="shared" si="30"/>
        <v>1900</v>
      </c>
      <c r="D589">
        <f>IF(OR(C589=1900,$D$506=0),0,VLOOKUP(A589,'Estados Financieros'!$A$18:$I$458,8,0))</f>
        <v>0</v>
      </c>
      <c r="E589" t="str">
        <f t="shared" si="31"/>
        <v>0,000</v>
      </c>
    </row>
    <row r="590" spans="1:5">
      <c r="A590">
        <v>241201</v>
      </c>
      <c r="B590" t="str">
        <f t="shared" si="29"/>
        <v/>
      </c>
      <c r="C590">
        <f t="shared" si="30"/>
        <v>1900</v>
      </c>
      <c r="D590">
        <f>IF(OR(C590=1900,$D$506=0),0,VLOOKUP(A590,'Estados Financieros'!$A$18:$I$458,8,0))</f>
        <v>0</v>
      </c>
      <c r="E590" t="str">
        <f t="shared" si="31"/>
        <v>0,000</v>
      </c>
    </row>
    <row r="591" spans="1:5">
      <c r="A591">
        <v>249501</v>
      </c>
      <c r="B591" t="str">
        <f t="shared" si="29"/>
        <v/>
      </c>
      <c r="C591">
        <f t="shared" si="30"/>
        <v>1900</v>
      </c>
      <c r="D591">
        <f>IF(OR(C591=1900,$D$506=0),0,VLOOKUP(A591,'Estados Financieros'!$A$18:$I$458,8,0))</f>
        <v>0</v>
      </c>
      <c r="E591" t="str">
        <f t="shared" si="31"/>
        <v>0,000</v>
      </c>
    </row>
    <row r="592" spans="1:5">
      <c r="A592">
        <v>240001</v>
      </c>
      <c r="B592" t="str">
        <f t="shared" si="29"/>
        <v/>
      </c>
      <c r="C592">
        <f t="shared" si="30"/>
        <v>1900</v>
      </c>
      <c r="D592">
        <f>IF(OR(C592=1900,$D$506=0),0,VLOOKUP(A592,'Estados Financieros'!$A$18:$I$458,8,0))</f>
        <v>0</v>
      </c>
      <c r="E592" t="str">
        <f t="shared" si="31"/>
        <v>0,000</v>
      </c>
    </row>
    <row r="593" spans="1:5">
      <c r="A593">
        <v>250501</v>
      </c>
      <c r="B593" t="str">
        <f t="shared" si="29"/>
        <v/>
      </c>
      <c r="C593">
        <f t="shared" si="30"/>
        <v>1900</v>
      </c>
      <c r="D593">
        <f>IF(OR(C593=1900,$D$506=0),0,VLOOKUP(A593,'Estados Financieros'!$A$18:$I$458,8,0))</f>
        <v>0</v>
      </c>
      <c r="E593" t="str">
        <f t="shared" si="31"/>
        <v>0,000</v>
      </c>
    </row>
    <row r="594" spans="1:5">
      <c r="A594">
        <v>251001</v>
      </c>
      <c r="B594" t="str">
        <f t="shared" si="29"/>
        <v/>
      </c>
      <c r="C594">
        <f t="shared" si="30"/>
        <v>1900</v>
      </c>
      <c r="D594">
        <f>IF(OR(C594=1900,$D$506=0),0,VLOOKUP(A594,'Estados Financieros'!$A$18:$I$458,8,0))</f>
        <v>0</v>
      </c>
      <c r="E594" t="str">
        <f t="shared" si="31"/>
        <v>0,000</v>
      </c>
    </row>
    <row r="595" spans="1:5">
      <c r="A595">
        <v>251501</v>
      </c>
      <c r="B595" t="str">
        <f t="shared" si="29"/>
        <v/>
      </c>
      <c r="C595">
        <f t="shared" si="30"/>
        <v>1900</v>
      </c>
      <c r="D595">
        <f>IF(OR(C595=1900,$D$506=0),0,VLOOKUP(A595,'Estados Financieros'!$A$18:$I$458,8,0))</f>
        <v>0</v>
      </c>
      <c r="E595" t="str">
        <f t="shared" si="31"/>
        <v>0,000</v>
      </c>
    </row>
    <row r="596" spans="1:5">
      <c r="A596">
        <v>252501</v>
      </c>
      <c r="B596" t="str">
        <f t="shared" si="29"/>
        <v/>
      </c>
      <c r="C596">
        <f t="shared" si="30"/>
        <v>1900</v>
      </c>
      <c r="D596">
        <f>IF(OR(C596=1900,$D$506=0),0,VLOOKUP(A596,'Estados Financieros'!$A$18:$I$458,8,0))</f>
        <v>0</v>
      </c>
      <c r="E596" t="str">
        <f t="shared" si="31"/>
        <v>0,000</v>
      </c>
    </row>
    <row r="597" spans="1:5">
      <c r="A597">
        <v>253001</v>
      </c>
      <c r="B597" t="str">
        <f t="shared" si="29"/>
        <v/>
      </c>
      <c r="C597">
        <f t="shared" si="30"/>
        <v>1900</v>
      </c>
      <c r="D597">
        <f>IF(OR(C597=1900,$D$506=0),0,VLOOKUP(A597,'Estados Financieros'!$A$18:$I$458,8,0))</f>
        <v>0</v>
      </c>
      <c r="E597" t="str">
        <f t="shared" si="31"/>
        <v>0,000</v>
      </c>
    </row>
    <row r="598" spans="1:5">
      <c r="A598">
        <v>259501</v>
      </c>
      <c r="B598" t="str">
        <f t="shared" si="29"/>
        <v/>
      </c>
      <c r="C598">
        <f t="shared" si="30"/>
        <v>1900</v>
      </c>
      <c r="D598">
        <f>IF(OR(C598=1900,$D$506=0),0,VLOOKUP(A598,'Estados Financieros'!$A$18:$I$458,8,0))</f>
        <v>0</v>
      </c>
      <c r="E598" t="str">
        <f t="shared" si="31"/>
        <v>0,000</v>
      </c>
    </row>
    <row r="599" spans="1:5">
      <c r="A599">
        <v>2204</v>
      </c>
      <c r="B599" t="str">
        <f t="shared" si="29"/>
        <v/>
      </c>
      <c r="C599">
        <f t="shared" si="30"/>
        <v>1900</v>
      </c>
      <c r="D599">
        <f>IF(OR(C599=1900,$D$506=0),0,VLOOKUP(A599,'Estados Financieros'!$A$18:$I$458,8,0))</f>
        <v>0</v>
      </c>
      <c r="E599" t="str">
        <f t="shared" si="31"/>
        <v>0,000</v>
      </c>
    </row>
    <row r="600" spans="1:5">
      <c r="A600">
        <v>260501</v>
      </c>
      <c r="B600" t="str">
        <f t="shared" si="29"/>
        <v/>
      </c>
      <c r="C600">
        <f t="shared" si="30"/>
        <v>1900</v>
      </c>
      <c r="D600">
        <f>IF(OR(C600=1900,$D$506=0),0,VLOOKUP(A600,'Estados Financieros'!$A$18:$I$458,8,0))</f>
        <v>0</v>
      </c>
      <c r="E600" t="str">
        <f t="shared" si="31"/>
        <v>0,000</v>
      </c>
    </row>
    <row r="601" spans="1:5">
      <c r="A601">
        <v>261001</v>
      </c>
      <c r="B601" t="str">
        <f t="shared" si="29"/>
        <v/>
      </c>
      <c r="C601">
        <f t="shared" si="30"/>
        <v>1900</v>
      </c>
      <c r="D601">
        <f>IF(OR(C601=1900,$D$506=0),0,VLOOKUP(A601,'Estados Financieros'!$A$18:$I$458,8,0))</f>
        <v>0</v>
      </c>
      <c r="E601" t="str">
        <f t="shared" si="31"/>
        <v>0,000</v>
      </c>
    </row>
    <row r="602" spans="1:5">
      <c r="A602">
        <v>261501</v>
      </c>
      <c r="B602" t="str">
        <f t="shared" si="29"/>
        <v/>
      </c>
      <c r="C602">
        <f t="shared" si="30"/>
        <v>1900</v>
      </c>
      <c r="D602">
        <f>IF(OR(C602=1900,$D$506=0),0,VLOOKUP(A602,'Estados Financieros'!$A$18:$I$458,8,0))</f>
        <v>0</v>
      </c>
      <c r="E602" t="str">
        <f t="shared" si="31"/>
        <v>0,000</v>
      </c>
    </row>
    <row r="603" spans="1:5">
      <c r="A603">
        <v>262001</v>
      </c>
      <c r="B603" t="str">
        <f t="shared" si="29"/>
        <v/>
      </c>
      <c r="C603">
        <f t="shared" si="30"/>
        <v>1900</v>
      </c>
      <c r="D603">
        <f>IF(OR(C603=1900,$D$506=0),0,VLOOKUP(A603,'Estados Financieros'!$A$18:$I$458,8,0))</f>
        <v>0</v>
      </c>
      <c r="E603" t="str">
        <f t="shared" si="31"/>
        <v>0,000</v>
      </c>
    </row>
    <row r="604" spans="1:5">
      <c r="A604">
        <v>262501</v>
      </c>
      <c r="B604" t="str">
        <f t="shared" si="29"/>
        <v/>
      </c>
      <c r="C604">
        <f t="shared" si="30"/>
        <v>1900</v>
      </c>
      <c r="D604">
        <f>IF(OR(C604=1900,$D$506=0),0,VLOOKUP(A604,'Estados Financieros'!$A$18:$I$458,8,0))</f>
        <v>0</v>
      </c>
      <c r="E604" t="str">
        <f t="shared" si="31"/>
        <v>0,000</v>
      </c>
    </row>
    <row r="605" spans="1:5">
      <c r="A605">
        <v>263001</v>
      </c>
      <c r="B605" t="str">
        <f t="shared" si="29"/>
        <v/>
      </c>
      <c r="C605">
        <f t="shared" si="30"/>
        <v>1900</v>
      </c>
      <c r="D605">
        <f>IF(OR(C605=1900,$D$506=0),0,VLOOKUP(A605,'Estados Financieros'!$A$18:$I$458,8,0))</f>
        <v>0</v>
      </c>
      <c r="E605" t="str">
        <f t="shared" si="31"/>
        <v>0,000</v>
      </c>
    </row>
    <row r="606" spans="1:5">
      <c r="A606">
        <v>263501</v>
      </c>
      <c r="B606" t="str">
        <f t="shared" si="29"/>
        <v/>
      </c>
      <c r="C606">
        <f t="shared" si="30"/>
        <v>1900</v>
      </c>
      <c r="D606">
        <f>IF(OR(C606=1900,$D$506=0),0,VLOOKUP(A606,'Estados Financieros'!$A$18:$I$458,8,0))</f>
        <v>0</v>
      </c>
      <c r="E606" t="str">
        <f t="shared" si="31"/>
        <v>0,000</v>
      </c>
    </row>
    <row r="607" spans="1:5">
      <c r="A607">
        <v>264001</v>
      </c>
      <c r="B607" t="str">
        <f t="shared" si="29"/>
        <v/>
      </c>
      <c r="C607">
        <f t="shared" si="30"/>
        <v>1900</v>
      </c>
      <c r="D607">
        <f>IF(OR(C607=1900,$D$506=0),0,VLOOKUP(A607,'Estados Financieros'!$A$18:$I$458,8,0))</f>
        <v>0</v>
      </c>
      <c r="E607" t="str">
        <f t="shared" si="31"/>
        <v>0,000</v>
      </c>
    </row>
    <row r="608" spans="1:5">
      <c r="A608">
        <v>269501</v>
      </c>
      <c r="B608" t="str">
        <f t="shared" si="29"/>
        <v/>
      </c>
      <c r="C608">
        <f t="shared" si="30"/>
        <v>1900</v>
      </c>
      <c r="D608">
        <f>IF(OR(C608=1900,$D$506=0),0,VLOOKUP(A608,'Estados Financieros'!$A$18:$I$458,8,0))</f>
        <v>0</v>
      </c>
      <c r="E608" t="str">
        <f t="shared" si="31"/>
        <v>0,000</v>
      </c>
    </row>
    <row r="609" spans="1:5">
      <c r="A609">
        <v>2206</v>
      </c>
      <c r="B609" t="str">
        <f t="shared" si="29"/>
        <v/>
      </c>
      <c r="C609">
        <f t="shared" si="30"/>
        <v>1900</v>
      </c>
      <c r="D609">
        <f>IF(OR(C609=1900,$D$506=0),0,VLOOKUP(A609,'Estados Financieros'!$A$18:$I$458,8,0))</f>
        <v>0</v>
      </c>
      <c r="E609" t="str">
        <f t="shared" si="31"/>
        <v>0,000</v>
      </c>
    </row>
    <row r="610" spans="1:5">
      <c r="A610">
        <v>270501</v>
      </c>
      <c r="B610" t="str">
        <f t="shared" si="29"/>
        <v/>
      </c>
      <c r="C610">
        <f t="shared" si="30"/>
        <v>1900</v>
      </c>
      <c r="D610">
        <f>IF(OR(C610=1900,$D$506=0),0,VLOOKUP(A610,'Estados Financieros'!$A$18:$I$458,8,0))</f>
        <v>0</v>
      </c>
      <c r="E610" t="str">
        <f t="shared" si="31"/>
        <v>0,000</v>
      </c>
    </row>
    <row r="611" spans="1:5">
      <c r="A611">
        <v>271001</v>
      </c>
      <c r="B611" t="str">
        <f t="shared" si="29"/>
        <v/>
      </c>
      <c r="C611">
        <f t="shared" si="30"/>
        <v>1900</v>
      </c>
      <c r="D611">
        <f>IF(OR(C611=1900,$D$506=0),0,VLOOKUP(A611,'Estados Financieros'!$A$18:$I$458,8,0))</f>
        <v>0</v>
      </c>
      <c r="E611" t="str">
        <f t="shared" si="31"/>
        <v>0,000</v>
      </c>
    </row>
    <row r="612" spans="1:5">
      <c r="A612">
        <v>272001</v>
      </c>
      <c r="B612" t="str">
        <f t="shared" ref="B612:B659" si="32">+B611</f>
        <v/>
      </c>
      <c r="C612">
        <f t="shared" ref="C612:C658" si="33">C611</f>
        <v>1900</v>
      </c>
      <c r="D612">
        <f>IF(OR(C612=1900,$D$506=0),0,VLOOKUP(A612,'Estados Financieros'!$A$18:$I$458,8,0))</f>
        <v>0</v>
      </c>
      <c r="E612" t="str">
        <f t="shared" si="31"/>
        <v>0,000</v>
      </c>
    </row>
    <row r="613" spans="1:5">
      <c r="A613">
        <v>272501</v>
      </c>
      <c r="B613" t="str">
        <f t="shared" si="32"/>
        <v/>
      </c>
      <c r="C613">
        <f t="shared" si="33"/>
        <v>1900</v>
      </c>
      <c r="D613">
        <f>IF(OR(C613=1900,$D$506=0),0,VLOOKUP(A613,'Estados Financieros'!$A$18:$I$458,8,0))</f>
        <v>0</v>
      </c>
      <c r="E613" t="str">
        <f t="shared" si="31"/>
        <v>0,000</v>
      </c>
    </row>
    <row r="614" spans="1:5">
      <c r="A614">
        <v>279501</v>
      </c>
      <c r="B614" t="str">
        <f t="shared" si="32"/>
        <v/>
      </c>
      <c r="C614">
        <f t="shared" si="33"/>
        <v>1900</v>
      </c>
      <c r="D614">
        <f>IF(OR(C614=1900,$D$506=0),0,VLOOKUP(A614,'Estados Financieros'!$A$18:$I$458,8,0))</f>
        <v>0</v>
      </c>
      <c r="E614" t="str">
        <f t="shared" si="31"/>
        <v>0,000</v>
      </c>
    </row>
    <row r="615" spans="1:5">
      <c r="A615">
        <v>2207</v>
      </c>
      <c r="B615" t="str">
        <f t="shared" si="32"/>
        <v/>
      </c>
      <c r="C615">
        <f t="shared" si="33"/>
        <v>1900</v>
      </c>
      <c r="D615">
        <f>IF(OR(C615=1900,$D$506=0),0,VLOOKUP(A615,'Estados Financieros'!$A$18:$I$458,8,0))</f>
        <v>0</v>
      </c>
      <c r="E615" t="str">
        <f t="shared" si="31"/>
        <v>0,000</v>
      </c>
    </row>
    <row r="616" spans="1:5">
      <c r="A616">
        <v>290501</v>
      </c>
      <c r="B616" t="str">
        <f t="shared" si="32"/>
        <v/>
      </c>
      <c r="C616">
        <f t="shared" si="33"/>
        <v>1900</v>
      </c>
      <c r="D616">
        <f>IF(OR(C616=1900,$D$506=0),0,VLOOKUP(A616,'Estados Financieros'!$A$18:$I$458,8,0))</f>
        <v>0</v>
      </c>
      <c r="E616" t="str">
        <f t="shared" si="31"/>
        <v>0,000</v>
      </c>
    </row>
    <row r="617" spans="1:5">
      <c r="A617">
        <v>291991</v>
      </c>
      <c r="B617" t="str">
        <f t="shared" si="32"/>
        <v/>
      </c>
      <c r="C617">
        <f t="shared" si="33"/>
        <v>1900</v>
      </c>
      <c r="D617">
        <f>IF(OR(C617=1900,$D$506=0),0,VLOOKUP(A617,'Estados Financieros'!$A$18:$I$458,8,0))</f>
        <v>0</v>
      </c>
      <c r="E617" t="str">
        <f t="shared" si="31"/>
        <v>0,000</v>
      </c>
    </row>
    <row r="618" spans="1:5">
      <c r="A618">
        <v>291501</v>
      </c>
      <c r="B618" t="str">
        <f t="shared" si="32"/>
        <v/>
      </c>
      <c r="C618">
        <f t="shared" si="33"/>
        <v>1900</v>
      </c>
      <c r="D618">
        <f>IF(OR(C618=1900,$D$506=0),0,VLOOKUP(A618,'Estados Financieros'!$A$18:$I$458,8,0))</f>
        <v>0</v>
      </c>
      <c r="E618" t="str">
        <f t="shared" si="31"/>
        <v>0,000</v>
      </c>
    </row>
    <row r="619" spans="1:5">
      <c r="A619">
        <v>292001</v>
      </c>
      <c r="B619" t="str">
        <f t="shared" si="32"/>
        <v/>
      </c>
      <c r="C619">
        <f t="shared" si="33"/>
        <v>1900</v>
      </c>
      <c r="D619">
        <f>IF(OR(C619=1900,$D$506=0),0,VLOOKUP(A619,'Estados Financieros'!$A$18:$I$458,8,0))</f>
        <v>0</v>
      </c>
      <c r="E619" t="str">
        <f t="shared" si="31"/>
        <v>0,000</v>
      </c>
    </row>
    <row r="620" spans="1:5">
      <c r="A620">
        <v>299501</v>
      </c>
      <c r="B620" t="str">
        <f t="shared" si="32"/>
        <v/>
      </c>
      <c r="C620">
        <f t="shared" si="33"/>
        <v>1900</v>
      </c>
      <c r="D620">
        <f>IF(OR(C620=1900,$D$506=0),0,VLOOKUP(A620,'Estados Financieros'!$A$18:$I$458,8,0))</f>
        <v>0</v>
      </c>
      <c r="E620" t="str">
        <f t="shared" si="31"/>
        <v>0,000</v>
      </c>
    </row>
    <row r="621" spans="1:5">
      <c r="A621">
        <v>2209</v>
      </c>
      <c r="B621" t="str">
        <f t="shared" si="32"/>
        <v/>
      </c>
      <c r="C621">
        <f t="shared" si="33"/>
        <v>1900</v>
      </c>
      <c r="D621">
        <f>IF(OR(C621=1900,$D$506=0),0,VLOOKUP(A621,'Estados Financieros'!$A$18:$I$458,8,0))</f>
        <v>0</v>
      </c>
      <c r="E621" t="str">
        <f t="shared" si="31"/>
        <v>0,000</v>
      </c>
    </row>
    <row r="622" spans="1:5">
      <c r="A622">
        <v>22</v>
      </c>
      <c r="B622" t="str">
        <f t="shared" si="32"/>
        <v/>
      </c>
      <c r="C622">
        <f t="shared" si="33"/>
        <v>1900</v>
      </c>
      <c r="D622">
        <f>IF(OR(C622=1900,$D$506=0),0,VLOOKUP(A622,'Estados Financieros'!$A$18:$I$458,8,0))</f>
        <v>0</v>
      </c>
      <c r="E622" t="str">
        <f t="shared" si="31"/>
        <v>0,000</v>
      </c>
    </row>
    <row r="623" spans="1:5">
      <c r="A623">
        <v>2</v>
      </c>
      <c r="B623" t="str">
        <f t="shared" si="32"/>
        <v/>
      </c>
      <c r="C623">
        <f t="shared" si="33"/>
        <v>1900</v>
      </c>
      <c r="D623">
        <f>IF(OR(C623=1900,$D$506=0),0,VLOOKUP(A623,'Estados Financieros'!$A$18:$I$458,8,0))</f>
        <v>0</v>
      </c>
      <c r="E623" t="str">
        <f t="shared" si="31"/>
        <v>0,000</v>
      </c>
    </row>
    <row r="624" spans="1:5">
      <c r="A624">
        <v>310500</v>
      </c>
      <c r="B624" t="str">
        <f t="shared" si="32"/>
        <v/>
      </c>
      <c r="C624">
        <f t="shared" si="33"/>
        <v>1900</v>
      </c>
      <c r="D624">
        <f>IF(OR(C624=1900,$D$506=0),0,VLOOKUP(A624,'Estados Financieros'!$A$18:$I$458,8,0))</f>
        <v>0</v>
      </c>
      <c r="E624" t="str">
        <f t="shared" si="31"/>
        <v>0,000</v>
      </c>
    </row>
    <row r="625" spans="1:5">
      <c r="A625">
        <v>311500</v>
      </c>
      <c r="B625" t="str">
        <f t="shared" si="32"/>
        <v/>
      </c>
      <c r="C625">
        <f t="shared" si="33"/>
        <v>1900</v>
      </c>
      <c r="D625">
        <f>IF(OR(C625=1900,$D$506=0),0,VLOOKUP(A625,'Estados Financieros'!$A$18:$I$458,8,0))</f>
        <v>0</v>
      </c>
      <c r="E625" t="str">
        <f t="shared" si="31"/>
        <v>0,000</v>
      </c>
    </row>
    <row r="626" spans="1:5">
      <c r="A626">
        <v>312000</v>
      </c>
      <c r="B626" t="str">
        <f t="shared" si="32"/>
        <v/>
      </c>
      <c r="C626">
        <f t="shared" si="33"/>
        <v>1900</v>
      </c>
      <c r="D626">
        <f>IF(OR(C626=1900,$D$506=0),0,VLOOKUP(A626,'Estados Financieros'!$A$18:$I$458,8,0))</f>
        <v>0</v>
      </c>
      <c r="E626" t="str">
        <f t="shared" si="31"/>
        <v>0,000</v>
      </c>
    </row>
    <row r="627" spans="1:5">
      <c r="A627">
        <v>312500</v>
      </c>
      <c r="B627" t="str">
        <f t="shared" si="32"/>
        <v/>
      </c>
      <c r="C627">
        <f t="shared" si="33"/>
        <v>1900</v>
      </c>
      <c r="D627">
        <f>IF(OR(C627=1900,$D$506=0),0,VLOOKUP(A627,'Estados Financieros'!$A$18:$I$458,8,0))</f>
        <v>0</v>
      </c>
      <c r="E627" t="str">
        <f t="shared" si="31"/>
        <v>0,000</v>
      </c>
    </row>
    <row r="628" spans="1:5">
      <c r="A628">
        <v>313000</v>
      </c>
      <c r="B628" t="str">
        <f t="shared" si="32"/>
        <v/>
      </c>
      <c r="C628">
        <f t="shared" si="33"/>
        <v>1900</v>
      </c>
      <c r="D628">
        <f>IF(OR(C628=1900,$D$506=0),0,VLOOKUP(A628,'Estados Financieros'!$A$18:$I$458,8,0))</f>
        <v>0</v>
      </c>
      <c r="E628" t="str">
        <f t="shared" si="31"/>
        <v>0,000</v>
      </c>
    </row>
    <row r="629" spans="1:5">
      <c r="A629">
        <v>313500</v>
      </c>
      <c r="B629" t="str">
        <f t="shared" si="32"/>
        <v/>
      </c>
      <c r="C629">
        <f t="shared" si="33"/>
        <v>1900</v>
      </c>
      <c r="D629">
        <f>IF(OR(C629=1900,$D$506=0),0,VLOOKUP(A629,'Estados Financieros'!$A$18:$I$458,8,0))</f>
        <v>0</v>
      </c>
      <c r="E629" t="str">
        <f t="shared" si="31"/>
        <v>0,000</v>
      </c>
    </row>
    <row r="630" spans="1:5">
      <c r="A630">
        <v>314000</v>
      </c>
      <c r="B630" t="str">
        <f t="shared" si="32"/>
        <v/>
      </c>
      <c r="C630">
        <f t="shared" si="33"/>
        <v>1900</v>
      </c>
      <c r="D630">
        <f>IF(OR(C630=1900,$D$506=0),0,VLOOKUP(A630,'Estados Financieros'!$A$18:$I$458,8,0))</f>
        <v>0</v>
      </c>
      <c r="E630" t="str">
        <f t="shared" si="31"/>
        <v>0,000</v>
      </c>
    </row>
    <row r="631" spans="1:5">
      <c r="A631">
        <v>31</v>
      </c>
      <c r="B631" t="str">
        <f t="shared" si="32"/>
        <v/>
      </c>
      <c r="C631">
        <f t="shared" si="33"/>
        <v>1900</v>
      </c>
      <c r="D631">
        <f>IF(OR(C631=1900,$D$506=0),0,VLOOKUP(A631,'Estados Financieros'!$A$18:$I$458,8,0))</f>
        <v>0</v>
      </c>
      <c r="E631" t="str">
        <f t="shared" si="31"/>
        <v>0,000</v>
      </c>
    </row>
    <row r="632" spans="1:5">
      <c r="A632">
        <v>320500</v>
      </c>
      <c r="B632" t="str">
        <f t="shared" si="32"/>
        <v/>
      </c>
      <c r="C632">
        <f t="shared" si="33"/>
        <v>1900</v>
      </c>
      <c r="D632">
        <f>IF(OR(C632=1900,$D$506=0),0,VLOOKUP(A632,'Estados Financieros'!$A$18:$I$458,8,0))</f>
        <v>0</v>
      </c>
      <c r="E632" t="str">
        <f t="shared" si="31"/>
        <v>0,000</v>
      </c>
    </row>
    <row r="633" spans="1:5">
      <c r="A633">
        <v>321000</v>
      </c>
      <c r="B633" t="str">
        <f t="shared" si="32"/>
        <v/>
      </c>
      <c r="C633">
        <f t="shared" si="33"/>
        <v>1900</v>
      </c>
      <c r="D633">
        <f>IF(OR(C633=1900,$D$506=0),0,VLOOKUP(A633,'Estados Financieros'!$A$18:$I$458,8,0))</f>
        <v>0</v>
      </c>
      <c r="E633" t="str">
        <f t="shared" si="31"/>
        <v>0,000</v>
      </c>
    </row>
    <row r="634" spans="1:5">
      <c r="A634">
        <v>321500</v>
      </c>
      <c r="B634" t="str">
        <f t="shared" si="32"/>
        <v/>
      </c>
      <c r="C634">
        <f t="shared" si="33"/>
        <v>1900</v>
      </c>
      <c r="D634">
        <f>IF(OR(C634=1900,$D$506=0),0,VLOOKUP(A634,'Estados Financieros'!$A$18:$I$458,8,0))</f>
        <v>0</v>
      </c>
      <c r="E634" t="str">
        <f t="shared" si="31"/>
        <v>0,000</v>
      </c>
    </row>
    <row r="635" spans="1:5">
      <c r="A635">
        <v>322000</v>
      </c>
      <c r="B635" t="str">
        <f t="shared" si="32"/>
        <v/>
      </c>
      <c r="C635">
        <f t="shared" si="33"/>
        <v>1900</v>
      </c>
      <c r="D635">
        <f>IF(OR(C635=1900,$D$506=0),0,VLOOKUP(A635,'Estados Financieros'!$A$18:$I$458,8,0))</f>
        <v>0</v>
      </c>
      <c r="E635" t="str">
        <f t="shared" si="31"/>
        <v>0,000</v>
      </c>
    </row>
    <row r="636" spans="1:5">
      <c r="A636">
        <v>322500</v>
      </c>
      <c r="B636" t="str">
        <f t="shared" si="32"/>
        <v/>
      </c>
      <c r="C636">
        <f t="shared" si="33"/>
        <v>1900</v>
      </c>
      <c r="D636">
        <f>IF(OR(C636=1900,$D$506=0),0,VLOOKUP(A636,'Estados Financieros'!$A$18:$I$458,8,0))</f>
        <v>0</v>
      </c>
      <c r="E636" t="str">
        <f t="shared" si="31"/>
        <v>0,000</v>
      </c>
    </row>
    <row r="637" spans="1:5">
      <c r="A637">
        <v>32</v>
      </c>
      <c r="B637" t="str">
        <f t="shared" si="32"/>
        <v/>
      </c>
      <c r="C637">
        <f t="shared" si="33"/>
        <v>1900</v>
      </c>
      <c r="D637">
        <f>IF(OR(C637=1900,$D$506=0),0,VLOOKUP(A637,'Estados Financieros'!$A$18:$I$458,8,0))</f>
        <v>0</v>
      </c>
      <c r="E637" t="str">
        <f t="shared" si="31"/>
        <v>0,000</v>
      </c>
    </row>
    <row r="638" spans="1:5">
      <c r="A638">
        <v>330500</v>
      </c>
      <c r="B638" t="str">
        <f t="shared" si="32"/>
        <v/>
      </c>
      <c r="C638">
        <f t="shared" si="33"/>
        <v>1900</v>
      </c>
      <c r="D638">
        <f>IF(OR(C638=1900,$D$506=0),0,VLOOKUP(A638,'Estados Financieros'!$A$18:$I$458,8,0))</f>
        <v>0</v>
      </c>
      <c r="E638" t="str">
        <f t="shared" si="31"/>
        <v>0,000</v>
      </c>
    </row>
    <row r="639" spans="1:5">
      <c r="A639">
        <v>331000</v>
      </c>
      <c r="B639" t="str">
        <f t="shared" si="32"/>
        <v/>
      </c>
      <c r="C639">
        <f t="shared" si="33"/>
        <v>1900</v>
      </c>
      <c r="D639">
        <f>IF(OR(C639=1900,$D$506=0),0,VLOOKUP(A639,'Estados Financieros'!$A$18:$I$458,8,0))</f>
        <v>0</v>
      </c>
      <c r="E639" t="str">
        <f t="shared" si="31"/>
        <v>0,000</v>
      </c>
    </row>
    <row r="640" spans="1:5">
      <c r="A640">
        <v>331500</v>
      </c>
      <c r="B640" t="str">
        <f t="shared" si="32"/>
        <v/>
      </c>
      <c r="C640">
        <f t="shared" si="33"/>
        <v>1900</v>
      </c>
      <c r="D640">
        <f>IF(OR(C640=1900,$D$506=0),0,VLOOKUP(A640,'Estados Financieros'!$A$18:$I$458,8,0))</f>
        <v>0</v>
      </c>
      <c r="E640" t="str">
        <f t="shared" si="31"/>
        <v>0,000</v>
      </c>
    </row>
    <row r="641" spans="1:5">
      <c r="A641">
        <v>33</v>
      </c>
      <c r="B641" t="str">
        <f t="shared" si="32"/>
        <v/>
      </c>
      <c r="C641">
        <f t="shared" si="33"/>
        <v>1900</v>
      </c>
      <c r="D641">
        <f>IF(OR(C641=1900,$D$506=0),0,VLOOKUP(A641,'Estados Financieros'!$A$18:$I$458,8,0))</f>
        <v>0</v>
      </c>
      <c r="E641" t="str">
        <f t="shared" si="31"/>
        <v>0,000</v>
      </c>
    </row>
    <row r="642" spans="1:5">
      <c r="A642">
        <v>340505</v>
      </c>
      <c r="B642" t="str">
        <f t="shared" si="32"/>
        <v/>
      </c>
      <c r="C642">
        <f t="shared" si="33"/>
        <v>1900</v>
      </c>
      <c r="D642">
        <f>IF(OR(C642=1900,$D$506=0),0,VLOOKUP(A642,'Estados Financieros'!$A$18:$I$458,8,0))</f>
        <v>0</v>
      </c>
      <c r="E642" t="str">
        <f t="shared" ref="E642:E705" si="34">IFERROR(FIXED(D642,3,1),0)</f>
        <v>0,000</v>
      </c>
    </row>
    <row r="643" spans="1:5">
      <c r="A643">
        <v>340515</v>
      </c>
      <c r="B643" t="str">
        <f t="shared" si="32"/>
        <v/>
      </c>
      <c r="C643">
        <f t="shared" si="33"/>
        <v>1900</v>
      </c>
      <c r="D643">
        <f>IF(OR(C643=1900,$D$506=0),0,VLOOKUP(A643,'Estados Financieros'!$A$18:$I$458,8,0))</f>
        <v>0</v>
      </c>
      <c r="E643" t="str">
        <f t="shared" si="34"/>
        <v>0,000</v>
      </c>
    </row>
    <row r="644" spans="1:5">
      <c r="A644">
        <v>349500</v>
      </c>
      <c r="B644" t="str">
        <f t="shared" si="32"/>
        <v/>
      </c>
      <c r="C644">
        <f t="shared" si="33"/>
        <v>1900</v>
      </c>
      <c r="D644">
        <f>IF(OR(C644=1900,$D$506=0),0,VLOOKUP(A644,'Estados Financieros'!$A$18:$I$458,8,0))</f>
        <v>0</v>
      </c>
      <c r="E644" t="str">
        <f t="shared" si="34"/>
        <v>0,000</v>
      </c>
    </row>
    <row r="645" spans="1:5">
      <c r="A645">
        <v>34</v>
      </c>
      <c r="B645" t="str">
        <f t="shared" si="32"/>
        <v/>
      </c>
      <c r="C645">
        <f t="shared" si="33"/>
        <v>1900</v>
      </c>
      <c r="D645">
        <f>IF(OR(C645=1900,$D$506=0),0,VLOOKUP(A645,'Estados Financieros'!$A$18:$I$458,8,0))</f>
        <v>0</v>
      </c>
      <c r="E645" t="str">
        <f t="shared" si="34"/>
        <v>0,000</v>
      </c>
    </row>
    <row r="646" spans="1:5">
      <c r="A646">
        <v>35</v>
      </c>
      <c r="B646" t="str">
        <f t="shared" si="32"/>
        <v/>
      </c>
      <c r="C646">
        <f t="shared" si="33"/>
        <v>1900</v>
      </c>
      <c r="D646">
        <f>IF(OR(C646=1900,$D$506=0),0,VLOOKUP(A646,'Estados Financieros'!$A$18:$I$458,8,0))</f>
        <v>0</v>
      </c>
      <c r="E646" t="str">
        <f t="shared" si="34"/>
        <v>0,000</v>
      </c>
    </row>
    <row r="647" spans="1:5">
      <c r="A647">
        <v>36</v>
      </c>
      <c r="B647" t="str">
        <f t="shared" si="32"/>
        <v/>
      </c>
      <c r="C647">
        <f t="shared" si="33"/>
        <v>1900</v>
      </c>
      <c r="D647">
        <f>IF(OR(C647=1900,$D$506=0),0,VLOOKUP(A647,'Estados Financieros'!$A$18:$I$458,8,0))</f>
        <v>0</v>
      </c>
      <c r="E647" t="str">
        <f t="shared" si="34"/>
        <v>0,000</v>
      </c>
    </row>
    <row r="648" spans="1:5">
      <c r="A648">
        <v>37</v>
      </c>
      <c r="B648" t="str">
        <f t="shared" si="32"/>
        <v/>
      </c>
      <c r="C648">
        <f t="shared" si="33"/>
        <v>1900</v>
      </c>
      <c r="D648">
        <f>IF(OR(C648=1900,$D$506=0),0,VLOOKUP(A648,'Estados Financieros'!$A$18:$I$458,8,0))</f>
        <v>0</v>
      </c>
      <c r="E648" t="str">
        <f t="shared" si="34"/>
        <v>0,000</v>
      </c>
    </row>
    <row r="649" spans="1:5">
      <c r="A649">
        <v>38</v>
      </c>
      <c r="B649" t="str">
        <f t="shared" si="32"/>
        <v/>
      </c>
      <c r="C649">
        <f t="shared" si="33"/>
        <v>1900</v>
      </c>
      <c r="D649">
        <f>IF(OR(C649=1900,$D$506=0),0,VLOOKUP(A649,'Estados Financieros'!$A$18:$I$458,8,0))</f>
        <v>0</v>
      </c>
      <c r="E649" t="str">
        <f t="shared" si="34"/>
        <v>0,000</v>
      </c>
    </row>
    <row r="650" spans="1:5">
      <c r="A650">
        <v>3</v>
      </c>
      <c r="B650" t="str">
        <f t="shared" si="32"/>
        <v/>
      </c>
      <c r="C650">
        <f t="shared" si="33"/>
        <v>1900</v>
      </c>
      <c r="D650">
        <f>IF(OR(C650=1900,$D$506=0),0,VLOOKUP(A650,'Estados Financieros'!$A$18:$I$458,8,0))</f>
        <v>0</v>
      </c>
      <c r="E650" t="str">
        <f t="shared" si="34"/>
        <v>0,000</v>
      </c>
    </row>
    <row r="651" spans="1:5">
      <c r="A651">
        <v>0</v>
      </c>
      <c r="B651" t="str">
        <f t="shared" si="32"/>
        <v/>
      </c>
      <c r="C651">
        <f t="shared" si="33"/>
        <v>1900</v>
      </c>
      <c r="D651">
        <f>IF(OR(C651=1900,$D$506=0),0,VLOOKUP(A651,'Estados Financieros'!$A$18:$I$458,8,0))</f>
        <v>0</v>
      </c>
      <c r="E651" t="str">
        <f t="shared" si="34"/>
        <v>0,000</v>
      </c>
    </row>
    <row r="652" spans="1:5">
      <c r="A652">
        <v>291000</v>
      </c>
      <c r="B652" t="str">
        <f t="shared" si="32"/>
        <v/>
      </c>
      <c r="C652">
        <f t="shared" si="33"/>
        <v>1900</v>
      </c>
      <c r="D652">
        <f>IF(OR(C652=1900,$D$506=0),0,VLOOKUP(A652,'Estados Financieros'!$A$18:$I$458,8,0))</f>
        <v>0</v>
      </c>
      <c r="E652" t="str">
        <f t="shared" si="34"/>
        <v>0,000</v>
      </c>
    </row>
    <row r="653" spans="1:5">
      <c r="A653">
        <v>292000</v>
      </c>
      <c r="B653" t="str">
        <f t="shared" si="32"/>
        <v/>
      </c>
      <c r="C653">
        <f t="shared" si="33"/>
        <v>1900</v>
      </c>
      <c r="D653">
        <f>IF(OR(C653=1900,$D$506=0),0,VLOOKUP(A653,'Estados Financieros'!$A$18:$I$458,8,0))</f>
        <v>0</v>
      </c>
      <c r="E653" t="str">
        <f t="shared" si="34"/>
        <v>0,000</v>
      </c>
    </row>
    <row r="654" spans="1:5">
      <c r="A654">
        <v>293000</v>
      </c>
      <c r="B654" t="str">
        <f t="shared" si="32"/>
        <v/>
      </c>
      <c r="C654">
        <f t="shared" si="33"/>
        <v>1900</v>
      </c>
      <c r="D654">
        <f>IF(OR(C654=1900,$D$506=0),0,VLOOKUP(A654,'Estados Financieros'!$A$18:$I$458,8,0))</f>
        <v>0</v>
      </c>
      <c r="E654" t="str">
        <f t="shared" si="34"/>
        <v>0,000</v>
      </c>
    </row>
    <row r="655" spans="1:5">
      <c r="A655">
        <v>294000</v>
      </c>
      <c r="B655" t="str">
        <f t="shared" si="32"/>
        <v/>
      </c>
      <c r="C655">
        <f t="shared" si="33"/>
        <v>1900</v>
      </c>
      <c r="D655">
        <f>IF(OR(C655=1900,$D$506=0),0,VLOOKUP(A655,'Estados Financieros'!$A$18:$I$458,8,0))</f>
        <v>0</v>
      </c>
      <c r="E655" t="str">
        <f t="shared" si="34"/>
        <v>0,000</v>
      </c>
    </row>
    <row r="656" spans="1:5">
      <c r="A656">
        <v>190000</v>
      </c>
      <c r="B656" t="str">
        <f t="shared" si="32"/>
        <v/>
      </c>
      <c r="C656">
        <f t="shared" si="33"/>
        <v>1900</v>
      </c>
      <c r="D656">
        <f>IF(OR(C656=1900,$D$506=0),0,VLOOKUP(A656,'Estados Financieros'!$A$18:$I$458,8,0))</f>
        <v>0</v>
      </c>
      <c r="E656" t="str">
        <f t="shared" si="34"/>
        <v>0,000</v>
      </c>
    </row>
    <row r="657" spans="1:5">
      <c r="A657">
        <v>410500</v>
      </c>
      <c r="B657" t="str">
        <f t="shared" si="32"/>
        <v/>
      </c>
      <c r="C657">
        <f t="shared" si="33"/>
        <v>1900</v>
      </c>
      <c r="D657">
        <f>IF(OR(C657=1900,$D$506=0),0,VLOOKUP(A657,'Estados Financieros'!$A$18:$I$458,8,0))</f>
        <v>0</v>
      </c>
      <c r="E657" t="str">
        <f t="shared" si="34"/>
        <v>0,000</v>
      </c>
    </row>
    <row r="658" spans="1:5">
      <c r="A658">
        <v>411000</v>
      </c>
      <c r="B658" t="str">
        <f t="shared" si="32"/>
        <v/>
      </c>
      <c r="C658">
        <f t="shared" si="33"/>
        <v>1900</v>
      </c>
      <c r="D658">
        <f>IF(OR(C658=1900,$D$506=0),0,VLOOKUP(A658,'Estados Financieros'!$A$18:$I$458,8,0))</f>
        <v>0</v>
      </c>
      <c r="E658" t="str">
        <f t="shared" si="34"/>
        <v>0,000</v>
      </c>
    </row>
    <row r="659" spans="1:5">
      <c r="A659">
        <v>41</v>
      </c>
      <c r="B659" t="str">
        <f t="shared" si="32"/>
        <v/>
      </c>
      <c r="C659">
        <f>+C658</f>
        <v>1900</v>
      </c>
      <c r="D659">
        <f>+D657+D658</f>
        <v>0</v>
      </c>
      <c r="E659" t="str">
        <f t="shared" si="34"/>
        <v>0,000</v>
      </c>
    </row>
    <row r="660" spans="1:5">
      <c r="A660">
        <v>61</v>
      </c>
      <c r="B660" t="str">
        <f>+B658</f>
        <v/>
      </c>
      <c r="C660">
        <f>C658</f>
        <v>1900</v>
      </c>
      <c r="D660">
        <f>IF(OR(C660=1900,$D$506=0),0,VLOOKUP(A660,'Estados Financieros'!$A$18:$I$458,8,0))</f>
        <v>0</v>
      </c>
      <c r="E660" t="str">
        <f t="shared" si="34"/>
        <v>0,000</v>
      </c>
    </row>
    <row r="661" spans="1:5">
      <c r="A661">
        <v>606000</v>
      </c>
      <c r="B661" t="str">
        <f t="shared" ref="B661:B692" si="35">+B660</f>
        <v/>
      </c>
      <c r="C661">
        <f t="shared" ref="C661:C692" si="36">C660</f>
        <v>1900</v>
      </c>
      <c r="D661">
        <f>IF(OR(C661=1900,$D$506=0),0,VLOOKUP(A661,'Estados Financieros'!$A$18:$I$458,8,0))</f>
        <v>0</v>
      </c>
      <c r="E661" t="str">
        <f t="shared" si="34"/>
        <v>0,000</v>
      </c>
    </row>
    <row r="662" spans="1:5">
      <c r="A662">
        <v>95</v>
      </c>
      <c r="B662" t="str">
        <f t="shared" si="35"/>
        <v/>
      </c>
      <c r="C662">
        <f t="shared" si="36"/>
        <v>1900</v>
      </c>
      <c r="D662">
        <f>IF(OR(C662=1900,$D$506=0),0,VLOOKUP(A662,'Estados Financieros'!$A$18:$I$458,8,0))</f>
        <v>0</v>
      </c>
      <c r="E662" t="str">
        <f t="shared" si="34"/>
        <v>0,000</v>
      </c>
    </row>
    <row r="663" spans="1:5">
      <c r="A663">
        <v>510500</v>
      </c>
      <c r="B663" t="str">
        <f t="shared" si="35"/>
        <v/>
      </c>
      <c r="C663">
        <f t="shared" si="36"/>
        <v>1900</v>
      </c>
      <c r="D663">
        <f>IF(OR(C663=1900,$D$506=0),0,VLOOKUP(A663,'Estados Financieros'!$A$18:$I$458,8,0))</f>
        <v>0</v>
      </c>
      <c r="E663" t="str">
        <f t="shared" si="34"/>
        <v>0,000</v>
      </c>
    </row>
    <row r="664" spans="1:5">
      <c r="A664">
        <v>511000</v>
      </c>
      <c r="B664" t="str">
        <f t="shared" si="35"/>
        <v/>
      </c>
      <c r="C664">
        <f t="shared" si="36"/>
        <v>1900</v>
      </c>
      <c r="D664">
        <f>IF(OR(C664=1900,$D$506=0),0,VLOOKUP(A664,'Estados Financieros'!$A$18:$I$458,8,0))</f>
        <v>0</v>
      </c>
      <c r="E664" t="str">
        <f t="shared" si="34"/>
        <v>0,000</v>
      </c>
    </row>
    <row r="665" spans="1:5">
      <c r="A665">
        <v>511500</v>
      </c>
      <c r="B665" t="str">
        <f t="shared" si="35"/>
        <v/>
      </c>
      <c r="C665">
        <f t="shared" si="36"/>
        <v>1900</v>
      </c>
      <c r="D665">
        <f>IF(OR(C665=1900,$D$506=0),0,VLOOKUP(A665,'Estados Financieros'!$A$18:$I$458,8,0))</f>
        <v>0</v>
      </c>
      <c r="E665" t="str">
        <f t="shared" si="34"/>
        <v>0,000</v>
      </c>
    </row>
    <row r="666" spans="1:5">
      <c r="A666">
        <v>512000</v>
      </c>
      <c r="B666" t="str">
        <f t="shared" si="35"/>
        <v/>
      </c>
      <c r="C666">
        <f t="shared" si="36"/>
        <v>1900</v>
      </c>
      <c r="D666">
        <f>IF(OR(C666=1900,$D$506=0),0,VLOOKUP(A666,'Estados Financieros'!$A$18:$I$458,8,0))</f>
        <v>0</v>
      </c>
      <c r="E666" t="str">
        <f t="shared" si="34"/>
        <v>0,000</v>
      </c>
    </row>
    <row r="667" spans="1:5">
      <c r="A667">
        <v>512500</v>
      </c>
      <c r="B667" t="str">
        <f t="shared" si="35"/>
        <v/>
      </c>
      <c r="C667">
        <f t="shared" si="36"/>
        <v>1900</v>
      </c>
      <c r="D667">
        <f>IF(OR(C667=1900,$D$506=0),0,VLOOKUP(A667,'Estados Financieros'!$A$18:$I$458,8,0))</f>
        <v>0</v>
      </c>
      <c r="E667" t="str">
        <f t="shared" si="34"/>
        <v>0,000</v>
      </c>
    </row>
    <row r="668" spans="1:5">
      <c r="A668">
        <v>513000</v>
      </c>
      <c r="B668" t="str">
        <f t="shared" si="35"/>
        <v/>
      </c>
      <c r="C668">
        <f t="shared" si="36"/>
        <v>1900</v>
      </c>
      <c r="D668">
        <f>IF(OR(C668=1900,$D$506=0),0,VLOOKUP(A668,'Estados Financieros'!$A$18:$I$458,8,0))</f>
        <v>0</v>
      </c>
      <c r="E668" t="str">
        <f t="shared" si="34"/>
        <v>0,000</v>
      </c>
    </row>
    <row r="669" spans="1:5">
      <c r="A669">
        <v>513500</v>
      </c>
      <c r="B669" t="str">
        <f t="shared" si="35"/>
        <v/>
      </c>
      <c r="C669">
        <f t="shared" si="36"/>
        <v>1900</v>
      </c>
      <c r="D669">
        <f>IF(OR(C669=1900,$D$506=0),0,VLOOKUP(A669,'Estados Financieros'!$A$18:$I$458,8,0))</f>
        <v>0</v>
      </c>
      <c r="E669" t="str">
        <f t="shared" si="34"/>
        <v>0,000</v>
      </c>
    </row>
    <row r="670" spans="1:5">
      <c r="A670">
        <v>514000</v>
      </c>
      <c r="B670" t="str">
        <f t="shared" si="35"/>
        <v/>
      </c>
      <c r="C670">
        <f t="shared" si="36"/>
        <v>1900</v>
      </c>
      <c r="D670">
        <f>IF(OR(C670=1900,$D$506=0),0,VLOOKUP(A670,'Estados Financieros'!$A$18:$I$458,8,0))</f>
        <v>0</v>
      </c>
      <c r="E670" t="str">
        <f t="shared" si="34"/>
        <v>0,000</v>
      </c>
    </row>
    <row r="671" spans="1:5">
      <c r="A671">
        <v>514500</v>
      </c>
      <c r="B671" t="str">
        <f t="shared" si="35"/>
        <v/>
      </c>
      <c r="C671">
        <f t="shared" si="36"/>
        <v>1900</v>
      </c>
      <c r="D671">
        <f>IF(OR(C671=1900,$D$506=0),0,VLOOKUP(A671,'Estados Financieros'!$A$18:$I$458,8,0))</f>
        <v>0</v>
      </c>
      <c r="E671" t="str">
        <f t="shared" si="34"/>
        <v>0,000</v>
      </c>
    </row>
    <row r="672" spans="1:5">
      <c r="A672">
        <v>515000</v>
      </c>
      <c r="B672" t="str">
        <f t="shared" si="35"/>
        <v/>
      </c>
      <c r="C672">
        <f t="shared" si="36"/>
        <v>1900</v>
      </c>
      <c r="D672">
        <f>IF(OR(C672=1900,$D$506=0),0,VLOOKUP(A672,'Estados Financieros'!$A$18:$I$458,8,0))</f>
        <v>0</v>
      </c>
      <c r="E672" t="str">
        <f t="shared" si="34"/>
        <v>0,000</v>
      </c>
    </row>
    <row r="673" spans="1:5">
      <c r="A673">
        <v>515500</v>
      </c>
      <c r="B673" t="str">
        <f t="shared" si="35"/>
        <v/>
      </c>
      <c r="C673">
        <f t="shared" si="36"/>
        <v>1900</v>
      </c>
      <c r="D673">
        <f>IF(OR(C673=1900,$D$506=0),0,VLOOKUP(A673,'Estados Financieros'!$A$18:$I$458,8,0))</f>
        <v>0</v>
      </c>
      <c r="E673" t="str">
        <f t="shared" si="34"/>
        <v>0,000</v>
      </c>
    </row>
    <row r="674" spans="1:5">
      <c r="A674">
        <v>519500</v>
      </c>
      <c r="B674" t="str">
        <f t="shared" si="35"/>
        <v/>
      </c>
      <c r="C674">
        <f t="shared" si="36"/>
        <v>1900</v>
      </c>
      <c r="D674">
        <f>IF(OR(C674=1900,$D$506=0),0,VLOOKUP(A674,'Estados Financieros'!$A$18:$I$458,8,0))</f>
        <v>0</v>
      </c>
      <c r="E674" t="str">
        <f t="shared" si="34"/>
        <v>0,000</v>
      </c>
    </row>
    <row r="675" spans="1:5">
      <c r="A675">
        <v>516000</v>
      </c>
      <c r="B675" t="str">
        <f t="shared" si="35"/>
        <v/>
      </c>
      <c r="C675">
        <f t="shared" si="36"/>
        <v>1900</v>
      </c>
      <c r="D675">
        <f>IF(OR(C675=1900,$D$506=0),0,VLOOKUP(A675,'Estados Financieros'!$A$18:$I$458,8,0))</f>
        <v>0</v>
      </c>
      <c r="E675" t="str">
        <f t="shared" si="34"/>
        <v>0,000</v>
      </c>
    </row>
    <row r="676" spans="1:5">
      <c r="A676">
        <v>516500</v>
      </c>
      <c r="B676" t="str">
        <f t="shared" si="35"/>
        <v/>
      </c>
      <c r="C676">
        <f t="shared" si="36"/>
        <v>1900</v>
      </c>
      <c r="D676">
        <f>IF(OR(C676=1900,$D$506=0),0,VLOOKUP(A676,'Estados Financieros'!$A$18:$I$458,8,0))</f>
        <v>0</v>
      </c>
      <c r="E676" t="str">
        <f t="shared" si="34"/>
        <v>0,000</v>
      </c>
    </row>
    <row r="677" spans="1:5">
      <c r="A677">
        <v>519900</v>
      </c>
      <c r="B677" t="str">
        <f t="shared" si="35"/>
        <v/>
      </c>
      <c r="C677">
        <f t="shared" si="36"/>
        <v>1900</v>
      </c>
      <c r="D677">
        <f>IF(OR(C677=1900,$D$506=0),0,VLOOKUP(A677,'Estados Financieros'!$A$18:$I$458,8,0))</f>
        <v>0</v>
      </c>
      <c r="E677" t="str">
        <f t="shared" si="34"/>
        <v>0,000</v>
      </c>
    </row>
    <row r="678" spans="1:5">
      <c r="A678">
        <v>51</v>
      </c>
      <c r="B678" t="str">
        <f t="shared" si="35"/>
        <v/>
      </c>
      <c r="C678">
        <f t="shared" si="36"/>
        <v>1900</v>
      </c>
      <c r="D678">
        <f>IF(OR(C678=1900,$D$506=0),0,VLOOKUP(A678,'Estados Financieros'!$A$18:$I$458,8,0))</f>
        <v>0</v>
      </c>
      <c r="E678" t="str">
        <f t="shared" si="34"/>
        <v>0,000</v>
      </c>
    </row>
    <row r="679" spans="1:5">
      <c r="A679">
        <v>520500</v>
      </c>
      <c r="B679" t="str">
        <f t="shared" si="35"/>
        <v/>
      </c>
      <c r="C679">
        <f t="shared" si="36"/>
        <v>1900</v>
      </c>
      <c r="D679">
        <f>IF(OR(C679=1900,$D$506=0),0,VLOOKUP(A679,'Estados Financieros'!$A$18:$I$458,8,0))</f>
        <v>0</v>
      </c>
      <c r="E679" t="str">
        <f t="shared" si="34"/>
        <v>0,000</v>
      </c>
    </row>
    <row r="680" spans="1:5">
      <c r="A680">
        <v>521000</v>
      </c>
      <c r="B680" t="str">
        <f t="shared" si="35"/>
        <v/>
      </c>
      <c r="C680">
        <f t="shared" si="36"/>
        <v>1900</v>
      </c>
      <c r="D680">
        <f>IF(OR(C680=1900,$D$506=0),0,VLOOKUP(A680,'Estados Financieros'!$A$18:$I$458,8,0))</f>
        <v>0</v>
      </c>
      <c r="E680" t="str">
        <f t="shared" si="34"/>
        <v>0,000</v>
      </c>
    </row>
    <row r="681" spans="1:5">
      <c r="A681">
        <v>521500</v>
      </c>
      <c r="B681" t="str">
        <f t="shared" si="35"/>
        <v/>
      </c>
      <c r="C681">
        <f t="shared" si="36"/>
        <v>1900</v>
      </c>
      <c r="D681">
        <f>IF(OR(C681=1900,$D$506=0),0,VLOOKUP(A681,'Estados Financieros'!$A$18:$I$458,8,0))</f>
        <v>0</v>
      </c>
      <c r="E681" t="str">
        <f t="shared" si="34"/>
        <v>0,000</v>
      </c>
    </row>
    <row r="682" spans="1:5">
      <c r="A682">
        <v>522000</v>
      </c>
      <c r="B682" t="str">
        <f t="shared" si="35"/>
        <v/>
      </c>
      <c r="C682">
        <f t="shared" si="36"/>
        <v>1900</v>
      </c>
      <c r="D682">
        <f>IF(OR(C682=1900,$D$506=0),0,VLOOKUP(A682,'Estados Financieros'!$A$18:$I$458,8,0))</f>
        <v>0</v>
      </c>
      <c r="E682" t="str">
        <f t="shared" si="34"/>
        <v>0,000</v>
      </c>
    </row>
    <row r="683" spans="1:5">
      <c r="A683">
        <v>522500</v>
      </c>
      <c r="B683" t="str">
        <f t="shared" si="35"/>
        <v/>
      </c>
      <c r="C683">
        <f t="shared" si="36"/>
        <v>1900</v>
      </c>
      <c r="D683">
        <f>IF(OR(C683=1900,$D$506=0),0,VLOOKUP(A683,'Estados Financieros'!$A$18:$I$458,8,0))</f>
        <v>0</v>
      </c>
      <c r="E683" t="str">
        <f t="shared" si="34"/>
        <v>0,000</v>
      </c>
    </row>
    <row r="684" spans="1:5">
      <c r="A684">
        <v>523000</v>
      </c>
      <c r="B684" t="str">
        <f t="shared" si="35"/>
        <v/>
      </c>
      <c r="C684">
        <f t="shared" si="36"/>
        <v>1900</v>
      </c>
      <c r="D684">
        <f>IF(OR(C684=1900,$D$506=0),0,VLOOKUP(A684,'Estados Financieros'!$A$18:$I$458,8,0))</f>
        <v>0</v>
      </c>
      <c r="E684" t="str">
        <f t="shared" si="34"/>
        <v>0,000</v>
      </c>
    </row>
    <row r="685" spans="1:5">
      <c r="A685">
        <v>523500</v>
      </c>
      <c r="B685" t="str">
        <f t="shared" si="35"/>
        <v/>
      </c>
      <c r="C685">
        <f t="shared" si="36"/>
        <v>1900</v>
      </c>
      <c r="D685">
        <f>IF(OR(C685=1900,$D$506=0),0,VLOOKUP(A685,'Estados Financieros'!$A$18:$I$458,8,0))</f>
        <v>0</v>
      </c>
      <c r="E685" t="str">
        <f t="shared" si="34"/>
        <v>0,000</v>
      </c>
    </row>
    <row r="686" spans="1:5">
      <c r="A686">
        <v>524000</v>
      </c>
      <c r="B686" t="str">
        <f t="shared" si="35"/>
        <v/>
      </c>
      <c r="C686">
        <f t="shared" si="36"/>
        <v>1900</v>
      </c>
      <c r="D686">
        <f>IF(OR(C686=1900,$D$506=0),0,VLOOKUP(A686,'Estados Financieros'!$A$18:$I$458,8,0))</f>
        <v>0</v>
      </c>
      <c r="E686" t="str">
        <f t="shared" si="34"/>
        <v>0,000</v>
      </c>
    </row>
    <row r="687" spans="1:5">
      <c r="A687">
        <v>524500</v>
      </c>
      <c r="B687" t="str">
        <f t="shared" si="35"/>
        <v/>
      </c>
      <c r="C687">
        <f t="shared" si="36"/>
        <v>1900</v>
      </c>
      <c r="D687">
        <f>IF(OR(C687=1900,$D$506=0),0,VLOOKUP(A687,'Estados Financieros'!$A$18:$I$458,8,0))</f>
        <v>0</v>
      </c>
      <c r="E687" t="str">
        <f t="shared" si="34"/>
        <v>0,000</v>
      </c>
    </row>
    <row r="688" spans="1:5">
      <c r="A688">
        <v>525000</v>
      </c>
      <c r="B688" t="str">
        <f t="shared" si="35"/>
        <v/>
      </c>
      <c r="C688">
        <f t="shared" si="36"/>
        <v>1900</v>
      </c>
      <c r="D688">
        <f>IF(OR(C688=1900,$D$506=0),0,VLOOKUP(A688,'Estados Financieros'!$A$18:$I$458,8,0))</f>
        <v>0</v>
      </c>
      <c r="E688" t="str">
        <f t="shared" si="34"/>
        <v>0,000</v>
      </c>
    </row>
    <row r="689" spans="1:5">
      <c r="A689">
        <v>525500</v>
      </c>
      <c r="B689" t="str">
        <f t="shared" si="35"/>
        <v/>
      </c>
      <c r="C689">
        <f t="shared" si="36"/>
        <v>1900</v>
      </c>
      <c r="D689">
        <f>IF(OR(C689=1900,$D$506=0),0,VLOOKUP(A689,'Estados Financieros'!$A$18:$I$458,8,0))</f>
        <v>0</v>
      </c>
      <c r="E689" t="str">
        <f t="shared" si="34"/>
        <v>0,000</v>
      </c>
    </row>
    <row r="690" spans="1:5">
      <c r="A690">
        <v>529500</v>
      </c>
      <c r="B690" t="str">
        <f t="shared" si="35"/>
        <v/>
      </c>
      <c r="C690">
        <f t="shared" si="36"/>
        <v>1900</v>
      </c>
      <c r="D690">
        <f>IF(OR(C690=1900,$D$506=0),0,VLOOKUP(A690,'Estados Financieros'!$A$18:$I$458,8,0))</f>
        <v>0</v>
      </c>
      <c r="E690" t="str">
        <f t="shared" si="34"/>
        <v>0,000</v>
      </c>
    </row>
    <row r="691" spans="1:5">
      <c r="A691">
        <v>526000</v>
      </c>
      <c r="B691" t="str">
        <f t="shared" si="35"/>
        <v/>
      </c>
      <c r="C691">
        <f t="shared" si="36"/>
        <v>1900</v>
      </c>
      <c r="D691">
        <f>IF(OR(C691=1900,$D$506=0),0,VLOOKUP(A691,'Estados Financieros'!$A$18:$I$458,8,0))</f>
        <v>0</v>
      </c>
      <c r="E691" t="str">
        <f t="shared" si="34"/>
        <v>0,000</v>
      </c>
    </row>
    <row r="692" spans="1:5">
      <c r="A692">
        <v>526500</v>
      </c>
      <c r="B692" t="str">
        <f t="shared" si="35"/>
        <v/>
      </c>
      <c r="C692">
        <f t="shared" si="36"/>
        <v>1900</v>
      </c>
      <c r="D692">
        <f>IF(OR(C692=1900,$D$506=0),0,VLOOKUP(A692,'Estados Financieros'!$A$18:$I$458,8,0))</f>
        <v>0</v>
      </c>
      <c r="E692" t="str">
        <f t="shared" si="34"/>
        <v>0,000</v>
      </c>
    </row>
    <row r="693" spans="1:5">
      <c r="A693">
        <v>529900</v>
      </c>
      <c r="B693" t="str">
        <f t="shared" ref="B693:B725" si="37">+B692</f>
        <v/>
      </c>
      <c r="C693">
        <f t="shared" ref="C693:C725" si="38">C692</f>
        <v>1900</v>
      </c>
      <c r="D693">
        <f>IF(OR(C693=1900,$D$506=0),0,VLOOKUP(A693,'Estados Financieros'!$A$18:$I$458,8,0))</f>
        <v>0</v>
      </c>
      <c r="E693" t="str">
        <f t="shared" si="34"/>
        <v>0,000</v>
      </c>
    </row>
    <row r="694" spans="1:5">
      <c r="A694">
        <v>52</v>
      </c>
      <c r="B694" t="str">
        <f t="shared" si="37"/>
        <v/>
      </c>
      <c r="C694">
        <f t="shared" si="38"/>
        <v>1900</v>
      </c>
      <c r="D694">
        <f>IF(OR(C694=1900,$D$506=0),0,VLOOKUP(A694,'Estados Financieros'!$A$18:$I$458,8,0))</f>
        <v>0</v>
      </c>
      <c r="E694" t="str">
        <f t="shared" si="34"/>
        <v>0,000</v>
      </c>
    </row>
    <row r="695" spans="1:5">
      <c r="A695">
        <v>96</v>
      </c>
      <c r="B695" t="str">
        <f t="shared" si="37"/>
        <v/>
      </c>
      <c r="C695">
        <f t="shared" si="38"/>
        <v>1900</v>
      </c>
      <c r="D695">
        <f>IF(OR(C695=1900,$D$506=0),0,VLOOKUP(A695,'Estados Financieros'!$A$18:$I$458,8,0))</f>
        <v>0</v>
      </c>
      <c r="E695" t="str">
        <f t="shared" si="34"/>
        <v>0,000</v>
      </c>
    </row>
    <row r="696" spans="1:5">
      <c r="A696">
        <v>421000</v>
      </c>
      <c r="B696" t="str">
        <f t="shared" si="37"/>
        <v/>
      </c>
      <c r="C696">
        <f t="shared" si="38"/>
        <v>1900</v>
      </c>
      <c r="D696">
        <f>IF(OR(C696=1900,$D$506=0),0,VLOOKUP(A696,'Estados Financieros'!$A$18:$I$458,8,0))</f>
        <v>0</v>
      </c>
      <c r="E696" t="str">
        <f t="shared" si="34"/>
        <v>0,000</v>
      </c>
    </row>
    <row r="697" spans="1:5">
      <c r="A697">
        <v>421020</v>
      </c>
      <c r="B697" t="str">
        <f t="shared" si="37"/>
        <v/>
      </c>
      <c r="C697">
        <f t="shared" si="38"/>
        <v>1900</v>
      </c>
      <c r="D697">
        <f>IF(OR(C697=1900,$D$506=0),0,VLOOKUP(A697,'Estados Financieros'!$A$18:$I$458,8,0))</f>
        <v>0</v>
      </c>
      <c r="E697" t="str">
        <f t="shared" si="34"/>
        <v>0,000</v>
      </c>
    </row>
    <row r="698" spans="1:5">
      <c r="A698">
        <v>420500</v>
      </c>
      <c r="B698" t="str">
        <f t="shared" si="37"/>
        <v/>
      </c>
      <c r="C698">
        <f t="shared" si="38"/>
        <v>1900</v>
      </c>
      <c r="D698">
        <f>IF(OR(C698=1900,$D$506=0),0,VLOOKUP(A698,'Estados Financieros'!$A$18:$I$458,8,0))</f>
        <v>0</v>
      </c>
      <c r="E698" t="str">
        <f t="shared" si="34"/>
        <v>0,000</v>
      </c>
    </row>
    <row r="699" spans="1:5">
      <c r="A699">
        <v>421040</v>
      </c>
      <c r="B699" t="str">
        <f t="shared" si="37"/>
        <v/>
      </c>
      <c r="C699">
        <f t="shared" si="38"/>
        <v>1900</v>
      </c>
      <c r="D699">
        <f>IF(OR(C699=1900,$D$506=0),0,VLOOKUP(A699,'Estados Financieros'!$A$18:$I$458,8,0))</f>
        <v>0</v>
      </c>
      <c r="E699" t="str">
        <f t="shared" si="34"/>
        <v>0,000</v>
      </c>
    </row>
    <row r="700" spans="1:5">
      <c r="A700">
        <v>421500</v>
      </c>
      <c r="B700" t="str">
        <f t="shared" si="37"/>
        <v/>
      </c>
      <c r="C700">
        <f t="shared" si="38"/>
        <v>1900</v>
      </c>
      <c r="D700">
        <f>IF(OR(C700=1900,$D$506=0),0,VLOOKUP(A700,'Estados Financieros'!$A$18:$I$458,8,0))</f>
        <v>0</v>
      </c>
      <c r="E700" t="str">
        <f t="shared" si="34"/>
        <v>0,000</v>
      </c>
    </row>
    <row r="701" spans="1:5">
      <c r="A701">
        <v>422000</v>
      </c>
      <c r="B701" t="str">
        <f t="shared" si="37"/>
        <v/>
      </c>
      <c r="C701">
        <f t="shared" si="38"/>
        <v>1900</v>
      </c>
      <c r="D701">
        <f>IF(OR(C701=1900,$D$506=0),0,VLOOKUP(A701,'Estados Financieros'!$A$18:$I$458,8,0))</f>
        <v>0</v>
      </c>
      <c r="E701" t="str">
        <f t="shared" si="34"/>
        <v>0,000</v>
      </c>
    </row>
    <row r="702" spans="1:5">
      <c r="A702">
        <v>422500</v>
      </c>
      <c r="B702" t="str">
        <f t="shared" si="37"/>
        <v/>
      </c>
      <c r="C702">
        <f t="shared" si="38"/>
        <v>1900</v>
      </c>
      <c r="D702">
        <f>IF(OR(C702=1900,$D$506=0),0,VLOOKUP(A702,'Estados Financieros'!$A$18:$I$458,8,0))</f>
        <v>0</v>
      </c>
      <c r="E702" t="str">
        <f t="shared" si="34"/>
        <v>0,000</v>
      </c>
    </row>
    <row r="703" spans="1:5">
      <c r="A703">
        <v>423500</v>
      </c>
      <c r="B703" t="str">
        <f t="shared" si="37"/>
        <v/>
      </c>
      <c r="C703">
        <f t="shared" si="38"/>
        <v>1900</v>
      </c>
      <c r="D703">
        <f>IF(OR(C703=1900,$D$506=0),0,VLOOKUP(A703,'Estados Financieros'!$A$18:$I$458,8,0))</f>
        <v>0</v>
      </c>
      <c r="E703" t="str">
        <f t="shared" si="34"/>
        <v>0,000</v>
      </c>
    </row>
    <row r="704" spans="1:5">
      <c r="A704">
        <v>424000</v>
      </c>
      <c r="B704" t="str">
        <f t="shared" si="37"/>
        <v/>
      </c>
      <c r="C704">
        <f t="shared" si="38"/>
        <v>1900</v>
      </c>
      <c r="D704">
        <f>IF(OR(C704=1900,$D$506=0),0,VLOOKUP(A704,'Estados Financieros'!$A$18:$I$458,8,0))</f>
        <v>0</v>
      </c>
      <c r="E704" t="str">
        <f t="shared" si="34"/>
        <v>0,000</v>
      </c>
    </row>
    <row r="705" spans="1:5">
      <c r="A705">
        <v>425000</v>
      </c>
      <c r="B705" t="str">
        <f t="shared" si="37"/>
        <v/>
      </c>
      <c r="C705">
        <f t="shared" si="38"/>
        <v>1900</v>
      </c>
      <c r="D705">
        <f>IF(OR(C705=1900,$D$506=0),0,VLOOKUP(A705,'Estados Financieros'!$A$18:$I$458,8,0))</f>
        <v>0</v>
      </c>
      <c r="E705" t="str">
        <f t="shared" si="34"/>
        <v>0,000</v>
      </c>
    </row>
    <row r="706" spans="1:5">
      <c r="A706">
        <v>426500</v>
      </c>
      <c r="B706" t="str">
        <f t="shared" si="37"/>
        <v/>
      </c>
      <c r="C706">
        <f t="shared" si="38"/>
        <v>1900</v>
      </c>
      <c r="D706">
        <f>IF(OR(C706=1900,$D$506=0),0,VLOOKUP(A706,'Estados Financieros'!$A$18:$I$458,8,0))</f>
        <v>0</v>
      </c>
      <c r="E706" t="str">
        <f t="shared" ref="E706:E725" si="39">IFERROR(FIXED(D706,3,1),0)</f>
        <v>0,000</v>
      </c>
    </row>
    <row r="707" spans="1:5">
      <c r="A707">
        <v>429500</v>
      </c>
      <c r="B707" t="str">
        <f t="shared" si="37"/>
        <v/>
      </c>
      <c r="C707">
        <f t="shared" si="38"/>
        <v>1900</v>
      </c>
      <c r="D707">
        <f>IF(OR(C707=1900,$D$506=0),0,VLOOKUP(A707,'Estados Financieros'!$A$18:$I$458,8,0))</f>
        <v>0</v>
      </c>
      <c r="E707" t="str">
        <f t="shared" si="39"/>
        <v>0,000</v>
      </c>
    </row>
    <row r="708" spans="1:5">
      <c r="A708">
        <v>42</v>
      </c>
      <c r="B708" t="str">
        <f t="shared" si="37"/>
        <v/>
      </c>
      <c r="C708">
        <f t="shared" si="38"/>
        <v>1900</v>
      </c>
      <c r="D708">
        <f>IF(OR(C708=1900,$D$506=0),0,VLOOKUP(A708,'Estados Financieros'!$A$18:$I$458,8,0))</f>
        <v>0</v>
      </c>
      <c r="E708" t="str">
        <f t="shared" si="39"/>
        <v>0,000</v>
      </c>
    </row>
    <row r="709" spans="1:5">
      <c r="A709">
        <v>5301</v>
      </c>
      <c r="B709" t="str">
        <f t="shared" si="37"/>
        <v/>
      </c>
      <c r="C709">
        <f t="shared" si="38"/>
        <v>1900</v>
      </c>
      <c r="D709">
        <f>IF(OR(C709=1900,$D$506=0),0,VLOOKUP(A709,'Estados Financieros'!$A$18:$I$458,8,0))</f>
        <v>0</v>
      </c>
      <c r="E709" t="str">
        <f t="shared" si="39"/>
        <v>0,000</v>
      </c>
    </row>
    <row r="710" spans="1:5">
      <c r="A710">
        <v>530525</v>
      </c>
      <c r="B710" t="str">
        <f t="shared" si="37"/>
        <v/>
      </c>
      <c r="C710">
        <f t="shared" si="38"/>
        <v>1900</v>
      </c>
      <c r="D710">
        <f>IF(OR(C710=1900,$D$506=0),0,VLOOKUP(A710,'Estados Financieros'!$A$18:$I$458,8,0))</f>
        <v>0</v>
      </c>
      <c r="E710" t="str">
        <f t="shared" si="39"/>
        <v>0,000</v>
      </c>
    </row>
    <row r="711" spans="1:5">
      <c r="A711">
        <v>530505</v>
      </c>
      <c r="B711" t="str">
        <f t="shared" si="37"/>
        <v/>
      </c>
      <c r="C711">
        <f t="shared" si="38"/>
        <v>1900</v>
      </c>
      <c r="D711">
        <f>IF(OR(C711=1900,$D$506=0),0,VLOOKUP(A711,'Estados Financieros'!$A$18:$I$458,8,0))</f>
        <v>0</v>
      </c>
      <c r="E711" t="str">
        <f t="shared" si="39"/>
        <v>0,000</v>
      </c>
    </row>
    <row r="712" spans="1:5">
      <c r="A712">
        <v>530515</v>
      </c>
      <c r="B712" t="str">
        <f t="shared" si="37"/>
        <v/>
      </c>
      <c r="C712">
        <f t="shared" si="38"/>
        <v>1900</v>
      </c>
      <c r="D712">
        <f>IF(OR(C712=1900,$D$506=0),0,VLOOKUP(A712,'Estados Financieros'!$A$18:$I$458,8,0))</f>
        <v>0</v>
      </c>
      <c r="E712" t="str">
        <f t="shared" si="39"/>
        <v>0,000</v>
      </c>
    </row>
    <row r="713" spans="1:5">
      <c r="A713">
        <v>530535</v>
      </c>
      <c r="B713" t="str">
        <f t="shared" si="37"/>
        <v/>
      </c>
      <c r="C713">
        <f t="shared" si="38"/>
        <v>1900</v>
      </c>
      <c r="D713">
        <f>IF(OR(C713=1900,$D$506=0),0,VLOOKUP(A713,'Estados Financieros'!$A$18:$I$458,8,0))</f>
        <v>0</v>
      </c>
      <c r="E713" t="str">
        <f t="shared" si="39"/>
        <v>0,000</v>
      </c>
    </row>
    <row r="714" spans="1:5">
      <c r="A714">
        <v>531000</v>
      </c>
      <c r="B714" t="str">
        <f t="shared" si="37"/>
        <v/>
      </c>
      <c r="C714">
        <f t="shared" si="38"/>
        <v>1900</v>
      </c>
      <c r="D714">
        <f>IF(OR(C714=1900,$D$506=0),0,VLOOKUP(A714,'Estados Financieros'!$A$18:$I$458,8,0))</f>
        <v>0</v>
      </c>
      <c r="E714" t="str">
        <f t="shared" si="39"/>
        <v>0,000</v>
      </c>
    </row>
    <row r="715" spans="1:5">
      <c r="A715">
        <v>531300</v>
      </c>
      <c r="B715" t="str">
        <f t="shared" si="37"/>
        <v/>
      </c>
      <c r="C715">
        <f t="shared" si="38"/>
        <v>1900</v>
      </c>
      <c r="D715">
        <f>IF(OR(C715=1900,$D$506=0),0,VLOOKUP(A715,'Estados Financieros'!$A$18:$I$458,8,0))</f>
        <v>0</v>
      </c>
      <c r="E715" t="str">
        <f t="shared" si="39"/>
        <v>0,000</v>
      </c>
    </row>
    <row r="716" spans="1:5">
      <c r="A716">
        <v>531500</v>
      </c>
      <c r="B716" t="str">
        <f t="shared" si="37"/>
        <v/>
      </c>
      <c r="C716">
        <f t="shared" si="38"/>
        <v>1900</v>
      </c>
      <c r="D716">
        <f>IF(OR(C716=1900,$D$506=0),0,VLOOKUP(A716,'Estados Financieros'!$A$18:$I$458,8,0))</f>
        <v>0</v>
      </c>
      <c r="E716" t="str">
        <f t="shared" si="39"/>
        <v>0,000</v>
      </c>
    </row>
    <row r="717" spans="1:5">
      <c r="A717">
        <v>531515</v>
      </c>
      <c r="B717" t="str">
        <f t="shared" si="37"/>
        <v/>
      </c>
      <c r="C717">
        <f t="shared" si="38"/>
        <v>1900</v>
      </c>
      <c r="D717">
        <f>IF(OR(C717=1900,$D$506=0),0,VLOOKUP(A717,'Estados Financieros'!$A$18:$I$458,8,0))</f>
        <v>0</v>
      </c>
      <c r="E717" t="str">
        <f t="shared" si="39"/>
        <v>0,000</v>
      </c>
    </row>
    <row r="718" spans="1:5">
      <c r="A718">
        <v>531520</v>
      </c>
      <c r="B718" t="str">
        <f t="shared" si="37"/>
        <v/>
      </c>
      <c r="C718">
        <f t="shared" si="38"/>
        <v>1900</v>
      </c>
      <c r="D718">
        <f>IF(OR(C718=1900,$D$506=0),0,VLOOKUP(A718,'Estados Financieros'!$A$18:$I$458,8,0))</f>
        <v>0</v>
      </c>
      <c r="E718" t="str">
        <f t="shared" si="39"/>
        <v>0,000</v>
      </c>
    </row>
    <row r="719" spans="1:5">
      <c r="A719">
        <v>539525</v>
      </c>
      <c r="B719" t="str">
        <f t="shared" si="37"/>
        <v/>
      </c>
      <c r="C719">
        <f t="shared" si="38"/>
        <v>1900</v>
      </c>
      <c r="D719">
        <f>IF(OR(C719=1900,$D$506=0),0,VLOOKUP(A719,'Estados Financieros'!$A$18:$I$458,8,0))</f>
        <v>0</v>
      </c>
      <c r="E719" t="str">
        <f t="shared" si="39"/>
        <v>0,000</v>
      </c>
    </row>
    <row r="720" spans="1:5">
      <c r="A720">
        <v>539595</v>
      </c>
      <c r="B720" t="str">
        <f t="shared" si="37"/>
        <v/>
      </c>
      <c r="C720">
        <f t="shared" si="38"/>
        <v>1900</v>
      </c>
      <c r="D720">
        <f>IF(OR(C720=1900,$D$506=0),0,VLOOKUP(A720,'Estados Financieros'!$A$18:$I$458,8,0))</f>
        <v>0</v>
      </c>
      <c r="E720" t="str">
        <f t="shared" si="39"/>
        <v>0,000</v>
      </c>
    </row>
    <row r="721" spans="1:5">
      <c r="A721">
        <v>53</v>
      </c>
      <c r="B721" t="str">
        <f t="shared" si="37"/>
        <v/>
      </c>
      <c r="C721">
        <f t="shared" si="38"/>
        <v>1900</v>
      </c>
      <c r="D721">
        <f>IF(OR(C721=1900,$D$506=0),0,VLOOKUP(A721,'Estados Financieros'!$A$18:$I$458,8,0))</f>
        <v>0</v>
      </c>
      <c r="E721" t="str">
        <f t="shared" si="39"/>
        <v>0,000</v>
      </c>
    </row>
    <row r="722" spans="1:5">
      <c r="A722">
        <v>98</v>
      </c>
      <c r="B722" t="str">
        <f t="shared" si="37"/>
        <v/>
      </c>
      <c r="C722">
        <f t="shared" si="38"/>
        <v>1900</v>
      </c>
      <c r="D722">
        <f>IF(OR(C722=1900,$D$506=0),0,VLOOKUP(A722,'Estados Financieros'!$A$18:$I$458,8,0))</f>
        <v>0</v>
      </c>
      <c r="E722" t="str">
        <f t="shared" si="39"/>
        <v>0,000</v>
      </c>
    </row>
    <row r="723" spans="1:5">
      <c r="A723">
        <v>97</v>
      </c>
      <c r="B723" t="str">
        <f t="shared" si="37"/>
        <v/>
      </c>
      <c r="C723">
        <f t="shared" si="38"/>
        <v>1900</v>
      </c>
      <c r="D723">
        <f>IF(OR(C723=1900,$D$506=0),0,VLOOKUP(A723,'Estados Financieros'!$A$18:$I$458,8,0))</f>
        <v>0</v>
      </c>
      <c r="E723" t="str">
        <f t="shared" si="39"/>
        <v>0,000</v>
      </c>
    </row>
    <row r="724" spans="1:5">
      <c r="A724">
        <v>54</v>
      </c>
      <c r="B724" t="str">
        <f t="shared" si="37"/>
        <v/>
      </c>
      <c r="C724">
        <f t="shared" si="38"/>
        <v>1900</v>
      </c>
      <c r="D724">
        <f>IF(OR(C724=1900,$D$506=0),0,VLOOKUP(A724,'Estados Financieros'!$A$18:$I$458,8,0))</f>
        <v>0</v>
      </c>
      <c r="E724" t="str">
        <f t="shared" si="39"/>
        <v>0,000</v>
      </c>
    </row>
    <row r="725" spans="1:5">
      <c r="A725">
        <v>99</v>
      </c>
      <c r="B725" t="str">
        <f t="shared" si="37"/>
        <v/>
      </c>
      <c r="C725">
        <f t="shared" si="38"/>
        <v>1900</v>
      </c>
      <c r="D725">
        <f>IF(OR(C725=1900,$D$506=0),0,VLOOKUP(A725,'Estados Financieros'!$A$18:$I$458,8,0))</f>
        <v>0</v>
      </c>
      <c r="E725" t="str">
        <f t="shared" si="39"/>
        <v>0,000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6"/>
  <dimension ref="A1:D1"/>
  <sheetViews>
    <sheetView workbookViewId="0"/>
  </sheetViews>
  <sheetFormatPr baseColWidth="10" defaultRowHeight="14.5"/>
  <sheetData>
    <row r="1" spans="1:4">
      <c r="A1" t="s">
        <v>38</v>
      </c>
      <c r="B1" t="s">
        <v>0</v>
      </c>
      <c r="C1" t="s">
        <v>39</v>
      </c>
      <c r="D1"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7"/>
  <dimension ref="A1:I6"/>
  <sheetViews>
    <sheetView workbookViewId="0">
      <selection activeCell="B2" sqref="B2"/>
    </sheetView>
  </sheetViews>
  <sheetFormatPr baseColWidth="10" defaultColWidth="11" defaultRowHeight="14.5"/>
  <cols>
    <col min="1" max="1" width="14.6328125" customWidth="1"/>
    <col min="2" max="2" width="10.08984375" customWidth="1"/>
    <col min="3" max="3" width="9.6328125" customWidth="1"/>
    <col min="4" max="4" width="11.6328125" customWidth="1"/>
    <col min="5" max="5" width="8.453125" customWidth="1"/>
    <col min="6" max="6" width="10.08984375" customWidth="1"/>
    <col min="7" max="7" width="16.7265625" customWidth="1"/>
    <col min="8" max="8" width="11.36328125" customWidth="1"/>
    <col min="9" max="9" width="12.08984375" bestFit="1" customWidth="1"/>
  </cols>
  <sheetData>
    <row r="1" spans="1:9">
      <c r="A1" s="3460" t="s">
        <v>33</v>
      </c>
      <c r="B1" s="3460" t="s">
        <v>39</v>
      </c>
      <c r="C1" s="3460" t="s">
        <v>43</v>
      </c>
      <c r="D1" s="3460" t="s">
        <v>44</v>
      </c>
      <c r="E1" s="3460" t="s">
        <v>45</v>
      </c>
      <c r="F1" s="3460" t="s">
        <v>25</v>
      </c>
      <c r="G1" s="3460" t="s">
        <v>26</v>
      </c>
      <c r="H1" s="3460" t="s">
        <v>2166</v>
      </c>
      <c r="I1" s="3460" t="s">
        <v>2176</v>
      </c>
    </row>
    <row r="2" spans="1:9">
      <c r="A2" t="str">
        <f>IF(B2=1900,"",'RC'!$D$6)</f>
        <v/>
      </c>
      <c r="B2">
        <f>BalancesAnuales!C144</f>
        <v>1900</v>
      </c>
      <c r="C2" t="s">
        <v>46</v>
      </c>
      <c r="D2" t="s">
        <v>46</v>
      </c>
      <c r="E2" t="str">
        <f>IF(B2=1900,"",'Estados Financieros'!E6+0)</f>
        <v/>
      </c>
      <c r="F2" t="str">
        <f>IF(B2=1900,"",Caratula1!$AM$3)</f>
        <v/>
      </c>
      <c r="G2" t="str">
        <f>IF(B2=1900,"",Caratula1!$AN$3)</f>
        <v/>
      </c>
      <c r="I2">
        <f>IFERROR(VLOOKUP(HLOOKUP(MID(B2,1,4)+0,'Estados Financieros'!$E$4:$G$5,2,0),'Estados Financieros'!$N$6:$O$8,2,0),3)</f>
        <v>3</v>
      </c>
    </row>
    <row r="3" spans="1:9">
      <c r="A3" t="str">
        <f>IF(B3=1900,"",'RC'!$D$6)</f>
        <v/>
      </c>
      <c r="B3">
        <f>BalancesAnuales!C506</f>
        <v>1900</v>
      </c>
      <c r="C3" t="s">
        <v>46</v>
      </c>
      <c r="D3" t="s">
        <v>46</v>
      </c>
      <c r="E3" t="str">
        <f>IF(B3=1900,"",'Estados Financieros'!F6+0)</f>
        <v/>
      </c>
      <c r="F3" t="str">
        <f>IF(B3=1900,"",Caratula1!$AM$3)</f>
        <v/>
      </c>
      <c r="G3" t="str">
        <f>IF(B3=1900,"",Caratula1!$AN$3)</f>
        <v/>
      </c>
      <c r="I3">
        <f>IFERROR(VLOOKUP(HLOOKUP(MID(B3,1,4)+0,'Estados Financieros'!$E$4:$G$5,2,0),'Estados Financieros'!$N$6:$O$8,2,0),3)</f>
        <v>3</v>
      </c>
    </row>
    <row r="4" spans="1:9">
      <c r="A4" t="str">
        <f>IF(B4=1900,"",'RC'!$D$6)</f>
        <v/>
      </c>
      <c r="B4">
        <f>BalancesAnuales!C868</f>
        <v>1900</v>
      </c>
      <c r="C4" t="s">
        <v>46</v>
      </c>
      <c r="D4" t="s">
        <v>46</v>
      </c>
      <c r="E4" t="str">
        <f>IF(B4=1900,"",'Estados Financieros'!G6+0)</f>
        <v/>
      </c>
      <c r="F4" t="str">
        <f>IF(B4=1900,"",Caratula1!$AM$3)</f>
        <v/>
      </c>
      <c r="G4" t="str">
        <f>IF(B4=1900,"",Caratula1!$AN$3)</f>
        <v/>
      </c>
      <c r="I4">
        <f>IFERROR(VLOOKUP(HLOOKUP(MID(B4,1,4)+0,'Estados Financieros'!$E$4:$G$5,2,0),'Estados Financieros'!$N$6:$O$8,2,0),3)</f>
        <v>3</v>
      </c>
    </row>
    <row r="5" spans="1:9">
      <c r="A5" t="str">
        <f>IF(B5=1900,"",'RC'!$D$6)</f>
        <v/>
      </c>
      <c r="B5">
        <f>BalancesMensuales!C144</f>
        <v>1900</v>
      </c>
      <c r="C5" t="s">
        <v>46</v>
      </c>
      <c r="D5" t="str">
        <f>IF(LEN(B5)=6,"True","False")</f>
        <v>False</v>
      </c>
      <c r="E5" t="str">
        <f>IF(B5=1900,"",'Estados Financieros'!H6+0)</f>
        <v/>
      </c>
      <c r="F5" t="str">
        <f>IF(B5=1900,"",Caratula1!$AM$3)</f>
        <v/>
      </c>
      <c r="G5" t="str">
        <f>IF(B5=1900,"",Caratula1!$AN$3)</f>
        <v/>
      </c>
      <c r="I5">
        <f>IFERROR(VLOOKUP(HLOOKUP(MID(B5,1,4)+0,'Estados Financieros'!$H$4:$I$5,2,0),'Estados Financieros'!$N$6:$O$8,2,0),3)</f>
        <v>3</v>
      </c>
    </row>
    <row r="6" spans="1:9">
      <c r="A6" t="str">
        <f>IF(B6=1900,"",'RC'!$D$6)</f>
        <v/>
      </c>
      <c r="B6">
        <f>BalancesMensuales!C506</f>
        <v>1900</v>
      </c>
      <c r="C6" t="s">
        <v>46</v>
      </c>
      <c r="D6" t="str">
        <f>IF(LEN(B6)=6,"True","False")</f>
        <v>False</v>
      </c>
      <c r="E6" t="str">
        <f>IF(B6=1900,"",'Estados Financieros'!I6+0)</f>
        <v/>
      </c>
      <c r="F6" t="str">
        <f>IF(B6=1900,"",Caratula1!$AM$3)</f>
        <v/>
      </c>
      <c r="G6" t="str">
        <f>IF(B6=1900,"",Caratula1!$AN$3)</f>
        <v/>
      </c>
      <c r="I6">
        <f>IFERROR(VLOOKUP(HLOOKUP(MID(B6,1,4),'Estados Financieros'!$H$4:$I$5,2,0),'Estados Financieros'!$N$6:$O$8,2,0),3)</f>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8"/>
  <dimension ref="A1:H2"/>
  <sheetViews>
    <sheetView workbookViewId="0">
      <selection activeCell="H2" sqref="H2"/>
    </sheetView>
  </sheetViews>
  <sheetFormatPr baseColWidth="10" defaultRowHeight="14.5"/>
  <sheetData>
    <row r="1" spans="1:8">
      <c r="A1" t="s">
        <v>33</v>
      </c>
      <c r="B1" t="s">
        <v>47</v>
      </c>
      <c r="C1" t="s">
        <v>48</v>
      </c>
      <c r="D1" t="str">
        <f>"Balance Anual - "&amp;'Estados Financieros'!K4</f>
        <v>Balance Anual - 201712</v>
      </c>
      <c r="E1" t="str">
        <f>"Balance Anual - "&amp;'Estados Financieros'!L4</f>
        <v>Balance Anual - 201812</v>
      </c>
      <c r="F1" t="str">
        <f>"Balance Anual - "&amp;'Estados Financieros'!M4</f>
        <v>Balance Anual - 201912</v>
      </c>
      <c r="G1" t="str">
        <f>"Balance Parcial - "&amp;'Estados Financieros'!O4</f>
        <v>Balance Parcial - 201906</v>
      </c>
      <c r="H1" t="str">
        <f>"Balance Parcial - "&amp;'Estados Financieros'!N4</f>
        <v>Balance Parcial - 202006</v>
      </c>
    </row>
    <row r="2" spans="1:8">
      <c r="A2" t="str">
        <f>IF(AND('RC'!D6&lt;&gt;"",'RC'!D6&lt;&gt;0),"OK","Valide el documento de identificación de la Empresa")</f>
        <v>Valide el documento de identificación de la Empresa</v>
      </c>
      <c r="B2" t="str">
        <f>IF(AND('RC'!D7&lt;&gt;"",'RC'!D7&lt;&gt;0),"OK","Valide el Nombre de la Empresa")</f>
        <v>Valide el Nombre de la Empresa</v>
      </c>
      <c r="C2" t="str">
        <f>IF(AND('RC'!D8&lt;&gt;"",'RC'!D8&lt;&gt;0),"OK","Valide la fecha de fundación de la Empresa")</f>
        <v>Valide la fecha de fundación de la Empresa</v>
      </c>
      <c r="D2" t="str">
        <f>IF('Estados Financieros'!E185&lt;&gt;0,IF(AND('Estados Financieros'!E10="OK",'Estados Financieros'!E461="OK",'Estados Financieros'!E14="OK",'Estados Financieros'!E4&gt;2015,'Estados Financieros'!E6+0&gt;2),"OK","Valide la información del primer año cerrado"),"OK")</f>
        <v>OK</v>
      </c>
      <c r="E2" t="str">
        <f>IF('Estados Financieros'!F185&lt;&gt;0,IF(AND('Estados Financieros'!F10="OK",'Estados Financieros'!F461="OK",'Estados Financieros'!F14="OK",'Estados Financieros'!F4&gt;2015,'Estados Financieros'!F6+0&gt;2),"OK","Valide la información del primer año cerrado"),"OK")</f>
        <v>OK</v>
      </c>
      <c r="F2" t="str">
        <f>IF('Estados Financieros'!G185&lt;&gt;0,IF(AND('Estados Financieros'!G10="OK",'Estados Financieros'!G461="OK",'Estados Financieros'!G14="OK",'Estados Financieros'!G4&gt;2015,'Estados Financieros'!G6+0&gt;2),"OK","Valide la información del primer año cerrado"),"OK")</f>
        <v>OK</v>
      </c>
      <c r="G2" t="str">
        <f>IF('Estados Financieros'!H185&lt;&gt;0,IF(AND('Estados Financieros'!H10="OK",'Estados Financieros'!H461="OK",'Estados Financieros'!H14="OK",'Estados Financieros'!H4&gt;2015,'Estados Financieros'!H6+0&lt;12),"OK","Valide la información del primer año cerrado"),"OK")</f>
        <v>OK</v>
      </c>
      <c r="H2" t="str">
        <f>IF('Estados Financieros'!I185&lt;&gt;0,IF(AND('Estados Financieros'!I10="OK",'Estados Financieros'!I461="OK",'Estados Financieros'!I14="OK",'Estados Financieros'!I4&gt;2015,'Estados Financieros'!I6+0&lt;12),"OK","Valide la información del primer año cerrado"),"OK")</f>
        <v>OK</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9"/>
  <dimension ref="A1:E2"/>
  <sheetViews>
    <sheetView workbookViewId="0">
      <selection sqref="A1:XFD2"/>
    </sheetView>
  </sheetViews>
  <sheetFormatPr baseColWidth="10" defaultRowHeight="14.5"/>
  <sheetData>
    <row r="1" spans="1:5">
      <c r="A1" t="s">
        <v>49</v>
      </c>
      <c r="B1" t="s">
        <v>50</v>
      </c>
      <c r="C1" t="s">
        <v>51</v>
      </c>
      <c r="D1" t="s">
        <v>52</v>
      </c>
      <c r="E1" t="s">
        <v>53</v>
      </c>
    </row>
    <row r="2" spans="1:5">
      <c r="A2">
        <v>1</v>
      </c>
      <c r="B2">
        <f>IF(AND(Fortalezas!D393=0,Fortalezas!C392&gt;9),1,0)</f>
        <v>0</v>
      </c>
      <c r="C2">
        <f>IF(Fortalezas!I393=0,1,0)</f>
        <v>1</v>
      </c>
      <c r="D2">
        <f>IF(SUM(BalancesAnuales!D2:D1087)&gt;0,1,0)</f>
        <v>0</v>
      </c>
      <c r="E2">
        <f>IF(SUM(BalancesMensuales!D2:D725)&gt;0,1,0)</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10"/>
  <dimension ref="A1:BR10000"/>
  <sheetViews>
    <sheetView showGridLines="0" showRowColHeaders="0" topLeftCell="A9978" workbookViewId="0">
      <pane ySplit="23" topLeftCell="A10001" activePane="bottomLeft" state="frozen"/>
      <selection activeCell="A9978" sqref="A9978"/>
      <selection pane="bottomLeft" activeCell="D10005" sqref="D10005"/>
    </sheetView>
  </sheetViews>
  <sheetFormatPr baseColWidth="10" defaultRowHeight="14.5"/>
  <sheetData>
    <row r="1" spans="1:70" hidden="1">
      <c r="D1" s="3461" t="str">
        <f>IFERROR(VLOOKUP(D4,NitAnioNIIF1!$C$2:$I$53,7,0),"False")</f>
        <v>False</v>
      </c>
      <c r="E1" s="3461" t="str">
        <f>IFERROR(VLOOKUP(E4,NitAnioNIIF1!$C$2:$I$53,7,0),"False")</f>
        <v>False</v>
      </c>
      <c r="F1" s="3461" t="str">
        <f>IFERROR(VLOOKUP(F4,NitAnioNIIF1!$C$2:$I$53,7,0),"False")</f>
        <v>False</v>
      </c>
      <c r="G1" s="3461" t="str">
        <f>IFERROR(VLOOKUP(G4,NitAnioNIIF1!$C$2:$I$53,7,0),"False")</f>
        <v>False</v>
      </c>
      <c r="H1" s="3461" t="str">
        <f>IFERROR(VLOOKUP(H4,NitAnioNIIF1!$C$2:$I$53,7,0),"False")</f>
        <v>False</v>
      </c>
      <c r="J1" s="3461" t="str">
        <f>IFERROR(IF(VLOOKUP(D4,NitAnioNIIF1!$C$2:$I$53,4,0)=0,"12",VLOOKUP(D4,NitAnioNIIF1!$C$2:$I$53,4,0)),"12")</f>
        <v>12</v>
      </c>
      <c r="K1" s="3461" t="str">
        <f>IFERROR(IF(VLOOKUP(E4,NitAnioNIIF1!$C$2:$I$53,4,0)=0,"12",VLOOKUP(E4,NitAnioNIIF1!$C$2:$I$53,4,0)),"12")</f>
        <v>12</v>
      </c>
      <c r="L1" s="3461" t="str">
        <f>IFERROR(IF(VLOOKUP(F4,NitAnioNIIF1!$C$2:$I$53,4,0)=0,"12",VLOOKUP(F4,NitAnioNIIF1!$C$2:$I$53,4,0)),"12")</f>
        <v>12</v>
      </c>
      <c r="M1" s="3461" t="str">
        <f>IFERROR(VLOOKUP(G4,NitAnioNIIF1!$C$2:$I$53,4,0),"06")</f>
        <v>06</v>
      </c>
      <c r="N1" s="3461" t="str">
        <f>IFERROR(VLOOKUP(H4,NitAnioNIIF1!$C$2:$I$53,4,0),"06")</f>
        <v>06</v>
      </c>
    </row>
    <row r="2" spans="1:70" hidden="1">
      <c r="A2">
        <f>Caratula1!AP3</f>
        <v>0</v>
      </c>
      <c r="D2">
        <f>IFERROR(VLOOKUP("36",$M$5:$T$2004,6,0),E2-100)</f>
        <v>201712</v>
      </c>
      <c r="E2">
        <f>IFERROR(VLOOKUP("26",$M$5:$T$2004,6,0),F2-100)</f>
        <v>201812</v>
      </c>
      <c r="F2">
        <f>IFERROR(VLOOKUP("16",$M$5:$T$2004,6,0),201912)</f>
        <v>201912</v>
      </c>
      <c r="G2">
        <f>IFERROR(VLOOKUP("46",$M$5:$T$2004,6,0),202006)</f>
        <v>202006</v>
      </c>
      <c r="H2">
        <f>IFERROR(VLOOKUP("56",$M$5:$T$2004,6,0),(MID(G2,1,4)+0&amp;"06")+0)</f>
        <v>202006</v>
      </c>
      <c r="J2" t="str">
        <f>MID(G2,1,4)</f>
        <v>2020</v>
      </c>
      <c r="K2" t="str">
        <f>MID(G2,5,2)</f>
        <v>06</v>
      </c>
      <c r="L2" t="str">
        <f>VLOOKUP(K2,J8:K18,2,0)</f>
        <v>Junio</v>
      </c>
    </row>
    <row r="3" spans="1:70" hidden="1">
      <c r="D3" t="str">
        <f>VLOOKUP(MID(D2,5,2),$J$8:$K$19,2,0)</f>
        <v>Diciembre</v>
      </c>
      <c r="E3" t="str">
        <f>VLOOKUP(MID(E2,5,2),$J$8:$K$19,2,0)</f>
        <v>Diciembre</v>
      </c>
      <c r="F3" t="str">
        <f>VLOOKUP(MID(F2,5,2),$J$8:$K$19,2,0)</f>
        <v>Diciembre</v>
      </c>
      <c r="G3" t="str">
        <f>VLOOKUP(MID(G2,5,2),$J$8:$K$19,2,0)</f>
        <v>Junio</v>
      </c>
      <c r="H3" t="str">
        <f>VLOOKUP(MID(H2,5,2),$J$8:$K$19,2,0)</f>
        <v>Junio</v>
      </c>
      <c r="J3">
        <f>J2-1</f>
        <v>2019</v>
      </c>
      <c r="L3">
        <f>VLOOKUP(K2,J8:L18,3,0)</f>
        <v>180</v>
      </c>
    </row>
    <row r="4" spans="1:70" hidden="1">
      <c r="A4" s="3405">
        <f>'RC'!D6</f>
        <v>0</v>
      </c>
      <c r="C4" t="str">
        <f>'Estados Financieros'!M4</f>
        <v>201912</v>
      </c>
      <c r="D4" t="str">
        <f>'Estados Financieros'!K4</f>
        <v>201712</v>
      </c>
      <c r="E4" t="str">
        <f>'Estados Financieros'!L4</f>
        <v>201812</v>
      </c>
      <c r="F4" t="str">
        <f>'Estados Financieros'!M4</f>
        <v>201912</v>
      </c>
      <c r="G4" t="str">
        <f>'Estados Financieros'!N4</f>
        <v>202006</v>
      </c>
      <c r="H4" t="str">
        <f>'Estados Financieros'!O4</f>
        <v>201906</v>
      </c>
      <c r="J4" t="str">
        <f>IFERROR(VLOOKUP(MID(K4,5,2),$J$8:$K$18,2,0),"Seleccione Mes")</f>
        <v>Seleccione Mes</v>
      </c>
      <c r="K4">
        <f>IF(K5&lt;&gt;0,K5,IF(K6&lt;&gt;0,K6,K7))</f>
        <v>0</v>
      </c>
      <c r="M4">
        <f>IFERROR((MID(K4,5,2)+0)*30,0)</f>
        <v>0</v>
      </c>
      <c r="AB4" s="3405">
        <f>'RC'!D6</f>
        <v>0</v>
      </c>
      <c r="AC4" t="str">
        <f>IFERROR(PROPER(VLOOKUP(AB4,Caratula1!$A$1:$B$101,2,0)),"")</f>
        <v/>
      </c>
      <c r="AE4" t="s">
        <v>50</v>
      </c>
      <c r="AT4" t="s">
        <v>0</v>
      </c>
      <c r="AU4" t="s">
        <v>1</v>
      </c>
      <c r="AV4" t="s">
        <v>2</v>
      </c>
      <c r="AW4" t="s">
        <v>3</v>
      </c>
      <c r="AX4" t="s">
        <v>4</v>
      </c>
      <c r="AY4" t="s">
        <v>5</v>
      </c>
      <c r="AZ4" t="s">
        <v>6</v>
      </c>
      <c r="BA4" t="s">
        <v>7</v>
      </c>
      <c r="BB4" t="s">
        <v>8</v>
      </c>
      <c r="BC4" t="s">
        <v>9</v>
      </c>
      <c r="BD4" t="s">
        <v>10</v>
      </c>
      <c r="BE4" t="s">
        <v>11</v>
      </c>
      <c r="BF4" t="s">
        <v>12</v>
      </c>
      <c r="BG4" t="s">
        <v>13</v>
      </c>
      <c r="BH4" t="s">
        <v>14</v>
      </c>
      <c r="BI4" t="s">
        <v>15</v>
      </c>
      <c r="BJ4" t="s">
        <v>16</v>
      </c>
      <c r="BK4" t="s">
        <v>17</v>
      </c>
      <c r="BL4" t="s">
        <v>18</v>
      </c>
      <c r="BM4" t="s">
        <v>19</v>
      </c>
      <c r="BN4" t="s">
        <v>20</v>
      </c>
      <c r="BO4" t="s">
        <v>21</v>
      </c>
      <c r="BP4" t="s">
        <v>22</v>
      </c>
      <c r="BQ4" t="s">
        <v>23</v>
      </c>
      <c r="BR4" t="s">
        <v>24</v>
      </c>
    </row>
    <row r="5" spans="1:70" hidden="1">
      <c r="A5" t="s">
        <v>54</v>
      </c>
      <c r="D5" t="str">
        <f>'Estados Financieros'!E6</f>
        <v>12</v>
      </c>
      <c r="E5" t="str">
        <f>'Estados Financieros'!F6</f>
        <v>12</v>
      </c>
      <c r="F5" t="str">
        <f>'Estados Financieros'!G6</f>
        <v>12</v>
      </c>
      <c r="G5" t="str">
        <f>'Estados Financieros'!H6</f>
        <v>06</v>
      </c>
      <c r="H5" t="str">
        <f>'Estados Financieros'!I6</f>
        <v>06</v>
      </c>
      <c r="J5">
        <f>MID(K4,1,4)+0</f>
        <v>0</v>
      </c>
      <c r="K5">
        <f>IFERROR(VLOOKUP("26",$M$5:$T$2004,6,0),0)</f>
        <v>0</v>
      </c>
      <c r="M5" t="str">
        <f>N5&amp;O5</f>
        <v>11</v>
      </c>
      <c r="N5">
        <f>IF(Q5=$A$4,N4+1,0)</f>
        <v>1</v>
      </c>
      <c r="O5">
        <f>LEN(R5)</f>
        <v>1</v>
      </c>
      <c r="P5">
        <f>NitAnioNIIF1!A2</f>
        <v>0</v>
      </c>
      <c r="Q5">
        <f>NitAnioNIIF1!B2</f>
        <v>0</v>
      </c>
      <c r="R5">
        <f>NitAnioNIIF1!C2</f>
        <v>0</v>
      </c>
      <c r="S5">
        <f>NitAnioNIIF1!D2</f>
        <v>0</v>
      </c>
      <c r="T5">
        <f>NitAnioNIIF1!E2</f>
        <v>0</v>
      </c>
      <c r="AB5" t="s">
        <v>2</v>
      </c>
      <c r="AC5" t="str">
        <f>IFERROR(PROPER(VLOOKUP(AB4,Caratula1!$A$1:$BJ$61,3,0)),"")</f>
        <v/>
      </c>
      <c r="AD5">
        <f t="shared" ref="AD5:AD16" si="0">IF($AB$4=AE5,AD4+1,0)</f>
        <v>1</v>
      </c>
      <c r="AE5">
        <f>Accionistas1!B2</f>
        <v>0</v>
      </c>
      <c r="AF5">
        <f>Accionistas1!C2</f>
        <v>0</v>
      </c>
      <c r="AG5">
        <f>Accionistas1!D2</f>
        <v>0</v>
      </c>
      <c r="AH5">
        <f>Accionistas1!E2</f>
        <v>0</v>
      </c>
      <c r="AJ5">
        <v>1</v>
      </c>
      <c r="AK5">
        <f t="shared" ref="AK5:AK13" si="1">IFERROR(VLOOKUP(AJ5,$AD$5:$AH$2007,3,0),"")</f>
        <v>0</v>
      </c>
      <c r="AL5">
        <f t="shared" ref="AL5:AL13" si="2">IFERROR(VLOOKUP(AJ5,$AD$5:$AH$2007,4,0),"")</f>
        <v>0</v>
      </c>
      <c r="AM5">
        <f t="shared" ref="AM5:AM14" si="3">IFERROR((VLOOKUP(AJ5,$AD$5:$AH$2007,5,0)+0)/100,"")</f>
        <v>0</v>
      </c>
      <c r="AT5" s="3405">
        <f>A4</f>
        <v>0</v>
      </c>
      <c r="AU5" t="e">
        <f>VLOOKUP($AT$5,Caratula1!$3:$60,2,0)</f>
        <v>#N/A</v>
      </c>
      <c r="AV5" t="e">
        <f>VLOOKUP($AT$5,Caratula1!$3:$60,3,0)</f>
        <v>#N/A</v>
      </c>
      <c r="AW5" t="e">
        <f>VLOOKUP($AT$5,Caratula1!$3:$60,4,0)</f>
        <v>#N/A</v>
      </c>
      <c r="AX5" t="e">
        <f>VLOOKUP($AT$5,Caratula1!$3:$60,6,0)</f>
        <v>#N/A</v>
      </c>
      <c r="AY5" t="e">
        <f>VLOOKUP($AT$5,Caratula1!$3:$60,7,0)</f>
        <v>#N/A</v>
      </c>
      <c r="AZ5" t="e">
        <f>VLOOKUP($AT$5,Caratula1!$3:$60,8,0)</f>
        <v>#N/A</v>
      </c>
      <c r="BA5" t="e">
        <f>VLOOKUP($AT$5,Caratula1!$3:$60,9,0)</f>
        <v>#N/A</v>
      </c>
      <c r="BB5" t="e">
        <f>VLOOKUP($AT$5,Caratula1!$3:$60,10,0)</f>
        <v>#N/A</v>
      </c>
      <c r="BC5" t="e">
        <f>VLOOKUP($AT$5,Caratula1!$3:$60,11,0)</f>
        <v>#N/A</v>
      </c>
      <c r="BD5" t="e">
        <f>VLOOKUP($AT$5,Caratula1!$3:$60,13,0)</f>
        <v>#N/A</v>
      </c>
      <c r="BE5" t="e">
        <f>VLOOKUP($AT$5,Caratula1!$3:$60,14,0)</f>
        <v>#N/A</v>
      </c>
      <c r="BF5" t="e">
        <f>VLOOKUP($AT$5,Caratula1!$3:$60,15,0)</f>
        <v>#N/A</v>
      </c>
      <c r="BG5" t="e">
        <f>VLOOKUP($AT$5,Caratula1!$3:$60,16,0)</f>
        <v>#N/A</v>
      </c>
      <c r="BH5" t="e">
        <f>VLOOKUP($AT$5,Caratula1!$3:$60,17,0)</f>
        <v>#N/A</v>
      </c>
      <c r="BI5" s="3406" t="str">
        <f>'RC'!D8</f>
        <v/>
      </c>
      <c r="BJ5" t="e">
        <f>VLOOKUP($AT$5,Caratula1!$3:$60,19,0)</f>
        <v>#N/A</v>
      </c>
      <c r="BK5" t="e">
        <f>VLOOKUP($AT$5,Caratula1!$3:$60,20,0)</f>
        <v>#N/A</v>
      </c>
      <c r="BL5" s="3405" t="str">
        <f>'RC'!D9</f>
        <v/>
      </c>
      <c r="BM5" t="e">
        <f>VLOOKUP($AT$5,Caratula1!$3:$60,22,0)</f>
        <v>#N/A</v>
      </c>
      <c r="BN5" t="e">
        <f>VLOOKUP($AT$5,Caratula1!$3:$60,23,0)</f>
        <v>#N/A</v>
      </c>
      <c r="BO5" t="e">
        <f>VLOOKUP($AT$5,Caratula1!$3:$60,24,0)</f>
        <v>#N/A</v>
      </c>
      <c r="BP5" t="e">
        <f>VLOOKUP($AT$5,Caratula1!$3:$60,25,0)</f>
        <v>#N/A</v>
      </c>
      <c r="BQ5" t="e">
        <f>VLOOKUP($AT$5,Caratula1!$3:$60,37,0)</f>
        <v>#N/A</v>
      </c>
      <c r="BR5">
        <f>'Estados Financieros'!I2</f>
        <v>0</v>
      </c>
    </row>
    <row r="6" spans="1:70" hidden="1">
      <c r="A6">
        <v>1</v>
      </c>
      <c r="C6">
        <v>110105</v>
      </c>
      <c r="D6">
        <f>IFERROR(VLOOKUP($A$4&amp;$D$4&amp;C6,BalancesAnuales1!$A$2:$E$20009,5,0)+0,0)/A6</f>
        <v>0</v>
      </c>
      <c r="E6">
        <f>IFERROR(VLOOKUP($A$4&amp;$E$4&amp;C6,BalancesAnuales1!$A$2:$E$20009,5,0)+0,0)/A6</f>
        <v>0</v>
      </c>
      <c r="F6">
        <f>IFERROR(VLOOKUP($A$4&amp;$F$4&amp;C6,BalancesAnuales1!$A$2:$E$20009,5,0)+0,0)/A6</f>
        <v>0</v>
      </c>
      <c r="G6">
        <f>IFERROR(VLOOKUP($A$4&amp;$G$4&amp;C6,BalancesMensuales1!$A$2:$E$20009,5,0)+0,0)/A6</f>
        <v>0</v>
      </c>
      <c r="H6">
        <f>IFERROR(VLOOKUP($A$4&amp;$H$4&amp;C6,BalancesMensuales1!$A$2:$E$20009,5,0)+0,0)/A6</f>
        <v>0</v>
      </c>
      <c r="K6">
        <f>IFERROR(VLOOKUP("36",$M$5:$T$2004,6,0),0)</f>
        <v>0</v>
      </c>
      <c r="M6" t="str">
        <f>N6&amp;O6</f>
        <v>21</v>
      </c>
      <c r="N6">
        <f>IF(Q6=$A$4,N5+1,0)</f>
        <v>2</v>
      </c>
      <c r="O6">
        <f>LEN(R6)</f>
        <v>1</v>
      </c>
      <c r="P6">
        <f>NitAnioNIIF1!A3</f>
        <v>0</v>
      </c>
      <c r="Q6">
        <f>NitAnioNIIF1!B3</f>
        <v>0</v>
      </c>
      <c r="R6">
        <f>NitAnioNIIF1!C3</f>
        <v>0</v>
      </c>
      <c r="S6">
        <f>NitAnioNIIF1!D3</f>
        <v>0</v>
      </c>
      <c r="T6">
        <f>NitAnioNIIF1!E3</f>
        <v>0</v>
      </c>
      <c r="AB6" t="s">
        <v>55</v>
      </c>
      <c r="AC6" t="str">
        <f>IFERROR(PROPER(VLOOKUP(AB4,Caratula1!$A$1:$BJ$61,5,0)),"")</f>
        <v/>
      </c>
      <c r="AD6">
        <f t="shared" si="0"/>
        <v>2</v>
      </c>
      <c r="AE6">
        <f>Accionistas1!B3</f>
        <v>0</v>
      </c>
      <c r="AF6">
        <f>Accionistas1!C3</f>
        <v>0</v>
      </c>
      <c r="AG6">
        <f>Accionistas1!D3</f>
        <v>0</v>
      </c>
      <c r="AH6">
        <f>Accionistas1!E3</f>
        <v>0</v>
      </c>
      <c r="AJ6">
        <v>2</v>
      </c>
      <c r="AK6">
        <f t="shared" si="1"/>
        <v>0</v>
      </c>
      <c r="AL6">
        <f t="shared" si="2"/>
        <v>0</v>
      </c>
      <c r="AM6">
        <f t="shared" si="3"/>
        <v>0</v>
      </c>
      <c r="AT6" t="s">
        <v>56</v>
      </c>
    </row>
    <row r="7" spans="1:70" hidden="1">
      <c r="C7">
        <v>110110</v>
      </c>
      <c r="D7">
        <f>IFERROR(VLOOKUP($A$4&amp;$D$4&amp;C7,BalancesAnuales1!$A$2:$E$20009,5,0)+0,0)/A6</f>
        <v>0</v>
      </c>
      <c r="E7">
        <f>IFERROR(VLOOKUP($A$4&amp;$E$4&amp;C7,BalancesAnuales1!$A$2:$E$20009,5,0)+0,0)/A6</f>
        <v>0</v>
      </c>
      <c r="F7">
        <f>IFERROR(VLOOKUP($A$4&amp;$F$4&amp;C7,BalancesAnuales1!$A$2:$E$20009,5,0)+0,0)/A6</f>
        <v>0</v>
      </c>
      <c r="G7">
        <f>IFERROR(VLOOKUP($A$4&amp;$G$4&amp;C7,BalancesMensuales1!$A$2:$E$20009,5,0)+0,0)/A6</f>
        <v>0</v>
      </c>
      <c r="H7">
        <f>IFERROR(VLOOKUP($A$4&amp;$H$4&amp;C7,BalancesMensuales1!$A$2:$E$20009,5,0)+0,0)/A6</f>
        <v>0</v>
      </c>
      <c r="K7">
        <f>IFERROR(VLOOKUP("46",$M$5:$T$2004,6,0),0)</f>
        <v>0</v>
      </c>
      <c r="M7" t="str">
        <f>N7&amp;O7</f>
        <v>31</v>
      </c>
      <c r="N7">
        <f>IF(Q7=$A$4,N6+1,0)</f>
        <v>3</v>
      </c>
      <c r="O7">
        <f>LEN(R7)</f>
        <v>1</v>
      </c>
      <c r="P7">
        <f>NitAnioNIIF1!A4</f>
        <v>0</v>
      </c>
      <c r="Q7">
        <f>NitAnioNIIF1!B4</f>
        <v>0</v>
      </c>
      <c r="R7">
        <f>NitAnioNIIF1!C4</f>
        <v>0</v>
      </c>
      <c r="S7">
        <f>NitAnioNIIF1!D4</f>
        <v>0</v>
      </c>
      <c r="T7">
        <f>NitAnioNIIF1!E4</f>
        <v>0</v>
      </c>
      <c r="AB7" t="s">
        <v>57</v>
      </c>
      <c r="AC7" t="str">
        <f>IFERROR(PROPER(VLOOKUP(AB4,Caratula1!$A$1:$BJ$61,6,0)),"")</f>
        <v/>
      </c>
      <c r="AD7">
        <f t="shared" si="0"/>
        <v>3</v>
      </c>
      <c r="AE7">
        <f>Accionistas1!B4</f>
        <v>0</v>
      </c>
      <c r="AF7">
        <f>Accionistas1!C4</f>
        <v>0</v>
      </c>
      <c r="AG7">
        <f>Accionistas1!D4</f>
        <v>0</v>
      </c>
      <c r="AH7">
        <f>Accionistas1!E4</f>
        <v>0</v>
      </c>
      <c r="AJ7">
        <v>3</v>
      </c>
      <c r="AK7">
        <f t="shared" si="1"/>
        <v>0</v>
      </c>
      <c r="AL7">
        <f t="shared" si="2"/>
        <v>0</v>
      </c>
      <c r="AM7">
        <f t="shared" si="3"/>
        <v>0</v>
      </c>
      <c r="AT7" t="s">
        <v>33</v>
      </c>
      <c r="AU7" t="s">
        <v>47</v>
      </c>
      <c r="AV7" t="s">
        <v>48</v>
      </c>
      <c r="AW7" t="str">
        <f>"Balance"&amp;'Estados Financieros'!E4</f>
        <v>Balance2017</v>
      </c>
      <c r="AX7" t="str">
        <f>"Balance"&amp;'Estados Financieros'!F4</f>
        <v>Balance2018</v>
      </c>
      <c r="AY7" t="str">
        <f>"Balance"&amp;'Estados Financieros'!G4</f>
        <v>Balance2019</v>
      </c>
      <c r="AZ7" t="str">
        <f>"Balance Parcial - "&amp;'Estados Financieros'!H2</f>
        <v xml:space="preserve">Balance Parcial - </v>
      </c>
      <c r="BA7" t="s">
        <v>58</v>
      </c>
    </row>
    <row r="8" spans="1:70" hidden="1">
      <c r="C8">
        <v>111010</v>
      </c>
      <c r="D8">
        <f>IFERROR(VLOOKUP($A$4&amp;$D$4&amp;C8,BalancesAnuales1!$A$2:$E$20009,5,0)+0,0)/A6</f>
        <v>0</v>
      </c>
      <c r="E8">
        <f>IFERROR(VLOOKUP($A$4&amp;$E$4&amp;C8,BalancesAnuales1!$A$2:$E$20009,5,0)+0,0)/A6</f>
        <v>0</v>
      </c>
      <c r="F8">
        <f>IFERROR(VLOOKUP($A$4&amp;$F$4&amp;C8,BalancesAnuales1!$A$2:$E$20009,5,0)+0,0)/A6</f>
        <v>0</v>
      </c>
      <c r="G8">
        <f>IFERROR(VLOOKUP($A$4&amp;$G$4&amp;C8,BalancesMensuales1!$A$2:$E$20009,5,0)+0,0)/A6</f>
        <v>0</v>
      </c>
      <c r="H8">
        <f>IFERROR(VLOOKUP($A$4&amp;$H$4&amp;C8,BalancesMensuales1!$A$2:$E$20009,5,0)+0,0)/A6</f>
        <v>0</v>
      </c>
      <c r="J8" t="s">
        <v>59</v>
      </c>
      <c r="K8" t="s">
        <v>60</v>
      </c>
      <c r="L8">
        <v>30</v>
      </c>
      <c r="M8" t="str">
        <f>N8&amp;O8</f>
        <v>41</v>
      </c>
      <c r="N8">
        <f>IF(Q8=$A$4,N7+1,0)</f>
        <v>4</v>
      </c>
      <c r="O8">
        <f>LEN(R8)</f>
        <v>1</v>
      </c>
      <c r="P8">
        <f>NitAnioNIIF1!A5</f>
        <v>0</v>
      </c>
      <c r="Q8">
        <f>NitAnioNIIF1!B5</f>
        <v>0</v>
      </c>
      <c r="R8">
        <f>NitAnioNIIF1!C5</f>
        <v>0</v>
      </c>
      <c r="S8">
        <f>NitAnioNIIF1!D5</f>
        <v>0</v>
      </c>
      <c r="T8">
        <f>NitAnioNIIF1!E5</f>
        <v>0</v>
      </c>
      <c r="U8" t="str">
        <f t="shared" ref="U8:U18" si="4">+K8</f>
        <v>Enero</v>
      </c>
      <c r="V8" t="str">
        <f t="shared" ref="V8:V18" si="5">+J8</f>
        <v>01</v>
      </c>
      <c r="AB8" t="s">
        <v>61</v>
      </c>
      <c r="AC8" t="str">
        <f>IFERROR(PROPER(VLOOKUP(AB4,Caratula1!$A$1:$BJ$61,7,0)),"")</f>
        <v/>
      </c>
      <c r="AD8">
        <f t="shared" si="0"/>
        <v>4</v>
      </c>
      <c r="AE8">
        <f>Accionistas1!B5</f>
        <v>0</v>
      </c>
      <c r="AF8">
        <f>Accionistas1!C5</f>
        <v>0</v>
      </c>
      <c r="AG8">
        <f>Accionistas1!D5</f>
        <v>0</v>
      </c>
      <c r="AH8">
        <f>Accionistas1!E5</f>
        <v>0</v>
      </c>
      <c r="AJ8">
        <v>4</v>
      </c>
      <c r="AK8">
        <f t="shared" si="1"/>
        <v>0</v>
      </c>
      <c r="AL8">
        <f t="shared" si="2"/>
        <v>0</v>
      </c>
      <c r="AM8">
        <f t="shared" si="3"/>
        <v>0</v>
      </c>
      <c r="AT8" t="str">
        <f>IF(OR('RC'!$D$6="",'RC'!$D$6=0),"No se digitó el Nit de la compañía","OK")</f>
        <v>No se digitó el Nit de la compañía</v>
      </c>
      <c r="AU8" t="str">
        <f>IF(OR('RC'!$D$7="",'RC'!$D$7=0),"No se digitó el nombre de la compañía "&amp;AT5,"OK")</f>
        <v>No se digitó el nombre de la compañía 0</v>
      </c>
      <c r="AV8" t="str">
        <f>IF(T('RC'!D8)&lt;&gt;"","Fecha de Fundación Errada, Nit: "&amp;AT5,"OK")</f>
        <v>OK</v>
      </c>
      <c r="AW8" t="str">
        <f>IF(AND('Estados Financieros'!E10="OK",'Estados Financieros'!E14="OK"),"OK","El balance esta descuadrado para el año "&amp;'Estados Financieros'!E4&amp;", Nit: "&amp;'RC'!D6)</f>
        <v>OK</v>
      </c>
      <c r="AX8" t="str">
        <f>IF(AND('Estados Financieros'!F10="OK",'Estados Financieros'!F14="OK"),"OK","El balance esta descuadrado para el año "&amp;'Estados Financieros'!F4&amp;", Nit: "&amp;'RC'!D6)</f>
        <v>OK</v>
      </c>
      <c r="AY8" t="str">
        <f>IF(AND('Estados Financieros'!G10="OK",'Estados Financieros'!G14="OK"),"OK","El balance esta descuadrado para el año "&amp;'Estados Financieros'!G4&amp;", Nit:: "&amp;'RC'!D6)</f>
        <v>OK</v>
      </c>
      <c r="AZ8" t="str">
        <f>IF(AND('Estados Financieros'!H2=1900,'Estados Financieros'!H185&lt;&gt;0),"Valide la fecha de la información Parcial",IF(AND('Estados Financieros'!H10="OK",'Estados Financieros'!H14="OK"),"OK","El balance esta descuadrado para el año "&amp;'Estados Financieros'!H2&amp;", Nit:: "&amp;'RC'!D6))</f>
        <v>OK</v>
      </c>
      <c r="BA8" t="str">
        <f>IF('RC'!B21&lt;&gt;0,'RC'!C14&amp;'RC'!C15&amp;'RC'!C16&amp;'RC'!C17&amp;'RC'!C18&amp;'RC'!C19&amp;'RC'!C20,"OK")</f>
        <v xml:space="preserve">No se permitirá ingresar la empresa, hasta no tener la actividad Económica - </v>
      </c>
    </row>
    <row r="9" spans="1:70" hidden="1">
      <c r="C9">
        <v>110130</v>
      </c>
      <c r="D9">
        <f>IFERROR(VLOOKUP($A$4&amp;$D$4&amp;C9,BalancesAnuales1!$A$2:$E$20009,5,0)+0,0)/A6</f>
        <v>0</v>
      </c>
      <c r="E9">
        <f>IFERROR(VLOOKUP($A$4&amp;$E$4&amp;C9,BalancesAnuales1!$A$2:$E$20009,5,0)+0,0)/A6</f>
        <v>0</v>
      </c>
      <c r="F9">
        <f>IFERROR(VLOOKUP($A$4&amp;$F$4&amp;C9,BalancesAnuales1!$A$2:$E$20009,5,0)+0,0)/A6</f>
        <v>0</v>
      </c>
      <c r="G9">
        <f>IFERROR(VLOOKUP($A$4&amp;$G$4&amp;C9,BalancesMensuales1!$A$2:$E$20009,5,0)+0,0)/A6</f>
        <v>0</v>
      </c>
      <c r="H9">
        <f>IFERROR(VLOOKUP($A$4&amp;$H$4&amp;C9,BalancesMensuales1!$A$2:$E$20009,5,0)+0,0)/A6</f>
        <v>0</v>
      </c>
      <c r="J9" t="s">
        <v>62</v>
      </c>
      <c r="K9" t="s">
        <v>63</v>
      </c>
      <c r="L9">
        <v>60</v>
      </c>
      <c r="M9" t="str">
        <f>N9&amp;O9</f>
        <v>51</v>
      </c>
      <c r="N9">
        <f>IF(Q9=$A$4,N8+1,0)</f>
        <v>5</v>
      </c>
      <c r="O9">
        <f>LEN(R9)</f>
        <v>1</v>
      </c>
      <c r="P9">
        <f>NitAnioNIIF1!A6</f>
        <v>0</v>
      </c>
      <c r="Q9">
        <f>NitAnioNIIF1!B6</f>
        <v>0</v>
      </c>
      <c r="R9">
        <f>NitAnioNIIF1!C6</f>
        <v>0</v>
      </c>
      <c r="S9">
        <f>NitAnioNIIF1!D6</f>
        <v>0</v>
      </c>
      <c r="T9">
        <f>NitAnioNIIF1!E6</f>
        <v>0</v>
      </c>
      <c r="U9" t="str">
        <f t="shared" si="4"/>
        <v>Febrero</v>
      </c>
      <c r="V9" t="str">
        <f t="shared" si="5"/>
        <v>02</v>
      </c>
      <c r="AB9" t="s">
        <v>6</v>
      </c>
      <c r="AC9" t="str">
        <f>IFERROR(PROPER(VLOOKUP(AB4,Caratula1!$A$1:$BJ$61,8,0)),"")</f>
        <v/>
      </c>
      <c r="AD9">
        <f t="shared" si="0"/>
        <v>5</v>
      </c>
      <c r="AE9">
        <f>Accionistas1!B6</f>
        <v>0</v>
      </c>
      <c r="AF9">
        <f>Accionistas1!C6</f>
        <v>0</v>
      </c>
      <c r="AG9">
        <f>Accionistas1!D6</f>
        <v>0</v>
      </c>
      <c r="AH9">
        <f>Accionistas1!E6</f>
        <v>0</v>
      </c>
      <c r="AJ9">
        <v>5</v>
      </c>
      <c r="AK9">
        <f t="shared" si="1"/>
        <v>0</v>
      </c>
      <c r="AL9">
        <f t="shared" si="2"/>
        <v>0</v>
      </c>
      <c r="AM9">
        <f t="shared" si="3"/>
        <v>0</v>
      </c>
    </row>
    <row r="10" spans="1:70" hidden="1">
      <c r="C10">
        <v>110125</v>
      </c>
      <c r="D10">
        <f>IFERROR(VLOOKUP($A$4&amp;$D$4&amp;C10,BalancesAnuales1!$A$2:$E$20009,5,0)+0,0)/A6</f>
        <v>0</v>
      </c>
      <c r="E10">
        <f>IFERROR(VLOOKUP($A$4&amp;$E$4&amp;C10,BalancesAnuales1!$A$2:$E$20009,5,0)+0,0)/A6</f>
        <v>0</v>
      </c>
      <c r="F10">
        <f>IFERROR(VLOOKUP($A$4&amp;$F$4&amp;C10,BalancesAnuales1!$A$2:$E$20009,5,0)+0,0)/A6</f>
        <v>0</v>
      </c>
      <c r="G10">
        <f>IFERROR(VLOOKUP($A$4&amp;$G$4&amp;C10,BalancesMensuales1!$A$2:$E$20009,5,0)+0,0)/A6</f>
        <v>0</v>
      </c>
      <c r="H10">
        <f>IFERROR(VLOOKUP($A$4&amp;$H$4&amp;C10,BalancesMensuales1!$A$2:$E$20009,5,0)+0,0)/A6</f>
        <v>0</v>
      </c>
      <c r="J10" t="s">
        <v>64</v>
      </c>
      <c r="K10" t="s">
        <v>65</v>
      </c>
      <c r="L10">
        <v>90</v>
      </c>
      <c r="U10" t="str">
        <f t="shared" si="4"/>
        <v>Marzo</v>
      </c>
      <c r="V10" t="str">
        <f t="shared" si="5"/>
        <v>03</v>
      </c>
      <c r="AB10" t="s">
        <v>66</v>
      </c>
      <c r="AC10" t="str">
        <f>IFERROR(UPPER(VLOOKUP(AB4,Caratula1!$A$1:$BJ$61,12,0)),"")</f>
        <v/>
      </c>
      <c r="AD10">
        <f t="shared" si="0"/>
        <v>6</v>
      </c>
      <c r="AE10">
        <f>Accionistas1!B7</f>
        <v>0</v>
      </c>
      <c r="AF10">
        <f>Accionistas1!C7</f>
        <v>0</v>
      </c>
      <c r="AG10">
        <f>Accionistas1!D7</f>
        <v>0</v>
      </c>
      <c r="AH10">
        <f>Accionistas1!E7</f>
        <v>0</v>
      </c>
      <c r="AJ10">
        <v>6</v>
      </c>
      <c r="AK10">
        <f t="shared" si="1"/>
        <v>0</v>
      </c>
      <c r="AL10">
        <f t="shared" si="2"/>
        <v>0</v>
      </c>
      <c r="AM10">
        <f t="shared" si="3"/>
        <v>0</v>
      </c>
    </row>
    <row r="11" spans="1:70" hidden="1">
      <c r="C11">
        <v>1101</v>
      </c>
      <c r="D11">
        <f>IFERROR(VLOOKUP($A$4&amp;$D$4&amp;C11,BalancesAnuales1!$A$2:$E$20009,5,0)+0,0)/A6</f>
        <v>0</v>
      </c>
      <c r="E11">
        <f>IFERROR(VLOOKUP($A$4&amp;$E$4&amp;C11,BalancesAnuales1!$A$2:$E$20009,5,0)+0,0)/A6</f>
        <v>0</v>
      </c>
      <c r="F11">
        <f>IFERROR(VLOOKUP($A$4&amp;$F$4&amp;C11,BalancesAnuales1!$A$2:$E$20009,5,0)+0,0)/A6</f>
        <v>0</v>
      </c>
      <c r="G11">
        <f>IFERROR(VLOOKUP($A$4&amp;$G$4&amp;C11,BalancesMensuales1!$A$2:$E$20009,5,0)+0,0)/A6</f>
        <v>0</v>
      </c>
      <c r="H11">
        <f>IFERROR(VLOOKUP($A$4&amp;$H$4&amp;C11,BalancesMensuales1!$A$2:$E$20009,5,0)+0,0)/A6</f>
        <v>0</v>
      </c>
      <c r="J11" t="s">
        <v>67</v>
      </c>
      <c r="K11" t="s">
        <v>68</v>
      </c>
      <c r="L11">
        <v>120</v>
      </c>
      <c r="U11" t="str">
        <f t="shared" si="4"/>
        <v>Abril</v>
      </c>
      <c r="V11" t="str">
        <f t="shared" si="5"/>
        <v>04</v>
      </c>
      <c r="AB11" t="s">
        <v>8</v>
      </c>
      <c r="AC11" t="str">
        <f>IFERROR(PROPER(VLOOKUP(AB4,Caratula1!$A$1:$BJ$61,10,0)),"")</f>
        <v/>
      </c>
      <c r="AD11">
        <f t="shared" si="0"/>
        <v>7</v>
      </c>
      <c r="AE11">
        <f>Accionistas1!B8</f>
        <v>0</v>
      </c>
      <c r="AF11">
        <f>Accionistas1!C8</f>
        <v>0</v>
      </c>
      <c r="AG11">
        <f>Accionistas1!D8</f>
        <v>0</v>
      </c>
      <c r="AH11">
        <f>Accionistas1!E8</f>
        <v>0</v>
      </c>
      <c r="AJ11">
        <v>7</v>
      </c>
      <c r="AK11">
        <f t="shared" si="1"/>
        <v>0</v>
      </c>
      <c r="AL11">
        <f t="shared" si="2"/>
        <v>0</v>
      </c>
      <c r="AM11">
        <f t="shared" si="3"/>
        <v>0</v>
      </c>
    </row>
    <row r="12" spans="1:70" hidden="1">
      <c r="C12">
        <v>110205</v>
      </c>
      <c r="D12">
        <f>IFERROR(VLOOKUP($A$4&amp;$D$4&amp;C12,BalancesAnuales1!$A$2:$E$20009,5,0)+0,0)/A6</f>
        <v>0</v>
      </c>
      <c r="E12">
        <f>IFERROR(VLOOKUP($A$4&amp;$E$4&amp;C12,BalancesAnuales1!$A$2:$E$20009,5,0)+0,0)/A6</f>
        <v>0</v>
      </c>
      <c r="F12">
        <f>IFERROR(VLOOKUP($A$4&amp;$F$4&amp;C12,BalancesAnuales1!$A$2:$E$20009,5,0)+0,0)/A6</f>
        <v>0</v>
      </c>
      <c r="G12">
        <f>IFERROR(VLOOKUP($A$4&amp;$G$4&amp;C12,BalancesMensuales1!$A$2:$E$20009,5,0)+0,0)/A6</f>
        <v>0</v>
      </c>
      <c r="H12">
        <f>IFERROR(VLOOKUP($A$4&amp;$H$4&amp;C12,BalancesMensuales1!$A$2:$E$20009,5,0)+0,0)/A6</f>
        <v>0</v>
      </c>
      <c r="J12" t="s">
        <v>69</v>
      </c>
      <c r="K12" t="s">
        <v>70</v>
      </c>
      <c r="L12">
        <v>150</v>
      </c>
      <c r="U12" t="str">
        <f t="shared" si="4"/>
        <v>Mayo</v>
      </c>
      <c r="V12" t="str">
        <f t="shared" si="5"/>
        <v>05</v>
      </c>
      <c r="AB12" t="s">
        <v>9</v>
      </c>
      <c r="AC12" t="str">
        <f>IFERROR(VLOOKUP(AB4,Caratula1!$A$1:$BJ$61,11,0),"")</f>
        <v/>
      </c>
      <c r="AD12">
        <f t="shared" si="0"/>
        <v>8</v>
      </c>
      <c r="AE12">
        <f>Accionistas1!B9</f>
        <v>0</v>
      </c>
      <c r="AF12">
        <f>Accionistas1!C9</f>
        <v>0</v>
      </c>
      <c r="AG12">
        <f>Accionistas1!D9</f>
        <v>0</v>
      </c>
      <c r="AH12">
        <f>Accionistas1!E9</f>
        <v>0</v>
      </c>
      <c r="AJ12">
        <v>8</v>
      </c>
      <c r="AK12">
        <f t="shared" si="1"/>
        <v>0</v>
      </c>
      <c r="AL12">
        <f t="shared" si="2"/>
        <v>0</v>
      </c>
      <c r="AM12">
        <f t="shared" si="3"/>
        <v>0</v>
      </c>
    </row>
    <row r="13" spans="1:70" hidden="1">
      <c r="C13">
        <v>110210</v>
      </c>
      <c r="D13">
        <f>IFERROR(VLOOKUP($A$4&amp;$D$4&amp;C13,BalancesAnuales1!$A$2:$E$20009,5,0)+0,0)/A6</f>
        <v>0</v>
      </c>
      <c r="E13">
        <f>IFERROR(VLOOKUP($A$4&amp;$E$4&amp;C13,BalancesAnuales1!$A$2:$E$20009,5,0)+0,0)/A6</f>
        <v>0</v>
      </c>
      <c r="F13">
        <f>IFERROR(VLOOKUP($A$4&amp;$F$4&amp;C13,BalancesAnuales1!$A$2:$E$20009,5,0)+0,0)/A6</f>
        <v>0</v>
      </c>
      <c r="G13">
        <f>IFERROR(VLOOKUP($A$4&amp;$G$4&amp;C13,BalancesMensuales1!$A$2:$E$20009,5,0)+0,0)/A6</f>
        <v>0</v>
      </c>
      <c r="H13">
        <f>IFERROR(VLOOKUP($A$4&amp;$H$4&amp;C13,BalancesMensuales1!$A$2:$E$20009,5,0)+0,0)/A6</f>
        <v>0</v>
      </c>
      <c r="J13" t="s">
        <v>71</v>
      </c>
      <c r="K13" t="s">
        <v>72</v>
      </c>
      <c r="L13">
        <v>180</v>
      </c>
      <c r="U13" t="str">
        <f t="shared" si="4"/>
        <v>Junio</v>
      </c>
      <c r="V13" t="str">
        <f t="shared" si="5"/>
        <v>06</v>
      </c>
      <c r="AB13" t="s">
        <v>10</v>
      </c>
      <c r="AD13">
        <f t="shared" si="0"/>
        <v>9</v>
      </c>
      <c r="AE13">
        <f>Accionistas1!B10</f>
        <v>0</v>
      </c>
      <c r="AF13">
        <f>Accionistas1!C10</f>
        <v>0</v>
      </c>
      <c r="AG13">
        <f>Accionistas1!D10</f>
        <v>0</v>
      </c>
      <c r="AH13">
        <f>Accionistas1!E10</f>
        <v>0</v>
      </c>
      <c r="AJ13">
        <v>9</v>
      </c>
      <c r="AK13">
        <f t="shared" si="1"/>
        <v>0</v>
      </c>
      <c r="AL13">
        <f t="shared" si="2"/>
        <v>0</v>
      </c>
      <c r="AM13">
        <f t="shared" si="3"/>
        <v>0</v>
      </c>
    </row>
    <row r="14" spans="1:70" hidden="1">
      <c r="C14">
        <v>110215</v>
      </c>
      <c r="D14">
        <f>IFERROR(VLOOKUP($A$4&amp;$D$4&amp;C14,BalancesAnuales1!$A$2:$E$20009,5,0)+0,0)/A6</f>
        <v>0</v>
      </c>
      <c r="E14">
        <f>IFERROR(VLOOKUP($A$4&amp;$E$4&amp;C14,BalancesAnuales1!$A$2:$E$20009,5,0)+0,0)/A6</f>
        <v>0</v>
      </c>
      <c r="F14">
        <f>IFERROR(VLOOKUP($A$4&amp;$F$4&amp;C14,BalancesAnuales1!$A$2:$E$20009,5,0)+0,0)/A6</f>
        <v>0</v>
      </c>
      <c r="G14">
        <f>IFERROR(VLOOKUP($A$4&amp;$G$4&amp;C14,BalancesMensuales1!$A$2:$E$20009,5,0)+0,0)/A6</f>
        <v>0</v>
      </c>
      <c r="H14">
        <f>IFERROR(VLOOKUP($A$4&amp;$H$4&amp;C14,BalancesMensuales1!$A$2:$E$20009,5,0)+0,0)/A6</f>
        <v>0</v>
      </c>
      <c r="J14" t="s">
        <v>73</v>
      </c>
      <c r="K14" t="s">
        <v>74</v>
      </c>
      <c r="L14">
        <v>210</v>
      </c>
      <c r="U14" t="str">
        <f t="shared" si="4"/>
        <v>Julio</v>
      </c>
      <c r="V14" t="str">
        <f t="shared" si="5"/>
        <v>07</v>
      </c>
      <c r="AB14" t="s">
        <v>75</v>
      </c>
      <c r="AC14" t="str">
        <f>IFERROR(VLOOKUP(AB4,Caratula1!$A$1:$BJ$61,15,0),"")</f>
        <v/>
      </c>
      <c r="AD14">
        <f t="shared" si="0"/>
        <v>10</v>
      </c>
      <c r="AE14">
        <f>Accionistas1!B11</f>
        <v>0</v>
      </c>
      <c r="AF14">
        <f>Accionistas1!C11</f>
        <v>0</v>
      </c>
      <c r="AG14">
        <f>Accionistas1!D11</f>
        <v>0</v>
      </c>
      <c r="AH14">
        <f>Accionistas1!E11</f>
        <v>0</v>
      </c>
      <c r="AJ14">
        <v>10</v>
      </c>
      <c r="AK14">
        <f>IF(AK13="","",0)</f>
        <v>0</v>
      </c>
      <c r="AL14" t="str">
        <f>IF(AL13="","","OTROS ACCIONISTAS")</f>
        <v>OTROS ACCIONISTAS</v>
      </c>
      <c r="AM14">
        <f t="shared" si="3"/>
        <v>0</v>
      </c>
    </row>
    <row r="15" spans="1:70" hidden="1">
      <c r="C15">
        <v>110225</v>
      </c>
      <c r="D15">
        <f>IFERROR(VLOOKUP($A$4&amp;$D$4&amp;C15,BalancesAnuales1!$A$2:$E$20009,5,0)+0,0)/A6</f>
        <v>0</v>
      </c>
      <c r="E15">
        <f>IFERROR(VLOOKUP($A$4&amp;$E$4&amp;C15,BalancesAnuales1!$A$2:$E$20009,5,0)+0,0)/A6</f>
        <v>0</v>
      </c>
      <c r="F15">
        <f>IFERROR(VLOOKUP($A$4&amp;$F$4&amp;C15,BalancesAnuales1!$A$2:$E$20009,5,0)+0,0)/A6</f>
        <v>0</v>
      </c>
      <c r="G15">
        <f>IFERROR(VLOOKUP($A$4&amp;$G$4&amp;C15,BalancesMensuales1!$A$2:$E$20009,5,0)+0,0)/A6</f>
        <v>0</v>
      </c>
      <c r="H15">
        <f>IFERROR(VLOOKUP($A$4&amp;$H$4&amp;C15,BalancesMensuales1!$A$2:$E$20009,5,0)+0,0)/A6</f>
        <v>0</v>
      </c>
      <c r="J15" t="s">
        <v>76</v>
      </c>
      <c r="K15" t="s">
        <v>77</v>
      </c>
      <c r="L15">
        <v>240</v>
      </c>
      <c r="U15" t="str">
        <f t="shared" si="4"/>
        <v>Agosto</v>
      </c>
      <c r="V15" t="str">
        <f t="shared" si="5"/>
        <v>08</v>
      </c>
      <c r="AB15" t="s">
        <v>13</v>
      </c>
      <c r="AC15" t="str">
        <f>IFERROR(LOWER(VLOOKUP(AB4,Caratula1!$A$1:$BJ$61,16,0)),"")</f>
        <v/>
      </c>
      <c r="AD15">
        <f t="shared" si="0"/>
        <v>11</v>
      </c>
      <c r="AE15">
        <f>Accionistas1!B12</f>
        <v>0</v>
      </c>
      <c r="AF15">
        <f>Accionistas1!C12</f>
        <v>0</v>
      </c>
      <c r="AG15">
        <f>Accionistas1!D12</f>
        <v>0</v>
      </c>
      <c r="AH15">
        <f>Accionistas1!E12</f>
        <v>0</v>
      </c>
    </row>
    <row r="16" spans="1:70" hidden="1">
      <c r="C16">
        <v>110235</v>
      </c>
      <c r="D16">
        <f>IFERROR(VLOOKUP($A$4&amp;$D$4&amp;C16,BalancesAnuales1!$A$2:$E$20009,5,0)+0,0)/A6</f>
        <v>0</v>
      </c>
      <c r="E16">
        <f>IFERROR(VLOOKUP($A$4&amp;$E$4&amp;C16,BalancesAnuales1!$A$2:$E$20009,5,0)+0,0)/A6</f>
        <v>0</v>
      </c>
      <c r="F16">
        <f>IFERROR(VLOOKUP($A$4&amp;$F$4&amp;C16,BalancesAnuales1!$A$2:$E$20009,5,0)+0,0)/A6</f>
        <v>0</v>
      </c>
      <c r="G16">
        <f>IFERROR(VLOOKUP($A$4&amp;$G$4&amp;C16,BalancesMensuales1!$A$2:$E$20009,5,0)+0,0)/A6</f>
        <v>0</v>
      </c>
      <c r="H16">
        <f>IFERROR(VLOOKUP($A$4&amp;$H$4&amp;C16,BalancesMensuales1!$A$2:$E$20009,5,0)+0,0)/A6</f>
        <v>0</v>
      </c>
      <c r="J16" t="s">
        <v>78</v>
      </c>
      <c r="K16" t="s">
        <v>79</v>
      </c>
      <c r="L16">
        <v>270</v>
      </c>
      <c r="U16" t="str">
        <f t="shared" si="4"/>
        <v>Septiembre</v>
      </c>
      <c r="V16" t="str">
        <f t="shared" si="5"/>
        <v>09</v>
      </c>
      <c r="AB16" t="s">
        <v>14</v>
      </c>
      <c r="AC16" t="str">
        <f>IFERROR(LOWER(VLOOKUP(AB4,Caratula1!$A$1:$BJ$61,17,0)),"")</f>
        <v/>
      </c>
      <c r="AD16">
        <f t="shared" si="0"/>
        <v>12</v>
      </c>
      <c r="AE16">
        <f>Accionistas1!B13</f>
        <v>0</v>
      </c>
      <c r="AF16">
        <f>Accionistas1!C13</f>
        <v>0</v>
      </c>
      <c r="AG16">
        <f>Accionistas1!D13</f>
        <v>0</v>
      </c>
      <c r="AH16">
        <f>Accionistas1!E13</f>
        <v>0</v>
      </c>
    </row>
    <row r="17" spans="3:44" hidden="1">
      <c r="C17">
        <v>110255</v>
      </c>
      <c r="D17">
        <f>IFERROR(VLOOKUP($A$4&amp;$D$4&amp;C17,BalancesAnuales1!$A$2:$E$20009,5,0)+0,0)/A6</f>
        <v>0</v>
      </c>
      <c r="E17">
        <f>IFERROR(VLOOKUP($A$4&amp;$E$4&amp;C17,BalancesAnuales1!$A$2:$E$20009,5,0)+0,0)/A6</f>
        <v>0</v>
      </c>
      <c r="F17">
        <f>IFERROR(VLOOKUP($A$4&amp;$F$4&amp;C17,BalancesAnuales1!$A$2:$E$20009,5,0)+0,0)/A6</f>
        <v>0</v>
      </c>
      <c r="G17">
        <f>IFERROR(VLOOKUP($A$4&amp;$G$4&amp;C17,BalancesMensuales1!$A$2:$E$20009,5,0)+0,0)/A6</f>
        <v>0</v>
      </c>
      <c r="H17">
        <f>IFERROR(VLOOKUP($A$4&amp;$H$4&amp;C17,BalancesMensuales1!$A$2:$E$20009,5,0)+0,0)/A6</f>
        <v>0</v>
      </c>
      <c r="J17" t="s">
        <v>80</v>
      </c>
      <c r="K17" t="s">
        <v>81</v>
      </c>
      <c r="L17">
        <v>300</v>
      </c>
      <c r="U17" t="str">
        <f t="shared" si="4"/>
        <v>Octubre</v>
      </c>
      <c r="V17" t="str">
        <f t="shared" si="5"/>
        <v>10</v>
      </c>
      <c r="AB17" t="s">
        <v>48</v>
      </c>
      <c r="AC17" t="str">
        <f>IFERROR(MID(VLOOKUP(AB4,Caratula1!$A$1:$BJ$61,18,0),1,10)+0,"")</f>
        <v/>
      </c>
      <c r="AQ17">
        <v>20</v>
      </c>
      <c r="AR17">
        <v>40</v>
      </c>
    </row>
    <row r="18" spans="3:44" hidden="1">
      <c r="C18">
        <v>129700</v>
      </c>
      <c r="D18">
        <f>IFERROR(VLOOKUP($A$4&amp;$D$4&amp;C18,BalancesAnuales1!$A$2:$E$20009,5,0)+0,0)/A6</f>
        <v>0</v>
      </c>
      <c r="E18">
        <f>IFERROR(VLOOKUP($A$4&amp;$E$4&amp;C18,BalancesAnuales1!$A$2:$E$20009,5,0)+0,0)/A6</f>
        <v>0</v>
      </c>
      <c r="F18">
        <f>IFERROR(VLOOKUP($A$4&amp;$F$4&amp;C18,BalancesAnuales1!$A$2:$E$20009,5,0)+0,0)/A6</f>
        <v>0</v>
      </c>
      <c r="G18">
        <f>IFERROR(VLOOKUP($A$4&amp;$G$4&amp;C18,BalancesMensuales1!$A$2:$E$20009,5,0)+0,0)/A6</f>
        <v>0</v>
      </c>
      <c r="H18">
        <f>IFERROR(VLOOKUP($A$4&amp;$H$4&amp;C18,BalancesMensuales1!$A$2:$E$20009,5,0)+0,0)/A6</f>
        <v>0</v>
      </c>
      <c r="J18" t="s">
        <v>82</v>
      </c>
      <c r="K18" t="s">
        <v>83</v>
      </c>
      <c r="L18">
        <v>330</v>
      </c>
      <c r="U18" t="str">
        <f t="shared" si="4"/>
        <v>Noviembre</v>
      </c>
      <c r="V18" t="str">
        <f t="shared" si="5"/>
        <v>11</v>
      </c>
      <c r="AB18" t="s">
        <v>18</v>
      </c>
      <c r="AC18" t="str">
        <f>IFERROR(VLOOKUP(AB4,Caratula1!$A$1:$BJ$61,21,0),"")</f>
        <v/>
      </c>
      <c r="AI18">
        <f t="shared" ref="AI18:AI37" si="6">IF(AQ18=20,AR18,AQ18)</f>
        <v>40</v>
      </c>
      <c r="AJ18">
        <v>1</v>
      </c>
      <c r="AK18">
        <f t="shared" ref="AK18:AK37" si="7">IFERROR(VLOOKUP(AJ18,$AD$2010:$AJ$4035,2,0),"")</f>
        <v>0</v>
      </c>
      <c r="AL18">
        <f t="shared" ref="AL18:AL37" si="8">IFERROR(VLOOKUP(AJ18,$AD$2010:$AJ$4035,3,0),"")</f>
        <v>0</v>
      </c>
      <c r="AM18">
        <f t="shared" ref="AM18:AM37" si="9">IFERROR(VLOOKUP(AJ18,$AD$2010:$AJ$4035,4,0),"")</f>
        <v>0</v>
      </c>
      <c r="AN18">
        <f t="shared" ref="AN18:AN37" si="10">IFERROR(VLOOKUP(AJ18,$AD$2010:$AJ$4035,5,0),"")</f>
        <v>0</v>
      </c>
      <c r="AO18">
        <f t="shared" ref="AO18:AO37" si="11">IFERROR(VLOOKUP(AJ18,$AD$2010:$AJ$4035,6,0),"")</f>
        <v>0</v>
      </c>
      <c r="AP18">
        <f t="shared" ref="AP18:AP37" si="12">IFERROR(VLOOKUP(AJ18,$AD$2010:$AJ$4035,7,0),"")</f>
        <v>0</v>
      </c>
      <c r="AQ18">
        <f t="shared" ref="AQ18:AQ37" si="13">IF(AO18="6",AQ17+1,20)</f>
        <v>20</v>
      </c>
      <c r="AR18">
        <f t="shared" ref="AR18:AR37" si="14">IF(AO18="7",AR17+1,40)</f>
        <v>40</v>
      </c>
    </row>
    <row r="19" spans="3:44" hidden="1">
      <c r="C19">
        <v>110260</v>
      </c>
      <c r="D19">
        <f>IFERROR(VLOOKUP($A$4&amp;$D$4&amp;C19,BalancesAnuales1!$A$2:$E$20009,5,0)+0,0)/A6</f>
        <v>0</v>
      </c>
      <c r="E19">
        <f>IFERROR(VLOOKUP($A$4&amp;$E$4&amp;C19,BalancesAnuales1!$A$2:$E$20009,5,0)+0,0)/A6</f>
        <v>0</v>
      </c>
      <c r="F19">
        <f>IFERROR(VLOOKUP($A$4&amp;$F$4&amp;C19,BalancesAnuales1!$A$2:$E$20009,5,0)+0,0)/A6</f>
        <v>0</v>
      </c>
      <c r="G19">
        <f>IFERROR(VLOOKUP($A$4&amp;$G$4&amp;C19,BalancesMensuales1!$A$2:$E$20009,5,0)+0,0)/A6</f>
        <v>0</v>
      </c>
      <c r="H19">
        <f>IFERROR(VLOOKUP($A$4&amp;$H$4&amp;C19,BalancesMensuales1!$A$2:$E$20009,5,0)+0,0)/A6</f>
        <v>0</v>
      </c>
      <c r="J19" t="s">
        <v>84</v>
      </c>
      <c r="K19" t="s">
        <v>85</v>
      </c>
      <c r="AB19" t="s">
        <v>23</v>
      </c>
      <c r="AC19" t="str">
        <f>IFERROR(VLOOKUP(AB4,Caratula1!$A$1:$BJ$61,37,0),"")</f>
        <v/>
      </c>
      <c r="AI19">
        <f t="shared" si="6"/>
        <v>40</v>
      </c>
      <c r="AJ19">
        <v>2</v>
      </c>
      <c r="AK19">
        <f t="shared" si="7"/>
        <v>0</v>
      </c>
      <c r="AL19">
        <f t="shared" si="8"/>
        <v>0</v>
      </c>
      <c r="AM19">
        <f t="shared" si="9"/>
        <v>0</v>
      </c>
      <c r="AN19">
        <f t="shared" si="10"/>
        <v>0</v>
      </c>
      <c r="AO19">
        <f t="shared" si="11"/>
        <v>0</v>
      </c>
      <c r="AP19">
        <f t="shared" si="12"/>
        <v>0</v>
      </c>
      <c r="AQ19">
        <f t="shared" si="13"/>
        <v>20</v>
      </c>
      <c r="AR19">
        <f t="shared" si="14"/>
        <v>40</v>
      </c>
    </row>
    <row r="20" spans="3:44" hidden="1">
      <c r="C20">
        <v>1102</v>
      </c>
      <c r="D20">
        <f>IFERROR(VLOOKUP($A$4&amp;$D$4&amp;C20,BalancesAnuales1!$A$2:$E$20009,5,0)+0,0)/A6</f>
        <v>0</v>
      </c>
      <c r="E20">
        <f>IFERROR(VLOOKUP($A$4&amp;$E$4&amp;C20,BalancesAnuales1!$A$2:$E$20009,5,0)+0,0)/A6</f>
        <v>0</v>
      </c>
      <c r="F20">
        <f>IFERROR(VLOOKUP($A$4&amp;$F$4&amp;C20,BalancesAnuales1!$A$2:$E$20009,5,0)+0,0)/A6</f>
        <v>0</v>
      </c>
      <c r="G20">
        <f>IFERROR(VLOOKUP($A$4&amp;$G$4&amp;C20,BalancesMensuales1!$A$2:$E$20009,5,0)+0,0)/A6</f>
        <v>0</v>
      </c>
      <c r="H20">
        <f>IFERROR(VLOOKUP($A$4&amp;$H$4&amp;C20,BalancesMensuales1!$A$2:$E$20009,5,0)+0,0)/A6</f>
        <v>0</v>
      </c>
      <c r="AB20" t="s">
        <v>86</v>
      </c>
      <c r="AC20" t="str">
        <f>IFERROR(PROPER(VLOOKUP(AB4,Caratula1!$A$1:$BJ$61,3,0)),"")</f>
        <v/>
      </c>
      <c r="AI20">
        <f t="shared" si="6"/>
        <v>40</v>
      </c>
      <c r="AJ20">
        <v>3</v>
      </c>
      <c r="AK20">
        <f t="shared" si="7"/>
        <v>0</v>
      </c>
      <c r="AL20">
        <f t="shared" si="8"/>
        <v>0</v>
      </c>
      <c r="AM20">
        <f t="shared" si="9"/>
        <v>0</v>
      </c>
      <c r="AN20">
        <f t="shared" si="10"/>
        <v>0</v>
      </c>
      <c r="AO20">
        <f t="shared" si="11"/>
        <v>0</v>
      </c>
      <c r="AP20">
        <f t="shared" si="12"/>
        <v>0</v>
      </c>
      <c r="AQ20">
        <f t="shared" si="13"/>
        <v>20</v>
      </c>
      <c r="AR20">
        <f t="shared" si="14"/>
        <v>40</v>
      </c>
    </row>
    <row r="21" spans="3:44" hidden="1">
      <c r="C21">
        <v>110305</v>
      </c>
      <c r="D21">
        <f>IFERROR(VLOOKUP($A$4&amp;$D$4&amp;C21,BalancesAnuales1!$A$2:$E$20009,5,0)+0,0)/A6</f>
        <v>0</v>
      </c>
      <c r="E21">
        <f>IFERROR(VLOOKUP($A$4&amp;$E$4&amp;C21,BalancesAnuales1!$A$2:$E$20009,5,0)+0,0)/A6</f>
        <v>0</v>
      </c>
      <c r="F21">
        <f>IFERROR(VLOOKUP($A$4&amp;$F$4&amp;C21,BalancesAnuales1!$A$2:$E$20009,5,0)+0,0)/A6</f>
        <v>0</v>
      </c>
      <c r="G21">
        <f>IFERROR(VLOOKUP($A$4&amp;$G$4&amp;C21,BalancesMensuales1!$A$2:$E$20009,5,0)+0,0)/A6</f>
        <v>0</v>
      </c>
      <c r="H21">
        <f>IFERROR(VLOOKUP($A$4&amp;$H$4&amp;C21,BalancesMensuales1!$A$2:$E$20009,5,0)+0,0)/A6</f>
        <v>0</v>
      </c>
      <c r="AB21" t="s">
        <v>21</v>
      </c>
      <c r="AC21" t="str">
        <f>IFERROR(PROPER(VLOOKUP(AB4,Caratula1!$A$1:$BJ$61,24,0)),"")</f>
        <v/>
      </c>
      <c r="AI21">
        <f t="shared" si="6"/>
        <v>40</v>
      </c>
      <c r="AJ21">
        <v>4</v>
      </c>
      <c r="AK21">
        <f t="shared" si="7"/>
        <v>0</v>
      </c>
      <c r="AL21">
        <f t="shared" si="8"/>
        <v>0</v>
      </c>
      <c r="AM21">
        <f t="shared" si="9"/>
        <v>0</v>
      </c>
      <c r="AN21">
        <f t="shared" si="10"/>
        <v>0</v>
      </c>
      <c r="AO21">
        <f t="shared" si="11"/>
        <v>0</v>
      </c>
      <c r="AP21">
        <f t="shared" si="12"/>
        <v>0</v>
      </c>
      <c r="AQ21">
        <f t="shared" si="13"/>
        <v>20</v>
      </c>
      <c r="AR21">
        <f t="shared" si="14"/>
        <v>40</v>
      </c>
    </row>
    <row r="22" spans="3:44" hidden="1">
      <c r="C22">
        <v>130510</v>
      </c>
      <c r="D22">
        <f>IFERROR(VLOOKUP($A$4&amp;$D$4&amp;C22,BalancesAnuales1!$A$2:$E$20009,5,0)+0,0)/A6</f>
        <v>0</v>
      </c>
      <c r="E22">
        <f>IFERROR(VLOOKUP($A$4&amp;$E$4&amp;C22,BalancesAnuales1!$A$2:$E$20009,5,0)+0,0)/A6</f>
        <v>0</v>
      </c>
      <c r="F22">
        <f>IFERROR(VLOOKUP($A$4&amp;$F$4&amp;C22,BalancesAnuales1!$A$2:$E$20009,5,0)+0,0)/A6</f>
        <v>0</v>
      </c>
      <c r="G22">
        <f>IFERROR(VLOOKUP($A$4&amp;$G$4&amp;C22,BalancesMensuales1!$A$2:$E$20009,5,0)+0,0)/A6</f>
        <v>0</v>
      </c>
      <c r="H22">
        <f>IFERROR(VLOOKUP($A$4&amp;$H$4&amp;C22,BalancesMensuales1!$A$2:$E$20009,5,0)+0,0)/A6</f>
        <v>0</v>
      </c>
      <c r="AB22" t="s">
        <v>87</v>
      </c>
      <c r="AC22" t="e">
        <f>VLOOKUP($AB$4,InformacionRIB!$2:$70,9,0)</f>
        <v>#N/A</v>
      </c>
      <c r="AI22">
        <f t="shared" si="6"/>
        <v>40</v>
      </c>
      <c r="AJ22">
        <v>5</v>
      </c>
      <c r="AK22">
        <f t="shared" si="7"/>
        <v>0</v>
      </c>
      <c r="AL22">
        <f t="shared" si="8"/>
        <v>0</v>
      </c>
      <c r="AM22">
        <f t="shared" si="9"/>
        <v>0</v>
      </c>
      <c r="AN22">
        <f t="shared" si="10"/>
        <v>0</v>
      </c>
      <c r="AO22">
        <f t="shared" si="11"/>
        <v>0</v>
      </c>
      <c r="AP22">
        <f t="shared" si="12"/>
        <v>0</v>
      </c>
      <c r="AQ22">
        <f t="shared" si="13"/>
        <v>20</v>
      </c>
      <c r="AR22">
        <f t="shared" si="14"/>
        <v>40</v>
      </c>
    </row>
    <row r="23" spans="3:44" hidden="1">
      <c r="C23">
        <v>131000</v>
      </c>
      <c r="D23">
        <f>IFERROR(VLOOKUP($A$4&amp;$D$4&amp;C23,BalancesAnuales1!$A$2:$E$20009,5,0)+0,0)/A6</f>
        <v>0</v>
      </c>
      <c r="E23">
        <f>IFERROR(VLOOKUP($A$4&amp;$E$4&amp;C23,BalancesAnuales1!$A$2:$E$20009,5,0)+0,0)/A6</f>
        <v>0</v>
      </c>
      <c r="F23">
        <f>IFERROR(VLOOKUP($A$4&amp;$F$4&amp;C23,BalancesAnuales1!$A$2:$E$20009,5,0)+0,0)/A6</f>
        <v>0</v>
      </c>
      <c r="G23">
        <f>IFERROR(VLOOKUP($A$4&amp;$G$4&amp;C23,BalancesMensuales1!$A$2:$E$20009,5,0)+0,0)/A6</f>
        <v>0</v>
      </c>
      <c r="H23">
        <f>IFERROR(VLOOKUP($A$4&amp;$H$4&amp;C23,BalancesMensuales1!$A$2:$E$20009,5,0)+0,0)/A6</f>
        <v>0</v>
      </c>
      <c r="AB23" t="s">
        <v>88</v>
      </c>
      <c r="AC23" t="e">
        <f>PROPER(#REF!)</f>
        <v>#REF!</v>
      </c>
      <c r="AI23">
        <f t="shared" si="6"/>
        <v>40</v>
      </c>
      <c r="AJ23">
        <v>6</v>
      </c>
      <c r="AK23">
        <f t="shared" si="7"/>
        <v>0</v>
      </c>
      <c r="AL23">
        <f t="shared" si="8"/>
        <v>0</v>
      </c>
      <c r="AM23">
        <f t="shared" si="9"/>
        <v>0</v>
      </c>
      <c r="AN23">
        <f t="shared" si="10"/>
        <v>0</v>
      </c>
      <c r="AO23">
        <f t="shared" si="11"/>
        <v>0</v>
      </c>
      <c r="AP23">
        <f t="shared" si="12"/>
        <v>0</v>
      </c>
      <c r="AQ23">
        <f t="shared" si="13"/>
        <v>20</v>
      </c>
      <c r="AR23">
        <f t="shared" si="14"/>
        <v>40</v>
      </c>
    </row>
    <row r="24" spans="3:44" hidden="1">
      <c r="C24">
        <v>110390</v>
      </c>
      <c r="D24">
        <f>IFERROR(VLOOKUP($A$4&amp;$D$4&amp;C24,BalancesAnuales1!$A$2:$E$20009,5,0)+0,0)/A6</f>
        <v>0</v>
      </c>
      <c r="E24">
        <f>IFERROR(VLOOKUP($A$4&amp;$E$4&amp;C24,BalancesAnuales1!$A$2:$E$20009,5,0)+0,0)/A6</f>
        <v>0</v>
      </c>
      <c r="F24">
        <f>IFERROR(VLOOKUP($A$4&amp;$F$4&amp;C24,BalancesAnuales1!$A$2:$E$20009,5,0)+0,0)/A6</f>
        <v>0</v>
      </c>
      <c r="G24">
        <f>IFERROR(VLOOKUP($A$4&amp;$G$4&amp;C24,BalancesMensuales1!$A$2:$E$20009,5,0)+0,0)/A6</f>
        <v>0</v>
      </c>
      <c r="H24">
        <f>IFERROR(VLOOKUP($A$4&amp;$H$4&amp;C24,BalancesMensuales1!$A$2:$E$20009,5,0)+0,0)/A6</f>
        <v>0</v>
      </c>
      <c r="AB24" t="s">
        <v>89</v>
      </c>
      <c r="AC24" t="e">
        <f>VLOOKUP(AB4,InformacionRIB!$2:$70,4,0)</f>
        <v>#N/A</v>
      </c>
      <c r="AI24">
        <f t="shared" si="6"/>
        <v>40</v>
      </c>
      <c r="AJ24">
        <v>7</v>
      </c>
      <c r="AK24">
        <f t="shared" si="7"/>
        <v>0</v>
      </c>
      <c r="AL24">
        <f t="shared" si="8"/>
        <v>0</v>
      </c>
      <c r="AM24">
        <f t="shared" si="9"/>
        <v>0</v>
      </c>
      <c r="AN24">
        <f t="shared" si="10"/>
        <v>0</v>
      </c>
      <c r="AO24">
        <f t="shared" si="11"/>
        <v>0</v>
      </c>
      <c r="AP24">
        <f t="shared" si="12"/>
        <v>0</v>
      </c>
      <c r="AQ24">
        <f t="shared" si="13"/>
        <v>20</v>
      </c>
      <c r="AR24">
        <f t="shared" si="14"/>
        <v>40</v>
      </c>
    </row>
    <row r="25" spans="3:44" hidden="1">
      <c r="C25">
        <v>110395</v>
      </c>
      <c r="D25">
        <f>IFERROR(VLOOKUP($A$4&amp;$D$4&amp;C25,BalancesAnuales1!$A$2:$E$20009,5,0)+0,0)/A6</f>
        <v>0</v>
      </c>
      <c r="E25">
        <f>IFERROR(VLOOKUP($A$4&amp;$E$4&amp;C25,BalancesAnuales1!$A$2:$E$20009,5,0)+0,0)/A6</f>
        <v>0</v>
      </c>
      <c r="F25">
        <f>IFERROR(VLOOKUP($A$4&amp;$F$4&amp;C25,BalancesAnuales1!$A$2:$E$20009,5,0)+0,0)/A6</f>
        <v>0</v>
      </c>
      <c r="G25">
        <f>IFERROR(VLOOKUP($A$4&amp;$G$4&amp;C25,BalancesMensuales1!$A$2:$E$20009,5,0)+0,0)/A6</f>
        <v>0</v>
      </c>
      <c r="H25">
        <f>IFERROR(VLOOKUP($A$4&amp;$H$4&amp;C25,BalancesMensuales1!$A$2:$E$20009,5,0)+0,0)/A6</f>
        <v>0</v>
      </c>
      <c r="AB25" t="s">
        <v>90</v>
      </c>
      <c r="AC25" t="e">
        <f>VLOOKUP(AB4,InformacionRIB!$2:$70,10,0)</f>
        <v>#N/A</v>
      </c>
      <c r="AI25">
        <f t="shared" si="6"/>
        <v>40</v>
      </c>
      <c r="AJ25">
        <v>8</v>
      </c>
      <c r="AK25">
        <f t="shared" si="7"/>
        <v>0</v>
      </c>
      <c r="AL25">
        <f t="shared" si="8"/>
        <v>0</v>
      </c>
      <c r="AM25">
        <f t="shared" si="9"/>
        <v>0</v>
      </c>
      <c r="AN25">
        <f t="shared" si="10"/>
        <v>0</v>
      </c>
      <c r="AO25">
        <f t="shared" si="11"/>
        <v>0</v>
      </c>
      <c r="AP25">
        <f t="shared" si="12"/>
        <v>0</v>
      </c>
      <c r="AQ25">
        <f t="shared" si="13"/>
        <v>20</v>
      </c>
      <c r="AR25">
        <f t="shared" si="14"/>
        <v>40</v>
      </c>
    </row>
    <row r="26" spans="3:44" hidden="1">
      <c r="C26">
        <v>1103</v>
      </c>
      <c r="D26">
        <f>IFERROR(VLOOKUP($A$4&amp;$D$4&amp;C26,BalancesAnuales1!$A$2:$E$20009,5,0)+0,0)/A6</f>
        <v>0</v>
      </c>
      <c r="E26">
        <f>IFERROR(VLOOKUP($A$4&amp;$E$4&amp;C26,BalancesAnuales1!$A$2:$E$20009,5,0)+0,0)/A6</f>
        <v>0</v>
      </c>
      <c r="F26">
        <f>IFERROR(VLOOKUP($A$4&amp;$F$4&amp;C26,BalancesAnuales1!$A$2:$E$20009,5,0)+0,0)/A6</f>
        <v>0</v>
      </c>
      <c r="G26">
        <f>IFERROR(VLOOKUP($A$4&amp;$G$4&amp;C26,BalancesMensuales1!$A$2:$E$20009,5,0)+0,0)/A6</f>
        <v>0</v>
      </c>
      <c r="H26">
        <f>IFERROR(VLOOKUP($A$4&amp;$H$4&amp;C26,BalancesMensuales1!$A$2:$E$20009,5,0)+0,0)/A6</f>
        <v>0</v>
      </c>
      <c r="AB26" t="s">
        <v>91</v>
      </c>
      <c r="AC26" t="str">
        <f>IFERROR(PROPER(VLOOKUP(AB4,Caratula1!$A$1:$BJ$61,38,0)),"")</f>
        <v/>
      </c>
      <c r="AI26">
        <f t="shared" si="6"/>
        <v>40</v>
      </c>
      <c r="AJ26">
        <v>9</v>
      </c>
      <c r="AK26">
        <f t="shared" si="7"/>
        <v>0</v>
      </c>
      <c r="AL26">
        <f t="shared" si="8"/>
        <v>0</v>
      </c>
      <c r="AM26">
        <f t="shared" si="9"/>
        <v>0</v>
      </c>
      <c r="AN26">
        <f t="shared" si="10"/>
        <v>0</v>
      </c>
      <c r="AO26">
        <f t="shared" si="11"/>
        <v>0</v>
      </c>
      <c r="AP26">
        <f t="shared" si="12"/>
        <v>0</v>
      </c>
      <c r="AQ26">
        <f t="shared" si="13"/>
        <v>20</v>
      </c>
      <c r="AR26">
        <f t="shared" si="14"/>
        <v>40</v>
      </c>
    </row>
    <row r="27" spans="3:44" hidden="1">
      <c r="C27">
        <v>132000</v>
      </c>
      <c r="D27">
        <f>IFERROR(VLOOKUP($A$4&amp;$D$4&amp;C27,BalancesAnuales1!$A$2:$E$20009,5,0)+0,0)/A6</f>
        <v>0</v>
      </c>
      <c r="E27">
        <f>IFERROR(VLOOKUP($A$4&amp;$E$4&amp;C27,BalancesAnuales1!$A$2:$E$20009,5,0)+0,0)/A6</f>
        <v>0</v>
      </c>
      <c r="F27">
        <f>IFERROR(VLOOKUP($A$4&amp;$F$4&amp;C27,BalancesAnuales1!$A$2:$E$20009,5,0)+0,0)/A6</f>
        <v>0</v>
      </c>
      <c r="G27">
        <f>IFERROR(VLOOKUP($A$4&amp;$G$4&amp;C27,BalancesMensuales1!$A$2:$E$20009,5,0)+0,0)/A6</f>
        <v>0</v>
      </c>
      <c r="H27">
        <f>IFERROR(VLOOKUP($A$4&amp;$H$4&amp;C27,BalancesMensuales1!$A$2:$E$20009,5,0)+0,0)/A6</f>
        <v>0</v>
      </c>
      <c r="AB27" t="s">
        <v>92</v>
      </c>
      <c r="AC27" t="str">
        <f>IFERROR(PROPER(VLOOKUP($AB$4,InformacionRIB!$2:$70,8,0)),"N.D.")</f>
        <v>N.D.</v>
      </c>
      <c r="AI27">
        <f t="shared" si="6"/>
        <v>40</v>
      </c>
      <c r="AJ27">
        <v>10</v>
      </c>
      <c r="AK27">
        <f t="shared" si="7"/>
        <v>0</v>
      </c>
      <c r="AL27">
        <f t="shared" si="8"/>
        <v>0</v>
      </c>
      <c r="AM27">
        <f t="shared" si="9"/>
        <v>0</v>
      </c>
      <c r="AN27">
        <f t="shared" si="10"/>
        <v>0</v>
      </c>
      <c r="AO27">
        <f t="shared" si="11"/>
        <v>0</v>
      </c>
      <c r="AP27">
        <f t="shared" si="12"/>
        <v>0</v>
      </c>
      <c r="AQ27">
        <f t="shared" si="13"/>
        <v>20</v>
      </c>
      <c r="AR27">
        <f t="shared" si="14"/>
        <v>40</v>
      </c>
    </row>
    <row r="28" spans="3:44" hidden="1">
      <c r="C28">
        <v>132500</v>
      </c>
      <c r="D28">
        <f>IFERROR(VLOOKUP($A$4&amp;$D$4&amp;C28,BalancesAnuales1!$A$2:$E$20009,5,0)+0,0)/A6</f>
        <v>0</v>
      </c>
      <c r="E28">
        <f>IFERROR(VLOOKUP($A$4&amp;$E$4&amp;C28,BalancesAnuales1!$A$2:$E$20009,5,0)+0,0)/A6</f>
        <v>0</v>
      </c>
      <c r="F28">
        <f>IFERROR(VLOOKUP($A$4&amp;$F$4&amp;C28,BalancesAnuales1!$A$2:$E$20009,5,0)+0,0)/A6</f>
        <v>0</v>
      </c>
      <c r="G28">
        <f>IFERROR(VLOOKUP($A$4&amp;$G$4&amp;C28,BalancesMensuales1!$A$2:$E$20009,5,0)+0,0)/A6</f>
        <v>0</v>
      </c>
      <c r="H28">
        <f>IFERROR(VLOOKUP($A$4&amp;$H$4&amp;C28,BalancesMensuales1!$A$2:$E$20009,5,0)+0,0)/A6</f>
        <v>0</v>
      </c>
      <c r="AB28" t="s">
        <v>93</v>
      </c>
      <c r="AC28" t="e">
        <f>PROPER(VLOOKUP($AB$4,InformacionRIB!$2:$70,13,0))</f>
        <v>#N/A</v>
      </c>
      <c r="AI28">
        <f t="shared" si="6"/>
        <v>40</v>
      </c>
      <c r="AJ28">
        <v>11</v>
      </c>
      <c r="AK28">
        <f t="shared" si="7"/>
        <v>0</v>
      </c>
      <c r="AL28">
        <f t="shared" si="8"/>
        <v>0</v>
      </c>
      <c r="AM28">
        <f t="shared" si="9"/>
        <v>0</v>
      </c>
      <c r="AN28">
        <f t="shared" si="10"/>
        <v>0</v>
      </c>
      <c r="AO28">
        <f t="shared" si="11"/>
        <v>0</v>
      </c>
      <c r="AP28">
        <f t="shared" si="12"/>
        <v>0</v>
      </c>
      <c r="AQ28">
        <f t="shared" si="13"/>
        <v>20</v>
      </c>
      <c r="AR28">
        <f t="shared" si="14"/>
        <v>40</v>
      </c>
    </row>
    <row r="29" spans="3:44" hidden="1">
      <c r="C29">
        <v>133000</v>
      </c>
      <c r="D29">
        <f>IFERROR(VLOOKUP($A$4&amp;$D$4&amp;C29,BalancesAnuales1!$A$2:$E$20009,5,0)+0,0)/A6</f>
        <v>0</v>
      </c>
      <c r="E29">
        <f>IFERROR(VLOOKUP($A$4&amp;$E$4&amp;C29,BalancesAnuales1!$A$2:$E$20009,5,0)+0,0)/A6</f>
        <v>0</v>
      </c>
      <c r="F29">
        <f>IFERROR(VLOOKUP($A$4&amp;$F$4&amp;C29,BalancesAnuales1!$A$2:$E$20009,5,0)+0,0)/A6</f>
        <v>0</v>
      </c>
      <c r="G29">
        <f>IFERROR(VLOOKUP($A$4&amp;$G$4&amp;C29,BalancesMensuales1!$A$2:$E$20009,5,0)+0,0)/A6</f>
        <v>0</v>
      </c>
      <c r="H29">
        <f>IFERROR(VLOOKUP($A$4&amp;$H$4&amp;C29,BalancesMensuales1!$A$2:$E$20009,5,0)+0,0)/A6</f>
        <v>0</v>
      </c>
      <c r="AB29" t="s">
        <v>94</v>
      </c>
      <c r="AC29" t="e">
        <f>PROPER(VLOOKUP($AB$4,InformacionRIB!$2:$70,14,0))</f>
        <v>#N/A</v>
      </c>
      <c r="AI29">
        <f t="shared" si="6"/>
        <v>40</v>
      </c>
      <c r="AJ29">
        <v>12</v>
      </c>
      <c r="AK29">
        <f t="shared" si="7"/>
        <v>0</v>
      </c>
      <c r="AL29">
        <f t="shared" si="8"/>
        <v>0</v>
      </c>
      <c r="AM29">
        <f t="shared" si="9"/>
        <v>0</v>
      </c>
      <c r="AN29">
        <f t="shared" si="10"/>
        <v>0</v>
      </c>
      <c r="AO29">
        <f t="shared" si="11"/>
        <v>0</v>
      </c>
      <c r="AP29">
        <f t="shared" si="12"/>
        <v>0</v>
      </c>
      <c r="AQ29">
        <f t="shared" si="13"/>
        <v>20</v>
      </c>
      <c r="AR29">
        <f t="shared" si="14"/>
        <v>40</v>
      </c>
    </row>
    <row r="30" spans="3:44" hidden="1">
      <c r="C30">
        <v>133500</v>
      </c>
      <c r="D30">
        <f>IFERROR(VLOOKUP($A$4&amp;$D$4&amp;C30,BalancesAnuales1!$A$2:$E$20009,5,0)+0,0)/A6</f>
        <v>0</v>
      </c>
      <c r="E30">
        <f>IFERROR(VLOOKUP($A$4&amp;$E$4&amp;C30,BalancesAnuales1!$A$2:$E$20009,5,0)+0,0)/A6</f>
        <v>0</v>
      </c>
      <c r="F30">
        <f>IFERROR(VLOOKUP($A$4&amp;$F$4&amp;C30,BalancesAnuales1!$A$2:$E$20009,5,0)+0,0)/A6</f>
        <v>0</v>
      </c>
      <c r="G30">
        <f>IFERROR(VLOOKUP($A$4&amp;$G$4&amp;C30,BalancesMensuales1!$A$2:$E$20009,5,0)+0,0)/A6</f>
        <v>0</v>
      </c>
      <c r="H30">
        <f>IFERROR(VLOOKUP($A$4&amp;$H$4&amp;C30,BalancesMensuales1!$A$2:$E$20009,5,0)+0,0)/A6</f>
        <v>0</v>
      </c>
      <c r="AB30" t="s">
        <v>95</v>
      </c>
      <c r="AC30" t="str">
        <f>IFERROR(IF(VLOOKUP($AB$4,InformacionRIB!$2:$70,11,0)="True","Si","No"),"N.D.")</f>
        <v>N.D.</v>
      </c>
      <c r="AI30">
        <f t="shared" si="6"/>
        <v>40</v>
      </c>
      <c r="AJ30">
        <v>13</v>
      </c>
      <c r="AK30">
        <f t="shared" si="7"/>
        <v>0</v>
      </c>
      <c r="AL30">
        <f t="shared" si="8"/>
        <v>0</v>
      </c>
      <c r="AM30">
        <f t="shared" si="9"/>
        <v>0</v>
      </c>
      <c r="AN30">
        <f t="shared" si="10"/>
        <v>0</v>
      </c>
      <c r="AO30">
        <f t="shared" si="11"/>
        <v>0</v>
      </c>
      <c r="AP30">
        <f t="shared" si="12"/>
        <v>0</v>
      </c>
      <c r="AQ30">
        <f t="shared" si="13"/>
        <v>20</v>
      </c>
      <c r="AR30">
        <f t="shared" si="14"/>
        <v>40</v>
      </c>
    </row>
    <row r="31" spans="3:44" hidden="1">
      <c r="C31">
        <v>134000</v>
      </c>
      <c r="D31">
        <f>IFERROR(VLOOKUP($A$4&amp;$D$4&amp;C31,BalancesAnuales1!$A$2:$E$20009,5,0)+0,0)/A6</f>
        <v>0</v>
      </c>
      <c r="E31">
        <f>IFERROR(VLOOKUP($A$4&amp;$E$4&amp;C31,BalancesAnuales1!$A$2:$E$20009,5,0)+0,0)/A6</f>
        <v>0</v>
      </c>
      <c r="F31">
        <f>IFERROR(VLOOKUP($A$4&amp;$F$4&amp;C31,BalancesAnuales1!$A$2:$E$20009,5,0)+0,0)/A6</f>
        <v>0</v>
      </c>
      <c r="G31">
        <f>IFERROR(VLOOKUP($A$4&amp;$G$4&amp;C31,BalancesMensuales1!$A$2:$E$20009,5,0)+0,0)/A6</f>
        <v>0</v>
      </c>
      <c r="H31">
        <f>IFERROR(VLOOKUP($A$4&amp;$H$4&amp;C31,BalancesMensuales1!$A$2:$E$20009,5,0)+0,0)/A6</f>
        <v>0</v>
      </c>
      <c r="AB31" t="s">
        <v>96</v>
      </c>
      <c r="AC31">
        <f>PresenciaCliente!E3+0</f>
        <v>0</v>
      </c>
      <c r="AI31">
        <f t="shared" si="6"/>
        <v>40</v>
      </c>
      <c r="AJ31">
        <v>14</v>
      </c>
      <c r="AK31">
        <f t="shared" si="7"/>
        <v>0</v>
      </c>
      <c r="AL31">
        <f t="shared" si="8"/>
        <v>0</v>
      </c>
      <c r="AM31">
        <f t="shared" si="9"/>
        <v>0</v>
      </c>
      <c r="AN31">
        <f t="shared" si="10"/>
        <v>0</v>
      </c>
      <c r="AO31">
        <f t="shared" si="11"/>
        <v>0</v>
      </c>
      <c r="AP31">
        <f t="shared" si="12"/>
        <v>0</v>
      </c>
      <c r="AQ31">
        <f t="shared" si="13"/>
        <v>20</v>
      </c>
      <c r="AR31">
        <f t="shared" si="14"/>
        <v>40</v>
      </c>
    </row>
    <row r="32" spans="3:44" hidden="1">
      <c r="C32">
        <v>134500</v>
      </c>
      <c r="D32">
        <f>IFERROR(VLOOKUP($A$4&amp;$D$4&amp;C32,BalancesAnuales1!$A$2:$E$20009,5,0)+0,0)/A6</f>
        <v>0</v>
      </c>
      <c r="E32">
        <f>IFERROR(VLOOKUP($A$4&amp;$E$4&amp;C32,BalancesAnuales1!$A$2:$E$20009,5,0)+0,0)/A6</f>
        <v>0</v>
      </c>
      <c r="F32">
        <f>IFERROR(VLOOKUP($A$4&amp;$F$4&amp;C32,BalancesAnuales1!$A$2:$E$20009,5,0)+0,0)/A6</f>
        <v>0</v>
      </c>
      <c r="G32">
        <f>IFERROR(VLOOKUP($A$4&amp;$G$4&amp;C32,BalancesMensuales1!$A$2:$E$20009,5,0)+0,0)/A6</f>
        <v>0</v>
      </c>
      <c r="H32">
        <f>IFERROR(VLOOKUP($A$4&amp;$H$4&amp;C32,BalancesMensuales1!$A$2:$E$20009,5,0)+0,0)/A6</f>
        <v>0</v>
      </c>
      <c r="AB32" t="s">
        <v>97</v>
      </c>
      <c r="AC32">
        <f>(PresenciaCliente!G3+0)/100</f>
        <v>0</v>
      </c>
      <c r="AI32">
        <f t="shared" si="6"/>
        <v>40</v>
      </c>
      <c r="AJ32">
        <v>15</v>
      </c>
      <c r="AK32">
        <f t="shared" si="7"/>
        <v>0</v>
      </c>
      <c r="AL32">
        <f t="shared" si="8"/>
        <v>0</v>
      </c>
      <c r="AM32">
        <f t="shared" si="9"/>
        <v>0</v>
      </c>
      <c r="AN32">
        <f t="shared" si="10"/>
        <v>0</v>
      </c>
      <c r="AO32">
        <f t="shared" si="11"/>
        <v>0</v>
      </c>
      <c r="AP32">
        <f t="shared" si="12"/>
        <v>0</v>
      </c>
      <c r="AQ32">
        <f t="shared" si="13"/>
        <v>20</v>
      </c>
      <c r="AR32">
        <f t="shared" si="14"/>
        <v>40</v>
      </c>
    </row>
    <row r="33" spans="3:44" hidden="1">
      <c r="C33">
        <v>135000</v>
      </c>
      <c r="D33">
        <f>IFERROR(VLOOKUP($A$4&amp;$D$4&amp;C33,BalancesAnuales1!$A$2:$E$20009,5,0)+0,0)/A6</f>
        <v>0</v>
      </c>
      <c r="E33">
        <f>IFERROR(VLOOKUP($A$4&amp;$E$4&amp;C33,BalancesAnuales1!$A$2:$E$20009,5,0)+0,0)/A6</f>
        <v>0</v>
      </c>
      <c r="F33">
        <f>IFERROR(VLOOKUP($A$4&amp;$F$4&amp;C33,BalancesAnuales1!$A$2:$E$20009,5,0)+0,0)/A6</f>
        <v>0</v>
      </c>
      <c r="G33">
        <f>IFERROR(VLOOKUP($A$4&amp;$G$4&amp;C33,BalancesMensuales1!$A$2:$E$20009,5,0)+0,0)/A6</f>
        <v>0</v>
      </c>
      <c r="H33">
        <f>IFERROR(VLOOKUP($A$4&amp;$H$4&amp;C33,BalancesMensuales1!$A$2:$E$20009,5,0)+0,0)/A6</f>
        <v>0</v>
      </c>
      <c r="AB33" t="s">
        <v>98</v>
      </c>
      <c r="AC33">
        <f>PresenciaCliente!D3+0</f>
        <v>0</v>
      </c>
      <c r="AI33">
        <f t="shared" si="6"/>
        <v>40</v>
      </c>
      <c r="AJ33">
        <v>16</v>
      </c>
      <c r="AK33">
        <f t="shared" si="7"/>
        <v>0</v>
      </c>
      <c r="AL33">
        <f t="shared" si="8"/>
        <v>0</v>
      </c>
      <c r="AM33">
        <f t="shared" si="9"/>
        <v>0</v>
      </c>
      <c r="AN33">
        <f t="shared" si="10"/>
        <v>0</v>
      </c>
      <c r="AO33">
        <f t="shared" si="11"/>
        <v>0</v>
      </c>
      <c r="AP33">
        <f t="shared" si="12"/>
        <v>0</v>
      </c>
      <c r="AQ33">
        <f t="shared" si="13"/>
        <v>20</v>
      </c>
      <c r="AR33">
        <f t="shared" si="14"/>
        <v>40</v>
      </c>
    </row>
    <row r="34" spans="3:44" hidden="1">
      <c r="C34">
        <v>135500</v>
      </c>
      <c r="D34">
        <f>IFERROR(VLOOKUP($A$4&amp;$D$4&amp;C34,BalancesAnuales1!$A$2:$E$20009,5,0)+0,0)/A6</f>
        <v>0</v>
      </c>
      <c r="E34">
        <f>IFERROR(VLOOKUP($A$4&amp;$E$4&amp;C34,BalancesAnuales1!$A$2:$E$20009,5,0)+0,0)/A6</f>
        <v>0</v>
      </c>
      <c r="F34">
        <f>IFERROR(VLOOKUP($A$4&amp;$F$4&amp;C34,BalancesAnuales1!$A$2:$E$20009,5,0)+0,0)/A6</f>
        <v>0</v>
      </c>
      <c r="G34">
        <f>IFERROR(VLOOKUP($A$4&amp;$G$4&amp;C34,BalancesMensuales1!$A$2:$E$20009,5,0)+0,0)/A6</f>
        <v>0</v>
      </c>
      <c r="H34">
        <f>IFERROR(VLOOKUP($A$4&amp;$H$4&amp;C34,BalancesMensuales1!$A$2:$E$20009,5,0)+0,0)/A6</f>
        <v>0</v>
      </c>
      <c r="AB34" t="s">
        <v>99</v>
      </c>
      <c r="AC34">
        <f>(PresenciaCliente!I3+0)/100</f>
        <v>0</v>
      </c>
      <c r="AI34">
        <f t="shared" si="6"/>
        <v>40</v>
      </c>
      <c r="AJ34">
        <v>17</v>
      </c>
      <c r="AK34">
        <f t="shared" si="7"/>
        <v>0</v>
      </c>
      <c r="AL34">
        <f t="shared" si="8"/>
        <v>0</v>
      </c>
      <c r="AM34">
        <f t="shared" si="9"/>
        <v>0</v>
      </c>
      <c r="AN34">
        <f t="shared" si="10"/>
        <v>0</v>
      </c>
      <c r="AO34">
        <f t="shared" si="11"/>
        <v>0</v>
      </c>
      <c r="AP34">
        <f t="shared" si="12"/>
        <v>0</v>
      </c>
      <c r="AQ34">
        <f t="shared" si="13"/>
        <v>20</v>
      </c>
      <c r="AR34">
        <f t="shared" si="14"/>
        <v>40</v>
      </c>
    </row>
    <row r="35" spans="3:44" hidden="1">
      <c r="C35">
        <v>136000</v>
      </c>
      <c r="D35">
        <f>IFERROR(VLOOKUP($A$4&amp;$D$4&amp;C35,BalancesAnuales1!$A$2:$E$20009,5,0)+0,0)/A6</f>
        <v>0</v>
      </c>
      <c r="E35">
        <f>IFERROR(VLOOKUP($A$4&amp;$E$4&amp;C35,BalancesAnuales1!$A$2:$E$20009,5,0)+0,0)/A6</f>
        <v>0</v>
      </c>
      <c r="F35">
        <f>IFERROR(VLOOKUP($A$4&amp;$F$4&amp;C35,BalancesAnuales1!$A$2:$E$20009,5,0)+0,0)/A6</f>
        <v>0</v>
      </c>
      <c r="G35">
        <f>IFERROR(VLOOKUP($A$4&amp;$G$4&amp;C35,BalancesMensuales1!$A$2:$E$20009,5,0)+0,0)/A6</f>
        <v>0</v>
      </c>
      <c r="H35">
        <f>IFERROR(VLOOKUP($A$4&amp;$H$4&amp;C35,BalancesMensuales1!$A$2:$E$20009,5,0)+0,0)/A6</f>
        <v>0</v>
      </c>
      <c r="AB35" t="s">
        <v>100</v>
      </c>
      <c r="AC35">
        <f>(PresenciaCliente!C3+0)/100</f>
        <v>0</v>
      </c>
      <c r="AI35">
        <f t="shared" si="6"/>
        <v>40</v>
      </c>
      <c r="AJ35">
        <v>18</v>
      </c>
      <c r="AK35">
        <f t="shared" si="7"/>
        <v>0</v>
      </c>
      <c r="AL35">
        <f t="shared" si="8"/>
        <v>0</v>
      </c>
      <c r="AM35">
        <f t="shared" si="9"/>
        <v>0</v>
      </c>
      <c r="AN35">
        <f t="shared" si="10"/>
        <v>0</v>
      </c>
      <c r="AO35">
        <f t="shared" si="11"/>
        <v>0</v>
      </c>
      <c r="AP35">
        <f t="shared" si="12"/>
        <v>0</v>
      </c>
      <c r="AQ35">
        <f t="shared" si="13"/>
        <v>20</v>
      </c>
      <c r="AR35">
        <f t="shared" si="14"/>
        <v>40</v>
      </c>
    </row>
    <row r="36" spans="3:44" hidden="1">
      <c r="C36">
        <v>136500</v>
      </c>
      <c r="D36">
        <f>IFERROR(VLOOKUP($A$4&amp;$D$4&amp;C36,BalancesAnuales1!$A$2:$E$20009,5,0)+0,0)/A6</f>
        <v>0</v>
      </c>
      <c r="E36">
        <f>IFERROR(VLOOKUP($A$4&amp;$E$4&amp;C36,BalancesAnuales1!$A$2:$E$20009,5,0)+0,0)/A6</f>
        <v>0</v>
      </c>
      <c r="F36">
        <f>IFERROR(VLOOKUP($A$4&amp;$F$4&amp;C36,BalancesAnuales1!$A$2:$E$20009,5,0)+0,0)/A6</f>
        <v>0</v>
      </c>
      <c r="G36">
        <f>IFERROR(VLOOKUP($A$4&amp;$G$4&amp;C36,BalancesMensuales1!$A$2:$E$20009,5,0)+0,0)/A6</f>
        <v>0</v>
      </c>
      <c r="H36">
        <f>IFERROR(VLOOKUP($A$4&amp;$H$4&amp;C36,BalancesMensuales1!$A$2:$E$20009,5,0)+0,0)/A6</f>
        <v>0</v>
      </c>
      <c r="AB36" t="s">
        <v>101</v>
      </c>
      <c r="AC36">
        <f>PresenciaCliente!H3</f>
        <v>0</v>
      </c>
      <c r="AI36">
        <f t="shared" si="6"/>
        <v>40</v>
      </c>
      <c r="AJ36">
        <v>19</v>
      </c>
      <c r="AK36">
        <f t="shared" si="7"/>
        <v>0</v>
      </c>
      <c r="AL36">
        <f t="shared" si="8"/>
        <v>0</v>
      </c>
      <c r="AM36">
        <f t="shared" si="9"/>
        <v>0</v>
      </c>
      <c r="AN36">
        <f t="shared" si="10"/>
        <v>0</v>
      </c>
      <c r="AO36">
        <f t="shared" si="11"/>
        <v>0</v>
      </c>
      <c r="AP36">
        <f t="shared" si="12"/>
        <v>0</v>
      </c>
      <c r="AQ36">
        <f t="shared" si="13"/>
        <v>20</v>
      </c>
      <c r="AR36">
        <f t="shared" si="14"/>
        <v>40</v>
      </c>
    </row>
    <row r="37" spans="3:44" hidden="1">
      <c r="C37">
        <v>137000</v>
      </c>
      <c r="D37">
        <f>IFERROR(VLOOKUP($A$4&amp;$D$4&amp;C37,BalancesAnuales1!$A$2:$E$20009,5,0)+0,0)/A6</f>
        <v>0</v>
      </c>
      <c r="E37">
        <f>IFERROR(VLOOKUP($A$4&amp;$E$4&amp;C37,BalancesAnuales1!$A$2:$E$20009,5,0)+0,0)/A6</f>
        <v>0</v>
      </c>
      <c r="F37">
        <f>IFERROR(VLOOKUP($A$4&amp;$F$4&amp;C37,BalancesAnuales1!$A$2:$E$20009,5,0)+0,0)/A6</f>
        <v>0</v>
      </c>
      <c r="G37">
        <f>IFERROR(VLOOKUP($A$4&amp;$G$4&amp;C37,BalancesMensuales1!$A$2:$E$20009,5,0)+0,0)/A6</f>
        <v>0</v>
      </c>
      <c r="H37">
        <f>IFERROR(VLOOKUP($A$4&amp;$H$4&amp;C37,BalancesMensuales1!$A$2:$E$20009,5,0)+0,0)/A6</f>
        <v>0</v>
      </c>
      <c r="AB37" t="s">
        <v>102</v>
      </c>
      <c r="AC37">
        <f>InstalacionesxEmpXRib!C3+0</f>
        <v>0</v>
      </c>
      <c r="AI37">
        <f t="shared" si="6"/>
        <v>40</v>
      </c>
      <c r="AJ37">
        <v>20</v>
      </c>
      <c r="AK37" t="str">
        <f t="shared" si="7"/>
        <v/>
      </c>
      <c r="AL37" t="str">
        <f t="shared" si="8"/>
        <v/>
      </c>
      <c r="AM37" t="str">
        <f t="shared" si="9"/>
        <v/>
      </c>
      <c r="AN37" t="str">
        <f t="shared" si="10"/>
        <v/>
      </c>
      <c r="AO37" t="str">
        <f t="shared" si="11"/>
        <v/>
      </c>
      <c r="AP37" t="str">
        <f t="shared" si="12"/>
        <v/>
      </c>
      <c r="AQ37">
        <f t="shared" si="13"/>
        <v>20</v>
      </c>
      <c r="AR37">
        <f t="shared" si="14"/>
        <v>40</v>
      </c>
    </row>
    <row r="38" spans="3:44" hidden="1">
      <c r="C38">
        <v>139000</v>
      </c>
      <c r="D38">
        <f>IFERROR(VLOOKUP($A$4&amp;$D$4&amp;C38,BalancesAnuales1!$A$2:$E$20009,5,0)+0,0)/A6</f>
        <v>0</v>
      </c>
      <c r="E38">
        <f>IFERROR(VLOOKUP($A$4&amp;$E$4&amp;C38,BalancesAnuales1!$A$2:$E$20009,5,0)+0,0)/A6</f>
        <v>0</v>
      </c>
      <c r="F38">
        <f>IFERROR(VLOOKUP($A$4&amp;$F$4&amp;C38,BalancesAnuales1!$A$2:$E$20009,5,0)+0,0)/A6</f>
        <v>0</v>
      </c>
      <c r="G38">
        <f>IFERROR(VLOOKUP($A$4&amp;$G$4&amp;C38,BalancesMensuales1!$A$2:$E$20009,5,0)+0,0)/A6</f>
        <v>0</v>
      </c>
      <c r="H38">
        <f>IFERROR(VLOOKUP($A$4&amp;$H$4&amp;C38,BalancesMensuales1!$A$2:$E$20009,5,0)+0,0)/A6</f>
        <v>0</v>
      </c>
      <c r="AB38" t="s">
        <v>103</v>
      </c>
      <c r="AC38">
        <f>Caratula1!AC3</f>
        <v>0</v>
      </c>
    </row>
    <row r="39" spans="3:44" hidden="1">
      <c r="C39">
        <v>139500</v>
      </c>
      <c r="D39">
        <f>IFERROR(VLOOKUP($A$4&amp;$D$4&amp;C39,BalancesAnuales1!$A$2:$E$20009,5,0)+0,0)/A6</f>
        <v>0</v>
      </c>
      <c r="E39">
        <f>IFERROR(VLOOKUP($A$4&amp;$E$4&amp;C39,BalancesAnuales1!$A$2:$E$20009,5,0)+0,0)/A6</f>
        <v>0</v>
      </c>
      <c r="F39">
        <f>IFERROR(VLOOKUP($A$4&amp;$F$4&amp;C39,BalancesAnuales1!$A$2:$E$20009,5,0)+0,0)/A6</f>
        <v>0</v>
      </c>
      <c r="G39">
        <f>IFERROR(VLOOKUP($A$4&amp;$G$4&amp;C39,BalancesMensuales1!$A$2:$E$20009,5,0)+0,0)/A6</f>
        <v>0</v>
      </c>
      <c r="H39">
        <f>IFERROR(VLOOKUP($A$4&amp;$H$4&amp;C39,BalancesMensuales1!$A$2:$E$20009,5,0)+0,0)/A6</f>
        <v>0</v>
      </c>
      <c r="AB39" t="s">
        <v>104</v>
      </c>
      <c r="AC39">
        <f>Caratula1!AD3</f>
        <v>0</v>
      </c>
      <c r="AJ39">
        <v>21</v>
      </c>
      <c r="AK39" t="str">
        <f t="shared" ref="AK39:AK48" si="15">PROPER(IFERROR(VLOOKUP(AJ39,$AI$18:$AP$37,5,0),""))</f>
        <v/>
      </c>
    </row>
    <row r="40" spans="3:44" hidden="1">
      <c r="C40">
        <v>139905</v>
      </c>
      <c r="D40">
        <f>IFERROR(VLOOKUP($A$4&amp;$D$4&amp;C40,BalancesAnuales1!$A$2:$E$20009,5,0)+0,0)/A6</f>
        <v>0</v>
      </c>
      <c r="E40">
        <f>IFERROR(VLOOKUP($A$4&amp;$E$4&amp;C40,BalancesAnuales1!$A$2:$E$20009,5,0)+0,0)/A6</f>
        <v>0</v>
      </c>
      <c r="F40">
        <f>IFERROR(VLOOKUP($A$4&amp;$F$4&amp;C40,BalancesAnuales1!$A$2:$E$20009,5,0)+0,0)/A6</f>
        <v>0</v>
      </c>
      <c r="G40">
        <f>IFERROR(VLOOKUP($A$4&amp;$G$4&amp;C40,BalancesMensuales1!$A$2:$E$20009,5,0)+0,0)/A6</f>
        <v>0</v>
      </c>
      <c r="H40">
        <f>IFERROR(VLOOKUP($A$4&amp;$H$4&amp;C40,BalancesMensuales1!$A$2:$E$20009,5,0)+0,0)/A6</f>
        <v>0</v>
      </c>
      <c r="AB40" t="s">
        <v>105</v>
      </c>
      <c r="AC40" t="str">
        <f>PROPER(OperacionesEmpXRib!H3)</f>
        <v/>
      </c>
      <c r="AJ40">
        <v>22</v>
      </c>
      <c r="AK40" t="str">
        <f t="shared" si="15"/>
        <v/>
      </c>
    </row>
    <row r="41" spans="3:44" hidden="1">
      <c r="C41">
        <v>1106</v>
      </c>
      <c r="D41">
        <f>IFERROR(VLOOKUP($A$4&amp;$D$4&amp;C41,BalancesAnuales1!$A$2:$E$20009,5,0)+0,0)/A6</f>
        <v>0</v>
      </c>
      <c r="E41">
        <f>IFERROR(VLOOKUP($A$4&amp;$E$4&amp;C41,BalancesAnuales1!$A$2:$E$20009,5,0)+0,0)/A6</f>
        <v>0</v>
      </c>
      <c r="F41">
        <f>IFERROR(VLOOKUP($A$4&amp;$F$4&amp;C41,BalancesAnuales1!$A$2:$E$20009,5,0)+0,0)/A6</f>
        <v>0</v>
      </c>
      <c r="G41">
        <f>IFERROR(VLOOKUP($A$4&amp;$G$4&amp;C41,BalancesMensuales1!$A$2:$E$20009,5,0)+0,0)/A6</f>
        <v>0</v>
      </c>
      <c r="H41">
        <f>IFERROR(VLOOKUP($A$4&amp;$H$4&amp;C41,BalancesMensuales1!$A$2:$E$20009,5,0)+0,0)/A6</f>
        <v>0</v>
      </c>
      <c r="AJ41">
        <v>23</v>
      </c>
      <c r="AK41" t="str">
        <f t="shared" si="15"/>
        <v/>
      </c>
    </row>
    <row r="42" spans="3:44" hidden="1">
      <c r="C42">
        <v>110405</v>
      </c>
      <c r="D42">
        <f>IFERROR(VLOOKUP($A$4&amp;$D$4&amp;C42,BalancesAnuales1!$A$2:$E$20009,5,0)+0,0)/A6</f>
        <v>0</v>
      </c>
      <c r="E42">
        <f>IFERROR(VLOOKUP($A$4&amp;$E$4&amp;C42,BalancesAnuales1!$A$2:$E$20009,5,0)+0,0)/A6</f>
        <v>0</v>
      </c>
      <c r="F42">
        <f>IFERROR(VLOOKUP($A$4&amp;$F$4&amp;C42,BalancesAnuales1!$A$2:$E$20009,5,0)+0,0)/A6</f>
        <v>0</v>
      </c>
      <c r="G42">
        <f>IFERROR(VLOOKUP($A$4&amp;$G$4&amp;C42,BalancesMensuales1!$A$2:$E$20009,5,0)+0,0)/A6</f>
        <v>0</v>
      </c>
      <c r="H42">
        <f>IFERROR(VLOOKUP($A$4&amp;$H$4&amp;C42,BalancesMensuales1!$A$2:$E$20009,5,0)+0,0)/A6</f>
        <v>0</v>
      </c>
      <c r="AJ42">
        <v>24</v>
      </c>
      <c r="AK42" t="str">
        <f t="shared" si="15"/>
        <v/>
      </c>
    </row>
    <row r="43" spans="3:44" hidden="1">
      <c r="C43">
        <v>110410</v>
      </c>
      <c r="D43">
        <f>IFERROR(VLOOKUP($A$4&amp;$D$4&amp;C43,BalancesAnuales1!$A$2:$E$20009,5,0)+0,0)/A6</f>
        <v>0</v>
      </c>
      <c r="E43">
        <f>IFERROR(VLOOKUP($A$4&amp;$E$4&amp;C43,BalancesAnuales1!$A$2:$E$20009,5,0)+0,0)/A6</f>
        <v>0</v>
      </c>
      <c r="F43">
        <f>IFERROR(VLOOKUP($A$4&amp;$F$4&amp;C43,BalancesAnuales1!$A$2:$E$20009,5,0)+0,0)/A6</f>
        <v>0</v>
      </c>
      <c r="G43">
        <f>IFERROR(VLOOKUP($A$4&amp;$G$4&amp;C43,BalancesMensuales1!$A$2:$E$20009,5,0)+0,0)/A6</f>
        <v>0</v>
      </c>
      <c r="H43">
        <f>IFERROR(VLOOKUP($A$4&amp;$H$4&amp;C43,BalancesMensuales1!$A$2:$E$20009,5,0)+0,0)/A6</f>
        <v>0</v>
      </c>
      <c r="AA43" t="s">
        <v>106</v>
      </c>
      <c r="AB43" t="str">
        <f>IFERROR(VLOOKUP(1,$Z$65:$AC$214,3,0),"")</f>
        <v/>
      </c>
      <c r="AC43">
        <f>IFERROR(VLOOKUP(1,$Z$65:$AC$214,4,0)+0,"")</f>
        <v>0</v>
      </c>
      <c r="AJ43">
        <v>25</v>
      </c>
      <c r="AK43" t="str">
        <f t="shared" si="15"/>
        <v/>
      </c>
    </row>
    <row r="44" spans="3:44" hidden="1">
      <c r="C44">
        <v>142500</v>
      </c>
      <c r="D44">
        <f>IFERROR(VLOOKUP($A$4&amp;$D$4&amp;C44,BalancesAnuales1!$A$2:$E$20009,5,0)+0,0)/A6</f>
        <v>0</v>
      </c>
      <c r="E44">
        <f>IFERROR(VLOOKUP($A$4&amp;$E$4&amp;C44,BalancesAnuales1!$A$2:$E$20009,5,0)+0,0)/A6</f>
        <v>0</v>
      </c>
      <c r="F44">
        <f>IFERROR(VLOOKUP($A$4&amp;$F$4&amp;C44,BalancesAnuales1!$A$2:$E$20009,5,0)+0,0)/A6</f>
        <v>0</v>
      </c>
      <c r="G44">
        <f>IFERROR(VLOOKUP($A$4&amp;$G$4&amp;C44,BalancesMensuales1!$A$2:$E$20009,5,0)+0,0)/A6</f>
        <v>0</v>
      </c>
      <c r="H44">
        <f>IFERROR(VLOOKUP($A$4&amp;$H$4&amp;C44,BalancesMensuales1!$A$2:$E$20009,5,0)+0,0)/A6</f>
        <v>0</v>
      </c>
      <c r="AB44" t="str">
        <f>IFERROR(VLOOKUP(2,$Z$65:$AC$214,3,0),"")</f>
        <v/>
      </c>
      <c r="AC44">
        <f>IFERROR(VLOOKUP(2,$Z$65:$AC$214,4,0)+0,"")</f>
        <v>0</v>
      </c>
      <c r="AJ44">
        <v>26</v>
      </c>
      <c r="AK44" t="str">
        <f t="shared" si="15"/>
        <v/>
      </c>
    </row>
    <row r="45" spans="3:44" hidden="1">
      <c r="C45">
        <v>110415</v>
      </c>
      <c r="D45">
        <f>IFERROR(VLOOKUP($A$4&amp;$D$4&amp;C45,BalancesAnuales1!$A$2:$E$20009,5,0)+0,0)/A6</f>
        <v>0</v>
      </c>
      <c r="E45">
        <f>IFERROR(VLOOKUP($A$4&amp;$E$4&amp;C45,BalancesAnuales1!$A$2:$E$20009,5,0)+0,0)/A6</f>
        <v>0</v>
      </c>
      <c r="F45">
        <f>IFERROR(VLOOKUP($A$4&amp;$F$4&amp;C45,BalancesAnuales1!$A$2:$E$20009,5,0)+0,0)/A6</f>
        <v>0</v>
      </c>
      <c r="G45">
        <f>IFERROR(VLOOKUP($A$4&amp;$G$4&amp;C45,BalancesMensuales1!$A$2:$E$20009,5,0)+0,0)/A6</f>
        <v>0</v>
      </c>
      <c r="H45">
        <f>IFERROR(VLOOKUP($A$4&amp;$H$4&amp;C45,BalancesMensuales1!$A$2:$E$20009,5,0)+0,0)/A6</f>
        <v>0</v>
      </c>
      <c r="AB45" t="str">
        <f>IFERROR(VLOOKUP(3,$Z$65:$AC$214,3,0),"")</f>
        <v/>
      </c>
      <c r="AC45">
        <f>IFERROR(VLOOKUP(3,$Z$65:$AC$214,4,0)+0,"")</f>
        <v>0</v>
      </c>
      <c r="AJ45">
        <v>27</v>
      </c>
      <c r="AK45" t="str">
        <f t="shared" si="15"/>
        <v/>
      </c>
    </row>
    <row r="46" spans="3:44" hidden="1">
      <c r="C46">
        <v>143500</v>
      </c>
      <c r="D46">
        <f>IFERROR(VLOOKUP($A$4&amp;$D$4&amp;C46,BalancesAnuales1!$A$2:$E$20009,5,0)+0,0)/A6</f>
        <v>0</v>
      </c>
      <c r="E46">
        <f>IFERROR(VLOOKUP($A$4&amp;$E$4&amp;C46,BalancesAnuales1!$A$2:$E$20009,5,0)+0,0)/A6</f>
        <v>0</v>
      </c>
      <c r="F46">
        <f>IFERROR(VLOOKUP($A$4&amp;$F$4&amp;C46,BalancesAnuales1!$A$2:$E$20009,5,0)+0,0)/A6</f>
        <v>0</v>
      </c>
      <c r="G46">
        <f>IFERROR(VLOOKUP($A$4&amp;$G$4&amp;C46,BalancesMensuales1!$A$2:$E$20009,5,0)+0,0)/A6</f>
        <v>0</v>
      </c>
      <c r="H46">
        <f>IFERROR(VLOOKUP($A$4&amp;$H$4&amp;C46,BalancesMensuales1!$A$2:$E$20009,5,0)+0,0)/A6</f>
        <v>0</v>
      </c>
      <c r="AB46" t="str">
        <f>IFERROR(VLOOKUP(4,$Z$65:$AC$214,3,0),"")</f>
        <v/>
      </c>
      <c r="AC46">
        <f>IFERROR(VLOOKUP(4,$Z$65:$AC$214,4,0)+0,"")</f>
        <v>0</v>
      </c>
      <c r="AJ46">
        <v>28</v>
      </c>
      <c r="AK46" t="str">
        <f t="shared" si="15"/>
        <v/>
      </c>
    </row>
    <row r="47" spans="3:44" hidden="1">
      <c r="C47">
        <v>110420</v>
      </c>
      <c r="D47">
        <f>IFERROR(VLOOKUP($A$4&amp;$D$4&amp;C47,BalancesAnuales1!$A$2:$E$20009,5,0)+0,0)/A6</f>
        <v>0</v>
      </c>
      <c r="E47">
        <f>IFERROR(VLOOKUP($A$4&amp;$E$4&amp;C47,BalancesAnuales1!$A$2:$E$20009,5,0)+0,0)/A6</f>
        <v>0</v>
      </c>
      <c r="F47">
        <f>IFERROR(VLOOKUP($A$4&amp;$F$4&amp;C47,BalancesAnuales1!$A$2:$E$20009,5,0)+0,0)/A6</f>
        <v>0</v>
      </c>
      <c r="G47">
        <f>IFERROR(VLOOKUP($A$4&amp;$G$4&amp;C47,BalancesMensuales1!$A$2:$E$20009,5,0)+0,0)/A6</f>
        <v>0</v>
      </c>
      <c r="H47">
        <f>IFERROR(VLOOKUP($A$4&amp;$H$4&amp;C47,BalancesMensuales1!$A$2:$E$20009,5,0)+0,0)/A6</f>
        <v>0</v>
      </c>
      <c r="AJ47">
        <v>29</v>
      </c>
      <c r="AK47" t="str">
        <f t="shared" si="15"/>
        <v/>
      </c>
    </row>
    <row r="48" spans="3:44" hidden="1">
      <c r="C48">
        <v>110495</v>
      </c>
      <c r="D48">
        <f>IFERROR(VLOOKUP($A$4&amp;$D$4&amp;C48,BalancesAnuales1!$A$2:$E$20009,5,0)+0,0)/A6</f>
        <v>0</v>
      </c>
      <c r="E48">
        <f>IFERROR(VLOOKUP($A$4&amp;$E$4&amp;C48,BalancesAnuales1!$A$2:$E$20009,5,0)+0,0)/A6</f>
        <v>0</v>
      </c>
      <c r="F48">
        <f>IFERROR(VLOOKUP($A$4&amp;$F$4&amp;C48,BalancesAnuales1!$A$2:$E$20009,5,0)+0,0)/A6</f>
        <v>0</v>
      </c>
      <c r="G48">
        <f>IFERROR(VLOOKUP($A$4&amp;$G$4&amp;C48,BalancesMensuales1!$A$2:$E$20009,5,0)+0,0)/A6</f>
        <v>0</v>
      </c>
      <c r="H48">
        <f>IFERROR(VLOOKUP($A$4&amp;$H$4&amp;C48,BalancesMensuales1!$A$2:$E$20009,5,0)+0,0)/A6</f>
        <v>0</v>
      </c>
      <c r="AA48" t="s">
        <v>107</v>
      </c>
      <c r="AB48" t="str">
        <f>IFERROR(VLOOKUP(1,$Z$218:$AC$367,3,0),"")</f>
        <v xml:space="preserve"> - </v>
      </c>
      <c r="AC48">
        <f>IFERROR(VLOOKUP(1,$Z$218:$AC$367,4,0)+0,"")</f>
        <v>0</v>
      </c>
      <c r="AJ48">
        <v>30</v>
      </c>
      <c r="AK48" t="str">
        <f t="shared" si="15"/>
        <v/>
      </c>
    </row>
    <row r="49" spans="3:37" hidden="1">
      <c r="C49">
        <v>110490</v>
      </c>
      <c r="D49">
        <f>IFERROR(VLOOKUP($A$4&amp;$D$4&amp;C49,BalancesAnuales1!$A$2:$E$20009,5,0)+0,0)/A6</f>
        <v>0</v>
      </c>
      <c r="E49">
        <f>IFERROR(VLOOKUP($A$4&amp;$E$4&amp;C49,BalancesAnuales1!$A$2:$E$20009,5,0)+0,0)/A6</f>
        <v>0</v>
      </c>
      <c r="F49">
        <f>IFERROR(VLOOKUP($A$4&amp;$F$4&amp;C49,BalancesAnuales1!$A$2:$E$20009,5,0)+0,0)/A6</f>
        <v>0</v>
      </c>
      <c r="G49">
        <f>IFERROR(VLOOKUP($A$4&amp;$G$4&amp;C49,BalancesMensuales1!$A$2:$E$20009,5,0)+0,0)/A6</f>
        <v>0</v>
      </c>
      <c r="H49">
        <f>IFERROR(VLOOKUP($A$4&amp;$H$4&amp;C49,BalancesMensuales1!$A$2:$E$20009,5,0)+0,0)/A6</f>
        <v>0</v>
      </c>
      <c r="AB49" t="str">
        <f>IFERROR(VLOOKUP(2,$Z$218:$AC$367,3,0),"")</f>
        <v xml:space="preserve"> - </v>
      </c>
      <c r="AC49">
        <f>IFERROR(VLOOKUP(2,$Z$218:$AC$367,4,0)+0,"")</f>
        <v>0</v>
      </c>
    </row>
    <row r="50" spans="3:37" hidden="1">
      <c r="C50">
        <v>110491</v>
      </c>
      <c r="D50">
        <f>IFERROR(VLOOKUP($A$4&amp;$D$4&amp;C50,BalancesAnuales1!$A$2:$E$20009,5,0)+0,0)/A6</f>
        <v>0</v>
      </c>
      <c r="E50">
        <f>IFERROR(VLOOKUP($A$4&amp;$E$4&amp;C50,BalancesAnuales1!$A$2:$E$20009,5,0)+0,0)/A6</f>
        <v>0</v>
      </c>
      <c r="F50">
        <f>IFERROR(VLOOKUP($A$4&amp;$F$4&amp;C50,BalancesAnuales1!$A$2:$E$20009,5,0)+0,0)/A6</f>
        <v>0</v>
      </c>
      <c r="G50">
        <f>IFERROR(VLOOKUP($A$4&amp;$G$4&amp;C50,BalancesMensuales1!$A$2:$E$20009,5,0)+0,0)/A6</f>
        <v>0</v>
      </c>
      <c r="H50">
        <f>IFERROR(VLOOKUP($A$4&amp;$H$4&amp;C50,BalancesMensuales1!$A$2:$E$20009,5,0)+0,0)/A6</f>
        <v>0</v>
      </c>
      <c r="AB50" t="str">
        <f>IFERROR(VLOOKUP(3,$Z$218:$AC$367,3,0),"")</f>
        <v xml:space="preserve"> - </v>
      </c>
      <c r="AC50">
        <f>IFERROR(VLOOKUP(3,$Z$218:$AC$367,4,0)+0,"")</f>
        <v>0</v>
      </c>
      <c r="AJ50">
        <v>41</v>
      </c>
      <c r="AK50" t="str">
        <f t="shared" ref="AK50:AK59" si="16">PROPER(IFERROR(VLOOKUP(AJ50,$AI$18:$AP$37,5,0),""))</f>
        <v/>
      </c>
    </row>
    <row r="51" spans="3:37" hidden="1">
      <c r="C51">
        <v>149900</v>
      </c>
      <c r="D51">
        <f>IFERROR(VLOOKUP($A$4&amp;$D$4&amp;C51,BalancesAnuales1!$A$2:$E$20009,5,0)+0,0)/A6</f>
        <v>0</v>
      </c>
      <c r="E51">
        <f>IFERROR(VLOOKUP($A$4&amp;$E$4&amp;C51,BalancesAnuales1!$A$2:$E$20009,5,0)+0,0)/A6</f>
        <v>0</v>
      </c>
      <c r="F51">
        <f>IFERROR(VLOOKUP($A$4&amp;$F$4&amp;C51,BalancesAnuales1!$A$2:$E$20009,5,0)+0,0)/A6</f>
        <v>0</v>
      </c>
      <c r="G51">
        <f>IFERROR(VLOOKUP($A$4&amp;$G$4&amp;C51,BalancesMensuales1!$A$2:$E$20009,5,0)+0,0)/A6</f>
        <v>0</v>
      </c>
      <c r="H51">
        <f>IFERROR(VLOOKUP($A$4&amp;$H$4&amp;C51,BalancesMensuales1!$A$2:$E$20009,5,0)+0,0)/A6</f>
        <v>0</v>
      </c>
      <c r="AB51" t="str">
        <f>IFERROR(VLOOKUP(4,$Z$218:$AC$367,3,0),"")</f>
        <v xml:space="preserve"> - </v>
      </c>
      <c r="AC51">
        <f>IFERROR(VLOOKUP(4,$Z$218:$AC$367,4,0)+0,"")</f>
        <v>0</v>
      </c>
      <c r="AJ51">
        <v>42</v>
      </c>
      <c r="AK51" t="str">
        <f t="shared" si="16"/>
        <v/>
      </c>
    </row>
    <row r="52" spans="3:37" hidden="1">
      <c r="C52">
        <v>140005</v>
      </c>
      <c r="D52">
        <f>IFERROR(VLOOKUP($A$4&amp;$D$4&amp;C52,BalancesAnuales1!$A$2:$E$20009,5,0)+0,0)/A6</f>
        <v>0</v>
      </c>
      <c r="E52">
        <f>IFERROR(VLOOKUP($A$4&amp;$E$4&amp;C52,BalancesAnuales1!$A$2:$E$20009,5,0)+0,0)/A6</f>
        <v>0</v>
      </c>
      <c r="F52">
        <f>IFERROR(VLOOKUP($A$4&amp;$F$4&amp;C52,BalancesAnuales1!$A$2:$E$20009,5,0)+0,0)/A6</f>
        <v>0</v>
      </c>
      <c r="G52">
        <f>IFERROR(VLOOKUP($A$4&amp;$G$4&amp;C52,BalancesMensuales1!$A$2:$E$20009,5,0)+0,0)/A6</f>
        <v>0</v>
      </c>
      <c r="H52">
        <f>IFERROR(VLOOKUP($A$4&amp;$H$4&amp;C52,BalancesMensuales1!$A$2:$E$20009,5,0)+0,0)/A6</f>
        <v>0</v>
      </c>
      <c r="AJ52">
        <v>43</v>
      </c>
      <c r="AK52" t="str">
        <f t="shared" si="16"/>
        <v/>
      </c>
    </row>
    <row r="53" spans="3:37" hidden="1">
      <c r="C53">
        <v>145500</v>
      </c>
      <c r="D53">
        <f>IFERROR(VLOOKUP($A$4&amp;$D$4&amp;C53,BalancesAnuales1!$A$2:$E$20009,5,0)+0,0)/A6</f>
        <v>0</v>
      </c>
      <c r="E53">
        <f>IFERROR(VLOOKUP($A$4&amp;$E$4&amp;C53,BalancesAnuales1!$A$2:$E$20009,5,0)+0,0)/A6</f>
        <v>0</v>
      </c>
      <c r="F53">
        <f>IFERROR(VLOOKUP($A$4&amp;$F$4&amp;C53,BalancesAnuales1!$A$2:$E$20009,5,0)+0,0)/A6</f>
        <v>0</v>
      </c>
      <c r="G53">
        <f>IFERROR(VLOOKUP($A$4&amp;$G$4&amp;C53,BalancesMensuales1!$A$2:$E$20009,5,0)+0,0)/A6</f>
        <v>0</v>
      </c>
      <c r="H53">
        <f>IFERROR(VLOOKUP($A$4&amp;$H$4&amp;C53,BalancesMensuales1!$A$2:$E$20009,5,0)+0,0)/A6</f>
        <v>0</v>
      </c>
      <c r="AA53" t="s">
        <v>108</v>
      </c>
      <c r="AB53" t="str">
        <f>IFERROR(VLOOKUP(1,$Z$371:$AC$520,3,0),"")</f>
        <v xml:space="preserve"> -  - </v>
      </c>
      <c r="AC53">
        <f>IFERROR(VLOOKUP(1,$Z$371:$AC$520,4,0)+0,"")</f>
        <v>0</v>
      </c>
      <c r="AJ53">
        <v>44</v>
      </c>
      <c r="AK53" t="str">
        <f t="shared" si="16"/>
        <v/>
      </c>
    </row>
    <row r="54" spans="3:37" hidden="1">
      <c r="C54">
        <v>146000</v>
      </c>
      <c r="D54">
        <f>IFERROR(VLOOKUP($A$4&amp;$D$4&amp;C54,BalancesAnuales1!$A$2:$E$20009,5,0)+0,0)/A6</f>
        <v>0</v>
      </c>
      <c r="E54">
        <f>IFERROR(VLOOKUP($A$4&amp;$E$4&amp;C54,BalancesAnuales1!$A$2:$E$20009,5,0)+0,0)/A6</f>
        <v>0</v>
      </c>
      <c r="F54">
        <f>IFERROR(VLOOKUP($A$4&amp;$F$4&amp;C54,BalancesAnuales1!$A$2:$E$20009,5,0)+0,0)/A6</f>
        <v>0</v>
      </c>
      <c r="G54">
        <f>IFERROR(VLOOKUP($A$4&amp;$G$4&amp;C54,BalancesMensuales1!$A$2:$E$20009,5,0)+0,0)/A6</f>
        <v>0</v>
      </c>
      <c r="H54">
        <f>IFERROR(VLOOKUP($A$4&amp;$H$4&amp;C54,BalancesMensuales1!$A$2:$E$20009,5,0)+0,0)/A6</f>
        <v>0</v>
      </c>
      <c r="AB54" t="str">
        <f>IFERROR(VLOOKUP(2,$Z$371:$AC$520,3,0),"")</f>
        <v xml:space="preserve"> -  - </v>
      </c>
      <c r="AC54">
        <f>IFERROR(VLOOKUP(2,$Z$371:$AC$520,4,0)+0,"")</f>
        <v>0</v>
      </c>
      <c r="AJ54">
        <v>45</v>
      </c>
      <c r="AK54" t="str">
        <f t="shared" si="16"/>
        <v/>
      </c>
    </row>
    <row r="55" spans="3:37" hidden="1">
      <c r="C55">
        <v>149510</v>
      </c>
      <c r="D55">
        <f>IFERROR(VLOOKUP($A$4&amp;$D$4&amp;C55,BalancesAnuales1!$A$2:$E$20009,5,0)+0,0)/A6</f>
        <v>0</v>
      </c>
      <c r="E55">
        <f>IFERROR(VLOOKUP($A$4&amp;$E$4&amp;C55,BalancesAnuales1!$A$2:$E$20009,5,0)+0,0)/A6</f>
        <v>0</v>
      </c>
      <c r="F55">
        <f>IFERROR(VLOOKUP($A$4&amp;$F$4&amp;C55,BalancesAnuales1!$A$2:$E$20009,5,0)+0,0)/A6</f>
        <v>0</v>
      </c>
      <c r="G55">
        <f>IFERROR(VLOOKUP($A$4&amp;$G$4&amp;C55,BalancesMensuales1!$A$2:$E$20009,5,0)+0,0)/A6</f>
        <v>0</v>
      </c>
      <c r="H55">
        <f>IFERROR(VLOOKUP($A$4&amp;$H$4&amp;C55,BalancesMensuales1!$A$2:$E$20009,5,0)+0,0)/A6</f>
        <v>0</v>
      </c>
      <c r="AB55" t="str">
        <f>IFERROR(VLOOKUP(3,$Z$371:$AC$520,3,0),"")</f>
        <v xml:space="preserve"> -  - </v>
      </c>
      <c r="AC55">
        <f>IFERROR(VLOOKUP(3,$Z$371:$AC$520,4,0)+0,"")</f>
        <v>0</v>
      </c>
      <c r="AJ55">
        <v>46</v>
      </c>
      <c r="AK55" t="str">
        <f t="shared" si="16"/>
        <v/>
      </c>
    </row>
    <row r="56" spans="3:37" hidden="1">
      <c r="C56">
        <v>149901</v>
      </c>
      <c r="D56">
        <f>IFERROR(VLOOKUP($A$4&amp;$D$4&amp;C56,BalancesAnuales1!$A$2:$E$20009,5,0)+0,0)/A6</f>
        <v>0</v>
      </c>
      <c r="E56">
        <f>IFERROR(VLOOKUP($A$4&amp;$E$4&amp;C56,BalancesAnuales1!$A$2:$E$20009,5,0)+0,0)/A6</f>
        <v>0</v>
      </c>
      <c r="F56">
        <f>IFERROR(VLOOKUP($A$4&amp;$F$4&amp;C56,BalancesAnuales1!$A$2:$E$20009,5,0)+0,0)/A6</f>
        <v>0</v>
      </c>
      <c r="G56">
        <f>IFERROR(VLOOKUP($A$4&amp;$G$4&amp;C56,BalancesMensuales1!$A$2:$E$20009,5,0)+0,0)/A6</f>
        <v>0</v>
      </c>
      <c r="H56">
        <f>IFERROR(VLOOKUP($A$4&amp;$H$4&amp;C56,BalancesMensuales1!$A$2:$E$20009,5,0)+0,0)/A6</f>
        <v>0</v>
      </c>
      <c r="AB56" t="str">
        <f>IFERROR(VLOOKUP(4,$Z$371:$AC$520,3,0),"")</f>
        <v xml:space="preserve"> -  - </v>
      </c>
      <c r="AC56">
        <f>IFERROR(VLOOKUP(4,$Z$371:$AC$520,4,0)+0,"")</f>
        <v>0</v>
      </c>
      <c r="AJ56">
        <v>47</v>
      </c>
      <c r="AK56" t="str">
        <f t="shared" si="16"/>
        <v/>
      </c>
    </row>
    <row r="57" spans="3:37" hidden="1">
      <c r="C57">
        <v>149902</v>
      </c>
      <c r="D57">
        <f>IFERROR(VLOOKUP($A$4&amp;$D$4&amp;C57,BalancesAnuales1!$A$2:$E$20009,5,0)+0,0)/A6</f>
        <v>0</v>
      </c>
      <c r="E57">
        <f>IFERROR(VLOOKUP($A$4&amp;$E$4&amp;C57,BalancesAnuales1!$A$2:$E$20009,5,0)+0,0)/A6</f>
        <v>0</v>
      </c>
      <c r="F57">
        <f>IFERROR(VLOOKUP($A$4&amp;$F$4&amp;C57,BalancesAnuales1!$A$2:$E$20009,5,0)+0,0)/A6</f>
        <v>0</v>
      </c>
      <c r="G57">
        <f>IFERROR(VLOOKUP($A$4&amp;$G$4&amp;C57,BalancesMensuales1!$A$2:$E$20009,5,0)+0,0)/A6</f>
        <v>0</v>
      </c>
      <c r="H57">
        <f>IFERROR(VLOOKUP($A$4&amp;$H$4&amp;C57,BalancesMensuales1!$A$2:$E$20009,5,0)+0,0)/A6</f>
        <v>0</v>
      </c>
      <c r="AJ57">
        <v>48</v>
      </c>
      <c r="AK57" t="str">
        <f t="shared" si="16"/>
        <v/>
      </c>
    </row>
    <row r="58" spans="3:37" hidden="1">
      <c r="C58">
        <v>149910</v>
      </c>
      <c r="D58">
        <f>IFERROR(VLOOKUP($A$4&amp;$D$4&amp;C58,BalancesAnuales1!$A$2:$E$20009,5,0)+0,0)/A6</f>
        <v>0</v>
      </c>
      <c r="E58">
        <f>IFERROR(VLOOKUP($A$4&amp;$E$4&amp;C58,BalancesAnuales1!$A$2:$E$20009,5,0)+0,0)/A6</f>
        <v>0</v>
      </c>
      <c r="F58">
        <f>IFERROR(VLOOKUP($A$4&amp;$F$4&amp;C58,BalancesAnuales1!$A$2:$E$20009,5,0)+0,0)/A6</f>
        <v>0</v>
      </c>
      <c r="G58">
        <f>IFERROR(VLOOKUP($A$4&amp;$G$4&amp;C58,BalancesMensuales1!$A$2:$E$20009,5,0)+0,0)/A6</f>
        <v>0</v>
      </c>
      <c r="H58">
        <f>IFERROR(VLOOKUP($A$4&amp;$H$4&amp;C58,BalancesMensuales1!$A$2:$E$20009,5,0)+0,0)/A6</f>
        <v>0</v>
      </c>
      <c r="AA58" t="s">
        <v>109</v>
      </c>
      <c r="AB58" t="str">
        <f>IFERROR(VLOOKUP(1,$Z$524:$AC$673,3,0),"")</f>
        <v xml:space="preserve"> - </v>
      </c>
      <c r="AC58">
        <f>IFERROR(VLOOKUP(1,$Z$524:$AC$673,4,0)+0,"")</f>
        <v>0</v>
      </c>
      <c r="AJ58">
        <v>49</v>
      </c>
      <c r="AK58" t="str">
        <f t="shared" si="16"/>
        <v/>
      </c>
    </row>
    <row r="59" spans="3:37" hidden="1">
      <c r="C59">
        <v>140010</v>
      </c>
      <c r="D59">
        <f>IFERROR(VLOOKUP($A$4&amp;$D$4&amp;C59,BalancesAnuales1!$A$2:$E$20009,5,0)+0,0)/A6</f>
        <v>0</v>
      </c>
      <c r="E59">
        <f>IFERROR(VLOOKUP($A$4&amp;$E$4&amp;C59,BalancesAnuales1!$A$2:$E$20009,5,0)+0,0)/A6</f>
        <v>0</v>
      </c>
      <c r="F59">
        <f>IFERROR(VLOOKUP($A$4&amp;$F$4&amp;C59,BalancesAnuales1!$A$2:$E$20009,5,0)+0,0)/A6</f>
        <v>0</v>
      </c>
      <c r="G59">
        <f>IFERROR(VLOOKUP($A$4&amp;$G$4&amp;C59,BalancesMensuales1!$A$2:$E$20009,5,0)+0,0)/A6</f>
        <v>0</v>
      </c>
      <c r="H59">
        <f>IFERROR(VLOOKUP($A$4&amp;$H$4&amp;C59,BalancesMensuales1!$A$2:$E$20009,5,0)+0,0)/A6</f>
        <v>0</v>
      </c>
      <c r="AB59" t="str">
        <f>IFERROR(VLOOKUP(2,$Z$524:$AC$673,3,0),"")</f>
        <v xml:space="preserve"> - </v>
      </c>
      <c r="AC59">
        <f>IFERROR(VLOOKUP(2,$Z$524:$AC$673,4,0)+0,"")</f>
        <v>0</v>
      </c>
      <c r="AJ59">
        <v>50</v>
      </c>
      <c r="AK59" t="str">
        <f t="shared" si="16"/>
        <v/>
      </c>
    </row>
    <row r="60" spans="3:37" hidden="1">
      <c r="C60">
        <v>170500</v>
      </c>
      <c r="D60">
        <f>IFERROR(VLOOKUP($A$4&amp;$D$4&amp;C60,BalancesAnuales1!$A$2:$E$20009,5,0)+0,0)/A6</f>
        <v>0</v>
      </c>
      <c r="E60">
        <f>IFERROR(VLOOKUP($A$4&amp;$E$4&amp;C60,BalancesAnuales1!$A$2:$E$20009,5,0)+0,0)/A6</f>
        <v>0</v>
      </c>
      <c r="F60">
        <f>IFERROR(VLOOKUP($A$4&amp;$F$4&amp;C60,BalancesAnuales1!$A$2:$E$20009,5,0)+0,0)/A6</f>
        <v>0</v>
      </c>
      <c r="G60">
        <f>IFERROR(VLOOKUP($A$4&amp;$G$4&amp;C60,BalancesMensuales1!$A$2:$E$20009,5,0)+0,0)/A6</f>
        <v>0</v>
      </c>
      <c r="H60">
        <f>IFERROR(VLOOKUP($A$4&amp;$H$4&amp;C60,BalancesMensuales1!$A$2:$E$20009,5,0)+0,0)/A6</f>
        <v>0</v>
      </c>
      <c r="AB60" t="str">
        <f>IFERROR(VLOOKUP(3,$Z$524:$AC$673,3,0),"")</f>
        <v xml:space="preserve"> - </v>
      </c>
      <c r="AC60">
        <f>IFERROR(VLOOKUP(3,$Z$524:$AC$673,4,0)+0,"")</f>
        <v>0</v>
      </c>
    </row>
    <row r="61" spans="3:37" hidden="1">
      <c r="C61">
        <v>171000</v>
      </c>
      <c r="D61">
        <f>IFERROR(VLOOKUP($A$4&amp;$D$4&amp;C61,BalancesAnuales1!$A$2:$E$20009,5,0)+0,0)/A6</f>
        <v>0</v>
      </c>
      <c r="E61">
        <f>IFERROR(VLOOKUP($A$4&amp;$E$4&amp;C61,BalancesAnuales1!$A$2:$E$20009,5,0)+0,0)/A6</f>
        <v>0</v>
      </c>
      <c r="F61">
        <f>IFERROR(VLOOKUP($A$4&amp;$F$4&amp;C61,BalancesAnuales1!$A$2:$E$20009,5,0)+0,0)/A6</f>
        <v>0</v>
      </c>
      <c r="G61">
        <f>IFERROR(VLOOKUP($A$4&amp;$G$4&amp;C61,BalancesMensuales1!$A$2:$E$20009,5,0)+0,0)/A6</f>
        <v>0</v>
      </c>
      <c r="H61">
        <f>IFERROR(VLOOKUP($A$4&amp;$H$4&amp;C61,BalancesMensuales1!$A$2:$E$20009,5,0)+0,0)/A6</f>
        <v>0</v>
      </c>
      <c r="AB61" t="str">
        <f>IFERROR(VLOOKUP(4,$Z$524:$AC$673,3,0),"")</f>
        <v xml:space="preserve"> - </v>
      </c>
      <c r="AC61">
        <f>IFERROR(VLOOKUP(4,$Z$524:$AC$673,4,0)+0,"")</f>
        <v>0</v>
      </c>
    </row>
    <row r="62" spans="3:37" hidden="1">
      <c r="C62">
        <v>173000</v>
      </c>
      <c r="D62">
        <f>IFERROR(VLOOKUP($A$4&amp;$D$4&amp;C62,BalancesAnuales1!$A$2:$E$20009,5,0)+0,0)/A6</f>
        <v>0</v>
      </c>
      <c r="E62">
        <f>IFERROR(VLOOKUP($A$4&amp;$E$4&amp;C62,BalancesAnuales1!$A$2:$E$20009,5,0)+0,0)/A6</f>
        <v>0</v>
      </c>
      <c r="F62">
        <f>IFERROR(VLOOKUP($A$4&amp;$F$4&amp;C62,BalancesAnuales1!$A$2:$E$20009,5,0)+0,0)/A6</f>
        <v>0</v>
      </c>
      <c r="G62">
        <f>IFERROR(VLOOKUP($A$4&amp;$G$4&amp;C62,BalancesMensuales1!$A$2:$E$20009,5,0)+0,0)/A6</f>
        <v>0</v>
      </c>
      <c r="H62">
        <f>IFERROR(VLOOKUP($A$4&amp;$H$4&amp;C62,BalancesMensuales1!$A$2:$E$20009,5,0)+0,0)/A6</f>
        <v>0</v>
      </c>
    </row>
    <row r="63" spans="3:37" hidden="1">
      <c r="C63">
        <v>179500</v>
      </c>
      <c r="D63">
        <f>IFERROR(VLOOKUP($A$4&amp;$D$4&amp;C63,BalancesAnuales1!$A$2:$E$20009,5,0)+0,0)/A6</f>
        <v>0</v>
      </c>
      <c r="E63">
        <f>IFERROR(VLOOKUP($A$4&amp;$E$4&amp;C63,BalancesAnuales1!$A$2:$E$20009,5,0)+0,0)/A6</f>
        <v>0</v>
      </c>
      <c r="F63">
        <f>IFERROR(VLOOKUP($A$4&amp;$F$4&amp;C63,BalancesAnuales1!$A$2:$E$20009,5,0)+0,0)/A6</f>
        <v>0</v>
      </c>
      <c r="G63">
        <f>IFERROR(VLOOKUP($A$4&amp;$G$4&amp;C63,BalancesMensuales1!$A$2:$E$20009,5,0)+0,0)/A6</f>
        <v>0</v>
      </c>
      <c r="H63">
        <f>IFERROR(VLOOKUP($A$4&amp;$H$4&amp;C63,BalancesMensuales1!$A$2:$E$20009,5,0)+0,0)/A6</f>
        <v>0</v>
      </c>
      <c r="AA63" t="s">
        <v>106</v>
      </c>
    </row>
    <row r="64" spans="3:37" hidden="1">
      <c r="C64">
        <v>179700</v>
      </c>
      <c r="D64">
        <f>IFERROR(VLOOKUP($A$4&amp;$D$4&amp;C64,BalancesAnuales1!$A$2:$E$20009,5,0)+0,0)/A6</f>
        <v>0</v>
      </c>
      <c r="E64">
        <f>IFERROR(VLOOKUP($A$4&amp;$E$4&amp;C64,BalancesAnuales1!$A$2:$E$20009,5,0)+0,0)/A6</f>
        <v>0</v>
      </c>
      <c r="F64">
        <f>IFERROR(VLOOKUP($A$4&amp;$F$4&amp;C64,BalancesAnuales1!$A$2:$E$20009,5,0)+0,0)/A6</f>
        <v>0</v>
      </c>
      <c r="G64">
        <f>IFERROR(VLOOKUP($A$4&amp;$G$4&amp;C64,BalancesMensuales1!$A$2:$E$20009,5,0)+0,0)/A6</f>
        <v>0</v>
      </c>
      <c r="H64">
        <f>IFERROR(VLOOKUP($A$4&amp;$H$4&amp;C64,BalancesMensuales1!$A$2:$E$20009,5,0)+0,0)/A6</f>
        <v>0</v>
      </c>
      <c r="AA64" t="s">
        <v>33</v>
      </c>
      <c r="AB64" t="s">
        <v>110</v>
      </c>
      <c r="AC64" t="s">
        <v>111</v>
      </c>
    </row>
    <row r="65" spans="3:29" hidden="1">
      <c r="C65">
        <v>1107</v>
      </c>
      <c r="D65">
        <f>IFERROR(VLOOKUP($A$4&amp;$D$4&amp;C65,BalancesAnuales1!$A$2:$E$20009,5,0)+0,0)/A6</f>
        <v>0</v>
      </c>
      <c r="E65">
        <f>IFERROR(VLOOKUP($A$4&amp;$E$4&amp;C65,BalancesAnuales1!$A$2:$E$20009,5,0)+0,0)/A6</f>
        <v>0</v>
      </c>
      <c r="F65">
        <f>IFERROR(VLOOKUP($A$4&amp;$F$4&amp;C65,BalancesAnuales1!$A$2:$E$20009,5,0)+0,0)/A6</f>
        <v>0</v>
      </c>
      <c r="G65">
        <f>IFERROR(VLOOKUP($A$4&amp;$G$4&amp;C65,BalancesMensuales1!$A$2:$E$20009,5,0)+0,0)/A6</f>
        <v>0</v>
      </c>
      <c r="H65">
        <f>IFERROR(VLOOKUP($A$4&amp;$H$4&amp;C65,BalancesMensuales1!$A$2:$E$20009,5,0)+0,0)/A6</f>
        <v>0</v>
      </c>
      <c r="Z65">
        <f t="shared" ref="Z65:Z96" si="17">IF(AA65=$A$4,Z64+1,0)</f>
        <v>1</v>
      </c>
      <c r="AA65">
        <f>ProductosRIB!A3</f>
        <v>0</v>
      </c>
      <c r="AB65" t="str">
        <f>PROPER(ProductosRIB!D3&amp;IF(ProductosRIB!F3="",""," - Marca: "&amp;ProductosRIB!F3))</f>
        <v/>
      </c>
      <c r="AC65">
        <f>ProductosRIB!E3</f>
        <v>0</v>
      </c>
    </row>
    <row r="66" spans="3:29" hidden="1">
      <c r="C66">
        <v>189500</v>
      </c>
      <c r="D66">
        <f>IFERROR(VLOOKUP($A$4&amp;$D$4&amp;C66,BalancesAnuales1!$A$2:$E$20009,5,0)+0,0)/A6</f>
        <v>0</v>
      </c>
      <c r="E66">
        <f>IFERROR(VLOOKUP($A$4&amp;$E$4&amp;C66,BalancesAnuales1!$A$2:$E$20009,5,0)+0,0)/A6</f>
        <v>0</v>
      </c>
      <c r="F66">
        <f>IFERROR(VLOOKUP($A$4&amp;$F$4&amp;C66,BalancesAnuales1!$A$2:$E$20009,5,0)+0,0)/A6</f>
        <v>0</v>
      </c>
      <c r="G66">
        <f>IFERROR(VLOOKUP($A$4&amp;$G$4&amp;C66,BalancesMensuales1!$A$2:$E$20009,5,0)+0,0)/A6</f>
        <v>0</v>
      </c>
      <c r="H66">
        <f>IFERROR(VLOOKUP($A$4&amp;$H$4&amp;C66,BalancesMensuales1!$A$2:$E$20009,5,0)+0,0)/A6</f>
        <v>0</v>
      </c>
      <c r="Z66">
        <f t="shared" si="17"/>
        <v>2</v>
      </c>
      <c r="AA66">
        <f>ProductosRIB!A4</f>
        <v>0</v>
      </c>
      <c r="AB66" t="str">
        <f>PROPER(ProductosRIB!D4&amp;IF(ProductosRIB!F4="",""," - Marca: "&amp;ProductosRIB!F4))</f>
        <v/>
      </c>
      <c r="AC66">
        <f>ProductosRIB!E4</f>
        <v>0</v>
      </c>
    </row>
    <row r="67" spans="3:29" hidden="1">
      <c r="C67">
        <v>181000</v>
      </c>
      <c r="D67">
        <f>IFERROR(VLOOKUP($A$4&amp;$D$4&amp;C67,BalancesAnuales1!$A$2:$E$20009,5,0)+0,0)/A6</f>
        <v>0</v>
      </c>
      <c r="E67">
        <f>IFERROR(VLOOKUP($A$4&amp;$E$4&amp;C67,BalancesAnuales1!$A$2:$E$20009,5,0)+0,0)/A6</f>
        <v>0</v>
      </c>
      <c r="F67">
        <f>IFERROR(VLOOKUP($A$4&amp;$F$4&amp;C67,BalancesAnuales1!$A$2:$E$20009,5,0)+0,0)/A6</f>
        <v>0</v>
      </c>
      <c r="G67">
        <f>IFERROR(VLOOKUP($A$4&amp;$G$4&amp;C67,BalancesMensuales1!$A$2:$E$20009,5,0)+0,0)/A6</f>
        <v>0</v>
      </c>
      <c r="H67">
        <f>IFERROR(VLOOKUP($A$4&amp;$H$4&amp;C67,BalancesMensuales1!$A$2:$E$20009,5,0)+0,0)/A6</f>
        <v>0</v>
      </c>
      <c r="Z67">
        <f t="shared" si="17"/>
        <v>3</v>
      </c>
      <c r="AA67">
        <f>ProductosRIB!A5</f>
        <v>0</v>
      </c>
      <c r="AB67" t="str">
        <f>PROPER(ProductosRIB!D5&amp;IF(ProductosRIB!F5="",""," - Marca: "&amp;ProductosRIB!F5))</f>
        <v/>
      </c>
      <c r="AC67">
        <f>ProductosRIB!E5</f>
        <v>0</v>
      </c>
    </row>
    <row r="68" spans="3:29" hidden="1">
      <c r="C68">
        <v>180000</v>
      </c>
      <c r="D68">
        <f>IFERROR(VLOOKUP($A$4&amp;$D$4&amp;C68,BalancesAnuales1!$A$2:$E$20009,5,0)+0,0)/A6</f>
        <v>0</v>
      </c>
      <c r="E68">
        <f>IFERROR(VLOOKUP($A$4&amp;$E$4&amp;C68,BalancesAnuales1!$A$2:$E$20009,5,0)+0,0)/A6</f>
        <v>0</v>
      </c>
      <c r="F68">
        <f>IFERROR(VLOOKUP($A$4&amp;$F$4&amp;C68,BalancesAnuales1!$A$2:$E$20009,5,0)+0,0)/A6</f>
        <v>0</v>
      </c>
      <c r="G68">
        <f>IFERROR(VLOOKUP($A$4&amp;$G$4&amp;C68,BalancesMensuales1!$A$2:$E$20009,5,0)+0,0)/A6</f>
        <v>0</v>
      </c>
      <c r="H68">
        <f>IFERROR(VLOOKUP($A$4&amp;$H$4&amp;C68,BalancesMensuales1!$A$2:$E$20009,5,0)+0,0)/A6</f>
        <v>0</v>
      </c>
      <c r="Z68">
        <f t="shared" si="17"/>
        <v>4</v>
      </c>
      <c r="AA68">
        <f>ProductosRIB!A6</f>
        <v>0</v>
      </c>
      <c r="AB68" t="str">
        <f>PROPER(ProductosRIB!D6&amp;IF(ProductosRIB!F6="",""," - Marca: "&amp;ProductosRIB!F6))</f>
        <v/>
      </c>
      <c r="AC68">
        <f>ProductosRIB!E6</f>
        <v>0</v>
      </c>
    </row>
    <row r="69" spans="3:29" hidden="1">
      <c r="C69">
        <v>11</v>
      </c>
      <c r="D69">
        <f>IFERROR(VLOOKUP($A$4&amp;$D$4&amp;C69,BalancesAnuales1!$A$2:$E$20009,5,0)+0,0)/A6</f>
        <v>0</v>
      </c>
      <c r="E69">
        <f>IFERROR(VLOOKUP($A$4&amp;$E$4&amp;C69,BalancesAnuales1!$A$2:$E$20009,5,0)+0,0)/A6</f>
        <v>0</v>
      </c>
      <c r="F69">
        <f>IFERROR(VLOOKUP($A$4&amp;$F$4&amp;C69,BalancesAnuales1!$A$2:$E$20009,5,0)+0,0)/A6</f>
        <v>0</v>
      </c>
      <c r="G69">
        <f>IFERROR(VLOOKUP($A$4&amp;$G$4&amp;C69,BalancesMensuales1!$A$2:$E$20009,5,0)+0,0)/A6</f>
        <v>0</v>
      </c>
      <c r="H69">
        <f>IFERROR(VLOOKUP($A$4&amp;$H$4&amp;C69,BalancesMensuales1!$A$2:$E$20009,5,0)+0,0)/A6</f>
        <v>0</v>
      </c>
      <c r="Z69">
        <f t="shared" si="17"/>
        <v>5</v>
      </c>
      <c r="AA69">
        <f>ProductosRIB!A7</f>
        <v>0</v>
      </c>
      <c r="AB69" t="str">
        <f>PROPER(ProductosRIB!D7&amp;IF(ProductosRIB!F7="",""," - Marca: "&amp;ProductosRIB!F7))</f>
        <v/>
      </c>
      <c r="AC69">
        <f>ProductosRIB!E7</f>
        <v>0</v>
      </c>
    </row>
    <row r="70" spans="3:29" hidden="1">
      <c r="C70">
        <v>120104</v>
      </c>
      <c r="D70">
        <f>IFERROR(VLOOKUP($A$4&amp;$D$4&amp;C70,BalancesAnuales1!$A$2:$E$20009,5,0)+0,0)/A6</f>
        <v>0</v>
      </c>
      <c r="E70">
        <f>IFERROR(VLOOKUP($A$4&amp;$E$4&amp;C70,BalancesAnuales1!$A$2:$E$20009,5,0)+0,0)/A6</f>
        <v>0</v>
      </c>
      <c r="F70">
        <f>IFERROR(VLOOKUP($A$4&amp;$F$4&amp;C70,BalancesAnuales1!$A$2:$E$20009,5,0)+0,0)/A6</f>
        <v>0</v>
      </c>
      <c r="G70">
        <f>IFERROR(VLOOKUP($A$4&amp;$G$4&amp;C70,BalancesMensuales1!$A$2:$E$20009,5,0)+0,0)/A6</f>
        <v>0</v>
      </c>
      <c r="H70">
        <f>IFERROR(VLOOKUP($A$4&amp;$H$4&amp;C70,BalancesMensuales1!$A$2:$E$20009,5,0)+0,0)/A6</f>
        <v>0</v>
      </c>
      <c r="Z70">
        <f t="shared" si="17"/>
        <v>6</v>
      </c>
      <c r="AA70">
        <f>ProductosRIB!A8</f>
        <v>0</v>
      </c>
      <c r="AB70" t="str">
        <f>PROPER(ProductosRIB!D8&amp;IF(ProductosRIB!F8="",""," - Marca: "&amp;ProductosRIB!F8))</f>
        <v/>
      </c>
      <c r="AC70">
        <f>ProductosRIB!E8</f>
        <v>0</v>
      </c>
    </row>
    <row r="71" spans="3:29" hidden="1">
      <c r="C71">
        <v>120108</v>
      </c>
      <c r="D71">
        <f>IFERROR(VLOOKUP($A$4&amp;$D$4&amp;C71,BalancesAnuales1!$A$2:$E$20009,5,0)+0,0)/A6</f>
        <v>0</v>
      </c>
      <c r="E71">
        <f>IFERROR(VLOOKUP($A$4&amp;$E$4&amp;C71,BalancesAnuales1!$A$2:$E$20009,5,0)+0,0)/A6</f>
        <v>0</v>
      </c>
      <c r="F71">
        <f>IFERROR(VLOOKUP($A$4&amp;$F$4&amp;C71,BalancesAnuales1!$A$2:$E$20009,5,0)+0,0)/A6</f>
        <v>0</v>
      </c>
      <c r="G71">
        <f>IFERROR(VLOOKUP($A$4&amp;$G$4&amp;C71,BalancesMensuales1!$A$2:$E$20009,5,0)+0,0)/A6</f>
        <v>0</v>
      </c>
      <c r="H71">
        <f>IFERROR(VLOOKUP($A$4&amp;$H$4&amp;C71,BalancesMensuales1!$A$2:$E$20009,5,0)+0,0)/A6</f>
        <v>0</v>
      </c>
      <c r="Z71">
        <f t="shared" si="17"/>
        <v>7</v>
      </c>
      <c r="AA71">
        <f>ProductosRIB!A9</f>
        <v>0</v>
      </c>
      <c r="AB71" t="str">
        <f>PROPER(ProductosRIB!D9&amp;IF(ProductosRIB!F9="",""," - Marca: "&amp;ProductosRIB!F9))</f>
        <v/>
      </c>
      <c r="AC71">
        <f>ProductosRIB!E9</f>
        <v>0</v>
      </c>
    </row>
    <row r="72" spans="3:29" hidden="1">
      <c r="C72">
        <v>151201</v>
      </c>
      <c r="D72">
        <f>IFERROR(VLOOKUP($A$4&amp;$D$4&amp;C72,BalancesAnuales1!$A$2:$E$20009,5,0)+0,0)/A6</f>
        <v>0</v>
      </c>
      <c r="E72">
        <f>IFERROR(VLOOKUP($A$4&amp;$E$4&amp;C72,BalancesAnuales1!$A$2:$E$20009,5,0)+0,0)/A6</f>
        <v>0</v>
      </c>
      <c r="F72">
        <f>IFERROR(VLOOKUP($A$4&amp;$F$4&amp;C72,BalancesAnuales1!$A$2:$E$20009,5,0)+0,0)/A6</f>
        <v>0</v>
      </c>
      <c r="G72">
        <f>IFERROR(VLOOKUP($A$4&amp;$G$4&amp;C72,BalancesMensuales1!$A$2:$E$20009,5,0)+0,0)/A6</f>
        <v>0</v>
      </c>
      <c r="H72">
        <f>IFERROR(VLOOKUP($A$4&amp;$H$4&amp;C72,BalancesMensuales1!$A$2:$E$20009,5,0)+0,0)/A6</f>
        <v>0</v>
      </c>
      <c r="Z72">
        <f t="shared" si="17"/>
        <v>8</v>
      </c>
      <c r="AA72">
        <f>ProductosRIB!A10</f>
        <v>0</v>
      </c>
      <c r="AB72" t="str">
        <f>PROPER(ProductosRIB!D10&amp;IF(ProductosRIB!F10="",""," - Marca: "&amp;ProductosRIB!F10))</f>
        <v/>
      </c>
      <c r="AC72">
        <f>ProductosRIB!E10</f>
        <v>0</v>
      </c>
    </row>
    <row r="73" spans="3:29" hidden="1">
      <c r="C73">
        <v>120116</v>
      </c>
      <c r="D73">
        <f>IFERROR(VLOOKUP($A$4&amp;$D$4&amp;C73,BalancesAnuales1!$A$2:$E$20009,5,0)+0,0)/A6</f>
        <v>0</v>
      </c>
      <c r="E73">
        <f>IFERROR(VLOOKUP($A$4&amp;$E$4&amp;C73,BalancesAnuales1!$A$2:$E$20009,5,0)+0,0)/A6</f>
        <v>0</v>
      </c>
      <c r="F73">
        <f>IFERROR(VLOOKUP($A$4&amp;$F$4&amp;C73,BalancesAnuales1!$A$2:$E$20009,5,0)+0,0)/A6</f>
        <v>0</v>
      </c>
      <c r="G73">
        <f>IFERROR(VLOOKUP($A$4&amp;$G$4&amp;C73,BalancesMensuales1!$A$2:$E$20009,5,0)+0,0)/A6</f>
        <v>0</v>
      </c>
      <c r="H73">
        <f>IFERROR(VLOOKUP($A$4&amp;$H$4&amp;C73,BalancesMensuales1!$A$2:$E$20009,5,0)+0,0)/A6</f>
        <v>0</v>
      </c>
      <c r="Z73">
        <f t="shared" si="17"/>
        <v>9</v>
      </c>
      <c r="AA73">
        <f>ProductosRIB!A11</f>
        <v>0</v>
      </c>
      <c r="AB73" t="str">
        <f>PROPER(ProductosRIB!D11&amp;IF(ProductosRIB!F11="",""," - Marca: "&amp;ProductosRIB!F11))</f>
        <v/>
      </c>
      <c r="AC73">
        <f>ProductosRIB!E11</f>
        <v>0</v>
      </c>
    </row>
    <row r="74" spans="3:29" hidden="1">
      <c r="C74">
        <v>120120</v>
      </c>
      <c r="D74">
        <f>IFERROR(VLOOKUP($A$4&amp;$D$4&amp;C74,BalancesAnuales1!$A$2:$E$20009,5,0)+0,0)/A6</f>
        <v>0</v>
      </c>
      <c r="E74">
        <f>IFERROR(VLOOKUP($A$4&amp;$E$4&amp;C74,BalancesAnuales1!$A$2:$E$20009,5,0)+0,0)/A6</f>
        <v>0</v>
      </c>
      <c r="F74">
        <f>IFERROR(VLOOKUP($A$4&amp;$F$4&amp;C74,BalancesAnuales1!$A$2:$E$20009,5,0)+0,0)/A6</f>
        <v>0</v>
      </c>
      <c r="G74">
        <f>IFERROR(VLOOKUP($A$4&amp;$G$4&amp;C74,BalancesMensuales1!$A$2:$E$20009,5,0)+0,0)/A6</f>
        <v>0</v>
      </c>
      <c r="H74">
        <f>IFERROR(VLOOKUP($A$4&amp;$H$4&amp;C74,BalancesMensuales1!$A$2:$E$20009,5,0)+0,0)/A6</f>
        <v>0</v>
      </c>
      <c r="Z74">
        <f t="shared" si="17"/>
        <v>10</v>
      </c>
      <c r="AA74">
        <f>ProductosRIB!A12</f>
        <v>0</v>
      </c>
      <c r="AB74" t="str">
        <f>PROPER(ProductosRIB!D12&amp;IF(ProductosRIB!F12="",""," - Marca: "&amp;ProductosRIB!F12))</f>
        <v/>
      </c>
      <c r="AC74">
        <f>ProductosRIB!E12</f>
        <v>0</v>
      </c>
    </row>
    <row r="75" spans="3:29" hidden="1">
      <c r="C75">
        <v>120124</v>
      </c>
      <c r="D75">
        <f>IFERROR(VLOOKUP($A$4&amp;$D$4&amp;C75,BalancesAnuales1!$A$2:$E$20009,5,0)+0,0)/A6</f>
        <v>0</v>
      </c>
      <c r="E75">
        <f>IFERROR(VLOOKUP($A$4&amp;$E$4&amp;C75,BalancesAnuales1!$A$2:$E$20009,5,0)+0,0)/A6</f>
        <v>0</v>
      </c>
      <c r="F75">
        <f>IFERROR(VLOOKUP($A$4&amp;$F$4&amp;C75,BalancesAnuales1!$A$2:$E$20009,5,0)+0,0)/A6</f>
        <v>0</v>
      </c>
      <c r="G75">
        <f>IFERROR(VLOOKUP($A$4&amp;$G$4&amp;C75,BalancesMensuales1!$A$2:$E$20009,5,0)+0,0)/A6</f>
        <v>0</v>
      </c>
      <c r="H75">
        <f>IFERROR(VLOOKUP($A$4&amp;$H$4&amp;C75,BalancesMensuales1!$A$2:$E$20009,5,0)+0,0)/A6</f>
        <v>0</v>
      </c>
      <c r="Z75">
        <f t="shared" si="17"/>
        <v>11</v>
      </c>
      <c r="AA75">
        <f>ProductosRIB!A13</f>
        <v>0</v>
      </c>
      <c r="AB75" t="str">
        <f>PROPER(ProductosRIB!D13&amp;IF(ProductosRIB!F13="",""," - Marca: "&amp;ProductosRIB!F13))</f>
        <v/>
      </c>
      <c r="AC75">
        <f>ProductosRIB!E13</f>
        <v>0</v>
      </c>
    </row>
    <row r="76" spans="3:29" hidden="1">
      <c r="C76">
        <v>120128</v>
      </c>
      <c r="D76">
        <f>IFERROR(VLOOKUP($A$4&amp;$D$4&amp;C76,BalancesAnuales1!$A$2:$E$20009,5,0)+0,0)/A6</f>
        <v>0</v>
      </c>
      <c r="E76">
        <f>IFERROR(VLOOKUP($A$4&amp;$E$4&amp;C76,BalancesAnuales1!$A$2:$E$20009,5,0)+0,0)/A6</f>
        <v>0</v>
      </c>
      <c r="F76">
        <f>IFERROR(VLOOKUP($A$4&amp;$F$4&amp;C76,BalancesAnuales1!$A$2:$E$20009,5,0)+0,0)/A6</f>
        <v>0</v>
      </c>
      <c r="G76">
        <f>IFERROR(VLOOKUP($A$4&amp;$G$4&amp;C76,BalancesMensuales1!$A$2:$E$20009,5,0)+0,0)/A6</f>
        <v>0</v>
      </c>
      <c r="H76">
        <f>IFERROR(VLOOKUP($A$4&amp;$H$4&amp;C76,BalancesMensuales1!$A$2:$E$20009,5,0)+0,0)/A6</f>
        <v>0</v>
      </c>
      <c r="Z76">
        <f t="shared" si="17"/>
        <v>12</v>
      </c>
      <c r="AA76">
        <f>ProductosRIB!A14</f>
        <v>0</v>
      </c>
      <c r="AB76" t="str">
        <f>PROPER(ProductosRIB!D14&amp;IF(ProductosRIB!F14="",""," - Marca: "&amp;ProductosRIB!F14))</f>
        <v/>
      </c>
      <c r="AC76">
        <f>ProductosRIB!E14</f>
        <v>0</v>
      </c>
    </row>
    <row r="77" spans="3:29" hidden="1">
      <c r="C77">
        <v>120140</v>
      </c>
      <c r="D77">
        <f>IFERROR(VLOOKUP($A$4&amp;$D$4&amp;C77,BalancesAnuales1!$A$2:$E$20009,5,0)+0,0)/A6</f>
        <v>0</v>
      </c>
      <c r="E77">
        <f>IFERROR(VLOOKUP($A$4&amp;$E$4&amp;C77,BalancesAnuales1!$A$2:$E$20009,5,0)+0,0)/A6</f>
        <v>0</v>
      </c>
      <c r="F77">
        <f>IFERROR(VLOOKUP($A$4&amp;$F$4&amp;C77,BalancesAnuales1!$A$2:$E$20009,5,0)+0,0)/A6</f>
        <v>0</v>
      </c>
      <c r="G77">
        <f>IFERROR(VLOOKUP($A$4&amp;$G$4&amp;C77,BalancesMensuales1!$A$2:$E$20009,5,0)+0,0)/A6</f>
        <v>0</v>
      </c>
      <c r="H77">
        <f>IFERROR(VLOOKUP($A$4&amp;$H$4&amp;C77,BalancesMensuales1!$A$2:$E$20009,5,0)+0,0)/A6</f>
        <v>0</v>
      </c>
      <c r="Z77">
        <f t="shared" si="17"/>
        <v>13</v>
      </c>
      <c r="AA77">
        <f>ProductosRIB!A15</f>
        <v>0</v>
      </c>
      <c r="AB77" t="str">
        <f>PROPER(ProductosRIB!D15&amp;IF(ProductosRIB!F15="",""," - Marca: "&amp;ProductosRIB!F15))</f>
        <v/>
      </c>
      <c r="AC77">
        <f>ProductosRIB!E15</f>
        <v>0</v>
      </c>
    </row>
    <row r="78" spans="3:29" hidden="1">
      <c r="C78">
        <v>155601</v>
      </c>
      <c r="D78">
        <f>IFERROR(VLOOKUP($A$4&amp;$D$4&amp;C78,BalancesAnuales1!$A$2:$E$20009,5,0)+0,0)/A6</f>
        <v>0</v>
      </c>
      <c r="E78">
        <f>IFERROR(VLOOKUP($A$4&amp;$E$4&amp;C78,BalancesAnuales1!$A$2:$E$20009,5,0)+0,0)/A6</f>
        <v>0</v>
      </c>
      <c r="F78">
        <f>IFERROR(VLOOKUP($A$4&amp;$F$4&amp;C78,BalancesAnuales1!$A$2:$E$20009,5,0)+0,0)/A6</f>
        <v>0</v>
      </c>
      <c r="G78">
        <f>IFERROR(VLOOKUP($A$4&amp;$G$4&amp;C78,BalancesMensuales1!$A$2:$E$20009,5,0)+0,0)/A6</f>
        <v>0</v>
      </c>
      <c r="H78">
        <f>IFERROR(VLOOKUP($A$4&amp;$H$4&amp;C78,BalancesMensuales1!$A$2:$E$20009,5,0)+0,0)/A6</f>
        <v>0</v>
      </c>
      <c r="Z78">
        <f t="shared" si="17"/>
        <v>14</v>
      </c>
      <c r="AA78">
        <f>ProductosRIB!A16</f>
        <v>0</v>
      </c>
      <c r="AB78" t="str">
        <f>PROPER(ProductosRIB!D16&amp;IF(ProductosRIB!F16="",""," - Marca: "&amp;ProductosRIB!F16))</f>
        <v/>
      </c>
      <c r="AC78">
        <f>ProductosRIB!E16</f>
        <v>0</v>
      </c>
    </row>
    <row r="79" spans="3:29" hidden="1">
      <c r="C79">
        <v>156001</v>
      </c>
      <c r="D79">
        <f>IFERROR(VLOOKUP($A$4&amp;$D$4&amp;C79,BalancesAnuales1!$A$2:$E$20009,5,0)+0,0)/A6</f>
        <v>0</v>
      </c>
      <c r="E79">
        <f>IFERROR(VLOOKUP($A$4&amp;$E$4&amp;C79,BalancesAnuales1!$A$2:$E$20009,5,0)+0,0)/A6</f>
        <v>0</v>
      </c>
      <c r="F79">
        <f>IFERROR(VLOOKUP($A$4&amp;$F$4&amp;C79,BalancesAnuales1!$A$2:$E$20009,5,0)+0,0)/A6</f>
        <v>0</v>
      </c>
      <c r="G79">
        <f>IFERROR(VLOOKUP($A$4&amp;$G$4&amp;C79,BalancesMensuales1!$A$2:$E$20009,5,0)+0,0)/A6</f>
        <v>0</v>
      </c>
      <c r="H79">
        <f>IFERROR(VLOOKUP($A$4&amp;$H$4&amp;C79,BalancesMensuales1!$A$2:$E$20009,5,0)+0,0)/A6</f>
        <v>0</v>
      </c>
      <c r="Z79">
        <f t="shared" si="17"/>
        <v>15</v>
      </c>
      <c r="AA79">
        <f>ProductosRIB!A17</f>
        <v>0</v>
      </c>
      <c r="AB79" t="str">
        <f>PROPER(ProductosRIB!D17&amp;IF(ProductosRIB!F17="",""," - Marca: "&amp;ProductosRIB!F17))</f>
        <v/>
      </c>
      <c r="AC79">
        <f>ProductosRIB!E17</f>
        <v>0</v>
      </c>
    </row>
    <row r="80" spans="3:29" hidden="1">
      <c r="C80">
        <v>156401</v>
      </c>
      <c r="D80">
        <f>IFERROR(VLOOKUP($A$4&amp;$D$4&amp;C80,BalancesAnuales1!$A$2:$E$20009,5,0)+0,0)/A6</f>
        <v>0</v>
      </c>
      <c r="E80">
        <f>IFERROR(VLOOKUP($A$4&amp;$E$4&amp;C80,BalancesAnuales1!$A$2:$E$20009,5,0)+0,0)/A6</f>
        <v>0</v>
      </c>
      <c r="F80">
        <f>IFERROR(VLOOKUP($A$4&amp;$F$4&amp;C80,BalancesAnuales1!$A$2:$E$20009,5,0)+0,0)/A6</f>
        <v>0</v>
      </c>
      <c r="G80">
        <f>IFERROR(VLOOKUP($A$4&amp;$G$4&amp;C80,BalancesMensuales1!$A$2:$E$20009,5,0)+0,0)/A6</f>
        <v>0</v>
      </c>
      <c r="H80">
        <f>IFERROR(VLOOKUP($A$4&amp;$H$4&amp;C80,BalancesMensuales1!$A$2:$E$20009,5,0)+0,0)/A6</f>
        <v>0</v>
      </c>
      <c r="Z80">
        <f t="shared" si="17"/>
        <v>16</v>
      </c>
      <c r="AA80">
        <f>ProductosRIB!A18</f>
        <v>0</v>
      </c>
      <c r="AB80" t="str">
        <f>PROPER(ProductosRIB!D18&amp;IF(ProductosRIB!F18="",""," - Marca: "&amp;ProductosRIB!F18))</f>
        <v/>
      </c>
      <c r="AC80">
        <f>ProductosRIB!E18</f>
        <v>0</v>
      </c>
    </row>
    <row r="81" spans="3:29" hidden="1">
      <c r="C81">
        <v>157201</v>
      </c>
      <c r="D81">
        <f>IFERROR(VLOOKUP($A$4&amp;$D$4&amp;C81,BalancesAnuales1!$A$2:$E$20009,5,0)+0,0)/A6</f>
        <v>0</v>
      </c>
      <c r="E81">
        <f>IFERROR(VLOOKUP($A$4&amp;$E$4&amp;C81,BalancesAnuales1!$A$2:$E$20009,5,0)+0,0)/A6</f>
        <v>0</v>
      </c>
      <c r="F81">
        <f>IFERROR(VLOOKUP($A$4&amp;$F$4&amp;C81,BalancesAnuales1!$A$2:$E$20009,5,0)+0,0)/A6</f>
        <v>0</v>
      </c>
      <c r="G81">
        <f>IFERROR(VLOOKUP($A$4&amp;$G$4&amp;C81,BalancesMensuales1!$A$2:$E$20009,5,0)+0,0)/A6</f>
        <v>0</v>
      </c>
      <c r="H81">
        <f>IFERROR(VLOOKUP($A$4&amp;$H$4&amp;C81,BalancesMensuales1!$A$2:$E$20009,5,0)+0,0)/A6</f>
        <v>0</v>
      </c>
      <c r="Z81">
        <f t="shared" si="17"/>
        <v>17</v>
      </c>
      <c r="AA81">
        <f>ProductosRIB!A19</f>
        <v>0</v>
      </c>
      <c r="AB81" t="str">
        <f>PROPER(ProductosRIB!D19&amp;IF(ProductosRIB!F19="",""," - Marca: "&amp;ProductosRIB!F19))</f>
        <v/>
      </c>
      <c r="AC81">
        <f>ProductosRIB!E19</f>
        <v>0</v>
      </c>
    </row>
    <row r="82" spans="3:29" hidden="1">
      <c r="C82">
        <v>157601</v>
      </c>
      <c r="D82">
        <f>IFERROR(VLOOKUP($A$4&amp;$D$4&amp;C82,BalancesAnuales1!$A$2:$E$20009,5,0)+0,0)/A6</f>
        <v>0</v>
      </c>
      <c r="E82">
        <f>IFERROR(VLOOKUP($A$4&amp;$E$4&amp;C82,BalancesAnuales1!$A$2:$E$20009,5,0)+0,0)/A6</f>
        <v>0</v>
      </c>
      <c r="F82">
        <f>IFERROR(VLOOKUP($A$4&amp;$F$4&amp;C82,BalancesAnuales1!$A$2:$E$20009,5,0)+0,0)/A6</f>
        <v>0</v>
      </c>
      <c r="G82">
        <f>IFERROR(VLOOKUP($A$4&amp;$G$4&amp;C82,BalancesMensuales1!$A$2:$E$20009,5,0)+0,0)/A6</f>
        <v>0</v>
      </c>
      <c r="H82">
        <f>IFERROR(VLOOKUP($A$4&amp;$H$4&amp;C82,BalancesMensuales1!$A$2:$E$20009,5,0)+0,0)/A6</f>
        <v>0</v>
      </c>
      <c r="Z82">
        <f t="shared" si="17"/>
        <v>18</v>
      </c>
      <c r="AA82">
        <f>ProductosRIB!A20</f>
        <v>0</v>
      </c>
      <c r="AB82" t="str">
        <f>PROPER(ProductosRIB!D20&amp;IF(ProductosRIB!F20="",""," - Marca: "&amp;ProductosRIB!F20))</f>
        <v/>
      </c>
      <c r="AC82">
        <f>ProductosRIB!E20</f>
        <v>0</v>
      </c>
    </row>
    <row r="83" spans="3:29" hidden="1">
      <c r="C83">
        <v>158401</v>
      </c>
      <c r="D83">
        <f>IFERROR(VLOOKUP($A$4&amp;$D$4&amp;C83,BalancesAnuales1!$A$2:$E$20009,5,0)+0,0)/A6</f>
        <v>0</v>
      </c>
      <c r="E83">
        <f>IFERROR(VLOOKUP($A$4&amp;$E$4&amp;C83,BalancesAnuales1!$A$2:$E$20009,5,0)+0,0)/A6</f>
        <v>0</v>
      </c>
      <c r="F83">
        <f>IFERROR(VLOOKUP($A$4&amp;$F$4&amp;C83,BalancesAnuales1!$A$2:$E$20009,5,0)+0,0)/A6</f>
        <v>0</v>
      </c>
      <c r="G83">
        <f>IFERROR(VLOOKUP($A$4&amp;$G$4&amp;C83,BalancesMensuales1!$A$2:$E$20009,5,0)+0,0)/A6</f>
        <v>0</v>
      </c>
      <c r="H83">
        <f>IFERROR(VLOOKUP($A$4&amp;$H$4&amp;C83,BalancesMensuales1!$A$2:$E$20009,5,0)+0,0)/A6</f>
        <v>0</v>
      </c>
      <c r="Z83">
        <f t="shared" si="17"/>
        <v>19</v>
      </c>
      <c r="AA83">
        <f>ProductosRIB!A21</f>
        <v>0</v>
      </c>
      <c r="AB83" t="str">
        <f>PROPER(ProductosRIB!D21&amp;IF(ProductosRIB!F21="",""," - Marca: "&amp;ProductosRIB!F21))</f>
        <v/>
      </c>
      <c r="AC83">
        <f>ProductosRIB!E21</f>
        <v>0</v>
      </c>
    </row>
    <row r="84" spans="3:29" hidden="1">
      <c r="C84">
        <v>158801</v>
      </c>
      <c r="D84">
        <f>IFERROR(VLOOKUP($A$4&amp;$D$4&amp;C84,BalancesAnuales1!$A$2:$E$20009,5,0)+0,0)/A6</f>
        <v>0</v>
      </c>
      <c r="E84">
        <f>IFERROR(VLOOKUP($A$4&amp;$E$4&amp;C84,BalancesAnuales1!$A$2:$E$20009,5,0)+0,0)/A6</f>
        <v>0</v>
      </c>
      <c r="F84">
        <f>IFERROR(VLOOKUP($A$4&amp;$F$4&amp;C84,BalancesAnuales1!$A$2:$E$20009,5,0)+0,0)/A6</f>
        <v>0</v>
      </c>
      <c r="G84">
        <f>IFERROR(VLOOKUP($A$4&amp;$G$4&amp;C84,BalancesMensuales1!$A$2:$E$20009,5,0)+0,0)/A6</f>
        <v>0</v>
      </c>
      <c r="H84">
        <f>IFERROR(VLOOKUP($A$4&amp;$H$4&amp;C84,BalancesMensuales1!$A$2:$E$20009,5,0)+0,0)/A6</f>
        <v>0</v>
      </c>
      <c r="Z84">
        <f t="shared" si="17"/>
        <v>20</v>
      </c>
      <c r="AA84">
        <f>ProductosRIB!A22</f>
        <v>0</v>
      </c>
      <c r="AB84" t="str">
        <f>PROPER(ProductosRIB!D22&amp;IF(ProductosRIB!F22="",""," - Marca: "&amp;ProductosRIB!F22))</f>
        <v/>
      </c>
      <c r="AC84">
        <f>ProductosRIB!E22</f>
        <v>0</v>
      </c>
    </row>
    <row r="85" spans="3:29" hidden="1">
      <c r="C85">
        <v>120145</v>
      </c>
      <c r="D85">
        <f>IFERROR(VLOOKUP($A$4&amp;$D$4&amp;C85,BalancesAnuales1!$A$2:$E$20009,5,0)+0,0)/A6</f>
        <v>0</v>
      </c>
      <c r="E85">
        <f>IFERROR(VLOOKUP($A$4&amp;$E$4&amp;C85,BalancesAnuales1!$A$2:$E$20009,5,0)+0,0)/A6</f>
        <v>0</v>
      </c>
      <c r="F85">
        <f>IFERROR(VLOOKUP($A$4&amp;$F$4&amp;C85,BalancesAnuales1!$A$2:$E$20009,5,0)+0,0)/A6</f>
        <v>0</v>
      </c>
      <c r="G85">
        <f>IFERROR(VLOOKUP($A$4&amp;$G$4&amp;C85,BalancesMensuales1!$A$2:$E$20009,5,0)+0,0)/A6</f>
        <v>0</v>
      </c>
      <c r="H85">
        <f>IFERROR(VLOOKUP($A$4&amp;$H$4&amp;C85,BalancesMensuales1!$A$2:$E$20009,5,0)+0,0)/A6</f>
        <v>0</v>
      </c>
      <c r="Z85">
        <f t="shared" si="17"/>
        <v>21</v>
      </c>
      <c r="AA85">
        <f>ProductosRIB!A23</f>
        <v>0</v>
      </c>
      <c r="AB85" t="str">
        <f>PROPER(ProductosRIB!D23&amp;IF(ProductosRIB!F23="",""," - Marca: "&amp;ProductosRIB!F23))</f>
        <v/>
      </c>
      <c r="AC85">
        <f>ProductosRIB!E23</f>
        <v>0</v>
      </c>
    </row>
    <row r="86" spans="3:29" hidden="1">
      <c r="C86">
        <v>120195</v>
      </c>
      <c r="D86">
        <f>IFERROR(VLOOKUP($A$4&amp;$D$4&amp;C86,BalancesAnuales1!$A$2:$E$20009,5,0)+0,0)/A6</f>
        <v>0</v>
      </c>
      <c r="E86">
        <f>IFERROR(VLOOKUP($A$4&amp;$E$4&amp;C86,BalancesAnuales1!$A$2:$E$20009,5,0)+0,0)/A6</f>
        <v>0</v>
      </c>
      <c r="F86">
        <f>IFERROR(VLOOKUP($A$4&amp;$F$4&amp;C86,BalancesAnuales1!$A$2:$E$20009,5,0)+0,0)/A6</f>
        <v>0</v>
      </c>
      <c r="G86">
        <f>IFERROR(VLOOKUP($A$4&amp;$G$4&amp;C86,BalancesMensuales1!$A$2:$E$20009,5,0)+0,0)/A6</f>
        <v>0</v>
      </c>
      <c r="H86">
        <f>IFERROR(VLOOKUP($A$4&amp;$H$4&amp;C86,BalancesMensuales1!$A$2:$E$20009,5,0)+0,0)/A6</f>
        <v>0</v>
      </c>
      <c r="Z86">
        <f t="shared" si="17"/>
        <v>22</v>
      </c>
      <c r="AA86">
        <f>ProductosRIB!A24</f>
        <v>0</v>
      </c>
      <c r="AB86" t="str">
        <f>PROPER(ProductosRIB!D24&amp;IF(ProductosRIB!F24="",""," - Marca: "&amp;ProductosRIB!F24))</f>
        <v/>
      </c>
      <c r="AC86">
        <f>ProductosRIB!E24</f>
        <v>0</v>
      </c>
    </row>
    <row r="87" spans="3:29" hidden="1">
      <c r="C87">
        <v>159701</v>
      </c>
      <c r="D87">
        <f>IFERROR(VLOOKUP($A$4&amp;$D$4&amp;C87,BalancesAnuales1!$A$2:$E$20009,5,0)+0,0)/A6</f>
        <v>0</v>
      </c>
      <c r="E87">
        <f>IFERROR(VLOOKUP($A$4&amp;$E$4&amp;C87,BalancesAnuales1!$A$2:$E$20009,5,0)+0,0)/A6</f>
        <v>0</v>
      </c>
      <c r="F87">
        <f>IFERROR(VLOOKUP($A$4&amp;$F$4&amp;C87,BalancesAnuales1!$A$2:$E$20009,5,0)+0,0)/A6</f>
        <v>0</v>
      </c>
      <c r="G87">
        <f>IFERROR(VLOOKUP($A$4&amp;$G$4&amp;C87,BalancesMensuales1!$A$2:$E$20009,5,0)+0,0)/A6</f>
        <v>0</v>
      </c>
      <c r="H87">
        <f>IFERROR(VLOOKUP($A$4&amp;$H$4&amp;C87,BalancesMensuales1!$A$2:$E$20009,5,0)+0,0)/A6</f>
        <v>0</v>
      </c>
      <c r="Z87">
        <f t="shared" si="17"/>
        <v>23</v>
      </c>
      <c r="AA87">
        <f>ProductosRIB!A25</f>
        <v>0</v>
      </c>
      <c r="AB87" t="str">
        <f>PROPER(ProductosRIB!D25&amp;IF(ProductosRIB!F25="",""," - Marca: "&amp;ProductosRIB!F25))</f>
        <v/>
      </c>
      <c r="AC87">
        <f>ProductosRIB!E25</f>
        <v>0</v>
      </c>
    </row>
    <row r="88" spans="3:29" hidden="1">
      <c r="C88">
        <v>159899</v>
      </c>
      <c r="D88">
        <f>IFERROR(VLOOKUP($A$4&amp;$D$4&amp;C88,BalancesAnuales1!$A$2:$E$20009,5,0)+0,0)/A6</f>
        <v>0</v>
      </c>
      <c r="E88">
        <f>IFERROR(VLOOKUP($A$4&amp;$E$4&amp;C88,BalancesAnuales1!$A$2:$E$20009,5,0)+0,0)/A6</f>
        <v>0</v>
      </c>
      <c r="F88">
        <f>IFERROR(VLOOKUP($A$4&amp;$F$4&amp;C88,BalancesAnuales1!$A$2:$E$20009,5,0)+0,0)/A6</f>
        <v>0</v>
      </c>
      <c r="G88">
        <f>IFERROR(VLOOKUP($A$4&amp;$G$4&amp;C88,BalancesMensuales1!$A$2:$E$20009,5,0)+0,0)/A6</f>
        <v>0</v>
      </c>
      <c r="H88">
        <f>IFERROR(VLOOKUP($A$4&amp;$H$4&amp;C88,BalancesMensuales1!$A$2:$E$20009,5,0)+0,0)/A6</f>
        <v>0</v>
      </c>
      <c r="Z88">
        <f t="shared" si="17"/>
        <v>24</v>
      </c>
      <c r="AA88">
        <f>ProductosRIB!A26</f>
        <v>0</v>
      </c>
      <c r="AB88" t="str">
        <f>PROPER(ProductosRIB!D26&amp;IF(ProductosRIB!F26="",""," - Marca: "&amp;ProductosRIB!F26))</f>
        <v/>
      </c>
      <c r="AC88">
        <f>ProductosRIB!E26</f>
        <v>0</v>
      </c>
    </row>
    <row r="89" spans="3:29" hidden="1">
      <c r="C89">
        <v>159901</v>
      </c>
      <c r="D89">
        <f>IFERROR(VLOOKUP($A$4&amp;$D$4&amp;C89,BalancesAnuales1!$A$2:$E$20009,5,0)+0,0)/A6</f>
        <v>0</v>
      </c>
      <c r="E89">
        <f>IFERROR(VLOOKUP($A$4&amp;$E$4&amp;C89,BalancesAnuales1!$A$2:$E$20009,5,0)+0,0)/A6</f>
        <v>0</v>
      </c>
      <c r="F89">
        <f>IFERROR(VLOOKUP($A$4&amp;$F$4&amp;C89,BalancesAnuales1!$A$2:$E$20009,5,0)+0,0)/A6</f>
        <v>0</v>
      </c>
      <c r="G89">
        <f>IFERROR(VLOOKUP($A$4&amp;$G$4&amp;C89,BalancesMensuales1!$A$2:$E$20009,5,0)+0,0)/A6</f>
        <v>0</v>
      </c>
      <c r="H89">
        <f>IFERROR(VLOOKUP($A$4&amp;$H$4&amp;C89,BalancesMensuales1!$A$2:$E$20009,5,0)+0,0)/A6</f>
        <v>0</v>
      </c>
      <c r="Z89">
        <f t="shared" si="17"/>
        <v>25</v>
      </c>
      <c r="AA89">
        <f>ProductosRIB!A27</f>
        <v>0</v>
      </c>
      <c r="AB89" t="str">
        <f>PROPER(ProductosRIB!D27&amp;IF(ProductosRIB!F27="",""," - Marca: "&amp;ProductosRIB!F27))</f>
        <v/>
      </c>
      <c r="AC89">
        <f>ProductosRIB!E27</f>
        <v>0</v>
      </c>
    </row>
    <row r="90" spans="3:29" hidden="1">
      <c r="C90">
        <v>1201</v>
      </c>
      <c r="D90">
        <f>IFERROR(VLOOKUP($A$4&amp;$D$4&amp;C90,BalancesAnuales1!$A$2:$E$20009,5,0)+0,0)/A6</f>
        <v>0</v>
      </c>
      <c r="E90">
        <f>IFERROR(VLOOKUP($A$4&amp;$E$4&amp;C90,BalancesAnuales1!$A$2:$E$20009,5,0)+0,0)/A6</f>
        <v>0</v>
      </c>
      <c r="F90">
        <f>IFERROR(VLOOKUP($A$4&amp;$F$4&amp;C90,BalancesAnuales1!$A$2:$E$20009,5,0)+0,0)/A6</f>
        <v>0</v>
      </c>
      <c r="G90">
        <f>IFERROR(VLOOKUP($A$4&amp;$G$4&amp;C90,BalancesMensuales1!$A$2:$E$20009,5,0)+0,0)/A6</f>
        <v>0</v>
      </c>
      <c r="H90">
        <f>IFERROR(VLOOKUP($A$4&amp;$H$4&amp;C90,BalancesMensuales1!$A$2:$E$20009,5,0)+0,0)/A6</f>
        <v>0</v>
      </c>
      <c r="Z90">
        <f t="shared" si="17"/>
        <v>26</v>
      </c>
      <c r="AA90">
        <f>ProductosRIB!A28</f>
        <v>0</v>
      </c>
      <c r="AB90" t="str">
        <f>PROPER(ProductosRIB!D28&amp;IF(ProductosRIB!F28="",""," - Marca: "&amp;ProductosRIB!F28))</f>
        <v/>
      </c>
      <c r="AC90">
        <f>ProductosRIB!E28</f>
        <v>0</v>
      </c>
    </row>
    <row r="91" spans="3:29" hidden="1">
      <c r="C91">
        <v>130506</v>
      </c>
      <c r="D91">
        <f>IFERROR(VLOOKUP($A$4&amp;$D$4&amp;C91,BalancesAnuales1!$A$2:$E$20009,5,0)+0,0)/A6</f>
        <v>0</v>
      </c>
      <c r="E91">
        <f>IFERROR(VLOOKUP($A$4&amp;$E$4&amp;C91,BalancesAnuales1!$A$2:$E$20009,5,0)+0,0)/A6</f>
        <v>0</v>
      </c>
      <c r="F91">
        <f>IFERROR(VLOOKUP($A$4&amp;$F$4&amp;C91,BalancesAnuales1!$A$2:$E$20009,5,0)+0,0)/A6</f>
        <v>0</v>
      </c>
      <c r="G91">
        <f>IFERROR(VLOOKUP($A$4&amp;$G$4&amp;C91,BalancesMensuales1!$A$2:$E$20009,5,0)+0,0)/A6</f>
        <v>0</v>
      </c>
      <c r="H91">
        <f>IFERROR(VLOOKUP($A$4&amp;$H$4&amp;C91,BalancesMensuales1!$A$2:$E$20009,5,0)+0,0)/A6</f>
        <v>0</v>
      </c>
      <c r="Z91">
        <f t="shared" si="17"/>
        <v>27</v>
      </c>
      <c r="AA91">
        <f>ProductosRIB!A29</f>
        <v>0</v>
      </c>
      <c r="AB91" t="str">
        <f>PROPER(ProductosRIB!D29&amp;IF(ProductosRIB!F29="",""," - Marca: "&amp;ProductosRIB!F29))</f>
        <v/>
      </c>
      <c r="AC91">
        <f>ProductosRIB!E29</f>
        <v>0</v>
      </c>
    </row>
    <row r="92" spans="3:29" hidden="1">
      <c r="C92">
        <v>130511</v>
      </c>
      <c r="D92">
        <f>IFERROR(VLOOKUP($A$4&amp;$D$4&amp;C92,BalancesAnuales1!$A$2:$E$20009,5,0)+0,0)/A6</f>
        <v>0</v>
      </c>
      <c r="E92">
        <f>IFERROR(VLOOKUP($A$4&amp;$E$4&amp;C92,BalancesAnuales1!$A$2:$E$20009,5,0)+0,0)/A6</f>
        <v>0</v>
      </c>
      <c r="F92">
        <f>IFERROR(VLOOKUP($A$4&amp;$F$4&amp;C92,BalancesAnuales1!$A$2:$E$20009,5,0)+0,0)/A6</f>
        <v>0</v>
      </c>
      <c r="G92">
        <f>IFERROR(VLOOKUP($A$4&amp;$G$4&amp;C92,BalancesMensuales1!$A$2:$E$20009,5,0)+0,0)/A6</f>
        <v>0</v>
      </c>
      <c r="H92">
        <f>IFERROR(VLOOKUP($A$4&amp;$H$4&amp;C92,BalancesMensuales1!$A$2:$E$20009,5,0)+0,0)/A6</f>
        <v>0</v>
      </c>
      <c r="Z92">
        <f t="shared" si="17"/>
        <v>28</v>
      </c>
      <c r="AA92">
        <f>ProductosRIB!A30</f>
        <v>0</v>
      </c>
      <c r="AB92" t="str">
        <f>PROPER(ProductosRIB!D30&amp;IF(ProductosRIB!F30="",""," - Marca: "&amp;ProductosRIB!F30))</f>
        <v/>
      </c>
      <c r="AC92">
        <f>ProductosRIB!E30</f>
        <v>0</v>
      </c>
    </row>
    <row r="93" spans="3:29" hidden="1">
      <c r="C93">
        <v>131001</v>
      </c>
      <c r="D93">
        <f>IFERROR(VLOOKUP($A$4&amp;$D$4&amp;C93,BalancesAnuales1!$A$2:$E$20009,5,0)+0,0)/A6</f>
        <v>0</v>
      </c>
      <c r="E93">
        <f>IFERROR(VLOOKUP($A$4&amp;$E$4&amp;C93,BalancesAnuales1!$A$2:$E$20009,5,0)+0,0)/A6</f>
        <v>0</v>
      </c>
      <c r="F93">
        <f>IFERROR(VLOOKUP($A$4&amp;$F$4&amp;C93,BalancesAnuales1!$A$2:$E$20009,5,0)+0,0)/A6</f>
        <v>0</v>
      </c>
      <c r="G93">
        <f>IFERROR(VLOOKUP($A$4&amp;$G$4&amp;C93,BalancesMensuales1!$A$2:$E$20009,5,0)+0,0)/A6</f>
        <v>0</v>
      </c>
      <c r="H93">
        <f>IFERROR(VLOOKUP($A$4&amp;$H$4&amp;C93,BalancesMensuales1!$A$2:$E$20009,5,0)+0,0)/A6</f>
        <v>0</v>
      </c>
      <c r="Z93">
        <f t="shared" si="17"/>
        <v>29</v>
      </c>
      <c r="AA93">
        <f>ProductosRIB!A31</f>
        <v>0</v>
      </c>
      <c r="AB93" t="str">
        <f>PROPER(ProductosRIB!D31&amp;IF(ProductosRIB!F31="",""," - Marca: "&amp;ProductosRIB!F31))</f>
        <v/>
      </c>
      <c r="AC93">
        <f>ProductosRIB!E31</f>
        <v>0</v>
      </c>
    </row>
    <row r="94" spans="3:29" hidden="1">
      <c r="C94">
        <v>131501</v>
      </c>
      <c r="D94">
        <f>IFERROR(VLOOKUP($A$4&amp;$D$4&amp;C94,BalancesAnuales1!$A$2:$E$20009,5,0)+0,0)/A6</f>
        <v>0</v>
      </c>
      <c r="E94">
        <f>IFERROR(VLOOKUP($A$4&amp;$E$4&amp;C94,BalancesAnuales1!$A$2:$E$20009,5,0)+0,0)/A6</f>
        <v>0</v>
      </c>
      <c r="F94">
        <f>IFERROR(VLOOKUP($A$4&amp;$F$4&amp;C94,BalancesAnuales1!$A$2:$E$20009,5,0)+0,0)/A6</f>
        <v>0</v>
      </c>
      <c r="G94">
        <f>IFERROR(VLOOKUP($A$4&amp;$G$4&amp;C94,BalancesMensuales1!$A$2:$E$20009,5,0)+0,0)/A6</f>
        <v>0</v>
      </c>
      <c r="H94">
        <f>IFERROR(VLOOKUP($A$4&amp;$H$4&amp;C94,BalancesMensuales1!$A$2:$E$20009,5,0)+0,0)/A6</f>
        <v>0</v>
      </c>
      <c r="Z94">
        <f t="shared" si="17"/>
        <v>30</v>
      </c>
      <c r="AA94">
        <f>ProductosRIB!A32</f>
        <v>0</v>
      </c>
      <c r="AB94" t="str">
        <f>PROPER(ProductosRIB!D32&amp;IF(ProductosRIB!F32="",""," - Marca: "&amp;ProductosRIB!F32))</f>
        <v/>
      </c>
      <c r="AC94">
        <f>ProductosRIB!E32</f>
        <v>0</v>
      </c>
    </row>
    <row r="95" spans="3:29" hidden="1">
      <c r="C95">
        <v>132001</v>
      </c>
      <c r="D95">
        <f>IFERROR(VLOOKUP($A$4&amp;$D$4&amp;C95,BalancesAnuales1!$A$2:$E$20009,5,0)+0,0)/A6</f>
        <v>0</v>
      </c>
      <c r="E95">
        <f>IFERROR(VLOOKUP($A$4&amp;$E$4&amp;C95,BalancesAnuales1!$A$2:$E$20009,5,0)+0,0)/A6</f>
        <v>0</v>
      </c>
      <c r="F95">
        <f>IFERROR(VLOOKUP($A$4&amp;$F$4&amp;C95,BalancesAnuales1!$A$2:$E$20009,5,0)+0,0)/A6</f>
        <v>0</v>
      </c>
      <c r="G95">
        <f>IFERROR(VLOOKUP($A$4&amp;$G$4&amp;C95,BalancesMensuales1!$A$2:$E$20009,5,0)+0,0)/A6</f>
        <v>0</v>
      </c>
      <c r="H95">
        <f>IFERROR(VLOOKUP($A$4&amp;$H$4&amp;C95,BalancesMensuales1!$A$2:$E$20009,5,0)+0,0)/A6</f>
        <v>0</v>
      </c>
      <c r="Z95">
        <f t="shared" si="17"/>
        <v>31</v>
      </c>
      <c r="AA95">
        <f>ProductosRIB!A33</f>
        <v>0</v>
      </c>
      <c r="AB95" t="str">
        <f>PROPER(ProductosRIB!D33&amp;IF(ProductosRIB!F33="",""," - Marca: "&amp;ProductosRIB!F33))</f>
        <v/>
      </c>
      <c r="AC95">
        <f>ProductosRIB!E33</f>
        <v>0</v>
      </c>
    </row>
    <row r="96" spans="3:29" hidden="1">
      <c r="C96">
        <v>132501</v>
      </c>
      <c r="D96">
        <f>IFERROR(VLOOKUP($A$4&amp;$D$4&amp;C96,BalancesAnuales1!$A$2:$E$20009,5,0)+0,0)/A6</f>
        <v>0</v>
      </c>
      <c r="E96">
        <f>IFERROR(VLOOKUP($A$4&amp;$E$4&amp;C96,BalancesAnuales1!$A$2:$E$20009,5,0)+0,0)/A6</f>
        <v>0</v>
      </c>
      <c r="F96">
        <f>IFERROR(VLOOKUP($A$4&amp;$F$4&amp;C96,BalancesAnuales1!$A$2:$E$20009,5,0)+0,0)/A6</f>
        <v>0</v>
      </c>
      <c r="G96">
        <f>IFERROR(VLOOKUP($A$4&amp;$G$4&amp;C96,BalancesMensuales1!$A$2:$E$20009,5,0)+0,0)/A6</f>
        <v>0</v>
      </c>
      <c r="H96">
        <f>IFERROR(VLOOKUP($A$4&amp;$H$4&amp;C96,BalancesMensuales1!$A$2:$E$20009,5,0)+0,0)/A6</f>
        <v>0</v>
      </c>
      <c r="Z96">
        <f t="shared" si="17"/>
        <v>32</v>
      </c>
      <c r="AA96">
        <f>ProductosRIB!A34</f>
        <v>0</v>
      </c>
      <c r="AB96" t="str">
        <f>PROPER(ProductosRIB!D34&amp;IF(ProductosRIB!F34="",""," - Marca: "&amp;ProductosRIB!F34))</f>
        <v/>
      </c>
      <c r="AC96">
        <f>ProductosRIB!E34</f>
        <v>0</v>
      </c>
    </row>
    <row r="97" spans="3:29" hidden="1">
      <c r="C97">
        <v>133001</v>
      </c>
      <c r="D97">
        <f>IFERROR(VLOOKUP($A$4&amp;$D$4&amp;C97,BalancesAnuales1!$A$2:$E$20009,5,0)+0,0)/A6</f>
        <v>0</v>
      </c>
      <c r="E97">
        <f>IFERROR(VLOOKUP($A$4&amp;$E$4&amp;C97,BalancesAnuales1!$A$2:$E$20009,5,0)+0,0)/A6</f>
        <v>0</v>
      </c>
      <c r="F97">
        <f>IFERROR(VLOOKUP($A$4&amp;$F$4&amp;C97,BalancesAnuales1!$A$2:$E$20009,5,0)+0,0)/A6</f>
        <v>0</v>
      </c>
      <c r="G97">
        <f>IFERROR(VLOOKUP($A$4&amp;$G$4&amp;C97,BalancesMensuales1!$A$2:$E$20009,5,0)+0,0)/A6</f>
        <v>0</v>
      </c>
      <c r="H97">
        <f>IFERROR(VLOOKUP($A$4&amp;$H$4&amp;C97,BalancesMensuales1!$A$2:$E$20009,5,0)+0,0)/A6</f>
        <v>0</v>
      </c>
      <c r="Z97">
        <f t="shared" ref="Z97:Z128" si="18">IF(AA97=$A$4,Z96+1,0)</f>
        <v>33</v>
      </c>
      <c r="AA97">
        <f>ProductosRIB!A35</f>
        <v>0</v>
      </c>
      <c r="AB97" t="str">
        <f>PROPER(ProductosRIB!D35&amp;IF(ProductosRIB!F35="",""," - Marca: "&amp;ProductosRIB!F35))</f>
        <v/>
      </c>
      <c r="AC97">
        <f>ProductosRIB!E35</f>
        <v>0</v>
      </c>
    </row>
    <row r="98" spans="3:29" hidden="1">
      <c r="C98">
        <v>133501</v>
      </c>
      <c r="D98">
        <f>IFERROR(VLOOKUP($A$4&amp;$D$4&amp;C98,BalancesAnuales1!$A$2:$E$20009,5,0)+0,0)/A6</f>
        <v>0</v>
      </c>
      <c r="E98">
        <f>IFERROR(VLOOKUP($A$4&amp;$E$4&amp;C98,BalancesAnuales1!$A$2:$E$20009,5,0)+0,0)/A6</f>
        <v>0</v>
      </c>
      <c r="F98">
        <f>IFERROR(VLOOKUP($A$4&amp;$F$4&amp;C98,BalancesAnuales1!$A$2:$E$20009,5,0)+0,0)/A6</f>
        <v>0</v>
      </c>
      <c r="G98">
        <f>IFERROR(VLOOKUP($A$4&amp;$G$4&amp;C98,BalancesMensuales1!$A$2:$E$20009,5,0)+0,0)/A6</f>
        <v>0</v>
      </c>
      <c r="H98">
        <f>IFERROR(VLOOKUP($A$4&amp;$H$4&amp;C98,BalancesMensuales1!$A$2:$E$20009,5,0)+0,0)/A6</f>
        <v>0</v>
      </c>
      <c r="Z98">
        <f t="shared" si="18"/>
        <v>34</v>
      </c>
      <c r="AA98">
        <f>ProductosRIB!A36</f>
        <v>0</v>
      </c>
      <c r="AB98" t="str">
        <f>PROPER(ProductosRIB!D36&amp;IF(ProductosRIB!F36="",""," - Marca: "&amp;ProductosRIB!F36))</f>
        <v/>
      </c>
      <c r="AC98">
        <f>ProductosRIB!E36</f>
        <v>0</v>
      </c>
    </row>
    <row r="99" spans="3:29" hidden="1">
      <c r="C99">
        <v>134001</v>
      </c>
      <c r="D99">
        <f>IFERROR(VLOOKUP($A$4&amp;$D$4&amp;C99,BalancesAnuales1!$A$2:$E$20009,5,0)+0,0)/A6</f>
        <v>0</v>
      </c>
      <c r="E99">
        <f>IFERROR(VLOOKUP($A$4&amp;$E$4&amp;C99,BalancesAnuales1!$A$2:$E$20009,5,0)+0,0)/A6</f>
        <v>0</v>
      </c>
      <c r="F99">
        <f>IFERROR(VLOOKUP($A$4&amp;$F$4&amp;C99,BalancesAnuales1!$A$2:$E$20009,5,0)+0,0)/A6</f>
        <v>0</v>
      </c>
      <c r="G99">
        <f>IFERROR(VLOOKUP($A$4&amp;$G$4&amp;C99,BalancesMensuales1!$A$2:$E$20009,5,0)+0,0)/A6</f>
        <v>0</v>
      </c>
      <c r="H99">
        <f>IFERROR(VLOOKUP($A$4&amp;$H$4&amp;C99,BalancesMensuales1!$A$2:$E$20009,5,0)+0,0)/A6</f>
        <v>0</v>
      </c>
      <c r="Z99">
        <f t="shared" si="18"/>
        <v>35</v>
      </c>
      <c r="AA99">
        <f>ProductosRIB!A37</f>
        <v>0</v>
      </c>
      <c r="AB99" t="str">
        <f>PROPER(ProductosRIB!D37&amp;IF(ProductosRIB!F37="",""," - Marca: "&amp;ProductosRIB!F37))</f>
        <v/>
      </c>
      <c r="AC99">
        <f>ProductosRIB!E37</f>
        <v>0</v>
      </c>
    </row>
    <row r="100" spans="3:29" hidden="1">
      <c r="C100">
        <v>134501</v>
      </c>
      <c r="D100">
        <f>IFERROR(VLOOKUP($A$4&amp;$D$4&amp;C100,BalancesAnuales1!$A$2:$E$20009,5,0)+0,0)/A6</f>
        <v>0</v>
      </c>
      <c r="E100">
        <f>IFERROR(VLOOKUP($A$4&amp;$E$4&amp;C100,BalancesAnuales1!$A$2:$E$20009,5,0)+0,0)/A6</f>
        <v>0</v>
      </c>
      <c r="F100">
        <f>IFERROR(VLOOKUP($A$4&amp;$F$4&amp;C100,BalancesAnuales1!$A$2:$E$20009,5,0)+0,0)/A6</f>
        <v>0</v>
      </c>
      <c r="G100">
        <f>IFERROR(VLOOKUP($A$4&amp;$G$4&amp;C100,BalancesMensuales1!$A$2:$E$20009,5,0)+0,0)/A6</f>
        <v>0</v>
      </c>
      <c r="H100">
        <f>IFERROR(VLOOKUP($A$4&amp;$H$4&amp;C100,BalancesMensuales1!$A$2:$E$20009,5,0)+0,0)/A6</f>
        <v>0</v>
      </c>
      <c r="Z100">
        <f t="shared" si="18"/>
        <v>36</v>
      </c>
      <c r="AA100">
        <f>ProductosRIB!A38</f>
        <v>0</v>
      </c>
      <c r="AB100" t="str">
        <f>PROPER(ProductosRIB!D38&amp;IF(ProductosRIB!F38="",""," - Marca: "&amp;ProductosRIB!F38))</f>
        <v/>
      </c>
      <c r="AC100">
        <f>ProductosRIB!E38</f>
        <v>0</v>
      </c>
    </row>
    <row r="101" spans="3:29" hidden="1">
      <c r="C101">
        <v>135001</v>
      </c>
      <c r="D101">
        <f>IFERROR(VLOOKUP($A$4&amp;$D$4&amp;C101,BalancesAnuales1!$A$2:$E$20009,5,0)+0,0)/A6</f>
        <v>0</v>
      </c>
      <c r="E101">
        <f>IFERROR(VLOOKUP($A$4&amp;$E$4&amp;C101,BalancesAnuales1!$A$2:$E$20009,5,0)+0,0)/A6</f>
        <v>0</v>
      </c>
      <c r="F101">
        <f>IFERROR(VLOOKUP($A$4&amp;$F$4&amp;C101,BalancesAnuales1!$A$2:$E$20009,5,0)+0,0)/A6</f>
        <v>0</v>
      </c>
      <c r="G101">
        <f>IFERROR(VLOOKUP($A$4&amp;$G$4&amp;C101,BalancesMensuales1!$A$2:$E$20009,5,0)+0,0)/A6</f>
        <v>0</v>
      </c>
      <c r="H101">
        <f>IFERROR(VLOOKUP($A$4&amp;$H$4&amp;C101,BalancesMensuales1!$A$2:$E$20009,5,0)+0,0)/A6</f>
        <v>0</v>
      </c>
      <c r="Z101">
        <f t="shared" si="18"/>
        <v>37</v>
      </c>
      <c r="AA101">
        <f>ProductosRIB!A39</f>
        <v>0</v>
      </c>
      <c r="AB101" t="str">
        <f>PROPER(ProductosRIB!D39&amp;IF(ProductosRIB!F39="",""," - Marca: "&amp;ProductosRIB!F39))</f>
        <v/>
      </c>
      <c r="AC101">
        <f>ProductosRIB!E39</f>
        <v>0</v>
      </c>
    </row>
    <row r="102" spans="3:29" hidden="1">
      <c r="C102">
        <v>135501</v>
      </c>
      <c r="D102">
        <f>IFERROR(VLOOKUP($A$4&amp;$D$4&amp;C102,BalancesAnuales1!$A$2:$E$20009,5,0)+0,0)/A6</f>
        <v>0</v>
      </c>
      <c r="E102">
        <f>IFERROR(VLOOKUP($A$4&amp;$E$4&amp;C102,BalancesAnuales1!$A$2:$E$20009,5,0)+0,0)/A6</f>
        <v>0</v>
      </c>
      <c r="F102">
        <f>IFERROR(VLOOKUP($A$4&amp;$F$4&amp;C102,BalancesAnuales1!$A$2:$E$20009,5,0)+0,0)/A6</f>
        <v>0</v>
      </c>
      <c r="G102">
        <f>IFERROR(VLOOKUP($A$4&amp;$G$4&amp;C102,BalancesMensuales1!$A$2:$E$20009,5,0)+0,0)/A6</f>
        <v>0</v>
      </c>
      <c r="H102">
        <f>IFERROR(VLOOKUP($A$4&amp;$H$4&amp;C102,BalancesMensuales1!$A$2:$E$20009,5,0)+0,0)/A6</f>
        <v>0</v>
      </c>
      <c r="Z102">
        <f t="shared" si="18"/>
        <v>38</v>
      </c>
      <c r="AA102">
        <f>ProductosRIB!A40</f>
        <v>0</v>
      </c>
      <c r="AB102" t="str">
        <f>PROPER(ProductosRIB!D40&amp;IF(ProductosRIB!F40="",""," - Marca: "&amp;ProductosRIB!F40))</f>
        <v/>
      </c>
      <c r="AC102">
        <f>ProductosRIB!E40</f>
        <v>0</v>
      </c>
    </row>
    <row r="103" spans="3:29" hidden="1">
      <c r="C103">
        <v>136001</v>
      </c>
      <c r="D103">
        <f>IFERROR(VLOOKUP($A$4&amp;$D$4&amp;C103,BalancesAnuales1!$A$2:$E$20009,5,0)+0,0)/A6</f>
        <v>0</v>
      </c>
      <c r="E103">
        <f>IFERROR(VLOOKUP($A$4&amp;$E$4&amp;C103,BalancesAnuales1!$A$2:$E$20009,5,0)+0,0)/A6</f>
        <v>0</v>
      </c>
      <c r="F103">
        <f>IFERROR(VLOOKUP($A$4&amp;$F$4&amp;C103,BalancesAnuales1!$A$2:$E$20009,5,0)+0,0)/A6</f>
        <v>0</v>
      </c>
      <c r="G103">
        <f>IFERROR(VLOOKUP($A$4&amp;$G$4&amp;C103,BalancesMensuales1!$A$2:$E$20009,5,0)+0,0)/A6</f>
        <v>0</v>
      </c>
      <c r="H103">
        <f>IFERROR(VLOOKUP($A$4&amp;$H$4&amp;C103,BalancesMensuales1!$A$2:$E$20009,5,0)+0,0)/A6</f>
        <v>0</v>
      </c>
      <c r="Z103">
        <f t="shared" si="18"/>
        <v>39</v>
      </c>
      <c r="AA103">
        <f>ProductosRIB!A41</f>
        <v>0</v>
      </c>
      <c r="AB103" t="str">
        <f>PROPER(ProductosRIB!D41&amp;IF(ProductosRIB!F41="",""," - Marca: "&amp;ProductosRIB!F41))</f>
        <v/>
      </c>
      <c r="AC103">
        <f>ProductosRIB!E41</f>
        <v>0</v>
      </c>
    </row>
    <row r="104" spans="3:29" hidden="1">
      <c r="C104">
        <v>136501</v>
      </c>
      <c r="D104">
        <f>IFERROR(VLOOKUP($A$4&amp;$D$4&amp;C104,BalancesAnuales1!$A$2:$E$20009,5,0)+0,0)/A6</f>
        <v>0</v>
      </c>
      <c r="E104">
        <f>IFERROR(VLOOKUP($A$4&amp;$E$4&amp;C104,BalancesAnuales1!$A$2:$E$20009,5,0)+0,0)/A6</f>
        <v>0</v>
      </c>
      <c r="F104">
        <f>IFERROR(VLOOKUP($A$4&amp;$F$4&amp;C104,BalancesAnuales1!$A$2:$E$20009,5,0)+0,0)/A6</f>
        <v>0</v>
      </c>
      <c r="G104">
        <f>IFERROR(VLOOKUP($A$4&amp;$G$4&amp;C104,BalancesMensuales1!$A$2:$E$20009,5,0)+0,0)/A6</f>
        <v>0</v>
      </c>
      <c r="H104">
        <f>IFERROR(VLOOKUP($A$4&amp;$H$4&amp;C104,BalancesMensuales1!$A$2:$E$20009,5,0)+0,0)/A6</f>
        <v>0</v>
      </c>
      <c r="Z104">
        <f t="shared" si="18"/>
        <v>40</v>
      </c>
      <c r="AA104">
        <f>ProductosRIB!A42</f>
        <v>0</v>
      </c>
      <c r="AB104" t="str">
        <f>PROPER(ProductosRIB!D42&amp;IF(ProductosRIB!F42="",""," - Marca: "&amp;ProductosRIB!F42))</f>
        <v/>
      </c>
      <c r="AC104">
        <f>ProductosRIB!E42</f>
        <v>0</v>
      </c>
    </row>
    <row r="105" spans="3:29" hidden="1">
      <c r="C105">
        <v>137001</v>
      </c>
      <c r="D105">
        <f>IFERROR(VLOOKUP($A$4&amp;$D$4&amp;C105,BalancesAnuales1!$A$2:$E$20009,5,0)+0,0)/A6</f>
        <v>0</v>
      </c>
      <c r="E105">
        <f>IFERROR(VLOOKUP($A$4&amp;$E$4&amp;C105,BalancesAnuales1!$A$2:$E$20009,5,0)+0,0)/A6</f>
        <v>0</v>
      </c>
      <c r="F105">
        <f>IFERROR(VLOOKUP($A$4&amp;$F$4&amp;C105,BalancesAnuales1!$A$2:$E$20009,5,0)+0,0)/A6</f>
        <v>0</v>
      </c>
      <c r="G105">
        <f>IFERROR(VLOOKUP($A$4&amp;$G$4&amp;C105,BalancesMensuales1!$A$2:$E$20009,5,0)+0,0)/A6</f>
        <v>0</v>
      </c>
      <c r="H105">
        <f>IFERROR(VLOOKUP($A$4&amp;$H$4&amp;C105,BalancesMensuales1!$A$2:$E$20009,5,0)+0,0)/A6</f>
        <v>0</v>
      </c>
      <c r="Z105">
        <f t="shared" si="18"/>
        <v>41</v>
      </c>
      <c r="AA105">
        <f>ProductosRIB!A43</f>
        <v>0</v>
      </c>
      <c r="AB105" t="str">
        <f>PROPER(ProductosRIB!D43&amp;IF(ProductosRIB!F43="",""," - Marca: "&amp;ProductosRIB!F43))</f>
        <v/>
      </c>
      <c r="AC105">
        <f>ProductosRIB!E43</f>
        <v>0</v>
      </c>
    </row>
    <row r="106" spans="3:29" hidden="1">
      <c r="C106">
        <v>138001</v>
      </c>
      <c r="D106">
        <f>IFERROR(VLOOKUP($A$4&amp;$D$4&amp;C106,BalancesAnuales1!$A$2:$E$20009,5,0)+0,0)/A6</f>
        <v>0</v>
      </c>
      <c r="E106">
        <f>IFERROR(VLOOKUP($A$4&amp;$E$4&amp;C106,BalancesAnuales1!$A$2:$E$20009,5,0)+0,0)/A6</f>
        <v>0</v>
      </c>
      <c r="F106">
        <f>IFERROR(VLOOKUP($A$4&amp;$F$4&amp;C106,BalancesAnuales1!$A$2:$E$20009,5,0)+0,0)/A6</f>
        <v>0</v>
      </c>
      <c r="G106">
        <f>IFERROR(VLOOKUP($A$4&amp;$G$4&amp;C106,BalancesMensuales1!$A$2:$E$20009,5,0)+0,0)/A6</f>
        <v>0</v>
      </c>
      <c r="H106">
        <f>IFERROR(VLOOKUP($A$4&amp;$H$4&amp;C106,BalancesMensuales1!$A$2:$E$20009,5,0)+0,0)/A6</f>
        <v>0</v>
      </c>
      <c r="Z106">
        <f t="shared" si="18"/>
        <v>42</v>
      </c>
      <c r="AA106">
        <f>ProductosRIB!A44</f>
        <v>0</v>
      </c>
      <c r="AB106" t="str">
        <f>PROPER(ProductosRIB!D44&amp;IF(ProductosRIB!F44="",""," - Marca: "&amp;ProductosRIB!F44))</f>
        <v/>
      </c>
      <c r="AC106">
        <f>ProductosRIB!E44</f>
        <v>0</v>
      </c>
    </row>
    <row r="107" spans="3:29" hidden="1">
      <c r="C107">
        <v>138501</v>
      </c>
      <c r="D107">
        <f>IFERROR(VLOOKUP($A$4&amp;$D$4&amp;C107,BalancesAnuales1!$A$2:$E$20009,5,0)+0,0)/A6</f>
        <v>0</v>
      </c>
      <c r="E107">
        <f>IFERROR(VLOOKUP($A$4&amp;$E$4&amp;C107,BalancesAnuales1!$A$2:$E$20009,5,0)+0,0)/A6</f>
        <v>0</v>
      </c>
      <c r="F107">
        <f>IFERROR(VLOOKUP($A$4&amp;$F$4&amp;C107,BalancesAnuales1!$A$2:$E$20009,5,0)+0,0)/A6</f>
        <v>0</v>
      </c>
      <c r="G107">
        <f>IFERROR(VLOOKUP($A$4&amp;$G$4&amp;C107,BalancesMensuales1!$A$2:$E$20009,5,0)+0,0)/A6</f>
        <v>0</v>
      </c>
      <c r="H107">
        <f>IFERROR(VLOOKUP($A$4&amp;$H$4&amp;C107,BalancesMensuales1!$A$2:$E$20009,5,0)+0,0)/A6</f>
        <v>0</v>
      </c>
      <c r="Z107">
        <f t="shared" si="18"/>
        <v>43</v>
      </c>
      <c r="AA107">
        <f>ProductosRIB!A45</f>
        <v>0</v>
      </c>
      <c r="AB107" t="str">
        <f>PROPER(ProductosRIB!D45&amp;IF(ProductosRIB!F45="",""," - Marca: "&amp;ProductosRIB!F45))</f>
        <v/>
      </c>
      <c r="AC107">
        <f>ProductosRIB!E45</f>
        <v>0</v>
      </c>
    </row>
    <row r="108" spans="3:29" hidden="1">
      <c r="C108">
        <v>139001</v>
      </c>
      <c r="D108">
        <f>IFERROR(VLOOKUP($A$4&amp;$D$4&amp;C108,BalancesAnuales1!$A$2:$E$20009,5,0)+0,0)/A6</f>
        <v>0</v>
      </c>
      <c r="E108">
        <f>IFERROR(VLOOKUP($A$4&amp;$E$4&amp;C108,BalancesAnuales1!$A$2:$E$20009,5,0)+0,0)/A6</f>
        <v>0</v>
      </c>
      <c r="F108">
        <f>IFERROR(VLOOKUP($A$4&amp;$F$4&amp;C108,BalancesAnuales1!$A$2:$E$20009,5,0)+0,0)/A6</f>
        <v>0</v>
      </c>
      <c r="G108">
        <f>IFERROR(VLOOKUP($A$4&amp;$G$4&amp;C108,BalancesMensuales1!$A$2:$E$20009,5,0)+0,0)/A6</f>
        <v>0</v>
      </c>
      <c r="H108">
        <f>IFERROR(VLOOKUP($A$4&amp;$H$4&amp;C108,BalancesMensuales1!$A$2:$E$20009,5,0)+0,0)/A6</f>
        <v>0</v>
      </c>
      <c r="Z108">
        <f t="shared" si="18"/>
        <v>44</v>
      </c>
      <c r="AA108">
        <f>ProductosRIB!A46</f>
        <v>0</v>
      </c>
      <c r="AB108" t="str">
        <f>PROPER(ProductosRIB!D46&amp;IF(ProductosRIB!F46="",""," - Marca: "&amp;ProductosRIB!F46))</f>
        <v/>
      </c>
      <c r="AC108">
        <f>ProductosRIB!E46</f>
        <v>0</v>
      </c>
    </row>
    <row r="109" spans="3:29" hidden="1">
      <c r="C109">
        <v>139901</v>
      </c>
      <c r="D109">
        <f>IFERROR(VLOOKUP($A$4&amp;$D$4&amp;C109,BalancesAnuales1!$A$2:$E$20009,5,0)+0,0)/A6</f>
        <v>0</v>
      </c>
      <c r="E109">
        <f>IFERROR(VLOOKUP($A$4&amp;$E$4&amp;C109,BalancesAnuales1!$A$2:$E$20009,5,0)+0,0)/A6</f>
        <v>0</v>
      </c>
      <c r="F109">
        <f>IFERROR(VLOOKUP($A$4&amp;$F$4&amp;C109,BalancesAnuales1!$A$2:$E$20009,5,0)+0,0)/A6</f>
        <v>0</v>
      </c>
      <c r="G109">
        <f>IFERROR(VLOOKUP($A$4&amp;$G$4&amp;C109,BalancesMensuales1!$A$2:$E$20009,5,0)+0,0)/A6</f>
        <v>0</v>
      </c>
      <c r="H109">
        <f>IFERROR(VLOOKUP($A$4&amp;$H$4&amp;C109,BalancesMensuales1!$A$2:$E$20009,5,0)+0,0)/A6</f>
        <v>0</v>
      </c>
      <c r="Z109">
        <f t="shared" si="18"/>
        <v>45</v>
      </c>
      <c r="AA109">
        <f>ProductosRIB!A47</f>
        <v>0</v>
      </c>
      <c r="AB109" t="str">
        <f>PROPER(ProductosRIB!D47&amp;IF(ProductosRIB!F47="",""," - Marca: "&amp;ProductosRIB!F47))</f>
        <v/>
      </c>
      <c r="AC109">
        <f>ProductosRIB!E47</f>
        <v>0</v>
      </c>
    </row>
    <row r="110" spans="3:29" hidden="1">
      <c r="C110">
        <v>1205</v>
      </c>
      <c r="D110">
        <f>IFERROR(VLOOKUP($A$4&amp;$D$4&amp;C110,BalancesAnuales1!$A$2:$E$20009,5,0)+0,0)/A6</f>
        <v>0</v>
      </c>
      <c r="E110">
        <f>IFERROR(VLOOKUP($A$4&amp;$E$4&amp;C110,BalancesAnuales1!$A$2:$E$20009,5,0)+0,0)/A6</f>
        <v>0</v>
      </c>
      <c r="F110">
        <f>IFERROR(VLOOKUP($A$4&amp;$F$4&amp;C110,BalancesAnuales1!$A$2:$E$20009,5,0)+0,0)/A6</f>
        <v>0</v>
      </c>
      <c r="G110">
        <f>IFERROR(VLOOKUP($A$4&amp;$G$4&amp;C110,BalancesMensuales1!$A$2:$E$20009,5,0)+0,0)/A6</f>
        <v>0</v>
      </c>
      <c r="H110">
        <f>IFERROR(VLOOKUP($A$4&amp;$H$4&amp;C110,BalancesMensuales1!$A$2:$E$20009,5,0)+0,0)/A6</f>
        <v>0</v>
      </c>
      <c r="Z110">
        <f t="shared" si="18"/>
        <v>46</v>
      </c>
      <c r="AA110">
        <f>ProductosRIB!A48</f>
        <v>0</v>
      </c>
      <c r="AB110" t="str">
        <f>PROPER(ProductosRIB!D48&amp;IF(ProductosRIB!F48="",""," - Marca: "&amp;ProductosRIB!F48))</f>
        <v/>
      </c>
      <c r="AC110">
        <f>ProductosRIB!E48</f>
        <v>0</v>
      </c>
    </row>
    <row r="111" spans="3:29" hidden="1">
      <c r="C111">
        <v>120501</v>
      </c>
      <c r="D111">
        <f>IFERROR(VLOOKUP($A$4&amp;$D$4&amp;C111,BalancesAnuales1!$A$2:$E$20009,5,0)+0,0)/A6</f>
        <v>0</v>
      </c>
      <c r="E111">
        <f>IFERROR(VLOOKUP($A$4&amp;$E$4&amp;C111,BalancesAnuales1!$A$2:$E$20009,5,0)+0,0)/A6</f>
        <v>0</v>
      </c>
      <c r="F111">
        <f>IFERROR(VLOOKUP($A$4&amp;$F$4&amp;C111,BalancesAnuales1!$A$2:$E$20009,5,0)+0,0)/A6</f>
        <v>0</v>
      </c>
      <c r="G111">
        <f>IFERROR(VLOOKUP($A$4&amp;$G$4&amp;C111,BalancesMensuales1!$A$2:$E$20009,5,0)+0,0)/A6</f>
        <v>0</v>
      </c>
      <c r="H111">
        <f>IFERROR(VLOOKUP($A$4&amp;$H$4&amp;C111,BalancesMensuales1!$A$2:$E$20009,5,0)+0,0)/A6</f>
        <v>0</v>
      </c>
      <c r="Z111">
        <f t="shared" si="18"/>
        <v>47</v>
      </c>
      <c r="AA111">
        <f>ProductosRIB!A49</f>
        <v>0</v>
      </c>
      <c r="AB111" t="str">
        <f>PROPER(ProductosRIB!D49&amp;IF(ProductosRIB!F49="",""," - Marca: "&amp;ProductosRIB!F49))</f>
        <v/>
      </c>
      <c r="AC111">
        <f>ProductosRIB!E49</f>
        <v>0</v>
      </c>
    </row>
    <row r="112" spans="3:29" hidden="1">
      <c r="C112">
        <v>121001</v>
      </c>
      <c r="D112">
        <f>IFERROR(VLOOKUP($A$4&amp;$D$4&amp;C112,BalancesAnuales1!$A$2:$E$20009,5,0)+0,0)/A6</f>
        <v>0</v>
      </c>
      <c r="E112">
        <f>IFERROR(VLOOKUP($A$4&amp;$E$4&amp;C112,BalancesAnuales1!$A$2:$E$20009,5,0)+0,0)/A6</f>
        <v>0</v>
      </c>
      <c r="F112">
        <f>IFERROR(VLOOKUP($A$4&amp;$F$4&amp;C112,BalancesAnuales1!$A$2:$E$20009,5,0)+0,0)/A6</f>
        <v>0</v>
      </c>
      <c r="G112">
        <f>IFERROR(VLOOKUP($A$4&amp;$G$4&amp;C112,BalancesMensuales1!$A$2:$E$20009,5,0)+0,0)/A6</f>
        <v>0</v>
      </c>
      <c r="H112">
        <f>IFERROR(VLOOKUP($A$4&amp;$H$4&amp;C112,BalancesMensuales1!$A$2:$E$20009,5,0)+0,0)/A6</f>
        <v>0</v>
      </c>
      <c r="Z112">
        <f t="shared" si="18"/>
        <v>48</v>
      </c>
      <c r="AA112">
        <f>ProductosRIB!A50</f>
        <v>0</v>
      </c>
      <c r="AB112" t="str">
        <f>PROPER(ProductosRIB!D50&amp;IF(ProductosRIB!F50="",""," - Marca: "&amp;ProductosRIB!F50))</f>
        <v/>
      </c>
      <c r="AC112">
        <f>ProductosRIB!E50</f>
        <v>0</v>
      </c>
    </row>
    <row r="113" spans="3:29" hidden="1">
      <c r="C113">
        <v>121501</v>
      </c>
      <c r="D113">
        <f>IFERROR(VLOOKUP($A$4&amp;$D$4&amp;C113,BalancesAnuales1!$A$2:$E$20009,5,0)+0,0)/A6</f>
        <v>0</v>
      </c>
      <c r="E113">
        <f>IFERROR(VLOOKUP($A$4&amp;$E$4&amp;C113,BalancesAnuales1!$A$2:$E$20009,5,0)+0,0)/A6</f>
        <v>0</v>
      </c>
      <c r="F113">
        <f>IFERROR(VLOOKUP($A$4&amp;$F$4&amp;C113,BalancesAnuales1!$A$2:$E$20009,5,0)+0,0)/A6</f>
        <v>0</v>
      </c>
      <c r="G113">
        <f>IFERROR(VLOOKUP($A$4&amp;$G$4&amp;C113,BalancesMensuales1!$A$2:$E$20009,5,0)+0,0)/A6</f>
        <v>0</v>
      </c>
      <c r="H113">
        <f>IFERROR(VLOOKUP($A$4&amp;$H$4&amp;C113,BalancesMensuales1!$A$2:$E$20009,5,0)+0,0)/A6</f>
        <v>0</v>
      </c>
      <c r="Z113">
        <f t="shared" si="18"/>
        <v>49</v>
      </c>
      <c r="AA113">
        <f>ProductosRIB!A51</f>
        <v>0</v>
      </c>
      <c r="AB113" t="str">
        <f>PROPER(ProductosRIB!D51&amp;IF(ProductosRIB!F51="",""," - Marca: "&amp;ProductosRIB!F51))</f>
        <v/>
      </c>
      <c r="AC113">
        <f>ProductosRIB!E51</f>
        <v>0</v>
      </c>
    </row>
    <row r="114" spans="3:29" hidden="1">
      <c r="C114">
        <v>123501</v>
      </c>
      <c r="D114">
        <f>IFERROR(VLOOKUP($A$4&amp;$D$4&amp;C114,BalancesAnuales1!$A$2:$E$20009,5,0)+0,0)/A6</f>
        <v>0</v>
      </c>
      <c r="E114">
        <f>IFERROR(VLOOKUP($A$4&amp;$E$4&amp;C114,BalancesAnuales1!$A$2:$E$20009,5,0)+0,0)/A6</f>
        <v>0</v>
      </c>
      <c r="F114">
        <f>IFERROR(VLOOKUP($A$4&amp;$F$4&amp;C114,BalancesAnuales1!$A$2:$E$20009,5,0)+0,0)/A6</f>
        <v>0</v>
      </c>
      <c r="G114">
        <f>IFERROR(VLOOKUP($A$4&amp;$G$4&amp;C114,BalancesMensuales1!$A$2:$E$20009,5,0)+0,0)/A6</f>
        <v>0</v>
      </c>
      <c r="H114">
        <f>IFERROR(VLOOKUP($A$4&amp;$H$4&amp;C114,BalancesMensuales1!$A$2:$E$20009,5,0)+0,0)/A6</f>
        <v>0</v>
      </c>
      <c r="Z114">
        <f t="shared" si="18"/>
        <v>50</v>
      </c>
      <c r="AA114">
        <f>ProductosRIB!A52</f>
        <v>0</v>
      </c>
      <c r="AB114" t="str">
        <f>PROPER(ProductosRIB!D52&amp;IF(ProductosRIB!F52="",""," - Marca: "&amp;ProductosRIB!F52))</f>
        <v/>
      </c>
      <c r="AC114">
        <f>ProductosRIB!E52</f>
        <v>0</v>
      </c>
    </row>
    <row r="115" spans="3:29" hidden="1">
      <c r="C115">
        <v>125501</v>
      </c>
      <c r="D115">
        <f>IFERROR(VLOOKUP($A$4&amp;$D$4&amp;C115,BalancesAnuales1!$A$2:$E$20009,5,0)+0,0)/A6</f>
        <v>0</v>
      </c>
      <c r="E115">
        <f>IFERROR(VLOOKUP($A$4&amp;$E$4&amp;C115,BalancesAnuales1!$A$2:$E$20009,5,0)+0,0)/A6</f>
        <v>0</v>
      </c>
      <c r="F115">
        <f>IFERROR(VLOOKUP($A$4&amp;$F$4&amp;C115,BalancesAnuales1!$A$2:$E$20009,5,0)+0,0)/A6</f>
        <v>0</v>
      </c>
      <c r="G115">
        <f>IFERROR(VLOOKUP($A$4&amp;$G$4&amp;C115,BalancesMensuales1!$A$2:$E$20009,5,0)+0,0)/A6</f>
        <v>0</v>
      </c>
      <c r="H115">
        <f>IFERROR(VLOOKUP($A$4&amp;$H$4&amp;C115,BalancesMensuales1!$A$2:$E$20009,5,0)+0,0)/A6</f>
        <v>0</v>
      </c>
      <c r="Z115">
        <f t="shared" si="18"/>
        <v>51</v>
      </c>
      <c r="AA115">
        <f>ProductosRIB!A53</f>
        <v>0</v>
      </c>
      <c r="AB115" t="str">
        <f>PROPER(ProductosRIB!D53&amp;IF(ProductosRIB!F53="",""," - Marca: "&amp;ProductosRIB!F53))</f>
        <v/>
      </c>
      <c r="AC115">
        <f>ProductosRIB!E53</f>
        <v>0</v>
      </c>
    </row>
    <row r="116" spans="3:29" hidden="1">
      <c r="C116">
        <v>126001</v>
      </c>
      <c r="D116">
        <f>IFERROR(VLOOKUP($A$4&amp;$D$4&amp;C116,BalancesAnuales1!$A$2:$E$20009,5,0)+0,0)/A6</f>
        <v>0</v>
      </c>
      <c r="E116">
        <f>IFERROR(VLOOKUP($A$4&amp;$E$4&amp;C116,BalancesAnuales1!$A$2:$E$20009,5,0)+0,0)/A6</f>
        <v>0</v>
      </c>
      <c r="F116">
        <f>IFERROR(VLOOKUP($A$4&amp;$F$4&amp;C116,BalancesAnuales1!$A$2:$E$20009,5,0)+0,0)/A6</f>
        <v>0</v>
      </c>
      <c r="G116">
        <f>IFERROR(VLOOKUP($A$4&amp;$G$4&amp;C116,BalancesMensuales1!$A$2:$E$20009,5,0)+0,0)/A6</f>
        <v>0</v>
      </c>
      <c r="H116">
        <f>IFERROR(VLOOKUP($A$4&amp;$H$4&amp;C116,BalancesMensuales1!$A$2:$E$20009,5,0)+0,0)/A6</f>
        <v>0</v>
      </c>
      <c r="Z116">
        <f t="shared" si="18"/>
        <v>52</v>
      </c>
      <c r="AA116">
        <f>ProductosRIB!A54</f>
        <v>0</v>
      </c>
      <c r="AB116" t="str">
        <f>PROPER(ProductosRIB!D54&amp;IF(ProductosRIB!F54="",""," - Marca: "&amp;ProductosRIB!F54))</f>
        <v/>
      </c>
      <c r="AC116">
        <f>ProductosRIB!E54</f>
        <v>0</v>
      </c>
    </row>
    <row r="117" spans="3:29" hidden="1">
      <c r="C117">
        <v>129501</v>
      </c>
      <c r="D117">
        <f>IFERROR(VLOOKUP($A$4&amp;$D$4&amp;C117,BalancesAnuales1!$A$2:$E$20009,5,0)+0,0)/A6</f>
        <v>0</v>
      </c>
      <c r="E117">
        <f>IFERROR(VLOOKUP($A$4&amp;$E$4&amp;C117,BalancesAnuales1!$A$2:$E$20009,5,0)+0,0)/A6</f>
        <v>0</v>
      </c>
      <c r="F117">
        <f>IFERROR(VLOOKUP($A$4&amp;$F$4&amp;C117,BalancesAnuales1!$A$2:$E$20009,5,0)+0,0)/A6</f>
        <v>0</v>
      </c>
      <c r="G117">
        <f>IFERROR(VLOOKUP($A$4&amp;$G$4&amp;C117,BalancesMensuales1!$A$2:$E$20009,5,0)+0,0)/A6</f>
        <v>0</v>
      </c>
      <c r="H117">
        <f>IFERROR(VLOOKUP($A$4&amp;$H$4&amp;C117,BalancesMensuales1!$A$2:$E$20009,5,0)+0,0)/A6</f>
        <v>0</v>
      </c>
      <c r="Z117">
        <f t="shared" si="18"/>
        <v>53</v>
      </c>
      <c r="AA117">
        <f>ProductosRIB!A55</f>
        <v>0</v>
      </c>
      <c r="AB117" t="str">
        <f>PROPER(ProductosRIB!D55&amp;IF(ProductosRIB!F55="",""," - Marca: "&amp;ProductosRIB!F55))</f>
        <v/>
      </c>
      <c r="AC117">
        <f>ProductosRIB!E55</f>
        <v>0</v>
      </c>
    </row>
    <row r="118" spans="3:29" hidden="1">
      <c r="C118">
        <v>129701</v>
      </c>
      <c r="D118">
        <f>IFERROR(VLOOKUP($A$4&amp;$D$4&amp;C118,BalancesAnuales1!$A$2:$E$20009,5,0)+0,0)/A6</f>
        <v>0</v>
      </c>
      <c r="E118">
        <f>IFERROR(VLOOKUP($A$4&amp;$E$4&amp;C118,BalancesAnuales1!$A$2:$E$20009,5,0)+0,0)/A6</f>
        <v>0</v>
      </c>
      <c r="F118">
        <f>IFERROR(VLOOKUP($A$4&amp;$F$4&amp;C118,BalancesAnuales1!$A$2:$E$20009,5,0)+0,0)/A6</f>
        <v>0</v>
      </c>
      <c r="G118">
        <f>IFERROR(VLOOKUP($A$4&amp;$G$4&amp;C118,BalancesMensuales1!$A$2:$E$20009,5,0)+0,0)/A6</f>
        <v>0</v>
      </c>
      <c r="H118">
        <f>IFERROR(VLOOKUP($A$4&amp;$H$4&amp;C118,BalancesMensuales1!$A$2:$E$20009,5,0)+0,0)/A6</f>
        <v>0</v>
      </c>
      <c r="Z118">
        <f t="shared" si="18"/>
        <v>54</v>
      </c>
      <c r="AA118">
        <f>ProductosRIB!A56</f>
        <v>0</v>
      </c>
      <c r="AB118" t="str">
        <f>PROPER(ProductosRIB!D56&amp;IF(ProductosRIB!F56="",""," - Marca: "&amp;ProductosRIB!F56))</f>
        <v/>
      </c>
      <c r="AC118">
        <f>ProductosRIB!E56</f>
        <v>0</v>
      </c>
    </row>
    <row r="119" spans="3:29" hidden="1">
      <c r="C119">
        <v>129901</v>
      </c>
      <c r="D119">
        <f>IFERROR(VLOOKUP($A$4&amp;$D$4&amp;C119,BalancesAnuales1!$A$2:$E$20009,5,0)+0,0)/A6</f>
        <v>0</v>
      </c>
      <c r="E119">
        <f>IFERROR(VLOOKUP($A$4&amp;$E$4&amp;C119,BalancesAnuales1!$A$2:$E$20009,5,0)+0,0)/A6</f>
        <v>0</v>
      </c>
      <c r="F119">
        <f>IFERROR(VLOOKUP($A$4&amp;$F$4&amp;C119,BalancesAnuales1!$A$2:$E$20009,5,0)+0,0)/A6</f>
        <v>0</v>
      </c>
      <c r="G119">
        <f>IFERROR(VLOOKUP($A$4&amp;$G$4&amp;C119,BalancesMensuales1!$A$2:$E$20009,5,0)+0,0)/A6</f>
        <v>0</v>
      </c>
      <c r="H119">
        <f>IFERROR(VLOOKUP($A$4&amp;$H$4&amp;C119,BalancesMensuales1!$A$2:$E$20009,5,0)+0,0)/A6</f>
        <v>0</v>
      </c>
      <c r="Z119">
        <f t="shared" si="18"/>
        <v>55</v>
      </c>
      <c r="AA119">
        <f>ProductosRIB!A57</f>
        <v>0</v>
      </c>
      <c r="AB119" t="str">
        <f>PROPER(ProductosRIB!D57&amp;IF(ProductosRIB!F57="",""," - Marca: "&amp;ProductosRIB!F57))</f>
        <v/>
      </c>
      <c r="AC119">
        <f>ProductosRIB!E57</f>
        <v>0</v>
      </c>
    </row>
    <row r="120" spans="3:29" hidden="1">
      <c r="C120">
        <v>1203</v>
      </c>
      <c r="D120">
        <f>IFERROR(VLOOKUP($A$4&amp;$D$4&amp;C120,BalancesAnuales1!$A$2:$E$20009,5,0)+0,0)/A6</f>
        <v>0</v>
      </c>
      <c r="E120">
        <f>IFERROR(VLOOKUP($A$4&amp;$E$4&amp;C120,BalancesAnuales1!$A$2:$E$20009,5,0)+0,0)/A6</f>
        <v>0</v>
      </c>
      <c r="F120">
        <f>IFERROR(VLOOKUP($A$4&amp;$F$4&amp;C120,BalancesAnuales1!$A$2:$E$20009,5,0)+0,0)/A6</f>
        <v>0</v>
      </c>
      <c r="G120">
        <f>IFERROR(VLOOKUP($A$4&amp;$G$4&amp;C120,BalancesMensuales1!$A$2:$E$20009,5,0)+0,0)/A6</f>
        <v>0</v>
      </c>
      <c r="H120">
        <f>IFERROR(VLOOKUP($A$4&amp;$H$4&amp;C120,BalancesMensuales1!$A$2:$E$20009,5,0)+0,0)/A6</f>
        <v>0</v>
      </c>
      <c r="Z120">
        <f t="shared" si="18"/>
        <v>56</v>
      </c>
      <c r="AA120">
        <f>ProductosRIB!A58</f>
        <v>0</v>
      </c>
      <c r="AB120" t="str">
        <f>PROPER(ProductosRIB!D58&amp;IF(ProductosRIB!F58="",""," - Marca: "&amp;ProductosRIB!F58))</f>
        <v/>
      </c>
      <c r="AC120">
        <f>ProductosRIB!E58</f>
        <v>0</v>
      </c>
    </row>
    <row r="121" spans="3:29" hidden="1">
      <c r="C121">
        <v>120610</v>
      </c>
      <c r="D121">
        <f>IFERROR(VLOOKUP($A$4&amp;$D$4&amp;C121,BalancesAnuales1!$A$2:$E$20009,5,0)+0,0)/A6</f>
        <v>0</v>
      </c>
      <c r="E121">
        <f>IFERROR(VLOOKUP($A$4&amp;$E$4&amp;C121,BalancesAnuales1!$A$2:$E$20009,5,0)+0,0)/A6</f>
        <v>0</v>
      </c>
      <c r="F121">
        <f>IFERROR(VLOOKUP($A$4&amp;$F$4&amp;C121,BalancesAnuales1!$A$2:$E$20009,5,0)+0,0)/A6</f>
        <v>0</v>
      </c>
      <c r="G121">
        <f>IFERROR(VLOOKUP($A$4&amp;$G$4&amp;C121,BalancesMensuales1!$A$2:$E$20009,5,0)+0,0)/A6</f>
        <v>0</v>
      </c>
      <c r="H121">
        <f>IFERROR(VLOOKUP($A$4&amp;$H$4&amp;C121,BalancesMensuales1!$A$2:$E$20009,5,0)+0,0)/A6</f>
        <v>0</v>
      </c>
      <c r="Z121">
        <f t="shared" si="18"/>
        <v>57</v>
      </c>
      <c r="AA121">
        <f>ProductosRIB!A59</f>
        <v>0</v>
      </c>
      <c r="AB121" t="str">
        <f>PROPER(ProductosRIB!D59&amp;IF(ProductosRIB!F59="",""," - Marca: "&amp;ProductosRIB!F59))</f>
        <v/>
      </c>
      <c r="AC121">
        <f>ProductosRIB!E59</f>
        <v>0</v>
      </c>
    </row>
    <row r="122" spans="3:29" hidden="1">
      <c r="C122">
        <v>120615</v>
      </c>
      <c r="D122">
        <f>IFERROR(VLOOKUP($A$4&amp;$D$4&amp;C122,BalancesAnuales1!$A$2:$E$20009,5,0)+0,0)/A6</f>
        <v>0</v>
      </c>
      <c r="E122">
        <f>IFERROR(VLOOKUP($A$4&amp;$E$4&amp;C122,BalancesAnuales1!$A$2:$E$20009,5,0)+0,0)/A6</f>
        <v>0</v>
      </c>
      <c r="F122">
        <f>IFERROR(VLOOKUP($A$4&amp;$F$4&amp;C122,BalancesAnuales1!$A$2:$E$20009,5,0)+0,0)/A6</f>
        <v>0</v>
      </c>
      <c r="G122">
        <f>IFERROR(VLOOKUP($A$4&amp;$G$4&amp;C122,BalancesMensuales1!$A$2:$E$20009,5,0)+0,0)/A6</f>
        <v>0</v>
      </c>
      <c r="H122">
        <f>IFERROR(VLOOKUP($A$4&amp;$H$4&amp;C122,BalancesMensuales1!$A$2:$E$20009,5,0)+0,0)/A6</f>
        <v>0</v>
      </c>
      <c r="Z122">
        <f t="shared" si="18"/>
        <v>58</v>
      </c>
      <c r="AA122">
        <f>ProductosRIB!A60</f>
        <v>0</v>
      </c>
      <c r="AB122" t="str">
        <f>PROPER(ProductosRIB!D60&amp;IF(ProductosRIB!F60="",""," - Marca: "&amp;ProductosRIB!F60))</f>
        <v/>
      </c>
      <c r="AC122">
        <f>ProductosRIB!E60</f>
        <v>0</v>
      </c>
    </row>
    <row r="123" spans="3:29" hidden="1">
      <c r="C123">
        <v>173001</v>
      </c>
      <c r="D123">
        <f>IFERROR(VLOOKUP($A$4&amp;$D$4&amp;C123,BalancesAnuales1!$A$2:$E$20009,5,0)+0,0)/A6</f>
        <v>0</v>
      </c>
      <c r="E123">
        <f>IFERROR(VLOOKUP($A$4&amp;$E$4&amp;C123,BalancesAnuales1!$A$2:$E$20009,5,0)+0,0)/A6</f>
        <v>0</v>
      </c>
      <c r="F123">
        <f>IFERROR(VLOOKUP($A$4&amp;$F$4&amp;C123,BalancesAnuales1!$A$2:$E$20009,5,0)+0,0)/A6</f>
        <v>0</v>
      </c>
      <c r="G123">
        <f>IFERROR(VLOOKUP($A$4&amp;$G$4&amp;C123,BalancesMensuales1!$A$2:$E$20009,5,0)+0,0)/A6</f>
        <v>0</v>
      </c>
      <c r="H123">
        <f>IFERROR(VLOOKUP($A$4&amp;$H$4&amp;C123,BalancesMensuales1!$A$2:$E$20009,5,0)+0,0)/A6</f>
        <v>0</v>
      </c>
      <c r="Z123">
        <f t="shared" si="18"/>
        <v>59</v>
      </c>
      <c r="AA123">
        <f>ProductosRIB!A61</f>
        <v>0</v>
      </c>
      <c r="AB123" t="str">
        <f>PROPER(ProductosRIB!D61&amp;IF(ProductosRIB!F61="",""," - Marca: "&amp;ProductosRIB!F61))</f>
        <v/>
      </c>
      <c r="AC123">
        <f>ProductosRIB!E61</f>
        <v>0</v>
      </c>
    </row>
    <row r="124" spans="3:29" hidden="1">
      <c r="C124">
        <v>120620</v>
      </c>
      <c r="D124">
        <f>IFERROR(VLOOKUP($A$4&amp;$D$4&amp;C124,BalancesAnuales1!$A$2:$E$20009,5,0)+0,0)/A6</f>
        <v>0</v>
      </c>
      <c r="E124">
        <f>IFERROR(VLOOKUP($A$4&amp;$E$4&amp;C124,BalancesAnuales1!$A$2:$E$20009,5,0)+0,0)/A6</f>
        <v>0</v>
      </c>
      <c r="F124">
        <f>IFERROR(VLOOKUP($A$4&amp;$F$4&amp;C124,BalancesAnuales1!$A$2:$E$20009,5,0)+0,0)/A6</f>
        <v>0</v>
      </c>
      <c r="G124">
        <f>IFERROR(VLOOKUP($A$4&amp;$G$4&amp;C124,BalancesMensuales1!$A$2:$E$20009,5,0)+0,0)/A6</f>
        <v>0</v>
      </c>
      <c r="H124">
        <f>IFERROR(VLOOKUP($A$4&amp;$H$4&amp;C124,BalancesMensuales1!$A$2:$E$20009,5,0)+0,0)/A6</f>
        <v>0</v>
      </c>
      <c r="Z124">
        <f t="shared" si="18"/>
        <v>60</v>
      </c>
      <c r="AA124">
        <f>ProductosRIB!A62</f>
        <v>0</v>
      </c>
      <c r="AB124" t="str">
        <f>PROPER(ProductosRIB!D62&amp;IF(ProductosRIB!F62="",""," - Marca: "&amp;ProductosRIB!F62))</f>
        <v/>
      </c>
      <c r="AC124">
        <f>ProductosRIB!E62</f>
        <v>0</v>
      </c>
    </row>
    <row r="125" spans="3:29" hidden="1">
      <c r="C125">
        <v>179701</v>
      </c>
      <c r="D125">
        <f>IFERROR(VLOOKUP($A$4&amp;$D$4&amp;C125,BalancesAnuales1!$A$2:$E$20009,5,0)+0,0)/A6</f>
        <v>0</v>
      </c>
      <c r="E125">
        <f>IFERROR(VLOOKUP($A$4&amp;$E$4&amp;C125,BalancesAnuales1!$A$2:$E$20009,5,0)+0,0)/A6</f>
        <v>0</v>
      </c>
      <c r="F125">
        <f>IFERROR(VLOOKUP($A$4&amp;$F$4&amp;C125,BalancesAnuales1!$A$2:$E$20009,5,0)+0,0)/A6</f>
        <v>0</v>
      </c>
      <c r="G125">
        <f>IFERROR(VLOOKUP($A$4&amp;$G$4&amp;C125,BalancesMensuales1!$A$2:$E$20009,5,0)+0,0)/A6</f>
        <v>0</v>
      </c>
      <c r="H125">
        <f>IFERROR(VLOOKUP($A$4&amp;$H$4&amp;C125,BalancesMensuales1!$A$2:$E$20009,5,0)+0,0)/A6</f>
        <v>0</v>
      </c>
      <c r="Z125">
        <f t="shared" si="18"/>
        <v>61</v>
      </c>
      <c r="AA125">
        <f>ProductosRIB!A63</f>
        <v>0</v>
      </c>
      <c r="AB125" t="str">
        <f>PROPER(ProductosRIB!D63&amp;IF(ProductosRIB!F63="",""," - Marca: "&amp;ProductosRIB!F63))</f>
        <v/>
      </c>
      <c r="AC125">
        <f>ProductosRIB!E63</f>
        <v>0</v>
      </c>
    </row>
    <row r="126" spans="3:29" hidden="1">
      <c r="C126">
        <v>179801</v>
      </c>
      <c r="D126">
        <f>IFERROR(VLOOKUP($A$4&amp;$D$4&amp;C126,BalancesAnuales1!$A$2:$E$20009,5,0)+0,0)/A6</f>
        <v>0</v>
      </c>
      <c r="E126">
        <f>IFERROR(VLOOKUP($A$4&amp;$E$4&amp;C126,BalancesAnuales1!$A$2:$E$20009,5,0)+0,0)/A6</f>
        <v>0</v>
      </c>
      <c r="F126">
        <f>IFERROR(VLOOKUP($A$4&amp;$F$4&amp;C126,BalancesAnuales1!$A$2:$E$20009,5,0)+0,0)/A6</f>
        <v>0</v>
      </c>
      <c r="G126">
        <f>IFERROR(VLOOKUP($A$4&amp;$G$4&amp;C126,BalancesMensuales1!$A$2:$E$20009,5,0)+0,0)/A6</f>
        <v>0</v>
      </c>
      <c r="H126">
        <f>IFERROR(VLOOKUP($A$4&amp;$H$4&amp;C126,BalancesMensuales1!$A$2:$E$20009,5,0)+0,0)/A6</f>
        <v>0</v>
      </c>
      <c r="Z126">
        <f t="shared" si="18"/>
        <v>62</v>
      </c>
      <c r="AA126">
        <f>ProductosRIB!A64</f>
        <v>0</v>
      </c>
      <c r="AB126" t="str">
        <f>PROPER(ProductosRIB!D64&amp;IF(ProductosRIB!F64="",""," - Marca: "&amp;ProductosRIB!F64))</f>
        <v/>
      </c>
      <c r="AC126">
        <f>ProductosRIB!E64</f>
        <v>0</v>
      </c>
    </row>
    <row r="127" spans="3:29" hidden="1">
      <c r="C127">
        <v>1206</v>
      </c>
      <c r="D127">
        <f>IFERROR(VLOOKUP($A$4&amp;$D$4&amp;C127,BalancesAnuales1!$A$2:$E$20009,5,0)+0,0)/A6</f>
        <v>0</v>
      </c>
      <c r="E127">
        <f>IFERROR(VLOOKUP($A$4&amp;$E$4&amp;C127,BalancesAnuales1!$A$2:$E$20009,5,0)+0,0)/A6</f>
        <v>0</v>
      </c>
      <c r="F127">
        <f>IFERROR(VLOOKUP($A$4&amp;$F$4&amp;C127,BalancesAnuales1!$A$2:$E$20009,5,0)+0,0)/A6</f>
        <v>0</v>
      </c>
      <c r="G127">
        <f>IFERROR(VLOOKUP($A$4&amp;$G$4&amp;C127,BalancesMensuales1!$A$2:$E$20009,5,0)+0,0)/A6</f>
        <v>0</v>
      </c>
      <c r="H127">
        <f>IFERROR(VLOOKUP($A$4&amp;$H$4&amp;C127,BalancesMensuales1!$A$2:$E$20009,5,0)+0,0)/A6</f>
        <v>0</v>
      </c>
      <c r="Z127">
        <f t="shared" si="18"/>
        <v>63</v>
      </c>
      <c r="AA127">
        <f>ProductosRIB!A65</f>
        <v>0</v>
      </c>
      <c r="AB127" t="str">
        <f>PROPER(ProductosRIB!D65&amp;IF(ProductosRIB!F65="",""," - Marca: "&amp;ProductosRIB!F65))</f>
        <v/>
      </c>
      <c r="AC127">
        <f>ProductosRIB!E65</f>
        <v>0</v>
      </c>
    </row>
    <row r="128" spans="3:29" hidden="1">
      <c r="C128">
        <v>160501</v>
      </c>
      <c r="D128">
        <f>IFERROR(VLOOKUP($A$4&amp;$D$4&amp;C128,BalancesAnuales1!$A$2:$E$20009,5,0)+0,0)/A6</f>
        <v>0</v>
      </c>
      <c r="E128">
        <f>IFERROR(VLOOKUP($A$4&amp;$E$4&amp;C128,BalancesAnuales1!$A$2:$E$20009,5,0)+0,0)/A6</f>
        <v>0</v>
      </c>
      <c r="F128">
        <f>IFERROR(VLOOKUP($A$4&amp;$F$4&amp;C128,BalancesAnuales1!$A$2:$E$20009,5,0)+0,0)/A6</f>
        <v>0</v>
      </c>
      <c r="G128">
        <f>IFERROR(VLOOKUP($A$4&amp;$G$4&amp;C128,BalancesMensuales1!$A$2:$E$20009,5,0)+0,0)/A6</f>
        <v>0</v>
      </c>
      <c r="H128">
        <f>IFERROR(VLOOKUP($A$4&amp;$H$4&amp;C128,BalancesMensuales1!$A$2:$E$20009,5,0)+0,0)/A6</f>
        <v>0</v>
      </c>
      <c r="Z128">
        <f t="shared" si="18"/>
        <v>64</v>
      </c>
      <c r="AA128">
        <f>ProductosRIB!A66</f>
        <v>0</v>
      </c>
      <c r="AB128" t="str">
        <f>PROPER(ProductosRIB!D66&amp;IF(ProductosRIB!F66="",""," - Marca: "&amp;ProductosRIB!F66))</f>
        <v/>
      </c>
      <c r="AC128">
        <f>ProductosRIB!E66</f>
        <v>0</v>
      </c>
    </row>
    <row r="129" spans="3:29" hidden="1">
      <c r="C129">
        <v>161001</v>
      </c>
      <c r="D129">
        <f>IFERROR(VLOOKUP($A$4&amp;$D$4&amp;C129,BalancesAnuales1!$A$2:$E$20009,5,0)+0,0)/A6</f>
        <v>0</v>
      </c>
      <c r="E129">
        <f>IFERROR(VLOOKUP($A$4&amp;$E$4&amp;C129,BalancesAnuales1!$A$2:$E$20009,5,0)+0,0)/A6</f>
        <v>0</v>
      </c>
      <c r="F129">
        <f>IFERROR(VLOOKUP($A$4&amp;$F$4&amp;C129,BalancesAnuales1!$A$2:$E$20009,5,0)+0,0)/A6</f>
        <v>0</v>
      </c>
      <c r="G129">
        <f>IFERROR(VLOOKUP($A$4&amp;$G$4&amp;C129,BalancesMensuales1!$A$2:$E$20009,5,0)+0,0)/A6</f>
        <v>0</v>
      </c>
      <c r="H129">
        <f>IFERROR(VLOOKUP($A$4&amp;$H$4&amp;C129,BalancesMensuales1!$A$2:$E$20009,5,0)+0,0)/A6</f>
        <v>0</v>
      </c>
      <c r="Z129">
        <f t="shared" ref="Z129:Z160" si="19">IF(AA129=$A$4,Z128+1,0)</f>
        <v>65</v>
      </c>
      <c r="AA129">
        <f>ProductosRIB!A67</f>
        <v>0</v>
      </c>
      <c r="AB129" t="str">
        <f>PROPER(ProductosRIB!D67&amp;IF(ProductosRIB!F67="",""," - Marca: "&amp;ProductosRIB!F67))</f>
        <v/>
      </c>
      <c r="AC129">
        <f>ProductosRIB!E67</f>
        <v>0</v>
      </c>
    </row>
    <row r="130" spans="3:29" hidden="1">
      <c r="C130">
        <v>163001</v>
      </c>
      <c r="D130">
        <f>IFERROR(VLOOKUP($A$4&amp;$D$4&amp;C130,BalancesAnuales1!$A$2:$E$20009,5,0)+0,0)/A6</f>
        <v>0</v>
      </c>
      <c r="E130">
        <f>IFERROR(VLOOKUP($A$4&amp;$E$4&amp;C130,BalancesAnuales1!$A$2:$E$20009,5,0)+0,0)/A6</f>
        <v>0</v>
      </c>
      <c r="F130">
        <f>IFERROR(VLOOKUP($A$4&amp;$F$4&amp;C130,BalancesAnuales1!$A$2:$E$20009,5,0)+0,0)/A6</f>
        <v>0</v>
      </c>
      <c r="G130">
        <f>IFERROR(VLOOKUP($A$4&amp;$G$4&amp;C130,BalancesMensuales1!$A$2:$E$20009,5,0)+0,0)/A6</f>
        <v>0</v>
      </c>
      <c r="H130">
        <f>IFERROR(VLOOKUP($A$4&amp;$H$4&amp;C130,BalancesMensuales1!$A$2:$E$20009,5,0)+0,0)/A6</f>
        <v>0</v>
      </c>
      <c r="Z130">
        <f t="shared" si="19"/>
        <v>66</v>
      </c>
      <c r="AA130">
        <f>ProductosRIB!A68</f>
        <v>0</v>
      </c>
      <c r="AB130" t="str">
        <f>PROPER(ProductosRIB!D68&amp;IF(ProductosRIB!F68="",""," - Marca: "&amp;ProductosRIB!F68))</f>
        <v/>
      </c>
      <c r="AC130">
        <f>ProductosRIB!E68</f>
        <v>0</v>
      </c>
    </row>
    <row r="131" spans="3:29" hidden="1">
      <c r="C131">
        <v>164001</v>
      </c>
      <c r="D131">
        <f>IFERROR(VLOOKUP($A$4&amp;$D$4&amp;C131,BalancesAnuales1!$A$2:$E$20009,5,0)+0,0)/A6</f>
        <v>0</v>
      </c>
      <c r="E131">
        <f>IFERROR(VLOOKUP($A$4&amp;$E$4&amp;C131,BalancesAnuales1!$A$2:$E$20009,5,0)+0,0)/A6</f>
        <v>0</v>
      </c>
      <c r="F131">
        <f>IFERROR(VLOOKUP($A$4&amp;$F$4&amp;C131,BalancesAnuales1!$A$2:$E$20009,5,0)+0,0)/A6</f>
        <v>0</v>
      </c>
      <c r="G131">
        <f>IFERROR(VLOOKUP($A$4&amp;$G$4&amp;C131,BalancesMensuales1!$A$2:$E$20009,5,0)+0,0)/A6</f>
        <v>0</v>
      </c>
      <c r="H131">
        <f>IFERROR(VLOOKUP($A$4&amp;$H$4&amp;C131,BalancesMensuales1!$A$2:$E$20009,5,0)+0,0)/A6</f>
        <v>0</v>
      </c>
      <c r="Z131">
        <f t="shared" si="19"/>
        <v>67</v>
      </c>
      <c r="AA131">
        <f>ProductosRIB!A69</f>
        <v>0</v>
      </c>
      <c r="AB131" t="str">
        <f>PROPER(ProductosRIB!D69&amp;IF(ProductosRIB!F69="",""," - Marca: "&amp;ProductosRIB!F69))</f>
        <v/>
      </c>
      <c r="AC131">
        <f>ProductosRIB!E69</f>
        <v>0</v>
      </c>
    </row>
    <row r="132" spans="3:29" hidden="1">
      <c r="C132">
        <v>109801</v>
      </c>
      <c r="D132">
        <f>IFERROR(VLOOKUP($A$4&amp;$D$4&amp;C132,BalancesAnuales1!$A$2:$E$20009,5,0)+0,0)/A6</f>
        <v>0</v>
      </c>
      <c r="E132">
        <f>IFERROR(VLOOKUP($A$4&amp;$E$4&amp;C132,BalancesAnuales1!$A$2:$E$20009,5,0)+0,0)/A6</f>
        <v>0</v>
      </c>
      <c r="F132">
        <f>IFERROR(VLOOKUP($A$4&amp;$F$4&amp;C132,BalancesAnuales1!$A$2:$E$20009,5,0)+0,0)/A6</f>
        <v>0</v>
      </c>
      <c r="G132">
        <f>IFERROR(VLOOKUP($A$4&amp;$G$4&amp;C132,BalancesMensuales1!$A$2:$E$20009,5,0)+0,0)/A6</f>
        <v>0</v>
      </c>
      <c r="H132">
        <f>IFERROR(VLOOKUP($A$4&amp;$H$4&amp;C132,BalancesMensuales1!$A$2:$E$20009,5,0)+0,0)/A6</f>
        <v>0</v>
      </c>
      <c r="Z132">
        <f t="shared" si="19"/>
        <v>68</v>
      </c>
      <c r="AA132">
        <f>ProductosRIB!A70</f>
        <v>0</v>
      </c>
      <c r="AB132" t="str">
        <f>PROPER(ProductosRIB!D70&amp;IF(ProductosRIB!F70="",""," - Marca: "&amp;ProductosRIB!F70))</f>
        <v/>
      </c>
      <c r="AC132">
        <f>ProductosRIB!E70</f>
        <v>0</v>
      </c>
    </row>
    <row r="133" spans="3:29" hidden="1">
      <c r="C133">
        <v>169899</v>
      </c>
      <c r="D133">
        <f>IFERROR(VLOOKUP($A$4&amp;$D$4&amp;C133,BalancesAnuales1!$A$2:$E$20009,5,0)+0,0)/A6</f>
        <v>0</v>
      </c>
      <c r="E133">
        <f>IFERROR(VLOOKUP($A$4&amp;$E$4&amp;C133,BalancesAnuales1!$A$2:$E$20009,5,0)+0,0)/A6</f>
        <v>0</v>
      </c>
      <c r="F133">
        <f>IFERROR(VLOOKUP($A$4&amp;$F$4&amp;C133,BalancesAnuales1!$A$2:$E$20009,5,0)+0,0)/A6</f>
        <v>0</v>
      </c>
      <c r="G133">
        <f>IFERROR(VLOOKUP($A$4&amp;$G$4&amp;C133,BalancesMensuales1!$A$2:$E$20009,5,0)+0,0)/A6</f>
        <v>0</v>
      </c>
      <c r="H133">
        <f>IFERROR(VLOOKUP($A$4&amp;$H$4&amp;C133,BalancesMensuales1!$A$2:$E$20009,5,0)+0,0)/A6</f>
        <v>0</v>
      </c>
      <c r="Z133">
        <f t="shared" si="19"/>
        <v>69</v>
      </c>
      <c r="AA133">
        <f>ProductosRIB!A71</f>
        <v>0</v>
      </c>
      <c r="AB133" t="str">
        <f>PROPER(ProductosRIB!D71&amp;IF(ProductosRIB!F71="",""," - Marca: "&amp;ProductosRIB!F71))</f>
        <v/>
      </c>
      <c r="AC133">
        <f>ProductosRIB!E71</f>
        <v>0</v>
      </c>
    </row>
    <row r="134" spans="3:29" hidden="1">
      <c r="C134">
        <v>169901</v>
      </c>
      <c r="D134">
        <f>IFERROR(VLOOKUP($A$4&amp;$D$4&amp;C134,BalancesAnuales1!$A$2:$E$20009,5,0)+0,0)/A6</f>
        <v>0</v>
      </c>
      <c r="E134">
        <f>IFERROR(VLOOKUP($A$4&amp;$E$4&amp;C134,BalancesAnuales1!$A$2:$E$20009,5,0)+0,0)/A6</f>
        <v>0</v>
      </c>
      <c r="F134">
        <f>IFERROR(VLOOKUP($A$4&amp;$F$4&amp;C134,BalancesAnuales1!$A$2:$E$20009,5,0)+0,0)/A6</f>
        <v>0</v>
      </c>
      <c r="G134">
        <f>IFERROR(VLOOKUP($A$4&amp;$G$4&amp;C134,BalancesMensuales1!$A$2:$E$20009,5,0)+0,0)/A6</f>
        <v>0</v>
      </c>
      <c r="H134">
        <f>IFERROR(VLOOKUP($A$4&amp;$H$4&amp;C134,BalancesMensuales1!$A$2:$E$20009,5,0)+0,0)/A6</f>
        <v>0</v>
      </c>
      <c r="Z134">
        <f t="shared" si="19"/>
        <v>70</v>
      </c>
      <c r="AA134">
        <f>ProductosRIB!A72</f>
        <v>0</v>
      </c>
      <c r="AB134" t="str">
        <f>PROPER(ProductosRIB!D72&amp;IF(ProductosRIB!F72="",""," - Marca: "&amp;ProductosRIB!F72))</f>
        <v/>
      </c>
      <c r="AC134">
        <f>ProductosRIB!E72</f>
        <v>0</v>
      </c>
    </row>
    <row r="135" spans="3:29" hidden="1">
      <c r="C135">
        <v>1202</v>
      </c>
      <c r="D135">
        <f>IFERROR(VLOOKUP($A$4&amp;$D$4&amp;C135,BalancesAnuales1!$A$2:$E$20009,5,0)+0,0)/A6</f>
        <v>0</v>
      </c>
      <c r="E135">
        <f>IFERROR(VLOOKUP($A$4&amp;$E$4&amp;C135,BalancesAnuales1!$A$2:$E$20009,5,0)+0,0)/A6</f>
        <v>0</v>
      </c>
      <c r="F135">
        <f>IFERROR(VLOOKUP($A$4&amp;$F$4&amp;C135,BalancesAnuales1!$A$2:$E$20009,5,0)+0,0)/A6</f>
        <v>0</v>
      </c>
      <c r="G135">
        <f>IFERROR(VLOOKUP($A$4&amp;$G$4&amp;C135,BalancesMensuales1!$A$2:$E$20009,5,0)+0,0)/A6</f>
        <v>0</v>
      </c>
      <c r="H135">
        <f>IFERROR(VLOOKUP($A$4&amp;$H$4&amp;C135,BalancesMensuales1!$A$2:$E$20009,5,0)+0,0)/A6</f>
        <v>0</v>
      </c>
      <c r="Z135">
        <f t="shared" si="19"/>
        <v>71</v>
      </c>
      <c r="AA135">
        <f>ProductosRIB!A73</f>
        <v>0</v>
      </c>
      <c r="AB135" t="str">
        <f>PROPER(ProductosRIB!D73&amp;IF(ProductosRIB!F73="",""," - Marca: "&amp;ProductosRIB!F73))</f>
        <v/>
      </c>
      <c r="AC135">
        <f>ProductosRIB!E73</f>
        <v>0</v>
      </c>
    </row>
    <row r="136" spans="3:29" hidden="1">
      <c r="C136">
        <v>180501</v>
      </c>
      <c r="D136">
        <f>IFERROR(VLOOKUP($A$4&amp;$D$4&amp;C136,BalancesAnuales1!$A$2:$E$20009,5,0)+0,0)/A6</f>
        <v>0</v>
      </c>
      <c r="E136">
        <f>IFERROR(VLOOKUP($A$4&amp;$E$4&amp;C136,BalancesAnuales1!$A$2:$E$20009,5,0)+0,0)/A6</f>
        <v>0</v>
      </c>
      <c r="F136">
        <f>IFERROR(VLOOKUP($A$4&amp;$F$4&amp;C136,BalancesAnuales1!$A$2:$E$20009,5,0)+0,0)/A6</f>
        <v>0</v>
      </c>
      <c r="G136">
        <f>IFERROR(VLOOKUP($A$4&amp;$G$4&amp;C136,BalancesMensuales1!$A$2:$E$20009,5,0)+0,0)/A6</f>
        <v>0</v>
      </c>
      <c r="H136">
        <f>IFERROR(VLOOKUP($A$4&amp;$H$4&amp;C136,BalancesMensuales1!$A$2:$E$20009,5,0)+0,0)/A6</f>
        <v>0</v>
      </c>
      <c r="Z136">
        <f t="shared" si="19"/>
        <v>72</v>
      </c>
      <c r="AA136">
        <f>ProductosRIB!A74</f>
        <v>0</v>
      </c>
      <c r="AB136" t="str">
        <f>PROPER(ProductosRIB!D74&amp;IF(ProductosRIB!F74="",""," - Marca: "&amp;ProductosRIB!F74))</f>
        <v/>
      </c>
      <c r="AC136">
        <f>ProductosRIB!E74</f>
        <v>0</v>
      </c>
    </row>
    <row r="137" spans="3:29" hidden="1">
      <c r="C137">
        <v>189501</v>
      </c>
      <c r="D137">
        <f>IFERROR(VLOOKUP($A$4&amp;$D$4&amp;C137,BalancesAnuales1!$A$2:$E$20009,5,0)+0,0)/A6</f>
        <v>0</v>
      </c>
      <c r="E137">
        <f>IFERROR(VLOOKUP($A$4&amp;$E$4&amp;C137,BalancesAnuales1!$A$2:$E$20009,5,0)+0,0)/A6</f>
        <v>0</v>
      </c>
      <c r="F137">
        <f>IFERROR(VLOOKUP($A$4&amp;$F$4&amp;C137,BalancesAnuales1!$A$2:$E$20009,5,0)+0,0)/A6</f>
        <v>0</v>
      </c>
      <c r="G137">
        <f>IFERROR(VLOOKUP($A$4&amp;$G$4&amp;C137,BalancesMensuales1!$A$2:$E$20009,5,0)+0,0)/A6</f>
        <v>0</v>
      </c>
      <c r="H137">
        <f>IFERROR(VLOOKUP($A$4&amp;$H$4&amp;C137,BalancesMensuales1!$A$2:$E$20009,5,0)+0,0)/A6</f>
        <v>0</v>
      </c>
      <c r="Z137">
        <f t="shared" si="19"/>
        <v>73</v>
      </c>
      <c r="AA137">
        <f>ProductosRIB!A75</f>
        <v>0</v>
      </c>
      <c r="AB137" t="str">
        <f>PROPER(ProductosRIB!D75&amp;IF(ProductosRIB!F75="",""," - Marca: "&amp;ProductosRIB!F75))</f>
        <v/>
      </c>
      <c r="AC137">
        <f>ProductosRIB!E75</f>
        <v>0</v>
      </c>
    </row>
    <row r="138" spans="3:29" hidden="1">
      <c r="C138">
        <v>189520</v>
      </c>
      <c r="D138">
        <f>IFERROR(VLOOKUP($A$4&amp;$D$4&amp;C138,BalancesAnuales1!$A$2:$E$20009,5,0)+0,0)/A6</f>
        <v>0</v>
      </c>
      <c r="E138">
        <f>IFERROR(VLOOKUP($A$4&amp;$E$4&amp;C138,BalancesAnuales1!$A$2:$E$20009,5,0)+0,0)/A6</f>
        <v>0</v>
      </c>
      <c r="F138">
        <f>IFERROR(VLOOKUP($A$4&amp;$F$4&amp;C138,BalancesAnuales1!$A$2:$E$20009,5,0)+0,0)/A6</f>
        <v>0</v>
      </c>
      <c r="G138">
        <f>IFERROR(VLOOKUP($A$4&amp;$G$4&amp;C138,BalancesMensuales1!$A$2:$E$20009,5,0)+0,0)/A6</f>
        <v>0</v>
      </c>
      <c r="H138">
        <f>IFERROR(VLOOKUP($A$4&amp;$H$4&amp;C138,BalancesMensuales1!$A$2:$E$20009,5,0)+0,0)/A6</f>
        <v>0</v>
      </c>
      <c r="Z138">
        <f t="shared" si="19"/>
        <v>74</v>
      </c>
      <c r="AA138">
        <f>ProductosRIB!A76</f>
        <v>0</v>
      </c>
      <c r="AB138" t="str">
        <f>PROPER(ProductosRIB!D76&amp;IF(ProductosRIB!F76="",""," - Marca: "&amp;ProductosRIB!F76))</f>
        <v/>
      </c>
      <c r="AC138">
        <f>ProductosRIB!E76</f>
        <v>0</v>
      </c>
    </row>
    <row r="139" spans="3:29" hidden="1">
      <c r="C139">
        <v>189701</v>
      </c>
      <c r="D139">
        <f>IFERROR(VLOOKUP($A$4&amp;$D$4&amp;C139,BalancesAnuales1!$A$2:$E$20009,5,0)+0,0)/A6</f>
        <v>0</v>
      </c>
      <c r="E139">
        <f>IFERROR(VLOOKUP($A$4&amp;$E$4&amp;C139,BalancesAnuales1!$A$2:$E$20009,5,0)+0,0)/A6</f>
        <v>0</v>
      </c>
      <c r="F139">
        <f>IFERROR(VLOOKUP($A$4&amp;$F$4&amp;C139,BalancesAnuales1!$A$2:$E$20009,5,0)+0,0)/A6</f>
        <v>0</v>
      </c>
      <c r="G139">
        <f>IFERROR(VLOOKUP($A$4&amp;$G$4&amp;C139,BalancesMensuales1!$A$2:$E$20009,5,0)+0,0)/A6</f>
        <v>0</v>
      </c>
      <c r="H139">
        <f>IFERROR(VLOOKUP($A$4&amp;$H$4&amp;C139,BalancesMensuales1!$A$2:$E$20009,5,0)+0,0)/A6</f>
        <v>0</v>
      </c>
      <c r="Z139">
        <f t="shared" si="19"/>
        <v>75</v>
      </c>
      <c r="AA139">
        <f>ProductosRIB!A77</f>
        <v>0</v>
      </c>
      <c r="AB139" t="str">
        <f>PROPER(ProductosRIB!D77&amp;IF(ProductosRIB!F77="",""," - Marca: "&amp;ProductosRIB!F77))</f>
        <v/>
      </c>
      <c r="AC139">
        <f>ProductosRIB!E77</f>
        <v>0</v>
      </c>
    </row>
    <row r="140" spans="3:29" hidden="1">
      <c r="C140">
        <v>189901</v>
      </c>
      <c r="D140">
        <f>IFERROR(VLOOKUP($A$4&amp;$D$4&amp;C140,BalancesAnuales1!$A$2:$E$20009,5,0)+0,0)/A6</f>
        <v>0</v>
      </c>
      <c r="E140">
        <f>IFERROR(VLOOKUP($A$4&amp;$E$4&amp;C140,BalancesAnuales1!$A$2:$E$20009,5,0)+0,0)/A6</f>
        <v>0</v>
      </c>
      <c r="F140">
        <f>IFERROR(VLOOKUP($A$4&amp;$F$4&amp;C140,BalancesAnuales1!$A$2:$E$20009,5,0)+0,0)/A6</f>
        <v>0</v>
      </c>
      <c r="G140">
        <f>IFERROR(VLOOKUP($A$4&amp;$G$4&amp;C140,BalancesMensuales1!$A$2:$E$20009,5,0)+0,0)/A6</f>
        <v>0</v>
      </c>
      <c r="H140">
        <f>IFERROR(VLOOKUP($A$4&amp;$H$4&amp;C140,BalancesMensuales1!$A$2:$E$20009,5,0)+0,0)/A6</f>
        <v>0</v>
      </c>
      <c r="Z140">
        <f t="shared" si="19"/>
        <v>76</v>
      </c>
      <c r="AA140">
        <f>ProductosRIB!A78</f>
        <v>0</v>
      </c>
      <c r="AB140" t="str">
        <f>PROPER(ProductosRIB!D78&amp;IF(ProductosRIB!F78="",""," - Marca: "&amp;ProductosRIB!F78))</f>
        <v/>
      </c>
      <c r="AC140">
        <f>ProductosRIB!E78</f>
        <v>0</v>
      </c>
    </row>
    <row r="141" spans="3:29" hidden="1">
      <c r="C141">
        <v>1207</v>
      </c>
      <c r="D141">
        <f>IFERROR(VLOOKUP($A$4&amp;$D$4&amp;C141,BalancesAnuales1!$A$2:$E$20009,5,0)+0,0)/A6</f>
        <v>0</v>
      </c>
      <c r="E141">
        <f>IFERROR(VLOOKUP($A$4&amp;$E$4&amp;C141,BalancesAnuales1!$A$2:$E$20009,5,0)+0,0)/A6</f>
        <v>0</v>
      </c>
      <c r="F141">
        <f>IFERROR(VLOOKUP($A$4&amp;$F$4&amp;C141,BalancesAnuales1!$A$2:$E$20009,5,0)+0,0)/A6</f>
        <v>0</v>
      </c>
      <c r="G141">
        <f>IFERROR(VLOOKUP($A$4&amp;$G$4&amp;C141,BalancesMensuales1!$A$2:$E$20009,5,0)+0,0)/A6</f>
        <v>0</v>
      </c>
      <c r="H141">
        <f>IFERROR(VLOOKUP($A$4&amp;$H$4&amp;C141,BalancesMensuales1!$A$2:$E$20009,5,0)+0,0)/A6</f>
        <v>0</v>
      </c>
      <c r="Z141">
        <f t="shared" si="19"/>
        <v>77</v>
      </c>
      <c r="AA141">
        <f>ProductosRIB!A79</f>
        <v>0</v>
      </c>
      <c r="AB141" t="str">
        <f>PROPER(ProductosRIB!D79&amp;IF(ProductosRIB!F79="",""," - Marca: "&amp;ProductosRIB!F79))</f>
        <v/>
      </c>
      <c r="AC141">
        <f>ProductosRIB!E79</f>
        <v>0</v>
      </c>
    </row>
    <row r="142" spans="3:29" hidden="1">
      <c r="C142">
        <v>190501</v>
      </c>
      <c r="D142">
        <f>IFERROR(VLOOKUP($A$4&amp;$D$4&amp;C142,BalancesAnuales1!$A$2:$E$20009,5,0)+0,0)/A6</f>
        <v>0</v>
      </c>
      <c r="E142">
        <f>IFERROR(VLOOKUP($A$4&amp;$E$4&amp;C142,BalancesAnuales1!$A$2:$E$20009,5,0)+0,0)/A6</f>
        <v>0</v>
      </c>
      <c r="F142">
        <f>IFERROR(VLOOKUP($A$4&amp;$F$4&amp;C142,BalancesAnuales1!$A$2:$E$20009,5,0)+0,0)/A6</f>
        <v>0</v>
      </c>
      <c r="G142">
        <f>IFERROR(VLOOKUP($A$4&amp;$G$4&amp;C142,BalancesMensuales1!$A$2:$E$20009,5,0)+0,0)/A6</f>
        <v>0</v>
      </c>
      <c r="H142">
        <f>IFERROR(VLOOKUP($A$4&amp;$H$4&amp;C142,BalancesMensuales1!$A$2:$E$20009,5,0)+0,0)/A6</f>
        <v>0</v>
      </c>
      <c r="Z142">
        <f t="shared" si="19"/>
        <v>78</v>
      </c>
      <c r="AA142">
        <f>ProductosRIB!A80</f>
        <v>0</v>
      </c>
      <c r="AB142" t="str">
        <f>PROPER(ProductosRIB!D80&amp;IF(ProductosRIB!F80="",""," - Marca: "&amp;ProductosRIB!F80))</f>
        <v/>
      </c>
      <c r="AC142">
        <f>ProductosRIB!E80</f>
        <v>0</v>
      </c>
    </row>
    <row r="143" spans="3:29" hidden="1">
      <c r="C143">
        <v>191001</v>
      </c>
      <c r="D143">
        <f>IFERROR(VLOOKUP($A$4&amp;$D$4&amp;C143,BalancesAnuales1!$A$2:$E$20009,5,0)+0,0)/A6</f>
        <v>0</v>
      </c>
      <c r="E143">
        <f>IFERROR(VLOOKUP($A$4&amp;$E$4&amp;C143,BalancesAnuales1!$A$2:$E$20009,5,0)+0,0)/A6</f>
        <v>0</v>
      </c>
      <c r="F143">
        <f>IFERROR(VLOOKUP($A$4&amp;$F$4&amp;C143,BalancesAnuales1!$A$2:$E$20009,5,0)+0,0)/A6</f>
        <v>0</v>
      </c>
      <c r="G143">
        <f>IFERROR(VLOOKUP($A$4&amp;$G$4&amp;C143,BalancesMensuales1!$A$2:$E$20009,5,0)+0,0)/A6</f>
        <v>0</v>
      </c>
      <c r="H143">
        <f>IFERROR(VLOOKUP($A$4&amp;$H$4&amp;C143,BalancesMensuales1!$A$2:$E$20009,5,0)+0,0)/A6</f>
        <v>0</v>
      </c>
      <c r="Z143">
        <f t="shared" si="19"/>
        <v>79</v>
      </c>
      <c r="AA143">
        <f>ProductosRIB!A81</f>
        <v>0</v>
      </c>
      <c r="AB143" t="str">
        <f>PROPER(ProductosRIB!D81&amp;IF(ProductosRIB!F81="",""," - Marca: "&amp;ProductosRIB!F81))</f>
        <v/>
      </c>
      <c r="AC143">
        <f>ProductosRIB!E81</f>
        <v>0</v>
      </c>
    </row>
    <row r="144" spans="3:29" hidden="1">
      <c r="C144">
        <v>199501</v>
      </c>
      <c r="D144">
        <f>IFERROR(VLOOKUP($A$4&amp;$D$4&amp;C144,BalancesAnuales1!$A$2:$E$20009,5,0)+0,0)/A6</f>
        <v>0</v>
      </c>
      <c r="E144">
        <f>IFERROR(VLOOKUP($A$4&amp;$E$4&amp;C144,BalancesAnuales1!$A$2:$E$20009,5,0)+0,0)/A6</f>
        <v>0</v>
      </c>
      <c r="F144">
        <f>IFERROR(VLOOKUP($A$4&amp;$F$4&amp;C144,BalancesAnuales1!$A$2:$E$20009,5,0)+0,0)/A6</f>
        <v>0</v>
      </c>
      <c r="G144">
        <f>IFERROR(VLOOKUP($A$4&amp;$G$4&amp;C144,BalancesMensuales1!$A$2:$E$20009,5,0)+0,0)/A6</f>
        <v>0</v>
      </c>
      <c r="H144">
        <f>IFERROR(VLOOKUP($A$4&amp;$H$4&amp;C144,BalancesMensuales1!$A$2:$E$20009,5,0)+0,0)/A6</f>
        <v>0</v>
      </c>
      <c r="Z144">
        <f t="shared" si="19"/>
        <v>80</v>
      </c>
      <c r="AA144">
        <f>ProductosRIB!A82</f>
        <v>0</v>
      </c>
      <c r="AB144" t="str">
        <f>PROPER(ProductosRIB!D82&amp;IF(ProductosRIB!F82="",""," - Marca: "&amp;ProductosRIB!F82))</f>
        <v/>
      </c>
      <c r="AC144">
        <f>ProductosRIB!E82</f>
        <v>0</v>
      </c>
    </row>
    <row r="145" spans="3:29" hidden="1">
      <c r="C145">
        <v>1208</v>
      </c>
      <c r="D145">
        <f>IFERROR(VLOOKUP($A$4&amp;$D$4&amp;C145,BalancesAnuales1!$A$2:$E$20009,5,0)+0,0)/A6</f>
        <v>0</v>
      </c>
      <c r="E145">
        <f>IFERROR(VLOOKUP($A$4&amp;$E$4&amp;C145,BalancesAnuales1!$A$2:$E$20009,5,0)+0,0)/A6</f>
        <v>0</v>
      </c>
      <c r="F145">
        <f>IFERROR(VLOOKUP($A$4&amp;$F$4&amp;C145,BalancesAnuales1!$A$2:$E$20009,5,0)+0,0)/A6</f>
        <v>0</v>
      </c>
      <c r="G145">
        <f>IFERROR(VLOOKUP($A$4&amp;$G$4&amp;C145,BalancesMensuales1!$A$2:$E$20009,5,0)+0,0)/A6</f>
        <v>0</v>
      </c>
      <c r="H145">
        <f>IFERROR(VLOOKUP($A$4&amp;$H$4&amp;C145,BalancesMensuales1!$A$2:$E$20009,5,0)+0,0)/A6</f>
        <v>0</v>
      </c>
      <c r="Z145">
        <f t="shared" si="19"/>
        <v>81</v>
      </c>
      <c r="AA145">
        <f>ProductosRIB!A83</f>
        <v>0</v>
      </c>
      <c r="AB145" t="str">
        <f>PROPER(ProductosRIB!D83&amp;IF(ProductosRIB!F83="",""," - Marca: "&amp;ProductosRIB!F83))</f>
        <v/>
      </c>
      <c r="AC145">
        <f>ProductosRIB!E83</f>
        <v>0</v>
      </c>
    </row>
    <row r="146" spans="3:29" hidden="1">
      <c r="C146">
        <v>12</v>
      </c>
      <c r="D146">
        <f>IFERROR(VLOOKUP($A$4&amp;$D$4&amp;C146,BalancesAnuales1!$A$2:$E$20009,5,0)+0,0)/A6</f>
        <v>0</v>
      </c>
      <c r="E146">
        <f>IFERROR(VLOOKUP($A$4&amp;$E$4&amp;C146,BalancesAnuales1!$A$2:$E$20009,5,0)+0,0)/A6</f>
        <v>0</v>
      </c>
      <c r="F146">
        <f>IFERROR(VLOOKUP($A$4&amp;$F$4&amp;C146,BalancesAnuales1!$A$2:$E$20009,5,0)+0,0)/A6</f>
        <v>0</v>
      </c>
      <c r="G146">
        <f>IFERROR(VLOOKUP($A$4&amp;$G$4&amp;C146,BalancesMensuales1!$A$2:$E$20009,5,0)+0,0)/A6</f>
        <v>0</v>
      </c>
      <c r="H146">
        <f>IFERROR(VLOOKUP($A$4&amp;$H$4&amp;C146,BalancesMensuales1!$A$2:$E$20009,5,0)+0,0)/A6</f>
        <v>0</v>
      </c>
      <c r="Z146">
        <f t="shared" si="19"/>
        <v>82</v>
      </c>
      <c r="AA146">
        <f>ProductosRIB!A84</f>
        <v>0</v>
      </c>
      <c r="AB146" t="str">
        <f>PROPER(ProductosRIB!D84&amp;IF(ProductosRIB!F84="",""," - Marca: "&amp;ProductosRIB!F84))</f>
        <v/>
      </c>
      <c r="AC146">
        <f>ProductosRIB!E84</f>
        <v>0</v>
      </c>
    </row>
    <row r="147" spans="3:29" hidden="1">
      <c r="C147">
        <v>1</v>
      </c>
      <c r="D147">
        <f>IFERROR(VLOOKUP($A$4&amp;$D$4&amp;C147,BalancesAnuales1!$A$2:$E$20009,5,0)+0,0)/A6</f>
        <v>0</v>
      </c>
      <c r="E147">
        <f>IFERROR(VLOOKUP($A$4&amp;$E$4&amp;C147,BalancesAnuales1!$A$2:$E$20009,5,0)+0,0)/A6</f>
        <v>0</v>
      </c>
      <c r="F147">
        <f>IFERROR(VLOOKUP($A$4&amp;$F$4&amp;C147,BalancesAnuales1!$A$2:$E$20009,5,0)+0,0)/A6</f>
        <v>0</v>
      </c>
      <c r="G147">
        <f>IFERROR(VLOOKUP($A$4&amp;$G$4&amp;C147,BalancesMensuales1!$A$2:$E$20009,5,0)+0,0)/A6</f>
        <v>0</v>
      </c>
      <c r="H147">
        <f>IFERROR(VLOOKUP($A$4&amp;$H$4&amp;C147,BalancesMensuales1!$A$2:$E$20009,5,0)+0,0)/A6</f>
        <v>0</v>
      </c>
      <c r="Z147">
        <f t="shared" si="19"/>
        <v>83</v>
      </c>
      <c r="AA147">
        <f>ProductosRIB!A85</f>
        <v>0</v>
      </c>
      <c r="AB147" t="str">
        <f>PROPER(ProductosRIB!D85&amp;IF(ProductosRIB!F85="",""," - Marca: "&amp;ProductosRIB!F85))</f>
        <v/>
      </c>
      <c r="AC147">
        <f>ProductosRIB!E85</f>
        <v>0</v>
      </c>
    </row>
    <row r="148" spans="3:29" hidden="1">
      <c r="Z148">
        <f t="shared" si="19"/>
        <v>84</v>
      </c>
      <c r="AA148">
        <f>ProductosRIB!A86</f>
        <v>0</v>
      </c>
      <c r="AB148" t="str">
        <f>PROPER(ProductosRIB!D86&amp;IF(ProductosRIB!F86="",""," - Marca: "&amp;ProductosRIB!F86))</f>
        <v/>
      </c>
      <c r="AC148">
        <f>ProductosRIB!E86</f>
        <v>0</v>
      </c>
    </row>
    <row r="149" spans="3:29" hidden="1">
      <c r="C149">
        <v>108100</v>
      </c>
      <c r="D149">
        <f>IFERROR(VLOOKUP($A$4&amp;$D$4&amp;C149,BalancesAnuales1!$A$2:$E$20009,5,0)+0,0)/A6</f>
        <v>0</v>
      </c>
      <c r="E149">
        <f>IFERROR(VLOOKUP($A$4&amp;$E$4&amp;C149,BalancesAnuales1!$A$2:$E$20009,5,0)+0,0)/A6</f>
        <v>0</v>
      </c>
      <c r="F149">
        <f>IFERROR(VLOOKUP($A$4&amp;$F$4&amp;C149,BalancesAnuales1!$A$2:$E$20009,5,0)+0,0)/A6</f>
        <v>0</v>
      </c>
      <c r="G149">
        <f>IFERROR(VLOOKUP($A$4&amp;$G$4&amp;C149,BalancesMensuales1!$A$2:$E$20009,5,0)+0,0)/A6</f>
        <v>0</v>
      </c>
      <c r="H149">
        <f>IFERROR(VLOOKUP($A$4&amp;$H$4&amp;C149,BalancesMensuales1!$A$2:$E$20009,5,0)+0,0)/A6</f>
        <v>0</v>
      </c>
      <c r="Z149">
        <f t="shared" si="19"/>
        <v>85</v>
      </c>
      <c r="AA149">
        <f>ProductosRIB!A87</f>
        <v>0</v>
      </c>
      <c r="AB149" t="str">
        <f>PROPER(ProductosRIB!D87&amp;IF(ProductosRIB!F87="",""," - Marca: "&amp;ProductosRIB!F87))</f>
        <v/>
      </c>
      <c r="AC149">
        <f>ProductosRIB!E87</f>
        <v>0</v>
      </c>
    </row>
    <row r="150" spans="3:29" hidden="1">
      <c r="C150">
        <v>108200</v>
      </c>
      <c r="D150">
        <f>IFERROR(VLOOKUP($A$4&amp;$D$4&amp;C150,BalancesAnuales1!$A$2:$E$20009,5,0)+0,0)/A6</f>
        <v>0</v>
      </c>
      <c r="E150">
        <f>IFERROR(VLOOKUP($A$4&amp;$E$4&amp;C150,BalancesAnuales1!$A$2:$E$20009,5,0)+0,0)/A6</f>
        <v>0</v>
      </c>
      <c r="F150">
        <f>IFERROR(VLOOKUP($A$4&amp;$F$4&amp;C150,BalancesAnuales1!$A$2:$E$20009,5,0)+0,0)/A6</f>
        <v>0</v>
      </c>
      <c r="G150">
        <f>IFERROR(VLOOKUP($A$4&amp;$G$4&amp;C150,BalancesMensuales1!$A$2:$E$20009,5,0)+0,0)/A6</f>
        <v>0</v>
      </c>
      <c r="H150">
        <f>IFERROR(VLOOKUP($A$4&amp;$H$4&amp;C150,BalancesMensuales1!$A$2:$E$20009,5,0)+0,0)/A6</f>
        <v>0</v>
      </c>
      <c r="Z150">
        <f t="shared" si="19"/>
        <v>86</v>
      </c>
      <c r="AA150">
        <f>ProductosRIB!A88</f>
        <v>0</v>
      </c>
      <c r="AB150" t="str">
        <f>PROPER(ProductosRIB!D88&amp;IF(ProductosRIB!F88="",""," - Marca: "&amp;ProductosRIB!F88))</f>
        <v/>
      </c>
      <c r="AC150">
        <f>ProductosRIB!E88</f>
        <v>0</v>
      </c>
    </row>
    <row r="151" spans="3:29" hidden="1">
      <c r="C151">
        <v>108300</v>
      </c>
      <c r="D151">
        <f>IFERROR(VLOOKUP($A$4&amp;$D$4&amp;C151,BalancesAnuales1!$A$2:$E$20009,5,0)+0,0)/A6</f>
        <v>0</v>
      </c>
      <c r="E151">
        <f>IFERROR(VLOOKUP($A$4&amp;$E$4&amp;C151,BalancesAnuales1!$A$2:$E$20009,5,0)+0,0)/A6</f>
        <v>0</v>
      </c>
      <c r="F151">
        <f>IFERROR(VLOOKUP($A$4&amp;$F$4&amp;C151,BalancesAnuales1!$A$2:$E$20009,5,0)+0,0)/A6</f>
        <v>0</v>
      </c>
      <c r="G151">
        <f>IFERROR(VLOOKUP($A$4&amp;$G$4&amp;C151,BalancesMensuales1!$A$2:$E$20009,5,0)+0,0)/A6</f>
        <v>0</v>
      </c>
      <c r="H151">
        <f>IFERROR(VLOOKUP($A$4&amp;$H$4&amp;C151,BalancesMensuales1!$A$2:$E$20009,5,0)+0,0)/A6</f>
        <v>0</v>
      </c>
      <c r="Z151">
        <f t="shared" si="19"/>
        <v>87</v>
      </c>
      <c r="AA151">
        <f>ProductosRIB!A89</f>
        <v>0</v>
      </c>
      <c r="AB151" t="str">
        <f>PROPER(ProductosRIB!D89&amp;IF(ProductosRIB!F89="",""," - Marca: "&amp;ProductosRIB!F89))</f>
        <v/>
      </c>
      <c r="AC151">
        <f>ProductosRIB!E89</f>
        <v>0</v>
      </c>
    </row>
    <row r="152" spans="3:29" hidden="1">
      <c r="C152">
        <v>108400</v>
      </c>
      <c r="D152">
        <f>IFERROR(VLOOKUP($A$4&amp;$D$4&amp;C152,BalancesAnuales1!$A$2:$E$20009,5,0)+0,0)/A6</f>
        <v>0</v>
      </c>
      <c r="E152">
        <f>IFERROR(VLOOKUP($A$4&amp;$E$4&amp;C152,BalancesAnuales1!$A$2:$E$20009,5,0)+0,0)/A6</f>
        <v>0</v>
      </c>
      <c r="F152">
        <f>IFERROR(VLOOKUP($A$4&amp;$F$4&amp;C152,BalancesAnuales1!$A$2:$E$20009,5,0)+0,0)/A6</f>
        <v>0</v>
      </c>
      <c r="G152">
        <f>IFERROR(VLOOKUP($A$4&amp;$G$4&amp;C152,BalancesMensuales1!$A$2:$E$20009,5,0)+0,0)/A6</f>
        <v>0</v>
      </c>
      <c r="H152">
        <f>IFERROR(VLOOKUP($A$4&amp;$H$4&amp;C152,BalancesMensuales1!$A$2:$E$20009,5,0)+0,0)/A6</f>
        <v>0</v>
      </c>
      <c r="Z152">
        <f t="shared" si="19"/>
        <v>88</v>
      </c>
      <c r="AA152">
        <f>ProductosRIB!A90</f>
        <v>0</v>
      </c>
      <c r="AB152" t="str">
        <f>PROPER(ProductosRIB!D90&amp;IF(ProductosRIB!F90="",""," - Marca: "&amp;ProductosRIB!F90))</f>
        <v/>
      </c>
      <c r="AC152">
        <f>ProductosRIB!E90</f>
        <v>0</v>
      </c>
    </row>
    <row r="153" spans="3:29" hidden="1">
      <c r="C153">
        <v>108000</v>
      </c>
      <c r="D153">
        <f>IFERROR(VLOOKUP($A$4&amp;$D$4&amp;C153,BalancesAnuales1!$A$2:$E$20009,5,0)+0,0)/A6</f>
        <v>0</v>
      </c>
      <c r="E153">
        <f>IFERROR(VLOOKUP($A$4&amp;$E$4&amp;C153,BalancesAnuales1!$A$2:$E$20009,5,0)+0,0)/A6</f>
        <v>0</v>
      </c>
      <c r="F153">
        <f>IFERROR(VLOOKUP($A$4&amp;$F$4&amp;C153,BalancesAnuales1!$A$2:$E$20009,5,0)+0,0)/A6</f>
        <v>0</v>
      </c>
      <c r="G153">
        <f>IFERROR(VLOOKUP($A$4&amp;$G$4&amp;C153,BalancesMensuales1!$A$2:$E$20009,5,0)+0,0)/A6</f>
        <v>0</v>
      </c>
      <c r="H153">
        <f>IFERROR(VLOOKUP($A$4&amp;$H$4&amp;C153,BalancesMensuales1!$A$2:$E$20009,5,0)+0,0)/A6</f>
        <v>0</v>
      </c>
      <c r="Z153">
        <f t="shared" si="19"/>
        <v>89</v>
      </c>
      <c r="AA153">
        <f>ProductosRIB!A91</f>
        <v>0</v>
      </c>
      <c r="AB153" t="str">
        <f>PROPER(ProductosRIB!D91&amp;IF(ProductosRIB!F91="",""," - Marca: "&amp;ProductosRIB!F91))</f>
        <v/>
      </c>
      <c r="AC153">
        <f>ProductosRIB!E91</f>
        <v>0</v>
      </c>
    </row>
    <row r="154" spans="3:29" hidden="1">
      <c r="Z154">
        <f t="shared" si="19"/>
        <v>90</v>
      </c>
      <c r="AA154">
        <f>ProductosRIB!A92</f>
        <v>0</v>
      </c>
      <c r="AB154" t="str">
        <f>PROPER(ProductosRIB!D92&amp;IF(ProductosRIB!F92="",""," - Marca: "&amp;ProductosRIB!F92))</f>
        <v/>
      </c>
      <c r="AC154">
        <f>ProductosRIB!E92</f>
        <v>0</v>
      </c>
    </row>
    <row r="155" spans="3:29" hidden="1">
      <c r="C155">
        <v>210500</v>
      </c>
      <c r="D155">
        <f>IFERROR(VLOOKUP($A$4&amp;$D$4&amp;C155,BalancesAnuales1!$A$2:$E$20009,5,0)+0,0)/A6</f>
        <v>0</v>
      </c>
      <c r="E155">
        <f>IFERROR(VLOOKUP($A$4&amp;$E$4&amp;C155,BalancesAnuales1!$A$2:$E$20009,5,0)+0,0)/A6</f>
        <v>0</v>
      </c>
      <c r="F155">
        <f>IFERROR(VLOOKUP($A$4&amp;$F$4&amp;C155,BalancesAnuales1!$A$2:$E$20009,5,0)+0,0)/A6</f>
        <v>0</v>
      </c>
      <c r="G155">
        <f>IFERROR(VLOOKUP($A$4&amp;$G$4&amp;C155,BalancesMensuales1!$A$2:$E$20009,5,0)+0,0)/A6</f>
        <v>0</v>
      </c>
      <c r="H155">
        <f>IFERROR(VLOOKUP($A$4&amp;$H$4&amp;C155,BalancesMensuales1!$A$2:$E$20009,5,0)+0,0)/A6</f>
        <v>0</v>
      </c>
      <c r="Z155">
        <f t="shared" si="19"/>
        <v>91</v>
      </c>
      <c r="AA155">
        <f>ProductosRIB!A93</f>
        <v>0</v>
      </c>
      <c r="AB155" t="str">
        <f>PROPER(ProductosRIB!D93&amp;IF(ProductosRIB!F93="",""," - Marca: "&amp;ProductosRIB!F93))</f>
        <v/>
      </c>
      <c r="AC155">
        <f>ProductosRIB!E93</f>
        <v>0</v>
      </c>
    </row>
    <row r="156" spans="3:29" hidden="1">
      <c r="C156">
        <v>211500</v>
      </c>
      <c r="D156">
        <f>IFERROR(VLOOKUP($A$4&amp;$D$4&amp;C156,BalancesAnuales1!$A$2:$E$20009,5,0)+0,0)/A6</f>
        <v>0</v>
      </c>
      <c r="E156">
        <f>IFERROR(VLOOKUP($A$4&amp;$E$4&amp;C156,BalancesAnuales1!$A$2:$E$20009,5,0)+0,0)/A6</f>
        <v>0</v>
      </c>
      <c r="F156">
        <f>IFERROR(VLOOKUP($A$4&amp;$F$4&amp;C156,BalancesAnuales1!$A$2:$E$20009,5,0)+0,0)/A6</f>
        <v>0</v>
      </c>
      <c r="G156">
        <f>IFERROR(VLOOKUP($A$4&amp;$G$4&amp;C156,BalancesMensuales1!$A$2:$E$20009,5,0)+0,0)/A6</f>
        <v>0</v>
      </c>
      <c r="H156">
        <f>IFERROR(VLOOKUP($A$4&amp;$H$4&amp;C156,BalancesMensuales1!$A$2:$E$20009,5,0)+0,0)/A6</f>
        <v>0</v>
      </c>
      <c r="Z156">
        <f t="shared" si="19"/>
        <v>92</v>
      </c>
      <c r="AA156">
        <f>ProductosRIB!A94</f>
        <v>0</v>
      </c>
      <c r="AB156" t="str">
        <f>PROPER(ProductosRIB!D94&amp;IF(ProductosRIB!F94="",""," - Marca: "&amp;ProductosRIB!F94))</f>
        <v/>
      </c>
      <c r="AC156">
        <f>ProductosRIB!E94</f>
        <v>0</v>
      </c>
    </row>
    <row r="157" spans="3:29" hidden="1">
      <c r="C157">
        <v>219500</v>
      </c>
      <c r="D157">
        <f>IFERROR(VLOOKUP($A$4&amp;$D$4&amp;C157,BalancesAnuales1!$A$2:$E$20009,5,0)+0,0)/A6</f>
        <v>0</v>
      </c>
      <c r="E157">
        <f>IFERROR(VLOOKUP($A$4&amp;$E$4&amp;C157,BalancesAnuales1!$A$2:$E$20009,5,0)+0,0)/A6</f>
        <v>0</v>
      </c>
      <c r="F157">
        <f>IFERROR(VLOOKUP($A$4&amp;$F$4&amp;C157,BalancesAnuales1!$A$2:$E$20009,5,0)+0,0)/A6</f>
        <v>0</v>
      </c>
      <c r="G157">
        <f>IFERROR(VLOOKUP($A$4&amp;$G$4&amp;C157,BalancesMensuales1!$A$2:$E$20009,5,0)+0,0)/A6</f>
        <v>0</v>
      </c>
      <c r="H157">
        <f>IFERROR(VLOOKUP($A$4&amp;$H$4&amp;C157,BalancesMensuales1!$A$2:$E$20009,5,0)+0,0)/A6</f>
        <v>0</v>
      </c>
      <c r="Z157">
        <f t="shared" si="19"/>
        <v>93</v>
      </c>
      <c r="AA157">
        <f>ProductosRIB!A95</f>
        <v>0</v>
      </c>
      <c r="AB157" t="str">
        <f>PROPER(ProductosRIB!D95&amp;IF(ProductosRIB!F95="",""," - Marca: "&amp;ProductosRIB!F95))</f>
        <v/>
      </c>
      <c r="AC157">
        <f>ProductosRIB!E95</f>
        <v>0</v>
      </c>
    </row>
    <row r="158" spans="3:29" hidden="1">
      <c r="C158">
        <v>2101</v>
      </c>
      <c r="D158">
        <f>IFERROR(VLOOKUP($A$4&amp;$D$4&amp;C158,BalancesAnuales1!$A$2:$E$20009,5,0)+0,0)/A6</f>
        <v>0</v>
      </c>
      <c r="E158">
        <f>IFERROR(VLOOKUP($A$4&amp;$E$4&amp;C158,BalancesAnuales1!$A$2:$E$20009,5,0)+0,0)/A6</f>
        <v>0</v>
      </c>
      <c r="F158">
        <f>IFERROR(VLOOKUP($A$4&amp;$F$4&amp;C158,BalancesAnuales1!$A$2:$E$20009,5,0)+0,0)/A6</f>
        <v>0</v>
      </c>
      <c r="G158">
        <f>IFERROR(VLOOKUP($A$4&amp;$G$4&amp;C158,BalancesMensuales1!$A$2:$E$20009,5,0)+0,0)/A6</f>
        <v>0</v>
      </c>
      <c r="H158">
        <f>IFERROR(VLOOKUP($A$4&amp;$H$4&amp;C158,BalancesMensuales1!$A$2:$E$20009,5,0)+0,0)/A6</f>
        <v>0</v>
      </c>
      <c r="Z158">
        <f t="shared" si="19"/>
        <v>94</v>
      </c>
      <c r="AA158">
        <f>ProductosRIB!A96</f>
        <v>0</v>
      </c>
      <c r="AB158" t="str">
        <f>PROPER(ProductosRIB!D96&amp;IF(ProductosRIB!F96="",""," - Marca: "&amp;ProductosRIB!F96))</f>
        <v/>
      </c>
      <c r="AC158">
        <f>ProductosRIB!E96</f>
        <v>0</v>
      </c>
    </row>
    <row r="159" spans="3:29" hidden="1">
      <c r="C159">
        <v>220500</v>
      </c>
      <c r="D159">
        <f>IFERROR(VLOOKUP($A$4&amp;$D$4&amp;C159,BalancesAnuales1!$A$2:$E$20009,5,0)+0,0)/A6</f>
        <v>0</v>
      </c>
      <c r="E159">
        <f>IFERROR(VLOOKUP($A$4&amp;$E$4&amp;C159,BalancesAnuales1!$A$2:$E$20009,5,0)+0,0)/A6</f>
        <v>0</v>
      </c>
      <c r="F159">
        <f>IFERROR(VLOOKUP($A$4&amp;$F$4&amp;C159,BalancesAnuales1!$A$2:$E$20009,5,0)+0,0)/A6</f>
        <v>0</v>
      </c>
      <c r="G159">
        <f>IFERROR(VLOOKUP($A$4&amp;$G$4&amp;C159,BalancesMensuales1!$A$2:$E$20009,5,0)+0,0)/A6</f>
        <v>0</v>
      </c>
      <c r="H159">
        <f>IFERROR(VLOOKUP($A$4&amp;$H$4&amp;C159,BalancesMensuales1!$A$2:$E$20009,5,0)+0,0)/A6</f>
        <v>0</v>
      </c>
      <c r="Z159">
        <f t="shared" si="19"/>
        <v>95</v>
      </c>
      <c r="AA159">
        <f>ProductosRIB!A97</f>
        <v>0</v>
      </c>
      <c r="AB159" t="str">
        <f>PROPER(ProductosRIB!D97&amp;IF(ProductosRIB!F97="",""," - Marca: "&amp;ProductosRIB!F97))</f>
        <v/>
      </c>
      <c r="AC159">
        <f>ProductosRIB!E97</f>
        <v>0</v>
      </c>
    </row>
    <row r="160" spans="3:29" hidden="1">
      <c r="C160">
        <v>221000</v>
      </c>
      <c r="D160">
        <f>IFERROR(VLOOKUP($A$4&amp;$D$4&amp;C160,BalancesAnuales1!$A$2:$E$20009,5,0)+0,0)/A6</f>
        <v>0</v>
      </c>
      <c r="E160">
        <f>IFERROR(VLOOKUP($A$4&amp;$E$4&amp;C160,BalancesAnuales1!$A$2:$E$20009,5,0)+0,0)/A6</f>
        <v>0</v>
      </c>
      <c r="F160">
        <f>IFERROR(VLOOKUP($A$4&amp;$F$4&amp;C160,BalancesAnuales1!$A$2:$E$20009,5,0)+0,0)/A6</f>
        <v>0</v>
      </c>
      <c r="G160">
        <f>IFERROR(VLOOKUP($A$4&amp;$G$4&amp;C160,BalancesMensuales1!$A$2:$E$20009,5,0)+0,0)/A6</f>
        <v>0</v>
      </c>
      <c r="H160">
        <f>IFERROR(VLOOKUP($A$4&amp;$H$4&amp;C160,BalancesMensuales1!$A$2:$E$20009,5,0)+0,0)/A6</f>
        <v>0</v>
      </c>
      <c r="Z160">
        <f t="shared" si="19"/>
        <v>96</v>
      </c>
      <c r="AA160">
        <f>ProductosRIB!A98</f>
        <v>0</v>
      </c>
      <c r="AB160" t="str">
        <f>PROPER(ProductosRIB!D98&amp;IF(ProductosRIB!F98="",""," - Marca: "&amp;ProductosRIB!F98))</f>
        <v/>
      </c>
      <c r="AC160">
        <f>ProductosRIB!E98</f>
        <v>0</v>
      </c>
    </row>
    <row r="161" spans="3:29" hidden="1">
      <c r="C161">
        <v>221500</v>
      </c>
      <c r="D161">
        <f>IFERROR(VLOOKUP($A$4&amp;$D$4&amp;C161,BalancesAnuales1!$A$2:$E$20009,5,0)+0,0)/A6</f>
        <v>0</v>
      </c>
      <c r="E161">
        <f>IFERROR(VLOOKUP($A$4&amp;$E$4&amp;C161,BalancesAnuales1!$A$2:$E$20009,5,0)+0,0)/A6</f>
        <v>0</v>
      </c>
      <c r="F161">
        <f>IFERROR(VLOOKUP($A$4&amp;$F$4&amp;C161,BalancesAnuales1!$A$2:$E$20009,5,0)+0,0)/A6</f>
        <v>0</v>
      </c>
      <c r="G161">
        <f>IFERROR(VLOOKUP($A$4&amp;$G$4&amp;C161,BalancesMensuales1!$A$2:$E$20009,5,0)+0,0)/A6</f>
        <v>0</v>
      </c>
      <c r="H161">
        <f>IFERROR(VLOOKUP($A$4&amp;$H$4&amp;C161,BalancesMensuales1!$A$2:$E$20009,5,0)+0,0)/A6</f>
        <v>0</v>
      </c>
      <c r="Z161">
        <f t="shared" ref="Z161:Z192" si="20">IF(AA161=$A$4,Z160+1,0)</f>
        <v>97</v>
      </c>
      <c r="AA161">
        <f>ProductosRIB!A99</f>
        <v>0</v>
      </c>
      <c r="AB161" t="str">
        <f>PROPER(ProductosRIB!D99&amp;IF(ProductosRIB!F99="",""," - Marca: "&amp;ProductosRIB!F99))</f>
        <v/>
      </c>
      <c r="AC161">
        <f>ProductosRIB!E99</f>
        <v>0</v>
      </c>
    </row>
    <row r="162" spans="3:29" hidden="1">
      <c r="C162">
        <v>2102</v>
      </c>
      <c r="D162">
        <f>IFERROR(VLOOKUP($A$4&amp;$D$4&amp;C162,BalancesAnuales1!$A$2:$E$20009,5,0)+0,0)/A6</f>
        <v>0</v>
      </c>
      <c r="E162">
        <f>IFERROR(VLOOKUP($A$4&amp;$E$4&amp;C162,BalancesAnuales1!$A$2:$E$20009,5,0)+0,0)/A6</f>
        <v>0</v>
      </c>
      <c r="F162">
        <f>IFERROR(VLOOKUP($A$4&amp;$F$4&amp;C162,BalancesAnuales1!$A$2:$E$20009,5,0)+0,0)/A6</f>
        <v>0</v>
      </c>
      <c r="G162">
        <f>IFERROR(VLOOKUP($A$4&amp;$G$4&amp;C162,BalancesMensuales1!$A$2:$E$20009,5,0)+0,0)/A6</f>
        <v>0</v>
      </c>
      <c r="H162">
        <f>IFERROR(VLOOKUP($A$4&amp;$H$4&amp;C162,BalancesMensuales1!$A$2:$E$20009,5,0)+0,0)/A6</f>
        <v>0</v>
      </c>
      <c r="Z162">
        <f t="shared" si="20"/>
        <v>98</v>
      </c>
      <c r="AA162">
        <f>ProductosRIB!A100</f>
        <v>0</v>
      </c>
      <c r="AB162" t="str">
        <f>PROPER(ProductosRIB!D100&amp;IF(ProductosRIB!F100="",""," - Marca: "&amp;ProductosRIB!F100))</f>
        <v/>
      </c>
      <c r="AC162">
        <f>ProductosRIB!E100</f>
        <v>0</v>
      </c>
    </row>
    <row r="163" spans="3:29" hidden="1">
      <c r="C163">
        <v>230500</v>
      </c>
      <c r="D163">
        <f>IFERROR(VLOOKUP($A$4&amp;$D$4&amp;C163,BalancesAnuales1!$A$2:$E$20009,5,0)+0,0)/A6</f>
        <v>0</v>
      </c>
      <c r="E163">
        <f>IFERROR(VLOOKUP($A$4&amp;$E$4&amp;C163,BalancesAnuales1!$A$2:$E$20009,5,0)+0,0)/A6</f>
        <v>0</v>
      </c>
      <c r="F163">
        <f>IFERROR(VLOOKUP($A$4&amp;$F$4&amp;C163,BalancesAnuales1!$A$2:$E$20009,5,0)+0,0)/A6</f>
        <v>0</v>
      </c>
      <c r="G163">
        <f>IFERROR(VLOOKUP($A$4&amp;$G$4&amp;C163,BalancesMensuales1!$A$2:$E$20009,5,0)+0,0)/A6</f>
        <v>0</v>
      </c>
      <c r="H163">
        <f>IFERROR(VLOOKUP($A$4&amp;$H$4&amp;C163,BalancesMensuales1!$A$2:$E$20009,5,0)+0,0)/A6</f>
        <v>0</v>
      </c>
      <c r="Z163">
        <f t="shared" si="20"/>
        <v>99</v>
      </c>
      <c r="AA163">
        <f>ProductosRIB!A101</f>
        <v>0</v>
      </c>
      <c r="AB163" t="str">
        <f>PROPER(ProductosRIB!D101&amp;IF(ProductosRIB!F101="",""," - Marca: "&amp;ProductosRIB!F101))</f>
        <v/>
      </c>
      <c r="AC163">
        <f>ProductosRIB!E101</f>
        <v>0</v>
      </c>
    </row>
    <row r="164" spans="3:29" hidden="1">
      <c r="C164">
        <v>231000</v>
      </c>
      <c r="D164">
        <f>IFERROR(VLOOKUP($A$4&amp;$D$4&amp;C164,BalancesAnuales1!$A$2:$E$20009,5,0)+0,0)/A6</f>
        <v>0</v>
      </c>
      <c r="E164">
        <f>IFERROR(VLOOKUP($A$4&amp;$E$4&amp;C164,BalancesAnuales1!$A$2:$E$20009,5,0)+0,0)/A6</f>
        <v>0</v>
      </c>
      <c r="F164">
        <f>IFERROR(VLOOKUP($A$4&amp;$F$4&amp;C164,BalancesAnuales1!$A$2:$E$20009,5,0)+0,0)/A6</f>
        <v>0</v>
      </c>
      <c r="G164">
        <f>IFERROR(VLOOKUP($A$4&amp;$G$4&amp;C164,BalancesMensuales1!$A$2:$E$20009,5,0)+0,0)/A6</f>
        <v>0</v>
      </c>
      <c r="H164">
        <f>IFERROR(VLOOKUP($A$4&amp;$H$4&amp;C164,BalancesMensuales1!$A$2:$E$20009,5,0)+0,0)/A6</f>
        <v>0</v>
      </c>
      <c r="Z164">
        <f t="shared" si="20"/>
        <v>100</v>
      </c>
      <c r="AA164">
        <f>ProductosRIB!A102</f>
        <v>0</v>
      </c>
      <c r="AB164" t="str">
        <f>PROPER(ProductosRIB!D102&amp;IF(ProductosRIB!F102="",""," - Marca: "&amp;ProductosRIB!F102))</f>
        <v/>
      </c>
      <c r="AC164">
        <f>ProductosRIB!E102</f>
        <v>0</v>
      </c>
    </row>
    <row r="165" spans="3:29" hidden="1">
      <c r="C165">
        <v>231500</v>
      </c>
      <c r="D165">
        <f>IFERROR(VLOOKUP($A$4&amp;$D$4&amp;C165,BalancesAnuales1!$A$2:$E$20009,5,0)+0,0)/A6</f>
        <v>0</v>
      </c>
      <c r="E165">
        <f>IFERROR(VLOOKUP($A$4&amp;$E$4&amp;C165,BalancesAnuales1!$A$2:$E$20009,5,0)+0,0)/A6</f>
        <v>0</v>
      </c>
      <c r="F165">
        <f>IFERROR(VLOOKUP($A$4&amp;$F$4&amp;C165,BalancesAnuales1!$A$2:$E$20009,5,0)+0,0)/A6</f>
        <v>0</v>
      </c>
      <c r="G165">
        <f>IFERROR(VLOOKUP($A$4&amp;$G$4&amp;C165,BalancesMensuales1!$A$2:$E$20009,5,0)+0,0)/A6</f>
        <v>0</v>
      </c>
      <c r="H165">
        <f>IFERROR(VLOOKUP($A$4&amp;$H$4&amp;C165,BalancesMensuales1!$A$2:$E$20009,5,0)+0,0)/A6</f>
        <v>0</v>
      </c>
      <c r="Z165">
        <f t="shared" si="20"/>
        <v>101</v>
      </c>
      <c r="AA165">
        <f>ProductosRIB!A103</f>
        <v>0</v>
      </c>
      <c r="AB165" t="str">
        <f>PROPER(ProductosRIB!D103&amp;IF(ProductosRIB!F103="",""," - Marca: "&amp;ProductosRIB!F103))</f>
        <v/>
      </c>
      <c r="AC165">
        <f>ProductosRIB!E103</f>
        <v>0</v>
      </c>
    </row>
    <row r="166" spans="3:29" hidden="1">
      <c r="C166">
        <v>232000</v>
      </c>
      <c r="D166">
        <f>IFERROR(VLOOKUP($A$4&amp;$D$4&amp;C166,BalancesAnuales1!$A$2:$E$20009,5,0)+0,0)/A6</f>
        <v>0</v>
      </c>
      <c r="E166">
        <f>IFERROR(VLOOKUP($A$4&amp;$E$4&amp;C166,BalancesAnuales1!$A$2:$E$20009,5,0)+0,0)/A6</f>
        <v>0</v>
      </c>
      <c r="F166">
        <f>IFERROR(VLOOKUP($A$4&amp;$F$4&amp;C166,BalancesAnuales1!$A$2:$E$20009,5,0)+0,0)/A6</f>
        <v>0</v>
      </c>
      <c r="G166">
        <f>IFERROR(VLOOKUP($A$4&amp;$G$4&amp;C166,BalancesMensuales1!$A$2:$E$20009,5,0)+0,0)/A6</f>
        <v>0</v>
      </c>
      <c r="H166">
        <f>IFERROR(VLOOKUP($A$4&amp;$H$4&amp;C166,BalancesMensuales1!$A$2:$E$20009,5,0)+0,0)/A6</f>
        <v>0</v>
      </c>
      <c r="Z166">
        <f t="shared" si="20"/>
        <v>102</v>
      </c>
      <c r="AA166">
        <f>ProductosRIB!A104</f>
        <v>0</v>
      </c>
      <c r="AB166" t="str">
        <f>PROPER(ProductosRIB!D104&amp;IF(ProductosRIB!F104="",""," - Marca: "&amp;ProductosRIB!F104))</f>
        <v/>
      </c>
      <c r="AC166">
        <f>ProductosRIB!E104</f>
        <v>0</v>
      </c>
    </row>
    <row r="167" spans="3:29" hidden="1">
      <c r="C167">
        <v>233500</v>
      </c>
      <c r="D167">
        <f>IFERROR(VLOOKUP($A$4&amp;$D$4&amp;C167,BalancesAnuales1!$A$2:$E$20009,5,0)+0,0)/A6</f>
        <v>0</v>
      </c>
      <c r="E167">
        <f>IFERROR(VLOOKUP($A$4&amp;$E$4&amp;C167,BalancesAnuales1!$A$2:$E$20009,5,0)+0,0)/A6</f>
        <v>0</v>
      </c>
      <c r="F167">
        <f>IFERROR(VLOOKUP($A$4&amp;$F$4&amp;C167,BalancesAnuales1!$A$2:$E$20009,5,0)+0,0)/A6</f>
        <v>0</v>
      </c>
      <c r="G167">
        <f>IFERROR(VLOOKUP($A$4&amp;$G$4&amp;C167,BalancesMensuales1!$A$2:$E$20009,5,0)+0,0)/A6</f>
        <v>0</v>
      </c>
      <c r="H167">
        <f>IFERROR(VLOOKUP($A$4&amp;$H$4&amp;C167,BalancesMensuales1!$A$2:$E$20009,5,0)+0,0)/A6</f>
        <v>0</v>
      </c>
      <c r="Z167">
        <f t="shared" si="20"/>
        <v>103</v>
      </c>
      <c r="AA167">
        <f>ProductosRIB!A105</f>
        <v>0</v>
      </c>
      <c r="AB167" t="str">
        <f>PROPER(ProductosRIB!D105&amp;IF(ProductosRIB!F105="",""," - Marca: "&amp;ProductosRIB!F105))</f>
        <v/>
      </c>
      <c r="AC167">
        <f>ProductosRIB!E105</f>
        <v>0</v>
      </c>
    </row>
    <row r="168" spans="3:29" hidden="1">
      <c r="C168">
        <v>234500</v>
      </c>
      <c r="D168">
        <f>IFERROR(VLOOKUP($A$4&amp;$D$4&amp;C168,BalancesAnuales1!$A$2:$E$20009,5,0)+0,0)/A6</f>
        <v>0</v>
      </c>
      <c r="E168">
        <f>IFERROR(VLOOKUP($A$4&amp;$E$4&amp;C168,BalancesAnuales1!$A$2:$E$20009,5,0)+0,0)/A6</f>
        <v>0</v>
      </c>
      <c r="F168">
        <f>IFERROR(VLOOKUP($A$4&amp;$F$4&amp;C168,BalancesAnuales1!$A$2:$E$20009,5,0)+0,0)/A6</f>
        <v>0</v>
      </c>
      <c r="G168">
        <f>IFERROR(VLOOKUP($A$4&amp;$G$4&amp;C168,BalancesMensuales1!$A$2:$E$20009,5,0)+0,0)/A6</f>
        <v>0</v>
      </c>
      <c r="H168">
        <f>IFERROR(VLOOKUP($A$4&amp;$H$4&amp;C168,BalancesMensuales1!$A$2:$E$20009,5,0)+0,0)/A6</f>
        <v>0</v>
      </c>
      <c r="Z168">
        <f t="shared" si="20"/>
        <v>104</v>
      </c>
      <c r="AA168">
        <f>ProductosRIB!A106</f>
        <v>0</v>
      </c>
      <c r="AB168" t="str">
        <f>PROPER(ProductosRIB!D106&amp;IF(ProductosRIB!F106="",""," - Marca: "&amp;ProductosRIB!F106))</f>
        <v/>
      </c>
      <c r="AC168">
        <f>ProductosRIB!E106</f>
        <v>0</v>
      </c>
    </row>
    <row r="169" spans="3:29" hidden="1">
      <c r="C169">
        <v>235000</v>
      </c>
      <c r="D169">
        <f>IFERROR(VLOOKUP($A$4&amp;$D$4&amp;C169,BalancesAnuales1!$A$2:$E$20009,5,0)+0,0)/A6</f>
        <v>0</v>
      </c>
      <c r="E169">
        <f>IFERROR(VLOOKUP($A$4&amp;$E$4&amp;C169,BalancesAnuales1!$A$2:$E$20009,5,0)+0,0)/A6</f>
        <v>0</v>
      </c>
      <c r="F169">
        <f>IFERROR(VLOOKUP($A$4&amp;$F$4&amp;C169,BalancesAnuales1!$A$2:$E$20009,5,0)+0,0)/A6</f>
        <v>0</v>
      </c>
      <c r="G169">
        <f>IFERROR(VLOOKUP($A$4&amp;$G$4&amp;C169,BalancesMensuales1!$A$2:$E$20009,5,0)+0,0)/A6</f>
        <v>0</v>
      </c>
      <c r="H169">
        <f>IFERROR(VLOOKUP($A$4&amp;$H$4&amp;C169,BalancesMensuales1!$A$2:$E$20009,5,0)+0,0)/A6</f>
        <v>0</v>
      </c>
      <c r="Z169">
        <f t="shared" si="20"/>
        <v>105</v>
      </c>
      <c r="AA169">
        <f>ProductosRIB!A107</f>
        <v>0</v>
      </c>
      <c r="AB169" t="str">
        <f>PROPER(ProductosRIB!D107&amp;IF(ProductosRIB!F107="",""," - Marca: "&amp;ProductosRIB!F107))</f>
        <v/>
      </c>
      <c r="AC169">
        <f>ProductosRIB!E107</f>
        <v>0</v>
      </c>
    </row>
    <row r="170" spans="3:29" hidden="1">
      <c r="C170">
        <v>235500</v>
      </c>
      <c r="D170">
        <f>IFERROR(VLOOKUP($A$4&amp;$D$4&amp;C170,BalancesAnuales1!$A$2:$E$20009,5,0)+0,0)/A6</f>
        <v>0</v>
      </c>
      <c r="E170">
        <f>IFERROR(VLOOKUP($A$4&amp;$E$4&amp;C170,BalancesAnuales1!$A$2:$E$20009,5,0)+0,0)/A6</f>
        <v>0</v>
      </c>
      <c r="F170">
        <f>IFERROR(VLOOKUP($A$4&amp;$F$4&amp;C170,BalancesAnuales1!$A$2:$E$20009,5,0)+0,0)/A6</f>
        <v>0</v>
      </c>
      <c r="G170">
        <f>IFERROR(VLOOKUP($A$4&amp;$G$4&amp;C170,BalancesMensuales1!$A$2:$E$20009,5,0)+0,0)/A6</f>
        <v>0</v>
      </c>
      <c r="H170">
        <f>IFERROR(VLOOKUP($A$4&amp;$H$4&amp;C170,BalancesMensuales1!$A$2:$E$20009,5,0)+0,0)/A6</f>
        <v>0</v>
      </c>
      <c r="Z170">
        <f t="shared" si="20"/>
        <v>106</v>
      </c>
      <c r="AA170">
        <f>ProductosRIB!A108</f>
        <v>0</v>
      </c>
      <c r="AB170" t="str">
        <f>PROPER(ProductosRIB!D108&amp;IF(ProductosRIB!F108="",""," - Marca: "&amp;ProductosRIB!F108))</f>
        <v/>
      </c>
      <c r="AC170">
        <f>ProductosRIB!E108</f>
        <v>0</v>
      </c>
    </row>
    <row r="171" spans="3:29" hidden="1">
      <c r="C171">
        <v>236000</v>
      </c>
      <c r="D171">
        <f>IFERROR(VLOOKUP($A$4&amp;$D$4&amp;C171,BalancesAnuales1!$A$2:$E$20009,5,0)+0,0)/A6</f>
        <v>0</v>
      </c>
      <c r="E171">
        <f>IFERROR(VLOOKUP($A$4&amp;$E$4&amp;C171,BalancesAnuales1!$A$2:$E$20009,5,0)+0,0)/A6</f>
        <v>0</v>
      </c>
      <c r="F171">
        <f>IFERROR(VLOOKUP($A$4&amp;$F$4&amp;C171,BalancesAnuales1!$A$2:$E$20009,5,0)+0,0)/A6</f>
        <v>0</v>
      </c>
      <c r="G171">
        <f>IFERROR(VLOOKUP($A$4&amp;$G$4&amp;C171,BalancesMensuales1!$A$2:$E$20009,5,0)+0,0)/A6</f>
        <v>0</v>
      </c>
      <c r="H171">
        <f>IFERROR(VLOOKUP($A$4&amp;$H$4&amp;C171,BalancesMensuales1!$A$2:$E$20009,5,0)+0,0)/A6</f>
        <v>0</v>
      </c>
      <c r="Z171">
        <f t="shared" si="20"/>
        <v>107</v>
      </c>
      <c r="AA171">
        <f>ProductosRIB!A109</f>
        <v>0</v>
      </c>
      <c r="AB171" t="str">
        <f>PROPER(ProductosRIB!D109&amp;IF(ProductosRIB!F109="",""," - Marca: "&amp;ProductosRIB!F109))</f>
        <v/>
      </c>
      <c r="AC171">
        <f>ProductosRIB!E109</f>
        <v>0</v>
      </c>
    </row>
    <row r="172" spans="3:29" hidden="1">
      <c r="C172">
        <v>236500</v>
      </c>
      <c r="D172">
        <f>IFERROR(VLOOKUP($A$4&amp;$D$4&amp;C172,BalancesAnuales1!$A$2:$E$20009,5,0)+0,0)/A6</f>
        <v>0</v>
      </c>
      <c r="E172">
        <f>IFERROR(VLOOKUP($A$4&amp;$E$4&amp;C172,BalancesAnuales1!$A$2:$E$20009,5,0)+0,0)/A6</f>
        <v>0</v>
      </c>
      <c r="F172">
        <f>IFERROR(VLOOKUP($A$4&amp;$F$4&amp;C172,BalancesAnuales1!$A$2:$E$20009,5,0)+0,0)/A6</f>
        <v>0</v>
      </c>
      <c r="G172">
        <f>IFERROR(VLOOKUP($A$4&amp;$G$4&amp;C172,BalancesMensuales1!$A$2:$E$20009,5,0)+0,0)/A6</f>
        <v>0</v>
      </c>
      <c r="H172">
        <f>IFERROR(VLOOKUP($A$4&amp;$H$4&amp;C172,BalancesMensuales1!$A$2:$E$20009,5,0)+0,0)/A6</f>
        <v>0</v>
      </c>
      <c r="Z172">
        <f t="shared" si="20"/>
        <v>108</v>
      </c>
      <c r="AA172">
        <f>ProductosRIB!A110</f>
        <v>0</v>
      </c>
      <c r="AB172" t="str">
        <f>PROPER(ProductosRIB!D110&amp;IF(ProductosRIB!F110="",""," - Marca: "&amp;ProductosRIB!F110))</f>
        <v/>
      </c>
      <c r="AC172">
        <f>ProductosRIB!E110</f>
        <v>0</v>
      </c>
    </row>
    <row r="173" spans="3:29" hidden="1">
      <c r="C173">
        <v>236700</v>
      </c>
      <c r="D173">
        <f>IFERROR(VLOOKUP($A$4&amp;$D$4&amp;C173,BalancesAnuales1!$A$2:$E$20009,5,0)+0,0)/A6</f>
        <v>0</v>
      </c>
      <c r="E173">
        <f>IFERROR(VLOOKUP($A$4&amp;$E$4&amp;C173,BalancesAnuales1!$A$2:$E$20009,5,0)+0,0)/A6</f>
        <v>0</v>
      </c>
      <c r="F173">
        <f>IFERROR(VLOOKUP($A$4&amp;$F$4&amp;C173,BalancesAnuales1!$A$2:$E$20009,5,0)+0,0)/A6</f>
        <v>0</v>
      </c>
      <c r="G173">
        <f>IFERROR(VLOOKUP($A$4&amp;$G$4&amp;C173,BalancesMensuales1!$A$2:$E$20009,5,0)+0,0)/A6</f>
        <v>0</v>
      </c>
      <c r="H173">
        <f>IFERROR(VLOOKUP($A$4&amp;$H$4&amp;C173,BalancesMensuales1!$A$2:$E$20009,5,0)+0,0)/A6</f>
        <v>0</v>
      </c>
      <c r="Z173">
        <f t="shared" si="20"/>
        <v>109</v>
      </c>
      <c r="AA173">
        <f>ProductosRIB!A111</f>
        <v>0</v>
      </c>
      <c r="AB173" t="str">
        <f>PROPER(ProductosRIB!D111&amp;IF(ProductosRIB!F111="",""," - Marca: "&amp;ProductosRIB!F111))</f>
        <v/>
      </c>
      <c r="AC173">
        <f>ProductosRIB!E111</f>
        <v>0</v>
      </c>
    </row>
    <row r="174" spans="3:29" hidden="1">
      <c r="C174">
        <v>236800</v>
      </c>
      <c r="D174">
        <f>IFERROR(VLOOKUP($A$4&amp;$D$4&amp;C174,BalancesAnuales1!$A$2:$E$20009,5,0)+0,0)/A6</f>
        <v>0</v>
      </c>
      <c r="E174">
        <f>IFERROR(VLOOKUP($A$4&amp;$E$4&amp;C174,BalancesAnuales1!$A$2:$E$20009,5,0)+0,0)/A6</f>
        <v>0</v>
      </c>
      <c r="F174">
        <f>IFERROR(VLOOKUP($A$4&amp;$F$4&amp;C174,BalancesAnuales1!$A$2:$E$20009,5,0)+0,0)/A6</f>
        <v>0</v>
      </c>
      <c r="G174">
        <f>IFERROR(VLOOKUP($A$4&amp;$G$4&amp;C174,BalancesMensuales1!$A$2:$E$20009,5,0)+0,0)/A6</f>
        <v>0</v>
      </c>
      <c r="H174">
        <f>IFERROR(VLOOKUP($A$4&amp;$H$4&amp;C174,BalancesMensuales1!$A$2:$E$20009,5,0)+0,0)/A6</f>
        <v>0</v>
      </c>
      <c r="Z174">
        <f t="shared" si="20"/>
        <v>110</v>
      </c>
      <c r="AA174">
        <f>ProductosRIB!A112</f>
        <v>0</v>
      </c>
      <c r="AB174" t="str">
        <f>PROPER(ProductosRIB!D112&amp;IF(ProductosRIB!F112="",""," - Marca: "&amp;ProductosRIB!F112))</f>
        <v/>
      </c>
      <c r="AC174">
        <f>ProductosRIB!E112</f>
        <v>0</v>
      </c>
    </row>
    <row r="175" spans="3:29" hidden="1">
      <c r="C175">
        <v>237000</v>
      </c>
      <c r="D175">
        <f>IFERROR(VLOOKUP($A$4&amp;$D$4&amp;C175,BalancesAnuales1!$A$2:$E$20009,5,0)+0,0)/A6</f>
        <v>0</v>
      </c>
      <c r="E175">
        <f>IFERROR(VLOOKUP($A$4&amp;$E$4&amp;C175,BalancesAnuales1!$A$2:$E$20009,5,0)+0,0)/A6</f>
        <v>0</v>
      </c>
      <c r="F175">
        <f>IFERROR(VLOOKUP($A$4&amp;$F$4&amp;C175,BalancesAnuales1!$A$2:$E$20009,5,0)+0,0)/A6</f>
        <v>0</v>
      </c>
      <c r="G175">
        <f>IFERROR(VLOOKUP($A$4&amp;$G$4&amp;C175,BalancesMensuales1!$A$2:$E$20009,5,0)+0,0)/A6</f>
        <v>0</v>
      </c>
      <c r="H175">
        <f>IFERROR(VLOOKUP($A$4&amp;$H$4&amp;C175,BalancesMensuales1!$A$2:$E$20009,5,0)+0,0)/A6</f>
        <v>0</v>
      </c>
      <c r="Z175">
        <f t="shared" si="20"/>
        <v>111</v>
      </c>
      <c r="AA175">
        <f>ProductosRIB!A113</f>
        <v>0</v>
      </c>
      <c r="AB175" t="str">
        <f>PROPER(ProductosRIB!D113&amp;IF(ProductosRIB!F113="",""," - Marca: "&amp;ProductosRIB!F113))</f>
        <v/>
      </c>
      <c r="AC175">
        <f>ProductosRIB!E113</f>
        <v>0</v>
      </c>
    </row>
    <row r="176" spans="3:29" hidden="1">
      <c r="C176">
        <v>238000</v>
      </c>
      <c r="D176">
        <f>IFERROR(VLOOKUP($A$4&amp;$D$4&amp;C176,BalancesAnuales1!$A$2:$E$20009,5,0)+0,0)/A6</f>
        <v>0</v>
      </c>
      <c r="E176">
        <f>IFERROR(VLOOKUP($A$4&amp;$E$4&amp;C176,BalancesAnuales1!$A$2:$E$20009,5,0)+0,0)/A6</f>
        <v>0</v>
      </c>
      <c r="F176">
        <f>IFERROR(VLOOKUP($A$4&amp;$F$4&amp;C176,BalancesAnuales1!$A$2:$E$20009,5,0)+0,0)/A6</f>
        <v>0</v>
      </c>
      <c r="G176">
        <f>IFERROR(VLOOKUP($A$4&amp;$G$4&amp;C176,BalancesMensuales1!$A$2:$E$20009,5,0)+0,0)/A6</f>
        <v>0</v>
      </c>
      <c r="H176">
        <f>IFERROR(VLOOKUP($A$4&amp;$H$4&amp;C176,BalancesMensuales1!$A$2:$E$20009,5,0)+0,0)/A6</f>
        <v>0</v>
      </c>
      <c r="Z176">
        <f t="shared" si="20"/>
        <v>112</v>
      </c>
      <c r="AA176">
        <f>ProductosRIB!A114</f>
        <v>0</v>
      </c>
      <c r="AB176" t="str">
        <f>PROPER(ProductosRIB!D114&amp;IF(ProductosRIB!F114="",""," - Marca: "&amp;ProductosRIB!F114))</f>
        <v/>
      </c>
      <c r="AC176">
        <f>ProductosRIB!E114</f>
        <v>0</v>
      </c>
    </row>
    <row r="177" spans="3:29" hidden="1">
      <c r="C177">
        <v>2103</v>
      </c>
      <c r="D177">
        <f>IFERROR(VLOOKUP($A$4&amp;$D$4&amp;C177,BalancesAnuales1!$A$2:$E$20009,5,0)+0,0)/A6</f>
        <v>0</v>
      </c>
      <c r="E177">
        <f>IFERROR(VLOOKUP($A$4&amp;$E$4&amp;C177,BalancesAnuales1!$A$2:$E$20009,5,0)+0,0)/A6</f>
        <v>0</v>
      </c>
      <c r="F177">
        <f>IFERROR(VLOOKUP($A$4&amp;$F$4&amp;C177,BalancesAnuales1!$A$2:$E$20009,5,0)+0,0)/A6</f>
        <v>0</v>
      </c>
      <c r="G177">
        <f>IFERROR(VLOOKUP($A$4&amp;$G$4&amp;C177,BalancesMensuales1!$A$2:$E$20009,5,0)+0,0)/A6</f>
        <v>0</v>
      </c>
      <c r="H177">
        <f>IFERROR(VLOOKUP($A$4&amp;$H$4&amp;C177,BalancesMensuales1!$A$2:$E$20009,5,0)+0,0)/A6</f>
        <v>0</v>
      </c>
      <c r="Z177">
        <f t="shared" si="20"/>
        <v>113</v>
      </c>
      <c r="AA177">
        <f>ProductosRIB!A115</f>
        <v>0</v>
      </c>
      <c r="AB177" t="str">
        <f>PROPER(ProductosRIB!D115&amp;IF(ProductosRIB!F115="",""," - Marca: "&amp;ProductosRIB!F115))</f>
        <v/>
      </c>
      <c r="AC177">
        <f>ProductosRIB!E115</f>
        <v>0</v>
      </c>
    </row>
    <row r="178" spans="3:29" hidden="1">
      <c r="C178">
        <v>240400</v>
      </c>
      <c r="D178">
        <f>IFERROR(VLOOKUP($A$4&amp;$D$4&amp;C178,BalancesAnuales1!$A$2:$E$20009,5,0)+0,0)/A6</f>
        <v>0</v>
      </c>
      <c r="E178">
        <f>IFERROR(VLOOKUP($A$4&amp;$E$4&amp;C178,BalancesAnuales1!$A$2:$E$20009,5,0)+0,0)/A6</f>
        <v>0</v>
      </c>
      <c r="F178">
        <f>IFERROR(VLOOKUP($A$4&amp;$F$4&amp;C178,BalancesAnuales1!$A$2:$E$20009,5,0)+0,0)/A6</f>
        <v>0</v>
      </c>
      <c r="G178">
        <f>IFERROR(VLOOKUP($A$4&amp;$G$4&amp;C178,BalancesMensuales1!$A$2:$E$20009,5,0)+0,0)/A6</f>
        <v>0</v>
      </c>
      <c r="H178">
        <f>IFERROR(VLOOKUP($A$4&amp;$H$4&amp;C178,BalancesMensuales1!$A$2:$E$20009,5,0)+0,0)/A6</f>
        <v>0</v>
      </c>
      <c r="Z178">
        <f t="shared" si="20"/>
        <v>114</v>
      </c>
      <c r="AA178">
        <f>ProductosRIB!A116</f>
        <v>0</v>
      </c>
      <c r="AB178" t="str">
        <f>PROPER(ProductosRIB!D116&amp;IF(ProductosRIB!F116="",""," - Marca: "&amp;ProductosRIB!F116))</f>
        <v/>
      </c>
      <c r="AC178">
        <f>ProductosRIB!E116</f>
        <v>0</v>
      </c>
    </row>
    <row r="179" spans="3:29" hidden="1">
      <c r="C179">
        <v>240800</v>
      </c>
      <c r="D179">
        <f>IFERROR(VLOOKUP($A$4&amp;$D$4&amp;C179,BalancesAnuales1!$A$2:$E$20009,5,0)+0,0)/A6</f>
        <v>0</v>
      </c>
      <c r="E179">
        <f>IFERROR(VLOOKUP($A$4&amp;$E$4&amp;C179,BalancesAnuales1!$A$2:$E$20009,5,0)+0,0)/A6</f>
        <v>0</v>
      </c>
      <c r="F179">
        <f>IFERROR(VLOOKUP($A$4&amp;$F$4&amp;C179,BalancesAnuales1!$A$2:$E$20009,5,0)+0,0)/A6</f>
        <v>0</v>
      </c>
      <c r="G179">
        <f>IFERROR(VLOOKUP($A$4&amp;$G$4&amp;C179,BalancesMensuales1!$A$2:$E$20009,5,0)+0,0)/A6</f>
        <v>0</v>
      </c>
      <c r="H179">
        <f>IFERROR(VLOOKUP($A$4&amp;$H$4&amp;C179,BalancesMensuales1!$A$2:$E$20009,5,0)+0,0)/A6</f>
        <v>0</v>
      </c>
      <c r="Z179">
        <f t="shared" si="20"/>
        <v>115</v>
      </c>
      <c r="AA179">
        <f>ProductosRIB!A117</f>
        <v>0</v>
      </c>
      <c r="AB179" t="str">
        <f>PROPER(ProductosRIB!D117&amp;IF(ProductosRIB!F117="",""," - Marca: "&amp;ProductosRIB!F117))</f>
        <v/>
      </c>
      <c r="AC179">
        <f>ProductosRIB!E117</f>
        <v>0</v>
      </c>
    </row>
    <row r="180" spans="3:29" hidden="1">
      <c r="C180">
        <v>241200</v>
      </c>
      <c r="D180">
        <f>IFERROR(VLOOKUP($A$4&amp;$D$4&amp;C180,BalancesAnuales1!$A$2:$E$20009,5,0)+0,0)/A6</f>
        <v>0</v>
      </c>
      <c r="E180">
        <f>IFERROR(VLOOKUP($A$4&amp;$E$4&amp;C180,BalancesAnuales1!$A$2:$E$20009,5,0)+0,0)/A6</f>
        <v>0</v>
      </c>
      <c r="F180">
        <f>IFERROR(VLOOKUP($A$4&amp;$F$4&amp;C180,BalancesAnuales1!$A$2:$E$20009,5,0)+0,0)/A6</f>
        <v>0</v>
      </c>
      <c r="G180">
        <f>IFERROR(VLOOKUP($A$4&amp;$G$4&amp;C180,BalancesMensuales1!$A$2:$E$20009,5,0)+0,0)/A6</f>
        <v>0</v>
      </c>
      <c r="H180">
        <f>IFERROR(VLOOKUP($A$4&amp;$H$4&amp;C180,BalancesMensuales1!$A$2:$E$20009,5,0)+0,0)/A6</f>
        <v>0</v>
      </c>
      <c r="Z180">
        <f t="shared" si="20"/>
        <v>116</v>
      </c>
      <c r="AA180">
        <f>ProductosRIB!A118</f>
        <v>0</v>
      </c>
      <c r="AB180" t="str">
        <f>PROPER(ProductosRIB!D118&amp;IF(ProductosRIB!F118="",""," - Marca: "&amp;ProductosRIB!F118))</f>
        <v/>
      </c>
      <c r="AC180">
        <f>ProductosRIB!E118</f>
        <v>0</v>
      </c>
    </row>
    <row r="181" spans="3:29" hidden="1">
      <c r="C181">
        <v>249500</v>
      </c>
      <c r="D181">
        <f>IFERROR(VLOOKUP($A$4&amp;$D$4&amp;C181,BalancesAnuales1!$A$2:$E$20009,5,0)+0,0)/A6</f>
        <v>0</v>
      </c>
      <c r="E181">
        <f>IFERROR(VLOOKUP($A$4&amp;$E$4&amp;C181,BalancesAnuales1!$A$2:$E$20009,5,0)+0,0)/A6</f>
        <v>0</v>
      </c>
      <c r="F181">
        <f>IFERROR(VLOOKUP($A$4&amp;$F$4&amp;C181,BalancesAnuales1!$A$2:$E$20009,5,0)+0,0)/A6</f>
        <v>0</v>
      </c>
      <c r="G181">
        <f>IFERROR(VLOOKUP($A$4&amp;$G$4&amp;C181,BalancesMensuales1!$A$2:$E$20009,5,0)+0,0)/A6</f>
        <v>0</v>
      </c>
      <c r="H181">
        <f>IFERROR(VLOOKUP($A$4&amp;$H$4&amp;C181,BalancesMensuales1!$A$2:$E$20009,5,0)+0,0)/A6</f>
        <v>0</v>
      </c>
      <c r="Z181">
        <f t="shared" si="20"/>
        <v>117</v>
      </c>
      <c r="AA181">
        <f>ProductosRIB!A119</f>
        <v>0</v>
      </c>
      <c r="AB181" t="str">
        <f>PROPER(ProductosRIB!D119&amp;IF(ProductosRIB!F119="",""," - Marca: "&amp;ProductosRIB!F119))</f>
        <v/>
      </c>
      <c r="AC181">
        <f>ProductosRIB!E119</f>
        <v>0</v>
      </c>
    </row>
    <row r="182" spans="3:29" hidden="1">
      <c r="C182">
        <v>2105</v>
      </c>
      <c r="D182">
        <f>IFERROR(VLOOKUP($A$4&amp;$D$4&amp;C182,BalancesAnuales1!$A$2:$E$20009,5,0)+0,0)/A6</f>
        <v>0</v>
      </c>
      <c r="E182">
        <f>IFERROR(VLOOKUP($A$4&amp;$E$4&amp;C182,BalancesAnuales1!$A$2:$E$20009,5,0)+0,0)/A6</f>
        <v>0</v>
      </c>
      <c r="F182">
        <f>IFERROR(VLOOKUP($A$4&amp;$F$4&amp;C182,BalancesAnuales1!$A$2:$E$20009,5,0)+0,0)/A6</f>
        <v>0</v>
      </c>
      <c r="G182">
        <f>IFERROR(VLOOKUP($A$4&amp;$G$4&amp;C182,BalancesMensuales1!$A$2:$E$20009,5,0)+0,0)/A6</f>
        <v>0</v>
      </c>
      <c r="H182">
        <f>IFERROR(VLOOKUP($A$4&amp;$H$4&amp;C182,BalancesMensuales1!$A$2:$E$20009,5,0)+0,0)/A6</f>
        <v>0</v>
      </c>
      <c r="Z182">
        <f t="shared" si="20"/>
        <v>118</v>
      </c>
      <c r="AA182">
        <f>ProductosRIB!A120</f>
        <v>0</v>
      </c>
      <c r="AB182" t="str">
        <f>PROPER(ProductosRIB!D120&amp;IF(ProductosRIB!F120="",""," - Marca: "&amp;ProductosRIB!F120))</f>
        <v/>
      </c>
      <c r="AC182">
        <f>ProductosRIB!E120</f>
        <v>0</v>
      </c>
    </row>
    <row r="183" spans="3:29" hidden="1">
      <c r="C183">
        <v>250500</v>
      </c>
      <c r="D183">
        <f>IFERROR(VLOOKUP($A$4&amp;$D$4&amp;C183,BalancesAnuales1!$A$2:$E$20009,5,0)+0,0)/A6</f>
        <v>0</v>
      </c>
      <c r="E183">
        <f>IFERROR(VLOOKUP($A$4&amp;$E$4&amp;C183,BalancesAnuales1!$A$2:$E$20009,5,0)+0,0)/A6</f>
        <v>0</v>
      </c>
      <c r="F183">
        <f>IFERROR(VLOOKUP($A$4&amp;$F$4&amp;C183,BalancesAnuales1!$A$2:$E$20009,5,0)+0,0)/A6</f>
        <v>0</v>
      </c>
      <c r="G183">
        <f>IFERROR(VLOOKUP($A$4&amp;$G$4&amp;C183,BalancesMensuales1!$A$2:$E$20009,5,0)+0,0)/A6</f>
        <v>0</v>
      </c>
      <c r="H183">
        <f>IFERROR(VLOOKUP($A$4&amp;$H$4&amp;C183,BalancesMensuales1!$A$2:$E$20009,5,0)+0,0)/A6</f>
        <v>0</v>
      </c>
      <c r="Z183">
        <f t="shared" si="20"/>
        <v>119</v>
      </c>
      <c r="AA183">
        <f>ProductosRIB!A121</f>
        <v>0</v>
      </c>
      <c r="AB183" t="str">
        <f>PROPER(ProductosRIB!D121&amp;IF(ProductosRIB!F121="",""," - Marca: "&amp;ProductosRIB!F121))</f>
        <v/>
      </c>
      <c r="AC183">
        <f>ProductosRIB!E121</f>
        <v>0</v>
      </c>
    </row>
    <row r="184" spans="3:29" hidden="1">
      <c r="C184">
        <v>251000</v>
      </c>
      <c r="D184">
        <f>IFERROR(VLOOKUP($A$4&amp;$D$4&amp;C184,BalancesAnuales1!$A$2:$E$20009,5,0)+0,0)/A6</f>
        <v>0</v>
      </c>
      <c r="E184">
        <f>IFERROR(VLOOKUP($A$4&amp;$E$4&amp;C184,BalancesAnuales1!$A$2:$E$20009,5,0)+0,0)/A6</f>
        <v>0</v>
      </c>
      <c r="F184">
        <f>IFERROR(VLOOKUP($A$4&amp;$F$4&amp;C184,BalancesAnuales1!$A$2:$E$20009,5,0)+0,0)/A6</f>
        <v>0</v>
      </c>
      <c r="G184">
        <f>IFERROR(VLOOKUP($A$4&amp;$G$4&amp;C184,BalancesMensuales1!$A$2:$E$20009,5,0)+0,0)/A6</f>
        <v>0</v>
      </c>
      <c r="H184">
        <f>IFERROR(VLOOKUP($A$4&amp;$H$4&amp;C184,BalancesMensuales1!$A$2:$E$20009,5,0)+0,0)/A6</f>
        <v>0</v>
      </c>
      <c r="Z184">
        <f t="shared" si="20"/>
        <v>120</v>
      </c>
      <c r="AA184">
        <f>ProductosRIB!A122</f>
        <v>0</v>
      </c>
      <c r="AB184" t="str">
        <f>PROPER(ProductosRIB!D122&amp;IF(ProductosRIB!F122="",""," - Marca: "&amp;ProductosRIB!F122))</f>
        <v/>
      </c>
      <c r="AC184">
        <f>ProductosRIB!E122</f>
        <v>0</v>
      </c>
    </row>
    <row r="185" spans="3:29" hidden="1">
      <c r="C185">
        <v>251500</v>
      </c>
      <c r="D185">
        <f>IFERROR(VLOOKUP($A$4&amp;$D$4&amp;C185,BalancesAnuales1!$A$2:$E$20009,5,0)+0,0)/A6</f>
        <v>0</v>
      </c>
      <c r="E185">
        <f>IFERROR(VLOOKUP($A$4&amp;$E$4&amp;C185,BalancesAnuales1!$A$2:$E$20009,5,0)+0,0)/A6</f>
        <v>0</v>
      </c>
      <c r="F185">
        <f>IFERROR(VLOOKUP($A$4&amp;$F$4&amp;C185,BalancesAnuales1!$A$2:$E$20009,5,0)+0,0)/A6</f>
        <v>0</v>
      </c>
      <c r="G185">
        <f>IFERROR(VLOOKUP($A$4&amp;$G$4&amp;C185,BalancesMensuales1!$A$2:$E$20009,5,0)+0,0)/A6</f>
        <v>0</v>
      </c>
      <c r="H185">
        <f>IFERROR(VLOOKUP($A$4&amp;$H$4&amp;C185,BalancesMensuales1!$A$2:$E$20009,5,0)+0,0)/A6</f>
        <v>0</v>
      </c>
      <c r="Z185">
        <f t="shared" si="20"/>
        <v>121</v>
      </c>
      <c r="AA185">
        <f>ProductosRIB!A123</f>
        <v>0</v>
      </c>
      <c r="AB185" t="str">
        <f>PROPER(ProductosRIB!D123&amp;IF(ProductosRIB!F123="",""," - Marca: "&amp;ProductosRIB!F123))</f>
        <v/>
      </c>
      <c r="AC185">
        <f>ProductosRIB!E123</f>
        <v>0</v>
      </c>
    </row>
    <row r="186" spans="3:29" hidden="1">
      <c r="C186">
        <v>252500</v>
      </c>
      <c r="D186">
        <f>IFERROR(VLOOKUP($A$4&amp;$D$4&amp;C186,BalancesAnuales1!$A$2:$E$20009,5,0)+0,0)/A6</f>
        <v>0</v>
      </c>
      <c r="E186">
        <f>IFERROR(VLOOKUP($A$4&amp;$E$4&amp;C186,BalancesAnuales1!$A$2:$E$20009,5,0)+0,0)/A6</f>
        <v>0</v>
      </c>
      <c r="F186">
        <f>IFERROR(VLOOKUP($A$4&amp;$F$4&amp;C186,BalancesAnuales1!$A$2:$E$20009,5,0)+0,0)/A6</f>
        <v>0</v>
      </c>
      <c r="G186">
        <f>IFERROR(VLOOKUP($A$4&amp;$G$4&amp;C186,BalancesMensuales1!$A$2:$E$20009,5,0)+0,0)/A6</f>
        <v>0</v>
      </c>
      <c r="H186">
        <f>IFERROR(VLOOKUP($A$4&amp;$H$4&amp;C186,BalancesMensuales1!$A$2:$E$20009,5,0)+0,0)/A6</f>
        <v>0</v>
      </c>
      <c r="Z186">
        <f t="shared" si="20"/>
        <v>122</v>
      </c>
      <c r="AA186">
        <f>ProductosRIB!A124</f>
        <v>0</v>
      </c>
      <c r="AB186" t="str">
        <f>PROPER(ProductosRIB!D124&amp;IF(ProductosRIB!F124="",""," - Marca: "&amp;ProductosRIB!F124))</f>
        <v/>
      </c>
      <c r="AC186">
        <f>ProductosRIB!E124</f>
        <v>0</v>
      </c>
    </row>
    <row r="187" spans="3:29" hidden="1">
      <c r="C187">
        <v>253000</v>
      </c>
      <c r="D187">
        <f>IFERROR(VLOOKUP($A$4&amp;$D$4&amp;C187,BalancesAnuales1!$A$2:$E$20009,5,0)+0,0)/A6</f>
        <v>0</v>
      </c>
      <c r="E187">
        <f>IFERROR(VLOOKUP($A$4&amp;$E$4&amp;C187,BalancesAnuales1!$A$2:$E$20009,5,0)+0,0)/A6</f>
        <v>0</v>
      </c>
      <c r="F187">
        <f>IFERROR(VLOOKUP($A$4&amp;$F$4&amp;C187,BalancesAnuales1!$A$2:$E$20009,5,0)+0,0)/A6</f>
        <v>0</v>
      </c>
      <c r="G187">
        <f>IFERROR(VLOOKUP($A$4&amp;$G$4&amp;C187,BalancesMensuales1!$A$2:$E$20009,5,0)+0,0)/A6</f>
        <v>0</v>
      </c>
      <c r="H187">
        <f>IFERROR(VLOOKUP($A$4&amp;$H$4&amp;C187,BalancesMensuales1!$A$2:$E$20009,5,0)+0,0)/A6</f>
        <v>0</v>
      </c>
      <c r="Z187">
        <f t="shared" si="20"/>
        <v>123</v>
      </c>
      <c r="AA187">
        <f>ProductosRIB!A125</f>
        <v>0</v>
      </c>
      <c r="AB187" t="str">
        <f>PROPER(ProductosRIB!D125&amp;IF(ProductosRIB!F125="",""," - Marca: "&amp;ProductosRIB!F125))</f>
        <v/>
      </c>
      <c r="AC187">
        <f>ProductosRIB!E125</f>
        <v>0</v>
      </c>
    </row>
    <row r="188" spans="3:29" hidden="1">
      <c r="C188">
        <v>259500</v>
      </c>
      <c r="D188">
        <f>IFERROR(VLOOKUP($A$4&amp;$D$4&amp;C188,BalancesAnuales1!$A$2:$E$20009,5,0)+0,0)/A6</f>
        <v>0</v>
      </c>
      <c r="E188">
        <f>IFERROR(VLOOKUP($A$4&amp;$E$4&amp;C188,BalancesAnuales1!$A$2:$E$20009,5,0)+0,0)/A6</f>
        <v>0</v>
      </c>
      <c r="F188">
        <f>IFERROR(VLOOKUP($A$4&amp;$F$4&amp;C188,BalancesAnuales1!$A$2:$E$20009,5,0)+0,0)/A6</f>
        <v>0</v>
      </c>
      <c r="G188">
        <f>IFERROR(VLOOKUP($A$4&amp;$G$4&amp;C188,BalancesMensuales1!$A$2:$E$20009,5,0)+0,0)/A6</f>
        <v>0</v>
      </c>
      <c r="H188">
        <f>IFERROR(VLOOKUP($A$4&amp;$H$4&amp;C188,BalancesMensuales1!$A$2:$E$20009,5,0)+0,0)/A6</f>
        <v>0</v>
      </c>
      <c r="Z188">
        <f t="shared" si="20"/>
        <v>124</v>
      </c>
      <c r="AA188">
        <f>ProductosRIB!A126</f>
        <v>0</v>
      </c>
      <c r="AB188" t="str">
        <f>PROPER(ProductosRIB!D126&amp;IF(ProductosRIB!F126="",""," - Marca: "&amp;ProductosRIB!F126))</f>
        <v/>
      </c>
      <c r="AC188">
        <f>ProductosRIB!E126</f>
        <v>0</v>
      </c>
    </row>
    <row r="189" spans="3:29" hidden="1">
      <c r="C189">
        <v>2104</v>
      </c>
      <c r="D189">
        <f>IFERROR(VLOOKUP($A$4&amp;$D$4&amp;C189,BalancesAnuales1!$A$2:$E$20009,5,0)+0,0)/A6</f>
        <v>0</v>
      </c>
      <c r="E189">
        <f>IFERROR(VLOOKUP($A$4&amp;$E$4&amp;C189,BalancesAnuales1!$A$2:$E$20009,5,0)+0,0)/A6</f>
        <v>0</v>
      </c>
      <c r="F189">
        <f>IFERROR(VLOOKUP($A$4&amp;$F$4&amp;C189,BalancesAnuales1!$A$2:$E$20009,5,0)+0,0)/A6</f>
        <v>0</v>
      </c>
      <c r="G189">
        <f>IFERROR(VLOOKUP($A$4&amp;$G$4&amp;C189,BalancesMensuales1!$A$2:$E$20009,5,0)+0,0)/A6</f>
        <v>0</v>
      </c>
      <c r="H189">
        <f>IFERROR(VLOOKUP($A$4&amp;$H$4&amp;C189,BalancesMensuales1!$A$2:$E$20009,5,0)+0,0)/A6</f>
        <v>0</v>
      </c>
      <c r="Z189">
        <f t="shared" si="20"/>
        <v>125</v>
      </c>
      <c r="AA189">
        <f>ProductosRIB!A127</f>
        <v>0</v>
      </c>
      <c r="AB189" t="str">
        <f>PROPER(ProductosRIB!D127&amp;IF(ProductosRIB!F127="",""," - Marca: "&amp;ProductosRIB!F127))</f>
        <v/>
      </c>
      <c r="AC189">
        <f>ProductosRIB!E127</f>
        <v>0</v>
      </c>
    </row>
    <row r="190" spans="3:29" hidden="1">
      <c r="C190">
        <v>260500</v>
      </c>
      <c r="D190">
        <f>IFERROR(VLOOKUP($A$4&amp;$D$4&amp;C190,BalancesAnuales1!$A$2:$E$20009,5,0)+0,0)/A6</f>
        <v>0</v>
      </c>
      <c r="E190">
        <f>IFERROR(VLOOKUP($A$4&amp;$E$4&amp;C190,BalancesAnuales1!$A$2:$E$20009,5,0)+0,0)/A6</f>
        <v>0</v>
      </c>
      <c r="F190">
        <f>IFERROR(VLOOKUP($A$4&amp;$F$4&amp;C190,BalancesAnuales1!$A$2:$E$20009,5,0)+0,0)/A6</f>
        <v>0</v>
      </c>
      <c r="G190">
        <f>IFERROR(VLOOKUP($A$4&amp;$G$4&amp;C190,BalancesMensuales1!$A$2:$E$20009,5,0)+0,0)/A6</f>
        <v>0</v>
      </c>
      <c r="H190">
        <f>IFERROR(VLOOKUP($A$4&amp;$H$4&amp;C190,BalancesMensuales1!$A$2:$E$20009,5,0)+0,0)/A6</f>
        <v>0</v>
      </c>
      <c r="Z190">
        <f t="shared" si="20"/>
        <v>126</v>
      </c>
      <c r="AA190">
        <f>ProductosRIB!A128</f>
        <v>0</v>
      </c>
      <c r="AB190" t="str">
        <f>PROPER(ProductosRIB!D128&amp;IF(ProductosRIB!F128="",""," - Marca: "&amp;ProductosRIB!F128))</f>
        <v/>
      </c>
      <c r="AC190">
        <f>ProductosRIB!E128</f>
        <v>0</v>
      </c>
    </row>
    <row r="191" spans="3:29" hidden="1">
      <c r="C191">
        <v>261000</v>
      </c>
      <c r="D191">
        <f>IFERROR(VLOOKUP($A$4&amp;$D$4&amp;C191,BalancesAnuales1!$A$2:$E$20009,5,0)+0,0)/A6</f>
        <v>0</v>
      </c>
      <c r="E191">
        <f>IFERROR(VLOOKUP($A$4&amp;$E$4&amp;C191,BalancesAnuales1!$A$2:$E$20009,5,0)+0,0)/A6</f>
        <v>0</v>
      </c>
      <c r="F191">
        <f>IFERROR(VLOOKUP($A$4&amp;$F$4&amp;C191,BalancesAnuales1!$A$2:$E$20009,5,0)+0,0)/A6</f>
        <v>0</v>
      </c>
      <c r="G191">
        <f>IFERROR(VLOOKUP($A$4&amp;$G$4&amp;C191,BalancesMensuales1!$A$2:$E$20009,5,0)+0,0)/A6</f>
        <v>0</v>
      </c>
      <c r="H191">
        <f>IFERROR(VLOOKUP($A$4&amp;$H$4&amp;C191,BalancesMensuales1!$A$2:$E$20009,5,0)+0,0)/A6</f>
        <v>0</v>
      </c>
      <c r="Z191">
        <f t="shared" si="20"/>
        <v>127</v>
      </c>
      <c r="AA191">
        <f>ProductosRIB!A129</f>
        <v>0</v>
      </c>
      <c r="AB191" t="str">
        <f>PROPER(ProductosRIB!D129&amp;IF(ProductosRIB!F129="",""," - Marca: "&amp;ProductosRIB!F129))</f>
        <v/>
      </c>
      <c r="AC191">
        <f>ProductosRIB!E129</f>
        <v>0</v>
      </c>
    </row>
    <row r="192" spans="3:29" hidden="1">
      <c r="C192">
        <v>261500</v>
      </c>
      <c r="D192">
        <f>IFERROR(VLOOKUP($A$4&amp;$D$4&amp;C192,BalancesAnuales1!$A$2:$E$20009,5,0)+0,0)/A6</f>
        <v>0</v>
      </c>
      <c r="E192">
        <f>IFERROR(VLOOKUP($A$4&amp;$E$4&amp;C192,BalancesAnuales1!$A$2:$E$20009,5,0)+0,0)/A6</f>
        <v>0</v>
      </c>
      <c r="F192">
        <f>IFERROR(VLOOKUP($A$4&amp;$F$4&amp;C192,BalancesAnuales1!$A$2:$E$20009,5,0)+0,0)/A6</f>
        <v>0</v>
      </c>
      <c r="G192">
        <f>IFERROR(VLOOKUP($A$4&amp;$G$4&amp;C192,BalancesMensuales1!$A$2:$E$20009,5,0)+0,0)/A6</f>
        <v>0</v>
      </c>
      <c r="H192">
        <f>IFERROR(VLOOKUP($A$4&amp;$H$4&amp;C192,BalancesMensuales1!$A$2:$E$20009,5,0)+0,0)/A6</f>
        <v>0</v>
      </c>
      <c r="Z192">
        <f t="shared" si="20"/>
        <v>128</v>
      </c>
      <c r="AA192">
        <f>ProductosRIB!A130</f>
        <v>0</v>
      </c>
      <c r="AB192" t="str">
        <f>PROPER(ProductosRIB!D130&amp;IF(ProductosRIB!F130="",""," - Marca: "&amp;ProductosRIB!F130))</f>
        <v/>
      </c>
      <c r="AC192">
        <f>ProductosRIB!E130</f>
        <v>0</v>
      </c>
    </row>
    <row r="193" spans="3:29" hidden="1">
      <c r="C193">
        <v>262000</v>
      </c>
      <c r="D193">
        <f>IFERROR(VLOOKUP($A$4&amp;$D$4&amp;C193,BalancesAnuales1!$A$2:$E$20009,5,0)+0,0)/A6</f>
        <v>0</v>
      </c>
      <c r="E193">
        <f>IFERROR(VLOOKUP($A$4&amp;$E$4&amp;C193,BalancesAnuales1!$A$2:$E$20009,5,0)+0,0)/A6</f>
        <v>0</v>
      </c>
      <c r="F193">
        <f>IFERROR(VLOOKUP($A$4&amp;$F$4&amp;C193,BalancesAnuales1!$A$2:$E$20009,5,0)+0,0)/A6</f>
        <v>0</v>
      </c>
      <c r="G193">
        <f>IFERROR(VLOOKUP($A$4&amp;$G$4&amp;C193,BalancesMensuales1!$A$2:$E$20009,5,0)+0,0)/A6</f>
        <v>0</v>
      </c>
      <c r="H193">
        <f>IFERROR(VLOOKUP($A$4&amp;$H$4&amp;C193,BalancesMensuales1!$A$2:$E$20009,5,0)+0,0)/A6</f>
        <v>0</v>
      </c>
      <c r="Z193">
        <f t="shared" ref="Z193:Z214" si="21">IF(AA193=$A$4,Z192+1,0)</f>
        <v>129</v>
      </c>
      <c r="AA193">
        <f>ProductosRIB!A131</f>
        <v>0</v>
      </c>
      <c r="AB193" t="str">
        <f>PROPER(ProductosRIB!D131&amp;IF(ProductosRIB!F131="",""," - Marca: "&amp;ProductosRIB!F131))</f>
        <v/>
      </c>
      <c r="AC193">
        <f>ProductosRIB!E131</f>
        <v>0</v>
      </c>
    </row>
    <row r="194" spans="3:29" hidden="1">
      <c r="C194">
        <v>262500</v>
      </c>
      <c r="D194">
        <f>IFERROR(VLOOKUP($A$4&amp;$D$4&amp;C194,BalancesAnuales1!$A$2:$E$20009,5,0)+0,0)/A6</f>
        <v>0</v>
      </c>
      <c r="E194">
        <f>IFERROR(VLOOKUP($A$4&amp;$E$4&amp;C194,BalancesAnuales1!$A$2:$E$20009,5,0)+0,0)/A6</f>
        <v>0</v>
      </c>
      <c r="F194">
        <f>IFERROR(VLOOKUP($A$4&amp;$F$4&amp;C194,BalancesAnuales1!$A$2:$E$20009,5,0)+0,0)/A6</f>
        <v>0</v>
      </c>
      <c r="G194">
        <f>IFERROR(VLOOKUP($A$4&amp;$G$4&amp;C194,BalancesMensuales1!$A$2:$E$20009,5,0)+0,0)/A6</f>
        <v>0</v>
      </c>
      <c r="H194">
        <f>IFERROR(VLOOKUP($A$4&amp;$H$4&amp;C194,BalancesMensuales1!$A$2:$E$20009,5,0)+0,0)/A6</f>
        <v>0</v>
      </c>
      <c r="Z194">
        <f t="shared" si="21"/>
        <v>130</v>
      </c>
      <c r="AA194">
        <f>ProductosRIB!A132</f>
        <v>0</v>
      </c>
      <c r="AB194" t="str">
        <f>PROPER(ProductosRIB!D132&amp;IF(ProductosRIB!F132="",""," - Marca: "&amp;ProductosRIB!F132))</f>
        <v/>
      </c>
      <c r="AC194">
        <f>ProductosRIB!E132</f>
        <v>0</v>
      </c>
    </row>
    <row r="195" spans="3:29" hidden="1">
      <c r="C195">
        <v>263000</v>
      </c>
      <c r="D195">
        <f>IFERROR(VLOOKUP($A$4&amp;$D$4&amp;C195,BalancesAnuales1!$A$2:$E$20009,5,0)+0,0)/A6</f>
        <v>0</v>
      </c>
      <c r="E195">
        <f>IFERROR(VLOOKUP($A$4&amp;$E$4&amp;C195,BalancesAnuales1!$A$2:$E$20009,5,0)+0,0)/A6</f>
        <v>0</v>
      </c>
      <c r="F195">
        <f>IFERROR(VLOOKUP($A$4&amp;$F$4&amp;C195,BalancesAnuales1!$A$2:$E$20009,5,0)+0,0)/A6</f>
        <v>0</v>
      </c>
      <c r="G195">
        <f>IFERROR(VLOOKUP($A$4&amp;$G$4&amp;C195,BalancesMensuales1!$A$2:$E$20009,5,0)+0,0)/A6</f>
        <v>0</v>
      </c>
      <c r="H195">
        <f>IFERROR(VLOOKUP($A$4&amp;$H$4&amp;C195,BalancesMensuales1!$A$2:$E$20009,5,0)+0,0)/A6</f>
        <v>0</v>
      </c>
      <c r="Z195">
        <f t="shared" si="21"/>
        <v>131</v>
      </c>
      <c r="AA195">
        <f>ProductosRIB!A133</f>
        <v>0</v>
      </c>
      <c r="AB195" t="str">
        <f>PROPER(ProductosRIB!D133&amp;IF(ProductosRIB!F133="",""," - Marca: "&amp;ProductosRIB!F133))</f>
        <v/>
      </c>
      <c r="AC195">
        <f>ProductosRIB!E133</f>
        <v>0</v>
      </c>
    </row>
    <row r="196" spans="3:29" hidden="1">
      <c r="C196">
        <v>263500</v>
      </c>
      <c r="D196">
        <f>IFERROR(VLOOKUP($A$4&amp;$D$4&amp;C196,BalancesAnuales1!$A$2:$E$20009,5,0)+0,0)/A6</f>
        <v>0</v>
      </c>
      <c r="E196">
        <f>IFERROR(VLOOKUP($A$4&amp;$E$4&amp;C196,BalancesAnuales1!$A$2:$E$20009,5,0)+0,0)/A6</f>
        <v>0</v>
      </c>
      <c r="F196">
        <f>IFERROR(VLOOKUP($A$4&amp;$F$4&amp;C196,BalancesAnuales1!$A$2:$E$20009,5,0)+0,0)/A6</f>
        <v>0</v>
      </c>
      <c r="G196">
        <f>IFERROR(VLOOKUP($A$4&amp;$G$4&amp;C196,BalancesMensuales1!$A$2:$E$20009,5,0)+0,0)/A6</f>
        <v>0</v>
      </c>
      <c r="H196">
        <f>IFERROR(VLOOKUP($A$4&amp;$H$4&amp;C196,BalancesMensuales1!$A$2:$E$20009,5,0)+0,0)/A6</f>
        <v>0</v>
      </c>
      <c r="Z196">
        <f t="shared" si="21"/>
        <v>132</v>
      </c>
      <c r="AA196">
        <f>ProductosRIB!A134</f>
        <v>0</v>
      </c>
      <c r="AB196" t="str">
        <f>PROPER(ProductosRIB!D134&amp;IF(ProductosRIB!F134="",""," - Marca: "&amp;ProductosRIB!F134))</f>
        <v/>
      </c>
      <c r="AC196">
        <f>ProductosRIB!E134</f>
        <v>0</v>
      </c>
    </row>
    <row r="197" spans="3:29" hidden="1">
      <c r="C197">
        <v>264000</v>
      </c>
      <c r="D197">
        <f>IFERROR(VLOOKUP($A$4&amp;$D$4&amp;C197,BalancesAnuales1!$A$2:$E$20009,5,0)+0,0)/A6</f>
        <v>0</v>
      </c>
      <c r="E197">
        <f>IFERROR(VLOOKUP($A$4&amp;$E$4&amp;C197,BalancesAnuales1!$A$2:$E$20009,5,0)+0,0)/A6</f>
        <v>0</v>
      </c>
      <c r="F197">
        <f>IFERROR(VLOOKUP($A$4&amp;$F$4&amp;C197,BalancesAnuales1!$A$2:$E$20009,5,0)+0,0)/A6</f>
        <v>0</v>
      </c>
      <c r="G197">
        <f>IFERROR(VLOOKUP($A$4&amp;$G$4&amp;C197,BalancesMensuales1!$A$2:$E$20009,5,0)+0,0)/A6</f>
        <v>0</v>
      </c>
      <c r="H197">
        <f>IFERROR(VLOOKUP($A$4&amp;$H$4&amp;C197,BalancesMensuales1!$A$2:$E$20009,5,0)+0,0)/A6</f>
        <v>0</v>
      </c>
      <c r="Z197">
        <f t="shared" si="21"/>
        <v>133</v>
      </c>
      <c r="AA197">
        <f>ProductosRIB!A135</f>
        <v>0</v>
      </c>
      <c r="AB197" t="str">
        <f>PROPER(ProductosRIB!D135&amp;IF(ProductosRIB!F135="",""," - Marca: "&amp;ProductosRIB!F135))</f>
        <v/>
      </c>
      <c r="AC197">
        <f>ProductosRIB!E135</f>
        <v>0</v>
      </c>
    </row>
    <row r="198" spans="3:29" hidden="1">
      <c r="C198">
        <v>269500</v>
      </c>
      <c r="D198">
        <f>IFERROR(VLOOKUP($A$4&amp;$D$4&amp;C198,BalancesAnuales1!$A$2:$E$20009,5,0)+0,0)/A6</f>
        <v>0</v>
      </c>
      <c r="E198">
        <f>IFERROR(VLOOKUP($A$4&amp;$E$4&amp;C198,BalancesAnuales1!$A$2:$E$20009,5,0)+0,0)/A6</f>
        <v>0</v>
      </c>
      <c r="F198">
        <f>IFERROR(VLOOKUP($A$4&amp;$F$4&amp;C198,BalancesAnuales1!$A$2:$E$20009,5,0)+0,0)/A6</f>
        <v>0</v>
      </c>
      <c r="G198">
        <f>IFERROR(VLOOKUP($A$4&amp;$G$4&amp;C198,BalancesMensuales1!$A$2:$E$20009,5,0)+0,0)/A6</f>
        <v>0</v>
      </c>
      <c r="H198">
        <f>IFERROR(VLOOKUP($A$4&amp;$H$4&amp;C198,BalancesMensuales1!$A$2:$E$20009,5,0)+0,0)/A6</f>
        <v>0</v>
      </c>
      <c r="Z198">
        <f t="shared" si="21"/>
        <v>134</v>
      </c>
      <c r="AA198">
        <f>ProductosRIB!A136</f>
        <v>0</v>
      </c>
      <c r="AB198" t="str">
        <f>PROPER(ProductosRIB!D136&amp;IF(ProductosRIB!F136="",""," - Marca: "&amp;ProductosRIB!F136))</f>
        <v/>
      </c>
      <c r="AC198">
        <f>ProductosRIB!E136</f>
        <v>0</v>
      </c>
    </row>
    <row r="199" spans="3:29" hidden="1">
      <c r="C199">
        <v>2106</v>
      </c>
      <c r="D199">
        <f>IFERROR(VLOOKUP($A$4&amp;$D$4&amp;C199,BalancesAnuales1!$A$2:$E$20009,5,0)+0,0)/A6</f>
        <v>0</v>
      </c>
      <c r="E199">
        <f>IFERROR(VLOOKUP($A$4&amp;$E$4&amp;C199,BalancesAnuales1!$A$2:$E$20009,5,0)+0,0)/A6</f>
        <v>0</v>
      </c>
      <c r="F199">
        <f>IFERROR(VLOOKUP($A$4&amp;$F$4&amp;C199,BalancesAnuales1!$A$2:$E$20009,5,0)+0,0)/A6</f>
        <v>0</v>
      </c>
      <c r="G199">
        <f>IFERROR(VLOOKUP($A$4&amp;$G$4&amp;C199,BalancesMensuales1!$A$2:$E$20009,5,0)+0,0)/A6</f>
        <v>0</v>
      </c>
      <c r="H199">
        <f>IFERROR(VLOOKUP($A$4&amp;$H$4&amp;C199,BalancesMensuales1!$A$2:$E$20009,5,0)+0,0)/A6</f>
        <v>0</v>
      </c>
      <c r="Z199">
        <f t="shared" si="21"/>
        <v>135</v>
      </c>
      <c r="AA199">
        <f>ProductosRIB!A137</f>
        <v>0</v>
      </c>
      <c r="AB199" t="str">
        <f>PROPER(ProductosRIB!D137&amp;IF(ProductosRIB!F137="",""," - Marca: "&amp;ProductosRIB!F137))</f>
        <v/>
      </c>
      <c r="AC199">
        <f>ProductosRIB!E137</f>
        <v>0</v>
      </c>
    </row>
    <row r="200" spans="3:29" hidden="1">
      <c r="C200">
        <v>270500</v>
      </c>
      <c r="D200">
        <f>IFERROR(VLOOKUP($A$4&amp;$D$4&amp;C200,BalancesAnuales1!$A$2:$E$20009,5,0)+0,0)/A6</f>
        <v>0</v>
      </c>
      <c r="E200">
        <f>IFERROR(VLOOKUP($A$4&amp;$E$4&amp;C200,BalancesAnuales1!$A$2:$E$20009,5,0)+0,0)/A6</f>
        <v>0</v>
      </c>
      <c r="F200">
        <f>IFERROR(VLOOKUP($A$4&amp;$F$4&amp;C200,BalancesAnuales1!$A$2:$E$20009,5,0)+0,0)/A6</f>
        <v>0</v>
      </c>
      <c r="G200">
        <f>IFERROR(VLOOKUP($A$4&amp;$G$4&amp;C200,BalancesMensuales1!$A$2:$E$20009,5,0)+0,0)/A6</f>
        <v>0</v>
      </c>
      <c r="H200">
        <f>IFERROR(VLOOKUP($A$4&amp;$H$4&amp;C200,BalancesMensuales1!$A$2:$E$20009,5,0)+0,0)/A6</f>
        <v>0</v>
      </c>
      <c r="Z200">
        <f t="shared" si="21"/>
        <v>136</v>
      </c>
      <c r="AA200">
        <f>ProductosRIB!A138</f>
        <v>0</v>
      </c>
      <c r="AB200" t="str">
        <f>PROPER(ProductosRIB!D138&amp;IF(ProductosRIB!F138="",""," - Marca: "&amp;ProductosRIB!F138))</f>
        <v/>
      </c>
      <c r="AC200">
        <f>ProductosRIB!E138</f>
        <v>0</v>
      </c>
    </row>
    <row r="201" spans="3:29" hidden="1">
      <c r="C201">
        <v>271000</v>
      </c>
      <c r="D201">
        <f>IFERROR(VLOOKUP($A$4&amp;$D$4&amp;C201,BalancesAnuales1!$A$2:$E$20009,5,0)+0,0)/A6</f>
        <v>0</v>
      </c>
      <c r="E201">
        <f>IFERROR(VLOOKUP($A$4&amp;$E$4&amp;C201,BalancesAnuales1!$A$2:$E$20009,5,0)+0,0)/A6</f>
        <v>0</v>
      </c>
      <c r="F201">
        <f>IFERROR(VLOOKUP($A$4&amp;$F$4&amp;C201,BalancesAnuales1!$A$2:$E$20009,5,0)+0,0)/A6</f>
        <v>0</v>
      </c>
      <c r="G201">
        <f>IFERROR(VLOOKUP($A$4&amp;$G$4&amp;C201,BalancesMensuales1!$A$2:$E$20009,5,0)+0,0)/A6</f>
        <v>0</v>
      </c>
      <c r="H201">
        <f>IFERROR(VLOOKUP($A$4&amp;$H$4&amp;C201,BalancesMensuales1!$A$2:$E$20009,5,0)+0,0)/A6</f>
        <v>0</v>
      </c>
      <c r="Z201">
        <f t="shared" si="21"/>
        <v>137</v>
      </c>
      <c r="AA201">
        <f>ProductosRIB!A139</f>
        <v>0</v>
      </c>
      <c r="AB201" t="str">
        <f>PROPER(ProductosRIB!D139&amp;IF(ProductosRIB!F139="",""," - Marca: "&amp;ProductosRIB!F139))</f>
        <v/>
      </c>
      <c r="AC201">
        <f>ProductosRIB!E139</f>
        <v>0</v>
      </c>
    </row>
    <row r="202" spans="3:29" hidden="1">
      <c r="C202">
        <v>272500</v>
      </c>
      <c r="D202">
        <f>IFERROR(VLOOKUP($A$4&amp;$D$4&amp;C202,BalancesAnuales1!$A$2:$E$20009,5,0)+0,0)/A6</f>
        <v>0</v>
      </c>
      <c r="E202">
        <f>IFERROR(VLOOKUP($A$4&amp;$E$4&amp;C202,BalancesAnuales1!$A$2:$E$20009,5,0)+0,0)/A6</f>
        <v>0</v>
      </c>
      <c r="F202">
        <f>IFERROR(VLOOKUP($A$4&amp;$F$4&amp;C202,BalancesAnuales1!$A$2:$E$20009,5,0)+0,0)/A6</f>
        <v>0</v>
      </c>
      <c r="G202">
        <f>IFERROR(VLOOKUP($A$4&amp;$G$4&amp;C202,BalancesMensuales1!$A$2:$E$20009,5,0)+0,0)/A6</f>
        <v>0</v>
      </c>
      <c r="H202">
        <f>IFERROR(VLOOKUP($A$4&amp;$H$4&amp;C202,BalancesMensuales1!$A$2:$E$20009,5,0)+0,0)/A6</f>
        <v>0</v>
      </c>
      <c r="Z202">
        <f t="shared" si="21"/>
        <v>138</v>
      </c>
      <c r="AA202">
        <f>ProductosRIB!A140</f>
        <v>0</v>
      </c>
      <c r="AB202" t="str">
        <f>PROPER(ProductosRIB!D140&amp;IF(ProductosRIB!F140="",""," - Marca: "&amp;ProductosRIB!F140))</f>
        <v/>
      </c>
      <c r="AC202">
        <f>ProductosRIB!E140</f>
        <v>0</v>
      </c>
    </row>
    <row r="203" spans="3:29" hidden="1">
      <c r="C203">
        <v>279500</v>
      </c>
      <c r="D203">
        <f>IFERROR(VLOOKUP($A$4&amp;$D$4&amp;C203,BalancesAnuales1!$A$2:$E$20009,5,0)+0,0)/A6</f>
        <v>0</v>
      </c>
      <c r="E203">
        <f>IFERROR(VLOOKUP($A$4&amp;$E$4&amp;C203,BalancesAnuales1!$A$2:$E$20009,5,0)+0,0)/A6</f>
        <v>0</v>
      </c>
      <c r="F203">
        <f>IFERROR(VLOOKUP($A$4&amp;$F$4&amp;C203,BalancesAnuales1!$A$2:$E$20009,5,0)+0,0)/A6</f>
        <v>0</v>
      </c>
      <c r="G203">
        <f>IFERROR(VLOOKUP($A$4&amp;$G$4&amp;C203,BalancesMensuales1!$A$2:$E$20009,5,0)+0,0)/A6</f>
        <v>0</v>
      </c>
      <c r="H203">
        <f>IFERROR(VLOOKUP($A$4&amp;$H$4&amp;C203,BalancesMensuales1!$A$2:$E$20009,5,0)+0,0)/A6</f>
        <v>0</v>
      </c>
      <c r="Z203">
        <f t="shared" si="21"/>
        <v>139</v>
      </c>
      <c r="AA203">
        <f>ProductosRIB!A141</f>
        <v>0</v>
      </c>
      <c r="AB203" t="str">
        <f>PROPER(ProductosRIB!D141&amp;IF(ProductosRIB!F141="",""," - Marca: "&amp;ProductosRIB!F141))</f>
        <v/>
      </c>
      <c r="AC203">
        <f>ProductosRIB!E141</f>
        <v>0</v>
      </c>
    </row>
    <row r="204" spans="3:29" hidden="1">
      <c r="C204">
        <v>2107</v>
      </c>
      <c r="D204">
        <f>IFERROR(VLOOKUP($A$4&amp;$D$4&amp;C204,BalancesAnuales1!$A$2:$E$20009,5,0)+0,0)/A6</f>
        <v>0</v>
      </c>
      <c r="E204">
        <f>IFERROR(VLOOKUP($A$4&amp;$E$4&amp;C204,BalancesAnuales1!$A$2:$E$20009,5,0)+0,0)/A6</f>
        <v>0</v>
      </c>
      <c r="F204">
        <f>IFERROR(VLOOKUP($A$4&amp;$F$4&amp;C204,BalancesAnuales1!$A$2:$E$20009,5,0)+0,0)/A6</f>
        <v>0</v>
      </c>
      <c r="G204">
        <f>IFERROR(VLOOKUP($A$4&amp;$G$4&amp;C204,BalancesMensuales1!$A$2:$E$20009,5,0)+0,0)/A6</f>
        <v>0</v>
      </c>
      <c r="H204">
        <f>IFERROR(VLOOKUP($A$4&amp;$H$4&amp;C204,BalancesMensuales1!$A$2:$E$20009,5,0)+0,0)/A6</f>
        <v>0</v>
      </c>
      <c r="Z204">
        <f t="shared" si="21"/>
        <v>140</v>
      </c>
      <c r="AA204">
        <f>ProductosRIB!A142</f>
        <v>0</v>
      </c>
      <c r="AB204" t="str">
        <f>PROPER(ProductosRIB!D142&amp;IF(ProductosRIB!F142="",""," - Marca: "&amp;ProductosRIB!F142))</f>
        <v/>
      </c>
      <c r="AC204">
        <f>ProductosRIB!E142</f>
        <v>0</v>
      </c>
    </row>
    <row r="205" spans="3:29" hidden="1">
      <c r="C205">
        <v>281000</v>
      </c>
      <c r="D205">
        <f>IFERROR(VLOOKUP($A$4&amp;$D$4&amp;C205,BalancesAnuales1!$A$2:$E$20009,5,0)+0,0)/A6</f>
        <v>0</v>
      </c>
      <c r="E205">
        <f>IFERROR(VLOOKUP($A$4&amp;$E$4&amp;C205,BalancesAnuales1!$A$2:$E$20009,5,0)+0,0)/A6</f>
        <v>0</v>
      </c>
      <c r="F205">
        <f>IFERROR(VLOOKUP($A$4&amp;$F$4&amp;C205,BalancesAnuales1!$A$2:$E$20009,5,0)+0,0)/A6</f>
        <v>0</v>
      </c>
      <c r="G205">
        <f>IFERROR(VLOOKUP($A$4&amp;$G$4&amp;C205,BalancesMensuales1!$A$2:$E$20009,5,0)+0,0)/A6</f>
        <v>0</v>
      </c>
      <c r="H205">
        <f>IFERROR(VLOOKUP($A$4&amp;$H$4&amp;C205,BalancesMensuales1!$A$2:$E$20009,5,0)+0,0)/A6</f>
        <v>0</v>
      </c>
      <c r="Z205">
        <f t="shared" si="21"/>
        <v>141</v>
      </c>
      <c r="AA205">
        <f>ProductosRIB!A143</f>
        <v>0</v>
      </c>
      <c r="AB205" t="str">
        <f>PROPER(ProductosRIB!D143&amp;IF(ProductosRIB!F143="",""," - Marca: "&amp;ProductosRIB!F143))</f>
        <v/>
      </c>
      <c r="AC205">
        <f>ProductosRIB!E143</f>
        <v>0</v>
      </c>
    </row>
    <row r="206" spans="3:29" hidden="1">
      <c r="C206">
        <v>282000</v>
      </c>
      <c r="D206">
        <f>IFERROR(VLOOKUP($A$4&amp;$D$4&amp;C206,BalancesAnuales1!$A$2:$E$20009,5,0)+0,0)/A6</f>
        <v>0</v>
      </c>
      <c r="E206">
        <f>IFERROR(VLOOKUP($A$4&amp;$E$4&amp;C206,BalancesAnuales1!$A$2:$E$20009,5,0)+0,0)/A6</f>
        <v>0</v>
      </c>
      <c r="F206">
        <f>IFERROR(VLOOKUP($A$4&amp;$F$4&amp;C206,BalancesAnuales1!$A$2:$E$20009,5,0)+0,0)/A6</f>
        <v>0</v>
      </c>
      <c r="G206">
        <f>IFERROR(VLOOKUP($A$4&amp;$G$4&amp;C206,BalancesMensuales1!$A$2:$E$20009,5,0)+0,0)/A6</f>
        <v>0</v>
      </c>
      <c r="H206">
        <f>IFERROR(VLOOKUP($A$4&amp;$H$4&amp;C206,BalancesMensuales1!$A$2:$E$20009,5,0)+0,0)/A6</f>
        <v>0</v>
      </c>
      <c r="Z206">
        <f t="shared" si="21"/>
        <v>142</v>
      </c>
      <c r="AA206">
        <f>ProductosRIB!A144</f>
        <v>0</v>
      </c>
      <c r="AB206" t="str">
        <f>PROPER(ProductosRIB!D144&amp;IF(ProductosRIB!F144="",""," - Marca: "&amp;ProductosRIB!F144))</f>
        <v/>
      </c>
      <c r="AC206">
        <f>ProductosRIB!E144</f>
        <v>0</v>
      </c>
    </row>
    <row r="207" spans="3:29" hidden="1">
      <c r="C207">
        <v>282500</v>
      </c>
      <c r="D207">
        <f>IFERROR(VLOOKUP($A$4&amp;$D$4&amp;C207,BalancesAnuales1!$A$2:$E$20009,5,0)+0,0)/A6</f>
        <v>0</v>
      </c>
      <c r="E207">
        <f>IFERROR(VLOOKUP($A$4&amp;$E$4&amp;C207,BalancesAnuales1!$A$2:$E$20009,5,0)+0,0)/A6</f>
        <v>0</v>
      </c>
      <c r="F207">
        <f>IFERROR(VLOOKUP($A$4&amp;$F$4&amp;C207,BalancesAnuales1!$A$2:$E$20009,5,0)+0,0)/A6</f>
        <v>0</v>
      </c>
      <c r="G207">
        <f>IFERROR(VLOOKUP($A$4&amp;$G$4&amp;C207,BalancesMensuales1!$A$2:$E$20009,5,0)+0,0)/A6</f>
        <v>0</v>
      </c>
      <c r="H207">
        <f>IFERROR(VLOOKUP($A$4&amp;$H$4&amp;C207,BalancesMensuales1!$A$2:$E$20009,5,0)+0,0)/A6</f>
        <v>0</v>
      </c>
      <c r="Z207">
        <f t="shared" si="21"/>
        <v>143</v>
      </c>
      <c r="AA207">
        <f>ProductosRIB!A145</f>
        <v>0</v>
      </c>
      <c r="AB207" t="str">
        <f>PROPER(ProductosRIB!D145&amp;IF(ProductosRIB!F145="",""," - Marca: "&amp;ProductosRIB!F145))</f>
        <v/>
      </c>
      <c r="AC207">
        <f>ProductosRIB!E145</f>
        <v>0</v>
      </c>
    </row>
    <row r="208" spans="3:29" hidden="1">
      <c r="C208">
        <v>284000</v>
      </c>
      <c r="D208">
        <f>IFERROR(VLOOKUP($A$4&amp;$D$4&amp;C208,BalancesAnuales1!$A$2:$E$20009,5,0)+0,0)/A6</f>
        <v>0</v>
      </c>
      <c r="E208">
        <f>IFERROR(VLOOKUP($A$4&amp;$E$4&amp;C208,BalancesAnuales1!$A$2:$E$20009,5,0)+0,0)/A6</f>
        <v>0</v>
      </c>
      <c r="F208">
        <f>IFERROR(VLOOKUP($A$4&amp;$F$4&amp;C208,BalancesAnuales1!$A$2:$E$20009,5,0)+0,0)/A6</f>
        <v>0</v>
      </c>
      <c r="G208">
        <f>IFERROR(VLOOKUP($A$4&amp;$G$4&amp;C208,BalancesMensuales1!$A$2:$E$20009,5,0)+0,0)/A6</f>
        <v>0</v>
      </c>
      <c r="H208">
        <f>IFERROR(VLOOKUP($A$4&amp;$H$4&amp;C208,BalancesMensuales1!$A$2:$E$20009,5,0)+0,0)/A6</f>
        <v>0</v>
      </c>
      <c r="Z208">
        <f t="shared" si="21"/>
        <v>144</v>
      </c>
      <c r="AA208">
        <f>ProductosRIB!A146</f>
        <v>0</v>
      </c>
      <c r="AB208" t="str">
        <f>PROPER(ProductosRIB!D146&amp;IF(ProductosRIB!F146="",""," - Marca: "&amp;ProductosRIB!F146))</f>
        <v/>
      </c>
      <c r="AC208">
        <f>ProductosRIB!E146</f>
        <v>0</v>
      </c>
    </row>
    <row r="209" spans="3:29" hidden="1">
      <c r="C209">
        <v>289500</v>
      </c>
      <c r="D209">
        <f>IFERROR(VLOOKUP($A$4&amp;$D$4&amp;C209,BalancesAnuales1!$A$2:$E$20009,5,0)+0,0)/A6</f>
        <v>0</v>
      </c>
      <c r="E209">
        <f>IFERROR(VLOOKUP($A$4&amp;$E$4&amp;C209,BalancesAnuales1!$A$2:$E$20009,5,0)+0,0)/A6</f>
        <v>0</v>
      </c>
      <c r="F209">
        <f>IFERROR(VLOOKUP($A$4&amp;$F$4&amp;C209,BalancesAnuales1!$A$2:$E$20009,5,0)+0,0)/A6</f>
        <v>0</v>
      </c>
      <c r="G209">
        <f>IFERROR(VLOOKUP($A$4&amp;$G$4&amp;C209,BalancesMensuales1!$A$2:$E$20009,5,0)+0,0)/A6</f>
        <v>0</v>
      </c>
      <c r="H209">
        <f>IFERROR(VLOOKUP($A$4&amp;$H$4&amp;C209,BalancesMensuales1!$A$2:$E$20009,5,0)+0,0)/A6</f>
        <v>0</v>
      </c>
      <c r="Z209">
        <f t="shared" si="21"/>
        <v>145</v>
      </c>
      <c r="AA209">
        <f>ProductosRIB!A147</f>
        <v>0</v>
      </c>
      <c r="AB209" t="str">
        <f>PROPER(ProductosRIB!D147&amp;IF(ProductosRIB!F147="",""," - Marca: "&amp;ProductosRIB!F147))</f>
        <v/>
      </c>
      <c r="AC209">
        <f>ProductosRIB!E147</f>
        <v>0</v>
      </c>
    </row>
    <row r="210" spans="3:29" hidden="1">
      <c r="C210">
        <v>2109</v>
      </c>
      <c r="D210">
        <f>IFERROR(VLOOKUP($A$4&amp;$D$4&amp;C210,BalancesAnuales1!$A$2:$E$20009,5,0)+0,0)/A6</f>
        <v>0</v>
      </c>
      <c r="E210">
        <f>IFERROR(VLOOKUP($A$4&amp;$E$4&amp;C210,BalancesAnuales1!$A$2:$E$20009,5,0)+0,0)/A6</f>
        <v>0</v>
      </c>
      <c r="F210">
        <f>IFERROR(VLOOKUP($A$4&amp;$F$4&amp;C210,BalancesAnuales1!$A$2:$E$20009,5,0)+0,0)/A6</f>
        <v>0</v>
      </c>
      <c r="G210">
        <f>IFERROR(VLOOKUP($A$4&amp;$G$4&amp;C210,BalancesMensuales1!$A$2:$E$20009,5,0)+0,0)/A6</f>
        <v>0</v>
      </c>
      <c r="H210">
        <f>IFERROR(VLOOKUP($A$4&amp;$H$4&amp;C210,BalancesMensuales1!$A$2:$E$20009,5,0)+0,0)/A6</f>
        <v>0</v>
      </c>
      <c r="Z210">
        <f t="shared" si="21"/>
        <v>146</v>
      </c>
      <c r="AA210">
        <f>ProductosRIB!A148</f>
        <v>0</v>
      </c>
      <c r="AB210" t="str">
        <f>PROPER(ProductosRIB!D148&amp;IF(ProductosRIB!F148="",""," - Marca: "&amp;ProductosRIB!F148))</f>
        <v/>
      </c>
      <c r="AC210">
        <f>ProductosRIB!E148</f>
        <v>0</v>
      </c>
    </row>
    <row r="211" spans="3:29" hidden="1">
      <c r="C211">
        <v>21</v>
      </c>
      <c r="D211">
        <f>IFERROR(VLOOKUP($A$4&amp;$D$4&amp;C211,BalancesAnuales1!$A$2:$E$20009,5,0)+0,0)/A6</f>
        <v>0</v>
      </c>
      <c r="E211">
        <f>IFERROR(VLOOKUP($A$4&amp;$E$4&amp;C211,BalancesAnuales1!$A$2:$E$20009,5,0)+0,0)/A6</f>
        <v>0</v>
      </c>
      <c r="F211">
        <f>IFERROR(VLOOKUP($A$4&amp;$F$4&amp;C211,BalancesAnuales1!$A$2:$E$20009,5,0)+0,0)/A6</f>
        <v>0</v>
      </c>
      <c r="G211">
        <f>IFERROR(VLOOKUP($A$4&amp;$G$4&amp;C211,BalancesMensuales1!$A$2:$E$20009,5,0)+0,0)/A6</f>
        <v>0</v>
      </c>
      <c r="H211">
        <f>IFERROR(VLOOKUP($A$4&amp;$H$4&amp;C211,BalancesMensuales1!$A$2:$E$20009,5,0)+0,0)/A6</f>
        <v>0</v>
      </c>
      <c r="Z211">
        <f t="shared" si="21"/>
        <v>147</v>
      </c>
      <c r="AA211">
        <f>ProductosRIB!A149</f>
        <v>0</v>
      </c>
      <c r="AB211" t="str">
        <f>PROPER(ProductosRIB!D149&amp;IF(ProductosRIB!F149="",""," - Marca: "&amp;ProductosRIB!F149))</f>
        <v/>
      </c>
      <c r="AC211">
        <f>ProductosRIB!E149</f>
        <v>0</v>
      </c>
    </row>
    <row r="212" spans="3:29" hidden="1">
      <c r="C212">
        <v>210501</v>
      </c>
      <c r="D212">
        <f>IFERROR(VLOOKUP($A$4&amp;$D$4&amp;C212,BalancesAnuales1!$A$2:$E$20009,5,0)+0,0)/A6</f>
        <v>0</v>
      </c>
      <c r="E212">
        <f>IFERROR(VLOOKUP($A$4&amp;$E$4&amp;C212,BalancesAnuales1!$A$2:$E$20009,5,0)+0,0)/A6</f>
        <v>0</v>
      </c>
      <c r="F212">
        <f>IFERROR(VLOOKUP($A$4&amp;$F$4&amp;C212,BalancesAnuales1!$A$2:$E$20009,5,0)+0,0)/A6</f>
        <v>0</v>
      </c>
      <c r="G212">
        <f>IFERROR(VLOOKUP($A$4&amp;$G$4&amp;C212,BalancesMensuales1!$A$2:$E$20009,5,0)+0,0)/A6</f>
        <v>0</v>
      </c>
      <c r="H212">
        <f>IFERROR(VLOOKUP($A$4&amp;$H$4&amp;C212,BalancesMensuales1!$A$2:$E$20009,5,0)+0,0)/A6</f>
        <v>0</v>
      </c>
      <c r="Z212">
        <f t="shared" si="21"/>
        <v>148</v>
      </c>
      <c r="AA212">
        <f>ProductosRIB!A150</f>
        <v>0</v>
      </c>
      <c r="AB212" t="str">
        <f>PROPER(ProductosRIB!D150&amp;IF(ProductosRIB!F150="",""," - Marca: "&amp;ProductosRIB!F150))</f>
        <v/>
      </c>
      <c r="AC212">
        <f>ProductosRIB!E150</f>
        <v>0</v>
      </c>
    </row>
    <row r="213" spans="3:29" hidden="1">
      <c r="C213">
        <v>211001</v>
      </c>
      <c r="D213">
        <f>IFERROR(VLOOKUP($A$4&amp;$D$4&amp;C213,BalancesAnuales1!$A$2:$E$20009,5,0)+0,0)/A6</f>
        <v>0</v>
      </c>
      <c r="E213">
        <f>IFERROR(VLOOKUP($A$4&amp;$E$4&amp;C213,BalancesAnuales1!$A$2:$E$20009,5,0)+0,0)/A6</f>
        <v>0</v>
      </c>
      <c r="F213">
        <f>IFERROR(VLOOKUP($A$4&amp;$F$4&amp;C213,BalancesAnuales1!$A$2:$E$20009,5,0)+0,0)/A6</f>
        <v>0</v>
      </c>
      <c r="G213">
        <f>IFERROR(VLOOKUP($A$4&amp;$G$4&amp;C213,BalancesMensuales1!$A$2:$E$20009,5,0)+0,0)/A6</f>
        <v>0</v>
      </c>
      <c r="H213">
        <f>IFERROR(VLOOKUP($A$4&amp;$H$4&amp;C213,BalancesMensuales1!$A$2:$E$20009,5,0)+0,0)/A6</f>
        <v>0</v>
      </c>
      <c r="Z213">
        <f t="shared" si="21"/>
        <v>149</v>
      </c>
      <c r="AA213">
        <f>ProductosRIB!A151</f>
        <v>0</v>
      </c>
      <c r="AB213" t="str">
        <f>PROPER(ProductosRIB!D151&amp;IF(ProductosRIB!F151="",""," - Marca: "&amp;ProductosRIB!F151))</f>
        <v/>
      </c>
      <c r="AC213">
        <f>ProductosRIB!E151</f>
        <v>0</v>
      </c>
    </row>
    <row r="214" spans="3:29" hidden="1">
      <c r="C214">
        <v>2201</v>
      </c>
      <c r="D214">
        <f>IFERROR(VLOOKUP($A$4&amp;$D$4&amp;C214,BalancesAnuales1!$A$2:$E$20009,5,0)+0,0)/A6</f>
        <v>0</v>
      </c>
      <c r="E214">
        <f>IFERROR(VLOOKUP($A$4&amp;$E$4&amp;C214,BalancesAnuales1!$A$2:$E$20009,5,0)+0,0)/A6</f>
        <v>0</v>
      </c>
      <c r="F214">
        <f>IFERROR(VLOOKUP($A$4&amp;$F$4&amp;C214,BalancesAnuales1!$A$2:$E$20009,5,0)+0,0)/A6</f>
        <v>0</v>
      </c>
      <c r="G214">
        <f>IFERROR(VLOOKUP($A$4&amp;$G$4&amp;C214,BalancesMensuales1!$A$2:$E$20009,5,0)+0,0)/A6</f>
        <v>0</v>
      </c>
      <c r="H214">
        <f>IFERROR(VLOOKUP($A$4&amp;$H$4&amp;C214,BalancesMensuales1!$A$2:$E$20009,5,0)+0,0)/A6</f>
        <v>0</v>
      </c>
      <c r="Z214">
        <f t="shared" si="21"/>
        <v>150</v>
      </c>
      <c r="AA214">
        <f>ProductosRIB!A152</f>
        <v>0</v>
      </c>
      <c r="AB214" t="str">
        <f>PROPER(ProductosRIB!D152&amp;IF(ProductosRIB!F152="",""," - Marca: "&amp;ProductosRIB!F152))</f>
        <v/>
      </c>
      <c r="AC214">
        <f>ProductosRIB!E152</f>
        <v>0</v>
      </c>
    </row>
    <row r="215" spans="3:29" hidden="1">
      <c r="C215">
        <v>220501</v>
      </c>
      <c r="D215">
        <f>IFERROR(VLOOKUP($A$4&amp;$D$4&amp;C215,BalancesAnuales1!$A$2:$E$20009,5,0)+0,0)/A6</f>
        <v>0</v>
      </c>
      <c r="E215">
        <f>IFERROR(VLOOKUP($A$4&amp;$E$4&amp;C215,BalancesAnuales1!$A$2:$E$20009,5,0)+0,0)/A6</f>
        <v>0</v>
      </c>
      <c r="F215">
        <f>IFERROR(VLOOKUP($A$4&amp;$F$4&amp;C215,BalancesAnuales1!$A$2:$E$20009,5,0)+0,0)/A6</f>
        <v>0</v>
      </c>
      <c r="G215">
        <f>IFERROR(VLOOKUP($A$4&amp;$G$4&amp;C215,BalancesMensuales1!$A$2:$E$20009,5,0)+0,0)/A6</f>
        <v>0</v>
      </c>
      <c r="H215">
        <f>IFERROR(VLOOKUP($A$4&amp;$H$4&amp;C215,BalancesMensuales1!$A$2:$E$20009,5,0)+0,0)/A6</f>
        <v>0</v>
      </c>
    </row>
    <row r="216" spans="3:29" hidden="1">
      <c r="C216">
        <v>221001</v>
      </c>
      <c r="D216">
        <f>IFERROR(VLOOKUP($A$4&amp;$D$4&amp;C216,BalancesAnuales1!$A$2:$E$20009,5,0)+0,0)/A6</f>
        <v>0</v>
      </c>
      <c r="E216">
        <f>IFERROR(VLOOKUP($A$4&amp;$E$4&amp;C216,BalancesAnuales1!$A$2:$E$20009,5,0)+0,0)/A6</f>
        <v>0</v>
      </c>
      <c r="F216">
        <f>IFERROR(VLOOKUP($A$4&amp;$F$4&amp;C216,BalancesAnuales1!$A$2:$E$20009,5,0)+0,0)/A6</f>
        <v>0</v>
      </c>
      <c r="G216">
        <f>IFERROR(VLOOKUP($A$4&amp;$G$4&amp;C216,BalancesMensuales1!$A$2:$E$20009,5,0)+0,0)/A6</f>
        <v>0</v>
      </c>
      <c r="H216">
        <f>IFERROR(VLOOKUP($A$4&amp;$H$4&amp;C216,BalancesMensuales1!$A$2:$E$20009,5,0)+0,0)/A6</f>
        <v>0</v>
      </c>
      <c r="AA216" t="s">
        <v>107</v>
      </c>
    </row>
    <row r="217" spans="3:29" hidden="1">
      <c r="C217">
        <v>230501</v>
      </c>
      <c r="D217">
        <f>IFERROR(VLOOKUP($A$4&amp;$D$4&amp;C217,BalancesAnuales1!$A$2:$E$20009,5,0)+0,0)/A6</f>
        <v>0</v>
      </c>
      <c r="E217">
        <f>IFERROR(VLOOKUP($A$4&amp;$E$4&amp;C217,BalancesAnuales1!$A$2:$E$20009,5,0)+0,0)/A6</f>
        <v>0</v>
      </c>
      <c r="F217">
        <f>IFERROR(VLOOKUP($A$4&amp;$F$4&amp;C217,BalancesAnuales1!$A$2:$E$20009,5,0)+0,0)/A6</f>
        <v>0</v>
      </c>
      <c r="G217">
        <f>IFERROR(VLOOKUP($A$4&amp;$G$4&amp;C217,BalancesMensuales1!$A$2:$E$20009,5,0)+0,0)/A6</f>
        <v>0</v>
      </c>
      <c r="H217">
        <f>IFERROR(VLOOKUP($A$4&amp;$H$4&amp;C217,BalancesMensuales1!$A$2:$E$20009,5,0)+0,0)/A6</f>
        <v>0</v>
      </c>
      <c r="AA217" t="s">
        <v>33</v>
      </c>
      <c r="AB217" t="s">
        <v>112</v>
      </c>
      <c r="AC217" t="s">
        <v>113</v>
      </c>
    </row>
    <row r="218" spans="3:29" hidden="1">
      <c r="C218">
        <v>231001</v>
      </c>
      <c r="D218">
        <f>IFERROR(VLOOKUP($A$4&amp;$D$4&amp;C218,BalancesAnuales1!$A$2:$E$20009,5,0)+0,0)/A6</f>
        <v>0</v>
      </c>
      <c r="E218">
        <f>IFERROR(VLOOKUP($A$4&amp;$E$4&amp;C218,BalancesAnuales1!$A$2:$E$20009,5,0)+0,0)/A6</f>
        <v>0</v>
      </c>
      <c r="F218">
        <f>IFERROR(VLOOKUP($A$4&amp;$F$4&amp;C218,BalancesAnuales1!$A$2:$E$20009,5,0)+0,0)/A6</f>
        <v>0</v>
      </c>
      <c r="G218">
        <f>IFERROR(VLOOKUP($A$4&amp;$G$4&amp;C218,BalancesMensuales1!$A$2:$E$20009,5,0)+0,0)/A6</f>
        <v>0</v>
      </c>
      <c r="H218">
        <f>IFERROR(VLOOKUP($A$4&amp;$H$4&amp;C218,BalancesMensuales1!$A$2:$E$20009,5,0)+0,0)/A6</f>
        <v>0</v>
      </c>
      <c r="Z218">
        <f t="shared" ref="Z218:Z249" si="22">IF(AA218=$A$4,Z217+1,0)</f>
        <v>1</v>
      </c>
      <c r="AA218">
        <f>ClientesRIB!A3</f>
        <v>0</v>
      </c>
      <c r="AB218" t="str">
        <f>ClientesRIB!D3&amp;" - "&amp;ClientesRIB!F3</f>
        <v xml:space="preserve"> - </v>
      </c>
      <c r="AC218">
        <f>ClientesRIB!E3</f>
        <v>0</v>
      </c>
    </row>
    <row r="219" spans="3:29" hidden="1">
      <c r="C219">
        <v>231501</v>
      </c>
      <c r="D219">
        <f>IFERROR(VLOOKUP($A$4&amp;$D$4&amp;C219,BalancesAnuales1!$A$2:$E$20009,5,0)+0,0)/A6</f>
        <v>0</v>
      </c>
      <c r="E219">
        <f>IFERROR(VLOOKUP($A$4&amp;$E$4&amp;C219,BalancesAnuales1!$A$2:$E$20009,5,0)+0,0)/A6</f>
        <v>0</v>
      </c>
      <c r="F219">
        <f>IFERROR(VLOOKUP($A$4&amp;$F$4&amp;C219,BalancesAnuales1!$A$2:$E$20009,5,0)+0,0)/A6</f>
        <v>0</v>
      </c>
      <c r="G219">
        <f>IFERROR(VLOOKUP($A$4&amp;$G$4&amp;C219,BalancesMensuales1!$A$2:$E$20009,5,0)+0,0)/A6</f>
        <v>0</v>
      </c>
      <c r="H219">
        <f>IFERROR(VLOOKUP($A$4&amp;$H$4&amp;C219,BalancesMensuales1!$A$2:$E$20009,5,0)+0,0)/A6</f>
        <v>0</v>
      </c>
      <c r="Z219">
        <f t="shared" si="22"/>
        <v>2</v>
      </c>
      <c r="AA219">
        <f>ClientesRIB!A4</f>
        <v>0</v>
      </c>
      <c r="AB219" t="str">
        <f>ClientesRIB!D4&amp;" - "&amp;ClientesRIB!F4</f>
        <v xml:space="preserve"> - </v>
      </c>
      <c r="AC219">
        <f>ClientesRIB!E4</f>
        <v>0</v>
      </c>
    </row>
    <row r="220" spans="3:29" hidden="1">
      <c r="C220">
        <v>232001</v>
      </c>
      <c r="D220">
        <f>IFERROR(VLOOKUP($A$4&amp;$D$4&amp;C220,BalancesAnuales1!$A$2:$E$20009,5,0)+0,0)/A6</f>
        <v>0</v>
      </c>
      <c r="E220">
        <f>IFERROR(VLOOKUP($A$4&amp;$E$4&amp;C220,BalancesAnuales1!$A$2:$E$20009,5,0)+0,0)/A6</f>
        <v>0</v>
      </c>
      <c r="F220">
        <f>IFERROR(VLOOKUP($A$4&amp;$F$4&amp;C220,BalancesAnuales1!$A$2:$E$20009,5,0)+0,0)/A6</f>
        <v>0</v>
      </c>
      <c r="G220">
        <f>IFERROR(VLOOKUP($A$4&amp;$G$4&amp;C220,BalancesMensuales1!$A$2:$E$20009,5,0)+0,0)/A6</f>
        <v>0</v>
      </c>
      <c r="H220">
        <f>IFERROR(VLOOKUP($A$4&amp;$H$4&amp;C220,BalancesMensuales1!$A$2:$E$20009,5,0)+0,0)/A6</f>
        <v>0</v>
      </c>
      <c r="Z220">
        <f t="shared" si="22"/>
        <v>3</v>
      </c>
      <c r="AA220">
        <f>ClientesRIB!A5</f>
        <v>0</v>
      </c>
      <c r="AB220" t="str">
        <f>ClientesRIB!D5&amp;" - "&amp;ClientesRIB!F5</f>
        <v xml:space="preserve"> - </v>
      </c>
      <c r="AC220">
        <f>ClientesRIB!E5</f>
        <v>0</v>
      </c>
    </row>
    <row r="221" spans="3:29" hidden="1">
      <c r="C221">
        <v>233501</v>
      </c>
      <c r="D221">
        <f>IFERROR(VLOOKUP($A$4&amp;$D$4&amp;C221,BalancesAnuales1!$A$2:$E$20009,5,0)+0,0)/A6</f>
        <v>0</v>
      </c>
      <c r="E221">
        <f>IFERROR(VLOOKUP($A$4&amp;$E$4&amp;C221,BalancesAnuales1!$A$2:$E$20009,5,0)+0,0)/A6</f>
        <v>0</v>
      </c>
      <c r="F221">
        <f>IFERROR(VLOOKUP($A$4&amp;$F$4&amp;C221,BalancesAnuales1!$A$2:$E$20009,5,0)+0,0)/A6</f>
        <v>0</v>
      </c>
      <c r="G221">
        <f>IFERROR(VLOOKUP($A$4&amp;$G$4&amp;C221,BalancesMensuales1!$A$2:$E$20009,5,0)+0,0)/A6</f>
        <v>0</v>
      </c>
      <c r="H221">
        <f>IFERROR(VLOOKUP($A$4&amp;$H$4&amp;C221,BalancesMensuales1!$A$2:$E$20009,5,0)+0,0)/A6</f>
        <v>0</v>
      </c>
      <c r="Z221">
        <f t="shared" si="22"/>
        <v>4</v>
      </c>
      <c r="AA221">
        <f>ClientesRIB!A6</f>
        <v>0</v>
      </c>
      <c r="AB221" t="str">
        <f>ClientesRIB!D6&amp;" - "&amp;ClientesRIB!F6</f>
        <v xml:space="preserve"> - </v>
      </c>
      <c r="AC221">
        <f>ClientesRIB!E6</f>
        <v>0</v>
      </c>
    </row>
    <row r="222" spans="3:29" hidden="1">
      <c r="C222">
        <v>234501</v>
      </c>
      <c r="D222">
        <f>IFERROR(VLOOKUP($A$4&amp;$D$4&amp;C222,BalancesAnuales1!$A$2:$E$20009,5,0)+0,0)/A6</f>
        <v>0</v>
      </c>
      <c r="E222">
        <f>IFERROR(VLOOKUP($A$4&amp;$E$4&amp;C222,BalancesAnuales1!$A$2:$E$20009,5,0)+0,0)/A6</f>
        <v>0</v>
      </c>
      <c r="F222">
        <f>IFERROR(VLOOKUP($A$4&amp;$F$4&amp;C222,BalancesAnuales1!$A$2:$E$20009,5,0)+0,0)/A6</f>
        <v>0</v>
      </c>
      <c r="G222">
        <f>IFERROR(VLOOKUP($A$4&amp;$G$4&amp;C222,BalancesMensuales1!$A$2:$E$20009,5,0)+0,0)/A6</f>
        <v>0</v>
      </c>
      <c r="H222">
        <f>IFERROR(VLOOKUP($A$4&amp;$H$4&amp;C222,BalancesMensuales1!$A$2:$E$20009,5,0)+0,0)/A6</f>
        <v>0</v>
      </c>
      <c r="Z222">
        <f t="shared" si="22"/>
        <v>5</v>
      </c>
      <c r="AA222">
        <f>ClientesRIB!A7</f>
        <v>0</v>
      </c>
      <c r="AB222" t="str">
        <f>ClientesRIB!D7&amp;" - "&amp;ClientesRIB!F7</f>
        <v xml:space="preserve"> - </v>
      </c>
      <c r="AC222">
        <f>ClientesRIB!E7</f>
        <v>0</v>
      </c>
    </row>
    <row r="223" spans="3:29" hidden="1">
      <c r="C223">
        <v>235001</v>
      </c>
      <c r="D223">
        <f>IFERROR(VLOOKUP($A$4&amp;$D$4&amp;C223,BalancesAnuales1!$A$2:$E$20009,5,0)+0,0)/A6</f>
        <v>0</v>
      </c>
      <c r="E223">
        <f>IFERROR(VLOOKUP($A$4&amp;$E$4&amp;C223,BalancesAnuales1!$A$2:$E$20009,5,0)+0,0)/A6</f>
        <v>0</v>
      </c>
      <c r="F223">
        <f>IFERROR(VLOOKUP($A$4&amp;$F$4&amp;C223,BalancesAnuales1!$A$2:$E$20009,5,0)+0,0)/A6</f>
        <v>0</v>
      </c>
      <c r="G223">
        <f>IFERROR(VLOOKUP($A$4&amp;$G$4&amp;C223,BalancesMensuales1!$A$2:$E$20009,5,0)+0,0)/A6</f>
        <v>0</v>
      </c>
      <c r="H223">
        <f>IFERROR(VLOOKUP($A$4&amp;$H$4&amp;C223,BalancesMensuales1!$A$2:$E$20009,5,0)+0,0)/A6</f>
        <v>0</v>
      </c>
      <c r="Z223">
        <f t="shared" si="22"/>
        <v>6</v>
      </c>
      <c r="AA223">
        <f>ClientesRIB!A8</f>
        <v>0</v>
      </c>
      <c r="AB223" t="str">
        <f>ClientesRIB!D8&amp;" - "&amp;ClientesRIB!F8</f>
        <v xml:space="preserve"> - </v>
      </c>
      <c r="AC223">
        <f>ClientesRIB!E8</f>
        <v>0</v>
      </c>
    </row>
    <row r="224" spans="3:29" hidden="1">
      <c r="C224">
        <v>235501</v>
      </c>
      <c r="D224">
        <f>IFERROR(VLOOKUP($A$4&amp;$D$4&amp;C224,BalancesAnuales1!$A$2:$E$20009,5,0)+0,0)/A6</f>
        <v>0</v>
      </c>
      <c r="E224">
        <f>IFERROR(VLOOKUP($A$4&amp;$E$4&amp;C224,BalancesAnuales1!$A$2:$E$20009,5,0)+0,0)/A6</f>
        <v>0</v>
      </c>
      <c r="F224">
        <f>IFERROR(VLOOKUP($A$4&amp;$F$4&amp;C224,BalancesAnuales1!$A$2:$E$20009,5,0)+0,0)/A6</f>
        <v>0</v>
      </c>
      <c r="G224">
        <f>IFERROR(VLOOKUP($A$4&amp;$G$4&amp;C224,BalancesMensuales1!$A$2:$E$20009,5,0)+0,0)/A6</f>
        <v>0</v>
      </c>
      <c r="H224">
        <f>IFERROR(VLOOKUP($A$4&amp;$H$4&amp;C224,BalancesMensuales1!$A$2:$E$20009,5,0)+0,0)/A6</f>
        <v>0</v>
      </c>
      <c r="Z224">
        <f t="shared" si="22"/>
        <v>7</v>
      </c>
      <c r="AA224">
        <f>ClientesRIB!A9</f>
        <v>0</v>
      </c>
      <c r="AB224" t="str">
        <f>ClientesRIB!D9&amp;" - "&amp;ClientesRIB!F9</f>
        <v xml:space="preserve"> - </v>
      </c>
      <c r="AC224">
        <f>ClientesRIB!E9</f>
        <v>0</v>
      </c>
    </row>
    <row r="225" spans="3:29" hidden="1">
      <c r="C225">
        <v>236001</v>
      </c>
      <c r="D225">
        <f>IFERROR(VLOOKUP($A$4&amp;$D$4&amp;C225,BalancesAnuales1!$A$2:$E$20009,5,0)+0,0)/A6</f>
        <v>0</v>
      </c>
      <c r="E225">
        <f>IFERROR(VLOOKUP($A$4&amp;$E$4&amp;C225,BalancesAnuales1!$A$2:$E$20009,5,0)+0,0)/A6</f>
        <v>0</v>
      </c>
      <c r="F225">
        <f>IFERROR(VLOOKUP($A$4&amp;$F$4&amp;C225,BalancesAnuales1!$A$2:$E$20009,5,0)+0,0)/A6</f>
        <v>0</v>
      </c>
      <c r="G225">
        <f>IFERROR(VLOOKUP($A$4&amp;$G$4&amp;C225,BalancesMensuales1!$A$2:$E$20009,5,0)+0,0)/A6</f>
        <v>0</v>
      </c>
      <c r="H225">
        <f>IFERROR(VLOOKUP($A$4&amp;$H$4&amp;C225,BalancesMensuales1!$A$2:$E$20009,5,0)+0,0)/A6</f>
        <v>0</v>
      </c>
      <c r="Z225">
        <f t="shared" si="22"/>
        <v>8</v>
      </c>
      <c r="AA225">
        <f>ClientesRIB!A10</f>
        <v>0</v>
      </c>
      <c r="AB225" t="str">
        <f>ClientesRIB!D10&amp;" - "&amp;ClientesRIB!F10</f>
        <v xml:space="preserve"> - </v>
      </c>
      <c r="AC225">
        <f>ClientesRIB!E10</f>
        <v>0</v>
      </c>
    </row>
    <row r="226" spans="3:29" hidden="1">
      <c r="C226">
        <v>236501</v>
      </c>
      <c r="D226">
        <f>IFERROR(VLOOKUP($A$4&amp;$D$4&amp;C226,BalancesAnuales1!$A$2:$E$20009,5,0)+0,0)/A6</f>
        <v>0</v>
      </c>
      <c r="E226">
        <f>IFERROR(VLOOKUP($A$4&amp;$E$4&amp;C226,BalancesAnuales1!$A$2:$E$20009,5,0)+0,0)/A6</f>
        <v>0</v>
      </c>
      <c r="F226">
        <f>IFERROR(VLOOKUP($A$4&amp;$F$4&amp;C226,BalancesAnuales1!$A$2:$E$20009,5,0)+0,0)/A6</f>
        <v>0</v>
      </c>
      <c r="G226">
        <f>IFERROR(VLOOKUP($A$4&amp;$G$4&amp;C226,BalancesMensuales1!$A$2:$E$20009,5,0)+0,0)/A6</f>
        <v>0</v>
      </c>
      <c r="H226">
        <f>IFERROR(VLOOKUP($A$4&amp;$H$4&amp;C226,BalancesMensuales1!$A$2:$E$20009,5,0)+0,0)/A6</f>
        <v>0</v>
      </c>
      <c r="Z226">
        <f t="shared" si="22"/>
        <v>9</v>
      </c>
      <c r="AA226">
        <f>ClientesRIB!A11</f>
        <v>0</v>
      </c>
      <c r="AB226" t="str">
        <f>ClientesRIB!D11&amp;" - "&amp;ClientesRIB!F11</f>
        <v xml:space="preserve"> - </v>
      </c>
      <c r="AC226">
        <f>ClientesRIB!E11</f>
        <v>0</v>
      </c>
    </row>
    <row r="227" spans="3:29" hidden="1">
      <c r="C227">
        <v>236701</v>
      </c>
      <c r="D227">
        <f>IFERROR(VLOOKUP($A$4&amp;$D$4&amp;C227,BalancesAnuales1!$A$2:$E$20009,5,0)+0,0)/A6</f>
        <v>0</v>
      </c>
      <c r="E227">
        <f>IFERROR(VLOOKUP($A$4&amp;$E$4&amp;C227,BalancesAnuales1!$A$2:$E$20009,5,0)+0,0)/A6</f>
        <v>0</v>
      </c>
      <c r="F227">
        <f>IFERROR(VLOOKUP($A$4&amp;$F$4&amp;C227,BalancesAnuales1!$A$2:$E$20009,5,0)+0,0)/A6</f>
        <v>0</v>
      </c>
      <c r="G227">
        <f>IFERROR(VLOOKUP($A$4&amp;$G$4&amp;C227,BalancesMensuales1!$A$2:$E$20009,5,0)+0,0)/A6</f>
        <v>0</v>
      </c>
      <c r="H227">
        <f>IFERROR(VLOOKUP($A$4&amp;$H$4&amp;C227,BalancesMensuales1!$A$2:$E$20009,5,0)+0,0)/A6</f>
        <v>0</v>
      </c>
      <c r="Z227">
        <f t="shared" si="22"/>
        <v>10</v>
      </c>
      <c r="AA227">
        <f>ClientesRIB!A12</f>
        <v>0</v>
      </c>
      <c r="AB227" t="str">
        <f>ClientesRIB!D12&amp;" - "&amp;ClientesRIB!F12</f>
        <v xml:space="preserve"> - </v>
      </c>
      <c r="AC227">
        <f>ClientesRIB!E12</f>
        <v>0</v>
      </c>
    </row>
    <row r="228" spans="3:29" hidden="1">
      <c r="C228">
        <v>237001</v>
      </c>
      <c r="D228">
        <f>IFERROR(VLOOKUP($A$4&amp;$D$4&amp;C228,BalancesAnuales1!$A$2:$E$20009,5,0)+0,0)/A6</f>
        <v>0</v>
      </c>
      <c r="E228">
        <f>IFERROR(VLOOKUP($A$4&amp;$E$4&amp;C228,BalancesAnuales1!$A$2:$E$20009,5,0)+0,0)/A6</f>
        <v>0</v>
      </c>
      <c r="F228">
        <f>IFERROR(VLOOKUP($A$4&amp;$F$4&amp;C228,BalancesAnuales1!$A$2:$E$20009,5,0)+0,0)/A6</f>
        <v>0</v>
      </c>
      <c r="G228">
        <f>IFERROR(VLOOKUP($A$4&amp;$G$4&amp;C228,BalancesMensuales1!$A$2:$E$20009,5,0)+0,0)/A6</f>
        <v>0</v>
      </c>
      <c r="H228">
        <f>IFERROR(VLOOKUP($A$4&amp;$H$4&amp;C228,BalancesMensuales1!$A$2:$E$20009,5,0)+0,0)/A6</f>
        <v>0</v>
      </c>
      <c r="Z228">
        <f t="shared" si="22"/>
        <v>11</v>
      </c>
      <c r="AA228">
        <f>ClientesRIB!A13</f>
        <v>0</v>
      </c>
      <c r="AB228" t="str">
        <f>ClientesRIB!D13&amp;" - "&amp;ClientesRIB!F13</f>
        <v xml:space="preserve"> - </v>
      </c>
      <c r="AC228">
        <f>ClientesRIB!E13</f>
        <v>0</v>
      </c>
    </row>
    <row r="229" spans="3:29" hidden="1">
      <c r="C229">
        <v>238001</v>
      </c>
      <c r="D229">
        <f>IFERROR(VLOOKUP($A$4&amp;$D$4&amp;C229,BalancesAnuales1!$A$2:$E$20009,5,0)+0,0)/A6</f>
        <v>0</v>
      </c>
      <c r="E229">
        <f>IFERROR(VLOOKUP($A$4&amp;$E$4&amp;C229,BalancesAnuales1!$A$2:$E$20009,5,0)+0,0)/A6</f>
        <v>0</v>
      </c>
      <c r="F229">
        <f>IFERROR(VLOOKUP($A$4&amp;$F$4&amp;C229,BalancesAnuales1!$A$2:$E$20009,5,0)+0,0)/A6</f>
        <v>0</v>
      </c>
      <c r="G229">
        <f>IFERROR(VLOOKUP($A$4&amp;$G$4&amp;C229,BalancesMensuales1!$A$2:$E$20009,5,0)+0,0)/A6</f>
        <v>0</v>
      </c>
      <c r="H229">
        <f>IFERROR(VLOOKUP($A$4&amp;$H$4&amp;C229,BalancesMensuales1!$A$2:$E$20009,5,0)+0,0)/A6</f>
        <v>0</v>
      </c>
      <c r="Z229">
        <f t="shared" si="22"/>
        <v>12</v>
      </c>
      <c r="AA229">
        <f>ClientesRIB!A14</f>
        <v>0</v>
      </c>
      <c r="AB229" t="str">
        <f>ClientesRIB!D14&amp;" - "&amp;ClientesRIB!F14</f>
        <v xml:space="preserve"> - </v>
      </c>
      <c r="AC229">
        <f>ClientesRIB!E14</f>
        <v>0</v>
      </c>
    </row>
    <row r="230" spans="3:29" hidden="1">
      <c r="C230">
        <v>2203</v>
      </c>
      <c r="D230">
        <f>IFERROR(VLOOKUP($A$4&amp;$D$4&amp;C230,BalancesAnuales1!$A$2:$E$20009,5,0)+0,0)/A6</f>
        <v>0</v>
      </c>
      <c r="E230">
        <f>IFERROR(VLOOKUP($A$4&amp;$E$4&amp;C230,BalancesAnuales1!$A$2:$E$20009,5,0)+0,0)/A6</f>
        <v>0</v>
      </c>
      <c r="F230">
        <f>IFERROR(VLOOKUP($A$4&amp;$F$4&amp;C230,BalancesAnuales1!$A$2:$E$20009,5,0)+0,0)/A6</f>
        <v>0</v>
      </c>
      <c r="G230">
        <f>IFERROR(VLOOKUP($A$4&amp;$G$4&amp;C230,BalancesMensuales1!$A$2:$E$20009,5,0)+0,0)/A6</f>
        <v>0</v>
      </c>
      <c r="H230">
        <f>IFERROR(VLOOKUP($A$4&amp;$H$4&amp;C230,BalancesMensuales1!$A$2:$E$20009,5,0)+0,0)/A6</f>
        <v>0</v>
      </c>
      <c r="Z230">
        <f t="shared" si="22"/>
        <v>13</v>
      </c>
      <c r="AA230">
        <f>ClientesRIB!A15</f>
        <v>0</v>
      </c>
      <c r="AB230" t="str">
        <f>ClientesRIB!D15&amp;" - "&amp;ClientesRIB!F15</f>
        <v xml:space="preserve"> - </v>
      </c>
      <c r="AC230">
        <f>ClientesRIB!E15</f>
        <v>0</v>
      </c>
    </row>
    <row r="231" spans="3:29" hidden="1">
      <c r="C231">
        <v>240401</v>
      </c>
      <c r="D231">
        <f>IFERROR(VLOOKUP($A$4&amp;$D$4&amp;C231,BalancesAnuales1!$A$2:$E$20009,5,0)+0,0)/A6</f>
        <v>0</v>
      </c>
      <c r="E231">
        <f>IFERROR(VLOOKUP($A$4&amp;$E$4&amp;C231,BalancesAnuales1!$A$2:$E$20009,5,0)+0,0)/A6</f>
        <v>0</v>
      </c>
      <c r="F231">
        <f>IFERROR(VLOOKUP($A$4&amp;$F$4&amp;C231,BalancesAnuales1!$A$2:$E$20009,5,0)+0,0)/A6</f>
        <v>0</v>
      </c>
      <c r="G231">
        <f>IFERROR(VLOOKUP($A$4&amp;$G$4&amp;C231,BalancesMensuales1!$A$2:$E$20009,5,0)+0,0)/A6</f>
        <v>0</v>
      </c>
      <c r="H231">
        <f>IFERROR(VLOOKUP($A$4&amp;$H$4&amp;C231,BalancesMensuales1!$A$2:$E$20009,5,0)+0,0)/A6</f>
        <v>0</v>
      </c>
      <c r="Z231">
        <f t="shared" si="22"/>
        <v>14</v>
      </c>
      <c r="AA231">
        <f>ClientesRIB!A16</f>
        <v>0</v>
      </c>
      <c r="AB231" t="str">
        <f>ClientesRIB!D16&amp;" - "&amp;ClientesRIB!F16</f>
        <v xml:space="preserve"> - </v>
      </c>
      <c r="AC231">
        <f>ClientesRIB!E16</f>
        <v>0</v>
      </c>
    </row>
    <row r="232" spans="3:29" hidden="1">
      <c r="C232">
        <v>240801</v>
      </c>
      <c r="D232">
        <f>IFERROR(VLOOKUP($A$4&amp;$D$4&amp;C232,BalancesAnuales1!$A$2:$E$20009,5,0)+0,0)/A6</f>
        <v>0</v>
      </c>
      <c r="E232">
        <f>IFERROR(VLOOKUP($A$4&amp;$E$4&amp;C232,BalancesAnuales1!$A$2:$E$20009,5,0)+0,0)/A6</f>
        <v>0</v>
      </c>
      <c r="F232">
        <f>IFERROR(VLOOKUP($A$4&amp;$F$4&amp;C232,BalancesAnuales1!$A$2:$E$20009,5,0)+0,0)/A6</f>
        <v>0</v>
      </c>
      <c r="G232">
        <f>IFERROR(VLOOKUP($A$4&amp;$G$4&amp;C232,BalancesMensuales1!$A$2:$E$20009,5,0)+0,0)/A6</f>
        <v>0</v>
      </c>
      <c r="H232">
        <f>IFERROR(VLOOKUP($A$4&amp;$H$4&amp;C232,BalancesMensuales1!$A$2:$E$20009,5,0)+0,0)/A6</f>
        <v>0</v>
      </c>
      <c r="Z232">
        <f t="shared" si="22"/>
        <v>15</v>
      </c>
      <c r="AA232">
        <f>ClientesRIB!A17</f>
        <v>0</v>
      </c>
      <c r="AB232" t="str">
        <f>ClientesRIB!D17&amp;" - "&amp;ClientesRIB!F17</f>
        <v xml:space="preserve"> - </v>
      </c>
      <c r="AC232">
        <f>ClientesRIB!E17</f>
        <v>0</v>
      </c>
    </row>
    <row r="233" spans="3:29" hidden="1">
      <c r="C233">
        <v>241201</v>
      </c>
      <c r="D233">
        <f>IFERROR(VLOOKUP($A$4&amp;$D$4&amp;C233,BalancesAnuales1!$A$2:$E$20009,5,0)+0,0)/A6</f>
        <v>0</v>
      </c>
      <c r="E233">
        <f>IFERROR(VLOOKUP($A$4&amp;$E$4&amp;C233,BalancesAnuales1!$A$2:$E$20009,5,0)+0,0)/A6</f>
        <v>0</v>
      </c>
      <c r="F233">
        <f>IFERROR(VLOOKUP($A$4&amp;$F$4&amp;C233,BalancesAnuales1!$A$2:$E$20009,5,0)+0,0)/A6</f>
        <v>0</v>
      </c>
      <c r="G233">
        <f>IFERROR(VLOOKUP($A$4&amp;$G$4&amp;C233,BalancesMensuales1!$A$2:$E$20009,5,0)+0,0)/A6</f>
        <v>0</v>
      </c>
      <c r="H233">
        <f>IFERROR(VLOOKUP($A$4&amp;$H$4&amp;C233,BalancesMensuales1!$A$2:$E$20009,5,0)+0,0)/A6</f>
        <v>0</v>
      </c>
      <c r="Z233">
        <f t="shared" si="22"/>
        <v>16</v>
      </c>
      <c r="AA233">
        <f>ClientesRIB!A18</f>
        <v>0</v>
      </c>
      <c r="AB233" t="str">
        <f>ClientesRIB!D18&amp;" - "&amp;ClientesRIB!F18</f>
        <v xml:space="preserve"> - </v>
      </c>
      <c r="AC233">
        <f>ClientesRIB!E18</f>
        <v>0</v>
      </c>
    </row>
    <row r="234" spans="3:29" hidden="1">
      <c r="C234">
        <v>249501</v>
      </c>
      <c r="D234">
        <f>IFERROR(VLOOKUP($A$4&amp;$D$4&amp;C234,BalancesAnuales1!$A$2:$E$20009,5,0)+0,0)/A6</f>
        <v>0</v>
      </c>
      <c r="E234">
        <f>IFERROR(VLOOKUP($A$4&amp;$E$4&amp;C234,BalancesAnuales1!$A$2:$E$20009,5,0)+0,0)/A6</f>
        <v>0</v>
      </c>
      <c r="F234">
        <f>IFERROR(VLOOKUP($A$4&amp;$F$4&amp;C234,BalancesAnuales1!$A$2:$E$20009,5,0)+0,0)/A6</f>
        <v>0</v>
      </c>
      <c r="G234">
        <f>IFERROR(VLOOKUP($A$4&amp;$G$4&amp;C234,BalancesMensuales1!$A$2:$E$20009,5,0)+0,0)/A6</f>
        <v>0</v>
      </c>
      <c r="H234">
        <f>IFERROR(VLOOKUP($A$4&amp;$H$4&amp;C234,BalancesMensuales1!$A$2:$E$20009,5,0)+0,0)/A6</f>
        <v>0</v>
      </c>
      <c r="Z234">
        <f t="shared" si="22"/>
        <v>17</v>
      </c>
      <c r="AA234">
        <f>ClientesRIB!A19</f>
        <v>0</v>
      </c>
      <c r="AB234" t="str">
        <f>ClientesRIB!D19&amp;" - "&amp;ClientesRIB!F19</f>
        <v xml:space="preserve"> - </v>
      </c>
      <c r="AC234">
        <f>ClientesRIB!E19</f>
        <v>0</v>
      </c>
    </row>
    <row r="235" spans="3:29" hidden="1">
      <c r="C235">
        <v>240001</v>
      </c>
      <c r="D235">
        <f>IFERROR(VLOOKUP($A$4&amp;$D$4&amp;C235,BalancesAnuales1!$A$2:$E$20009,5,0)+0,0)/A6</f>
        <v>0</v>
      </c>
      <c r="E235">
        <f>IFERROR(VLOOKUP($A$4&amp;$E$4&amp;C235,BalancesAnuales1!$A$2:$E$20009,5,0)+0,0)/A6</f>
        <v>0</v>
      </c>
      <c r="F235">
        <f>IFERROR(VLOOKUP($A$4&amp;$F$4&amp;C235,BalancesAnuales1!$A$2:$E$20009,5,0)+0,0)/A6</f>
        <v>0</v>
      </c>
      <c r="G235">
        <f>IFERROR(VLOOKUP($A$4&amp;$G$4&amp;C235,BalancesMensuales1!$A$2:$E$20009,5,0)+0,0)/A6</f>
        <v>0</v>
      </c>
      <c r="H235">
        <f>IFERROR(VLOOKUP($A$4&amp;$H$4&amp;C235,BalancesMensuales1!$A$2:$E$20009,5,0)+0,0)/A6</f>
        <v>0</v>
      </c>
      <c r="Z235">
        <f t="shared" si="22"/>
        <v>18</v>
      </c>
      <c r="AA235">
        <f>ClientesRIB!A20</f>
        <v>0</v>
      </c>
      <c r="AB235" t="str">
        <f>ClientesRIB!D20&amp;" - "&amp;ClientesRIB!F20</f>
        <v xml:space="preserve"> - </v>
      </c>
      <c r="AC235">
        <f>ClientesRIB!E20</f>
        <v>0</v>
      </c>
    </row>
    <row r="236" spans="3:29" hidden="1">
      <c r="C236">
        <v>250501</v>
      </c>
      <c r="D236">
        <f>IFERROR(VLOOKUP($A$4&amp;$D$4&amp;C236,BalancesAnuales1!$A$2:$E$20009,5,0)+0,0)/A6</f>
        <v>0</v>
      </c>
      <c r="E236">
        <f>IFERROR(VLOOKUP($A$4&amp;$E$4&amp;C236,BalancesAnuales1!$A$2:$E$20009,5,0)+0,0)/A6</f>
        <v>0</v>
      </c>
      <c r="F236">
        <f>IFERROR(VLOOKUP($A$4&amp;$F$4&amp;C236,BalancesAnuales1!$A$2:$E$20009,5,0)+0,0)/A6</f>
        <v>0</v>
      </c>
      <c r="G236">
        <f>IFERROR(VLOOKUP($A$4&amp;$G$4&amp;C236,BalancesMensuales1!$A$2:$E$20009,5,0)+0,0)/A6</f>
        <v>0</v>
      </c>
      <c r="H236">
        <f>IFERROR(VLOOKUP($A$4&amp;$H$4&amp;C236,BalancesMensuales1!$A$2:$E$20009,5,0)+0,0)/A6</f>
        <v>0</v>
      </c>
      <c r="Z236">
        <f t="shared" si="22"/>
        <v>19</v>
      </c>
      <c r="AA236">
        <f>ClientesRIB!A21</f>
        <v>0</v>
      </c>
      <c r="AB236" t="str">
        <f>ClientesRIB!D21&amp;" - "&amp;ClientesRIB!F21</f>
        <v xml:space="preserve"> - </v>
      </c>
      <c r="AC236">
        <f>ClientesRIB!E21</f>
        <v>0</v>
      </c>
    </row>
    <row r="237" spans="3:29" hidden="1">
      <c r="C237">
        <v>251001</v>
      </c>
      <c r="D237">
        <f>IFERROR(VLOOKUP($A$4&amp;$D$4&amp;C237,BalancesAnuales1!$A$2:$E$20009,5,0)+0,0)/A6</f>
        <v>0</v>
      </c>
      <c r="E237">
        <f>IFERROR(VLOOKUP($A$4&amp;$E$4&amp;C237,BalancesAnuales1!$A$2:$E$20009,5,0)+0,0)/A6</f>
        <v>0</v>
      </c>
      <c r="F237">
        <f>IFERROR(VLOOKUP($A$4&amp;$F$4&amp;C237,BalancesAnuales1!$A$2:$E$20009,5,0)+0,0)/A6</f>
        <v>0</v>
      </c>
      <c r="G237">
        <f>IFERROR(VLOOKUP($A$4&amp;$G$4&amp;C237,BalancesMensuales1!$A$2:$E$20009,5,0)+0,0)/A6</f>
        <v>0</v>
      </c>
      <c r="H237">
        <f>IFERROR(VLOOKUP($A$4&amp;$H$4&amp;C237,BalancesMensuales1!$A$2:$E$20009,5,0)+0,0)/A6</f>
        <v>0</v>
      </c>
      <c r="Z237">
        <f t="shared" si="22"/>
        <v>20</v>
      </c>
      <c r="AA237">
        <f>ClientesRIB!A22</f>
        <v>0</v>
      </c>
      <c r="AB237" t="str">
        <f>ClientesRIB!D22&amp;" - "&amp;ClientesRIB!F22</f>
        <v xml:space="preserve"> - </v>
      </c>
      <c r="AC237">
        <f>ClientesRIB!E22</f>
        <v>0</v>
      </c>
    </row>
    <row r="238" spans="3:29" hidden="1">
      <c r="C238">
        <v>251501</v>
      </c>
      <c r="D238">
        <f>IFERROR(VLOOKUP($A$4&amp;$D$4&amp;C238,BalancesAnuales1!$A$2:$E$20009,5,0)+0,0)/A6</f>
        <v>0</v>
      </c>
      <c r="E238">
        <f>IFERROR(VLOOKUP($A$4&amp;$E$4&amp;C238,BalancesAnuales1!$A$2:$E$20009,5,0)+0,0)/A6</f>
        <v>0</v>
      </c>
      <c r="F238">
        <f>IFERROR(VLOOKUP($A$4&amp;$F$4&amp;C238,BalancesAnuales1!$A$2:$E$20009,5,0)+0,0)/A6</f>
        <v>0</v>
      </c>
      <c r="G238">
        <f>IFERROR(VLOOKUP($A$4&amp;$G$4&amp;C238,BalancesMensuales1!$A$2:$E$20009,5,0)+0,0)/A6</f>
        <v>0</v>
      </c>
      <c r="H238">
        <f>IFERROR(VLOOKUP($A$4&amp;$H$4&amp;C238,BalancesMensuales1!$A$2:$E$20009,5,0)+0,0)/A6</f>
        <v>0</v>
      </c>
      <c r="Z238">
        <f t="shared" si="22"/>
        <v>21</v>
      </c>
      <c r="AA238">
        <f>ClientesRIB!A23</f>
        <v>0</v>
      </c>
      <c r="AB238" t="str">
        <f>ClientesRIB!D23&amp;" - "&amp;ClientesRIB!F23</f>
        <v xml:space="preserve"> - </v>
      </c>
      <c r="AC238">
        <f>ClientesRIB!E23</f>
        <v>0</v>
      </c>
    </row>
    <row r="239" spans="3:29" hidden="1">
      <c r="C239">
        <v>252501</v>
      </c>
      <c r="D239">
        <f>IFERROR(VLOOKUP($A$4&amp;$D$4&amp;C239,BalancesAnuales1!$A$2:$E$20009,5,0)+0,0)/A6</f>
        <v>0</v>
      </c>
      <c r="E239">
        <f>IFERROR(VLOOKUP($A$4&amp;$E$4&amp;C239,BalancesAnuales1!$A$2:$E$20009,5,0)+0,0)/A6</f>
        <v>0</v>
      </c>
      <c r="F239">
        <f>IFERROR(VLOOKUP($A$4&amp;$F$4&amp;C239,BalancesAnuales1!$A$2:$E$20009,5,0)+0,0)/A6</f>
        <v>0</v>
      </c>
      <c r="G239">
        <f>IFERROR(VLOOKUP($A$4&amp;$G$4&amp;C239,BalancesMensuales1!$A$2:$E$20009,5,0)+0,0)/A6</f>
        <v>0</v>
      </c>
      <c r="H239">
        <f>IFERROR(VLOOKUP($A$4&amp;$H$4&amp;C239,BalancesMensuales1!$A$2:$E$20009,5,0)+0,0)/A6</f>
        <v>0</v>
      </c>
      <c r="Z239">
        <f t="shared" si="22"/>
        <v>22</v>
      </c>
      <c r="AA239">
        <f>ClientesRIB!A24</f>
        <v>0</v>
      </c>
      <c r="AB239" t="str">
        <f>ClientesRIB!D24&amp;" - "&amp;ClientesRIB!F24</f>
        <v xml:space="preserve"> - </v>
      </c>
      <c r="AC239">
        <f>ClientesRIB!E24</f>
        <v>0</v>
      </c>
    </row>
    <row r="240" spans="3:29" hidden="1">
      <c r="C240">
        <v>253001</v>
      </c>
      <c r="D240">
        <f>IFERROR(VLOOKUP($A$4&amp;$D$4&amp;C240,BalancesAnuales1!$A$2:$E$20009,5,0)+0,0)/A6</f>
        <v>0</v>
      </c>
      <c r="E240">
        <f>IFERROR(VLOOKUP($A$4&amp;$E$4&amp;C240,BalancesAnuales1!$A$2:$E$20009,5,0)+0,0)/A6</f>
        <v>0</v>
      </c>
      <c r="F240">
        <f>IFERROR(VLOOKUP($A$4&amp;$F$4&amp;C240,BalancesAnuales1!$A$2:$E$20009,5,0)+0,0)/A6</f>
        <v>0</v>
      </c>
      <c r="G240">
        <f>IFERROR(VLOOKUP($A$4&amp;$G$4&amp;C240,BalancesMensuales1!$A$2:$E$20009,5,0)+0,0)/A6</f>
        <v>0</v>
      </c>
      <c r="H240">
        <f>IFERROR(VLOOKUP($A$4&amp;$H$4&amp;C240,BalancesMensuales1!$A$2:$E$20009,5,0)+0,0)/A6</f>
        <v>0</v>
      </c>
      <c r="Z240">
        <f t="shared" si="22"/>
        <v>23</v>
      </c>
      <c r="AA240">
        <f>ClientesRIB!A25</f>
        <v>0</v>
      </c>
      <c r="AB240" t="str">
        <f>ClientesRIB!D25&amp;" - "&amp;ClientesRIB!F25</f>
        <v xml:space="preserve"> - </v>
      </c>
      <c r="AC240">
        <f>ClientesRIB!E25</f>
        <v>0</v>
      </c>
    </row>
    <row r="241" spans="3:29" hidden="1">
      <c r="C241">
        <v>259501</v>
      </c>
      <c r="D241">
        <f>IFERROR(VLOOKUP($A$4&amp;$D$4&amp;C241,BalancesAnuales1!$A$2:$E$20009,5,0)+0,0)/A6</f>
        <v>0</v>
      </c>
      <c r="E241">
        <f>IFERROR(VLOOKUP($A$4&amp;$E$4&amp;C241,BalancesAnuales1!$A$2:$E$20009,5,0)+0,0)/A6</f>
        <v>0</v>
      </c>
      <c r="F241">
        <f>IFERROR(VLOOKUP($A$4&amp;$F$4&amp;C241,BalancesAnuales1!$A$2:$E$20009,5,0)+0,0)/A6</f>
        <v>0</v>
      </c>
      <c r="G241">
        <f>IFERROR(VLOOKUP($A$4&amp;$G$4&amp;C241,BalancesMensuales1!$A$2:$E$20009,5,0)+0,0)/A6</f>
        <v>0</v>
      </c>
      <c r="H241">
        <f>IFERROR(VLOOKUP($A$4&amp;$H$4&amp;C241,BalancesMensuales1!$A$2:$E$20009,5,0)+0,0)/A6</f>
        <v>0</v>
      </c>
      <c r="Z241">
        <f t="shared" si="22"/>
        <v>24</v>
      </c>
      <c r="AA241">
        <f>ClientesRIB!A26</f>
        <v>0</v>
      </c>
      <c r="AB241" t="str">
        <f>ClientesRIB!D26&amp;" - "&amp;ClientesRIB!F26</f>
        <v xml:space="preserve"> - </v>
      </c>
      <c r="AC241">
        <f>ClientesRIB!E26</f>
        <v>0</v>
      </c>
    </row>
    <row r="242" spans="3:29" hidden="1">
      <c r="C242">
        <v>2204</v>
      </c>
      <c r="D242">
        <f>IFERROR(VLOOKUP($A$4&amp;$D$4&amp;C242,BalancesAnuales1!$A$2:$E$20009,5,0)+0,0)/A6</f>
        <v>0</v>
      </c>
      <c r="E242">
        <f>IFERROR(VLOOKUP($A$4&amp;$E$4&amp;C242,BalancesAnuales1!$A$2:$E$20009,5,0)+0,0)/A6</f>
        <v>0</v>
      </c>
      <c r="F242">
        <f>IFERROR(VLOOKUP($A$4&amp;$F$4&amp;C242,BalancesAnuales1!$A$2:$E$20009,5,0)+0,0)/A6</f>
        <v>0</v>
      </c>
      <c r="G242">
        <f>IFERROR(VLOOKUP($A$4&amp;$G$4&amp;C242,BalancesMensuales1!$A$2:$E$20009,5,0)+0,0)/A6</f>
        <v>0</v>
      </c>
      <c r="H242">
        <f>IFERROR(VLOOKUP($A$4&amp;$H$4&amp;C242,BalancesMensuales1!$A$2:$E$20009,5,0)+0,0)/A6</f>
        <v>0</v>
      </c>
      <c r="Z242">
        <f t="shared" si="22"/>
        <v>25</v>
      </c>
      <c r="AA242">
        <f>ClientesRIB!A27</f>
        <v>0</v>
      </c>
      <c r="AB242" t="str">
        <f>ClientesRIB!D27&amp;" - "&amp;ClientesRIB!F27</f>
        <v xml:space="preserve"> - </v>
      </c>
      <c r="AC242">
        <f>ClientesRIB!E27</f>
        <v>0</v>
      </c>
    </row>
    <row r="243" spans="3:29" hidden="1">
      <c r="C243">
        <v>260501</v>
      </c>
      <c r="D243">
        <f>IFERROR(VLOOKUP($A$4&amp;$D$4&amp;C243,BalancesAnuales1!$A$2:$E$20009,5,0)+0,0)/A6</f>
        <v>0</v>
      </c>
      <c r="E243">
        <f>IFERROR(VLOOKUP($A$4&amp;$E$4&amp;C243,BalancesAnuales1!$A$2:$E$20009,5,0)+0,0)/A6</f>
        <v>0</v>
      </c>
      <c r="F243">
        <f>IFERROR(VLOOKUP($A$4&amp;$F$4&amp;C243,BalancesAnuales1!$A$2:$E$20009,5,0)+0,0)/A6</f>
        <v>0</v>
      </c>
      <c r="G243">
        <f>IFERROR(VLOOKUP($A$4&amp;$G$4&amp;C243,BalancesMensuales1!$A$2:$E$20009,5,0)+0,0)/A6</f>
        <v>0</v>
      </c>
      <c r="H243">
        <f>IFERROR(VLOOKUP($A$4&amp;$H$4&amp;C243,BalancesMensuales1!$A$2:$E$20009,5,0)+0,0)/A6</f>
        <v>0</v>
      </c>
      <c r="Z243">
        <f t="shared" si="22"/>
        <v>26</v>
      </c>
      <c r="AA243">
        <f>ClientesRIB!A28</f>
        <v>0</v>
      </c>
      <c r="AB243" t="str">
        <f>ClientesRIB!D28&amp;" - "&amp;ClientesRIB!F28</f>
        <v xml:space="preserve"> - </v>
      </c>
      <c r="AC243">
        <f>ClientesRIB!E28</f>
        <v>0</v>
      </c>
    </row>
    <row r="244" spans="3:29" hidden="1">
      <c r="C244">
        <v>261001</v>
      </c>
      <c r="D244">
        <f>IFERROR(VLOOKUP($A$4&amp;$D$4&amp;C244,BalancesAnuales1!$A$2:$E$20009,5,0)+0,0)/A6</f>
        <v>0</v>
      </c>
      <c r="E244">
        <f>IFERROR(VLOOKUP($A$4&amp;$E$4&amp;C244,BalancesAnuales1!$A$2:$E$20009,5,0)+0,0)/A6</f>
        <v>0</v>
      </c>
      <c r="F244">
        <f>IFERROR(VLOOKUP($A$4&amp;$F$4&amp;C244,BalancesAnuales1!$A$2:$E$20009,5,0)+0,0)/A6</f>
        <v>0</v>
      </c>
      <c r="G244">
        <f>IFERROR(VLOOKUP($A$4&amp;$G$4&amp;C244,BalancesMensuales1!$A$2:$E$20009,5,0)+0,0)/A6</f>
        <v>0</v>
      </c>
      <c r="H244">
        <f>IFERROR(VLOOKUP($A$4&amp;$H$4&amp;C244,BalancesMensuales1!$A$2:$E$20009,5,0)+0,0)/A6</f>
        <v>0</v>
      </c>
      <c r="Z244">
        <f t="shared" si="22"/>
        <v>27</v>
      </c>
      <c r="AA244">
        <f>ClientesRIB!A29</f>
        <v>0</v>
      </c>
      <c r="AB244" t="str">
        <f>ClientesRIB!D29&amp;" - "&amp;ClientesRIB!F29</f>
        <v xml:space="preserve"> - </v>
      </c>
      <c r="AC244">
        <f>ClientesRIB!E29</f>
        <v>0</v>
      </c>
    </row>
    <row r="245" spans="3:29" hidden="1">
      <c r="C245">
        <v>261501</v>
      </c>
      <c r="D245">
        <f>IFERROR(VLOOKUP($A$4&amp;$D$4&amp;C245,BalancesAnuales1!$A$2:$E$20009,5,0)+0,0)/A6</f>
        <v>0</v>
      </c>
      <c r="E245">
        <f>IFERROR(VLOOKUP($A$4&amp;$E$4&amp;C245,BalancesAnuales1!$A$2:$E$20009,5,0)+0,0)/A6</f>
        <v>0</v>
      </c>
      <c r="F245">
        <f>IFERROR(VLOOKUP($A$4&amp;$F$4&amp;C245,BalancesAnuales1!$A$2:$E$20009,5,0)+0,0)/A6</f>
        <v>0</v>
      </c>
      <c r="G245">
        <f>IFERROR(VLOOKUP($A$4&amp;$G$4&amp;C245,BalancesMensuales1!$A$2:$E$20009,5,0)+0,0)/A6</f>
        <v>0</v>
      </c>
      <c r="H245">
        <f>IFERROR(VLOOKUP($A$4&amp;$H$4&amp;C245,BalancesMensuales1!$A$2:$E$20009,5,0)+0,0)/A6</f>
        <v>0</v>
      </c>
      <c r="Z245">
        <f t="shared" si="22"/>
        <v>28</v>
      </c>
      <c r="AA245">
        <f>ClientesRIB!A30</f>
        <v>0</v>
      </c>
      <c r="AB245" t="str">
        <f>ClientesRIB!D30&amp;" - "&amp;ClientesRIB!F30</f>
        <v xml:space="preserve"> - </v>
      </c>
      <c r="AC245">
        <f>ClientesRIB!E30</f>
        <v>0</v>
      </c>
    </row>
    <row r="246" spans="3:29" hidden="1">
      <c r="C246">
        <v>262001</v>
      </c>
      <c r="D246">
        <f>IFERROR(VLOOKUP($A$4&amp;$D$4&amp;C246,BalancesAnuales1!$A$2:$E$20009,5,0)+0,0)/A6</f>
        <v>0</v>
      </c>
      <c r="E246">
        <f>IFERROR(VLOOKUP($A$4&amp;$E$4&amp;C246,BalancesAnuales1!$A$2:$E$20009,5,0)+0,0)/A6</f>
        <v>0</v>
      </c>
      <c r="F246">
        <f>IFERROR(VLOOKUP($A$4&amp;$F$4&amp;C246,BalancesAnuales1!$A$2:$E$20009,5,0)+0,0)/A6</f>
        <v>0</v>
      </c>
      <c r="G246">
        <f>IFERROR(VLOOKUP($A$4&amp;$G$4&amp;C246,BalancesMensuales1!$A$2:$E$20009,5,0)+0,0)/A6</f>
        <v>0</v>
      </c>
      <c r="H246">
        <f>IFERROR(VLOOKUP($A$4&amp;$H$4&amp;C246,BalancesMensuales1!$A$2:$E$20009,5,0)+0,0)/A6</f>
        <v>0</v>
      </c>
      <c r="Z246">
        <f t="shared" si="22"/>
        <v>29</v>
      </c>
      <c r="AA246">
        <f>ClientesRIB!A31</f>
        <v>0</v>
      </c>
      <c r="AB246" t="str">
        <f>ClientesRIB!D31&amp;" - "&amp;ClientesRIB!F31</f>
        <v xml:space="preserve"> - </v>
      </c>
      <c r="AC246">
        <f>ClientesRIB!E31</f>
        <v>0</v>
      </c>
    </row>
    <row r="247" spans="3:29" hidden="1">
      <c r="C247">
        <v>262501</v>
      </c>
      <c r="D247">
        <f>IFERROR(VLOOKUP($A$4&amp;$D$4&amp;C247,BalancesAnuales1!$A$2:$E$20009,5,0)+0,0)/A6</f>
        <v>0</v>
      </c>
      <c r="E247">
        <f>IFERROR(VLOOKUP($A$4&amp;$E$4&amp;C247,BalancesAnuales1!$A$2:$E$20009,5,0)+0,0)/A6</f>
        <v>0</v>
      </c>
      <c r="F247">
        <f>IFERROR(VLOOKUP($A$4&amp;$F$4&amp;C247,BalancesAnuales1!$A$2:$E$20009,5,0)+0,0)/A6</f>
        <v>0</v>
      </c>
      <c r="G247">
        <f>IFERROR(VLOOKUP($A$4&amp;$G$4&amp;C247,BalancesMensuales1!$A$2:$E$20009,5,0)+0,0)/A6</f>
        <v>0</v>
      </c>
      <c r="H247">
        <f>IFERROR(VLOOKUP($A$4&amp;$H$4&amp;C247,BalancesMensuales1!$A$2:$E$20009,5,0)+0,0)/A6</f>
        <v>0</v>
      </c>
      <c r="Z247">
        <f t="shared" si="22"/>
        <v>30</v>
      </c>
      <c r="AA247">
        <f>ClientesRIB!A32</f>
        <v>0</v>
      </c>
      <c r="AB247" t="str">
        <f>ClientesRIB!D32&amp;" - "&amp;ClientesRIB!F32</f>
        <v xml:space="preserve"> - </v>
      </c>
      <c r="AC247">
        <f>ClientesRIB!E32</f>
        <v>0</v>
      </c>
    </row>
    <row r="248" spans="3:29" hidden="1">
      <c r="C248">
        <v>263001</v>
      </c>
      <c r="D248">
        <f>IFERROR(VLOOKUP($A$4&amp;$D$4&amp;C248,BalancesAnuales1!$A$2:$E$20009,5,0)+0,0)/A6</f>
        <v>0</v>
      </c>
      <c r="E248">
        <f>IFERROR(VLOOKUP($A$4&amp;$E$4&amp;C248,BalancesAnuales1!$A$2:$E$20009,5,0)+0,0)/A6</f>
        <v>0</v>
      </c>
      <c r="F248">
        <f>IFERROR(VLOOKUP($A$4&amp;$F$4&amp;C248,BalancesAnuales1!$A$2:$E$20009,5,0)+0,0)/A6</f>
        <v>0</v>
      </c>
      <c r="G248">
        <f>IFERROR(VLOOKUP($A$4&amp;$G$4&amp;C248,BalancesMensuales1!$A$2:$E$20009,5,0)+0,0)/A6</f>
        <v>0</v>
      </c>
      <c r="H248">
        <f>IFERROR(VLOOKUP($A$4&amp;$H$4&amp;C248,BalancesMensuales1!$A$2:$E$20009,5,0)+0,0)/A6</f>
        <v>0</v>
      </c>
      <c r="Z248">
        <f t="shared" si="22"/>
        <v>31</v>
      </c>
      <c r="AA248">
        <f>ClientesRIB!A33</f>
        <v>0</v>
      </c>
      <c r="AB248" t="str">
        <f>ClientesRIB!D33&amp;" - "&amp;ClientesRIB!F33</f>
        <v xml:space="preserve"> - </v>
      </c>
      <c r="AC248">
        <f>ClientesRIB!E33</f>
        <v>0</v>
      </c>
    </row>
    <row r="249" spans="3:29" hidden="1">
      <c r="C249">
        <v>263501</v>
      </c>
      <c r="D249">
        <f>IFERROR(VLOOKUP($A$4&amp;$D$4&amp;C249,BalancesAnuales1!$A$2:$E$20009,5,0)+0,0)/A6</f>
        <v>0</v>
      </c>
      <c r="E249">
        <f>IFERROR(VLOOKUP($A$4&amp;$E$4&amp;C249,BalancesAnuales1!$A$2:$E$20009,5,0)+0,0)/A6</f>
        <v>0</v>
      </c>
      <c r="F249">
        <f>IFERROR(VLOOKUP($A$4&amp;$F$4&amp;C249,BalancesAnuales1!$A$2:$E$20009,5,0)+0,0)/A6</f>
        <v>0</v>
      </c>
      <c r="G249">
        <f>IFERROR(VLOOKUP($A$4&amp;$G$4&amp;C249,BalancesMensuales1!$A$2:$E$20009,5,0)+0,0)/A6</f>
        <v>0</v>
      </c>
      <c r="H249">
        <f>IFERROR(VLOOKUP($A$4&amp;$H$4&amp;C249,BalancesMensuales1!$A$2:$E$20009,5,0)+0,0)/A6</f>
        <v>0</v>
      </c>
      <c r="Z249">
        <f t="shared" si="22"/>
        <v>32</v>
      </c>
      <c r="AA249">
        <f>ClientesRIB!A34</f>
        <v>0</v>
      </c>
      <c r="AB249" t="str">
        <f>ClientesRIB!D34&amp;" - "&amp;ClientesRIB!F34</f>
        <v xml:space="preserve"> - </v>
      </c>
      <c r="AC249">
        <f>ClientesRIB!E34</f>
        <v>0</v>
      </c>
    </row>
    <row r="250" spans="3:29" hidden="1">
      <c r="C250">
        <v>264001</v>
      </c>
      <c r="D250">
        <f>IFERROR(VLOOKUP($A$4&amp;$D$4&amp;C250,BalancesAnuales1!$A$2:$E$20009,5,0)+0,0)/A6</f>
        <v>0</v>
      </c>
      <c r="E250">
        <f>IFERROR(VLOOKUP($A$4&amp;$E$4&amp;C250,BalancesAnuales1!$A$2:$E$20009,5,0)+0,0)/A6</f>
        <v>0</v>
      </c>
      <c r="F250">
        <f>IFERROR(VLOOKUP($A$4&amp;$F$4&amp;C250,BalancesAnuales1!$A$2:$E$20009,5,0)+0,0)/A6</f>
        <v>0</v>
      </c>
      <c r="G250">
        <f>IFERROR(VLOOKUP($A$4&amp;$G$4&amp;C250,BalancesMensuales1!$A$2:$E$20009,5,0)+0,0)/A6</f>
        <v>0</v>
      </c>
      <c r="H250">
        <f>IFERROR(VLOOKUP($A$4&amp;$H$4&amp;C250,BalancesMensuales1!$A$2:$E$20009,5,0)+0,0)/A6</f>
        <v>0</v>
      </c>
      <c r="Z250">
        <f t="shared" ref="Z250:Z281" si="23">IF(AA250=$A$4,Z249+1,0)</f>
        <v>33</v>
      </c>
      <c r="AA250">
        <f>ClientesRIB!A35</f>
        <v>0</v>
      </c>
      <c r="AB250" t="str">
        <f>ClientesRIB!D35&amp;" - "&amp;ClientesRIB!F35</f>
        <v xml:space="preserve"> - </v>
      </c>
      <c r="AC250">
        <f>ClientesRIB!E35</f>
        <v>0</v>
      </c>
    </row>
    <row r="251" spans="3:29" hidden="1">
      <c r="C251">
        <v>269501</v>
      </c>
      <c r="D251">
        <f>IFERROR(VLOOKUP($A$4&amp;$D$4&amp;C251,BalancesAnuales1!$A$2:$E$20009,5,0)+0,0)/A6</f>
        <v>0</v>
      </c>
      <c r="E251">
        <f>IFERROR(VLOOKUP($A$4&amp;$E$4&amp;C251,BalancesAnuales1!$A$2:$E$20009,5,0)+0,0)/A6</f>
        <v>0</v>
      </c>
      <c r="F251">
        <f>IFERROR(VLOOKUP($A$4&amp;$F$4&amp;C251,BalancesAnuales1!$A$2:$E$20009,5,0)+0,0)/A6</f>
        <v>0</v>
      </c>
      <c r="G251">
        <f>IFERROR(VLOOKUP($A$4&amp;$G$4&amp;C251,BalancesMensuales1!$A$2:$E$20009,5,0)+0,0)/A6</f>
        <v>0</v>
      </c>
      <c r="H251">
        <f>IFERROR(VLOOKUP($A$4&amp;$H$4&amp;C251,BalancesMensuales1!$A$2:$E$20009,5,0)+0,0)/A6</f>
        <v>0</v>
      </c>
      <c r="Z251">
        <f t="shared" si="23"/>
        <v>34</v>
      </c>
      <c r="AA251">
        <f>ClientesRIB!A36</f>
        <v>0</v>
      </c>
      <c r="AB251" t="str">
        <f>ClientesRIB!D36&amp;" - "&amp;ClientesRIB!F36</f>
        <v xml:space="preserve"> - </v>
      </c>
      <c r="AC251">
        <f>ClientesRIB!E36</f>
        <v>0</v>
      </c>
    </row>
    <row r="252" spans="3:29" hidden="1">
      <c r="C252">
        <v>2206</v>
      </c>
      <c r="D252">
        <f>IFERROR(VLOOKUP($A$4&amp;$D$4&amp;C252,BalancesAnuales1!$A$2:$E$20009,5,0)+0,0)/A6</f>
        <v>0</v>
      </c>
      <c r="E252">
        <f>IFERROR(VLOOKUP($A$4&amp;$E$4&amp;C252,BalancesAnuales1!$A$2:$E$20009,5,0)+0,0)/A6</f>
        <v>0</v>
      </c>
      <c r="F252">
        <f>IFERROR(VLOOKUP($A$4&amp;$F$4&amp;C252,BalancesAnuales1!$A$2:$E$20009,5,0)+0,0)/A6</f>
        <v>0</v>
      </c>
      <c r="G252">
        <f>IFERROR(VLOOKUP($A$4&amp;$G$4&amp;C252,BalancesMensuales1!$A$2:$E$20009,5,0)+0,0)/A6</f>
        <v>0</v>
      </c>
      <c r="H252">
        <f>IFERROR(VLOOKUP($A$4&amp;$H$4&amp;C252,BalancesMensuales1!$A$2:$E$20009,5,0)+0,0)/A6</f>
        <v>0</v>
      </c>
      <c r="Z252">
        <f t="shared" si="23"/>
        <v>35</v>
      </c>
      <c r="AA252">
        <f>ClientesRIB!A37</f>
        <v>0</v>
      </c>
      <c r="AB252" t="str">
        <f>ClientesRIB!D37&amp;" - "&amp;ClientesRIB!F37</f>
        <v xml:space="preserve"> - </v>
      </c>
      <c r="AC252">
        <f>ClientesRIB!E37</f>
        <v>0</v>
      </c>
    </row>
    <row r="253" spans="3:29" hidden="1">
      <c r="C253">
        <v>270501</v>
      </c>
      <c r="D253">
        <f>IFERROR(VLOOKUP($A$4&amp;$D$4&amp;C253,BalancesAnuales1!$A$2:$E$20009,5,0)+0,0)/A6</f>
        <v>0</v>
      </c>
      <c r="E253">
        <f>IFERROR(VLOOKUP($A$4&amp;$E$4&amp;C253,BalancesAnuales1!$A$2:$E$20009,5,0)+0,0)/A6</f>
        <v>0</v>
      </c>
      <c r="F253">
        <f>IFERROR(VLOOKUP($A$4&amp;$F$4&amp;C253,BalancesAnuales1!$A$2:$E$20009,5,0)+0,0)/A6</f>
        <v>0</v>
      </c>
      <c r="G253">
        <f>IFERROR(VLOOKUP($A$4&amp;$G$4&amp;C253,BalancesMensuales1!$A$2:$E$20009,5,0)+0,0)/A6</f>
        <v>0</v>
      </c>
      <c r="H253">
        <f>IFERROR(VLOOKUP($A$4&amp;$H$4&amp;C253,BalancesMensuales1!$A$2:$E$20009,5,0)+0,0)/A6</f>
        <v>0</v>
      </c>
      <c r="Z253">
        <f t="shared" si="23"/>
        <v>36</v>
      </c>
      <c r="AA253">
        <f>ClientesRIB!A38</f>
        <v>0</v>
      </c>
      <c r="AB253" t="str">
        <f>ClientesRIB!D38&amp;" - "&amp;ClientesRIB!F38</f>
        <v xml:space="preserve"> - </v>
      </c>
      <c r="AC253">
        <f>ClientesRIB!E38</f>
        <v>0</v>
      </c>
    </row>
    <row r="254" spans="3:29" hidden="1">
      <c r="C254">
        <v>271001</v>
      </c>
      <c r="D254">
        <f>IFERROR(VLOOKUP($A$4&amp;$D$4&amp;C254,BalancesAnuales1!$A$2:$E$20009,5,0)+0,0)/A6</f>
        <v>0</v>
      </c>
      <c r="E254">
        <f>IFERROR(VLOOKUP($A$4&amp;$E$4&amp;C254,BalancesAnuales1!$A$2:$E$20009,5,0)+0,0)/A6</f>
        <v>0</v>
      </c>
      <c r="F254">
        <f>IFERROR(VLOOKUP($A$4&amp;$F$4&amp;C254,BalancesAnuales1!$A$2:$E$20009,5,0)+0,0)/A6</f>
        <v>0</v>
      </c>
      <c r="G254">
        <f>IFERROR(VLOOKUP($A$4&amp;$G$4&amp;C254,BalancesMensuales1!$A$2:$E$20009,5,0)+0,0)/A6</f>
        <v>0</v>
      </c>
      <c r="H254">
        <f>IFERROR(VLOOKUP($A$4&amp;$H$4&amp;C254,BalancesMensuales1!$A$2:$E$20009,5,0)+0,0)/A6</f>
        <v>0</v>
      </c>
      <c r="Z254">
        <f t="shared" si="23"/>
        <v>37</v>
      </c>
      <c r="AA254">
        <f>ClientesRIB!A39</f>
        <v>0</v>
      </c>
      <c r="AB254" t="str">
        <f>ClientesRIB!D39&amp;" - "&amp;ClientesRIB!F39</f>
        <v xml:space="preserve"> - </v>
      </c>
      <c r="AC254">
        <f>ClientesRIB!E39</f>
        <v>0</v>
      </c>
    </row>
    <row r="255" spans="3:29" hidden="1">
      <c r="C255">
        <v>272001</v>
      </c>
      <c r="D255">
        <f>IFERROR(VLOOKUP($A$4&amp;$D$4&amp;C255,BalancesAnuales1!$A$2:$E$20009,5,0)+0,0)/A6</f>
        <v>0</v>
      </c>
      <c r="E255">
        <f>IFERROR(VLOOKUP($A$4&amp;$E$4&amp;C255,BalancesAnuales1!$A$2:$E$20009,5,0)+0,0)/A6</f>
        <v>0</v>
      </c>
      <c r="F255">
        <f>IFERROR(VLOOKUP($A$4&amp;$F$4&amp;C255,BalancesAnuales1!$A$2:$E$20009,5,0)+0,0)/A6</f>
        <v>0</v>
      </c>
      <c r="G255">
        <f>IFERROR(VLOOKUP($A$4&amp;$G$4&amp;C255,BalancesMensuales1!$A$2:$E$20009,5,0)+0,0)/A6</f>
        <v>0</v>
      </c>
      <c r="H255">
        <f>IFERROR(VLOOKUP($A$4&amp;$H$4&amp;C255,BalancesMensuales1!$A$2:$E$20009,5,0)+0,0)/A6</f>
        <v>0</v>
      </c>
      <c r="Z255">
        <f t="shared" si="23"/>
        <v>38</v>
      </c>
      <c r="AA255">
        <f>ClientesRIB!A40</f>
        <v>0</v>
      </c>
      <c r="AB255" t="str">
        <f>ClientesRIB!D40&amp;" - "&amp;ClientesRIB!F40</f>
        <v xml:space="preserve"> - </v>
      </c>
      <c r="AC255">
        <f>ClientesRIB!E40</f>
        <v>0</v>
      </c>
    </row>
    <row r="256" spans="3:29" hidden="1">
      <c r="C256">
        <v>272501</v>
      </c>
      <c r="D256">
        <f>IFERROR(VLOOKUP($A$4&amp;$D$4&amp;C256,BalancesAnuales1!$A$2:$E$20009,5,0)+0,0)/A6</f>
        <v>0</v>
      </c>
      <c r="E256">
        <f>IFERROR(VLOOKUP($A$4&amp;$E$4&amp;C256,BalancesAnuales1!$A$2:$E$20009,5,0)+0,0)/A6</f>
        <v>0</v>
      </c>
      <c r="F256">
        <f>IFERROR(VLOOKUP($A$4&amp;$F$4&amp;C256,BalancesAnuales1!$A$2:$E$20009,5,0)+0,0)/A6</f>
        <v>0</v>
      </c>
      <c r="G256">
        <f>IFERROR(VLOOKUP($A$4&amp;$G$4&amp;C256,BalancesMensuales1!$A$2:$E$20009,5,0)+0,0)/A6</f>
        <v>0</v>
      </c>
      <c r="H256">
        <f>IFERROR(VLOOKUP($A$4&amp;$H$4&amp;C256,BalancesMensuales1!$A$2:$E$20009,5,0)+0,0)/A6</f>
        <v>0</v>
      </c>
      <c r="Z256">
        <f t="shared" si="23"/>
        <v>39</v>
      </c>
      <c r="AA256">
        <f>ClientesRIB!A41</f>
        <v>0</v>
      </c>
      <c r="AB256" t="str">
        <f>ClientesRIB!D41&amp;" - "&amp;ClientesRIB!F41</f>
        <v xml:space="preserve"> - </v>
      </c>
      <c r="AC256">
        <f>ClientesRIB!E41</f>
        <v>0</v>
      </c>
    </row>
    <row r="257" spans="3:29" hidden="1">
      <c r="C257">
        <v>279501</v>
      </c>
      <c r="D257">
        <f>IFERROR(VLOOKUP($A$4&amp;$D$4&amp;C257,BalancesAnuales1!$A$2:$E$20009,5,0)+0,0)/A6</f>
        <v>0</v>
      </c>
      <c r="E257">
        <f>IFERROR(VLOOKUP($A$4&amp;$E$4&amp;C257,BalancesAnuales1!$A$2:$E$20009,5,0)+0,0)/A6</f>
        <v>0</v>
      </c>
      <c r="F257">
        <f>IFERROR(VLOOKUP($A$4&amp;$F$4&amp;C257,BalancesAnuales1!$A$2:$E$20009,5,0)+0,0)/A6</f>
        <v>0</v>
      </c>
      <c r="G257">
        <f>IFERROR(VLOOKUP($A$4&amp;$G$4&amp;C257,BalancesMensuales1!$A$2:$E$20009,5,0)+0,0)/A6</f>
        <v>0</v>
      </c>
      <c r="H257">
        <f>IFERROR(VLOOKUP($A$4&amp;$H$4&amp;C257,BalancesMensuales1!$A$2:$E$20009,5,0)+0,0)/A6</f>
        <v>0</v>
      </c>
      <c r="Z257">
        <f t="shared" si="23"/>
        <v>40</v>
      </c>
      <c r="AA257">
        <f>ClientesRIB!A42</f>
        <v>0</v>
      </c>
      <c r="AB257" t="str">
        <f>ClientesRIB!D42&amp;" - "&amp;ClientesRIB!F42</f>
        <v xml:space="preserve"> - </v>
      </c>
      <c r="AC257">
        <f>ClientesRIB!E42</f>
        <v>0</v>
      </c>
    </row>
    <row r="258" spans="3:29" hidden="1">
      <c r="C258">
        <v>2207</v>
      </c>
      <c r="D258">
        <f>IFERROR(VLOOKUP($A$4&amp;$D$4&amp;C258,BalancesAnuales1!$A$2:$E$20009,5,0)+0,0)/A6</f>
        <v>0</v>
      </c>
      <c r="E258">
        <f>IFERROR(VLOOKUP($A$4&amp;$E$4&amp;C258,BalancesAnuales1!$A$2:$E$20009,5,0)+0,0)/A6</f>
        <v>0</v>
      </c>
      <c r="F258">
        <f>IFERROR(VLOOKUP($A$4&amp;$F$4&amp;C258,BalancesAnuales1!$A$2:$E$20009,5,0)+0,0)/A6</f>
        <v>0</v>
      </c>
      <c r="G258">
        <f>IFERROR(VLOOKUP($A$4&amp;$G$4&amp;C258,BalancesMensuales1!$A$2:$E$20009,5,0)+0,0)/A6</f>
        <v>0</v>
      </c>
      <c r="H258">
        <f>IFERROR(VLOOKUP($A$4&amp;$H$4&amp;C258,BalancesMensuales1!$A$2:$E$20009,5,0)+0,0)/A6</f>
        <v>0</v>
      </c>
      <c r="Z258">
        <f t="shared" si="23"/>
        <v>41</v>
      </c>
      <c r="AA258">
        <f>ClientesRIB!A43</f>
        <v>0</v>
      </c>
      <c r="AB258" t="str">
        <f>ClientesRIB!D43&amp;" - "&amp;ClientesRIB!F43</f>
        <v xml:space="preserve"> - </v>
      </c>
      <c r="AC258">
        <f>ClientesRIB!E43</f>
        <v>0</v>
      </c>
    </row>
    <row r="259" spans="3:29" hidden="1">
      <c r="C259">
        <v>290501</v>
      </c>
      <c r="D259">
        <f>IFERROR(VLOOKUP($A$4&amp;$D$4&amp;C259,BalancesAnuales1!$A$2:$E$20009,5,0)+0,0)/A6</f>
        <v>0</v>
      </c>
      <c r="E259">
        <f>IFERROR(VLOOKUP($A$4&amp;$E$4&amp;C259,BalancesAnuales1!$A$2:$E$20009,5,0)+0,0)/A6</f>
        <v>0</v>
      </c>
      <c r="F259">
        <f>IFERROR(VLOOKUP($A$4&amp;$F$4&amp;C259,BalancesAnuales1!$A$2:$E$20009,5,0)+0,0)/A6</f>
        <v>0</v>
      </c>
      <c r="G259">
        <f>IFERROR(VLOOKUP($A$4&amp;$G$4&amp;C259,BalancesMensuales1!$A$2:$E$20009,5,0)+0,0)/A6</f>
        <v>0</v>
      </c>
      <c r="H259">
        <f>IFERROR(VLOOKUP($A$4&amp;$H$4&amp;C259,BalancesMensuales1!$A$2:$E$20009,5,0)+0,0)/A6</f>
        <v>0</v>
      </c>
      <c r="Z259">
        <f t="shared" si="23"/>
        <v>42</v>
      </c>
      <c r="AA259">
        <f>ClientesRIB!A44</f>
        <v>0</v>
      </c>
      <c r="AB259" t="str">
        <f>ClientesRIB!D44&amp;" - "&amp;ClientesRIB!F44</f>
        <v xml:space="preserve"> - </v>
      </c>
      <c r="AC259">
        <f>ClientesRIB!E44</f>
        <v>0</v>
      </c>
    </row>
    <row r="260" spans="3:29" hidden="1">
      <c r="C260">
        <v>291991</v>
      </c>
      <c r="D260">
        <f>IFERROR(VLOOKUP($A$4&amp;$D$4&amp;C260,BalancesAnuales1!$A$2:$E$20009,5,0)+0,0)/A6</f>
        <v>0</v>
      </c>
      <c r="E260">
        <f>IFERROR(VLOOKUP($A$4&amp;$E$4&amp;C260,BalancesAnuales1!$A$2:$E$20009,5,0)+0,0)/A6</f>
        <v>0</v>
      </c>
      <c r="F260">
        <f>IFERROR(VLOOKUP($A$4&amp;$F$4&amp;C260,BalancesAnuales1!$A$2:$E$20009,5,0)+0,0)/A6</f>
        <v>0</v>
      </c>
      <c r="G260">
        <f>IFERROR(VLOOKUP($A$4&amp;$G$4&amp;C260,BalancesMensuales1!$A$2:$E$20009,5,0)+0,0)/A6</f>
        <v>0</v>
      </c>
      <c r="H260">
        <f>IFERROR(VLOOKUP($A$4&amp;$H$4&amp;C260,BalancesMensuales1!$A$2:$E$20009,5,0)+0,0)/A6</f>
        <v>0</v>
      </c>
      <c r="Z260">
        <f t="shared" si="23"/>
        <v>43</v>
      </c>
      <c r="AA260">
        <f>ClientesRIB!A45</f>
        <v>0</v>
      </c>
      <c r="AB260" t="str">
        <f>ClientesRIB!D45&amp;" - "&amp;ClientesRIB!F45</f>
        <v xml:space="preserve"> - </v>
      </c>
      <c r="AC260">
        <f>ClientesRIB!E45</f>
        <v>0</v>
      </c>
    </row>
    <row r="261" spans="3:29" hidden="1">
      <c r="C261">
        <v>291501</v>
      </c>
      <c r="D261">
        <f>IFERROR(VLOOKUP($A$4&amp;$D$4&amp;C261,BalancesAnuales1!$A$2:$E$20009,5,0)+0,0)/A6</f>
        <v>0</v>
      </c>
      <c r="E261">
        <f>IFERROR(VLOOKUP($A$4&amp;$E$4&amp;C261,BalancesAnuales1!$A$2:$E$20009,5,0)+0,0)/A6</f>
        <v>0</v>
      </c>
      <c r="F261">
        <f>IFERROR(VLOOKUP($A$4&amp;$F$4&amp;C261,BalancesAnuales1!$A$2:$E$20009,5,0)+0,0)/A6</f>
        <v>0</v>
      </c>
      <c r="G261">
        <f>IFERROR(VLOOKUP($A$4&amp;$G$4&amp;C261,BalancesMensuales1!$A$2:$E$20009,5,0)+0,0)/A6</f>
        <v>0</v>
      </c>
      <c r="H261">
        <f>IFERROR(VLOOKUP($A$4&amp;$H$4&amp;C261,BalancesMensuales1!$A$2:$E$20009,5,0)+0,0)/A6</f>
        <v>0</v>
      </c>
      <c r="Z261">
        <f t="shared" si="23"/>
        <v>44</v>
      </c>
      <c r="AA261">
        <f>ClientesRIB!A46</f>
        <v>0</v>
      </c>
      <c r="AB261" t="str">
        <f>ClientesRIB!D46&amp;" - "&amp;ClientesRIB!F46</f>
        <v xml:space="preserve"> - </v>
      </c>
      <c r="AC261">
        <f>ClientesRIB!E46</f>
        <v>0</v>
      </c>
    </row>
    <row r="262" spans="3:29" hidden="1">
      <c r="C262">
        <v>292001</v>
      </c>
      <c r="D262">
        <f>IFERROR(VLOOKUP($A$4&amp;$D$4&amp;C262,BalancesAnuales1!$A$2:$E$20009,5,0)+0,0)/A6</f>
        <v>0</v>
      </c>
      <c r="E262">
        <f>IFERROR(VLOOKUP($A$4&amp;$E$4&amp;C262,BalancesAnuales1!$A$2:$E$20009,5,0)+0,0)/A6</f>
        <v>0</v>
      </c>
      <c r="F262">
        <f>IFERROR(VLOOKUP($A$4&amp;$F$4&amp;C262,BalancesAnuales1!$A$2:$E$20009,5,0)+0,0)/A6</f>
        <v>0</v>
      </c>
      <c r="G262">
        <f>IFERROR(VLOOKUP($A$4&amp;$G$4&amp;C262,BalancesMensuales1!$A$2:$E$20009,5,0)+0,0)/A6</f>
        <v>0</v>
      </c>
      <c r="H262">
        <f>IFERROR(VLOOKUP($A$4&amp;$H$4&amp;C262,BalancesMensuales1!$A$2:$E$20009,5,0)+0,0)/A6</f>
        <v>0</v>
      </c>
      <c r="Z262">
        <f t="shared" si="23"/>
        <v>45</v>
      </c>
      <c r="AA262">
        <f>ClientesRIB!A47</f>
        <v>0</v>
      </c>
      <c r="AB262" t="str">
        <f>ClientesRIB!D47&amp;" - "&amp;ClientesRIB!F47</f>
        <v xml:space="preserve"> - </v>
      </c>
      <c r="AC262">
        <f>ClientesRIB!E47</f>
        <v>0</v>
      </c>
    </row>
    <row r="263" spans="3:29" hidden="1">
      <c r="C263">
        <v>299501</v>
      </c>
      <c r="D263">
        <f>IFERROR(VLOOKUP($A$4&amp;$D$4&amp;C263,BalancesAnuales1!$A$2:$E$20009,5,0)+0,0)/A6</f>
        <v>0</v>
      </c>
      <c r="E263">
        <f>IFERROR(VLOOKUP($A$4&amp;$E$4&amp;C263,BalancesAnuales1!$A$2:$E$20009,5,0)+0,0)/A6</f>
        <v>0</v>
      </c>
      <c r="F263">
        <f>IFERROR(VLOOKUP($A$4&amp;$F$4&amp;C263,BalancesAnuales1!$A$2:$E$20009,5,0)+0,0)/A6</f>
        <v>0</v>
      </c>
      <c r="G263">
        <f>IFERROR(VLOOKUP($A$4&amp;$G$4&amp;C263,BalancesMensuales1!$A$2:$E$20009,5,0)+0,0)/A6</f>
        <v>0</v>
      </c>
      <c r="H263">
        <f>IFERROR(VLOOKUP($A$4&amp;$H$4&amp;C263,BalancesMensuales1!$A$2:$E$20009,5,0)+0,0)/A6</f>
        <v>0</v>
      </c>
      <c r="Z263">
        <f t="shared" si="23"/>
        <v>46</v>
      </c>
      <c r="AA263">
        <f>ClientesRIB!A48</f>
        <v>0</v>
      </c>
      <c r="AB263" t="str">
        <f>ClientesRIB!D48&amp;" - "&amp;ClientesRIB!F48</f>
        <v xml:space="preserve"> - </v>
      </c>
      <c r="AC263">
        <f>ClientesRIB!E48</f>
        <v>0</v>
      </c>
    </row>
    <row r="264" spans="3:29" hidden="1">
      <c r="C264">
        <v>2209</v>
      </c>
      <c r="D264">
        <f>IFERROR(VLOOKUP($A$4&amp;$D$4&amp;C264,BalancesAnuales1!$A$2:$E$20009,5,0)+0,0)/A6</f>
        <v>0</v>
      </c>
      <c r="E264">
        <f>IFERROR(VLOOKUP($A$4&amp;$E$4&amp;C264,BalancesAnuales1!$A$2:$E$20009,5,0)+0,0)/A6</f>
        <v>0</v>
      </c>
      <c r="F264">
        <f>IFERROR(VLOOKUP($A$4&amp;$F$4&amp;C264,BalancesAnuales1!$A$2:$E$20009,5,0)+0,0)/A6</f>
        <v>0</v>
      </c>
      <c r="G264">
        <f>IFERROR(VLOOKUP($A$4&amp;$G$4&amp;C264,BalancesMensuales1!$A$2:$E$20009,5,0)+0,0)/A6</f>
        <v>0</v>
      </c>
      <c r="H264">
        <f>IFERROR(VLOOKUP($A$4&amp;$H$4&amp;C264,BalancesMensuales1!$A$2:$E$20009,5,0)+0,0)/A6</f>
        <v>0</v>
      </c>
      <c r="Z264">
        <f t="shared" si="23"/>
        <v>47</v>
      </c>
      <c r="AA264">
        <f>ClientesRIB!A49</f>
        <v>0</v>
      </c>
      <c r="AB264" t="str">
        <f>ClientesRIB!D49&amp;" - "&amp;ClientesRIB!F49</f>
        <v xml:space="preserve"> - </v>
      </c>
      <c r="AC264">
        <f>ClientesRIB!E49</f>
        <v>0</v>
      </c>
    </row>
    <row r="265" spans="3:29" hidden="1">
      <c r="C265">
        <v>22</v>
      </c>
      <c r="D265">
        <f>IFERROR(VLOOKUP($A$4&amp;$D$4&amp;C265,BalancesAnuales1!$A$2:$E$20009,5,0)+0,0)/A6</f>
        <v>0</v>
      </c>
      <c r="E265">
        <f>IFERROR(VLOOKUP($A$4&amp;$E$4&amp;C265,BalancesAnuales1!$A$2:$E$20009,5,0)+0,0)/A6</f>
        <v>0</v>
      </c>
      <c r="F265">
        <f>IFERROR(VLOOKUP($A$4&amp;$F$4&amp;C265,BalancesAnuales1!$A$2:$E$20009,5,0)+0,0)/A6</f>
        <v>0</v>
      </c>
      <c r="G265">
        <f>IFERROR(VLOOKUP($A$4&amp;$G$4&amp;C265,BalancesMensuales1!$A$2:$E$20009,5,0)+0,0)/A6</f>
        <v>0</v>
      </c>
      <c r="H265">
        <f>IFERROR(VLOOKUP($A$4&amp;$H$4&amp;C265,BalancesMensuales1!$A$2:$E$20009,5,0)+0,0)/A6</f>
        <v>0</v>
      </c>
      <c r="Z265">
        <f t="shared" si="23"/>
        <v>48</v>
      </c>
      <c r="AA265">
        <f>ClientesRIB!A50</f>
        <v>0</v>
      </c>
      <c r="AB265" t="str">
        <f>ClientesRIB!D50&amp;" - "&amp;ClientesRIB!F50</f>
        <v xml:space="preserve"> - </v>
      </c>
      <c r="AC265">
        <f>ClientesRIB!E50</f>
        <v>0</v>
      </c>
    </row>
    <row r="266" spans="3:29" hidden="1">
      <c r="C266">
        <v>2</v>
      </c>
      <c r="D266">
        <f>IFERROR(VLOOKUP($A$4&amp;$D$4&amp;C266,BalancesAnuales1!$A$2:$E$20009,5,0)+0,0)/A6</f>
        <v>0</v>
      </c>
      <c r="E266">
        <f>IFERROR(VLOOKUP($A$4&amp;$E$4&amp;C266,BalancesAnuales1!$A$2:$E$20009,5,0)+0,0)/A6</f>
        <v>0</v>
      </c>
      <c r="F266">
        <f>IFERROR(VLOOKUP($A$4&amp;$F$4&amp;C266,BalancesAnuales1!$A$2:$E$20009,5,0)+0,0)/A6</f>
        <v>0</v>
      </c>
      <c r="G266">
        <f>IFERROR(VLOOKUP($A$4&amp;$G$4&amp;C266,BalancesMensuales1!$A$2:$E$20009,5,0)+0,0)/A6</f>
        <v>0</v>
      </c>
      <c r="H266">
        <f>IFERROR(VLOOKUP($A$4&amp;$H$4&amp;C266,BalancesMensuales1!$A$2:$E$20009,5,0)+0,0)/A6</f>
        <v>0</v>
      </c>
      <c r="Z266">
        <f t="shared" si="23"/>
        <v>49</v>
      </c>
      <c r="AA266">
        <f>ClientesRIB!A51</f>
        <v>0</v>
      </c>
      <c r="AB266" t="str">
        <f>ClientesRIB!D51&amp;" - "&amp;ClientesRIB!F51</f>
        <v xml:space="preserve"> - </v>
      </c>
      <c r="AC266">
        <f>ClientesRIB!E51</f>
        <v>0</v>
      </c>
    </row>
    <row r="267" spans="3:29" hidden="1">
      <c r="Z267">
        <f t="shared" si="23"/>
        <v>50</v>
      </c>
      <c r="AA267">
        <f>ClientesRIB!A52</f>
        <v>0</v>
      </c>
      <c r="AB267" t="str">
        <f>ClientesRIB!D52&amp;" - "&amp;ClientesRIB!F52</f>
        <v xml:space="preserve"> - </v>
      </c>
      <c r="AC267">
        <f>ClientesRIB!E52</f>
        <v>0</v>
      </c>
    </row>
    <row r="268" spans="3:29" hidden="1">
      <c r="C268">
        <v>310500</v>
      </c>
      <c r="D268">
        <f>IFERROR(VLOOKUP($A$4&amp;$D$4&amp;C268,BalancesAnuales1!$A$2:$E$20009,5,0)+0,0)/A6</f>
        <v>0</v>
      </c>
      <c r="E268">
        <f>IFERROR(VLOOKUP($A$4&amp;$E$4&amp;C268,BalancesAnuales1!$A$2:$E$20009,5,0)+0,0)/A6</f>
        <v>0</v>
      </c>
      <c r="F268">
        <f>IFERROR(VLOOKUP($A$4&amp;$F$4&amp;C268,BalancesAnuales1!$A$2:$E$20009,5,0)+0,0)/A6</f>
        <v>0</v>
      </c>
      <c r="G268">
        <f>IFERROR(VLOOKUP($A$4&amp;$G$4&amp;C268,BalancesMensuales1!$A$2:$E$20009,5,0)+0,0)/A6</f>
        <v>0</v>
      </c>
      <c r="H268">
        <f>IFERROR(VLOOKUP($A$4&amp;$H$4&amp;C268,BalancesMensuales1!$A$2:$E$20009,5,0)+0,0)/A6</f>
        <v>0</v>
      </c>
      <c r="Z268">
        <f t="shared" si="23"/>
        <v>51</v>
      </c>
      <c r="AA268">
        <f>ClientesRIB!A53</f>
        <v>0</v>
      </c>
      <c r="AB268" t="str">
        <f>ClientesRIB!D53&amp;" - "&amp;ClientesRIB!F53</f>
        <v xml:space="preserve"> - </v>
      </c>
      <c r="AC268">
        <f>ClientesRIB!E53</f>
        <v>0</v>
      </c>
    </row>
    <row r="269" spans="3:29" hidden="1">
      <c r="C269">
        <v>311500</v>
      </c>
      <c r="D269">
        <f>IFERROR(VLOOKUP($A$4&amp;$D$4&amp;C269,BalancesAnuales1!$A$2:$E$20009,5,0)+0,0)/A6</f>
        <v>0</v>
      </c>
      <c r="E269">
        <f>IFERROR(VLOOKUP($A$4&amp;$E$4&amp;C269,BalancesAnuales1!$A$2:$E$20009,5,0)+0,0)/A6</f>
        <v>0</v>
      </c>
      <c r="F269">
        <f>IFERROR(VLOOKUP($A$4&amp;$F$4&amp;C269,BalancesAnuales1!$A$2:$E$20009,5,0)+0,0)/A6</f>
        <v>0</v>
      </c>
      <c r="G269">
        <f>IFERROR(VLOOKUP($A$4&amp;$G$4&amp;C269,BalancesMensuales1!$A$2:$E$20009,5,0)+0,0)/A6</f>
        <v>0</v>
      </c>
      <c r="H269">
        <f>IFERROR(VLOOKUP($A$4&amp;$H$4&amp;C269,BalancesMensuales1!$A$2:$E$20009,5,0)+0,0)/A6</f>
        <v>0</v>
      </c>
      <c r="Z269">
        <f t="shared" si="23"/>
        <v>52</v>
      </c>
      <c r="AA269">
        <f>ClientesRIB!A54</f>
        <v>0</v>
      </c>
      <c r="AB269" t="str">
        <f>ClientesRIB!D54&amp;" - "&amp;ClientesRIB!F54</f>
        <v xml:space="preserve"> - </v>
      </c>
      <c r="AC269">
        <f>ClientesRIB!E54</f>
        <v>0</v>
      </c>
    </row>
    <row r="270" spans="3:29" hidden="1">
      <c r="C270">
        <v>312000</v>
      </c>
      <c r="D270">
        <f>IFERROR(VLOOKUP($A$4&amp;$D$4&amp;C270,BalancesAnuales1!$A$2:$E$20009,5,0)+0,0)/A6</f>
        <v>0</v>
      </c>
      <c r="E270">
        <f>IFERROR(VLOOKUP($A$4&amp;$E$4&amp;C270,BalancesAnuales1!$A$2:$E$20009,5,0)+0,0)/A6</f>
        <v>0</v>
      </c>
      <c r="F270">
        <f>IFERROR(VLOOKUP($A$4&amp;$F$4&amp;C270,BalancesAnuales1!$A$2:$E$20009,5,0)+0,0)/A6</f>
        <v>0</v>
      </c>
      <c r="G270">
        <f>IFERROR(VLOOKUP($A$4&amp;$G$4&amp;C270,BalancesMensuales1!$A$2:$E$20009,5,0)+0,0)/A6</f>
        <v>0</v>
      </c>
      <c r="H270">
        <f>IFERROR(VLOOKUP($A$4&amp;$H$4&amp;C270,BalancesMensuales1!$A$2:$E$20009,5,0)+0,0)/A6</f>
        <v>0</v>
      </c>
      <c r="Z270">
        <f t="shared" si="23"/>
        <v>53</v>
      </c>
      <c r="AA270">
        <f>ClientesRIB!A55</f>
        <v>0</v>
      </c>
      <c r="AB270" t="str">
        <f>ClientesRIB!D55&amp;" - "&amp;ClientesRIB!F55</f>
        <v xml:space="preserve"> - </v>
      </c>
      <c r="AC270">
        <f>ClientesRIB!E55</f>
        <v>0</v>
      </c>
    </row>
    <row r="271" spans="3:29" hidden="1">
      <c r="C271">
        <v>312500</v>
      </c>
      <c r="D271">
        <f>IFERROR(VLOOKUP($A$4&amp;$D$4&amp;C271,BalancesAnuales1!$A$2:$E$20009,5,0)+0,0)/A6</f>
        <v>0</v>
      </c>
      <c r="E271">
        <f>IFERROR(VLOOKUP($A$4&amp;$E$4&amp;C271,BalancesAnuales1!$A$2:$E$20009,5,0)+0,0)/A6</f>
        <v>0</v>
      </c>
      <c r="F271">
        <f>IFERROR(VLOOKUP($A$4&amp;$F$4&amp;C271,BalancesAnuales1!$A$2:$E$20009,5,0)+0,0)/A6</f>
        <v>0</v>
      </c>
      <c r="G271">
        <f>IFERROR(VLOOKUP($A$4&amp;$G$4&amp;C271,BalancesMensuales1!$A$2:$E$20009,5,0)+0,0)/A6</f>
        <v>0</v>
      </c>
      <c r="H271">
        <f>IFERROR(VLOOKUP($A$4&amp;$H$4&amp;C271,BalancesMensuales1!$A$2:$E$20009,5,0)+0,0)/A6</f>
        <v>0</v>
      </c>
      <c r="Z271">
        <f t="shared" si="23"/>
        <v>54</v>
      </c>
      <c r="AA271">
        <f>ClientesRIB!A56</f>
        <v>0</v>
      </c>
      <c r="AB271" t="str">
        <f>ClientesRIB!D56&amp;" - "&amp;ClientesRIB!F56</f>
        <v xml:space="preserve"> - </v>
      </c>
      <c r="AC271">
        <f>ClientesRIB!E56</f>
        <v>0</v>
      </c>
    </row>
    <row r="272" spans="3:29" hidden="1">
      <c r="C272">
        <v>313000</v>
      </c>
      <c r="D272">
        <f>IFERROR(VLOOKUP($A$4&amp;$D$4&amp;C272,BalancesAnuales1!$A$2:$E$20009,5,0)+0,0)/A6</f>
        <v>0</v>
      </c>
      <c r="E272">
        <f>IFERROR(VLOOKUP($A$4&amp;$E$4&amp;C272,BalancesAnuales1!$A$2:$E$20009,5,0)+0,0)/A6</f>
        <v>0</v>
      </c>
      <c r="F272">
        <f>IFERROR(VLOOKUP($A$4&amp;$F$4&amp;C272,BalancesAnuales1!$A$2:$E$20009,5,0)+0,0)/A6</f>
        <v>0</v>
      </c>
      <c r="G272">
        <f>IFERROR(VLOOKUP($A$4&amp;$G$4&amp;C272,BalancesMensuales1!$A$2:$E$20009,5,0)+0,0)/A6</f>
        <v>0</v>
      </c>
      <c r="H272">
        <f>IFERROR(VLOOKUP($A$4&amp;$H$4&amp;C272,BalancesMensuales1!$A$2:$E$20009,5,0)+0,0)/A6</f>
        <v>0</v>
      </c>
      <c r="Z272">
        <f t="shared" si="23"/>
        <v>55</v>
      </c>
      <c r="AA272">
        <f>ClientesRIB!A57</f>
        <v>0</v>
      </c>
      <c r="AB272" t="str">
        <f>ClientesRIB!D57&amp;" - "&amp;ClientesRIB!F57</f>
        <v xml:space="preserve"> - </v>
      </c>
      <c r="AC272">
        <f>ClientesRIB!E57</f>
        <v>0</v>
      </c>
    </row>
    <row r="273" spans="3:29" hidden="1">
      <c r="C273">
        <v>313500</v>
      </c>
      <c r="D273">
        <f>IFERROR(VLOOKUP($A$4&amp;$D$4&amp;C273,BalancesAnuales1!$A$2:$E$20009,5,0)+0,0)/A6</f>
        <v>0</v>
      </c>
      <c r="E273">
        <f>IFERROR(VLOOKUP($A$4&amp;$E$4&amp;C273,BalancesAnuales1!$A$2:$E$20009,5,0)+0,0)/A6</f>
        <v>0</v>
      </c>
      <c r="F273">
        <f>IFERROR(VLOOKUP($A$4&amp;$F$4&amp;C273,BalancesAnuales1!$A$2:$E$20009,5,0)+0,0)/A6</f>
        <v>0</v>
      </c>
      <c r="G273">
        <f>IFERROR(VLOOKUP($A$4&amp;$G$4&amp;C273,BalancesMensuales1!$A$2:$E$20009,5,0)+0,0)/A6</f>
        <v>0</v>
      </c>
      <c r="H273">
        <f>IFERROR(VLOOKUP($A$4&amp;$H$4&amp;C273,BalancesMensuales1!$A$2:$E$20009,5,0)+0,0)/A6</f>
        <v>0</v>
      </c>
      <c r="Z273">
        <f t="shared" si="23"/>
        <v>56</v>
      </c>
      <c r="AA273">
        <f>ClientesRIB!A58</f>
        <v>0</v>
      </c>
      <c r="AB273" t="str">
        <f>ClientesRIB!D58&amp;" - "&amp;ClientesRIB!F58</f>
        <v xml:space="preserve"> - </v>
      </c>
      <c r="AC273">
        <f>ClientesRIB!E58</f>
        <v>0</v>
      </c>
    </row>
    <row r="274" spans="3:29" hidden="1">
      <c r="C274">
        <v>314000</v>
      </c>
      <c r="D274">
        <f>IFERROR(VLOOKUP($A$4&amp;$D$4&amp;C274,BalancesAnuales1!$A$2:$E$20009,5,0)+0,0)/A6</f>
        <v>0</v>
      </c>
      <c r="E274">
        <f>IFERROR(VLOOKUP($A$4&amp;$E$4&amp;C274,BalancesAnuales1!$A$2:$E$20009,5,0)+0,0)/A6</f>
        <v>0</v>
      </c>
      <c r="F274">
        <f>IFERROR(VLOOKUP($A$4&amp;$F$4&amp;C274,BalancesAnuales1!$A$2:$E$20009,5,0)+0,0)/A6</f>
        <v>0</v>
      </c>
      <c r="G274">
        <f>IFERROR(VLOOKUP($A$4&amp;$G$4&amp;C274,BalancesMensuales1!$A$2:$E$20009,5,0)+0,0)/A6</f>
        <v>0</v>
      </c>
      <c r="H274">
        <f>IFERROR(VLOOKUP($A$4&amp;$H$4&amp;C274,BalancesMensuales1!$A$2:$E$20009,5,0)+0,0)/A6</f>
        <v>0</v>
      </c>
      <c r="Z274">
        <f t="shared" si="23"/>
        <v>57</v>
      </c>
      <c r="AA274">
        <f>ClientesRIB!A59</f>
        <v>0</v>
      </c>
      <c r="AB274" t="str">
        <f>ClientesRIB!D59&amp;" - "&amp;ClientesRIB!F59</f>
        <v xml:space="preserve"> - </v>
      </c>
      <c r="AC274">
        <f>ClientesRIB!E59</f>
        <v>0</v>
      </c>
    </row>
    <row r="275" spans="3:29" hidden="1">
      <c r="C275">
        <v>31</v>
      </c>
      <c r="D275">
        <f>IFERROR(VLOOKUP($A$4&amp;$D$4&amp;C275,BalancesAnuales1!$A$2:$E$20009,5,0)+0,0)/A6</f>
        <v>0</v>
      </c>
      <c r="E275">
        <f>IFERROR(VLOOKUP($A$4&amp;$E$4&amp;C275,BalancesAnuales1!$A$2:$E$20009,5,0)+0,0)/A6</f>
        <v>0</v>
      </c>
      <c r="F275">
        <f>IFERROR(VLOOKUP($A$4&amp;$F$4&amp;C275,BalancesAnuales1!$A$2:$E$20009,5,0)+0,0)/A6</f>
        <v>0</v>
      </c>
      <c r="G275">
        <f>IFERROR(VLOOKUP($A$4&amp;$G$4&amp;C275,BalancesMensuales1!$A$2:$E$20009,5,0)+0,0)/A6</f>
        <v>0</v>
      </c>
      <c r="H275">
        <f>IFERROR(VLOOKUP($A$4&amp;$H$4&amp;C275,BalancesMensuales1!$A$2:$E$20009,5,0)+0,0)/A6</f>
        <v>0</v>
      </c>
      <c r="Z275">
        <f t="shared" si="23"/>
        <v>58</v>
      </c>
      <c r="AA275">
        <f>ClientesRIB!A60</f>
        <v>0</v>
      </c>
      <c r="AB275" t="str">
        <f>ClientesRIB!D60&amp;" - "&amp;ClientesRIB!F60</f>
        <v xml:space="preserve"> - </v>
      </c>
      <c r="AC275">
        <f>ClientesRIB!E60</f>
        <v>0</v>
      </c>
    </row>
    <row r="276" spans="3:29" hidden="1">
      <c r="C276">
        <v>320500</v>
      </c>
      <c r="D276">
        <f>IFERROR(VLOOKUP($A$4&amp;$D$4&amp;C276,BalancesAnuales1!$A$2:$E$20009,5,0)+0,0)/A6</f>
        <v>0</v>
      </c>
      <c r="E276">
        <f>IFERROR(VLOOKUP($A$4&amp;$E$4&amp;C276,BalancesAnuales1!$A$2:$E$20009,5,0)+0,0)/A6</f>
        <v>0</v>
      </c>
      <c r="F276">
        <f>IFERROR(VLOOKUP($A$4&amp;$F$4&amp;C276,BalancesAnuales1!$A$2:$E$20009,5,0)+0,0)/A6</f>
        <v>0</v>
      </c>
      <c r="G276">
        <f>IFERROR(VLOOKUP($A$4&amp;$G$4&amp;C276,BalancesMensuales1!$A$2:$E$20009,5,0)+0,0)/A6</f>
        <v>0</v>
      </c>
      <c r="H276">
        <f>IFERROR(VLOOKUP($A$4&amp;$H$4&amp;C276,BalancesMensuales1!$A$2:$E$20009,5,0)+0,0)/A6</f>
        <v>0</v>
      </c>
      <c r="Z276">
        <f t="shared" si="23"/>
        <v>59</v>
      </c>
      <c r="AA276">
        <f>ClientesRIB!A61</f>
        <v>0</v>
      </c>
      <c r="AB276" t="str">
        <f>ClientesRIB!D61&amp;" - "&amp;ClientesRIB!F61</f>
        <v xml:space="preserve"> - </v>
      </c>
      <c r="AC276">
        <f>ClientesRIB!E61</f>
        <v>0</v>
      </c>
    </row>
    <row r="277" spans="3:29" hidden="1">
      <c r="C277">
        <v>321000</v>
      </c>
      <c r="D277">
        <f>IFERROR(VLOOKUP($A$4&amp;$D$4&amp;C277,BalancesAnuales1!$A$2:$E$20009,5,0)+0,0)/A6</f>
        <v>0</v>
      </c>
      <c r="E277">
        <f>IFERROR(VLOOKUP($A$4&amp;$E$4&amp;C277,BalancesAnuales1!$A$2:$E$20009,5,0)+0,0)/A6</f>
        <v>0</v>
      </c>
      <c r="F277">
        <f>IFERROR(VLOOKUP($A$4&amp;$F$4&amp;C277,BalancesAnuales1!$A$2:$E$20009,5,0)+0,0)/A6</f>
        <v>0</v>
      </c>
      <c r="G277">
        <f>IFERROR(VLOOKUP($A$4&amp;$G$4&amp;C277,BalancesMensuales1!$A$2:$E$20009,5,0)+0,0)/A6</f>
        <v>0</v>
      </c>
      <c r="H277">
        <f>IFERROR(VLOOKUP($A$4&amp;$H$4&amp;C277,BalancesMensuales1!$A$2:$E$20009,5,0)+0,0)/A6</f>
        <v>0</v>
      </c>
      <c r="Z277">
        <f t="shared" si="23"/>
        <v>60</v>
      </c>
      <c r="AA277">
        <f>ClientesRIB!A62</f>
        <v>0</v>
      </c>
      <c r="AB277" t="str">
        <f>ClientesRIB!D62&amp;" - "&amp;ClientesRIB!F62</f>
        <v xml:space="preserve"> - </v>
      </c>
      <c r="AC277">
        <f>ClientesRIB!E62</f>
        <v>0</v>
      </c>
    </row>
    <row r="278" spans="3:29" hidden="1">
      <c r="C278">
        <v>321500</v>
      </c>
      <c r="D278">
        <f>IFERROR(VLOOKUP($A$4&amp;$D$4&amp;C278,BalancesAnuales1!$A$2:$E$20009,5,0)+0,0)/A6</f>
        <v>0</v>
      </c>
      <c r="E278">
        <f>IFERROR(VLOOKUP($A$4&amp;$E$4&amp;C278,BalancesAnuales1!$A$2:$E$20009,5,0)+0,0)/A6</f>
        <v>0</v>
      </c>
      <c r="F278">
        <f>IFERROR(VLOOKUP($A$4&amp;$F$4&amp;C278,BalancesAnuales1!$A$2:$E$20009,5,0)+0,0)/A6</f>
        <v>0</v>
      </c>
      <c r="G278">
        <f>IFERROR(VLOOKUP($A$4&amp;$G$4&amp;C278,BalancesMensuales1!$A$2:$E$20009,5,0)+0,0)/A6</f>
        <v>0</v>
      </c>
      <c r="H278">
        <f>IFERROR(VLOOKUP($A$4&amp;$H$4&amp;C278,BalancesMensuales1!$A$2:$E$20009,5,0)+0,0)/A6</f>
        <v>0</v>
      </c>
      <c r="Z278">
        <f t="shared" si="23"/>
        <v>61</v>
      </c>
      <c r="AA278">
        <f>ClientesRIB!A63</f>
        <v>0</v>
      </c>
      <c r="AB278" t="str">
        <f>ClientesRIB!D63&amp;" - "&amp;ClientesRIB!F63</f>
        <v xml:space="preserve"> - </v>
      </c>
      <c r="AC278">
        <f>ClientesRIB!E63</f>
        <v>0</v>
      </c>
    </row>
    <row r="279" spans="3:29" hidden="1">
      <c r="C279">
        <v>322000</v>
      </c>
      <c r="D279">
        <f>IFERROR(VLOOKUP($A$4&amp;$D$4&amp;C279,BalancesAnuales1!$A$2:$E$20009,5,0)+0,0)/A6</f>
        <v>0</v>
      </c>
      <c r="E279">
        <f>IFERROR(VLOOKUP($A$4&amp;$E$4&amp;C279,BalancesAnuales1!$A$2:$E$20009,5,0)+0,0)/A6</f>
        <v>0</v>
      </c>
      <c r="F279">
        <f>IFERROR(VLOOKUP($A$4&amp;$F$4&amp;C279,BalancesAnuales1!$A$2:$E$20009,5,0)+0,0)/A6</f>
        <v>0</v>
      </c>
      <c r="G279">
        <f>IFERROR(VLOOKUP($A$4&amp;$G$4&amp;C279,BalancesMensuales1!$A$2:$E$20009,5,0)+0,0)/A6</f>
        <v>0</v>
      </c>
      <c r="H279">
        <f>IFERROR(VLOOKUP($A$4&amp;$H$4&amp;C279,BalancesMensuales1!$A$2:$E$20009,5,0)+0,0)/A6</f>
        <v>0</v>
      </c>
      <c r="Z279">
        <f t="shared" si="23"/>
        <v>62</v>
      </c>
      <c r="AA279">
        <f>ClientesRIB!A64</f>
        <v>0</v>
      </c>
      <c r="AB279" t="str">
        <f>ClientesRIB!D64&amp;" - "&amp;ClientesRIB!F64</f>
        <v xml:space="preserve"> - </v>
      </c>
      <c r="AC279">
        <f>ClientesRIB!E64</f>
        <v>0</v>
      </c>
    </row>
    <row r="280" spans="3:29" hidden="1">
      <c r="C280">
        <v>322500</v>
      </c>
      <c r="D280">
        <f>IFERROR(VLOOKUP($A$4&amp;$D$4&amp;C280,BalancesAnuales1!$A$2:$E$20009,5,0)+0,0)/A6</f>
        <v>0</v>
      </c>
      <c r="E280">
        <f>IFERROR(VLOOKUP($A$4&amp;$E$4&amp;C280,BalancesAnuales1!$A$2:$E$20009,5,0)+0,0)/A6</f>
        <v>0</v>
      </c>
      <c r="F280">
        <f>IFERROR(VLOOKUP($A$4&amp;$F$4&amp;C280,BalancesAnuales1!$A$2:$E$20009,5,0)+0,0)/A6</f>
        <v>0</v>
      </c>
      <c r="G280">
        <f>IFERROR(VLOOKUP($A$4&amp;$G$4&amp;C280,BalancesMensuales1!$A$2:$E$20009,5,0)+0,0)/A6</f>
        <v>0</v>
      </c>
      <c r="H280">
        <f>IFERROR(VLOOKUP($A$4&amp;$H$4&amp;C280,BalancesMensuales1!$A$2:$E$20009,5,0)+0,0)/A6</f>
        <v>0</v>
      </c>
      <c r="Z280">
        <f t="shared" si="23"/>
        <v>63</v>
      </c>
      <c r="AA280">
        <f>ClientesRIB!A65</f>
        <v>0</v>
      </c>
      <c r="AB280" t="str">
        <f>ClientesRIB!D65&amp;" - "&amp;ClientesRIB!F65</f>
        <v xml:space="preserve"> - </v>
      </c>
      <c r="AC280">
        <f>ClientesRIB!E65</f>
        <v>0</v>
      </c>
    </row>
    <row r="281" spans="3:29" hidden="1">
      <c r="C281">
        <v>32</v>
      </c>
      <c r="D281">
        <f>IFERROR(VLOOKUP($A$4&amp;$D$4&amp;C281,BalancesAnuales1!$A$2:$E$20009,5,0)+0,0)/A6</f>
        <v>0</v>
      </c>
      <c r="E281">
        <f>IFERROR(VLOOKUP($A$4&amp;$E$4&amp;C281,BalancesAnuales1!$A$2:$E$20009,5,0)+0,0)/A6</f>
        <v>0</v>
      </c>
      <c r="F281">
        <f>IFERROR(VLOOKUP($A$4&amp;$F$4&amp;C281,BalancesAnuales1!$A$2:$E$20009,5,0)+0,0)/A6</f>
        <v>0</v>
      </c>
      <c r="G281">
        <f>IFERROR(VLOOKUP($A$4&amp;$G$4&amp;C281,BalancesMensuales1!$A$2:$E$20009,5,0)+0,0)/A6</f>
        <v>0</v>
      </c>
      <c r="H281">
        <f>IFERROR(VLOOKUP($A$4&amp;$H$4&amp;C281,BalancesMensuales1!$A$2:$E$20009,5,0)+0,0)/A6</f>
        <v>0</v>
      </c>
      <c r="Z281">
        <f t="shared" si="23"/>
        <v>64</v>
      </c>
      <c r="AA281">
        <f>ClientesRIB!A66</f>
        <v>0</v>
      </c>
      <c r="AB281" t="str">
        <f>ClientesRIB!D66&amp;" - "&amp;ClientesRIB!F66</f>
        <v xml:space="preserve"> - </v>
      </c>
      <c r="AC281">
        <f>ClientesRIB!E66</f>
        <v>0</v>
      </c>
    </row>
    <row r="282" spans="3:29" hidden="1">
      <c r="C282">
        <v>330500</v>
      </c>
      <c r="D282">
        <f>IFERROR(VLOOKUP($A$4&amp;$D$4&amp;C282,BalancesAnuales1!$A$2:$E$20009,5,0)+0,0)/A6</f>
        <v>0</v>
      </c>
      <c r="E282">
        <f>IFERROR(VLOOKUP($A$4&amp;$E$4&amp;C282,BalancesAnuales1!$A$2:$E$20009,5,0)+0,0)/A6</f>
        <v>0</v>
      </c>
      <c r="F282">
        <f>IFERROR(VLOOKUP($A$4&amp;$F$4&amp;C282,BalancesAnuales1!$A$2:$E$20009,5,0)+0,0)/A6</f>
        <v>0</v>
      </c>
      <c r="G282">
        <f>IFERROR(VLOOKUP($A$4&amp;$G$4&amp;C282,BalancesMensuales1!$A$2:$E$20009,5,0)+0,0)/A6</f>
        <v>0</v>
      </c>
      <c r="H282">
        <f>IFERROR(VLOOKUP($A$4&amp;$H$4&amp;C282,BalancesMensuales1!$A$2:$E$20009,5,0)+0,0)/A6</f>
        <v>0</v>
      </c>
      <c r="Z282">
        <f t="shared" ref="Z282:Z313" si="24">IF(AA282=$A$4,Z281+1,0)</f>
        <v>65</v>
      </c>
      <c r="AA282">
        <f>ClientesRIB!A67</f>
        <v>0</v>
      </c>
      <c r="AB282" t="str">
        <f>ClientesRIB!D67&amp;" - "&amp;ClientesRIB!F67</f>
        <v xml:space="preserve"> - </v>
      </c>
      <c r="AC282">
        <f>ClientesRIB!E67</f>
        <v>0</v>
      </c>
    </row>
    <row r="283" spans="3:29" hidden="1">
      <c r="C283">
        <v>331000</v>
      </c>
      <c r="D283">
        <f>IFERROR(VLOOKUP($A$4&amp;$D$4&amp;C283,BalancesAnuales1!$A$2:$E$20009,5,0)+0,0)/A6</f>
        <v>0</v>
      </c>
      <c r="E283">
        <f>IFERROR(VLOOKUP($A$4&amp;$E$4&amp;C283,BalancesAnuales1!$A$2:$E$20009,5,0)+0,0)/A6</f>
        <v>0</v>
      </c>
      <c r="F283">
        <f>IFERROR(VLOOKUP($A$4&amp;$F$4&amp;C283,BalancesAnuales1!$A$2:$E$20009,5,0)+0,0)/A6</f>
        <v>0</v>
      </c>
      <c r="G283">
        <f>IFERROR(VLOOKUP($A$4&amp;$G$4&amp;C283,BalancesMensuales1!$A$2:$E$20009,5,0)+0,0)/A6</f>
        <v>0</v>
      </c>
      <c r="H283">
        <f>IFERROR(VLOOKUP($A$4&amp;$H$4&amp;C283,BalancesMensuales1!$A$2:$E$20009,5,0)+0,0)/A6</f>
        <v>0</v>
      </c>
      <c r="Z283">
        <f t="shared" si="24"/>
        <v>66</v>
      </c>
      <c r="AA283">
        <f>ClientesRIB!A68</f>
        <v>0</v>
      </c>
      <c r="AB283" t="str">
        <f>ClientesRIB!D68&amp;" - "&amp;ClientesRIB!F68</f>
        <v xml:space="preserve"> - </v>
      </c>
      <c r="AC283">
        <f>ClientesRIB!E68</f>
        <v>0</v>
      </c>
    </row>
    <row r="284" spans="3:29" hidden="1">
      <c r="C284">
        <v>331500</v>
      </c>
      <c r="D284">
        <f>IFERROR(VLOOKUP($A$4&amp;$D$4&amp;C284,BalancesAnuales1!$A$2:$E$20009,5,0)+0,0)/A6</f>
        <v>0</v>
      </c>
      <c r="E284">
        <f>IFERROR(VLOOKUP($A$4&amp;$E$4&amp;C284,BalancesAnuales1!$A$2:$E$20009,5,0)+0,0)/A6</f>
        <v>0</v>
      </c>
      <c r="F284">
        <f>IFERROR(VLOOKUP($A$4&amp;$F$4&amp;C284,BalancesAnuales1!$A$2:$E$20009,5,0)+0,0)/A6</f>
        <v>0</v>
      </c>
      <c r="G284">
        <f>IFERROR(VLOOKUP($A$4&amp;$G$4&amp;C284,BalancesMensuales1!$A$2:$E$20009,5,0)+0,0)/A6</f>
        <v>0</v>
      </c>
      <c r="H284">
        <f>IFERROR(VLOOKUP($A$4&amp;$H$4&amp;C284,BalancesMensuales1!$A$2:$E$20009,5,0)+0,0)/A6</f>
        <v>0</v>
      </c>
      <c r="Z284">
        <f t="shared" si="24"/>
        <v>67</v>
      </c>
      <c r="AA284">
        <f>ClientesRIB!A69</f>
        <v>0</v>
      </c>
      <c r="AB284" t="str">
        <f>ClientesRIB!D69&amp;" - "&amp;ClientesRIB!F69</f>
        <v xml:space="preserve"> - </v>
      </c>
      <c r="AC284">
        <f>ClientesRIB!E69</f>
        <v>0</v>
      </c>
    </row>
    <row r="285" spans="3:29" hidden="1">
      <c r="C285">
        <v>33</v>
      </c>
      <c r="D285">
        <f>IFERROR(VLOOKUP($A$4&amp;$D$4&amp;C285,BalancesAnuales1!$A$2:$E$20009,5,0)+0,0)/A6</f>
        <v>0</v>
      </c>
      <c r="E285">
        <f>IFERROR(VLOOKUP($A$4&amp;$E$4&amp;C285,BalancesAnuales1!$A$2:$E$20009,5,0)+0,0)/A6</f>
        <v>0</v>
      </c>
      <c r="F285">
        <f>IFERROR(VLOOKUP($A$4&amp;$F$4&amp;C285,BalancesAnuales1!$A$2:$E$20009,5,0)+0,0)/A6</f>
        <v>0</v>
      </c>
      <c r="G285">
        <f>IFERROR(VLOOKUP($A$4&amp;$G$4&amp;C285,BalancesMensuales1!$A$2:$E$20009,5,0)+0,0)/A6</f>
        <v>0</v>
      </c>
      <c r="H285">
        <f>IFERROR(VLOOKUP($A$4&amp;$H$4&amp;C285,BalancesMensuales1!$A$2:$E$20009,5,0)+0,0)/A6</f>
        <v>0</v>
      </c>
      <c r="Z285">
        <f t="shared" si="24"/>
        <v>68</v>
      </c>
      <c r="AA285">
        <f>ClientesRIB!A70</f>
        <v>0</v>
      </c>
      <c r="AB285" t="str">
        <f>ClientesRIB!D70&amp;" - "&amp;ClientesRIB!F70</f>
        <v xml:space="preserve"> - </v>
      </c>
      <c r="AC285">
        <f>ClientesRIB!E70</f>
        <v>0</v>
      </c>
    </row>
    <row r="286" spans="3:29" hidden="1">
      <c r="C286">
        <v>340505</v>
      </c>
      <c r="D286">
        <f>IFERROR(VLOOKUP($A$4&amp;$D$4&amp;C286,BalancesAnuales1!$A$2:$E$20009,5,0)+0,0)/A6</f>
        <v>0</v>
      </c>
      <c r="E286">
        <f>IFERROR(VLOOKUP($A$4&amp;$E$4&amp;C286,BalancesAnuales1!$A$2:$E$20009,5,0)+0,0)/A6</f>
        <v>0</v>
      </c>
      <c r="F286">
        <f>IFERROR(VLOOKUP($A$4&amp;$F$4&amp;C286,BalancesAnuales1!$A$2:$E$20009,5,0)+0,0)/A6</f>
        <v>0</v>
      </c>
      <c r="G286">
        <f>IFERROR(VLOOKUP($A$4&amp;$G$4&amp;C286,BalancesMensuales1!$A$2:$E$20009,5,0)+0,0)/A6</f>
        <v>0</v>
      </c>
      <c r="H286">
        <f>IFERROR(VLOOKUP($A$4&amp;$H$4&amp;C286,BalancesMensuales1!$A$2:$E$20009,5,0)+0,0)/A6</f>
        <v>0</v>
      </c>
      <c r="Z286">
        <f t="shared" si="24"/>
        <v>69</v>
      </c>
      <c r="AA286">
        <f>ClientesRIB!A71</f>
        <v>0</v>
      </c>
      <c r="AB286" t="str">
        <f>ClientesRIB!D71&amp;" - "&amp;ClientesRIB!F71</f>
        <v xml:space="preserve"> - </v>
      </c>
      <c r="AC286">
        <f>ClientesRIB!E71</f>
        <v>0</v>
      </c>
    </row>
    <row r="287" spans="3:29" hidden="1">
      <c r="C287">
        <v>340515</v>
      </c>
      <c r="D287">
        <f>IFERROR(VLOOKUP($A$4&amp;$D$4&amp;C287,BalancesAnuales1!$A$2:$E$20009,5,0)+0,0)/A6</f>
        <v>0</v>
      </c>
      <c r="E287">
        <f>IFERROR(VLOOKUP($A$4&amp;$E$4&amp;C287,BalancesAnuales1!$A$2:$E$20009,5,0)+0,0)/A6</f>
        <v>0</v>
      </c>
      <c r="F287">
        <f>IFERROR(VLOOKUP($A$4&amp;$F$4&amp;C287,BalancesAnuales1!$A$2:$E$20009,5,0)+0,0)/A6</f>
        <v>0</v>
      </c>
      <c r="G287">
        <f>IFERROR(VLOOKUP($A$4&amp;$G$4&amp;C287,BalancesMensuales1!$A$2:$E$20009,5,0)+0,0)/A6</f>
        <v>0</v>
      </c>
      <c r="H287">
        <f>IFERROR(VLOOKUP($A$4&amp;$H$4&amp;C287,BalancesMensuales1!$A$2:$E$20009,5,0)+0,0)/A6</f>
        <v>0</v>
      </c>
      <c r="Z287">
        <f t="shared" si="24"/>
        <v>70</v>
      </c>
      <c r="AA287">
        <f>ClientesRIB!A72</f>
        <v>0</v>
      </c>
      <c r="AB287" t="str">
        <f>ClientesRIB!D72&amp;" - "&amp;ClientesRIB!F72</f>
        <v xml:space="preserve"> - </v>
      </c>
      <c r="AC287">
        <f>ClientesRIB!E72</f>
        <v>0</v>
      </c>
    </row>
    <row r="288" spans="3:29" hidden="1">
      <c r="C288">
        <v>349500</v>
      </c>
      <c r="D288">
        <f>IFERROR(VLOOKUP($A$4&amp;$D$4&amp;C288,BalancesAnuales1!$A$2:$E$20009,5,0)+0,0)/A6</f>
        <v>0</v>
      </c>
      <c r="E288">
        <f>IFERROR(VLOOKUP($A$4&amp;$E$4&amp;C288,BalancesAnuales1!$A$2:$E$20009,5,0)+0,0)/A6</f>
        <v>0</v>
      </c>
      <c r="F288">
        <f>IFERROR(VLOOKUP($A$4&amp;$F$4&amp;C288,BalancesAnuales1!$A$2:$E$20009,5,0)+0,0)/A6</f>
        <v>0</v>
      </c>
      <c r="G288">
        <f>IFERROR(VLOOKUP($A$4&amp;$G$4&amp;C288,BalancesMensuales1!$A$2:$E$20009,5,0)+0,0)/A6</f>
        <v>0</v>
      </c>
      <c r="H288">
        <f>IFERROR(VLOOKUP($A$4&amp;$H$4&amp;C288,BalancesMensuales1!$A$2:$E$20009,5,0)+0,0)/A6</f>
        <v>0</v>
      </c>
      <c r="Z288">
        <f t="shared" si="24"/>
        <v>71</v>
      </c>
      <c r="AA288">
        <f>ClientesRIB!A73</f>
        <v>0</v>
      </c>
      <c r="AB288" t="str">
        <f>ClientesRIB!D73&amp;" - "&amp;ClientesRIB!F73</f>
        <v xml:space="preserve"> - </v>
      </c>
      <c r="AC288">
        <f>ClientesRIB!E73</f>
        <v>0</v>
      </c>
    </row>
    <row r="289" spans="3:29" hidden="1">
      <c r="C289">
        <v>34</v>
      </c>
      <c r="D289">
        <f>IFERROR(VLOOKUP($A$4&amp;$D$4&amp;C289,BalancesAnuales1!$A$2:$E$20009,5,0)+0,0)/A6</f>
        <v>0</v>
      </c>
      <c r="E289">
        <f>IFERROR(VLOOKUP($A$4&amp;$E$4&amp;C289,BalancesAnuales1!$A$2:$E$20009,5,0)+0,0)/A6</f>
        <v>0</v>
      </c>
      <c r="F289">
        <f>IFERROR(VLOOKUP($A$4&amp;$F$4&amp;C289,BalancesAnuales1!$A$2:$E$20009,5,0)+0,0)/A6</f>
        <v>0</v>
      </c>
      <c r="G289">
        <f>IFERROR(VLOOKUP($A$4&amp;$G$4&amp;C289,BalancesMensuales1!$A$2:$E$20009,5,0)+0,0)/A6</f>
        <v>0</v>
      </c>
      <c r="H289">
        <f>IFERROR(VLOOKUP($A$4&amp;$H$4&amp;C289,BalancesMensuales1!$A$2:$E$20009,5,0)+0,0)/A6</f>
        <v>0</v>
      </c>
      <c r="Z289">
        <f t="shared" si="24"/>
        <v>72</v>
      </c>
      <c r="AA289">
        <f>ClientesRIB!A74</f>
        <v>0</v>
      </c>
      <c r="AB289" t="str">
        <f>ClientesRIB!D74&amp;" - "&amp;ClientesRIB!F74</f>
        <v xml:space="preserve"> - </v>
      </c>
      <c r="AC289">
        <f>ClientesRIB!E74</f>
        <v>0</v>
      </c>
    </row>
    <row r="290" spans="3:29" hidden="1">
      <c r="C290">
        <v>35</v>
      </c>
      <c r="D290">
        <f>IFERROR(VLOOKUP($A$4&amp;$D$4&amp;C290,BalancesAnuales1!$A$2:$E$20009,5,0)+0,0)/A6</f>
        <v>0</v>
      </c>
      <c r="E290">
        <f>IFERROR(VLOOKUP($A$4&amp;$E$4&amp;C290,BalancesAnuales1!$A$2:$E$20009,5,0)+0,0)/A6</f>
        <v>0</v>
      </c>
      <c r="F290">
        <f>IFERROR(VLOOKUP($A$4&amp;$F$4&amp;C290,BalancesAnuales1!$A$2:$E$20009,5,0)+0,0)/A6</f>
        <v>0</v>
      </c>
      <c r="G290">
        <f>IFERROR(VLOOKUP($A$4&amp;$G$4&amp;C290,BalancesMensuales1!$A$2:$E$20009,5,0)+0,0)/A6</f>
        <v>0</v>
      </c>
      <c r="H290">
        <f>IFERROR(VLOOKUP($A$4&amp;$H$4&amp;C290,BalancesMensuales1!$A$2:$E$20009,5,0)+0,0)/A6</f>
        <v>0</v>
      </c>
      <c r="Z290">
        <f t="shared" si="24"/>
        <v>73</v>
      </c>
      <c r="AA290">
        <f>ClientesRIB!A75</f>
        <v>0</v>
      </c>
      <c r="AB290" t="str">
        <f>ClientesRIB!D75&amp;" - "&amp;ClientesRIB!F75</f>
        <v xml:space="preserve"> - </v>
      </c>
      <c r="AC290">
        <f>ClientesRIB!E75</f>
        <v>0</v>
      </c>
    </row>
    <row r="291" spans="3:29" hidden="1">
      <c r="C291">
        <v>36</v>
      </c>
      <c r="D291">
        <f>IFERROR(VLOOKUP($A$4&amp;$D$4&amp;C291,BalancesAnuales1!$A$2:$E$20009,5,0)+0,0)/A6</f>
        <v>0</v>
      </c>
      <c r="E291">
        <f>IFERROR(VLOOKUP($A$4&amp;$E$4&amp;C291,BalancesAnuales1!$A$2:$E$20009,5,0)+0,0)/A6</f>
        <v>0</v>
      </c>
      <c r="F291">
        <f>IFERROR(VLOOKUP($A$4&amp;$F$4&amp;C291,BalancesAnuales1!$A$2:$E$20009,5,0)+0,0)/A6</f>
        <v>0</v>
      </c>
      <c r="G291">
        <f>IFERROR(VLOOKUP($A$4&amp;$G$4&amp;C291,BalancesMensuales1!$A$2:$E$20009,5,0)+0,0)/A6</f>
        <v>0</v>
      </c>
      <c r="H291">
        <f>IFERROR(VLOOKUP($A$4&amp;$H$4&amp;C291,BalancesMensuales1!$A$2:$E$20009,5,0)+0,0)/A6</f>
        <v>0</v>
      </c>
      <c r="Z291">
        <f t="shared" si="24"/>
        <v>74</v>
      </c>
      <c r="AA291">
        <f>ClientesRIB!A76</f>
        <v>0</v>
      </c>
      <c r="AB291" t="str">
        <f>ClientesRIB!D76&amp;" - "&amp;ClientesRIB!F76</f>
        <v xml:space="preserve"> - </v>
      </c>
      <c r="AC291">
        <f>ClientesRIB!E76</f>
        <v>0</v>
      </c>
    </row>
    <row r="292" spans="3:29" hidden="1">
      <c r="C292">
        <v>37</v>
      </c>
      <c r="D292">
        <f>IFERROR(VLOOKUP($A$4&amp;$D$4&amp;C292,BalancesAnuales1!$A$2:$E$20009,5,0)+0,0)/A6</f>
        <v>0</v>
      </c>
      <c r="E292">
        <f>IFERROR(VLOOKUP($A$4&amp;$E$4&amp;C292,BalancesAnuales1!$A$2:$E$20009,5,0)+0,0)/A6</f>
        <v>0</v>
      </c>
      <c r="F292">
        <f>IFERROR(VLOOKUP($A$4&amp;$F$4&amp;C292,BalancesAnuales1!$A$2:$E$20009,5,0)+0,0)/A6</f>
        <v>0</v>
      </c>
      <c r="G292">
        <f>IFERROR(VLOOKUP($A$4&amp;$G$4&amp;C292,BalancesMensuales1!$A$2:$E$20009,5,0)+0,0)/A6</f>
        <v>0</v>
      </c>
      <c r="H292">
        <f>IFERROR(VLOOKUP($A$4&amp;$H$4&amp;C292,BalancesMensuales1!$A$2:$E$20009,5,0)+0,0)/A6</f>
        <v>0</v>
      </c>
      <c r="Z292">
        <f t="shared" si="24"/>
        <v>75</v>
      </c>
      <c r="AA292">
        <f>ClientesRIB!A77</f>
        <v>0</v>
      </c>
      <c r="AB292" t="str">
        <f>ClientesRIB!D77&amp;" - "&amp;ClientesRIB!F77</f>
        <v xml:space="preserve"> - </v>
      </c>
      <c r="AC292">
        <f>ClientesRIB!E77</f>
        <v>0</v>
      </c>
    </row>
    <row r="293" spans="3:29" hidden="1">
      <c r="C293">
        <v>38</v>
      </c>
      <c r="D293">
        <f>IFERROR(VLOOKUP($A$4&amp;$D$4&amp;C293,BalancesAnuales1!$A$2:$E$20009,5,0)+0,0)/A6</f>
        <v>0</v>
      </c>
      <c r="E293">
        <f>IFERROR(VLOOKUP($A$4&amp;$E$4&amp;C293,BalancesAnuales1!$A$2:$E$20009,5,0)+0,0)/A6</f>
        <v>0</v>
      </c>
      <c r="F293">
        <f>IFERROR(VLOOKUP($A$4&amp;$F$4&amp;C293,BalancesAnuales1!$A$2:$E$20009,5,0)+0,0)/A6</f>
        <v>0</v>
      </c>
      <c r="G293">
        <f>IFERROR(VLOOKUP($A$4&amp;$G$4&amp;C293,BalancesMensuales1!$A$2:$E$20009,5,0)+0,0)/A6</f>
        <v>0</v>
      </c>
      <c r="H293">
        <f>IFERROR(VLOOKUP($A$4&amp;$H$4&amp;C293,BalancesMensuales1!$A$2:$E$20009,5,0)+0,0)/A6</f>
        <v>0</v>
      </c>
      <c r="Z293">
        <f t="shared" si="24"/>
        <v>76</v>
      </c>
      <c r="AA293">
        <f>ClientesRIB!A78</f>
        <v>0</v>
      </c>
      <c r="AB293" t="str">
        <f>ClientesRIB!D78&amp;" - "&amp;ClientesRIB!F78</f>
        <v xml:space="preserve"> - </v>
      </c>
      <c r="AC293">
        <f>ClientesRIB!E78</f>
        <v>0</v>
      </c>
    </row>
    <row r="294" spans="3:29" hidden="1">
      <c r="C294">
        <v>3</v>
      </c>
      <c r="D294">
        <f>IFERROR(VLOOKUP($A$4&amp;$D$4&amp;C294,BalancesAnuales1!$A$2:$E$20009,5,0)+0,0)/A6</f>
        <v>0</v>
      </c>
      <c r="E294">
        <f>IFERROR(VLOOKUP($A$4&amp;$E$4&amp;C294,BalancesAnuales1!$A$2:$E$20009,5,0)+0,0)/A6</f>
        <v>0</v>
      </c>
      <c r="F294">
        <f>IFERROR(VLOOKUP($A$4&amp;$F$4&amp;C294,BalancesAnuales1!$A$2:$E$20009,5,0)+0,0)/A6</f>
        <v>0</v>
      </c>
      <c r="G294">
        <f>IFERROR(VLOOKUP($A$4&amp;$G$4&amp;C294,BalancesMensuales1!$A$2:$E$20009,5,0)+0,0)/A6</f>
        <v>0</v>
      </c>
      <c r="H294">
        <f>IFERROR(VLOOKUP($A$4&amp;$H$4&amp;C294,BalancesMensuales1!$A$2:$E$20009,5,0)+0,0)/A6</f>
        <v>0</v>
      </c>
      <c r="Z294">
        <f t="shared" si="24"/>
        <v>77</v>
      </c>
      <c r="AA294">
        <f>ClientesRIB!A79</f>
        <v>0</v>
      </c>
      <c r="AB294" t="str">
        <f>ClientesRIB!D79&amp;" - "&amp;ClientesRIB!F79</f>
        <v xml:space="preserve"> - </v>
      </c>
      <c r="AC294">
        <f>ClientesRIB!E79</f>
        <v>0</v>
      </c>
    </row>
    <row r="295" spans="3:29" hidden="1">
      <c r="C295">
        <v>0</v>
      </c>
      <c r="D295">
        <f>IFERROR(VLOOKUP($A$4&amp;$D$4&amp;C295,BalancesAnuales1!$A$2:$E$20009,5,0)+0,0)/A6</f>
        <v>0</v>
      </c>
      <c r="E295">
        <f>IFERROR(VLOOKUP($A$4&amp;$E$4&amp;C295,BalancesAnuales1!$A$2:$E$20009,5,0)+0,0)/A6</f>
        <v>0</v>
      </c>
      <c r="F295">
        <f>IFERROR(VLOOKUP($A$4&amp;$F$4&amp;C295,BalancesAnuales1!$A$2:$E$20009,5,0)+0,0)/A6</f>
        <v>0</v>
      </c>
      <c r="G295">
        <f>IFERROR(VLOOKUP($A$4&amp;$G$4&amp;C295,BalancesMensuales1!$A$2:$E$20009,5,0)+0,0)/A6</f>
        <v>0</v>
      </c>
      <c r="H295">
        <f>IFERROR(VLOOKUP($A$4&amp;$H$4&amp;C295,BalancesMensuales1!$A$2:$E$20009,5,0)+0,0)/A6</f>
        <v>0</v>
      </c>
      <c r="Z295">
        <f t="shared" si="24"/>
        <v>78</v>
      </c>
      <c r="AA295">
        <f>ClientesRIB!A80</f>
        <v>0</v>
      </c>
      <c r="AB295" t="str">
        <f>ClientesRIB!D80&amp;" - "&amp;ClientesRIB!F80</f>
        <v xml:space="preserve"> - </v>
      </c>
      <c r="AC295">
        <f>ClientesRIB!E80</f>
        <v>0</v>
      </c>
    </row>
    <row r="296" spans="3:29" hidden="1">
      <c r="Z296">
        <f t="shared" si="24"/>
        <v>79</v>
      </c>
      <c r="AA296">
        <f>ClientesRIB!A81</f>
        <v>0</v>
      </c>
      <c r="AB296" t="str">
        <f>ClientesRIB!D81&amp;" - "&amp;ClientesRIB!F81</f>
        <v xml:space="preserve"> - </v>
      </c>
      <c r="AC296">
        <f>ClientesRIB!E81</f>
        <v>0</v>
      </c>
    </row>
    <row r="297" spans="3:29" hidden="1">
      <c r="C297">
        <v>291000</v>
      </c>
      <c r="D297">
        <f>IFERROR(VLOOKUP($A$4&amp;$D$4&amp;C297,BalancesAnuales1!$A$2:$E$20009,5,0)+0,0)/A6</f>
        <v>0</v>
      </c>
      <c r="E297">
        <f>IFERROR(VLOOKUP($A$4&amp;$E$4&amp;C297,BalancesAnuales1!$A$2:$E$20009,5,0)+0,0)/A6</f>
        <v>0</v>
      </c>
      <c r="F297">
        <f>IFERROR(VLOOKUP($A$4&amp;$F$4&amp;C297,BalancesAnuales1!$A$2:$E$20009,5,0)+0,0)/A6</f>
        <v>0</v>
      </c>
      <c r="G297">
        <f>IFERROR(VLOOKUP($A$4&amp;$G$4&amp;C297,BalancesMensuales1!$A$2:$E$20009,5,0)+0,0)/A6</f>
        <v>0</v>
      </c>
      <c r="H297">
        <f>IFERROR(VLOOKUP($A$4&amp;$H$4&amp;C297,BalancesMensuales1!$A$2:$E$20009,5,0)+0,0)/A6</f>
        <v>0</v>
      </c>
      <c r="Z297">
        <f t="shared" si="24"/>
        <v>80</v>
      </c>
      <c r="AA297">
        <f>ClientesRIB!A82</f>
        <v>0</v>
      </c>
      <c r="AB297" t="str">
        <f>ClientesRIB!D82&amp;" - "&amp;ClientesRIB!F82</f>
        <v xml:space="preserve"> - </v>
      </c>
      <c r="AC297">
        <f>ClientesRIB!E82</f>
        <v>0</v>
      </c>
    </row>
    <row r="298" spans="3:29" hidden="1">
      <c r="C298">
        <v>292000</v>
      </c>
      <c r="D298">
        <f>IFERROR(VLOOKUP($A$4&amp;$D$4&amp;C298,BalancesAnuales1!$A$2:$E$20009,5,0)+0,0)/A6</f>
        <v>0</v>
      </c>
      <c r="E298">
        <f>IFERROR(VLOOKUP($A$4&amp;$E$4&amp;C298,BalancesAnuales1!$A$2:$E$20009,5,0)+0,0)/A6</f>
        <v>0</v>
      </c>
      <c r="F298">
        <f>IFERROR(VLOOKUP($A$4&amp;$F$4&amp;C298,BalancesAnuales1!$A$2:$E$20009,5,0)+0,0)/A6</f>
        <v>0</v>
      </c>
      <c r="G298">
        <f>IFERROR(VLOOKUP($A$4&amp;$G$4&amp;C298,BalancesMensuales1!$A$2:$E$20009,5,0)+0,0)/A6</f>
        <v>0</v>
      </c>
      <c r="H298">
        <f>IFERROR(VLOOKUP($A$4&amp;$H$4&amp;C298,BalancesMensuales1!$A$2:$E$20009,5,0)+0,0)/A6</f>
        <v>0</v>
      </c>
      <c r="Z298">
        <f t="shared" si="24"/>
        <v>81</v>
      </c>
      <c r="AA298">
        <f>ClientesRIB!A83</f>
        <v>0</v>
      </c>
      <c r="AB298" t="str">
        <f>ClientesRIB!D83&amp;" - "&amp;ClientesRIB!F83</f>
        <v xml:space="preserve"> - </v>
      </c>
      <c r="AC298">
        <f>ClientesRIB!E83</f>
        <v>0</v>
      </c>
    </row>
    <row r="299" spans="3:29" hidden="1">
      <c r="C299">
        <v>293000</v>
      </c>
      <c r="D299">
        <f>IFERROR(VLOOKUP($A$4&amp;$D$4&amp;C299,BalancesAnuales1!$A$2:$E$20009,5,0)+0,0)/A6</f>
        <v>0</v>
      </c>
      <c r="E299">
        <f>IFERROR(VLOOKUP($A$4&amp;$E$4&amp;C299,BalancesAnuales1!$A$2:$E$20009,5,0)+0,0)/A6</f>
        <v>0</v>
      </c>
      <c r="F299">
        <f>IFERROR(VLOOKUP($A$4&amp;$F$4&amp;C299,BalancesAnuales1!$A$2:$E$20009,5,0)+0,0)/A6</f>
        <v>0</v>
      </c>
      <c r="G299">
        <f>IFERROR(VLOOKUP($A$4&amp;$G$4&amp;C299,BalancesMensuales1!$A$2:$E$20009,5,0)+0,0)/A6</f>
        <v>0</v>
      </c>
      <c r="H299">
        <f>IFERROR(VLOOKUP($A$4&amp;$H$4&amp;C299,BalancesMensuales1!$A$2:$E$20009,5,0)+0,0)/A6</f>
        <v>0</v>
      </c>
      <c r="Z299">
        <f t="shared" si="24"/>
        <v>82</v>
      </c>
      <c r="AA299">
        <f>ClientesRIB!A84</f>
        <v>0</v>
      </c>
      <c r="AB299" t="str">
        <f>ClientesRIB!D84&amp;" - "&amp;ClientesRIB!F84</f>
        <v xml:space="preserve"> - </v>
      </c>
      <c r="AC299">
        <f>ClientesRIB!E84</f>
        <v>0</v>
      </c>
    </row>
    <row r="300" spans="3:29" hidden="1">
      <c r="C300">
        <v>294000</v>
      </c>
      <c r="D300">
        <f>IFERROR(VLOOKUP($A$4&amp;$D$4&amp;C300,BalancesAnuales1!$A$2:$E$20009,5,0)+0,0)/A6</f>
        <v>0</v>
      </c>
      <c r="E300">
        <f>IFERROR(VLOOKUP($A$4&amp;$E$4&amp;C300,BalancesAnuales1!$A$2:$E$20009,5,0)+0,0)/A6</f>
        <v>0</v>
      </c>
      <c r="F300">
        <f>IFERROR(VLOOKUP($A$4&amp;$F$4&amp;C300,BalancesAnuales1!$A$2:$E$20009,5,0)+0,0)/A6</f>
        <v>0</v>
      </c>
      <c r="G300">
        <f>IFERROR(VLOOKUP($A$4&amp;$G$4&amp;C300,BalancesMensuales1!$A$2:$E$20009,5,0)+0,0)/A6</f>
        <v>0</v>
      </c>
      <c r="H300">
        <f>IFERROR(VLOOKUP($A$4&amp;$H$4&amp;C300,BalancesMensuales1!$A$2:$E$20009,5,0)+0,0)/A6</f>
        <v>0</v>
      </c>
      <c r="Z300">
        <f t="shared" si="24"/>
        <v>83</v>
      </c>
      <c r="AA300">
        <f>ClientesRIB!A85</f>
        <v>0</v>
      </c>
      <c r="AB300" t="str">
        <f>ClientesRIB!D85&amp;" - "&amp;ClientesRIB!F85</f>
        <v xml:space="preserve"> - </v>
      </c>
      <c r="AC300">
        <f>ClientesRIB!E85</f>
        <v>0</v>
      </c>
    </row>
    <row r="301" spans="3:29" hidden="1">
      <c r="C301">
        <v>190000</v>
      </c>
      <c r="D301">
        <f>IFERROR(VLOOKUP($A$4&amp;$D$4&amp;C301,BalancesAnuales1!$A$2:$E$20009,5,0)+0,0)/A6</f>
        <v>0</v>
      </c>
      <c r="E301">
        <f>IFERROR(VLOOKUP($A$4&amp;$E$4&amp;C301,BalancesAnuales1!$A$2:$E$20009,5,0)+0,0)/A6</f>
        <v>0</v>
      </c>
      <c r="F301">
        <f>IFERROR(VLOOKUP($A$4&amp;$F$4&amp;C301,BalancesAnuales1!$A$2:$E$20009,5,0)+0,0)/A6</f>
        <v>0</v>
      </c>
      <c r="G301">
        <f>IFERROR(VLOOKUP($A$4&amp;$G$4&amp;C301,BalancesMensuales1!$A$2:$E$20009,5,0)+0,0)/A6</f>
        <v>0</v>
      </c>
      <c r="H301">
        <f>IFERROR(VLOOKUP($A$4&amp;$H$4&amp;C301,BalancesMensuales1!$A$2:$E$20009,5,0)+0,0)/A6</f>
        <v>0</v>
      </c>
      <c r="Z301">
        <f t="shared" si="24"/>
        <v>84</v>
      </c>
      <c r="AA301">
        <f>ClientesRIB!A86</f>
        <v>0</v>
      </c>
      <c r="AB301" t="str">
        <f>ClientesRIB!D86&amp;" - "&amp;ClientesRIB!F86</f>
        <v xml:space="preserve"> - </v>
      </c>
      <c r="AC301">
        <f>ClientesRIB!E86</f>
        <v>0</v>
      </c>
    </row>
    <row r="302" spans="3:29" hidden="1">
      <c r="Z302">
        <f t="shared" si="24"/>
        <v>85</v>
      </c>
      <c r="AA302">
        <f>ClientesRIB!A87</f>
        <v>0</v>
      </c>
      <c r="AB302" t="str">
        <f>ClientesRIB!D87&amp;" - "&amp;ClientesRIB!F87</f>
        <v xml:space="preserve"> - </v>
      </c>
      <c r="AC302">
        <f>ClientesRIB!E87</f>
        <v>0</v>
      </c>
    </row>
    <row r="303" spans="3:29" hidden="1">
      <c r="C303">
        <v>410500</v>
      </c>
      <c r="D303">
        <f>IFERROR(VLOOKUP($A$4&amp;$D$4&amp;C303,BalancesAnuales1!$A$2:$E$20009,5,0)+0,0)/A6</f>
        <v>0</v>
      </c>
      <c r="E303">
        <f>IFERROR(VLOOKUP($A$4&amp;$E$4&amp;C303,BalancesAnuales1!$A$2:$E$20009,5,0)+0,0)/A6</f>
        <v>0</v>
      </c>
      <c r="F303">
        <f>IFERROR(VLOOKUP($A$4&amp;$F$4&amp;C303,BalancesAnuales1!$A$2:$E$20009,5,0)+0,0)/A6</f>
        <v>0</v>
      </c>
      <c r="G303">
        <f>IFERROR(VLOOKUP($A$4&amp;$G$4&amp;C303,BalancesMensuales1!$A$2:$E$20009,5,0)+0,0)/A6</f>
        <v>0</v>
      </c>
      <c r="H303">
        <f>IFERROR(VLOOKUP($A$4&amp;$H$4&amp;C303,BalancesMensuales1!$A$2:$E$20009,5,0)+0,0)/A6</f>
        <v>0</v>
      </c>
      <c r="Z303">
        <f t="shared" si="24"/>
        <v>86</v>
      </c>
      <c r="AA303">
        <f>ClientesRIB!A88</f>
        <v>0</v>
      </c>
      <c r="AB303" t="str">
        <f>ClientesRIB!D88&amp;" - "&amp;ClientesRIB!F88</f>
        <v xml:space="preserve"> - </v>
      </c>
      <c r="AC303">
        <f>ClientesRIB!E88</f>
        <v>0</v>
      </c>
    </row>
    <row r="304" spans="3:29" hidden="1">
      <c r="C304">
        <v>411000</v>
      </c>
      <c r="D304">
        <f>IFERROR(VLOOKUP($A$4&amp;$D$4&amp;C304,BalancesAnuales1!$A$2:$E$20009,5,0)+0,0)/A6</f>
        <v>0</v>
      </c>
      <c r="E304">
        <f>IFERROR(VLOOKUP($A$4&amp;$E$4&amp;C304,BalancesAnuales1!$A$2:$E$20009,5,0)+0,0)/A6</f>
        <v>0</v>
      </c>
      <c r="F304">
        <f>IFERROR(VLOOKUP($A$4&amp;$F$4&amp;C304,BalancesAnuales1!$A$2:$E$20009,5,0)+0,0)/A6</f>
        <v>0</v>
      </c>
      <c r="G304">
        <f>IFERROR(VLOOKUP($A$4&amp;$G$4&amp;C304,BalancesMensuales1!$A$2:$E$20009,5,0)+0,0)/A6</f>
        <v>0</v>
      </c>
      <c r="H304">
        <f>IFERROR(VLOOKUP($A$4&amp;$H$4&amp;C304,BalancesMensuales1!$A$2:$E$20009,5,0)+0,0)/A6</f>
        <v>0</v>
      </c>
      <c r="Z304">
        <f t="shared" si="24"/>
        <v>87</v>
      </c>
      <c r="AA304">
        <f>ClientesRIB!A89</f>
        <v>0</v>
      </c>
      <c r="AB304" t="str">
        <f>ClientesRIB!D89&amp;" - "&amp;ClientesRIB!F89</f>
        <v xml:space="preserve"> - </v>
      </c>
      <c r="AC304">
        <f>ClientesRIB!E89</f>
        <v>0</v>
      </c>
    </row>
    <row r="305" spans="3:29" hidden="1">
      <c r="C305">
        <v>61</v>
      </c>
      <c r="D305">
        <f>IFERROR(VLOOKUP($A$4&amp;$D$4&amp;C305,BalancesAnuales1!$A$2:$E$20009,5,0)+0,0)/A6</f>
        <v>0</v>
      </c>
      <c r="E305">
        <f>IFERROR(VLOOKUP($A$4&amp;$E$4&amp;C305,BalancesAnuales1!$A$2:$E$20009,5,0)+0,0)/A6</f>
        <v>0</v>
      </c>
      <c r="F305">
        <f>IFERROR(VLOOKUP($A$4&amp;$F$4&amp;C305,BalancesAnuales1!$A$2:$E$20009,5,0)+0,0)/A6</f>
        <v>0</v>
      </c>
      <c r="G305">
        <f>IFERROR(VLOOKUP($A$4&amp;$G$4&amp;C305,BalancesMensuales1!$A$2:$E$20009,5,0)+0,0)/A6</f>
        <v>0</v>
      </c>
      <c r="H305">
        <f>IFERROR(VLOOKUP($A$4&amp;$H$4&amp;C305,BalancesMensuales1!$A$2:$E$20009,5,0)+0,0)/A6</f>
        <v>0</v>
      </c>
      <c r="Z305">
        <f t="shared" si="24"/>
        <v>88</v>
      </c>
      <c r="AA305">
        <f>ClientesRIB!A90</f>
        <v>0</v>
      </c>
      <c r="AB305" t="str">
        <f>ClientesRIB!D90&amp;" - "&amp;ClientesRIB!F90</f>
        <v xml:space="preserve"> - </v>
      </c>
      <c r="AC305">
        <f>ClientesRIB!E90</f>
        <v>0</v>
      </c>
    </row>
    <row r="306" spans="3:29" hidden="1">
      <c r="C306">
        <v>606000</v>
      </c>
      <c r="D306">
        <f>IFERROR(VLOOKUP($A$4&amp;$D$4&amp;C306,BalancesAnuales1!$A$2:$E$20009,5,0)+0,0)/A6</f>
        <v>0</v>
      </c>
      <c r="E306">
        <f>IFERROR(VLOOKUP($A$4&amp;$E$4&amp;C306,BalancesAnuales1!$A$2:$E$20009,5,0)+0,0)/A6</f>
        <v>0</v>
      </c>
      <c r="F306">
        <f>IFERROR(VLOOKUP($A$4&amp;$F$4&amp;C306,BalancesAnuales1!$A$2:$E$20009,5,0)+0,0)/A6</f>
        <v>0</v>
      </c>
      <c r="G306">
        <f>IFERROR(VLOOKUP($A$4&amp;$G$4&amp;C306,BalancesMensuales1!$A$2:$E$20009,5,0)+0,0)/A6</f>
        <v>0</v>
      </c>
      <c r="H306">
        <f>IFERROR(VLOOKUP($A$4&amp;$H$4&amp;C306,BalancesMensuales1!$A$2:$E$20009,5,0)+0,0)/A6</f>
        <v>0</v>
      </c>
      <c r="Z306">
        <f t="shared" si="24"/>
        <v>89</v>
      </c>
      <c r="AA306">
        <f>ClientesRIB!A91</f>
        <v>0</v>
      </c>
      <c r="AB306" t="str">
        <f>ClientesRIB!D91&amp;" - "&amp;ClientesRIB!F91</f>
        <v xml:space="preserve"> - </v>
      </c>
      <c r="AC306">
        <f>ClientesRIB!E91</f>
        <v>0</v>
      </c>
    </row>
    <row r="307" spans="3:29" hidden="1">
      <c r="C307">
        <v>95</v>
      </c>
      <c r="D307">
        <f>IFERROR(VLOOKUP($A$4&amp;$D$4&amp;C307,BalancesAnuales1!$A$2:$E$20009,5,0)+0,0)/A6</f>
        <v>0</v>
      </c>
      <c r="E307">
        <f>IFERROR(VLOOKUP($A$4&amp;$E$4&amp;C307,BalancesAnuales1!$A$2:$E$20009,5,0)+0,0)/A6</f>
        <v>0</v>
      </c>
      <c r="F307">
        <f>IFERROR(VLOOKUP($A$4&amp;$F$4&amp;C307,BalancesAnuales1!$A$2:$E$20009,5,0)+0,0)/A6</f>
        <v>0</v>
      </c>
      <c r="G307">
        <f>IFERROR(VLOOKUP($A$4&amp;$G$4&amp;C307,BalancesMensuales1!$A$2:$E$20009,5,0)+0,0)/A6</f>
        <v>0</v>
      </c>
      <c r="H307">
        <f>IFERROR(VLOOKUP($A$4&amp;$H$4&amp;C307,BalancesMensuales1!$A$2:$E$20009,5,0)+0,0)/A6</f>
        <v>0</v>
      </c>
      <c r="Z307">
        <f t="shared" si="24"/>
        <v>90</v>
      </c>
      <c r="AA307">
        <f>ClientesRIB!A92</f>
        <v>0</v>
      </c>
      <c r="AB307" t="str">
        <f>ClientesRIB!D92&amp;" - "&amp;ClientesRIB!F92</f>
        <v xml:space="preserve"> - </v>
      </c>
      <c r="AC307">
        <f>ClientesRIB!E92</f>
        <v>0</v>
      </c>
    </row>
    <row r="308" spans="3:29" hidden="1">
      <c r="C308">
        <v>510500</v>
      </c>
      <c r="D308">
        <f>IFERROR(VLOOKUP($A$4&amp;$D$4&amp;C308,BalancesAnuales1!$A$2:$E$20009,5,0)+0,0)/A6</f>
        <v>0</v>
      </c>
      <c r="E308">
        <f>IFERROR(VLOOKUP($A$4&amp;$E$4&amp;C308,BalancesAnuales1!$A$2:$E$20009,5,0)+0,0)/A6</f>
        <v>0</v>
      </c>
      <c r="F308">
        <f>IFERROR(VLOOKUP($A$4&amp;$F$4&amp;C308,BalancesAnuales1!$A$2:$E$20009,5,0)+0,0)/A6</f>
        <v>0</v>
      </c>
      <c r="G308">
        <f>IFERROR(VLOOKUP($A$4&amp;$G$4&amp;C308,BalancesMensuales1!$A$2:$E$20009,5,0)+0,0)/A6</f>
        <v>0</v>
      </c>
      <c r="H308">
        <f>IFERROR(VLOOKUP($A$4&amp;$H$4&amp;C308,BalancesMensuales1!$A$2:$E$20009,5,0)+0,0)/A6</f>
        <v>0</v>
      </c>
      <c r="Z308">
        <f t="shared" si="24"/>
        <v>91</v>
      </c>
      <c r="AA308">
        <f>ClientesRIB!A93</f>
        <v>0</v>
      </c>
      <c r="AB308" t="str">
        <f>ClientesRIB!D93&amp;" - "&amp;ClientesRIB!F93</f>
        <v xml:space="preserve"> - </v>
      </c>
      <c r="AC308">
        <f>ClientesRIB!E93</f>
        <v>0</v>
      </c>
    </row>
    <row r="309" spans="3:29" hidden="1">
      <c r="C309">
        <v>511000</v>
      </c>
      <c r="D309">
        <f>IFERROR(VLOOKUP($A$4&amp;$D$4&amp;C309,BalancesAnuales1!$A$2:$E$20009,5,0)+0,0)/A6</f>
        <v>0</v>
      </c>
      <c r="E309">
        <f>IFERROR(VLOOKUP($A$4&amp;$E$4&amp;C309,BalancesAnuales1!$A$2:$E$20009,5,0)+0,0)/A6</f>
        <v>0</v>
      </c>
      <c r="F309">
        <f>IFERROR(VLOOKUP($A$4&amp;$F$4&amp;C309,BalancesAnuales1!$A$2:$E$20009,5,0)+0,0)/A6</f>
        <v>0</v>
      </c>
      <c r="G309">
        <f>IFERROR(VLOOKUP($A$4&amp;$G$4&amp;C309,BalancesMensuales1!$A$2:$E$20009,5,0)+0,0)/A6</f>
        <v>0</v>
      </c>
      <c r="H309">
        <f>IFERROR(VLOOKUP($A$4&amp;$H$4&amp;C309,BalancesMensuales1!$A$2:$E$20009,5,0)+0,0)/A6</f>
        <v>0</v>
      </c>
      <c r="Z309">
        <f t="shared" si="24"/>
        <v>92</v>
      </c>
      <c r="AA309">
        <f>ClientesRIB!A94</f>
        <v>0</v>
      </c>
      <c r="AB309" t="str">
        <f>ClientesRIB!D94&amp;" - "&amp;ClientesRIB!F94</f>
        <v xml:space="preserve"> - </v>
      </c>
      <c r="AC309">
        <f>ClientesRIB!E94</f>
        <v>0</v>
      </c>
    </row>
    <row r="310" spans="3:29" hidden="1">
      <c r="C310">
        <v>511500</v>
      </c>
      <c r="D310">
        <f>IFERROR(VLOOKUP($A$4&amp;$D$4&amp;C310,BalancesAnuales1!$A$2:$E$20009,5,0)+0,0)/A6</f>
        <v>0</v>
      </c>
      <c r="E310">
        <f>IFERROR(VLOOKUP($A$4&amp;$E$4&amp;C310,BalancesAnuales1!$A$2:$E$20009,5,0)+0,0)/A6</f>
        <v>0</v>
      </c>
      <c r="F310">
        <f>IFERROR(VLOOKUP($A$4&amp;$F$4&amp;C310,BalancesAnuales1!$A$2:$E$20009,5,0)+0,0)/A6</f>
        <v>0</v>
      </c>
      <c r="G310">
        <f>IFERROR(VLOOKUP($A$4&amp;$G$4&amp;C310,BalancesMensuales1!$A$2:$E$20009,5,0)+0,0)/A6</f>
        <v>0</v>
      </c>
      <c r="H310">
        <f>IFERROR(VLOOKUP($A$4&amp;$H$4&amp;C310,BalancesMensuales1!$A$2:$E$20009,5,0)+0,0)/A6</f>
        <v>0</v>
      </c>
      <c r="Z310">
        <f t="shared" si="24"/>
        <v>93</v>
      </c>
      <c r="AA310">
        <f>ClientesRIB!A95</f>
        <v>0</v>
      </c>
      <c r="AB310" t="str">
        <f>ClientesRIB!D95&amp;" - "&amp;ClientesRIB!F95</f>
        <v xml:space="preserve"> - </v>
      </c>
      <c r="AC310">
        <f>ClientesRIB!E95</f>
        <v>0</v>
      </c>
    </row>
    <row r="311" spans="3:29" hidden="1">
      <c r="C311">
        <v>512000</v>
      </c>
      <c r="D311">
        <f>IFERROR(VLOOKUP($A$4&amp;$D$4&amp;C311,BalancesAnuales1!$A$2:$E$20009,5,0)+0,0)/A6</f>
        <v>0</v>
      </c>
      <c r="E311">
        <f>IFERROR(VLOOKUP($A$4&amp;$E$4&amp;C311,BalancesAnuales1!$A$2:$E$20009,5,0)+0,0)/A6</f>
        <v>0</v>
      </c>
      <c r="F311">
        <f>IFERROR(VLOOKUP($A$4&amp;$F$4&amp;C311,BalancesAnuales1!$A$2:$E$20009,5,0)+0,0)/A6</f>
        <v>0</v>
      </c>
      <c r="G311">
        <f>IFERROR(VLOOKUP($A$4&amp;$G$4&amp;C311,BalancesMensuales1!$A$2:$E$20009,5,0)+0,0)/A6</f>
        <v>0</v>
      </c>
      <c r="H311">
        <f>IFERROR(VLOOKUP($A$4&amp;$H$4&amp;C311,BalancesMensuales1!$A$2:$E$20009,5,0)+0,0)/A6</f>
        <v>0</v>
      </c>
      <c r="Z311">
        <f t="shared" si="24"/>
        <v>94</v>
      </c>
      <c r="AA311">
        <f>ClientesRIB!A96</f>
        <v>0</v>
      </c>
      <c r="AB311" t="str">
        <f>ClientesRIB!D96&amp;" - "&amp;ClientesRIB!F96</f>
        <v xml:space="preserve"> - </v>
      </c>
      <c r="AC311">
        <f>ClientesRIB!E96</f>
        <v>0</v>
      </c>
    </row>
    <row r="312" spans="3:29" hidden="1">
      <c r="C312">
        <v>512500</v>
      </c>
      <c r="D312">
        <f>IFERROR(VLOOKUP($A$4&amp;$D$4&amp;C312,BalancesAnuales1!$A$2:$E$20009,5,0)+0,0)/A6</f>
        <v>0</v>
      </c>
      <c r="E312">
        <f>IFERROR(VLOOKUP($A$4&amp;$E$4&amp;C312,BalancesAnuales1!$A$2:$E$20009,5,0)+0,0)/A6</f>
        <v>0</v>
      </c>
      <c r="F312">
        <f>IFERROR(VLOOKUP($A$4&amp;$F$4&amp;C312,BalancesAnuales1!$A$2:$E$20009,5,0)+0,0)/A6</f>
        <v>0</v>
      </c>
      <c r="G312">
        <f>IFERROR(VLOOKUP($A$4&amp;$G$4&amp;C312,BalancesMensuales1!$A$2:$E$20009,5,0)+0,0)/A6</f>
        <v>0</v>
      </c>
      <c r="H312">
        <f>IFERROR(VLOOKUP($A$4&amp;$H$4&amp;C312,BalancesMensuales1!$A$2:$E$20009,5,0)+0,0)/A6</f>
        <v>0</v>
      </c>
      <c r="Z312">
        <f t="shared" si="24"/>
        <v>95</v>
      </c>
      <c r="AA312">
        <f>ClientesRIB!A97</f>
        <v>0</v>
      </c>
      <c r="AB312" t="str">
        <f>ClientesRIB!D97&amp;" - "&amp;ClientesRIB!F97</f>
        <v xml:space="preserve"> - </v>
      </c>
      <c r="AC312">
        <f>ClientesRIB!E97</f>
        <v>0</v>
      </c>
    </row>
    <row r="313" spans="3:29" hidden="1">
      <c r="C313">
        <v>513000</v>
      </c>
      <c r="D313">
        <f>IFERROR(VLOOKUP($A$4&amp;$D$4&amp;C313,BalancesAnuales1!$A$2:$E$20009,5,0)+0,0)/A6</f>
        <v>0</v>
      </c>
      <c r="E313">
        <f>IFERROR(VLOOKUP($A$4&amp;$E$4&amp;C313,BalancesAnuales1!$A$2:$E$20009,5,0)+0,0)/A6</f>
        <v>0</v>
      </c>
      <c r="F313">
        <f>IFERROR(VLOOKUP($A$4&amp;$F$4&amp;C313,BalancesAnuales1!$A$2:$E$20009,5,0)+0,0)/A6</f>
        <v>0</v>
      </c>
      <c r="G313">
        <f>IFERROR(VLOOKUP($A$4&amp;$G$4&amp;C313,BalancesMensuales1!$A$2:$E$20009,5,0)+0,0)/A6</f>
        <v>0</v>
      </c>
      <c r="H313">
        <f>IFERROR(VLOOKUP($A$4&amp;$H$4&amp;C313,BalancesMensuales1!$A$2:$E$20009,5,0)+0,0)/A6</f>
        <v>0</v>
      </c>
      <c r="Z313">
        <f t="shared" si="24"/>
        <v>96</v>
      </c>
      <c r="AA313">
        <f>ClientesRIB!A98</f>
        <v>0</v>
      </c>
      <c r="AB313" t="str">
        <f>ClientesRIB!D98&amp;" - "&amp;ClientesRIB!F98</f>
        <v xml:space="preserve"> - </v>
      </c>
      <c r="AC313">
        <f>ClientesRIB!E98</f>
        <v>0</v>
      </c>
    </row>
    <row r="314" spans="3:29" hidden="1">
      <c r="C314">
        <v>513500</v>
      </c>
      <c r="D314">
        <f>IFERROR(VLOOKUP($A$4&amp;$D$4&amp;C314,BalancesAnuales1!$A$2:$E$20009,5,0)+0,0)/A6</f>
        <v>0</v>
      </c>
      <c r="E314">
        <f>IFERROR(VLOOKUP($A$4&amp;$E$4&amp;C314,BalancesAnuales1!$A$2:$E$20009,5,0)+0,0)/A6</f>
        <v>0</v>
      </c>
      <c r="F314">
        <f>IFERROR(VLOOKUP($A$4&amp;$F$4&amp;C314,BalancesAnuales1!$A$2:$E$20009,5,0)+0,0)/A6</f>
        <v>0</v>
      </c>
      <c r="G314">
        <f>IFERROR(VLOOKUP($A$4&amp;$G$4&amp;C314,BalancesMensuales1!$A$2:$E$20009,5,0)+0,0)/A6</f>
        <v>0</v>
      </c>
      <c r="H314">
        <f>IFERROR(VLOOKUP($A$4&amp;$H$4&amp;C314,BalancesMensuales1!$A$2:$E$20009,5,0)+0,0)/A6</f>
        <v>0</v>
      </c>
      <c r="Z314">
        <f t="shared" ref="Z314:Z345" si="25">IF(AA314=$A$4,Z313+1,0)</f>
        <v>97</v>
      </c>
      <c r="AA314">
        <f>ClientesRIB!A99</f>
        <v>0</v>
      </c>
      <c r="AB314" t="str">
        <f>ClientesRIB!D99&amp;" - "&amp;ClientesRIB!F99</f>
        <v xml:space="preserve"> - </v>
      </c>
      <c r="AC314">
        <f>ClientesRIB!E99</f>
        <v>0</v>
      </c>
    </row>
    <row r="315" spans="3:29" hidden="1">
      <c r="C315">
        <v>514000</v>
      </c>
      <c r="D315">
        <f>IFERROR(VLOOKUP($A$4&amp;$D$4&amp;C315,BalancesAnuales1!$A$2:$E$20009,5,0)+0,0)/A6</f>
        <v>0</v>
      </c>
      <c r="E315">
        <f>IFERROR(VLOOKUP($A$4&amp;$E$4&amp;C315,BalancesAnuales1!$A$2:$E$20009,5,0)+0,0)/A6</f>
        <v>0</v>
      </c>
      <c r="F315">
        <f>IFERROR(VLOOKUP($A$4&amp;$F$4&amp;C315,BalancesAnuales1!$A$2:$E$20009,5,0)+0,0)/A6</f>
        <v>0</v>
      </c>
      <c r="G315">
        <f>IFERROR(VLOOKUP($A$4&amp;$G$4&amp;C315,BalancesMensuales1!$A$2:$E$20009,5,0)+0,0)/A6</f>
        <v>0</v>
      </c>
      <c r="H315">
        <f>IFERROR(VLOOKUP($A$4&amp;$H$4&amp;C315,BalancesMensuales1!$A$2:$E$20009,5,0)+0,0)/A6</f>
        <v>0</v>
      </c>
      <c r="Z315">
        <f t="shared" si="25"/>
        <v>98</v>
      </c>
      <c r="AA315">
        <f>ClientesRIB!A100</f>
        <v>0</v>
      </c>
      <c r="AB315" t="str">
        <f>ClientesRIB!D100&amp;" - "&amp;ClientesRIB!F100</f>
        <v xml:space="preserve"> - </v>
      </c>
      <c r="AC315">
        <f>ClientesRIB!E100</f>
        <v>0</v>
      </c>
    </row>
    <row r="316" spans="3:29" hidden="1">
      <c r="C316">
        <v>514500</v>
      </c>
      <c r="D316">
        <f>IFERROR(VLOOKUP($A$4&amp;$D$4&amp;C316,BalancesAnuales1!$A$2:$E$20009,5,0)+0,0)/A6</f>
        <v>0</v>
      </c>
      <c r="E316">
        <f>IFERROR(VLOOKUP($A$4&amp;$E$4&amp;C316,BalancesAnuales1!$A$2:$E$20009,5,0)+0,0)/A6</f>
        <v>0</v>
      </c>
      <c r="F316">
        <f>IFERROR(VLOOKUP($A$4&amp;$F$4&amp;C316,BalancesAnuales1!$A$2:$E$20009,5,0)+0,0)/A6</f>
        <v>0</v>
      </c>
      <c r="G316">
        <f>IFERROR(VLOOKUP($A$4&amp;$G$4&amp;C316,BalancesMensuales1!$A$2:$E$20009,5,0)+0,0)/A6</f>
        <v>0</v>
      </c>
      <c r="H316">
        <f>IFERROR(VLOOKUP($A$4&amp;$H$4&amp;C316,BalancesMensuales1!$A$2:$E$20009,5,0)+0,0)/A6</f>
        <v>0</v>
      </c>
      <c r="Z316">
        <f t="shared" si="25"/>
        <v>99</v>
      </c>
      <c r="AA316">
        <f>ClientesRIB!A101</f>
        <v>0</v>
      </c>
      <c r="AB316" t="str">
        <f>ClientesRIB!D101&amp;" - "&amp;ClientesRIB!F101</f>
        <v xml:space="preserve"> - </v>
      </c>
      <c r="AC316">
        <f>ClientesRIB!E101</f>
        <v>0</v>
      </c>
    </row>
    <row r="317" spans="3:29" hidden="1">
      <c r="C317">
        <v>515000</v>
      </c>
      <c r="D317">
        <f>IFERROR(VLOOKUP($A$4&amp;$D$4&amp;C317,BalancesAnuales1!$A$2:$E$20009,5,0)+0,0)/A6</f>
        <v>0</v>
      </c>
      <c r="E317">
        <f>IFERROR(VLOOKUP($A$4&amp;$E$4&amp;C317,BalancesAnuales1!$A$2:$E$20009,5,0)+0,0)/A6</f>
        <v>0</v>
      </c>
      <c r="F317">
        <f>IFERROR(VLOOKUP($A$4&amp;$F$4&amp;C317,BalancesAnuales1!$A$2:$E$20009,5,0)+0,0)/A6</f>
        <v>0</v>
      </c>
      <c r="G317">
        <f>IFERROR(VLOOKUP($A$4&amp;$G$4&amp;C317,BalancesMensuales1!$A$2:$E$20009,5,0)+0,0)/A6</f>
        <v>0</v>
      </c>
      <c r="H317">
        <f>IFERROR(VLOOKUP($A$4&amp;$H$4&amp;C317,BalancesMensuales1!$A$2:$E$20009,5,0)+0,0)/A6</f>
        <v>0</v>
      </c>
      <c r="Z317">
        <f t="shared" si="25"/>
        <v>100</v>
      </c>
      <c r="AA317">
        <f>ClientesRIB!A102</f>
        <v>0</v>
      </c>
      <c r="AB317" t="str">
        <f>ClientesRIB!D102&amp;" - "&amp;ClientesRIB!F102</f>
        <v xml:space="preserve"> - </v>
      </c>
      <c r="AC317">
        <f>ClientesRIB!E102</f>
        <v>0</v>
      </c>
    </row>
    <row r="318" spans="3:29" hidden="1">
      <c r="C318">
        <v>515500</v>
      </c>
      <c r="D318">
        <f>IFERROR(VLOOKUP($A$4&amp;$D$4&amp;C318,BalancesAnuales1!$A$2:$E$20009,5,0)+0,0)/A6</f>
        <v>0</v>
      </c>
      <c r="E318">
        <f>IFERROR(VLOOKUP($A$4&amp;$E$4&amp;C318,BalancesAnuales1!$A$2:$E$20009,5,0)+0,0)/A6</f>
        <v>0</v>
      </c>
      <c r="F318">
        <f>IFERROR(VLOOKUP($A$4&amp;$F$4&amp;C318,BalancesAnuales1!$A$2:$E$20009,5,0)+0,0)/A6</f>
        <v>0</v>
      </c>
      <c r="G318">
        <f>IFERROR(VLOOKUP($A$4&amp;$G$4&amp;C318,BalancesMensuales1!$A$2:$E$20009,5,0)+0,0)/A6</f>
        <v>0</v>
      </c>
      <c r="H318">
        <f>IFERROR(VLOOKUP($A$4&amp;$H$4&amp;C318,BalancesMensuales1!$A$2:$E$20009,5,0)+0,0)/A6</f>
        <v>0</v>
      </c>
      <c r="Z318">
        <f t="shared" si="25"/>
        <v>101</v>
      </c>
      <c r="AA318">
        <f>ClientesRIB!A103</f>
        <v>0</v>
      </c>
      <c r="AB318" t="str">
        <f>ClientesRIB!D103&amp;" - "&amp;ClientesRIB!F103</f>
        <v xml:space="preserve"> - </v>
      </c>
      <c r="AC318">
        <f>ClientesRIB!E103</f>
        <v>0</v>
      </c>
    </row>
    <row r="319" spans="3:29" hidden="1">
      <c r="C319">
        <v>519500</v>
      </c>
      <c r="D319">
        <f>IFERROR(VLOOKUP($A$4&amp;$D$4&amp;C319,BalancesAnuales1!$A$2:$E$20009,5,0)+0,0)/A6</f>
        <v>0</v>
      </c>
      <c r="E319">
        <f>IFERROR(VLOOKUP($A$4&amp;$E$4&amp;C319,BalancesAnuales1!$A$2:$E$20009,5,0)+0,0)/A6</f>
        <v>0</v>
      </c>
      <c r="F319">
        <f>IFERROR(VLOOKUP($A$4&amp;$F$4&amp;C319,BalancesAnuales1!$A$2:$E$20009,5,0)+0,0)/A6</f>
        <v>0</v>
      </c>
      <c r="G319">
        <f>IFERROR(VLOOKUP($A$4&amp;$G$4&amp;C319,BalancesMensuales1!$A$2:$E$20009,5,0)+0,0)/A6</f>
        <v>0</v>
      </c>
      <c r="H319">
        <f>IFERROR(VLOOKUP($A$4&amp;$H$4&amp;C319,BalancesMensuales1!$A$2:$E$20009,5,0)+0,0)/A6</f>
        <v>0</v>
      </c>
      <c r="Z319">
        <f t="shared" si="25"/>
        <v>102</v>
      </c>
      <c r="AA319">
        <f>ClientesRIB!A104</f>
        <v>0</v>
      </c>
      <c r="AB319" t="str">
        <f>ClientesRIB!D104&amp;" - "&amp;ClientesRIB!F104</f>
        <v xml:space="preserve"> - </v>
      </c>
      <c r="AC319">
        <f>ClientesRIB!E104</f>
        <v>0</v>
      </c>
    </row>
    <row r="320" spans="3:29" hidden="1">
      <c r="C320">
        <v>516000</v>
      </c>
      <c r="D320">
        <f>IFERROR(VLOOKUP($A$4&amp;$D$4&amp;C320,BalancesAnuales1!$A$2:$E$20009,5,0)+0,0)/A6</f>
        <v>0</v>
      </c>
      <c r="E320">
        <f>IFERROR(VLOOKUP($A$4&amp;$E$4&amp;C320,BalancesAnuales1!$A$2:$E$20009,5,0)+0,0)/A6</f>
        <v>0</v>
      </c>
      <c r="F320">
        <f>IFERROR(VLOOKUP($A$4&amp;$F$4&amp;C320,BalancesAnuales1!$A$2:$E$20009,5,0)+0,0)/A6</f>
        <v>0</v>
      </c>
      <c r="G320">
        <f>IFERROR(VLOOKUP($A$4&amp;$G$4&amp;C320,BalancesMensuales1!$A$2:$E$20009,5,0)+0,0)/A6</f>
        <v>0</v>
      </c>
      <c r="H320">
        <f>IFERROR(VLOOKUP($A$4&amp;$H$4&amp;C320,BalancesMensuales1!$A$2:$E$20009,5,0)+0,0)/A6</f>
        <v>0</v>
      </c>
      <c r="Z320">
        <f t="shared" si="25"/>
        <v>103</v>
      </c>
      <c r="AA320">
        <f>ClientesRIB!A105</f>
        <v>0</v>
      </c>
      <c r="AB320" t="str">
        <f>ClientesRIB!D105&amp;" - "&amp;ClientesRIB!F105</f>
        <v xml:space="preserve"> - </v>
      </c>
      <c r="AC320">
        <f>ClientesRIB!E105</f>
        <v>0</v>
      </c>
    </row>
    <row r="321" spans="3:29" hidden="1">
      <c r="C321">
        <v>516500</v>
      </c>
      <c r="D321">
        <f>IFERROR(VLOOKUP($A$4&amp;$D$4&amp;C321,BalancesAnuales1!$A$2:$E$20009,5,0)+0,0)/A6</f>
        <v>0</v>
      </c>
      <c r="E321">
        <f>IFERROR(VLOOKUP($A$4&amp;$E$4&amp;C321,BalancesAnuales1!$A$2:$E$20009,5,0)+0,0)/A6</f>
        <v>0</v>
      </c>
      <c r="F321">
        <f>IFERROR(VLOOKUP($A$4&amp;$F$4&amp;C321,BalancesAnuales1!$A$2:$E$20009,5,0)+0,0)/A6</f>
        <v>0</v>
      </c>
      <c r="G321">
        <f>IFERROR(VLOOKUP($A$4&amp;$G$4&amp;C321,BalancesMensuales1!$A$2:$E$20009,5,0)+0,0)/A6</f>
        <v>0</v>
      </c>
      <c r="H321">
        <f>IFERROR(VLOOKUP($A$4&amp;$H$4&amp;C321,BalancesMensuales1!$A$2:$E$20009,5,0)+0,0)/A6</f>
        <v>0</v>
      </c>
      <c r="Z321">
        <f t="shared" si="25"/>
        <v>104</v>
      </c>
      <c r="AA321">
        <f>ClientesRIB!A106</f>
        <v>0</v>
      </c>
      <c r="AB321" t="str">
        <f>ClientesRIB!D106&amp;" - "&amp;ClientesRIB!F106</f>
        <v xml:space="preserve"> - </v>
      </c>
      <c r="AC321">
        <f>ClientesRIB!E106</f>
        <v>0</v>
      </c>
    </row>
    <row r="322" spans="3:29" hidden="1">
      <c r="C322">
        <v>519900</v>
      </c>
      <c r="D322">
        <f>IFERROR(VLOOKUP($A$4&amp;$D$4&amp;C322,BalancesAnuales1!$A$2:$E$20009,5,0)+0,0)/A6</f>
        <v>0</v>
      </c>
      <c r="E322">
        <f>IFERROR(VLOOKUP($A$4&amp;$E$4&amp;C322,BalancesAnuales1!$A$2:$E$20009,5,0)+0,0)/A6</f>
        <v>0</v>
      </c>
      <c r="F322">
        <f>IFERROR(VLOOKUP($A$4&amp;$F$4&amp;C322,BalancesAnuales1!$A$2:$E$20009,5,0)+0,0)/A6</f>
        <v>0</v>
      </c>
      <c r="G322">
        <f>IFERROR(VLOOKUP($A$4&amp;$G$4&amp;C322,BalancesMensuales1!$A$2:$E$20009,5,0)+0,0)/A6</f>
        <v>0</v>
      </c>
      <c r="H322">
        <f>IFERROR(VLOOKUP($A$4&amp;$H$4&amp;C322,BalancesMensuales1!$A$2:$E$20009,5,0)+0,0)/A6</f>
        <v>0</v>
      </c>
      <c r="Z322">
        <f t="shared" si="25"/>
        <v>105</v>
      </c>
      <c r="AA322">
        <f>ClientesRIB!A107</f>
        <v>0</v>
      </c>
      <c r="AB322" t="str">
        <f>ClientesRIB!D107&amp;" - "&amp;ClientesRIB!F107</f>
        <v xml:space="preserve"> - </v>
      </c>
      <c r="AC322">
        <f>ClientesRIB!E107</f>
        <v>0</v>
      </c>
    </row>
    <row r="323" spans="3:29" hidden="1">
      <c r="C323">
        <v>51</v>
      </c>
      <c r="D323">
        <f>IFERROR(VLOOKUP($A$4&amp;$D$4&amp;C323,BalancesAnuales1!$A$2:$E$20009,5,0)+0,0)/A6</f>
        <v>0</v>
      </c>
      <c r="E323">
        <f>IFERROR(VLOOKUP($A$4&amp;$E$4&amp;C323,BalancesAnuales1!$A$2:$E$20009,5,0)+0,0)/A6</f>
        <v>0</v>
      </c>
      <c r="F323">
        <f>IFERROR(VLOOKUP($A$4&amp;$F$4&amp;C323,BalancesAnuales1!$A$2:$E$20009,5,0)+0,0)/A6</f>
        <v>0</v>
      </c>
      <c r="G323">
        <f>IFERROR(VLOOKUP($A$4&amp;$G$4&amp;C323,BalancesMensuales1!$A$2:$E$20009,5,0)+0,0)/A6</f>
        <v>0</v>
      </c>
      <c r="H323">
        <f>IFERROR(VLOOKUP($A$4&amp;$H$4&amp;C323,BalancesMensuales1!$A$2:$E$20009,5,0)+0,0)/A6</f>
        <v>0</v>
      </c>
      <c r="Z323">
        <f t="shared" si="25"/>
        <v>106</v>
      </c>
      <c r="AA323">
        <f>ClientesRIB!A108</f>
        <v>0</v>
      </c>
      <c r="AB323" t="str">
        <f>ClientesRIB!D108&amp;" - "&amp;ClientesRIB!F108</f>
        <v xml:space="preserve"> - </v>
      </c>
      <c r="AC323">
        <f>ClientesRIB!E108</f>
        <v>0</v>
      </c>
    </row>
    <row r="324" spans="3:29" hidden="1">
      <c r="C324">
        <v>520500</v>
      </c>
      <c r="D324">
        <f>IFERROR(VLOOKUP($A$4&amp;$D$4&amp;C324,BalancesAnuales1!$A$2:$E$20009,5,0)+0,0)/A6</f>
        <v>0</v>
      </c>
      <c r="E324">
        <f>IFERROR(VLOOKUP($A$4&amp;$E$4&amp;C324,BalancesAnuales1!$A$2:$E$20009,5,0)+0,0)/A6</f>
        <v>0</v>
      </c>
      <c r="F324">
        <f>IFERROR(VLOOKUP($A$4&amp;$F$4&amp;C324,BalancesAnuales1!$A$2:$E$20009,5,0)+0,0)/A6</f>
        <v>0</v>
      </c>
      <c r="G324">
        <f>IFERROR(VLOOKUP($A$4&amp;$G$4&amp;C324,BalancesMensuales1!$A$2:$E$20009,5,0)+0,0)/A6</f>
        <v>0</v>
      </c>
      <c r="H324">
        <f>IFERROR(VLOOKUP($A$4&amp;$H$4&amp;C324,BalancesMensuales1!$A$2:$E$20009,5,0)+0,0)/A6</f>
        <v>0</v>
      </c>
      <c r="Z324">
        <f t="shared" si="25"/>
        <v>107</v>
      </c>
      <c r="AA324">
        <f>ClientesRIB!A109</f>
        <v>0</v>
      </c>
      <c r="AB324" t="str">
        <f>ClientesRIB!D109&amp;" - "&amp;ClientesRIB!F109</f>
        <v xml:space="preserve"> - </v>
      </c>
      <c r="AC324">
        <f>ClientesRIB!E109</f>
        <v>0</v>
      </c>
    </row>
    <row r="325" spans="3:29" hidden="1">
      <c r="C325">
        <v>521000</v>
      </c>
      <c r="D325">
        <f>IFERROR(VLOOKUP($A$4&amp;$D$4&amp;C325,BalancesAnuales1!$A$2:$E$20009,5,0)+0,0)/A6</f>
        <v>0</v>
      </c>
      <c r="E325">
        <f>IFERROR(VLOOKUP($A$4&amp;$E$4&amp;C325,BalancesAnuales1!$A$2:$E$20009,5,0)+0,0)/A6</f>
        <v>0</v>
      </c>
      <c r="F325">
        <f>IFERROR(VLOOKUP($A$4&amp;$F$4&amp;C325,BalancesAnuales1!$A$2:$E$20009,5,0)+0,0)/A6</f>
        <v>0</v>
      </c>
      <c r="G325">
        <f>IFERROR(VLOOKUP($A$4&amp;$G$4&amp;C325,BalancesMensuales1!$A$2:$E$20009,5,0)+0,0)/A6</f>
        <v>0</v>
      </c>
      <c r="H325">
        <f>IFERROR(VLOOKUP($A$4&amp;$H$4&amp;C325,BalancesMensuales1!$A$2:$E$20009,5,0)+0,0)/A6</f>
        <v>0</v>
      </c>
      <c r="Z325">
        <f t="shared" si="25"/>
        <v>108</v>
      </c>
      <c r="AA325">
        <f>ClientesRIB!A110</f>
        <v>0</v>
      </c>
      <c r="AB325" t="str">
        <f>ClientesRIB!D110&amp;" - "&amp;ClientesRIB!F110</f>
        <v xml:space="preserve"> - </v>
      </c>
      <c r="AC325">
        <f>ClientesRIB!E110</f>
        <v>0</v>
      </c>
    </row>
    <row r="326" spans="3:29" hidden="1">
      <c r="C326">
        <v>521500</v>
      </c>
      <c r="D326">
        <f>IFERROR(VLOOKUP($A$4&amp;$D$4&amp;C326,BalancesAnuales1!$A$2:$E$20009,5,0)+0,0)/A6</f>
        <v>0</v>
      </c>
      <c r="E326">
        <f>IFERROR(VLOOKUP($A$4&amp;$E$4&amp;C326,BalancesAnuales1!$A$2:$E$20009,5,0)+0,0)/A6</f>
        <v>0</v>
      </c>
      <c r="F326">
        <f>IFERROR(VLOOKUP($A$4&amp;$F$4&amp;C326,BalancesAnuales1!$A$2:$E$20009,5,0)+0,0)/A6</f>
        <v>0</v>
      </c>
      <c r="G326">
        <f>IFERROR(VLOOKUP($A$4&amp;$G$4&amp;C326,BalancesMensuales1!$A$2:$E$20009,5,0)+0,0)/A6</f>
        <v>0</v>
      </c>
      <c r="H326">
        <f>IFERROR(VLOOKUP($A$4&amp;$H$4&amp;C326,BalancesMensuales1!$A$2:$E$20009,5,0)+0,0)/A6</f>
        <v>0</v>
      </c>
      <c r="Z326">
        <f t="shared" si="25"/>
        <v>109</v>
      </c>
      <c r="AA326">
        <f>ClientesRIB!A111</f>
        <v>0</v>
      </c>
      <c r="AB326" t="str">
        <f>ClientesRIB!D111&amp;" - "&amp;ClientesRIB!F111</f>
        <v xml:space="preserve"> - </v>
      </c>
      <c r="AC326">
        <f>ClientesRIB!E111</f>
        <v>0</v>
      </c>
    </row>
    <row r="327" spans="3:29" hidden="1">
      <c r="C327">
        <v>522000</v>
      </c>
      <c r="D327">
        <f>IFERROR(VLOOKUP($A$4&amp;$D$4&amp;C327,BalancesAnuales1!$A$2:$E$20009,5,0)+0,0)/A6</f>
        <v>0</v>
      </c>
      <c r="E327">
        <f>IFERROR(VLOOKUP($A$4&amp;$E$4&amp;C327,BalancesAnuales1!$A$2:$E$20009,5,0)+0,0)/A6</f>
        <v>0</v>
      </c>
      <c r="F327">
        <f>IFERROR(VLOOKUP($A$4&amp;$F$4&amp;C327,BalancesAnuales1!$A$2:$E$20009,5,0)+0,0)/A6</f>
        <v>0</v>
      </c>
      <c r="G327">
        <f>IFERROR(VLOOKUP($A$4&amp;$G$4&amp;C327,BalancesMensuales1!$A$2:$E$20009,5,0)+0,0)/A6</f>
        <v>0</v>
      </c>
      <c r="H327">
        <f>IFERROR(VLOOKUP($A$4&amp;$H$4&amp;C327,BalancesMensuales1!$A$2:$E$20009,5,0)+0,0)/A6</f>
        <v>0</v>
      </c>
      <c r="Z327">
        <f t="shared" si="25"/>
        <v>110</v>
      </c>
      <c r="AA327">
        <f>ClientesRIB!A112</f>
        <v>0</v>
      </c>
      <c r="AB327" t="str">
        <f>ClientesRIB!D112&amp;" - "&amp;ClientesRIB!F112</f>
        <v xml:space="preserve"> - </v>
      </c>
      <c r="AC327">
        <f>ClientesRIB!E112</f>
        <v>0</v>
      </c>
    </row>
    <row r="328" spans="3:29" hidden="1">
      <c r="C328">
        <v>522500</v>
      </c>
      <c r="D328">
        <f>IFERROR(VLOOKUP($A$4&amp;$D$4&amp;C328,BalancesAnuales1!$A$2:$E$20009,5,0)+0,0)/A6</f>
        <v>0</v>
      </c>
      <c r="E328">
        <f>IFERROR(VLOOKUP($A$4&amp;$E$4&amp;C328,BalancesAnuales1!$A$2:$E$20009,5,0)+0,0)/A6</f>
        <v>0</v>
      </c>
      <c r="F328">
        <f>IFERROR(VLOOKUP($A$4&amp;$F$4&amp;C328,BalancesAnuales1!$A$2:$E$20009,5,0)+0,0)/A6</f>
        <v>0</v>
      </c>
      <c r="G328">
        <f>IFERROR(VLOOKUP($A$4&amp;$G$4&amp;C328,BalancesMensuales1!$A$2:$E$20009,5,0)+0,0)/A6</f>
        <v>0</v>
      </c>
      <c r="H328">
        <f>IFERROR(VLOOKUP($A$4&amp;$H$4&amp;C328,BalancesMensuales1!$A$2:$E$20009,5,0)+0,0)/A6</f>
        <v>0</v>
      </c>
      <c r="Z328">
        <f t="shared" si="25"/>
        <v>111</v>
      </c>
      <c r="AA328">
        <f>ClientesRIB!A113</f>
        <v>0</v>
      </c>
      <c r="AB328" t="str">
        <f>ClientesRIB!D113&amp;" - "&amp;ClientesRIB!F113</f>
        <v xml:space="preserve"> - </v>
      </c>
      <c r="AC328">
        <f>ClientesRIB!E113</f>
        <v>0</v>
      </c>
    </row>
    <row r="329" spans="3:29" hidden="1">
      <c r="C329">
        <v>523000</v>
      </c>
      <c r="D329">
        <f>IFERROR(VLOOKUP($A$4&amp;$D$4&amp;C329,BalancesAnuales1!$A$2:$E$20009,5,0)+0,0)/A6</f>
        <v>0</v>
      </c>
      <c r="E329">
        <f>IFERROR(VLOOKUP($A$4&amp;$E$4&amp;C329,BalancesAnuales1!$A$2:$E$20009,5,0)+0,0)/A6</f>
        <v>0</v>
      </c>
      <c r="F329">
        <f>IFERROR(VLOOKUP($A$4&amp;$F$4&amp;C329,BalancesAnuales1!$A$2:$E$20009,5,0)+0,0)/A6</f>
        <v>0</v>
      </c>
      <c r="G329">
        <f>IFERROR(VLOOKUP($A$4&amp;$G$4&amp;C329,BalancesMensuales1!$A$2:$E$20009,5,0)+0,0)/A6</f>
        <v>0</v>
      </c>
      <c r="H329">
        <f>IFERROR(VLOOKUP($A$4&amp;$H$4&amp;C329,BalancesMensuales1!$A$2:$E$20009,5,0)+0,0)/A6</f>
        <v>0</v>
      </c>
      <c r="Z329">
        <f t="shared" si="25"/>
        <v>112</v>
      </c>
      <c r="AA329">
        <f>ClientesRIB!A114</f>
        <v>0</v>
      </c>
      <c r="AB329" t="str">
        <f>ClientesRIB!D114&amp;" - "&amp;ClientesRIB!F114</f>
        <v xml:space="preserve"> - </v>
      </c>
      <c r="AC329">
        <f>ClientesRIB!E114</f>
        <v>0</v>
      </c>
    </row>
    <row r="330" spans="3:29" hidden="1">
      <c r="C330">
        <v>523500</v>
      </c>
      <c r="D330">
        <f>IFERROR(VLOOKUP($A$4&amp;$D$4&amp;C330,BalancesAnuales1!$A$2:$E$20009,5,0)+0,0)/A6</f>
        <v>0</v>
      </c>
      <c r="E330">
        <f>IFERROR(VLOOKUP($A$4&amp;$E$4&amp;C330,BalancesAnuales1!$A$2:$E$20009,5,0)+0,0)/A6</f>
        <v>0</v>
      </c>
      <c r="F330">
        <f>IFERROR(VLOOKUP($A$4&amp;$F$4&amp;C330,BalancesAnuales1!$A$2:$E$20009,5,0)+0,0)/A6</f>
        <v>0</v>
      </c>
      <c r="G330">
        <f>IFERROR(VLOOKUP($A$4&amp;$G$4&amp;C330,BalancesMensuales1!$A$2:$E$20009,5,0)+0,0)/A6</f>
        <v>0</v>
      </c>
      <c r="H330">
        <f>IFERROR(VLOOKUP($A$4&amp;$H$4&amp;C330,BalancesMensuales1!$A$2:$E$20009,5,0)+0,0)/A6</f>
        <v>0</v>
      </c>
      <c r="Z330">
        <f t="shared" si="25"/>
        <v>113</v>
      </c>
      <c r="AA330">
        <f>ClientesRIB!A115</f>
        <v>0</v>
      </c>
      <c r="AB330" t="str">
        <f>ClientesRIB!D115&amp;" - "&amp;ClientesRIB!F115</f>
        <v xml:space="preserve"> - </v>
      </c>
      <c r="AC330">
        <f>ClientesRIB!E115</f>
        <v>0</v>
      </c>
    </row>
    <row r="331" spans="3:29" hidden="1">
      <c r="C331">
        <v>524000</v>
      </c>
      <c r="D331">
        <f>IFERROR(VLOOKUP($A$4&amp;$D$4&amp;C331,BalancesAnuales1!$A$2:$E$20009,5,0)+0,0)/A6</f>
        <v>0</v>
      </c>
      <c r="E331">
        <f>IFERROR(VLOOKUP($A$4&amp;$E$4&amp;C331,BalancesAnuales1!$A$2:$E$20009,5,0)+0,0)/A6</f>
        <v>0</v>
      </c>
      <c r="F331">
        <f>IFERROR(VLOOKUP($A$4&amp;$F$4&amp;C331,BalancesAnuales1!$A$2:$E$20009,5,0)+0,0)/A6</f>
        <v>0</v>
      </c>
      <c r="G331">
        <f>IFERROR(VLOOKUP($A$4&amp;$G$4&amp;C331,BalancesMensuales1!$A$2:$E$20009,5,0)+0,0)/A6</f>
        <v>0</v>
      </c>
      <c r="H331">
        <f>IFERROR(VLOOKUP($A$4&amp;$H$4&amp;C331,BalancesMensuales1!$A$2:$E$20009,5,0)+0,0)/A6</f>
        <v>0</v>
      </c>
      <c r="Z331">
        <f t="shared" si="25"/>
        <v>114</v>
      </c>
      <c r="AA331">
        <f>ClientesRIB!A116</f>
        <v>0</v>
      </c>
      <c r="AB331" t="str">
        <f>ClientesRIB!D116&amp;" - "&amp;ClientesRIB!F116</f>
        <v xml:space="preserve"> - </v>
      </c>
      <c r="AC331">
        <f>ClientesRIB!E116</f>
        <v>0</v>
      </c>
    </row>
    <row r="332" spans="3:29" hidden="1">
      <c r="C332">
        <v>524500</v>
      </c>
      <c r="D332">
        <f>IFERROR(VLOOKUP($A$4&amp;$D$4&amp;C332,BalancesAnuales1!$A$2:$E$20009,5,0)+0,0)/A6</f>
        <v>0</v>
      </c>
      <c r="E332">
        <f>IFERROR(VLOOKUP($A$4&amp;$E$4&amp;C332,BalancesAnuales1!$A$2:$E$20009,5,0)+0,0)/A6</f>
        <v>0</v>
      </c>
      <c r="F332">
        <f>IFERROR(VLOOKUP($A$4&amp;$F$4&amp;C332,BalancesAnuales1!$A$2:$E$20009,5,0)+0,0)/A6</f>
        <v>0</v>
      </c>
      <c r="G332">
        <f>IFERROR(VLOOKUP($A$4&amp;$G$4&amp;C332,BalancesMensuales1!$A$2:$E$20009,5,0)+0,0)/A6</f>
        <v>0</v>
      </c>
      <c r="H332">
        <f>IFERROR(VLOOKUP($A$4&amp;$H$4&amp;C332,BalancesMensuales1!$A$2:$E$20009,5,0)+0,0)/A6</f>
        <v>0</v>
      </c>
      <c r="Z332">
        <f t="shared" si="25"/>
        <v>115</v>
      </c>
      <c r="AA332">
        <f>ClientesRIB!A117</f>
        <v>0</v>
      </c>
      <c r="AB332" t="str">
        <f>ClientesRIB!D117&amp;" - "&amp;ClientesRIB!F117</f>
        <v xml:space="preserve"> - </v>
      </c>
      <c r="AC332">
        <f>ClientesRIB!E117</f>
        <v>0</v>
      </c>
    </row>
    <row r="333" spans="3:29" hidden="1">
      <c r="C333">
        <v>525000</v>
      </c>
      <c r="D333">
        <f>IFERROR(VLOOKUP($A$4&amp;$D$4&amp;C333,BalancesAnuales1!$A$2:$E$20009,5,0)+0,0)/A6</f>
        <v>0</v>
      </c>
      <c r="E333">
        <f>IFERROR(VLOOKUP($A$4&amp;$E$4&amp;C333,BalancesAnuales1!$A$2:$E$20009,5,0)+0,0)/A6</f>
        <v>0</v>
      </c>
      <c r="F333">
        <f>IFERROR(VLOOKUP($A$4&amp;$F$4&amp;C333,BalancesAnuales1!$A$2:$E$20009,5,0)+0,0)/A6</f>
        <v>0</v>
      </c>
      <c r="G333">
        <f>IFERROR(VLOOKUP($A$4&amp;$G$4&amp;C333,BalancesMensuales1!$A$2:$E$20009,5,0)+0,0)/A6</f>
        <v>0</v>
      </c>
      <c r="H333">
        <f>IFERROR(VLOOKUP($A$4&amp;$H$4&amp;C333,BalancesMensuales1!$A$2:$E$20009,5,0)+0,0)/A6</f>
        <v>0</v>
      </c>
      <c r="Z333">
        <f t="shared" si="25"/>
        <v>116</v>
      </c>
      <c r="AA333">
        <f>ClientesRIB!A118</f>
        <v>0</v>
      </c>
      <c r="AB333" t="str">
        <f>ClientesRIB!D118&amp;" - "&amp;ClientesRIB!F118</f>
        <v xml:space="preserve"> - </v>
      </c>
      <c r="AC333">
        <f>ClientesRIB!E118</f>
        <v>0</v>
      </c>
    </row>
    <row r="334" spans="3:29" hidden="1">
      <c r="C334">
        <v>525500</v>
      </c>
      <c r="D334">
        <f>IFERROR(VLOOKUP($A$4&amp;$D$4&amp;C334,BalancesAnuales1!$A$2:$E$20009,5,0)+0,0)/A6</f>
        <v>0</v>
      </c>
      <c r="E334">
        <f>IFERROR(VLOOKUP($A$4&amp;$E$4&amp;C334,BalancesAnuales1!$A$2:$E$20009,5,0)+0,0)/A6</f>
        <v>0</v>
      </c>
      <c r="F334">
        <f>IFERROR(VLOOKUP($A$4&amp;$F$4&amp;C334,BalancesAnuales1!$A$2:$E$20009,5,0)+0,0)/A6</f>
        <v>0</v>
      </c>
      <c r="G334">
        <f>IFERROR(VLOOKUP($A$4&amp;$G$4&amp;C334,BalancesMensuales1!$A$2:$E$20009,5,0)+0,0)/A6</f>
        <v>0</v>
      </c>
      <c r="H334">
        <f>IFERROR(VLOOKUP($A$4&amp;$H$4&amp;C334,BalancesMensuales1!$A$2:$E$20009,5,0)+0,0)/A6</f>
        <v>0</v>
      </c>
      <c r="Z334">
        <f t="shared" si="25"/>
        <v>117</v>
      </c>
      <c r="AA334">
        <f>ClientesRIB!A119</f>
        <v>0</v>
      </c>
      <c r="AB334" t="str">
        <f>ClientesRIB!D119&amp;" - "&amp;ClientesRIB!F119</f>
        <v xml:space="preserve"> - </v>
      </c>
      <c r="AC334">
        <f>ClientesRIB!E119</f>
        <v>0</v>
      </c>
    </row>
    <row r="335" spans="3:29" hidden="1">
      <c r="C335">
        <v>529500</v>
      </c>
      <c r="D335">
        <f>IFERROR(VLOOKUP($A$4&amp;$D$4&amp;C335,BalancesAnuales1!$A$2:$E$20009,5,0)+0,0)/A6</f>
        <v>0</v>
      </c>
      <c r="E335">
        <f>IFERROR(VLOOKUP($A$4&amp;$E$4&amp;C335,BalancesAnuales1!$A$2:$E$20009,5,0)+0,0)/A6</f>
        <v>0</v>
      </c>
      <c r="F335">
        <f>IFERROR(VLOOKUP($A$4&amp;$F$4&amp;C335,BalancesAnuales1!$A$2:$E$20009,5,0)+0,0)/A6</f>
        <v>0</v>
      </c>
      <c r="G335">
        <f>IFERROR(VLOOKUP($A$4&amp;$G$4&amp;C335,BalancesMensuales1!$A$2:$E$20009,5,0)+0,0)/A6</f>
        <v>0</v>
      </c>
      <c r="H335">
        <f>IFERROR(VLOOKUP($A$4&amp;$H$4&amp;C335,BalancesMensuales1!$A$2:$E$20009,5,0)+0,0)/A6</f>
        <v>0</v>
      </c>
      <c r="Z335">
        <f t="shared" si="25"/>
        <v>118</v>
      </c>
      <c r="AA335">
        <f>ClientesRIB!A120</f>
        <v>0</v>
      </c>
      <c r="AB335" t="str">
        <f>ClientesRIB!D120&amp;" - "&amp;ClientesRIB!F120</f>
        <v xml:space="preserve"> - </v>
      </c>
      <c r="AC335">
        <f>ClientesRIB!E120</f>
        <v>0</v>
      </c>
    </row>
    <row r="336" spans="3:29" hidden="1">
      <c r="C336">
        <v>526000</v>
      </c>
      <c r="D336">
        <f>IFERROR(VLOOKUP($A$4&amp;$D$4&amp;C336,BalancesAnuales1!$A$2:$E$20009,5,0)+0,0)/A6</f>
        <v>0</v>
      </c>
      <c r="E336">
        <f>IFERROR(VLOOKUP($A$4&amp;$E$4&amp;C336,BalancesAnuales1!$A$2:$E$20009,5,0)+0,0)/A6</f>
        <v>0</v>
      </c>
      <c r="F336">
        <f>IFERROR(VLOOKUP($A$4&amp;$F$4&amp;C336,BalancesAnuales1!$A$2:$E$20009,5,0)+0,0)/A6</f>
        <v>0</v>
      </c>
      <c r="G336">
        <f>IFERROR(VLOOKUP($A$4&amp;$G$4&amp;C336,BalancesMensuales1!$A$2:$E$20009,5,0)+0,0)/A6</f>
        <v>0</v>
      </c>
      <c r="H336">
        <f>IFERROR(VLOOKUP($A$4&amp;$H$4&amp;C336,BalancesMensuales1!$A$2:$E$20009,5,0)+0,0)/A6</f>
        <v>0</v>
      </c>
      <c r="Z336">
        <f t="shared" si="25"/>
        <v>119</v>
      </c>
      <c r="AA336">
        <f>ClientesRIB!A121</f>
        <v>0</v>
      </c>
      <c r="AB336" t="str">
        <f>ClientesRIB!D121&amp;" - "&amp;ClientesRIB!F121</f>
        <v xml:space="preserve"> - </v>
      </c>
      <c r="AC336">
        <f>ClientesRIB!E121</f>
        <v>0</v>
      </c>
    </row>
    <row r="337" spans="3:29" hidden="1">
      <c r="C337">
        <v>526500</v>
      </c>
      <c r="D337">
        <f>IFERROR(VLOOKUP($A$4&amp;$D$4&amp;C337,BalancesAnuales1!$A$2:$E$20009,5,0)+0,0)/A6</f>
        <v>0</v>
      </c>
      <c r="E337">
        <f>IFERROR(VLOOKUP($A$4&amp;$E$4&amp;C337,BalancesAnuales1!$A$2:$E$20009,5,0)+0,0)/A6</f>
        <v>0</v>
      </c>
      <c r="F337">
        <f>IFERROR(VLOOKUP($A$4&amp;$F$4&amp;C337,BalancesAnuales1!$A$2:$E$20009,5,0)+0,0)/A6</f>
        <v>0</v>
      </c>
      <c r="G337">
        <f>IFERROR(VLOOKUP($A$4&amp;$G$4&amp;C337,BalancesMensuales1!$A$2:$E$20009,5,0)+0,0)/A6</f>
        <v>0</v>
      </c>
      <c r="H337">
        <f>IFERROR(VLOOKUP($A$4&amp;$H$4&amp;C337,BalancesMensuales1!$A$2:$E$20009,5,0)+0,0)/A6</f>
        <v>0</v>
      </c>
      <c r="Z337">
        <f t="shared" si="25"/>
        <v>120</v>
      </c>
      <c r="AA337">
        <f>ClientesRIB!A122</f>
        <v>0</v>
      </c>
      <c r="AB337" t="str">
        <f>ClientesRIB!D122&amp;" - "&amp;ClientesRIB!F122</f>
        <v xml:space="preserve"> - </v>
      </c>
      <c r="AC337">
        <f>ClientesRIB!E122</f>
        <v>0</v>
      </c>
    </row>
    <row r="338" spans="3:29" hidden="1">
      <c r="C338">
        <v>529900</v>
      </c>
      <c r="D338">
        <f>IFERROR(VLOOKUP($A$4&amp;$D$4&amp;C338,BalancesAnuales1!$A$2:$E$20009,5,0)+0,0)/A6</f>
        <v>0</v>
      </c>
      <c r="E338">
        <f>IFERROR(VLOOKUP($A$4&amp;$E$4&amp;C338,BalancesAnuales1!$A$2:$E$20009,5,0)+0,0)/A6</f>
        <v>0</v>
      </c>
      <c r="F338">
        <f>IFERROR(VLOOKUP($A$4&amp;$F$4&amp;C338,BalancesAnuales1!$A$2:$E$20009,5,0)+0,0)/A6</f>
        <v>0</v>
      </c>
      <c r="G338">
        <f>IFERROR(VLOOKUP($A$4&amp;$G$4&amp;C338,BalancesMensuales1!$A$2:$E$20009,5,0)+0,0)/A6</f>
        <v>0</v>
      </c>
      <c r="H338">
        <f>IFERROR(VLOOKUP($A$4&amp;$H$4&amp;C338,BalancesMensuales1!$A$2:$E$20009,5,0)+0,0)/A6</f>
        <v>0</v>
      </c>
      <c r="Z338">
        <f t="shared" si="25"/>
        <v>121</v>
      </c>
      <c r="AA338">
        <f>ClientesRIB!A123</f>
        <v>0</v>
      </c>
      <c r="AB338" t="str">
        <f>ClientesRIB!D123&amp;" - "&amp;ClientesRIB!F123</f>
        <v xml:space="preserve"> - </v>
      </c>
      <c r="AC338">
        <f>ClientesRIB!E123</f>
        <v>0</v>
      </c>
    </row>
    <row r="339" spans="3:29" hidden="1">
      <c r="C339">
        <v>52</v>
      </c>
      <c r="D339">
        <f>IFERROR(VLOOKUP($A$4&amp;$D$4&amp;C339,BalancesAnuales1!$A$2:$E$20009,5,0)+0,0)/A6</f>
        <v>0</v>
      </c>
      <c r="E339">
        <f>IFERROR(VLOOKUP($A$4&amp;$E$4&amp;C339,BalancesAnuales1!$A$2:$E$20009,5,0)+0,0)/A6</f>
        <v>0</v>
      </c>
      <c r="F339">
        <f>IFERROR(VLOOKUP($A$4&amp;$F$4&amp;C339,BalancesAnuales1!$A$2:$E$20009,5,0)+0,0)/A6</f>
        <v>0</v>
      </c>
      <c r="G339">
        <f>IFERROR(VLOOKUP($A$4&amp;$G$4&amp;C339,BalancesMensuales1!$A$2:$E$20009,5,0)+0,0)/A6</f>
        <v>0</v>
      </c>
      <c r="H339">
        <f>IFERROR(VLOOKUP($A$4&amp;$H$4&amp;C339,BalancesMensuales1!$A$2:$E$20009,5,0)+0,0)/A6</f>
        <v>0</v>
      </c>
      <c r="Z339">
        <f t="shared" si="25"/>
        <v>122</v>
      </c>
      <c r="AA339">
        <f>ClientesRIB!A124</f>
        <v>0</v>
      </c>
      <c r="AB339" t="str">
        <f>ClientesRIB!D124&amp;" - "&amp;ClientesRIB!F124</f>
        <v xml:space="preserve"> - </v>
      </c>
      <c r="AC339">
        <f>ClientesRIB!E124</f>
        <v>0</v>
      </c>
    </row>
    <row r="340" spans="3:29" hidden="1">
      <c r="C340">
        <v>96</v>
      </c>
      <c r="D340">
        <f>IFERROR(VLOOKUP($A$4&amp;$D$4&amp;C340,BalancesAnuales1!$A$2:$E$20009,5,0)+0,0)/A6</f>
        <v>0</v>
      </c>
      <c r="E340">
        <f>IFERROR(VLOOKUP($A$4&amp;$E$4&amp;C340,BalancesAnuales1!$A$2:$E$20009,5,0)+0,0)/A6</f>
        <v>0</v>
      </c>
      <c r="F340">
        <f>IFERROR(VLOOKUP($A$4&amp;$F$4&amp;C340,BalancesAnuales1!$A$2:$E$20009,5,0)+0,0)/A6</f>
        <v>0</v>
      </c>
      <c r="G340">
        <f>IFERROR(VLOOKUP($A$4&amp;$G$4&amp;C340,BalancesMensuales1!$A$2:$E$20009,5,0)+0,0)/A6</f>
        <v>0</v>
      </c>
      <c r="H340">
        <f>IFERROR(VLOOKUP($A$4&amp;$H$4&amp;C340,BalancesMensuales1!$A$2:$E$20009,5,0)+0,0)/A6</f>
        <v>0</v>
      </c>
      <c r="Z340">
        <f t="shared" si="25"/>
        <v>123</v>
      </c>
      <c r="AA340">
        <f>ClientesRIB!A125</f>
        <v>0</v>
      </c>
      <c r="AB340" t="str">
        <f>ClientesRIB!D125&amp;" - "&amp;ClientesRIB!F125</f>
        <v xml:space="preserve"> - </v>
      </c>
      <c r="AC340">
        <f>ClientesRIB!E125</f>
        <v>0</v>
      </c>
    </row>
    <row r="341" spans="3:29" hidden="1">
      <c r="C341">
        <v>421000</v>
      </c>
      <c r="D341">
        <f>IFERROR(VLOOKUP($A$4&amp;$D$4&amp;C341,BalancesAnuales1!$A$2:$E$20009,5,0)+0,0)/A6</f>
        <v>0</v>
      </c>
      <c r="E341">
        <f>IFERROR(VLOOKUP($A$4&amp;$E$4&amp;C341,BalancesAnuales1!$A$2:$E$20009,5,0)+0,0)/A6</f>
        <v>0</v>
      </c>
      <c r="F341">
        <f>IFERROR(VLOOKUP($A$4&amp;$F$4&amp;C341,BalancesAnuales1!$A$2:$E$20009,5,0)+0,0)/A6</f>
        <v>0</v>
      </c>
      <c r="G341">
        <f>IFERROR(VLOOKUP($A$4&amp;$G$4&amp;C341,BalancesMensuales1!$A$2:$E$20009,5,0)+0,0)/A6</f>
        <v>0</v>
      </c>
      <c r="H341">
        <f>IFERROR(VLOOKUP($A$4&amp;$H$4&amp;C341,BalancesMensuales1!$A$2:$E$20009,5,0)+0,0)/A6</f>
        <v>0</v>
      </c>
      <c r="Z341">
        <f t="shared" si="25"/>
        <v>124</v>
      </c>
      <c r="AA341">
        <f>ClientesRIB!A126</f>
        <v>0</v>
      </c>
      <c r="AB341" t="str">
        <f>ClientesRIB!D126&amp;" - "&amp;ClientesRIB!F126</f>
        <v xml:space="preserve"> - </v>
      </c>
      <c r="AC341">
        <f>ClientesRIB!E126</f>
        <v>0</v>
      </c>
    </row>
    <row r="342" spans="3:29" hidden="1">
      <c r="C342">
        <v>421020</v>
      </c>
      <c r="D342">
        <f>IFERROR(VLOOKUP($A$4&amp;$D$4&amp;C342,BalancesAnuales1!$A$2:$E$20009,5,0)+0,0)/A6</f>
        <v>0</v>
      </c>
      <c r="E342">
        <f>IFERROR(VLOOKUP($A$4&amp;$E$4&amp;C342,BalancesAnuales1!$A$2:$E$20009,5,0)+0,0)/A6</f>
        <v>0</v>
      </c>
      <c r="F342">
        <f>IFERROR(VLOOKUP($A$4&amp;$F$4&amp;C342,BalancesAnuales1!$A$2:$E$20009,5,0)+0,0)/A6</f>
        <v>0</v>
      </c>
      <c r="G342">
        <f>IFERROR(VLOOKUP($A$4&amp;$G$4&amp;C342,BalancesMensuales1!$A$2:$E$20009,5,0)+0,0)/A6</f>
        <v>0</v>
      </c>
      <c r="H342">
        <f>IFERROR(VLOOKUP($A$4&amp;$H$4&amp;C342,BalancesMensuales1!$A$2:$E$20009,5,0)+0,0)/A6</f>
        <v>0</v>
      </c>
      <c r="Z342">
        <f t="shared" si="25"/>
        <v>125</v>
      </c>
      <c r="AA342">
        <f>ClientesRIB!A127</f>
        <v>0</v>
      </c>
      <c r="AB342" t="str">
        <f>ClientesRIB!D127&amp;" - "&amp;ClientesRIB!F127</f>
        <v xml:space="preserve"> - </v>
      </c>
      <c r="AC342">
        <f>ClientesRIB!E127</f>
        <v>0</v>
      </c>
    </row>
    <row r="343" spans="3:29" hidden="1">
      <c r="C343">
        <v>420500</v>
      </c>
      <c r="D343">
        <f>IFERROR(VLOOKUP($A$4&amp;$D$4&amp;C343,BalancesAnuales1!$A$2:$E$20009,5,0)+0,0)/A6</f>
        <v>0</v>
      </c>
      <c r="E343">
        <f>IFERROR(VLOOKUP($A$4&amp;$E$4&amp;C343,BalancesAnuales1!$A$2:$E$20009,5,0)+0,0)/A6</f>
        <v>0</v>
      </c>
      <c r="F343">
        <f>IFERROR(VLOOKUP($A$4&amp;$F$4&amp;C343,BalancesAnuales1!$A$2:$E$20009,5,0)+0,0)/A6</f>
        <v>0</v>
      </c>
      <c r="G343">
        <f>IFERROR(VLOOKUP($A$4&amp;$G$4&amp;C343,BalancesMensuales1!$A$2:$E$20009,5,0)+0,0)/A6</f>
        <v>0</v>
      </c>
      <c r="H343">
        <f>IFERROR(VLOOKUP($A$4&amp;$H$4&amp;C343,BalancesMensuales1!$A$2:$E$20009,5,0)+0,0)/A6</f>
        <v>0</v>
      </c>
      <c r="Z343">
        <f t="shared" si="25"/>
        <v>126</v>
      </c>
      <c r="AA343">
        <f>ClientesRIB!A128</f>
        <v>0</v>
      </c>
      <c r="AB343" t="str">
        <f>ClientesRIB!D128&amp;" - "&amp;ClientesRIB!F128</f>
        <v xml:space="preserve"> - </v>
      </c>
      <c r="AC343">
        <f>ClientesRIB!E128</f>
        <v>0</v>
      </c>
    </row>
    <row r="344" spans="3:29" hidden="1">
      <c r="C344">
        <v>421040</v>
      </c>
      <c r="D344">
        <f>IFERROR(VLOOKUP($A$4&amp;$D$4&amp;C344,BalancesAnuales1!$A$2:$E$20009,5,0)+0,0)/A6</f>
        <v>0</v>
      </c>
      <c r="E344">
        <f>IFERROR(VLOOKUP($A$4&amp;$E$4&amp;C344,BalancesAnuales1!$A$2:$E$20009,5,0)+0,0)/A6</f>
        <v>0</v>
      </c>
      <c r="F344">
        <f>IFERROR(VLOOKUP($A$4&amp;$F$4&amp;C344,BalancesAnuales1!$A$2:$E$20009,5,0)+0,0)/A6</f>
        <v>0</v>
      </c>
      <c r="G344">
        <f>IFERROR(VLOOKUP($A$4&amp;$G$4&amp;C344,BalancesMensuales1!$A$2:$E$20009,5,0)+0,0)/A6</f>
        <v>0</v>
      </c>
      <c r="H344">
        <f>IFERROR(VLOOKUP($A$4&amp;$H$4&amp;C344,BalancesMensuales1!$A$2:$E$20009,5,0)+0,0)/A6</f>
        <v>0</v>
      </c>
      <c r="Z344">
        <f t="shared" si="25"/>
        <v>127</v>
      </c>
      <c r="AA344">
        <f>ClientesRIB!A129</f>
        <v>0</v>
      </c>
      <c r="AB344" t="str">
        <f>ClientesRIB!D129&amp;" - "&amp;ClientesRIB!F129</f>
        <v xml:space="preserve"> - </v>
      </c>
      <c r="AC344">
        <f>ClientesRIB!E129</f>
        <v>0</v>
      </c>
    </row>
    <row r="345" spans="3:29" hidden="1">
      <c r="C345">
        <v>421500</v>
      </c>
      <c r="D345">
        <f>IFERROR(VLOOKUP($A$4&amp;$D$4&amp;C345,BalancesAnuales1!$A$2:$E$20009,5,0)+0,0)/A6</f>
        <v>0</v>
      </c>
      <c r="E345">
        <f>IFERROR(VLOOKUP($A$4&amp;$E$4&amp;C345,BalancesAnuales1!$A$2:$E$20009,5,0)+0,0)/A6</f>
        <v>0</v>
      </c>
      <c r="F345">
        <f>IFERROR(VLOOKUP($A$4&amp;$F$4&amp;C345,BalancesAnuales1!$A$2:$E$20009,5,0)+0,0)/A6</f>
        <v>0</v>
      </c>
      <c r="G345">
        <f>IFERROR(VLOOKUP($A$4&amp;$G$4&amp;C345,BalancesMensuales1!$A$2:$E$20009,5,0)+0,0)/A6</f>
        <v>0</v>
      </c>
      <c r="H345">
        <f>IFERROR(VLOOKUP($A$4&amp;$H$4&amp;C345,BalancesMensuales1!$A$2:$E$20009,5,0)+0,0)/A6</f>
        <v>0</v>
      </c>
      <c r="Z345">
        <f t="shared" si="25"/>
        <v>128</v>
      </c>
      <c r="AA345">
        <f>ClientesRIB!A130</f>
        <v>0</v>
      </c>
      <c r="AB345" t="str">
        <f>ClientesRIB!D130&amp;" - "&amp;ClientesRIB!F130</f>
        <v xml:space="preserve"> - </v>
      </c>
      <c r="AC345">
        <f>ClientesRIB!E130</f>
        <v>0</v>
      </c>
    </row>
    <row r="346" spans="3:29" hidden="1">
      <c r="C346">
        <v>422000</v>
      </c>
      <c r="D346">
        <f>IFERROR(VLOOKUP($A$4&amp;$D$4&amp;C346,BalancesAnuales1!$A$2:$E$20009,5,0)+0,0)/A6</f>
        <v>0</v>
      </c>
      <c r="E346">
        <f>IFERROR(VLOOKUP($A$4&amp;$E$4&amp;C346,BalancesAnuales1!$A$2:$E$20009,5,0)+0,0)/A6</f>
        <v>0</v>
      </c>
      <c r="F346">
        <f>IFERROR(VLOOKUP($A$4&amp;$F$4&amp;C346,BalancesAnuales1!$A$2:$E$20009,5,0)+0,0)/A6</f>
        <v>0</v>
      </c>
      <c r="G346">
        <f>IFERROR(VLOOKUP($A$4&amp;$G$4&amp;C346,BalancesMensuales1!$A$2:$E$20009,5,0)+0,0)/A6</f>
        <v>0</v>
      </c>
      <c r="H346">
        <f>IFERROR(VLOOKUP($A$4&amp;$H$4&amp;C346,BalancesMensuales1!$A$2:$E$20009,5,0)+0,0)/A6</f>
        <v>0</v>
      </c>
      <c r="Z346">
        <f t="shared" ref="Z346:Z367" si="26">IF(AA346=$A$4,Z345+1,0)</f>
        <v>129</v>
      </c>
      <c r="AA346">
        <f>ClientesRIB!A131</f>
        <v>0</v>
      </c>
      <c r="AB346" t="str">
        <f>ClientesRIB!D131&amp;" - "&amp;ClientesRIB!F131</f>
        <v xml:space="preserve"> - </v>
      </c>
      <c r="AC346">
        <f>ClientesRIB!E131</f>
        <v>0</v>
      </c>
    </row>
    <row r="347" spans="3:29" hidden="1">
      <c r="C347">
        <v>422500</v>
      </c>
      <c r="D347">
        <f>IFERROR(VLOOKUP($A$4&amp;$D$4&amp;C347,BalancesAnuales1!$A$2:$E$20009,5,0)+0,0)/A6</f>
        <v>0</v>
      </c>
      <c r="E347">
        <f>IFERROR(VLOOKUP($A$4&amp;$E$4&amp;C347,BalancesAnuales1!$A$2:$E$20009,5,0)+0,0)/A6</f>
        <v>0</v>
      </c>
      <c r="F347">
        <f>IFERROR(VLOOKUP($A$4&amp;$F$4&amp;C347,BalancesAnuales1!$A$2:$E$20009,5,0)+0,0)/A6</f>
        <v>0</v>
      </c>
      <c r="G347">
        <f>IFERROR(VLOOKUP($A$4&amp;$G$4&amp;C347,BalancesMensuales1!$A$2:$E$20009,5,0)+0,0)/A6</f>
        <v>0</v>
      </c>
      <c r="H347">
        <f>IFERROR(VLOOKUP($A$4&amp;$H$4&amp;C347,BalancesMensuales1!$A$2:$E$20009,5,0)+0,0)/A6</f>
        <v>0</v>
      </c>
      <c r="Z347">
        <f t="shared" si="26"/>
        <v>130</v>
      </c>
      <c r="AA347">
        <f>ClientesRIB!A132</f>
        <v>0</v>
      </c>
      <c r="AB347" t="str">
        <f>ClientesRIB!D132&amp;" - "&amp;ClientesRIB!F132</f>
        <v xml:space="preserve"> - </v>
      </c>
      <c r="AC347">
        <f>ClientesRIB!E132</f>
        <v>0</v>
      </c>
    </row>
    <row r="348" spans="3:29" hidden="1">
      <c r="C348">
        <v>423500</v>
      </c>
      <c r="D348">
        <f>IFERROR(VLOOKUP($A$4&amp;$D$4&amp;C348,BalancesAnuales1!$A$2:$E$20009,5,0)+0,0)/A6</f>
        <v>0</v>
      </c>
      <c r="E348">
        <f>IFERROR(VLOOKUP($A$4&amp;$E$4&amp;C348,BalancesAnuales1!$A$2:$E$20009,5,0)+0,0)/A6</f>
        <v>0</v>
      </c>
      <c r="F348">
        <f>IFERROR(VLOOKUP($A$4&amp;$F$4&amp;C348,BalancesAnuales1!$A$2:$E$20009,5,0)+0,0)/A6</f>
        <v>0</v>
      </c>
      <c r="G348">
        <f>IFERROR(VLOOKUP($A$4&amp;$G$4&amp;C348,BalancesMensuales1!$A$2:$E$20009,5,0)+0,0)/A6</f>
        <v>0</v>
      </c>
      <c r="H348">
        <f>IFERROR(VLOOKUP($A$4&amp;$H$4&amp;C348,BalancesMensuales1!$A$2:$E$20009,5,0)+0,0)/A6</f>
        <v>0</v>
      </c>
      <c r="Z348">
        <f t="shared" si="26"/>
        <v>131</v>
      </c>
      <c r="AA348">
        <f>ClientesRIB!A133</f>
        <v>0</v>
      </c>
      <c r="AB348" t="str">
        <f>ClientesRIB!D133&amp;" - "&amp;ClientesRIB!F133</f>
        <v xml:space="preserve"> - </v>
      </c>
      <c r="AC348">
        <f>ClientesRIB!E133</f>
        <v>0</v>
      </c>
    </row>
    <row r="349" spans="3:29" hidden="1">
      <c r="C349">
        <v>424000</v>
      </c>
      <c r="D349">
        <f>IFERROR(VLOOKUP($A$4&amp;$D$4&amp;C349,BalancesAnuales1!$A$2:$E$20009,5,0)+0,0)/A6</f>
        <v>0</v>
      </c>
      <c r="E349">
        <f>IFERROR(VLOOKUP($A$4&amp;$E$4&amp;C349,BalancesAnuales1!$A$2:$E$20009,5,0)+0,0)/A6</f>
        <v>0</v>
      </c>
      <c r="F349">
        <f>IFERROR(VLOOKUP($A$4&amp;$F$4&amp;C349,BalancesAnuales1!$A$2:$E$20009,5,0)+0,0)/A6</f>
        <v>0</v>
      </c>
      <c r="G349">
        <f>IFERROR(VLOOKUP($A$4&amp;$G$4&amp;C349,BalancesMensuales1!$A$2:$E$20009,5,0)+0,0)/A6</f>
        <v>0</v>
      </c>
      <c r="H349">
        <f>IFERROR(VLOOKUP($A$4&amp;$H$4&amp;C349,BalancesMensuales1!$A$2:$E$20009,5,0)+0,0)/A6</f>
        <v>0</v>
      </c>
      <c r="Z349">
        <f t="shared" si="26"/>
        <v>132</v>
      </c>
      <c r="AA349">
        <f>ClientesRIB!A134</f>
        <v>0</v>
      </c>
      <c r="AB349" t="str">
        <f>ClientesRIB!D134&amp;" - "&amp;ClientesRIB!F134</f>
        <v xml:space="preserve"> - </v>
      </c>
      <c r="AC349">
        <f>ClientesRIB!E134</f>
        <v>0</v>
      </c>
    </row>
    <row r="350" spans="3:29" hidden="1">
      <c r="C350">
        <v>425000</v>
      </c>
      <c r="D350">
        <f>IFERROR(VLOOKUP($A$4&amp;$D$4&amp;C350,BalancesAnuales1!$A$2:$E$20009,5,0)+0,0)/A6</f>
        <v>0</v>
      </c>
      <c r="E350">
        <f>IFERROR(VLOOKUP($A$4&amp;$E$4&amp;C350,BalancesAnuales1!$A$2:$E$20009,5,0)+0,0)/A6</f>
        <v>0</v>
      </c>
      <c r="F350">
        <f>IFERROR(VLOOKUP($A$4&amp;$F$4&amp;C350,BalancesAnuales1!$A$2:$E$20009,5,0)+0,0)/A6</f>
        <v>0</v>
      </c>
      <c r="G350">
        <f>IFERROR(VLOOKUP($A$4&amp;$G$4&amp;C350,BalancesMensuales1!$A$2:$E$20009,5,0)+0,0)/A6</f>
        <v>0</v>
      </c>
      <c r="H350">
        <f>IFERROR(VLOOKUP($A$4&amp;$H$4&amp;C350,BalancesMensuales1!$A$2:$E$20009,5,0)+0,0)/A6</f>
        <v>0</v>
      </c>
      <c r="Z350">
        <f t="shared" si="26"/>
        <v>133</v>
      </c>
      <c r="AA350">
        <f>ClientesRIB!A135</f>
        <v>0</v>
      </c>
      <c r="AB350" t="str">
        <f>ClientesRIB!D135&amp;" - "&amp;ClientesRIB!F135</f>
        <v xml:space="preserve"> - </v>
      </c>
      <c r="AC350">
        <f>ClientesRIB!E135</f>
        <v>0</v>
      </c>
    </row>
    <row r="351" spans="3:29" hidden="1">
      <c r="C351">
        <v>426500</v>
      </c>
      <c r="D351">
        <f>IFERROR(VLOOKUP($A$4&amp;$D$4&amp;C351,BalancesAnuales1!$A$2:$E$20009,5,0)+0,0)/A6</f>
        <v>0</v>
      </c>
      <c r="E351">
        <f>IFERROR(VLOOKUP($A$4&amp;$E$4&amp;C351,BalancesAnuales1!$A$2:$E$20009,5,0)+0,0)/A6</f>
        <v>0</v>
      </c>
      <c r="F351">
        <f>IFERROR(VLOOKUP($A$4&amp;$F$4&amp;C351,BalancesAnuales1!$A$2:$E$20009,5,0)+0,0)/A6</f>
        <v>0</v>
      </c>
      <c r="G351">
        <f>IFERROR(VLOOKUP($A$4&amp;$G$4&amp;C351,BalancesMensuales1!$A$2:$E$20009,5,0)+0,0)/A6</f>
        <v>0</v>
      </c>
      <c r="H351">
        <f>IFERROR(VLOOKUP($A$4&amp;$H$4&amp;C351,BalancesMensuales1!$A$2:$E$20009,5,0)+0,0)/A6</f>
        <v>0</v>
      </c>
      <c r="Z351">
        <f t="shared" si="26"/>
        <v>134</v>
      </c>
      <c r="AA351">
        <f>ClientesRIB!A136</f>
        <v>0</v>
      </c>
      <c r="AB351" t="str">
        <f>ClientesRIB!D136&amp;" - "&amp;ClientesRIB!F136</f>
        <v xml:space="preserve"> - </v>
      </c>
      <c r="AC351">
        <f>ClientesRIB!E136</f>
        <v>0</v>
      </c>
    </row>
    <row r="352" spans="3:29" hidden="1">
      <c r="C352">
        <v>429500</v>
      </c>
      <c r="D352">
        <f>IFERROR(VLOOKUP($A$4&amp;$D$4&amp;C352,BalancesAnuales1!$A$2:$E$20009,5,0)+0,0)/A6</f>
        <v>0</v>
      </c>
      <c r="E352">
        <f>IFERROR(VLOOKUP($A$4&amp;$E$4&amp;C352,BalancesAnuales1!$A$2:$E$20009,5,0)+0,0)/A6</f>
        <v>0</v>
      </c>
      <c r="F352">
        <f>IFERROR(VLOOKUP($A$4&amp;$F$4&amp;C352,BalancesAnuales1!$A$2:$E$20009,5,0)+0,0)/A6</f>
        <v>0</v>
      </c>
      <c r="G352">
        <f>IFERROR(VLOOKUP($A$4&amp;$G$4&amp;C352,BalancesMensuales1!$A$2:$E$20009,5,0)+0,0)/A6</f>
        <v>0</v>
      </c>
      <c r="H352">
        <f>IFERROR(VLOOKUP($A$4&amp;$H$4&amp;C352,BalancesMensuales1!$A$2:$E$20009,5,0)+0,0)/A6</f>
        <v>0</v>
      </c>
      <c r="Z352">
        <f t="shared" si="26"/>
        <v>135</v>
      </c>
      <c r="AA352">
        <f>ClientesRIB!A137</f>
        <v>0</v>
      </c>
      <c r="AB352" t="str">
        <f>ClientesRIB!D137&amp;" - "&amp;ClientesRIB!F137</f>
        <v xml:space="preserve"> - </v>
      </c>
      <c r="AC352">
        <f>ClientesRIB!E137</f>
        <v>0</v>
      </c>
    </row>
    <row r="353" spans="3:29" hidden="1">
      <c r="C353">
        <v>42</v>
      </c>
      <c r="D353">
        <f>IFERROR(VLOOKUP($A$4&amp;$D$4&amp;C353,BalancesAnuales1!$A$2:$E$20009,5,0)+0,0)/A6</f>
        <v>0</v>
      </c>
      <c r="E353">
        <f>IFERROR(VLOOKUP($A$4&amp;$E$4&amp;C353,BalancesAnuales1!$A$2:$E$20009,5,0)+0,0)/A6</f>
        <v>0</v>
      </c>
      <c r="F353">
        <f>IFERROR(VLOOKUP($A$4&amp;$F$4&amp;C353,BalancesAnuales1!$A$2:$E$20009,5,0)+0,0)/A6</f>
        <v>0</v>
      </c>
      <c r="G353">
        <f>IFERROR(VLOOKUP($A$4&amp;$G$4&amp;C353,BalancesMensuales1!$A$2:$E$20009,5,0)+0,0)/A6</f>
        <v>0</v>
      </c>
      <c r="H353">
        <f>IFERROR(VLOOKUP($A$4&amp;$H$4&amp;C353,BalancesMensuales1!$A$2:$E$20009,5,0)+0,0)/A6</f>
        <v>0</v>
      </c>
      <c r="Z353">
        <f t="shared" si="26"/>
        <v>136</v>
      </c>
      <c r="AA353">
        <f>ClientesRIB!A138</f>
        <v>0</v>
      </c>
      <c r="AB353" t="str">
        <f>ClientesRIB!D138&amp;" - "&amp;ClientesRIB!F138</f>
        <v xml:space="preserve"> - </v>
      </c>
      <c r="AC353">
        <f>ClientesRIB!E138</f>
        <v>0</v>
      </c>
    </row>
    <row r="354" spans="3:29" hidden="1">
      <c r="C354">
        <v>5301</v>
      </c>
      <c r="D354">
        <f>IFERROR(VLOOKUP($A$4&amp;$D$4&amp;C354,BalancesAnuales1!$A$2:$E$20009,5,0)+0,0)/A6</f>
        <v>0</v>
      </c>
      <c r="E354">
        <f>IFERROR(VLOOKUP($A$4&amp;$E$4&amp;C354,BalancesAnuales1!$A$2:$E$20009,5,0)+0,0)/A6</f>
        <v>0</v>
      </c>
      <c r="F354">
        <f>IFERROR(VLOOKUP($A$4&amp;$F$4&amp;C354,BalancesAnuales1!$A$2:$E$20009,5,0)+0,0)/A6</f>
        <v>0</v>
      </c>
      <c r="G354">
        <f>IFERROR(VLOOKUP($A$4&amp;$G$4&amp;C354,BalancesMensuales1!$A$2:$E$20009,5,0)+0,0)/A6</f>
        <v>0</v>
      </c>
      <c r="H354">
        <f>IFERROR(VLOOKUP($A$4&amp;$H$4&amp;C354,BalancesMensuales1!$A$2:$E$20009,5,0)+0,0)/A6</f>
        <v>0</v>
      </c>
      <c r="Z354">
        <f t="shared" si="26"/>
        <v>137</v>
      </c>
      <c r="AA354">
        <f>ClientesRIB!A139</f>
        <v>0</v>
      </c>
      <c r="AB354" t="str">
        <f>ClientesRIB!D139&amp;" - "&amp;ClientesRIB!F139</f>
        <v xml:space="preserve"> - </v>
      </c>
      <c r="AC354">
        <f>ClientesRIB!E139</f>
        <v>0</v>
      </c>
    </row>
    <row r="355" spans="3:29" hidden="1">
      <c r="C355">
        <v>530525</v>
      </c>
      <c r="D355">
        <f>IFERROR(VLOOKUP($A$4&amp;$D$4&amp;C355,BalancesAnuales1!$A$2:$E$20009,5,0)+0,0)/A6</f>
        <v>0</v>
      </c>
      <c r="E355">
        <f>IFERROR(VLOOKUP($A$4&amp;$E$4&amp;C355,BalancesAnuales1!$A$2:$E$20009,5,0)+0,0)/A6</f>
        <v>0</v>
      </c>
      <c r="F355">
        <f>IFERROR(VLOOKUP($A$4&amp;$F$4&amp;C355,BalancesAnuales1!$A$2:$E$20009,5,0)+0,0)/A6</f>
        <v>0</v>
      </c>
      <c r="G355">
        <f>IFERROR(VLOOKUP($A$4&amp;$G$4&amp;C355,BalancesMensuales1!$A$2:$E$20009,5,0)+0,0)/A6</f>
        <v>0</v>
      </c>
      <c r="H355">
        <f>IFERROR(VLOOKUP($A$4&amp;$H$4&amp;C355,BalancesMensuales1!$A$2:$E$20009,5,0)+0,0)/A6</f>
        <v>0</v>
      </c>
      <c r="Z355">
        <f t="shared" si="26"/>
        <v>138</v>
      </c>
      <c r="AA355">
        <f>ClientesRIB!A140</f>
        <v>0</v>
      </c>
      <c r="AB355" t="str">
        <f>ClientesRIB!D140&amp;" - "&amp;ClientesRIB!F140</f>
        <v xml:space="preserve"> - </v>
      </c>
      <c r="AC355">
        <f>ClientesRIB!E140</f>
        <v>0</v>
      </c>
    </row>
    <row r="356" spans="3:29" hidden="1">
      <c r="C356">
        <v>530505</v>
      </c>
      <c r="D356">
        <f>IFERROR(VLOOKUP($A$4&amp;$D$4&amp;C356,BalancesAnuales1!$A$2:$E$20009,5,0)+0,0)/A6</f>
        <v>0</v>
      </c>
      <c r="E356">
        <f>IFERROR(VLOOKUP($A$4&amp;$E$4&amp;C356,BalancesAnuales1!$A$2:$E$20009,5,0)+0,0)/A6</f>
        <v>0</v>
      </c>
      <c r="F356">
        <f>IFERROR(VLOOKUP($A$4&amp;$F$4&amp;C356,BalancesAnuales1!$A$2:$E$20009,5,0)+0,0)/A6</f>
        <v>0</v>
      </c>
      <c r="G356">
        <f>IFERROR(VLOOKUP($A$4&amp;$G$4&amp;C356,BalancesMensuales1!$A$2:$E$20009,5,0)+0,0)/A6</f>
        <v>0</v>
      </c>
      <c r="H356">
        <f>IFERROR(VLOOKUP($A$4&amp;$H$4&amp;C356,BalancesMensuales1!$A$2:$E$20009,5,0)+0,0)/A6</f>
        <v>0</v>
      </c>
      <c r="Z356">
        <f t="shared" si="26"/>
        <v>139</v>
      </c>
      <c r="AA356">
        <f>ClientesRIB!A141</f>
        <v>0</v>
      </c>
      <c r="AB356" t="str">
        <f>ClientesRIB!D141&amp;" - "&amp;ClientesRIB!F141</f>
        <v xml:space="preserve"> - </v>
      </c>
      <c r="AC356">
        <f>ClientesRIB!E141</f>
        <v>0</v>
      </c>
    </row>
    <row r="357" spans="3:29" hidden="1">
      <c r="C357">
        <v>530515</v>
      </c>
      <c r="D357">
        <f>IFERROR(VLOOKUP($A$4&amp;$D$4&amp;C357,BalancesAnuales1!$A$2:$E$20009,5,0)+0,0)/A6</f>
        <v>0</v>
      </c>
      <c r="E357">
        <f>IFERROR(VLOOKUP($A$4&amp;$E$4&amp;C357,BalancesAnuales1!$A$2:$E$20009,5,0)+0,0)/A6</f>
        <v>0</v>
      </c>
      <c r="F357">
        <f>IFERROR(VLOOKUP($A$4&amp;$F$4&amp;C357,BalancesAnuales1!$A$2:$E$20009,5,0)+0,0)/A6</f>
        <v>0</v>
      </c>
      <c r="G357">
        <f>IFERROR(VLOOKUP($A$4&amp;$G$4&amp;C357,BalancesMensuales1!$A$2:$E$20009,5,0)+0,0)/A6</f>
        <v>0</v>
      </c>
      <c r="H357">
        <f>IFERROR(VLOOKUP($A$4&amp;$H$4&amp;C357,BalancesMensuales1!$A$2:$E$20009,5,0)+0,0)/A6</f>
        <v>0</v>
      </c>
      <c r="Z357">
        <f t="shared" si="26"/>
        <v>140</v>
      </c>
      <c r="AA357">
        <f>ClientesRIB!A142</f>
        <v>0</v>
      </c>
      <c r="AB357" t="str">
        <f>ClientesRIB!D142&amp;" - "&amp;ClientesRIB!F142</f>
        <v xml:space="preserve"> - </v>
      </c>
      <c r="AC357">
        <f>ClientesRIB!E142</f>
        <v>0</v>
      </c>
    </row>
    <row r="358" spans="3:29" hidden="1">
      <c r="C358">
        <v>530535</v>
      </c>
      <c r="D358">
        <f>IFERROR(VLOOKUP($A$4&amp;$D$4&amp;C358,BalancesAnuales1!$A$2:$E$20009,5,0)+0,0)/A6</f>
        <v>0</v>
      </c>
      <c r="E358">
        <f>IFERROR(VLOOKUP($A$4&amp;$E$4&amp;C358,BalancesAnuales1!$A$2:$E$20009,5,0)+0,0)/A6</f>
        <v>0</v>
      </c>
      <c r="F358">
        <f>IFERROR(VLOOKUP($A$4&amp;$F$4&amp;C358,BalancesAnuales1!$A$2:$E$20009,5,0)+0,0)/A6</f>
        <v>0</v>
      </c>
      <c r="G358">
        <f>IFERROR(VLOOKUP($A$4&amp;$G$4&amp;C358,BalancesMensuales1!$A$2:$E$20009,5,0)+0,0)/A6</f>
        <v>0</v>
      </c>
      <c r="H358">
        <f>IFERROR(VLOOKUP($A$4&amp;$H$4&amp;C358,BalancesMensuales1!$A$2:$E$20009,5,0)+0,0)/A6</f>
        <v>0</v>
      </c>
      <c r="Z358">
        <f t="shared" si="26"/>
        <v>141</v>
      </c>
      <c r="AA358">
        <f>ClientesRIB!A143</f>
        <v>0</v>
      </c>
      <c r="AB358" t="str">
        <f>ClientesRIB!D143&amp;" - "&amp;ClientesRIB!F143</f>
        <v xml:space="preserve"> - </v>
      </c>
      <c r="AC358">
        <f>ClientesRIB!E143</f>
        <v>0</v>
      </c>
    </row>
    <row r="359" spans="3:29" hidden="1">
      <c r="C359">
        <v>531000</v>
      </c>
      <c r="D359">
        <f>IFERROR(VLOOKUP($A$4&amp;$D$4&amp;C359,BalancesAnuales1!$A$2:$E$20009,5,0)+0,0)/A6</f>
        <v>0</v>
      </c>
      <c r="E359">
        <f>IFERROR(VLOOKUP($A$4&amp;$E$4&amp;C359,BalancesAnuales1!$A$2:$E$20009,5,0)+0,0)/A6</f>
        <v>0</v>
      </c>
      <c r="F359">
        <f>IFERROR(VLOOKUP($A$4&amp;$F$4&amp;C359,BalancesAnuales1!$A$2:$E$20009,5,0)+0,0)/A6</f>
        <v>0</v>
      </c>
      <c r="G359">
        <f>IFERROR(VLOOKUP($A$4&amp;$G$4&amp;C359,BalancesMensuales1!$A$2:$E$20009,5,0)+0,0)/A6</f>
        <v>0</v>
      </c>
      <c r="H359">
        <f>IFERROR(VLOOKUP($A$4&amp;$H$4&amp;C359,BalancesMensuales1!$A$2:$E$20009,5,0)+0,0)/A6</f>
        <v>0</v>
      </c>
      <c r="Z359">
        <f t="shared" si="26"/>
        <v>142</v>
      </c>
      <c r="AA359">
        <f>ClientesRIB!A144</f>
        <v>0</v>
      </c>
      <c r="AB359" t="str">
        <f>ClientesRIB!D144&amp;" - "&amp;ClientesRIB!F144</f>
        <v xml:space="preserve"> - </v>
      </c>
      <c r="AC359">
        <f>ClientesRIB!E144</f>
        <v>0</v>
      </c>
    </row>
    <row r="360" spans="3:29" hidden="1">
      <c r="C360">
        <v>531300</v>
      </c>
      <c r="D360">
        <f>IFERROR(VLOOKUP($A$4&amp;$D$4&amp;C360,BalancesAnuales1!$A$2:$E$20009,5,0)+0,0)/A6</f>
        <v>0</v>
      </c>
      <c r="E360">
        <f>IFERROR(VLOOKUP($A$4&amp;$E$4&amp;C360,BalancesAnuales1!$A$2:$E$20009,5,0)+0,0)/A6</f>
        <v>0</v>
      </c>
      <c r="F360">
        <f>IFERROR(VLOOKUP($A$4&amp;$F$4&amp;C360,BalancesAnuales1!$A$2:$E$20009,5,0)+0,0)/A6</f>
        <v>0</v>
      </c>
      <c r="G360">
        <f>IFERROR(VLOOKUP($A$4&amp;$G$4&amp;C360,BalancesMensuales1!$A$2:$E$20009,5,0)+0,0)/A6</f>
        <v>0</v>
      </c>
      <c r="H360">
        <f>IFERROR(VLOOKUP($A$4&amp;$H$4&amp;C360,BalancesMensuales1!$A$2:$E$20009,5,0)+0,0)/A6</f>
        <v>0</v>
      </c>
      <c r="Z360">
        <f t="shared" si="26"/>
        <v>143</v>
      </c>
      <c r="AA360">
        <f>ClientesRIB!A145</f>
        <v>0</v>
      </c>
      <c r="AB360" t="str">
        <f>ClientesRIB!D145&amp;" - "&amp;ClientesRIB!F145</f>
        <v xml:space="preserve"> - </v>
      </c>
      <c r="AC360">
        <f>ClientesRIB!E145</f>
        <v>0</v>
      </c>
    </row>
    <row r="361" spans="3:29" hidden="1">
      <c r="C361">
        <v>531500</v>
      </c>
      <c r="D361">
        <f>IFERROR(VLOOKUP($A$4&amp;$D$4&amp;C361,BalancesAnuales1!$A$2:$E$20009,5,0)+0,0)/A6</f>
        <v>0</v>
      </c>
      <c r="E361">
        <f>IFERROR(VLOOKUP($A$4&amp;$E$4&amp;C361,BalancesAnuales1!$A$2:$E$20009,5,0)+0,0)/A6</f>
        <v>0</v>
      </c>
      <c r="F361">
        <f>IFERROR(VLOOKUP($A$4&amp;$F$4&amp;C361,BalancesAnuales1!$A$2:$E$20009,5,0)+0,0)/A6</f>
        <v>0</v>
      </c>
      <c r="G361">
        <f>IFERROR(VLOOKUP($A$4&amp;$G$4&amp;C361,BalancesMensuales1!$A$2:$E$20009,5,0)+0,0)/A6</f>
        <v>0</v>
      </c>
      <c r="H361">
        <f>IFERROR(VLOOKUP($A$4&amp;$H$4&amp;C361,BalancesMensuales1!$A$2:$E$20009,5,0)+0,0)/A6</f>
        <v>0</v>
      </c>
      <c r="Z361">
        <f t="shared" si="26"/>
        <v>144</v>
      </c>
      <c r="AA361">
        <f>ClientesRIB!A146</f>
        <v>0</v>
      </c>
      <c r="AB361" t="str">
        <f>ClientesRIB!D146&amp;" - "&amp;ClientesRIB!F146</f>
        <v xml:space="preserve"> - </v>
      </c>
      <c r="AC361">
        <f>ClientesRIB!E146</f>
        <v>0</v>
      </c>
    </row>
    <row r="362" spans="3:29" hidden="1">
      <c r="C362">
        <v>531515</v>
      </c>
      <c r="D362">
        <f>IFERROR(VLOOKUP($A$4&amp;$D$4&amp;C362,BalancesAnuales1!$A$2:$E$20009,5,0)+0,0)/A6</f>
        <v>0</v>
      </c>
      <c r="E362">
        <f>IFERROR(VLOOKUP($A$4&amp;$E$4&amp;C362,BalancesAnuales1!$A$2:$E$20009,5,0)+0,0)/A6</f>
        <v>0</v>
      </c>
      <c r="F362">
        <f>IFERROR(VLOOKUP($A$4&amp;$F$4&amp;C362,BalancesAnuales1!$A$2:$E$20009,5,0)+0,0)/A6</f>
        <v>0</v>
      </c>
      <c r="G362">
        <f>IFERROR(VLOOKUP($A$4&amp;$G$4&amp;C362,BalancesMensuales1!$A$2:$E$20009,5,0)+0,0)/A6</f>
        <v>0</v>
      </c>
      <c r="H362">
        <f>IFERROR(VLOOKUP($A$4&amp;$H$4&amp;C362,BalancesMensuales1!$A$2:$E$20009,5,0)+0,0)/A6</f>
        <v>0</v>
      </c>
      <c r="Z362">
        <f t="shared" si="26"/>
        <v>145</v>
      </c>
      <c r="AA362">
        <f>ClientesRIB!A147</f>
        <v>0</v>
      </c>
      <c r="AB362" t="str">
        <f>ClientesRIB!D147&amp;" - "&amp;ClientesRIB!F147</f>
        <v xml:space="preserve"> - </v>
      </c>
      <c r="AC362">
        <f>ClientesRIB!E147</f>
        <v>0</v>
      </c>
    </row>
    <row r="363" spans="3:29" hidden="1">
      <c r="C363">
        <v>531520</v>
      </c>
      <c r="D363">
        <f>IFERROR(VLOOKUP($A$4&amp;$D$4&amp;C363,BalancesAnuales1!$A$2:$E$20009,5,0)+0,0)/A6</f>
        <v>0</v>
      </c>
      <c r="E363">
        <f>IFERROR(VLOOKUP($A$4&amp;$E$4&amp;C363,BalancesAnuales1!$A$2:$E$20009,5,0)+0,0)/A6</f>
        <v>0</v>
      </c>
      <c r="F363">
        <f>IFERROR(VLOOKUP($A$4&amp;$F$4&amp;C363,BalancesAnuales1!$A$2:$E$20009,5,0)+0,0)/A6</f>
        <v>0</v>
      </c>
      <c r="G363">
        <f>IFERROR(VLOOKUP($A$4&amp;$G$4&amp;C363,BalancesMensuales1!$A$2:$E$20009,5,0)+0,0)/A6</f>
        <v>0</v>
      </c>
      <c r="H363">
        <f>IFERROR(VLOOKUP($A$4&amp;$H$4&amp;C363,BalancesMensuales1!$A$2:$E$20009,5,0)+0,0)/A6</f>
        <v>0</v>
      </c>
      <c r="Z363">
        <f t="shared" si="26"/>
        <v>146</v>
      </c>
      <c r="AA363">
        <f>ClientesRIB!A148</f>
        <v>0</v>
      </c>
      <c r="AB363" t="str">
        <f>ClientesRIB!D148&amp;" - "&amp;ClientesRIB!F148</f>
        <v xml:space="preserve"> - </v>
      </c>
      <c r="AC363">
        <f>ClientesRIB!E148</f>
        <v>0</v>
      </c>
    </row>
    <row r="364" spans="3:29" hidden="1">
      <c r="C364">
        <v>539525</v>
      </c>
      <c r="D364">
        <f>IFERROR(VLOOKUP($A$4&amp;$D$4&amp;C364,BalancesAnuales1!$A$2:$E$20009,5,0)+0,0)/A6</f>
        <v>0</v>
      </c>
      <c r="E364">
        <f>IFERROR(VLOOKUP($A$4&amp;$E$4&amp;C364,BalancesAnuales1!$A$2:$E$20009,5,0)+0,0)/A6</f>
        <v>0</v>
      </c>
      <c r="F364">
        <f>IFERROR(VLOOKUP($A$4&amp;$F$4&amp;C364,BalancesAnuales1!$A$2:$E$20009,5,0)+0,0)/A6</f>
        <v>0</v>
      </c>
      <c r="G364">
        <f>IFERROR(VLOOKUP($A$4&amp;$G$4&amp;C364,BalancesMensuales1!$A$2:$E$20009,5,0)+0,0)/A6</f>
        <v>0</v>
      </c>
      <c r="H364">
        <f>IFERROR(VLOOKUP($A$4&amp;$H$4&amp;C364,BalancesMensuales1!$A$2:$E$20009,5,0)+0,0)/A6</f>
        <v>0</v>
      </c>
      <c r="Z364">
        <f t="shared" si="26"/>
        <v>147</v>
      </c>
      <c r="AA364">
        <f>ClientesRIB!A149</f>
        <v>0</v>
      </c>
      <c r="AB364" t="str">
        <f>ClientesRIB!D149&amp;" - "&amp;ClientesRIB!F149</f>
        <v xml:space="preserve"> - </v>
      </c>
      <c r="AC364">
        <f>ClientesRIB!E149</f>
        <v>0</v>
      </c>
    </row>
    <row r="365" spans="3:29" hidden="1">
      <c r="C365">
        <v>539595</v>
      </c>
      <c r="D365">
        <f>IFERROR(VLOOKUP($A$4&amp;$D$4&amp;C365,BalancesAnuales1!$A$2:$E$20009,5,0)+0,0)/A6</f>
        <v>0</v>
      </c>
      <c r="E365">
        <f>IFERROR(VLOOKUP($A$4&amp;$E$4&amp;C365,BalancesAnuales1!$A$2:$E$20009,5,0)+0,0)/A6</f>
        <v>0</v>
      </c>
      <c r="F365">
        <f>IFERROR(VLOOKUP($A$4&amp;$F$4&amp;C365,BalancesAnuales1!$A$2:$E$20009,5,0)+0,0)/A6</f>
        <v>0</v>
      </c>
      <c r="G365">
        <f>IFERROR(VLOOKUP($A$4&amp;$G$4&amp;C365,BalancesMensuales1!$A$2:$E$20009,5,0)+0,0)/A6</f>
        <v>0</v>
      </c>
      <c r="H365">
        <f>IFERROR(VLOOKUP($A$4&amp;$H$4&amp;C365,BalancesMensuales1!$A$2:$E$20009,5,0)+0,0)/A6</f>
        <v>0</v>
      </c>
      <c r="Z365">
        <f t="shared" si="26"/>
        <v>148</v>
      </c>
      <c r="AA365">
        <f>ClientesRIB!A150</f>
        <v>0</v>
      </c>
      <c r="AB365" t="str">
        <f>ClientesRIB!D150&amp;" - "&amp;ClientesRIB!F150</f>
        <v xml:space="preserve"> - </v>
      </c>
      <c r="AC365">
        <f>ClientesRIB!E150</f>
        <v>0</v>
      </c>
    </row>
    <row r="366" spans="3:29" hidden="1">
      <c r="C366">
        <v>53</v>
      </c>
      <c r="D366">
        <f>IFERROR(VLOOKUP($A$4&amp;$D$4&amp;C366,BalancesAnuales1!$A$2:$E$20009,5,0)+0,0)/A6</f>
        <v>0</v>
      </c>
      <c r="E366">
        <f>IFERROR(VLOOKUP($A$4&amp;$E$4&amp;C366,BalancesAnuales1!$A$2:$E$20009,5,0)+0,0)/A6</f>
        <v>0</v>
      </c>
      <c r="F366">
        <f>IFERROR(VLOOKUP($A$4&amp;$F$4&amp;C366,BalancesAnuales1!$A$2:$E$20009,5,0)+0,0)/A6</f>
        <v>0</v>
      </c>
      <c r="G366">
        <f>IFERROR(VLOOKUP($A$4&amp;$G$4&amp;C366,BalancesMensuales1!$A$2:$E$20009,5,0)+0,0)/A6</f>
        <v>0</v>
      </c>
      <c r="H366">
        <f>IFERROR(VLOOKUP($A$4&amp;$H$4&amp;C366,BalancesMensuales1!$A$2:$E$20009,5,0)+0,0)/A6</f>
        <v>0</v>
      </c>
      <c r="Z366">
        <f t="shared" si="26"/>
        <v>149</v>
      </c>
      <c r="AA366">
        <f>ClientesRIB!A151</f>
        <v>0</v>
      </c>
      <c r="AB366" t="str">
        <f>ClientesRIB!D151&amp;" - "&amp;ClientesRIB!F151</f>
        <v xml:space="preserve"> - </v>
      </c>
      <c r="AC366">
        <f>ClientesRIB!E151</f>
        <v>0</v>
      </c>
    </row>
    <row r="367" spans="3:29" hidden="1">
      <c r="C367">
        <v>98</v>
      </c>
      <c r="D367">
        <f>IFERROR(VLOOKUP($A$4&amp;$D$4&amp;C367,BalancesAnuales1!$A$2:$E$20009,5,0)+0,0)/A6</f>
        <v>0</v>
      </c>
      <c r="E367">
        <f>IFERROR(VLOOKUP($A$4&amp;$E$4&amp;C367,BalancesAnuales1!$A$2:$E$20009,5,0)+0,0)/A6</f>
        <v>0</v>
      </c>
      <c r="F367">
        <f>IFERROR(VLOOKUP($A$4&amp;$F$4&amp;C367,BalancesAnuales1!$A$2:$E$20009,5,0)+0,0)/A6</f>
        <v>0</v>
      </c>
      <c r="G367">
        <f>IFERROR(VLOOKUP($A$4&amp;$G$4&amp;C367,BalancesMensuales1!$A$2:$E$20009,5,0)+0,0)/A6</f>
        <v>0</v>
      </c>
      <c r="H367">
        <f>IFERROR(VLOOKUP($A$4&amp;$H$4&amp;C367,BalancesMensuales1!$A$2:$E$20009,5,0)+0,0)/A6</f>
        <v>0</v>
      </c>
      <c r="Z367">
        <f t="shared" si="26"/>
        <v>150</v>
      </c>
      <c r="AA367">
        <f>ClientesRIB!A152</f>
        <v>0</v>
      </c>
      <c r="AB367" t="str">
        <f>ClientesRIB!D152&amp;" - "&amp;ClientesRIB!F152</f>
        <v xml:space="preserve"> - </v>
      </c>
      <c r="AC367">
        <f>ClientesRIB!E152</f>
        <v>0</v>
      </c>
    </row>
    <row r="368" spans="3:29" hidden="1">
      <c r="C368">
        <v>97</v>
      </c>
      <c r="D368">
        <f>IFERROR(VLOOKUP($A$4&amp;$D$4&amp;C368,BalancesAnuales1!$A$2:$E$20009,5,0)+0,0)/A6</f>
        <v>0</v>
      </c>
      <c r="E368">
        <f>IFERROR(VLOOKUP($A$4&amp;$E$4&amp;C368,BalancesAnuales1!$A$2:$E$20009,5,0)+0,0)/A6</f>
        <v>0</v>
      </c>
      <c r="F368">
        <f>IFERROR(VLOOKUP($A$4&amp;$F$4&amp;C368,BalancesAnuales1!$A$2:$E$20009,5,0)+0,0)/A6</f>
        <v>0</v>
      </c>
      <c r="G368">
        <f>IFERROR(VLOOKUP($A$4&amp;$G$4&amp;C368,BalancesMensuales1!$A$2:$E$20009,5,0)+0,0)/A6</f>
        <v>0</v>
      </c>
      <c r="H368">
        <f>IFERROR(VLOOKUP($A$4&amp;$H$4&amp;C368,BalancesMensuales1!$A$2:$E$20009,5,0)+0,0)/A6</f>
        <v>0</v>
      </c>
    </row>
    <row r="369" spans="1:29" hidden="1">
      <c r="C369">
        <v>54</v>
      </c>
      <c r="D369">
        <f>IFERROR(VLOOKUP($A$4&amp;$D$4&amp;C369,BalancesAnuales1!$A$2:$E$20009,5,0)+0,0)/A6</f>
        <v>0</v>
      </c>
      <c r="E369">
        <f>IFERROR(VLOOKUP($A$4&amp;$E$4&amp;C369,BalancesAnuales1!$A$2:$E$20009,5,0)+0,0)/A6</f>
        <v>0</v>
      </c>
      <c r="F369">
        <f>IFERROR(VLOOKUP($A$4&amp;$F$4&amp;C369,BalancesAnuales1!$A$2:$E$20009,5,0)+0,0)/A6</f>
        <v>0</v>
      </c>
      <c r="G369">
        <f>IFERROR(VLOOKUP($A$4&amp;$G$4&amp;C369,BalancesMensuales1!$A$2:$E$20009,5,0)+0,0)/A6</f>
        <v>0</v>
      </c>
      <c r="H369">
        <f>IFERROR(VLOOKUP($A$4&amp;$H$4&amp;C369,BalancesMensuales1!$A$2:$E$20009,5,0)+0,0)/A6</f>
        <v>0</v>
      </c>
      <c r="AA369" t="s">
        <v>108</v>
      </c>
    </row>
    <row r="370" spans="1:29" hidden="1">
      <c r="C370">
        <v>99</v>
      </c>
      <c r="D370">
        <f>IFERROR(VLOOKUP($A$4&amp;$D$4&amp;C370,BalancesAnuales1!$A$2:$E$20009,5,0)+0,0)/A6</f>
        <v>0</v>
      </c>
      <c r="E370">
        <f>IFERROR(VLOOKUP($A$4&amp;$E$4&amp;C370,BalancesAnuales1!$A$2:$E$20009,5,0)+0,0)/A6</f>
        <v>0</v>
      </c>
      <c r="F370">
        <f>IFERROR(VLOOKUP($A$4&amp;$F$4&amp;C370,BalancesAnuales1!$A$2:$E$20009,5,0)+0,0)/A6</f>
        <v>0</v>
      </c>
      <c r="G370">
        <f>IFERROR(VLOOKUP($A$4&amp;$G$4&amp;C370,BalancesMensuales1!$A$2:$E$20009,5,0)+0,0)/A6</f>
        <v>0</v>
      </c>
      <c r="H370">
        <f>IFERROR(VLOOKUP($A$4&amp;$H$4&amp;C370,BalancesMensuales1!$A$2:$E$20009,5,0)+0,0)/A6</f>
        <v>0</v>
      </c>
      <c r="AA370" t="s">
        <v>33</v>
      </c>
      <c r="AB370" t="s">
        <v>114</v>
      </c>
      <c r="AC370" t="s">
        <v>113</v>
      </c>
    </row>
    <row r="371" spans="1:29" hidden="1">
      <c r="C371">
        <v>50</v>
      </c>
      <c r="D371">
        <f>IFERROR(VLOOKUP($A$4&amp;$D$4&amp;C371,BalancesAnuales1!$A$2:$E$20009,5,0)+0,0)/$A$6</f>
        <v>0</v>
      </c>
      <c r="E371">
        <f>IFERROR(VLOOKUP($A$4&amp;$E$4&amp;C371,BalancesAnuales1!$A$2:$E$20009,5,0)+0,0)/$A$6</f>
        <v>0</v>
      </c>
      <c r="F371">
        <f>IFERROR(VLOOKUP($A$4&amp;$F$4&amp;C371,BalancesAnuales1!$A$2:$E$20009,5,0)+0,0)/$A$6</f>
        <v>0</v>
      </c>
      <c r="G371">
        <f>IFERROR(VLOOKUP($A$4&amp;$G$4&amp;C371,BalancesMensuales1!$A$2:$E$20009,5,0)+0,0)/$A$6</f>
        <v>0</v>
      </c>
      <c r="H371">
        <f>IFERROR(VLOOKUP($A$4&amp;$H$4&amp;C371,BalancesMensuales1!$A$2:$E$20009,5,0)+0,0)/$A$6</f>
        <v>0</v>
      </c>
      <c r="I371" t="s">
        <v>115</v>
      </c>
      <c r="Z371">
        <f t="shared" ref="Z371:Z402" si="27">IF(AA371=$A$4,Z370+1,0)</f>
        <v>1</v>
      </c>
      <c r="AA371">
        <f>ProveedoresRib!A3</f>
        <v>0</v>
      </c>
      <c r="AB371" t="str">
        <f>ProveedoresRib!D3&amp;" - "&amp;ProveedoresRib!F3&amp;" - "&amp;ProveedoresRib!E3</f>
        <v xml:space="preserve"> -  - </v>
      </c>
      <c r="AC371">
        <f>ProveedoresRib!G3</f>
        <v>0</v>
      </c>
    </row>
    <row r="372" spans="1:29" hidden="1">
      <c r="C372">
        <v>55</v>
      </c>
      <c r="D372">
        <f>IFERROR(VLOOKUP($A$4&amp;$D$4&amp;C372,BalancesAnuales1!$A$2:$E$20009,5,0)+0,0)/$A$6</f>
        <v>0</v>
      </c>
      <c r="E372">
        <f>IFERROR(VLOOKUP($A$4&amp;$E$4&amp;C372,BalancesAnuales1!$A$2:$E$20009,5,0)+0,0)/$A$6</f>
        <v>0</v>
      </c>
      <c r="F372">
        <f>IFERROR(VLOOKUP($A$4&amp;$F$4&amp;C372,BalancesAnuales1!$A$2:$E$20009,5,0)+0,0)/$A$6</f>
        <v>0</v>
      </c>
      <c r="G372">
        <f>IFERROR(VLOOKUP($A$4&amp;$G$4&amp;C372,BalancesMensuales1!$A$2:$E$20009,5,0)+0,0)/$A$6</f>
        <v>0</v>
      </c>
      <c r="H372">
        <f>IFERROR(VLOOKUP($A$4&amp;$H$4&amp;C372,BalancesMensuales1!$A$2:$E$20009,5,0)+0,0)/$A$6</f>
        <v>0</v>
      </c>
      <c r="I372" t="s">
        <v>116</v>
      </c>
      <c r="Z372">
        <f t="shared" si="27"/>
        <v>2</v>
      </c>
      <c r="AA372">
        <f>ProveedoresRib!A4</f>
        <v>0</v>
      </c>
      <c r="AB372" t="str">
        <f>ProveedoresRib!D4&amp;" - "&amp;ProveedoresRib!F4&amp;" - "&amp;ProveedoresRib!E4</f>
        <v xml:space="preserve"> -  - </v>
      </c>
      <c r="AC372">
        <f>ProveedoresRib!G4</f>
        <v>0</v>
      </c>
    </row>
    <row r="373" spans="1:29" hidden="1">
      <c r="C373">
        <v>56</v>
      </c>
      <c r="D373">
        <f>IFERROR(VLOOKUP($A$4&amp;$D$4&amp;C373,BalancesAnuales1!$A$2:$E$20009,5,0)+0,0)/$A$6</f>
        <v>0</v>
      </c>
      <c r="E373">
        <f>IFERROR(VLOOKUP($A$4&amp;$E$4&amp;C373,BalancesAnuales1!$A$2:$E$20009,5,0)+0,0)/$A$6</f>
        <v>0</v>
      </c>
      <c r="F373">
        <f>IFERROR(VLOOKUP($A$4&amp;$F$4&amp;C373,BalancesAnuales1!$A$2:$E$20009,5,0)+0,0)/$A$6</f>
        <v>0</v>
      </c>
      <c r="G373">
        <f>IFERROR(VLOOKUP($A$4&amp;$G$4&amp;C373,BalancesMensuales1!$A$2:$E$20009,5,0)+0,0)/$A$6</f>
        <v>0</v>
      </c>
      <c r="H373">
        <f>IFERROR(VLOOKUP($A$4&amp;$H$4&amp;C373,BalancesMensuales1!$A$2:$E$20009,5,0)+0,0)/$A$6</f>
        <v>0</v>
      </c>
      <c r="I373" t="s">
        <v>117</v>
      </c>
      <c r="Z373">
        <f t="shared" si="27"/>
        <v>3</v>
      </c>
      <c r="AA373">
        <f>ProveedoresRib!A5</f>
        <v>0</v>
      </c>
      <c r="AB373" t="str">
        <f>ProveedoresRib!D5&amp;" - "&amp;ProveedoresRib!F5&amp;" - "&amp;ProveedoresRib!E5</f>
        <v xml:space="preserve"> -  - </v>
      </c>
      <c r="AC373">
        <f>ProveedoresRib!G5</f>
        <v>0</v>
      </c>
    </row>
    <row r="374" spans="1:29" hidden="1">
      <c r="C374">
        <v>138000</v>
      </c>
      <c r="D374">
        <f>IFERROR(VLOOKUP($A$4&amp;$D$4&amp;C374,BalancesAnuales1!$A$2:$E$20009,5,0)+0,0)/$A$6</f>
        <v>0</v>
      </c>
      <c r="E374">
        <f>IFERROR(VLOOKUP($A$4&amp;$E$4&amp;C374,BalancesAnuales1!$A$2:$E$20009,5,0)+0,0)/$A$6</f>
        <v>0</v>
      </c>
      <c r="F374">
        <f>IFERROR(VLOOKUP($A$4&amp;$F$4&amp;C374,BalancesAnuales1!$A$2:$E$20009,5,0)+0,0)/$A$6</f>
        <v>0</v>
      </c>
      <c r="G374">
        <f>IFERROR(VLOOKUP($A$4&amp;$G$4&amp;C374,BalancesMensuales1!$A$2:$E$20009,5,0)+0,0)/$A$6</f>
        <v>0</v>
      </c>
      <c r="H374">
        <f>IFERROR(VLOOKUP($A$4&amp;$H$4&amp;C374,BalancesMensuales1!$A$2:$E$20009,5,0)+0,0)/$A$6</f>
        <v>0</v>
      </c>
      <c r="I374" t="s">
        <v>118</v>
      </c>
      <c r="Z374">
        <f t="shared" si="27"/>
        <v>4</v>
      </c>
      <c r="AA374">
        <f>ProveedoresRib!A6</f>
        <v>0</v>
      </c>
      <c r="AB374" t="str">
        <f>ProveedoresRib!D6&amp;" - "&amp;ProveedoresRib!F6&amp;" - "&amp;ProveedoresRib!E6</f>
        <v xml:space="preserve"> -  - </v>
      </c>
      <c r="AC374">
        <f>ProveedoresRib!G6</f>
        <v>0</v>
      </c>
    </row>
    <row r="375" spans="1:29" hidden="1">
      <c r="C375">
        <v>39</v>
      </c>
      <c r="D375">
        <f>IFERROR(VLOOKUP($A$4&amp;$D$4&amp;C375,BalancesAnuales1!$A$2:$E$20009,5,0)+0,0)/$A$6</f>
        <v>0</v>
      </c>
      <c r="E375">
        <f>IFERROR(VLOOKUP($A$4&amp;$E$4&amp;C375,BalancesAnuales1!$A$2:$E$20009,5,0)+0,0)/$A$6</f>
        <v>0</v>
      </c>
      <c r="F375">
        <f>IFERROR(VLOOKUP($A$4&amp;$F$4&amp;C375,BalancesAnuales1!$A$2:$E$20009,5,0)+0,0)/$A$6</f>
        <v>0</v>
      </c>
      <c r="G375">
        <f>IFERROR(VLOOKUP($A$4&amp;$G$4&amp;C375,BalancesMensuales1!$A$2:$E$20009,5,0)+0,0)/$A$6</f>
        <v>0</v>
      </c>
      <c r="H375">
        <f>IFERROR(VLOOKUP($A$4&amp;$H$4&amp;C375,BalancesMensuales1!$A$2:$E$20009,5,0)+0,0)/$A$6</f>
        <v>0</v>
      </c>
      <c r="I375" t="s">
        <v>119</v>
      </c>
      <c r="Z375">
        <f t="shared" si="27"/>
        <v>5</v>
      </c>
      <c r="AA375">
        <f>ProveedoresRib!A7</f>
        <v>0</v>
      </c>
      <c r="AB375" t="str">
        <f>ProveedoresRib!D7&amp;" - "&amp;ProveedoresRib!F7&amp;" - "&amp;ProveedoresRib!E7</f>
        <v xml:space="preserve"> -  - </v>
      </c>
      <c r="AC375">
        <f>ProveedoresRib!G7</f>
        <v>0</v>
      </c>
    </row>
    <row r="376" spans="1:29" hidden="1">
      <c r="Z376">
        <f t="shared" si="27"/>
        <v>6</v>
      </c>
      <c r="AA376">
        <f>ProveedoresRib!A8</f>
        <v>0</v>
      </c>
      <c r="AB376" t="str">
        <f>ProveedoresRib!D8&amp;" - "&amp;ProveedoresRib!F8&amp;" - "&amp;ProveedoresRib!E8</f>
        <v xml:space="preserve"> -  - </v>
      </c>
      <c r="AC376">
        <f>ProveedoresRib!G8</f>
        <v>0</v>
      </c>
    </row>
    <row r="377" spans="1:29" hidden="1">
      <c r="Z377">
        <f t="shared" si="27"/>
        <v>7</v>
      </c>
      <c r="AA377">
        <f>ProveedoresRib!A9</f>
        <v>0</v>
      </c>
      <c r="AB377" t="str">
        <f>ProveedoresRib!D9&amp;" - "&amp;ProveedoresRib!F9&amp;" - "&amp;ProveedoresRib!E9</f>
        <v xml:space="preserve"> -  - </v>
      </c>
      <c r="AC377">
        <f>ProveedoresRib!G9</f>
        <v>0</v>
      </c>
    </row>
    <row r="378" spans="1:29" hidden="1">
      <c r="Z378">
        <f t="shared" si="27"/>
        <v>8</v>
      </c>
      <c r="AA378">
        <f>ProveedoresRib!A10</f>
        <v>0</v>
      </c>
      <c r="AB378" t="str">
        <f>ProveedoresRib!D10&amp;" - "&amp;ProveedoresRib!F10&amp;" - "&amp;ProveedoresRib!E10</f>
        <v xml:space="preserve"> -  - </v>
      </c>
      <c r="AC378">
        <f>ProveedoresRib!G10</f>
        <v>0</v>
      </c>
    </row>
    <row r="379" spans="1:29" hidden="1">
      <c r="A379" t="s">
        <v>120</v>
      </c>
      <c r="Z379">
        <f t="shared" si="27"/>
        <v>9</v>
      </c>
      <c r="AA379">
        <f>ProveedoresRib!A11</f>
        <v>0</v>
      </c>
      <c r="AB379" t="str">
        <f>ProveedoresRib!D11&amp;" - "&amp;ProveedoresRib!F11&amp;" - "&amp;ProveedoresRib!E11</f>
        <v xml:space="preserve"> -  - </v>
      </c>
      <c r="AC379">
        <f>ProveedoresRib!G11</f>
        <v>0</v>
      </c>
    </row>
    <row r="380" spans="1:29" hidden="1">
      <c r="A380" t="str">
        <f>'Accionistas y Juntas'!B4</f>
        <v>Documento</v>
      </c>
      <c r="B380" t="str">
        <f>'Accionistas y Juntas'!C4</f>
        <v>Nombre del Accionista</v>
      </c>
      <c r="C380" t="str">
        <f>'Accionistas y Juntas'!D4</f>
        <v>Participación</v>
      </c>
      <c r="F380" t="str">
        <f>'Accionistas y Juntas'!F4</f>
        <v>Documento</v>
      </c>
      <c r="G380" t="str">
        <f>'Accionistas y Juntas'!G4</f>
        <v>Nombre del Accionista</v>
      </c>
      <c r="H380" t="str">
        <f>'Accionistas y Juntas'!H4</f>
        <v>Jerarquía</v>
      </c>
      <c r="Z380">
        <f t="shared" si="27"/>
        <v>10</v>
      </c>
      <c r="AA380">
        <f>ProveedoresRib!A12</f>
        <v>0</v>
      </c>
      <c r="AB380" t="str">
        <f>ProveedoresRib!D12&amp;" - "&amp;ProveedoresRib!F12&amp;" - "&amp;ProveedoresRib!E12</f>
        <v xml:space="preserve"> -  - </v>
      </c>
      <c r="AC380">
        <f>ProveedoresRib!G12</f>
        <v>0</v>
      </c>
    </row>
    <row r="381" spans="1:29" hidden="1">
      <c r="A381" s="3407" t="str">
        <f>'Accionistas y Juntas'!B5</f>
        <v/>
      </c>
      <c r="B381" t="str">
        <f>'Accionistas y Juntas'!C5</f>
        <v/>
      </c>
      <c r="C381" t="str">
        <f>'Accionistas y Juntas'!D5</f>
        <v/>
      </c>
      <c r="D381">
        <f t="shared" ref="D381:D390" si="28">IF(AND(A381&lt;&gt;0,B381&lt;&gt;0,C381&lt;&gt;0),0,IF(AND(C381=0,B381=0,A381=0),0,"Error"))</f>
        <v>0</v>
      </c>
      <c r="F381" s="3407" t="str">
        <f>'Accionistas y Juntas'!F5</f>
        <v/>
      </c>
      <c r="G381" t="str">
        <f>'Accionistas y Juntas'!G5</f>
        <v/>
      </c>
      <c r="H381" t="str">
        <f>'Accionistas y Juntas'!H5</f>
        <v/>
      </c>
      <c r="I381">
        <f t="shared" ref="I381:I391" si="29">IF(AND(F381&lt;&gt;0,G381&lt;&gt;0,H381&lt;&gt;0),0,IF(AND(H381=0,G381=0,F381=0),0,"Error"))</f>
        <v>0</v>
      </c>
      <c r="Z381">
        <f t="shared" si="27"/>
        <v>11</v>
      </c>
      <c r="AA381">
        <f>ProveedoresRib!A13</f>
        <v>0</v>
      </c>
      <c r="AB381" t="str">
        <f>ProveedoresRib!D13&amp;" - "&amp;ProveedoresRib!F13&amp;" - "&amp;ProveedoresRib!E13</f>
        <v xml:space="preserve"> -  - </v>
      </c>
      <c r="AC381">
        <f>ProveedoresRib!G13</f>
        <v>0</v>
      </c>
    </row>
    <row r="382" spans="1:29" hidden="1">
      <c r="A382" s="3407" t="str">
        <f>'Accionistas y Juntas'!B6</f>
        <v/>
      </c>
      <c r="B382" t="str">
        <f>'Accionistas y Juntas'!C6</f>
        <v/>
      </c>
      <c r="C382" t="str">
        <f>'Accionistas y Juntas'!D6</f>
        <v/>
      </c>
      <c r="D382">
        <f t="shared" si="28"/>
        <v>0</v>
      </c>
      <c r="F382" s="3407" t="str">
        <f>'Accionistas y Juntas'!F6</f>
        <v/>
      </c>
      <c r="G382" t="str">
        <f>'Accionistas y Juntas'!G6</f>
        <v/>
      </c>
      <c r="H382" t="str">
        <f>'Accionistas y Juntas'!H6</f>
        <v/>
      </c>
      <c r="I382">
        <f t="shared" si="29"/>
        <v>0</v>
      </c>
      <c r="Z382">
        <f t="shared" si="27"/>
        <v>12</v>
      </c>
      <c r="AA382">
        <f>ProveedoresRib!A14</f>
        <v>0</v>
      </c>
      <c r="AB382" t="str">
        <f>ProveedoresRib!D14&amp;" - "&amp;ProveedoresRib!F14&amp;" - "&amp;ProveedoresRib!E14</f>
        <v xml:space="preserve"> -  - </v>
      </c>
      <c r="AC382">
        <f>ProveedoresRib!G14</f>
        <v>0</v>
      </c>
    </row>
    <row r="383" spans="1:29" hidden="1">
      <c r="A383" s="3407" t="str">
        <f>'Accionistas y Juntas'!B7</f>
        <v/>
      </c>
      <c r="B383" t="str">
        <f>'Accionistas y Juntas'!C7</f>
        <v/>
      </c>
      <c r="C383" t="str">
        <f>'Accionistas y Juntas'!D7</f>
        <v/>
      </c>
      <c r="D383">
        <f t="shared" si="28"/>
        <v>0</v>
      </c>
      <c r="F383" s="3407" t="str">
        <f>'Accionistas y Juntas'!F7</f>
        <v/>
      </c>
      <c r="G383" t="str">
        <f>'Accionistas y Juntas'!G7</f>
        <v/>
      </c>
      <c r="H383" t="str">
        <f>'Accionistas y Juntas'!H7</f>
        <v/>
      </c>
      <c r="I383">
        <f t="shared" si="29"/>
        <v>0</v>
      </c>
      <c r="Z383">
        <f t="shared" si="27"/>
        <v>13</v>
      </c>
      <c r="AA383">
        <f>ProveedoresRib!A15</f>
        <v>0</v>
      </c>
      <c r="AB383" t="str">
        <f>ProveedoresRib!D15&amp;" - "&amp;ProveedoresRib!F15&amp;" - "&amp;ProveedoresRib!E15</f>
        <v xml:space="preserve"> -  - </v>
      </c>
      <c r="AC383">
        <f>ProveedoresRib!G15</f>
        <v>0</v>
      </c>
    </row>
    <row r="384" spans="1:29" hidden="1">
      <c r="A384" s="3407" t="str">
        <f>'Accionistas y Juntas'!B8</f>
        <v/>
      </c>
      <c r="B384" t="str">
        <f>'Accionistas y Juntas'!C8</f>
        <v/>
      </c>
      <c r="C384" t="str">
        <f>'Accionistas y Juntas'!D8</f>
        <v/>
      </c>
      <c r="D384">
        <f t="shared" si="28"/>
        <v>0</v>
      </c>
      <c r="F384" s="3407" t="str">
        <f>'Accionistas y Juntas'!F8</f>
        <v/>
      </c>
      <c r="G384" t="str">
        <f>'Accionistas y Juntas'!G8</f>
        <v/>
      </c>
      <c r="H384" t="str">
        <f>'Accionistas y Juntas'!H8</f>
        <v/>
      </c>
      <c r="I384">
        <f t="shared" si="29"/>
        <v>0</v>
      </c>
      <c r="Z384">
        <f t="shared" si="27"/>
        <v>14</v>
      </c>
      <c r="AA384">
        <f>ProveedoresRib!A16</f>
        <v>0</v>
      </c>
      <c r="AB384" t="str">
        <f>ProveedoresRib!D16&amp;" - "&amp;ProveedoresRib!F16&amp;" - "&amp;ProveedoresRib!E16</f>
        <v xml:space="preserve"> -  - </v>
      </c>
      <c r="AC384">
        <f>ProveedoresRib!G16</f>
        <v>0</v>
      </c>
    </row>
    <row r="385" spans="1:29" hidden="1">
      <c r="A385" s="3407" t="str">
        <f>'Accionistas y Juntas'!B9</f>
        <v/>
      </c>
      <c r="B385" t="str">
        <f>'Accionistas y Juntas'!C9</f>
        <v/>
      </c>
      <c r="C385" t="str">
        <f>'Accionistas y Juntas'!D9</f>
        <v/>
      </c>
      <c r="D385">
        <f t="shared" si="28"/>
        <v>0</v>
      </c>
      <c r="F385" s="3407" t="str">
        <f>'Accionistas y Juntas'!F9</f>
        <v/>
      </c>
      <c r="G385" t="str">
        <f>'Accionistas y Juntas'!G9</f>
        <v/>
      </c>
      <c r="H385" t="str">
        <f>'Accionistas y Juntas'!H9</f>
        <v/>
      </c>
      <c r="I385">
        <f t="shared" si="29"/>
        <v>0</v>
      </c>
      <c r="Z385">
        <f t="shared" si="27"/>
        <v>15</v>
      </c>
      <c r="AA385">
        <f>ProveedoresRib!A17</f>
        <v>0</v>
      </c>
      <c r="AB385" t="str">
        <f>ProveedoresRib!D17&amp;" - "&amp;ProveedoresRib!F17&amp;" - "&amp;ProveedoresRib!E17</f>
        <v xml:space="preserve"> -  - </v>
      </c>
      <c r="AC385">
        <f>ProveedoresRib!G17</f>
        <v>0</v>
      </c>
    </row>
    <row r="386" spans="1:29" hidden="1">
      <c r="A386" s="3407" t="str">
        <f>'Accionistas y Juntas'!B10</f>
        <v/>
      </c>
      <c r="B386" t="str">
        <f>'Accionistas y Juntas'!C10</f>
        <v/>
      </c>
      <c r="C386" t="str">
        <f>'Accionistas y Juntas'!D10</f>
        <v/>
      </c>
      <c r="D386">
        <f t="shared" si="28"/>
        <v>0</v>
      </c>
      <c r="F386" s="3407" t="str">
        <f>'Accionistas y Juntas'!F10</f>
        <v/>
      </c>
      <c r="G386" t="str">
        <f>'Accionistas y Juntas'!G10</f>
        <v/>
      </c>
      <c r="H386" t="str">
        <f>'Accionistas y Juntas'!H10</f>
        <v/>
      </c>
      <c r="I386">
        <f t="shared" si="29"/>
        <v>0</v>
      </c>
      <c r="Z386">
        <f t="shared" si="27"/>
        <v>16</v>
      </c>
      <c r="AA386">
        <f>ProveedoresRib!A18</f>
        <v>0</v>
      </c>
      <c r="AB386" t="str">
        <f>ProveedoresRib!D18&amp;" - "&amp;ProveedoresRib!F18&amp;" - "&amp;ProveedoresRib!E18</f>
        <v xml:space="preserve"> -  - </v>
      </c>
      <c r="AC386">
        <f>ProveedoresRib!G18</f>
        <v>0</v>
      </c>
    </row>
    <row r="387" spans="1:29" hidden="1">
      <c r="A387" s="3407" t="str">
        <f>'Accionistas y Juntas'!B11</f>
        <v/>
      </c>
      <c r="B387" t="str">
        <f>'Accionistas y Juntas'!C11</f>
        <v/>
      </c>
      <c r="C387" t="str">
        <f>'Accionistas y Juntas'!D11</f>
        <v/>
      </c>
      <c r="D387">
        <f t="shared" si="28"/>
        <v>0</v>
      </c>
      <c r="F387" s="3407" t="str">
        <f>'Accionistas y Juntas'!F11</f>
        <v/>
      </c>
      <c r="G387" t="str">
        <f>'Accionistas y Juntas'!G11</f>
        <v/>
      </c>
      <c r="H387" t="str">
        <f>'Accionistas y Juntas'!H11</f>
        <v/>
      </c>
      <c r="I387">
        <f t="shared" si="29"/>
        <v>0</v>
      </c>
      <c r="Z387">
        <f t="shared" si="27"/>
        <v>17</v>
      </c>
      <c r="AA387">
        <f>ProveedoresRib!A19</f>
        <v>0</v>
      </c>
      <c r="AB387" t="str">
        <f>ProveedoresRib!D19&amp;" - "&amp;ProveedoresRib!F19&amp;" - "&amp;ProveedoresRib!E19</f>
        <v xml:space="preserve"> -  - </v>
      </c>
      <c r="AC387">
        <f>ProveedoresRib!G19</f>
        <v>0</v>
      </c>
    </row>
    <row r="388" spans="1:29" hidden="1">
      <c r="A388" s="3407" t="str">
        <f>'Accionistas y Juntas'!B12</f>
        <v/>
      </c>
      <c r="B388" t="str">
        <f>'Accionistas y Juntas'!C12</f>
        <v/>
      </c>
      <c r="C388" t="str">
        <f>'Accionistas y Juntas'!D12</f>
        <v/>
      </c>
      <c r="D388">
        <f t="shared" si="28"/>
        <v>0</v>
      </c>
      <c r="F388" s="3407" t="str">
        <f>'Accionistas y Juntas'!F12</f>
        <v/>
      </c>
      <c r="G388" t="str">
        <f>'Accionistas y Juntas'!G12</f>
        <v/>
      </c>
      <c r="H388" t="str">
        <f>'Accionistas y Juntas'!H12</f>
        <v/>
      </c>
      <c r="I388">
        <f t="shared" si="29"/>
        <v>0</v>
      </c>
      <c r="Z388">
        <f t="shared" si="27"/>
        <v>18</v>
      </c>
      <c r="AA388">
        <f>ProveedoresRib!A20</f>
        <v>0</v>
      </c>
      <c r="AB388" t="str">
        <f>ProveedoresRib!D20&amp;" - "&amp;ProveedoresRib!F20&amp;" - "&amp;ProveedoresRib!E20</f>
        <v xml:space="preserve"> -  - </v>
      </c>
      <c r="AC388">
        <f>ProveedoresRib!G20</f>
        <v>0</v>
      </c>
    </row>
    <row r="389" spans="1:29" hidden="1">
      <c r="A389" s="3407" t="str">
        <f>'Accionistas y Juntas'!B13</f>
        <v/>
      </c>
      <c r="B389" t="str">
        <f>'Accionistas y Juntas'!C13</f>
        <v/>
      </c>
      <c r="C389" t="str">
        <f>'Accionistas y Juntas'!D13</f>
        <v/>
      </c>
      <c r="D389">
        <f t="shared" si="28"/>
        <v>0</v>
      </c>
      <c r="F389" s="3407" t="str">
        <f>'Accionistas y Juntas'!F13</f>
        <v/>
      </c>
      <c r="G389" t="str">
        <f>'Accionistas y Juntas'!G13</f>
        <v/>
      </c>
      <c r="H389" t="str">
        <f>'Accionistas y Juntas'!H13</f>
        <v/>
      </c>
      <c r="I389">
        <f t="shared" si="29"/>
        <v>0</v>
      </c>
      <c r="Z389">
        <f t="shared" si="27"/>
        <v>19</v>
      </c>
      <c r="AA389">
        <f>ProveedoresRib!A21</f>
        <v>0</v>
      </c>
      <c r="AB389" t="str">
        <f>ProveedoresRib!D21&amp;" - "&amp;ProveedoresRib!F21&amp;" - "&amp;ProveedoresRib!E21</f>
        <v xml:space="preserve"> -  - </v>
      </c>
      <c r="AC389">
        <f>ProveedoresRib!G21</f>
        <v>0</v>
      </c>
    </row>
    <row r="390" spans="1:29" hidden="1">
      <c r="A390" s="3407" t="str">
        <f>'Accionistas y Juntas'!B14</f>
        <v/>
      </c>
      <c r="B390" t="str">
        <f>'Accionistas y Juntas'!C14</f>
        <v/>
      </c>
      <c r="C390" t="str">
        <f>'Accionistas y Juntas'!D14</f>
        <v/>
      </c>
      <c r="D390">
        <f t="shared" si="28"/>
        <v>0</v>
      </c>
      <c r="F390" s="3407" t="str">
        <f>'Accionistas y Juntas'!F14</f>
        <v/>
      </c>
      <c r="G390" t="str">
        <f>'Accionistas y Juntas'!G14</f>
        <v/>
      </c>
      <c r="H390" t="str">
        <f>'Accionistas y Juntas'!H14</f>
        <v/>
      </c>
      <c r="I390">
        <f t="shared" si="29"/>
        <v>0</v>
      </c>
      <c r="Z390">
        <f t="shared" si="27"/>
        <v>20</v>
      </c>
      <c r="AA390">
        <f>ProveedoresRib!A22</f>
        <v>0</v>
      </c>
      <c r="AB390" t="str">
        <f>ProveedoresRib!D22&amp;" - "&amp;ProveedoresRib!F22&amp;" - "&amp;ProveedoresRib!E22</f>
        <v xml:space="preserve"> -  - </v>
      </c>
      <c r="AC390">
        <f>ProveedoresRib!G22</f>
        <v>0</v>
      </c>
    </row>
    <row r="391" spans="1:29" hidden="1">
      <c r="A391">
        <f>'Accionistas y Juntas'!B15</f>
        <v>0</v>
      </c>
      <c r="B391" t="str">
        <f>'Accionistas y Juntas'!C15</f>
        <v>Total</v>
      </c>
      <c r="C391">
        <f>'Accionistas y Juntas'!D15</f>
        <v>0</v>
      </c>
      <c r="D391">
        <f>IF(AND(C391&gt;0,C391&lt;95),1,0)</f>
        <v>0</v>
      </c>
      <c r="F391">
        <f>'Accionistas y Juntas'!F15</f>
        <v>0</v>
      </c>
      <c r="G391">
        <f>'Accionistas y Juntas'!G15</f>
        <v>0</v>
      </c>
      <c r="H391">
        <f>'Accionistas y Juntas'!H15</f>
        <v>0</v>
      </c>
      <c r="I391">
        <f t="shared" si="29"/>
        <v>0</v>
      </c>
      <c r="Z391">
        <f t="shared" si="27"/>
        <v>21</v>
      </c>
      <c r="AA391">
        <f>ProveedoresRib!A23</f>
        <v>0</v>
      </c>
      <c r="AB391" t="str">
        <f>ProveedoresRib!D23&amp;" - "&amp;ProveedoresRib!F23&amp;" - "&amp;ProveedoresRib!E23</f>
        <v xml:space="preserve"> -  - </v>
      </c>
      <c r="AC391">
        <f>ProveedoresRib!G23</f>
        <v>0</v>
      </c>
    </row>
    <row r="392" spans="1:29" hidden="1">
      <c r="D392">
        <f>SUM(D381:D391)</f>
        <v>0</v>
      </c>
      <c r="I392">
        <f>IF(SUM(F381:H391)=0,1,SUM(I381:I391))</f>
        <v>1</v>
      </c>
      <c r="Z392">
        <f t="shared" si="27"/>
        <v>22</v>
      </c>
      <c r="AA392">
        <f>ProveedoresRib!A24</f>
        <v>0</v>
      </c>
      <c r="AB392" t="str">
        <f>ProveedoresRib!D24&amp;" - "&amp;ProveedoresRib!F24&amp;" - "&amp;ProveedoresRib!E24</f>
        <v xml:space="preserve"> -  - </v>
      </c>
      <c r="AC392">
        <f>ProveedoresRib!G24</f>
        <v>0</v>
      </c>
    </row>
    <row r="393" spans="1:29" hidden="1">
      <c r="Z393">
        <f t="shared" si="27"/>
        <v>23</v>
      </c>
      <c r="AA393">
        <f>ProveedoresRib!A25</f>
        <v>0</v>
      </c>
      <c r="AB393" t="str">
        <f>ProveedoresRib!D25&amp;" - "&amp;ProveedoresRib!F25&amp;" - "&amp;ProveedoresRib!E25</f>
        <v xml:space="preserve"> -  - </v>
      </c>
      <c r="AC393">
        <f>ProveedoresRib!G25</f>
        <v>0</v>
      </c>
    </row>
    <row r="394" spans="1:29" hidden="1">
      <c r="Z394">
        <f t="shared" si="27"/>
        <v>24</v>
      </c>
      <c r="AA394">
        <f>ProveedoresRib!A26</f>
        <v>0</v>
      </c>
      <c r="AB394" t="str">
        <f>ProveedoresRib!D26&amp;" - "&amp;ProveedoresRib!F26&amp;" - "&amp;ProveedoresRib!E26</f>
        <v xml:space="preserve"> -  - </v>
      </c>
      <c r="AC394">
        <f>ProveedoresRib!G26</f>
        <v>0</v>
      </c>
    </row>
    <row r="395" spans="1:29" hidden="1">
      <c r="Z395">
        <f t="shared" si="27"/>
        <v>25</v>
      </c>
      <c r="AA395">
        <f>ProveedoresRib!A27</f>
        <v>0</v>
      </c>
      <c r="AB395" t="str">
        <f>ProveedoresRib!D27&amp;" - "&amp;ProveedoresRib!F27&amp;" - "&amp;ProveedoresRib!E27</f>
        <v xml:space="preserve"> -  - </v>
      </c>
      <c r="AC395">
        <f>ProveedoresRib!G27</f>
        <v>0</v>
      </c>
    </row>
    <row r="396" spans="1:29" hidden="1">
      <c r="Z396">
        <f t="shared" si="27"/>
        <v>26</v>
      </c>
      <c r="AA396">
        <f>ProveedoresRib!A28</f>
        <v>0</v>
      </c>
      <c r="AB396" t="str">
        <f>ProveedoresRib!D28&amp;" - "&amp;ProveedoresRib!F28&amp;" - "&amp;ProveedoresRib!E28</f>
        <v xml:space="preserve"> -  - </v>
      </c>
      <c r="AC396">
        <f>ProveedoresRib!G28</f>
        <v>0</v>
      </c>
    </row>
    <row r="397" spans="1:29" hidden="1">
      <c r="Z397">
        <f t="shared" si="27"/>
        <v>27</v>
      </c>
      <c r="AA397">
        <f>ProveedoresRib!A29</f>
        <v>0</v>
      </c>
      <c r="AB397" t="str">
        <f>ProveedoresRib!D29&amp;" - "&amp;ProveedoresRib!F29&amp;" - "&amp;ProveedoresRib!E29</f>
        <v xml:space="preserve"> -  - </v>
      </c>
      <c r="AC397">
        <f>ProveedoresRib!G29</f>
        <v>0</v>
      </c>
    </row>
    <row r="398" spans="1:29" hidden="1">
      <c r="Z398">
        <f t="shared" si="27"/>
        <v>28</v>
      </c>
      <c r="AA398">
        <f>ProveedoresRib!A30</f>
        <v>0</v>
      </c>
      <c r="AB398" t="str">
        <f>ProveedoresRib!D30&amp;" - "&amp;ProveedoresRib!F30&amp;" - "&amp;ProveedoresRib!E30</f>
        <v xml:space="preserve"> -  - </v>
      </c>
      <c r="AC398">
        <f>ProveedoresRib!G30</f>
        <v>0</v>
      </c>
    </row>
    <row r="399" spans="1:29" hidden="1">
      <c r="Z399">
        <f t="shared" si="27"/>
        <v>29</v>
      </c>
      <c r="AA399">
        <f>ProveedoresRib!A31</f>
        <v>0</v>
      </c>
      <c r="AB399" t="str">
        <f>ProveedoresRib!D31&amp;" - "&amp;ProveedoresRib!F31&amp;" - "&amp;ProveedoresRib!E31</f>
        <v xml:space="preserve"> -  - </v>
      </c>
      <c r="AC399">
        <f>ProveedoresRib!G31</f>
        <v>0</v>
      </c>
    </row>
    <row r="400" spans="1:29" hidden="1">
      <c r="Z400">
        <f t="shared" si="27"/>
        <v>30</v>
      </c>
      <c r="AA400">
        <f>ProveedoresRib!A32</f>
        <v>0</v>
      </c>
      <c r="AB400" t="str">
        <f>ProveedoresRib!D32&amp;" - "&amp;ProveedoresRib!F32&amp;" - "&amp;ProveedoresRib!E32</f>
        <v xml:space="preserve"> -  - </v>
      </c>
      <c r="AC400">
        <f>ProveedoresRib!G32</f>
        <v>0</v>
      </c>
    </row>
    <row r="401" spans="26:29" hidden="1">
      <c r="Z401">
        <f t="shared" si="27"/>
        <v>31</v>
      </c>
      <c r="AA401">
        <f>ProveedoresRib!A33</f>
        <v>0</v>
      </c>
      <c r="AB401" t="str">
        <f>ProveedoresRib!D33&amp;" - "&amp;ProveedoresRib!F33&amp;" - "&amp;ProveedoresRib!E33</f>
        <v xml:space="preserve"> -  - </v>
      </c>
      <c r="AC401">
        <f>ProveedoresRib!G33</f>
        <v>0</v>
      </c>
    </row>
    <row r="402" spans="26:29" hidden="1">
      <c r="Z402">
        <f t="shared" si="27"/>
        <v>32</v>
      </c>
      <c r="AA402">
        <f>ProveedoresRib!A34</f>
        <v>0</v>
      </c>
      <c r="AB402" t="str">
        <f>ProveedoresRib!D34&amp;" - "&amp;ProveedoresRib!F34&amp;" - "&amp;ProveedoresRib!E34</f>
        <v xml:space="preserve"> -  - </v>
      </c>
      <c r="AC402">
        <f>ProveedoresRib!G34</f>
        <v>0</v>
      </c>
    </row>
    <row r="403" spans="26:29" hidden="1">
      <c r="Z403">
        <f t="shared" ref="Z403:Z434" si="30">IF(AA403=$A$4,Z402+1,0)</f>
        <v>33</v>
      </c>
      <c r="AA403">
        <f>ProveedoresRib!A35</f>
        <v>0</v>
      </c>
      <c r="AB403" t="str">
        <f>ProveedoresRib!D35&amp;" - "&amp;ProveedoresRib!F35&amp;" - "&amp;ProveedoresRib!E35</f>
        <v xml:space="preserve"> -  - </v>
      </c>
      <c r="AC403">
        <f>ProveedoresRib!G35</f>
        <v>0</v>
      </c>
    </row>
    <row r="404" spans="26:29" hidden="1">
      <c r="Z404">
        <f t="shared" si="30"/>
        <v>34</v>
      </c>
      <c r="AA404">
        <f>ProveedoresRib!A36</f>
        <v>0</v>
      </c>
      <c r="AB404" t="str">
        <f>ProveedoresRib!D36&amp;" - "&amp;ProveedoresRib!F36&amp;" - "&amp;ProveedoresRib!E36</f>
        <v xml:space="preserve"> -  - </v>
      </c>
      <c r="AC404">
        <f>ProveedoresRib!G36</f>
        <v>0</v>
      </c>
    </row>
    <row r="405" spans="26:29" hidden="1">
      <c r="Z405">
        <f t="shared" si="30"/>
        <v>35</v>
      </c>
      <c r="AA405">
        <f>ProveedoresRib!A37</f>
        <v>0</v>
      </c>
      <c r="AB405" t="str">
        <f>ProveedoresRib!D37&amp;" - "&amp;ProveedoresRib!F37&amp;" - "&amp;ProveedoresRib!E37</f>
        <v xml:space="preserve"> -  - </v>
      </c>
      <c r="AC405">
        <f>ProveedoresRib!G37</f>
        <v>0</v>
      </c>
    </row>
    <row r="406" spans="26:29" hidden="1">
      <c r="Z406">
        <f t="shared" si="30"/>
        <v>36</v>
      </c>
      <c r="AA406">
        <f>ProveedoresRib!A38</f>
        <v>0</v>
      </c>
      <c r="AB406" t="str">
        <f>ProveedoresRib!D38&amp;" - "&amp;ProveedoresRib!F38&amp;" - "&amp;ProveedoresRib!E38</f>
        <v xml:space="preserve"> -  - </v>
      </c>
      <c r="AC406">
        <f>ProveedoresRib!G38</f>
        <v>0</v>
      </c>
    </row>
    <row r="407" spans="26:29" hidden="1">
      <c r="Z407">
        <f t="shared" si="30"/>
        <v>37</v>
      </c>
      <c r="AA407">
        <f>ProveedoresRib!A39</f>
        <v>0</v>
      </c>
      <c r="AB407" t="str">
        <f>ProveedoresRib!D39&amp;" - "&amp;ProveedoresRib!F39&amp;" - "&amp;ProveedoresRib!E39</f>
        <v xml:space="preserve"> -  - </v>
      </c>
      <c r="AC407">
        <f>ProveedoresRib!G39</f>
        <v>0</v>
      </c>
    </row>
    <row r="408" spans="26:29" hidden="1">
      <c r="Z408">
        <f t="shared" si="30"/>
        <v>38</v>
      </c>
      <c r="AA408">
        <f>ProveedoresRib!A40</f>
        <v>0</v>
      </c>
      <c r="AB408" t="str">
        <f>ProveedoresRib!D40&amp;" - "&amp;ProveedoresRib!F40&amp;" - "&amp;ProveedoresRib!E40</f>
        <v xml:space="preserve"> -  - </v>
      </c>
      <c r="AC408">
        <f>ProveedoresRib!G40</f>
        <v>0</v>
      </c>
    </row>
    <row r="409" spans="26:29" hidden="1">
      <c r="Z409">
        <f t="shared" si="30"/>
        <v>39</v>
      </c>
      <c r="AA409">
        <f>ProveedoresRib!A41</f>
        <v>0</v>
      </c>
      <c r="AB409" t="str">
        <f>ProveedoresRib!D41&amp;" - "&amp;ProveedoresRib!F41&amp;" - "&amp;ProveedoresRib!E41</f>
        <v xml:space="preserve"> -  - </v>
      </c>
      <c r="AC409">
        <f>ProveedoresRib!G41</f>
        <v>0</v>
      </c>
    </row>
    <row r="410" spans="26:29" hidden="1">
      <c r="Z410">
        <f t="shared" si="30"/>
        <v>40</v>
      </c>
      <c r="AA410">
        <f>ProveedoresRib!A42</f>
        <v>0</v>
      </c>
      <c r="AB410" t="str">
        <f>ProveedoresRib!D42&amp;" - "&amp;ProveedoresRib!F42&amp;" - "&amp;ProveedoresRib!E42</f>
        <v xml:space="preserve"> -  - </v>
      </c>
      <c r="AC410">
        <f>ProveedoresRib!G42</f>
        <v>0</v>
      </c>
    </row>
    <row r="411" spans="26:29" hidden="1">
      <c r="Z411">
        <f t="shared" si="30"/>
        <v>41</v>
      </c>
      <c r="AA411">
        <f>ProveedoresRib!A43</f>
        <v>0</v>
      </c>
      <c r="AB411" t="str">
        <f>ProveedoresRib!D43&amp;" - "&amp;ProveedoresRib!F43&amp;" - "&amp;ProveedoresRib!E43</f>
        <v xml:space="preserve"> -  - </v>
      </c>
      <c r="AC411">
        <f>ProveedoresRib!G43</f>
        <v>0</v>
      </c>
    </row>
    <row r="412" spans="26:29" hidden="1">
      <c r="Z412">
        <f t="shared" si="30"/>
        <v>42</v>
      </c>
      <c r="AA412">
        <f>ProveedoresRib!A44</f>
        <v>0</v>
      </c>
      <c r="AB412" t="str">
        <f>ProveedoresRib!D44&amp;" - "&amp;ProveedoresRib!F44&amp;" - "&amp;ProveedoresRib!E44</f>
        <v xml:space="preserve"> -  - </v>
      </c>
      <c r="AC412">
        <f>ProveedoresRib!G44</f>
        <v>0</v>
      </c>
    </row>
    <row r="413" spans="26:29" hidden="1">
      <c r="Z413">
        <f t="shared" si="30"/>
        <v>43</v>
      </c>
      <c r="AA413">
        <f>ProveedoresRib!A45</f>
        <v>0</v>
      </c>
      <c r="AB413" t="str">
        <f>ProveedoresRib!D45&amp;" - "&amp;ProveedoresRib!F45&amp;" - "&amp;ProveedoresRib!E45</f>
        <v xml:space="preserve"> -  - </v>
      </c>
      <c r="AC413">
        <f>ProveedoresRib!G45</f>
        <v>0</v>
      </c>
    </row>
    <row r="414" spans="26:29" hidden="1">
      <c r="Z414">
        <f t="shared" si="30"/>
        <v>44</v>
      </c>
      <c r="AA414">
        <f>ProveedoresRib!A46</f>
        <v>0</v>
      </c>
      <c r="AB414" t="str">
        <f>ProveedoresRib!D46&amp;" - "&amp;ProveedoresRib!F46&amp;" - "&amp;ProveedoresRib!E46</f>
        <v xml:space="preserve"> -  - </v>
      </c>
      <c r="AC414">
        <f>ProveedoresRib!G46</f>
        <v>0</v>
      </c>
    </row>
    <row r="415" spans="26:29" hidden="1">
      <c r="Z415">
        <f t="shared" si="30"/>
        <v>45</v>
      </c>
      <c r="AA415">
        <f>ProveedoresRib!A47</f>
        <v>0</v>
      </c>
      <c r="AB415" t="str">
        <f>ProveedoresRib!D47&amp;" - "&amp;ProveedoresRib!F47&amp;" - "&amp;ProveedoresRib!E47</f>
        <v xml:space="preserve"> -  - </v>
      </c>
      <c r="AC415">
        <f>ProveedoresRib!G47</f>
        <v>0</v>
      </c>
    </row>
    <row r="416" spans="26:29" hidden="1">
      <c r="Z416">
        <f t="shared" si="30"/>
        <v>46</v>
      </c>
      <c r="AA416">
        <f>ProveedoresRib!A48</f>
        <v>0</v>
      </c>
      <c r="AB416" t="str">
        <f>ProveedoresRib!D48&amp;" - "&amp;ProveedoresRib!F48&amp;" - "&amp;ProveedoresRib!E48</f>
        <v xml:space="preserve"> -  - </v>
      </c>
      <c r="AC416">
        <f>ProveedoresRib!G48</f>
        <v>0</v>
      </c>
    </row>
    <row r="417" spans="26:29" hidden="1">
      <c r="Z417">
        <f t="shared" si="30"/>
        <v>47</v>
      </c>
      <c r="AA417">
        <f>ProveedoresRib!A49</f>
        <v>0</v>
      </c>
      <c r="AB417" t="str">
        <f>ProveedoresRib!D49&amp;" - "&amp;ProveedoresRib!F49&amp;" - "&amp;ProveedoresRib!E49</f>
        <v xml:space="preserve"> -  - </v>
      </c>
      <c r="AC417">
        <f>ProveedoresRib!G49</f>
        <v>0</v>
      </c>
    </row>
    <row r="418" spans="26:29" hidden="1">
      <c r="Z418">
        <f t="shared" si="30"/>
        <v>48</v>
      </c>
      <c r="AA418">
        <f>ProveedoresRib!A50</f>
        <v>0</v>
      </c>
      <c r="AB418" t="str">
        <f>ProveedoresRib!D50&amp;" - "&amp;ProveedoresRib!F50&amp;" - "&amp;ProveedoresRib!E50</f>
        <v xml:space="preserve"> -  - </v>
      </c>
      <c r="AC418">
        <f>ProveedoresRib!G50</f>
        <v>0</v>
      </c>
    </row>
    <row r="419" spans="26:29" hidden="1">
      <c r="Z419">
        <f t="shared" si="30"/>
        <v>49</v>
      </c>
      <c r="AA419">
        <f>ProveedoresRib!A51</f>
        <v>0</v>
      </c>
      <c r="AB419" t="str">
        <f>ProveedoresRib!D51&amp;" - "&amp;ProveedoresRib!F51&amp;" - "&amp;ProveedoresRib!E51</f>
        <v xml:space="preserve"> -  - </v>
      </c>
      <c r="AC419">
        <f>ProveedoresRib!G51</f>
        <v>0</v>
      </c>
    </row>
    <row r="420" spans="26:29" hidden="1">
      <c r="Z420">
        <f t="shared" si="30"/>
        <v>50</v>
      </c>
      <c r="AA420">
        <f>ProveedoresRib!A52</f>
        <v>0</v>
      </c>
      <c r="AB420" t="str">
        <f>ProveedoresRib!D52&amp;" - "&amp;ProveedoresRib!F52&amp;" - "&amp;ProveedoresRib!E52</f>
        <v xml:space="preserve"> -  - </v>
      </c>
      <c r="AC420">
        <f>ProveedoresRib!G52</f>
        <v>0</v>
      </c>
    </row>
    <row r="421" spans="26:29" hidden="1">
      <c r="Z421">
        <f t="shared" si="30"/>
        <v>51</v>
      </c>
      <c r="AA421">
        <f>ProveedoresRib!A53</f>
        <v>0</v>
      </c>
      <c r="AB421" t="str">
        <f>ProveedoresRib!D53&amp;" - "&amp;ProveedoresRib!F53&amp;" - "&amp;ProveedoresRib!E53</f>
        <v xml:space="preserve"> -  - </v>
      </c>
      <c r="AC421">
        <f>ProveedoresRib!G53</f>
        <v>0</v>
      </c>
    </row>
    <row r="422" spans="26:29" hidden="1">
      <c r="Z422">
        <f t="shared" si="30"/>
        <v>52</v>
      </c>
      <c r="AA422">
        <f>ProveedoresRib!A54</f>
        <v>0</v>
      </c>
      <c r="AB422" t="str">
        <f>ProveedoresRib!D54&amp;" - "&amp;ProveedoresRib!F54&amp;" - "&amp;ProveedoresRib!E54</f>
        <v xml:space="preserve"> -  - </v>
      </c>
      <c r="AC422">
        <f>ProveedoresRib!G54</f>
        <v>0</v>
      </c>
    </row>
    <row r="423" spans="26:29" hidden="1">
      <c r="Z423">
        <f t="shared" si="30"/>
        <v>53</v>
      </c>
      <c r="AA423">
        <f>ProveedoresRib!A55</f>
        <v>0</v>
      </c>
      <c r="AB423" t="str">
        <f>ProveedoresRib!D55&amp;" - "&amp;ProveedoresRib!F55&amp;" - "&amp;ProveedoresRib!E55</f>
        <v xml:space="preserve"> -  - </v>
      </c>
      <c r="AC423">
        <f>ProveedoresRib!G55</f>
        <v>0</v>
      </c>
    </row>
    <row r="424" spans="26:29" hidden="1">
      <c r="Z424">
        <f t="shared" si="30"/>
        <v>54</v>
      </c>
      <c r="AA424">
        <f>ProveedoresRib!A56</f>
        <v>0</v>
      </c>
      <c r="AB424" t="str">
        <f>ProveedoresRib!D56&amp;" - "&amp;ProveedoresRib!F56&amp;" - "&amp;ProveedoresRib!E56</f>
        <v xml:space="preserve"> -  - </v>
      </c>
      <c r="AC424">
        <f>ProveedoresRib!G56</f>
        <v>0</v>
      </c>
    </row>
    <row r="425" spans="26:29" hidden="1">
      <c r="Z425">
        <f t="shared" si="30"/>
        <v>55</v>
      </c>
      <c r="AA425">
        <f>ProveedoresRib!A57</f>
        <v>0</v>
      </c>
      <c r="AB425" t="str">
        <f>ProveedoresRib!D57&amp;" - "&amp;ProveedoresRib!F57&amp;" - "&amp;ProveedoresRib!E57</f>
        <v xml:space="preserve"> -  - </v>
      </c>
      <c r="AC425">
        <f>ProveedoresRib!G57</f>
        <v>0</v>
      </c>
    </row>
    <row r="426" spans="26:29" hidden="1">
      <c r="Z426">
        <f t="shared" si="30"/>
        <v>56</v>
      </c>
      <c r="AA426">
        <f>ProveedoresRib!A58</f>
        <v>0</v>
      </c>
      <c r="AB426" t="str">
        <f>ProveedoresRib!D58&amp;" - "&amp;ProveedoresRib!F58&amp;" - "&amp;ProveedoresRib!E58</f>
        <v xml:space="preserve"> -  - </v>
      </c>
      <c r="AC426">
        <f>ProveedoresRib!G58</f>
        <v>0</v>
      </c>
    </row>
    <row r="427" spans="26:29" hidden="1">
      <c r="Z427">
        <f t="shared" si="30"/>
        <v>57</v>
      </c>
      <c r="AA427">
        <f>ProveedoresRib!A59</f>
        <v>0</v>
      </c>
      <c r="AB427" t="str">
        <f>ProveedoresRib!D59&amp;" - "&amp;ProveedoresRib!F59&amp;" - "&amp;ProveedoresRib!E59</f>
        <v xml:space="preserve"> -  - </v>
      </c>
      <c r="AC427">
        <f>ProveedoresRib!G59</f>
        <v>0</v>
      </c>
    </row>
    <row r="428" spans="26:29" hidden="1">
      <c r="Z428">
        <f t="shared" si="30"/>
        <v>58</v>
      </c>
      <c r="AA428">
        <f>ProveedoresRib!A60</f>
        <v>0</v>
      </c>
      <c r="AB428" t="str">
        <f>ProveedoresRib!D60&amp;" - "&amp;ProveedoresRib!F60&amp;" - "&amp;ProveedoresRib!E60</f>
        <v xml:space="preserve"> -  - </v>
      </c>
      <c r="AC428">
        <f>ProveedoresRib!G60</f>
        <v>0</v>
      </c>
    </row>
    <row r="429" spans="26:29" hidden="1">
      <c r="Z429">
        <f t="shared" si="30"/>
        <v>59</v>
      </c>
      <c r="AA429">
        <f>ProveedoresRib!A61</f>
        <v>0</v>
      </c>
      <c r="AB429" t="str">
        <f>ProveedoresRib!D61&amp;" - "&amp;ProveedoresRib!F61&amp;" - "&amp;ProveedoresRib!E61</f>
        <v xml:space="preserve"> -  - </v>
      </c>
      <c r="AC429">
        <f>ProveedoresRib!G61</f>
        <v>0</v>
      </c>
    </row>
    <row r="430" spans="26:29" hidden="1">
      <c r="Z430">
        <f t="shared" si="30"/>
        <v>60</v>
      </c>
      <c r="AA430">
        <f>ProveedoresRib!A62</f>
        <v>0</v>
      </c>
      <c r="AB430" t="str">
        <f>ProveedoresRib!D62&amp;" - "&amp;ProveedoresRib!F62&amp;" - "&amp;ProveedoresRib!E62</f>
        <v xml:space="preserve"> -  - </v>
      </c>
      <c r="AC430">
        <f>ProveedoresRib!G62</f>
        <v>0</v>
      </c>
    </row>
    <row r="431" spans="26:29" hidden="1">
      <c r="Z431">
        <f t="shared" si="30"/>
        <v>61</v>
      </c>
      <c r="AA431">
        <f>ProveedoresRib!A63</f>
        <v>0</v>
      </c>
      <c r="AB431" t="str">
        <f>ProveedoresRib!D63&amp;" - "&amp;ProveedoresRib!F63&amp;" - "&amp;ProveedoresRib!E63</f>
        <v xml:space="preserve"> -  - </v>
      </c>
      <c r="AC431">
        <f>ProveedoresRib!G63</f>
        <v>0</v>
      </c>
    </row>
    <row r="432" spans="26:29" hidden="1">
      <c r="Z432">
        <f t="shared" si="30"/>
        <v>62</v>
      </c>
      <c r="AA432">
        <f>ProveedoresRib!A64</f>
        <v>0</v>
      </c>
      <c r="AB432" t="str">
        <f>ProveedoresRib!D64&amp;" - "&amp;ProveedoresRib!F64&amp;" - "&amp;ProveedoresRib!E64</f>
        <v xml:space="preserve"> -  - </v>
      </c>
      <c r="AC432">
        <f>ProveedoresRib!G64</f>
        <v>0</v>
      </c>
    </row>
    <row r="433" spans="26:29" hidden="1">
      <c r="Z433">
        <f t="shared" si="30"/>
        <v>63</v>
      </c>
      <c r="AA433">
        <f>ProveedoresRib!A65</f>
        <v>0</v>
      </c>
      <c r="AB433" t="str">
        <f>ProveedoresRib!D65&amp;" - "&amp;ProveedoresRib!F65&amp;" - "&amp;ProveedoresRib!E65</f>
        <v xml:space="preserve"> -  - </v>
      </c>
      <c r="AC433">
        <f>ProveedoresRib!G65</f>
        <v>0</v>
      </c>
    </row>
    <row r="434" spans="26:29" hidden="1">
      <c r="Z434">
        <f t="shared" si="30"/>
        <v>64</v>
      </c>
      <c r="AA434">
        <f>ProveedoresRib!A66</f>
        <v>0</v>
      </c>
      <c r="AB434" t="str">
        <f>ProveedoresRib!D66&amp;" - "&amp;ProveedoresRib!F66&amp;" - "&amp;ProveedoresRib!E66</f>
        <v xml:space="preserve"> -  - </v>
      </c>
      <c r="AC434">
        <f>ProveedoresRib!G66</f>
        <v>0</v>
      </c>
    </row>
    <row r="435" spans="26:29" hidden="1">
      <c r="Z435">
        <f t="shared" ref="Z435:Z466" si="31">IF(AA435=$A$4,Z434+1,0)</f>
        <v>65</v>
      </c>
      <c r="AA435">
        <f>ProveedoresRib!A67</f>
        <v>0</v>
      </c>
      <c r="AB435" t="str">
        <f>ProveedoresRib!D67&amp;" - "&amp;ProveedoresRib!F67&amp;" - "&amp;ProveedoresRib!E67</f>
        <v xml:space="preserve"> -  - </v>
      </c>
      <c r="AC435">
        <f>ProveedoresRib!G67</f>
        <v>0</v>
      </c>
    </row>
    <row r="436" spans="26:29" hidden="1">
      <c r="Z436">
        <f t="shared" si="31"/>
        <v>66</v>
      </c>
      <c r="AA436">
        <f>ProveedoresRib!A68</f>
        <v>0</v>
      </c>
      <c r="AB436" t="str">
        <f>ProveedoresRib!D68&amp;" - "&amp;ProveedoresRib!F68&amp;" - "&amp;ProveedoresRib!E68</f>
        <v xml:space="preserve"> -  - </v>
      </c>
      <c r="AC436">
        <f>ProveedoresRib!G68</f>
        <v>0</v>
      </c>
    </row>
    <row r="437" spans="26:29" hidden="1">
      <c r="Z437">
        <f t="shared" si="31"/>
        <v>67</v>
      </c>
      <c r="AA437">
        <f>ProveedoresRib!A69</f>
        <v>0</v>
      </c>
      <c r="AB437" t="str">
        <f>ProveedoresRib!D69&amp;" - "&amp;ProveedoresRib!F69&amp;" - "&amp;ProveedoresRib!E69</f>
        <v xml:space="preserve"> -  - </v>
      </c>
      <c r="AC437">
        <f>ProveedoresRib!G69</f>
        <v>0</v>
      </c>
    </row>
    <row r="438" spans="26:29" hidden="1">
      <c r="Z438">
        <f t="shared" si="31"/>
        <v>68</v>
      </c>
      <c r="AA438">
        <f>ProveedoresRib!A70</f>
        <v>0</v>
      </c>
      <c r="AB438" t="str">
        <f>ProveedoresRib!D70&amp;" - "&amp;ProveedoresRib!F70&amp;" - "&amp;ProveedoresRib!E70</f>
        <v xml:space="preserve"> -  - </v>
      </c>
      <c r="AC438">
        <f>ProveedoresRib!G70</f>
        <v>0</v>
      </c>
    </row>
    <row r="439" spans="26:29" hidden="1">
      <c r="Z439">
        <f t="shared" si="31"/>
        <v>69</v>
      </c>
      <c r="AA439">
        <f>ProveedoresRib!A71</f>
        <v>0</v>
      </c>
      <c r="AB439" t="str">
        <f>ProveedoresRib!D71&amp;" - "&amp;ProveedoresRib!F71&amp;" - "&amp;ProveedoresRib!E71</f>
        <v xml:space="preserve"> -  - </v>
      </c>
      <c r="AC439">
        <f>ProveedoresRib!G71</f>
        <v>0</v>
      </c>
    </row>
    <row r="440" spans="26:29" hidden="1">
      <c r="Z440">
        <f t="shared" si="31"/>
        <v>70</v>
      </c>
      <c r="AA440">
        <f>ProveedoresRib!A72</f>
        <v>0</v>
      </c>
      <c r="AB440" t="str">
        <f>ProveedoresRib!D72&amp;" - "&amp;ProveedoresRib!F72&amp;" - "&amp;ProveedoresRib!E72</f>
        <v xml:space="preserve"> -  - </v>
      </c>
      <c r="AC440">
        <f>ProveedoresRib!G72</f>
        <v>0</v>
      </c>
    </row>
    <row r="441" spans="26:29" hidden="1">
      <c r="Z441">
        <f t="shared" si="31"/>
        <v>71</v>
      </c>
      <c r="AA441">
        <f>ProveedoresRib!A73</f>
        <v>0</v>
      </c>
      <c r="AB441" t="str">
        <f>ProveedoresRib!D73&amp;" - "&amp;ProveedoresRib!F73&amp;" - "&amp;ProveedoresRib!E73</f>
        <v xml:space="preserve"> -  - </v>
      </c>
      <c r="AC441">
        <f>ProveedoresRib!G73</f>
        <v>0</v>
      </c>
    </row>
    <row r="442" spans="26:29" hidden="1">
      <c r="Z442">
        <f t="shared" si="31"/>
        <v>72</v>
      </c>
      <c r="AA442">
        <f>ProveedoresRib!A74</f>
        <v>0</v>
      </c>
      <c r="AB442" t="str">
        <f>ProveedoresRib!D74&amp;" - "&amp;ProveedoresRib!F74&amp;" - "&amp;ProveedoresRib!E74</f>
        <v xml:space="preserve"> -  - </v>
      </c>
      <c r="AC442">
        <f>ProveedoresRib!G74</f>
        <v>0</v>
      </c>
    </row>
    <row r="443" spans="26:29" hidden="1">
      <c r="Z443">
        <f t="shared" si="31"/>
        <v>73</v>
      </c>
      <c r="AA443">
        <f>ProveedoresRib!A75</f>
        <v>0</v>
      </c>
      <c r="AB443" t="str">
        <f>ProveedoresRib!D75&amp;" - "&amp;ProveedoresRib!F75&amp;" - "&amp;ProveedoresRib!E75</f>
        <v xml:space="preserve"> -  - </v>
      </c>
      <c r="AC443">
        <f>ProveedoresRib!G75</f>
        <v>0</v>
      </c>
    </row>
    <row r="444" spans="26:29" hidden="1">
      <c r="Z444">
        <f t="shared" si="31"/>
        <v>74</v>
      </c>
      <c r="AA444">
        <f>ProveedoresRib!A76</f>
        <v>0</v>
      </c>
      <c r="AB444" t="str">
        <f>ProveedoresRib!D76&amp;" - "&amp;ProveedoresRib!F76&amp;" - "&amp;ProveedoresRib!E76</f>
        <v xml:space="preserve"> -  - </v>
      </c>
      <c r="AC444">
        <f>ProveedoresRib!G76</f>
        <v>0</v>
      </c>
    </row>
    <row r="445" spans="26:29" hidden="1">
      <c r="Z445">
        <f t="shared" si="31"/>
        <v>75</v>
      </c>
      <c r="AA445">
        <f>ProveedoresRib!A77</f>
        <v>0</v>
      </c>
      <c r="AB445" t="str">
        <f>ProveedoresRib!D77&amp;" - "&amp;ProveedoresRib!F77&amp;" - "&amp;ProveedoresRib!E77</f>
        <v xml:space="preserve"> -  - </v>
      </c>
      <c r="AC445">
        <f>ProveedoresRib!G77</f>
        <v>0</v>
      </c>
    </row>
    <row r="446" spans="26:29" hidden="1">
      <c r="Z446">
        <f t="shared" si="31"/>
        <v>76</v>
      </c>
      <c r="AA446">
        <f>ProveedoresRib!A78</f>
        <v>0</v>
      </c>
      <c r="AB446" t="str">
        <f>ProveedoresRib!D78&amp;" - "&amp;ProveedoresRib!F78&amp;" - "&amp;ProveedoresRib!E78</f>
        <v xml:space="preserve"> -  - </v>
      </c>
      <c r="AC446">
        <f>ProveedoresRib!G78</f>
        <v>0</v>
      </c>
    </row>
    <row r="447" spans="26:29" hidden="1">
      <c r="Z447">
        <f t="shared" si="31"/>
        <v>77</v>
      </c>
      <c r="AA447">
        <f>ProveedoresRib!A79</f>
        <v>0</v>
      </c>
      <c r="AB447" t="str">
        <f>ProveedoresRib!D79&amp;" - "&amp;ProveedoresRib!F79&amp;" - "&amp;ProveedoresRib!E79</f>
        <v xml:space="preserve"> -  - </v>
      </c>
      <c r="AC447">
        <f>ProveedoresRib!G79</f>
        <v>0</v>
      </c>
    </row>
    <row r="448" spans="26:29" hidden="1">
      <c r="Z448">
        <f t="shared" si="31"/>
        <v>78</v>
      </c>
      <c r="AA448">
        <f>ProveedoresRib!A80</f>
        <v>0</v>
      </c>
      <c r="AB448" t="str">
        <f>ProveedoresRib!D80&amp;" - "&amp;ProveedoresRib!F80&amp;" - "&amp;ProveedoresRib!E80</f>
        <v xml:space="preserve"> -  - </v>
      </c>
      <c r="AC448">
        <f>ProveedoresRib!G80</f>
        <v>0</v>
      </c>
    </row>
    <row r="449" spans="26:29" hidden="1">
      <c r="Z449">
        <f t="shared" si="31"/>
        <v>79</v>
      </c>
      <c r="AA449">
        <f>ProveedoresRib!A81</f>
        <v>0</v>
      </c>
      <c r="AB449" t="str">
        <f>ProveedoresRib!D81&amp;" - "&amp;ProveedoresRib!F81&amp;" - "&amp;ProveedoresRib!E81</f>
        <v xml:space="preserve"> -  - </v>
      </c>
      <c r="AC449">
        <f>ProveedoresRib!G81</f>
        <v>0</v>
      </c>
    </row>
    <row r="450" spans="26:29" hidden="1">
      <c r="Z450">
        <f t="shared" si="31"/>
        <v>80</v>
      </c>
      <c r="AA450">
        <f>ProveedoresRib!A82</f>
        <v>0</v>
      </c>
      <c r="AB450" t="str">
        <f>ProveedoresRib!D82&amp;" - "&amp;ProveedoresRib!F82&amp;" - "&amp;ProveedoresRib!E82</f>
        <v xml:space="preserve"> -  - </v>
      </c>
      <c r="AC450">
        <f>ProveedoresRib!G82</f>
        <v>0</v>
      </c>
    </row>
    <row r="451" spans="26:29" hidden="1">
      <c r="Z451">
        <f t="shared" si="31"/>
        <v>81</v>
      </c>
      <c r="AA451">
        <f>ProveedoresRib!A83</f>
        <v>0</v>
      </c>
      <c r="AB451" t="str">
        <f>ProveedoresRib!D83&amp;" - "&amp;ProveedoresRib!F83&amp;" - "&amp;ProveedoresRib!E83</f>
        <v xml:space="preserve"> -  - </v>
      </c>
      <c r="AC451">
        <f>ProveedoresRib!G83</f>
        <v>0</v>
      </c>
    </row>
    <row r="452" spans="26:29" hidden="1">
      <c r="Z452">
        <f t="shared" si="31"/>
        <v>82</v>
      </c>
      <c r="AA452">
        <f>ProveedoresRib!A84</f>
        <v>0</v>
      </c>
      <c r="AB452" t="str">
        <f>ProveedoresRib!D84&amp;" - "&amp;ProveedoresRib!F84&amp;" - "&amp;ProveedoresRib!E84</f>
        <v xml:space="preserve"> -  - </v>
      </c>
      <c r="AC452">
        <f>ProveedoresRib!G84</f>
        <v>0</v>
      </c>
    </row>
    <row r="453" spans="26:29" hidden="1">
      <c r="Z453">
        <f t="shared" si="31"/>
        <v>83</v>
      </c>
      <c r="AA453">
        <f>ProveedoresRib!A85</f>
        <v>0</v>
      </c>
      <c r="AB453" t="str">
        <f>ProveedoresRib!D85&amp;" - "&amp;ProveedoresRib!F85&amp;" - "&amp;ProveedoresRib!E85</f>
        <v xml:space="preserve"> -  - </v>
      </c>
      <c r="AC453">
        <f>ProveedoresRib!G85</f>
        <v>0</v>
      </c>
    </row>
    <row r="454" spans="26:29" hidden="1">
      <c r="Z454">
        <f t="shared" si="31"/>
        <v>84</v>
      </c>
      <c r="AA454">
        <f>ProveedoresRib!A86</f>
        <v>0</v>
      </c>
      <c r="AB454" t="str">
        <f>ProveedoresRib!D86&amp;" - "&amp;ProveedoresRib!F86&amp;" - "&amp;ProveedoresRib!E86</f>
        <v xml:space="preserve"> -  - </v>
      </c>
      <c r="AC454">
        <f>ProveedoresRib!G86</f>
        <v>0</v>
      </c>
    </row>
    <row r="455" spans="26:29" hidden="1">
      <c r="Z455">
        <f t="shared" si="31"/>
        <v>85</v>
      </c>
      <c r="AA455">
        <f>ProveedoresRib!A87</f>
        <v>0</v>
      </c>
      <c r="AB455" t="str">
        <f>ProveedoresRib!D87&amp;" - "&amp;ProveedoresRib!F87&amp;" - "&amp;ProveedoresRib!E87</f>
        <v xml:space="preserve"> -  - </v>
      </c>
      <c r="AC455">
        <f>ProveedoresRib!G87</f>
        <v>0</v>
      </c>
    </row>
    <row r="456" spans="26:29" hidden="1">
      <c r="Z456">
        <f t="shared" si="31"/>
        <v>86</v>
      </c>
      <c r="AA456">
        <f>ProveedoresRib!A88</f>
        <v>0</v>
      </c>
      <c r="AB456" t="str">
        <f>ProveedoresRib!D88&amp;" - "&amp;ProveedoresRib!F88&amp;" - "&amp;ProveedoresRib!E88</f>
        <v xml:space="preserve"> -  - </v>
      </c>
      <c r="AC456">
        <f>ProveedoresRib!G88</f>
        <v>0</v>
      </c>
    </row>
    <row r="457" spans="26:29" hidden="1">
      <c r="Z457">
        <f t="shared" si="31"/>
        <v>87</v>
      </c>
      <c r="AA457">
        <f>ProveedoresRib!A89</f>
        <v>0</v>
      </c>
      <c r="AB457" t="str">
        <f>ProveedoresRib!D89&amp;" - "&amp;ProveedoresRib!F89&amp;" - "&amp;ProveedoresRib!E89</f>
        <v xml:space="preserve"> -  - </v>
      </c>
      <c r="AC457">
        <f>ProveedoresRib!G89</f>
        <v>0</v>
      </c>
    </row>
    <row r="458" spans="26:29" hidden="1">
      <c r="Z458">
        <f t="shared" si="31"/>
        <v>88</v>
      </c>
      <c r="AA458">
        <f>ProveedoresRib!A90</f>
        <v>0</v>
      </c>
      <c r="AB458" t="str">
        <f>ProveedoresRib!D90&amp;" - "&amp;ProveedoresRib!F90&amp;" - "&amp;ProveedoresRib!E90</f>
        <v xml:space="preserve"> -  - </v>
      </c>
      <c r="AC458">
        <f>ProveedoresRib!G90</f>
        <v>0</v>
      </c>
    </row>
    <row r="459" spans="26:29" hidden="1">
      <c r="Z459">
        <f t="shared" si="31"/>
        <v>89</v>
      </c>
      <c r="AA459">
        <f>ProveedoresRib!A91</f>
        <v>0</v>
      </c>
      <c r="AB459" t="str">
        <f>ProveedoresRib!D91&amp;" - "&amp;ProveedoresRib!F91&amp;" - "&amp;ProveedoresRib!E91</f>
        <v xml:space="preserve"> -  - </v>
      </c>
      <c r="AC459">
        <f>ProveedoresRib!G91</f>
        <v>0</v>
      </c>
    </row>
    <row r="460" spans="26:29" hidden="1">
      <c r="Z460">
        <f t="shared" si="31"/>
        <v>90</v>
      </c>
      <c r="AA460">
        <f>ProveedoresRib!A92</f>
        <v>0</v>
      </c>
      <c r="AB460" t="str">
        <f>ProveedoresRib!D92&amp;" - "&amp;ProveedoresRib!F92&amp;" - "&amp;ProveedoresRib!E92</f>
        <v xml:space="preserve"> -  - </v>
      </c>
      <c r="AC460">
        <f>ProveedoresRib!G92</f>
        <v>0</v>
      </c>
    </row>
    <row r="461" spans="26:29" hidden="1">
      <c r="Z461">
        <f t="shared" si="31"/>
        <v>91</v>
      </c>
      <c r="AA461">
        <f>ProveedoresRib!A93</f>
        <v>0</v>
      </c>
      <c r="AB461" t="str">
        <f>ProveedoresRib!D93&amp;" - "&amp;ProveedoresRib!F93&amp;" - "&amp;ProveedoresRib!E93</f>
        <v xml:space="preserve"> -  - </v>
      </c>
      <c r="AC461">
        <f>ProveedoresRib!G93</f>
        <v>0</v>
      </c>
    </row>
    <row r="462" spans="26:29" hidden="1">
      <c r="Z462">
        <f t="shared" si="31"/>
        <v>92</v>
      </c>
      <c r="AA462">
        <f>ProveedoresRib!A94</f>
        <v>0</v>
      </c>
      <c r="AB462" t="str">
        <f>ProveedoresRib!D94&amp;" - "&amp;ProveedoresRib!F94&amp;" - "&amp;ProveedoresRib!E94</f>
        <v xml:space="preserve"> -  - </v>
      </c>
      <c r="AC462">
        <f>ProveedoresRib!G94</f>
        <v>0</v>
      </c>
    </row>
    <row r="463" spans="26:29" hidden="1">
      <c r="Z463">
        <f t="shared" si="31"/>
        <v>93</v>
      </c>
      <c r="AA463">
        <f>ProveedoresRib!A95</f>
        <v>0</v>
      </c>
      <c r="AB463" t="str">
        <f>ProveedoresRib!D95&amp;" - "&amp;ProveedoresRib!F95&amp;" - "&amp;ProveedoresRib!E95</f>
        <v xml:space="preserve"> -  - </v>
      </c>
      <c r="AC463">
        <f>ProveedoresRib!G95</f>
        <v>0</v>
      </c>
    </row>
    <row r="464" spans="26:29" hidden="1">
      <c r="Z464">
        <f t="shared" si="31"/>
        <v>94</v>
      </c>
      <c r="AA464">
        <f>ProveedoresRib!A96</f>
        <v>0</v>
      </c>
      <c r="AB464" t="str">
        <f>ProveedoresRib!D96&amp;" - "&amp;ProveedoresRib!F96&amp;" - "&amp;ProveedoresRib!E96</f>
        <v xml:space="preserve"> -  - </v>
      </c>
      <c r="AC464">
        <f>ProveedoresRib!G96</f>
        <v>0</v>
      </c>
    </row>
    <row r="465" spans="26:29" hidden="1">
      <c r="Z465">
        <f t="shared" si="31"/>
        <v>95</v>
      </c>
      <c r="AA465">
        <f>ProveedoresRib!A97</f>
        <v>0</v>
      </c>
      <c r="AB465" t="str">
        <f>ProveedoresRib!D97&amp;" - "&amp;ProveedoresRib!F97&amp;" - "&amp;ProveedoresRib!E97</f>
        <v xml:space="preserve"> -  - </v>
      </c>
      <c r="AC465">
        <f>ProveedoresRib!G97</f>
        <v>0</v>
      </c>
    </row>
    <row r="466" spans="26:29" hidden="1">
      <c r="Z466">
        <f t="shared" si="31"/>
        <v>96</v>
      </c>
      <c r="AA466">
        <f>ProveedoresRib!A98</f>
        <v>0</v>
      </c>
      <c r="AB466" t="str">
        <f>ProveedoresRib!D98&amp;" - "&amp;ProveedoresRib!F98&amp;" - "&amp;ProveedoresRib!E98</f>
        <v xml:space="preserve"> -  - </v>
      </c>
      <c r="AC466">
        <f>ProveedoresRib!G98</f>
        <v>0</v>
      </c>
    </row>
    <row r="467" spans="26:29" hidden="1">
      <c r="Z467">
        <f t="shared" ref="Z467:Z498" si="32">IF(AA467=$A$4,Z466+1,0)</f>
        <v>97</v>
      </c>
      <c r="AA467">
        <f>ProveedoresRib!A99</f>
        <v>0</v>
      </c>
      <c r="AB467" t="str">
        <f>ProveedoresRib!D99&amp;" - "&amp;ProveedoresRib!F99&amp;" - "&amp;ProveedoresRib!E99</f>
        <v xml:space="preserve"> -  - </v>
      </c>
      <c r="AC467">
        <f>ProveedoresRib!G99</f>
        <v>0</v>
      </c>
    </row>
    <row r="468" spans="26:29" hidden="1">
      <c r="Z468">
        <f t="shared" si="32"/>
        <v>98</v>
      </c>
      <c r="AA468">
        <f>ProveedoresRib!A100</f>
        <v>0</v>
      </c>
      <c r="AB468" t="str">
        <f>ProveedoresRib!D100&amp;" - "&amp;ProveedoresRib!F100&amp;" - "&amp;ProveedoresRib!E100</f>
        <v xml:space="preserve"> -  - </v>
      </c>
      <c r="AC468">
        <f>ProveedoresRib!G100</f>
        <v>0</v>
      </c>
    </row>
    <row r="469" spans="26:29" hidden="1">
      <c r="Z469">
        <f t="shared" si="32"/>
        <v>99</v>
      </c>
      <c r="AA469">
        <f>ProveedoresRib!A101</f>
        <v>0</v>
      </c>
      <c r="AB469" t="str">
        <f>ProveedoresRib!D101&amp;" - "&amp;ProveedoresRib!F101&amp;" - "&amp;ProveedoresRib!E101</f>
        <v xml:space="preserve"> -  - </v>
      </c>
      <c r="AC469">
        <f>ProveedoresRib!G101</f>
        <v>0</v>
      </c>
    </row>
    <row r="470" spans="26:29" hidden="1">
      <c r="Z470">
        <f t="shared" si="32"/>
        <v>100</v>
      </c>
      <c r="AA470">
        <f>ProveedoresRib!A102</f>
        <v>0</v>
      </c>
      <c r="AB470" t="str">
        <f>ProveedoresRib!D102&amp;" - "&amp;ProveedoresRib!F102&amp;" - "&amp;ProveedoresRib!E102</f>
        <v xml:space="preserve"> -  - </v>
      </c>
      <c r="AC470">
        <f>ProveedoresRib!G102</f>
        <v>0</v>
      </c>
    </row>
    <row r="471" spans="26:29" hidden="1">
      <c r="Z471">
        <f t="shared" si="32"/>
        <v>101</v>
      </c>
      <c r="AA471">
        <f>ProveedoresRib!A103</f>
        <v>0</v>
      </c>
      <c r="AB471" t="str">
        <f>ProveedoresRib!D103&amp;" - "&amp;ProveedoresRib!F103&amp;" - "&amp;ProveedoresRib!E103</f>
        <v xml:space="preserve"> -  - </v>
      </c>
      <c r="AC471">
        <f>ProveedoresRib!G103</f>
        <v>0</v>
      </c>
    </row>
    <row r="472" spans="26:29" hidden="1">
      <c r="Z472">
        <f t="shared" si="32"/>
        <v>102</v>
      </c>
      <c r="AA472">
        <f>ProveedoresRib!A104</f>
        <v>0</v>
      </c>
      <c r="AB472" t="str">
        <f>ProveedoresRib!D104&amp;" - "&amp;ProveedoresRib!F104&amp;" - "&amp;ProveedoresRib!E104</f>
        <v xml:space="preserve"> -  - </v>
      </c>
      <c r="AC472">
        <f>ProveedoresRib!G104</f>
        <v>0</v>
      </c>
    </row>
    <row r="473" spans="26:29" hidden="1">
      <c r="Z473">
        <f t="shared" si="32"/>
        <v>103</v>
      </c>
      <c r="AA473">
        <f>ProveedoresRib!A105</f>
        <v>0</v>
      </c>
      <c r="AB473" t="str">
        <f>ProveedoresRib!D105&amp;" - "&amp;ProveedoresRib!F105&amp;" - "&amp;ProveedoresRib!E105</f>
        <v xml:space="preserve"> -  - </v>
      </c>
      <c r="AC473">
        <f>ProveedoresRib!G105</f>
        <v>0</v>
      </c>
    </row>
    <row r="474" spans="26:29" hidden="1">
      <c r="Z474">
        <f t="shared" si="32"/>
        <v>104</v>
      </c>
      <c r="AA474">
        <f>ProveedoresRib!A106</f>
        <v>0</v>
      </c>
      <c r="AB474" t="str">
        <f>ProveedoresRib!D106&amp;" - "&amp;ProveedoresRib!F106&amp;" - "&amp;ProveedoresRib!E106</f>
        <v xml:space="preserve"> -  - </v>
      </c>
      <c r="AC474">
        <f>ProveedoresRib!G106</f>
        <v>0</v>
      </c>
    </row>
    <row r="475" spans="26:29" hidden="1">
      <c r="Z475">
        <f t="shared" si="32"/>
        <v>105</v>
      </c>
      <c r="AA475">
        <f>ProveedoresRib!A107</f>
        <v>0</v>
      </c>
      <c r="AB475" t="str">
        <f>ProveedoresRib!D107&amp;" - "&amp;ProveedoresRib!F107&amp;" - "&amp;ProveedoresRib!E107</f>
        <v xml:space="preserve"> -  - </v>
      </c>
      <c r="AC475">
        <f>ProveedoresRib!G107</f>
        <v>0</v>
      </c>
    </row>
    <row r="476" spans="26:29" hidden="1">
      <c r="Z476">
        <f t="shared" si="32"/>
        <v>106</v>
      </c>
      <c r="AA476">
        <f>ProveedoresRib!A108</f>
        <v>0</v>
      </c>
      <c r="AB476" t="str">
        <f>ProveedoresRib!D108&amp;" - "&amp;ProveedoresRib!F108&amp;" - "&amp;ProveedoresRib!E108</f>
        <v xml:space="preserve"> -  - </v>
      </c>
      <c r="AC476">
        <f>ProveedoresRib!G108</f>
        <v>0</v>
      </c>
    </row>
    <row r="477" spans="26:29" hidden="1">
      <c r="Z477">
        <f t="shared" si="32"/>
        <v>107</v>
      </c>
      <c r="AA477">
        <f>ProveedoresRib!A109</f>
        <v>0</v>
      </c>
      <c r="AB477" t="str">
        <f>ProveedoresRib!D109&amp;" - "&amp;ProveedoresRib!F109&amp;" - "&amp;ProveedoresRib!E109</f>
        <v xml:space="preserve"> -  - </v>
      </c>
      <c r="AC477">
        <f>ProveedoresRib!G109</f>
        <v>0</v>
      </c>
    </row>
    <row r="478" spans="26:29" hidden="1">
      <c r="Z478">
        <f t="shared" si="32"/>
        <v>108</v>
      </c>
      <c r="AA478">
        <f>ProveedoresRib!A110</f>
        <v>0</v>
      </c>
      <c r="AB478" t="str">
        <f>ProveedoresRib!D110&amp;" - "&amp;ProveedoresRib!F110&amp;" - "&amp;ProveedoresRib!E110</f>
        <v xml:space="preserve"> -  - </v>
      </c>
      <c r="AC478">
        <f>ProveedoresRib!G110</f>
        <v>0</v>
      </c>
    </row>
    <row r="479" spans="26:29" hidden="1">
      <c r="Z479">
        <f t="shared" si="32"/>
        <v>109</v>
      </c>
      <c r="AA479">
        <f>ProveedoresRib!A111</f>
        <v>0</v>
      </c>
      <c r="AB479" t="str">
        <f>ProveedoresRib!D111&amp;" - "&amp;ProveedoresRib!F111&amp;" - "&amp;ProveedoresRib!E111</f>
        <v xml:space="preserve"> -  - </v>
      </c>
      <c r="AC479">
        <f>ProveedoresRib!G111</f>
        <v>0</v>
      </c>
    </row>
    <row r="480" spans="26:29" hidden="1">
      <c r="Z480">
        <f t="shared" si="32"/>
        <v>110</v>
      </c>
      <c r="AA480">
        <f>ProveedoresRib!A112</f>
        <v>0</v>
      </c>
      <c r="AB480" t="str">
        <f>ProveedoresRib!D112&amp;" - "&amp;ProveedoresRib!F112&amp;" - "&amp;ProveedoresRib!E112</f>
        <v xml:space="preserve"> -  - </v>
      </c>
      <c r="AC480">
        <f>ProveedoresRib!G112</f>
        <v>0</v>
      </c>
    </row>
    <row r="481" spans="26:29" hidden="1">
      <c r="Z481">
        <f t="shared" si="32"/>
        <v>111</v>
      </c>
      <c r="AA481">
        <f>ProveedoresRib!A113</f>
        <v>0</v>
      </c>
      <c r="AB481" t="str">
        <f>ProveedoresRib!D113&amp;" - "&amp;ProveedoresRib!F113&amp;" - "&amp;ProveedoresRib!E113</f>
        <v xml:space="preserve"> -  - </v>
      </c>
      <c r="AC481">
        <f>ProveedoresRib!G113</f>
        <v>0</v>
      </c>
    </row>
    <row r="482" spans="26:29" hidden="1">
      <c r="Z482">
        <f t="shared" si="32"/>
        <v>112</v>
      </c>
      <c r="AA482">
        <f>ProveedoresRib!A114</f>
        <v>0</v>
      </c>
      <c r="AB482" t="str">
        <f>ProveedoresRib!D114&amp;" - "&amp;ProveedoresRib!F114&amp;" - "&amp;ProveedoresRib!E114</f>
        <v xml:space="preserve"> -  - </v>
      </c>
      <c r="AC482">
        <f>ProveedoresRib!G114</f>
        <v>0</v>
      </c>
    </row>
    <row r="483" spans="26:29" hidden="1">
      <c r="Z483">
        <f t="shared" si="32"/>
        <v>113</v>
      </c>
      <c r="AA483">
        <f>ProveedoresRib!A115</f>
        <v>0</v>
      </c>
      <c r="AB483" t="str">
        <f>ProveedoresRib!D115&amp;" - "&amp;ProveedoresRib!F115&amp;" - "&amp;ProveedoresRib!E115</f>
        <v xml:space="preserve"> -  - </v>
      </c>
      <c r="AC483">
        <f>ProveedoresRib!G115</f>
        <v>0</v>
      </c>
    </row>
    <row r="484" spans="26:29" hidden="1">
      <c r="Z484">
        <f t="shared" si="32"/>
        <v>114</v>
      </c>
      <c r="AA484">
        <f>ProveedoresRib!A116</f>
        <v>0</v>
      </c>
      <c r="AB484" t="str">
        <f>ProveedoresRib!D116&amp;" - "&amp;ProveedoresRib!F116&amp;" - "&amp;ProveedoresRib!E116</f>
        <v xml:space="preserve"> -  - </v>
      </c>
      <c r="AC484">
        <f>ProveedoresRib!G116</f>
        <v>0</v>
      </c>
    </row>
    <row r="485" spans="26:29" hidden="1">
      <c r="Z485">
        <f t="shared" si="32"/>
        <v>115</v>
      </c>
      <c r="AA485">
        <f>ProveedoresRib!A117</f>
        <v>0</v>
      </c>
      <c r="AB485" t="str">
        <f>ProveedoresRib!D117&amp;" - "&amp;ProveedoresRib!F117&amp;" - "&amp;ProveedoresRib!E117</f>
        <v xml:space="preserve"> -  - </v>
      </c>
      <c r="AC485">
        <f>ProveedoresRib!G117</f>
        <v>0</v>
      </c>
    </row>
    <row r="486" spans="26:29" hidden="1">
      <c r="Z486">
        <f t="shared" si="32"/>
        <v>116</v>
      </c>
      <c r="AA486">
        <f>ProveedoresRib!A118</f>
        <v>0</v>
      </c>
      <c r="AB486" t="str">
        <f>ProveedoresRib!D118&amp;" - "&amp;ProveedoresRib!F118&amp;" - "&amp;ProveedoresRib!E118</f>
        <v xml:space="preserve"> -  - </v>
      </c>
      <c r="AC486">
        <f>ProveedoresRib!G118</f>
        <v>0</v>
      </c>
    </row>
    <row r="487" spans="26:29" hidden="1">
      <c r="Z487">
        <f t="shared" si="32"/>
        <v>117</v>
      </c>
      <c r="AA487">
        <f>ProveedoresRib!A119</f>
        <v>0</v>
      </c>
      <c r="AB487" t="str">
        <f>ProveedoresRib!D119&amp;" - "&amp;ProveedoresRib!F119&amp;" - "&amp;ProveedoresRib!E119</f>
        <v xml:space="preserve"> -  - </v>
      </c>
      <c r="AC487">
        <f>ProveedoresRib!G119</f>
        <v>0</v>
      </c>
    </row>
    <row r="488" spans="26:29" hidden="1">
      <c r="Z488">
        <f t="shared" si="32"/>
        <v>118</v>
      </c>
      <c r="AA488">
        <f>ProveedoresRib!A120</f>
        <v>0</v>
      </c>
      <c r="AB488" t="str">
        <f>ProveedoresRib!D120&amp;" - "&amp;ProveedoresRib!F120&amp;" - "&amp;ProveedoresRib!E120</f>
        <v xml:space="preserve"> -  - </v>
      </c>
      <c r="AC488">
        <f>ProveedoresRib!G120</f>
        <v>0</v>
      </c>
    </row>
    <row r="489" spans="26:29" hidden="1">
      <c r="Z489">
        <f t="shared" si="32"/>
        <v>119</v>
      </c>
      <c r="AA489">
        <f>ProveedoresRib!A121</f>
        <v>0</v>
      </c>
      <c r="AB489" t="str">
        <f>ProveedoresRib!D121&amp;" - "&amp;ProveedoresRib!F121&amp;" - "&amp;ProveedoresRib!E121</f>
        <v xml:space="preserve"> -  - </v>
      </c>
      <c r="AC489">
        <f>ProveedoresRib!G121</f>
        <v>0</v>
      </c>
    </row>
    <row r="490" spans="26:29" hidden="1">
      <c r="Z490">
        <f t="shared" si="32"/>
        <v>120</v>
      </c>
      <c r="AA490">
        <f>ProveedoresRib!A122</f>
        <v>0</v>
      </c>
      <c r="AB490" t="str">
        <f>ProveedoresRib!D122&amp;" - "&amp;ProveedoresRib!F122&amp;" - "&amp;ProveedoresRib!E122</f>
        <v xml:space="preserve"> -  - </v>
      </c>
      <c r="AC490">
        <f>ProveedoresRib!G122</f>
        <v>0</v>
      </c>
    </row>
    <row r="491" spans="26:29" hidden="1">
      <c r="Z491">
        <f t="shared" si="32"/>
        <v>121</v>
      </c>
      <c r="AA491">
        <f>ProveedoresRib!A123</f>
        <v>0</v>
      </c>
      <c r="AB491" t="str">
        <f>ProveedoresRib!D123&amp;" - "&amp;ProveedoresRib!F123&amp;" - "&amp;ProveedoresRib!E123</f>
        <v xml:space="preserve"> -  - </v>
      </c>
      <c r="AC491">
        <f>ProveedoresRib!G123</f>
        <v>0</v>
      </c>
    </row>
    <row r="492" spans="26:29" hidden="1">
      <c r="Z492">
        <f t="shared" si="32"/>
        <v>122</v>
      </c>
      <c r="AA492">
        <f>ProveedoresRib!A124</f>
        <v>0</v>
      </c>
      <c r="AB492" t="str">
        <f>ProveedoresRib!D124&amp;" - "&amp;ProveedoresRib!F124&amp;" - "&amp;ProveedoresRib!E124</f>
        <v xml:space="preserve"> -  - </v>
      </c>
      <c r="AC492">
        <f>ProveedoresRib!G124</f>
        <v>0</v>
      </c>
    </row>
    <row r="493" spans="26:29" hidden="1">
      <c r="Z493">
        <f t="shared" si="32"/>
        <v>123</v>
      </c>
      <c r="AA493">
        <f>ProveedoresRib!A125</f>
        <v>0</v>
      </c>
      <c r="AB493" t="str">
        <f>ProveedoresRib!D125&amp;" - "&amp;ProveedoresRib!F125&amp;" - "&amp;ProveedoresRib!E125</f>
        <v xml:space="preserve"> -  - </v>
      </c>
      <c r="AC493">
        <f>ProveedoresRib!G125</f>
        <v>0</v>
      </c>
    </row>
    <row r="494" spans="26:29" hidden="1">
      <c r="Z494">
        <f t="shared" si="32"/>
        <v>124</v>
      </c>
      <c r="AA494">
        <f>ProveedoresRib!A126</f>
        <v>0</v>
      </c>
      <c r="AB494" t="str">
        <f>ProveedoresRib!D126&amp;" - "&amp;ProveedoresRib!F126&amp;" - "&amp;ProveedoresRib!E126</f>
        <v xml:space="preserve"> -  - </v>
      </c>
      <c r="AC494">
        <f>ProveedoresRib!G126</f>
        <v>0</v>
      </c>
    </row>
    <row r="495" spans="26:29" hidden="1">
      <c r="Z495">
        <f t="shared" si="32"/>
        <v>125</v>
      </c>
      <c r="AA495">
        <f>ProveedoresRib!A127</f>
        <v>0</v>
      </c>
      <c r="AB495" t="str">
        <f>ProveedoresRib!D127&amp;" - "&amp;ProveedoresRib!F127&amp;" - "&amp;ProveedoresRib!E127</f>
        <v xml:space="preserve"> -  - </v>
      </c>
      <c r="AC495">
        <f>ProveedoresRib!G127</f>
        <v>0</v>
      </c>
    </row>
    <row r="496" spans="26:29" hidden="1">
      <c r="Z496">
        <f t="shared" si="32"/>
        <v>126</v>
      </c>
      <c r="AA496">
        <f>ProveedoresRib!A128</f>
        <v>0</v>
      </c>
      <c r="AB496" t="str">
        <f>ProveedoresRib!D128&amp;" - "&amp;ProveedoresRib!F128&amp;" - "&amp;ProveedoresRib!E128</f>
        <v xml:space="preserve"> -  - </v>
      </c>
      <c r="AC496">
        <f>ProveedoresRib!G128</f>
        <v>0</v>
      </c>
    </row>
    <row r="497" spans="26:29" hidden="1">
      <c r="Z497">
        <f t="shared" si="32"/>
        <v>127</v>
      </c>
      <c r="AA497">
        <f>ProveedoresRib!A129</f>
        <v>0</v>
      </c>
      <c r="AB497" t="str">
        <f>ProveedoresRib!D129&amp;" - "&amp;ProveedoresRib!F129&amp;" - "&amp;ProveedoresRib!E129</f>
        <v xml:space="preserve"> -  - </v>
      </c>
      <c r="AC497">
        <f>ProveedoresRib!G129</f>
        <v>0</v>
      </c>
    </row>
    <row r="498" spans="26:29" hidden="1">
      <c r="Z498">
        <f t="shared" si="32"/>
        <v>128</v>
      </c>
      <c r="AA498">
        <f>ProveedoresRib!A130</f>
        <v>0</v>
      </c>
      <c r="AB498" t="str">
        <f>ProveedoresRib!D130&amp;" - "&amp;ProveedoresRib!F130&amp;" - "&amp;ProveedoresRib!E130</f>
        <v xml:space="preserve"> -  - </v>
      </c>
      <c r="AC498">
        <f>ProveedoresRib!G130</f>
        <v>0</v>
      </c>
    </row>
    <row r="499" spans="26:29" hidden="1">
      <c r="Z499">
        <f t="shared" ref="Z499:Z520" si="33">IF(AA499=$A$4,Z498+1,0)</f>
        <v>129</v>
      </c>
      <c r="AA499">
        <f>ProveedoresRib!A131</f>
        <v>0</v>
      </c>
      <c r="AB499" t="str">
        <f>ProveedoresRib!D131&amp;" - "&amp;ProveedoresRib!F131&amp;" - "&amp;ProveedoresRib!E131</f>
        <v xml:space="preserve"> -  - </v>
      </c>
      <c r="AC499">
        <f>ProveedoresRib!G131</f>
        <v>0</v>
      </c>
    </row>
    <row r="500" spans="26:29" hidden="1">
      <c r="Z500">
        <f t="shared" si="33"/>
        <v>130</v>
      </c>
      <c r="AA500">
        <f>ProveedoresRib!A132</f>
        <v>0</v>
      </c>
      <c r="AB500" t="str">
        <f>ProveedoresRib!D132&amp;" - "&amp;ProveedoresRib!F132&amp;" - "&amp;ProveedoresRib!E132</f>
        <v xml:space="preserve"> -  - </v>
      </c>
      <c r="AC500">
        <f>ProveedoresRib!G132</f>
        <v>0</v>
      </c>
    </row>
    <row r="501" spans="26:29" hidden="1">
      <c r="Z501">
        <f t="shared" si="33"/>
        <v>131</v>
      </c>
      <c r="AA501">
        <f>ProveedoresRib!A133</f>
        <v>0</v>
      </c>
      <c r="AB501" t="str">
        <f>ProveedoresRib!D133&amp;" - "&amp;ProveedoresRib!F133&amp;" - "&amp;ProveedoresRib!E133</f>
        <v xml:space="preserve"> -  - </v>
      </c>
      <c r="AC501">
        <f>ProveedoresRib!G133</f>
        <v>0</v>
      </c>
    </row>
    <row r="502" spans="26:29" hidden="1">
      <c r="Z502">
        <f t="shared" si="33"/>
        <v>132</v>
      </c>
      <c r="AA502">
        <f>ProveedoresRib!A134</f>
        <v>0</v>
      </c>
      <c r="AB502" t="str">
        <f>ProveedoresRib!D134&amp;" - "&amp;ProveedoresRib!F134&amp;" - "&amp;ProveedoresRib!E134</f>
        <v xml:space="preserve"> -  - </v>
      </c>
      <c r="AC502">
        <f>ProveedoresRib!G134</f>
        <v>0</v>
      </c>
    </row>
    <row r="503" spans="26:29" hidden="1">
      <c r="Z503">
        <f t="shared" si="33"/>
        <v>133</v>
      </c>
      <c r="AA503">
        <f>ProveedoresRib!A135</f>
        <v>0</v>
      </c>
      <c r="AB503" t="str">
        <f>ProveedoresRib!D135&amp;" - "&amp;ProveedoresRib!F135&amp;" - "&amp;ProveedoresRib!E135</f>
        <v xml:space="preserve"> -  - </v>
      </c>
      <c r="AC503">
        <f>ProveedoresRib!G135</f>
        <v>0</v>
      </c>
    </row>
    <row r="504" spans="26:29" hidden="1">
      <c r="Z504">
        <f t="shared" si="33"/>
        <v>134</v>
      </c>
      <c r="AA504">
        <f>ProveedoresRib!A136</f>
        <v>0</v>
      </c>
      <c r="AB504" t="str">
        <f>ProveedoresRib!D136&amp;" - "&amp;ProveedoresRib!F136&amp;" - "&amp;ProveedoresRib!E136</f>
        <v xml:space="preserve"> -  - </v>
      </c>
      <c r="AC504">
        <f>ProveedoresRib!G136</f>
        <v>0</v>
      </c>
    </row>
    <row r="505" spans="26:29" hidden="1">
      <c r="Z505">
        <f t="shared" si="33"/>
        <v>135</v>
      </c>
      <c r="AA505">
        <f>ProveedoresRib!A137</f>
        <v>0</v>
      </c>
      <c r="AB505" t="str">
        <f>ProveedoresRib!D137&amp;" - "&amp;ProveedoresRib!F137&amp;" - "&amp;ProveedoresRib!E137</f>
        <v xml:space="preserve"> -  - </v>
      </c>
      <c r="AC505">
        <f>ProveedoresRib!G137</f>
        <v>0</v>
      </c>
    </row>
    <row r="506" spans="26:29" hidden="1">
      <c r="Z506">
        <f t="shared" si="33"/>
        <v>136</v>
      </c>
      <c r="AA506">
        <f>ProveedoresRib!A138</f>
        <v>0</v>
      </c>
      <c r="AB506" t="str">
        <f>ProveedoresRib!D138&amp;" - "&amp;ProveedoresRib!F138&amp;" - "&amp;ProveedoresRib!E138</f>
        <v xml:space="preserve"> -  - </v>
      </c>
      <c r="AC506">
        <f>ProveedoresRib!G138</f>
        <v>0</v>
      </c>
    </row>
    <row r="507" spans="26:29" hidden="1">
      <c r="Z507">
        <f t="shared" si="33"/>
        <v>137</v>
      </c>
      <c r="AA507">
        <f>ProveedoresRib!A139</f>
        <v>0</v>
      </c>
      <c r="AB507" t="str">
        <f>ProveedoresRib!D139&amp;" - "&amp;ProveedoresRib!F139&amp;" - "&amp;ProveedoresRib!E139</f>
        <v xml:space="preserve"> -  - </v>
      </c>
      <c r="AC507">
        <f>ProveedoresRib!G139</f>
        <v>0</v>
      </c>
    </row>
    <row r="508" spans="26:29" hidden="1">
      <c r="Z508">
        <f t="shared" si="33"/>
        <v>138</v>
      </c>
      <c r="AA508">
        <f>ProveedoresRib!A140</f>
        <v>0</v>
      </c>
      <c r="AB508" t="str">
        <f>ProveedoresRib!D140&amp;" - "&amp;ProveedoresRib!F140&amp;" - "&amp;ProveedoresRib!E140</f>
        <v xml:space="preserve"> -  - </v>
      </c>
      <c r="AC508">
        <f>ProveedoresRib!G140</f>
        <v>0</v>
      </c>
    </row>
    <row r="509" spans="26:29" hidden="1">
      <c r="Z509">
        <f t="shared" si="33"/>
        <v>139</v>
      </c>
      <c r="AA509">
        <f>ProveedoresRib!A141</f>
        <v>0</v>
      </c>
      <c r="AB509" t="str">
        <f>ProveedoresRib!D141&amp;" - "&amp;ProveedoresRib!F141&amp;" - "&amp;ProveedoresRib!E141</f>
        <v xml:space="preserve"> -  - </v>
      </c>
      <c r="AC509">
        <f>ProveedoresRib!G141</f>
        <v>0</v>
      </c>
    </row>
    <row r="510" spans="26:29" hidden="1">
      <c r="Z510">
        <f t="shared" si="33"/>
        <v>140</v>
      </c>
      <c r="AA510">
        <f>ProveedoresRib!A142</f>
        <v>0</v>
      </c>
      <c r="AB510" t="str">
        <f>ProveedoresRib!D142&amp;" - "&amp;ProveedoresRib!F142&amp;" - "&amp;ProveedoresRib!E142</f>
        <v xml:space="preserve"> -  - </v>
      </c>
      <c r="AC510">
        <f>ProveedoresRib!G142</f>
        <v>0</v>
      </c>
    </row>
    <row r="511" spans="26:29" hidden="1">
      <c r="Z511">
        <f t="shared" si="33"/>
        <v>141</v>
      </c>
      <c r="AA511">
        <f>ProveedoresRib!A143</f>
        <v>0</v>
      </c>
      <c r="AB511" t="str">
        <f>ProveedoresRib!D143&amp;" - "&amp;ProveedoresRib!F143&amp;" - "&amp;ProveedoresRib!E143</f>
        <v xml:space="preserve"> -  - </v>
      </c>
      <c r="AC511">
        <f>ProveedoresRib!G143</f>
        <v>0</v>
      </c>
    </row>
    <row r="512" spans="26:29" hidden="1">
      <c r="Z512">
        <f t="shared" si="33"/>
        <v>142</v>
      </c>
      <c r="AA512">
        <f>ProveedoresRib!A144</f>
        <v>0</v>
      </c>
      <c r="AB512" t="str">
        <f>ProveedoresRib!D144&amp;" - "&amp;ProveedoresRib!F144&amp;" - "&amp;ProveedoresRib!E144</f>
        <v xml:space="preserve"> -  - </v>
      </c>
      <c r="AC512">
        <f>ProveedoresRib!G144</f>
        <v>0</v>
      </c>
    </row>
    <row r="513" spans="26:29" hidden="1">
      <c r="Z513">
        <f t="shared" si="33"/>
        <v>143</v>
      </c>
      <c r="AA513">
        <f>ProveedoresRib!A145</f>
        <v>0</v>
      </c>
      <c r="AB513" t="str">
        <f>ProveedoresRib!D145&amp;" - "&amp;ProveedoresRib!F145&amp;" - "&amp;ProveedoresRib!E145</f>
        <v xml:space="preserve"> -  - </v>
      </c>
      <c r="AC513">
        <f>ProveedoresRib!G145</f>
        <v>0</v>
      </c>
    </row>
    <row r="514" spans="26:29" hidden="1">
      <c r="Z514">
        <f t="shared" si="33"/>
        <v>144</v>
      </c>
      <c r="AA514">
        <f>ProveedoresRib!A146</f>
        <v>0</v>
      </c>
      <c r="AB514" t="str">
        <f>ProveedoresRib!D146&amp;" - "&amp;ProveedoresRib!F146&amp;" - "&amp;ProveedoresRib!E146</f>
        <v xml:space="preserve"> -  - </v>
      </c>
      <c r="AC514">
        <f>ProveedoresRib!G146</f>
        <v>0</v>
      </c>
    </row>
    <row r="515" spans="26:29" hidden="1">
      <c r="Z515">
        <f t="shared" si="33"/>
        <v>145</v>
      </c>
      <c r="AA515">
        <f>ProveedoresRib!A147</f>
        <v>0</v>
      </c>
      <c r="AB515" t="str">
        <f>ProveedoresRib!D147&amp;" - "&amp;ProveedoresRib!F147&amp;" - "&amp;ProveedoresRib!E147</f>
        <v xml:space="preserve"> -  - </v>
      </c>
      <c r="AC515">
        <f>ProveedoresRib!G147</f>
        <v>0</v>
      </c>
    </row>
    <row r="516" spans="26:29" hidden="1">
      <c r="Z516">
        <f t="shared" si="33"/>
        <v>146</v>
      </c>
      <c r="AA516">
        <f>ProveedoresRib!A148</f>
        <v>0</v>
      </c>
      <c r="AB516" t="str">
        <f>ProveedoresRib!D148&amp;" - "&amp;ProveedoresRib!F148&amp;" - "&amp;ProveedoresRib!E148</f>
        <v xml:space="preserve"> -  - </v>
      </c>
      <c r="AC516">
        <f>ProveedoresRib!G148</f>
        <v>0</v>
      </c>
    </row>
    <row r="517" spans="26:29" hidden="1">
      <c r="Z517">
        <f t="shared" si="33"/>
        <v>147</v>
      </c>
      <c r="AA517">
        <f>ProveedoresRib!A149</f>
        <v>0</v>
      </c>
      <c r="AB517" t="str">
        <f>ProveedoresRib!D149&amp;" - "&amp;ProveedoresRib!F149&amp;" - "&amp;ProveedoresRib!E149</f>
        <v xml:space="preserve"> -  - </v>
      </c>
      <c r="AC517">
        <f>ProveedoresRib!G149</f>
        <v>0</v>
      </c>
    </row>
    <row r="518" spans="26:29" hidden="1">
      <c r="Z518">
        <f t="shared" si="33"/>
        <v>148</v>
      </c>
      <c r="AA518">
        <f>ProveedoresRib!A150</f>
        <v>0</v>
      </c>
      <c r="AB518" t="str">
        <f>ProveedoresRib!D150&amp;" - "&amp;ProveedoresRib!F150&amp;" - "&amp;ProveedoresRib!E150</f>
        <v xml:space="preserve"> -  - </v>
      </c>
      <c r="AC518">
        <f>ProveedoresRib!G150</f>
        <v>0</v>
      </c>
    </row>
    <row r="519" spans="26:29" hidden="1">
      <c r="Z519">
        <f t="shared" si="33"/>
        <v>149</v>
      </c>
      <c r="AA519">
        <f>ProveedoresRib!A151</f>
        <v>0</v>
      </c>
      <c r="AB519" t="str">
        <f>ProveedoresRib!D151&amp;" - "&amp;ProveedoresRib!F151&amp;" - "&amp;ProveedoresRib!E151</f>
        <v xml:space="preserve"> -  - </v>
      </c>
      <c r="AC519">
        <f>ProveedoresRib!G151</f>
        <v>0</v>
      </c>
    </row>
    <row r="520" spans="26:29" hidden="1">
      <c r="Z520">
        <f t="shared" si="33"/>
        <v>150</v>
      </c>
      <c r="AA520">
        <f>ProveedoresRib!A152</f>
        <v>0</v>
      </c>
      <c r="AB520" t="str">
        <f>ProveedoresRib!D152&amp;" - "&amp;ProveedoresRib!F152&amp;" - "&amp;ProveedoresRib!E152</f>
        <v xml:space="preserve"> -  - </v>
      </c>
      <c r="AC520">
        <f>ProveedoresRib!G152</f>
        <v>0</v>
      </c>
    </row>
    <row r="521" spans="26:29" hidden="1"/>
    <row r="522" spans="26:29" hidden="1">
      <c r="AA522" t="s">
        <v>121</v>
      </c>
    </row>
    <row r="523" spans="26:29" hidden="1">
      <c r="AA523" t="s">
        <v>33</v>
      </c>
      <c r="AB523" t="s">
        <v>121</v>
      </c>
      <c r="AC523" t="s">
        <v>113</v>
      </c>
    </row>
    <row r="524" spans="26:29" hidden="1">
      <c r="Z524">
        <f>IF(AA524=$A$4,V523+1,0)</f>
        <v>1</v>
      </c>
      <c r="AA524">
        <f>CompetidoresRib!B3</f>
        <v>0</v>
      </c>
      <c r="AB524" t="str">
        <f>CompetidoresRib!D3&amp;" - "&amp;CompetidoresRib!E3</f>
        <v xml:space="preserve"> - </v>
      </c>
      <c r="AC524">
        <f>CompetidoresRib!F3</f>
        <v>0</v>
      </c>
    </row>
    <row r="525" spans="26:29" hidden="1">
      <c r="Z525">
        <f t="shared" ref="Z525:Z556" si="34">IF(AA525=$A$4,Z524+1,0)</f>
        <v>2</v>
      </c>
      <c r="AA525">
        <f>CompetidoresRib!B4</f>
        <v>0</v>
      </c>
      <c r="AB525" t="str">
        <f>CompetidoresRib!D4&amp;" - "&amp;CompetidoresRib!E4</f>
        <v xml:space="preserve"> - </v>
      </c>
      <c r="AC525">
        <f>CompetidoresRib!F4</f>
        <v>0</v>
      </c>
    </row>
    <row r="526" spans="26:29" hidden="1">
      <c r="Z526">
        <f t="shared" si="34"/>
        <v>3</v>
      </c>
      <c r="AA526">
        <f>CompetidoresRib!B5</f>
        <v>0</v>
      </c>
      <c r="AB526" t="str">
        <f>CompetidoresRib!D5&amp;" - "&amp;CompetidoresRib!E5</f>
        <v xml:space="preserve"> - </v>
      </c>
      <c r="AC526">
        <f>CompetidoresRib!F5</f>
        <v>0</v>
      </c>
    </row>
    <row r="527" spans="26:29" hidden="1">
      <c r="Z527">
        <f t="shared" si="34"/>
        <v>4</v>
      </c>
      <c r="AA527">
        <f>CompetidoresRib!B6</f>
        <v>0</v>
      </c>
      <c r="AB527" t="str">
        <f>CompetidoresRib!D6&amp;" - "&amp;CompetidoresRib!E6</f>
        <v xml:space="preserve"> - </v>
      </c>
      <c r="AC527">
        <f>CompetidoresRib!F6</f>
        <v>0</v>
      </c>
    </row>
    <row r="528" spans="26:29" hidden="1">
      <c r="Z528">
        <f t="shared" si="34"/>
        <v>5</v>
      </c>
      <c r="AA528">
        <f>CompetidoresRib!B7</f>
        <v>0</v>
      </c>
      <c r="AB528" t="str">
        <f>CompetidoresRib!D7&amp;" - "&amp;CompetidoresRib!E7</f>
        <v xml:space="preserve"> - </v>
      </c>
      <c r="AC528">
        <f>CompetidoresRib!F7</f>
        <v>0</v>
      </c>
    </row>
    <row r="529" spans="26:29" hidden="1">
      <c r="Z529">
        <f t="shared" si="34"/>
        <v>6</v>
      </c>
      <c r="AA529">
        <f>CompetidoresRib!B8</f>
        <v>0</v>
      </c>
      <c r="AB529" t="str">
        <f>CompetidoresRib!D8&amp;" - "&amp;CompetidoresRib!E8</f>
        <v xml:space="preserve"> - </v>
      </c>
      <c r="AC529">
        <f>CompetidoresRib!F8</f>
        <v>0</v>
      </c>
    </row>
    <row r="530" spans="26:29" hidden="1">
      <c r="Z530">
        <f t="shared" si="34"/>
        <v>7</v>
      </c>
      <c r="AA530">
        <f>CompetidoresRib!B9</f>
        <v>0</v>
      </c>
      <c r="AB530" t="str">
        <f>CompetidoresRib!D9&amp;" - "&amp;CompetidoresRib!E9</f>
        <v xml:space="preserve"> - </v>
      </c>
      <c r="AC530">
        <f>CompetidoresRib!F9</f>
        <v>0</v>
      </c>
    </row>
    <row r="531" spans="26:29" hidden="1">
      <c r="Z531">
        <f t="shared" si="34"/>
        <v>8</v>
      </c>
      <c r="AA531">
        <f>CompetidoresRib!B10</f>
        <v>0</v>
      </c>
      <c r="AB531" t="str">
        <f>CompetidoresRib!D10&amp;" - "&amp;CompetidoresRib!E10</f>
        <v xml:space="preserve"> - </v>
      </c>
      <c r="AC531">
        <f>CompetidoresRib!F10</f>
        <v>0</v>
      </c>
    </row>
    <row r="532" spans="26:29" hidden="1">
      <c r="Z532">
        <f t="shared" si="34"/>
        <v>9</v>
      </c>
      <c r="AA532">
        <f>CompetidoresRib!B11</f>
        <v>0</v>
      </c>
      <c r="AB532" t="str">
        <f>CompetidoresRib!D11&amp;" - "&amp;CompetidoresRib!E11</f>
        <v xml:space="preserve"> - </v>
      </c>
      <c r="AC532">
        <f>CompetidoresRib!F11</f>
        <v>0</v>
      </c>
    </row>
    <row r="533" spans="26:29" hidden="1">
      <c r="Z533">
        <f t="shared" si="34"/>
        <v>10</v>
      </c>
      <c r="AA533">
        <f>CompetidoresRib!B12</f>
        <v>0</v>
      </c>
      <c r="AB533" t="str">
        <f>CompetidoresRib!D12&amp;" - "&amp;CompetidoresRib!E12</f>
        <v xml:space="preserve"> - </v>
      </c>
      <c r="AC533">
        <f>CompetidoresRib!F12</f>
        <v>0</v>
      </c>
    </row>
    <row r="534" spans="26:29" hidden="1">
      <c r="Z534">
        <f t="shared" si="34"/>
        <v>11</v>
      </c>
      <c r="AA534">
        <f>CompetidoresRib!B13</f>
        <v>0</v>
      </c>
      <c r="AB534" t="str">
        <f>CompetidoresRib!D13&amp;" - "&amp;CompetidoresRib!E13</f>
        <v xml:space="preserve"> - </v>
      </c>
      <c r="AC534">
        <f>CompetidoresRib!F13</f>
        <v>0</v>
      </c>
    </row>
    <row r="535" spans="26:29" hidden="1">
      <c r="Z535">
        <f t="shared" si="34"/>
        <v>12</v>
      </c>
      <c r="AA535">
        <f>CompetidoresRib!B14</f>
        <v>0</v>
      </c>
      <c r="AB535" t="str">
        <f>CompetidoresRib!D14&amp;" - "&amp;CompetidoresRib!E14</f>
        <v xml:space="preserve"> - </v>
      </c>
      <c r="AC535">
        <f>CompetidoresRib!F14</f>
        <v>0</v>
      </c>
    </row>
    <row r="536" spans="26:29" hidden="1">
      <c r="Z536">
        <f t="shared" si="34"/>
        <v>13</v>
      </c>
      <c r="AA536">
        <f>CompetidoresRib!B15</f>
        <v>0</v>
      </c>
      <c r="AB536" t="str">
        <f>CompetidoresRib!D15&amp;" - "&amp;CompetidoresRib!E15</f>
        <v xml:space="preserve"> - </v>
      </c>
      <c r="AC536">
        <f>CompetidoresRib!F15</f>
        <v>0</v>
      </c>
    </row>
    <row r="537" spans="26:29" hidden="1">
      <c r="Z537">
        <f t="shared" si="34"/>
        <v>14</v>
      </c>
      <c r="AA537">
        <f>CompetidoresRib!B16</f>
        <v>0</v>
      </c>
      <c r="AB537" t="str">
        <f>CompetidoresRib!D16&amp;" - "&amp;CompetidoresRib!E16</f>
        <v xml:space="preserve"> - </v>
      </c>
      <c r="AC537">
        <f>CompetidoresRib!F16</f>
        <v>0</v>
      </c>
    </row>
    <row r="538" spans="26:29" hidden="1">
      <c r="Z538">
        <f t="shared" si="34"/>
        <v>15</v>
      </c>
      <c r="AA538">
        <f>CompetidoresRib!B17</f>
        <v>0</v>
      </c>
      <c r="AB538" t="str">
        <f>CompetidoresRib!D17&amp;" - "&amp;CompetidoresRib!E17</f>
        <v xml:space="preserve"> - </v>
      </c>
      <c r="AC538">
        <f>CompetidoresRib!F17</f>
        <v>0</v>
      </c>
    </row>
    <row r="539" spans="26:29" hidden="1">
      <c r="Z539">
        <f t="shared" si="34"/>
        <v>16</v>
      </c>
      <c r="AA539">
        <f>CompetidoresRib!B18</f>
        <v>0</v>
      </c>
      <c r="AB539" t="str">
        <f>CompetidoresRib!D18&amp;" - "&amp;CompetidoresRib!E18</f>
        <v xml:space="preserve"> - </v>
      </c>
      <c r="AC539">
        <f>CompetidoresRib!F18</f>
        <v>0</v>
      </c>
    </row>
    <row r="540" spans="26:29" hidden="1">
      <c r="Z540">
        <f t="shared" si="34"/>
        <v>17</v>
      </c>
      <c r="AA540">
        <f>CompetidoresRib!B19</f>
        <v>0</v>
      </c>
      <c r="AB540" t="str">
        <f>CompetidoresRib!D19&amp;" - "&amp;CompetidoresRib!E19</f>
        <v xml:space="preserve"> - </v>
      </c>
      <c r="AC540">
        <f>CompetidoresRib!F19</f>
        <v>0</v>
      </c>
    </row>
    <row r="541" spans="26:29" hidden="1">
      <c r="Z541">
        <f t="shared" si="34"/>
        <v>18</v>
      </c>
      <c r="AA541">
        <f>CompetidoresRib!B20</f>
        <v>0</v>
      </c>
      <c r="AB541" t="str">
        <f>CompetidoresRib!D20&amp;" - "&amp;CompetidoresRib!E20</f>
        <v xml:space="preserve"> - </v>
      </c>
      <c r="AC541">
        <f>CompetidoresRib!F20</f>
        <v>0</v>
      </c>
    </row>
    <row r="542" spans="26:29" hidden="1">
      <c r="Z542">
        <f t="shared" si="34"/>
        <v>19</v>
      </c>
      <c r="AA542">
        <f>CompetidoresRib!B21</f>
        <v>0</v>
      </c>
      <c r="AB542" t="str">
        <f>CompetidoresRib!D21&amp;" - "&amp;CompetidoresRib!E21</f>
        <v xml:space="preserve"> - </v>
      </c>
      <c r="AC542">
        <f>CompetidoresRib!F21</f>
        <v>0</v>
      </c>
    </row>
    <row r="543" spans="26:29" hidden="1">
      <c r="Z543">
        <f t="shared" si="34"/>
        <v>20</v>
      </c>
      <c r="AA543">
        <f>CompetidoresRib!B22</f>
        <v>0</v>
      </c>
      <c r="AB543" t="str">
        <f>CompetidoresRib!D22&amp;" - "&amp;CompetidoresRib!E22</f>
        <v xml:space="preserve"> - </v>
      </c>
      <c r="AC543">
        <f>CompetidoresRib!F22</f>
        <v>0</v>
      </c>
    </row>
    <row r="544" spans="26:29" hidden="1">
      <c r="Z544">
        <f t="shared" si="34"/>
        <v>21</v>
      </c>
      <c r="AA544">
        <f>CompetidoresRib!B23</f>
        <v>0</v>
      </c>
      <c r="AB544" t="str">
        <f>CompetidoresRib!D23&amp;" - "&amp;CompetidoresRib!E23</f>
        <v xml:space="preserve"> - </v>
      </c>
      <c r="AC544">
        <f>CompetidoresRib!F23</f>
        <v>0</v>
      </c>
    </row>
    <row r="545" spans="26:29" hidden="1">
      <c r="Z545">
        <f t="shared" si="34"/>
        <v>22</v>
      </c>
      <c r="AA545">
        <f>CompetidoresRib!B24</f>
        <v>0</v>
      </c>
      <c r="AB545" t="str">
        <f>CompetidoresRib!D24&amp;" - "&amp;CompetidoresRib!E24</f>
        <v xml:space="preserve"> - </v>
      </c>
      <c r="AC545">
        <f>CompetidoresRib!F24</f>
        <v>0</v>
      </c>
    </row>
    <row r="546" spans="26:29" hidden="1">
      <c r="Z546">
        <f t="shared" si="34"/>
        <v>23</v>
      </c>
      <c r="AA546">
        <f>CompetidoresRib!B25</f>
        <v>0</v>
      </c>
      <c r="AB546" t="str">
        <f>CompetidoresRib!D25&amp;" - "&amp;CompetidoresRib!E25</f>
        <v xml:space="preserve"> - </v>
      </c>
      <c r="AC546">
        <f>CompetidoresRib!F25</f>
        <v>0</v>
      </c>
    </row>
    <row r="547" spans="26:29" hidden="1">
      <c r="Z547">
        <f t="shared" si="34"/>
        <v>24</v>
      </c>
      <c r="AA547">
        <f>CompetidoresRib!B26</f>
        <v>0</v>
      </c>
      <c r="AB547" t="str">
        <f>CompetidoresRib!D26&amp;" - "&amp;CompetidoresRib!E26</f>
        <v xml:space="preserve"> - </v>
      </c>
      <c r="AC547">
        <f>CompetidoresRib!F26</f>
        <v>0</v>
      </c>
    </row>
    <row r="548" spans="26:29" hidden="1">
      <c r="Z548">
        <f t="shared" si="34"/>
        <v>25</v>
      </c>
      <c r="AA548">
        <f>CompetidoresRib!B27</f>
        <v>0</v>
      </c>
      <c r="AB548" t="str">
        <f>CompetidoresRib!D27&amp;" - "&amp;CompetidoresRib!E27</f>
        <v xml:space="preserve"> - </v>
      </c>
      <c r="AC548">
        <f>CompetidoresRib!F27</f>
        <v>0</v>
      </c>
    </row>
    <row r="549" spans="26:29" hidden="1">
      <c r="Z549">
        <f t="shared" si="34"/>
        <v>26</v>
      </c>
      <c r="AA549">
        <f>CompetidoresRib!B28</f>
        <v>0</v>
      </c>
      <c r="AB549" t="str">
        <f>CompetidoresRib!D28&amp;" - "&amp;CompetidoresRib!E28</f>
        <v xml:space="preserve"> - </v>
      </c>
      <c r="AC549">
        <f>CompetidoresRib!F28</f>
        <v>0</v>
      </c>
    </row>
    <row r="550" spans="26:29" hidden="1">
      <c r="Z550">
        <f t="shared" si="34"/>
        <v>27</v>
      </c>
      <c r="AA550">
        <f>CompetidoresRib!B29</f>
        <v>0</v>
      </c>
      <c r="AB550" t="str">
        <f>CompetidoresRib!D29&amp;" - "&amp;CompetidoresRib!E29</f>
        <v xml:space="preserve"> - </v>
      </c>
      <c r="AC550">
        <f>CompetidoresRib!F29</f>
        <v>0</v>
      </c>
    </row>
    <row r="551" spans="26:29" hidden="1">
      <c r="Z551">
        <f t="shared" si="34"/>
        <v>28</v>
      </c>
      <c r="AA551">
        <f>CompetidoresRib!B30</f>
        <v>0</v>
      </c>
      <c r="AB551" t="str">
        <f>CompetidoresRib!D30&amp;" - "&amp;CompetidoresRib!E30</f>
        <v xml:space="preserve"> - </v>
      </c>
      <c r="AC551">
        <f>CompetidoresRib!F30</f>
        <v>0</v>
      </c>
    </row>
    <row r="552" spans="26:29" hidden="1">
      <c r="Z552">
        <f t="shared" si="34"/>
        <v>29</v>
      </c>
      <c r="AA552">
        <f>CompetidoresRib!B31</f>
        <v>0</v>
      </c>
      <c r="AB552" t="str">
        <f>CompetidoresRib!D31&amp;" - "&amp;CompetidoresRib!E31</f>
        <v xml:space="preserve"> - </v>
      </c>
      <c r="AC552">
        <f>CompetidoresRib!F31</f>
        <v>0</v>
      </c>
    </row>
    <row r="553" spans="26:29" hidden="1">
      <c r="Z553">
        <f t="shared" si="34"/>
        <v>30</v>
      </c>
      <c r="AA553">
        <f>CompetidoresRib!B32</f>
        <v>0</v>
      </c>
      <c r="AB553" t="str">
        <f>CompetidoresRib!D32&amp;" - "&amp;CompetidoresRib!E32</f>
        <v xml:space="preserve"> - </v>
      </c>
      <c r="AC553">
        <f>CompetidoresRib!F32</f>
        <v>0</v>
      </c>
    </row>
    <row r="554" spans="26:29" hidden="1">
      <c r="Z554">
        <f t="shared" si="34"/>
        <v>31</v>
      </c>
      <c r="AA554">
        <f>CompetidoresRib!B33</f>
        <v>0</v>
      </c>
      <c r="AB554" t="str">
        <f>CompetidoresRib!D33&amp;" - "&amp;CompetidoresRib!E33</f>
        <v xml:space="preserve"> - </v>
      </c>
      <c r="AC554">
        <f>CompetidoresRib!F33</f>
        <v>0</v>
      </c>
    </row>
    <row r="555" spans="26:29" hidden="1">
      <c r="Z555">
        <f t="shared" si="34"/>
        <v>32</v>
      </c>
      <c r="AA555">
        <f>CompetidoresRib!B34</f>
        <v>0</v>
      </c>
      <c r="AB555" t="str">
        <f>CompetidoresRib!D34&amp;" - "&amp;CompetidoresRib!E34</f>
        <v xml:space="preserve"> - </v>
      </c>
      <c r="AC555">
        <f>CompetidoresRib!F34</f>
        <v>0</v>
      </c>
    </row>
    <row r="556" spans="26:29" hidden="1">
      <c r="Z556">
        <f t="shared" si="34"/>
        <v>33</v>
      </c>
      <c r="AA556">
        <f>CompetidoresRib!B35</f>
        <v>0</v>
      </c>
      <c r="AB556" t="str">
        <f>CompetidoresRib!D35&amp;" - "&amp;CompetidoresRib!E35</f>
        <v xml:space="preserve"> - </v>
      </c>
      <c r="AC556">
        <f>CompetidoresRib!F35</f>
        <v>0</v>
      </c>
    </row>
    <row r="557" spans="26:29" hidden="1">
      <c r="Z557">
        <f t="shared" ref="Z557:Z588" si="35">IF(AA557=$A$4,Z556+1,0)</f>
        <v>34</v>
      </c>
      <c r="AA557">
        <f>CompetidoresRib!B36</f>
        <v>0</v>
      </c>
      <c r="AB557" t="str">
        <f>CompetidoresRib!D36&amp;" - "&amp;CompetidoresRib!E36</f>
        <v xml:space="preserve"> - </v>
      </c>
      <c r="AC557">
        <f>CompetidoresRib!F36</f>
        <v>0</v>
      </c>
    </row>
    <row r="558" spans="26:29" hidden="1">
      <c r="Z558">
        <f t="shared" si="35"/>
        <v>35</v>
      </c>
      <c r="AA558">
        <f>CompetidoresRib!B37</f>
        <v>0</v>
      </c>
      <c r="AB558" t="str">
        <f>CompetidoresRib!D37&amp;" - "&amp;CompetidoresRib!E37</f>
        <v xml:space="preserve"> - </v>
      </c>
      <c r="AC558">
        <f>CompetidoresRib!F37</f>
        <v>0</v>
      </c>
    </row>
    <row r="559" spans="26:29" hidden="1">
      <c r="Z559">
        <f t="shared" si="35"/>
        <v>36</v>
      </c>
      <c r="AA559">
        <f>CompetidoresRib!B38</f>
        <v>0</v>
      </c>
      <c r="AB559" t="str">
        <f>CompetidoresRib!D38&amp;" - "&amp;CompetidoresRib!E38</f>
        <v xml:space="preserve"> - </v>
      </c>
      <c r="AC559">
        <f>CompetidoresRib!F38</f>
        <v>0</v>
      </c>
    </row>
    <row r="560" spans="26:29" hidden="1">
      <c r="Z560">
        <f t="shared" si="35"/>
        <v>37</v>
      </c>
      <c r="AA560">
        <f>CompetidoresRib!B39</f>
        <v>0</v>
      </c>
      <c r="AB560" t="str">
        <f>CompetidoresRib!D39&amp;" - "&amp;CompetidoresRib!E39</f>
        <v xml:space="preserve"> - </v>
      </c>
      <c r="AC560">
        <f>CompetidoresRib!F39</f>
        <v>0</v>
      </c>
    </row>
    <row r="561" spans="26:29" hidden="1">
      <c r="Z561">
        <f t="shared" si="35"/>
        <v>38</v>
      </c>
      <c r="AA561">
        <f>CompetidoresRib!B40</f>
        <v>0</v>
      </c>
      <c r="AB561" t="str">
        <f>CompetidoresRib!D40&amp;" - "&amp;CompetidoresRib!E40</f>
        <v xml:space="preserve"> - </v>
      </c>
      <c r="AC561">
        <f>CompetidoresRib!F40</f>
        <v>0</v>
      </c>
    </row>
    <row r="562" spans="26:29" hidden="1">
      <c r="Z562">
        <f t="shared" si="35"/>
        <v>39</v>
      </c>
      <c r="AA562">
        <f>CompetidoresRib!B41</f>
        <v>0</v>
      </c>
      <c r="AB562" t="str">
        <f>CompetidoresRib!D41&amp;" - "&amp;CompetidoresRib!E41</f>
        <v xml:space="preserve"> - </v>
      </c>
      <c r="AC562">
        <f>CompetidoresRib!F41</f>
        <v>0</v>
      </c>
    </row>
    <row r="563" spans="26:29" hidden="1">
      <c r="Z563">
        <f t="shared" si="35"/>
        <v>40</v>
      </c>
      <c r="AA563">
        <f>CompetidoresRib!B42</f>
        <v>0</v>
      </c>
      <c r="AB563" t="str">
        <f>CompetidoresRib!D42&amp;" - "&amp;CompetidoresRib!E42</f>
        <v xml:space="preserve"> - </v>
      </c>
      <c r="AC563">
        <f>CompetidoresRib!F42</f>
        <v>0</v>
      </c>
    </row>
    <row r="564" spans="26:29" hidden="1">
      <c r="Z564">
        <f t="shared" si="35"/>
        <v>41</v>
      </c>
      <c r="AA564">
        <f>CompetidoresRib!B43</f>
        <v>0</v>
      </c>
      <c r="AB564" t="str">
        <f>CompetidoresRib!D43&amp;" - "&amp;CompetidoresRib!E43</f>
        <v xml:space="preserve"> - </v>
      </c>
      <c r="AC564">
        <f>CompetidoresRib!F43</f>
        <v>0</v>
      </c>
    </row>
    <row r="565" spans="26:29" hidden="1">
      <c r="Z565">
        <f t="shared" si="35"/>
        <v>42</v>
      </c>
      <c r="AA565">
        <f>CompetidoresRib!B44</f>
        <v>0</v>
      </c>
      <c r="AB565" t="str">
        <f>CompetidoresRib!D44&amp;" - "&amp;CompetidoresRib!E44</f>
        <v xml:space="preserve"> - </v>
      </c>
      <c r="AC565">
        <f>CompetidoresRib!F44</f>
        <v>0</v>
      </c>
    </row>
    <row r="566" spans="26:29" hidden="1">
      <c r="Z566">
        <f t="shared" si="35"/>
        <v>43</v>
      </c>
      <c r="AA566">
        <f>CompetidoresRib!B45</f>
        <v>0</v>
      </c>
      <c r="AB566" t="str">
        <f>CompetidoresRib!D45&amp;" - "&amp;CompetidoresRib!E45</f>
        <v xml:space="preserve"> - </v>
      </c>
      <c r="AC566">
        <f>CompetidoresRib!F45</f>
        <v>0</v>
      </c>
    </row>
    <row r="567" spans="26:29" hidden="1">
      <c r="Z567">
        <f t="shared" si="35"/>
        <v>44</v>
      </c>
      <c r="AA567">
        <f>CompetidoresRib!B46</f>
        <v>0</v>
      </c>
      <c r="AB567" t="str">
        <f>CompetidoresRib!D46&amp;" - "&amp;CompetidoresRib!E46</f>
        <v xml:space="preserve"> - </v>
      </c>
      <c r="AC567">
        <f>CompetidoresRib!F46</f>
        <v>0</v>
      </c>
    </row>
    <row r="568" spans="26:29" hidden="1">
      <c r="Z568">
        <f t="shared" si="35"/>
        <v>45</v>
      </c>
      <c r="AA568">
        <f>CompetidoresRib!B47</f>
        <v>0</v>
      </c>
      <c r="AB568" t="str">
        <f>CompetidoresRib!D47&amp;" - "&amp;CompetidoresRib!E47</f>
        <v xml:space="preserve"> - </v>
      </c>
      <c r="AC568">
        <f>CompetidoresRib!F47</f>
        <v>0</v>
      </c>
    </row>
    <row r="569" spans="26:29" hidden="1">
      <c r="Z569">
        <f t="shared" si="35"/>
        <v>46</v>
      </c>
      <c r="AA569">
        <f>CompetidoresRib!B48</f>
        <v>0</v>
      </c>
      <c r="AB569" t="str">
        <f>CompetidoresRib!D48&amp;" - "&amp;CompetidoresRib!E48</f>
        <v xml:space="preserve"> - </v>
      </c>
      <c r="AC569">
        <f>CompetidoresRib!F48</f>
        <v>0</v>
      </c>
    </row>
    <row r="570" spans="26:29" hidden="1">
      <c r="Z570">
        <f t="shared" si="35"/>
        <v>47</v>
      </c>
      <c r="AA570">
        <f>CompetidoresRib!B49</f>
        <v>0</v>
      </c>
      <c r="AB570" t="str">
        <f>CompetidoresRib!D49&amp;" - "&amp;CompetidoresRib!E49</f>
        <v xml:space="preserve"> - </v>
      </c>
      <c r="AC570">
        <f>CompetidoresRib!F49</f>
        <v>0</v>
      </c>
    </row>
    <row r="571" spans="26:29" hidden="1">
      <c r="Z571">
        <f t="shared" si="35"/>
        <v>48</v>
      </c>
      <c r="AA571">
        <f>CompetidoresRib!B50</f>
        <v>0</v>
      </c>
      <c r="AB571" t="str">
        <f>CompetidoresRib!D50&amp;" - "&amp;CompetidoresRib!E50</f>
        <v xml:space="preserve"> - </v>
      </c>
      <c r="AC571">
        <f>CompetidoresRib!F50</f>
        <v>0</v>
      </c>
    </row>
    <row r="572" spans="26:29" hidden="1">
      <c r="Z572">
        <f t="shared" si="35"/>
        <v>49</v>
      </c>
      <c r="AA572">
        <f>CompetidoresRib!B51</f>
        <v>0</v>
      </c>
      <c r="AB572" t="str">
        <f>CompetidoresRib!D51&amp;" - "&amp;CompetidoresRib!E51</f>
        <v xml:space="preserve"> - </v>
      </c>
      <c r="AC572">
        <f>CompetidoresRib!F51</f>
        <v>0</v>
      </c>
    </row>
    <row r="573" spans="26:29" hidden="1">
      <c r="Z573">
        <f t="shared" si="35"/>
        <v>50</v>
      </c>
      <c r="AA573">
        <f>CompetidoresRib!B52</f>
        <v>0</v>
      </c>
      <c r="AB573" t="str">
        <f>CompetidoresRib!D52&amp;" - "&amp;CompetidoresRib!E52</f>
        <v xml:space="preserve"> - </v>
      </c>
      <c r="AC573">
        <f>CompetidoresRib!F52</f>
        <v>0</v>
      </c>
    </row>
    <row r="574" spans="26:29" hidden="1">
      <c r="Z574">
        <f t="shared" si="35"/>
        <v>51</v>
      </c>
      <c r="AA574">
        <f>CompetidoresRib!B53</f>
        <v>0</v>
      </c>
      <c r="AB574" t="str">
        <f>CompetidoresRib!D53&amp;" - "&amp;CompetidoresRib!E53</f>
        <v xml:space="preserve"> - </v>
      </c>
      <c r="AC574">
        <f>CompetidoresRib!F53</f>
        <v>0</v>
      </c>
    </row>
    <row r="575" spans="26:29" hidden="1">
      <c r="Z575">
        <f t="shared" si="35"/>
        <v>52</v>
      </c>
      <c r="AA575">
        <f>CompetidoresRib!B54</f>
        <v>0</v>
      </c>
      <c r="AB575" t="str">
        <f>CompetidoresRib!D54&amp;" - "&amp;CompetidoresRib!E54</f>
        <v xml:space="preserve"> - </v>
      </c>
      <c r="AC575">
        <f>CompetidoresRib!F54</f>
        <v>0</v>
      </c>
    </row>
    <row r="576" spans="26:29" hidden="1">
      <c r="Z576">
        <f t="shared" si="35"/>
        <v>53</v>
      </c>
      <c r="AA576">
        <f>CompetidoresRib!B55</f>
        <v>0</v>
      </c>
      <c r="AB576" t="str">
        <f>CompetidoresRib!D55&amp;" - "&amp;CompetidoresRib!E55</f>
        <v xml:space="preserve"> - </v>
      </c>
      <c r="AC576">
        <f>CompetidoresRib!F55</f>
        <v>0</v>
      </c>
    </row>
    <row r="577" spans="26:29" hidden="1">
      <c r="Z577">
        <f t="shared" si="35"/>
        <v>54</v>
      </c>
      <c r="AA577">
        <f>CompetidoresRib!B56</f>
        <v>0</v>
      </c>
      <c r="AB577" t="str">
        <f>CompetidoresRib!D56&amp;" - "&amp;CompetidoresRib!E56</f>
        <v xml:space="preserve"> - </v>
      </c>
      <c r="AC577">
        <f>CompetidoresRib!F56</f>
        <v>0</v>
      </c>
    </row>
    <row r="578" spans="26:29" hidden="1">
      <c r="Z578">
        <f t="shared" si="35"/>
        <v>55</v>
      </c>
      <c r="AA578">
        <f>CompetidoresRib!B57</f>
        <v>0</v>
      </c>
      <c r="AB578" t="str">
        <f>CompetidoresRib!D57&amp;" - "&amp;CompetidoresRib!E57</f>
        <v xml:space="preserve"> - </v>
      </c>
      <c r="AC578">
        <f>CompetidoresRib!F57</f>
        <v>0</v>
      </c>
    </row>
    <row r="579" spans="26:29" hidden="1">
      <c r="Z579">
        <f t="shared" si="35"/>
        <v>56</v>
      </c>
      <c r="AA579">
        <f>CompetidoresRib!B58</f>
        <v>0</v>
      </c>
      <c r="AB579" t="str">
        <f>CompetidoresRib!D58&amp;" - "&amp;CompetidoresRib!E58</f>
        <v xml:space="preserve"> - </v>
      </c>
      <c r="AC579">
        <f>CompetidoresRib!F58</f>
        <v>0</v>
      </c>
    </row>
    <row r="580" spans="26:29" hidden="1">
      <c r="Z580">
        <f t="shared" si="35"/>
        <v>57</v>
      </c>
      <c r="AA580">
        <f>CompetidoresRib!B59</f>
        <v>0</v>
      </c>
      <c r="AB580" t="str">
        <f>CompetidoresRib!D59&amp;" - "&amp;CompetidoresRib!E59</f>
        <v xml:space="preserve"> - </v>
      </c>
      <c r="AC580">
        <f>CompetidoresRib!F59</f>
        <v>0</v>
      </c>
    </row>
    <row r="581" spans="26:29" hidden="1">
      <c r="Z581">
        <f t="shared" si="35"/>
        <v>58</v>
      </c>
      <c r="AA581">
        <f>CompetidoresRib!B60</f>
        <v>0</v>
      </c>
      <c r="AB581" t="str">
        <f>CompetidoresRib!D60&amp;" - "&amp;CompetidoresRib!E60</f>
        <v xml:space="preserve"> - </v>
      </c>
      <c r="AC581">
        <f>CompetidoresRib!F60</f>
        <v>0</v>
      </c>
    </row>
    <row r="582" spans="26:29" hidden="1">
      <c r="Z582">
        <f t="shared" si="35"/>
        <v>59</v>
      </c>
      <c r="AA582">
        <f>CompetidoresRib!B61</f>
        <v>0</v>
      </c>
      <c r="AB582" t="str">
        <f>CompetidoresRib!D61&amp;" - "&amp;CompetidoresRib!E61</f>
        <v xml:space="preserve"> - </v>
      </c>
      <c r="AC582">
        <f>CompetidoresRib!F61</f>
        <v>0</v>
      </c>
    </row>
    <row r="583" spans="26:29" hidden="1">
      <c r="Z583">
        <f t="shared" si="35"/>
        <v>60</v>
      </c>
      <c r="AA583">
        <f>CompetidoresRib!B62</f>
        <v>0</v>
      </c>
      <c r="AB583" t="str">
        <f>CompetidoresRib!D62&amp;" - "&amp;CompetidoresRib!E62</f>
        <v xml:space="preserve"> - </v>
      </c>
      <c r="AC583">
        <f>CompetidoresRib!F62</f>
        <v>0</v>
      </c>
    </row>
    <row r="584" spans="26:29" hidden="1">
      <c r="Z584">
        <f t="shared" si="35"/>
        <v>61</v>
      </c>
      <c r="AA584">
        <f>CompetidoresRib!B63</f>
        <v>0</v>
      </c>
      <c r="AB584" t="str">
        <f>CompetidoresRib!D63&amp;" - "&amp;CompetidoresRib!E63</f>
        <v xml:space="preserve"> - </v>
      </c>
      <c r="AC584">
        <f>CompetidoresRib!F63</f>
        <v>0</v>
      </c>
    </row>
    <row r="585" spans="26:29" hidden="1">
      <c r="Z585">
        <f t="shared" si="35"/>
        <v>62</v>
      </c>
      <c r="AA585">
        <f>CompetidoresRib!B64</f>
        <v>0</v>
      </c>
      <c r="AB585" t="str">
        <f>CompetidoresRib!D64&amp;" - "&amp;CompetidoresRib!E64</f>
        <v xml:space="preserve"> - </v>
      </c>
      <c r="AC585">
        <f>CompetidoresRib!F64</f>
        <v>0</v>
      </c>
    </row>
    <row r="586" spans="26:29" hidden="1">
      <c r="Z586">
        <f t="shared" si="35"/>
        <v>63</v>
      </c>
      <c r="AA586">
        <f>CompetidoresRib!B65</f>
        <v>0</v>
      </c>
      <c r="AB586" t="str">
        <f>CompetidoresRib!D65&amp;" - "&amp;CompetidoresRib!E65</f>
        <v xml:space="preserve"> - </v>
      </c>
      <c r="AC586">
        <f>CompetidoresRib!F65</f>
        <v>0</v>
      </c>
    </row>
    <row r="587" spans="26:29" hidden="1">
      <c r="Z587">
        <f t="shared" si="35"/>
        <v>64</v>
      </c>
      <c r="AA587">
        <f>CompetidoresRib!B66</f>
        <v>0</v>
      </c>
      <c r="AB587" t="str">
        <f>CompetidoresRib!D66&amp;" - "&amp;CompetidoresRib!E66</f>
        <v xml:space="preserve"> - </v>
      </c>
      <c r="AC587">
        <f>CompetidoresRib!F66</f>
        <v>0</v>
      </c>
    </row>
    <row r="588" spans="26:29" hidden="1">
      <c r="Z588">
        <f t="shared" si="35"/>
        <v>65</v>
      </c>
      <c r="AA588">
        <f>CompetidoresRib!B67</f>
        <v>0</v>
      </c>
      <c r="AB588" t="str">
        <f>CompetidoresRib!D67&amp;" - "&amp;CompetidoresRib!E67</f>
        <v xml:space="preserve"> - </v>
      </c>
      <c r="AC588">
        <f>CompetidoresRib!F67</f>
        <v>0</v>
      </c>
    </row>
    <row r="589" spans="26:29" hidden="1">
      <c r="Z589">
        <f t="shared" ref="Z589:Z620" si="36">IF(AA589=$A$4,Z588+1,0)</f>
        <v>66</v>
      </c>
      <c r="AA589">
        <f>CompetidoresRib!B68</f>
        <v>0</v>
      </c>
      <c r="AB589" t="str">
        <f>CompetidoresRib!D68&amp;" - "&amp;CompetidoresRib!E68</f>
        <v xml:space="preserve"> - </v>
      </c>
      <c r="AC589">
        <f>CompetidoresRib!F68</f>
        <v>0</v>
      </c>
    </row>
    <row r="590" spans="26:29" hidden="1">
      <c r="Z590">
        <f t="shared" si="36"/>
        <v>67</v>
      </c>
      <c r="AA590">
        <f>CompetidoresRib!B69</f>
        <v>0</v>
      </c>
      <c r="AB590" t="str">
        <f>CompetidoresRib!D69&amp;" - "&amp;CompetidoresRib!E69</f>
        <v xml:space="preserve"> - </v>
      </c>
      <c r="AC590">
        <f>CompetidoresRib!F69</f>
        <v>0</v>
      </c>
    </row>
    <row r="591" spans="26:29" hidden="1">
      <c r="Z591">
        <f t="shared" si="36"/>
        <v>68</v>
      </c>
      <c r="AA591">
        <f>CompetidoresRib!B70</f>
        <v>0</v>
      </c>
      <c r="AB591" t="str">
        <f>CompetidoresRib!D70&amp;" - "&amp;CompetidoresRib!E70</f>
        <v xml:space="preserve"> - </v>
      </c>
      <c r="AC591">
        <f>CompetidoresRib!F70</f>
        <v>0</v>
      </c>
    </row>
    <row r="592" spans="26:29" hidden="1">
      <c r="Z592">
        <f t="shared" si="36"/>
        <v>69</v>
      </c>
      <c r="AA592">
        <f>CompetidoresRib!B71</f>
        <v>0</v>
      </c>
      <c r="AB592" t="str">
        <f>CompetidoresRib!D71&amp;" - "&amp;CompetidoresRib!E71</f>
        <v xml:space="preserve"> - </v>
      </c>
      <c r="AC592">
        <f>CompetidoresRib!F71</f>
        <v>0</v>
      </c>
    </row>
    <row r="593" spans="26:29" hidden="1">
      <c r="Z593">
        <f t="shared" si="36"/>
        <v>70</v>
      </c>
      <c r="AA593">
        <f>CompetidoresRib!B72</f>
        <v>0</v>
      </c>
      <c r="AB593" t="str">
        <f>CompetidoresRib!D72&amp;" - "&amp;CompetidoresRib!E72</f>
        <v xml:space="preserve"> - </v>
      </c>
      <c r="AC593">
        <f>CompetidoresRib!F72</f>
        <v>0</v>
      </c>
    </row>
    <row r="594" spans="26:29" hidden="1">
      <c r="Z594">
        <f t="shared" si="36"/>
        <v>71</v>
      </c>
      <c r="AA594">
        <f>CompetidoresRib!B73</f>
        <v>0</v>
      </c>
      <c r="AB594" t="str">
        <f>CompetidoresRib!D73&amp;" - "&amp;CompetidoresRib!E73</f>
        <v xml:space="preserve"> - </v>
      </c>
      <c r="AC594">
        <f>CompetidoresRib!F73</f>
        <v>0</v>
      </c>
    </row>
    <row r="595" spans="26:29" hidden="1">
      <c r="Z595">
        <f t="shared" si="36"/>
        <v>72</v>
      </c>
      <c r="AA595">
        <f>CompetidoresRib!B74</f>
        <v>0</v>
      </c>
      <c r="AB595" t="str">
        <f>CompetidoresRib!D74&amp;" - "&amp;CompetidoresRib!E74</f>
        <v xml:space="preserve"> - </v>
      </c>
      <c r="AC595">
        <f>CompetidoresRib!F74</f>
        <v>0</v>
      </c>
    </row>
    <row r="596" spans="26:29" hidden="1">
      <c r="Z596">
        <f t="shared" si="36"/>
        <v>73</v>
      </c>
      <c r="AA596">
        <f>CompetidoresRib!B75</f>
        <v>0</v>
      </c>
      <c r="AB596" t="str">
        <f>CompetidoresRib!D75&amp;" - "&amp;CompetidoresRib!E75</f>
        <v xml:space="preserve"> - </v>
      </c>
      <c r="AC596">
        <f>CompetidoresRib!F75</f>
        <v>0</v>
      </c>
    </row>
    <row r="597" spans="26:29" hidden="1">
      <c r="Z597">
        <f t="shared" si="36"/>
        <v>74</v>
      </c>
      <c r="AA597">
        <f>CompetidoresRib!B76</f>
        <v>0</v>
      </c>
      <c r="AB597" t="str">
        <f>CompetidoresRib!D76&amp;" - "&amp;CompetidoresRib!E76</f>
        <v xml:space="preserve"> - </v>
      </c>
      <c r="AC597">
        <f>CompetidoresRib!F76</f>
        <v>0</v>
      </c>
    </row>
    <row r="598" spans="26:29" hidden="1">
      <c r="Z598">
        <f t="shared" si="36"/>
        <v>75</v>
      </c>
      <c r="AA598">
        <f>CompetidoresRib!B77</f>
        <v>0</v>
      </c>
      <c r="AB598" t="str">
        <f>CompetidoresRib!D77&amp;" - "&amp;CompetidoresRib!E77</f>
        <v xml:space="preserve"> - </v>
      </c>
      <c r="AC598">
        <f>CompetidoresRib!F77</f>
        <v>0</v>
      </c>
    </row>
    <row r="599" spans="26:29" hidden="1">
      <c r="Z599">
        <f t="shared" si="36"/>
        <v>76</v>
      </c>
      <c r="AA599">
        <f>CompetidoresRib!B78</f>
        <v>0</v>
      </c>
      <c r="AB599" t="str">
        <f>CompetidoresRib!D78&amp;" - "&amp;CompetidoresRib!E78</f>
        <v xml:space="preserve"> - </v>
      </c>
      <c r="AC599">
        <f>CompetidoresRib!F78</f>
        <v>0</v>
      </c>
    </row>
    <row r="600" spans="26:29" hidden="1">
      <c r="Z600">
        <f t="shared" si="36"/>
        <v>77</v>
      </c>
      <c r="AA600">
        <f>CompetidoresRib!B79</f>
        <v>0</v>
      </c>
      <c r="AB600" t="str">
        <f>CompetidoresRib!D79&amp;" - "&amp;CompetidoresRib!E79</f>
        <v xml:space="preserve"> - </v>
      </c>
      <c r="AC600">
        <f>CompetidoresRib!F79</f>
        <v>0</v>
      </c>
    </row>
    <row r="601" spans="26:29" hidden="1">
      <c r="Z601">
        <f t="shared" si="36"/>
        <v>78</v>
      </c>
      <c r="AA601">
        <f>CompetidoresRib!B80</f>
        <v>0</v>
      </c>
      <c r="AB601" t="str">
        <f>CompetidoresRib!D80&amp;" - "&amp;CompetidoresRib!E80</f>
        <v xml:space="preserve"> - </v>
      </c>
      <c r="AC601">
        <f>CompetidoresRib!F80</f>
        <v>0</v>
      </c>
    </row>
    <row r="602" spans="26:29" hidden="1">
      <c r="Z602">
        <f t="shared" si="36"/>
        <v>79</v>
      </c>
      <c r="AA602">
        <f>CompetidoresRib!B81</f>
        <v>0</v>
      </c>
      <c r="AB602" t="str">
        <f>CompetidoresRib!D81&amp;" - "&amp;CompetidoresRib!E81</f>
        <v xml:space="preserve"> - </v>
      </c>
      <c r="AC602">
        <f>CompetidoresRib!F81</f>
        <v>0</v>
      </c>
    </row>
    <row r="603" spans="26:29" hidden="1">
      <c r="Z603">
        <f t="shared" si="36"/>
        <v>80</v>
      </c>
      <c r="AA603">
        <f>CompetidoresRib!B82</f>
        <v>0</v>
      </c>
      <c r="AB603" t="str">
        <f>CompetidoresRib!D82&amp;" - "&amp;CompetidoresRib!E82</f>
        <v xml:space="preserve"> - </v>
      </c>
      <c r="AC603">
        <f>CompetidoresRib!F82</f>
        <v>0</v>
      </c>
    </row>
    <row r="604" spans="26:29" hidden="1">
      <c r="Z604">
        <f t="shared" si="36"/>
        <v>81</v>
      </c>
      <c r="AA604">
        <f>CompetidoresRib!B83</f>
        <v>0</v>
      </c>
      <c r="AB604" t="str">
        <f>CompetidoresRib!D83&amp;" - "&amp;CompetidoresRib!E83</f>
        <v xml:space="preserve"> - </v>
      </c>
      <c r="AC604">
        <f>CompetidoresRib!F83</f>
        <v>0</v>
      </c>
    </row>
    <row r="605" spans="26:29" hidden="1">
      <c r="Z605">
        <f t="shared" si="36"/>
        <v>82</v>
      </c>
      <c r="AA605">
        <f>CompetidoresRib!B84</f>
        <v>0</v>
      </c>
      <c r="AB605" t="str">
        <f>CompetidoresRib!D84&amp;" - "&amp;CompetidoresRib!E84</f>
        <v xml:space="preserve"> - </v>
      </c>
      <c r="AC605">
        <f>CompetidoresRib!F84</f>
        <v>0</v>
      </c>
    </row>
    <row r="606" spans="26:29" hidden="1">
      <c r="Z606">
        <f t="shared" si="36"/>
        <v>83</v>
      </c>
      <c r="AA606">
        <f>CompetidoresRib!B85</f>
        <v>0</v>
      </c>
      <c r="AB606" t="str">
        <f>CompetidoresRib!D85&amp;" - "&amp;CompetidoresRib!E85</f>
        <v xml:space="preserve"> - </v>
      </c>
      <c r="AC606">
        <f>CompetidoresRib!F85</f>
        <v>0</v>
      </c>
    </row>
    <row r="607" spans="26:29" hidden="1">
      <c r="Z607">
        <f t="shared" si="36"/>
        <v>84</v>
      </c>
      <c r="AA607">
        <f>CompetidoresRib!B86</f>
        <v>0</v>
      </c>
      <c r="AB607" t="str">
        <f>CompetidoresRib!D86&amp;" - "&amp;CompetidoresRib!E86</f>
        <v xml:space="preserve"> - </v>
      </c>
      <c r="AC607">
        <f>CompetidoresRib!F86</f>
        <v>0</v>
      </c>
    </row>
    <row r="608" spans="26:29" hidden="1">
      <c r="Z608">
        <f t="shared" si="36"/>
        <v>85</v>
      </c>
      <c r="AA608">
        <f>CompetidoresRib!B87</f>
        <v>0</v>
      </c>
      <c r="AB608" t="str">
        <f>CompetidoresRib!D87&amp;" - "&amp;CompetidoresRib!E87</f>
        <v xml:space="preserve"> - </v>
      </c>
      <c r="AC608">
        <f>CompetidoresRib!F87</f>
        <v>0</v>
      </c>
    </row>
    <row r="609" spans="26:29" hidden="1">
      <c r="Z609">
        <f t="shared" si="36"/>
        <v>86</v>
      </c>
      <c r="AA609">
        <f>CompetidoresRib!B88</f>
        <v>0</v>
      </c>
      <c r="AB609" t="str">
        <f>CompetidoresRib!D88&amp;" - "&amp;CompetidoresRib!E88</f>
        <v xml:space="preserve"> - </v>
      </c>
      <c r="AC609">
        <f>CompetidoresRib!F88</f>
        <v>0</v>
      </c>
    </row>
    <row r="610" spans="26:29" hidden="1">
      <c r="Z610">
        <f t="shared" si="36"/>
        <v>87</v>
      </c>
      <c r="AA610">
        <f>CompetidoresRib!B89</f>
        <v>0</v>
      </c>
      <c r="AB610" t="str">
        <f>CompetidoresRib!D89&amp;" - "&amp;CompetidoresRib!E89</f>
        <v xml:space="preserve"> - </v>
      </c>
      <c r="AC610">
        <f>CompetidoresRib!F89</f>
        <v>0</v>
      </c>
    </row>
    <row r="611" spans="26:29" hidden="1">
      <c r="Z611">
        <f t="shared" si="36"/>
        <v>88</v>
      </c>
      <c r="AA611">
        <f>CompetidoresRib!B90</f>
        <v>0</v>
      </c>
      <c r="AB611" t="str">
        <f>CompetidoresRib!D90&amp;" - "&amp;CompetidoresRib!E90</f>
        <v xml:space="preserve"> - </v>
      </c>
      <c r="AC611">
        <f>CompetidoresRib!F90</f>
        <v>0</v>
      </c>
    </row>
    <row r="612" spans="26:29" hidden="1">
      <c r="Z612">
        <f t="shared" si="36"/>
        <v>89</v>
      </c>
      <c r="AA612">
        <f>CompetidoresRib!B91</f>
        <v>0</v>
      </c>
      <c r="AB612" t="str">
        <f>CompetidoresRib!D91&amp;" - "&amp;CompetidoresRib!E91</f>
        <v xml:space="preserve"> - </v>
      </c>
      <c r="AC612">
        <f>CompetidoresRib!F91</f>
        <v>0</v>
      </c>
    </row>
    <row r="613" spans="26:29" hidden="1">
      <c r="Z613">
        <f t="shared" si="36"/>
        <v>90</v>
      </c>
      <c r="AA613">
        <f>CompetidoresRib!B92</f>
        <v>0</v>
      </c>
      <c r="AB613" t="str">
        <f>CompetidoresRib!D92&amp;" - "&amp;CompetidoresRib!E92</f>
        <v xml:space="preserve"> - </v>
      </c>
      <c r="AC613">
        <f>CompetidoresRib!F92</f>
        <v>0</v>
      </c>
    </row>
    <row r="614" spans="26:29" hidden="1">
      <c r="Z614">
        <f t="shared" si="36"/>
        <v>91</v>
      </c>
      <c r="AA614">
        <f>CompetidoresRib!B93</f>
        <v>0</v>
      </c>
      <c r="AB614" t="str">
        <f>CompetidoresRib!D93&amp;" - "&amp;CompetidoresRib!E93</f>
        <v xml:space="preserve"> - </v>
      </c>
      <c r="AC614">
        <f>CompetidoresRib!F93</f>
        <v>0</v>
      </c>
    </row>
    <row r="615" spans="26:29" hidden="1">
      <c r="Z615">
        <f t="shared" si="36"/>
        <v>92</v>
      </c>
      <c r="AA615">
        <f>CompetidoresRib!B94</f>
        <v>0</v>
      </c>
      <c r="AB615" t="str">
        <f>CompetidoresRib!D94&amp;" - "&amp;CompetidoresRib!E94</f>
        <v xml:space="preserve"> - </v>
      </c>
      <c r="AC615">
        <f>CompetidoresRib!F94</f>
        <v>0</v>
      </c>
    </row>
    <row r="616" spans="26:29" hidden="1">
      <c r="Z616">
        <f t="shared" si="36"/>
        <v>93</v>
      </c>
      <c r="AA616">
        <f>CompetidoresRib!B95</f>
        <v>0</v>
      </c>
      <c r="AB616" t="str">
        <f>CompetidoresRib!D95&amp;" - "&amp;CompetidoresRib!E95</f>
        <v xml:space="preserve"> - </v>
      </c>
      <c r="AC616">
        <f>CompetidoresRib!F95</f>
        <v>0</v>
      </c>
    </row>
    <row r="617" spans="26:29" hidden="1">
      <c r="Z617">
        <f t="shared" si="36"/>
        <v>94</v>
      </c>
      <c r="AA617">
        <f>CompetidoresRib!B96</f>
        <v>0</v>
      </c>
      <c r="AB617" t="str">
        <f>CompetidoresRib!D96&amp;" - "&amp;CompetidoresRib!E96</f>
        <v xml:space="preserve"> - </v>
      </c>
      <c r="AC617">
        <f>CompetidoresRib!F96</f>
        <v>0</v>
      </c>
    </row>
    <row r="618" spans="26:29" hidden="1">
      <c r="Z618">
        <f t="shared" si="36"/>
        <v>95</v>
      </c>
      <c r="AA618">
        <f>CompetidoresRib!B97</f>
        <v>0</v>
      </c>
      <c r="AB618" t="str">
        <f>CompetidoresRib!D97&amp;" - "&amp;CompetidoresRib!E97</f>
        <v xml:space="preserve"> - </v>
      </c>
      <c r="AC618">
        <f>CompetidoresRib!F97</f>
        <v>0</v>
      </c>
    </row>
    <row r="619" spans="26:29" hidden="1">
      <c r="Z619">
        <f t="shared" si="36"/>
        <v>96</v>
      </c>
      <c r="AA619">
        <f>CompetidoresRib!B98</f>
        <v>0</v>
      </c>
      <c r="AB619" t="str">
        <f>CompetidoresRib!D98&amp;" - "&amp;CompetidoresRib!E98</f>
        <v xml:space="preserve"> - </v>
      </c>
      <c r="AC619">
        <f>CompetidoresRib!F98</f>
        <v>0</v>
      </c>
    </row>
    <row r="620" spans="26:29" hidden="1">
      <c r="Z620">
        <f t="shared" si="36"/>
        <v>97</v>
      </c>
      <c r="AA620">
        <f>CompetidoresRib!B99</f>
        <v>0</v>
      </c>
      <c r="AB620" t="str">
        <f>CompetidoresRib!D99&amp;" - "&amp;CompetidoresRib!E99</f>
        <v xml:space="preserve"> - </v>
      </c>
      <c r="AC620">
        <f>CompetidoresRib!F99</f>
        <v>0</v>
      </c>
    </row>
    <row r="621" spans="26:29" hidden="1">
      <c r="Z621">
        <f t="shared" ref="Z621:Z652" si="37">IF(AA621=$A$4,Z620+1,0)</f>
        <v>98</v>
      </c>
      <c r="AA621">
        <f>CompetidoresRib!B100</f>
        <v>0</v>
      </c>
      <c r="AB621" t="str">
        <f>CompetidoresRib!D100&amp;" - "&amp;CompetidoresRib!E100</f>
        <v xml:space="preserve"> - </v>
      </c>
      <c r="AC621">
        <f>CompetidoresRib!F100</f>
        <v>0</v>
      </c>
    </row>
    <row r="622" spans="26:29" hidden="1">
      <c r="Z622">
        <f t="shared" si="37"/>
        <v>99</v>
      </c>
      <c r="AA622">
        <f>CompetidoresRib!B101</f>
        <v>0</v>
      </c>
      <c r="AB622" t="str">
        <f>CompetidoresRib!D101&amp;" - "&amp;CompetidoresRib!E101</f>
        <v xml:space="preserve"> - </v>
      </c>
      <c r="AC622">
        <f>CompetidoresRib!F101</f>
        <v>0</v>
      </c>
    </row>
    <row r="623" spans="26:29" hidden="1">
      <c r="Z623">
        <f t="shared" si="37"/>
        <v>100</v>
      </c>
      <c r="AA623">
        <f>CompetidoresRib!B102</f>
        <v>0</v>
      </c>
      <c r="AB623" t="str">
        <f>CompetidoresRib!D102&amp;" - "&amp;CompetidoresRib!E102</f>
        <v xml:space="preserve"> - </v>
      </c>
      <c r="AC623">
        <f>CompetidoresRib!F102</f>
        <v>0</v>
      </c>
    </row>
    <row r="624" spans="26:29" hidden="1">
      <c r="Z624">
        <f t="shared" si="37"/>
        <v>101</v>
      </c>
      <c r="AA624">
        <f>CompetidoresRib!B103</f>
        <v>0</v>
      </c>
      <c r="AB624" t="str">
        <f>CompetidoresRib!D103&amp;" - "&amp;CompetidoresRib!E103</f>
        <v xml:space="preserve"> - </v>
      </c>
      <c r="AC624">
        <f>CompetidoresRib!F103</f>
        <v>0</v>
      </c>
    </row>
    <row r="625" spans="26:29" hidden="1">
      <c r="Z625">
        <f t="shared" si="37"/>
        <v>102</v>
      </c>
      <c r="AA625">
        <f>CompetidoresRib!B104</f>
        <v>0</v>
      </c>
      <c r="AB625" t="str">
        <f>CompetidoresRib!D104&amp;" - "&amp;CompetidoresRib!E104</f>
        <v xml:space="preserve"> - </v>
      </c>
      <c r="AC625">
        <f>CompetidoresRib!F104</f>
        <v>0</v>
      </c>
    </row>
    <row r="626" spans="26:29" hidden="1">
      <c r="Z626">
        <f t="shared" si="37"/>
        <v>103</v>
      </c>
      <c r="AA626">
        <f>CompetidoresRib!B105</f>
        <v>0</v>
      </c>
      <c r="AB626" t="str">
        <f>CompetidoresRib!D105&amp;" - "&amp;CompetidoresRib!E105</f>
        <v xml:space="preserve"> - </v>
      </c>
      <c r="AC626">
        <f>CompetidoresRib!F105</f>
        <v>0</v>
      </c>
    </row>
    <row r="627" spans="26:29" hidden="1">
      <c r="Z627">
        <f t="shared" si="37"/>
        <v>104</v>
      </c>
      <c r="AA627">
        <f>CompetidoresRib!B106</f>
        <v>0</v>
      </c>
      <c r="AB627" t="str">
        <f>CompetidoresRib!D106&amp;" - "&amp;CompetidoresRib!E106</f>
        <v xml:space="preserve"> - </v>
      </c>
      <c r="AC627">
        <f>CompetidoresRib!F106</f>
        <v>0</v>
      </c>
    </row>
    <row r="628" spans="26:29" hidden="1">
      <c r="Z628">
        <f t="shared" si="37"/>
        <v>105</v>
      </c>
      <c r="AA628">
        <f>CompetidoresRib!B107</f>
        <v>0</v>
      </c>
      <c r="AB628" t="str">
        <f>CompetidoresRib!D107&amp;" - "&amp;CompetidoresRib!E107</f>
        <v xml:space="preserve"> - </v>
      </c>
      <c r="AC628">
        <f>CompetidoresRib!F107</f>
        <v>0</v>
      </c>
    </row>
    <row r="629" spans="26:29" hidden="1">
      <c r="Z629">
        <f t="shared" si="37"/>
        <v>106</v>
      </c>
      <c r="AA629">
        <f>CompetidoresRib!B108</f>
        <v>0</v>
      </c>
      <c r="AB629" t="str">
        <f>CompetidoresRib!D108&amp;" - "&amp;CompetidoresRib!E108</f>
        <v xml:space="preserve"> - </v>
      </c>
      <c r="AC629">
        <f>CompetidoresRib!F108</f>
        <v>0</v>
      </c>
    </row>
    <row r="630" spans="26:29" hidden="1">
      <c r="Z630">
        <f t="shared" si="37"/>
        <v>107</v>
      </c>
      <c r="AA630">
        <f>CompetidoresRib!B109</f>
        <v>0</v>
      </c>
      <c r="AB630" t="str">
        <f>CompetidoresRib!D109&amp;" - "&amp;CompetidoresRib!E109</f>
        <v xml:space="preserve"> - </v>
      </c>
      <c r="AC630">
        <f>CompetidoresRib!F109</f>
        <v>0</v>
      </c>
    </row>
    <row r="631" spans="26:29" hidden="1">
      <c r="Z631">
        <f t="shared" si="37"/>
        <v>108</v>
      </c>
      <c r="AA631">
        <f>CompetidoresRib!B110</f>
        <v>0</v>
      </c>
      <c r="AB631" t="str">
        <f>CompetidoresRib!D110&amp;" - "&amp;CompetidoresRib!E110</f>
        <v xml:space="preserve"> - </v>
      </c>
      <c r="AC631">
        <f>CompetidoresRib!F110</f>
        <v>0</v>
      </c>
    </row>
    <row r="632" spans="26:29" hidden="1">
      <c r="Z632">
        <f t="shared" si="37"/>
        <v>109</v>
      </c>
      <c r="AA632">
        <f>CompetidoresRib!B111</f>
        <v>0</v>
      </c>
      <c r="AB632" t="str">
        <f>CompetidoresRib!D111&amp;" - "&amp;CompetidoresRib!E111</f>
        <v xml:space="preserve"> - </v>
      </c>
      <c r="AC632">
        <f>CompetidoresRib!F111</f>
        <v>0</v>
      </c>
    </row>
    <row r="633" spans="26:29" hidden="1">
      <c r="Z633">
        <f t="shared" si="37"/>
        <v>110</v>
      </c>
      <c r="AA633">
        <f>CompetidoresRib!B112</f>
        <v>0</v>
      </c>
      <c r="AB633" t="str">
        <f>CompetidoresRib!D112&amp;" - "&amp;CompetidoresRib!E112</f>
        <v xml:space="preserve"> - </v>
      </c>
      <c r="AC633">
        <f>CompetidoresRib!F112</f>
        <v>0</v>
      </c>
    </row>
    <row r="634" spans="26:29" hidden="1">
      <c r="Z634">
        <f t="shared" si="37"/>
        <v>111</v>
      </c>
      <c r="AA634">
        <f>CompetidoresRib!B113</f>
        <v>0</v>
      </c>
      <c r="AB634" t="str">
        <f>CompetidoresRib!D113&amp;" - "&amp;CompetidoresRib!E113</f>
        <v xml:space="preserve"> - </v>
      </c>
      <c r="AC634">
        <f>CompetidoresRib!F113</f>
        <v>0</v>
      </c>
    </row>
    <row r="635" spans="26:29" hidden="1">
      <c r="Z635">
        <f t="shared" si="37"/>
        <v>112</v>
      </c>
      <c r="AA635">
        <f>CompetidoresRib!B114</f>
        <v>0</v>
      </c>
      <c r="AB635" t="str">
        <f>CompetidoresRib!D114&amp;" - "&amp;CompetidoresRib!E114</f>
        <v xml:space="preserve"> - </v>
      </c>
      <c r="AC635">
        <f>CompetidoresRib!F114</f>
        <v>0</v>
      </c>
    </row>
    <row r="636" spans="26:29" hidden="1">
      <c r="Z636">
        <f t="shared" si="37"/>
        <v>113</v>
      </c>
      <c r="AA636">
        <f>CompetidoresRib!B115</f>
        <v>0</v>
      </c>
      <c r="AB636" t="str">
        <f>CompetidoresRib!D115&amp;" - "&amp;CompetidoresRib!E115</f>
        <v xml:space="preserve"> - </v>
      </c>
      <c r="AC636">
        <f>CompetidoresRib!F115</f>
        <v>0</v>
      </c>
    </row>
    <row r="637" spans="26:29" hidden="1">
      <c r="Z637">
        <f t="shared" si="37"/>
        <v>114</v>
      </c>
      <c r="AA637">
        <f>CompetidoresRib!B116</f>
        <v>0</v>
      </c>
      <c r="AB637" t="str">
        <f>CompetidoresRib!D116&amp;" - "&amp;CompetidoresRib!E116</f>
        <v xml:space="preserve"> - </v>
      </c>
      <c r="AC637">
        <f>CompetidoresRib!F116</f>
        <v>0</v>
      </c>
    </row>
    <row r="638" spans="26:29" hidden="1">
      <c r="Z638">
        <f t="shared" si="37"/>
        <v>115</v>
      </c>
      <c r="AA638">
        <f>CompetidoresRib!B117</f>
        <v>0</v>
      </c>
      <c r="AB638" t="str">
        <f>CompetidoresRib!D117&amp;" - "&amp;CompetidoresRib!E117</f>
        <v xml:space="preserve"> - </v>
      </c>
      <c r="AC638">
        <f>CompetidoresRib!F117</f>
        <v>0</v>
      </c>
    </row>
    <row r="639" spans="26:29" hidden="1">
      <c r="Z639">
        <f t="shared" si="37"/>
        <v>116</v>
      </c>
      <c r="AA639">
        <f>CompetidoresRib!B118</f>
        <v>0</v>
      </c>
      <c r="AB639" t="str">
        <f>CompetidoresRib!D118&amp;" - "&amp;CompetidoresRib!E118</f>
        <v xml:space="preserve"> - </v>
      </c>
      <c r="AC639">
        <f>CompetidoresRib!F118</f>
        <v>0</v>
      </c>
    </row>
    <row r="640" spans="26:29" hidden="1">
      <c r="Z640">
        <f t="shared" si="37"/>
        <v>117</v>
      </c>
      <c r="AA640">
        <f>CompetidoresRib!B119</f>
        <v>0</v>
      </c>
      <c r="AB640" t="str">
        <f>CompetidoresRib!D119&amp;" - "&amp;CompetidoresRib!E119</f>
        <v xml:space="preserve"> - </v>
      </c>
      <c r="AC640">
        <f>CompetidoresRib!F119</f>
        <v>0</v>
      </c>
    </row>
    <row r="641" spans="26:29" hidden="1">
      <c r="Z641">
        <f t="shared" si="37"/>
        <v>118</v>
      </c>
      <c r="AA641">
        <f>CompetidoresRib!B120</f>
        <v>0</v>
      </c>
      <c r="AB641" t="str">
        <f>CompetidoresRib!D120&amp;" - "&amp;CompetidoresRib!E120</f>
        <v xml:space="preserve"> - </v>
      </c>
      <c r="AC641">
        <f>CompetidoresRib!F120</f>
        <v>0</v>
      </c>
    </row>
    <row r="642" spans="26:29" hidden="1">
      <c r="Z642">
        <f t="shared" si="37"/>
        <v>119</v>
      </c>
      <c r="AA642">
        <f>CompetidoresRib!B121</f>
        <v>0</v>
      </c>
      <c r="AB642" t="str">
        <f>CompetidoresRib!D121&amp;" - "&amp;CompetidoresRib!E121</f>
        <v xml:space="preserve"> - </v>
      </c>
      <c r="AC642">
        <f>CompetidoresRib!F121</f>
        <v>0</v>
      </c>
    </row>
    <row r="643" spans="26:29" hidden="1">
      <c r="Z643">
        <f t="shared" si="37"/>
        <v>120</v>
      </c>
      <c r="AA643">
        <f>CompetidoresRib!B122</f>
        <v>0</v>
      </c>
      <c r="AB643" t="str">
        <f>CompetidoresRib!D122&amp;" - "&amp;CompetidoresRib!E122</f>
        <v xml:space="preserve"> - </v>
      </c>
      <c r="AC643">
        <f>CompetidoresRib!F122</f>
        <v>0</v>
      </c>
    </row>
    <row r="644" spans="26:29" hidden="1">
      <c r="Z644">
        <f t="shared" si="37"/>
        <v>121</v>
      </c>
      <c r="AA644">
        <f>CompetidoresRib!B123</f>
        <v>0</v>
      </c>
      <c r="AB644" t="str">
        <f>CompetidoresRib!D123&amp;" - "&amp;CompetidoresRib!E123</f>
        <v xml:space="preserve"> - </v>
      </c>
      <c r="AC644">
        <f>CompetidoresRib!F123</f>
        <v>0</v>
      </c>
    </row>
    <row r="645" spans="26:29" hidden="1">
      <c r="Z645">
        <f t="shared" si="37"/>
        <v>122</v>
      </c>
      <c r="AA645">
        <f>CompetidoresRib!B124</f>
        <v>0</v>
      </c>
      <c r="AB645" t="str">
        <f>CompetidoresRib!D124&amp;" - "&amp;CompetidoresRib!E124</f>
        <v xml:space="preserve"> - </v>
      </c>
      <c r="AC645">
        <f>CompetidoresRib!F124</f>
        <v>0</v>
      </c>
    </row>
    <row r="646" spans="26:29" hidden="1">
      <c r="Z646">
        <f t="shared" si="37"/>
        <v>123</v>
      </c>
      <c r="AA646">
        <f>CompetidoresRib!B125</f>
        <v>0</v>
      </c>
      <c r="AB646" t="str">
        <f>CompetidoresRib!D125&amp;" - "&amp;CompetidoresRib!E125</f>
        <v xml:space="preserve"> - </v>
      </c>
      <c r="AC646">
        <f>CompetidoresRib!F125</f>
        <v>0</v>
      </c>
    </row>
    <row r="647" spans="26:29" hidden="1">
      <c r="Z647">
        <f t="shared" si="37"/>
        <v>124</v>
      </c>
      <c r="AA647">
        <f>CompetidoresRib!B126</f>
        <v>0</v>
      </c>
      <c r="AB647" t="str">
        <f>CompetidoresRib!D126&amp;" - "&amp;CompetidoresRib!E126</f>
        <v xml:space="preserve"> - </v>
      </c>
      <c r="AC647">
        <f>CompetidoresRib!F126</f>
        <v>0</v>
      </c>
    </row>
    <row r="648" spans="26:29" hidden="1">
      <c r="Z648">
        <f t="shared" si="37"/>
        <v>125</v>
      </c>
      <c r="AA648">
        <f>CompetidoresRib!B127</f>
        <v>0</v>
      </c>
      <c r="AB648" t="str">
        <f>CompetidoresRib!D127&amp;" - "&amp;CompetidoresRib!E127</f>
        <v xml:space="preserve"> - </v>
      </c>
      <c r="AC648">
        <f>CompetidoresRib!F127</f>
        <v>0</v>
      </c>
    </row>
    <row r="649" spans="26:29" hidden="1">
      <c r="Z649">
        <f t="shared" si="37"/>
        <v>126</v>
      </c>
      <c r="AA649">
        <f>CompetidoresRib!B128</f>
        <v>0</v>
      </c>
      <c r="AB649" t="str">
        <f>CompetidoresRib!D128&amp;" - "&amp;CompetidoresRib!E128</f>
        <v xml:space="preserve"> - </v>
      </c>
      <c r="AC649">
        <f>CompetidoresRib!F128</f>
        <v>0</v>
      </c>
    </row>
    <row r="650" spans="26:29" hidden="1">
      <c r="Z650">
        <f t="shared" si="37"/>
        <v>127</v>
      </c>
      <c r="AA650">
        <f>CompetidoresRib!B129</f>
        <v>0</v>
      </c>
      <c r="AB650" t="str">
        <f>CompetidoresRib!D129&amp;" - "&amp;CompetidoresRib!E129</f>
        <v xml:space="preserve"> - </v>
      </c>
      <c r="AC650">
        <f>CompetidoresRib!F129</f>
        <v>0</v>
      </c>
    </row>
    <row r="651" spans="26:29" hidden="1">
      <c r="Z651">
        <f t="shared" si="37"/>
        <v>128</v>
      </c>
      <c r="AA651">
        <f>CompetidoresRib!B130</f>
        <v>0</v>
      </c>
      <c r="AB651" t="str">
        <f>CompetidoresRib!D130&amp;" - "&amp;CompetidoresRib!E130</f>
        <v xml:space="preserve"> - </v>
      </c>
      <c r="AC651">
        <f>CompetidoresRib!F130</f>
        <v>0</v>
      </c>
    </row>
    <row r="652" spans="26:29" hidden="1">
      <c r="Z652">
        <f t="shared" si="37"/>
        <v>129</v>
      </c>
      <c r="AA652">
        <f>CompetidoresRib!B131</f>
        <v>0</v>
      </c>
      <c r="AB652" t="str">
        <f>CompetidoresRib!D131&amp;" - "&amp;CompetidoresRib!E131</f>
        <v xml:space="preserve"> - </v>
      </c>
      <c r="AC652">
        <f>CompetidoresRib!F131</f>
        <v>0</v>
      </c>
    </row>
    <row r="653" spans="26:29" hidden="1">
      <c r="Z653">
        <f t="shared" ref="Z653:Z673" si="38">IF(AA653=$A$4,Z652+1,0)</f>
        <v>130</v>
      </c>
      <c r="AA653">
        <f>CompetidoresRib!B132</f>
        <v>0</v>
      </c>
      <c r="AB653" t="str">
        <f>CompetidoresRib!D132&amp;" - "&amp;CompetidoresRib!E132</f>
        <v xml:space="preserve"> - </v>
      </c>
      <c r="AC653">
        <f>CompetidoresRib!F132</f>
        <v>0</v>
      </c>
    </row>
    <row r="654" spans="26:29" hidden="1">
      <c r="Z654">
        <f t="shared" si="38"/>
        <v>131</v>
      </c>
      <c r="AA654">
        <f>CompetidoresRib!B133</f>
        <v>0</v>
      </c>
      <c r="AB654" t="str">
        <f>CompetidoresRib!D133&amp;" - "&amp;CompetidoresRib!E133</f>
        <v xml:space="preserve"> - </v>
      </c>
      <c r="AC654">
        <f>CompetidoresRib!F133</f>
        <v>0</v>
      </c>
    </row>
    <row r="655" spans="26:29" hidden="1">
      <c r="Z655">
        <f t="shared" si="38"/>
        <v>132</v>
      </c>
      <c r="AA655">
        <f>CompetidoresRib!B134</f>
        <v>0</v>
      </c>
      <c r="AB655" t="str">
        <f>CompetidoresRib!D134&amp;" - "&amp;CompetidoresRib!E134</f>
        <v xml:space="preserve"> - </v>
      </c>
      <c r="AC655">
        <f>CompetidoresRib!F134</f>
        <v>0</v>
      </c>
    </row>
    <row r="656" spans="26:29" hidden="1">
      <c r="Z656">
        <f t="shared" si="38"/>
        <v>133</v>
      </c>
      <c r="AA656">
        <f>CompetidoresRib!B135</f>
        <v>0</v>
      </c>
      <c r="AB656" t="str">
        <f>CompetidoresRib!D135&amp;" - "&amp;CompetidoresRib!E135</f>
        <v xml:space="preserve"> - </v>
      </c>
      <c r="AC656">
        <f>CompetidoresRib!F135</f>
        <v>0</v>
      </c>
    </row>
    <row r="657" spans="26:29" hidden="1">
      <c r="Z657">
        <f t="shared" si="38"/>
        <v>134</v>
      </c>
      <c r="AA657">
        <f>CompetidoresRib!B136</f>
        <v>0</v>
      </c>
      <c r="AB657" t="str">
        <f>CompetidoresRib!D136&amp;" - "&amp;CompetidoresRib!E136</f>
        <v xml:space="preserve"> - </v>
      </c>
      <c r="AC657">
        <f>CompetidoresRib!F136</f>
        <v>0</v>
      </c>
    </row>
    <row r="658" spans="26:29" hidden="1">
      <c r="Z658">
        <f t="shared" si="38"/>
        <v>135</v>
      </c>
      <c r="AA658">
        <f>CompetidoresRib!B137</f>
        <v>0</v>
      </c>
      <c r="AB658" t="str">
        <f>CompetidoresRib!D137&amp;" - "&amp;CompetidoresRib!E137</f>
        <v xml:space="preserve"> - </v>
      </c>
      <c r="AC658">
        <f>CompetidoresRib!F137</f>
        <v>0</v>
      </c>
    </row>
    <row r="659" spans="26:29" hidden="1">
      <c r="Z659">
        <f t="shared" si="38"/>
        <v>136</v>
      </c>
      <c r="AA659">
        <f>CompetidoresRib!B138</f>
        <v>0</v>
      </c>
      <c r="AB659" t="str">
        <f>CompetidoresRib!D138&amp;" - "&amp;CompetidoresRib!E138</f>
        <v xml:space="preserve"> - </v>
      </c>
      <c r="AC659">
        <f>CompetidoresRib!F138</f>
        <v>0</v>
      </c>
    </row>
    <row r="660" spans="26:29" hidden="1">
      <c r="Z660">
        <f t="shared" si="38"/>
        <v>137</v>
      </c>
      <c r="AA660">
        <f>CompetidoresRib!B139</f>
        <v>0</v>
      </c>
      <c r="AB660" t="str">
        <f>CompetidoresRib!D139&amp;" - "&amp;CompetidoresRib!E139</f>
        <v xml:space="preserve"> - </v>
      </c>
      <c r="AC660">
        <f>CompetidoresRib!F139</f>
        <v>0</v>
      </c>
    </row>
    <row r="661" spans="26:29" hidden="1">
      <c r="Z661">
        <f t="shared" si="38"/>
        <v>138</v>
      </c>
      <c r="AA661">
        <f>CompetidoresRib!B140</f>
        <v>0</v>
      </c>
      <c r="AB661" t="str">
        <f>CompetidoresRib!D140&amp;" - "&amp;CompetidoresRib!E140</f>
        <v xml:space="preserve"> - </v>
      </c>
      <c r="AC661">
        <f>CompetidoresRib!F140</f>
        <v>0</v>
      </c>
    </row>
    <row r="662" spans="26:29" hidden="1">
      <c r="Z662">
        <f t="shared" si="38"/>
        <v>139</v>
      </c>
      <c r="AA662">
        <f>CompetidoresRib!B141</f>
        <v>0</v>
      </c>
      <c r="AB662" t="str">
        <f>CompetidoresRib!D141&amp;" - "&amp;CompetidoresRib!E141</f>
        <v xml:space="preserve"> - </v>
      </c>
      <c r="AC662">
        <f>CompetidoresRib!F141</f>
        <v>0</v>
      </c>
    </row>
    <row r="663" spans="26:29" hidden="1">
      <c r="Z663">
        <f t="shared" si="38"/>
        <v>140</v>
      </c>
      <c r="AA663">
        <f>CompetidoresRib!B142</f>
        <v>0</v>
      </c>
      <c r="AB663" t="str">
        <f>CompetidoresRib!D142&amp;" - "&amp;CompetidoresRib!E142</f>
        <v xml:space="preserve"> - </v>
      </c>
      <c r="AC663">
        <f>CompetidoresRib!F142</f>
        <v>0</v>
      </c>
    </row>
    <row r="664" spans="26:29" hidden="1">
      <c r="Z664">
        <f t="shared" si="38"/>
        <v>141</v>
      </c>
      <c r="AA664">
        <f>CompetidoresRib!B143</f>
        <v>0</v>
      </c>
      <c r="AB664" t="str">
        <f>CompetidoresRib!D143&amp;" - "&amp;CompetidoresRib!E143</f>
        <v xml:space="preserve"> - </v>
      </c>
      <c r="AC664">
        <f>CompetidoresRib!F143</f>
        <v>0</v>
      </c>
    </row>
    <row r="665" spans="26:29" hidden="1">
      <c r="Z665">
        <f t="shared" si="38"/>
        <v>142</v>
      </c>
      <c r="AA665">
        <f>CompetidoresRib!B144</f>
        <v>0</v>
      </c>
      <c r="AB665" t="str">
        <f>CompetidoresRib!D144&amp;" - "&amp;CompetidoresRib!E144</f>
        <v xml:space="preserve"> - </v>
      </c>
      <c r="AC665">
        <f>CompetidoresRib!F144</f>
        <v>0</v>
      </c>
    </row>
    <row r="666" spans="26:29" hidden="1">
      <c r="Z666">
        <f t="shared" si="38"/>
        <v>143</v>
      </c>
      <c r="AA666">
        <f>CompetidoresRib!B145</f>
        <v>0</v>
      </c>
      <c r="AB666" t="str">
        <f>CompetidoresRib!D145&amp;" - "&amp;CompetidoresRib!E145</f>
        <v xml:space="preserve"> - </v>
      </c>
      <c r="AC666">
        <f>CompetidoresRib!F145</f>
        <v>0</v>
      </c>
    </row>
    <row r="667" spans="26:29" hidden="1">
      <c r="Z667">
        <f t="shared" si="38"/>
        <v>144</v>
      </c>
      <c r="AA667">
        <f>CompetidoresRib!B146</f>
        <v>0</v>
      </c>
      <c r="AB667" t="str">
        <f>CompetidoresRib!D146&amp;" - "&amp;CompetidoresRib!E146</f>
        <v xml:space="preserve"> - </v>
      </c>
      <c r="AC667">
        <f>CompetidoresRib!F146</f>
        <v>0</v>
      </c>
    </row>
    <row r="668" spans="26:29" hidden="1">
      <c r="Z668">
        <f t="shared" si="38"/>
        <v>145</v>
      </c>
      <c r="AA668">
        <f>CompetidoresRib!B147</f>
        <v>0</v>
      </c>
      <c r="AB668" t="str">
        <f>CompetidoresRib!D147&amp;" - "&amp;CompetidoresRib!E147</f>
        <v xml:space="preserve"> - </v>
      </c>
      <c r="AC668">
        <f>CompetidoresRib!F147</f>
        <v>0</v>
      </c>
    </row>
    <row r="669" spans="26:29" hidden="1">
      <c r="Z669">
        <f t="shared" si="38"/>
        <v>146</v>
      </c>
      <c r="AA669">
        <f>CompetidoresRib!B148</f>
        <v>0</v>
      </c>
      <c r="AB669" t="str">
        <f>CompetidoresRib!D148&amp;" - "&amp;CompetidoresRib!E148</f>
        <v xml:space="preserve"> - </v>
      </c>
      <c r="AC669">
        <f>CompetidoresRib!F148</f>
        <v>0</v>
      </c>
    </row>
    <row r="670" spans="26:29" hidden="1">
      <c r="Z670">
        <f t="shared" si="38"/>
        <v>147</v>
      </c>
      <c r="AA670">
        <f>CompetidoresRib!B149</f>
        <v>0</v>
      </c>
      <c r="AB670" t="str">
        <f>CompetidoresRib!D149&amp;" - "&amp;CompetidoresRib!E149</f>
        <v xml:space="preserve"> - </v>
      </c>
      <c r="AC670">
        <f>CompetidoresRib!F149</f>
        <v>0</v>
      </c>
    </row>
    <row r="671" spans="26:29" hidden="1">
      <c r="Z671">
        <f t="shared" si="38"/>
        <v>148</v>
      </c>
      <c r="AA671">
        <f>CompetidoresRib!B150</f>
        <v>0</v>
      </c>
      <c r="AB671" t="str">
        <f>CompetidoresRib!D150&amp;" - "&amp;CompetidoresRib!E150</f>
        <v xml:space="preserve"> - </v>
      </c>
      <c r="AC671">
        <f>CompetidoresRib!F150</f>
        <v>0</v>
      </c>
    </row>
    <row r="672" spans="26:29" hidden="1">
      <c r="Z672">
        <f t="shared" si="38"/>
        <v>149</v>
      </c>
      <c r="AA672">
        <f>CompetidoresRib!B151</f>
        <v>0</v>
      </c>
      <c r="AB672" t="str">
        <f>CompetidoresRib!D151&amp;" - "&amp;CompetidoresRib!E151</f>
        <v xml:space="preserve"> - </v>
      </c>
      <c r="AC672">
        <f>CompetidoresRib!F151</f>
        <v>0</v>
      </c>
    </row>
    <row r="673" spans="26:29" hidden="1">
      <c r="Z673">
        <f t="shared" si="38"/>
        <v>150</v>
      </c>
      <c r="AA673">
        <f>CompetidoresRib!B152</f>
        <v>0</v>
      </c>
      <c r="AB673" t="str">
        <f>CompetidoresRib!D152&amp;" - "&amp;CompetidoresRib!E152</f>
        <v xml:space="preserve"> - </v>
      </c>
      <c r="AC673">
        <f>CompetidoresRib!F152</f>
        <v>0</v>
      </c>
    </row>
    <row r="674" spans="26:29" hidden="1"/>
    <row r="675" spans="26:29" hidden="1"/>
    <row r="676" spans="26:29" hidden="1"/>
    <row r="677" spans="26:29" hidden="1"/>
    <row r="678" spans="26:29" hidden="1"/>
    <row r="679" spans="26:29" hidden="1"/>
    <row r="680" spans="26:29" hidden="1"/>
    <row r="681" spans="26:29" hidden="1"/>
    <row r="682" spans="26:29" hidden="1"/>
    <row r="683" spans="26:29" hidden="1"/>
    <row r="684" spans="26:29" hidden="1"/>
    <row r="685" spans="26:29" hidden="1"/>
    <row r="686" spans="26:29" hidden="1"/>
    <row r="687" spans="26:29" hidden="1"/>
    <row r="688" spans="26:29"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spans="30:36" hidden="1"/>
    <row r="2002" spans="30:36" hidden="1"/>
    <row r="2003" spans="30:36" hidden="1"/>
    <row r="2004" spans="30:36" hidden="1"/>
    <row r="2005" spans="30:36" hidden="1"/>
    <row r="2006" spans="30:36" hidden="1"/>
    <row r="2007" spans="30:36" hidden="1"/>
    <row r="2008" spans="30:36" hidden="1"/>
    <row r="2009" spans="30:36" hidden="1">
      <c r="AE2009" t="s">
        <v>51</v>
      </c>
    </row>
    <row r="2010" spans="30:36" hidden="1">
      <c r="AD2010">
        <f t="shared" ref="AD2010:AD2028" si="39">IF($AB$4=AE2010,AD2009+1,0)</f>
        <v>1</v>
      </c>
      <c r="AE2010">
        <f>Ejecutivos1!B2</f>
        <v>0</v>
      </c>
      <c r="AF2010">
        <f>Ejecutivos1!C2</f>
        <v>0</v>
      </c>
      <c r="AG2010">
        <f>Ejecutivos1!D2</f>
        <v>0</v>
      </c>
      <c r="AH2010">
        <f>Ejecutivos1!E2</f>
        <v>0</v>
      </c>
      <c r="AI2010">
        <f>Ejecutivos1!F2</f>
        <v>0</v>
      </c>
      <c r="AJ2010">
        <f>Ejecutivos1!G2</f>
        <v>0</v>
      </c>
    </row>
    <row r="2011" spans="30:36" hidden="1">
      <c r="AD2011">
        <f t="shared" si="39"/>
        <v>2</v>
      </c>
      <c r="AE2011">
        <f>Ejecutivos1!B3</f>
        <v>0</v>
      </c>
      <c r="AF2011">
        <f>Ejecutivos1!C3</f>
        <v>0</v>
      </c>
      <c r="AG2011">
        <f>Ejecutivos1!D3</f>
        <v>0</v>
      </c>
      <c r="AH2011">
        <f>Ejecutivos1!E3</f>
        <v>0</v>
      </c>
      <c r="AI2011">
        <f>Ejecutivos1!F3</f>
        <v>0</v>
      </c>
      <c r="AJ2011">
        <f>Ejecutivos1!G3</f>
        <v>0</v>
      </c>
    </row>
    <row r="2012" spans="30:36" hidden="1">
      <c r="AD2012">
        <f t="shared" si="39"/>
        <v>3</v>
      </c>
      <c r="AE2012">
        <f>Ejecutivos1!B4</f>
        <v>0</v>
      </c>
      <c r="AF2012">
        <f>Ejecutivos1!C4</f>
        <v>0</v>
      </c>
      <c r="AG2012">
        <f>Ejecutivos1!D4</f>
        <v>0</v>
      </c>
      <c r="AH2012">
        <f>Ejecutivos1!E4</f>
        <v>0</v>
      </c>
      <c r="AI2012">
        <f>Ejecutivos1!F4</f>
        <v>0</v>
      </c>
      <c r="AJ2012">
        <f>Ejecutivos1!G4</f>
        <v>0</v>
      </c>
    </row>
    <row r="2013" spans="30:36" hidden="1">
      <c r="AD2013">
        <f t="shared" si="39"/>
        <v>4</v>
      </c>
      <c r="AE2013">
        <f>Ejecutivos1!B5</f>
        <v>0</v>
      </c>
      <c r="AF2013">
        <f>Ejecutivos1!C5</f>
        <v>0</v>
      </c>
      <c r="AG2013">
        <f>Ejecutivos1!D5</f>
        <v>0</v>
      </c>
      <c r="AH2013">
        <f>Ejecutivos1!E5</f>
        <v>0</v>
      </c>
      <c r="AI2013">
        <f>Ejecutivos1!F5</f>
        <v>0</v>
      </c>
      <c r="AJ2013">
        <f>Ejecutivos1!G5</f>
        <v>0</v>
      </c>
    </row>
    <row r="2014" spans="30:36" hidden="1">
      <c r="AD2014">
        <f t="shared" si="39"/>
        <v>5</v>
      </c>
      <c r="AE2014">
        <f>Ejecutivos1!B6</f>
        <v>0</v>
      </c>
      <c r="AF2014">
        <f>Ejecutivos1!C6</f>
        <v>0</v>
      </c>
      <c r="AG2014">
        <f>Ejecutivos1!D6</f>
        <v>0</v>
      </c>
      <c r="AH2014">
        <f>Ejecutivos1!E6</f>
        <v>0</v>
      </c>
      <c r="AI2014">
        <f>Ejecutivos1!F6</f>
        <v>0</v>
      </c>
      <c r="AJ2014">
        <f>Ejecutivos1!G6</f>
        <v>0</v>
      </c>
    </row>
    <row r="2015" spans="30:36" hidden="1">
      <c r="AD2015">
        <f t="shared" si="39"/>
        <v>6</v>
      </c>
      <c r="AE2015">
        <f>Ejecutivos1!B7</f>
        <v>0</v>
      </c>
      <c r="AF2015">
        <f>Ejecutivos1!C7</f>
        <v>0</v>
      </c>
      <c r="AG2015">
        <f>Ejecutivos1!D7</f>
        <v>0</v>
      </c>
      <c r="AH2015">
        <f>Ejecutivos1!E7</f>
        <v>0</v>
      </c>
      <c r="AI2015">
        <f>Ejecutivos1!F7</f>
        <v>0</v>
      </c>
      <c r="AJ2015">
        <f>Ejecutivos1!G7</f>
        <v>0</v>
      </c>
    </row>
    <row r="2016" spans="30:36" hidden="1">
      <c r="AD2016">
        <f t="shared" si="39"/>
        <v>7</v>
      </c>
      <c r="AE2016">
        <f>Ejecutivos1!B8</f>
        <v>0</v>
      </c>
      <c r="AF2016">
        <f>Ejecutivos1!C8</f>
        <v>0</v>
      </c>
      <c r="AG2016">
        <f>Ejecutivos1!D8</f>
        <v>0</v>
      </c>
      <c r="AH2016">
        <f>Ejecutivos1!E8</f>
        <v>0</v>
      </c>
      <c r="AI2016">
        <f>Ejecutivos1!F8</f>
        <v>0</v>
      </c>
      <c r="AJ2016">
        <f>Ejecutivos1!G8</f>
        <v>0</v>
      </c>
    </row>
    <row r="2017" spans="30:36" hidden="1">
      <c r="AD2017">
        <f t="shared" si="39"/>
        <v>8</v>
      </c>
      <c r="AE2017">
        <f>Ejecutivos1!B9</f>
        <v>0</v>
      </c>
      <c r="AF2017">
        <f>Ejecutivos1!C9</f>
        <v>0</v>
      </c>
      <c r="AG2017">
        <f>Ejecutivos1!D9</f>
        <v>0</v>
      </c>
      <c r="AH2017">
        <f>Ejecutivos1!E9</f>
        <v>0</v>
      </c>
      <c r="AI2017">
        <f>Ejecutivos1!F9</f>
        <v>0</v>
      </c>
      <c r="AJ2017">
        <f>Ejecutivos1!G9</f>
        <v>0</v>
      </c>
    </row>
    <row r="2018" spans="30:36" hidden="1">
      <c r="AD2018">
        <f t="shared" si="39"/>
        <v>9</v>
      </c>
      <c r="AE2018">
        <f>Ejecutivos1!B10</f>
        <v>0</v>
      </c>
      <c r="AF2018">
        <f>Ejecutivos1!C10</f>
        <v>0</v>
      </c>
      <c r="AG2018">
        <f>Ejecutivos1!D10</f>
        <v>0</v>
      </c>
      <c r="AH2018">
        <f>Ejecutivos1!E10</f>
        <v>0</v>
      </c>
      <c r="AI2018">
        <f>Ejecutivos1!F10</f>
        <v>0</v>
      </c>
      <c r="AJ2018">
        <f>Ejecutivos1!G10</f>
        <v>0</v>
      </c>
    </row>
    <row r="2019" spans="30:36" hidden="1">
      <c r="AD2019">
        <f t="shared" si="39"/>
        <v>10</v>
      </c>
      <c r="AE2019">
        <f>Ejecutivos1!B11</f>
        <v>0</v>
      </c>
      <c r="AF2019">
        <f>Ejecutivos1!C11</f>
        <v>0</v>
      </c>
      <c r="AG2019">
        <f>Ejecutivos1!D11</f>
        <v>0</v>
      </c>
      <c r="AH2019">
        <f>Ejecutivos1!E11</f>
        <v>0</v>
      </c>
      <c r="AI2019">
        <f>Ejecutivos1!F11</f>
        <v>0</v>
      </c>
      <c r="AJ2019">
        <f>Ejecutivos1!G11</f>
        <v>0</v>
      </c>
    </row>
    <row r="2020" spans="30:36" hidden="1">
      <c r="AD2020">
        <f t="shared" si="39"/>
        <v>11</v>
      </c>
      <c r="AE2020">
        <f>Ejecutivos1!B12</f>
        <v>0</v>
      </c>
      <c r="AF2020">
        <f>Ejecutivos1!C12</f>
        <v>0</v>
      </c>
      <c r="AG2020">
        <f>Ejecutivos1!D12</f>
        <v>0</v>
      </c>
      <c r="AH2020">
        <f>Ejecutivos1!E12</f>
        <v>0</v>
      </c>
      <c r="AI2020">
        <f>Ejecutivos1!F12</f>
        <v>0</v>
      </c>
      <c r="AJ2020">
        <f>Ejecutivos1!G12</f>
        <v>0</v>
      </c>
    </row>
    <row r="2021" spans="30:36" hidden="1">
      <c r="AD2021">
        <f t="shared" si="39"/>
        <v>12</v>
      </c>
      <c r="AE2021">
        <f>Ejecutivos1!B13</f>
        <v>0</v>
      </c>
      <c r="AF2021">
        <f>Ejecutivos1!C13</f>
        <v>0</v>
      </c>
      <c r="AG2021">
        <f>Ejecutivos1!D13</f>
        <v>0</v>
      </c>
      <c r="AH2021">
        <f>Ejecutivos1!E13</f>
        <v>0</v>
      </c>
      <c r="AI2021">
        <f>Ejecutivos1!F13</f>
        <v>0</v>
      </c>
      <c r="AJ2021">
        <f>Ejecutivos1!G13</f>
        <v>0</v>
      </c>
    </row>
    <row r="2022" spans="30:36" hidden="1">
      <c r="AD2022">
        <f t="shared" si="39"/>
        <v>13</v>
      </c>
      <c r="AE2022">
        <f>Ejecutivos1!B14</f>
        <v>0</v>
      </c>
      <c r="AF2022">
        <f>Ejecutivos1!C14</f>
        <v>0</v>
      </c>
      <c r="AG2022">
        <f>Ejecutivos1!D14</f>
        <v>0</v>
      </c>
      <c r="AH2022">
        <f>Ejecutivos1!E14</f>
        <v>0</v>
      </c>
      <c r="AI2022">
        <f>Ejecutivos1!F14</f>
        <v>0</v>
      </c>
      <c r="AJ2022">
        <f>Ejecutivos1!G14</f>
        <v>0</v>
      </c>
    </row>
    <row r="2023" spans="30:36" hidden="1">
      <c r="AD2023">
        <f t="shared" si="39"/>
        <v>14</v>
      </c>
      <c r="AE2023">
        <f>Ejecutivos1!B15</f>
        <v>0</v>
      </c>
      <c r="AF2023">
        <f>Ejecutivos1!C15</f>
        <v>0</v>
      </c>
      <c r="AG2023">
        <f>Ejecutivos1!D15</f>
        <v>0</v>
      </c>
      <c r="AH2023">
        <f>Ejecutivos1!E15</f>
        <v>0</v>
      </c>
      <c r="AI2023">
        <f>Ejecutivos1!F15</f>
        <v>0</v>
      </c>
      <c r="AJ2023">
        <f>Ejecutivos1!G15</f>
        <v>0</v>
      </c>
    </row>
    <row r="2024" spans="30:36" hidden="1">
      <c r="AD2024">
        <f t="shared" si="39"/>
        <v>15</v>
      </c>
      <c r="AE2024">
        <f>Ejecutivos1!B16</f>
        <v>0</v>
      </c>
      <c r="AF2024">
        <f>Ejecutivos1!C16</f>
        <v>0</v>
      </c>
      <c r="AG2024">
        <f>Ejecutivos1!D16</f>
        <v>0</v>
      </c>
      <c r="AH2024">
        <f>Ejecutivos1!E16</f>
        <v>0</v>
      </c>
      <c r="AI2024">
        <f>Ejecutivos1!F16</f>
        <v>0</v>
      </c>
      <c r="AJ2024">
        <f>Ejecutivos1!G16</f>
        <v>0</v>
      </c>
    </row>
    <row r="2025" spans="30:36" hidden="1">
      <c r="AD2025">
        <f t="shared" si="39"/>
        <v>16</v>
      </c>
      <c r="AE2025">
        <f>Ejecutivos1!B17</f>
        <v>0</v>
      </c>
      <c r="AF2025">
        <f>Ejecutivos1!C17</f>
        <v>0</v>
      </c>
      <c r="AG2025">
        <f>Ejecutivos1!D17</f>
        <v>0</v>
      </c>
      <c r="AH2025">
        <f>Ejecutivos1!E17</f>
        <v>0</v>
      </c>
      <c r="AI2025">
        <f>Ejecutivos1!F17</f>
        <v>0</v>
      </c>
      <c r="AJ2025">
        <f>Ejecutivos1!G17</f>
        <v>0</v>
      </c>
    </row>
    <row r="2026" spans="30:36" hidden="1">
      <c r="AD2026">
        <f t="shared" si="39"/>
        <v>17</v>
      </c>
      <c r="AE2026">
        <f>Ejecutivos1!B18</f>
        <v>0</v>
      </c>
      <c r="AF2026">
        <f>Ejecutivos1!C18</f>
        <v>0</v>
      </c>
      <c r="AG2026">
        <f>Ejecutivos1!D18</f>
        <v>0</v>
      </c>
      <c r="AH2026">
        <f>Ejecutivos1!E18</f>
        <v>0</v>
      </c>
      <c r="AI2026">
        <f>Ejecutivos1!F18</f>
        <v>0</v>
      </c>
      <c r="AJ2026">
        <f>Ejecutivos1!G18</f>
        <v>0</v>
      </c>
    </row>
    <row r="2027" spans="30:36" hidden="1">
      <c r="AD2027">
        <f t="shared" si="39"/>
        <v>18</v>
      </c>
      <c r="AE2027">
        <f>Ejecutivos1!B19</f>
        <v>0</v>
      </c>
      <c r="AF2027">
        <f>Ejecutivos1!C19</f>
        <v>0</v>
      </c>
      <c r="AG2027">
        <f>Ejecutivos1!D19</f>
        <v>0</v>
      </c>
      <c r="AH2027">
        <f>Ejecutivos1!E19</f>
        <v>0</v>
      </c>
      <c r="AI2027">
        <f>Ejecutivos1!F19</f>
        <v>0</v>
      </c>
      <c r="AJ2027">
        <f>Ejecutivos1!G19</f>
        <v>0</v>
      </c>
    </row>
    <row r="2028" spans="30:36" hidden="1">
      <c r="AD2028">
        <f t="shared" si="39"/>
        <v>19</v>
      </c>
      <c r="AE2028">
        <f>Ejecutivos1!B20</f>
        <v>0</v>
      </c>
      <c r="AF2028">
        <f>Ejecutivos1!C20</f>
        <v>0</v>
      </c>
      <c r="AG2028">
        <f>Ejecutivos1!D20</f>
        <v>0</v>
      </c>
      <c r="AH2028">
        <f>Ejecutivos1!E20</f>
        <v>0</v>
      </c>
      <c r="AI2028">
        <f>Ejecutivos1!F20</f>
        <v>0</v>
      </c>
      <c r="AJ2028">
        <f>Ejecutivos1!G20</f>
        <v>0</v>
      </c>
    </row>
    <row r="2029" spans="30:36" hidden="1"/>
    <row r="2030" spans="30:36" hidden="1"/>
    <row r="2031" spans="30:36" hidden="1"/>
    <row r="2032" spans="30:36"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sheetData>
  <sheetProtection password="B0E5"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11"/>
  <dimension ref="A1:E1087"/>
  <sheetViews>
    <sheetView workbookViewId="0" rightToLeft="false">
      <selection activeCell="A15" sqref="A15"/>
    </sheetView>
  </sheetViews>
  <sheetFormatPr baseColWidth="10" defaultRowHeight="14.5"/>
  <sheetData>
    <row spans="1:5" outlineLevel="0" r="1">
      <c r="A1" t="s">
        <v>122</v>
      </c>
      <c r="B1" t="s">
        <v>38</v>
      </c>
      <c r="C1" t="s">
        <v>0</v>
      </c>
      <c r="D1" t="s">
        <v>39</v>
      </c>
      <c r="E1" t="s">
        <v>40</v>
      </c>
    </row>
    <row outlineLevel="0" r="2">
      <c r="A2" s="4108" t="inlineStr">
        <is>
          <t>1357924682022120</t>
        </is>
      </c>
      <c r="B2" s="4108" t="inlineStr">
        <is>
          <t>0</t>
        </is>
      </c>
      <c r="C2" s="4108" t="inlineStr">
        <is>
          <t>135792468</t>
        </is>
      </c>
      <c r="D2" s="4108" t="inlineStr">
        <is>
          <t>202212</t>
        </is>
      </c>
      <c r="E2" s="4108" t="inlineStr">
        <is>
          <t>19706,000000000000</t>
        </is>
      </c>
    </row>
    <row outlineLevel="0" r="3">
      <c r="A3" s="4108" t="inlineStr">
        <is>
          <t>1357924682022121</t>
        </is>
      </c>
      <c r="B3" s="4108" t="inlineStr">
        <is>
          <t>1</t>
        </is>
      </c>
      <c r="C3" s="4108" t="inlineStr">
        <is>
          <t>135792468</t>
        </is>
      </c>
      <c r="D3" s="4108" t="inlineStr">
        <is>
          <t>202212</t>
        </is>
      </c>
      <c r="E3" s="4108" t="inlineStr">
        <is>
          <t>19706,000000000000</t>
        </is>
      </c>
    </row>
    <row outlineLevel="0" r="4">
      <c r="A4" s="4108" t="inlineStr">
        <is>
          <t>1357924682022122</t>
        </is>
      </c>
      <c r="B4" s="4108" t="inlineStr">
        <is>
          <t>2</t>
        </is>
      </c>
      <c r="C4" s="4108" t="inlineStr">
        <is>
          <t>135792468</t>
        </is>
      </c>
      <c r="D4" s="4108" t="inlineStr">
        <is>
          <t>202212</t>
        </is>
      </c>
      <c r="E4" s="4108" t="inlineStr">
        <is>
          <t>14862,000000000000</t>
        </is>
      </c>
    </row>
    <row outlineLevel="0" r="5">
      <c r="A5" s="4108" t="inlineStr">
        <is>
          <t>1357924682022123</t>
        </is>
      </c>
      <c r="B5" s="4108" t="inlineStr">
        <is>
          <t>3</t>
        </is>
      </c>
      <c r="C5" s="4108" t="inlineStr">
        <is>
          <t>135792468</t>
        </is>
      </c>
      <c r="D5" s="4108" t="inlineStr">
        <is>
          <t>202212</t>
        </is>
      </c>
      <c r="E5" s="4108" t="inlineStr">
        <is>
          <t>4844,000000000000</t>
        </is>
      </c>
    </row>
    <row outlineLevel="0" r="6">
      <c r="A6" s="4108" t="inlineStr">
        <is>
          <t>13579246820221211</t>
        </is>
      </c>
      <c r="B6" s="4108" t="inlineStr">
        <is>
          <t>11</t>
        </is>
      </c>
      <c r="C6" s="4108" t="inlineStr">
        <is>
          <t>135792468</t>
        </is>
      </c>
      <c r="D6" s="4108" t="inlineStr">
        <is>
          <t>202212</t>
        </is>
      </c>
      <c r="E6" s="4108" t="inlineStr">
        <is>
          <t>708,000000000000</t>
        </is>
      </c>
    </row>
    <row outlineLevel="0" r="7">
      <c r="A7" s="4108" t="inlineStr">
        <is>
          <t>13579246820221212</t>
        </is>
      </c>
      <c r="B7" s="4108" t="inlineStr">
        <is>
          <t>12</t>
        </is>
      </c>
      <c r="C7" s="4108" t="inlineStr">
        <is>
          <t>135792468</t>
        </is>
      </c>
      <c r="D7" s="4108" t="inlineStr">
        <is>
          <t>202212</t>
        </is>
      </c>
      <c r="E7" s="4108" t="inlineStr">
        <is>
          <t>18998,000000000000</t>
        </is>
      </c>
    </row>
    <row outlineLevel="0" r="8">
      <c r="A8" s="4108" t="inlineStr">
        <is>
          <t>13579246820221221</t>
        </is>
      </c>
      <c r="B8" s="4108" t="inlineStr">
        <is>
          <t>21</t>
        </is>
      </c>
      <c r="C8" s="4108" t="inlineStr">
        <is>
          <t>135792468</t>
        </is>
      </c>
      <c r="D8" s="4108" t="inlineStr">
        <is>
          <t>202212</t>
        </is>
      </c>
      <c r="E8" s="4108" t="inlineStr">
        <is>
          <t>2262,000000000000</t>
        </is>
      </c>
    </row>
    <row outlineLevel="0" r="9">
      <c r="A9" s="4108" t="inlineStr">
        <is>
          <t>13579246820221222</t>
        </is>
      </c>
      <c r="B9" s="4108" t="inlineStr">
        <is>
          <t>22</t>
        </is>
      </c>
      <c r="C9" s="4108" t="inlineStr">
        <is>
          <t>135792468</t>
        </is>
      </c>
      <c r="D9" s="4108" t="inlineStr">
        <is>
          <t>202212</t>
        </is>
      </c>
      <c r="E9" s="4108" t="inlineStr">
        <is>
          <t>12600,000000000000</t>
        </is>
      </c>
    </row>
    <row outlineLevel="0" r="10">
      <c r="A10" s="4108" t="inlineStr">
        <is>
          <t>13579246820221231</t>
        </is>
      </c>
      <c r="B10" s="4108" t="inlineStr">
        <is>
          <t>31</t>
        </is>
      </c>
      <c r="C10" s="4108" t="inlineStr">
        <is>
          <t>135792468</t>
        </is>
      </c>
      <c r="D10" s="4108" t="inlineStr">
        <is>
          <t>202212</t>
        </is>
      </c>
      <c r="E10" s="4108" t="inlineStr">
        <is>
          <t>3767,000000000000</t>
        </is>
      </c>
    </row>
    <row outlineLevel="0" r="11">
      <c r="A11" s="4108" t="inlineStr">
        <is>
          <t>13579246820221232</t>
        </is>
      </c>
      <c r="B11" s="4108" t="inlineStr">
        <is>
          <t>32</t>
        </is>
      </c>
      <c r="C11" s="4108" t="inlineStr">
        <is>
          <t>135792468</t>
        </is>
      </c>
      <c r="D11" s="4108" t="inlineStr">
        <is>
          <t>202212</t>
        </is>
      </c>
      <c r="E11" s="4108" t="inlineStr">
        <is>
          <t>0,000000000000</t>
        </is>
      </c>
    </row>
    <row outlineLevel="0" r="12">
      <c r="A12" s="4108" t="inlineStr">
        <is>
          <t>13579246820221233</t>
        </is>
      </c>
      <c r="B12" s="4108" t="inlineStr">
        <is>
          <t>33</t>
        </is>
      </c>
      <c r="C12" s="4108" t="inlineStr">
        <is>
          <t>135792468</t>
        </is>
      </c>
      <c r="D12" s="4108" t="inlineStr">
        <is>
          <t>202212</t>
        </is>
      </c>
      <c r="E12" s="4108" t="inlineStr">
        <is>
          <t>166,000000000000</t>
        </is>
      </c>
    </row>
    <row outlineLevel="0" r="13">
      <c r="A13" s="4108" t="inlineStr">
        <is>
          <t>13579246820221234</t>
        </is>
      </c>
      <c r="B13" s="4108" t="inlineStr">
        <is>
          <t>34</t>
        </is>
      </c>
      <c r="C13" s="4108" t="inlineStr">
        <is>
          <t>135792468</t>
        </is>
      </c>
      <c r="D13" s="4108" t="inlineStr">
        <is>
          <t>202212</t>
        </is>
      </c>
      <c r="E13" s="4108" t="inlineStr">
        <is>
          <t>0,000000000000</t>
        </is>
      </c>
    </row>
    <row outlineLevel="0" r="14">
      <c r="A14" s="4108" t="inlineStr">
        <is>
          <t>13579246820221235</t>
        </is>
      </c>
      <c r="B14" s="4108" t="inlineStr">
        <is>
          <t>35</t>
        </is>
      </c>
      <c r="C14" s="4108" t="inlineStr">
        <is>
          <t>135792468</t>
        </is>
      </c>
      <c r="D14" s="4108" t="inlineStr">
        <is>
          <t>202212</t>
        </is>
      </c>
      <c r="E14" s="4108" t="inlineStr">
        <is>
          <t>0,000000000000</t>
        </is>
      </c>
    </row>
    <row outlineLevel="0" r="15">
      <c r="A15" s="4108" t="inlineStr">
        <is>
          <t>13579246820221236</t>
        </is>
      </c>
      <c r="B15" s="4108" t="inlineStr">
        <is>
          <t>36</t>
        </is>
      </c>
      <c r="C15" s="4108" t="inlineStr">
        <is>
          <t>135792468</t>
        </is>
      </c>
      <c r="D15" s="4108" t="inlineStr">
        <is>
          <t>202212</t>
        </is>
      </c>
      <c r="E15" s="4108" t="inlineStr">
        <is>
          <t>6,000000000000</t>
        </is>
      </c>
    </row>
    <row outlineLevel="0" r="16">
      <c r="A16" s="4108" t="inlineStr">
        <is>
          <t>13579246820221237</t>
        </is>
      </c>
      <c r="B16" s="4108" t="inlineStr">
        <is>
          <t>37</t>
        </is>
      </c>
      <c r="C16" s="4108" t="inlineStr">
        <is>
          <t>135792468</t>
        </is>
      </c>
      <c r="D16" s="4108" t="inlineStr">
        <is>
          <t>202212</t>
        </is>
      </c>
      <c r="E16" s="4108" t="inlineStr">
        <is>
          <t>905,000000000000</t>
        </is>
      </c>
    </row>
    <row outlineLevel="0" r="17">
      <c r="A17" s="4108" t="inlineStr">
        <is>
          <t>13579246820221238</t>
        </is>
      </c>
      <c r="B17" s="4108" t="inlineStr">
        <is>
          <t>38</t>
        </is>
      </c>
      <c r="C17" s="4108" t="inlineStr">
        <is>
          <t>135792468</t>
        </is>
      </c>
      <c r="D17" s="4108" t="inlineStr">
        <is>
          <t>202212</t>
        </is>
      </c>
      <c r="E17" s="4108" t="inlineStr">
        <is>
          <t>0,000000000000</t>
        </is>
      </c>
    </row>
    <row outlineLevel="0" r="18">
      <c r="A18" s="4108" t="inlineStr">
        <is>
          <t>13579246820221241</t>
        </is>
      </c>
      <c r="B18" s="4108" t="inlineStr">
        <is>
          <t>41</t>
        </is>
      </c>
      <c r="C18" s="4108" t="inlineStr">
        <is>
          <t>135792468</t>
        </is>
      </c>
      <c r="D18" s="4108" t="inlineStr">
        <is>
          <t>202212</t>
        </is>
      </c>
      <c r="E18" s="4108" t="inlineStr">
        <is>
          <t>1943,000000000000</t>
        </is>
      </c>
    </row>
    <row outlineLevel="0" r="19">
      <c r="A19" s="4108" t="inlineStr">
        <is>
          <t>13579246820221242</t>
        </is>
      </c>
      <c r="B19" s="4108" t="inlineStr">
        <is>
          <t>42</t>
        </is>
      </c>
      <c r="C19" s="4108" t="inlineStr">
        <is>
          <t>135792468</t>
        </is>
      </c>
      <c r="D19" s="4108" t="inlineStr">
        <is>
          <t>202212</t>
        </is>
      </c>
      <c r="E19" s="4108" t="inlineStr">
        <is>
          <t>0,000000000000</t>
        </is>
      </c>
    </row>
    <row outlineLevel="0" r="20">
      <c r="A20" s="4108" t="inlineStr">
        <is>
          <t>13579246820221251</t>
        </is>
      </c>
      <c r="B20" s="4108" t="inlineStr">
        <is>
          <t>51</t>
        </is>
      </c>
      <c r="C20" s="4108" t="inlineStr">
        <is>
          <t>135792468</t>
        </is>
      </c>
      <c r="D20" s="4108" t="inlineStr">
        <is>
          <t>202212</t>
        </is>
      </c>
      <c r="E20" s="4108" t="inlineStr">
        <is>
          <t>1350,000000000000</t>
        </is>
      </c>
    </row>
    <row outlineLevel="0" r="21">
      <c r="A21" s="4108" t="inlineStr">
        <is>
          <t>13579246820221252</t>
        </is>
      </c>
      <c r="B21" s="4108" t="inlineStr">
        <is>
          <t>52</t>
        </is>
      </c>
      <c r="C21" s="4108" t="inlineStr">
        <is>
          <t>135792468</t>
        </is>
      </c>
      <c r="D21" s="4108" t="inlineStr">
        <is>
          <t>202212</t>
        </is>
      </c>
      <c r="E21" s="4108" t="inlineStr">
        <is>
          <t>0,000000000000</t>
        </is>
      </c>
    </row>
    <row outlineLevel="0" r="22">
      <c r="A22" s="4108" t="inlineStr">
        <is>
          <t>13579246820221253</t>
        </is>
      </c>
      <c r="B22" s="4108" t="inlineStr">
        <is>
          <t>53</t>
        </is>
      </c>
      <c r="C22" s="4108" t="inlineStr">
        <is>
          <t>135792468</t>
        </is>
      </c>
      <c r="D22" s="4108" t="inlineStr">
        <is>
          <t>202212</t>
        </is>
      </c>
      <c r="E22" s="4108" t="inlineStr">
        <is>
          <t>587,000000000000</t>
        </is>
      </c>
    </row>
    <row outlineLevel="0" r="23">
      <c r="A23" s="4108" t="inlineStr">
        <is>
          <t>13579246820221254</t>
        </is>
      </c>
      <c r="B23" s="4108" t="inlineStr">
        <is>
          <t>54</t>
        </is>
      </c>
      <c r="C23" s="4108" t="inlineStr">
        <is>
          <t>135792468</t>
        </is>
      </c>
      <c r="D23" s="4108" t="inlineStr">
        <is>
          <t>202212</t>
        </is>
      </c>
      <c r="E23" s="4108" t="inlineStr">
        <is>
          <t>0,000000000000</t>
        </is>
      </c>
    </row>
    <row outlineLevel="0" r="24">
      <c r="A24" s="4108" t="inlineStr">
        <is>
          <t>13579246820221261</t>
        </is>
      </c>
      <c r="B24" s="4108" t="inlineStr">
        <is>
          <t>61</t>
        </is>
      </c>
      <c r="C24" s="4108" t="inlineStr">
        <is>
          <t>135792468</t>
        </is>
      </c>
      <c r="D24" s="4108" t="inlineStr">
        <is>
          <t>202212</t>
        </is>
      </c>
      <c r="E24" s="4108" t="inlineStr">
        <is>
          <t>0,000000000000</t>
        </is>
      </c>
    </row>
    <row outlineLevel="0" r="25">
      <c r="A25" s="4108" t="inlineStr">
        <is>
          <t>13579246820221295</t>
        </is>
      </c>
      <c r="B25" s="4108" t="inlineStr">
        <is>
          <t>95</t>
        </is>
      </c>
      <c r="C25" s="4108" t="inlineStr">
        <is>
          <t>135792468</t>
        </is>
      </c>
      <c r="D25" s="4108" t="inlineStr">
        <is>
          <t>202212</t>
        </is>
      </c>
      <c r="E25" s="4108" t="inlineStr">
        <is>
          <t>1943,000000000000</t>
        </is>
      </c>
    </row>
    <row outlineLevel="0" r="26">
      <c r="A26" s="4108" t="inlineStr">
        <is>
          <t>13579246820221296</t>
        </is>
      </c>
      <c r="B26" s="4108" t="inlineStr">
        <is>
          <t>96</t>
        </is>
      </c>
      <c r="C26" s="4108" t="inlineStr">
        <is>
          <t>135792468</t>
        </is>
      </c>
      <c r="D26" s="4108" t="inlineStr">
        <is>
          <t>202212</t>
        </is>
      </c>
      <c r="E26" s="4108" t="inlineStr">
        <is>
          <t>593,000000000000</t>
        </is>
      </c>
    </row>
    <row outlineLevel="0" r="27">
      <c r="A27" s="4108" t="inlineStr">
        <is>
          <t>13579246820221297</t>
        </is>
      </c>
      <c r="B27" s="4108" t="inlineStr">
        <is>
          <t>97</t>
        </is>
      </c>
      <c r="C27" s="4108" t="inlineStr">
        <is>
          <t>135792468</t>
        </is>
      </c>
      <c r="D27" s="4108" t="inlineStr">
        <is>
          <t>202212</t>
        </is>
      </c>
      <c r="E27" s="4108" t="inlineStr">
        <is>
          <t>6,000000000000</t>
        </is>
      </c>
    </row>
    <row outlineLevel="0" r="28">
      <c r="A28" s="4108" t="inlineStr">
        <is>
          <t>13579246820221298</t>
        </is>
      </c>
      <c r="B28" s="4108" t="inlineStr">
        <is>
          <t>98</t>
        </is>
      </c>
      <c r="C28" s="4108" t="inlineStr">
        <is>
          <t>135792468</t>
        </is>
      </c>
      <c r="D28" s="4108" t="inlineStr">
        <is>
          <t>202212</t>
        </is>
      </c>
      <c r="E28" s="4108" t="inlineStr">
        <is>
          <t>0,000000000000</t>
        </is>
      </c>
    </row>
    <row outlineLevel="0" r="29">
      <c r="A29" s="4108" t="inlineStr">
        <is>
          <t>13579246820221299</t>
        </is>
      </c>
      <c r="B29" s="4108" t="inlineStr">
        <is>
          <t>99</t>
        </is>
      </c>
      <c r="C29" s="4108" t="inlineStr">
        <is>
          <t>135792468</t>
        </is>
      </c>
      <c r="D29" s="4108" t="inlineStr">
        <is>
          <t>202212</t>
        </is>
      </c>
      <c r="E29" s="4108" t="inlineStr">
        <is>
          <t>6,000000000000</t>
        </is>
      </c>
    </row>
    <row outlineLevel="0" r="30">
      <c r="A30" s="4108" t="inlineStr">
        <is>
          <t>1357924682022121101</t>
        </is>
      </c>
      <c r="B30" s="4108" t="inlineStr">
        <is>
          <t>1101</t>
        </is>
      </c>
      <c r="C30" s="4108" t="inlineStr">
        <is>
          <t>135792468</t>
        </is>
      </c>
      <c r="D30" s="4108" t="inlineStr">
        <is>
          <t>202212</t>
        </is>
      </c>
      <c r="E30" s="4108" t="inlineStr">
        <is>
          <t>283,000000000000</t>
        </is>
      </c>
    </row>
    <row outlineLevel="0" r="31">
      <c r="A31" s="4108" t="inlineStr">
        <is>
          <t>1357924682022121102</t>
        </is>
      </c>
      <c r="B31" s="4108" t="inlineStr">
        <is>
          <t>1102</t>
        </is>
      </c>
      <c r="C31" s="4108" t="inlineStr">
        <is>
          <t>135792468</t>
        </is>
      </c>
      <c r="D31" s="4108" t="inlineStr">
        <is>
          <t>202212</t>
        </is>
      </c>
      <c r="E31" s="4108" t="inlineStr">
        <is>
          <t>0,000000000000</t>
        </is>
      </c>
    </row>
    <row outlineLevel="0" r="32">
      <c r="A32" s="4108" t="inlineStr">
        <is>
          <t>1357924682022121103</t>
        </is>
      </c>
      <c r="B32" s="4108" t="inlineStr">
        <is>
          <t>1103</t>
        </is>
      </c>
      <c r="C32" s="4108" t="inlineStr">
        <is>
          <t>135792468</t>
        </is>
      </c>
      <c r="D32" s="4108" t="inlineStr">
        <is>
          <t>202212</t>
        </is>
      </c>
      <c r="E32" s="4108" t="inlineStr">
        <is>
          <t>377,000000000000</t>
        </is>
      </c>
    </row>
    <row outlineLevel="0" r="33">
      <c r="A33" s="4108" t="inlineStr">
        <is>
          <t>1357924682022121104</t>
        </is>
      </c>
      <c r="B33" s="4108" t="inlineStr">
        <is>
          <t>1104</t>
        </is>
      </c>
      <c r="C33" s="4108" t="inlineStr">
        <is>
          <t>135792468</t>
        </is>
      </c>
      <c r="D33" s="4108" t="inlineStr">
        <is>
          <t>202212</t>
        </is>
      </c>
      <c r="E33" s="4108" t="inlineStr">
        <is>
          <t>0,000000000000</t>
        </is>
      </c>
    </row>
    <row outlineLevel="0" r="34">
      <c r="A34" s="4108" t="inlineStr">
        <is>
          <t>1357924682022121106</t>
        </is>
      </c>
      <c r="B34" s="4108" t="inlineStr">
        <is>
          <t>1106</t>
        </is>
      </c>
      <c r="C34" s="4108" t="inlineStr">
        <is>
          <t>135792468</t>
        </is>
      </c>
      <c r="D34" s="4108" t="inlineStr">
        <is>
          <t>202212</t>
        </is>
      </c>
      <c r="E34" s="4108" t="inlineStr">
        <is>
          <t>48,000000000000</t>
        </is>
      </c>
    </row>
    <row outlineLevel="0" r="35">
      <c r="A35" s="4108" t="inlineStr">
        <is>
          <t>1357924682022121107</t>
        </is>
      </c>
      <c r="B35" s="4108" t="inlineStr">
        <is>
          <t>1107</t>
        </is>
      </c>
      <c r="C35" s="4108" t="inlineStr">
        <is>
          <t>135792468</t>
        </is>
      </c>
      <c r="D35" s="4108" t="inlineStr">
        <is>
          <t>202212</t>
        </is>
      </c>
      <c r="E35" s="4108" t="inlineStr">
        <is>
          <t>0,000000000000</t>
        </is>
      </c>
    </row>
    <row outlineLevel="0" r="36">
      <c r="A36" s="4108" t="inlineStr">
        <is>
          <t>1357924682022121201</t>
        </is>
      </c>
      <c r="B36" s="4108" t="inlineStr">
        <is>
          <t>1201</t>
        </is>
      </c>
      <c r="C36" s="4108" t="inlineStr">
        <is>
          <t>135792468</t>
        </is>
      </c>
      <c r="D36" s="4108" t="inlineStr">
        <is>
          <t>202212</t>
        </is>
      </c>
      <c r="E36" s="4108" t="inlineStr">
        <is>
          <t>15240,000000000000</t>
        </is>
      </c>
    </row>
    <row outlineLevel="0" r="37">
      <c r="A37" s="4108" t="inlineStr">
        <is>
          <t>1357924682022121202</t>
        </is>
      </c>
      <c r="B37" s="4108" t="inlineStr">
        <is>
          <t>1202</t>
        </is>
      </c>
      <c r="C37" s="4108" t="inlineStr">
        <is>
          <t>135792468</t>
        </is>
      </c>
      <c r="D37" s="4108" t="inlineStr">
        <is>
          <t>202212</t>
        </is>
      </c>
      <c r="E37" s="4108" t="inlineStr">
        <is>
          <t>8,000000000000</t>
        </is>
      </c>
    </row>
    <row outlineLevel="0" r="38">
      <c r="A38" s="4108" t="inlineStr">
        <is>
          <t>1357924682022121203</t>
        </is>
      </c>
      <c r="B38" s="4108" t="inlineStr">
        <is>
          <t>1203</t>
        </is>
      </c>
      <c r="C38" s="4108" t="inlineStr">
        <is>
          <t>135792468</t>
        </is>
      </c>
      <c r="D38" s="4108" t="inlineStr">
        <is>
          <t>202212</t>
        </is>
      </c>
      <c r="E38" s="4108" t="inlineStr">
        <is>
          <t>0,000000000000</t>
        </is>
      </c>
    </row>
    <row outlineLevel="0" r="39">
      <c r="A39" s="4108" t="inlineStr">
        <is>
          <t>1357924682022121205</t>
        </is>
      </c>
      <c r="B39" s="4108" t="inlineStr">
        <is>
          <t>1205</t>
        </is>
      </c>
      <c r="C39" s="4108" t="inlineStr">
        <is>
          <t>135792468</t>
        </is>
      </c>
      <c r="D39" s="4108" t="inlineStr">
        <is>
          <t>202212</t>
        </is>
      </c>
      <c r="E39" s="4108" t="inlineStr">
        <is>
          <t>0,000000000000</t>
        </is>
      </c>
    </row>
    <row outlineLevel="0" r="40">
      <c r="A40" s="4108" t="inlineStr">
        <is>
          <t>1357924682022121206</t>
        </is>
      </c>
      <c r="B40" s="4108" t="inlineStr">
        <is>
          <t>1206</t>
        </is>
      </c>
      <c r="C40" s="4108" t="inlineStr">
        <is>
          <t>135792468</t>
        </is>
      </c>
      <c r="D40" s="4108" t="inlineStr">
        <is>
          <t>202212</t>
        </is>
      </c>
      <c r="E40" s="4108" t="inlineStr">
        <is>
          <t>0,000000000000</t>
        </is>
      </c>
    </row>
    <row outlineLevel="0" r="41">
      <c r="A41" s="4108" t="inlineStr">
        <is>
          <t>1357924682022121207</t>
        </is>
      </c>
      <c r="B41" s="4108" t="inlineStr">
        <is>
          <t>1207</t>
        </is>
      </c>
      <c r="C41" s="4108" t="inlineStr">
        <is>
          <t>135792468</t>
        </is>
      </c>
      <c r="D41" s="4108" t="inlineStr">
        <is>
          <t>202212</t>
        </is>
      </c>
      <c r="E41" s="4108" t="inlineStr">
        <is>
          <t>3750,000000000000</t>
        </is>
      </c>
    </row>
    <row outlineLevel="0" r="42">
      <c r="A42" s="4108" t="inlineStr">
        <is>
          <t>1357924682022121208</t>
        </is>
      </c>
      <c r="B42" s="4108" t="inlineStr">
        <is>
          <t>1208</t>
        </is>
      </c>
      <c r="C42" s="4108" t="inlineStr">
        <is>
          <t>135792468</t>
        </is>
      </c>
      <c r="D42" s="4108" t="inlineStr">
        <is>
          <t>202212</t>
        </is>
      </c>
      <c r="E42" s="4108" t="inlineStr">
        <is>
          <t>0,000000000000</t>
        </is>
      </c>
    </row>
    <row outlineLevel="0" r="43">
      <c r="A43" s="4108" t="inlineStr">
        <is>
          <t>1357924682022122101</t>
        </is>
      </c>
      <c r="B43" s="4108" t="inlineStr">
        <is>
          <t>2101</t>
        </is>
      </c>
      <c r="C43" s="4108" t="inlineStr">
        <is>
          <t>135792468</t>
        </is>
      </c>
      <c r="D43" s="4108" t="inlineStr">
        <is>
          <t>202212</t>
        </is>
      </c>
      <c r="E43" s="4108" t="inlineStr">
        <is>
          <t>433,000000000000</t>
        </is>
      </c>
    </row>
    <row outlineLevel="0" r="44">
      <c r="A44" s="4108" t="inlineStr">
        <is>
          <t>1357924682022122102</t>
        </is>
      </c>
      <c r="B44" s="4108" t="inlineStr">
        <is>
          <t>2102</t>
        </is>
      </c>
      <c r="C44" s="4108" t="inlineStr">
        <is>
          <t>135792468</t>
        </is>
      </c>
      <c r="D44" s="4108" t="inlineStr">
        <is>
          <t>202212</t>
        </is>
      </c>
      <c r="E44" s="4108" t="inlineStr">
        <is>
          <t>0,000000000000</t>
        </is>
      </c>
    </row>
    <row outlineLevel="0" r="45">
      <c r="A45" s="4108" t="inlineStr">
        <is>
          <t>1357924682022122103</t>
        </is>
      </c>
      <c r="B45" s="4108" t="inlineStr">
        <is>
          <t>2103</t>
        </is>
      </c>
      <c r="C45" s="4108" t="inlineStr">
        <is>
          <t>135792468</t>
        </is>
      </c>
      <c r="D45" s="4108" t="inlineStr">
        <is>
          <t>202212</t>
        </is>
      </c>
      <c r="E45" s="4108" t="inlineStr">
        <is>
          <t>1650,000000000000</t>
        </is>
      </c>
    </row>
    <row outlineLevel="0" r="46">
      <c r="A46" s="4108" t="inlineStr">
        <is>
          <t>1357924682022122104</t>
        </is>
      </c>
      <c r="B46" s="4108" t="inlineStr">
        <is>
          <t>2104</t>
        </is>
      </c>
      <c r="C46" s="4108" t="inlineStr">
        <is>
          <t>135792468</t>
        </is>
      </c>
      <c r="D46" s="4108" t="inlineStr">
        <is>
          <t>202212</t>
        </is>
      </c>
      <c r="E46" s="4108" t="inlineStr">
        <is>
          <t>0,000000000000</t>
        </is>
      </c>
    </row>
    <row outlineLevel="0" r="47">
      <c r="A47" s="4108" t="inlineStr">
        <is>
          <t>1357924682022122105</t>
        </is>
      </c>
      <c r="B47" s="4108" t="inlineStr">
        <is>
          <t>2105</t>
        </is>
      </c>
      <c r="C47" s="4108" t="inlineStr">
        <is>
          <t>135792468</t>
        </is>
      </c>
      <c r="D47" s="4108" t="inlineStr">
        <is>
          <t>202212</t>
        </is>
      </c>
      <c r="E47" s="4108" t="inlineStr">
        <is>
          <t>7,000000000000</t>
        </is>
      </c>
    </row>
    <row outlineLevel="0" r="48">
      <c r="A48" s="4108" t="inlineStr">
        <is>
          <t>1357924682022122106</t>
        </is>
      </c>
      <c r="B48" s="4108" t="inlineStr">
        <is>
          <t>2106</t>
        </is>
      </c>
      <c r="C48" s="4108" t="inlineStr">
        <is>
          <t>135792468</t>
        </is>
      </c>
      <c r="D48" s="4108" t="inlineStr">
        <is>
          <t>202212</t>
        </is>
      </c>
      <c r="E48" s="4108" t="inlineStr">
        <is>
          <t>0,000000000000</t>
        </is>
      </c>
    </row>
    <row outlineLevel="0" r="49">
      <c r="A49" s="4108" t="inlineStr">
        <is>
          <t>1357924682022122107</t>
        </is>
      </c>
      <c r="B49" s="4108" t="inlineStr">
        <is>
          <t>2107</t>
        </is>
      </c>
      <c r="C49" s="4108" t="inlineStr">
        <is>
          <t>135792468</t>
        </is>
      </c>
      <c r="D49" s="4108" t="inlineStr">
        <is>
          <t>202212</t>
        </is>
      </c>
      <c r="E49" s="4108" t="inlineStr">
        <is>
          <t>172,000000000000</t>
        </is>
      </c>
    </row>
    <row outlineLevel="0" r="50">
      <c r="A50" s="4108" t="inlineStr">
        <is>
          <t>1357924682022122109</t>
        </is>
      </c>
      <c r="B50" s="4108" t="inlineStr">
        <is>
          <t>2109</t>
        </is>
      </c>
      <c r="C50" s="4108" t="inlineStr">
        <is>
          <t>135792468</t>
        </is>
      </c>
      <c r="D50" s="4108" t="inlineStr">
        <is>
          <t>202212</t>
        </is>
      </c>
      <c r="E50" s="4108" t="inlineStr">
        <is>
          <t>0,000000000000</t>
        </is>
      </c>
    </row>
    <row outlineLevel="0" r="51">
      <c r="A51" s="4108" t="inlineStr">
        <is>
          <t>1357924682022122201</t>
        </is>
      </c>
      <c r="B51" s="4108" t="inlineStr">
        <is>
          <t>2201</t>
        </is>
      </c>
      <c r="C51" s="4108" t="inlineStr">
        <is>
          <t>135792468</t>
        </is>
      </c>
      <c r="D51" s="4108" t="inlineStr">
        <is>
          <t>202212</t>
        </is>
      </c>
      <c r="E51" s="4108" t="inlineStr">
        <is>
          <t>11288,000000000000</t>
        </is>
      </c>
    </row>
    <row outlineLevel="0" r="52">
      <c r="A52" s="4108" t="inlineStr">
        <is>
          <t>1357924682022122203</t>
        </is>
      </c>
      <c r="B52" s="4108" t="inlineStr">
        <is>
          <t>2203</t>
        </is>
      </c>
      <c r="C52" s="4108" t="inlineStr">
        <is>
          <t>135792468</t>
        </is>
      </c>
      <c r="D52" s="4108" t="inlineStr">
        <is>
          <t>202212</t>
        </is>
      </c>
      <c r="E52" s="4108" t="inlineStr">
        <is>
          <t>1300,000000000000</t>
        </is>
      </c>
    </row>
    <row outlineLevel="0" r="53">
      <c r="A53" s="4108" t="inlineStr">
        <is>
          <t>1357924682022122204</t>
        </is>
      </c>
      <c r="B53" s="4108" t="inlineStr">
        <is>
          <t>2204</t>
        </is>
      </c>
      <c r="C53" s="4108" t="inlineStr">
        <is>
          <t>135792468</t>
        </is>
      </c>
      <c r="D53" s="4108" t="inlineStr">
        <is>
          <t>202212</t>
        </is>
      </c>
      <c r="E53" s="4108" t="inlineStr">
        <is>
          <t>0,000000000000</t>
        </is>
      </c>
    </row>
    <row outlineLevel="0" r="54">
      <c r="A54" s="4108" t="inlineStr">
        <is>
          <t>1357924682022122206</t>
        </is>
      </c>
      <c r="B54" s="4108" t="inlineStr">
        <is>
          <t>2206</t>
        </is>
      </c>
      <c r="C54" s="4108" t="inlineStr">
        <is>
          <t>135792468</t>
        </is>
      </c>
      <c r="D54" s="4108" t="inlineStr">
        <is>
          <t>202212</t>
        </is>
      </c>
      <c r="E54" s="4108" t="inlineStr">
        <is>
          <t>12,000000000000</t>
        </is>
      </c>
    </row>
    <row outlineLevel="0" r="55">
      <c r="A55" s="4108" t="inlineStr">
        <is>
          <t>1357924682022122207</t>
        </is>
      </c>
      <c r="B55" s="4108" t="inlineStr">
        <is>
          <t>2207</t>
        </is>
      </c>
      <c r="C55" s="4108" t="inlineStr">
        <is>
          <t>135792468</t>
        </is>
      </c>
      <c r="D55" s="4108" t="inlineStr">
        <is>
          <t>202212</t>
        </is>
      </c>
      <c r="E55" s="4108" t="inlineStr">
        <is>
          <t>0,000000000000</t>
        </is>
      </c>
    </row>
    <row outlineLevel="0" r="56">
      <c r="A56" s="4108" t="inlineStr">
        <is>
          <t>1357924682022122209</t>
        </is>
      </c>
      <c r="B56" s="4108" t="inlineStr">
        <is>
          <t>2209</t>
        </is>
      </c>
      <c r="C56" s="4108" t="inlineStr">
        <is>
          <t>135792468</t>
        </is>
      </c>
      <c r="D56" s="4108" t="inlineStr">
        <is>
          <t>202212</t>
        </is>
      </c>
      <c r="E56" s="4108" t="inlineStr">
        <is>
          <t>0,000000000000</t>
        </is>
      </c>
    </row>
    <row outlineLevel="0" r="57">
      <c r="A57" s="4108" t="inlineStr">
        <is>
          <t>1357924682022125301</t>
        </is>
      </c>
      <c r="B57" s="4108" t="inlineStr">
        <is>
          <t>5301</t>
        </is>
      </c>
      <c r="C57" s="4108" t="inlineStr">
        <is>
          <t>135792468</t>
        </is>
      </c>
      <c r="D57" s="4108" t="inlineStr">
        <is>
          <t>202212</t>
        </is>
      </c>
      <c r="E57" s="4108" t="inlineStr">
        <is>
          <t>587,000000000000</t>
        </is>
      </c>
    </row>
    <row outlineLevel="0" r="58">
      <c r="A58" s="4108" t="inlineStr">
        <is>
          <t>135792468202212108000</t>
        </is>
      </c>
      <c r="B58" s="4108" t="inlineStr">
        <is>
          <t>108000</t>
        </is>
      </c>
      <c r="C58" s="4108" t="inlineStr">
        <is>
          <t>135792468</t>
        </is>
      </c>
      <c r="D58" s="4108" t="inlineStr">
        <is>
          <t>202212</t>
        </is>
      </c>
      <c r="E58" s="4108" t="inlineStr">
        <is>
          <t>0,000000000000</t>
        </is>
      </c>
    </row>
    <row outlineLevel="0" r="59">
      <c r="A59" s="4108" t="inlineStr">
        <is>
          <t>135792468202212108100</t>
        </is>
      </c>
      <c r="B59" s="4108" t="inlineStr">
        <is>
          <t>108100</t>
        </is>
      </c>
      <c r="C59" s="4108" t="inlineStr">
        <is>
          <t>135792468</t>
        </is>
      </c>
      <c r="D59" s="4108" t="inlineStr">
        <is>
          <t>202212</t>
        </is>
      </c>
      <c r="E59" s="4108" t="inlineStr">
        <is>
          <t>0,000000000000</t>
        </is>
      </c>
    </row>
    <row outlineLevel="0" r="60">
      <c r="A60" s="4108" t="inlineStr">
        <is>
          <t>135792468202212108200</t>
        </is>
      </c>
      <c r="B60" s="4108" t="inlineStr">
        <is>
          <t>108200</t>
        </is>
      </c>
      <c r="C60" s="4108" t="inlineStr">
        <is>
          <t>135792468</t>
        </is>
      </c>
      <c r="D60" s="4108" t="inlineStr">
        <is>
          <t>202212</t>
        </is>
      </c>
      <c r="E60" s="4108" t="inlineStr">
        <is>
          <t>0,000000000000</t>
        </is>
      </c>
    </row>
    <row outlineLevel="0" r="61">
      <c r="A61" s="4108" t="inlineStr">
        <is>
          <t>135792468202212108300</t>
        </is>
      </c>
      <c r="B61" s="4108" t="inlineStr">
        <is>
          <t>108300</t>
        </is>
      </c>
      <c r="C61" s="4108" t="inlineStr">
        <is>
          <t>135792468</t>
        </is>
      </c>
      <c r="D61" s="4108" t="inlineStr">
        <is>
          <t>202212</t>
        </is>
      </c>
      <c r="E61" s="4108" t="inlineStr">
        <is>
          <t>0,000000000000</t>
        </is>
      </c>
    </row>
    <row outlineLevel="0" r="62">
      <c r="A62" s="4108" t="inlineStr">
        <is>
          <t>135792468202212108400</t>
        </is>
      </c>
      <c r="B62" s="4108" t="inlineStr">
        <is>
          <t>108400</t>
        </is>
      </c>
      <c r="C62" s="4108" t="inlineStr">
        <is>
          <t>135792468</t>
        </is>
      </c>
      <c r="D62" s="4108" t="inlineStr">
        <is>
          <t>202212</t>
        </is>
      </c>
      <c r="E62" s="4108" t="inlineStr">
        <is>
          <t>0,000000000000</t>
        </is>
      </c>
    </row>
    <row outlineLevel="0" r="63">
      <c r="A63" s="4108" t="inlineStr">
        <is>
          <t>135792468202212109801</t>
        </is>
      </c>
      <c r="B63" s="4108" t="inlineStr">
        <is>
          <t>109801</t>
        </is>
      </c>
      <c r="C63" s="4108" t="inlineStr">
        <is>
          <t>135792468</t>
        </is>
      </c>
      <c r="D63" s="4108" t="inlineStr">
        <is>
          <t>202212</t>
        </is>
      </c>
      <c r="E63" s="4108" t="inlineStr">
        <is>
          <t>0,000000000000</t>
        </is>
      </c>
    </row>
    <row outlineLevel="0" r="64">
      <c r="A64" s="4108" t="inlineStr">
        <is>
          <t>135792468202212110105</t>
        </is>
      </c>
      <c r="B64" s="4108" t="inlineStr">
        <is>
          <t>110105</t>
        </is>
      </c>
      <c r="C64" s="4108" t="inlineStr">
        <is>
          <t>135792468</t>
        </is>
      </c>
      <c r="D64" s="4108" t="inlineStr">
        <is>
          <t>202212</t>
        </is>
      </c>
      <c r="E64" s="4108" t="inlineStr">
        <is>
          <t>283,000000000000</t>
        </is>
      </c>
    </row>
    <row outlineLevel="0" r="65">
      <c r="A65" s="4108" t="inlineStr">
        <is>
          <t>135792468202212110110</t>
        </is>
      </c>
      <c r="B65" s="4108" t="inlineStr">
        <is>
          <t>110110</t>
        </is>
      </c>
      <c r="C65" s="4108" t="inlineStr">
        <is>
          <t>135792468</t>
        </is>
      </c>
      <c r="D65" s="4108" t="inlineStr">
        <is>
          <t>202212</t>
        </is>
      </c>
      <c r="E65" s="4108" t="inlineStr">
        <is>
          <t>0,000000000000</t>
        </is>
      </c>
    </row>
    <row outlineLevel="0" r="66">
      <c r="A66" s="4108" t="inlineStr">
        <is>
          <t>135792468202212110125</t>
        </is>
      </c>
      <c r="B66" s="4108" t="inlineStr">
        <is>
          <t>110125</t>
        </is>
      </c>
      <c r="C66" s="4108" t="inlineStr">
        <is>
          <t>135792468</t>
        </is>
      </c>
      <c r="D66" s="4108" t="inlineStr">
        <is>
          <t>202212</t>
        </is>
      </c>
      <c r="E66" s="4108" t="inlineStr">
        <is>
          <t>0,000000000000</t>
        </is>
      </c>
    </row>
    <row outlineLevel="0" r="67">
      <c r="A67" s="4108" t="inlineStr">
        <is>
          <t>135792468202212110130</t>
        </is>
      </c>
      <c r="B67" s="4108" t="inlineStr">
        <is>
          <t>110130</t>
        </is>
      </c>
      <c r="C67" s="4108" t="inlineStr">
        <is>
          <t>135792468</t>
        </is>
      </c>
      <c r="D67" s="4108" t="inlineStr">
        <is>
          <t>202212</t>
        </is>
      </c>
      <c r="E67" s="4108" t="inlineStr">
        <is>
          <t>0,000000000000</t>
        </is>
      </c>
    </row>
    <row outlineLevel="0" r="68">
      <c r="A68" s="4108" t="inlineStr">
        <is>
          <t>135792468202212110205</t>
        </is>
      </c>
      <c r="B68" s="4108" t="inlineStr">
        <is>
          <t>110205</t>
        </is>
      </c>
      <c r="C68" s="4108" t="inlineStr">
        <is>
          <t>135792468</t>
        </is>
      </c>
      <c r="D68" s="4108" t="inlineStr">
        <is>
          <t>202212</t>
        </is>
      </c>
      <c r="E68" s="4108" t="inlineStr">
        <is>
          <t>0,000000000000</t>
        </is>
      </c>
    </row>
    <row outlineLevel="0" r="69">
      <c r="A69" s="4108" t="inlineStr">
        <is>
          <t>135792468202212110210</t>
        </is>
      </c>
      <c r="B69" s="4108" t="inlineStr">
        <is>
          <t>110210</t>
        </is>
      </c>
      <c r="C69" s="4108" t="inlineStr">
        <is>
          <t>135792468</t>
        </is>
      </c>
      <c r="D69" s="4108" t="inlineStr">
        <is>
          <t>202212</t>
        </is>
      </c>
      <c r="E69" s="4108" t="inlineStr">
        <is>
          <t>0,000000000000</t>
        </is>
      </c>
    </row>
    <row outlineLevel="0" r="70">
      <c r="A70" s="4108" t="inlineStr">
        <is>
          <t>135792468202212110215</t>
        </is>
      </c>
      <c r="B70" s="4108" t="inlineStr">
        <is>
          <t>110215</t>
        </is>
      </c>
      <c r="C70" s="4108" t="inlineStr">
        <is>
          <t>135792468</t>
        </is>
      </c>
      <c r="D70" s="4108" t="inlineStr">
        <is>
          <t>202212</t>
        </is>
      </c>
      <c r="E70" s="4108" t="inlineStr">
        <is>
          <t>0,000000000000</t>
        </is>
      </c>
    </row>
    <row outlineLevel="0" r="71">
      <c r="A71" s="4108" t="inlineStr">
        <is>
          <t>135792468202212110225</t>
        </is>
      </c>
      <c r="B71" s="4108" t="inlineStr">
        <is>
          <t>110225</t>
        </is>
      </c>
      <c r="C71" s="4108" t="inlineStr">
        <is>
          <t>135792468</t>
        </is>
      </c>
      <c r="D71" s="4108" t="inlineStr">
        <is>
          <t>202212</t>
        </is>
      </c>
      <c r="E71" s="4108" t="inlineStr">
        <is>
          <t>0,000000000000</t>
        </is>
      </c>
    </row>
    <row outlineLevel="0" r="72">
      <c r="A72" s="4108" t="inlineStr">
        <is>
          <t>135792468202212110235</t>
        </is>
      </c>
      <c r="B72" s="4108" t="inlineStr">
        <is>
          <t>110235</t>
        </is>
      </c>
      <c r="C72" s="4108" t="inlineStr">
        <is>
          <t>135792468</t>
        </is>
      </c>
      <c r="D72" s="4108" t="inlineStr">
        <is>
          <t>202212</t>
        </is>
      </c>
      <c r="E72" s="4108" t="inlineStr">
        <is>
          <t>0,000000000000</t>
        </is>
      </c>
    </row>
    <row outlineLevel="0" r="73">
      <c r="A73" s="4108" t="inlineStr">
        <is>
          <t>135792468202212110255</t>
        </is>
      </c>
      <c r="B73" s="4108" t="inlineStr">
        <is>
          <t>110255</t>
        </is>
      </c>
      <c r="C73" s="4108" t="inlineStr">
        <is>
          <t>135792468</t>
        </is>
      </c>
      <c r="D73" s="4108" t="inlineStr">
        <is>
          <t>202212</t>
        </is>
      </c>
      <c r="E73" s="4108" t="inlineStr">
        <is>
          <t>0,000000000000</t>
        </is>
      </c>
    </row>
    <row outlineLevel="0" r="74">
      <c r="A74" s="4108" t="inlineStr">
        <is>
          <t>135792468202212110260</t>
        </is>
      </c>
      <c r="B74" s="4108" t="inlineStr">
        <is>
          <t>110260</t>
        </is>
      </c>
      <c r="C74" s="4108" t="inlineStr">
        <is>
          <t>135792468</t>
        </is>
      </c>
      <c r="D74" s="4108" t="inlineStr">
        <is>
          <t>202212</t>
        </is>
      </c>
      <c r="E74" s="4108" t="inlineStr">
        <is>
          <t>0,000000000000</t>
        </is>
      </c>
    </row>
    <row outlineLevel="0" r="75">
      <c r="A75" s="4108" t="inlineStr">
        <is>
          <t>135792468202212110305</t>
        </is>
      </c>
      <c r="B75" s="4108" t="inlineStr">
        <is>
          <t>110305</t>
        </is>
      </c>
      <c r="C75" s="4108" t="inlineStr">
        <is>
          <t>135792468</t>
        </is>
      </c>
      <c r="D75" s="4108" t="inlineStr">
        <is>
          <t>202212</t>
        </is>
      </c>
      <c r="E75" s="4108" t="inlineStr">
        <is>
          <t>377,000000000000</t>
        </is>
      </c>
    </row>
    <row outlineLevel="0" r="76">
      <c r="A76" s="4108" t="inlineStr">
        <is>
          <t>135792468202212110390</t>
        </is>
      </c>
      <c r="B76" s="4108" t="inlineStr">
        <is>
          <t>110390</t>
        </is>
      </c>
      <c r="C76" s="4108" t="inlineStr">
        <is>
          <t>135792468</t>
        </is>
      </c>
      <c r="D76" s="4108" t="inlineStr">
        <is>
          <t>202212</t>
        </is>
      </c>
      <c r="E76" s="4108" t="inlineStr">
        <is>
          <t>0,000000000000</t>
        </is>
      </c>
    </row>
    <row outlineLevel="0" r="77">
      <c r="A77" s="4108" t="inlineStr">
        <is>
          <t>135792468202212110395</t>
        </is>
      </c>
      <c r="B77" s="4108" t="inlineStr">
        <is>
          <t>110395</t>
        </is>
      </c>
      <c r="C77" s="4108" t="inlineStr">
        <is>
          <t>135792468</t>
        </is>
      </c>
      <c r="D77" s="4108" t="inlineStr">
        <is>
          <t>202212</t>
        </is>
      </c>
      <c r="E77" s="4108" t="inlineStr">
        <is>
          <t>0,000000000000</t>
        </is>
      </c>
    </row>
    <row outlineLevel="0" r="78">
      <c r="A78" s="4108" t="inlineStr">
        <is>
          <t>135792468202212110405</t>
        </is>
      </c>
      <c r="B78" s="4108" t="inlineStr">
        <is>
          <t>110405</t>
        </is>
      </c>
      <c r="C78" s="4108" t="inlineStr">
        <is>
          <t>135792468</t>
        </is>
      </c>
      <c r="D78" s="4108" t="inlineStr">
        <is>
          <t>202212</t>
        </is>
      </c>
      <c r="E78" s="4108" t="inlineStr">
        <is>
          <t>0,000000000000</t>
        </is>
      </c>
    </row>
    <row outlineLevel="0" r="79">
      <c r="A79" s="4108" t="inlineStr">
        <is>
          <t>135792468202212110410</t>
        </is>
      </c>
      <c r="B79" s="4108" t="inlineStr">
        <is>
          <t>110410</t>
        </is>
      </c>
      <c r="C79" s="4108" t="inlineStr">
        <is>
          <t>135792468</t>
        </is>
      </c>
      <c r="D79" s="4108" t="inlineStr">
        <is>
          <t>202212</t>
        </is>
      </c>
      <c r="E79" s="4108" t="inlineStr">
        <is>
          <t>0,000000000000</t>
        </is>
      </c>
    </row>
    <row outlineLevel="0" r="80">
      <c r="A80" s="4108" t="inlineStr">
        <is>
          <t>135792468202212110415</t>
        </is>
      </c>
      <c r="B80" s="4108" t="inlineStr">
        <is>
          <t>110415</t>
        </is>
      </c>
      <c r="C80" s="4108" t="inlineStr">
        <is>
          <t>135792468</t>
        </is>
      </c>
      <c r="D80" s="4108" t="inlineStr">
        <is>
          <t>202212</t>
        </is>
      </c>
      <c r="E80" s="4108" t="inlineStr">
        <is>
          <t>0,000000000000</t>
        </is>
      </c>
    </row>
    <row outlineLevel="0" r="81">
      <c r="A81" s="4108" t="inlineStr">
        <is>
          <t>135792468202212110420</t>
        </is>
      </c>
      <c r="B81" s="4108" t="inlineStr">
        <is>
          <t>110420</t>
        </is>
      </c>
      <c r="C81" s="4108" t="inlineStr">
        <is>
          <t>135792468</t>
        </is>
      </c>
      <c r="D81" s="4108" t="inlineStr">
        <is>
          <t>202212</t>
        </is>
      </c>
      <c r="E81" s="4108" t="inlineStr">
        <is>
          <t>0,000000000000</t>
        </is>
      </c>
    </row>
    <row outlineLevel="0" r="82">
      <c r="A82" s="4108" t="inlineStr">
        <is>
          <t>135792468202212110490</t>
        </is>
      </c>
      <c r="B82" s="4108" t="inlineStr">
        <is>
          <t>110490</t>
        </is>
      </c>
      <c r="C82" s="4108" t="inlineStr">
        <is>
          <t>135792468</t>
        </is>
      </c>
      <c r="D82" s="4108" t="inlineStr">
        <is>
          <t>202212</t>
        </is>
      </c>
      <c r="E82" s="4108" t="inlineStr">
        <is>
          <t>0,000000000000</t>
        </is>
      </c>
    </row>
    <row outlineLevel="0" r="83">
      <c r="A83" s="4108" t="inlineStr">
        <is>
          <t>135792468202212110491</t>
        </is>
      </c>
      <c r="B83" s="4108" t="inlineStr">
        <is>
          <t>110491</t>
        </is>
      </c>
      <c r="C83" s="4108" t="inlineStr">
        <is>
          <t>135792468</t>
        </is>
      </c>
      <c r="D83" s="4108" t="inlineStr">
        <is>
          <t>202212</t>
        </is>
      </c>
      <c r="E83" s="4108" t="inlineStr">
        <is>
          <t>0,000000000000</t>
        </is>
      </c>
    </row>
    <row outlineLevel="0" r="84">
      <c r="A84" s="4108" t="inlineStr">
        <is>
          <t>135792468202212110495</t>
        </is>
      </c>
      <c r="B84" s="4108" t="inlineStr">
        <is>
          <t>110495</t>
        </is>
      </c>
      <c r="C84" s="4108" t="inlineStr">
        <is>
          <t>135792468</t>
        </is>
      </c>
      <c r="D84" s="4108" t="inlineStr">
        <is>
          <t>202212</t>
        </is>
      </c>
      <c r="E84" s="4108" t="inlineStr">
        <is>
          <t>0,000000000000</t>
        </is>
      </c>
    </row>
    <row outlineLevel="0" r="85">
      <c r="A85" s="4108" t="inlineStr">
        <is>
          <t>135792468202212111010</t>
        </is>
      </c>
      <c r="B85" s="4108" t="inlineStr">
        <is>
          <t>111010</t>
        </is>
      </c>
      <c r="C85" s="4108" t="inlineStr">
        <is>
          <t>135792468</t>
        </is>
      </c>
      <c r="D85" s="4108" t="inlineStr">
        <is>
          <t>202212</t>
        </is>
      </c>
      <c r="E85" s="4108" t="inlineStr">
        <is>
          <t>0,000000000000</t>
        </is>
      </c>
    </row>
    <row outlineLevel="0" r="86">
      <c r="A86" s="4108" t="inlineStr">
        <is>
          <t>135792468202212120104</t>
        </is>
      </c>
      <c r="B86" s="4108" t="inlineStr">
        <is>
          <t>120104</t>
        </is>
      </c>
      <c r="C86" s="4108" t="inlineStr">
        <is>
          <t>135792468</t>
        </is>
      </c>
      <c r="D86" s="4108" t="inlineStr">
        <is>
          <t>202212</t>
        </is>
      </c>
      <c r="E86" s="4108" t="inlineStr">
        <is>
          <t>10123,000000000000</t>
        </is>
      </c>
    </row>
    <row outlineLevel="0" r="87">
      <c r="A87" s="4108" t="inlineStr">
        <is>
          <t>135792468202212120108</t>
        </is>
      </c>
      <c r="B87" s="4108" t="inlineStr">
        <is>
          <t>120108</t>
        </is>
      </c>
      <c r="C87" s="4108" t="inlineStr">
        <is>
          <t>135792468</t>
        </is>
      </c>
      <c r="D87" s="4108" t="inlineStr">
        <is>
          <t>202212</t>
        </is>
      </c>
      <c r="E87" s="4108" t="inlineStr">
        <is>
          <t>897,000000000000</t>
        </is>
      </c>
    </row>
    <row outlineLevel="0" r="88">
      <c r="A88" s="4108" t="inlineStr">
        <is>
          <t>135792468202212120116</t>
        </is>
      </c>
      <c r="B88" s="4108" t="inlineStr">
        <is>
          <t>120116</t>
        </is>
      </c>
      <c r="C88" s="4108" t="inlineStr">
        <is>
          <t>135792468</t>
        </is>
      </c>
      <c r="D88" s="4108" t="inlineStr">
        <is>
          <t>202212</t>
        </is>
      </c>
      <c r="E88" s="4108" t="inlineStr">
        <is>
          <t>9152,000000000000</t>
        </is>
      </c>
    </row>
    <row outlineLevel="0" r="89">
      <c r="A89" s="4108" t="inlineStr">
        <is>
          <t>135792468202212120120</t>
        </is>
      </c>
      <c r="B89" s="4108" t="inlineStr">
        <is>
          <t>120120</t>
        </is>
      </c>
      <c r="C89" s="4108" t="inlineStr">
        <is>
          <t>135792468</t>
        </is>
      </c>
      <c r="D89" s="4108" t="inlineStr">
        <is>
          <t>202212</t>
        </is>
      </c>
      <c r="E89" s="4108" t="inlineStr">
        <is>
          <t>0,000000000000</t>
        </is>
      </c>
    </row>
    <row outlineLevel="0" r="90">
      <c r="A90" s="4108" t="inlineStr">
        <is>
          <t>135792468202212120124</t>
        </is>
      </c>
      <c r="B90" s="4108" t="inlineStr">
        <is>
          <t>120124</t>
        </is>
      </c>
      <c r="C90" s="4108" t="inlineStr">
        <is>
          <t>135792468</t>
        </is>
      </c>
      <c r="D90" s="4108" t="inlineStr">
        <is>
          <t>202212</t>
        </is>
      </c>
      <c r="E90" s="4108" t="inlineStr">
        <is>
          <t>432,000000000000</t>
        </is>
      </c>
    </row>
    <row outlineLevel="0" r="91">
      <c r="A91" s="4108" t="inlineStr">
        <is>
          <t>135792468202212120128</t>
        </is>
      </c>
      <c r="B91" s="4108" t="inlineStr">
        <is>
          <t>120128</t>
        </is>
      </c>
      <c r="C91" s="4108" t="inlineStr">
        <is>
          <t>135792468</t>
        </is>
      </c>
      <c r="D91" s="4108" t="inlineStr">
        <is>
          <t>202212</t>
        </is>
      </c>
      <c r="E91" s="4108" t="inlineStr">
        <is>
          <t>0,000000000000</t>
        </is>
      </c>
    </row>
    <row outlineLevel="0" r="92">
      <c r="A92" s="4108" t="inlineStr">
        <is>
          <t>135792468202212120140</t>
        </is>
      </c>
      <c r="B92" s="4108" t="inlineStr">
        <is>
          <t>120140</t>
        </is>
      </c>
      <c r="C92" s="4108" t="inlineStr">
        <is>
          <t>135792468</t>
        </is>
      </c>
      <c r="D92" s="4108" t="inlineStr">
        <is>
          <t>202212</t>
        </is>
      </c>
      <c r="E92" s="4108" t="inlineStr">
        <is>
          <t>406,000000000000</t>
        </is>
      </c>
    </row>
    <row outlineLevel="0" r="93">
      <c r="A93" s="4108" t="inlineStr">
        <is>
          <t>135792468202212120145</t>
        </is>
      </c>
      <c r="B93" s="4108" t="inlineStr">
        <is>
          <t>120145</t>
        </is>
      </c>
      <c r="C93" s="4108" t="inlineStr">
        <is>
          <t>135792468</t>
        </is>
      </c>
      <c r="D93" s="4108" t="inlineStr">
        <is>
          <t>202212</t>
        </is>
      </c>
      <c r="E93" s="4108" t="inlineStr">
        <is>
          <t>0,000000000000</t>
        </is>
      </c>
    </row>
    <row outlineLevel="0" r="94">
      <c r="A94" s="4108" t="inlineStr">
        <is>
          <t>135792468202212120195</t>
        </is>
      </c>
      <c r="B94" s="4108" t="inlineStr">
        <is>
          <t>120195</t>
        </is>
      </c>
      <c r="C94" s="4108" t="inlineStr">
        <is>
          <t>135792468</t>
        </is>
      </c>
      <c r="D94" s="4108" t="inlineStr">
        <is>
          <t>202212</t>
        </is>
      </c>
      <c r="E94" s="4108" t="inlineStr">
        <is>
          <t>-5770,000000000000</t>
        </is>
      </c>
    </row>
    <row outlineLevel="0" r="95">
      <c r="A95" s="4108" t="inlineStr">
        <is>
          <t>135792468202212120501</t>
        </is>
      </c>
      <c r="B95" s="4108" t="inlineStr">
        <is>
          <t>120501</t>
        </is>
      </c>
      <c r="C95" s="4108" t="inlineStr">
        <is>
          <t>135792468</t>
        </is>
      </c>
      <c r="D95" s="4108" t="inlineStr">
        <is>
          <t>202212</t>
        </is>
      </c>
      <c r="E95" s="4108" t="inlineStr">
        <is>
          <t>0,000000000000</t>
        </is>
      </c>
    </row>
    <row outlineLevel="0" r="96">
      <c r="A96" s="4108" t="inlineStr">
        <is>
          <t>135792468202212120610</t>
        </is>
      </c>
      <c r="B96" s="4108" t="inlineStr">
        <is>
          <t>120610</t>
        </is>
      </c>
      <c r="C96" s="4108" t="inlineStr">
        <is>
          <t>135792468</t>
        </is>
      </c>
      <c r="D96" s="4108" t="inlineStr">
        <is>
          <t>202212</t>
        </is>
      </c>
      <c r="E96" s="4108" t="inlineStr">
        <is>
          <t>0,000000000000</t>
        </is>
      </c>
    </row>
    <row outlineLevel="0" r="97">
      <c r="A97" s="4108" t="inlineStr">
        <is>
          <t>135792468202212120615</t>
        </is>
      </c>
      <c r="B97" s="4108" t="inlineStr">
        <is>
          <t>120615</t>
        </is>
      </c>
      <c r="C97" s="4108" t="inlineStr">
        <is>
          <t>135792468</t>
        </is>
      </c>
      <c r="D97" s="4108" t="inlineStr">
        <is>
          <t>202212</t>
        </is>
      </c>
      <c r="E97" s="4108" t="inlineStr">
        <is>
          <t>0,000000000000</t>
        </is>
      </c>
    </row>
    <row outlineLevel="0" r="98">
      <c r="A98" s="4108" t="inlineStr">
        <is>
          <t>135792468202212120620</t>
        </is>
      </c>
      <c r="B98" s="4108" t="inlineStr">
        <is>
          <t>120620</t>
        </is>
      </c>
      <c r="C98" s="4108" t="inlineStr">
        <is>
          <t>135792468</t>
        </is>
      </c>
      <c r="D98" s="4108" t="inlineStr">
        <is>
          <t>202212</t>
        </is>
      </c>
      <c r="E98" s="4108" t="inlineStr">
        <is>
          <t>0,000000000000</t>
        </is>
      </c>
    </row>
    <row outlineLevel="0" r="99">
      <c r="A99" s="4108" t="inlineStr">
        <is>
          <t>135792468202212121001</t>
        </is>
      </c>
      <c r="B99" s="4108" t="inlineStr">
        <is>
          <t>121001</t>
        </is>
      </c>
      <c r="C99" s="4108" t="inlineStr">
        <is>
          <t>135792468</t>
        </is>
      </c>
      <c r="D99" s="4108" t="inlineStr">
        <is>
          <t>202212</t>
        </is>
      </c>
      <c r="E99" s="4108" t="inlineStr">
        <is>
          <t>0,000000000000</t>
        </is>
      </c>
    </row>
    <row outlineLevel="0" r="100">
      <c r="A100" s="4108" t="inlineStr">
        <is>
          <t>135792468202212121501</t>
        </is>
      </c>
      <c r="B100" s="4108" t="inlineStr">
        <is>
          <t>121501</t>
        </is>
      </c>
      <c r="C100" s="4108" t="inlineStr">
        <is>
          <t>135792468</t>
        </is>
      </c>
      <c r="D100" s="4108" t="inlineStr">
        <is>
          <t>202212</t>
        </is>
      </c>
      <c r="E100" s="4108" t="inlineStr">
        <is>
          <t>0,000000000000</t>
        </is>
      </c>
    </row>
    <row outlineLevel="0" r="101">
      <c r="A101" s="4108" t="inlineStr">
        <is>
          <t>135792468202212123501</t>
        </is>
      </c>
      <c r="B101" s="4108" t="inlineStr">
        <is>
          <t>123501</t>
        </is>
      </c>
      <c r="C101" s="4108" t="inlineStr">
        <is>
          <t>135792468</t>
        </is>
      </c>
      <c r="D101" s="4108" t="inlineStr">
        <is>
          <t>202212</t>
        </is>
      </c>
      <c r="E101" s="4108" t="inlineStr">
        <is>
          <t>0,000000000000</t>
        </is>
      </c>
    </row>
    <row outlineLevel="0" r="102">
      <c r="A102" s="4108" t="inlineStr">
        <is>
          <t>135792468202212125501</t>
        </is>
      </c>
      <c r="B102" s="4108" t="inlineStr">
        <is>
          <t>125501</t>
        </is>
      </c>
      <c r="C102" s="4108" t="inlineStr">
        <is>
          <t>135792468</t>
        </is>
      </c>
      <c r="D102" s="4108" t="inlineStr">
        <is>
          <t>202212</t>
        </is>
      </c>
      <c r="E102" s="4108" t="inlineStr">
        <is>
          <t>0,000000000000</t>
        </is>
      </c>
    </row>
    <row outlineLevel="0" r="103">
      <c r="A103" s="4108" t="inlineStr">
        <is>
          <t>135792468202212126001</t>
        </is>
      </c>
      <c r="B103" s="4108" t="inlineStr">
        <is>
          <t>126001</t>
        </is>
      </c>
      <c r="C103" s="4108" t="inlineStr">
        <is>
          <t>135792468</t>
        </is>
      </c>
      <c r="D103" s="4108" t="inlineStr">
        <is>
          <t>202212</t>
        </is>
      </c>
      <c r="E103" s="4108" t="inlineStr">
        <is>
          <t>0,000000000000</t>
        </is>
      </c>
    </row>
    <row outlineLevel="0" r="104">
      <c r="A104" s="4108" t="inlineStr">
        <is>
          <t>135792468202212129501</t>
        </is>
      </c>
      <c r="B104" s="4108" t="inlineStr">
        <is>
          <t>129501</t>
        </is>
      </c>
      <c r="C104" s="4108" t="inlineStr">
        <is>
          <t>135792468</t>
        </is>
      </c>
      <c r="D104" s="4108" t="inlineStr">
        <is>
          <t>202212</t>
        </is>
      </c>
      <c r="E104" s="4108" t="inlineStr">
        <is>
          <t>0,000000000000</t>
        </is>
      </c>
    </row>
    <row outlineLevel="0" r="105">
      <c r="A105" s="4108" t="inlineStr">
        <is>
          <t>135792468202212129700</t>
        </is>
      </c>
      <c r="B105" s="4108" t="inlineStr">
        <is>
          <t>129700</t>
        </is>
      </c>
      <c r="C105" s="4108" t="inlineStr">
        <is>
          <t>135792468</t>
        </is>
      </c>
      <c r="D105" s="4108" t="inlineStr">
        <is>
          <t>202212</t>
        </is>
      </c>
      <c r="E105" s="4108" t="inlineStr">
        <is>
          <t>0,000000000000</t>
        </is>
      </c>
    </row>
    <row outlineLevel="0" r="106">
      <c r="A106" s="4108" t="inlineStr">
        <is>
          <t>135792468202212129701</t>
        </is>
      </c>
      <c r="B106" s="4108" t="inlineStr">
        <is>
          <t>129701</t>
        </is>
      </c>
      <c r="C106" s="4108" t="inlineStr">
        <is>
          <t>135792468</t>
        </is>
      </c>
      <c r="D106" s="4108" t="inlineStr">
        <is>
          <t>202212</t>
        </is>
      </c>
      <c r="E106" s="4108" t="inlineStr">
        <is>
          <t>0,000000000000</t>
        </is>
      </c>
    </row>
    <row outlineLevel="0" r="107">
      <c r="A107" s="4108" t="inlineStr">
        <is>
          <t>135792468202212129901</t>
        </is>
      </c>
      <c r="B107" s="4108" t="inlineStr">
        <is>
          <t>129901</t>
        </is>
      </c>
      <c r="C107" s="4108" t="inlineStr">
        <is>
          <t>135792468</t>
        </is>
      </c>
      <c r="D107" s="4108" t="inlineStr">
        <is>
          <t>202212</t>
        </is>
      </c>
      <c r="E107" s="4108" t="inlineStr">
        <is>
          <t>0,000000000000</t>
        </is>
      </c>
    </row>
    <row outlineLevel="0" r="108">
      <c r="A108" s="4108" t="inlineStr">
        <is>
          <t>135792468202212130506</t>
        </is>
      </c>
      <c r="B108" s="4108" t="inlineStr">
        <is>
          <t>130506</t>
        </is>
      </c>
      <c r="C108" s="4108" t="inlineStr">
        <is>
          <t>135792468</t>
        </is>
      </c>
      <c r="D108" s="4108" t="inlineStr">
        <is>
          <t>202212</t>
        </is>
      </c>
      <c r="E108" s="4108" t="inlineStr">
        <is>
          <t>0,000000000000</t>
        </is>
      </c>
    </row>
    <row outlineLevel="0" r="109">
      <c r="A109" s="4108" t="inlineStr">
        <is>
          <t>135792468202212130510</t>
        </is>
      </c>
      <c r="B109" s="4108" t="inlineStr">
        <is>
          <t>130510</t>
        </is>
      </c>
      <c r="C109" s="4108" t="inlineStr">
        <is>
          <t>135792468</t>
        </is>
      </c>
      <c r="D109" s="4108" t="inlineStr">
        <is>
          <t>202212</t>
        </is>
      </c>
      <c r="E109" s="4108" t="inlineStr">
        <is>
          <t>0,000000000000</t>
        </is>
      </c>
    </row>
    <row outlineLevel="0" r="110">
      <c r="A110" s="4108" t="inlineStr">
        <is>
          <t>135792468202212130511</t>
        </is>
      </c>
      <c r="B110" s="4108" t="inlineStr">
        <is>
          <t>130511</t>
        </is>
      </c>
      <c r="C110" s="4108" t="inlineStr">
        <is>
          <t>135792468</t>
        </is>
      </c>
      <c r="D110" s="4108" t="inlineStr">
        <is>
          <t>202212</t>
        </is>
      </c>
      <c r="E110" s="4108" t="inlineStr">
        <is>
          <t>0,000000000000</t>
        </is>
      </c>
    </row>
    <row outlineLevel="0" r="111">
      <c r="A111" s="4108" t="inlineStr">
        <is>
          <t>135792468202212131000</t>
        </is>
      </c>
      <c r="B111" s="4108" t="inlineStr">
        <is>
          <t>131000</t>
        </is>
      </c>
      <c r="C111" s="4108" t="inlineStr">
        <is>
          <t>135792468</t>
        </is>
      </c>
      <c r="D111" s="4108" t="inlineStr">
        <is>
          <t>202212</t>
        </is>
      </c>
      <c r="E111" s="4108" t="inlineStr">
        <is>
          <t>0,000000000000</t>
        </is>
      </c>
    </row>
    <row outlineLevel="0" r="112">
      <c r="A112" s="4108" t="inlineStr">
        <is>
          <t>135792468202212131001</t>
        </is>
      </c>
      <c r="B112" s="4108" t="inlineStr">
        <is>
          <t>131001</t>
        </is>
      </c>
      <c r="C112" s="4108" t="inlineStr">
        <is>
          <t>135792468</t>
        </is>
      </c>
      <c r="D112" s="4108" t="inlineStr">
        <is>
          <t>202212</t>
        </is>
      </c>
      <c r="E112" s="4108" t="inlineStr">
        <is>
          <t>0,000000000000</t>
        </is>
      </c>
    </row>
    <row outlineLevel="0" r="113">
      <c r="A113" s="4108" t="inlineStr">
        <is>
          <t>135792468202212131501</t>
        </is>
      </c>
      <c r="B113" s="4108" t="inlineStr">
        <is>
          <t>131501</t>
        </is>
      </c>
      <c r="C113" s="4108" t="inlineStr">
        <is>
          <t>135792468</t>
        </is>
      </c>
      <c r="D113" s="4108" t="inlineStr">
        <is>
          <t>202212</t>
        </is>
      </c>
      <c r="E113" s="4108" t="inlineStr">
        <is>
          <t>0,000000000000</t>
        </is>
      </c>
    </row>
    <row outlineLevel="0" r="114">
      <c r="A114" s="4108" t="inlineStr">
        <is>
          <t>135792468202212132000</t>
        </is>
      </c>
      <c r="B114" s="4108" t="inlineStr">
        <is>
          <t>132000</t>
        </is>
      </c>
      <c r="C114" s="4108" t="inlineStr">
        <is>
          <t>135792468</t>
        </is>
      </c>
      <c r="D114" s="4108" t="inlineStr">
        <is>
          <t>202212</t>
        </is>
      </c>
      <c r="E114" s="4108" t="inlineStr">
        <is>
          <t>0,000000000000</t>
        </is>
      </c>
    </row>
    <row outlineLevel="0" r="115">
      <c r="A115" s="4108" t="inlineStr">
        <is>
          <t>135792468202212132001</t>
        </is>
      </c>
      <c r="B115" s="4108" t="inlineStr">
        <is>
          <t>132001</t>
        </is>
      </c>
      <c r="C115" s="4108" t="inlineStr">
        <is>
          <t>135792468</t>
        </is>
      </c>
      <c r="D115" s="4108" t="inlineStr">
        <is>
          <t>202212</t>
        </is>
      </c>
      <c r="E115" s="4108" t="inlineStr">
        <is>
          <t>0,000000000000</t>
        </is>
      </c>
    </row>
    <row outlineLevel="0" r="116">
      <c r="A116" s="4108" t="inlineStr">
        <is>
          <t>135792468202212132500</t>
        </is>
      </c>
      <c r="B116" s="4108" t="inlineStr">
        <is>
          <t>132500</t>
        </is>
      </c>
      <c r="C116" s="4108" t="inlineStr">
        <is>
          <t>135792468</t>
        </is>
      </c>
      <c r="D116" s="4108" t="inlineStr">
        <is>
          <t>202212</t>
        </is>
      </c>
      <c r="E116" s="4108" t="inlineStr">
        <is>
          <t>0,000000000000</t>
        </is>
      </c>
    </row>
    <row outlineLevel="0" r="117">
      <c r="A117" s="4108" t="inlineStr">
        <is>
          <t>135792468202212132501</t>
        </is>
      </c>
      <c r="B117" s="4108" t="inlineStr">
        <is>
          <t>132501</t>
        </is>
      </c>
      <c r="C117" s="4108" t="inlineStr">
        <is>
          <t>135792468</t>
        </is>
      </c>
      <c r="D117" s="4108" t="inlineStr">
        <is>
          <t>202212</t>
        </is>
      </c>
      <c r="E117" s="4108" t="inlineStr">
        <is>
          <t>0,000000000000</t>
        </is>
      </c>
    </row>
    <row outlineLevel="0" r="118">
      <c r="A118" s="4108" t="inlineStr">
        <is>
          <t>135792468202212133000</t>
        </is>
      </c>
      <c r="B118" s="4108" t="inlineStr">
        <is>
          <t>133000</t>
        </is>
      </c>
      <c r="C118" s="4108" t="inlineStr">
        <is>
          <t>135792468</t>
        </is>
      </c>
      <c r="D118" s="4108" t="inlineStr">
        <is>
          <t>202212</t>
        </is>
      </c>
      <c r="E118" s="4108" t="inlineStr">
        <is>
          <t>0,000000000000</t>
        </is>
      </c>
    </row>
    <row outlineLevel="0" r="119">
      <c r="A119" s="4108" t="inlineStr">
        <is>
          <t>135792468202212133001</t>
        </is>
      </c>
      <c r="B119" s="4108" t="inlineStr">
        <is>
          <t>133001</t>
        </is>
      </c>
      <c r="C119" s="4108" t="inlineStr">
        <is>
          <t>135792468</t>
        </is>
      </c>
      <c r="D119" s="4108" t="inlineStr">
        <is>
          <t>202212</t>
        </is>
      </c>
      <c r="E119" s="4108" t="inlineStr">
        <is>
          <t>0,000000000000</t>
        </is>
      </c>
    </row>
    <row outlineLevel="0" r="120">
      <c r="A120" s="4108" t="inlineStr">
        <is>
          <t>135792468202212133500</t>
        </is>
      </c>
      <c r="B120" s="4108" t="inlineStr">
        <is>
          <t>133500</t>
        </is>
      </c>
      <c r="C120" s="4108" t="inlineStr">
        <is>
          <t>135792468</t>
        </is>
      </c>
      <c r="D120" s="4108" t="inlineStr">
        <is>
          <t>202212</t>
        </is>
      </c>
      <c r="E120" s="4108" t="inlineStr">
        <is>
          <t>48,000000000000</t>
        </is>
      </c>
    </row>
    <row outlineLevel="0" r="121">
      <c r="A121" s="4108" t="inlineStr">
        <is>
          <t>135792468202212133501</t>
        </is>
      </c>
      <c r="B121" s="4108" t="inlineStr">
        <is>
          <t>133501</t>
        </is>
      </c>
      <c r="C121" s="4108" t="inlineStr">
        <is>
          <t>135792468</t>
        </is>
      </c>
      <c r="D121" s="4108" t="inlineStr">
        <is>
          <t>202212</t>
        </is>
      </c>
      <c r="E121" s="4108" t="inlineStr">
        <is>
          <t>0,000000000000</t>
        </is>
      </c>
    </row>
    <row outlineLevel="0" r="122">
      <c r="A122" s="4108" t="inlineStr">
        <is>
          <t>135792468202212134000</t>
        </is>
      </c>
      <c r="B122" s="4108" t="inlineStr">
        <is>
          <t>134000</t>
        </is>
      </c>
      <c r="C122" s="4108" t="inlineStr">
        <is>
          <t>135792468</t>
        </is>
      </c>
      <c r="D122" s="4108" t="inlineStr">
        <is>
          <t>202212</t>
        </is>
      </c>
      <c r="E122" s="4108" t="inlineStr">
        <is>
          <t>0,000000000000</t>
        </is>
      </c>
    </row>
    <row outlineLevel="0" r="123">
      <c r="A123" s="4108" t="inlineStr">
        <is>
          <t>135792468202212134001</t>
        </is>
      </c>
      <c r="B123" s="4108" t="inlineStr">
        <is>
          <t>134001</t>
        </is>
      </c>
      <c r="C123" s="4108" t="inlineStr">
        <is>
          <t>135792468</t>
        </is>
      </c>
      <c r="D123" s="4108" t="inlineStr">
        <is>
          <t>202212</t>
        </is>
      </c>
      <c r="E123" s="4108" t="inlineStr">
        <is>
          <t>0,000000000000</t>
        </is>
      </c>
    </row>
    <row outlineLevel="0" r="124">
      <c r="A124" s="4108" t="inlineStr">
        <is>
          <t>135792468202212134500</t>
        </is>
      </c>
      <c r="B124" s="4108" t="inlineStr">
        <is>
          <t>134500</t>
        </is>
      </c>
      <c r="C124" s="4108" t="inlineStr">
        <is>
          <t>135792468</t>
        </is>
      </c>
      <c r="D124" s="4108" t="inlineStr">
        <is>
          <t>202212</t>
        </is>
      </c>
      <c r="E124" s="4108" t="inlineStr">
        <is>
          <t>0,000000000000</t>
        </is>
      </c>
    </row>
    <row outlineLevel="0" r="125">
      <c r="A125" s="4108" t="inlineStr">
        <is>
          <t>135792468202212134501</t>
        </is>
      </c>
      <c r="B125" s="4108" t="inlineStr">
        <is>
          <t>134501</t>
        </is>
      </c>
      <c r="C125" s="4108" t="inlineStr">
        <is>
          <t>135792468</t>
        </is>
      </c>
      <c r="D125" s="4108" t="inlineStr">
        <is>
          <t>202212</t>
        </is>
      </c>
      <c r="E125" s="4108" t="inlineStr">
        <is>
          <t>0,000000000000</t>
        </is>
      </c>
    </row>
    <row outlineLevel="0" r="126">
      <c r="A126" s="4108" t="inlineStr">
        <is>
          <t>135792468202212135000</t>
        </is>
      </c>
      <c r="B126" s="4108" t="inlineStr">
        <is>
          <t>135000</t>
        </is>
      </c>
      <c r="C126" s="4108" t="inlineStr">
        <is>
          <t>135792468</t>
        </is>
      </c>
      <c r="D126" s="4108" t="inlineStr">
        <is>
          <t>202212</t>
        </is>
      </c>
      <c r="E126" s="4108" t="inlineStr">
        <is>
          <t>0,000000000000</t>
        </is>
      </c>
    </row>
    <row outlineLevel="0" r="127">
      <c r="A127" s="4108" t="inlineStr">
        <is>
          <t>135792468202212135001</t>
        </is>
      </c>
      <c r="B127" s="4108" t="inlineStr">
        <is>
          <t>135001</t>
        </is>
      </c>
      <c r="C127" s="4108" t="inlineStr">
        <is>
          <t>135792468</t>
        </is>
      </c>
      <c r="D127" s="4108" t="inlineStr">
        <is>
          <t>202212</t>
        </is>
      </c>
      <c r="E127" s="4108" t="inlineStr">
        <is>
          <t>0,000000000000</t>
        </is>
      </c>
    </row>
    <row outlineLevel="0" r="128">
      <c r="A128" s="4108" t="inlineStr">
        <is>
          <t>135792468202212135500</t>
        </is>
      </c>
      <c r="B128" s="4108" t="inlineStr">
        <is>
          <t>135500</t>
        </is>
      </c>
      <c r="C128" s="4108" t="inlineStr">
        <is>
          <t>135792468</t>
        </is>
      </c>
      <c r="D128" s="4108" t="inlineStr">
        <is>
          <t>202212</t>
        </is>
      </c>
      <c r="E128" s="4108" t="inlineStr">
        <is>
          <t>0,000000000000</t>
        </is>
      </c>
    </row>
    <row outlineLevel="0" r="129">
      <c r="A129" s="4108" t="inlineStr">
        <is>
          <t>135792468202212135501</t>
        </is>
      </c>
      <c r="B129" s="4108" t="inlineStr">
        <is>
          <t>135501</t>
        </is>
      </c>
      <c r="C129" s="4108" t="inlineStr">
        <is>
          <t>135792468</t>
        </is>
      </c>
      <c r="D129" s="4108" t="inlineStr">
        <is>
          <t>202212</t>
        </is>
      </c>
      <c r="E129" s="4108" t="inlineStr">
        <is>
          <t>0,000000000000</t>
        </is>
      </c>
    </row>
    <row outlineLevel="0" r="130">
      <c r="A130" s="4108" t="inlineStr">
        <is>
          <t>135792468202212136000</t>
        </is>
      </c>
      <c r="B130" s="4108" t="inlineStr">
        <is>
          <t>136000</t>
        </is>
      </c>
      <c r="C130" s="4108" t="inlineStr">
        <is>
          <t>135792468</t>
        </is>
      </c>
      <c r="D130" s="4108" t="inlineStr">
        <is>
          <t>202212</t>
        </is>
      </c>
      <c r="E130" s="4108" t="inlineStr">
        <is>
          <t>0,000000000000</t>
        </is>
      </c>
    </row>
    <row outlineLevel="0" r="131">
      <c r="A131" s="4108" t="inlineStr">
        <is>
          <t>135792468202212136001</t>
        </is>
      </c>
      <c r="B131" s="4108" t="inlineStr">
        <is>
          <t>136001</t>
        </is>
      </c>
      <c r="C131" s="4108" t="inlineStr">
        <is>
          <t>135792468</t>
        </is>
      </c>
      <c r="D131" s="4108" t="inlineStr">
        <is>
          <t>202212</t>
        </is>
      </c>
      <c r="E131" s="4108" t="inlineStr">
        <is>
          <t>0,000000000000</t>
        </is>
      </c>
    </row>
    <row outlineLevel="0" r="132">
      <c r="A132" s="4108" t="inlineStr">
        <is>
          <t>135792468202212136500</t>
        </is>
      </c>
      <c r="B132" s="4108" t="inlineStr">
        <is>
          <t>136500</t>
        </is>
      </c>
      <c r="C132" s="4108" t="inlineStr">
        <is>
          <t>135792468</t>
        </is>
      </c>
      <c r="D132" s="4108" t="inlineStr">
        <is>
          <t>202212</t>
        </is>
      </c>
      <c r="E132" s="4108" t="inlineStr">
        <is>
          <t>0,000000000000</t>
        </is>
      </c>
    </row>
    <row outlineLevel="0" r="133">
      <c r="A133" s="4108" t="inlineStr">
        <is>
          <t>135792468202212136501</t>
        </is>
      </c>
      <c r="B133" s="4108" t="inlineStr">
        <is>
          <t>136501</t>
        </is>
      </c>
      <c r="C133" s="4108" t="inlineStr">
        <is>
          <t>135792468</t>
        </is>
      </c>
      <c r="D133" s="4108" t="inlineStr">
        <is>
          <t>202212</t>
        </is>
      </c>
      <c r="E133" s="4108" t="inlineStr">
        <is>
          <t>0,000000000000</t>
        </is>
      </c>
    </row>
    <row outlineLevel="0" r="134">
      <c r="A134" s="4108" t="inlineStr">
        <is>
          <t>135792468202212137000</t>
        </is>
      </c>
      <c r="B134" s="4108" t="inlineStr">
        <is>
          <t>137000</t>
        </is>
      </c>
      <c r="C134" s="4108" t="inlineStr">
        <is>
          <t>135792468</t>
        </is>
      </c>
      <c r="D134" s="4108" t="inlineStr">
        <is>
          <t>202212</t>
        </is>
      </c>
      <c r="E134" s="4108" t="inlineStr">
        <is>
          <t>0,000000000000</t>
        </is>
      </c>
    </row>
    <row outlineLevel="0" r="135">
      <c r="A135" s="4108" t="inlineStr">
        <is>
          <t>135792468202212137001</t>
        </is>
      </c>
      <c r="B135" s="4108" t="inlineStr">
        <is>
          <t>137001</t>
        </is>
      </c>
      <c r="C135" s="4108" t="inlineStr">
        <is>
          <t>135792468</t>
        </is>
      </c>
      <c r="D135" s="4108" t="inlineStr">
        <is>
          <t>202212</t>
        </is>
      </c>
      <c r="E135" s="4108" t="inlineStr">
        <is>
          <t>0,000000000000</t>
        </is>
      </c>
    </row>
    <row outlineLevel="0" r="136">
      <c r="A136" s="4108" t="inlineStr">
        <is>
          <t>135792468202212138001</t>
        </is>
      </c>
      <c r="B136" s="4108" t="inlineStr">
        <is>
          <t>138001</t>
        </is>
      </c>
      <c r="C136" s="4108" t="inlineStr">
        <is>
          <t>135792468</t>
        </is>
      </c>
      <c r="D136" s="4108" t="inlineStr">
        <is>
          <t>202212</t>
        </is>
      </c>
      <c r="E136" s="4108" t="inlineStr">
        <is>
          <t>0,000000000000</t>
        </is>
      </c>
    </row>
    <row outlineLevel="0" r="137">
      <c r="A137" s="4108" t="inlineStr">
        <is>
          <t>135792468202212138501</t>
        </is>
      </c>
      <c r="B137" s="4108" t="inlineStr">
        <is>
          <t>138501</t>
        </is>
      </c>
      <c r="C137" s="4108" t="inlineStr">
        <is>
          <t>135792468</t>
        </is>
      </c>
      <c r="D137" s="4108" t="inlineStr">
        <is>
          <t>202212</t>
        </is>
      </c>
      <c r="E137" s="4108" t="inlineStr">
        <is>
          <t>0,000000000000</t>
        </is>
      </c>
    </row>
    <row outlineLevel="0" r="138">
      <c r="A138" s="4108" t="inlineStr">
        <is>
          <t>135792468202212139000</t>
        </is>
      </c>
      <c r="B138" s="4108" t="inlineStr">
        <is>
          <t>139000</t>
        </is>
      </c>
      <c r="C138" s="4108" t="inlineStr">
        <is>
          <t>135792468</t>
        </is>
      </c>
      <c r="D138" s="4108" t="inlineStr">
        <is>
          <t>202212</t>
        </is>
      </c>
      <c r="E138" s="4108" t="inlineStr">
        <is>
          <t>0,000000000000</t>
        </is>
      </c>
    </row>
    <row outlineLevel="0" r="139">
      <c r="A139" s="4108" t="inlineStr">
        <is>
          <t>135792468202212139001</t>
        </is>
      </c>
      <c r="B139" s="4108" t="inlineStr">
        <is>
          <t>139001</t>
        </is>
      </c>
      <c r="C139" s="4108" t="inlineStr">
        <is>
          <t>135792468</t>
        </is>
      </c>
      <c r="D139" s="4108" t="inlineStr">
        <is>
          <t>202212</t>
        </is>
      </c>
      <c r="E139" s="4108" t="inlineStr">
        <is>
          <t>0,000000000000</t>
        </is>
      </c>
    </row>
    <row outlineLevel="0" r="140">
      <c r="A140" s="4108" t="inlineStr">
        <is>
          <t>135792468202212139500</t>
        </is>
      </c>
      <c r="B140" s="4108" t="inlineStr">
        <is>
          <t>139500</t>
        </is>
      </c>
      <c r="C140" s="4108" t="inlineStr">
        <is>
          <t>135792468</t>
        </is>
      </c>
      <c r="D140" s="4108" t="inlineStr">
        <is>
          <t>202212</t>
        </is>
      </c>
      <c r="E140" s="4108" t="inlineStr">
        <is>
          <t>0,000000000000</t>
        </is>
      </c>
    </row>
    <row outlineLevel="0" r="141">
      <c r="A141" s="4108" t="inlineStr">
        <is>
          <t>135792468202212139901</t>
        </is>
      </c>
      <c r="B141" s="4108" t="inlineStr">
        <is>
          <t>139901</t>
        </is>
      </c>
      <c r="C141" s="4108" t="inlineStr">
        <is>
          <t>135792468</t>
        </is>
      </c>
      <c r="D141" s="4108" t="inlineStr">
        <is>
          <t>202212</t>
        </is>
      </c>
      <c r="E141" s="4108" t="inlineStr">
        <is>
          <t>0,000000000000</t>
        </is>
      </c>
    </row>
    <row outlineLevel="0" r="142">
      <c r="A142" s="4108" t="inlineStr">
        <is>
          <t>135792468202212139905</t>
        </is>
      </c>
      <c r="B142" s="4108" t="inlineStr">
        <is>
          <t>139905</t>
        </is>
      </c>
      <c r="C142" s="4108" t="inlineStr">
        <is>
          <t>135792468</t>
        </is>
      </c>
      <c r="D142" s="4108" t="inlineStr">
        <is>
          <t>202212</t>
        </is>
      </c>
      <c r="E142" s="4108" t="inlineStr">
        <is>
          <t>0,000000000000</t>
        </is>
      </c>
    </row>
    <row outlineLevel="0" r="143">
      <c r="A143" s="4108" t="inlineStr">
        <is>
          <t>135792468202212140005</t>
        </is>
      </c>
      <c r="B143" s="4108" t="inlineStr">
        <is>
          <t>140005</t>
        </is>
      </c>
      <c r="C143" s="4108" t="inlineStr">
        <is>
          <t>135792468</t>
        </is>
      </c>
      <c r="D143" s="4108" t="inlineStr">
        <is>
          <t>202212</t>
        </is>
      </c>
      <c r="E143" s="4108" t="inlineStr">
        <is>
          <t>0,000000000000</t>
        </is>
      </c>
    </row>
    <row outlineLevel="0" r="144">
      <c r="A144" s="4108" t="inlineStr">
        <is>
          <t>135792468202212140010</t>
        </is>
      </c>
      <c r="B144" s="4108" t="inlineStr">
        <is>
          <t>140010</t>
        </is>
      </c>
      <c r="C144" s="4108" t="inlineStr">
        <is>
          <t>135792468</t>
        </is>
      </c>
      <c r="D144" s="4108" t="inlineStr">
        <is>
          <t>202212</t>
        </is>
      </c>
      <c r="E144" s="4108" t="inlineStr">
        <is>
          <t>0,000000000000</t>
        </is>
      </c>
    </row>
    <row outlineLevel="0" r="145">
      <c r="A145" s="4108" t="inlineStr">
        <is>
          <t>135792468202212142500</t>
        </is>
      </c>
      <c r="B145" s="4108" t="inlineStr">
        <is>
          <t>142500</t>
        </is>
      </c>
      <c r="C145" s="4108" t="inlineStr">
        <is>
          <t>135792468</t>
        </is>
      </c>
      <c r="D145" s="4108" t="inlineStr">
        <is>
          <t>202212</t>
        </is>
      </c>
      <c r="E145" s="4108" t="inlineStr">
        <is>
          <t>0,000000000000</t>
        </is>
      </c>
    </row>
    <row outlineLevel="0" r="146">
      <c r="A146" s="4108" t="inlineStr">
        <is>
          <t>135792468202212143500</t>
        </is>
      </c>
      <c r="B146" s="4108" t="inlineStr">
        <is>
          <t>143500</t>
        </is>
      </c>
      <c r="C146" s="4108" t="inlineStr">
        <is>
          <t>135792468</t>
        </is>
      </c>
      <c r="D146" s="4108" t="inlineStr">
        <is>
          <t>202212</t>
        </is>
      </c>
      <c r="E146" s="4108" t="inlineStr">
        <is>
          <t>0,000000000000</t>
        </is>
      </c>
    </row>
    <row outlineLevel="0" r="147">
      <c r="A147" s="4108" t="inlineStr">
        <is>
          <t>135792468202212145500</t>
        </is>
      </c>
      <c r="B147" s="4108" t="inlineStr">
        <is>
          <t>145500</t>
        </is>
      </c>
      <c r="C147" s="4108" t="inlineStr">
        <is>
          <t>135792468</t>
        </is>
      </c>
      <c r="D147" s="4108" t="inlineStr">
        <is>
          <t>202212</t>
        </is>
      </c>
      <c r="E147" s="4108" t="inlineStr">
        <is>
          <t>0,000000000000</t>
        </is>
      </c>
    </row>
    <row outlineLevel="0" r="148">
      <c r="A148" s="4108" t="inlineStr">
        <is>
          <t>135792468202212146000</t>
        </is>
      </c>
      <c r="B148" s="4108" t="inlineStr">
        <is>
          <t>146000</t>
        </is>
      </c>
      <c r="C148" s="4108" t="inlineStr">
        <is>
          <t>135792468</t>
        </is>
      </c>
      <c r="D148" s="4108" t="inlineStr">
        <is>
          <t>202212</t>
        </is>
      </c>
      <c r="E148" s="4108" t="inlineStr">
        <is>
          <t>0,000000000000</t>
        </is>
      </c>
    </row>
    <row outlineLevel="0" r="149">
      <c r="A149" s="4108" t="inlineStr">
        <is>
          <t>135792468202212149510</t>
        </is>
      </c>
      <c r="B149" s="4108" t="inlineStr">
        <is>
          <t>149510</t>
        </is>
      </c>
      <c r="C149" s="4108" t="inlineStr">
        <is>
          <t>135792468</t>
        </is>
      </c>
      <c r="D149" s="4108" t="inlineStr">
        <is>
          <t>202212</t>
        </is>
      </c>
      <c r="E149" s="4108" t="inlineStr">
        <is>
          <t>0,000000000000</t>
        </is>
      </c>
    </row>
    <row outlineLevel="0" r="150">
      <c r="A150" s="4108" t="inlineStr">
        <is>
          <t>135792468202212149900</t>
        </is>
      </c>
      <c r="B150" s="4108" t="inlineStr">
        <is>
          <t>149900</t>
        </is>
      </c>
      <c r="C150" s="4108" t="inlineStr">
        <is>
          <t>135792468</t>
        </is>
      </c>
      <c r="D150" s="4108" t="inlineStr">
        <is>
          <t>202212</t>
        </is>
      </c>
      <c r="E150" s="4108" t="inlineStr">
        <is>
          <t>0,000000000000</t>
        </is>
      </c>
    </row>
    <row outlineLevel="0" r="151">
      <c r="A151" s="4108" t="inlineStr">
        <is>
          <t>135792468202212149901</t>
        </is>
      </c>
      <c r="B151" s="4108" t="inlineStr">
        <is>
          <t>149901</t>
        </is>
      </c>
      <c r="C151" s="4108" t="inlineStr">
        <is>
          <t>135792468</t>
        </is>
      </c>
      <c r="D151" s="4108" t="inlineStr">
        <is>
          <t>202212</t>
        </is>
      </c>
      <c r="E151" s="4108" t="inlineStr">
        <is>
          <t>0,000000000000</t>
        </is>
      </c>
    </row>
    <row outlineLevel="0" r="152">
      <c r="A152" s="4108" t="inlineStr">
        <is>
          <t>135792468202212149902</t>
        </is>
      </c>
      <c r="B152" s="4108" t="inlineStr">
        <is>
          <t>149902</t>
        </is>
      </c>
      <c r="C152" s="4108" t="inlineStr">
        <is>
          <t>135792468</t>
        </is>
      </c>
      <c r="D152" s="4108" t="inlineStr">
        <is>
          <t>202212</t>
        </is>
      </c>
      <c r="E152" s="4108" t="inlineStr">
        <is>
          <t>0,000000000000</t>
        </is>
      </c>
    </row>
    <row outlineLevel="0" r="153">
      <c r="A153" s="4108" t="inlineStr">
        <is>
          <t>135792468202212149910</t>
        </is>
      </c>
      <c r="B153" s="4108" t="inlineStr">
        <is>
          <t>149910</t>
        </is>
      </c>
      <c r="C153" s="4108" t="inlineStr">
        <is>
          <t>135792468</t>
        </is>
      </c>
      <c r="D153" s="4108" t="inlineStr">
        <is>
          <t>202212</t>
        </is>
      </c>
      <c r="E153" s="4108" t="inlineStr">
        <is>
          <t>0,000000000000</t>
        </is>
      </c>
    </row>
    <row outlineLevel="0" r="154">
      <c r="A154" s="4108" t="inlineStr">
        <is>
          <t>135792468202212151201</t>
        </is>
      </c>
      <c r="B154" s="4108" t="inlineStr">
        <is>
          <t>151201</t>
        </is>
      </c>
      <c r="C154" s="4108" t="inlineStr">
        <is>
          <t>135792468</t>
        </is>
      </c>
      <c r="D154" s="4108" t="inlineStr">
        <is>
          <t>202212</t>
        </is>
      </c>
      <c r="E154" s="4108" t="inlineStr">
        <is>
          <t>0,000000000000</t>
        </is>
      </c>
    </row>
    <row outlineLevel="0" r="155">
      <c r="A155" s="4108" t="inlineStr">
        <is>
          <t>135792468202212155601</t>
        </is>
      </c>
      <c r="B155" s="4108" t="inlineStr">
        <is>
          <t>155601</t>
        </is>
      </c>
      <c r="C155" s="4108" t="inlineStr">
        <is>
          <t>135792468</t>
        </is>
      </c>
      <c r="D155" s="4108" t="inlineStr">
        <is>
          <t>202212</t>
        </is>
      </c>
      <c r="E155" s="4108" t="inlineStr">
        <is>
          <t>0,000000000000</t>
        </is>
      </c>
    </row>
    <row outlineLevel="0" r="156">
      <c r="A156" s="4108" t="inlineStr">
        <is>
          <t>135792468202212156001</t>
        </is>
      </c>
      <c r="B156" s="4108" t="inlineStr">
        <is>
          <t>156001</t>
        </is>
      </c>
      <c r="C156" s="4108" t="inlineStr">
        <is>
          <t>135792468</t>
        </is>
      </c>
      <c r="D156" s="4108" t="inlineStr">
        <is>
          <t>202212</t>
        </is>
      </c>
      <c r="E156" s="4108" t="inlineStr">
        <is>
          <t>0,000000000000</t>
        </is>
      </c>
    </row>
    <row outlineLevel="0" r="157">
      <c r="A157" s="4108" t="inlineStr">
        <is>
          <t>135792468202212156401</t>
        </is>
      </c>
      <c r="B157" s="4108" t="inlineStr">
        <is>
          <t>156401</t>
        </is>
      </c>
      <c r="C157" s="4108" t="inlineStr">
        <is>
          <t>135792468</t>
        </is>
      </c>
      <c r="D157" s="4108" t="inlineStr">
        <is>
          <t>202212</t>
        </is>
      </c>
      <c r="E157" s="4108" t="inlineStr">
        <is>
          <t>0,000000000000</t>
        </is>
      </c>
    </row>
    <row outlineLevel="0" r="158">
      <c r="A158" s="4108" t="inlineStr">
        <is>
          <t>135792468202212157201</t>
        </is>
      </c>
      <c r="B158" s="4108" t="inlineStr">
        <is>
          <t>157201</t>
        </is>
      </c>
      <c r="C158" s="4108" t="inlineStr">
        <is>
          <t>135792468</t>
        </is>
      </c>
      <c r="D158" s="4108" t="inlineStr">
        <is>
          <t>202212</t>
        </is>
      </c>
      <c r="E158" s="4108" t="inlineStr">
        <is>
          <t>0,000000000000</t>
        </is>
      </c>
    </row>
    <row outlineLevel="0" r="159">
      <c r="A159" s="4108" t="inlineStr">
        <is>
          <t>135792468202212157601</t>
        </is>
      </c>
      <c r="B159" s="4108" t="inlineStr">
        <is>
          <t>157601</t>
        </is>
      </c>
      <c r="C159" s="4108" t="inlineStr">
        <is>
          <t>135792468</t>
        </is>
      </c>
      <c r="D159" s="4108" t="inlineStr">
        <is>
          <t>202212</t>
        </is>
      </c>
      <c r="E159" s="4108" t="inlineStr">
        <is>
          <t>0,000000000000</t>
        </is>
      </c>
    </row>
    <row outlineLevel="0" r="160">
      <c r="A160" s="4108" t="inlineStr">
        <is>
          <t>135792468202212158401</t>
        </is>
      </c>
      <c r="B160" s="4108" t="inlineStr">
        <is>
          <t>158401</t>
        </is>
      </c>
      <c r="C160" s="4108" t="inlineStr">
        <is>
          <t>135792468</t>
        </is>
      </c>
      <c r="D160" s="4108" t="inlineStr">
        <is>
          <t>202212</t>
        </is>
      </c>
      <c r="E160" s="4108" t="inlineStr">
        <is>
          <t>0,000000000000</t>
        </is>
      </c>
    </row>
    <row outlineLevel="0" r="161">
      <c r="A161" s="4108" t="inlineStr">
        <is>
          <t>135792468202212158801</t>
        </is>
      </c>
      <c r="B161" s="4108" t="inlineStr">
        <is>
          <t>158801</t>
        </is>
      </c>
      <c r="C161" s="4108" t="inlineStr">
        <is>
          <t>135792468</t>
        </is>
      </c>
      <c r="D161" s="4108" t="inlineStr">
        <is>
          <t>202212</t>
        </is>
      </c>
      <c r="E161" s="4108" t="inlineStr">
        <is>
          <t>0,000000000000</t>
        </is>
      </c>
    </row>
    <row outlineLevel="0" r="162">
      <c r="A162" s="4108" t="inlineStr">
        <is>
          <t>135792468202212159701</t>
        </is>
      </c>
      <c r="B162" s="4108" t="inlineStr">
        <is>
          <t>159701</t>
        </is>
      </c>
      <c r="C162" s="4108" t="inlineStr">
        <is>
          <t>135792468</t>
        </is>
      </c>
      <c r="D162" s="4108" t="inlineStr">
        <is>
          <t>202212</t>
        </is>
      </c>
      <c r="E162" s="4108" t="inlineStr">
        <is>
          <t>0,000000000000</t>
        </is>
      </c>
    </row>
    <row outlineLevel="0" r="163">
      <c r="A163" s="4108" t="inlineStr">
        <is>
          <t>135792468202212159899</t>
        </is>
      </c>
      <c r="B163" s="4108" t="inlineStr">
        <is>
          <t>159899</t>
        </is>
      </c>
      <c r="C163" s="4108" t="inlineStr">
        <is>
          <t>135792468</t>
        </is>
      </c>
      <c r="D163" s="4108" t="inlineStr">
        <is>
          <t>202212</t>
        </is>
      </c>
      <c r="E163" s="4108" t="inlineStr">
        <is>
          <t>0,000000000000</t>
        </is>
      </c>
    </row>
    <row outlineLevel="0" r="164">
      <c r="A164" s="4108" t="inlineStr">
        <is>
          <t>135792468202212159901</t>
        </is>
      </c>
      <c r="B164" s="4108" t="inlineStr">
        <is>
          <t>159901</t>
        </is>
      </c>
      <c r="C164" s="4108" t="inlineStr">
        <is>
          <t>135792468</t>
        </is>
      </c>
      <c r="D164" s="4108" t="inlineStr">
        <is>
          <t>202212</t>
        </is>
      </c>
      <c r="E164" s="4108" t="inlineStr">
        <is>
          <t>0,000000000000</t>
        </is>
      </c>
    </row>
    <row outlineLevel="0" r="165">
      <c r="A165" s="4108" t="inlineStr">
        <is>
          <t>135792468202212160501</t>
        </is>
      </c>
      <c r="B165" s="4108" t="inlineStr">
        <is>
          <t>160501</t>
        </is>
      </c>
      <c r="C165" s="4108" t="inlineStr">
        <is>
          <t>135792468</t>
        </is>
      </c>
      <c r="D165" s="4108" t="inlineStr">
        <is>
          <t>202212</t>
        </is>
      </c>
      <c r="E165" s="4108" t="inlineStr">
        <is>
          <t>8,000000000000</t>
        </is>
      </c>
    </row>
    <row outlineLevel="0" r="166">
      <c r="A166" s="4108" t="inlineStr">
        <is>
          <t>135792468202212161001</t>
        </is>
      </c>
      <c r="B166" s="4108" t="inlineStr">
        <is>
          <t>161001</t>
        </is>
      </c>
      <c r="C166" s="4108" t="inlineStr">
        <is>
          <t>135792468</t>
        </is>
      </c>
      <c r="D166" s="4108" t="inlineStr">
        <is>
          <t>202212</t>
        </is>
      </c>
      <c r="E166" s="4108" t="inlineStr">
        <is>
          <t>0,000000000000</t>
        </is>
      </c>
    </row>
    <row outlineLevel="0" r="167">
      <c r="A167" s="4108" t="inlineStr">
        <is>
          <t>135792468202212163001</t>
        </is>
      </c>
      <c r="B167" s="4108" t="inlineStr">
        <is>
          <t>163001</t>
        </is>
      </c>
      <c r="C167" s="4108" t="inlineStr">
        <is>
          <t>135792468</t>
        </is>
      </c>
      <c r="D167" s="4108" t="inlineStr">
        <is>
          <t>202212</t>
        </is>
      </c>
      <c r="E167" s="4108" t="inlineStr">
        <is>
          <t>0,000000000000</t>
        </is>
      </c>
    </row>
    <row outlineLevel="0" r="168">
      <c r="A168" s="4108" t="inlineStr">
        <is>
          <t>135792468202212164001</t>
        </is>
      </c>
      <c r="B168" s="4108" t="inlineStr">
        <is>
          <t>164001</t>
        </is>
      </c>
      <c r="C168" s="4108" t="inlineStr">
        <is>
          <t>135792468</t>
        </is>
      </c>
      <c r="D168" s="4108" t="inlineStr">
        <is>
          <t>202212</t>
        </is>
      </c>
      <c r="E168" s="4108" t="inlineStr">
        <is>
          <t>0,000000000000</t>
        </is>
      </c>
    </row>
    <row outlineLevel="0" r="169">
      <c r="A169" s="4108" t="inlineStr">
        <is>
          <t>135792468202212169899</t>
        </is>
      </c>
      <c r="B169" s="4108" t="inlineStr">
        <is>
          <t>169899</t>
        </is>
      </c>
      <c r="C169" s="4108" t="inlineStr">
        <is>
          <t>135792468</t>
        </is>
      </c>
      <c r="D169" s="4108" t="inlineStr">
        <is>
          <t>202212</t>
        </is>
      </c>
      <c r="E169" s="4108" t="inlineStr">
        <is>
          <t>0,000000000000</t>
        </is>
      </c>
    </row>
    <row outlineLevel="0" r="170">
      <c r="A170" s="4108" t="inlineStr">
        <is>
          <t>135792468202212169901</t>
        </is>
      </c>
      <c r="B170" s="4108" t="inlineStr">
        <is>
          <t>169901</t>
        </is>
      </c>
      <c r="C170" s="4108" t="inlineStr">
        <is>
          <t>135792468</t>
        </is>
      </c>
      <c r="D170" s="4108" t="inlineStr">
        <is>
          <t>202212</t>
        </is>
      </c>
      <c r="E170" s="4108" t="inlineStr">
        <is>
          <t>0,000000000000</t>
        </is>
      </c>
    </row>
    <row outlineLevel="0" r="171">
      <c r="A171" s="4108" t="inlineStr">
        <is>
          <t>135792468202212170500</t>
        </is>
      </c>
      <c r="B171" s="4108" t="inlineStr">
        <is>
          <t>170500</t>
        </is>
      </c>
      <c r="C171" s="4108" t="inlineStr">
        <is>
          <t>135792468</t>
        </is>
      </c>
      <c r="D171" s="4108" t="inlineStr">
        <is>
          <t>202212</t>
        </is>
      </c>
      <c r="E171" s="4108" t="inlineStr">
        <is>
          <t>0,000000000000</t>
        </is>
      </c>
    </row>
    <row outlineLevel="0" r="172">
      <c r="A172" s="4108" t="inlineStr">
        <is>
          <t>135792468202212171000</t>
        </is>
      </c>
      <c r="B172" s="4108" t="inlineStr">
        <is>
          <t>171000</t>
        </is>
      </c>
      <c r="C172" s="4108" t="inlineStr">
        <is>
          <t>135792468</t>
        </is>
      </c>
      <c r="D172" s="4108" t="inlineStr">
        <is>
          <t>202212</t>
        </is>
      </c>
      <c r="E172" s="4108" t="inlineStr">
        <is>
          <t>0,000000000000</t>
        </is>
      </c>
    </row>
    <row outlineLevel="0" r="173">
      <c r="A173" s="4108" t="inlineStr">
        <is>
          <t>135792468202212173000</t>
        </is>
      </c>
      <c r="B173" s="4108" t="inlineStr">
        <is>
          <t>173000</t>
        </is>
      </c>
      <c r="C173" s="4108" t="inlineStr">
        <is>
          <t>135792468</t>
        </is>
      </c>
      <c r="D173" s="4108" t="inlineStr">
        <is>
          <t>202212</t>
        </is>
      </c>
      <c r="E173" s="4108" t="inlineStr">
        <is>
          <t>0,000000000000</t>
        </is>
      </c>
    </row>
    <row outlineLevel="0" r="174">
      <c r="A174" s="4108" t="inlineStr">
        <is>
          <t>135792468202212173001</t>
        </is>
      </c>
      <c r="B174" s="4108" t="inlineStr">
        <is>
          <t>173001</t>
        </is>
      </c>
      <c r="C174" s="4108" t="inlineStr">
        <is>
          <t>135792468</t>
        </is>
      </c>
      <c r="D174" s="4108" t="inlineStr">
        <is>
          <t>202212</t>
        </is>
      </c>
      <c r="E174" s="4108" t="inlineStr">
        <is>
          <t>0,000000000000</t>
        </is>
      </c>
    </row>
    <row outlineLevel="0" r="175">
      <c r="A175" s="4108" t="inlineStr">
        <is>
          <t>135792468202212179500</t>
        </is>
      </c>
      <c r="B175" s="4108" t="inlineStr">
        <is>
          <t>179500</t>
        </is>
      </c>
      <c r="C175" s="4108" t="inlineStr">
        <is>
          <t>135792468</t>
        </is>
      </c>
      <c r="D175" s="4108" t="inlineStr">
        <is>
          <t>202212</t>
        </is>
      </c>
      <c r="E175" s="4108" t="inlineStr">
        <is>
          <t>0,000000000000</t>
        </is>
      </c>
    </row>
    <row outlineLevel="0" r="176">
      <c r="A176" s="4108" t="inlineStr">
        <is>
          <t>135792468202212179700</t>
        </is>
      </c>
      <c r="B176" s="4108" t="inlineStr">
        <is>
          <t>179700</t>
        </is>
      </c>
      <c r="C176" s="4108" t="inlineStr">
        <is>
          <t>135792468</t>
        </is>
      </c>
      <c r="D176" s="4108" t="inlineStr">
        <is>
          <t>202212</t>
        </is>
      </c>
      <c r="E176" s="4108" t="inlineStr">
        <is>
          <t>0,000000000000</t>
        </is>
      </c>
    </row>
    <row outlineLevel="0" r="177">
      <c r="A177" s="4108" t="inlineStr">
        <is>
          <t>135792468202212179701</t>
        </is>
      </c>
      <c r="B177" s="4108" t="inlineStr">
        <is>
          <t>179701</t>
        </is>
      </c>
      <c r="C177" s="4108" t="inlineStr">
        <is>
          <t>135792468</t>
        </is>
      </c>
      <c r="D177" s="4108" t="inlineStr">
        <is>
          <t>202212</t>
        </is>
      </c>
      <c r="E177" s="4108" t="inlineStr">
        <is>
          <t>0,000000000000</t>
        </is>
      </c>
    </row>
    <row outlineLevel="0" r="178">
      <c r="A178" s="4108" t="inlineStr">
        <is>
          <t>135792468202212179801</t>
        </is>
      </c>
      <c r="B178" s="4108" t="inlineStr">
        <is>
          <t>179801</t>
        </is>
      </c>
      <c r="C178" s="4108" t="inlineStr">
        <is>
          <t>135792468</t>
        </is>
      </c>
      <c r="D178" s="4108" t="inlineStr">
        <is>
          <t>202212</t>
        </is>
      </c>
      <c r="E178" s="4108" t="inlineStr">
        <is>
          <t>0,000000000000</t>
        </is>
      </c>
    </row>
    <row outlineLevel="0" r="179">
      <c r="A179" s="4108" t="inlineStr">
        <is>
          <t>135792468202212180000</t>
        </is>
      </c>
      <c r="B179" s="4108" t="inlineStr">
        <is>
          <t>180000</t>
        </is>
      </c>
      <c r="C179" s="4108" t="inlineStr">
        <is>
          <t>135792468</t>
        </is>
      </c>
      <c r="D179" s="4108" t="inlineStr">
        <is>
          <t>202212</t>
        </is>
      </c>
      <c r="E179" s="4108" t="inlineStr">
        <is>
          <t>0,000000000000</t>
        </is>
      </c>
    </row>
    <row outlineLevel="0" r="180">
      <c r="A180" s="4108" t="inlineStr">
        <is>
          <t>135792468202212180501</t>
        </is>
      </c>
      <c r="B180" s="4108" t="inlineStr">
        <is>
          <t>180501</t>
        </is>
      </c>
      <c r="C180" s="4108" t="inlineStr">
        <is>
          <t>135792468</t>
        </is>
      </c>
      <c r="D180" s="4108" t="inlineStr">
        <is>
          <t>202212</t>
        </is>
      </c>
      <c r="E180" s="4108" t="inlineStr">
        <is>
          <t>0,000000000000</t>
        </is>
      </c>
    </row>
    <row outlineLevel="0" r="181">
      <c r="A181" s="4108" t="inlineStr">
        <is>
          <t>135792468202212181000</t>
        </is>
      </c>
      <c r="B181" s="4108" t="inlineStr">
        <is>
          <t>181000</t>
        </is>
      </c>
      <c r="C181" s="4108" t="inlineStr">
        <is>
          <t>135792468</t>
        </is>
      </c>
      <c r="D181" s="4108" t="inlineStr">
        <is>
          <t>202212</t>
        </is>
      </c>
      <c r="E181" s="4108" t="inlineStr">
        <is>
          <t>0,000000000000</t>
        </is>
      </c>
    </row>
    <row outlineLevel="0" r="182">
      <c r="A182" s="4108" t="inlineStr">
        <is>
          <t>135792468202212189500</t>
        </is>
      </c>
      <c r="B182" s="4108" t="inlineStr">
        <is>
          <t>189500</t>
        </is>
      </c>
      <c r="C182" s="4108" t="inlineStr">
        <is>
          <t>135792468</t>
        </is>
      </c>
      <c r="D182" s="4108" t="inlineStr">
        <is>
          <t>202212</t>
        </is>
      </c>
      <c r="E182" s="4108" t="inlineStr">
        <is>
          <t>0,000000000000</t>
        </is>
      </c>
    </row>
    <row outlineLevel="0" r="183">
      <c r="A183" s="4108" t="inlineStr">
        <is>
          <t>135792468202212189501</t>
        </is>
      </c>
      <c r="B183" s="4108" t="inlineStr">
        <is>
          <t>189501</t>
        </is>
      </c>
      <c r="C183" s="4108" t="inlineStr">
        <is>
          <t>135792468</t>
        </is>
      </c>
      <c r="D183" s="4108" t="inlineStr">
        <is>
          <t>202212</t>
        </is>
      </c>
      <c r="E183" s="4108" t="inlineStr">
        <is>
          <t>3750,000000000000</t>
        </is>
      </c>
    </row>
    <row outlineLevel="0" r="184">
      <c r="A184" s="4108" t="inlineStr">
        <is>
          <t>135792468202212189520</t>
        </is>
      </c>
      <c r="B184" s="4108" t="inlineStr">
        <is>
          <t>189520</t>
        </is>
      </c>
      <c r="C184" s="4108" t="inlineStr">
        <is>
          <t>135792468</t>
        </is>
      </c>
      <c r="D184" s="4108" t="inlineStr">
        <is>
          <t>202212</t>
        </is>
      </c>
      <c r="E184" s="4108" t="inlineStr">
        <is>
          <t>0,000000000000</t>
        </is>
      </c>
    </row>
    <row outlineLevel="0" r="185">
      <c r="A185" s="4108" t="inlineStr">
        <is>
          <t>135792468202212189701</t>
        </is>
      </c>
      <c r="B185" s="4108" t="inlineStr">
        <is>
          <t>189701</t>
        </is>
      </c>
      <c r="C185" s="4108" t="inlineStr">
        <is>
          <t>135792468</t>
        </is>
      </c>
      <c r="D185" s="4108" t="inlineStr">
        <is>
          <t>202212</t>
        </is>
      </c>
      <c r="E185" s="4108" t="inlineStr">
        <is>
          <t>0,000000000000</t>
        </is>
      </c>
    </row>
    <row outlineLevel="0" r="186">
      <c r="A186" s="4108" t="inlineStr">
        <is>
          <t>135792468202212189901</t>
        </is>
      </c>
      <c r="B186" s="4108" t="inlineStr">
        <is>
          <t>189901</t>
        </is>
      </c>
      <c r="C186" s="4108" t="inlineStr">
        <is>
          <t>135792468</t>
        </is>
      </c>
      <c r="D186" s="4108" t="inlineStr">
        <is>
          <t>202212</t>
        </is>
      </c>
      <c r="E186" s="4108" t="inlineStr">
        <is>
          <t>0,000000000000</t>
        </is>
      </c>
    </row>
    <row outlineLevel="0" r="187">
      <c r="A187" s="4108" t="inlineStr">
        <is>
          <t>135792468202212190000</t>
        </is>
      </c>
      <c r="B187" s="4108" t="inlineStr">
        <is>
          <t>190000</t>
        </is>
      </c>
      <c r="C187" s="4108" t="inlineStr">
        <is>
          <t>135792468</t>
        </is>
      </c>
      <c r="D187" s="4108" t="inlineStr">
        <is>
          <t>202212</t>
        </is>
      </c>
      <c r="E187" s="4108" t="inlineStr">
        <is>
          <t>0,000000000000</t>
        </is>
      </c>
    </row>
    <row outlineLevel="0" r="188">
      <c r="A188" s="4108" t="inlineStr">
        <is>
          <t>135792468202212190501</t>
        </is>
      </c>
      <c r="B188" s="4108" t="inlineStr">
        <is>
          <t>190501</t>
        </is>
      </c>
      <c r="C188" s="4108" t="inlineStr">
        <is>
          <t>135792468</t>
        </is>
      </c>
      <c r="D188" s="4108" t="inlineStr">
        <is>
          <t>202212</t>
        </is>
      </c>
      <c r="E188" s="4108" t="inlineStr">
        <is>
          <t>0,000000000000</t>
        </is>
      </c>
    </row>
    <row outlineLevel="0" r="189">
      <c r="A189" s="4108" t="inlineStr">
        <is>
          <t>135792468202212191001</t>
        </is>
      </c>
      <c r="B189" s="4108" t="inlineStr">
        <is>
          <t>191001</t>
        </is>
      </c>
      <c r="C189" s="4108" t="inlineStr">
        <is>
          <t>135792468</t>
        </is>
      </c>
      <c r="D189" s="4108" t="inlineStr">
        <is>
          <t>202212</t>
        </is>
      </c>
      <c r="E189" s="4108" t="inlineStr">
        <is>
          <t>0,000000000000</t>
        </is>
      </c>
    </row>
    <row outlineLevel="0" r="190">
      <c r="A190" s="4108" t="inlineStr">
        <is>
          <t>135792468202212199501</t>
        </is>
      </c>
      <c r="B190" s="4108" t="inlineStr">
        <is>
          <t>199501</t>
        </is>
      </c>
      <c r="C190" s="4108" t="inlineStr">
        <is>
          <t>135792468</t>
        </is>
      </c>
      <c r="D190" s="4108" t="inlineStr">
        <is>
          <t>202212</t>
        </is>
      </c>
      <c r="E190" s="4108" t="inlineStr">
        <is>
          <t>0,000000000000</t>
        </is>
      </c>
    </row>
    <row outlineLevel="0" r="191">
      <c r="A191" s="4108" t="inlineStr">
        <is>
          <t>135792468202212210500</t>
        </is>
      </c>
      <c r="B191" s="4108" t="inlineStr">
        <is>
          <t>210500</t>
        </is>
      </c>
      <c r="C191" s="4108" t="inlineStr">
        <is>
          <t>135792468</t>
        </is>
      </c>
      <c r="D191" s="4108" t="inlineStr">
        <is>
          <t>202212</t>
        </is>
      </c>
      <c r="E191" s="4108" t="inlineStr">
        <is>
          <t>0,000000000000</t>
        </is>
      </c>
    </row>
    <row outlineLevel="0" r="192">
      <c r="A192" s="4108" t="inlineStr">
        <is>
          <t>135792468202212210501</t>
        </is>
      </c>
      <c r="B192" s="4108" t="inlineStr">
        <is>
          <t>210501</t>
        </is>
      </c>
      <c r="C192" s="4108" t="inlineStr">
        <is>
          <t>135792468</t>
        </is>
      </c>
      <c r="D192" s="4108" t="inlineStr">
        <is>
          <t>202212</t>
        </is>
      </c>
      <c r="E192" s="4108" t="inlineStr">
        <is>
          <t>11288,000000000000</t>
        </is>
      </c>
    </row>
    <row outlineLevel="0" r="193">
      <c r="A193" s="4108" t="inlineStr">
        <is>
          <t>135792468202212211001</t>
        </is>
      </c>
      <c r="B193" s="4108" t="inlineStr">
        <is>
          <t>211001</t>
        </is>
      </c>
      <c r="C193" s="4108" t="inlineStr">
        <is>
          <t>135792468</t>
        </is>
      </c>
      <c r="D193" s="4108" t="inlineStr">
        <is>
          <t>202212</t>
        </is>
      </c>
      <c r="E193" s="4108" t="inlineStr">
        <is>
          <t>0,000000000000</t>
        </is>
      </c>
    </row>
    <row outlineLevel="0" r="194">
      <c r="A194" s="4108" t="inlineStr">
        <is>
          <t>135792468202212211500</t>
        </is>
      </c>
      <c r="B194" s="4108" t="inlineStr">
        <is>
          <t>211500</t>
        </is>
      </c>
      <c r="C194" s="4108" t="inlineStr">
        <is>
          <t>135792468</t>
        </is>
      </c>
      <c r="D194" s="4108" t="inlineStr">
        <is>
          <t>202212</t>
        </is>
      </c>
      <c r="E194" s="4108" t="inlineStr">
        <is>
          <t>433,000000000000</t>
        </is>
      </c>
    </row>
    <row outlineLevel="0" r="195">
      <c r="A195" s="4108" t="inlineStr">
        <is>
          <t>135792468202212219500</t>
        </is>
      </c>
      <c r="B195" s="4108" t="inlineStr">
        <is>
          <t>219500</t>
        </is>
      </c>
      <c r="C195" s="4108" t="inlineStr">
        <is>
          <t>135792468</t>
        </is>
      </c>
      <c r="D195" s="4108" t="inlineStr">
        <is>
          <t>202212</t>
        </is>
      </c>
      <c r="E195" s="4108" t="inlineStr">
        <is>
          <t>0,000000000000</t>
        </is>
      </c>
    </row>
    <row outlineLevel="0" r="196">
      <c r="A196" s="4108" t="inlineStr">
        <is>
          <t>135792468202212220500</t>
        </is>
      </c>
      <c r="B196" s="4108" t="inlineStr">
        <is>
          <t>220500</t>
        </is>
      </c>
      <c r="C196" s="4108" t="inlineStr">
        <is>
          <t>135792468</t>
        </is>
      </c>
      <c r="D196" s="4108" t="inlineStr">
        <is>
          <t>202212</t>
        </is>
      </c>
      <c r="E196" s="4108" t="inlineStr">
        <is>
          <t>0,000000000000</t>
        </is>
      </c>
    </row>
    <row outlineLevel="0" r="197">
      <c r="A197" s="4108" t="inlineStr">
        <is>
          <t>135792468202212220501</t>
        </is>
      </c>
      <c r="B197" s="4108" t="inlineStr">
        <is>
          <t>220501</t>
        </is>
      </c>
      <c r="C197" s="4108" t="inlineStr">
        <is>
          <t>135792468</t>
        </is>
      </c>
      <c r="D197" s="4108" t="inlineStr">
        <is>
          <t>202212</t>
        </is>
      </c>
      <c r="E197" s="4108" t="inlineStr">
        <is>
          <t>0,000000000000</t>
        </is>
      </c>
    </row>
    <row outlineLevel="0" r="198">
      <c r="A198" s="4108" t="inlineStr">
        <is>
          <t>135792468202212221000</t>
        </is>
      </c>
      <c r="B198" s="4108" t="inlineStr">
        <is>
          <t>221000</t>
        </is>
      </c>
      <c r="C198" s="4108" t="inlineStr">
        <is>
          <t>135792468</t>
        </is>
      </c>
      <c r="D198" s="4108" t="inlineStr">
        <is>
          <t>202212</t>
        </is>
      </c>
      <c r="E198" s="4108" t="inlineStr">
        <is>
          <t>0,000000000000</t>
        </is>
      </c>
    </row>
    <row outlineLevel="0" r="199">
      <c r="A199" s="4108" t="inlineStr">
        <is>
          <t>135792468202212221001</t>
        </is>
      </c>
      <c r="B199" s="4108" t="inlineStr">
        <is>
          <t>221001</t>
        </is>
      </c>
      <c r="C199" s="4108" t="inlineStr">
        <is>
          <t>135792468</t>
        </is>
      </c>
      <c r="D199" s="4108" t="inlineStr">
        <is>
          <t>202212</t>
        </is>
      </c>
      <c r="E199" s="4108" t="inlineStr">
        <is>
          <t>0,000000000000</t>
        </is>
      </c>
    </row>
    <row outlineLevel="0" r="200">
      <c r="A200" s="4108" t="inlineStr">
        <is>
          <t>135792468202212221500</t>
        </is>
      </c>
      <c r="B200" s="4108" t="inlineStr">
        <is>
          <t>221500</t>
        </is>
      </c>
      <c r="C200" s="4108" t="inlineStr">
        <is>
          <t>135792468</t>
        </is>
      </c>
      <c r="D200" s="4108" t="inlineStr">
        <is>
          <t>202212</t>
        </is>
      </c>
      <c r="E200" s="4108" t="inlineStr">
        <is>
          <t>0,000000000000</t>
        </is>
      </c>
    </row>
    <row outlineLevel="0" r="201">
      <c r="A201" s="4108" t="inlineStr">
        <is>
          <t>135792468202212230500</t>
        </is>
      </c>
      <c r="B201" s="4108" t="inlineStr">
        <is>
          <t>230500</t>
        </is>
      </c>
      <c r="C201" s="4108" t="inlineStr">
        <is>
          <t>135792468</t>
        </is>
      </c>
      <c r="D201" s="4108" t="inlineStr">
        <is>
          <t>202212</t>
        </is>
      </c>
      <c r="E201" s="4108" t="inlineStr">
        <is>
          <t>335,000000000000</t>
        </is>
      </c>
    </row>
    <row outlineLevel="0" r="202">
      <c r="A202" s="4108" t="inlineStr">
        <is>
          <t>135792468202212230501</t>
        </is>
      </c>
      <c r="B202" s="4108" t="inlineStr">
        <is>
          <t>230501</t>
        </is>
      </c>
      <c r="C202" s="4108" t="inlineStr">
        <is>
          <t>135792468</t>
        </is>
      </c>
      <c r="D202" s="4108" t="inlineStr">
        <is>
          <t>202212</t>
        </is>
      </c>
      <c r="E202" s="4108" t="inlineStr">
        <is>
          <t>0,000000000000</t>
        </is>
      </c>
    </row>
    <row outlineLevel="0" r="203">
      <c r="A203" s="4108" t="inlineStr">
        <is>
          <t>135792468202212231000</t>
        </is>
      </c>
      <c r="B203" s="4108" t="inlineStr">
        <is>
          <t>231000</t>
        </is>
      </c>
      <c r="C203" s="4108" t="inlineStr">
        <is>
          <t>135792468</t>
        </is>
      </c>
      <c r="D203" s="4108" t="inlineStr">
        <is>
          <t>202212</t>
        </is>
      </c>
      <c r="E203" s="4108" t="inlineStr">
        <is>
          <t>0,000000000000</t>
        </is>
      </c>
    </row>
    <row outlineLevel="0" r="204">
      <c r="A204" s="4108" t="inlineStr">
        <is>
          <t>135792468202212231001</t>
        </is>
      </c>
      <c r="B204" s="4108" t="inlineStr">
        <is>
          <t>231001</t>
        </is>
      </c>
      <c r="C204" s="4108" t="inlineStr">
        <is>
          <t>135792468</t>
        </is>
      </c>
      <c r="D204" s="4108" t="inlineStr">
        <is>
          <t>202212</t>
        </is>
      </c>
      <c r="E204" s="4108" t="inlineStr">
        <is>
          <t>0,000000000000</t>
        </is>
      </c>
    </row>
    <row outlineLevel="0" r="205">
      <c r="A205" s="4108" t="inlineStr">
        <is>
          <t>135792468202212231500</t>
        </is>
      </c>
      <c r="B205" s="4108" t="inlineStr">
        <is>
          <t>231500</t>
        </is>
      </c>
      <c r="C205" s="4108" t="inlineStr">
        <is>
          <t>135792468</t>
        </is>
      </c>
      <c r="D205" s="4108" t="inlineStr">
        <is>
          <t>202212</t>
        </is>
      </c>
      <c r="E205" s="4108" t="inlineStr">
        <is>
          <t>0,000000000000</t>
        </is>
      </c>
    </row>
    <row outlineLevel="0" r="206">
      <c r="A206" s="4108" t="inlineStr">
        <is>
          <t>135792468202212231501</t>
        </is>
      </c>
      <c r="B206" s="4108" t="inlineStr">
        <is>
          <t>231501</t>
        </is>
      </c>
      <c r="C206" s="4108" t="inlineStr">
        <is>
          <t>135792468</t>
        </is>
      </c>
      <c r="D206" s="4108" t="inlineStr">
        <is>
          <t>202212</t>
        </is>
      </c>
      <c r="E206" s="4108" t="inlineStr">
        <is>
          <t>1300,000000000000</t>
        </is>
      </c>
    </row>
    <row outlineLevel="0" r="207">
      <c r="A207" s="4108" t="inlineStr">
        <is>
          <t>135792468202212232000</t>
        </is>
      </c>
      <c r="B207" s="4108" t="inlineStr">
        <is>
          <t>232000</t>
        </is>
      </c>
      <c r="C207" s="4108" t="inlineStr">
        <is>
          <t>135792468</t>
        </is>
      </c>
      <c r="D207" s="4108" t="inlineStr">
        <is>
          <t>202212</t>
        </is>
      </c>
      <c r="E207" s="4108" t="inlineStr">
        <is>
          <t>0,000000000000</t>
        </is>
      </c>
    </row>
    <row outlineLevel="0" r="208">
      <c r="A208" s="4108" t="inlineStr">
        <is>
          <t>135792468202212232001</t>
        </is>
      </c>
      <c r="B208" s="4108" t="inlineStr">
        <is>
          <t>232001</t>
        </is>
      </c>
      <c r="C208" s="4108" t="inlineStr">
        <is>
          <t>135792468</t>
        </is>
      </c>
      <c r="D208" s="4108" t="inlineStr">
        <is>
          <t>202212</t>
        </is>
      </c>
      <c r="E208" s="4108" t="inlineStr">
        <is>
          <t>0,000000000000</t>
        </is>
      </c>
    </row>
    <row outlineLevel="0" r="209">
      <c r="A209" s="4108" t="inlineStr">
        <is>
          <t>135792468202212233500</t>
        </is>
      </c>
      <c r="B209" s="4108" t="inlineStr">
        <is>
          <t>233500</t>
        </is>
      </c>
      <c r="C209" s="4108" t="inlineStr">
        <is>
          <t>135792468</t>
        </is>
      </c>
      <c r="D209" s="4108" t="inlineStr">
        <is>
          <t>202212</t>
        </is>
      </c>
      <c r="E209" s="4108" t="inlineStr">
        <is>
          <t>0,000000000000</t>
        </is>
      </c>
    </row>
    <row outlineLevel="0" r="210">
      <c r="A210" s="4108" t="inlineStr">
        <is>
          <t>135792468202212233501</t>
        </is>
      </c>
      <c r="B210" s="4108" t="inlineStr">
        <is>
          <t>233501</t>
        </is>
      </c>
      <c r="C210" s="4108" t="inlineStr">
        <is>
          <t>135792468</t>
        </is>
      </c>
      <c r="D210" s="4108" t="inlineStr">
        <is>
          <t>202212</t>
        </is>
      </c>
      <c r="E210" s="4108" t="inlineStr">
        <is>
          <t>0,000000000000</t>
        </is>
      </c>
    </row>
    <row outlineLevel="0" r="211">
      <c r="A211" s="4108" t="inlineStr">
        <is>
          <t>135792468202212234500</t>
        </is>
      </c>
      <c r="B211" s="4108" t="inlineStr">
        <is>
          <t>234500</t>
        </is>
      </c>
      <c r="C211" s="4108" t="inlineStr">
        <is>
          <t>135792468</t>
        </is>
      </c>
      <c r="D211" s="4108" t="inlineStr">
        <is>
          <t>202212</t>
        </is>
      </c>
      <c r="E211" s="4108" t="inlineStr">
        <is>
          <t>0,000000000000</t>
        </is>
      </c>
    </row>
    <row outlineLevel="0" r="212">
      <c r="A212" s="4108" t="inlineStr">
        <is>
          <t>135792468202212234501</t>
        </is>
      </c>
      <c r="B212" s="4108" t="inlineStr">
        <is>
          <t>234501</t>
        </is>
      </c>
      <c r="C212" s="4108" t="inlineStr">
        <is>
          <t>135792468</t>
        </is>
      </c>
      <c r="D212" s="4108" t="inlineStr">
        <is>
          <t>202212</t>
        </is>
      </c>
      <c r="E212" s="4108" t="inlineStr">
        <is>
          <t>0,000000000000</t>
        </is>
      </c>
    </row>
    <row outlineLevel="0" r="213">
      <c r="A213" s="4108" t="inlineStr">
        <is>
          <t>135792468202212235000</t>
        </is>
      </c>
      <c r="B213" s="4108" t="inlineStr">
        <is>
          <t>235000</t>
        </is>
      </c>
      <c r="C213" s="4108" t="inlineStr">
        <is>
          <t>135792468</t>
        </is>
      </c>
      <c r="D213" s="4108" t="inlineStr">
        <is>
          <t>202212</t>
        </is>
      </c>
      <c r="E213" s="4108" t="inlineStr">
        <is>
          <t>0,000000000000</t>
        </is>
      </c>
    </row>
    <row outlineLevel="0" r="214">
      <c r="A214" s="4108" t="inlineStr">
        <is>
          <t>135792468202212235001</t>
        </is>
      </c>
      <c r="B214" s="4108" t="inlineStr">
        <is>
          <t>235001</t>
        </is>
      </c>
      <c r="C214" s="4108" t="inlineStr">
        <is>
          <t>135792468</t>
        </is>
      </c>
      <c r="D214" s="4108" t="inlineStr">
        <is>
          <t>202212</t>
        </is>
      </c>
      <c r="E214" s="4108" t="inlineStr">
        <is>
          <t>0,000000000000</t>
        </is>
      </c>
    </row>
    <row outlineLevel="0" r="215">
      <c r="A215" s="4108" t="inlineStr">
        <is>
          <t>135792468202212235500</t>
        </is>
      </c>
      <c r="B215" s="4108" t="inlineStr">
        <is>
          <t>235500</t>
        </is>
      </c>
      <c r="C215" s="4108" t="inlineStr">
        <is>
          <t>135792468</t>
        </is>
      </c>
      <c r="D215" s="4108" t="inlineStr">
        <is>
          <t>202212</t>
        </is>
      </c>
      <c r="E215" s="4108" t="inlineStr">
        <is>
          <t>0,000000000000</t>
        </is>
      </c>
    </row>
    <row outlineLevel="0" r="216">
      <c r="A216" s="4108" t="inlineStr">
        <is>
          <t>135792468202212235501</t>
        </is>
      </c>
      <c r="B216" s="4108" t="inlineStr">
        <is>
          <t>235501</t>
        </is>
      </c>
      <c r="C216" s="4108" t="inlineStr">
        <is>
          <t>135792468</t>
        </is>
      </c>
      <c r="D216" s="4108" t="inlineStr">
        <is>
          <t>202212</t>
        </is>
      </c>
      <c r="E216" s="4108" t="inlineStr">
        <is>
          <t>0,000000000000</t>
        </is>
      </c>
    </row>
    <row outlineLevel="0" r="217">
      <c r="A217" s="4108" t="inlineStr">
        <is>
          <t>135792468202212236000</t>
        </is>
      </c>
      <c r="B217" s="4108" t="inlineStr">
        <is>
          <t>236000</t>
        </is>
      </c>
      <c r="C217" s="4108" t="inlineStr">
        <is>
          <t>135792468</t>
        </is>
      </c>
      <c r="D217" s="4108" t="inlineStr">
        <is>
          <t>202212</t>
        </is>
      </c>
      <c r="E217" s="4108" t="inlineStr">
        <is>
          <t>0,000000000000</t>
        </is>
      </c>
    </row>
    <row outlineLevel="0" r="218">
      <c r="A218" s="4108" t="inlineStr">
        <is>
          <t>135792468202212236001</t>
        </is>
      </c>
      <c r="B218" s="4108" t="inlineStr">
        <is>
          <t>236001</t>
        </is>
      </c>
      <c r="C218" s="4108" t="inlineStr">
        <is>
          <t>135792468</t>
        </is>
      </c>
      <c r="D218" s="4108" t="inlineStr">
        <is>
          <t>202212</t>
        </is>
      </c>
      <c r="E218" s="4108" t="inlineStr">
        <is>
          <t>0,000000000000</t>
        </is>
      </c>
    </row>
    <row outlineLevel="0" r="219">
      <c r="A219" s="4108" t="inlineStr">
        <is>
          <t>135792468202212236500</t>
        </is>
      </c>
      <c r="B219" s="4108" t="inlineStr">
        <is>
          <t>236500</t>
        </is>
      </c>
      <c r="C219" s="4108" t="inlineStr">
        <is>
          <t>135792468</t>
        </is>
      </c>
      <c r="D219" s="4108" t="inlineStr">
        <is>
          <t>202212</t>
        </is>
      </c>
      <c r="E219" s="4108" t="inlineStr">
        <is>
          <t>0,000000000000</t>
        </is>
      </c>
    </row>
    <row outlineLevel="0" r="220">
      <c r="A220" s="4108" t="inlineStr">
        <is>
          <t>135792468202212236501</t>
        </is>
      </c>
      <c r="B220" s="4108" t="inlineStr">
        <is>
          <t>236501</t>
        </is>
      </c>
      <c r="C220" s="4108" t="inlineStr">
        <is>
          <t>135792468</t>
        </is>
      </c>
      <c r="D220" s="4108" t="inlineStr">
        <is>
          <t>202212</t>
        </is>
      </c>
      <c r="E220" s="4108" t="inlineStr">
        <is>
          <t>0,000000000000</t>
        </is>
      </c>
    </row>
    <row outlineLevel="0" r="221">
      <c r="A221" s="4108" t="inlineStr">
        <is>
          <t>135792468202212236700</t>
        </is>
      </c>
      <c r="B221" s="4108" t="inlineStr">
        <is>
          <t>236700</t>
        </is>
      </c>
      <c r="C221" s="4108" t="inlineStr">
        <is>
          <t>135792468</t>
        </is>
      </c>
      <c r="D221" s="4108" t="inlineStr">
        <is>
          <t>202212</t>
        </is>
      </c>
      <c r="E221" s="4108" t="inlineStr">
        <is>
          <t>0,000000000000</t>
        </is>
      </c>
    </row>
    <row outlineLevel="0" r="222">
      <c r="A222" s="4108" t="inlineStr">
        <is>
          <t>135792468202212236701</t>
        </is>
      </c>
      <c r="B222" s="4108" t="inlineStr">
        <is>
          <t>236701</t>
        </is>
      </c>
      <c r="C222" s="4108" t="inlineStr">
        <is>
          <t>135792468</t>
        </is>
      </c>
      <c r="D222" s="4108" t="inlineStr">
        <is>
          <t>202212</t>
        </is>
      </c>
      <c r="E222" s="4108" t="inlineStr">
        <is>
          <t>0,000000000000</t>
        </is>
      </c>
    </row>
    <row outlineLevel="0" r="223">
      <c r="A223" s="4108" t="inlineStr">
        <is>
          <t>135792468202212236800</t>
        </is>
      </c>
      <c r="B223" s="4108" t="inlineStr">
        <is>
          <t>236800</t>
        </is>
      </c>
      <c r="C223" s="4108" t="inlineStr">
        <is>
          <t>135792468</t>
        </is>
      </c>
      <c r="D223" s="4108" t="inlineStr">
        <is>
          <t>202212</t>
        </is>
      </c>
      <c r="E223" s="4108" t="inlineStr">
        <is>
          <t>1315,000000000000</t>
        </is>
      </c>
    </row>
    <row outlineLevel="0" r="224">
      <c r="A224" s="4108" t="inlineStr">
        <is>
          <t>135792468202212237000</t>
        </is>
      </c>
      <c r="B224" s="4108" t="inlineStr">
        <is>
          <t>237000</t>
        </is>
      </c>
      <c r="C224" s="4108" t="inlineStr">
        <is>
          <t>135792468</t>
        </is>
      </c>
      <c r="D224" s="4108" t="inlineStr">
        <is>
          <t>202212</t>
        </is>
      </c>
      <c r="E224" s="4108" t="inlineStr">
        <is>
          <t>0,000000000000</t>
        </is>
      </c>
    </row>
    <row outlineLevel="0" r="225">
      <c r="A225" s="4108" t="inlineStr">
        <is>
          <t>135792468202212237001</t>
        </is>
      </c>
      <c r="B225" s="4108" t="inlineStr">
        <is>
          <t>237001</t>
        </is>
      </c>
      <c r="C225" s="4108" t="inlineStr">
        <is>
          <t>135792468</t>
        </is>
      </c>
      <c r="D225" s="4108" t="inlineStr">
        <is>
          <t>202212</t>
        </is>
      </c>
      <c r="E225" s="4108" t="inlineStr">
        <is>
          <t>0,000000000000</t>
        </is>
      </c>
    </row>
    <row outlineLevel="0" r="226">
      <c r="A226" s="4108" t="inlineStr">
        <is>
          <t>135792468202212238000</t>
        </is>
      </c>
      <c r="B226" s="4108" t="inlineStr">
        <is>
          <t>238000</t>
        </is>
      </c>
      <c r="C226" s="4108" t="inlineStr">
        <is>
          <t>135792468</t>
        </is>
      </c>
      <c r="D226" s="4108" t="inlineStr">
        <is>
          <t>202212</t>
        </is>
      </c>
      <c r="E226" s="4108" t="inlineStr">
        <is>
          <t>0,000000000000</t>
        </is>
      </c>
    </row>
    <row outlineLevel="0" r="227">
      <c r="A227" s="4108" t="inlineStr">
        <is>
          <t>135792468202212238001</t>
        </is>
      </c>
      <c r="B227" s="4108" t="inlineStr">
        <is>
          <t>238001</t>
        </is>
      </c>
      <c r="C227" s="4108" t="inlineStr">
        <is>
          <t>135792468</t>
        </is>
      </c>
      <c r="D227" s="4108" t="inlineStr">
        <is>
          <t>202212</t>
        </is>
      </c>
      <c r="E227" s="4108" t="inlineStr">
        <is>
          <t>0,000000000000</t>
        </is>
      </c>
    </row>
    <row outlineLevel="0" r="228">
      <c r="A228" s="4108" t="inlineStr">
        <is>
          <t>135792468202212240001</t>
        </is>
      </c>
      <c r="B228" s="4108" t="inlineStr">
        <is>
          <t>240001</t>
        </is>
      </c>
      <c r="C228" s="4108" t="inlineStr">
        <is>
          <t>135792468</t>
        </is>
      </c>
      <c r="D228" s="4108" t="inlineStr">
        <is>
          <t>202212</t>
        </is>
      </c>
      <c r="E228" s="4108" t="inlineStr">
        <is>
          <t>0,000000000000</t>
        </is>
      </c>
    </row>
    <row outlineLevel="0" r="229">
      <c r="A229" s="4108" t="inlineStr">
        <is>
          <t>135792468202212240400</t>
        </is>
      </c>
      <c r="B229" s="4108" t="inlineStr">
        <is>
          <t>240400</t>
        </is>
      </c>
      <c r="C229" s="4108" t="inlineStr">
        <is>
          <t>135792468</t>
        </is>
      </c>
      <c r="D229" s="4108" t="inlineStr">
        <is>
          <t>202212</t>
        </is>
      </c>
      <c r="E229" s="4108" t="inlineStr">
        <is>
          <t>7,000000000000</t>
        </is>
      </c>
    </row>
    <row outlineLevel="0" r="230">
      <c r="A230" s="4108" t="inlineStr">
        <is>
          <t>135792468202212240401</t>
        </is>
      </c>
      <c r="B230" s="4108" t="inlineStr">
        <is>
          <t>240401</t>
        </is>
      </c>
      <c r="C230" s="4108" t="inlineStr">
        <is>
          <t>135792468</t>
        </is>
      </c>
      <c r="D230" s="4108" t="inlineStr">
        <is>
          <t>202212</t>
        </is>
      </c>
      <c r="E230" s="4108" t="inlineStr">
        <is>
          <t>0,000000000000</t>
        </is>
      </c>
    </row>
    <row outlineLevel="0" r="231">
      <c r="A231" s="4108" t="inlineStr">
        <is>
          <t>135792468202212240800</t>
        </is>
      </c>
      <c r="B231" s="4108" t="inlineStr">
        <is>
          <t>240800</t>
        </is>
      </c>
      <c r="C231" s="4108" t="inlineStr">
        <is>
          <t>135792468</t>
        </is>
      </c>
      <c r="D231" s="4108" t="inlineStr">
        <is>
          <t>202212</t>
        </is>
      </c>
      <c r="E231" s="4108" t="inlineStr">
        <is>
          <t>0,000000000000</t>
        </is>
      </c>
    </row>
    <row outlineLevel="0" r="232">
      <c r="A232" s="4108" t="inlineStr">
        <is>
          <t>135792468202212240801</t>
        </is>
      </c>
      <c r="B232" s="4108" t="inlineStr">
        <is>
          <t>240801</t>
        </is>
      </c>
      <c r="C232" s="4108" t="inlineStr">
        <is>
          <t>135792468</t>
        </is>
      </c>
      <c r="D232" s="4108" t="inlineStr">
        <is>
          <t>202212</t>
        </is>
      </c>
      <c r="E232" s="4108" t="inlineStr">
        <is>
          <t>0,000000000000</t>
        </is>
      </c>
    </row>
    <row outlineLevel="0" r="233">
      <c r="A233" s="4108" t="inlineStr">
        <is>
          <t>135792468202212241200</t>
        </is>
      </c>
      <c r="B233" s="4108" t="inlineStr">
        <is>
          <t>241200</t>
        </is>
      </c>
      <c r="C233" s="4108" t="inlineStr">
        <is>
          <t>135792468</t>
        </is>
      </c>
      <c r="D233" s="4108" t="inlineStr">
        <is>
          <t>202212</t>
        </is>
      </c>
      <c r="E233" s="4108" t="inlineStr">
        <is>
          <t>0,000000000000</t>
        </is>
      </c>
    </row>
    <row outlineLevel="0" r="234">
      <c r="A234" s="4108" t="inlineStr">
        <is>
          <t>135792468202212241201</t>
        </is>
      </c>
      <c r="B234" s="4108" t="inlineStr">
        <is>
          <t>241201</t>
        </is>
      </c>
      <c r="C234" s="4108" t="inlineStr">
        <is>
          <t>135792468</t>
        </is>
      </c>
      <c r="D234" s="4108" t="inlineStr">
        <is>
          <t>202212</t>
        </is>
      </c>
      <c r="E234" s="4108" t="inlineStr">
        <is>
          <t>0,000000000000</t>
        </is>
      </c>
    </row>
    <row outlineLevel="0" r="235">
      <c r="A235" s="4108" t="inlineStr">
        <is>
          <t>135792468202212249500</t>
        </is>
      </c>
      <c r="B235" s="4108" t="inlineStr">
        <is>
          <t>249500</t>
        </is>
      </c>
      <c r="C235" s="4108" t="inlineStr">
        <is>
          <t>135792468</t>
        </is>
      </c>
      <c r="D235" s="4108" t="inlineStr">
        <is>
          <t>202212</t>
        </is>
      </c>
      <c r="E235" s="4108" t="inlineStr">
        <is>
          <t>0,000000000000</t>
        </is>
      </c>
    </row>
    <row outlineLevel="0" r="236">
      <c r="A236" s="4108" t="inlineStr">
        <is>
          <t>135792468202212249501</t>
        </is>
      </c>
      <c r="B236" s="4108" t="inlineStr">
        <is>
          <t>249501</t>
        </is>
      </c>
      <c r="C236" s="4108" t="inlineStr">
        <is>
          <t>135792468</t>
        </is>
      </c>
      <c r="D236" s="4108" t="inlineStr">
        <is>
          <t>202212</t>
        </is>
      </c>
      <c r="E236" s="4108" t="inlineStr">
        <is>
          <t>0,000000000000</t>
        </is>
      </c>
    </row>
    <row outlineLevel="0" r="237">
      <c r="A237" s="4108" t="inlineStr">
        <is>
          <t>135792468202212250500</t>
        </is>
      </c>
      <c r="B237" s="4108" t="inlineStr">
        <is>
          <t>250500</t>
        </is>
      </c>
      <c r="C237" s="4108" t="inlineStr">
        <is>
          <t>135792468</t>
        </is>
      </c>
      <c r="D237" s="4108" t="inlineStr">
        <is>
          <t>202212</t>
        </is>
      </c>
      <c r="E237" s="4108" t="inlineStr">
        <is>
          <t>0,000000000000</t>
        </is>
      </c>
    </row>
    <row outlineLevel="0" r="238">
      <c r="A238" s="4108" t="inlineStr">
        <is>
          <t>135792468202212250501</t>
        </is>
      </c>
      <c r="B238" s="4108" t="inlineStr">
        <is>
          <t>250501</t>
        </is>
      </c>
      <c r="C238" s="4108" t="inlineStr">
        <is>
          <t>135792468</t>
        </is>
      </c>
      <c r="D238" s="4108" t="inlineStr">
        <is>
          <t>202212</t>
        </is>
      </c>
      <c r="E238" s="4108" t="inlineStr">
        <is>
          <t>0,000000000000</t>
        </is>
      </c>
    </row>
    <row outlineLevel="0" r="239">
      <c r="A239" s="4108" t="inlineStr">
        <is>
          <t>135792468202212251000</t>
        </is>
      </c>
      <c r="B239" s="4108" t="inlineStr">
        <is>
          <t>251000</t>
        </is>
      </c>
      <c r="C239" s="4108" t="inlineStr">
        <is>
          <t>135792468</t>
        </is>
      </c>
      <c r="D239" s="4108" t="inlineStr">
        <is>
          <t>202212</t>
        </is>
      </c>
      <c r="E239" s="4108" t="inlineStr">
        <is>
          <t>0,000000000000</t>
        </is>
      </c>
    </row>
    <row outlineLevel="0" r="240">
      <c r="A240" s="4108" t="inlineStr">
        <is>
          <t>135792468202212251001</t>
        </is>
      </c>
      <c r="B240" s="4108" t="inlineStr">
        <is>
          <t>251001</t>
        </is>
      </c>
      <c r="C240" s="4108" t="inlineStr">
        <is>
          <t>135792468</t>
        </is>
      </c>
      <c r="D240" s="4108" t="inlineStr">
        <is>
          <t>202212</t>
        </is>
      </c>
      <c r="E240" s="4108" t="inlineStr">
        <is>
          <t>0,000000000000</t>
        </is>
      </c>
    </row>
    <row outlineLevel="0" r="241">
      <c r="A241" s="4108" t="inlineStr">
        <is>
          <t>135792468202212251500</t>
        </is>
      </c>
      <c r="B241" s="4108" t="inlineStr">
        <is>
          <t>251500</t>
        </is>
      </c>
      <c r="C241" s="4108" t="inlineStr">
        <is>
          <t>135792468</t>
        </is>
      </c>
      <c r="D241" s="4108" t="inlineStr">
        <is>
          <t>202212</t>
        </is>
      </c>
      <c r="E241" s="4108" t="inlineStr">
        <is>
          <t>0,000000000000</t>
        </is>
      </c>
    </row>
    <row outlineLevel="0" r="242">
      <c r="A242" s="4108" t="inlineStr">
        <is>
          <t>135792468202212251501</t>
        </is>
      </c>
      <c r="B242" s="4108" t="inlineStr">
        <is>
          <t>251501</t>
        </is>
      </c>
      <c r="C242" s="4108" t="inlineStr">
        <is>
          <t>135792468</t>
        </is>
      </c>
      <c r="D242" s="4108" t="inlineStr">
        <is>
          <t>202212</t>
        </is>
      </c>
      <c r="E242" s="4108" t="inlineStr">
        <is>
          <t>0,000000000000</t>
        </is>
      </c>
    </row>
    <row outlineLevel="0" r="243">
      <c r="A243" s="4108" t="inlineStr">
        <is>
          <t>135792468202212252500</t>
        </is>
      </c>
      <c r="B243" s="4108" t="inlineStr">
        <is>
          <t>252500</t>
        </is>
      </c>
      <c r="C243" s="4108" t="inlineStr">
        <is>
          <t>135792468</t>
        </is>
      </c>
      <c r="D243" s="4108" t="inlineStr">
        <is>
          <t>202212</t>
        </is>
      </c>
      <c r="E243" s="4108" t="inlineStr">
        <is>
          <t>0,000000000000</t>
        </is>
      </c>
    </row>
    <row outlineLevel="0" r="244">
      <c r="A244" s="4108" t="inlineStr">
        <is>
          <t>135792468202212252501</t>
        </is>
      </c>
      <c r="B244" s="4108" t="inlineStr">
        <is>
          <t>252501</t>
        </is>
      </c>
      <c r="C244" s="4108" t="inlineStr">
        <is>
          <t>135792468</t>
        </is>
      </c>
      <c r="D244" s="4108" t="inlineStr">
        <is>
          <t>202212</t>
        </is>
      </c>
      <c r="E244" s="4108" t="inlineStr">
        <is>
          <t>0,000000000000</t>
        </is>
      </c>
    </row>
    <row outlineLevel="0" r="245">
      <c r="A245" s="4108" t="inlineStr">
        <is>
          <t>135792468202212253000</t>
        </is>
      </c>
      <c r="B245" s="4108" t="inlineStr">
        <is>
          <t>253000</t>
        </is>
      </c>
      <c r="C245" s="4108" t="inlineStr">
        <is>
          <t>135792468</t>
        </is>
      </c>
      <c r="D245" s="4108" t="inlineStr">
        <is>
          <t>202212</t>
        </is>
      </c>
      <c r="E245" s="4108" t="inlineStr">
        <is>
          <t>0,000000000000</t>
        </is>
      </c>
    </row>
    <row outlineLevel="0" r="246">
      <c r="A246" s="4108" t="inlineStr">
        <is>
          <t>135792468202212253001</t>
        </is>
      </c>
      <c r="B246" s="4108" t="inlineStr">
        <is>
          <t>253001</t>
        </is>
      </c>
      <c r="C246" s="4108" t="inlineStr">
        <is>
          <t>135792468</t>
        </is>
      </c>
      <c r="D246" s="4108" t="inlineStr">
        <is>
          <t>202212</t>
        </is>
      </c>
      <c r="E246" s="4108" t="inlineStr">
        <is>
          <t>0,000000000000</t>
        </is>
      </c>
    </row>
    <row outlineLevel="0" r="247">
      <c r="A247" s="4108" t="inlineStr">
        <is>
          <t>135792468202212259500</t>
        </is>
      </c>
      <c r="B247" s="4108" t="inlineStr">
        <is>
          <t>259500</t>
        </is>
      </c>
      <c r="C247" s="4108" t="inlineStr">
        <is>
          <t>135792468</t>
        </is>
      </c>
      <c r="D247" s="4108" t="inlineStr">
        <is>
          <t>202212</t>
        </is>
      </c>
      <c r="E247" s="4108" t="inlineStr">
        <is>
          <t>0,000000000000</t>
        </is>
      </c>
    </row>
    <row outlineLevel="0" r="248">
      <c r="A248" s="4108" t="inlineStr">
        <is>
          <t>135792468202212259501</t>
        </is>
      </c>
      <c r="B248" s="4108" t="inlineStr">
        <is>
          <t>259501</t>
        </is>
      </c>
      <c r="C248" s="4108" t="inlineStr">
        <is>
          <t>135792468</t>
        </is>
      </c>
      <c r="D248" s="4108" t="inlineStr">
        <is>
          <t>202212</t>
        </is>
      </c>
      <c r="E248" s="4108" t="inlineStr">
        <is>
          <t>0,000000000000</t>
        </is>
      </c>
    </row>
    <row outlineLevel="0" r="249">
      <c r="A249" s="4108" t="inlineStr">
        <is>
          <t>135792468202212260500</t>
        </is>
      </c>
      <c r="B249" s="4108" t="inlineStr">
        <is>
          <t>260500</t>
        </is>
      </c>
      <c r="C249" s="4108" t="inlineStr">
        <is>
          <t>135792468</t>
        </is>
      </c>
      <c r="D249" s="4108" t="inlineStr">
        <is>
          <t>202212</t>
        </is>
      </c>
      <c r="E249" s="4108" t="inlineStr">
        <is>
          <t>0,000000000000</t>
        </is>
      </c>
    </row>
    <row outlineLevel="0" r="250">
      <c r="A250" s="4108" t="inlineStr">
        <is>
          <t>135792468202212260501</t>
        </is>
      </c>
      <c r="B250" s="4108" t="inlineStr">
        <is>
          <t>260501</t>
        </is>
      </c>
      <c r="C250" s="4108" t="inlineStr">
        <is>
          <t>135792468</t>
        </is>
      </c>
      <c r="D250" s="4108" t="inlineStr">
        <is>
          <t>202212</t>
        </is>
      </c>
      <c r="E250" s="4108" t="inlineStr">
        <is>
          <t>0,000000000000</t>
        </is>
      </c>
    </row>
    <row outlineLevel="0" r="251">
      <c r="A251" s="4108" t="inlineStr">
        <is>
          <t>135792468202212261000</t>
        </is>
      </c>
      <c r="B251" s="4108" t="inlineStr">
        <is>
          <t>261000</t>
        </is>
      </c>
      <c r="C251" s="4108" t="inlineStr">
        <is>
          <t>135792468</t>
        </is>
      </c>
      <c r="D251" s="4108" t="inlineStr">
        <is>
          <t>202212</t>
        </is>
      </c>
      <c r="E251" s="4108" t="inlineStr">
        <is>
          <t>0,000000000000</t>
        </is>
      </c>
    </row>
    <row outlineLevel="0" r="252">
      <c r="A252" s="4108" t="inlineStr">
        <is>
          <t>135792468202212261001</t>
        </is>
      </c>
      <c r="B252" s="4108" t="inlineStr">
        <is>
          <t>261001</t>
        </is>
      </c>
      <c r="C252" s="4108" t="inlineStr">
        <is>
          <t>135792468</t>
        </is>
      </c>
      <c r="D252" s="4108" t="inlineStr">
        <is>
          <t>202212</t>
        </is>
      </c>
      <c r="E252" s="4108" t="inlineStr">
        <is>
          <t>0,000000000000</t>
        </is>
      </c>
    </row>
    <row outlineLevel="0" r="253">
      <c r="A253" s="4108" t="inlineStr">
        <is>
          <t>135792468202212261500</t>
        </is>
      </c>
      <c r="B253" s="4108" t="inlineStr">
        <is>
          <t>261500</t>
        </is>
      </c>
      <c r="C253" s="4108" t="inlineStr">
        <is>
          <t>135792468</t>
        </is>
      </c>
      <c r="D253" s="4108" t="inlineStr">
        <is>
          <t>202212</t>
        </is>
      </c>
      <c r="E253" s="4108" t="inlineStr">
        <is>
          <t>0,000000000000</t>
        </is>
      </c>
    </row>
    <row outlineLevel="0" r="254">
      <c r="A254" s="4108" t="inlineStr">
        <is>
          <t>135792468202212261501</t>
        </is>
      </c>
      <c r="B254" s="4108" t="inlineStr">
        <is>
          <t>261501</t>
        </is>
      </c>
      <c r="C254" s="4108" t="inlineStr">
        <is>
          <t>135792468</t>
        </is>
      </c>
      <c r="D254" s="4108" t="inlineStr">
        <is>
          <t>202212</t>
        </is>
      </c>
      <c r="E254" s="4108" t="inlineStr">
        <is>
          <t>0,000000000000</t>
        </is>
      </c>
    </row>
    <row outlineLevel="0" r="255">
      <c r="A255" s="4108" t="inlineStr">
        <is>
          <t>135792468202212262000</t>
        </is>
      </c>
      <c r="B255" s="4108" t="inlineStr">
        <is>
          <t>262000</t>
        </is>
      </c>
      <c r="C255" s="4108" t="inlineStr">
        <is>
          <t>135792468</t>
        </is>
      </c>
      <c r="D255" s="4108" t="inlineStr">
        <is>
          <t>202212</t>
        </is>
      </c>
      <c r="E255" s="4108" t="inlineStr">
        <is>
          <t>0,000000000000</t>
        </is>
      </c>
    </row>
    <row outlineLevel="0" r="256">
      <c r="A256" s="4108" t="inlineStr">
        <is>
          <t>135792468202212262001</t>
        </is>
      </c>
      <c r="B256" s="4108" t="inlineStr">
        <is>
          <t>262001</t>
        </is>
      </c>
      <c r="C256" s="4108" t="inlineStr">
        <is>
          <t>135792468</t>
        </is>
      </c>
      <c r="D256" s="4108" t="inlineStr">
        <is>
          <t>202212</t>
        </is>
      </c>
      <c r="E256" s="4108" t="inlineStr">
        <is>
          <t>12,000000000000</t>
        </is>
      </c>
    </row>
    <row outlineLevel="0" r="257">
      <c r="A257" s="4108" t="inlineStr">
        <is>
          <t>135792468202212262500</t>
        </is>
      </c>
      <c r="B257" s="4108" t="inlineStr">
        <is>
          <t>262500</t>
        </is>
      </c>
      <c r="C257" s="4108" t="inlineStr">
        <is>
          <t>135792468</t>
        </is>
      </c>
      <c r="D257" s="4108" t="inlineStr">
        <is>
          <t>202212</t>
        </is>
      </c>
      <c r="E257" s="4108" t="inlineStr">
        <is>
          <t>0,000000000000</t>
        </is>
      </c>
    </row>
    <row outlineLevel="0" r="258">
      <c r="A258" s="4108" t="inlineStr">
        <is>
          <t>135792468202212262501</t>
        </is>
      </c>
      <c r="B258" s="4108" t="inlineStr">
        <is>
          <t>262501</t>
        </is>
      </c>
      <c r="C258" s="4108" t="inlineStr">
        <is>
          <t>135792468</t>
        </is>
      </c>
      <c r="D258" s="4108" t="inlineStr">
        <is>
          <t>202212</t>
        </is>
      </c>
      <c r="E258" s="4108" t="inlineStr">
        <is>
          <t>0,000000000000</t>
        </is>
      </c>
    </row>
    <row outlineLevel="0" r="259">
      <c r="A259" s="4108" t="inlineStr">
        <is>
          <t>135792468202212263000</t>
        </is>
      </c>
      <c r="B259" s="4108" t="inlineStr">
        <is>
          <t>263000</t>
        </is>
      </c>
      <c r="C259" s="4108" t="inlineStr">
        <is>
          <t>135792468</t>
        </is>
      </c>
      <c r="D259" s="4108" t="inlineStr">
        <is>
          <t>202212</t>
        </is>
      </c>
      <c r="E259" s="4108" t="inlineStr">
        <is>
          <t>0,000000000000</t>
        </is>
      </c>
    </row>
    <row outlineLevel="0" r="260">
      <c r="A260" s="4108" t="inlineStr">
        <is>
          <t>135792468202212263001</t>
        </is>
      </c>
      <c r="B260" s="4108" t="inlineStr">
        <is>
          <t>263001</t>
        </is>
      </c>
      <c r="C260" s="4108" t="inlineStr">
        <is>
          <t>135792468</t>
        </is>
      </c>
      <c r="D260" s="4108" t="inlineStr">
        <is>
          <t>202212</t>
        </is>
      </c>
      <c r="E260" s="4108" t="inlineStr">
        <is>
          <t>0,000000000000</t>
        </is>
      </c>
    </row>
    <row outlineLevel="0" r="261">
      <c r="A261" s="4108" t="inlineStr">
        <is>
          <t>135792468202212263500</t>
        </is>
      </c>
      <c r="B261" s="4108" t="inlineStr">
        <is>
          <t>263500</t>
        </is>
      </c>
      <c r="C261" s="4108" t="inlineStr">
        <is>
          <t>135792468</t>
        </is>
      </c>
      <c r="D261" s="4108" t="inlineStr">
        <is>
          <t>202212</t>
        </is>
      </c>
      <c r="E261" s="4108" t="inlineStr">
        <is>
          <t>0,000000000000</t>
        </is>
      </c>
    </row>
    <row outlineLevel="0" r="262">
      <c r="A262" s="4108" t="inlineStr">
        <is>
          <t>135792468202212263501</t>
        </is>
      </c>
      <c r="B262" s="4108" t="inlineStr">
        <is>
          <t>263501</t>
        </is>
      </c>
      <c r="C262" s="4108" t="inlineStr">
        <is>
          <t>135792468</t>
        </is>
      </c>
      <c r="D262" s="4108" t="inlineStr">
        <is>
          <t>202212</t>
        </is>
      </c>
      <c r="E262" s="4108" t="inlineStr">
        <is>
          <t>0,000000000000</t>
        </is>
      </c>
    </row>
    <row outlineLevel="0" r="263">
      <c r="A263" s="4108" t="inlineStr">
        <is>
          <t>135792468202212264000</t>
        </is>
      </c>
      <c r="B263" s="4108" t="inlineStr">
        <is>
          <t>264000</t>
        </is>
      </c>
      <c r="C263" s="4108" t="inlineStr">
        <is>
          <t>135792468</t>
        </is>
      </c>
      <c r="D263" s="4108" t="inlineStr">
        <is>
          <t>202212</t>
        </is>
      </c>
      <c r="E263" s="4108" t="inlineStr">
        <is>
          <t>0,000000000000</t>
        </is>
      </c>
    </row>
    <row outlineLevel="0" r="264">
      <c r="A264" s="4108" t="inlineStr">
        <is>
          <t>135792468202212264001</t>
        </is>
      </c>
      <c r="B264" s="4108" t="inlineStr">
        <is>
          <t>264001</t>
        </is>
      </c>
      <c r="C264" s="4108" t="inlineStr">
        <is>
          <t>135792468</t>
        </is>
      </c>
      <c r="D264" s="4108" t="inlineStr">
        <is>
          <t>202212</t>
        </is>
      </c>
      <c r="E264" s="4108" t="inlineStr">
        <is>
          <t>0,000000000000</t>
        </is>
      </c>
    </row>
    <row outlineLevel="0" r="265">
      <c r="A265" s="4108" t="inlineStr">
        <is>
          <t>135792468202212269500</t>
        </is>
      </c>
      <c r="B265" s="4108" t="inlineStr">
        <is>
          <t>269500</t>
        </is>
      </c>
      <c r="C265" s="4108" t="inlineStr">
        <is>
          <t>135792468</t>
        </is>
      </c>
      <c r="D265" s="4108" t="inlineStr">
        <is>
          <t>202212</t>
        </is>
      </c>
      <c r="E265" s="4108" t="inlineStr">
        <is>
          <t>0,000000000000</t>
        </is>
      </c>
    </row>
    <row outlineLevel="0" r="266">
      <c r="A266" s="4108" t="inlineStr">
        <is>
          <t>135792468202212269501</t>
        </is>
      </c>
      <c r="B266" s="4108" t="inlineStr">
        <is>
          <t>269501</t>
        </is>
      </c>
      <c r="C266" s="4108" t="inlineStr">
        <is>
          <t>135792468</t>
        </is>
      </c>
      <c r="D266" s="4108" t="inlineStr">
        <is>
          <t>202212</t>
        </is>
      </c>
      <c r="E266" s="4108" t="inlineStr">
        <is>
          <t>0,000000000000</t>
        </is>
      </c>
    </row>
    <row outlineLevel="0" r="267">
      <c r="A267" s="4108" t="inlineStr">
        <is>
          <t>135792468202212270500</t>
        </is>
      </c>
      <c r="B267" s="4108" t="inlineStr">
        <is>
          <t>270500</t>
        </is>
      </c>
      <c r="C267" s="4108" t="inlineStr">
        <is>
          <t>135792468</t>
        </is>
      </c>
      <c r="D267" s="4108" t="inlineStr">
        <is>
          <t>202212</t>
        </is>
      </c>
      <c r="E267" s="4108" t="inlineStr">
        <is>
          <t>160,000000000000</t>
        </is>
      </c>
    </row>
    <row outlineLevel="0" r="268">
      <c r="A268" s="4108" t="inlineStr">
        <is>
          <t>135792468202212270501</t>
        </is>
      </c>
      <c r="B268" s="4108" t="inlineStr">
        <is>
          <t>270501</t>
        </is>
      </c>
      <c r="C268" s="4108" t="inlineStr">
        <is>
          <t>135792468</t>
        </is>
      </c>
      <c r="D268" s="4108" t="inlineStr">
        <is>
          <t>202212</t>
        </is>
      </c>
      <c r="E268" s="4108" t="inlineStr">
        <is>
          <t>0,000000000000</t>
        </is>
      </c>
    </row>
    <row outlineLevel="0" r="269">
      <c r="A269" s="4108" t="inlineStr">
        <is>
          <t>135792468202212271000</t>
        </is>
      </c>
      <c r="B269" s="4108" t="inlineStr">
        <is>
          <t>271000</t>
        </is>
      </c>
      <c r="C269" s="4108" t="inlineStr">
        <is>
          <t>135792468</t>
        </is>
      </c>
      <c r="D269" s="4108" t="inlineStr">
        <is>
          <t>202212</t>
        </is>
      </c>
      <c r="E269" s="4108" t="inlineStr">
        <is>
          <t>0,000000000000</t>
        </is>
      </c>
    </row>
    <row outlineLevel="0" r="270">
      <c r="A270" s="4108" t="inlineStr">
        <is>
          <t>135792468202212271001</t>
        </is>
      </c>
      <c r="B270" s="4108" t="inlineStr">
        <is>
          <t>271001</t>
        </is>
      </c>
      <c r="C270" s="4108" t="inlineStr">
        <is>
          <t>135792468</t>
        </is>
      </c>
      <c r="D270" s="4108" t="inlineStr">
        <is>
          <t>202212</t>
        </is>
      </c>
      <c r="E270" s="4108" t="inlineStr">
        <is>
          <t>0,000000000000</t>
        </is>
      </c>
    </row>
    <row outlineLevel="0" r="271">
      <c r="A271" s="4108" t="inlineStr">
        <is>
          <t>135792468202212272001</t>
        </is>
      </c>
      <c r="B271" s="4108" t="inlineStr">
        <is>
          <t>272001</t>
        </is>
      </c>
      <c r="C271" s="4108" t="inlineStr">
        <is>
          <t>135792468</t>
        </is>
      </c>
      <c r="D271" s="4108" t="inlineStr">
        <is>
          <t>202212</t>
        </is>
      </c>
      <c r="E271" s="4108" t="inlineStr">
        <is>
          <t>0,000000000000</t>
        </is>
      </c>
    </row>
    <row outlineLevel="0" r="272">
      <c r="A272" s="4108" t="inlineStr">
        <is>
          <t>135792468202212272500</t>
        </is>
      </c>
      <c r="B272" s="4108" t="inlineStr">
        <is>
          <t>272500</t>
        </is>
      </c>
      <c r="C272" s="4108" t="inlineStr">
        <is>
          <t>135792468</t>
        </is>
      </c>
      <c r="D272" s="4108" t="inlineStr">
        <is>
          <t>202212</t>
        </is>
      </c>
      <c r="E272" s="4108" t="inlineStr">
        <is>
          <t>0,000000000000</t>
        </is>
      </c>
    </row>
    <row outlineLevel="0" r="273">
      <c r="A273" s="4108" t="inlineStr">
        <is>
          <t>135792468202212272501</t>
        </is>
      </c>
      <c r="B273" s="4108" t="inlineStr">
        <is>
          <t>272501</t>
        </is>
      </c>
      <c r="C273" s="4108" t="inlineStr">
        <is>
          <t>135792468</t>
        </is>
      </c>
      <c r="D273" s="4108" t="inlineStr">
        <is>
          <t>202212</t>
        </is>
      </c>
      <c r="E273" s="4108" t="inlineStr">
        <is>
          <t>0,000000000000</t>
        </is>
      </c>
    </row>
    <row outlineLevel="0" r="274">
      <c r="A274" s="4108" t="inlineStr">
        <is>
          <t>135792468202212279500</t>
        </is>
      </c>
      <c r="B274" s="4108" t="inlineStr">
        <is>
          <t>279500</t>
        </is>
      </c>
      <c r="C274" s="4108" t="inlineStr">
        <is>
          <t>135792468</t>
        </is>
      </c>
      <c r="D274" s="4108" t="inlineStr">
        <is>
          <t>202212</t>
        </is>
      </c>
      <c r="E274" s="4108" t="inlineStr">
        <is>
          <t>12,000000000000</t>
        </is>
      </c>
    </row>
    <row outlineLevel="0" r="275">
      <c r="A275" s="4108" t="inlineStr">
        <is>
          <t>135792468202212279501</t>
        </is>
      </c>
      <c r="B275" s="4108" t="inlineStr">
        <is>
          <t>279501</t>
        </is>
      </c>
      <c r="C275" s="4108" t="inlineStr">
        <is>
          <t>135792468</t>
        </is>
      </c>
      <c r="D275" s="4108" t="inlineStr">
        <is>
          <t>202212</t>
        </is>
      </c>
      <c r="E275" s="4108" t="inlineStr">
        <is>
          <t>0,000000000000</t>
        </is>
      </c>
    </row>
    <row outlineLevel="0" r="276">
      <c r="A276" s="4108" t="inlineStr">
        <is>
          <t>135792468202212281000</t>
        </is>
      </c>
      <c r="B276" s="4108" t="inlineStr">
        <is>
          <t>281000</t>
        </is>
      </c>
      <c r="C276" s="4108" t="inlineStr">
        <is>
          <t>135792468</t>
        </is>
      </c>
      <c r="D276" s="4108" t="inlineStr">
        <is>
          <t>202212</t>
        </is>
      </c>
      <c r="E276" s="4108" t="inlineStr">
        <is>
          <t>0,000000000000</t>
        </is>
      </c>
    </row>
    <row outlineLevel="0" r="277">
      <c r="A277" s="4108" t="inlineStr">
        <is>
          <t>135792468202212282000</t>
        </is>
      </c>
      <c r="B277" s="4108" t="inlineStr">
        <is>
          <t>282000</t>
        </is>
      </c>
      <c r="C277" s="4108" t="inlineStr">
        <is>
          <t>135792468</t>
        </is>
      </c>
      <c r="D277" s="4108" t="inlineStr">
        <is>
          <t>202212</t>
        </is>
      </c>
      <c r="E277" s="4108" t="inlineStr">
        <is>
          <t>0,000000000000</t>
        </is>
      </c>
    </row>
    <row outlineLevel="0" r="278">
      <c r="A278" s="4108" t="inlineStr">
        <is>
          <t>135792468202212282500</t>
        </is>
      </c>
      <c r="B278" s="4108" t="inlineStr">
        <is>
          <t>282500</t>
        </is>
      </c>
      <c r="C278" s="4108" t="inlineStr">
        <is>
          <t>135792468</t>
        </is>
      </c>
      <c r="D278" s="4108" t="inlineStr">
        <is>
          <t>202212</t>
        </is>
      </c>
      <c r="E278" s="4108" t="inlineStr">
        <is>
          <t>0,000000000000</t>
        </is>
      </c>
    </row>
    <row outlineLevel="0" r="279">
      <c r="A279" s="4108" t="inlineStr">
        <is>
          <t>135792468202212284000</t>
        </is>
      </c>
      <c r="B279" s="4108" t="inlineStr">
        <is>
          <t>284000</t>
        </is>
      </c>
      <c r="C279" s="4108" t="inlineStr">
        <is>
          <t>135792468</t>
        </is>
      </c>
      <c r="D279" s="4108" t="inlineStr">
        <is>
          <t>202212</t>
        </is>
      </c>
      <c r="E279" s="4108" t="inlineStr">
        <is>
          <t>0,000000000000</t>
        </is>
      </c>
    </row>
    <row outlineLevel="0" r="280">
      <c r="A280" s="4108" t="inlineStr">
        <is>
          <t>135792468202212289500</t>
        </is>
      </c>
      <c r="B280" s="4108" t="inlineStr">
        <is>
          <t>289500</t>
        </is>
      </c>
      <c r="C280" s="4108" t="inlineStr">
        <is>
          <t>135792468</t>
        </is>
      </c>
      <c r="D280" s="4108" t="inlineStr">
        <is>
          <t>202212</t>
        </is>
      </c>
      <c r="E280" s="4108" t="inlineStr">
        <is>
          <t>0,000000000000</t>
        </is>
      </c>
    </row>
    <row outlineLevel="0" r="281">
      <c r="A281" s="4108" t="inlineStr">
        <is>
          <t>135792468202212290501</t>
        </is>
      </c>
      <c r="B281" s="4108" t="inlineStr">
        <is>
          <t>290501</t>
        </is>
      </c>
      <c r="C281" s="4108" t="inlineStr">
        <is>
          <t>135792468</t>
        </is>
      </c>
      <c r="D281" s="4108" t="inlineStr">
        <is>
          <t>202212</t>
        </is>
      </c>
      <c r="E281" s="4108" t="inlineStr">
        <is>
          <t>0,000000000000</t>
        </is>
      </c>
    </row>
    <row outlineLevel="0" r="282">
      <c r="A282" s="4108" t="inlineStr">
        <is>
          <t>135792468202212291000</t>
        </is>
      </c>
      <c r="B282" s="4108" t="inlineStr">
        <is>
          <t>291000</t>
        </is>
      </c>
      <c r="C282" s="4108" t="inlineStr">
        <is>
          <t>135792468</t>
        </is>
      </c>
      <c r="D282" s="4108" t="inlineStr">
        <is>
          <t>202212</t>
        </is>
      </c>
      <c r="E282" s="4108" t="inlineStr">
        <is>
          <t>0,000000000000</t>
        </is>
      </c>
    </row>
    <row outlineLevel="0" r="283">
      <c r="A283" s="4108" t="inlineStr">
        <is>
          <t>135792468202212291501</t>
        </is>
      </c>
      <c r="B283" s="4108" t="inlineStr">
        <is>
          <t>291501</t>
        </is>
      </c>
      <c r="C283" s="4108" t="inlineStr">
        <is>
          <t>135792468</t>
        </is>
      </c>
      <c r="D283" s="4108" t="inlineStr">
        <is>
          <t>202212</t>
        </is>
      </c>
      <c r="E283" s="4108" t="inlineStr">
        <is>
          <t>0,000000000000</t>
        </is>
      </c>
    </row>
    <row outlineLevel="0" r="284">
      <c r="A284" s="4108" t="inlineStr">
        <is>
          <t>135792468202212291991</t>
        </is>
      </c>
      <c r="B284" s="4108" t="inlineStr">
        <is>
          <t>291991</t>
        </is>
      </c>
      <c r="C284" s="4108" t="inlineStr">
        <is>
          <t>135792468</t>
        </is>
      </c>
      <c r="D284" s="4108" t="inlineStr">
        <is>
          <t>202212</t>
        </is>
      </c>
      <c r="E284" s="4108" t="inlineStr">
        <is>
          <t>0,000000000000</t>
        </is>
      </c>
    </row>
    <row outlineLevel="0" r="285">
      <c r="A285" s="4108" t="inlineStr">
        <is>
          <t>135792468202212292000</t>
        </is>
      </c>
      <c r="B285" s="4108" t="inlineStr">
        <is>
          <t>292000</t>
        </is>
      </c>
      <c r="C285" s="4108" t="inlineStr">
        <is>
          <t>135792468</t>
        </is>
      </c>
      <c r="D285" s="4108" t="inlineStr">
        <is>
          <t>202212</t>
        </is>
      </c>
      <c r="E285" s="4108" t="inlineStr">
        <is>
          <t>0,000000000000</t>
        </is>
      </c>
    </row>
    <row outlineLevel="0" r="286">
      <c r="A286" s="4108" t="inlineStr">
        <is>
          <t>135792468202212292001</t>
        </is>
      </c>
      <c r="B286" s="4108" t="inlineStr">
        <is>
          <t>292001</t>
        </is>
      </c>
      <c r="C286" s="4108" t="inlineStr">
        <is>
          <t>135792468</t>
        </is>
      </c>
      <c r="D286" s="4108" t="inlineStr">
        <is>
          <t>202212</t>
        </is>
      </c>
      <c r="E286" s="4108" t="inlineStr">
        <is>
          <t>0,000000000000</t>
        </is>
      </c>
    </row>
    <row outlineLevel="0" r="287">
      <c r="A287" s="4108" t="inlineStr">
        <is>
          <t>135792468202212293000</t>
        </is>
      </c>
      <c r="B287" s="4108" t="inlineStr">
        <is>
          <t>293000</t>
        </is>
      </c>
      <c r="C287" s="4108" t="inlineStr">
        <is>
          <t>135792468</t>
        </is>
      </c>
      <c r="D287" s="4108" t="inlineStr">
        <is>
          <t>202212</t>
        </is>
      </c>
      <c r="E287" s="4108" t="inlineStr">
        <is>
          <t>0,000000000000</t>
        </is>
      </c>
    </row>
    <row outlineLevel="0" r="288">
      <c r="A288" s="4108" t="inlineStr">
        <is>
          <t>135792468202212294000</t>
        </is>
      </c>
      <c r="B288" s="4108" t="inlineStr">
        <is>
          <t>294000</t>
        </is>
      </c>
      <c r="C288" s="4108" t="inlineStr">
        <is>
          <t>135792468</t>
        </is>
      </c>
      <c r="D288" s="4108" t="inlineStr">
        <is>
          <t>202212</t>
        </is>
      </c>
      <c r="E288" s="4108" t="inlineStr">
        <is>
          <t>0,000000000000</t>
        </is>
      </c>
    </row>
    <row outlineLevel="0" r="289">
      <c r="A289" s="4108" t="inlineStr">
        <is>
          <t>135792468202212299501</t>
        </is>
      </c>
      <c r="B289" s="4108" t="inlineStr">
        <is>
          <t>299501</t>
        </is>
      </c>
      <c r="C289" s="4108" t="inlineStr">
        <is>
          <t>135792468</t>
        </is>
      </c>
      <c r="D289" s="4108" t="inlineStr">
        <is>
          <t>202212</t>
        </is>
      </c>
      <c r="E289" s="4108" t="inlineStr">
        <is>
          <t>0,000000000000</t>
        </is>
      </c>
    </row>
    <row outlineLevel="0" r="290">
      <c r="A290" s="4108" t="inlineStr">
        <is>
          <t>135792468202212310500</t>
        </is>
      </c>
      <c r="B290" s="4108" t="inlineStr">
        <is>
          <t>310500</t>
        </is>
      </c>
      <c r="C290" s="4108" t="inlineStr">
        <is>
          <t>135792468</t>
        </is>
      </c>
      <c r="D290" s="4108" t="inlineStr">
        <is>
          <t>202212</t>
        </is>
      </c>
      <c r="E290" s="4108" t="inlineStr">
        <is>
          <t>3767,000000000000</t>
        </is>
      </c>
    </row>
    <row outlineLevel="0" r="291">
      <c r="A291" s="4108" t="inlineStr">
        <is>
          <t>135792468202212311500</t>
        </is>
      </c>
      <c r="B291" s="4108" t="inlineStr">
        <is>
          <t>311500</t>
        </is>
      </c>
      <c r="C291" s="4108" t="inlineStr">
        <is>
          <t>135792468</t>
        </is>
      </c>
      <c r="D291" s="4108" t="inlineStr">
        <is>
          <t>202212</t>
        </is>
      </c>
      <c r="E291" s="4108" t="inlineStr">
        <is>
          <t>0,000000000000</t>
        </is>
      </c>
    </row>
    <row outlineLevel="0" r="292">
      <c r="A292" s="4108" t="inlineStr">
        <is>
          <t>135792468202212312000</t>
        </is>
      </c>
      <c r="B292" s="4108" t="inlineStr">
        <is>
          <t>312000</t>
        </is>
      </c>
      <c r="C292" s="4108" t="inlineStr">
        <is>
          <t>135792468</t>
        </is>
      </c>
      <c r="D292" s="4108" t="inlineStr">
        <is>
          <t>202212</t>
        </is>
      </c>
      <c r="E292" s="4108" t="inlineStr">
        <is>
          <t>0,000000000000</t>
        </is>
      </c>
    </row>
    <row outlineLevel="0" r="293">
      <c r="A293" s="4108" t="inlineStr">
        <is>
          <t>135792468202212312500</t>
        </is>
      </c>
      <c r="B293" s="4108" t="inlineStr">
        <is>
          <t>312500</t>
        </is>
      </c>
      <c r="C293" s="4108" t="inlineStr">
        <is>
          <t>135792468</t>
        </is>
      </c>
      <c r="D293" s="4108" t="inlineStr">
        <is>
          <t>202212</t>
        </is>
      </c>
      <c r="E293" s="4108" t="inlineStr">
        <is>
          <t>0,000000000000</t>
        </is>
      </c>
    </row>
    <row outlineLevel="0" r="294">
      <c r="A294" s="4108" t="inlineStr">
        <is>
          <t>135792468202212313000</t>
        </is>
      </c>
      <c r="B294" s="4108" t="inlineStr">
        <is>
          <t>313000</t>
        </is>
      </c>
      <c r="C294" s="4108" t="inlineStr">
        <is>
          <t>135792468</t>
        </is>
      </c>
      <c r="D294" s="4108" t="inlineStr">
        <is>
          <t>202212</t>
        </is>
      </c>
      <c r="E294" s="4108" t="inlineStr">
        <is>
          <t>0,000000000000</t>
        </is>
      </c>
    </row>
    <row outlineLevel="0" r="295">
      <c r="A295" s="4108" t="inlineStr">
        <is>
          <t>135792468202212313500</t>
        </is>
      </c>
      <c r="B295" s="4108" t="inlineStr">
        <is>
          <t>313500</t>
        </is>
      </c>
      <c r="C295" s="4108" t="inlineStr">
        <is>
          <t>135792468</t>
        </is>
      </c>
      <c r="D295" s="4108" t="inlineStr">
        <is>
          <t>202212</t>
        </is>
      </c>
      <c r="E295" s="4108" t="inlineStr">
        <is>
          <t>0,000000000000</t>
        </is>
      </c>
    </row>
    <row outlineLevel="0" r="296">
      <c r="A296" s="4108" t="inlineStr">
        <is>
          <t>135792468202212314000</t>
        </is>
      </c>
      <c r="B296" s="4108" t="inlineStr">
        <is>
          <t>314000</t>
        </is>
      </c>
      <c r="C296" s="4108" t="inlineStr">
        <is>
          <t>135792468</t>
        </is>
      </c>
      <c r="D296" s="4108" t="inlineStr">
        <is>
          <t>202212</t>
        </is>
      </c>
      <c r="E296" s="4108" t="inlineStr">
        <is>
          <t>0,000000000000</t>
        </is>
      </c>
    </row>
    <row outlineLevel="0" r="297">
      <c r="A297" s="4108" t="inlineStr">
        <is>
          <t>135792468202212320500</t>
        </is>
      </c>
      <c r="B297" s="4108" t="inlineStr">
        <is>
          <t>320500</t>
        </is>
      </c>
      <c r="C297" s="4108" t="inlineStr">
        <is>
          <t>135792468</t>
        </is>
      </c>
      <c r="D297" s="4108" t="inlineStr">
        <is>
          <t>202212</t>
        </is>
      </c>
      <c r="E297" s="4108" t="inlineStr">
        <is>
          <t>0,000000000000</t>
        </is>
      </c>
    </row>
    <row outlineLevel="0" r="298">
      <c r="A298" s="4108" t="inlineStr">
        <is>
          <t>135792468202212321000</t>
        </is>
      </c>
      <c r="B298" s="4108" t="inlineStr">
        <is>
          <t>321000</t>
        </is>
      </c>
      <c r="C298" s="4108" t="inlineStr">
        <is>
          <t>135792468</t>
        </is>
      </c>
      <c r="D298" s="4108" t="inlineStr">
        <is>
          <t>202212</t>
        </is>
      </c>
      <c r="E298" s="4108" t="inlineStr">
        <is>
          <t>0,000000000000</t>
        </is>
      </c>
    </row>
    <row outlineLevel="0" r="299">
      <c r="A299" s="4108" t="inlineStr">
        <is>
          <t>135792468202212321500</t>
        </is>
      </c>
      <c r="B299" s="4108" t="inlineStr">
        <is>
          <t>321500</t>
        </is>
      </c>
      <c r="C299" s="4108" t="inlineStr">
        <is>
          <t>135792468</t>
        </is>
      </c>
      <c r="D299" s="4108" t="inlineStr">
        <is>
          <t>202212</t>
        </is>
      </c>
      <c r="E299" s="4108" t="inlineStr">
        <is>
          <t>0,000000000000</t>
        </is>
      </c>
    </row>
    <row outlineLevel="0" r="300">
      <c r="A300" s="4108" t="inlineStr">
        <is>
          <t>135792468202212322000</t>
        </is>
      </c>
      <c r="B300" s="4108" t="inlineStr">
        <is>
          <t>322000</t>
        </is>
      </c>
      <c r="C300" s="4108" t="inlineStr">
        <is>
          <t>135792468</t>
        </is>
      </c>
      <c r="D300" s="4108" t="inlineStr">
        <is>
          <t>202212</t>
        </is>
      </c>
      <c r="E300" s="4108" t="inlineStr">
        <is>
          <t>0,000000000000</t>
        </is>
      </c>
    </row>
    <row outlineLevel="0" r="301">
      <c r="A301" s="4108" t="inlineStr">
        <is>
          <t>135792468202212322500</t>
        </is>
      </c>
      <c r="B301" s="4108" t="inlineStr">
        <is>
          <t>322500</t>
        </is>
      </c>
      <c r="C301" s="4108" t="inlineStr">
        <is>
          <t>135792468</t>
        </is>
      </c>
      <c r="D301" s="4108" t="inlineStr">
        <is>
          <t>202212</t>
        </is>
      </c>
      <c r="E301" s="4108" t="inlineStr">
        <is>
          <t>0,000000000000</t>
        </is>
      </c>
    </row>
    <row outlineLevel="0" r="302">
      <c r="A302" s="4108" t="inlineStr">
        <is>
          <t>135792468202212330500</t>
        </is>
      </c>
      <c r="B302" s="4108" t="inlineStr">
        <is>
          <t>330500</t>
        </is>
      </c>
      <c r="C302" s="4108" t="inlineStr">
        <is>
          <t>135792468</t>
        </is>
      </c>
      <c r="D302" s="4108" t="inlineStr">
        <is>
          <t>202212</t>
        </is>
      </c>
      <c r="E302" s="4108" t="inlineStr">
        <is>
          <t>166,000000000000</t>
        </is>
      </c>
    </row>
    <row outlineLevel="0" r="303">
      <c r="A303" s="4108" t="inlineStr">
        <is>
          <t>135792468202212331000</t>
        </is>
      </c>
      <c r="B303" s="4108" t="inlineStr">
        <is>
          <t>331000</t>
        </is>
      </c>
      <c r="C303" s="4108" t="inlineStr">
        <is>
          <t>135792468</t>
        </is>
      </c>
      <c r="D303" s="4108" t="inlineStr">
        <is>
          <t>202212</t>
        </is>
      </c>
      <c r="E303" s="4108" t="inlineStr">
        <is>
          <t>0,000000000000</t>
        </is>
      </c>
    </row>
    <row outlineLevel="0" r="304">
      <c r="A304" s="4108" t="inlineStr">
        <is>
          <t>135792468202212331500</t>
        </is>
      </c>
      <c r="B304" s="4108" t="inlineStr">
        <is>
          <t>331500</t>
        </is>
      </c>
      <c r="C304" s="4108" t="inlineStr">
        <is>
          <t>135792468</t>
        </is>
      </c>
      <c r="D304" s="4108" t="inlineStr">
        <is>
          <t>202212</t>
        </is>
      </c>
      <c r="E304" s="4108" t="inlineStr">
        <is>
          <t>0,000000000000</t>
        </is>
      </c>
    </row>
    <row outlineLevel="0" r="305">
      <c r="A305" s="4108" t="inlineStr">
        <is>
          <t>135792468202212340505</t>
        </is>
      </c>
      <c r="B305" s="4108" t="inlineStr">
        <is>
          <t>340505</t>
        </is>
      </c>
      <c r="C305" s="4108" t="inlineStr">
        <is>
          <t>135792468</t>
        </is>
      </c>
      <c r="D305" s="4108" t="inlineStr">
        <is>
          <t>202212</t>
        </is>
      </c>
      <c r="E305" s="4108" t="inlineStr">
        <is>
          <t>0,000000000000</t>
        </is>
      </c>
    </row>
    <row outlineLevel="0" r="306">
      <c r="A306" s="4108" t="inlineStr">
        <is>
          <t>135792468202212340515</t>
        </is>
      </c>
      <c r="B306" s="4108" t="inlineStr">
        <is>
          <t>340515</t>
        </is>
      </c>
      <c r="C306" s="4108" t="inlineStr">
        <is>
          <t>135792468</t>
        </is>
      </c>
      <c r="D306" s="4108" t="inlineStr">
        <is>
          <t>202212</t>
        </is>
      </c>
      <c r="E306" s="4108" t="inlineStr">
        <is>
          <t>0,000000000000</t>
        </is>
      </c>
    </row>
    <row outlineLevel="0" r="307">
      <c r="A307" s="4108" t="inlineStr">
        <is>
          <t>135792468202212349500</t>
        </is>
      </c>
      <c r="B307" s="4108" t="inlineStr">
        <is>
          <t>349500</t>
        </is>
      </c>
      <c r="C307" s="4108" t="inlineStr">
        <is>
          <t>135792468</t>
        </is>
      </c>
      <c r="D307" s="4108" t="inlineStr">
        <is>
          <t>202212</t>
        </is>
      </c>
      <c r="E307" s="4108" t="inlineStr">
        <is>
          <t>0,000000000000</t>
        </is>
      </c>
    </row>
    <row outlineLevel="0" r="308">
      <c r="A308" s="4108" t="inlineStr">
        <is>
          <t>135792468202212410500</t>
        </is>
      </c>
      <c r="B308" s="4108" t="inlineStr">
        <is>
          <t>410500</t>
        </is>
      </c>
      <c r="C308" s="4108" t="inlineStr">
        <is>
          <t>135792468</t>
        </is>
      </c>
      <c r="D308" s="4108" t="inlineStr">
        <is>
          <t>202212</t>
        </is>
      </c>
      <c r="E308" s="4108" t="inlineStr">
        <is>
          <t>1943,000000000000</t>
        </is>
      </c>
    </row>
    <row outlineLevel="0" r="309">
      <c r="A309" s="4108" t="inlineStr">
        <is>
          <t>135792468202212411000</t>
        </is>
      </c>
      <c r="B309" s="4108" t="inlineStr">
        <is>
          <t>411000</t>
        </is>
      </c>
      <c r="C309" s="4108" t="inlineStr">
        <is>
          <t>135792468</t>
        </is>
      </c>
      <c r="D309" s="4108" t="inlineStr">
        <is>
          <t>202212</t>
        </is>
      </c>
      <c r="E309" s="4108" t="inlineStr">
        <is>
          <t>0,000000000000</t>
        </is>
      </c>
    </row>
    <row outlineLevel="0" r="310">
      <c r="A310" s="4108" t="inlineStr">
        <is>
          <t>135792468202212420500</t>
        </is>
      </c>
      <c r="B310" s="4108" t="inlineStr">
        <is>
          <t>420500</t>
        </is>
      </c>
      <c r="C310" s="4108" t="inlineStr">
        <is>
          <t>135792468</t>
        </is>
      </c>
      <c r="D310" s="4108" t="inlineStr">
        <is>
          <t>202212</t>
        </is>
      </c>
      <c r="E310" s="4108" t="inlineStr">
        <is>
          <t>0,000000000000</t>
        </is>
      </c>
    </row>
    <row outlineLevel="0" r="311">
      <c r="A311" s="4108" t="inlineStr">
        <is>
          <t>135792468202212421000</t>
        </is>
      </c>
      <c r="B311" s="4108" t="inlineStr">
        <is>
          <t>421000</t>
        </is>
      </c>
      <c r="C311" s="4108" t="inlineStr">
        <is>
          <t>135792468</t>
        </is>
      </c>
      <c r="D311" s="4108" t="inlineStr">
        <is>
          <t>202212</t>
        </is>
      </c>
      <c r="E311" s="4108" t="inlineStr">
        <is>
          <t>0,000000000000</t>
        </is>
      </c>
    </row>
    <row outlineLevel="0" r="312">
      <c r="A312" s="4108" t="inlineStr">
        <is>
          <t>135792468202212421020</t>
        </is>
      </c>
      <c r="B312" s="4108" t="inlineStr">
        <is>
          <t>421020</t>
        </is>
      </c>
      <c r="C312" s="4108" t="inlineStr">
        <is>
          <t>135792468</t>
        </is>
      </c>
      <c r="D312" s="4108" t="inlineStr">
        <is>
          <t>202212</t>
        </is>
      </c>
      <c r="E312" s="4108" t="inlineStr">
        <is>
          <t>0,000000000000</t>
        </is>
      </c>
    </row>
    <row outlineLevel="0" r="313">
      <c r="A313" s="4108" t="inlineStr">
        <is>
          <t>135792468202212421040</t>
        </is>
      </c>
      <c r="B313" s="4108" t="inlineStr">
        <is>
          <t>421040</t>
        </is>
      </c>
      <c r="C313" s="4108" t="inlineStr">
        <is>
          <t>135792468</t>
        </is>
      </c>
      <c r="D313" s="4108" t="inlineStr">
        <is>
          <t>202212</t>
        </is>
      </c>
      <c r="E313" s="4108" t="inlineStr">
        <is>
          <t>0,000000000000</t>
        </is>
      </c>
    </row>
    <row outlineLevel="0" r="314">
      <c r="A314" s="4108" t="inlineStr">
        <is>
          <t>135792468202212421500</t>
        </is>
      </c>
      <c r="B314" s="4108" t="inlineStr">
        <is>
          <t>421500</t>
        </is>
      </c>
      <c r="C314" s="4108" t="inlineStr">
        <is>
          <t>135792468</t>
        </is>
      </c>
      <c r="D314" s="4108" t="inlineStr">
        <is>
          <t>202212</t>
        </is>
      </c>
      <c r="E314" s="4108" t="inlineStr">
        <is>
          <t>0,000000000000</t>
        </is>
      </c>
    </row>
    <row outlineLevel="0" r="315">
      <c r="A315" s="4108" t="inlineStr">
        <is>
          <t>135792468202212422000</t>
        </is>
      </c>
      <c r="B315" s="4108" t="inlineStr">
        <is>
          <t>422000</t>
        </is>
      </c>
      <c r="C315" s="4108" t="inlineStr">
        <is>
          <t>135792468</t>
        </is>
      </c>
      <c r="D315" s="4108" t="inlineStr">
        <is>
          <t>202212</t>
        </is>
      </c>
      <c r="E315" s="4108" t="inlineStr">
        <is>
          <t>0,000000000000</t>
        </is>
      </c>
    </row>
    <row outlineLevel="0" r="316">
      <c r="A316" s="4108" t="inlineStr">
        <is>
          <t>135792468202212422500</t>
        </is>
      </c>
      <c r="B316" s="4108" t="inlineStr">
        <is>
          <t>422500</t>
        </is>
      </c>
      <c r="C316" s="4108" t="inlineStr">
        <is>
          <t>135792468</t>
        </is>
      </c>
      <c r="D316" s="4108" t="inlineStr">
        <is>
          <t>202212</t>
        </is>
      </c>
      <c r="E316" s="4108" t="inlineStr">
        <is>
          <t>0,000000000000</t>
        </is>
      </c>
    </row>
    <row outlineLevel="0" r="317">
      <c r="A317" s="4108" t="inlineStr">
        <is>
          <t>135792468202212423500</t>
        </is>
      </c>
      <c r="B317" s="4108" t="inlineStr">
        <is>
          <t>423500</t>
        </is>
      </c>
      <c r="C317" s="4108" t="inlineStr">
        <is>
          <t>135792468</t>
        </is>
      </c>
      <c r="D317" s="4108" t="inlineStr">
        <is>
          <t>202212</t>
        </is>
      </c>
      <c r="E317" s="4108" t="inlineStr">
        <is>
          <t>0,000000000000</t>
        </is>
      </c>
    </row>
    <row outlineLevel="0" r="318">
      <c r="A318" s="4108" t="inlineStr">
        <is>
          <t>135792468202212424000</t>
        </is>
      </c>
      <c r="B318" s="4108" t="inlineStr">
        <is>
          <t>424000</t>
        </is>
      </c>
      <c r="C318" s="4108" t="inlineStr">
        <is>
          <t>135792468</t>
        </is>
      </c>
      <c r="D318" s="4108" t="inlineStr">
        <is>
          <t>202212</t>
        </is>
      </c>
      <c r="E318" s="4108" t="inlineStr">
        <is>
          <t>0,000000000000</t>
        </is>
      </c>
    </row>
    <row outlineLevel="0" r="319">
      <c r="A319" s="4108" t="inlineStr">
        <is>
          <t>135792468202212425000</t>
        </is>
      </c>
      <c r="B319" s="4108" t="inlineStr">
        <is>
          <t>425000</t>
        </is>
      </c>
      <c r="C319" s="4108" t="inlineStr">
        <is>
          <t>135792468</t>
        </is>
      </c>
      <c r="D319" s="4108" t="inlineStr">
        <is>
          <t>202212</t>
        </is>
      </c>
      <c r="E319" s="4108" t="inlineStr">
        <is>
          <t>0,000000000000</t>
        </is>
      </c>
    </row>
    <row outlineLevel="0" r="320">
      <c r="A320" s="4108" t="inlineStr">
        <is>
          <t>135792468202212426500</t>
        </is>
      </c>
      <c r="B320" s="4108" t="inlineStr">
        <is>
          <t>426500</t>
        </is>
      </c>
      <c r="C320" s="4108" t="inlineStr">
        <is>
          <t>135792468</t>
        </is>
      </c>
      <c r="D320" s="4108" t="inlineStr">
        <is>
          <t>202212</t>
        </is>
      </c>
      <c r="E320" s="4108" t="inlineStr">
        <is>
          <t>0,000000000000</t>
        </is>
      </c>
    </row>
    <row outlineLevel="0" r="321">
      <c r="A321" s="4108" t="inlineStr">
        <is>
          <t>135792468202212429500</t>
        </is>
      </c>
      <c r="B321" s="4108" t="inlineStr">
        <is>
          <t>429500</t>
        </is>
      </c>
      <c r="C321" s="4108" t="inlineStr">
        <is>
          <t>135792468</t>
        </is>
      </c>
      <c r="D321" s="4108" t="inlineStr">
        <is>
          <t>202212</t>
        </is>
      </c>
      <c r="E321" s="4108" t="inlineStr">
        <is>
          <t>0,000000000000</t>
        </is>
      </c>
    </row>
    <row outlineLevel="0" r="322">
      <c r="A322" s="4108" t="inlineStr">
        <is>
          <t>135792468202212510500</t>
        </is>
      </c>
      <c r="B322" s="4108" t="inlineStr">
        <is>
          <t>510500</t>
        </is>
      </c>
      <c r="C322" s="4108" t="inlineStr">
        <is>
          <t>135792468</t>
        </is>
      </c>
      <c r="D322" s="4108" t="inlineStr">
        <is>
          <t>202212</t>
        </is>
      </c>
      <c r="E322" s="4108" t="inlineStr">
        <is>
          <t>1350,000000000000</t>
        </is>
      </c>
    </row>
    <row outlineLevel="0" r="323">
      <c r="A323" s="4108" t="inlineStr">
        <is>
          <t>135792468202212511000</t>
        </is>
      </c>
      <c r="B323" s="4108" t="inlineStr">
        <is>
          <t>511000</t>
        </is>
      </c>
      <c r="C323" s="4108" t="inlineStr">
        <is>
          <t>135792468</t>
        </is>
      </c>
      <c r="D323" s="4108" t="inlineStr">
        <is>
          <t>202212</t>
        </is>
      </c>
      <c r="E323" s="4108" t="inlineStr">
        <is>
          <t>0,000000000000</t>
        </is>
      </c>
    </row>
    <row outlineLevel="0" r="324">
      <c r="A324" s="4108" t="inlineStr">
        <is>
          <t>135792468202212511500</t>
        </is>
      </c>
      <c r="B324" s="4108" t="inlineStr">
        <is>
          <t>511500</t>
        </is>
      </c>
      <c r="C324" s="4108" t="inlineStr">
        <is>
          <t>135792468</t>
        </is>
      </c>
      <c r="D324" s="4108" t="inlineStr">
        <is>
          <t>202212</t>
        </is>
      </c>
      <c r="E324" s="4108" t="inlineStr">
        <is>
          <t>0,000000000000</t>
        </is>
      </c>
    </row>
    <row outlineLevel="0" r="325">
      <c r="A325" s="4108" t="inlineStr">
        <is>
          <t>135792468202212512000</t>
        </is>
      </c>
      <c r="B325" s="4108" t="inlineStr">
        <is>
          <t>512000</t>
        </is>
      </c>
      <c r="C325" s="4108" t="inlineStr">
        <is>
          <t>135792468</t>
        </is>
      </c>
      <c r="D325" s="4108" t="inlineStr">
        <is>
          <t>202212</t>
        </is>
      </c>
      <c r="E325" s="4108" t="inlineStr">
        <is>
          <t>0,000000000000</t>
        </is>
      </c>
    </row>
    <row outlineLevel="0" r="326">
      <c r="A326" s="4108" t="inlineStr">
        <is>
          <t>135792468202212512500</t>
        </is>
      </c>
      <c r="B326" s="4108" t="inlineStr">
        <is>
          <t>512500</t>
        </is>
      </c>
      <c r="C326" s="4108" t="inlineStr">
        <is>
          <t>135792468</t>
        </is>
      </c>
      <c r="D326" s="4108" t="inlineStr">
        <is>
          <t>202212</t>
        </is>
      </c>
      <c r="E326" s="4108" t="inlineStr">
        <is>
          <t>0,000000000000</t>
        </is>
      </c>
    </row>
    <row outlineLevel="0" r="327">
      <c r="A327" s="4108" t="inlineStr">
        <is>
          <t>135792468202212513000</t>
        </is>
      </c>
      <c r="B327" s="4108" t="inlineStr">
        <is>
          <t>513000</t>
        </is>
      </c>
      <c r="C327" s="4108" t="inlineStr">
        <is>
          <t>135792468</t>
        </is>
      </c>
      <c r="D327" s="4108" t="inlineStr">
        <is>
          <t>202212</t>
        </is>
      </c>
      <c r="E327" s="4108" t="inlineStr">
        <is>
          <t>0,000000000000</t>
        </is>
      </c>
    </row>
    <row outlineLevel="0" r="328">
      <c r="A328" s="4108" t="inlineStr">
        <is>
          <t>135792468202212513500</t>
        </is>
      </c>
      <c r="B328" s="4108" t="inlineStr">
        <is>
          <t>513500</t>
        </is>
      </c>
      <c r="C328" s="4108" t="inlineStr">
        <is>
          <t>135792468</t>
        </is>
      </c>
      <c r="D328" s="4108" t="inlineStr">
        <is>
          <t>202212</t>
        </is>
      </c>
      <c r="E328" s="4108" t="inlineStr">
        <is>
          <t>0,000000000000</t>
        </is>
      </c>
    </row>
    <row outlineLevel="0" r="329">
      <c r="A329" s="4108" t="inlineStr">
        <is>
          <t>135792468202212514000</t>
        </is>
      </c>
      <c r="B329" s="4108" t="inlineStr">
        <is>
          <t>514000</t>
        </is>
      </c>
      <c r="C329" s="4108" t="inlineStr">
        <is>
          <t>135792468</t>
        </is>
      </c>
      <c r="D329" s="4108" t="inlineStr">
        <is>
          <t>202212</t>
        </is>
      </c>
      <c r="E329" s="4108" t="inlineStr">
        <is>
          <t>0,000000000000</t>
        </is>
      </c>
    </row>
    <row outlineLevel="0" r="330">
      <c r="A330" s="4108" t="inlineStr">
        <is>
          <t>135792468202212514500</t>
        </is>
      </c>
      <c r="B330" s="4108" t="inlineStr">
        <is>
          <t>514500</t>
        </is>
      </c>
      <c r="C330" s="4108" t="inlineStr">
        <is>
          <t>135792468</t>
        </is>
      </c>
      <c r="D330" s="4108" t="inlineStr">
        <is>
          <t>202212</t>
        </is>
      </c>
      <c r="E330" s="4108" t="inlineStr">
        <is>
          <t>0,000000000000</t>
        </is>
      </c>
    </row>
    <row outlineLevel="0" r="331">
      <c r="A331" s="4108" t="inlineStr">
        <is>
          <t>135792468202212515000</t>
        </is>
      </c>
      <c r="B331" s="4108" t="inlineStr">
        <is>
          <t>515000</t>
        </is>
      </c>
      <c r="C331" s="4108" t="inlineStr">
        <is>
          <t>135792468</t>
        </is>
      </c>
      <c r="D331" s="4108" t="inlineStr">
        <is>
          <t>202212</t>
        </is>
      </c>
      <c r="E331" s="4108" t="inlineStr">
        <is>
          <t>0,000000000000</t>
        </is>
      </c>
    </row>
    <row outlineLevel="0" r="332">
      <c r="A332" s="4108" t="inlineStr">
        <is>
          <t>135792468202212515500</t>
        </is>
      </c>
      <c r="B332" s="4108" t="inlineStr">
        <is>
          <t>515500</t>
        </is>
      </c>
      <c r="C332" s="4108" t="inlineStr">
        <is>
          <t>135792468</t>
        </is>
      </c>
      <c r="D332" s="4108" t="inlineStr">
        <is>
          <t>202212</t>
        </is>
      </c>
      <c r="E332" s="4108" t="inlineStr">
        <is>
          <t>0,000000000000</t>
        </is>
      </c>
    </row>
    <row outlineLevel="0" r="333">
      <c r="A333" s="4108" t="inlineStr">
        <is>
          <t>135792468202212516000</t>
        </is>
      </c>
      <c r="B333" s="4108" t="inlineStr">
        <is>
          <t>516000</t>
        </is>
      </c>
      <c r="C333" s="4108" t="inlineStr">
        <is>
          <t>135792468</t>
        </is>
      </c>
      <c r="D333" s="4108" t="inlineStr">
        <is>
          <t>202212</t>
        </is>
      </c>
      <c r="E333" s="4108" t="inlineStr">
        <is>
          <t>0,000000000000</t>
        </is>
      </c>
    </row>
    <row outlineLevel="0" r="334">
      <c r="A334" s="4108" t="inlineStr">
        <is>
          <t>135792468202212516500</t>
        </is>
      </c>
      <c r="B334" s="4108" t="inlineStr">
        <is>
          <t>516500</t>
        </is>
      </c>
      <c r="C334" s="4108" t="inlineStr">
        <is>
          <t>135792468</t>
        </is>
      </c>
      <c r="D334" s="4108" t="inlineStr">
        <is>
          <t>202212</t>
        </is>
      </c>
      <c r="E334" s="4108" t="inlineStr">
        <is>
          <t>0,000000000000</t>
        </is>
      </c>
    </row>
    <row outlineLevel="0" r="335">
      <c r="A335" s="4108" t="inlineStr">
        <is>
          <t>135792468202212519500</t>
        </is>
      </c>
      <c r="B335" s="4108" t="inlineStr">
        <is>
          <t>519500</t>
        </is>
      </c>
      <c r="C335" s="4108" t="inlineStr">
        <is>
          <t>135792468</t>
        </is>
      </c>
      <c r="D335" s="4108" t="inlineStr">
        <is>
          <t>202212</t>
        </is>
      </c>
      <c r="E335" s="4108" t="inlineStr">
        <is>
          <t>0,000000000000</t>
        </is>
      </c>
    </row>
    <row outlineLevel="0" r="336">
      <c r="A336" s="4108" t="inlineStr">
        <is>
          <t>135792468202212519900</t>
        </is>
      </c>
      <c r="B336" s="4108" t="inlineStr">
        <is>
          <t>519900</t>
        </is>
      </c>
      <c r="C336" s="4108" t="inlineStr">
        <is>
          <t>135792468</t>
        </is>
      </c>
      <c r="D336" s="4108" t="inlineStr">
        <is>
          <t>202212</t>
        </is>
      </c>
      <c r="E336" s="4108" t="inlineStr">
        <is>
          <t>0,000000000000</t>
        </is>
      </c>
    </row>
    <row outlineLevel="0" r="337">
      <c r="A337" s="4108" t="inlineStr">
        <is>
          <t>135792468202212520500</t>
        </is>
      </c>
      <c r="B337" s="4108" t="inlineStr">
        <is>
          <t>520500</t>
        </is>
      </c>
      <c r="C337" s="4108" t="inlineStr">
        <is>
          <t>135792468</t>
        </is>
      </c>
      <c r="D337" s="4108" t="inlineStr">
        <is>
          <t>202212</t>
        </is>
      </c>
      <c r="E337" s="4108" t="inlineStr">
        <is>
          <t>0,000000000000</t>
        </is>
      </c>
    </row>
    <row outlineLevel="0" r="338">
      <c r="A338" s="4108" t="inlineStr">
        <is>
          <t>135792468202212521000</t>
        </is>
      </c>
      <c r="B338" s="4108" t="inlineStr">
        <is>
          <t>521000</t>
        </is>
      </c>
      <c r="C338" s="4108" t="inlineStr">
        <is>
          <t>135792468</t>
        </is>
      </c>
      <c r="D338" s="4108" t="inlineStr">
        <is>
          <t>202212</t>
        </is>
      </c>
      <c r="E338" s="4108" t="inlineStr">
        <is>
          <t>0,000000000000</t>
        </is>
      </c>
    </row>
    <row outlineLevel="0" r="339">
      <c r="A339" s="4108" t="inlineStr">
        <is>
          <t>135792468202212521500</t>
        </is>
      </c>
      <c r="B339" s="4108" t="inlineStr">
        <is>
          <t>521500</t>
        </is>
      </c>
      <c r="C339" s="4108" t="inlineStr">
        <is>
          <t>135792468</t>
        </is>
      </c>
      <c r="D339" s="4108" t="inlineStr">
        <is>
          <t>202212</t>
        </is>
      </c>
      <c r="E339" s="4108" t="inlineStr">
        <is>
          <t>0,000000000000</t>
        </is>
      </c>
    </row>
    <row outlineLevel="0" r="340">
      <c r="A340" s="4108" t="inlineStr">
        <is>
          <t>135792468202212522000</t>
        </is>
      </c>
      <c r="B340" s="4108" t="inlineStr">
        <is>
          <t>522000</t>
        </is>
      </c>
      <c r="C340" s="4108" t="inlineStr">
        <is>
          <t>135792468</t>
        </is>
      </c>
      <c r="D340" s="4108" t="inlineStr">
        <is>
          <t>202212</t>
        </is>
      </c>
      <c r="E340" s="4108" t="inlineStr">
        <is>
          <t>0,000000000000</t>
        </is>
      </c>
    </row>
    <row outlineLevel="0" r="341">
      <c r="A341" s="4108" t="inlineStr">
        <is>
          <t>135792468202212522500</t>
        </is>
      </c>
      <c r="B341" s="4108" t="inlineStr">
        <is>
          <t>522500</t>
        </is>
      </c>
      <c r="C341" s="4108" t="inlineStr">
        <is>
          <t>135792468</t>
        </is>
      </c>
      <c r="D341" s="4108" t="inlineStr">
        <is>
          <t>202212</t>
        </is>
      </c>
      <c r="E341" s="4108" t="inlineStr">
        <is>
          <t>0,000000000000</t>
        </is>
      </c>
    </row>
    <row outlineLevel="0" r="342">
      <c r="A342" s="4108" t="inlineStr">
        <is>
          <t>135792468202212523000</t>
        </is>
      </c>
      <c r="B342" s="4108" t="inlineStr">
        <is>
          <t>523000</t>
        </is>
      </c>
      <c r="C342" s="4108" t="inlineStr">
        <is>
          <t>135792468</t>
        </is>
      </c>
      <c r="D342" s="4108" t="inlineStr">
        <is>
          <t>202212</t>
        </is>
      </c>
      <c r="E342" s="4108" t="inlineStr">
        <is>
          <t>0,000000000000</t>
        </is>
      </c>
    </row>
    <row outlineLevel="0" r="343">
      <c r="A343" s="4108" t="inlineStr">
        <is>
          <t>135792468202212523500</t>
        </is>
      </c>
      <c r="B343" s="4108" t="inlineStr">
        <is>
          <t>523500</t>
        </is>
      </c>
      <c r="C343" s="4108" t="inlineStr">
        <is>
          <t>135792468</t>
        </is>
      </c>
      <c r="D343" s="4108" t="inlineStr">
        <is>
          <t>202212</t>
        </is>
      </c>
      <c r="E343" s="4108" t="inlineStr">
        <is>
          <t>0,000000000000</t>
        </is>
      </c>
    </row>
    <row outlineLevel="0" r="344">
      <c r="A344" s="4108" t="inlineStr">
        <is>
          <t>135792468202212524000</t>
        </is>
      </c>
      <c r="B344" s="4108" t="inlineStr">
        <is>
          <t>524000</t>
        </is>
      </c>
      <c r="C344" s="4108" t="inlineStr">
        <is>
          <t>135792468</t>
        </is>
      </c>
      <c r="D344" s="4108" t="inlineStr">
        <is>
          <t>202212</t>
        </is>
      </c>
      <c r="E344" s="4108" t="inlineStr">
        <is>
          <t>0,000000000000</t>
        </is>
      </c>
    </row>
    <row outlineLevel="0" r="345">
      <c r="A345" s="4108" t="inlineStr">
        <is>
          <t>135792468202212524500</t>
        </is>
      </c>
      <c r="B345" s="4108" t="inlineStr">
        <is>
          <t>524500</t>
        </is>
      </c>
      <c r="C345" s="4108" t="inlineStr">
        <is>
          <t>135792468</t>
        </is>
      </c>
      <c r="D345" s="4108" t="inlineStr">
        <is>
          <t>202212</t>
        </is>
      </c>
      <c r="E345" s="4108" t="inlineStr">
        <is>
          <t>0,000000000000</t>
        </is>
      </c>
    </row>
    <row outlineLevel="0" r="346">
      <c r="A346" s="4108" t="inlineStr">
        <is>
          <t>135792468202212525000</t>
        </is>
      </c>
      <c r="B346" s="4108" t="inlineStr">
        <is>
          <t>525000</t>
        </is>
      </c>
      <c r="C346" s="4108" t="inlineStr">
        <is>
          <t>135792468</t>
        </is>
      </c>
      <c r="D346" s="4108" t="inlineStr">
        <is>
          <t>202212</t>
        </is>
      </c>
      <c r="E346" s="4108" t="inlineStr">
        <is>
          <t>0,000000000000</t>
        </is>
      </c>
    </row>
    <row outlineLevel="0" r="347">
      <c r="A347" s="4108" t="inlineStr">
        <is>
          <t>135792468202212525500</t>
        </is>
      </c>
      <c r="B347" s="4108" t="inlineStr">
        <is>
          <t>525500</t>
        </is>
      </c>
      <c r="C347" s="4108" t="inlineStr">
        <is>
          <t>135792468</t>
        </is>
      </c>
      <c r="D347" s="4108" t="inlineStr">
        <is>
          <t>202212</t>
        </is>
      </c>
      <c r="E347" s="4108" t="inlineStr">
        <is>
          <t>0,000000000000</t>
        </is>
      </c>
    </row>
    <row outlineLevel="0" r="348">
      <c r="A348" s="4108" t="inlineStr">
        <is>
          <t>135792468202212526000</t>
        </is>
      </c>
      <c r="B348" s="4108" t="inlineStr">
        <is>
          <t>526000</t>
        </is>
      </c>
      <c r="C348" s="4108" t="inlineStr">
        <is>
          <t>135792468</t>
        </is>
      </c>
      <c r="D348" s="4108" t="inlineStr">
        <is>
          <t>202212</t>
        </is>
      </c>
      <c r="E348" s="4108" t="inlineStr">
        <is>
          <t>0,000000000000</t>
        </is>
      </c>
    </row>
    <row outlineLevel="0" r="349">
      <c r="A349" s="4108" t="inlineStr">
        <is>
          <t>135792468202212526500</t>
        </is>
      </c>
      <c r="B349" s="4108" t="inlineStr">
        <is>
          <t>526500</t>
        </is>
      </c>
      <c r="C349" s="4108" t="inlineStr">
        <is>
          <t>135792468</t>
        </is>
      </c>
      <c r="D349" s="4108" t="inlineStr">
        <is>
          <t>202212</t>
        </is>
      </c>
      <c r="E349" s="4108" t="inlineStr">
        <is>
          <t>0,000000000000</t>
        </is>
      </c>
    </row>
    <row outlineLevel="0" r="350">
      <c r="A350" s="4108" t="inlineStr">
        <is>
          <t>135792468202212529500</t>
        </is>
      </c>
      <c r="B350" s="4108" t="inlineStr">
        <is>
          <t>529500</t>
        </is>
      </c>
      <c r="C350" s="4108" t="inlineStr">
        <is>
          <t>135792468</t>
        </is>
      </c>
      <c r="D350" s="4108" t="inlineStr">
        <is>
          <t>202212</t>
        </is>
      </c>
      <c r="E350" s="4108" t="inlineStr">
        <is>
          <t>0,000000000000</t>
        </is>
      </c>
    </row>
    <row outlineLevel="0" r="351">
      <c r="A351" s="4108" t="inlineStr">
        <is>
          <t>135792468202212529900</t>
        </is>
      </c>
      <c r="B351" s="4108" t="inlineStr">
        <is>
          <t>529900</t>
        </is>
      </c>
      <c r="C351" s="4108" t="inlineStr">
        <is>
          <t>135792468</t>
        </is>
      </c>
      <c r="D351" s="4108" t="inlineStr">
        <is>
          <t>202212</t>
        </is>
      </c>
      <c r="E351" s="4108" t="inlineStr">
        <is>
          <t>0,000000000000</t>
        </is>
      </c>
    </row>
    <row outlineLevel="0" r="352">
      <c r="A352" s="4108" t="inlineStr">
        <is>
          <t>135792468202212530505</t>
        </is>
      </c>
      <c r="B352" s="4108" t="inlineStr">
        <is>
          <t>530505</t>
        </is>
      </c>
      <c r="C352" s="4108" t="inlineStr">
        <is>
          <t>135792468</t>
        </is>
      </c>
      <c r="D352" s="4108" t="inlineStr">
        <is>
          <t>202212</t>
        </is>
      </c>
      <c r="E352" s="4108" t="inlineStr">
        <is>
          <t>0,000000000000</t>
        </is>
      </c>
    </row>
    <row outlineLevel="0" r="353">
      <c r="A353" s="4108" t="inlineStr">
        <is>
          <t>135792468202212530515</t>
        </is>
      </c>
      <c r="B353" s="4108" t="inlineStr">
        <is>
          <t>530515</t>
        </is>
      </c>
      <c r="C353" s="4108" t="inlineStr">
        <is>
          <t>135792468</t>
        </is>
      </c>
      <c r="D353" s="4108" t="inlineStr">
        <is>
          <t>202212</t>
        </is>
      </c>
      <c r="E353" s="4108" t="inlineStr">
        <is>
          <t>0,000000000000</t>
        </is>
      </c>
    </row>
    <row outlineLevel="0" r="354">
      <c r="A354" s="4108" t="inlineStr">
        <is>
          <t>135792468202212530525</t>
        </is>
      </c>
      <c r="B354" s="4108" t="inlineStr">
        <is>
          <t>530525</t>
        </is>
      </c>
      <c r="C354" s="4108" t="inlineStr">
        <is>
          <t>135792468</t>
        </is>
      </c>
      <c r="D354" s="4108" t="inlineStr">
        <is>
          <t>202212</t>
        </is>
      </c>
      <c r="E354" s="4108" t="inlineStr">
        <is>
          <t>0,000000000000</t>
        </is>
      </c>
    </row>
    <row outlineLevel="0" r="355">
      <c r="A355" s="4108" t="inlineStr">
        <is>
          <t>135792468202212530535</t>
        </is>
      </c>
      <c r="B355" s="4108" t="inlineStr">
        <is>
          <t>530535</t>
        </is>
      </c>
      <c r="C355" s="4108" t="inlineStr">
        <is>
          <t>135792468</t>
        </is>
      </c>
      <c r="D355" s="4108" t="inlineStr">
        <is>
          <t>202212</t>
        </is>
      </c>
      <c r="E355" s="4108" t="inlineStr">
        <is>
          <t>0,000000000000</t>
        </is>
      </c>
    </row>
    <row outlineLevel="0" r="356">
      <c r="A356" s="4108" t="inlineStr">
        <is>
          <t>135792468202212531000</t>
        </is>
      </c>
      <c r="B356" s="4108" t="inlineStr">
        <is>
          <t>531000</t>
        </is>
      </c>
      <c r="C356" s="4108" t="inlineStr">
        <is>
          <t>135792468</t>
        </is>
      </c>
      <c r="D356" s="4108" t="inlineStr">
        <is>
          <t>202212</t>
        </is>
      </c>
      <c r="E356" s="4108" t="inlineStr">
        <is>
          <t>0,000000000000</t>
        </is>
      </c>
    </row>
    <row outlineLevel="0" r="357">
      <c r="A357" s="4108" t="inlineStr">
        <is>
          <t>135792468202212531300</t>
        </is>
      </c>
      <c r="B357" s="4108" t="inlineStr">
        <is>
          <t>531300</t>
        </is>
      </c>
      <c r="C357" s="4108" t="inlineStr">
        <is>
          <t>135792468</t>
        </is>
      </c>
      <c r="D357" s="4108" t="inlineStr">
        <is>
          <t>202212</t>
        </is>
      </c>
      <c r="E357" s="4108" t="inlineStr">
        <is>
          <t>0,000000000000</t>
        </is>
      </c>
    </row>
    <row outlineLevel="0" r="358">
      <c r="A358" s="4108" t="inlineStr">
        <is>
          <t>135792468202212531500</t>
        </is>
      </c>
      <c r="B358" s="4108" t="inlineStr">
        <is>
          <t>531500</t>
        </is>
      </c>
      <c r="C358" s="4108" t="inlineStr">
        <is>
          <t>135792468</t>
        </is>
      </c>
      <c r="D358" s="4108" t="inlineStr">
        <is>
          <t>202212</t>
        </is>
      </c>
      <c r="E358" s="4108" t="inlineStr">
        <is>
          <t>0,000000000000</t>
        </is>
      </c>
    </row>
    <row outlineLevel="0" r="359">
      <c r="A359" s="4108" t="inlineStr">
        <is>
          <t>135792468202212531515</t>
        </is>
      </c>
      <c r="B359" s="4108" t="inlineStr">
        <is>
          <t>531515</t>
        </is>
      </c>
      <c r="C359" s="4108" t="inlineStr">
        <is>
          <t>135792468</t>
        </is>
      </c>
      <c r="D359" s="4108" t="inlineStr">
        <is>
          <t>202212</t>
        </is>
      </c>
      <c r="E359" s="4108" t="inlineStr">
        <is>
          <t>0,000000000000</t>
        </is>
      </c>
    </row>
    <row outlineLevel="0" r="360">
      <c r="A360" s="4108" t="inlineStr">
        <is>
          <t>135792468202212531520</t>
        </is>
      </c>
      <c r="B360" s="4108" t="inlineStr">
        <is>
          <t>531520</t>
        </is>
      </c>
      <c r="C360" s="4108" t="inlineStr">
        <is>
          <t>135792468</t>
        </is>
      </c>
      <c r="D360" s="4108" t="inlineStr">
        <is>
          <t>202212</t>
        </is>
      </c>
      <c r="E360" s="4108" t="inlineStr">
        <is>
          <t>0,000000000000</t>
        </is>
      </c>
    </row>
    <row outlineLevel="0" r="361">
      <c r="A361" s="4108" t="inlineStr">
        <is>
          <t>135792468202212539525</t>
        </is>
      </c>
      <c r="B361" s="4108" t="inlineStr">
        <is>
          <t>539525</t>
        </is>
      </c>
      <c r="C361" s="4108" t="inlineStr">
        <is>
          <t>135792468</t>
        </is>
      </c>
      <c r="D361" s="4108" t="inlineStr">
        <is>
          <t>202212</t>
        </is>
      </c>
      <c r="E361" s="4108" t="inlineStr">
        <is>
          <t>0,000000000000</t>
        </is>
      </c>
    </row>
    <row outlineLevel="0" r="362">
      <c r="A362" s="4108" t="inlineStr">
        <is>
          <t>135792468202212539595</t>
        </is>
      </c>
      <c r="B362" s="4108" t="inlineStr">
        <is>
          <t>539595</t>
        </is>
      </c>
      <c r="C362" s="4108" t="inlineStr">
        <is>
          <t>135792468</t>
        </is>
      </c>
      <c r="D362" s="4108" t="inlineStr">
        <is>
          <t>202212</t>
        </is>
      </c>
      <c r="E362" s="4108" t="inlineStr">
        <is>
          <t>0,000000000000</t>
        </is>
      </c>
    </row>
    <row outlineLevel="0" r="363">
      <c r="A363" s="4108" t="inlineStr">
        <is>
          <t>135792468202212606000</t>
        </is>
      </c>
      <c r="B363" s="4108" t="inlineStr">
        <is>
          <t>606000</t>
        </is>
      </c>
      <c r="C363" s="4108" t="inlineStr">
        <is>
          <t>135792468</t>
        </is>
      </c>
      <c r="D363" s="4108" t="inlineStr">
        <is>
          <t>202212</t>
        </is>
      </c>
      <c r="E363" s="4108" t="inlineStr">
        <is>
          <t>193,000000000000</t>
        </is>
      </c>
    </row>
    <row outlineLevel="0" r="364">
      <c r="A364" s="4108" t="inlineStr">
        <is>
          <t>1357924682021120</t>
        </is>
      </c>
      <c r="B364" s="4108" t="inlineStr">
        <is>
          <t>0</t>
        </is>
      </c>
      <c r="C364" s="4108" t="inlineStr">
        <is>
          <t>135792468</t>
        </is>
      </c>
      <c r="D364" s="4108" t="inlineStr">
        <is>
          <t>202112</t>
        </is>
      </c>
      <c r="E364" s="4108" t="inlineStr">
        <is>
          <t>20750,000000000000</t>
        </is>
      </c>
    </row>
    <row outlineLevel="0" r="365">
      <c r="A365" s="4108" t="inlineStr">
        <is>
          <t>1357924682021121</t>
        </is>
      </c>
      <c r="B365" s="4108" t="inlineStr">
        <is>
          <t>1</t>
        </is>
      </c>
      <c r="C365" s="4108" t="inlineStr">
        <is>
          <t>135792468</t>
        </is>
      </c>
      <c r="D365" s="4108" t="inlineStr">
        <is>
          <t>202112</t>
        </is>
      </c>
      <c r="E365" s="4108" t="inlineStr">
        <is>
          <t>20750,000000000000</t>
        </is>
      </c>
    </row>
    <row outlineLevel="0" r="366">
      <c r="A366" s="4108" t="inlineStr">
        <is>
          <t>1357924682021122</t>
        </is>
      </c>
      <c r="B366" s="4108" t="inlineStr">
        <is>
          <t>2</t>
        </is>
      </c>
      <c r="C366" s="4108" t="inlineStr">
        <is>
          <t>135792468</t>
        </is>
      </c>
      <c r="D366" s="4108" t="inlineStr">
        <is>
          <t>202112</t>
        </is>
      </c>
      <c r="E366" s="4108" t="inlineStr">
        <is>
          <t>15888,000000000000</t>
        </is>
      </c>
    </row>
    <row outlineLevel="0" r="367">
      <c r="A367" s="4108" t="inlineStr">
        <is>
          <t>1357924682021123</t>
        </is>
      </c>
      <c r="B367" s="4108" t="inlineStr">
        <is>
          <t>3</t>
        </is>
      </c>
      <c r="C367" s="4108" t="inlineStr">
        <is>
          <t>135792468</t>
        </is>
      </c>
      <c r="D367" s="4108" t="inlineStr">
        <is>
          <t>202112</t>
        </is>
      </c>
      <c r="E367" s="4108" t="inlineStr">
        <is>
          <t>4862,000000000000</t>
        </is>
      </c>
    </row>
    <row outlineLevel="0" r="368">
      <c r="A368" s="4108" t="inlineStr">
        <is>
          <t>13579246820211211</t>
        </is>
      </c>
      <c r="B368" s="4108" t="inlineStr">
        <is>
          <t>11</t>
        </is>
      </c>
      <c r="C368" s="4108" t="inlineStr">
        <is>
          <t>135792468</t>
        </is>
      </c>
      <c r="D368" s="4108" t="inlineStr">
        <is>
          <t>202112</t>
        </is>
      </c>
      <c r="E368" s="4108" t="inlineStr">
        <is>
          <t>640,000000000000</t>
        </is>
      </c>
    </row>
    <row outlineLevel="0" r="369">
      <c r="A369" s="4108" t="inlineStr">
        <is>
          <t>13579246820211212</t>
        </is>
      </c>
      <c r="B369" s="4108" t="inlineStr">
        <is>
          <t>12</t>
        </is>
      </c>
      <c r="C369" s="4108" t="inlineStr">
        <is>
          <t>135792468</t>
        </is>
      </c>
      <c r="D369" s="4108" t="inlineStr">
        <is>
          <t>202112</t>
        </is>
      </c>
      <c r="E369" s="4108" t="inlineStr">
        <is>
          <t>20110,000000000000</t>
        </is>
      </c>
    </row>
    <row outlineLevel="0" r="370">
      <c r="A370" s="4108" t="inlineStr">
        <is>
          <t>13579246820211221</t>
        </is>
      </c>
      <c r="B370" s="4108" t="inlineStr">
        <is>
          <t>21</t>
        </is>
      </c>
      <c r="C370" s="4108" t="inlineStr">
        <is>
          <t>135792468</t>
        </is>
      </c>
      <c r="D370" s="4108" t="inlineStr">
        <is>
          <t>202112</t>
        </is>
      </c>
      <c r="E370" s="4108" t="inlineStr">
        <is>
          <t>3451,000000000000</t>
        </is>
      </c>
    </row>
    <row outlineLevel="0" r="371">
      <c r="A371" s="4108" t="inlineStr">
        <is>
          <t>13579246820211222</t>
        </is>
      </c>
      <c r="B371" s="4108" t="inlineStr">
        <is>
          <t>22</t>
        </is>
      </c>
      <c r="C371" s="4108" t="inlineStr">
        <is>
          <t>135792468</t>
        </is>
      </c>
      <c r="D371" s="4108" t="inlineStr">
        <is>
          <t>202112</t>
        </is>
      </c>
      <c r="E371" s="4108" t="inlineStr">
        <is>
          <t>12437,000000000000</t>
        </is>
      </c>
    </row>
    <row outlineLevel="0" r="372">
      <c r="A372" s="4108" t="inlineStr">
        <is>
          <t>13579246820211231</t>
        </is>
      </c>
      <c r="B372" s="4108" t="inlineStr">
        <is>
          <t>31</t>
        </is>
      </c>
      <c r="C372" s="4108" t="inlineStr">
        <is>
          <t>135792468</t>
        </is>
      </c>
      <c r="D372" s="4108" t="inlineStr">
        <is>
          <t>202112</t>
        </is>
      </c>
      <c r="E372" s="4108" t="inlineStr">
        <is>
          <t>3767,000000000000</t>
        </is>
      </c>
    </row>
    <row outlineLevel="0" r="373">
      <c r="A373" s="4108" t="inlineStr">
        <is>
          <t>13579246820211232</t>
        </is>
      </c>
      <c r="B373" s="4108" t="inlineStr">
        <is>
          <t>32</t>
        </is>
      </c>
      <c r="C373" s="4108" t="inlineStr">
        <is>
          <t>135792468</t>
        </is>
      </c>
      <c r="D373" s="4108" t="inlineStr">
        <is>
          <t>202112</t>
        </is>
      </c>
      <c r="E373" s="4108" t="inlineStr">
        <is>
          <t>0,000000000000</t>
        </is>
      </c>
    </row>
    <row outlineLevel="0" r="374">
      <c r="A374" s="4108" t="inlineStr">
        <is>
          <t>13579246820211233</t>
        </is>
      </c>
      <c r="B374" s="4108" t="inlineStr">
        <is>
          <t>33</t>
        </is>
      </c>
      <c r="C374" s="4108" t="inlineStr">
        <is>
          <t>135792468</t>
        </is>
      </c>
      <c r="D374" s="4108" t="inlineStr">
        <is>
          <t>202112</t>
        </is>
      </c>
      <c r="E374" s="4108" t="inlineStr">
        <is>
          <t>168,000000000000</t>
        </is>
      </c>
    </row>
    <row outlineLevel="0" r="375">
      <c r="A375" s="4108" t="inlineStr">
        <is>
          <t>13579246820211234</t>
        </is>
      </c>
      <c r="B375" s="4108" t="inlineStr">
        <is>
          <t>34</t>
        </is>
      </c>
      <c r="C375" s="4108" t="inlineStr">
        <is>
          <t>135792468</t>
        </is>
      </c>
      <c r="D375" s="4108" t="inlineStr">
        <is>
          <t>202112</t>
        </is>
      </c>
      <c r="E375" s="4108" t="inlineStr">
        <is>
          <t>0,000000000000</t>
        </is>
      </c>
    </row>
    <row outlineLevel="0" r="376">
      <c r="A376" s="4108" t="inlineStr">
        <is>
          <t>13579246820211235</t>
        </is>
      </c>
      <c r="B376" s="4108" t="inlineStr">
        <is>
          <t>35</t>
        </is>
      </c>
      <c r="C376" s="4108" t="inlineStr">
        <is>
          <t>135792468</t>
        </is>
      </c>
      <c r="D376" s="4108" t="inlineStr">
        <is>
          <t>202112</t>
        </is>
      </c>
      <c r="E376" s="4108" t="inlineStr">
        <is>
          <t>0,000000000000</t>
        </is>
      </c>
    </row>
    <row outlineLevel="0" r="377">
      <c r="A377" s="4108" t="inlineStr">
        <is>
          <t>13579246820211236</t>
        </is>
      </c>
      <c r="B377" s="4108" t="inlineStr">
        <is>
          <t>36</t>
        </is>
      </c>
      <c r="C377" s="4108" t="inlineStr">
        <is>
          <t>135792468</t>
        </is>
      </c>
      <c r="D377" s="4108" t="inlineStr">
        <is>
          <t>202112</t>
        </is>
      </c>
      <c r="E377" s="4108" t="inlineStr">
        <is>
          <t>18,000000000000</t>
        </is>
      </c>
    </row>
    <row outlineLevel="0" r="378">
      <c r="A378" s="4108" t="inlineStr">
        <is>
          <t>13579246820211237</t>
        </is>
      </c>
      <c r="B378" s="4108" t="inlineStr">
        <is>
          <t>37</t>
        </is>
      </c>
      <c r="C378" s="4108" t="inlineStr">
        <is>
          <t>135792468</t>
        </is>
      </c>
      <c r="D378" s="4108" t="inlineStr">
        <is>
          <t>202112</t>
        </is>
      </c>
      <c r="E378" s="4108" t="inlineStr">
        <is>
          <t>909,000000000000</t>
        </is>
      </c>
    </row>
    <row outlineLevel="0" r="379">
      <c r="A379" s="4108" t="inlineStr">
        <is>
          <t>13579246820211238</t>
        </is>
      </c>
      <c r="B379" s="4108" t="inlineStr">
        <is>
          <t>38</t>
        </is>
      </c>
      <c r="C379" s="4108" t="inlineStr">
        <is>
          <t>135792468</t>
        </is>
      </c>
      <c r="D379" s="4108" t="inlineStr">
        <is>
          <t>202112</t>
        </is>
      </c>
      <c r="E379" s="4108" t="inlineStr">
        <is>
          <t>0,000000000000</t>
        </is>
      </c>
    </row>
    <row outlineLevel="0" r="380">
      <c r="A380" s="4108" t="inlineStr">
        <is>
          <t>13579246820211241</t>
        </is>
      </c>
      <c r="B380" s="4108" t="inlineStr">
        <is>
          <t>41</t>
        </is>
      </c>
      <c r="C380" s="4108" t="inlineStr">
        <is>
          <t>135792468</t>
        </is>
      </c>
      <c r="D380" s="4108" t="inlineStr">
        <is>
          <t>202112</t>
        </is>
      </c>
      <c r="E380" s="4108" t="inlineStr">
        <is>
          <t>4338,000000000000</t>
        </is>
      </c>
    </row>
    <row outlineLevel="0" r="381">
      <c r="A381" s="4108" t="inlineStr">
        <is>
          <t>13579246820211242</t>
        </is>
      </c>
      <c r="B381" s="4108" t="inlineStr">
        <is>
          <t>42</t>
        </is>
      </c>
      <c r="C381" s="4108" t="inlineStr">
        <is>
          <t>135792468</t>
        </is>
      </c>
      <c r="D381" s="4108" t="inlineStr">
        <is>
          <t>202112</t>
        </is>
      </c>
      <c r="E381" s="4108" t="inlineStr">
        <is>
          <t>0,000000000000</t>
        </is>
      </c>
    </row>
    <row outlineLevel="0" r="382">
      <c r="A382" s="4108" t="inlineStr">
        <is>
          <t>13579246820211251</t>
        </is>
      </c>
      <c r="B382" s="4108" t="inlineStr">
        <is>
          <t>51</t>
        </is>
      </c>
      <c r="C382" s="4108" t="inlineStr">
        <is>
          <t>135792468</t>
        </is>
      </c>
      <c r="D382" s="4108" t="inlineStr">
        <is>
          <t>202112</t>
        </is>
      </c>
      <c r="E382" s="4108" t="inlineStr">
        <is>
          <t>1812,000000000000</t>
        </is>
      </c>
    </row>
    <row outlineLevel="0" r="383">
      <c r="A383" s="4108" t="inlineStr">
        <is>
          <t>13579246820211252</t>
        </is>
      </c>
      <c r="B383" s="4108" t="inlineStr">
        <is>
          <t>52</t>
        </is>
      </c>
      <c r="C383" s="4108" t="inlineStr">
        <is>
          <t>135792468</t>
        </is>
      </c>
      <c r="D383" s="4108" t="inlineStr">
        <is>
          <t>202112</t>
        </is>
      </c>
      <c r="E383" s="4108" t="inlineStr">
        <is>
          <t>0,000000000000</t>
        </is>
      </c>
    </row>
    <row outlineLevel="0" r="384">
      <c r="A384" s="4108" t="inlineStr">
        <is>
          <t>13579246820211253</t>
        </is>
      </c>
      <c r="B384" s="4108" t="inlineStr">
        <is>
          <t>53</t>
        </is>
      </c>
      <c r="C384" s="4108" t="inlineStr">
        <is>
          <t>135792468</t>
        </is>
      </c>
      <c r="D384" s="4108" t="inlineStr">
        <is>
          <t>202112</t>
        </is>
      </c>
      <c r="E384" s="4108" t="inlineStr">
        <is>
          <t>730,000000000000</t>
        </is>
      </c>
    </row>
    <row outlineLevel="0" r="385">
      <c r="A385" s="4108" t="inlineStr">
        <is>
          <t>13579246820211254</t>
        </is>
      </c>
      <c r="B385" s="4108" t="inlineStr">
        <is>
          <t>54</t>
        </is>
      </c>
      <c r="C385" s="4108" t="inlineStr">
        <is>
          <t>135792468</t>
        </is>
      </c>
      <c r="D385" s="4108" t="inlineStr">
        <is>
          <t>202112</t>
        </is>
      </c>
      <c r="E385" s="4108" t="inlineStr">
        <is>
          <t>7,000000000000</t>
        </is>
      </c>
    </row>
    <row outlineLevel="0" r="386">
      <c r="A386" s="4108" t="inlineStr">
        <is>
          <t>13579246820211261</t>
        </is>
      </c>
      <c r="B386" s="4108" t="inlineStr">
        <is>
          <t>61</t>
        </is>
      </c>
      <c r="C386" s="4108" t="inlineStr">
        <is>
          <t>135792468</t>
        </is>
      </c>
      <c r="D386" s="4108" t="inlineStr">
        <is>
          <t>202112</t>
        </is>
      </c>
      <c r="E386" s="4108" t="inlineStr">
        <is>
          <t>1771,000000000000</t>
        </is>
      </c>
    </row>
    <row outlineLevel="0" r="387">
      <c r="A387" s="4108" t="inlineStr">
        <is>
          <t>13579246820211295</t>
        </is>
      </c>
      <c r="B387" s="4108" t="inlineStr">
        <is>
          <t>95</t>
        </is>
      </c>
      <c r="C387" s="4108" t="inlineStr">
        <is>
          <t>135792468</t>
        </is>
      </c>
      <c r="D387" s="4108" t="inlineStr">
        <is>
          <t>202112</t>
        </is>
      </c>
      <c r="E387" s="4108" t="inlineStr">
        <is>
          <t>2567,000000000000</t>
        </is>
      </c>
    </row>
    <row outlineLevel="0" r="388">
      <c r="A388" s="4108" t="inlineStr">
        <is>
          <t>13579246820211296</t>
        </is>
      </c>
      <c r="B388" s="4108" t="inlineStr">
        <is>
          <t>96</t>
        </is>
      </c>
      <c r="C388" s="4108" t="inlineStr">
        <is>
          <t>135792468</t>
        </is>
      </c>
      <c r="D388" s="4108" t="inlineStr">
        <is>
          <t>202112</t>
        </is>
      </c>
      <c r="E388" s="4108" t="inlineStr">
        <is>
          <t>755,000000000000</t>
        </is>
      </c>
    </row>
    <row outlineLevel="0" r="389">
      <c r="A389" s="4108" t="inlineStr">
        <is>
          <t>13579246820211297</t>
        </is>
      </c>
      <c r="B389" s="4108" t="inlineStr">
        <is>
          <t>97</t>
        </is>
      </c>
      <c r="C389" s="4108" t="inlineStr">
        <is>
          <t>135792468</t>
        </is>
      </c>
      <c r="D389" s="4108" t="inlineStr">
        <is>
          <t>202112</t>
        </is>
      </c>
      <c r="E389" s="4108" t="inlineStr">
        <is>
          <t>25,000000000000</t>
        </is>
      </c>
    </row>
    <row outlineLevel="0" r="390">
      <c r="A390" s="4108" t="inlineStr">
        <is>
          <t>13579246820211298</t>
        </is>
      </c>
      <c r="B390" s="4108" t="inlineStr">
        <is>
          <t>98</t>
        </is>
      </c>
      <c r="C390" s="4108" t="inlineStr">
        <is>
          <t>135792468</t>
        </is>
      </c>
      <c r="D390" s="4108" t="inlineStr">
        <is>
          <t>202112</t>
        </is>
      </c>
      <c r="E390" s="4108" t="inlineStr">
        <is>
          <t>0,000000000000</t>
        </is>
      </c>
    </row>
    <row outlineLevel="0" r="391">
      <c r="A391" s="4108" t="inlineStr">
        <is>
          <t>13579246820211299</t>
        </is>
      </c>
      <c r="B391" s="4108" t="inlineStr">
        <is>
          <t>99</t>
        </is>
      </c>
      <c r="C391" s="4108" t="inlineStr">
        <is>
          <t>135792468</t>
        </is>
      </c>
      <c r="D391" s="4108" t="inlineStr">
        <is>
          <t>202112</t>
        </is>
      </c>
      <c r="E391" s="4108" t="inlineStr">
        <is>
          <t>18,000000000000</t>
        </is>
      </c>
    </row>
    <row outlineLevel="0" r="392">
      <c r="A392" s="4108" t="inlineStr">
        <is>
          <t>1357924682021121101</t>
        </is>
      </c>
      <c r="B392" s="4108" t="inlineStr">
        <is>
          <t>1101</t>
        </is>
      </c>
      <c r="C392" s="4108" t="inlineStr">
        <is>
          <t>135792468</t>
        </is>
      </c>
      <c r="D392" s="4108" t="inlineStr">
        <is>
          <t>202112</t>
        </is>
      </c>
      <c r="E392" s="4108" t="inlineStr">
        <is>
          <t>388,000000000000</t>
        </is>
      </c>
    </row>
    <row outlineLevel="0" r="393">
      <c r="A393" s="4108" t="inlineStr">
        <is>
          <t>1357924682021121102</t>
        </is>
      </c>
      <c r="B393" s="4108" t="inlineStr">
        <is>
          <t>1102</t>
        </is>
      </c>
      <c r="C393" s="4108" t="inlineStr">
        <is>
          <t>135792468</t>
        </is>
      </c>
      <c r="D393" s="4108" t="inlineStr">
        <is>
          <t>202112</t>
        </is>
      </c>
      <c r="E393" s="4108" t="inlineStr">
        <is>
          <t>0,000000000000</t>
        </is>
      </c>
    </row>
    <row outlineLevel="0" r="394">
      <c r="A394" s="4108" t="inlineStr">
        <is>
          <t>1357924682021121103</t>
        </is>
      </c>
      <c r="B394" s="4108" t="inlineStr">
        <is>
          <t>1103</t>
        </is>
      </c>
      <c r="C394" s="4108" t="inlineStr">
        <is>
          <t>135792468</t>
        </is>
      </c>
      <c r="D394" s="4108" t="inlineStr">
        <is>
          <t>202112</t>
        </is>
      </c>
      <c r="E394" s="4108" t="inlineStr">
        <is>
          <t>208,000000000000</t>
        </is>
      </c>
    </row>
    <row outlineLevel="0" r="395">
      <c r="A395" s="4108" t="inlineStr">
        <is>
          <t>1357924682021121104</t>
        </is>
      </c>
      <c r="B395" s="4108" t="inlineStr">
        <is>
          <t>1104</t>
        </is>
      </c>
      <c r="C395" s="4108" t="inlineStr">
        <is>
          <t>135792468</t>
        </is>
      </c>
      <c r="D395" s="4108" t="inlineStr">
        <is>
          <t>202112</t>
        </is>
      </c>
      <c r="E395" s="4108" t="inlineStr">
        <is>
          <t>0,000000000000</t>
        </is>
      </c>
    </row>
    <row outlineLevel="0" r="396">
      <c r="A396" s="4108" t="inlineStr">
        <is>
          <t>1357924682021121106</t>
        </is>
      </c>
      <c r="B396" s="4108" t="inlineStr">
        <is>
          <t>1106</t>
        </is>
      </c>
      <c r="C396" s="4108" t="inlineStr">
        <is>
          <t>135792468</t>
        </is>
      </c>
      <c r="D396" s="4108" t="inlineStr">
        <is>
          <t>202112</t>
        </is>
      </c>
      <c r="E396" s="4108" t="inlineStr">
        <is>
          <t>44,000000000000</t>
        </is>
      </c>
    </row>
    <row outlineLevel="0" r="397">
      <c r="A397" s="4108" t="inlineStr">
        <is>
          <t>1357924682021121107</t>
        </is>
      </c>
      <c r="B397" s="4108" t="inlineStr">
        <is>
          <t>1107</t>
        </is>
      </c>
      <c r="C397" s="4108" t="inlineStr">
        <is>
          <t>135792468</t>
        </is>
      </c>
      <c r="D397" s="4108" t="inlineStr">
        <is>
          <t>202112</t>
        </is>
      </c>
      <c r="E397" s="4108" t="inlineStr">
        <is>
          <t>0,000000000000</t>
        </is>
      </c>
    </row>
    <row outlineLevel="0" r="398">
      <c r="A398" s="4108" t="inlineStr">
        <is>
          <t>1357924682021121201</t>
        </is>
      </c>
      <c r="B398" s="4108" t="inlineStr">
        <is>
          <t>1201</t>
        </is>
      </c>
      <c r="C398" s="4108" t="inlineStr">
        <is>
          <t>135792468</t>
        </is>
      </c>
      <c r="D398" s="4108" t="inlineStr">
        <is>
          <t>202112</t>
        </is>
      </c>
      <c r="E398" s="4108" t="inlineStr">
        <is>
          <t>16343,000000000000</t>
        </is>
      </c>
    </row>
    <row outlineLevel="0" r="399">
      <c r="A399" s="4108" t="inlineStr">
        <is>
          <t>1357924682021121202</t>
        </is>
      </c>
      <c r="B399" s="4108" t="inlineStr">
        <is>
          <t>1202</t>
        </is>
      </c>
      <c r="C399" s="4108" t="inlineStr">
        <is>
          <t>135792468</t>
        </is>
      </c>
      <c r="D399" s="4108" t="inlineStr">
        <is>
          <t>202112</t>
        </is>
      </c>
      <c r="E399" s="4108" t="inlineStr">
        <is>
          <t>0,000000000000</t>
        </is>
      </c>
    </row>
    <row outlineLevel="0" r="400">
      <c r="A400" s="4108" t="inlineStr">
        <is>
          <t>1357924682021121203</t>
        </is>
      </c>
      <c r="B400" s="4108" t="inlineStr">
        <is>
          <t>1203</t>
        </is>
      </c>
      <c r="C400" s="4108" t="inlineStr">
        <is>
          <t>135792468</t>
        </is>
      </c>
      <c r="D400" s="4108" t="inlineStr">
        <is>
          <t>202112</t>
        </is>
      </c>
      <c r="E400" s="4108" t="inlineStr">
        <is>
          <t>0,000000000000</t>
        </is>
      </c>
    </row>
    <row outlineLevel="0" r="401">
      <c r="A401" s="4108" t="inlineStr">
        <is>
          <t>1357924682021121205</t>
        </is>
      </c>
      <c r="B401" s="4108" t="inlineStr">
        <is>
          <t>1205</t>
        </is>
      </c>
      <c r="C401" s="4108" t="inlineStr">
        <is>
          <t>135792468</t>
        </is>
      </c>
      <c r="D401" s="4108" t="inlineStr">
        <is>
          <t>202112</t>
        </is>
      </c>
      <c r="E401" s="4108" t="inlineStr">
        <is>
          <t>0,000000000000</t>
        </is>
      </c>
    </row>
    <row outlineLevel="0" r="402">
      <c r="A402" s="4108" t="inlineStr">
        <is>
          <t>1357924682021121206</t>
        </is>
      </c>
      <c r="B402" s="4108" t="inlineStr">
        <is>
          <t>1206</t>
        </is>
      </c>
      <c r="C402" s="4108" t="inlineStr">
        <is>
          <t>135792468</t>
        </is>
      </c>
      <c r="D402" s="4108" t="inlineStr">
        <is>
          <t>202112</t>
        </is>
      </c>
      <c r="E402" s="4108" t="inlineStr">
        <is>
          <t>0,000000000000</t>
        </is>
      </c>
    </row>
    <row outlineLevel="0" r="403">
      <c r="A403" s="4108" t="inlineStr">
        <is>
          <t>1357924682021121207</t>
        </is>
      </c>
      <c r="B403" s="4108" t="inlineStr">
        <is>
          <t>1207</t>
        </is>
      </c>
      <c r="C403" s="4108" t="inlineStr">
        <is>
          <t>135792468</t>
        </is>
      </c>
      <c r="D403" s="4108" t="inlineStr">
        <is>
          <t>202112</t>
        </is>
      </c>
      <c r="E403" s="4108" t="inlineStr">
        <is>
          <t>3767,000000000000</t>
        </is>
      </c>
    </row>
    <row outlineLevel="0" r="404">
      <c r="A404" s="4108" t="inlineStr">
        <is>
          <t>1357924682021121208</t>
        </is>
      </c>
      <c r="B404" s="4108" t="inlineStr">
        <is>
          <t>1208</t>
        </is>
      </c>
      <c r="C404" s="4108" t="inlineStr">
        <is>
          <t>135792468</t>
        </is>
      </c>
      <c r="D404" s="4108" t="inlineStr">
        <is>
          <t>202112</t>
        </is>
      </c>
      <c r="E404" s="4108" t="inlineStr">
        <is>
          <t>0,000000000000</t>
        </is>
      </c>
    </row>
    <row outlineLevel="0" r="405">
      <c r="A405" s="4108" t="inlineStr">
        <is>
          <t>1357924682021122101</t>
        </is>
      </c>
      <c r="B405" s="4108" t="inlineStr">
        <is>
          <t>2101</t>
        </is>
      </c>
      <c r="C405" s="4108" t="inlineStr">
        <is>
          <t>135792468</t>
        </is>
      </c>
      <c r="D405" s="4108" t="inlineStr">
        <is>
          <t>202112</t>
        </is>
      </c>
      <c r="E405" s="4108" t="inlineStr">
        <is>
          <t>1217,000000000000</t>
        </is>
      </c>
    </row>
    <row outlineLevel="0" r="406">
      <c r="A406" s="4108" t="inlineStr">
        <is>
          <t>1357924682021122102</t>
        </is>
      </c>
      <c r="B406" s="4108" t="inlineStr">
        <is>
          <t>2102</t>
        </is>
      </c>
      <c r="C406" s="4108" t="inlineStr">
        <is>
          <t>135792468</t>
        </is>
      </c>
      <c r="D406" s="4108" t="inlineStr">
        <is>
          <t>202112</t>
        </is>
      </c>
      <c r="E406" s="4108" t="inlineStr">
        <is>
          <t>0,000000000000</t>
        </is>
      </c>
    </row>
    <row outlineLevel="0" r="407">
      <c r="A407" s="4108" t="inlineStr">
        <is>
          <t>1357924682021122103</t>
        </is>
      </c>
      <c r="B407" s="4108" t="inlineStr">
        <is>
          <t>2103</t>
        </is>
      </c>
      <c r="C407" s="4108" t="inlineStr">
        <is>
          <t>135792468</t>
        </is>
      </c>
      <c r="D407" s="4108" t="inlineStr">
        <is>
          <t>202112</t>
        </is>
      </c>
      <c r="E407" s="4108" t="inlineStr">
        <is>
          <t>2041,000000000000</t>
        </is>
      </c>
    </row>
    <row outlineLevel="0" r="408">
      <c r="A408" s="4108" t="inlineStr">
        <is>
          <t>1357924682021122104</t>
        </is>
      </c>
      <c r="B408" s="4108" t="inlineStr">
        <is>
          <t>2104</t>
        </is>
      </c>
      <c r="C408" s="4108" t="inlineStr">
        <is>
          <t>135792468</t>
        </is>
      </c>
      <c r="D408" s="4108" t="inlineStr">
        <is>
          <t>202112</t>
        </is>
      </c>
      <c r="E408" s="4108" t="inlineStr">
        <is>
          <t>0,000000000000</t>
        </is>
      </c>
    </row>
    <row outlineLevel="0" r="409">
      <c r="A409" s="4108" t="inlineStr">
        <is>
          <t>1357924682021122105</t>
        </is>
      </c>
      <c r="B409" s="4108" t="inlineStr">
        <is>
          <t>2105</t>
        </is>
      </c>
      <c r="C409" s="4108" t="inlineStr">
        <is>
          <t>135792468</t>
        </is>
      </c>
      <c r="D409" s="4108" t="inlineStr">
        <is>
          <t>202112</t>
        </is>
      </c>
      <c r="E409" s="4108" t="inlineStr">
        <is>
          <t>22,000000000000</t>
        </is>
      </c>
    </row>
    <row outlineLevel="0" r="410">
      <c r="A410" s="4108" t="inlineStr">
        <is>
          <t>1357924682021122106</t>
        </is>
      </c>
      <c r="B410" s="4108" t="inlineStr">
        <is>
          <t>2106</t>
        </is>
      </c>
      <c r="C410" s="4108" t="inlineStr">
        <is>
          <t>135792468</t>
        </is>
      </c>
      <c r="D410" s="4108" t="inlineStr">
        <is>
          <t>202112</t>
        </is>
      </c>
      <c r="E410" s="4108" t="inlineStr">
        <is>
          <t>0,000000000000</t>
        </is>
      </c>
    </row>
    <row outlineLevel="0" r="411">
      <c r="A411" s="4108" t="inlineStr">
        <is>
          <t>1357924682021122107</t>
        </is>
      </c>
      <c r="B411" s="4108" t="inlineStr">
        <is>
          <t>2107</t>
        </is>
      </c>
      <c r="C411" s="4108" t="inlineStr">
        <is>
          <t>135792468</t>
        </is>
      </c>
      <c r="D411" s="4108" t="inlineStr">
        <is>
          <t>202112</t>
        </is>
      </c>
      <c r="E411" s="4108" t="inlineStr">
        <is>
          <t>171,000000000000</t>
        </is>
      </c>
    </row>
    <row outlineLevel="0" r="412">
      <c r="A412" s="4108" t="inlineStr">
        <is>
          <t>1357924682021122109</t>
        </is>
      </c>
      <c r="B412" s="4108" t="inlineStr">
        <is>
          <t>2109</t>
        </is>
      </c>
      <c r="C412" s="4108" t="inlineStr">
        <is>
          <t>135792468</t>
        </is>
      </c>
      <c r="D412" s="4108" t="inlineStr">
        <is>
          <t>202112</t>
        </is>
      </c>
      <c r="E412" s="4108" t="inlineStr">
        <is>
          <t>0,000000000000</t>
        </is>
      </c>
    </row>
    <row outlineLevel="0" r="413">
      <c r="A413" s="4108" t="inlineStr">
        <is>
          <t>1357924682021122201</t>
        </is>
      </c>
      <c r="B413" s="4108" t="inlineStr">
        <is>
          <t>2201</t>
        </is>
      </c>
      <c r="C413" s="4108" t="inlineStr">
        <is>
          <t>135792468</t>
        </is>
      </c>
      <c r="D413" s="4108" t="inlineStr">
        <is>
          <t>202112</t>
        </is>
      </c>
      <c r="E413" s="4108" t="inlineStr">
        <is>
          <t>11352,000000000000</t>
        </is>
      </c>
    </row>
    <row outlineLevel="0" r="414">
      <c r="A414" s="4108" t="inlineStr">
        <is>
          <t>1357924682021122203</t>
        </is>
      </c>
      <c r="B414" s="4108" t="inlineStr">
        <is>
          <t>2203</t>
        </is>
      </c>
      <c r="C414" s="4108" t="inlineStr">
        <is>
          <t>135792468</t>
        </is>
      </c>
      <c r="D414" s="4108" t="inlineStr">
        <is>
          <t>202112</t>
        </is>
      </c>
      <c r="E414" s="4108" t="inlineStr">
        <is>
          <t>1073,000000000000</t>
        </is>
      </c>
    </row>
    <row outlineLevel="0" r="415">
      <c r="A415" s="4108" t="inlineStr">
        <is>
          <t>1357924682021122204</t>
        </is>
      </c>
      <c r="B415" s="4108" t="inlineStr">
        <is>
          <t>2204</t>
        </is>
      </c>
      <c r="C415" s="4108" t="inlineStr">
        <is>
          <t>135792468</t>
        </is>
      </c>
      <c r="D415" s="4108" t="inlineStr">
        <is>
          <t>202112</t>
        </is>
      </c>
      <c r="E415" s="4108" t="inlineStr">
        <is>
          <t>0,000000000000</t>
        </is>
      </c>
    </row>
    <row outlineLevel="0" r="416">
      <c r="A416" s="4108" t="inlineStr">
        <is>
          <t>1357924682021122206</t>
        </is>
      </c>
      <c r="B416" s="4108" t="inlineStr">
        <is>
          <t>2206</t>
        </is>
      </c>
      <c r="C416" s="4108" t="inlineStr">
        <is>
          <t>135792468</t>
        </is>
      </c>
      <c r="D416" s="4108" t="inlineStr">
        <is>
          <t>202112</t>
        </is>
      </c>
      <c r="E416" s="4108" t="inlineStr">
        <is>
          <t>12,000000000000</t>
        </is>
      </c>
    </row>
    <row outlineLevel="0" r="417">
      <c r="A417" s="4108" t="inlineStr">
        <is>
          <t>1357924682021122207</t>
        </is>
      </c>
      <c r="B417" s="4108" t="inlineStr">
        <is>
          <t>2207</t>
        </is>
      </c>
      <c r="C417" s="4108" t="inlineStr">
        <is>
          <t>135792468</t>
        </is>
      </c>
      <c r="D417" s="4108" t="inlineStr">
        <is>
          <t>202112</t>
        </is>
      </c>
      <c r="E417" s="4108" t="inlineStr">
        <is>
          <t>0,000000000000</t>
        </is>
      </c>
    </row>
    <row outlineLevel="0" r="418">
      <c r="A418" s="4108" t="inlineStr">
        <is>
          <t>1357924682021122209</t>
        </is>
      </c>
      <c r="B418" s="4108" t="inlineStr">
        <is>
          <t>2209</t>
        </is>
      </c>
      <c r="C418" s="4108" t="inlineStr">
        <is>
          <t>135792468</t>
        </is>
      </c>
      <c r="D418" s="4108" t="inlineStr">
        <is>
          <t>202112</t>
        </is>
      </c>
      <c r="E418" s="4108" t="inlineStr">
        <is>
          <t>0,000000000000</t>
        </is>
      </c>
    </row>
    <row outlineLevel="0" r="419">
      <c r="A419" s="4108" t="inlineStr">
        <is>
          <t>1357924682021125301</t>
        </is>
      </c>
      <c r="B419" s="4108" t="inlineStr">
        <is>
          <t>5301</t>
        </is>
      </c>
      <c r="C419" s="4108" t="inlineStr">
        <is>
          <t>135792468</t>
        </is>
      </c>
      <c r="D419" s="4108" t="inlineStr">
        <is>
          <t>202112</t>
        </is>
      </c>
      <c r="E419" s="4108" t="inlineStr">
        <is>
          <t>729,000000000000</t>
        </is>
      </c>
    </row>
    <row outlineLevel="0" r="420">
      <c r="A420" s="4108" t="inlineStr">
        <is>
          <t>135792468202112108000</t>
        </is>
      </c>
      <c r="B420" s="4108" t="inlineStr">
        <is>
          <t>108000</t>
        </is>
      </c>
      <c r="C420" s="4108" t="inlineStr">
        <is>
          <t>135792468</t>
        </is>
      </c>
      <c r="D420" s="4108" t="inlineStr">
        <is>
          <t>202112</t>
        </is>
      </c>
      <c r="E420" s="4108" t="inlineStr">
        <is>
          <t>0,000000000000</t>
        </is>
      </c>
    </row>
    <row outlineLevel="0" r="421">
      <c r="A421" s="4108" t="inlineStr">
        <is>
          <t>135792468202112108100</t>
        </is>
      </c>
      <c r="B421" s="4108" t="inlineStr">
        <is>
          <t>108100</t>
        </is>
      </c>
      <c r="C421" s="4108" t="inlineStr">
        <is>
          <t>135792468</t>
        </is>
      </c>
      <c r="D421" s="4108" t="inlineStr">
        <is>
          <t>202112</t>
        </is>
      </c>
      <c r="E421" s="4108" t="inlineStr">
        <is>
          <t>0,000000000000</t>
        </is>
      </c>
    </row>
    <row outlineLevel="0" r="422">
      <c r="A422" s="4108" t="inlineStr">
        <is>
          <t>135792468202112108200</t>
        </is>
      </c>
      <c r="B422" s="4108" t="inlineStr">
        <is>
          <t>108200</t>
        </is>
      </c>
      <c r="C422" s="4108" t="inlineStr">
        <is>
          <t>135792468</t>
        </is>
      </c>
      <c r="D422" s="4108" t="inlineStr">
        <is>
          <t>202112</t>
        </is>
      </c>
      <c r="E422" s="4108" t="inlineStr">
        <is>
          <t>0,000000000000</t>
        </is>
      </c>
    </row>
    <row outlineLevel="0" r="423">
      <c r="A423" s="4108" t="inlineStr">
        <is>
          <t>135792468202112108300</t>
        </is>
      </c>
      <c r="B423" s="4108" t="inlineStr">
        <is>
          <t>108300</t>
        </is>
      </c>
      <c r="C423" s="4108" t="inlineStr">
        <is>
          <t>135792468</t>
        </is>
      </c>
      <c r="D423" s="4108" t="inlineStr">
        <is>
          <t>202112</t>
        </is>
      </c>
      <c r="E423" s="4108" t="inlineStr">
        <is>
          <t>0,000000000000</t>
        </is>
      </c>
    </row>
    <row outlineLevel="0" r="424">
      <c r="A424" s="4108" t="inlineStr">
        <is>
          <t>135792468202112108400</t>
        </is>
      </c>
      <c r="B424" s="4108" t="inlineStr">
        <is>
          <t>108400</t>
        </is>
      </c>
      <c r="C424" s="4108" t="inlineStr">
        <is>
          <t>135792468</t>
        </is>
      </c>
      <c r="D424" s="4108" t="inlineStr">
        <is>
          <t>202112</t>
        </is>
      </c>
      <c r="E424" s="4108" t="inlineStr">
        <is>
          <t>0,000000000000</t>
        </is>
      </c>
    </row>
    <row outlineLevel="0" r="425">
      <c r="A425" s="4108" t="inlineStr">
        <is>
          <t>135792468202112109801</t>
        </is>
      </c>
      <c r="B425" s="4108" t="inlineStr">
        <is>
          <t>109801</t>
        </is>
      </c>
      <c r="C425" s="4108" t="inlineStr">
        <is>
          <t>135792468</t>
        </is>
      </c>
      <c r="D425" s="4108" t="inlineStr">
        <is>
          <t>202112</t>
        </is>
      </c>
      <c r="E425" s="4108" t="inlineStr">
        <is>
          <t>0,000000000000</t>
        </is>
      </c>
    </row>
    <row outlineLevel="0" r="426">
      <c r="A426" s="4108" t="inlineStr">
        <is>
          <t>135792468202112110105</t>
        </is>
      </c>
      <c r="B426" s="4108" t="inlineStr">
        <is>
          <t>110105</t>
        </is>
      </c>
      <c r="C426" s="4108" t="inlineStr">
        <is>
          <t>135792468</t>
        </is>
      </c>
      <c r="D426" s="4108" t="inlineStr">
        <is>
          <t>202112</t>
        </is>
      </c>
      <c r="E426" s="4108" t="inlineStr">
        <is>
          <t>388,000000000000</t>
        </is>
      </c>
    </row>
    <row outlineLevel="0" r="427">
      <c r="A427" s="4108" t="inlineStr">
        <is>
          <t>135792468202112110110</t>
        </is>
      </c>
      <c r="B427" s="4108" t="inlineStr">
        <is>
          <t>110110</t>
        </is>
      </c>
      <c r="C427" s="4108" t="inlineStr">
        <is>
          <t>135792468</t>
        </is>
      </c>
      <c r="D427" s="4108" t="inlineStr">
        <is>
          <t>202112</t>
        </is>
      </c>
      <c r="E427" s="4108" t="inlineStr">
        <is>
          <t>0,000000000000</t>
        </is>
      </c>
    </row>
    <row outlineLevel="0" r="428">
      <c r="A428" s="4108" t="inlineStr">
        <is>
          <t>135792468202112110125</t>
        </is>
      </c>
      <c r="B428" s="4108" t="inlineStr">
        <is>
          <t>110125</t>
        </is>
      </c>
      <c r="C428" s="4108" t="inlineStr">
        <is>
          <t>135792468</t>
        </is>
      </c>
      <c r="D428" s="4108" t="inlineStr">
        <is>
          <t>202112</t>
        </is>
      </c>
      <c r="E428" s="4108" t="inlineStr">
        <is>
          <t>0,000000000000</t>
        </is>
      </c>
    </row>
    <row outlineLevel="0" r="429">
      <c r="A429" s="4108" t="inlineStr">
        <is>
          <t>135792468202112110130</t>
        </is>
      </c>
      <c r="B429" s="4108" t="inlineStr">
        <is>
          <t>110130</t>
        </is>
      </c>
      <c r="C429" s="4108" t="inlineStr">
        <is>
          <t>135792468</t>
        </is>
      </c>
      <c r="D429" s="4108" t="inlineStr">
        <is>
          <t>202112</t>
        </is>
      </c>
      <c r="E429" s="4108" t="inlineStr">
        <is>
          <t>0,000000000000</t>
        </is>
      </c>
    </row>
    <row outlineLevel="0" r="430">
      <c r="A430" s="4108" t="inlineStr">
        <is>
          <t>135792468202112110205</t>
        </is>
      </c>
      <c r="B430" s="4108" t="inlineStr">
        <is>
          <t>110205</t>
        </is>
      </c>
      <c r="C430" s="4108" t="inlineStr">
        <is>
          <t>135792468</t>
        </is>
      </c>
      <c r="D430" s="4108" t="inlineStr">
        <is>
          <t>202112</t>
        </is>
      </c>
      <c r="E430" s="4108" t="inlineStr">
        <is>
          <t>0,000000000000</t>
        </is>
      </c>
    </row>
    <row outlineLevel="0" r="431">
      <c r="A431" s="4108" t="inlineStr">
        <is>
          <t>135792468202112110210</t>
        </is>
      </c>
      <c r="B431" s="4108" t="inlineStr">
        <is>
          <t>110210</t>
        </is>
      </c>
      <c r="C431" s="4108" t="inlineStr">
        <is>
          <t>135792468</t>
        </is>
      </c>
      <c r="D431" s="4108" t="inlineStr">
        <is>
          <t>202112</t>
        </is>
      </c>
      <c r="E431" s="4108" t="inlineStr">
        <is>
          <t>0,000000000000</t>
        </is>
      </c>
    </row>
    <row outlineLevel="0" r="432">
      <c r="A432" s="4108" t="inlineStr">
        <is>
          <t>135792468202112110215</t>
        </is>
      </c>
      <c r="B432" s="4108" t="inlineStr">
        <is>
          <t>110215</t>
        </is>
      </c>
      <c r="C432" s="4108" t="inlineStr">
        <is>
          <t>135792468</t>
        </is>
      </c>
      <c r="D432" s="4108" t="inlineStr">
        <is>
          <t>202112</t>
        </is>
      </c>
      <c r="E432" s="4108" t="inlineStr">
        <is>
          <t>0,000000000000</t>
        </is>
      </c>
    </row>
    <row outlineLevel="0" r="433">
      <c r="A433" s="4108" t="inlineStr">
        <is>
          <t>135792468202112110225</t>
        </is>
      </c>
      <c r="B433" s="4108" t="inlineStr">
        <is>
          <t>110225</t>
        </is>
      </c>
      <c r="C433" s="4108" t="inlineStr">
        <is>
          <t>135792468</t>
        </is>
      </c>
      <c r="D433" s="4108" t="inlineStr">
        <is>
          <t>202112</t>
        </is>
      </c>
      <c r="E433" s="4108" t="inlineStr">
        <is>
          <t>0,000000000000</t>
        </is>
      </c>
    </row>
    <row outlineLevel="0" r="434">
      <c r="A434" s="4108" t="inlineStr">
        <is>
          <t>135792468202112110235</t>
        </is>
      </c>
      <c r="B434" s="4108" t="inlineStr">
        <is>
          <t>110235</t>
        </is>
      </c>
      <c r="C434" s="4108" t="inlineStr">
        <is>
          <t>135792468</t>
        </is>
      </c>
      <c r="D434" s="4108" t="inlineStr">
        <is>
          <t>202112</t>
        </is>
      </c>
      <c r="E434" s="4108" t="inlineStr">
        <is>
          <t>0,000000000000</t>
        </is>
      </c>
    </row>
    <row outlineLevel="0" r="435">
      <c r="A435" s="4108" t="inlineStr">
        <is>
          <t>135792468202112110255</t>
        </is>
      </c>
      <c r="B435" s="4108" t="inlineStr">
        <is>
          <t>110255</t>
        </is>
      </c>
      <c r="C435" s="4108" t="inlineStr">
        <is>
          <t>135792468</t>
        </is>
      </c>
      <c r="D435" s="4108" t="inlineStr">
        <is>
          <t>202112</t>
        </is>
      </c>
      <c r="E435" s="4108" t="inlineStr">
        <is>
          <t>0,000000000000</t>
        </is>
      </c>
    </row>
    <row outlineLevel="0" r="436">
      <c r="A436" s="4108" t="inlineStr">
        <is>
          <t>135792468202112110260</t>
        </is>
      </c>
      <c r="B436" s="4108" t="inlineStr">
        <is>
          <t>110260</t>
        </is>
      </c>
      <c r="C436" s="4108" t="inlineStr">
        <is>
          <t>135792468</t>
        </is>
      </c>
      <c r="D436" s="4108" t="inlineStr">
        <is>
          <t>202112</t>
        </is>
      </c>
      <c r="E436" s="4108" t="inlineStr">
        <is>
          <t>0,000000000000</t>
        </is>
      </c>
    </row>
    <row outlineLevel="0" r="437">
      <c r="A437" s="4108" t="inlineStr">
        <is>
          <t>135792468202112110305</t>
        </is>
      </c>
      <c r="B437" s="4108" t="inlineStr">
        <is>
          <t>110305</t>
        </is>
      </c>
      <c r="C437" s="4108" t="inlineStr">
        <is>
          <t>135792468</t>
        </is>
      </c>
      <c r="D437" s="4108" t="inlineStr">
        <is>
          <t>202112</t>
        </is>
      </c>
      <c r="E437" s="4108" t="inlineStr">
        <is>
          <t>208,000000000000</t>
        </is>
      </c>
    </row>
    <row outlineLevel="0" r="438">
      <c r="A438" s="4108" t="inlineStr">
        <is>
          <t>135792468202112110390</t>
        </is>
      </c>
      <c r="B438" s="4108" t="inlineStr">
        <is>
          <t>110390</t>
        </is>
      </c>
      <c r="C438" s="4108" t="inlineStr">
        <is>
          <t>135792468</t>
        </is>
      </c>
      <c r="D438" s="4108" t="inlineStr">
        <is>
          <t>202112</t>
        </is>
      </c>
      <c r="E438" s="4108" t="inlineStr">
        <is>
          <t>0,000000000000</t>
        </is>
      </c>
    </row>
    <row outlineLevel="0" r="439">
      <c r="A439" s="4108" t="inlineStr">
        <is>
          <t>135792468202112110395</t>
        </is>
      </c>
      <c r="B439" s="4108" t="inlineStr">
        <is>
          <t>110395</t>
        </is>
      </c>
      <c r="C439" s="4108" t="inlineStr">
        <is>
          <t>135792468</t>
        </is>
      </c>
      <c r="D439" s="4108" t="inlineStr">
        <is>
          <t>202112</t>
        </is>
      </c>
      <c r="E439" s="4108" t="inlineStr">
        <is>
          <t>0,000000000000</t>
        </is>
      </c>
    </row>
    <row outlineLevel="0" r="440">
      <c r="A440" s="4108" t="inlineStr">
        <is>
          <t>135792468202112110405</t>
        </is>
      </c>
      <c r="B440" s="4108" t="inlineStr">
        <is>
          <t>110405</t>
        </is>
      </c>
      <c r="C440" s="4108" t="inlineStr">
        <is>
          <t>135792468</t>
        </is>
      </c>
      <c r="D440" s="4108" t="inlineStr">
        <is>
          <t>202112</t>
        </is>
      </c>
      <c r="E440" s="4108" t="inlineStr">
        <is>
          <t>0,000000000000</t>
        </is>
      </c>
    </row>
    <row outlineLevel="0" r="441">
      <c r="A441" s="4108" t="inlineStr">
        <is>
          <t>135792468202112110410</t>
        </is>
      </c>
      <c r="B441" s="4108" t="inlineStr">
        <is>
          <t>110410</t>
        </is>
      </c>
      <c r="C441" s="4108" t="inlineStr">
        <is>
          <t>135792468</t>
        </is>
      </c>
      <c r="D441" s="4108" t="inlineStr">
        <is>
          <t>202112</t>
        </is>
      </c>
      <c r="E441" s="4108" t="inlineStr">
        <is>
          <t>0,000000000000</t>
        </is>
      </c>
    </row>
    <row outlineLevel="0" r="442">
      <c r="A442" s="4108" t="inlineStr">
        <is>
          <t>135792468202112110415</t>
        </is>
      </c>
      <c r="B442" s="4108" t="inlineStr">
        <is>
          <t>110415</t>
        </is>
      </c>
      <c r="C442" s="4108" t="inlineStr">
        <is>
          <t>135792468</t>
        </is>
      </c>
      <c r="D442" s="4108" t="inlineStr">
        <is>
          <t>202112</t>
        </is>
      </c>
      <c r="E442" s="4108" t="inlineStr">
        <is>
          <t>0,000000000000</t>
        </is>
      </c>
    </row>
    <row outlineLevel="0" r="443">
      <c r="A443" s="4108" t="inlineStr">
        <is>
          <t>135792468202112110420</t>
        </is>
      </c>
      <c r="B443" s="4108" t="inlineStr">
        <is>
          <t>110420</t>
        </is>
      </c>
      <c r="C443" s="4108" t="inlineStr">
        <is>
          <t>135792468</t>
        </is>
      </c>
      <c r="D443" s="4108" t="inlineStr">
        <is>
          <t>202112</t>
        </is>
      </c>
      <c r="E443" s="4108" t="inlineStr">
        <is>
          <t>0,000000000000</t>
        </is>
      </c>
    </row>
    <row outlineLevel="0" r="444">
      <c r="A444" s="4108" t="inlineStr">
        <is>
          <t>135792468202112110490</t>
        </is>
      </c>
      <c r="B444" s="4108" t="inlineStr">
        <is>
          <t>110490</t>
        </is>
      </c>
      <c r="C444" s="4108" t="inlineStr">
        <is>
          <t>135792468</t>
        </is>
      </c>
      <c r="D444" s="4108" t="inlineStr">
        <is>
          <t>202112</t>
        </is>
      </c>
      <c r="E444" s="4108" t="inlineStr">
        <is>
          <t>0,000000000000</t>
        </is>
      </c>
    </row>
    <row outlineLevel="0" r="445">
      <c r="A445" s="4108" t="inlineStr">
        <is>
          <t>135792468202112110491</t>
        </is>
      </c>
      <c r="B445" s="4108" t="inlineStr">
        <is>
          <t>110491</t>
        </is>
      </c>
      <c r="C445" s="4108" t="inlineStr">
        <is>
          <t>135792468</t>
        </is>
      </c>
      <c r="D445" s="4108" t="inlineStr">
        <is>
          <t>202112</t>
        </is>
      </c>
      <c r="E445" s="4108" t="inlineStr">
        <is>
          <t>0,000000000000</t>
        </is>
      </c>
    </row>
    <row outlineLevel="0" r="446">
      <c r="A446" s="4108" t="inlineStr">
        <is>
          <t>135792468202112110495</t>
        </is>
      </c>
      <c r="B446" s="4108" t="inlineStr">
        <is>
          <t>110495</t>
        </is>
      </c>
      <c r="C446" s="4108" t="inlineStr">
        <is>
          <t>135792468</t>
        </is>
      </c>
      <c r="D446" s="4108" t="inlineStr">
        <is>
          <t>202112</t>
        </is>
      </c>
      <c r="E446" s="4108" t="inlineStr">
        <is>
          <t>0,000000000000</t>
        </is>
      </c>
    </row>
    <row outlineLevel="0" r="447">
      <c r="A447" s="4108" t="inlineStr">
        <is>
          <t>135792468202112111010</t>
        </is>
      </c>
      <c r="B447" s="4108" t="inlineStr">
        <is>
          <t>111010</t>
        </is>
      </c>
      <c r="C447" s="4108" t="inlineStr">
        <is>
          <t>135792468</t>
        </is>
      </c>
      <c r="D447" s="4108" t="inlineStr">
        <is>
          <t>202112</t>
        </is>
      </c>
      <c r="E447" s="4108" t="inlineStr">
        <is>
          <t>0,000000000000</t>
        </is>
      </c>
    </row>
    <row outlineLevel="0" r="448">
      <c r="A448" s="4108" t="inlineStr">
        <is>
          <t>135792468202112120104</t>
        </is>
      </c>
      <c r="B448" s="4108" t="inlineStr">
        <is>
          <t>120104</t>
        </is>
      </c>
      <c r="C448" s="4108" t="inlineStr">
        <is>
          <t>135792468</t>
        </is>
      </c>
      <c r="D448" s="4108" t="inlineStr">
        <is>
          <t>202112</t>
        </is>
      </c>
      <c r="E448" s="4108" t="inlineStr">
        <is>
          <t>0,000000000000</t>
        </is>
      </c>
    </row>
    <row outlineLevel="0" r="449">
      <c r="A449" s="4108" t="inlineStr">
        <is>
          <t>135792468202112120108</t>
        </is>
      </c>
      <c r="B449" s="4108" t="inlineStr">
        <is>
          <t>120108</t>
        </is>
      </c>
      <c r="C449" s="4108" t="inlineStr">
        <is>
          <t>135792468</t>
        </is>
      </c>
      <c r="D449" s="4108" t="inlineStr">
        <is>
          <t>202112</t>
        </is>
      </c>
      <c r="E449" s="4108" t="inlineStr">
        <is>
          <t>0,000000000000</t>
        </is>
      </c>
    </row>
    <row outlineLevel="0" r="450">
      <c r="A450" s="4108" t="inlineStr">
        <is>
          <t>135792468202112120116</t>
        </is>
      </c>
      <c r="B450" s="4108" t="inlineStr">
        <is>
          <t>120116</t>
        </is>
      </c>
      <c r="C450" s="4108" t="inlineStr">
        <is>
          <t>135792468</t>
        </is>
      </c>
      <c r="D450" s="4108" t="inlineStr">
        <is>
          <t>202112</t>
        </is>
      </c>
      <c r="E450" s="4108" t="inlineStr">
        <is>
          <t>22287,000000000000</t>
        </is>
      </c>
    </row>
    <row outlineLevel="0" r="451">
      <c r="A451" s="4108" t="inlineStr">
        <is>
          <t>135792468202112120120</t>
        </is>
      </c>
      <c r="B451" s="4108" t="inlineStr">
        <is>
          <t>120120</t>
        </is>
      </c>
      <c r="C451" s="4108" t="inlineStr">
        <is>
          <t>135792468</t>
        </is>
      </c>
      <c r="D451" s="4108" t="inlineStr">
        <is>
          <t>202112</t>
        </is>
      </c>
      <c r="E451" s="4108" t="inlineStr">
        <is>
          <t>0,000000000000</t>
        </is>
      </c>
    </row>
    <row outlineLevel="0" r="452">
      <c r="A452" s="4108" t="inlineStr">
        <is>
          <t>135792468202112120124</t>
        </is>
      </c>
      <c r="B452" s="4108" t="inlineStr">
        <is>
          <t>120124</t>
        </is>
      </c>
      <c r="C452" s="4108" t="inlineStr">
        <is>
          <t>135792468</t>
        </is>
      </c>
      <c r="D452" s="4108" t="inlineStr">
        <is>
          <t>202112</t>
        </is>
      </c>
      <c r="E452" s="4108" t="inlineStr">
        <is>
          <t>0,000000000000</t>
        </is>
      </c>
    </row>
    <row outlineLevel="0" r="453">
      <c r="A453" s="4108" t="inlineStr">
        <is>
          <t>135792468202112120128</t>
        </is>
      </c>
      <c r="B453" s="4108" t="inlineStr">
        <is>
          <t>120128</t>
        </is>
      </c>
      <c r="C453" s="4108" t="inlineStr">
        <is>
          <t>135792468</t>
        </is>
      </c>
      <c r="D453" s="4108" t="inlineStr">
        <is>
          <t>202112</t>
        </is>
      </c>
      <c r="E453" s="4108" t="inlineStr">
        <is>
          <t>0,000000000000</t>
        </is>
      </c>
    </row>
    <row outlineLevel="0" r="454">
      <c r="A454" s="4108" t="inlineStr">
        <is>
          <t>135792468202112120140</t>
        </is>
      </c>
      <c r="B454" s="4108" t="inlineStr">
        <is>
          <t>120140</t>
        </is>
      </c>
      <c r="C454" s="4108" t="inlineStr">
        <is>
          <t>135792468</t>
        </is>
      </c>
      <c r="D454" s="4108" t="inlineStr">
        <is>
          <t>202112</t>
        </is>
      </c>
      <c r="E454" s="4108" t="inlineStr">
        <is>
          <t>0,000000000000</t>
        </is>
      </c>
    </row>
    <row outlineLevel="0" r="455">
      <c r="A455" s="4108" t="inlineStr">
        <is>
          <t>135792468202112120145</t>
        </is>
      </c>
      <c r="B455" s="4108" t="inlineStr">
        <is>
          <t>120145</t>
        </is>
      </c>
      <c r="C455" s="4108" t="inlineStr">
        <is>
          <t>135792468</t>
        </is>
      </c>
      <c r="D455" s="4108" t="inlineStr">
        <is>
          <t>202112</t>
        </is>
      </c>
      <c r="E455" s="4108" t="inlineStr">
        <is>
          <t>0,000000000000</t>
        </is>
      </c>
    </row>
    <row outlineLevel="0" r="456">
      <c r="A456" s="4108" t="inlineStr">
        <is>
          <t>135792468202112120195</t>
        </is>
      </c>
      <c r="B456" s="4108" t="inlineStr">
        <is>
          <t>120195</t>
        </is>
      </c>
      <c r="C456" s="4108" t="inlineStr">
        <is>
          <t>135792468</t>
        </is>
      </c>
      <c r="D456" s="4108" t="inlineStr">
        <is>
          <t>202112</t>
        </is>
      </c>
      <c r="E456" s="4108" t="inlineStr">
        <is>
          <t>-5944,000000000000</t>
        </is>
      </c>
    </row>
    <row outlineLevel="0" r="457">
      <c r="A457" s="4108" t="inlineStr">
        <is>
          <t>135792468202112120501</t>
        </is>
      </c>
      <c r="B457" s="4108" t="inlineStr">
        <is>
          <t>120501</t>
        </is>
      </c>
      <c r="C457" s="4108" t="inlineStr">
        <is>
          <t>135792468</t>
        </is>
      </c>
      <c r="D457" s="4108" t="inlineStr">
        <is>
          <t>202112</t>
        </is>
      </c>
      <c r="E457" s="4108" t="inlineStr">
        <is>
          <t>0,000000000000</t>
        </is>
      </c>
    </row>
    <row outlineLevel="0" r="458">
      <c r="A458" s="4108" t="inlineStr">
        <is>
          <t>135792468202112120610</t>
        </is>
      </c>
      <c r="B458" s="4108" t="inlineStr">
        <is>
          <t>120610</t>
        </is>
      </c>
      <c r="C458" s="4108" t="inlineStr">
        <is>
          <t>135792468</t>
        </is>
      </c>
      <c r="D458" s="4108" t="inlineStr">
        <is>
          <t>202112</t>
        </is>
      </c>
      <c r="E458" s="4108" t="inlineStr">
        <is>
          <t>0,000000000000</t>
        </is>
      </c>
    </row>
    <row outlineLevel="0" r="459">
      <c r="A459" s="4108" t="inlineStr">
        <is>
          <t>135792468202112120615</t>
        </is>
      </c>
      <c r="B459" s="4108" t="inlineStr">
        <is>
          <t>120615</t>
        </is>
      </c>
      <c r="C459" s="4108" t="inlineStr">
        <is>
          <t>135792468</t>
        </is>
      </c>
      <c r="D459" s="4108" t="inlineStr">
        <is>
          <t>202112</t>
        </is>
      </c>
      <c r="E459" s="4108" t="inlineStr">
        <is>
          <t>0,000000000000</t>
        </is>
      </c>
    </row>
    <row outlineLevel="0" r="460">
      <c r="A460" s="4108" t="inlineStr">
        <is>
          <t>135792468202112120620</t>
        </is>
      </c>
      <c r="B460" s="4108" t="inlineStr">
        <is>
          <t>120620</t>
        </is>
      </c>
      <c r="C460" s="4108" t="inlineStr">
        <is>
          <t>135792468</t>
        </is>
      </c>
      <c r="D460" s="4108" t="inlineStr">
        <is>
          <t>202112</t>
        </is>
      </c>
      <c r="E460" s="4108" t="inlineStr">
        <is>
          <t>0,000000000000</t>
        </is>
      </c>
    </row>
    <row outlineLevel="0" r="461">
      <c r="A461" s="4108" t="inlineStr">
        <is>
          <t>135792468202112121001</t>
        </is>
      </c>
      <c r="B461" s="4108" t="inlineStr">
        <is>
          <t>121001</t>
        </is>
      </c>
      <c r="C461" s="4108" t="inlineStr">
        <is>
          <t>135792468</t>
        </is>
      </c>
      <c r="D461" s="4108" t="inlineStr">
        <is>
          <t>202112</t>
        </is>
      </c>
      <c r="E461" s="4108" t="inlineStr">
        <is>
          <t>0,000000000000</t>
        </is>
      </c>
    </row>
    <row outlineLevel="0" r="462">
      <c r="A462" s="4108" t="inlineStr">
        <is>
          <t>135792468202112121501</t>
        </is>
      </c>
      <c r="B462" s="4108" t="inlineStr">
        <is>
          <t>121501</t>
        </is>
      </c>
      <c r="C462" s="4108" t="inlineStr">
        <is>
          <t>135792468</t>
        </is>
      </c>
      <c r="D462" s="4108" t="inlineStr">
        <is>
          <t>202112</t>
        </is>
      </c>
      <c r="E462" s="4108" t="inlineStr">
        <is>
          <t>0,000000000000</t>
        </is>
      </c>
    </row>
    <row outlineLevel="0" r="463">
      <c r="A463" s="4108" t="inlineStr">
        <is>
          <t>135792468202112123501</t>
        </is>
      </c>
      <c r="B463" s="4108" t="inlineStr">
        <is>
          <t>123501</t>
        </is>
      </c>
      <c r="C463" s="4108" t="inlineStr">
        <is>
          <t>135792468</t>
        </is>
      </c>
      <c r="D463" s="4108" t="inlineStr">
        <is>
          <t>202112</t>
        </is>
      </c>
      <c r="E463" s="4108" t="inlineStr">
        <is>
          <t>0,000000000000</t>
        </is>
      </c>
    </row>
    <row outlineLevel="0" r="464">
      <c r="A464" s="4108" t="inlineStr">
        <is>
          <t>135792468202112125501</t>
        </is>
      </c>
      <c r="B464" s="4108" t="inlineStr">
        <is>
          <t>125501</t>
        </is>
      </c>
      <c r="C464" s="4108" t="inlineStr">
        <is>
          <t>135792468</t>
        </is>
      </c>
      <c r="D464" s="4108" t="inlineStr">
        <is>
          <t>202112</t>
        </is>
      </c>
      <c r="E464" s="4108" t="inlineStr">
        <is>
          <t>0,000000000000</t>
        </is>
      </c>
    </row>
    <row outlineLevel="0" r="465">
      <c r="A465" s="4108" t="inlineStr">
        <is>
          <t>135792468202112126001</t>
        </is>
      </c>
      <c r="B465" s="4108" t="inlineStr">
        <is>
          <t>126001</t>
        </is>
      </c>
      <c r="C465" s="4108" t="inlineStr">
        <is>
          <t>135792468</t>
        </is>
      </c>
      <c r="D465" s="4108" t="inlineStr">
        <is>
          <t>202112</t>
        </is>
      </c>
      <c r="E465" s="4108" t="inlineStr">
        <is>
          <t>0,000000000000</t>
        </is>
      </c>
    </row>
    <row outlineLevel="0" r="466">
      <c r="A466" s="4108" t="inlineStr">
        <is>
          <t>135792468202112129501</t>
        </is>
      </c>
      <c r="B466" s="4108" t="inlineStr">
        <is>
          <t>129501</t>
        </is>
      </c>
      <c r="C466" s="4108" t="inlineStr">
        <is>
          <t>135792468</t>
        </is>
      </c>
      <c r="D466" s="4108" t="inlineStr">
        <is>
          <t>202112</t>
        </is>
      </c>
      <c r="E466" s="4108" t="inlineStr">
        <is>
          <t>0,000000000000</t>
        </is>
      </c>
    </row>
    <row outlineLevel="0" r="467">
      <c r="A467" s="4108" t="inlineStr">
        <is>
          <t>135792468202112129700</t>
        </is>
      </c>
      <c r="B467" s="4108" t="inlineStr">
        <is>
          <t>129700</t>
        </is>
      </c>
      <c r="C467" s="4108" t="inlineStr">
        <is>
          <t>135792468</t>
        </is>
      </c>
      <c r="D467" s="4108" t="inlineStr">
        <is>
          <t>202112</t>
        </is>
      </c>
      <c r="E467" s="4108" t="inlineStr">
        <is>
          <t>0,000000000000</t>
        </is>
      </c>
    </row>
    <row outlineLevel="0" r="468">
      <c r="A468" s="4108" t="inlineStr">
        <is>
          <t>135792468202112129701</t>
        </is>
      </c>
      <c r="B468" s="4108" t="inlineStr">
        <is>
          <t>129701</t>
        </is>
      </c>
      <c r="C468" s="4108" t="inlineStr">
        <is>
          <t>135792468</t>
        </is>
      </c>
      <c r="D468" s="4108" t="inlineStr">
        <is>
          <t>202112</t>
        </is>
      </c>
      <c r="E468" s="4108" t="inlineStr">
        <is>
          <t>0,000000000000</t>
        </is>
      </c>
    </row>
    <row outlineLevel="0" r="469">
      <c r="A469" s="4108" t="inlineStr">
        <is>
          <t>135792468202112129901</t>
        </is>
      </c>
      <c r="B469" s="4108" t="inlineStr">
        <is>
          <t>129901</t>
        </is>
      </c>
      <c r="C469" s="4108" t="inlineStr">
        <is>
          <t>135792468</t>
        </is>
      </c>
      <c r="D469" s="4108" t="inlineStr">
        <is>
          <t>202112</t>
        </is>
      </c>
      <c r="E469" s="4108" t="inlineStr">
        <is>
          <t>0,000000000000</t>
        </is>
      </c>
    </row>
    <row outlineLevel="0" r="470">
      <c r="A470" s="4108" t="inlineStr">
        <is>
          <t>135792468202112130506</t>
        </is>
      </c>
      <c r="B470" s="4108" t="inlineStr">
        <is>
          <t>130506</t>
        </is>
      </c>
      <c r="C470" s="4108" t="inlineStr">
        <is>
          <t>135792468</t>
        </is>
      </c>
      <c r="D470" s="4108" t="inlineStr">
        <is>
          <t>202112</t>
        </is>
      </c>
      <c r="E470" s="4108" t="inlineStr">
        <is>
          <t>0,000000000000</t>
        </is>
      </c>
    </row>
    <row outlineLevel="0" r="471">
      <c r="A471" s="4108" t="inlineStr">
        <is>
          <t>135792468202112130510</t>
        </is>
      </c>
      <c r="B471" s="4108" t="inlineStr">
        <is>
          <t>130510</t>
        </is>
      </c>
      <c r="C471" s="4108" t="inlineStr">
        <is>
          <t>135792468</t>
        </is>
      </c>
      <c r="D471" s="4108" t="inlineStr">
        <is>
          <t>202112</t>
        </is>
      </c>
      <c r="E471" s="4108" t="inlineStr">
        <is>
          <t>0,000000000000</t>
        </is>
      </c>
    </row>
    <row outlineLevel="0" r="472">
      <c r="A472" s="4108" t="inlineStr">
        <is>
          <t>135792468202112130511</t>
        </is>
      </c>
      <c r="B472" s="4108" t="inlineStr">
        <is>
          <t>130511</t>
        </is>
      </c>
      <c r="C472" s="4108" t="inlineStr">
        <is>
          <t>135792468</t>
        </is>
      </c>
      <c r="D472" s="4108" t="inlineStr">
        <is>
          <t>202112</t>
        </is>
      </c>
      <c r="E472" s="4108" t="inlineStr">
        <is>
          <t>0,000000000000</t>
        </is>
      </c>
    </row>
    <row outlineLevel="0" r="473">
      <c r="A473" s="4108" t="inlineStr">
        <is>
          <t>135792468202112131000</t>
        </is>
      </c>
      <c r="B473" s="4108" t="inlineStr">
        <is>
          <t>131000</t>
        </is>
      </c>
      <c r="C473" s="4108" t="inlineStr">
        <is>
          <t>135792468</t>
        </is>
      </c>
      <c r="D473" s="4108" t="inlineStr">
        <is>
          <t>202112</t>
        </is>
      </c>
      <c r="E473" s="4108" t="inlineStr">
        <is>
          <t>0,000000000000</t>
        </is>
      </c>
    </row>
    <row outlineLevel="0" r="474">
      <c r="A474" s="4108" t="inlineStr">
        <is>
          <t>135792468202112131001</t>
        </is>
      </c>
      <c r="B474" s="4108" t="inlineStr">
        <is>
          <t>131001</t>
        </is>
      </c>
      <c r="C474" s="4108" t="inlineStr">
        <is>
          <t>135792468</t>
        </is>
      </c>
      <c r="D474" s="4108" t="inlineStr">
        <is>
          <t>202112</t>
        </is>
      </c>
      <c r="E474" s="4108" t="inlineStr">
        <is>
          <t>0,000000000000</t>
        </is>
      </c>
    </row>
    <row outlineLevel="0" r="475">
      <c r="A475" s="4108" t="inlineStr">
        <is>
          <t>135792468202112131501</t>
        </is>
      </c>
      <c r="B475" s="4108" t="inlineStr">
        <is>
          <t>131501</t>
        </is>
      </c>
      <c r="C475" s="4108" t="inlineStr">
        <is>
          <t>135792468</t>
        </is>
      </c>
      <c r="D475" s="4108" t="inlineStr">
        <is>
          <t>202112</t>
        </is>
      </c>
      <c r="E475" s="4108" t="inlineStr">
        <is>
          <t>0,000000000000</t>
        </is>
      </c>
    </row>
    <row outlineLevel="0" r="476">
      <c r="A476" s="4108" t="inlineStr">
        <is>
          <t>135792468202112132000</t>
        </is>
      </c>
      <c r="B476" s="4108" t="inlineStr">
        <is>
          <t>132000</t>
        </is>
      </c>
      <c r="C476" s="4108" t="inlineStr">
        <is>
          <t>135792468</t>
        </is>
      </c>
      <c r="D476" s="4108" t="inlineStr">
        <is>
          <t>202112</t>
        </is>
      </c>
      <c r="E476" s="4108" t="inlineStr">
        <is>
          <t>0,000000000000</t>
        </is>
      </c>
    </row>
    <row outlineLevel="0" r="477">
      <c r="A477" s="4108" t="inlineStr">
        <is>
          <t>135792468202112132001</t>
        </is>
      </c>
      <c r="B477" s="4108" t="inlineStr">
        <is>
          <t>132001</t>
        </is>
      </c>
      <c r="C477" s="4108" t="inlineStr">
        <is>
          <t>135792468</t>
        </is>
      </c>
      <c r="D477" s="4108" t="inlineStr">
        <is>
          <t>202112</t>
        </is>
      </c>
      <c r="E477" s="4108" t="inlineStr">
        <is>
          <t>0,000000000000</t>
        </is>
      </c>
    </row>
    <row outlineLevel="0" r="478">
      <c r="A478" s="4108" t="inlineStr">
        <is>
          <t>135792468202112132500</t>
        </is>
      </c>
      <c r="B478" s="4108" t="inlineStr">
        <is>
          <t>132500</t>
        </is>
      </c>
      <c r="C478" s="4108" t="inlineStr">
        <is>
          <t>135792468</t>
        </is>
      </c>
      <c r="D478" s="4108" t="inlineStr">
        <is>
          <t>202112</t>
        </is>
      </c>
      <c r="E478" s="4108" t="inlineStr">
        <is>
          <t>0,000000000000</t>
        </is>
      </c>
    </row>
    <row outlineLevel="0" r="479">
      <c r="A479" s="4108" t="inlineStr">
        <is>
          <t>135792468202112132501</t>
        </is>
      </c>
      <c r="B479" s="4108" t="inlineStr">
        <is>
          <t>132501</t>
        </is>
      </c>
      <c r="C479" s="4108" t="inlineStr">
        <is>
          <t>135792468</t>
        </is>
      </c>
      <c r="D479" s="4108" t="inlineStr">
        <is>
          <t>202112</t>
        </is>
      </c>
      <c r="E479" s="4108" t="inlineStr">
        <is>
          <t>0,000000000000</t>
        </is>
      </c>
    </row>
    <row outlineLevel="0" r="480">
      <c r="A480" s="4108" t="inlineStr">
        <is>
          <t>135792468202112133000</t>
        </is>
      </c>
      <c r="B480" s="4108" t="inlineStr">
        <is>
          <t>133000</t>
        </is>
      </c>
      <c r="C480" s="4108" t="inlineStr">
        <is>
          <t>135792468</t>
        </is>
      </c>
      <c r="D480" s="4108" t="inlineStr">
        <is>
          <t>202112</t>
        </is>
      </c>
      <c r="E480" s="4108" t="inlineStr">
        <is>
          <t>0,000000000000</t>
        </is>
      </c>
    </row>
    <row outlineLevel="0" r="481">
      <c r="A481" s="4108" t="inlineStr">
        <is>
          <t>135792468202112133001</t>
        </is>
      </c>
      <c r="B481" s="4108" t="inlineStr">
        <is>
          <t>133001</t>
        </is>
      </c>
      <c r="C481" s="4108" t="inlineStr">
        <is>
          <t>135792468</t>
        </is>
      </c>
      <c r="D481" s="4108" t="inlineStr">
        <is>
          <t>202112</t>
        </is>
      </c>
      <c r="E481" s="4108" t="inlineStr">
        <is>
          <t>0,000000000000</t>
        </is>
      </c>
    </row>
    <row outlineLevel="0" r="482">
      <c r="A482" s="4108" t="inlineStr">
        <is>
          <t>135792468202112133500</t>
        </is>
      </c>
      <c r="B482" s="4108" t="inlineStr">
        <is>
          <t>133500</t>
        </is>
      </c>
      <c r="C482" s="4108" t="inlineStr">
        <is>
          <t>135792468</t>
        </is>
      </c>
      <c r="D482" s="4108" t="inlineStr">
        <is>
          <t>202112</t>
        </is>
      </c>
      <c r="E482" s="4108" t="inlineStr">
        <is>
          <t>44,000000000000</t>
        </is>
      </c>
    </row>
    <row outlineLevel="0" r="483">
      <c r="A483" s="4108" t="inlineStr">
        <is>
          <t>135792468202112133501</t>
        </is>
      </c>
      <c r="B483" s="4108" t="inlineStr">
        <is>
          <t>133501</t>
        </is>
      </c>
      <c r="C483" s="4108" t="inlineStr">
        <is>
          <t>135792468</t>
        </is>
      </c>
      <c r="D483" s="4108" t="inlineStr">
        <is>
          <t>202112</t>
        </is>
      </c>
      <c r="E483" s="4108" t="inlineStr">
        <is>
          <t>0,000000000000</t>
        </is>
      </c>
    </row>
    <row outlineLevel="0" r="484">
      <c r="A484" s="4108" t="inlineStr">
        <is>
          <t>135792468202112134000</t>
        </is>
      </c>
      <c r="B484" s="4108" t="inlineStr">
        <is>
          <t>134000</t>
        </is>
      </c>
      <c r="C484" s="4108" t="inlineStr">
        <is>
          <t>135792468</t>
        </is>
      </c>
      <c r="D484" s="4108" t="inlineStr">
        <is>
          <t>202112</t>
        </is>
      </c>
      <c r="E484" s="4108" t="inlineStr">
        <is>
          <t>0,000000000000</t>
        </is>
      </c>
    </row>
    <row outlineLevel="0" r="485">
      <c r="A485" s="4108" t="inlineStr">
        <is>
          <t>135792468202112134001</t>
        </is>
      </c>
      <c r="B485" s="4108" t="inlineStr">
        <is>
          <t>134001</t>
        </is>
      </c>
      <c r="C485" s="4108" t="inlineStr">
        <is>
          <t>135792468</t>
        </is>
      </c>
      <c r="D485" s="4108" t="inlineStr">
        <is>
          <t>202112</t>
        </is>
      </c>
      <c r="E485" s="4108" t="inlineStr">
        <is>
          <t>0,000000000000</t>
        </is>
      </c>
    </row>
    <row outlineLevel="0" r="486">
      <c r="A486" s="4108" t="inlineStr">
        <is>
          <t>135792468202112134500</t>
        </is>
      </c>
      <c r="B486" s="4108" t="inlineStr">
        <is>
          <t>134500</t>
        </is>
      </c>
      <c r="C486" s="4108" t="inlineStr">
        <is>
          <t>135792468</t>
        </is>
      </c>
      <c r="D486" s="4108" t="inlineStr">
        <is>
          <t>202112</t>
        </is>
      </c>
      <c r="E486" s="4108" t="inlineStr">
        <is>
          <t>0,000000000000</t>
        </is>
      </c>
    </row>
    <row outlineLevel="0" r="487">
      <c r="A487" s="4108" t="inlineStr">
        <is>
          <t>135792468202112134501</t>
        </is>
      </c>
      <c r="B487" s="4108" t="inlineStr">
        <is>
          <t>134501</t>
        </is>
      </c>
      <c r="C487" s="4108" t="inlineStr">
        <is>
          <t>135792468</t>
        </is>
      </c>
      <c r="D487" s="4108" t="inlineStr">
        <is>
          <t>202112</t>
        </is>
      </c>
      <c r="E487" s="4108" t="inlineStr">
        <is>
          <t>0,000000000000</t>
        </is>
      </c>
    </row>
    <row outlineLevel="0" r="488">
      <c r="A488" s="4108" t="inlineStr">
        <is>
          <t>135792468202112135000</t>
        </is>
      </c>
      <c r="B488" s="4108" t="inlineStr">
        <is>
          <t>135000</t>
        </is>
      </c>
      <c r="C488" s="4108" t="inlineStr">
        <is>
          <t>135792468</t>
        </is>
      </c>
      <c r="D488" s="4108" t="inlineStr">
        <is>
          <t>202112</t>
        </is>
      </c>
      <c r="E488" s="4108" t="inlineStr">
        <is>
          <t>0,000000000000</t>
        </is>
      </c>
    </row>
    <row outlineLevel="0" r="489">
      <c r="A489" s="4108" t="inlineStr">
        <is>
          <t>135792468202112135001</t>
        </is>
      </c>
      <c r="B489" s="4108" t="inlineStr">
        <is>
          <t>135001</t>
        </is>
      </c>
      <c r="C489" s="4108" t="inlineStr">
        <is>
          <t>135792468</t>
        </is>
      </c>
      <c r="D489" s="4108" t="inlineStr">
        <is>
          <t>202112</t>
        </is>
      </c>
      <c r="E489" s="4108" t="inlineStr">
        <is>
          <t>0,000000000000</t>
        </is>
      </c>
    </row>
    <row outlineLevel="0" r="490">
      <c r="A490" s="4108" t="inlineStr">
        <is>
          <t>135792468202112135500</t>
        </is>
      </c>
      <c r="B490" s="4108" t="inlineStr">
        <is>
          <t>135500</t>
        </is>
      </c>
      <c r="C490" s="4108" t="inlineStr">
        <is>
          <t>135792468</t>
        </is>
      </c>
      <c r="D490" s="4108" t="inlineStr">
        <is>
          <t>202112</t>
        </is>
      </c>
      <c r="E490" s="4108" t="inlineStr">
        <is>
          <t>0,000000000000</t>
        </is>
      </c>
    </row>
    <row outlineLevel="0" r="491">
      <c r="A491" s="4108" t="inlineStr">
        <is>
          <t>135792468202112135501</t>
        </is>
      </c>
      <c r="B491" s="4108" t="inlineStr">
        <is>
          <t>135501</t>
        </is>
      </c>
      <c r="C491" s="4108" t="inlineStr">
        <is>
          <t>135792468</t>
        </is>
      </c>
      <c r="D491" s="4108" t="inlineStr">
        <is>
          <t>202112</t>
        </is>
      </c>
      <c r="E491" s="4108" t="inlineStr">
        <is>
          <t>0,000000000000</t>
        </is>
      </c>
    </row>
    <row outlineLevel="0" r="492">
      <c r="A492" s="4108" t="inlineStr">
        <is>
          <t>135792468202112136000</t>
        </is>
      </c>
      <c r="B492" s="4108" t="inlineStr">
        <is>
          <t>136000</t>
        </is>
      </c>
      <c r="C492" s="4108" t="inlineStr">
        <is>
          <t>135792468</t>
        </is>
      </c>
      <c r="D492" s="4108" t="inlineStr">
        <is>
          <t>202112</t>
        </is>
      </c>
      <c r="E492" s="4108" t="inlineStr">
        <is>
          <t>0,000000000000</t>
        </is>
      </c>
    </row>
    <row outlineLevel="0" r="493">
      <c r="A493" s="4108" t="inlineStr">
        <is>
          <t>135792468202112136001</t>
        </is>
      </c>
      <c r="B493" s="4108" t="inlineStr">
        <is>
          <t>136001</t>
        </is>
      </c>
      <c r="C493" s="4108" t="inlineStr">
        <is>
          <t>135792468</t>
        </is>
      </c>
      <c r="D493" s="4108" t="inlineStr">
        <is>
          <t>202112</t>
        </is>
      </c>
      <c r="E493" s="4108" t="inlineStr">
        <is>
          <t>0,000000000000</t>
        </is>
      </c>
    </row>
    <row outlineLevel="0" r="494">
      <c r="A494" s="4108" t="inlineStr">
        <is>
          <t>135792468202112136500</t>
        </is>
      </c>
      <c r="B494" s="4108" t="inlineStr">
        <is>
          <t>136500</t>
        </is>
      </c>
      <c r="C494" s="4108" t="inlineStr">
        <is>
          <t>135792468</t>
        </is>
      </c>
      <c r="D494" s="4108" t="inlineStr">
        <is>
          <t>202112</t>
        </is>
      </c>
      <c r="E494" s="4108" t="inlineStr">
        <is>
          <t>0,000000000000</t>
        </is>
      </c>
    </row>
    <row outlineLevel="0" r="495">
      <c r="A495" s="4108" t="inlineStr">
        <is>
          <t>135792468202112136501</t>
        </is>
      </c>
      <c r="B495" s="4108" t="inlineStr">
        <is>
          <t>136501</t>
        </is>
      </c>
      <c r="C495" s="4108" t="inlineStr">
        <is>
          <t>135792468</t>
        </is>
      </c>
      <c r="D495" s="4108" t="inlineStr">
        <is>
          <t>202112</t>
        </is>
      </c>
      <c r="E495" s="4108" t="inlineStr">
        <is>
          <t>0,000000000000</t>
        </is>
      </c>
    </row>
    <row outlineLevel="0" r="496">
      <c r="A496" s="4108" t="inlineStr">
        <is>
          <t>135792468202112137000</t>
        </is>
      </c>
      <c r="B496" s="4108" t="inlineStr">
        <is>
          <t>137000</t>
        </is>
      </c>
      <c r="C496" s="4108" t="inlineStr">
        <is>
          <t>135792468</t>
        </is>
      </c>
      <c r="D496" s="4108" t="inlineStr">
        <is>
          <t>202112</t>
        </is>
      </c>
      <c r="E496" s="4108" t="inlineStr">
        <is>
          <t>0,000000000000</t>
        </is>
      </c>
    </row>
    <row outlineLevel="0" r="497">
      <c r="A497" s="4108" t="inlineStr">
        <is>
          <t>135792468202112137001</t>
        </is>
      </c>
      <c r="B497" s="4108" t="inlineStr">
        <is>
          <t>137001</t>
        </is>
      </c>
      <c r="C497" s="4108" t="inlineStr">
        <is>
          <t>135792468</t>
        </is>
      </c>
      <c r="D497" s="4108" t="inlineStr">
        <is>
          <t>202112</t>
        </is>
      </c>
      <c r="E497" s="4108" t="inlineStr">
        <is>
          <t>0,000000000000</t>
        </is>
      </c>
    </row>
    <row outlineLevel="0" r="498">
      <c r="A498" s="4108" t="inlineStr">
        <is>
          <t>135792468202112138001</t>
        </is>
      </c>
      <c r="B498" s="4108" t="inlineStr">
        <is>
          <t>138001</t>
        </is>
      </c>
      <c r="C498" s="4108" t="inlineStr">
        <is>
          <t>135792468</t>
        </is>
      </c>
      <c r="D498" s="4108" t="inlineStr">
        <is>
          <t>202112</t>
        </is>
      </c>
      <c r="E498" s="4108" t="inlineStr">
        <is>
          <t>0,000000000000</t>
        </is>
      </c>
    </row>
    <row outlineLevel="0" r="499">
      <c r="A499" s="4108" t="inlineStr">
        <is>
          <t>135792468202112138501</t>
        </is>
      </c>
      <c r="B499" s="4108" t="inlineStr">
        <is>
          <t>138501</t>
        </is>
      </c>
      <c r="C499" s="4108" t="inlineStr">
        <is>
          <t>135792468</t>
        </is>
      </c>
      <c r="D499" s="4108" t="inlineStr">
        <is>
          <t>202112</t>
        </is>
      </c>
      <c r="E499" s="4108" t="inlineStr">
        <is>
          <t>0,000000000000</t>
        </is>
      </c>
    </row>
    <row outlineLevel="0" r="500">
      <c r="A500" s="4108" t="inlineStr">
        <is>
          <t>135792468202112139000</t>
        </is>
      </c>
      <c r="B500" s="4108" t="inlineStr">
        <is>
          <t>139000</t>
        </is>
      </c>
      <c r="C500" s="4108" t="inlineStr">
        <is>
          <t>135792468</t>
        </is>
      </c>
      <c r="D500" s="4108" t="inlineStr">
        <is>
          <t>202112</t>
        </is>
      </c>
      <c r="E500" s="4108" t="inlineStr">
        <is>
          <t>0,000000000000</t>
        </is>
      </c>
    </row>
    <row outlineLevel="0" r="501">
      <c r="A501" s="4108" t="inlineStr">
        <is>
          <t>135792468202112139001</t>
        </is>
      </c>
      <c r="B501" s="4108" t="inlineStr">
        <is>
          <t>139001</t>
        </is>
      </c>
      <c r="C501" s="4108" t="inlineStr">
        <is>
          <t>135792468</t>
        </is>
      </c>
      <c r="D501" s="4108" t="inlineStr">
        <is>
          <t>202112</t>
        </is>
      </c>
      <c r="E501" s="4108" t="inlineStr">
        <is>
          <t>0,000000000000</t>
        </is>
      </c>
    </row>
    <row outlineLevel="0" r="502">
      <c r="A502" s="4108" t="inlineStr">
        <is>
          <t>135792468202112139500</t>
        </is>
      </c>
      <c r="B502" s="4108" t="inlineStr">
        <is>
          <t>139500</t>
        </is>
      </c>
      <c r="C502" s="4108" t="inlineStr">
        <is>
          <t>135792468</t>
        </is>
      </c>
      <c r="D502" s="4108" t="inlineStr">
        <is>
          <t>202112</t>
        </is>
      </c>
      <c r="E502" s="4108" t="inlineStr">
        <is>
          <t>0,000000000000</t>
        </is>
      </c>
    </row>
    <row outlineLevel="0" r="503">
      <c r="A503" s="4108" t="inlineStr">
        <is>
          <t>135792468202112139901</t>
        </is>
      </c>
      <c r="B503" s="4108" t="inlineStr">
        <is>
          <t>139901</t>
        </is>
      </c>
      <c r="C503" s="4108" t="inlineStr">
        <is>
          <t>135792468</t>
        </is>
      </c>
      <c r="D503" s="4108" t="inlineStr">
        <is>
          <t>202112</t>
        </is>
      </c>
      <c r="E503" s="4108" t="inlineStr">
        <is>
          <t>0,000000000000</t>
        </is>
      </c>
    </row>
    <row outlineLevel="0" r="504">
      <c r="A504" s="4108" t="inlineStr">
        <is>
          <t>135792468202112139905</t>
        </is>
      </c>
      <c r="B504" s="4108" t="inlineStr">
        <is>
          <t>139905</t>
        </is>
      </c>
      <c r="C504" s="4108" t="inlineStr">
        <is>
          <t>135792468</t>
        </is>
      </c>
      <c r="D504" s="4108" t="inlineStr">
        <is>
          <t>202112</t>
        </is>
      </c>
      <c r="E504" s="4108" t="inlineStr">
        <is>
          <t>0,000000000000</t>
        </is>
      </c>
    </row>
    <row outlineLevel="0" r="505">
      <c r="A505" s="4108" t="inlineStr">
        <is>
          <t>135792468202112140005</t>
        </is>
      </c>
      <c r="B505" s="4108" t="inlineStr">
        <is>
          <t>140005</t>
        </is>
      </c>
      <c r="C505" s="4108" t="inlineStr">
        <is>
          <t>135792468</t>
        </is>
      </c>
      <c r="D505" s="4108" t="inlineStr">
        <is>
          <t>202112</t>
        </is>
      </c>
      <c r="E505" s="4108" t="inlineStr">
        <is>
          <t>0,000000000000</t>
        </is>
      </c>
    </row>
    <row outlineLevel="0" r="506">
      <c r="A506" s="4108" t="inlineStr">
        <is>
          <t>135792468202112140010</t>
        </is>
      </c>
      <c r="B506" s="4108" t="inlineStr">
        <is>
          <t>140010</t>
        </is>
      </c>
      <c r="C506" s="4108" t="inlineStr">
        <is>
          <t>135792468</t>
        </is>
      </c>
      <c r="D506" s="4108" t="inlineStr">
        <is>
          <t>202112</t>
        </is>
      </c>
      <c r="E506" s="4108" t="inlineStr">
        <is>
          <t>0,000000000000</t>
        </is>
      </c>
    </row>
    <row outlineLevel="0" r="507">
      <c r="A507" s="4108" t="inlineStr">
        <is>
          <t>135792468202112142500</t>
        </is>
      </c>
      <c r="B507" s="4108" t="inlineStr">
        <is>
          <t>142500</t>
        </is>
      </c>
      <c r="C507" s="4108" t="inlineStr">
        <is>
          <t>135792468</t>
        </is>
      </c>
      <c r="D507" s="4108" t="inlineStr">
        <is>
          <t>202112</t>
        </is>
      </c>
      <c r="E507" s="4108" t="inlineStr">
        <is>
          <t>0,000000000000</t>
        </is>
      </c>
    </row>
    <row outlineLevel="0" r="508">
      <c r="A508" s="4108" t="inlineStr">
        <is>
          <t>135792468202112143500</t>
        </is>
      </c>
      <c r="B508" s="4108" t="inlineStr">
        <is>
          <t>143500</t>
        </is>
      </c>
      <c r="C508" s="4108" t="inlineStr">
        <is>
          <t>135792468</t>
        </is>
      </c>
      <c r="D508" s="4108" t="inlineStr">
        <is>
          <t>202112</t>
        </is>
      </c>
      <c r="E508" s="4108" t="inlineStr">
        <is>
          <t>0,000000000000</t>
        </is>
      </c>
    </row>
    <row outlineLevel="0" r="509">
      <c r="A509" s="4108" t="inlineStr">
        <is>
          <t>135792468202112145500</t>
        </is>
      </c>
      <c r="B509" s="4108" t="inlineStr">
        <is>
          <t>145500</t>
        </is>
      </c>
      <c r="C509" s="4108" t="inlineStr">
        <is>
          <t>135792468</t>
        </is>
      </c>
      <c r="D509" s="4108" t="inlineStr">
        <is>
          <t>202112</t>
        </is>
      </c>
      <c r="E509" s="4108" t="inlineStr">
        <is>
          <t>0,000000000000</t>
        </is>
      </c>
    </row>
    <row outlineLevel="0" r="510">
      <c r="A510" s="4108" t="inlineStr">
        <is>
          <t>135792468202112146000</t>
        </is>
      </c>
      <c r="B510" s="4108" t="inlineStr">
        <is>
          <t>146000</t>
        </is>
      </c>
      <c r="C510" s="4108" t="inlineStr">
        <is>
          <t>135792468</t>
        </is>
      </c>
      <c r="D510" s="4108" t="inlineStr">
        <is>
          <t>202112</t>
        </is>
      </c>
      <c r="E510" s="4108" t="inlineStr">
        <is>
          <t>0,000000000000</t>
        </is>
      </c>
    </row>
    <row outlineLevel="0" r="511">
      <c r="A511" s="4108" t="inlineStr">
        <is>
          <t>135792468202112149510</t>
        </is>
      </c>
      <c r="B511" s="4108" t="inlineStr">
        <is>
          <t>149510</t>
        </is>
      </c>
      <c r="C511" s="4108" t="inlineStr">
        <is>
          <t>135792468</t>
        </is>
      </c>
      <c r="D511" s="4108" t="inlineStr">
        <is>
          <t>202112</t>
        </is>
      </c>
      <c r="E511" s="4108" t="inlineStr">
        <is>
          <t>0,000000000000</t>
        </is>
      </c>
    </row>
    <row outlineLevel="0" r="512">
      <c r="A512" s="4108" t="inlineStr">
        <is>
          <t>135792468202112149900</t>
        </is>
      </c>
      <c r="B512" s="4108" t="inlineStr">
        <is>
          <t>149900</t>
        </is>
      </c>
      <c r="C512" s="4108" t="inlineStr">
        <is>
          <t>135792468</t>
        </is>
      </c>
      <c r="D512" s="4108" t="inlineStr">
        <is>
          <t>202112</t>
        </is>
      </c>
      <c r="E512" s="4108" t="inlineStr">
        <is>
          <t>0,000000000000</t>
        </is>
      </c>
    </row>
    <row outlineLevel="0" r="513">
      <c r="A513" s="4108" t="inlineStr">
        <is>
          <t>135792468202112149901</t>
        </is>
      </c>
      <c r="B513" s="4108" t="inlineStr">
        <is>
          <t>149901</t>
        </is>
      </c>
      <c r="C513" s="4108" t="inlineStr">
        <is>
          <t>135792468</t>
        </is>
      </c>
      <c r="D513" s="4108" t="inlineStr">
        <is>
          <t>202112</t>
        </is>
      </c>
      <c r="E513" s="4108" t="inlineStr">
        <is>
          <t>0,000000000000</t>
        </is>
      </c>
    </row>
    <row outlineLevel="0" r="514">
      <c r="A514" s="4108" t="inlineStr">
        <is>
          <t>135792468202112149902</t>
        </is>
      </c>
      <c r="B514" s="4108" t="inlineStr">
        <is>
          <t>149902</t>
        </is>
      </c>
      <c r="C514" s="4108" t="inlineStr">
        <is>
          <t>135792468</t>
        </is>
      </c>
      <c r="D514" s="4108" t="inlineStr">
        <is>
          <t>202112</t>
        </is>
      </c>
      <c r="E514" s="4108" t="inlineStr">
        <is>
          <t>0,000000000000</t>
        </is>
      </c>
    </row>
    <row outlineLevel="0" r="515">
      <c r="A515" s="4108" t="inlineStr">
        <is>
          <t>135792468202112149910</t>
        </is>
      </c>
      <c r="B515" s="4108" t="inlineStr">
        <is>
          <t>149910</t>
        </is>
      </c>
      <c r="C515" s="4108" t="inlineStr">
        <is>
          <t>135792468</t>
        </is>
      </c>
      <c r="D515" s="4108" t="inlineStr">
        <is>
          <t>202112</t>
        </is>
      </c>
      <c r="E515" s="4108" t="inlineStr">
        <is>
          <t>0,000000000000</t>
        </is>
      </c>
    </row>
    <row outlineLevel="0" r="516">
      <c r="A516" s="4108" t="inlineStr">
        <is>
          <t>135792468202112151201</t>
        </is>
      </c>
      <c r="B516" s="4108" t="inlineStr">
        <is>
          <t>151201</t>
        </is>
      </c>
      <c r="C516" s="4108" t="inlineStr">
        <is>
          <t>135792468</t>
        </is>
      </c>
      <c r="D516" s="4108" t="inlineStr">
        <is>
          <t>202112</t>
        </is>
      </c>
      <c r="E516" s="4108" t="inlineStr">
        <is>
          <t>0,000000000000</t>
        </is>
      </c>
    </row>
    <row outlineLevel="0" r="517">
      <c r="A517" s="4108" t="inlineStr">
        <is>
          <t>135792468202112155601</t>
        </is>
      </c>
      <c r="B517" s="4108" t="inlineStr">
        <is>
          <t>155601</t>
        </is>
      </c>
      <c r="C517" s="4108" t="inlineStr">
        <is>
          <t>135792468</t>
        </is>
      </c>
      <c r="D517" s="4108" t="inlineStr">
        <is>
          <t>202112</t>
        </is>
      </c>
      <c r="E517" s="4108" t="inlineStr">
        <is>
          <t>0,000000000000</t>
        </is>
      </c>
    </row>
    <row outlineLevel="0" r="518">
      <c r="A518" s="4108" t="inlineStr">
        <is>
          <t>135792468202112156001</t>
        </is>
      </c>
      <c r="B518" s="4108" t="inlineStr">
        <is>
          <t>156001</t>
        </is>
      </c>
      <c r="C518" s="4108" t="inlineStr">
        <is>
          <t>135792468</t>
        </is>
      </c>
      <c r="D518" s="4108" t="inlineStr">
        <is>
          <t>202112</t>
        </is>
      </c>
      <c r="E518" s="4108" t="inlineStr">
        <is>
          <t>0,000000000000</t>
        </is>
      </c>
    </row>
    <row outlineLevel="0" r="519">
      <c r="A519" s="4108" t="inlineStr">
        <is>
          <t>135792468202112156401</t>
        </is>
      </c>
      <c r="B519" s="4108" t="inlineStr">
        <is>
          <t>156401</t>
        </is>
      </c>
      <c r="C519" s="4108" t="inlineStr">
        <is>
          <t>135792468</t>
        </is>
      </c>
      <c r="D519" s="4108" t="inlineStr">
        <is>
          <t>202112</t>
        </is>
      </c>
      <c r="E519" s="4108" t="inlineStr">
        <is>
          <t>0,000000000000</t>
        </is>
      </c>
    </row>
    <row outlineLevel="0" r="520">
      <c r="A520" s="4108" t="inlineStr">
        <is>
          <t>135792468202112157201</t>
        </is>
      </c>
      <c r="B520" s="4108" t="inlineStr">
        <is>
          <t>157201</t>
        </is>
      </c>
      <c r="C520" s="4108" t="inlineStr">
        <is>
          <t>135792468</t>
        </is>
      </c>
      <c r="D520" s="4108" t="inlineStr">
        <is>
          <t>202112</t>
        </is>
      </c>
      <c r="E520" s="4108" t="inlineStr">
        <is>
          <t>0,000000000000</t>
        </is>
      </c>
    </row>
    <row outlineLevel="0" r="521">
      <c r="A521" s="4108" t="inlineStr">
        <is>
          <t>135792468202112157601</t>
        </is>
      </c>
      <c r="B521" s="4108" t="inlineStr">
        <is>
          <t>157601</t>
        </is>
      </c>
      <c r="C521" s="4108" t="inlineStr">
        <is>
          <t>135792468</t>
        </is>
      </c>
      <c r="D521" s="4108" t="inlineStr">
        <is>
          <t>202112</t>
        </is>
      </c>
      <c r="E521" s="4108" t="inlineStr">
        <is>
          <t>0,000000000000</t>
        </is>
      </c>
    </row>
    <row outlineLevel="0" r="522">
      <c r="A522" s="4108" t="inlineStr">
        <is>
          <t>135792468202112158401</t>
        </is>
      </c>
      <c r="B522" s="4108" t="inlineStr">
        <is>
          <t>158401</t>
        </is>
      </c>
      <c r="C522" s="4108" t="inlineStr">
        <is>
          <t>135792468</t>
        </is>
      </c>
      <c r="D522" s="4108" t="inlineStr">
        <is>
          <t>202112</t>
        </is>
      </c>
      <c r="E522" s="4108" t="inlineStr">
        <is>
          <t>0,000000000000</t>
        </is>
      </c>
    </row>
    <row outlineLevel="0" r="523">
      <c r="A523" s="4108" t="inlineStr">
        <is>
          <t>135792468202112158801</t>
        </is>
      </c>
      <c r="B523" s="4108" t="inlineStr">
        <is>
          <t>158801</t>
        </is>
      </c>
      <c r="C523" s="4108" t="inlineStr">
        <is>
          <t>135792468</t>
        </is>
      </c>
      <c r="D523" s="4108" t="inlineStr">
        <is>
          <t>202112</t>
        </is>
      </c>
      <c r="E523" s="4108" t="inlineStr">
        <is>
          <t>0,000000000000</t>
        </is>
      </c>
    </row>
    <row outlineLevel="0" r="524">
      <c r="A524" s="4108" t="inlineStr">
        <is>
          <t>135792468202112159701</t>
        </is>
      </c>
      <c r="B524" s="4108" t="inlineStr">
        <is>
          <t>159701</t>
        </is>
      </c>
      <c r="C524" s="4108" t="inlineStr">
        <is>
          <t>135792468</t>
        </is>
      </c>
      <c r="D524" s="4108" t="inlineStr">
        <is>
          <t>202112</t>
        </is>
      </c>
      <c r="E524" s="4108" t="inlineStr">
        <is>
          <t>0,000000000000</t>
        </is>
      </c>
    </row>
    <row outlineLevel="0" r="525">
      <c r="A525" s="4108" t="inlineStr">
        <is>
          <t>135792468202112159899</t>
        </is>
      </c>
      <c r="B525" s="4108" t="inlineStr">
        <is>
          <t>159899</t>
        </is>
      </c>
      <c r="C525" s="4108" t="inlineStr">
        <is>
          <t>135792468</t>
        </is>
      </c>
      <c r="D525" s="4108" t="inlineStr">
        <is>
          <t>202112</t>
        </is>
      </c>
      <c r="E525" s="4108" t="inlineStr">
        <is>
          <t>0,000000000000</t>
        </is>
      </c>
    </row>
    <row outlineLevel="0" r="526">
      <c r="A526" s="4108" t="inlineStr">
        <is>
          <t>135792468202112159901</t>
        </is>
      </c>
      <c r="B526" s="4108" t="inlineStr">
        <is>
          <t>159901</t>
        </is>
      </c>
      <c r="C526" s="4108" t="inlineStr">
        <is>
          <t>135792468</t>
        </is>
      </c>
      <c r="D526" s="4108" t="inlineStr">
        <is>
          <t>202112</t>
        </is>
      </c>
      <c r="E526" s="4108" t="inlineStr">
        <is>
          <t>0,000000000000</t>
        </is>
      </c>
    </row>
    <row outlineLevel="0" r="527">
      <c r="A527" s="4108" t="inlineStr">
        <is>
          <t>135792468202112160501</t>
        </is>
      </c>
      <c r="B527" s="4108" t="inlineStr">
        <is>
          <t>160501</t>
        </is>
      </c>
      <c r="C527" s="4108" t="inlineStr">
        <is>
          <t>135792468</t>
        </is>
      </c>
      <c r="D527" s="4108" t="inlineStr">
        <is>
          <t>202112</t>
        </is>
      </c>
      <c r="E527" s="4108" t="inlineStr">
        <is>
          <t>0,000000000000</t>
        </is>
      </c>
    </row>
    <row outlineLevel="0" r="528">
      <c r="A528" s="4108" t="inlineStr">
        <is>
          <t>135792468202112161001</t>
        </is>
      </c>
      <c r="B528" s="4108" t="inlineStr">
        <is>
          <t>161001</t>
        </is>
      </c>
      <c r="C528" s="4108" t="inlineStr">
        <is>
          <t>135792468</t>
        </is>
      </c>
      <c r="D528" s="4108" t="inlineStr">
        <is>
          <t>202112</t>
        </is>
      </c>
      <c r="E528" s="4108" t="inlineStr">
        <is>
          <t>0,000000000000</t>
        </is>
      </c>
    </row>
    <row outlineLevel="0" r="529">
      <c r="A529" s="4108" t="inlineStr">
        <is>
          <t>135792468202112163001</t>
        </is>
      </c>
      <c r="B529" s="4108" t="inlineStr">
        <is>
          <t>163001</t>
        </is>
      </c>
      <c r="C529" s="4108" t="inlineStr">
        <is>
          <t>135792468</t>
        </is>
      </c>
      <c r="D529" s="4108" t="inlineStr">
        <is>
          <t>202112</t>
        </is>
      </c>
      <c r="E529" s="4108" t="inlineStr">
        <is>
          <t>0,000000000000</t>
        </is>
      </c>
    </row>
    <row outlineLevel="0" r="530">
      <c r="A530" s="4108" t="inlineStr">
        <is>
          <t>135792468202112164001</t>
        </is>
      </c>
      <c r="B530" s="4108" t="inlineStr">
        <is>
          <t>164001</t>
        </is>
      </c>
      <c r="C530" s="4108" t="inlineStr">
        <is>
          <t>135792468</t>
        </is>
      </c>
      <c r="D530" s="4108" t="inlineStr">
        <is>
          <t>202112</t>
        </is>
      </c>
      <c r="E530" s="4108" t="inlineStr">
        <is>
          <t>0,000000000000</t>
        </is>
      </c>
    </row>
    <row outlineLevel="0" r="531">
      <c r="A531" s="4108" t="inlineStr">
        <is>
          <t>135792468202112169899</t>
        </is>
      </c>
      <c r="B531" s="4108" t="inlineStr">
        <is>
          <t>169899</t>
        </is>
      </c>
      <c r="C531" s="4108" t="inlineStr">
        <is>
          <t>135792468</t>
        </is>
      </c>
      <c r="D531" s="4108" t="inlineStr">
        <is>
          <t>202112</t>
        </is>
      </c>
      <c r="E531" s="4108" t="inlineStr">
        <is>
          <t>0,000000000000</t>
        </is>
      </c>
    </row>
    <row outlineLevel="0" r="532">
      <c r="A532" s="4108" t="inlineStr">
        <is>
          <t>135792468202112169901</t>
        </is>
      </c>
      <c r="B532" s="4108" t="inlineStr">
        <is>
          <t>169901</t>
        </is>
      </c>
      <c r="C532" s="4108" t="inlineStr">
        <is>
          <t>135792468</t>
        </is>
      </c>
      <c r="D532" s="4108" t="inlineStr">
        <is>
          <t>202112</t>
        </is>
      </c>
      <c r="E532" s="4108" t="inlineStr">
        <is>
          <t>0,000000000000</t>
        </is>
      </c>
    </row>
    <row outlineLevel="0" r="533">
      <c r="A533" s="4108" t="inlineStr">
        <is>
          <t>135792468202112170500</t>
        </is>
      </c>
      <c r="B533" s="4108" t="inlineStr">
        <is>
          <t>170500</t>
        </is>
      </c>
      <c r="C533" s="4108" t="inlineStr">
        <is>
          <t>135792468</t>
        </is>
      </c>
      <c r="D533" s="4108" t="inlineStr">
        <is>
          <t>202112</t>
        </is>
      </c>
      <c r="E533" s="4108" t="inlineStr">
        <is>
          <t>0,000000000000</t>
        </is>
      </c>
    </row>
    <row outlineLevel="0" r="534">
      <c r="A534" s="4108" t="inlineStr">
        <is>
          <t>135792468202112171000</t>
        </is>
      </c>
      <c r="B534" s="4108" t="inlineStr">
        <is>
          <t>171000</t>
        </is>
      </c>
      <c r="C534" s="4108" t="inlineStr">
        <is>
          <t>135792468</t>
        </is>
      </c>
      <c r="D534" s="4108" t="inlineStr">
        <is>
          <t>202112</t>
        </is>
      </c>
      <c r="E534" s="4108" t="inlineStr">
        <is>
          <t>0,000000000000</t>
        </is>
      </c>
    </row>
    <row outlineLevel="0" r="535">
      <c r="A535" s="4108" t="inlineStr">
        <is>
          <t>135792468202112173000</t>
        </is>
      </c>
      <c r="B535" s="4108" t="inlineStr">
        <is>
          <t>173000</t>
        </is>
      </c>
      <c r="C535" s="4108" t="inlineStr">
        <is>
          <t>135792468</t>
        </is>
      </c>
      <c r="D535" s="4108" t="inlineStr">
        <is>
          <t>202112</t>
        </is>
      </c>
      <c r="E535" s="4108" t="inlineStr">
        <is>
          <t>0,000000000000</t>
        </is>
      </c>
    </row>
    <row outlineLevel="0" r="536">
      <c r="A536" s="4108" t="inlineStr">
        <is>
          <t>135792468202112173001</t>
        </is>
      </c>
      <c r="B536" s="4108" t="inlineStr">
        <is>
          <t>173001</t>
        </is>
      </c>
      <c r="C536" s="4108" t="inlineStr">
        <is>
          <t>135792468</t>
        </is>
      </c>
      <c r="D536" s="4108" t="inlineStr">
        <is>
          <t>202112</t>
        </is>
      </c>
      <c r="E536" s="4108" t="inlineStr">
        <is>
          <t>0,000000000000</t>
        </is>
      </c>
    </row>
    <row outlineLevel="0" r="537">
      <c r="A537" s="4108" t="inlineStr">
        <is>
          <t>135792468202112179500</t>
        </is>
      </c>
      <c r="B537" s="4108" t="inlineStr">
        <is>
          <t>179500</t>
        </is>
      </c>
      <c r="C537" s="4108" t="inlineStr">
        <is>
          <t>135792468</t>
        </is>
      </c>
      <c r="D537" s="4108" t="inlineStr">
        <is>
          <t>202112</t>
        </is>
      </c>
      <c r="E537" s="4108" t="inlineStr">
        <is>
          <t>0,000000000000</t>
        </is>
      </c>
    </row>
    <row outlineLevel="0" r="538">
      <c r="A538" s="4108" t="inlineStr">
        <is>
          <t>135792468202112179700</t>
        </is>
      </c>
      <c r="B538" s="4108" t="inlineStr">
        <is>
          <t>179700</t>
        </is>
      </c>
      <c r="C538" s="4108" t="inlineStr">
        <is>
          <t>135792468</t>
        </is>
      </c>
      <c r="D538" s="4108" t="inlineStr">
        <is>
          <t>202112</t>
        </is>
      </c>
      <c r="E538" s="4108" t="inlineStr">
        <is>
          <t>0,000000000000</t>
        </is>
      </c>
    </row>
    <row outlineLevel="0" r="539">
      <c r="A539" s="4108" t="inlineStr">
        <is>
          <t>135792468202112179701</t>
        </is>
      </c>
      <c r="B539" s="4108" t="inlineStr">
        <is>
          <t>179701</t>
        </is>
      </c>
      <c r="C539" s="4108" t="inlineStr">
        <is>
          <t>135792468</t>
        </is>
      </c>
      <c r="D539" s="4108" t="inlineStr">
        <is>
          <t>202112</t>
        </is>
      </c>
      <c r="E539" s="4108" t="inlineStr">
        <is>
          <t>0,000000000000</t>
        </is>
      </c>
    </row>
    <row outlineLevel="0" r="540">
      <c r="A540" s="4108" t="inlineStr">
        <is>
          <t>135792468202112179801</t>
        </is>
      </c>
      <c r="B540" s="4108" t="inlineStr">
        <is>
          <t>179801</t>
        </is>
      </c>
      <c r="C540" s="4108" t="inlineStr">
        <is>
          <t>135792468</t>
        </is>
      </c>
      <c r="D540" s="4108" t="inlineStr">
        <is>
          <t>202112</t>
        </is>
      </c>
      <c r="E540" s="4108" t="inlineStr">
        <is>
          <t>0,000000000000</t>
        </is>
      </c>
    </row>
    <row outlineLevel="0" r="541">
      <c r="A541" s="4108" t="inlineStr">
        <is>
          <t>135792468202112180000</t>
        </is>
      </c>
      <c r="B541" s="4108" t="inlineStr">
        <is>
          <t>180000</t>
        </is>
      </c>
      <c r="C541" s="4108" t="inlineStr">
        <is>
          <t>135792468</t>
        </is>
      </c>
      <c r="D541" s="4108" t="inlineStr">
        <is>
          <t>202112</t>
        </is>
      </c>
      <c r="E541" s="4108" t="inlineStr">
        <is>
          <t>0,000000000000</t>
        </is>
      </c>
    </row>
    <row outlineLevel="0" r="542">
      <c r="A542" s="4108" t="inlineStr">
        <is>
          <t>135792468202112180501</t>
        </is>
      </c>
      <c r="B542" s="4108" t="inlineStr">
        <is>
          <t>180501</t>
        </is>
      </c>
      <c r="C542" s="4108" t="inlineStr">
        <is>
          <t>135792468</t>
        </is>
      </c>
      <c r="D542" s="4108" t="inlineStr">
        <is>
          <t>202112</t>
        </is>
      </c>
      <c r="E542" s="4108" t="inlineStr">
        <is>
          <t>0,000000000000</t>
        </is>
      </c>
    </row>
    <row outlineLevel="0" r="543">
      <c r="A543" s="4108" t="inlineStr">
        <is>
          <t>135792468202112181000</t>
        </is>
      </c>
      <c r="B543" s="4108" t="inlineStr">
        <is>
          <t>181000</t>
        </is>
      </c>
      <c r="C543" s="4108" t="inlineStr">
        <is>
          <t>135792468</t>
        </is>
      </c>
      <c r="D543" s="4108" t="inlineStr">
        <is>
          <t>202112</t>
        </is>
      </c>
      <c r="E543" s="4108" t="inlineStr">
        <is>
          <t>0,000000000000</t>
        </is>
      </c>
    </row>
    <row outlineLevel="0" r="544">
      <c r="A544" s="4108" t="inlineStr">
        <is>
          <t>135792468202112189500</t>
        </is>
      </c>
      <c r="B544" s="4108" t="inlineStr">
        <is>
          <t>189500</t>
        </is>
      </c>
      <c r="C544" s="4108" t="inlineStr">
        <is>
          <t>135792468</t>
        </is>
      </c>
      <c r="D544" s="4108" t="inlineStr">
        <is>
          <t>202112</t>
        </is>
      </c>
      <c r="E544" s="4108" t="inlineStr">
        <is>
          <t>0,000000000000</t>
        </is>
      </c>
    </row>
    <row outlineLevel="0" r="545">
      <c r="A545" s="4108" t="inlineStr">
        <is>
          <t>135792468202112189501</t>
        </is>
      </c>
      <c r="B545" s="4108" t="inlineStr">
        <is>
          <t>189501</t>
        </is>
      </c>
      <c r="C545" s="4108" t="inlineStr">
        <is>
          <t>135792468</t>
        </is>
      </c>
      <c r="D545" s="4108" t="inlineStr">
        <is>
          <t>202112</t>
        </is>
      </c>
      <c r="E545" s="4108" t="inlineStr">
        <is>
          <t>3750,000000000000</t>
        </is>
      </c>
    </row>
    <row outlineLevel="0" r="546">
      <c r="A546" s="4108" t="inlineStr">
        <is>
          <t>135792468202112189520</t>
        </is>
      </c>
      <c r="B546" s="4108" t="inlineStr">
        <is>
          <t>189520</t>
        </is>
      </c>
      <c r="C546" s="4108" t="inlineStr">
        <is>
          <t>135792468</t>
        </is>
      </c>
      <c r="D546" s="4108" t="inlineStr">
        <is>
          <t>202112</t>
        </is>
      </c>
      <c r="E546" s="4108" t="inlineStr">
        <is>
          <t>0,000000000000</t>
        </is>
      </c>
    </row>
    <row outlineLevel="0" r="547">
      <c r="A547" s="4108" t="inlineStr">
        <is>
          <t>135792468202112189701</t>
        </is>
      </c>
      <c r="B547" s="4108" t="inlineStr">
        <is>
          <t>189701</t>
        </is>
      </c>
      <c r="C547" s="4108" t="inlineStr">
        <is>
          <t>135792468</t>
        </is>
      </c>
      <c r="D547" s="4108" t="inlineStr">
        <is>
          <t>202112</t>
        </is>
      </c>
      <c r="E547" s="4108" t="inlineStr">
        <is>
          <t>17,000000000000</t>
        </is>
      </c>
    </row>
    <row outlineLevel="0" r="548">
      <c r="A548" s="4108" t="inlineStr">
        <is>
          <t>135792468202112189901</t>
        </is>
      </c>
      <c r="B548" s="4108" t="inlineStr">
        <is>
          <t>189901</t>
        </is>
      </c>
      <c r="C548" s="4108" t="inlineStr">
        <is>
          <t>135792468</t>
        </is>
      </c>
      <c r="D548" s="4108" t="inlineStr">
        <is>
          <t>202112</t>
        </is>
      </c>
      <c r="E548" s="4108" t="inlineStr">
        <is>
          <t>0,000000000000</t>
        </is>
      </c>
    </row>
    <row outlineLevel="0" r="549">
      <c r="A549" s="4108" t="inlineStr">
        <is>
          <t>135792468202112190000</t>
        </is>
      </c>
      <c r="B549" s="4108" t="inlineStr">
        <is>
          <t>190000</t>
        </is>
      </c>
      <c r="C549" s="4108" t="inlineStr">
        <is>
          <t>135792468</t>
        </is>
      </c>
      <c r="D549" s="4108" t="inlineStr">
        <is>
          <t>202112</t>
        </is>
      </c>
      <c r="E549" s="4108" t="inlineStr">
        <is>
          <t>0,000000000000</t>
        </is>
      </c>
    </row>
    <row outlineLevel="0" r="550">
      <c r="A550" s="4108" t="inlineStr">
        <is>
          <t>135792468202112190501</t>
        </is>
      </c>
      <c r="B550" s="4108" t="inlineStr">
        <is>
          <t>190501</t>
        </is>
      </c>
      <c r="C550" s="4108" t="inlineStr">
        <is>
          <t>135792468</t>
        </is>
      </c>
      <c r="D550" s="4108" t="inlineStr">
        <is>
          <t>202112</t>
        </is>
      </c>
      <c r="E550" s="4108" t="inlineStr">
        <is>
          <t>0,000000000000</t>
        </is>
      </c>
    </row>
    <row outlineLevel="0" r="551">
      <c r="A551" s="4108" t="inlineStr">
        <is>
          <t>135792468202112191001</t>
        </is>
      </c>
      <c r="B551" s="4108" t="inlineStr">
        <is>
          <t>191001</t>
        </is>
      </c>
      <c r="C551" s="4108" t="inlineStr">
        <is>
          <t>135792468</t>
        </is>
      </c>
      <c r="D551" s="4108" t="inlineStr">
        <is>
          <t>202112</t>
        </is>
      </c>
      <c r="E551" s="4108" t="inlineStr">
        <is>
          <t>0,000000000000</t>
        </is>
      </c>
    </row>
    <row outlineLevel="0" r="552">
      <c r="A552" s="4108" t="inlineStr">
        <is>
          <t>135792468202112199501</t>
        </is>
      </c>
      <c r="B552" s="4108" t="inlineStr">
        <is>
          <t>199501</t>
        </is>
      </c>
      <c r="C552" s="4108" t="inlineStr">
        <is>
          <t>135792468</t>
        </is>
      </c>
      <c r="D552" s="4108" t="inlineStr">
        <is>
          <t>202112</t>
        </is>
      </c>
      <c r="E552" s="4108" t="inlineStr">
        <is>
          <t>0,000000000000</t>
        </is>
      </c>
    </row>
    <row outlineLevel="0" r="553">
      <c r="A553" s="4108" t="inlineStr">
        <is>
          <t>135792468202112210500</t>
        </is>
      </c>
      <c r="B553" s="4108" t="inlineStr">
        <is>
          <t>210500</t>
        </is>
      </c>
      <c r="C553" s="4108" t="inlineStr">
        <is>
          <t>135792468</t>
        </is>
      </c>
      <c r="D553" s="4108" t="inlineStr">
        <is>
          <t>202112</t>
        </is>
      </c>
      <c r="E553" s="4108" t="inlineStr">
        <is>
          <t>1217,000000000000</t>
        </is>
      </c>
    </row>
    <row outlineLevel="0" r="554">
      <c r="A554" s="4108" t="inlineStr">
        <is>
          <t>135792468202112210501</t>
        </is>
      </c>
      <c r="B554" s="4108" t="inlineStr">
        <is>
          <t>210501</t>
        </is>
      </c>
      <c r="C554" s="4108" t="inlineStr">
        <is>
          <t>135792468</t>
        </is>
      </c>
      <c r="D554" s="4108" t="inlineStr">
        <is>
          <t>202112</t>
        </is>
      </c>
      <c r="E554" s="4108" t="inlineStr">
        <is>
          <t>11352,000000000000</t>
        </is>
      </c>
    </row>
    <row outlineLevel="0" r="555">
      <c r="A555" s="4108" t="inlineStr">
        <is>
          <t>135792468202112211001</t>
        </is>
      </c>
      <c r="B555" s="4108" t="inlineStr">
        <is>
          <t>211001</t>
        </is>
      </c>
      <c r="C555" s="4108" t="inlineStr">
        <is>
          <t>135792468</t>
        </is>
      </c>
      <c r="D555" s="4108" t="inlineStr">
        <is>
          <t>202112</t>
        </is>
      </c>
      <c r="E555" s="4108" t="inlineStr">
        <is>
          <t>0,000000000000</t>
        </is>
      </c>
    </row>
    <row outlineLevel="0" r="556">
      <c r="A556" s="4108" t="inlineStr">
        <is>
          <t>135792468202112211500</t>
        </is>
      </c>
      <c r="B556" s="4108" t="inlineStr">
        <is>
          <t>211500</t>
        </is>
      </c>
      <c r="C556" s="4108" t="inlineStr">
        <is>
          <t>135792468</t>
        </is>
      </c>
      <c r="D556" s="4108" t="inlineStr">
        <is>
          <t>202112</t>
        </is>
      </c>
      <c r="E556" s="4108" t="inlineStr">
        <is>
          <t>0,000000000000</t>
        </is>
      </c>
    </row>
    <row outlineLevel="0" r="557">
      <c r="A557" s="4108" t="inlineStr">
        <is>
          <t>135792468202112219500</t>
        </is>
      </c>
      <c r="B557" s="4108" t="inlineStr">
        <is>
          <t>219500</t>
        </is>
      </c>
      <c r="C557" s="4108" t="inlineStr">
        <is>
          <t>135792468</t>
        </is>
      </c>
      <c r="D557" s="4108" t="inlineStr">
        <is>
          <t>202112</t>
        </is>
      </c>
      <c r="E557" s="4108" t="inlineStr">
        <is>
          <t>0,000000000000</t>
        </is>
      </c>
    </row>
    <row outlineLevel="0" r="558">
      <c r="A558" s="4108" t="inlineStr">
        <is>
          <t>135792468202112220500</t>
        </is>
      </c>
      <c r="B558" s="4108" t="inlineStr">
        <is>
          <t>220500</t>
        </is>
      </c>
      <c r="C558" s="4108" t="inlineStr">
        <is>
          <t>135792468</t>
        </is>
      </c>
      <c r="D558" s="4108" t="inlineStr">
        <is>
          <t>202112</t>
        </is>
      </c>
      <c r="E558" s="4108" t="inlineStr">
        <is>
          <t>0,000000000000</t>
        </is>
      </c>
    </row>
    <row outlineLevel="0" r="559">
      <c r="A559" s="4108" t="inlineStr">
        <is>
          <t>135792468202112220501</t>
        </is>
      </c>
      <c r="B559" s="4108" t="inlineStr">
        <is>
          <t>220501</t>
        </is>
      </c>
      <c r="C559" s="4108" t="inlineStr">
        <is>
          <t>135792468</t>
        </is>
      </c>
      <c r="D559" s="4108" t="inlineStr">
        <is>
          <t>202112</t>
        </is>
      </c>
      <c r="E559" s="4108" t="inlineStr">
        <is>
          <t>0,000000000000</t>
        </is>
      </c>
    </row>
    <row outlineLevel="0" r="560">
      <c r="A560" s="4108" t="inlineStr">
        <is>
          <t>135792468202112221000</t>
        </is>
      </c>
      <c r="B560" s="4108" t="inlineStr">
        <is>
          <t>221000</t>
        </is>
      </c>
      <c r="C560" s="4108" t="inlineStr">
        <is>
          <t>135792468</t>
        </is>
      </c>
      <c r="D560" s="4108" t="inlineStr">
        <is>
          <t>202112</t>
        </is>
      </c>
      <c r="E560" s="4108" t="inlineStr">
        <is>
          <t>0,000000000000</t>
        </is>
      </c>
    </row>
    <row outlineLevel="0" r="561">
      <c r="A561" s="4108" t="inlineStr">
        <is>
          <t>135792468202112221001</t>
        </is>
      </c>
      <c r="B561" s="4108" t="inlineStr">
        <is>
          <t>221001</t>
        </is>
      </c>
      <c r="C561" s="4108" t="inlineStr">
        <is>
          <t>135792468</t>
        </is>
      </c>
      <c r="D561" s="4108" t="inlineStr">
        <is>
          <t>202112</t>
        </is>
      </c>
      <c r="E561" s="4108" t="inlineStr">
        <is>
          <t>0,000000000000</t>
        </is>
      </c>
    </row>
    <row outlineLevel="0" r="562">
      <c r="A562" s="4108" t="inlineStr">
        <is>
          <t>135792468202112221500</t>
        </is>
      </c>
      <c r="B562" s="4108" t="inlineStr">
        <is>
          <t>221500</t>
        </is>
      </c>
      <c r="C562" s="4108" t="inlineStr">
        <is>
          <t>135792468</t>
        </is>
      </c>
      <c r="D562" s="4108" t="inlineStr">
        <is>
          <t>202112</t>
        </is>
      </c>
      <c r="E562" s="4108" t="inlineStr">
        <is>
          <t>0,000000000000</t>
        </is>
      </c>
    </row>
    <row outlineLevel="0" r="563">
      <c r="A563" s="4108" t="inlineStr">
        <is>
          <t>135792468202112230500</t>
        </is>
      </c>
      <c r="B563" s="4108" t="inlineStr">
        <is>
          <t>230500</t>
        </is>
      </c>
      <c r="C563" s="4108" t="inlineStr">
        <is>
          <t>135792468</t>
        </is>
      </c>
      <c r="D563" s="4108" t="inlineStr">
        <is>
          <t>202112</t>
        </is>
      </c>
      <c r="E563" s="4108" t="inlineStr">
        <is>
          <t>496,000000000000</t>
        </is>
      </c>
    </row>
    <row outlineLevel="0" r="564">
      <c r="A564" s="4108" t="inlineStr">
        <is>
          <t>135792468202112230501</t>
        </is>
      </c>
      <c r="B564" s="4108" t="inlineStr">
        <is>
          <t>230501</t>
        </is>
      </c>
      <c r="C564" s="4108" t="inlineStr">
        <is>
          <t>135792468</t>
        </is>
      </c>
      <c r="D564" s="4108" t="inlineStr">
        <is>
          <t>202112</t>
        </is>
      </c>
      <c r="E564" s="4108" t="inlineStr">
        <is>
          <t>0,000000000000</t>
        </is>
      </c>
    </row>
    <row outlineLevel="0" r="565">
      <c r="A565" s="4108" t="inlineStr">
        <is>
          <t>135792468202112231000</t>
        </is>
      </c>
      <c r="B565" s="4108" t="inlineStr">
        <is>
          <t>231000</t>
        </is>
      </c>
      <c r="C565" s="4108" t="inlineStr">
        <is>
          <t>135792468</t>
        </is>
      </c>
      <c r="D565" s="4108" t="inlineStr">
        <is>
          <t>202112</t>
        </is>
      </c>
      <c r="E565" s="4108" t="inlineStr">
        <is>
          <t>0,000000000000</t>
        </is>
      </c>
    </row>
    <row outlineLevel="0" r="566">
      <c r="A566" s="4108" t="inlineStr">
        <is>
          <t>135792468202112231001</t>
        </is>
      </c>
      <c r="B566" s="4108" t="inlineStr">
        <is>
          <t>231001</t>
        </is>
      </c>
      <c r="C566" s="4108" t="inlineStr">
        <is>
          <t>135792468</t>
        </is>
      </c>
      <c r="D566" s="4108" t="inlineStr">
        <is>
          <t>202112</t>
        </is>
      </c>
      <c r="E566" s="4108" t="inlineStr">
        <is>
          <t>0,000000000000</t>
        </is>
      </c>
    </row>
    <row outlineLevel="0" r="567">
      <c r="A567" s="4108" t="inlineStr">
        <is>
          <t>135792468202112231500</t>
        </is>
      </c>
      <c r="B567" s="4108" t="inlineStr">
        <is>
          <t>231500</t>
        </is>
      </c>
      <c r="C567" s="4108" t="inlineStr">
        <is>
          <t>135792468</t>
        </is>
      </c>
      <c r="D567" s="4108" t="inlineStr">
        <is>
          <t>202112</t>
        </is>
      </c>
      <c r="E567" s="4108" t="inlineStr">
        <is>
          <t>0,000000000000</t>
        </is>
      </c>
    </row>
    <row outlineLevel="0" r="568">
      <c r="A568" s="4108" t="inlineStr">
        <is>
          <t>135792468202112231501</t>
        </is>
      </c>
      <c r="B568" s="4108" t="inlineStr">
        <is>
          <t>231501</t>
        </is>
      </c>
      <c r="C568" s="4108" t="inlineStr">
        <is>
          <t>135792468</t>
        </is>
      </c>
      <c r="D568" s="4108" t="inlineStr">
        <is>
          <t>202112</t>
        </is>
      </c>
      <c r="E568" s="4108" t="inlineStr">
        <is>
          <t>1073,000000000000</t>
        </is>
      </c>
    </row>
    <row outlineLevel="0" r="569">
      <c r="A569" s="4108" t="inlineStr">
        <is>
          <t>135792468202112232000</t>
        </is>
      </c>
      <c r="B569" s="4108" t="inlineStr">
        <is>
          <t>232000</t>
        </is>
      </c>
      <c r="C569" s="4108" t="inlineStr">
        <is>
          <t>135792468</t>
        </is>
      </c>
      <c r="D569" s="4108" t="inlineStr">
        <is>
          <t>202112</t>
        </is>
      </c>
      <c r="E569" s="4108" t="inlineStr">
        <is>
          <t>0,000000000000</t>
        </is>
      </c>
    </row>
    <row outlineLevel="0" r="570">
      <c r="A570" s="4108" t="inlineStr">
        <is>
          <t>135792468202112232001</t>
        </is>
      </c>
      <c r="B570" s="4108" t="inlineStr">
        <is>
          <t>232001</t>
        </is>
      </c>
      <c r="C570" s="4108" t="inlineStr">
        <is>
          <t>135792468</t>
        </is>
      </c>
      <c r="D570" s="4108" t="inlineStr">
        <is>
          <t>202112</t>
        </is>
      </c>
      <c r="E570" s="4108" t="inlineStr">
        <is>
          <t>0,000000000000</t>
        </is>
      </c>
    </row>
    <row outlineLevel="0" r="571">
      <c r="A571" s="4108" t="inlineStr">
        <is>
          <t>135792468202112233500</t>
        </is>
      </c>
      <c r="B571" s="4108" t="inlineStr">
        <is>
          <t>233500</t>
        </is>
      </c>
      <c r="C571" s="4108" t="inlineStr">
        <is>
          <t>135792468</t>
        </is>
      </c>
      <c r="D571" s="4108" t="inlineStr">
        <is>
          <t>202112</t>
        </is>
      </c>
      <c r="E571" s="4108" t="inlineStr">
        <is>
          <t>0,000000000000</t>
        </is>
      </c>
    </row>
    <row outlineLevel="0" r="572">
      <c r="A572" s="4108" t="inlineStr">
        <is>
          <t>135792468202112233501</t>
        </is>
      </c>
      <c r="B572" s="4108" t="inlineStr">
        <is>
          <t>233501</t>
        </is>
      </c>
      <c r="C572" s="4108" t="inlineStr">
        <is>
          <t>135792468</t>
        </is>
      </c>
      <c r="D572" s="4108" t="inlineStr">
        <is>
          <t>202112</t>
        </is>
      </c>
      <c r="E572" s="4108" t="inlineStr">
        <is>
          <t>0,000000000000</t>
        </is>
      </c>
    </row>
    <row outlineLevel="0" r="573">
      <c r="A573" s="4108" t="inlineStr">
        <is>
          <t>135792468202112234500</t>
        </is>
      </c>
      <c r="B573" s="4108" t="inlineStr">
        <is>
          <t>234500</t>
        </is>
      </c>
      <c r="C573" s="4108" t="inlineStr">
        <is>
          <t>135792468</t>
        </is>
      </c>
      <c r="D573" s="4108" t="inlineStr">
        <is>
          <t>202112</t>
        </is>
      </c>
      <c r="E573" s="4108" t="inlineStr">
        <is>
          <t>0,000000000000</t>
        </is>
      </c>
    </row>
    <row outlineLevel="0" r="574">
      <c r="A574" s="4108" t="inlineStr">
        <is>
          <t>135792468202112234501</t>
        </is>
      </c>
      <c r="B574" s="4108" t="inlineStr">
        <is>
          <t>234501</t>
        </is>
      </c>
      <c r="C574" s="4108" t="inlineStr">
        <is>
          <t>135792468</t>
        </is>
      </c>
      <c r="D574" s="4108" t="inlineStr">
        <is>
          <t>202112</t>
        </is>
      </c>
      <c r="E574" s="4108" t="inlineStr">
        <is>
          <t>0,000000000000</t>
        </is>
      </c>
    </row>
    <row outlineLevel="0" r="575">
      <c r="A575" s="4108" t="inlineStr">
        <is>
          <t>135792468202112235000</t>
        </is>
      </c>
      <c r="B575" s="4108" t="inlineStr">
        <is>
          <t>235000</t>
        </is>
      </c>
      <c r="C575" s="4108" t="inlineStr">
        <is>
          <t>135792468</t>
        </is>
      </c>
      <c r="D575" s="4108" t="inlineStr">
        <is>
          <t>202112</t>
        </is>
      </c>
      <c r="E575" s="4108" t="inlineStr">
        <is>
          <t>0,000000000000</t>
        </is>
      </c>
    </row>
    <row outlineLevel="0" r="576">
      <c r="A576" s="4108" t="inlineStr">
        <is>
          <t>135792468202112235001</t>
        </is>
      </c>
      <c r="B576" s="4108" t="inlineStr">
        <is>
          <t>235001</t>
        </is>
      </c>
      <c r="C576" s="4108" t="inlineStr">
        <is>
          <t>135792468</t>
        </is>
      </c>
      <c r="D576" s="4108" t="inlineStr">
        <is>
          <t>202112</t>
        </is>
      </c>
      <c r="E576" s="4108" t="inlineStr">
        <is>
          <t>0,000000000000</t>
        </is>
      </c>
    </row>
    <row outlineLevel="0" r="577">
      <c r="A577" s="4108" t="inlineStr">
        <is>
          <t>135792468202112235500</t>
        </is>
      </c>
      <c r="B577" s="4108" t="inlineStr">
        <is>
          <t>235500</t>
        </is>
      </c>
      <c r="C577" s="4108" t="inlineStr">
        <is>
          <t>135792468</t>
        </is>
      </c>
      <c r="D577" s="4108" t="inlineStr">
        <is>
          <t>202112</t>
        </is>
      </c>
      <c r="E577" s="4108" t="inlineStr">
        <is>
          <t>0,000000000000</t>
        </is>
      </c>
    </row>
    <row outlineLevel="0" r="578">
      <c r="A578" s="4108" t="inlineStr">
        <is>
          <t>135792468202112235501</t>
        </is>
      </c>
      <c r="B578" s="4108" t="inlineStr">
        <is>
          <t>235501</t>
        </is>
      </c>
      <c r="C578" s="4108" t="inlineStr">
        <is>
          <t>135792468</t>
        </is>
      </c>
      <c r="D578" s="4108" t="inlineStr">
        <is>
          <t>202112</t>
        </is>
      </c>
      <c r="E578" s="4108" t="inlineStr">
        <is>
          <t>0,000000000000</t>
        </is>
      </c>
    </row>
    <row outlineLevel="0" r="579">
      <c r="A579" s="4108" t="inlineStr">
        <is>
          <t>135792468202112236000</t>
        </is>
      </c>
      <c r="B579" s="4108" t="inlineStr">
        <is>
          <t>236000</t>
        </is>
      </c>
      <c r="C579" s="4108" t="inlineStr">
        <is>
          <t>135792468</t>
        </is>
      </c>
      <c r="D579" s="4108" t="inlineStr">
        <is>
          <t>202112</t>
        </is>
      </c>
      <c r="E579" s="4108" t="inlineStr">
        <is>
          <t>0,000000000000</t>
        </is>
      </c>
    </row>
    <row outlineLevel="0" r="580">
      <c r="A580" s="4108" t="inlineStr">
        <is>
          <t>135792468202112236001</t>
        </is>
      </c>
      <c r="B580" s="4108" t="inlineStr">
        <is>
          <t>236001</t>
        </is>
      </c>
      <c r="C580" s="4108" t="inlineStr">
        <is>
          <t>135792468</t>
        </is>
      </c>
      <c r="D580" s="4108" t="inlineStr">
        <is>
          <t>202112</t>
        </is>
      </c>
      <c r="E580" s="4108" t="inlineStr">
        <is>
          <t>0,000000000000</t>
        </is>
      </c>
    </row>
    <row outlineLevel="0" r="581">
      <c r="A581" s="4108" t="inlineStr">
        <is>
          <t>135792468202112236500</t>
        </is>
      </c>
      <c r="B581" s="4108" t="inlineStr">
        <is>
          <t>236500</t>
        </is>
      </c>
      <c r="C581" s="4108" t="inlineStr">
        <is>
          <t>135792468</t>
        </is>
      </c>
      <c r="D581" s="4108" t="inlineStr">
        <is>
          <t>202112</t>
        </is>
      </c>
      <c r="E581" s="4108" t="inlineStr">
        <is>
          <t>0,000000000000</t>
        </is>
      </c>
    </row>
    <row outlineLevel="0" r="582">
      <c r="A582" s="4108" t="inlineStr">
        <is>
          <t>135792468202112236501</t>
        </is>
      </c>
      <c r="B582" s="4108" t="inlineStr">
        <is>
          <t>236501</t>
        </is>
      </c>
      <c r="C582" s="4108" t="inlineStr">
        <is>
          <t>135792468</t>
        </is>
      </c>
      <c r="D582" s="4108" t="inlineStr">
        <is>
          <t>202112</t>
        </is>
      </c>
      <c r="E582" s="4108" t="inlineStr">
        <is>
          <t>0,000000000000</t>
        </is>
      </c>
    </row>
    <row outlineLevel="0" r="583">
      <c r="A583" s="4108" t="inlineStr">
        <is>
          <t>135792468202112236700</t>
        </is>
      </c>
      <c r="B583" s="4108" t="inlineStr">
        <is>
          <t>236700</t>
        </is>
      </c>
      <c r="C583" s="4108" t="inlineStr">
        <is>
          <t>135792468</t>
        </is>
      </c>
      <c r="D583" s="4108" t="inlineStr">
        <is>
          <t>202112</t>
        </is>
      </c>
      <c r="E583" s="4108" t="inlineStr">
        <is>
          <t>0,000000000000</t>
        </is>
      </c>
    </row>
    <row outlineLevel="0" r="584">
      <c r="A584" s="4108" t="inlineStr">
        <is>
          <t>135792468202112236701</t>
        </is>
      </c>
      <c r="B584" s="4108" t="inlineStr">
        <is>
          <t>236701</t>
        </is>
      </c>
      <c r="C584" s="4108" t="inlineStr">
        <is>
          <t>135792468</t>
        </is>
      </c>
      <c r="D584" s="4108" t="inlineStr">
        <is>
          <t>202112</t>
        </is>
      </c>
      <c r="E584" s="4108" t="inlineStr">
        <is>
          <t>0,000000000000</t>
        </is>
      </c>
    </row>
    <row outlineLevel="0" r="585">
      <c r="A585" s="4108" t="inlineStr">
        <is>
          <t>135792468202112236800</t>
        </is>
      </c>
      <c r="B585" s="4108" t="inlineStr">
        <is>
          <t>236800</t>
        </is>
      </c>
      <c r="C585" s="4108" t="inlineStr">
        <is>
          <t>135792468</t>
        </is>
      </c>
      <c r="D585" s="4108" t="inlineStr">
        <is>
          <t>202112</t>
        </is>
      </c>
      <c r="E585" s="4108" t="inlineStr">
        <is>
          <t>1545,000000000000</t>
        </is>
      </c>
    </row>
    <row outlineLevel="0" r="586">
      <c r="A586" s="4108" t="inlineStr">
        <is>
          <t>135792468202112237000</t>
        </is>
      </c>
      <c r="B586" s="4108" t="inlineStr">
        <is>
          <t>237000</t>
        </is>
      </c>
      <c r="C586" s="4108" t="inlineStr">
        <is>
          <t>135792468</t>
        </is>
      </c>
      <c r="D586" s="4108" t="inlineStr">
        <is>
          <t>202112</t>
        </is>
      </c>
      <c r="E586" s="4108" t="inlineStr">
        <is>
          <t>0,000000000000</t>
        </is>
      </c>
    </row>
    <row outlineLevel="0" r="587">
      <c r="A587" s="4108" t="inlineStr">
        <is>
          <t>135792468202112237001</t>
        </is>
      </c>
      <c r="B587" s="4108" t="inlineStr">
        <is>
          <t>237001</t>
        </is>
      </c>
      <c r="C587" s="4108" t="inlineStr">
        <is>
          <t>135792468</t>
        </is>
      </c>
      <c r="D587" s="4108" t="inlineStr">
        <is>
          <t>202112</t>
        </is>
      </c>
      <c r="E587" s="4108" t="inlineStr">
        <is>
          <t>0,000000000000</t>
        </is>
      </c>
    </row>
    <row outlineLevel="0" r="588">
      <c r="A588" s="4108" t="inlineStr">
        <is>
          <t>135792468202112238000</t>
        </is>
      </c>
      <c r="B588" s="4108" t="inlineStr">
        <is>
          <t>238000</t>
        </is>
      </c>
      <c r="C588" s="4108" t="inlineStr">
        <is>
          <t>135792468</t>
        </is>
      </c>
      <c r="D588" s="4108" t="inlineStr">
        <is>
          <t>202112</t>
        </is>
      </c>
      <c r="E588" s="4108" t="inlineStr">
        <is>
          <t>0,000000000000</t>
        </is>
      </c>
    </row>
    <row outlineLevel="0" r="589">
      <c r="A589" s="4108" t="inlineStr">
        <is>
          <t>135792468202112238001</t>
        </is>
      </c>
      <c r="B589" s="4108" t="inlineStr">
        <is>
          <t>238001</t>
        </is>
      </c>
      <c r="C589" s="4108" t="inlineStr">
        <is>
          <t>135792468</t>
        </is>
      </c>
      <c r="D589" s="4108" t="inlineStr">
        <is>
          <t>202112</t>
        </is>
      </c>
      <c r="E589" s="4108" t="inlineStr">
        <is>
          <t>0,000000000000</t>
        </is>
      </c>
    </row>
    <row outlineLevel="0" r="590">
      <c r="A590" s="4108" t="inlineStr">
        <is>
          <t>135792468202112240001</t>
        </is>
      </c>
      <c r="B590" s="4108" t="inlineStr">
        <is>
          <t>240001</t>
        </is>
      </c>
      <c r="C590" s="4108" t="inlineStr">
        <is>
          <t>135792468</t>
        </is>
      </c>
      <c r="D590" s="4108" t="inlineStr">
        <is>
          <t>202112</t>
        </is>
      </c>
      <c r="E590" s="4108" t="inlineStr">
        <is>
          <t>0,000000000000</t>
        </is>
      </c>
    </row>
    <row outlineLevel="0" r="591">
      <c r="A591" s="4108" t="inlineStr">
        <is>
          <t>135792468202112240400</t>
        </is>
      </c>
      <c r="B591" s="4108" t="inlineStr">
        <is>
          <t>240400</t>
        </is>
      </c>
      <c r="C591" s="4108" t="inlineStr">
        <is>
          <t>135792468</t>
        </is>
      </c>
      <c r="D591" s="4108" t="inlineStr">
        <is>
          <t>202112</t>
        </is>
      </c>
      <c r="E591" s="4108" t="inlineStr">
        <is>
          <t>22,000000000000</t>
        </is>
      </c>
    </row>
    <row outlineLevel="0" r="592">
      <c r="A592" s="4108" t="inlineStr">
        <is>
          <t>135792468202112240401</t>
        </is>
      </c>
      <c r="B592" s="4108" t="inlineStr">
        <is>
          <t>240401</t>
        </is>
      </c>
      <c r="C592" s="4108" t="inlineStr">
        <is>
          <t>135792468</t>
        </is>
      </c>
      <c r="D592" s="4108" t="inlineStr">
        <is>
          <t>202112</t>
        </is>
      </c>
      <c r="E592" s="4108" t="inlineStr">
        <is>
          <t>0,000000000000</t>
        </is>
      </c>
    </row>
    <row outlineLevel="0" r="593">
      <c r="A593" s="4108" t="inlineStr">
        <is>
          <t>135792468202112240800</t>
        </is>
      </c>
      <c r="B593" s="4108" t="inlineStr">
        <is>
          <t>240800</t>
        </is>
      </c>
      <c r="C593" s="4108" t="inlineStr">
        <is>
          <t>135792468</t>
        </is>
      </c>
      <c r="D593" s="4108" t="inlineStr">
        <is>
          <t>202112</t>
        </is>
      </c>
      <c r="E593" s="4108" t="inlineStr">
        <is>
          <t>0,000000000000</t>
        </is>
      </c>
    </row>
    <row outlineLevel="0" r="594">
      <c r="A594" s="4108" t="inlineStr">
        <is>
          <t>135792468202112240801</t>
        </is>
      </c>
      <c r="B594" s="4108" t="inlineStr">
        <is>
          <t>240801</t>
        </is>
      </c>
      <c r="C594" s="4108" t="inlineStr">
        <is>
          <t>135792468</t>
        </is>
      </c>
      <c r="D594" s="4108" t="inlineStr">
        <is>
          <t>202112</t>
        </is>
      </c>
      <c r="E594" s="4108" t="inlineStr">
        <is>
          <t>0,000000000000</t>
        </is>
      </c>
    </row>
    <row outlineLevel="0" r="595">
      <c r="A595" s="4108" t="inlineStr">
        <is>
          <t>135792468202112241200</t>
        </is>
      </c>
      <c r="B595" s="4108" t="inlineStr">
        <is>
          <t>241200</t>
        </is>
      </c>
      <c r="C595" s="4108" t="inlineStr">
        <is>
          <t>135792468</t>
        </is>
      </c>
      <c r="D595" s="4108" t="inlineStr">
        <is>
          <t>202112</t>
        </is>
      </c>
      <c r="E595" s="4108" t="inlineStr">
        <is>
          <t>0,000000000000</t>
        </is>
      </c>
    </row>
    <row outlineLevel="0" r="596">
      <c r="A596" s="4108" t="inlineStr">
        <is>
          <t>135792468202112241201</t>
        </is>
      </c>
      <c r="B596" s="4108" t="inlineStr">
        <is>
          <t>241201</t>
        </is>
      </c>
      <c r="C596" s="4108" t="inlineStr">
        <is>
          <t>135792468</t>
        </is>
      </c>
      <c r="D596" s="4108" t="inlineStr">
        <is>
          <t>202112</t>
        </is>
      </c>
      <c r="E596" s="4108" t="inlineStr">
        <is>
          <t>0,000000000000</t>
        </is>
      </c>
    </row>
    <row outlineLevel="0" r="597">
      <c r="A597" s="4108" t="inlineStr">
        <is>
          <t>135792468202112249500</t>
        </is>
      </c>
      <c r="B597" s="4108" t="inlineStr">
        <is>
          <t>249500</t>
        </is>
      </c>
      <c r="C597" s="4108" t="inlineStr">
        <is>
          <t>135792468</t>
        </is>
      </c>
      <c r="D597" s="4108" t="inlineStr">
        <is>
          <t>202112</t>
        </is>
      </c>
      <c r="E597" s="4108" t="inlineStr">
        <is>
          <t>0,000000000000</t>
        </is>
      </c>
    </row>
    <row outlineLevel="0" r="598">
      <c r="A598" s="4108" t="inlineStr">
        <is>
          <t>135792468202112249501</t>
        </is>
      </c>
      <c r="B598" s="4108" t="inlineStr">
        <is>
          <t>249501</t>
        </is>
      </c>
      <c r="C598" s="4108" t="inlineStr">
        <is>
          <t>135792468</t>
        </is>
      </c>
      <c r="D598" s="4108" t="inlineStr">
        <is>
          <t>202112</t>
        </is>
      </c>
      <c r="E598" s="4108" t="inlineStr">
        <is>
          <t>0,000000000000</t>
        </is>
      </c>
    </row>
    <row outlineLevel="0" r="599">
      <c r="A599" s="4108" t="inlineStr">
        <is>
          <t>135792468202112250500</t>
        </is>
      </c>
      <c r="B599" s="4108" t="inlineStr">
        <is>
          <t>250500</t>
        </is>
      </c>
      <c r="C599" s="4108" t="inlineStr">
        <is>
          <t>135792468</t>
        </is>
      </c>
      <c r="D599" s="4108" t="inlineStr">
        <is>
          <t>202112</t>
        </is>
      </c>
      <c r="E599" s="4108" t="inlineStr">
        <is>
          <t>0,000000000000</t>
        </is>
      </c>
    </row>
    <row outlineLevel="0" r="600">
      <c r="A600" s="4108" t="inlineStr">
        <is>
          <t>135792468202112250501</t>
        </is>
      </c>
      <c r="B600" s="4108" t="inlineStr">
        <is>
          <t>250501</t>
        </is>
      </c>
      <c r="C600" s="4108" t="inlineStr">
        <is>
          <t>135792468</t>
        </is>
      </c>
      <c r="D600" s="4108" t="inlineStr">
        <is>
          <t>202112</t>
        </is>
      </c>
      <c r="E600" s="4108" t="inlineStr">
        <is>
          <t>0,000000000000</t>
        </is>
      </c>
    </row>
    <row outlineLevel="0" r="601">
      <c r="A601" s="4108" t="inlineStr">
        <is>
          <t>135792468202112251000</t>
        </is>
      </c>
      <c r="B601" s="4108" t="inlineStr">
        <is>
          <t>251000</t>
        </is>
      </c>
      <c r="C601" s="4108" t="inlineStr">
        <is>
          <t>135792468</t>
        </is>
      </c>
      <c r="D601" s="4108" t="inlineStr">
        <is>
          <t>202112</t>
        </is>
      </c>
      <c r="E601" s="4108" t="inlineStr">
        <is>
          <t>0,000000000000</t>
        </is>
      </c>
    </row>
    <row outlineLevel="0" r="602">
      <c r="A602" s="4108" t="inlineStr">
        <is>
          <t>135792468202112251001</t>
        </is>
      </c>
      <c r="B602" s="4108" t="inlineStr">
        <is>
          <t>251001</t>
        </is>
      </c>
      <c r="C602" s="4108" t="inlineStr">
        <is>
          <t>135792468</t>
        </is>
      </c>
      <c r="D602" s="4108" t="inlineStr">
        <is>
          <t>202112</t>
        </is>
      </c>
      <c r="E602" s="4108" t="inlineStr">
        <is>
          <t>0,000000000000</t>
        </is>
      </c>
    </row>
    <row outlineLevel="0" r="603">
      <c r="A603" s="4108" t="inlineStr">
        <is>
          <t>135792468202112251500</t>
        </is>
      </c>
      <c r="B603" s="4108" t="inlineStr">
        <is>
          <t>251500</t>
        </is>
      </c>
      <c r="C603" s="4108" t="inlineStr">
        <is>
          <t>135792468</t>
        </is>
      </c>
      <c r="D603" s="4108" t="inlineStr">
        <is>
          <t>202112</t>
        </is>
      </c>
      <c r="E603" s="4108" t="inlineStr">
        <is>
          <t>0,000000000000</t>
        </is>
      </c>
    </row>
    <row outlineLevel="0" r="604">
      <c r="A604" s="4108" t="inlineStr">
        <is>
          <t>135792468202112251501</t>
        </is>
      </c>
      <c r="B604" s="4108" t="inlineStr">
        <is>
          <t>251501</t>
        </is>
      </c>
      <c r="C604" s="4108" t="inlineStr">
        <is>
          <t>135792468</t>
        </is>
      </c>
      <c r="D604" s="4108" t="inlineStr">
        <is>
          <t>202112</t>
        </is>
      </c>
      <c r="E604" s="4108" t="inlineStr">
        <is>
          <t>0,000000000000</t>
        </is>
      </c>
    </row>
    <row outlineLevel="0" r="605">
      <c r="A605" s="4108" t="inlineStr">
        <is>
          <t>135792468202112252500</t>
        </is>
      </c>
      <c r="B605" s="4108" t="inlineStr">
        <is>
          <t>252500</t>
        </is>
      </c>
      <c r="C605" s="4108" t="inlineStr">
        <is>
          <t>135792468</t>
        </is>
      </c>
      <c r="D605" s="4108" t="inlineStr">
        <is>
          <t>202112</t>
        </is>
      </c>
      <c r="E605" s="4108" t="inlineStr">
        <is>
          <t>0,000000000000</t>
        </is>
      </c>
    </row>
    <row outlineLevel="0" r="606">
      <c r="A606" s="4108" t="inlineStr">
        <is>
          <t>135792468202112252501</t>
        </is>
      </c>
      <c r="B606" s="4108" t="inlineStr">
        <is>
          <t>252501</t>
        </is>
      </c>
      <c r="C606" s="4108" t="inlineStr">
        <is>
          <t>135792468</t>
        </is>
      </c>
      <c r="D606" s="4108" t="inlineStr">
        <is>
          <t>202112</t>
        </is>
      </c>
      <c r="E606" s="4108" t="inlineStr">
        <is>
          <t>0,000000000000</t>
        </is>
      </c>
    </row>
    <row outlineLevel="0" r="607">
      <c r="A607" s="4108" t="inlineStr">
        <is>
          <t>135792468202112253000</t>
        </is>
      </c>
      <c r="B607" s="4108" t="inlineStr">
        <is>
          <t>253000</t>
        </is>
      </c>
      <c r="C607" s="4108" t="inlineStr">
        <is>
          <t>135792468</t>
        </is>
      </c>
      <c r="D607" s="4108" t="inlineStr">
        <is>
          <t>202112</t>
        </is>
      </c>
      <c r="E607" s="4108" t="inlineStr">
        <is>
          <t>0,000000000000</t>
        </is>
      </c>
    </row>
    <row outlineLevel="0" r="608">
      <c r="A608" s="4108" t="inlineStr">
        <is>
          <t>135792468202112253001</t>
        </is>
      </c>
      <c r="B608" s="4108" t="inlineStr">
        <is>
          <t>253001</t>
        </is>
      </c>
      <c r="C608" s="4108" t="inlineStr">
        <is>
          <t>135792468</t>
        </is>
      </c>
      <c r="D608" s="4108" t="inlineStr">
        <is>
          <t>202112</t>
        </is>
      </c>
      <c r="E608" s="4108" t="inlineStr">
        <is>
          <t>0,000000000000</t>
        </is>
      </c>
    </row>
    <row outlineLevel="0" r="609">
      <c r="A609" s="4108" t="inlineStr">
        <is>
          <t>135792468202112259500</t>
        </is>
      </c>
      <c r="B609" s="4108" t="inlineStr">
        <is>
          <t>259500</t>
        </is>
      </c>
      <c r="C609" s="4108" t="inlineStr">
        <is>
          <t>135792468</t>
        </is>
      </c>
      <c r="D609" s="4108" t="inlineStr">
        <is>
          <t>202112</t>
        </is>
      </c>
      <c r="E609" s="4108" t="inlineStr">
        <is>
          <t>0,000000000000</t>
        </is>
      </c>
    </row>
    <row outlineLevel="0" r="610">
      <c r="A610" s="4108" t="inlineStr">
        <is>
          <t>135792468202112259501</t>
        </is>
      </c>
      <c r="B610" s="4108" t="inlineStr">
        <is>
          <t>259501</t>
        </is>
      </c>
      <c r="C610" s="4108" t="inlineStr">
        <is>
          <t>135792468</t>
        </is>
      </c>
      <c r="D610" s="4108" t="inlineStr">
        <is>
          <t>202112</t>
        </is>
      </c>
      <c r="E610" s="4108" t="inlineStr">
        <is>
          <t>0,000000000000</t>
        </is>
      </c>
    </row>
    <row outlineLevel="0" r="611">
      <c r="A611" s="4108" t="inlineStr">
        <is>
          <t>135792468202112260500</t>
        </is>
      </c>
      <c r="B611" s="4108" t="inlineStr">
        <is>
          <t>260500</t>
        </is>
      </c>
      <c r="C611" s="4108" t="inlineStr">
        <is>
          <t>135792468</t>
        </is>
      </c>
      <c r="D611" s="4108" t="inlineStr">
        <is>
          <t>202112</t>
        </is>
      </c>
      <c r="E611" s="4108" t="inlineStr">
        <is>
          <t>0,000000000000</t>
        </is>
      </c>
    </row>
    <row outlineLevel="0" r="612">
      <c r="A612" s="4108" t="inlineStr">
        <is>
          <t>135792468202112260501</t>
        </is>
      </c>
      <c r="B612" s="4108" t="inlineStr">
        <is>
          <t>260501</t>
        </is>
      </c>
      <c r="C612" s="4108" t="inlineStr">
        <is>
          <t>135792468</t>
        </is>
      </c>
      <c r="D612" s="4108" t="inlineStr">
        <is>
          <t>202112</t>
        </is>
      </c>
      <c r="E612" s="4108" t="inlineStr">
        <is>
          <t>0,000000000000</t>
        </is>
      </c>
    </row>
    <row outlineLevel="0" r="613">
      <c r="A613" s="4108" t="inlineStr">
        <is>
          <t>135792468202112261000</t>
        </is>
      </c>
      <c r="B613" s="4108" t="inlineStr">
        <is>
          <t>261000</t>
        </is>
      </c>
      <c r="C613" s="4108" t="inlineStr">
        <is>
          <t>135792468</t>
        </is>
      </c>
      <c r="D613" s="4108" t="inlineStr">
        <is>
          <t>202112</t>
        </is>
      </c>
      <c r="E613" s="4108" t="inlineStr">
        <is>
          <t>0,000000000000</t>
        </is>
      </c>
    </row>
    <row outlineLevel="0" r="614">
      <c r="A614" s="4108" t="inlineStr">
        <is>
          <t>135792468202112261001</t>
        </is>
      </c>
      <c r="B614" s="4108" t="inlineStr">
        <is>
          <t>261001</t>
        </is>
      </c>
      <c r="C614" s="4108" t="inlineStr">
        <is>
          <t>135792468</t>
        </is>
      </c>
      <c r="D614" s="4108" t="inlineStr">
        <is>
          <t>202112</t>
        </is>
      </c>
      <c r="E614" s="4108" t="inlineStr">
        <is>
          <t>0,000000000000</t>
        </is>
      </c>
    </row>
    <row outlineLevel="0" r="615">
      <c r="A615" s="4108" t="inlineStr">
        <is>
          <t>135792468202112261500</t>
        </is>
      </c>
      <c r="B615" s="4108" t="inlineStr">
        <is>
          <t>261500</t>
        </is>
      </c>
      <c r="C615" s="4108" t="inlineStr">
        <is>
          <t>135792468</t>
        </is>
      </c>
      <c r="D615" s="4108" t="inlineStr">
        <is>
          <t>202112</t>
        </is>
      </c>
      <c r="E615" s="4108" t="inlineStr">
        <is>
          <t>0,000000000000</t>
        </is>
      </c>
    </row>
    <row outlineLevel="0" r="616">
      <c r="A616" s="4108" t="inlineStr">
        <is>
          <t>135792468202112261501</t>
        </is>
      </c>
      <c r="B616" s="4108" t="inlineStr">
        <is>
          <t>261501</t>
        </is>
      </c>
      <c r="C616" s="4108" t="inlineStr">
        <is>
          <t>135792468</t>
        </is>
      </c>
      <c r="D616" s="4108" t="inlineStr">
        <is>
          <t>202112</t>
        </is>
      </c>
      <c r="E616" s="4108" t="inlineStr">
        <is>
          <t>0,000000000000</t>
        </is>
      </c>
    </row>
    <row outlineLevel="0" r="617">
      <c r="A617" s="4108" t="inlineStr">
        <is>
          <t>135792468202112262000</t>
        </is>
      </c>
      <c r="B617" s="4108" t="inlineStr">
        <is>
          <t>262000</t>
        </is>
      </c>
      <c r="C617" s="4108" t="inlineStr">
        <is>
          <t>135792468</t>
        </is>
      </c>
      <c r="D617" s="4108" t="inlineStr">
        <is>
          <t>202112</t>
        </is>
      </c>
      <c r="E617" s="4108" t="inlineStr">
        <is>
          <t>0,000000000000</t>
        </is>
      </c>
    </row>
    <row outlineLevel="0" r="618">
      <c r="A618" s="4108" t="inlineStr">
        <is>
          <t>135792468202112262001</t>
        </is>
      </c>
      <c r="B618" s="4108" t="inlineStr">
        <is>
          <t>262001</t>
        </is>
      </c>
      <c r="C618" s="4108" t="inlineStr">
        <is>
          <t>135792468</t>
        </is>
      </c>
      <c r="D618" s="4108" t="inlineStr">
        <is>
          <t>202112</t>
        </is>
      </c>
      <c r="E618" s="4108" t="inlineStr">
        <is>
          <t>12,000000000000</t>
        </is>
      </c>
    </row>
    <row outlineLevel="0" r="619">
      <c r="A619" s="4108" t="inlineStr">
        <is>
          <t>135792468202112262500</t>
        </is>
      </c>
      <c r="B619" s="4108" t="inlineStr">
        <is>
          <t>262500</t>
        </is>
      </c>
      <c r="C619" s="4108" t="inlineStr">
        <is>
          <t>135792468</t>
        </is>
      </c>
      <c r="D619" s="4108" t="inlineStr">
        <is>
          <t>202112</t>
        </is>
      </c>
      <c r="E619" s="4108" t="inlineStr">
        <is>
          <t>0,000000000000</t>
        </is>
      </c>
    </row>
    <row outlineLevel="0" r="620">
      <c r="A620" s="4108" t="inlineStr">
        <is>
          <t>135792468202112262501</t>
        </is>
      </c>
      <c r="B620" s="4108" t="inlineStr">
        <is>
          <t>262501</t>
        </is>
      </c>
      <c r="C620" s="4108" t="inlineStr">
        <is>
          <t>135792468</t>
        </is>
      </c>
      <c r="D620" s="4108" t="inlineStr">
        <is>
          <t>202112</t>
        </is>
      </c>
      <c r="E620" s="4108" t="inlineStr">
        <is>
          <t>0,000000000000</t>
        </is>
      </c>
    </row>
    <row outlineLevel="0" r="621">
      <c r="A621" s="4108" t="inlineStr">
        <is>
          <t>135792468202112263000</t>
        </is>
      </c>
      <c r="B621" s="4108" t="inlineStr">
        <is>
          <t>263000</t>
        </is>
      </c>
      <c r="C621" s="4108" t="inlineStr">
        <is>
          <t>135792468</t>
        </is>
      </c>
      <c r="D621" s="4108" t="inlineStr">
        <is>
          <t>202112</t>
        </is>
      </c>
      <c r="E621" s="4108" t="inlineStr">
        <is>
          <t>0,000000000000</t>
        </is>
      </c>
    </row>
    <row outlineLevel="0" r="622">
      <c r="A622" s="4108" t="inlineStr">
        <is>
          <t>135792468202112263001</t>
        </is>
      </c>
      <c r="B622" s="4108" t="inlineStr">
        <is>
          <t>263001</t>
        </is>
      </c>
      <c r="C622" s="4108" t="inlineStr">
        <is>
          <t>135792468</t>
        </is>
      </c>
      <c r="D622" s="4108" t="inlineStr">
        <is>
          <t>202112</t>
        </is>
      </c>
      <c r="E622" s="4108" t="inlineStr">
        <is>
          <t>0,000000000000</t>
        </is>
      </c>
    </row>
    <row outlineLevel="0" r="623">
      <c r="A623" s="4108" t="inlineStr">
        <is>
          <t>135792468202112263500</t>
        </is>
      </c>
      <c r="B623" s="4108" t="inlineStr">
        <is>
          <t>263500</t>
        </is>
      </c>
      <c r="C623" s="4108" t="inlineStr">
        <is>
          <t>135792468</t>
        </is>
      </c>
      <c r="D623" s="4108" t="inlineStr">
        <is>
          <t>202112</t>
        </is>
      </c>
      <c r="E623" s="4108" t="inlineStr">
        <is>
          <t>0,000000000000</t>
        </is>
      </c>
    </row>
    <row outlineLevel="0" r="624">
      <c r="A624" s="4108" t="inlineStr">
        <is>
          <t>135792468202112263501</t>
        </is>
      </c>
      <c r="B624" s="4108" t="inlineStr">
        <is>
          <t>263501</t>
        </is>
      </c>
      <c r="C624" s="4108" t="inlineStr">
        <is>
          <t>135792468</t>
        </is>
      </c>
      <c r="D624" s="4108" t="inlineStr">
        <is>
          <t>202112</t>
        </is>
      </c>
      <c r="E624" s="4108" t="inlineStr">
        <is>
          <t>0,000000000000</t>
        </is>
      </c>
    </row>
    <row outlineLevel="0" r="625">
      <c r="A625" s="4108" t="inlineStr">
        <is>
          <t>135792468202112264000</t>
        </is>
      </c>
      <c r="B625" s="4108" t="inlineStr">
        <is>
          <t>264000</t>
        </is>
      </c>
      <c r="C625" s="4108" t="inlineStr">
        <is>
          <t>135792468</t>
        </is>
      </c>
      <c r="D625" s="4108" t="inlineStr">
        <is>
          <t>202112</t>
        </is>
      </c>
      <c r="E625" s="4108" t="inlineStr">
        <is>
          <t>0,000000000000</t>
        </is>
      </c>
    </row>
    <row outlineLevel="0" r="626">
      <c r="A626" s="4108" t="inlineStr">
        <is>
          <t>135792468202112264001</t>
        </is>
      </c>
      <c r="B626" s="4108" t="inlineStr">
        <is>
          <t>264001</t>
        </is>
      </c>
      <c r="C626" s="4108" t="inlineStr">
        <is>
          <t>135792468</t>
        </is>
      </c>
      <c r="D626" s="4108" t="inlineStr">
        <is>
          <t>202112</t>
        </is>
      </c>
      <c r="E626" s="4108" t="inlineStr">
        <is>
          <t>0,000000000000</t>
        </is>
      </c>
    </row>
    <row outlineLevel="0" r="627">
      <c r="A627" s="4108" t="inlineStr">
        <is>
          <t>135792468202112269500</t>
        </is>
      </c>
      <c r="B627" s="4108" t="inlineStr">
        <is>
          <t>269500</t>
        </is>
      </c>
      <c r="C627" s="4108" t="inlineStr">
        <is>
          <t>135792468</t>
        </is>
      </c>
      <c r="D627" s="4108" t="inlineStr">
        <is>
          <t>202112</t>
        </is>
      </c>
      <c r="E627" s="4108" t="inlineStr">
        <is>
          <t>0,000000000000</t>
        </is>
      </c>
    </row>
    <row outlineLevel="0" r="628">
      <c r="A628" s="4108" t="inlineStr">
        <is>
          <t>135792468202112269501</t>
        </is>
      </c>
      <c r="B628" s="4108" t="inlineStr">
        <is>
          <t>269501</t>
        </is>
      </c>
      <c r="C628" s="4108" t="inlineStr">
        <is>
          <t>135792468</t>
        </is>
      </c>
      <c r="D628" s="4108" t="inlineStr">
        <is>
          <t>202112</t>
        </is>
      </c>
      <c r="E628" s="4108" t="inlineStr">
        <is>
          <t>0,000000000000</t>
        </is>
      </c>
    </row>
    <row outlineLevel="0" r="629">
      <c r="A629" s="4108" t="inlineStr">
        <is>
          <t>135792468202112270500</t>
        </is>
      </c>
      <c r="B629" s="4108" t="inlineStr">
        <is>
          <t>270500</t>
        </is>
      </c>
      <c r="C629" s="4108" t="inlineStr">
        <is>
          <t>135792468</t>
        </is>
      </c>
      <c r="D629" s="4108" t="inlineStr">
        <is>
          <t>202112</t>
        </is>
      </c>
      <c r="E629" s="4108" t="inlineStr">
        <is>
          <t>171,000000000000</t>
        </is>
      </c>
    </row>
    <row outlineLevel="0" r="630">
      <c r="A630" s="4108" t="inlineStr">
        <is>
          <t>135792468202112270501</t>
        </is>
      </c>
      <c r="B630" s="4108" t="inlineStr">
        <is>
          <t>270501</t>
        </is>
      </c>
      <c r="C630" s="4108" t="inlineStr">
        <is>
          <t>135792468</t>
        </is>
      </c>
      <c r="D630" s="4108" t="inlineStr">
        <is>
          <t>202112</t>
        </is>
      </c>
      <c r="E630" s="4108" t="inlineStr">
        <is>
          <t>0,000000000000</t>
        </is>
      </c>
    </row>
    <row outlineLevel="0" r="631">
      <c r="A631" s="4108" t="inlineStr">
        <is>
          <t>135792468202112271000</t>
        </is>
      </c>
      <c r="B631" s="4108" t="inlineStr">
        <is>
          <t>271000</t>
        </is>
      </c>
      <c r="C631" s="4108" t="inlineStr">
        <is>
          <t>135792468</t>
        </is>
      </c>
      <c r="D631" s="4108" t="inlineStr">
        <is>
          <t>202112</t>
        </is>
      </c>
      <c r="E631" s="4108" t="inlineStr">
        <is>
          <t>0,000000000000</t>
        </is>
      </c>
    </row>
    <row outlineLevel="0" r="632">
      <c r="A632" s="4108" t="inlineStr">
        <is>
          <t>135792468202112271001</t>
        </is>
      </c>
      <c r="B632" s="4108" t="inlineStr">
        <is>
          <t>271001</t>
        </is>
      </c>
      <c r="C632" s="4108" t="inlineStr">
        <is>
          <t>135792468</t>
        </is>
      </c>
      <c r="D632" s="4108" t="inlineStr">
        <is>
          <t>202112</t>
        </is>
      </c>
      <c r="E632" s="4108" t="inlineStr">
        <is>
          <t>0,000000000000</t>
        </is>
      </c>
    </row>
    <row outlineLevel="0" r="633">
      <c r="A633" s="4108" t="inlineStr">
        <is>
          <t>135792468202112272001</t>
        </is>
      </c>
      <c r="B633" s="4108" t="inlineStr">
        <is>
          <t>272001</t>
        </is>
      </c>
      <c r="C633" s="4108" t="inlineStr">
        <is>
          <t>135792468</t>
        </is>
      </c>
      <c r="D633" s="4108" t="inlineStr">
        <is>
          <t>202112</t>
        </is>
      </c>
      <c r="E633" s="4108" t="inlineStr">
        <is>
          <t>0,000000000000</t>
        </is>
      </c>
    </row>
    <row outlineLevel="0" r="634">
      <c r="A634" s="4108" t="inlineStr">
        <is>
          <t>135792468202112272500</t>
        </is>
      </c>
      <c r="B634" s="4108" t="inlineStr">
        <is>
          <t>272500</t>
        </is>
      </c>
      <c r="C634" s="4108" t="inlineStr">
        <is>
          <t>135792468</t>
        </is>
      </c>
      <c r="D634" s="4108" t="inlineStr">
        <is>
          <t>202112</t>
        </is>
      </c>
      <c r="E634" s="4108" t="inlineStr">
        <is>
          <t>0,000000000000</t>
        </is>
      </c>
    </row>
    <row outlineLevel="0" r="635">
      <c r="A635" s="4108" t="inlineStr">
        <is>
          <t>135792468202112272501</t>
        </is>
      </c>
      <c r="B635" s="4108" t="inlineStr">
        <is>
          <t>272501</t>
        </is>
      </c>
      <c r="C635" s="4108" t="inlineStr">
        <is>
          <t>135792468</t>
        </is>
      </c>
      <c r="D635" s="4108" t="inlineStr">
        <is>
          <t>202112</t>
        </is>
      </c>
      <c r="E635" s="4108" t="inlineStr">
        <is>
          <t>0,000000000000</t>
        </is>
      </c>
    </row>
    <row outlineLevel="0" r="636">
      <c r="A636" s="4108" t="inlineStr">
        <is>
          <t>135792468202112279500</t>
        </is>
      </c>
      <c r="B636" s="4108" t="inlineStr">
        <is>
          <t>279500</t>
        </is>
      </c>
      <c r="C636" s="4108" t="inlineStr">
        <is>
          <t>135792468</t>
        </is>
      </c>
      <c r="D636" s="4108" t="inlineStr">
        <is>
          <t>202112</t>
        </is>
      </c>
      <c r="E636" s="4108" t="inlineStr">
        <is>
          <t>0,000000000000</t>
        </is>
      </c>
    </row>
    <row outlineLevel="0" r="637">
      <c r="A637" s="4108" t="inlineStr">
        <is>
          <t>135792468202112279501</t>
        </is>
      </c>
      <c r="B637" s="4108" t="inlineStr">
        <is>
          <t>279501</t>
        </is>
      </c>
      <c r="C637" s="4108" t="inlineStr">
        <is>
          <t>135792468</t>
        </is>
      </c>
      <c r="D637" s="4108" t="inlineStr">
        <is>
          <t>202112</t>
        </is>
      </c>
      <c r="E637" s="4108" t="inlineStr">
        <is>
          <t>0,000000000000</t>
        </is>
      </c>
    </row>
    <row outlineLevel="0" r="638">
      <c r="A638" s="4108" t="inlineStr">
        <is>
          <t>135792468202112281000</t>
        </is>
      </c>
      <c r="B638" s="4108" t="inlineStr">
        <is>
          <t>281000</t>
        </is>
      </c>
      <c r="C638" s="4108" t="inlineStr">
        <is>
          <t>135792468</t>
        </is>
      </c>
      <c r="D638" s="4108" t="inlineStr">
        <is>
          <t>202112</t>
        </is>
      </c>
      <c r="E638" s="4108" t="inlineStr">
        <is>
          <t>0,000000000000</t>
        </is>
      </c>
    </row>
    <row outlineLevel="0" r="639">
      <c r="A639" s="4108" t="inlineStr">
        <is>
          <t>135792468202112282000</t>
        </is>
      </c>
      <c r="B639" s="4108" t="inlineStr">
        <is>
          <t>282000</t>
        </is>
      </c>
      <c r="C639" s="4108" t="inlineStr">
        <is>
          <t>135792468</t>
        </is>
      </c>
      <c r="D639" s="4108" t="inlineStr">
        <is>
          <t>202112</t>
        </is>
      </c>
      <c r="E639" s="4108" t="inlineStr">
        <is>
          <t>0,000000000000</t>
        </is>
      </c>
    </row>
    <row outlineLevel="0" r="640">
      <c r="A640" s="4108" t="inlineStr">
        <is>
          <t>135792468202112282500</t>
        </is>
      </c>
      <c r="B640" s="4108" t="inlineStr">
        <is>
          <t>282500</t>
        </is>
      </c>
      <c r="C640" s="4108" t="inlineStr">
        <is>
          <t>135792468</t>
        </is>
      </c>
      <c r="D640" s="4108" t="inlineStr">
        <is>
          <t>202112</t>
        </is>
      </c>
      <c r="E640" s="4108" t="inlineStr">
        <is>
          <t>0,000000000000</t>
        </is>
      </c>
    </row>
    <row outlineLevel="0" r="641">
      <c r="A641" s="4108" t="inlineStr">
        <is>
          <t>135792468202112284000</t>
        </is>
      </c>
      <c r="B641" s="4108" t="inlineStr">
        <is>
          <t>284000</t>
        </is>
      </c>
      <c r="C641" s="4108" t="inlineStr">
        <is>
          <t>135792468</t>
        </is>
      </c>
      <c r="D641" s="4108" t="inlineStr">
        <is>
          <t>202112</t>
        </is>
      </c>
      <c r="E641" s="4108" t="inlineStr">
        <is>
          <t>0,000000000000</t>
        </is>
      </c>
    </row>
    <row outlineLevel="0" r="642">
      <c r="A642" s="4108" t="inlineStr">
        <is>
          <t>135792468202112289500</t>
        </is>
      </c>
      <c r="B642" s="4108" t="inlineStr">
        <is>
          <t>289500</t>
        </is>
      </c>
      <c r="C642" s="4108" t="inlineStr">
        <is>
          <t>135792468</t>
        </is>
      </c>
      <c r="D642" s="4108" t="inlineStr">
        <is>
          <t>202112</t>
        </is>
      </c>
      <c r="E642" s="4108" t="inlineStr">
        <is>
          <t>0,000000000000</t>
        </is>
      </c>
    </row>
    <row outlineLevel="0" r="643">
      <c r="A643" s="4108" t="inlineStr">
        <is>
          <t>135792468202112290501</t>
        </is>
      </c>
      <c r="B643" s="4108" t="inlineStr">
        <is>
          <t>290501</t>
        </is>
      </c>
      <c r="C643" s="4108" t="inlineStr">
        <is>
          <t>135792468</t>
        </is>
      </c>
      <c r="D643" s="4108" t="inlineStr">
        <is>
          <t>202112</t>
        </is>
      </c>
      <c r="E643" s="4108" t="inlineStr">
        <is>
          <t>0,000000000000</t>
        </is>
      </c>
    </row>
    <row outlineLevel="0" r="644">
      <c r="A644" s="4108" t="inlineStr">
        <is>
          <t>135792468202112291000</t>
        </is>
      </c>
      <c r="B644" s="4108" t="inlineStr">
        <is>
          <t>291000</t>
        </is>
      </c>
      <c r="C644" s="4108" t="inlineStr">
        <is>
          <t>135792468</t>
        </is>
      </c>
      <c r="D644" s="4108" t="inlineStr">
        <is>
          <t>202112</t>
        </is>
      </c>
      <c r="E644" s="4108" t="inlineStr">
        <is>
          <t>0,000000000000</t>
        </is>
      </c>
    </row>
    <row outlineLevel="0" r="645">
      <c r="A645" s="4108" t="inlineStr">
        <is>
          <t>135792468202112291501</t>
        </is>
      </c>
      <c r="B645" s="4108" t="inlineStr">
        <is>
          <t>291501</t>
        </is>
      </c>
      <c r="C645" s="4108" t="inlineStr">
        <is>
          <t>135792468</t>
        </is>
      </c>
      <c r="D645" s="4108" t="inlineStr">
        <is>
          <t>202112</t>
        </is>
      </c>
      <c r="E645" s="4108" t="inlineStr">
        <is>
          <t>0,000000000000</t>
        </is>
      </c>
    </row>
    <row outlineLevel="0" r="646">
      <c r="A646" s="4108" t="inlineStr">
        <is>
          <t>135792468202112291991</t>
        </is>
      </c>
      <c r="B646" s="4108" t="inlineStr">
        <is>
          <t>291991</t>
        </is>
      </c>
      <c r="C646" s="4108" t="inlineStr">
        <is>
          <t>135792468</t>
        </is>
      </c>
      <c r="D646" s="4108" t="inlineStr">
        <is>
          <t>202112</t>
        </is>
      </c>
      <c r="E646" s="4108" t="inlineStr">
        <is>
          <t>0,000000000000</t>
        </is>
      </c>
    </row>
    <row outlineLevel="0" r="647">
      <c r="A647" s="4108" t="inlineStr">
        <is>
          <t>135792468202112292000</t>
        </is>
      </c>
      <c r="B647" s="4108" t="inlineStr">
        <is>
          <t>292000</t>
        </is>
      </c>
      <c r="C647" s="4108" t="inlineStr">
        <is>
          <t>135792468</t>
        </is>
      </c>
      <c r="D647" s="4108" t="inlineStr">
        <is>
          <t>202112</t>
        </is>
      </c>
      <c r="E647" s="4108" t="inlineStr">
        <is>
          <t>0,000000000000</t>
        </is>
      </c>
    </row>
    <row outlineLevel="0" r="648">
      <c r="A648" s="4108" t="inlineStr">
        <is>
          <t>135792468202112292001</t>
        </is>
      </c>
      <c r="B648" s="4108" t="inlineStr">
        <is>
          <t>292001</t>
        </is>
      </c>
      <c r="C648" s="4108" t="inlineStr">
        <is>
          <t>135792468</t>
        </is>
      </c>
      <c r="D648" s="4108" t="inlineStr">
        <is>
          <t>202112</t>
        </is>
      </c>
      <c r="E648" s="4108" t="inlineStr">
        <is>
          <t>0,000000000000</t>
        </is>
      </c>
    </row>
    <row outlineLevel="0" r="649">
      <c r="A649" s="4108" t="inlineStr">
        <is>
          <t>135792468202112293000</t>
        </is>
      </c>
      <c r="B649" s="4108" t="inlineStr">
        <is>
          <t>293000</t>
        </is>
      </c>
      <c r="C649" s="4108" t="inlineStr">
        <is>
          <t>135792468</t>
        </is>
      </c>
      <c r="D649" s="4108" t="inlineStr">
        <is>
          <t>202112</t>
        </is>
      </c>
      <c r="E649" s="4108" t="inlineStr">
        <is>
          <t>0,000000000000</t>
        </is>
      </c>
    </row>
    <row outlineLevel="0" r="650">
      <c r="A650" s="4108" t="inlineStr">
        <is>
          <t>135792468202112294000</t>
        </is>
      </c>
      <c r="B650" s="4108" t="inlineStr">
        <is>
          <t>294000</t>
        </is>
      </c>
      <c r="C650" s="4108" t="inlineStr">
        <is>
          <t>135792468</t>
        </is>
      </c>
      <c r="D650" s="4108" t="inlineStr">
        <is>
          <t>202112</t>
        </is>
      </c>
      <c r="E650" s="4108" t="inlineStr">
        <is>
          <t>0,000000000000</t>
        </is>
      </c>
    </row>
    <row outlineLevel="0" r="651">
      <c r="A651" s="4108" t="inlineStr">
        <is>
          <t>135792468202112299501</t>
        </is>
      </c>
      <c r="B651" s="4108" t="inlineStr">
        <is>
          <t>299501</t>
        </is>
      </c>
      <c r="C651" s="4108" t="inlineStr">
        <is>
          <t>135792468</t>
        </is>
      </c>
      <c r="D651" s="4108" t="inlineStr">
        <is>
          <t>202112</t>
        </is>
      </c>
      <c r="E651" s="4108" t="inlineStr">
        <is>
          <t>0,000000000000</t>
        </is>
      </c>
    </row>
    <row outlineLevel="0" r="652">
      <c r="A652" s="4108" t="inlineStr">
        <is>
          <t>135792468202112310500</t>
        </is>
      </c>
      <c r="B652" s="4108" t="inlineStr">
        <is>
          <t>310500</t>
        </is>
      </c>
      <c r="C652" s="4108" t="inlineStr">
        <is>
          <t>135792468</t>
        </is>
      </c>
      <c r="D652" s="4108" t="inlineStr">
        <is>
          <t>202112</t>
        </is>
      </c>
      <c r="E652" s="4108" t="inlineStr">
        <is>
          <t>3767,000000000000</t>
        </is>
      </c>
    </row>
    <row outlineLevel="0" r="653">
      <c r="A653" s="4108" t="inlineStr">
        <is>
          <t>135792468202112311500</t>
        </is>
      </c>
      <c r="B653" s="4108" t="inlineStr">
        <is>
          <t>311500</t>
        </is>
      </c>
      <c r="C653" s="4108" t="inlineStr">
        <is>
          <t>135792468</t>
        </is>
      </c>
      <c r="D653" s="4108" t="inlineStr">
        <is>
          <t>202112</t>
        </is>
      </c>
      <c r="E653" s="4108" t="inlineStr">
        <is>
          <t>0,000000000000</t>
        </is>
      </c>
    </row>
    <row outlineLevel="0" r="654">
      <c r="A654" s="4108" t="inlineStr">
        <is>
          <t>135792468202112312000</t>
        </is>
      </c>
      <c r="B654" s="4108" t="inlineStr">
        <is>
          <t>312000</t>
        </is>
      </c>
      <c r="C654" s="4108" t="inlineStr">
        <is>
          <t>135792468</t>
        </is>
      </c>
      <c r="D654" s="4108" t="inlineStr">
        <is>
          <t>202112</t>
        </is>
      </c>
      <c r="E654" s="4108" t="inlineStr">
        <is>
          <t>0,000000000000</t>
        </is>
      </c>
    </row>
    <row outlineLevel="0" r="655">
      <c r="A655" s="4108" t="inlineStr">
        <is>
          <t>135792468202112312500</t>
        </is>
      </c>
      <c r="B655" s="4108" t="inlineStr">
        <is>
          <t>312500</t>
        </is>
      </c>
      <c r="C655" s="4108" t="inlineStr">
        <is>
          <t>135792468</t>
        </is>
      </c>
      <c r="D655" s="4108" t="inlineStr">
        <is>
          <t>202112</t>
        </is>
      </c>
      <c r="E655" s="4108" t="inlineStr">
        <is>
          <t>0,000000000000</t>
        </is>
      </c>
    </row>
    <row outlineLevel="0" r="656">
      <c r="A656" s="4108" t="inlineStr">
        <is>
          <t>135792468202112313000</t>
        </is>
      </c>
      <c r="B656" s="4108" t="inlineStr">
        <is>
          <t>313000</t>
        </is>
      </c>
      <c r="C656" s="4108" t="inlineStr">
        <is>
          <t>135792468</t>
        </is>
      </c>
      <c r="D656" s="4108" t="inlineStr">
        <is>
          <t>202112</t>
        </is>
      </c>
      <c r="E656" s="4108" t="inlineStr">
        <is>
          <t>0,000000000000</t>
        </is>
      </c>
    </row>
    <row outlineLevel="0" r="657">
      <c r="A657" s="4108" t="inlineStr">
        <is>
          <t>135792468202112313500</t>
        </is>
      </c>
      <c r="B657" s="4108" t="inlineStr">
        <is>
          <t>313500</t>
        </is>
      </c>
      <c r="C657" s="4108" t="inlineStr">
        <is>
          <t>135792468</t>
        </is>
      </c>
      <c r="D657" s="4108" t="inlineStr">
        <is>
          <t>202112</t>
        </is>
      </c>
      <c r="E657" s="4108" t="inlineStr">
        <is>
          <t>0,000000000000</t>
        </is>
      </c>
    </row>
    <row outlineLevel="0" r="658">
      <c r="A658" s="4108" t="inlineStr">
        <is>
          <t>135792468202112314000</t>
        </is>
      </c>
      <c r="B658" s="4108" t="inlineStr">
        <is>
          <t>314000</t>
        </is>
      </c>
      <c r="C658" s="4108" t="inlineStr">
        <is>
          <t>135792468</t>
        </is>
      </c>
      <c r="D658" s="4108" t="inlineStr">
        <is>
          <t>202112</t>
        </is>
      </c>
      <c r="E658" s="4108" t="inlineStr">
        <is>
          <t>0,000000000000</t>
        </is>
      </c>
    </row>
    <row outlineLevel="0" r="659">
      <c r="A659" s="4108" t="inlineStr">
        <is>
          <t>135792468202112320500</t>
        </is>
      </c>
      <c r="B659" s="4108" t="inlineStr">
        <is>
          <t>320500</t>
        </is>
      </c>
      <c r="C659" s="4108" t="inlineStr">
        <is>
          <t>135792468</t>
        </is>
      </c>
      <c r="D659" s="4108" t="inlineStr">
        <is>
          <t>202112</t>
        </is>
      </c>
      <c r="E659" s="4108" t="inlineStr">
        <is>
          <t>0,000000000000</t>
        </is>
      </c>
    </row>
    <row outlineLevel="0" r="660">
      <c r="A660" s="4108" t="inlineStr">
        <is>
          <t>135792468202112321000</t>
        </is>
      </c>
      <c r="B660" s="4108" t="inlineStr">
        <is>
          <t>321000</t>
        </is>
      </c>
      <c r="C660" s="4108" t="inlineStr">
        <is>
          <t>135792468</t>
        </is>
      </c>
      <c r="D660" s="4108" t="inlineStr">
        <is>
          <t>202112</t>
        </is>
      </c>
      <c r="E660" s="4108" t="inlineStr">
        <is>
          <t>0,000000000000</t>
        </is>
      </c>
    </row>
    <row outlineLevel="0" r="661">
      <c r="A661" s="4108" t="inlineStr">
        <is>
          <t>135792468202112321500</t>
        </is>
      </c>
      <c r="B661" s="4108" t="inlineStr">
        <is>
          <t>321500</t>
        </is>
      </c>
      <c r="C661" s="4108" t="inlineStr">
        <is>
          <t>135792468</t>
        </is>
      </c>
      <c r="D661" s="4108" t="inlineStr">
        <is>
          <t>202112</t>
        </is>
      </c>
      <c r="E661" s="4108" t="inlineStr">
        <is>
          <t>0,000000000000</t>
        </is>
      </c>
    </row>
    <row outlineLevel="0" r="662">
      <c r="A662" s="4108" t="inlineStr">
        <is>
          <t>135792468202112322000</t>
        </is>
      </c>
      <c r="B662" s="4108" t="inlineStr">
        <is>
          <t>322000</t>
        </is>
      </c>
      <c r="C662" s="4108" t="inlineStr">
        <is>
          <t>135792468</t>
        </is>
      </c>
      <c r="D662" s="4108" t="inlineStr">
        <is>
          <t>202112</t>
        </is>
      </c>
      <c r="E662" s="4108" t="inlineStr">
        <is>
          <t>0,000000000000</t>
        </is>
      </c>
    </row>
    <row outlineLevel="0" r="663">
      <c r="A663" s="4108" t="inlineStr">
        <is>
          <t>135792468202112322500</t>
        </is>
      </c>
      <c r="B663" s="4108" t="inlineStr">
        <is>
          <t>322500</t>
        </is>
      </c>
      <c r="C663" s="4108" t="inlineStr">
        <is>
          <t>135792468</t>
        </is>
      </c>
      <c r="D663" s="4108" t="inlineStr">
        <is>
          <t>202112</t>
        </is>
      </c>
      <c r="E663" s="4108" t="inlineStr">
        <is>
          <t>0,000000000000</t>
        </is>
      </c>
    </row>
    <row outlineLevel="0" r="664">
      <c r="A664" s="4108" t="inlineStr">
        <is>
          <t>135792468202112330500</t>
        </is>
      </c>
      <c r="B664" s="4108" t="inlineStr">
        <is>
          <t>330500</t>
        </is>
      </c>
      <c r="C664" s="4108" t="inlineStr">
        <is>
          <t>135792468</t>
        </is>
      </c>
      <c r="D664" s="4108" t="inlineStr">
        <is>
          <t>202112</t>
        </is>
      </c>
      <c r="E664" s="4108" t="inlineStr">
        <is>
          <t>168,000000000000</t>
        </is>
      </c>
    </row>
    <row outlineLevel="0" r="665">
      <c r="A665" s="4108" t="inlineStr">
        <is>
          <t>135792468202112331000</t>
        </is>
      </c>
      <c r="B665" s="4108" t="inlineStr">
        <is>
          <t>331000</t>
        </is>
      </c>
      <c r="C665" s="4108" t="inlineStr">
        <is>
          <t>135792468</t>
        </is>
      </c>
      <c r="D665" s="4108" t="inlineStr">
        <is>
          <t>202112</t>
        </is>
      </c>
      <c r="E665" s="4108" t="inlineStr">
        <is>
          <t>0,000000000000</t>
        </is>
      </c>
    </row>
    <row outlineLevel="0" r="666">
      <c r="A666" s="4108" t="inlineStr">
        <is>
          <t>135792468202112331500</t>
        </is>
      </c>
      <c r="B666" s="4108" t="inlineStr">
        <is>
          <t>331500</t>
        </is>
      </c>
      <c r="C666" s="4108" t="inlineStr">
        <is>
          <t>135792468</t>
        </is>
      </c>
      <c r="D666" s="4108" t="inlineStr">
        <is>
          <t>202112</t>
        </is>
      </c>
      <c r="E666" s="4108" t="inlineStr">
        <is>
          <t>0,000000000000</t>
        </is>
      </c>
    </row>
    <row outlineLevel="0" r="667">
      <c r="A667" s="4108" t="inlineStr">
        <is>
          <t>135792468202112340505</t>
        </is>
      </c>
      <c r="B667" s="4108" t="inlineStr">
        <is>
          <t>340505</t>
        </is>
      </c>
      <c r="C667" s="4108" t="inlineStr">
        <is>
          <t>135792468</t>
        </is>
      </c>
      <c r="D667" s="4108" t="inlineStr">
        <is>
          <t>202112</t>
        </is>
      </c>
      <c r="E667" s="4108" t="inlineStr">
        <is>
          <t>0,000000000000</t>
        </is>
      </c>
    </row>
    <row outlineLevel="0" r="668">
      <c r="A668" s="4108" t="inlineStr">
        <is>
          <t>135792468202112340515</t>
        </is>
      </c>
      <c r="B668" s="4108" t="inlineStr">
        <is>
          <t>340515</t>
        </is>
      </c>
      <c r="C668" s="4108" t="inlineStr">
        <is>
          <t>135792468</t>
        </is>
      </c>
      <c r="D668" s="4108" t="inlineStr">
        <is>
          <t>202112</t>
        </is>
      </c>
      <c r="E668" s="4108" t="inlineStr">
        <is>
          <t>0,000000000000</t>
        </is>
      </c>
    </row>
    <row outlineLevel="0" r="669">
      <c r="A669" s="4108" t="inlineStr">
        <is>
          <t>135792468202112349500</t>
        </is>
      </c>
      <c r="B669" s="4108" t="inlineStr">
        <is>
          <t>349500</t>
        </is>
      </c>
      <c r="C669" s="4108" t="inlineStr">
        <is>
          <t>135792468</t>
        </is>
      </c>
      <c r="D669" s="4108" t="inlineStr">
        <is>
          <t>202112</t>
        </is>
      </c>
      <c r="E669" s="4108" t="inlineStr">
        <is>
          <t>0,000000000000</t>
        </is>
      </c>
    </row>
    <row outlineLevel="0" r="670">
      <c r="A670" s="4108" t="inlineStr">
        <is>
          <t>135792468202112410500</t>
        </is>
      </c>
      <c r="B670" s="4108" t="inlineStr">
        <is>
          <t>410500</t>
        </is>
      </c>
      <c r="C670" s="4108" t="inlineStr">
        <is>
          <t>135792468</t>
        </is>
      </c>
      <c r="D670" s="4108" t="inlineStr">
        <is>
          <t>202112</t>
        </is>
      </c>
      <c r="E670" s="4108" t="inlineStr">
        <is>
          <t>4338,000000000000</t>
        </is>
      </c>
    </row>
    <row outlineLevel="0" r="671">
      <c r="A671" s="4108" t="inlineStr">
        <is>
          <t>135792468202112411000</t>
        </is>
      </c>
      <c r="B671" s="4108" t="inlineStr">
        <is>
          <t>411000</t>
        </is>
      </c>
      <c r="C671" s="4108" t="inlineStr">
        <is>
          <t>135792468</t>
        </is>
      </c>
      <c r="D671" s="4108" t="inlineStr">
        <is>
          <t>202112</t>
        </is>
      </c>
      <c r="E671" s="4108" t="inlineStr">
        <is>
          <t>0,000000000000</t>
        </is>
      </c>
    </row>
    <row outlineLevel="0" r="672">
      <c r="A672" s="4108" t="inlineStr">
        <is>
          <t>135792468202112420500</t>
        </is>
      </c>
      <c r="B672" s="4108" t="inlineStr">
        <is>
          <t>420500</t>
        </is>
      </c>
      <c r="C672" s="4108" t="inlineStr">
        <is>
          <t>135792468</t>
        </is>
      </c>
      <c r="D672" s="4108" t="inlineStr">
        <is>
          <t>202112</t>
        </is>
      </c>
      <c r="E672" s="4108" t="inlineStr">
        <is>
          <t>0,000000000000</t>
        </is>
      </c>
    </row>
    <row outlineLevel="0" r="673">
      <c r="A673" s="4108" t="inlineStr">
        <is>
          <t>135792468202112421000</t>
        </is>
      </c>
      <c r="B673" s="4108" t="inlineStr">
        <is>
          <t>421000</t>
        </is>
      </c>
      <c r="C673" s="4108" t="inlineStr">
        <is>
          <t>135792468</t>
        </is>
      </c>
      <c r="D673" s="4108" t="inlineStr">
        <is>
          <t>202112</t>
        </is>
      </c>
      <c r="E673" s="4108" t="inlineStr">
        <is>
          <t>0,000000000000</t>
        </is>
      </c>
    </row>
    <row outlineLevel="0" r="674">
      <c r="A674" s="4108" t="inlineStr">
        <is>
          <t>135792468202112421020</t>
        </is>
      </c>
      <c r="B674" s="4108" t="inlineStr">
        <is>
          <t>421020</t>
        </is>
      </c>
      <c r="C674" s="4108" t="inlineStr">
        <is>
          <t>135792468</t>
        </is>
      </c>
      <c r="D674" s="4108" t="inlineStr">
        <is>
          <t>202112</t>
        </is>
      </c>
      <c r="E674" s="4108" t="inlineStr">
        <is>
          <t>0,000000000000</t>
        </is>
      </c>
    </row>
    <row outlineLevel="0" r="675">
      <c r="A675" s="4108" t="inlineStr">
        <is>
          <t>135792468202112421040</t>
        </is>
      </c>
      <c r="B675" s="4108" t="inlineStr">
        <is>
          <t>421040</t>
        </is>
      </c>
      <c r="C675" s="4108" t="inlineStr">
        <is>
          <t>135792468</t>
        </is>
      </c>
      <c r="D675" s="4108" t="inlineStr">
        <is>
          <t>202112</t>
        </is>
      </c>
      <c r="E675" s="4108" t="inlineStr">
        <is>
          <t>0,000000000000</t>
        </is>
      </c>
    </row>
    <row outlineLevel="0" r="676">
      <c r="A676" s="4108" t="inlineStr">
        <is>
          <t>135792468202112421500</t>
        </is>
      </c>
      <c r="B676" s="4108" t="inlineStr">
        <is>
          <t>421500</t>
        </is>
      </c>
      <c r="C676" s="4108" t="inlineStr">
        <is>
          <t>135792468</t>
        </is>
      </c>
      <c r="D676" s="4108" t="inlineStr">
        <is>
          <t>202112</t>
        </is>
      </c>
      <c r="E676" s="4108" t="inlineStr">
        <is>
          <t>0,000000000000</t>
        </is>
      </c>
    </row>
    <row outlineLevel="0" r="677">
      <c r="A677" s="4108" t="inlineStr">
        <is>
          <t>135792468202112422000</t>
        </is>
      </c>
      <c r="B677" s="4108" t="inlineStr">
        <is>
          <t>422000</t>
        </is>
      </c>
      <c r="C677" s="4108" t="inlineStr">
        <is>
          <t>135792468</t>
        </is>
      </c>
      <c r="D677" s="4108" t="inlineStr">
        <is>
          <t>202112</t>
        </is>
      </c>
      <c r="E677" s="4108" t="inlineStr">
        <is>
          <t>0,000000000000</t>
        </is>
      </c>
    </row>
    <row outlineLevel="0" r="678">
      <c r="A678" s="4108" t="inlineStr">
        <is>
          <t>135792468202112422500</t>
        </is>
      </c>
      <c r="B678" s="4108" t="inlineStr">
        <is>
          <t>422500</t>
        </is>
      </c>
      <c r="C678" s="4108" t="inlineStr">
        <is>
          <t>135792468</t>
        </is>
      </c>
      <c r="D678" s="4108" t="inlineStr">
        <is>
          <t>202112</t>
        </is>
      </c>
      <c r="E678" s="4108" t="inlineStr">
        <is>
          <t>0,000000000000</t>
        </is>
      </c>
    </row>
    <row outlineLevel="0" r="679">
      <c r="A679" s="4108" t="inlineStr">
        <is>
          <t>135792468202112423500</t>
        </is>
      </c>
      <c r="B679" s="4108" t="inlineStr">
        <is>
          <t>423500</t>
        </is>
      </c>
      <c r="C679" s="4108" t="inlineStr">
        <is>
          <t>135792468</t>
        </is>
      </c>
      <c r="D679" s="4108" t="inlineStr">
        <is>
          <t>202112</t>
        </is>
      </c>
      <c r="E679" s="4108" t="inlineStr">
        <is>
          <t>0,000000000000</t>
        </is>
      </c>
    </row>
    <row outlineLevel="0" r="680">
      <c r="A680" s="4108" t="inlineStr">
        <is>
          <t>135792468202112424000</t>
        </is>
      </c>
      <c r="B680" s="4108" t="inlineStr">
        <is>
          <t>424000</t>
        </is>
      </c>
      <c r="C680" s="4108" t="inlineStr">
        <is>
          <t>135792468</t>
        </is>
      </c>
      <c r="D680" s="4108" t="inlineStr">
        <is>
          <t>202112</t>
        </is>
      </c>
      <c r="E680" s="4108" t="inlineStr">
        <is>
          <t>0,000000000000</t>
        </is>
      </c>
    </row>
    <row outlineLevel="0" r="681">
      <c r="A681" s="4108" t="inlineStr">
        <is>
          <t>135792468202112425000</t>
        </is>
      </c>
      <c r="B681" s="4108" t="inlineStr">
        <is>
          <t>425000</t>
        </is>
      </c>
      <c r="C681" s="4108" t="inlineStr">
        <is>
          <t>135792468</t>
        </is>
      </c>
      <c r="D681" s="4108" t="inlineStr">
        <is>
          <t>202112</t>
        </is>
      </c>
      <c r="E681" s="4108" t="inlineStr">
        <is>
          <t>0,000000000000</t>
        </is>
      </c>
    </row>
    <row outlineLevel="0" r="682">
      <c r="A682" s="4108" t="inlineStr">
        <is>
          <t>135792468202112426500</t>
        </is>
      </c>
      <c r="B682" s="4108" t="inlineStr">
        <is>
          <t>426500</t>
        </is>
      </c>
      <c r="C682" s="4108" t="inlineStr">
        <is>
          <t>135792468</t>
        </is>
      </c>
      <c r="D682" s="4108" t="inlineStr">
        <is>
          <t>202112</t>
        </is>
      </c>
      <c r="E682" s="4108" t="inlineStr">
        <is>
          <t>0,000000000000</t>
        </is>
      </c>
    </row>
    <row outlineLevel="0" r="683">
      <c r="A683" s="4108" t="inlineStr">
        <is>
          <t>135792468202112429500</t>
        </is>
      </c>
      <c r="B683" s="4108" t="inlineStr">
        <is>
          <t>429500</t>
        </is>
      </c>
      <c r="C683" s="4108" t="inlineStr">
        <is>
          <t>135792468</t>
        </is>
      </c>
      <c r="D683" s="4108" t="inlineStr">
        <is>
          <t>202112</t>
        </is>
      </c>
      <c r="E683" s="4108" t="inlineStr">
        <is>
          <t>0,000000000000</t>
        </is>
      </c>
    </row>
    <row outlineLevel="0" r="684">
      <c r="A684" s="4108" t="inlineStr">
        <is>
          <t>135792468202112510500</t>
        </is>
      </c>
      <c r="B684" s="4108" t="inlineStr">
        <is>
          <t>510500</t>
        </is>
      </c>
      <c r="C684" s="4108" t="inlineStr">
        <is>
          <t>135792468</t>
        </is>
      </c>
      <c r="D684" s="4108" t="inlineStr">
        <is>
          <t>202112</t>
        </is>
      </c>
      <c r="E684" s="4108" t="inlineStr">
        <is>
          <t>1812,000000000000</t>
        </is>
      </c>
    </row>
    <row outlineLevel="0" r="685">
      <c r="A685" s="4108" t="inlineStr">
        <is>
          <t>135792468202112511000</t>
        </is>
      </c>
      <c r="B685" s="4108" t="inlineStr">
        <is>
          <t>511000</t>
        </is>
      </c>
      <c r="C685" s="4108" t="inlineStr">
        <is>
          <t>135792468</t>
        </is>
      </c>
      <c r="D685" s="4108" t="inlineStr">
        <is>
          <t>202112</t>
        </is>
      </c>
      <c r="E685" s="4108" t="inlineStr">
        <is>
          <t>0,000000000000</t>
        </is>
      </c>
    </row>
    <row outlineLevel="0" r="686">
      <c r="A686" s="4108" t="inlineStr">
        <is>
          <t>135792468202112511500</t>
        </is>
      </c>
      <c r="B686" s="4108" t="inlineStr">
        <is>
          <t>511500</t>
        </is>
      </c>
      <c r="C686" s="4108" t="inlineStr">
        <is>
          <t>135792468</t>
        </is>
      </c>
      <c r="D686" s="4108" t="inlineStr">
        <is>
          <t>202112</t>
        </is>
      </c>
      <c r="E686" s="4108" t="inlineStr">
        <is>
          <t>0,000000000000</t>
        </is>
      </c>
    </row>
    <row outlineLevel="0" r="687">
      <c r="A687" s="4108" t="inlineStr">
        <is>
          <t>135792468202112512000</t>
        </is>
      </c>
      <c r="B687" s="4108" t="inlineStr">
        <is>
          <t>512000</t>
        </is>
      </c>
      <c r="C687" s="4108" t="inlineStr">
        <is>
          <t>135792468</t>
        </is>
      </c>
      <c r="D687" s="4108" t="inlineStr">
        <is>
          <t>202112</t>
        </is>
      </c>
      <c r="E687" s="4108" t="inlineStr">
        <is>
          <t>0,000000000000</t>
        </is>
      </c>
    </row>
    <row outlineLevel="0" r="688">
      <c r="A688" s="4108" t="inlineStr">
        <is>
          <t>135792468202112512500</t>
        </is>
      </c>
      <c r="B688" s="4108" t="inlineStr">
        <is>
          <t>512500</t>
        </is>
      </c>
      <c r="C688" s="4108" t="inlineStr">
        <is>
          <t>135792468</t>
        </is>
      </c>
      <c r="D688" s="4108" t="inlineStr">
        <is>
          <t>202112</t>
        </is>
      </c>
      <c r="E688" s="4108" t="inlineStr">
        <is>
          <t>0,000000000000</t>
        </is>
      </c>
    </row>
    <row outlineLevel="0" r="689">
      <c r="A689" s="4108" t="inlineStr">
        <is>
          <t>135792468202112513000</t>
        </is>
      </c>
      <c r="B689" s="4108" t="inlineStr">
        <is>
          <t>513000</t>
        </is>
      </c>
      <c r="C689" s="4108" t="inlineStr">
        <is>
          <t>135792468</t>
        </is>
      </c>
      <c r="D689" s="4108" t="inlineStr">
        <is>
          <t>202112</t>
        </is>
      </c>
      <c r="E689" s="4108" t="inlineStr">
        <is>
          <t>0,000000000000</t>
        </is>
      </c>
    </row>
    <row outlineLevel="0" r="690">
      <c r="A690" s="4108" t="inlineStr">
        <is>
          <t>135792468202112513500</t>
        </is>
      </c>
      <c r="B690" s="4108" t="inlineStr">
        <is>
          <t>513500</t>
        </is>
      </c>
      <c r="C690" s="4108" t="inlineStr">
        <is>
          <t>135792468</t>
        </is>
      </c>
      <c r="D690" s="4108" t="inlineStr">
        <is>
          <t>202112</t>
        </is>
      </c>
      <c r="E690" s="4108" t="inlineStr">
        <is>
          <t>0,000000000000</t>
        </is>
      </c>
    </row>
    <row outlineLevel="0" r="691">
      <c r="A691" s="4108" t="inlineStr">
        <is>
          <t>135792468202112514000</t>
        </is>
      </c>
      <c r="B691" s="4108" t="inlineStr">
        <is>
          <t>514000</t>
        </is>
      </c>
      <c r="C691" s="4108" t="inlineStr">
        <is>
          <t>135792468</t>
        </is>
      </c>
      <c r="D691" s="4108" t="inlineStr">
        <is>
          <t>202112</t>
        </is>
      </c>
      <c r="E691" s="4108" t="inlineStr">
        <is>
          <t>0,000000000000</t>
        </is>
      </c>
    </row>
    <row outlineLevel="0" r="692">
      <c r="A692" s="4108" t="inlineStr">
        <is>
          <t>135792468202112514500</t>
        </is>
      </c>
      <c r="B692" s="4108" t="inlineStr">
        <is>
          <t>514500</t>
        </is>
      </c>
      <c r="C692" s="4108" t="inlineStr">
        <is>
          <t>135792468</t>
        </is>
      </c>
      <c r="D692" s="4108" t="inlineStr">
        <is>
          <t>202112</t>
        </is>
      </c>
      <c r="E692" s="4108" t="inlineStr">
        <is>
          <t>0,000000000000</t>
        </is>
      </c>
    </row>
    <row outlineLevel="0" r="693">
      <c r="A693" s="4108" t="inlineStr">
        <is>
          <t>135792468202112515000</t>
        </is>
      </c>
      <c r="B693" s="4108" t="inlineStr">
        <is>
          <t>515000</t>
        </is>
      </c>
      <c r="C693" s="4108" t="inlineStr">
        <is>
          <t>135792468</t>
        </is>
      </c>
      <c r="D693" s="4108" t="inlineStr">
        <is>
          <t>202112</t>
        </is>
      </c>
      <c r="E693" s="4108" t="inlineStr">
        <is>
          <t>0,000000000000</t>
        </is>
      </c>
    </row>
    <row outlineLevel="0" r="694">
      <c r="A694" s="4108" t="inlineStr">
        <is>
          <t>135792468202112515500</t>
        </is>
      </c>
      <c r="B694" s="4108" t="inlineStr">
        <is>
          <t>515500</t>
        </is>
      </c>
      <c r="C694" s="4108" t="inlineStr">
        <is>
          <t>135792468</t>
        </is>
      </c>
      <c r="D694" s="4108" t="inlineStr">
        <is>
          <t>202112</t>
        </is>
      </c>
      <c r="E694" s="4108" t="inlineStr">
        <is>
          <t>0,000000000000</t>
        </is>
      </c>
    </row>
    <row outlineLevel="0" r="695">
      <c r="A695" s="4108" t="inlineStr">
        <is>
          <t>135792468202112516000</t>
        </is>
      </c>
      <c r="B695" s="4108" t="inlineStr">
        <is>
          <t>516000</t>
        </is>
      </c>
      <c r="C695" s="4108" t="inlineStr">
        <is>
          <t>135792468</t>
        </is>
      </c>
      <c r="D695" s="4108" t="inlineStr">
        <is>
          <t>202112</t>
        </is>
      </c>
      <c r="E695" s="4108" t="inlineStr">
        <is>
          <t>0,000000000000</t>
        </is>
      </c>
    </row>
    <row outlineLevel="0" r="696">
      <c r="A696" s="4108" t="inlineStr">
        <is>
          <t>135792468202112516500</t>
        </is>
      </c>
      <c r="B696" s="4108" t="inlineStr">
        <is>
          <t>516500</t>
        </is>
      </c>
      <c r="C696" s="4108" t="inlineStr">
        <is>
          <t>135792468</t>
        </is>
      </c>
      <c r="D696" s="4108" t="inlineStr">
        <is>
          <t>202112</t>
        </is>
      </c>
      <c r="E696" s="4108" t="inlineStr">
        <is>
          <t>0,000000000000</t>
        </is>
      </c>
    </row>
    <row outlineLevel="0" r="697">
      <c r="A697" s="4108" t="inlineStr">
        <is>
          <t>135792468202112519500</t>
        </is>
      </c>
      <c r="B697" s="4108" t="inlineStr">
        <is>
          <t>519500</t>
        </is>
      </c>
      <c r="C697" s="4108" t="inlineStr">
        <is>
          <t>135792468</t>
        </is>
      </c>
      <c r="D697" s="4108" t="inlineStr">
        <is>
          <t>202112</t>
        </is>
      </c>
      <c r="E697" s="4108" t="inlineStr">
        <is>
          <t>0,000000000000</t>
        </is>
      </c>
    </row>
    <row outlineLevel="0" r="698">
      <c r="A698" s="4108" t="inlineStr">
        <is>
          <t>135792468202112519900</t>
        </is>
      </c>
      <c r="B698" s="4108" t="inlineStr">
        <is>
          <t>519900</t>
        </is>
      </c>
      <c r="C698" s="4108" t="inlineStr">
        <is>
          <t>135792468</t>
        </is>
      </c>
      <c r="D698" s="4108" t="inlineStr">
        <is>
          <t>202112</t>
        </is>
      </c>
      <c r="E698" s="4108" t="inlineStr">
        <is>
          <t>0,000000000000</t>
        </is>
      </c>
    </row>
    <row outlineLevel="0" r="699">
      <c r="A699" s="4108" t="inlineStr">
        <is>
          <t>135792468202112520500</t>
        </is>
      </c>
      <c r="B699" s="4108" t="inlineStr">
        <is>
          <t>520500</t>
        </is>
      </c>
      <c r="C699" s="4108" t="inlineStr">
        <is>
          <t>135792468</t>
        </is>
      </c>
      <c r="D699" s="4108" t="inlineStr">
        <is>
          <t>202112</t>
        </is>
      </c>
      <c r="E699" s="4108" t="inlineStr">
        <is>
          <t>0,000000000000</t>
        </is>
      </c>
    </row>
    <row outlineLevel="0" r="700">
      <c r="A700" s="4108" t="inlineStr">
        <is>
          <t>135792468202112521000</t>
        </is>
      </c>
      <c r="B700" s="4108" t="inlineStr">
        <is>
          <t>521000</t>
        </is>
      </c>
      <c r="C700" s="4108" t="inlineStr">
        <is>
          <t>135792468</t>
        </is>
      </c>
      <c r="D700" s="4108" t="inlineStr">
        <is>
          <t>202112</t>
        </is>
      </c>
      <c r="E700" s="4108" t="inlineStr">
        <is>
          <t>0,000000000000</t>
        </is>
      </c>
    </row>
    <row outlineLevel="0" r="701">
      <c r="A701" s="4108" t="inlineStr">
        <is>
          <t>135792468202112521500</t>
        </is>
      </c>
      <c r="B701" s="4108" t="inlineStr">
        <is>
          <t>521500</t>
        </is>
      </c>
      <c r="C701" s="4108" t="inlineStr">
        <is>
          <t>135792468</t>
        </is>
      </c>
      <c r="D701" s="4108" t="inlineStr">
        <is>
          <t>202112</t>
        </is>
      </c>
      <c r="E701" s="4108" t="inlineStr">
        <is>
          <t>0,000000000000</t>
        </is>
      </c>
    </row>
    <row outlineLevel="0" r="702">
      <c r="A702" s="4108" t="inlineStr">
        <is>
          <t>135792468202112522000</t>
        </is>
      </c>
      <c r="B702" s="4108" t="inlineStr">
        <is>
          <t>522000</t>
        </is>
      </c>
      <c r="C702" s="4108" t="inlineStr">
        <is>
          <t>135792468</t>
        </is>
      </c>
      <c r="D702" s="4108" t="inlineStr">
        <is>
          <t>202112</t>
        </is>
      </c>
      <c r="E702" s="4108" t="inlineStr">
        <is>
          <t>0,000000000000</t>
        </is>
      </c>
    </row>
    <row outlineLevel="0" r="703">
      <c r="A703" s="4108" t="inlineStr">
        <is>
          <t>135792468202112522500</t>
        </is>
      </c>
      <c r="B703" s="4108" t="inlineStr">
        <is>
          <t>522500</t>
        </is>
      </c>
      <c r="C703" s="4108" t="inlineStr">
        <is>
          <t>135792468</t>
        </is>
      </c>
      <c r="D703" s="4108" t="inlineStr">
        <is>
          <t>202112</t>
        </is>
      </c>
      <c r="E703" s="4108" t="inlineStr">
        <is>
          <t>0,000000000000</t>
        </is>
      </c>
    </row>
    <row outlineLevel="0" r="704">
      <c r="A704" s="4108" t="inlineStr">
        <is>
          <t>135792468202112523000</t>
        </is>
      </c>
      <c r="B704" s="4108" t="inlineStr">
        <is>
          <t>523000</t>
        </is>
      </c>
      <c r="C704" s="4108" t="inlineStr">
        <is>
          <t>135792468</t>
        </is>
      </c>
      <c r="D704" s="4108" t="inlineStr">
        <is>
          <t>202112</t>
        </is>
      </c>
      <c r="E704" s="4108" t="inlineStr">
        <is>
          <t>0,000000000000</t>
        </is>
      </c>
    </row>
    <row outlineLevel="0" r="705">
      <c r="A705" s="4108" t="inlineStr">
        <is>
          <t>135792468202112523500</t>
        </is>
      </c>
      <c r="B705" s="4108" t="inlineStr">
        <is>
          <t>523500</t>
        </is>
      </c>
      <c r="C705" s="4108" t="inlineStr">
        <is>
          <t>135792468</t>
        </is>
      </c>
      <c r="D705" s="4108" t="inlineStr">
        <is>
          <t>202112</t>
        </is>
      </c>
      <c r="E705" s="4108" t="inlineStr">
        <is>
          <t>0,000000000000</t>
        </is>
      </c>
    </row>
    <row outlineLevel="0" r="706">
      <c r="A706" s="4108" t="inlineStr">
        <is>
          <t>135792468202112524000</t>
        </is>
      </c>
      <c r="B706" s="4108" t="inlineStr">
        <is>
          <t>524000</t>
        </is>
      </c>
      <c r="C706" s="4108" t="inlineStr">
        <is>
          <t>135792468</t>
        </is>
      </c>
      <c r="D706" s="4108" t="inlineStr">
        <is>
          <t>202112</t>
        </is>
      </c>
      <c r="E706" s="4108" t="inlineStr">
        <is>
          <t>0,000000000000</t>
        </is>
      </c>
    </row>
    <row outlineLevel="0" r="707">
      <c r="A707" s="4108" t="inlineStr">
        <is>
          <t>135792468202112524500</t>
        </is>
      </c>
      <c r="B707" s="4108" t="inlineStr">
        <is>
          <t>524500</t>
        </is>
      </c>
      <c r="C707" s="4108" t="inlineStr">
        <is>
          <t>135792468</t>
        </is>
      </c>
      <c r="D707" s="4108" t="inlineStr">
        <is>
          <t>202112</t>
        </is>
      </c>
      <c r="E707" s="4108" t="inlineStr">
        <is>
          <t>0,000000000000</t>
        </is>
      </c>
    </row>
    <row outlineLevel="0" r="708">
      <c r="A708" s="4108" t="inlineStr">
        <is>
          <t>135792468202112525000</t>
        </is>
      </c>
      <c r="B708" s="4108" t="inlineStr">
        <is>
          <t>525000</t>
        </is>
      </c>
      <c r="C708" s="4108" t="inlineStr">
        <is>
          <t>135792468</t>
        </is>
      </c>
      <c r="D708" s="4108" t="inlineStr">
        <is>
          <t>202112</t>
        </is>
      </c>
      <c r="E708" s="4108" t="inlineStr">
        <is>
          <t>0,000000000000</t>
        </is>
      </c>
    </row>
    <row outlineLevel="0" r="709">
      <c r="A709" s="4108" t="inlineStr">
        <is>
          <t>135792468202112525500</t>
        </is>
      </c>
      <c r="B709" s="4108" t="inlineStr">
        <is>
          <t>525500</t>
        </is>
      </c>
      <c r="C709" s="4108" t="inlineStr">
        <is>
          <t>135792468</t>
        </is>
      </c>
      <c r="D709" s="4108" t="inlineStr">
        <is>
          <t>202112</t>
        </is>
      </c>
      <c r="E709" s="4108" t="inlineStr">
        <is>
          <t>0,000000000000</t>
        </is>
      </c>
    </row>
    <row outlineLevel="0" r="710">
      <c r="A710" s="4108" t="inlineStr">
        <is>
          <t>135792468202112526000</t>
        </is>
      </c>
      <c r="B710" s="4108" t="inlineStr">
        <is>
          <t>526000</t>
        </is>
      </c>
      <c r="C710" s="4108" t="inlineStr">
        <is>
          <t>135792468</t>
        </is>
      </c>
      <c r="D710" s="4108" t="inlineStr">
        <is>
          <t>202112</t>
        </is>
      </c>
      <c r="E710" s="4108" t="inlineStr">
        <is>
          <t>0,000000000000</t>
        </is>
      </c>
    </row>
    <row outlineLevel="0" r="711">
      <c r="A711" s="4108" t="inlineStr">
        <is>
          <t>135792468202112526500</t>
        </is>
      </c>
      <c r="B711" s="4108" t="inlineStr">
        <is>
          <t>526500</t>
        </is>
      </c>
      <c r="C711" s="4108" t="inlineStr">
        <is>
          <t>135792468</t>
        </is>
      </c>
      <c r="D711" s="4108" t="inlineStr">
        <is>
          <t>202112</t>
        </is>
      </c>
      <c r="E711" s="4108" t="inlineStr">
        <is>
          <t>0,000000000000</t>
        </is>
      </c>
    </row>
    <row outlineLevel="0" r="712">
      <c r="A712" s="4108" t="inlineStr">
        <is>
          <t>135792468202112529500</t>
        </is>
      </c>
      <c r="B712" s="4108" t="inlineStr">
        <is>
          <t>529500</t>
        </is>
      </c>
      <c r="C712" s="4108" t="inlineStr">
        <is>
          <t>135792468</t>
        </is>
      </c>
      <c r="D712" s="4108" t="inlineStr">
        <is>
          <t>202112</t>
        </is>
      </c>
      <c r="E712" s="4108" t="inlineStr">
        <is>
          <t>0,000000000000</t>
        </is>
      </c>
    </row>
    <row outlineLevel="0" r="713">
      <c r="A713" s="4108" t="inlineStr">
        <is>
          <t>135792468202112529900</t>
        </is>
      </c>
      <c r="B713" s="4108" t="inlineStr">
        <is>
          <t>529900</t>
        </is>
      </c>
      <c r="C713" s="4108" t="inlineStr">
        <is>
          <t>135792468</t>
        </is>
      </c>
      <c r="D713" s="4108" t="inlineStr">
        <is>
          <t>202112</t>
        </is>
      </c>
      <c r="E713" s="4108" t="inlineStr">
        <is>
          <t>0,000000000000</t>
        </is>
      </c>
    </row>
    <row outlineLevel="0" r="714">
      <c r="A714" s="4108" t="inlineStr">
        <is>
          <t>135792468202112530505</t>
        </is>
      </c>
      <c r="B714" s="4108" t="inlineStr">
        <is>
          <t>530505</t>
        </is>
      </c>
      <c r="C714" s="4108" t="inlineStr">
        <is>
          <t>135792468</t>
        </is>
      </c>
      <c r="D714" s="4108" t="inlineStr">
        <is>
          <t>202112</t>
        </is>
      </c>
      <c r="E714" s="4108" t="inlineStr">
        <is>
          <t>0,000000000000</t>
        </is>
      </c>
    </row>
    <row outlineLevel="0" r="715">
      <c r="A715" s="4108" t="inlineStr">
        <is>
          <t>135792468202112530515</t>
        </is>
      </c>
      <c r="B715" s="4108" t="inlineStr">
        <is>
          <t>530515</t>
        </is>
      </c>
      <c r="C715" s="4108" t="inlineStr">
        <is>
          <t>135792468</t>
        </is>
      </c>
      <c r="D715" s="4108" t="inlineStr">
        <is>
          <t>202112</t>
        </is>
      </c>
      <c r="E715" s="4108" t="inlineStr">
        <is>
          <t>0,000000000000</t>
        </is>
      </c>
    </row>
    <row outlineLevel="0" r="716">
      <c r="A716" s="4108" t="inlineStr">
        <is>
          <t>135792468202112530525</t>
        </is>
      </c>
      <c r="B716" s="4108" t="inlineStr">
        <is>
          <t>530525</t>
        </is>
      </c>
      <c r="C716" s="4108" t="inlineStr">
        <is>
          <t>135792468</t>
        </is>
      </c>
      <c r="D716" s="4108" t="inlineStr">
        <is>
          <t>202112</t>
        </is>
      </c>
      <c r="E716" s="4108" t="inlineStr">
        <is>
          <t>0,000000000000</t>
        </is>
      </c>
    </row>
    <row outlineLevel="0" r="717">
      <c r="A717" s="4108" t="inlineStr">
        <is>
          <t>135792468202112530535</t>
        </is>
      </c>
      <c r="B717" s="4108" t="inlineStr">
        <is>
          <t>530535</t>
        </is>
      </c>
      <c r="C717" s="4108" t="inlineStr">
        <is>
          <t>135792468</t>
        </is>
      </c>
      <c r="D717" s="4108" t="inlineStr">
        <is>
          <t>202112</t>
        </is>
      </c>
      <c r="E717" s="4108" t="inlineStr">
        <is>
          <t>0,000000000000</t>
        </is>
      </c>
    </row>
    <row outlineLevel="0" r="718">
      <c r="A718" s="4108" t="inlineStr">
        <is>
          <t>135792468202112531000</t>
        </is>
      </c>
      <c r="B718" s="4108" t="inlineStr">
        <is>
          <t>531000</t>
        </is>
      </c>
      <c r="C718" s="4108" t="inlineStr">
        <is>
          <t>135792468</t>
        </is>
      </c>
      <c r="D718" s="4108" t="inlineStr">
        <is>
          <t>202112</t>
        </is>
      </c>
      <c r="E718" s="4108" t="inlineStr">
        <is>
          <t>0,000000000000</t>
        </is>
      </c>
    </row>
    <row outlineLevel="0" r="719">
      <c r="A719" s="4108" t="inlineStr">
        <is>
          <t>135792468202112531300</t>
        </is>
      </c>
      <c r="B719" s="4108" t="inlineStr">
        <is>
          <t>531300</t>
        </is>
      </c>
      <c r="C719" s="4108" t="inlineStr">
        <is>
          <t>135792468</t>
        </is>
      </c>
      <c r="D719" s="4108" t="inlineStr">
        <is>
          <t>202112</t>
        </is>
      </c>
      <c r="E719" s="4108" t="inlineStr">
        <is>
          <t>0,000000000000</t>
        </is>
      </c>
    </row>
    <row outlineLevel="0" r="720">
      <c r="A720" s="4108" t="inlineStr">
        <is>
          <t>135792468202112531500</t>
        </is>
      </c>
      <c r="B720" s="4108" t="inlineStr">
        <is>
          <t>531500</t>
        </is>
      </c>
      <c r="C720" s="4108" t="inlineStr">
        <is>
          <t>135792468</t>
        </is>
      </c>
      <c r="D720" s="4108" t="inlineStr">
        <is>
          <t>202112</t>
        </is>
      </c>
      <c r="E720" s="4108" t="inlineStr">
        <is>
          <t>1,000000000000</t>
        </is>
      </c>
    </row>
    <row outlineLevel="0" r="721">
      <c r="A721" s="4108" t="inlineStr">
        <is>
          <t>135792468202112531515</t>
        </is>
      </c>
      <c r="B721" s="4108" t="inlineStr">
        <is>
          <t>531515</t>
        </is>
      </c>
      <c r="C721" s="4108" t="inlineStr">
        <is>
          <t>135792468</t>
        </is>
      </c>
      <c r="D721" s="4108" t="inlineStr">
        <is>
          <t>202112</t>
        </is>
      </c>
      <c r="E721" s="4108" t="inlineStr">
        <is>
          <t>0,000000000000</t>
        </is>
      </c>
    </row>
    <row outlineLevel="0" r="722">
      <c r="A722" s="4108" t="inlineStr">
        <is>
          <t>135792468202112531520</t>
        </is>
      </c>
      <c r="B722" s="4108" t="inlineStr">
        <is>
          <t>531520</t>
        </is>
      </c>
      <c r="C722" s="4108" t="inlineStr">
        <is>
          <t>135792468</t>
        </is>
      </c>
      <c r="D722" s="4108" t="inlineStr">
        <is>
          <t>202112</t>
        </is>
      </c>
      <c r="E722" s="4108" t="inlineStr">
        <is>
          <t>0,000000000000</t>
        </is>
      </c>
    </row>
    <row outlineLevel="0" r="723">
      <c r="A723" s="4108" t="inlineStr">
        <is>
          <t>135792468202112539525</t>
        </is>
      </c>
      <c r="B723" s="4108" t="inlineStr">
        <is>
          <t>539525</t>
        </is>
      </c>
      <c r="C723" s="4108" t="inlineStr">
        <is>
          <t>135792468</t>
        </is>
      </c>
      <c r="D723" s="4108" t="inlineStr">
        <is>
          <t>202112</t>
        </is>
      </c>
      <c r="E723" s="4108" t="inlineStr">
        <is>
          <t>0,000000000000</t>
        </is>
      </c>
    </row>
    <row outlineLevel="0" r="724">
      <c r="A724" s="4108" t="inlineStr">
        <is>
          <t>135792468202112539595</t>
        </is>
      </c>
      <c r="B724" s="4108" t="inlineStr">
        <is>
          <t>539595</t>
        </is>
      </c>
      <c r="C724" s="4108" t="inlineStr">
        <is>
          <t>135792468</t>
        </is>
      </c>
      <c r="D724" s="4108" t="inlineStr">
        <is>
          <t>202112</t>
        </is>
      </c>
      <c r="E724" s="4108" t="inlineStr">
        <is>
          <t>0,000000000000</t>
        </is>
      </c>
    </row>
    <row outlineLevel="0" r="725">
      <c r="A725" s="4108" t="inlineStr">
        <is>
          <t>135792468202112606000</t>
        </is>
      </c>
      <c r="B725" s="4108" t="inlineStr">
        <is>
          <t>606000</t>
        </is>
      </c>
      <c r="C725" s="4108" t="inlineStr">
        <is>
          <t>135792468</t>
        </is>
      </c>
      <c r="D725" s="4108" t="inlineStr">
        <is>
          <t>202112</t>
        </is>
      </c>
      <c r="E725" s="4108" t="inlineStr">
        <is>
          <t>174,000000000000</t>
        </is>
      </c>
    </row>
    <row outlineLevel="0" r="726">
      <c r="A726" s="4108" t="inlineStr">
        <is>
          <t>1357924682020120</t>
        </is>
      </c>
      <c r="B726" s="4108" t="inlineStr">
        <is>
          <t>0</t>
        </is>
      </c>
      <c r="C726" s="4108" t="inlineStr">
        <is>
          <t>135792468</t>
        </is>
      </c>
      <c r="D726" s="4108" t="inlineStr">
        <is>
          <t>202012</t>
        </is>
      </c>
      <c r="E726" s="4108" t="inlineStr">
        <is>
          <t>19706,000000000000</t>
        </is>
      </c>
    </row>
    <row outlineLevel="0" r="727">
      <c r="A727" s="4108" t="inlineStr">
        <is>
          <t>1357924682020121</t>
        </is>
      </c>
      <c r="B727" s="4108" t="inlineStr">
        <is>
          <t>1</t>
        </is>
      </c>
      <c r="C727" s="4108" t="inlineStr">
        <is>
          <t>135792468</t>
        </is>
      </c>
      <c r="D727" s="4108" t="inlineStr">
        <is>
          <t>202012</t>
        </is>
      </c>
      <c r="E727" s="4108" t="inlineStr">
        <is>
          <t>19706,000000000000</t>
        </is>
      </c>
    </row>
    <row outlineLevel="0" r="728">
      <c r="A728" s="4108" t="inlineStr">
        <is>
          <t>1357924682020122</t>
        </is>
      </c>
      <c r="B728" s="4108" t="inlineStr">
        <is>
          <t>2</t>
        </is>
      </c>
      <c r="C728" s="4108" t="inlineStr">
        <is>
          <t>135792468</t>
        </is>
      </c>
      <c r="D728" s="4108" t="inlineStr">
        <is>
          <t>202012</t>
        </is>
      </c>
      <c r="E728" s="4108" t="inlineStr">
        <is>
          <t>14864,000000000000</t>
        </is>
      </c>
    </row>
    <row outlineLevel="0" r="729">
      <c r="A729" s="4108" t="inlineStr">
        <is>
          <t>1357924682020123</t>
        </is>
      </c>
      <c r="B729" s="4108" t="inlineStr">
        <is>
          <t>3</t>
        </is>
      </c>
      <c r="C729" s="4108" t="inlineStr">
        <is>
          <t>135792468</t>
        </is>
      </c>
      <c r="D729" s="4108" t="inlineStr">
        <is>
          <t>202012</t>
        </is>
      </c>
      <c r="E729" s="4108" t="inlineStr">
        <is>
          <t>4842,000000000000</t>
        </is>
      </c>
    </row>
    <row outlineLevel="0" r="730">
      <c r="A730" s="4108" t="inlineStr">
        <is>
          <t>13579246820201211</t>
        </is>
      </c>
      <c r="B730" s="4108" t="inlineStr">
        <is>
          <t>11</t>
        </is>
      </c>
      <c r="C730" s="4108" t="inlineStr">
        <is>
          <t>135792468</t>
        </is>
      </c>
      <c r="D730" s="4108" t="inlineStr">
        <is>
          <t>202012</t>
        </is>
      </c>
      <c r="E730" s="4108" t="inlineStr">
        <is>
          <t>708,000000000000</t>
        </is>
      </c>
    </row>
    <row outlineLevel="0" r="731">
      <c r="A731" s="4108" t="inlineStr">
        <is>
          <t>13579246820201212</t>
        </is>
      </c>
      <c r="B731" s="4108" t="inlineStr">
        <is>
          <t>12</t>
        </is>
      </c>
      <c r="C731" s="4108" t="inlineStr">
        <is>
          <t>135792468</t>
        </is>
      </c>
      <c r="D731" s="4108" t="inlineStr">
        <is>
          <t>202012</t>
        </is>
      </c>
      <c r="E731" s="4108" t="inlineStr">
        <is>
          <t>18998,000000000000</t>
        </is>
      </c>
    </row>
    <row outlineLevel="0" r="732">
      <c r="A732" s="4108" t="inlineStr">
        <is>
          <t>13579246820201221</t>
        </is>
      </c>
      <c r="B732" s="4108" t="inlineStr">
        <is>
          <t>21</t>
        </is>
      </c>
      <c r="C732" s="4108" t="inlineStr">
        <is>
          <t>135792468</t>
        </is>
      </c>
      <c r="D732" s="4108" t="inlineStr">
        <is>
          <t>202012</t>
        </is>
      </c>
      <c r="E732" s="4108" t="inlineStr">
        <is>
          <t>2262,000000000000</t>
        </is>
      </c>
    </row>
    <row outlineLevel="0" r="733">
      <c r="A733" s="4108" t="inlineStr">
        <is>
          <t>13579246820201222</t>
        </is>
      </c>
      <c r="B733" s="4108" t="inlineStr">
        <is>
          <t>22</t>
        </is>
      </c>
      <c r="C733" s="4108" t="inlineStr">
        <is>
          <t>135792468</t>
        </is>
      </c>
      <c r="D733" s="4108" t="inlineStr">
        <is>
          <t>202012</t>
        </is>
      </c>
      <c r="E733" s="4108" t="inlineStr">
        <is>
          <t>12602,000000000000</t>
        </is>
      </c>
    </row>
    <row outlineLevel="0" r="734">
      <c r="A734" s="4108" t="inlineStr">
        <is>
          <t>13579246820201231</t>
        </is>
      </c>
      <c r="B734" s="4108" t="inlineStr">
        <is>
          <t>31</t>
        </is>
      </c>
      <c r="C734" s="4108" t="inlineStr">
        <is>
          <t>135792468</t>
        </is>
      </c>
      <c r="D734" s="4108" t="inlineStr">
        <is>
          <t>202012</t>
        </is>
      </c>
      <c r="E734" s="4108" t="inlineStr">
        <is>
          <t>3767,000000000000</t>
        </is>
      </c>
    </row>
    <row outlineLevel="0" r="735">
      <c r="A735" s="4108" t="inlineStr">
        <is>
          <t>13579246820201232</t>
        </is>
      </c>
      <c r="B735" s="4108" t="inlineStr">
        <is>
          <t>32</t>
        </is>
      </c>
      <c r="C735" s="4108" t="inlineStr">
        <is>
          <t>135792468</t>
        </is>
      </c>
      <c r="D735" s="4108" t="inlineStr">
        <is>
          <t>202012</t>
        </is>
      </c>
      <c r="E735" s="4108" t="inlineStr">
        <is>
          <t>0,000000000000</t>
        </is>
      </c>
    </row>
    <row outlineLevel="0" r="736">
      <c r="A736" s="4108" t="inlineStr">
        <is>
          <t>13579246820201233</t>
        </is>
      </c>
      <c r="B736" s="4108" t="inlineStr">
        <is>
          <t>33</t>
        </is>
      </c>
      <c r="C736" s="4108" t="inlineStr">
        <is>
          <t>135792468</t>
        </is>
      </c>
      <c r="D736" s="4108" t="inlineStr">
        <is>
          <t>202012</t>
        </is>
      </c>
      <c r="E736" s="4108" t="inlineStr">
        <is>
          <t>166,000000000000</t>
        </is>
      </c>
    </row>
    <row outlineLevel="0" r="737">
      <c r="A737" s="4108" t="inlineStr">
        <is>
          <t>13579246820201234</t>
        </is>
      </c>
      <c r="B737" s="4108" t="inlineStr">
        <is>
          <t>34</t>
        </is>
      </c>
      <c r="C737" s="4108" t="inlineStr">
        <is>
          <t>135792468</t>
        </is>
      </c>
      <c r="D737" s="4108" t="inlineStr">
        <is>
          <t>202012</t>
        </is>
      </c>
      <c r="E737" s="4108" t="inlineStr">
        <is>
          <t>0,000000000000</t>
        </is>
      </c>
    </row>
    <row outlineLevel="0" r="738">
      <c r="A738" s="4108" t="inlineStr">
        <is>
          <t>13579246820201235</t>
        </is>
      </c>
      <c r="B738" s="4108" t="inlineStr">
        <is>
          <t>35</t>
        </is>
      </c>
      <c r="C738" s="4108" t="inlineStr">
        <is>
          <t>135792468</t>
        </is>
      </c>
      <c r="D738" s="4108" t="inlineStr">
        <is>
          <t>202012</t>
        </is>
      </c>
      <c r="E738" s="4108" t="inlineStr">
        <is>
          <t>0,000000000000</t>
        </is>
      </c>
    </row>
    <row outlineLevel="0" r="739">
      <c r="A739" s="4108" t="inlineStr">
        <is>
          <t>13579246820201236</t>
        </is>
      </c>
      <c r="B739" s="4108" t="inlineStr">
        <is>
          <t>36</t>
        </is>
      </c>
      <c r="C739" s="4108" t="inlineStr">
        <is>
          <t>135792468</t>
        </is>
      </c>
      <c r="D739" s="4108" t="inlineStr">
        <is>
          <t>202012</t>
        </is>
      </c>
      <c r="E739" s="4108" t="inlineStr">
        <is>
          <t>4,000000000000</t>
        </is>
      </c>
    </row>
    <row outlineLevel="0" r="740">
      <c r="A740" s="4108" t="inlineStr">
        <is>
          <t>13579246820201237</t>
        </is>
      </c>
      <c r="B740" s="4108" t="inlineStr">
        <is>
          <t>37</t>
        </is>
      </c>
      <c r="C740" s="4108" t="inlineStr">
        <is>
          <t>135792468</t>
        </is>
      </c>
      <c r="D740" s="4108" t="inlineStr">
        <is>
          <t>202012</t>
        </is>
      </c>
      <c r="E740" s="4108" t="inlineStr">
        <is>
          <t>905,000000000000</t>
        </is>
      </c>
    </row>
    <row outlineLevel="0" r="741">
      <c r="A741" s="4108" t="inlineStr">
        <is>
          <t>13579246820201238</t>
        </is>
      </c>
      <c r="B741" s="4108" t="inlineStr">
        <is>
          <t>38</t>
        </is>
      </c>
      <c r="C741" s="4108" t="inlineStr">
        <is>
          <t>135792468</t>
        </is>
      </c>
      <c r="D741" s="4108" t="inlineStr">
        <is>
          <t>202012</t>
        </is>
      </c>
      <c r="E741" s="4108" t="inlineStr">
        <is>
          <t>0,000000000000</t>
        </is>
      </c>
    </row>
    <row outlineLevel="0" r="742">
      <c r="A742" s="4108" t="inlineStr">
        <is>
          <t>13579246820201241</t>
        </is>
      </c>
      <c r="B742" s="4108" t="inlineStr">
        <is>
          <t>41</t>
        </is>
      </c>
      <c r="C742" s="4108" t="inlineStr">
        <is>
          <t>135792468</t>
        </is>
      </c>
      <c r="D742" s="4108" t="inlineStr">
        <is>
          <t>202012</t>
        </is>
      </c>
      <c r="E742" s="4108" t="inlineStr">
        <is>
          <t>1943,000000000000</t>
        </is>
      </c>
    </row>
    <row outlineLevel="0" r="743">
      <c r="A743" s="4108" t="inlineStr">
        <is>
          <t>13579246820201242</t>
        </is>
      </c>
      <c r="B743" s="4108" t="inlineStr">
        <is>
          <t>42</t>
        </is>
      </c>
      <c r="C743" s="4108" t="inlineStr">
        <is>
          <t>135792468</t>
        </is>
      </c>
      <c r="D743" s="4108" t="inlineStr">
        <is>
          <t>202012</t>
        </is>
      </c>
      <c r="E743" s="4108" t="inlineStr">
        <is>
          <t>0,000000000000</t>
        </is>
      </c>
    </row>
    <row outlineLevel="0" r="744">
      <c r="A744" s="4108" t="inlineStr">
        <is>
          <t>13579246820201251</t>
        </is>
      </c>
      <c r="B744" s="4108" t="inlineStr">
        <is>
          <t>51</t>
        </is>
      </c>
      <c r="C744" s="4108" t="inlineStr">
        <is>
          <t>135792468</t>
        </is>
      </c>
      <c r="D744" s="4108" t="inlineStr">
        <is>
          <t>202012</t>
        </is>
      </c>
      <c r="E744" s="4108" t="inlineStr">
        <is>
          <t>1350,000000000000</t>
        </is>
      </c>
    </row>
    <row outlineLevel="0" r="745">
      <c r="A745" s="4108" t="inlineStr">
        <is>
          <t>13579246820201252</t>
        </is>
      </c>
      <c r="B745" s="4108" t="inlineStr">
        <is>
          <t>52</t>
        </is>
      </c>
      <c r="C745" s="4108" t="inlineStr">
        <is>
          <t>135792468</t>
        </is>
      </c>
      <c r="D745" s="4108" t="inlineStr">
        <is>
          <t>202012</t>
        </is>
      </c>
      <c r="E745" s="4108" t="inlineStr">
        <is>
          <t>0,000000000000</t>
        </is>
      </c>
    </row>
    <row outlineLevel="0" r="746">
      <c r="A746" s="4108" t="inlineStr">
        <is>
          <t>13579246820201253</t>
        </is>
      </c>
      <c r="B746" s="4108" t="inlineStr">
        <is>
          <t>53</t>
        </is>
      </c>
      <c r="C746" s="4108" t="inlineStr">
        <is>
          <t>135792468</t>
        </is>
      </c>
      <c r="D746" s="4108" t="inlineStr">
        <is>
          <t>202012</t>
        </is>
      </c>
      <c r="E746" s="4108" t="inlineStr">
        <is>
          <t>587,000000000000</t>
        </is>
      </c>
    </row>
    <row outlineLevel="0" r="747">
      <c r="A747" s="4108" t="inlineStr">
        <is>
          <t>13579246820201254</t>
        </is>
      </c>
      <c r="B747" s="4108" t="inlineStr">
        <is>
          <t>54</t>
        </is>
      </c>
      <c r="C747" s="4108" t="inlineStr">
        <is>
          <t>135792468</t>
        </is>
      </c>
      <c r="D747" s="4108" t="inlineStr">
        <is>
          <t>202012</t>
        </is>
      </c>
      <c r="E747" s="4108" t="inlineStr">
        <is>
          <t>2,000000000000</t>
        </is>
      </c>
    </row>
    <row outlineLevel="0" r="748">
      <c r="A748" s="4108" t="inlineStr">
        <is>
          <t>13579246820201261</t>
        </is>
      </c>
      <c r="B748" s="4108" t="inlineStr">
        <is>
          <t>61</t>
        </is>
      </c>
      <c r="C748" s="4108" t="inlineStr">
        <is>
          <t>135792468</t>
        </is>
      </c>
      <c r="D748" s="4108" t="inlineStr">
        <is>
          <t>202012</t>
        </is>
      </c>
      <c r="E748" s="4108" t="inlineStr">
        <is>
          <t>0,000000000000</t>
        </is>
      </c>
    </row>
    <row outlineLevel="0" r="749">
      <c r="A749" s="4108" t="inlineStr">
        <is>
          <t>13579246820201295</t>
        </is>
      </c>
      <c r="B749" s="4108" t="inlineStr">
        <is>
          <t>95</t>
        </is>
      </c>
      <c r="C749" s="4108" t="inlineStr">
        <is>
          <t>135792468</t>
        </is>
      </c>
      <c r="D749" s="4108" t="inlineStr">
        <is>
          <t>202012</t>
        </is>
      </c>
      <c r="E749" s="4108" t="inlineStr">
        <is>
          <t>1943,000000000000</t>
        </is>
      </c>
    </row>
    <row outlineLevel="0" r="750">
      <c r="A750" s="4108" t="inlineStr">
        <is>
          <t>13579246820201296</t>
        </is>
      </c>
      <c r="B750" s="4108" t="inlineStr">
        <is>
          <t>96</t>
        </is>
      </c>
      <c r="C750" s="4108" t="inlineStr">
        <is>
          <t>135792468</t>
        </is>
      </c>
      <c r="D750" s="4108" t="inlineStr">
        <is>
          <t>202012</t>
        </is>
      </c>
      <c r="E750" s="4108" t="inlineStr">
        <is>
          <t>593,000000000000</t>
        </is>
      </c>
    </row>
    <row outlineLevel="0" r="751">
      <c r="A751" s="4108" t="inlineStr">
        <is>
          <t>13579246820201297</t>
        </is>
      </c>
      <c r="B751" s="4108" t="inlineStr">
        <is>
          <t>97</t>
        </is>
      </c>
      <c r="C751" s="4108" t="inlineStr">
        <is>
          <t>135792468</t>
        </is>
      </c>
      <c r="D751" s="4108" t="inlineStr">
        <is>
          <t>202012</t>
        </is>
      </c>
      <c r="E751" s="4108" t="inlineStr">
        <is>
          <t>6,000000000000</t>
        </is>
      </c>
    </row>
    <row outlineLevel="0" r="752">
      <c r="A752" s="4108" t="inlineStr">
        <is>
          <t>13579246820201298</t>
        </is>
      </c>
      <c r="B752" s="4108" t="inlineStr">
        <is>
          <t>98</t>
        </is>
      </c>
      <c r="C752" s="4108" t="inlineStr">
        <is>
          <t>135792468</t>
        </is>
      </c>
      <c r="D752" s="4108" t="inlineStr">
        <is>
          <t>202012</t>
        </is>
      </c>
      <c r="E752" s="4108" t="inlineStr">
        <is>
          <t>0,000000000000</t>
        </is>
      </c>
    </row>
    <row outlineLevel="0" r="753">
      <c r="A753" s="4108" t="inlineStr">
        <is>
          <t>13579246820201299</t>
        </is>
      </c>
      <c r="B753" s="4108" t="inlineStr">
        <is>
          <t>99</t>
        </is>
      </c>
      <c r="C753" s="4108" t="inlineStr">
        <is>
          <t>135792468</t>
        </is>
      </c>
      <c r="D753" s="4108" t="inlineStr">
        <is>
          <t>202012</t>
        </is>
      </c>
      <c r="E753" s="4108" t="inlineStr">
        <is>
          <t>4,000000000000</t>
        </is>
      </c>
    </row>
    <row outlineLevel="0" r="754">
      <c r="A754" s="4108" t="inlineStr">
        <is>
          <t>1357924682020121101</t>
        </is>
      </c>
      <c r="B754" s="4108" t="inlineStr">
        <is>
          <t>1101</t>
        </is>
      </c>
      <c r="C754" s="4108" t="inlineStr">
        <is>
          <t>135792468</t>
        </is>
      </c>
      <c r="D754" s="4108" t="inlineStr">
        <is>
          <t>202012</t>
        </is>
      </c>
      <c r="E754" s="4108" t="inlineStr">
        <is>
          <t>283,000000000000</t>
        </is>
      </c>
    </row>
    <row outlineLevel="0" r="755">
      <c r="A755" s="4108" t="inlineStr">
        <is>
          <t>1357924682020121102</t>
        </is>
      </c>
      <c r="B755" s="4108" t="inlineStr">
        <is>
          <t>1102</t>
        </is>
      </c>
      <c r="C755" s="4108" t="inlineStr">
        <is>
          <t>135792468</t>
        </is>
      </c>
      <c r="D755" s="4108" t="inlineStr">
        <is>
          <t>202012</t>
        </is>
      </c>
      <c r="E755" s="4108" t="inlineStr">
        <is>
          <t>0,000000000000</t>
        </is>
      </c>
    </row>
    <row outlineLevel="0" r="756">
      <c r="A756" s="4108" t="inlineStr">
        <is>
          <t>1357924682020121103</t>
        </is>
      </c>
      <c r="B756" s="4108" t="inlineStr">
        <is>
          <t>1103</t>
        </is>
      </c>
      <c r="C756" s="4108" t="inlineStr">
        <is>
          <t>135792468</t>
        </is>
      </c>
      <c r="D756" s="4108" t="inlineStr">
        <is>
          <t>202012</t>
        </is>
      </c>
      <c r="E756" s="4108" t="inlineStr">
        <is>
          <t>377,000000000000</t>
        </is>
      </c>
    </row>
    <row outlineLevel="0" r="757">
      <c r="A757" s="4108" t="inlineStr">
        <is>
          <t>1357924682020121104</t>
        </is>
      </c>
      <c r="B757" s="4108" t="inlineStr">
        <is>
          <t>1104</t>
        </is>
      </c>
      <c r="C757" s="4108" t="inlineStr">
        <is>
          <t>135792468</t>
        </is>
      </c>
      <c r="D757" s="4108" t="inlineStr">
        <is>
          <t>202012</t>
        </is>
      </c>
      <c r="E757" s="4108" t="inlineStr">
        <is>
          <t>0,000000000000</t>
        </is>
      </c>
    </row>
    <row outlineLevel="0" r="758">
      <c r="A758" s="4108" t="inlineStr">
        <is>
          <t>1357924682020121106</t>
        </is>
      </c>
      <c r="B758" s="4108" t="inlineStr">
        <is>
          <t>1106</t>
        </is>
      </c>
      <c r="C758" s="4108" t="inlineStr">
        <is>
          <t>135792468</t>
        </is>
      </c>
      <c r="D758" s="4108" t="inlineStr">
        <is>
          <t>202012</t>
        </is>
      </c>
      <c r="E758" s="4108" t="inlineStr">
        <is>
          <t>48,000000000000</t>
        </is>
      </c>
    </row>
    <row outlineLevel="0" r="759">
      <c r="A759" s="4108" t="inlineStr">
        <is>
          <t>1357924682020121107</t>
        </is>
      </c>
      <c r="B759" s="4108" t="inlineStr">
        <is>
          <t>1107</t>
        </is>
      </c>
      <c r="C759" s="4108" t="inlineStr">
        <is>
          <t>135792468</t>
        </is>
      </c>
      <c r="D759" s="4108" t="inlineStr">
        <is>
          <t>202012</t>
        </is>
      </c>
      <c r="E759" s="4108" t="inlineStr">
        <is>
          <t>0,000000000000</t>
        </is>
      </c>
    </row>
    <row outlineLevel="0" r="760">
      <c r="A760" s="4108" t="inlineStr">
        <is>
          <t>1357924682020121201</t>
        </is>
      </c>
      <c r="B760" s="4108" t="inlineStr">
        <is>
          <t>1201</t>
        </is>
      </c>
      <c r="C760" s="4108" t="inlineStr">
        <is>
          <t>135792468</t>
        </is>
      </c>
      <c r="D760" s="4108" t="inlineStr">
        <is>
          <t>202012</t>
        </is>
      </c>
      <c r="E760" s="4108" t="inlineStr">
        <is>
          <t>15240,000000000000</t>
        </is>
      </c>
    </row>
    <row outlineLevel="0" r="761">
      <c r="A761" s="4108" t="inlineStr">
        <is>
          <t>1357924682020121202</t>
        </is>
      </c>
      <c r="B761" s="4108" t="inlineStr">
        <is>
          <t>1202</t>
        </is>
      </c>
      <c r="C761" s="4108" t="inlineStr">
        <is>
          <t>135792468</t>
        </is>
      </c>
      <c r="D761" s="4108" t="inlineStr">
        <is>
          <t>202012</t>
        </is>
      </c>
      <c r="E761" s="4108" t="inlineStr">
        <is>
          <t>0,000000000000</t>
        </is>
      </c>
    </row>
    <row outlineLevel="0" r="762">
      <c r="A762" s="4108" t="inlineStr">
        <is>
          <t>1357924682020121203</t>
        </is>
      </c>
      <c r="B762" s="4108" t="inlineStr">
        <is>
          <t>1203</t>
        </is>
      </c>
      <c r="C762" s="4108" t="inlineStr">
        <is>
          <t>135792468</t>
        </is>
      </c>
      <c r="D762" s="4108" t="inlineStr">
        <is>
          <t>202012</t>
        </is>
      </c>
      <c r="E762" s="4108" t="inlineStr">
        <is>
          <t>0,000000000000</t>
        </is>
      </c>
    </row>
    <row outlineLevel="0" r="763">
      <c r="A763" s="4108" t="inlineStr">
        <is>
          <t>1357924682020121205</t>
        </is>
      </c>
      <c r="B763" s="4108" t="inlineStr">
        <is>
          <t>1205</t>
        </is>
      </c>
      <c r="C763" s="4108" t="inlineStr">
        <is>
          <t>135792468</t>
        </is>
      </c>
      <c r="D763" s="4108" t="inlineStr">
        <is>
          <t>202012</t>
        </is>
      </c>
      <c r="E763" s="4108" t="inlineStr">
        <is>
          <t>0,000000000000</t>
        </is>
      </c>
    </row>
    <row outlineLevel="0" r="764">
      <c r="A764" s="4108" t="inlineStr">
        <is>
          <t>1357924682020121206</t>
        </is>
      </c>
      <c r="B764" s="4108" t="inlineStr">
        <is>
          <t>1206</t>
        </is>
      </c>
      <c r="C764" s="4108" t="inlineStr">
        <is>
          <t>135792468</t>
        </is>
      </c>
      <c r="D764" s="4108" t="inlineStr">
        <is>
          <t>202012</t>
        </is>
      </c>
      <c r="E764" s="4108" t="inlineStr">
        <is>
          <t>0,000000000000</t>
        </is>
      </c>
    </row>
    <row outlineLevel="0" r="765">
      <c r="A765" s="4108" t="inlineStr">
        <is>
          <t>1357924682020121207</t>
        </is>
      </c>
      <c r="B765" s="4108" t="inlineStr">
        <is>
          <t>1207</t>
        </is>
      </c>
      <c r="C765" s="4108" t="inlineStr">
        <is>
          <t>135792468</t>
        </is>
      </c>
      <c r="D765" s="4108" t="inlineStr">
        <is>
          <t>202012</t>
        </is>
      </c>
      <c r="E765" s="4108" t="inlineStr">
        <is>
          <t>3758,000000000000</t>
        </is>
      </c>
    </row>
    <row outlineLevel="0" r="766">
      <c r="A766" s="4108" t="inlineStr">
        <is>
          <t>1357924682020121208</t>
        </is>
      </c>
      <c r="B766" s="4108" t="inlineStr">
        <is>
          <t>1208</t>
        </is>
      </c>
      <c r="C766" s="4108" t="inlineStr">
        <is>
          <t>135792468</t>
        </is>
      </c>
      <c r="D766" s="4108" t="inlineStr">
        <is>
          <t>202012</t>
        </is>
      </c>
      <c r="E766" s="4108" t="inlineStr">
        <is>
          <t>0,000000000000</t>
        </is>
      </c>
    </row>
    <row outlineLevel="0" r="767">
      <c r="A767" s="4108" t="inlineStr">
        <is>
          <t>1357924682020122101</t>
        </is>
      </c>
      <c r="B767" s="4108" t="inlineStr">
        <is>
          <t>2101</t>
        </is>
      </c>
      <c r="C767" s="4108" t="inlineStr">
        <is>
          <t>135792468</t>
        </is>
      </c>
      <c r="D767" s="4108" t="inlineStr">
        <is>
          <t>202012</t>
        </is>
      </c>
      <c r="E767" s="4108" t="inlineStr">
        <is>
          <t>433,000000000000</t>
        </is>
      </c>
    </row>
    <row outlineLevel="0" r="768">
      <c r="A768" s="4108" t="inlineStr">
        <is>
          <t>1357924682020122102</t>
        </is>
      </c>
      <c r="B768" s="4108" t="inlineStr">
        <is>
          <t>2102</t>
        </is>
      </c>
      <c r="C768" s="4108" t="inlineStr">
        <is>
          <t>135792468</t>
        </is>
      </c>
      <c r="D768" s="4108" t="inlineStr">
        <is>
          <t>202012</t>
        </is>
      </c>
      <c r="E768" s="4108" t="inlineStr">
        <is>
          <t>0,000000000000</t>
        </is>
      </c>
    </row>
    <row outlineLevel="0" r="769">
      <c r="A769" s="4108" t="inlineStr">
        <is>
          <t>1357924682020122103</t>
        </is>
      </c>
      <c r="B769" s="4108" t="inlineStr">
        <is>
          <t>2103</t>
        </is>
      </c>
      <c r="C769" s="4108" t="inlineStr">
        <is>
          <t>135792468</t>
        </is>
      </c>
      <c r="D769" s="4108" t="inlineStr">
        <is>
          <t>202012</t>
        </is>
      </c>
      <c r="E769" s="4108" t="inlineStr">
        <is>
          <t>1650,000000000000</t>
        </is>
      </c>
    </row>
    <row outlineLevel="0" r="770">
      <c r="A770" s="4108" t="inlineStr">
        <is>
          <t>1357924682020122104</t>
        </is>
      </c>
      <c r="B770" s="4108" t="inlineStr">
        <is>
          <t>2104</t>
        </is>
      </c>
      <c r="C770" s="4108" t="inlineStr">
        <is>
          <t>135792468</t>
        </is>
      </c>
      <c r="D770" s="4108" t="inlineStr">
        <is>
          <t>202012</t>
        </is>
      </c>
      <c r="E770" s="4108" t="inlineStr">
        <is>
          <t>0,000000000000</t>
        </is>
      </c>
    </row>
    <row outlineLevel="0" r="771">
      <c r="A771" s="4108" t="inlineStr">
        <is>
          <t>1357924682020122105</t>
        </is>
      </c>
      <c r="B771" s="4108" t="inlineStr">
        <is>
          <t>2105</t>
        </is>
      </c>
      <c r="C771" s="4108" t="inlineStr">
        <is>
          <t>135792468</t>
        </is>
      </c>
      <c r="D771" s="4108" t="inlineStr">
        <is>
          <t>202012</t>
        </is>
      </c>
      <c r="E771" s="4108" t="inlineStr">
        <is>
          <t>7,000000000000</t>
        </is>
      </c>
    </row>
    <row outlineLevel="0" r="772">
      <c r="A772" s="4108" t="inlineStr">
        <is>
          <t>1357924682020122106</t>
        </is>
      </c>
      <c r="B772" s="4108" t="inlineStr">
        <is>
          <t>2106</t>
        </is>
      </c>
      <c r="C772" s="4108" t="inlineStr">
        <is>
          <t>135792468</t>
        </is>
      </c>
      <c r="D772" s="4108" t="inlineStr">
        <is>
          <t>202012</t>
        </is>
      </c>
      <c r="E772" s="4108" t="inlineStr">
        <is>
          <t>0,000000000000</t>
        </is>
      </c>
    </row>
    <row outlineLevel="0" r="773">
      <c r="A773" s="4108" t="inlineStr">
        <is>
          <t>1357924682020122107</t>
        </is>
      </c>
      <c r="B773" s="4108" t="inlineStr">
        <is>
          <t>2107</t>
        </is>
      </c>
      <c r="C773" s="4108" t="inlineStr">
        <is>
          <t>135792468</t>
        </is>
      </c>
      <c r="D773" s="4108" t="inlineStr">
        <is>
          <t>202012</t>
        </is>
      </c>
      <c r="E773" s="4108" t="inlineStr">
        <is>
          <t>172,000000000000</t>
        </is>
      </c>
    </row>
    <row outlineLevel="0" r="774">
      <c r="A774" s="4108" t="inlineStr">
        <is>
          <t>1357924682020122109</t>
        </is>
      </c>
      <c r="B774" s="4108" t="inlineStr">
        <is>
          <t>2109</t>
        </is>
      </c>
      <c r="C774" s="4108" t="inlineStr">
        <is>
          <t>135792468</t>
        </is>
      </c>
      <c r="D774" s="4108" t="inlineStr">
        <is>
          <t>202012</t>
        </is>
      </c>
      <c r="E774" s="4108" t="inlineStr">
        <is>
          <t>0,000000000000</t>
        </is>
      </c>
    </row>
    <row outlineLevel="0" r="775">
      <c r="A775" s="4108" t="inlineStr">
        <is>
          <t>1357924682020122201</t>
        </is>
      </c>
      <c r="B775" s="4108" t="inlineStr">
        <is>
          <t>2201</t>
        </is>
      </c>
      <c r="C775" s="4108" t="inlineStr">
        <is>
          <t>135792468</t>
        </is>
      </c>
      <c r="D775" s="4108" t="inlineStr">
        <is>
          <t>202012</t>
        </is>
      </c>
      <c r="E775" s="4108" t="inlineStr">
        <is>
          <t>11290,000000000000</t>
        </is>
      </c>
    </row>
    <row outlineLevel="0" r="776">
      <c r="A776" s="4108" t="inlineStr">
        <is>
          <t>1357924682020122203</t>
        </is>
      </c>
      <c r="B776" s="4108" t="inlineStr">
        <is>
          <t>2203</t>
        </is>
      </c>
      <c r="C776" s="4108" t="inlineStr">
        <is>
          <t>135792468</t>
        </is>
      </c>
      <c r="D776" s="4108" t="inlineStr">
        <is>
          <t>202012</t>
        </is>
      </c>
      <c r="E776" s="4108" t="inlineStr">
        <is>
          <t>1300,000000000000</t>
        </is>
      </c>
    </row>
    <row outlineLevel="0" r="777">
      <c r="A777" s="4108" t="inlineStr">
        <is>
          <t>1357924682020122204</t>
        </is>
      </c>
      <c r="B777" s="4108" t="inlineStr">
        <is>
          <t>2204</t>
        </is>
      </c>
      <c r="C777" s="4108" t="inlineStr">
        <is>
          <t>135792468</t>
        </is>
      </c>
      <c r="D777" s="4108" t="inlineStr">
        <is>
          <t>202012</t>
        </is>
      </c>
      <c r="E777" s="4108" t="inlineStr">
        <is>
          <t>0,000000000000</t>
        </is>
      </c>
    </row>
    <row outlineLevel="0" r="778">
      <c r="A778" s="4108" t="inlineStr">
        <is>
          <t>1357924682020122206</t>
        </is>
      </c>
      <c r="B778" s="4108" t="inlineStr">
        <is>
          <t>2206</t>
        </is>
      </c>
      <c r="C778" s="4108" t="inlineStr">
        <is>
          <t>135792468</t>
        </is>
      </c>
      <c r="D778" s="4108" t="inlineStr">
        <is>
          <t>202012</t>
        </is>
      </c>
      <c r="E778" s="4108" t="inlineStr">
        <is>
          <t>12,000000000000</t>
        </is>
      </c>
    </row>
    <row outlineLevel="0" r="779">
      <c r="A779" s="4108" t="inlineStr">
        <is>
          <t>1357924682020122207</t>
        </is>
      </c>
      <c r="B779" s="4108" t="inlineStr">
        <is>
          <t>2207</t>
        </is>
      </c>
      <c r="C779" s="4108" t="inlineStr">
        <is>
          <t>135792468</t>
        </is>
      </c>
      <c r="D779" s="4108" t="inlineStr">
        <is>
          <t>202012</t>
        </is>
      </c>
      <c r="E779" s="4108" t="inlineStr">
        <is>
          <t>0,000000000000</t>
        </is>
      </c>
    </row>
    <row outlineLevel="0" r="780">
      <c r="A780" s="4108" t="inlineStr">
        <is>
          <t>1357924682020122209</t>
        </is>
      </c>
      <c r="B780" s="4108" t="inlineStr">
        <is>
          <t>2209</t>
        </is>
      </c>
      <c r="C780" s="4108" t="inlineStr">
        <is>
          <t>135792468</t>
        </is>
      </c>
      <c r="D780" s="4108" t="inlineStr">
        <is>
          <t>202012</t>
        </is>
      </c>
      <c r="E780" s="4108" t="inlineStr">
        <is>
          <t>0,000000000000</t>
        </is>
      </c>
    </row>
    <row outlineLevel="0" r="781">
      <c r="A781" s="4108" t="inlineStr">
        <is>
          <t>1357924682020125301</t>
        </is>
      </c>
      <c r="B781" s="4108" t="inlineStr">
        <is>
          <t>5301</t>
        </is>
      </c>
      <c r="C781" s="4108" t="inlineStr">
        <is>
          <t>135792468</t>
        </is>
      </c>
      <c r="D781" s="4108" t="inlineStr">
        <is>
          <t>202012</t>
        </is>
      </c>
      <c r="E781" s="4108" t="inlineStr">
        <is>
          <t>587,000000000000</t>
        </is>
      </c>
    </row>
    <row outlineLevel="0" r="782">
      <c r="A782" s="4108" t="inlineStr">
        <is>
          <t>135792468202012108000</t>
        </is>
      </c>
      <c r="B782" s="4108" t="inlineStr">
        <is>
          <t>108000</t>
        </is>
      </c>
      <c r="C782" s="4108" t="inlineStr">
        <is>
          <t>135792468</t>
        </is>
      </c>
      <c r="D782" s="4108" t="inlineStr">
        <is>
          <t>202012</t>
        </is>
      </c>
      <c r="E782" s="4108" t="inlineStr">
        <is>
          <t>0,000000000000</t>
        </is>
      </c>
    </row>
    <row outlineLevel="0" r="783">
      <c r="A783" s="4108" t="inlineStr">
        <is>
          <t>135792468202012108100</t>
        </is>
      </c>
      <c r="B783" s="4108" t="inlineStr">
        <is>
          <t>108100</t>
        </is>
      </c>
      <c r="C783" s="4108" t="inlineStr">
        <is>
          <t>135792468</t>
        </is>
      </c>
      <c r="D783" s="4108" t="inlineStr">
        <is>
          <t>202012</t>
        </is>
      </c>
      <c r="E783" s="4108" t="inlineStr">
        <is>
          <t>0,000000000000</t>
        </is>
      </c>
    </row>
    <row outlineLevel="0" r="784">
      <c r="A784" s="4108" t="inlineStr">
        <is>
          <t>135792468202012108200</t>
        </is>
      </c>
      <c r="B784" s="4108" t="inlineStr">
        <is>
          <t>108200</t>
        </is>
      </c>
      <c r="C784" s="4108" t="inlineStr">
        <is>
          <t>135792468</t>
        </is>
      </c>
      <c r="D784" s="4108" t="inlineStr">
        <is>
          <t>202012</t>
        </is>
      </c>
      <c r="E784" s="4108" t="inlineStr">
        <is>
          <t>0,000000000000</t>
        </is>
      </c>
    </row>
    <row outlineLevel="0" r="785">
      <c r="A785" s="4108" t="inlineStr">
        <is>
          <t>135792468202012108300</t>
        </is>
      </c>
      <c r="B785" s="4108" t="inlineStr">
        <is>
          <t>108300</t>
        </is>
      </c>
      <c r="C785" s="4108" t="inlineStr">
        <is>
          <t>135792468</t>
        </is>
      </c>
      <c r="D785" s="4108" t="inlineStr">
        <is>
          <t>202012</t>
        </is>
      </c>
      <c r="E785" s="4108" t="inlineStr">
        <is>
          <t>0,000000000000</t>
        </is>
      </c>
    </row>
    <row outlineLevel="0" r="786">
      <c r="A786" s="4108" t="inlineStr">
        <is>
          <t>135792468202012108400</t>
        </is>
      </c>
      <c r="B786" s="4108" t="inlineStr">
        <is>
          <t>108400</t>
        </is>
      </c>
      <c r="C786" s="4108" t="inlineStr">
        <is>
          <t>135792468</t>
        </is>
      </c>
      <c r="D786" s="4108" t="inlineStr">
        <is>
          <t>202012</t>
        </is>
      </c>
      <c r="E786" s="4108" t="inlineStr">
        <is>
          <t>0,000000000000</t>
        </is>
      </c>
    </row>
    <row outlineLevel="0" r="787">
      <c r="A787" s="4108" t="inlineStr">
        <is>
          <t>135792468202012109801</t>
        </is>
      </c>
      <c r="B787" s="4108" t="inlineStr">
        <is>
          <t>109801</t>
        </is>
      </c>
      <c r="C787" s="4108" t="inlineStr">
        <is>
          <t>135792468</t>
        </is>
      </c>
      <c r="D787" s="4108" t="inlineStr">
        <is>
          <t>202012</t>
        </is>
      </c>
      <c r="E787" s="4108" t="inlineStr">
        <is>
          <t>0,000000000000</t>
        </is>
      </c>
    </row>
    <row outlineLevel="0" r="788">
      <c r="A788" s="4108" t="inlineStr">
        <is>
          <t>135792468202012110105</t>
        </is>
      </c>
      <c r="B788" s="4108" t="inlineStr">
        <is>
          <t>110105</t>
        </is>
      </c>
      <c r="C788" s="4108" t="inlineStr">
        <is>
          <t>135792468</t>
        </is>
      </c>
      <c r="D788" s="4108" t="inlineStr">
        <is>
          <t>202012</t>
        </is>
      </c>
      <c r="E788" s="4108" t="inlineStr">
        <is>
          <t>283,000000000000</t>
        </is>
      </c>
    </row>
    <row outlineLevel="0" r="789">
      <c r="A789" s="4108" t="inlineStr">
        <is>
          <t>135792468202012110110</t>
        </is>
      </c>
      <c r="B789" s="4108" t="inlineStr">
        <is>
          <t>110110</t>
        </is>
      </c>
      <c r="C789" s="4108" t="inlineStr">
        <is>
          <t>135792468</t>
        </is>
      </c>
      <c r="D789" s="4108" t="inlineStr">
        <is>
          <t>202012</t>
        </is>
      </c>
      <c r="E789" s="4108" t="inlineStr">
        <is>
          <t>0,000000000000</t>
        </is>
      </c>
    </row>
    <row outlineLevel="0" r="790">
      <c r="A790" s="4108" t="inlineStr">
        <is>
          <t>135792468202012110125</t>
        </is>
      </c>
      <c r="B790" s="4108" t="inlineStr">
        <is>
          <t>110125</t>
        </is>
      </c>
      <c r="C790" s="4108" t="inlineStr">
        <is>
          <t>135792468</t>
        </is>
      </c>
      <c r="D790" s="4108" t="inlineStr">
        <is>
          <t>202012</t>
        </is>
      </c>
      <c r="E790" s="4108" t="inlineStr">
        <is>
          <t>0,000000000000</t>
        </is>
      </c>
    </row>
    <row outlineLevel="0" r="791">
      <c r="A791" s="4108" t="inlineStr">
        <is>
          <t>135792468202012110130</t>
        </is>
      </c>
      <c r="B791" s="4108" t="inlineStr">
        <is>
          <t>110130</t>
        </is>
      </c>
      <c r="C791" s="4108" t="inlineStr">
        <is>
          <t>135792468</t>
        </is>
      </c>
      <c r="D791" s="4108" t="inlineStr">
        <is>
          <t>202012</t>
        </is>
      </c>
      <c r="E791" s="4108" t="inlineStr">
        <is>
          <t>0,000000000000</t>
        </is>
      </c>
    </row>
    <row outlineLevel="0" r="792">
      <c r="A792" s="4108" t="inlineStr">
        <is>
          <t>135792468202012110205</t>
        </is>
      </c>
      <c r="B792" s="4108" t="inlineStr">
        <is>
          <t>110205</t>
        </is>
      </c>
      <c r="C792" s="4108" t="inlineStr">
        <is>
          <t>135792468</t>
        </is>
      </c>
      <c r="D792" s="4108" t="inlineStr">
        <is>
          <t>202012</t>
        </is>
      </c>
      <c r="E792" s="4108" t="inlineStr">
        <is>
          <t>0,000000000000</t>
        </is>
      </c>
    </row>
    <row outlineLevel="0" r="793">
      <c r="A793" s="4108" t="inlineStr">
        <is>
          <t>135792468202012110210</t>
        </is>
      </c>
      <c r="B793" s="4108" t="inlineStr">
        <is>
          <t>110210</t>
        </is>
      </c>
      <c r="C793" s="4108" t="inlineStr">
        <is>
          <t>135792468</t>
        </is>
      </c>
      <c r="D793" s="4108" t="inlineStr">
        <is>
          <t>202012</t>
        </is>
      </c>
      <c r="E793" s="4108" t="inlineStr">
        <is>
          <t>0,000000000000</t>
        </is>
      </c>
    </row>
    <row outlineLevel="0" r="794">
      <c r="A794" s="4108" t="inlineStr">
        <is>
          <t>135792468202012110215</t>
        </is>
      </c>
      <c r="B794" s="4108" t="inlineStr">
        <is>
          <t>110215</t>
        </is>
      </c>
      <c r="C794" s="4108" t="inlineStr">
        <is>
          <t>135792468</t>
        </is>
      </c>
      <c r="D794" s="4108" t="inlineStr">
        <is>
          <t>202012</t>
        </is>
      </c>
      <c r="E794" s="4108" t="inlineStr">
        <is>
          <t>0,000000000000</t>
        </is>
      </c>
    </row>
    <row outlineLevel="0" r="795">
      <c r="A795" s="4108" t="inlineStr">
        <is>
          <t>135792468202012110225</t>
        </is>
      </c>
      <c r="B795" s="4108" t="inlineStr">
        <is>
          <t>110225</t>
        </is>
      </c>
      <c r="C795" s="4108" t="inlineStr">
        <is>
          <t>135792468</t>
        </is>
      </c>
      <c r="D795" s="4108" t="inlineStr">
        <is>
          <t>202012</t>
        </is>
      </c>
      <c r="E795" s="4108" t="inlineStr">
        <is>
          <t>0,000000000000</t>
        </is>
      </c>
    </row>
    <row outlineLevel="0" r="796">
      <c r="A796" s="4108" t="inlineStr">
        <is>
          <t>135792468202012110235</t>
        </is>
      </c>
      <c r="B796" s="4108" t="inlineStr">
        <is>
          <t>110235</t>
        </is>
      </c>
      <c r="C796" s="4108" t="inlineStr">
        <is>
          <t>135792468</t>
        </is>
      </c>
      <c r="D796" s="4108" t="inlineStr">
        <is>
          <t>202012</t>
        </is>
      </c>
      <c r="E796" s="4108" t="inlineStr">
        <is>
          <t>0,000000000000</t>
        </is>
      </c>
    </row>
    <row outlineLevel="0" r="797">
      <c r="A797" s="4108" t="inlineStr">
        <is>
          <t>135792468202012110255</t>
        </is>
      </c>
      <c r="B797" s="4108" t="inlineStr">
        <is>
          <t>110255</t>
        </is>
      </c>
      <c r="C797" s="4108" t="inlineStr">
        <is>
          <t>135792468</t>
        </is>
      </c>
      <c r="D797" s="4108" t="inlineStr">
        <is>
          <t>202012</t>
        </is>
      </c>
      <c r="E797" s="4108" t="inlineStr">
        <is>
          <t>0,000000000000</t>
        </is>
      </c>
    </row>
    <row outlineLevel="0" r="798">
      <c r="A798" s="4108" t="inlineStr">
        <is>
          <t>135792468202012110260</t>
        </is>
      </c>
      <c r="B798" s="4108" t="inlineStr">
        <is>
          <t>110260</t>
        </is>
      </c>
      <c r="C798" s="4108" t="inlineStr">
        <is>
          <t>135792468</t>
        </is>
      </c>
      <c r="D798" s="4108" t="inlineStr">
        <is>
          <t>202012</t>
        </is>
      </c>
      <c r="E798" s="4108" t="inlineStr">
        <is>
          <t>0,000000000000</t>
        </is>
      </c>
    </row>
    <row outlineLevel="0" r="799">
      <c r="A799" s="4108" t="inlineStr">
        <is>
          <t>135792468202012110305</t>
        </is>
      </c>
      <c r="B799" s="4108" t="inlineStr">
        <is>
          <t>110305</t>
        </is>
      </c>
      <c r="C799" s="4108" t="inlineStr">
        <is>
          <t>135792468</t>
        </is>
      </c>
      <c r="D799" s="4108" t="inlineStr">
        <is>
          <t>202012</t>
        </is>
      </c>
      <c r="E799" s="4108" t="inlineStr">
        <is>
          <t>377,000000000000</t>
        </is>
      </c>
    </row>
    <row outlineLevel="0" r="800">
      <c r="A800" s="4108" t="inlineStr">
        <is>
          <t>135792468202012110390</t>
        </is>
      </c>
      <c r="B800" s="4108" t="inlineStr">
        <is>
          <t>110390</t>
        </is>
      </c>
      <c r="C800" s="4108" t="inlineStr">
        <is>
          <t>135792468</t>
        </is>
      </c>
      <c r="D800" s="4108" t="inlineStr">
        <is>
          <t>202012</t>
        </is>
      </c>
      <c r="E800" s="4108" t="inlineStr">
        <is>
          <t>0,000000000000</t>
        </is>
      </c>
    </row>
    <row outlineLevel="0" r="801">
      <c r="A801" s="4108" t="inlineStr">
        <is>
          <t>135792468202012110395</t>
        </is>
      </c>
      <c r="B801" s="4108" t="inlineStr">
        <is>
          <t>110395</t>
        </is>
      </c>
      <c r="C801" s="4108" t="inlineStr">
        <is>
          <t>135792468</t>
        </is>
      </c>
      <c r="D801" s="4108" t="inlineStr">
        <is>
          <t>202012</t>
        </is>
      </c>
      <c r="E801" s="4108" t="inlineStr">
        <is>
          <t>0,000000000000</t>
        </is>
      </c>
    </row>
    <row outlineLevel="0" r="802">
      <c r="A802" s="4108" t="inlineStr">
        <is>
          <t>135792468202012110405</t>
        </is>
      </c>
      <c r="B802" s="4108" t="inlineStr">
        <is>
          <t>110405</t>
        </is>
      </c>
      <c r="C802" s="4108" t="inlineStr">
        <is>
          <t>135792468</t>
        </is>
      </c>
      <c r="D802" s="4108" t="inlineStr">
        <is>
          <t>202012</t>
        </is>
      </c>
      <c r="E802" s="4108" t="inlineStr">
        <is>
          <t>0,000000000000</t>
        </is>
      </c>
    </row>
    <row outlineLevel="0" r="803">
      <c r="A803" s="4108" t="inlineStr">
        <is>
          <t>135792468202012110410</t>
        </is>
      </c>
      <c r="B803" s="4108" t="inlineStr">
        <is>
          <t>110410</t>
        </is>
      </c>
      <c r="C803" s="4108" t="inlineStr">
        <is>
          <t>135792468</t>
        </is>
      </c>
      <c r="D803" s="4108" t="inlineStr">
        <is>
          <t>202012</t>
        </is>
      </c>
      <c r="E803" s="4108" t="inlineStr">
        <is>
          <t>0,000000000000</t>
        </is>
      </c>
    </row>
    <row outlineLevel="0" r="804">
      <c r="A804" s="4108" t="inlineStr">
        <is>
          <t>135792468202012110415</t>
        </is>
      </c>
      <c r="B804" s="4108" t="inlineStr">
        <is>
          <t>110415</t>
        </is>
      </c>
      <c r="C804" s="4108" t="inlineStr">
        <is>
          <t>135792468</t>
        </is>
      </c>
      <c r="D804" s="4108" t="inlineStr">
        <is>
          <t>202012</t>
        </is>
      </c>
      <c r="E804" s="4108" t="inlineStr">
        <is>
          <t>0,000000000000</t>
        </is>
      </c>
    </row>
    <row outlineLevel="0" r="805">
      <c r="A805" s="4108" t="inlineStr">
        <is>
          <t>135792468202012110420</t>
        </is>
      </c>
      <c r="B805" s="4108" t="inlineStr">
        <is>
          <t>110420</t>
        </is>
      </c>
      <c r="C805" s="4108" t="inlineStr">
        <is>
          <t>135792468</t>
        </is>
      </c>
      <c r="D805" s="4108" t="inlineStr">
        <is>
          <t>202012</t>
        </is>
      </c>
      <c r="E805" s="4108" t="inlineStr">
        <is>
          <t>0,000000000000</t>
        </is>
      </c>
    </row>
    <row outlineLevel="0" r="806">
      <c r="A806" s="4108" t="inlineStr">
        <is>
          <t>135792468202012110490</t>
        </is>
      </c>
      <c r="B806" s="4108" t="inlineStr">
        <is>
          <t>110490</t>
        </is>
      </c>
      <c r="C806" s="4108" t="inlineStr">
        <is>
          <t>135792468</t>
        </is>
      </c>
      <c r="D806" s="4108" t="inlineStr">
        <is>
          <t>202012</t>
        </is>
      </c>
      <c r="E806" s="4108" t="inlineStr">
        <is>
          <t>0,000000000000</t>
        </is>
      </c>
    </row>
    <row outlineLevel="0" r="807">
      <c r="A807" s="4108" t="inlineStr">
        <is>
          <t>135792468202012110491</t>
        </is>
      </c>
      <c r="B807" s="4108" t="inlineStr">
        <is>
          <t>110491</t>
        </is>
      </c>
      <c r="C807" s="4108" t="inlineStr">
        <is>
          <t>135792468</t>
        </is>
      </c>
      <c r="D807" s="4108" t="inlineStr">
        <is>
          <t>202012</t>
        </is>
      </c>
      <c r="E807" s="4108" t="inlineStr">
        <is>
          <t>0,000000000000</t>
        </is>
      </c>
    </row>
    <row outlineLevel="0" r="808">
      <c r="A808" s="4108" t="inlineStr">
        <is>
          <t>135792468202012110495</t>
        </is>
      </c>
      <c r="B808" s="4108" t="inlineStr">
        <is>
          <t>110495</t>
        </is>
      </c>
      <c r="C808" s="4108" t="inlineStr">
        <is>
          <t>135792468</t>
        </is>
      </c>
      <c r="D808" s="4108" t="inlineStr">
        <is>
          <t>202012</t>
        </is>
      </c>
      <c r="E808" s="4108" t="inlineStr">
        <is>
          <t>0,000000000000</t>
        </is>
      </c>
    </row>
    <row outlineLevel="0" r="809">
      <c r="A809" s="4108" t="inlineStr">
        <is>
          <t>135792468202012111010</t>
        </is>
      </c>
      <c r="B809" s="4108" t="inlineStr">
        <is>
          <t>111010</t>
        </is>
      </c>
      <c r="C809" s="4108" t="inlineStr">
        <is>
          <t>135792468</t>
        </is>
      </c>
      <c r="D809" s="4108" t="inlineStr">
        <is>
          <t>202012</t>
        </is>
      </c>
      <c r="E809" s="4108" t="inlineStr">
        <is>
          <t>0,000000000000</t>
        </is>
      </c>
    </row>
    <row outlineLevel="0" r="810">
      <c r="A810" s="4108" t="inlineStr">
        <is>
          <t>135792468202012120104</t>
        </is>
      </c>
      <c r="B810" s="4108" t="inlineStr">
        <is>
          <t>120104</t>
        </is>
      </c>
      <c r="C810" s="4108" t="inlineStr">
        <is>
          <t>135792468</t>
        </is>
      </c>
      <c r="D810" s="4108" t="inlineStr">
        <is>
          <t>202012</t>
        </is>
      </c>
      <c r="E810" s="4108" t="inlineStr">
        <is>
          <t>10123,000000000000</t>
        </is>
      </c>
    </row>
    <row outlineLevel="0" r="811">
      <c r="A811" s="4108" t="inlineStr">
        <is>
          <t>135792468202012120108</t>
        </is>
      </c>
      <c r="B811" s="4108" t="inlineStr">
        <is>
          <t>120108</t>
        </is>
      </c>
      <c r="C811" s="4108" t="inlineStr">
        <is>
          <t>135792468</t>
        </is>
      </c>
      <c r="D811" s="4108" t="inlineStr">
        <is>
          <t>202012</t>
        </is>
      </c>
      <c r="E811" s="4108" t="inlineStr">
        <is>
          <t>897,000000000000</t>
        </is>
      </c>
    </row>
    <row outlineLevel="0" r="812">
      <c r="A812" s="4108" t="inlineStr">
        <is>
          <t>135792468202012120116</t>
        </is>
      </c>
      <c r="B812" s="4108" t="inlineStr">
        <is>
          <t>120116</t>
        </is>
      </c>
      <c r="C812" s="4108" t="inlineStr">
        <is>
          <t>135792468</t>
        </is>
      </c>
      <c r="D812" s="4108" t="inlineStr">
        <is>
          <t>202012</t>
        </is>
      </c>
      <c r="E812" s="4108" t="inlineStr">
        <is>
          <t>9152,000000000000</t>
        </is>
      </c>
    </row>
    <row outlineLevel="0" r="813">
      <c r="A813" s="4108" t="inlineStr">
        <is>
          <t>135792468202012120120</t>
        </is>
      </c>
      <c r="B813" s="4108" t="inlineStr">
        <is>
          <t>120120</t>
        </is>
      </c>
      <c r="C813" s="4108" t="inlineStr">
        <is>
          <t>135792468</t>
        </is>
      </c>
      <c r="D813" s="4108" t="inlineStr">
        <is>
          <t>202012</t>
        </is>
      </c>
      <c r="E813" s="4108" t="inlineStr">
        <is>
          <t>0,000000000000</t>
        </is>
      </c>
    </row>
    <row outlineLevel="0" r="814">
      <c r="A814" s="4108" t="inlineStr">
        <is>
          <t>135792468202012120124</t>
        </is>
      </c>
      <c r="B814" s="4108" t="inlineStr">
        <is>
          <t>120124</t>
        </is>
      </c>
      <c r="C814" s="4108" t="inlineStr">
        <is>
          <t>135792468</t>
        </is>
      </c>
      <c r="D814" s="4108" t="inlineStr">
        <is>
          <t>202012</t>
        </is>
      </c>
      <c r="E814" s="4108" t="inlineStr">
        <is>
          <t>432,000000000000</t>
        </is>
      </c>
    </row>
    <row outlineLevel="0" r="815">
      <c r="A815" s="4108" t="inlineStr">
        <is>
          <t>135792468202012120128</t>
        </is>
      </c>
      <c r="B815" s="4108" t="inlineStr">
        <is>
          <t>120128</t>
        </is>
      </c>
      <c r="C815" s="4108" t="inlineStr">
        <is>
          <t>135792468</t>
        </is>
      </c>
      <c r="D815" s="4108" t="inlineStr">
        <is>
          <t>202012</t>
        </is>
      </c>
      <c r="E815" s="4108" t="inlineStr">
        <is>
          <t>0,000000000000</t>
        </is>
      </c>
    </row>
    <row outlineLevel="0" r="816">
      <c r="A816" s="4108" t="inlineStr">
        <is>
          <t>135792468202012120140</t>
        </is>
      </c>
      <c r="B816" s="4108" t="inlineStr">
        <is>
          <t>120140</t>
        </is>
      </c>
      <c r="C816" s="4108" t="inlineStr">
        <is>
          <t>135792468</t>
        </is>
      </c>
      <c r="D816" s="4108" t="inlineStr">
        <is>
          <t>202012</t>
        </is>
      </c>
      <c r="E816" s="4108" t="inlineStr">
        <is>
          <t>406,000000000000</t>
        </is>
      </c>
    </row>
    <row outlineLevel="0" r="817">
      <c r="A817" s="4108" t="inlineStr">
        <is>
          <t>135792468202012120145</t>
        </is>
      </c>
      <c r="B817" s="4108" t="inlineStr">
        <is>
          <t>120145</t>
        </is>
      </c>
      <c r="C817" s="4108" t="inlineStr">
        <is>
          <t>135792468</t>
        </is>
      </c>
      <c r="D817" s="4108" t="inlineStr">
        <is>
          <t>202012</t>
        </is>
      </c>
      <c r="E817" s="4108" t="inlineStr">
        <is>
          <t>0,000000000000</t>
        </is>
      </c>
    </row>
    <row outlineLevel="0" r="818">
      <c r="A818" s="4108" t="inlineStr">
        <is>
          <t>135792468202012120195</t>
        </is>
      </c>
      <c r="B818" s="4108" t="inlineStr">
        <is>
          <t>120195</t>
        </is>
      </c>
      <c r="C818" s="4108" t="inlineStr">
        <is>
          <t>135792468</t>
        </is>
      </c>
      <c r="D818" s="4108" t="inlineStr">
        <is>
          <t>202012</t>
        </is>
      </c>
      <c r="E818" s="4108" t="inlineStr">
        <is>
          <t>-5770,000000000000</t>
        </is>
      </c>
    </row>
    <row outlineLevel="0" r="819">
      <c r="A819" s="4108" t="inlineStr">
        <is>
          <t>135792468202012120501</t>
        </is>
      </c>
      <c r="B819" s="4108" t="inlineStr">
        <is>
          <t>120501</t>
        </is>
      </c>
      <c r="C819" s="4108" t="inlineStr">
        <is>
          <t>135792468</t>
        </is>
      </c>
      <c r="D819" s="4108" t="inlineStr">
        <is>
          <t>202012</t>
        </is>
      </c>
      <c r="E819" s="4108" t="inlineStr">
        <is>
          <t>0,000000000000</t>
        </is>
      </c>
    </row>
    <row outlineLevel="0" r="820">
      <c r="A820" s="4108" t="inlineStr">
        <is>
          <t>135792468202012120610</t>
        </is>
      </c>
      <c r="B820" s="4108" t="inlineStr">
        <is>
          <t>120610</t>
        </is>
      </c>
      <c r="C820" s="4108" t="inlineStr">
        <is>
          <t>135792468</t>
        </is>
      </c>
      <c r="D820" s="4108" t="inlineStr">
        <is>
          <t>202012</t>
        </is>
      </c>
      <c r="E820" s="4108" t="inlineStr">
        <is>
          <t>0,000000000000</t>
        </is>
      </c>
    </row>
    <row outlineLevel="0" r="821">
      <c r="A821" s="4108" t="inlineStr">
        <is>
          <t>135792468202012120615</t>
        </is>
      </c>
      <c r="B821" s="4108" t="inlineStr">
        <is>
          <t>120615</t>
        </is>
      </c>
      <c r="C821" s="4108" t="inlineStr">
        <is>
          <t>135792468</t>
        </is>
      </c>
      <c r="D821" s="4108" t="inlineStr">
        <is>
          <t>202012</t>
        </is>
      </c>
      <c r="E821" s="4108" t="inlineStr">
        <is>
          <t>0,000000000000</t>
        </is>
      </c>
    </row>
    <row outlineLevel="0" r="822">
      <c r="A822" s="4108" t="inlineStr">
        <is>
          <t>135792468202012120620</t>
        </is>
      </c>
      <c r="B822" s="4108" t="inlineStr">
        <is>
          <t>120620</t>
        </is>
      </c>
      <c r="C822" s="4108" t="inlineStr">
        <is>
          <t>135792468</t>
        </is>
      </c>
      <c r="D822" s="4108" t="inlineStr">
        <is>
          <t>202012</t>
        </is>
      </c>
      <c r="E822" s="4108" t="inlineStr">
        <is>
          <t>0,000000000000</t>
        </is>
      </c>
    </row>
    <row outlineLevel="0" r="823">
      <c r="A823" s="4108" t="inlineStr">
        <is>
          <t>135792468202012121001</t>
        </is>
      </c>
      <c r="B823" s="4108" t="inlineStr">
        <is>
          <t>121001</t>
        </is>
      </c>
      <c r="C823" s="4108" t="inlineStr">
        <is>
          <t>135792468</t>
        </is>
      </c>
      <c r="D823" s="4108" t="inlineStr">
        <is>
          <t>202012</t>
        </is>
      </c>
      <c r="E823" s="4108" t="inlineStr">
        <is>
          <t>0,000000000000</t>
        </is>
      </c>
    </row>
    <row outlineLevel="0" r="824">
      <c r="A824" s="4108" t="inlineStr">
        <is>
          <t>135792468202012121501</t>
        </is>
      </c>
      <c r="B824" s="4108" t="inlineStr">
        <is>
          <t>121501</t>
        </is>
      </c>
      <c r="C824" s="4108" t="inlineStr">
        <is>
          <t>135792468</t>
        </is>
      </c>
      <c r="D824" s="4108" t="inlineStr">
        <is>
          <t>202012</t>
        </is>
      </c>
      <c r="E824" s="4108" t="inlineStr">
        <is>
          <t>0,000000000000</t>
        </is>
      </c>
    </row>
    <row outlineLevel="0" r="825">
      <c r="A825" s="4108" t="inlineStr">
        <is>
          <t>135792468202012123501</t>
        </is>
      </c>
      <c r="B825" s="4108" t="inlineStr">
        <is>
          <t>123501</t>
        </is>
      </c>
      <c r="C825" s="4108" t="inlineStr">
        <is>
          <t>135792468</t>
        </is>
      </c>
      <c r="D825" s="4108" t="inlineStr">
        <is>
          <t>202012</t>
        </is>
      </c>
      <c r="E825" s="4108" t="inlineStr">
        <is>
          <t>0,000000000000</t>
        </is>
      </c>
    </row>
    <row outlineLevel="0" r="826">
      <c r="A826" s="4108" t="inlineStr">
        <is>
          <t>135792468202012125501</t>
        </is>
      </c>
      <c r="B826" s="4108" t="inlineStr">
        <is>
          <t>125501</t>
        </is>
      </c>
      <c r="C826" s="4108" t="inlineStr">
        <is>
          <t>135792468</t>
        </is>
      </c>
      <c r="D826" s="4108" t="inlineStr">
        <is>
          <t>202012</t>
        </is>
      </c>
      <c r="E826" s="4108" t="inlineStr">
        <is>
          <t>0,000000000000</t>
        </is>
      </c>
    </row>
    <row outlineLevel="0" r="827">
      <c r="A827" s="4108" t="inlineStr">
        <is>
          <t>135792468202012126001</t>
        </is>
      </c>
      <c r="B827" s="4108" t="inlineStr">
        <is>
          <t>126001</t>
        </is>
      </c>
      <c r="C827" s="4108" t="inlineStr">
        <is>
          <t>135792468</t>
        </is>
      </c>
      <c r="D827" s="4108" t="inlineStr">
        <is>
          <t>202012</t>
        </is>
      </c>
      <c r="E827" s="4108" t="inlineStr">
        <is>
          <t>0,000000000000</t>
        </is>
      </c>
    </row>
    <row outlineLevel="0" r="828">
      <c r="A828" s="4108" t="inlineStr">
        <is>
          <t>135792468202012129501</t>
        </is>
      </c>
      <c r="B828" s="4108" t="inlineStr">
        <is>
          <t>129501</t>
        </is>
      </c>
      <c r="C828" s="4108" t="inlineStr">
        <is>
          <t>135792468</t>
        </is>
      </c>
      <c r="D828" s="4108" t="inlineStr">
        <is>
          <t>202012</t>
        </is>
      </c>
      <c r="E828" s="4108" t="inlineStr">
        <is>
          <t>0,000000000000</t>
        </is>
      </c>
    </row>
    <row outlineLevel="0" r="829">
      <c r="A829" s="4108" t="inlineStr">
        <is>
          <t>135792468202012129700</t>
        </is>
      </c>
      <c r="B829" s="4108" t="inlineStr">
        <is>
          <t>129700</t>
        </is>
      </c>
      <c r="C829" s="4108" t="inlineStr">
        <is>
          <t>135792468</t>
        </is>
      </c>
      <c r="D829" s="4108" t="inlineStr">
        <is>
          <t>202012</t>
        </is>
      </c>
      <c r="E829" s="4108" t="inlineStr">
        <is>
          <t>0,000000000000</t>
        </is>
      </c>
    </row>
    <row outlineLevel="0" r="830">
      <c r="A830" s="4108" t="inlineStr">
        <is>
          <t>135792468202012129701</t>
        </is>
      </c>
      <c r="B830" s="4108" t="inlineStr">
        <is>
          <t>129701</t>
        </is>
      </c>
      <c r="C830" s="4108" t="inlineStr">
        <is>
          <t>135792468</t>
        </is>
      </c>
      <c r="D830" s="4108" t="inlineStr">
        <is>
          <t>202012</t>
        </is>
      </c>
      <c r="E830" s="4108" t="inlineStr">
        <is>
          <t>0,000000000000</t>
        </is>
      </c>
    </row>
    <row outlineLevel="0" r="831">
      <c r="A831" s="4108" t="inlineStr">
        <is>
          <t>135792468202012129901</t>
        </is>
      </c>
      <c r="B831" s="4108" t="inlineStr">
        <is>
          <t>129901</t>
        </is>
      </c>
      <c r="C831" s="4108" t="inlineStr">
        <is>
          <t>135792468</t>
        </is>
      </c>
      <c r="D831" s="4108" t="inlineStr">
        <is>
          <t>202012</t>
        </is>
      </c>
      <c r="E831" s="4108" t="inlineStr">
        <is>
          <t>0,000000000000</t>
        </is>
      </c>
    </row>
    <row outlineLevel="0" r="832">
      <c r="A832" s="4108" t="inlineStr">
        <is>
          <t>135792468202012130506</t>
        </is>
      </c>
      <c r="B832" s="4108" t="inlineStr">
        <is>
          <t>130506</t>
        </is>
      </c>
      <c r="C832" s="4108" t="inlineStr">
        <is>
          <t>135792468</t>
        </is>
      </c>
      <c r="D832" s="4108" t="inlineStr">
        <is>
          <t>202012</t>
        </is>
      </c>
      <c r="E832" s="4108" t="inlineStr">
        <is>
          <t>0,000000000000</t>
        </is>
      </c>
    </row>
    <row outlineLevel="0" r="833">
      <c r="A833" s="4108" t="inlineStr">
        <is>
          <t>135792468202012130510</t>
        </is>
      </c>
      <c r="B833" s="4108" t="inlineStr">
        <is>
          <t>130510</t>
        </is>
      </c>
      <c r="C833" s="4108" t="inlineStr">
        <is>
          <t>135792468</t>
        </is>
      </c>
      <c r="D833" s="4108" t="inlineStr">
        <is>
          <t>202012</t>
        </is>
      </c>
      <c r="E833" s="4108" t="inlineStr">
        <is>
          <t>0,000000000000</t>
        </is>
      </c>
    </row>
    <row outlineLevel="0" r="834">
      <c r="A834" s="4108" t="inlineStr">
        <is>
          <t>135792468202012130511</t>
        </is>
      </c>
      <c r="B834" s="4108" t="inlineStr">
        <is>
          <t>130511</t>
        </is>
      </c>
      <c r="C834" s="4108" t="inlineStr">
        <is>
          <t>135792468</t>
        </is>
      </c>
      <c r="D834" s="4108" t="inlineStr">
        <is>
          <t>202012</t>
        </is>
      </c>
      <c r="E834" s="4108" t="inlineStr">
        <is>
          <t>0,000000000000</t>
        </is>
      </c>
    </row>
    <row outlineLevel="0" r="835">
      <c r="A835" s="4108" t="inlineStr">
        <is>
          <t>135792468202012131000</t>
        </is>
      </c>
      <c r="B835" s="4108" t="inlineStr">
        <is>
          <t>131000</t>
        </is>
      </c>
      <c r="C835" s="4108" t="inlineStr">
        <is>
          <t>135792468</t>
        </is>
      </c>
      <c r="D835" s="4108" t="inlineStr">
        <is>
          <t>202012</t>
        </is>
      </c>
      <c r="E835" s="4108" t="inlineStr">
        <is>
          <t>0,000000000000</t>
        </is>
      </c>
    </row>
    <row outlineLevel="0" r="836">
      <c r="A836" s="4108" t="inlineStr">
        <is>
          <t>135792468202012131001</t>
        </is>
      </c>
      <c r="B836" s="4108" t="inlineStr">
        <is>
          <t>131001</t>
        </is>
      </c>
      <c r="C836" s="4108" t="inlineStr">
        <is>
          <t>135792468</t>
        </is>
      </c>
      <c r="D836" s="4108" t="inlineStr">
        <is>
          <t>202012</t>
        </is>
      </c>
      <c r="E836" s="4108" t="inlineStr">
        <is>
          <t>0,000000000000</t>
        </is>
      </c>
    </row>
    <row outlineLevel="0" r="837">
      <c r="A837" s="4108" t="inlineStr">
        <is>
          <t>135792468202012131501</t>
        </is>
      </c>
      <c r="B837" s="4108" t="inlineStr">
        <is>
          <t>131501</t>
        </is>
      </c>
      <c r="C837" s="4108" t="inlineStr">
        <is>
          <t>135792468</t>
        </is>
      </c>
      <c r="D837" s="4108" t="inlineStr">
        <is>
          <t>202012</t>
        </is>
      </c>
      <c r="E837" s="4108" t="inlineStr">
        <is>
          <t>0,000000000000</t>
        </is>
      </c>
    </row>
    <row outlineLevel="0" r="838">
      <c r="A838" s="4108" t="inlineStr">
        <is>
          <t>135792468202012132000</t>
        </is>
      </c>
      <c r="B838" s="4108" t="inlineStr">
        <is>
          <t>132000</t>
        </is>
      </c>
      <c r="C838" s="4108" t="inlineStr">
        <is>
          <t>135792468</t>
        </is>
      </c>
      <c r="D838" s="4108" t="inlineStr">
        <is>
          <t>202012</t>
        </is>
      </c>
      <c r="E838" s="4108" t="inlineStr">
        <is>
          <t>0,000000000000</t>
        </is>
      </c>
    </row>
    <row outlineLevel="0" r="839">
      <c r="A839" s="4108" t="inlineStr">
        <is>
          <t>135792468202012132001</t>
        </is>
      </c>
      <c r="B839" s="4108" t="inlineStr">
        <is>
          <t>132001</t>
        </is>
      </c>
      <c r="C839" s="4108" t="inlineStr">
        <is>
          <t>135792468</t>
        </is>
      </c>
      <c r="D839" s="4108" t="inlineStr">
        <is>
          <t>202012</t>
        </is>
      </c>
      <c r="E839" s="4108" t="inlineStr">
        <is>
          <t>0,000000000000</t>
        </is>
      </c>
    </row>
    <row outlineLevel="0" r="840">
      <c r="A840" s="4108" t="inlineStr">
        <is>
          <t>135792468202012132500</t>
        </is>
      </c>
      <c r="B840" s="4108" t="inlineStr">
        <is>
          <t>132500</t>
        </is>
      </c>
      <c r="C840" s="4108" t="inlineStr">
        <is>
          <t>135792468</t>
        </is>
      </c>
      <c r="D840" s="4108" t="inlineStr">
        <is>
          <t>202012</t>
        </is>
      </c>
      <c r="E840" s="4108" t="inlineStr">
        <is>
          <t>0,000000000000</t>
        </is>
      </c>
    </row>
    <row outlineLevel="0" r="841">
      <c r="A841" s="4108" t="inlineStr">
        <is>
          <t>135792468202012132501</t>
        </is>
      </c>
      <c r="B841" s="4108" t="inlineStr">
        <is>
          <t>132501</t>
        </is>
      </c>
      <c r="C841" s="4108" t="inlineStr">
        <is>
          <t>135792468</t>
        </is>
      </c>
      <c r="D841" s="4108" t="inlineStr">
        <is>
          <t>202012</t>
        </is>
      </c>
      <c r="E841" s="4108" t="inlineStr">
        <is>
          <t>0,000000000000</t>
        </is>
      </c>
    </row>
    <row outlineLevel="0" r="842">
      <c r="A842" s="4108" t="inlineStr">
        <is>
          <t>135792468202012133000</t>
        </is>
      </c>
      <c r="B842" s="4108" t="inlineStr">
        <is>
          <t>133000</t>
        </is>
      </c>
      <c r="C842" s="4108" t="inlineStr">
        <is>
          <t>135792468</t>
        </is>
      </c>
      <c r="D842" s="4108" t="inlineStr">
        <is>
          <t>202012</t>
        </is>
      </c>
      <c r="E842" s="4108" t="inlineStr">
        <is>
          <t>0,000000000000</t>
        </is>
      </c>
    </row>
    <row outlineLevel="0" r="843">
      <c r="A843" s="4108" t="inlineStr">
        <is>
          <t>135792468202012133001</t>
        </is>
      </c>
      <c r="B843" s="4108" t="inlineStr">
        <is>
          <t>133001</t>
        </is>
      </c>
      <c r="C843" s="4108" t="inlineStr">
        <is>
          <t>135792468</t>
        </is>
      </c>
      <c r="D843" s="4108" t="inlineStr">
        <is>
          <t>202012</t>
        </is>
      </c>
      <c r="E843" s="4108" t="inlineStr">
        <is>
          <t>0,000000000000</t>
        </is>
      </c>
    </row>
    <row outlineLevel="0" r="844">
      <c r="A844" s="4108" t="inlineStr">
        <is>
          <t>135792468202012133500</t>
        </is>
      </c>
      <c r="B844" s="4108" t="inlineStr">
        <is>
          <t>133500</t>
        </is>
      </c>
      <c r="C844" s="4108" t="inlineStr">
        <is>
          <t>135792468</t>
        </is>
      </c>
      <c r="D844" s="4108" t="inlineStr">
        <is>
          <t>202012</t>
        </is>
      </c>
      <c r="E844" s="4108" t="inlineStr">
        <is>
          <t>48,000000000000</t>
        </is>
      </c>
    </row>
    <row outlineLevel="0" r="845">
      <c r="A845" s="4108" t="inlineStr">
        <is>
          <t>135792468202012133501</t>
        </is>
      </c>
      <c r="B845" s="4108" t="inlineStr">
        <is>
          <t>133501</t>
        </is>
      </c>
      <c r="C845" s="4108" t="inlineStr">
        <is>
          <t>135792468</t>
        </is>
      </c>
      <c r="D845" s="4108" t="inlineStr">
        <is>
          <t>202012</t>
        </is>
      </c>
      <c r="E845" s="4108" t="inlineStr">
        <is>
          <t>0,000000000000</t>
        </is>
      </c>
    </row>
    <row outlineLevel="0" r="846">
      <c r="A846" s="4108" t="inlineStr">
        <is>
          <t>135792468202012134000</t>
        </is>
      </c>
      <c r="B846" s="4108" t="inlineStr">
        <is>
          <t>134000</t>
        </is>
      </c>
      <c r="C846" s="4108" t="inlineStr">
        <is>
          <t>135792468</t>
        </is>
      </c>
      <c r="D846" s="4108" t="inlineStr">
        <is>
          <t>202012</t>
        </is>
      </c>
      <c r="E846" s="4108" t="inlineStr">
        <is>
          <t>0,000000000000</t>
        </is>
      </c>
    </row>
    <row outlineLevel="0" r="847">
      <c r="A847" s="4108" t="inlineStr">
        <is>
          <t>135792468202012134001</t>
        </is>
      </c>
      <c r="B847" s="4108" t="inlineStr">
        <is>
          <t>134001</t>
        </is>
      </c>
      <c r="C847" s="4108" t="inlineStr">
        <is>
          <t>135792468</t>
        </is>
      </c>
      <c r="D847" s="4108" t="inlineStr">
        <is>
          <t>202012</t>
        </is>
      </c>
      <c r="E847" s="4108" t="inlineStr">
        <is>
          <t>0,000000000000</t>
        </is>
      </c>
    </row>
    <row outlineLevel="0" r="848">
      <c r="A848" s="4108" t="inlineStr">
        <is>
          <t>135792468202012134500</t>
        </is>
      </c>
      <c r="B848" s="4108" t="inlineStr">
        <is>
          <t>134500</t>
        </is>
      </c>
      <c r="C848" s="4108" t="inlineStr">
        <is>
          <t>135792468</t>
        </is>
      </c>
      <c r="D848" s="4108" t="inlineStr">
        <is>
          <t>202012</t>
        </is>
      </c>
      <c r="E848" s="4108" t="inlineStr">
        <is>
          <t>0,000000000000</t>
        </is>
      </c>
    </row>
    <row outlineLevel="0" r="849">
      <c r="A849" s="4108" t="inlineStr">
        <is>
          <t>135792468202012134501</t>
        </is>
      </c>
      <c r="B849" s="4108" t="inlineStr">
        <is>
          <t>134501</t>
        </is>
      </c>
      <c r="C849" s="4108" t="inlineStr">
        <is>
          <t>135792468</t>
        </is>
      </c>
      <c r="D849" s="4108" t="inlineStr">
        <is>
          <t>202012</t>
        </is>
      </c>
      <c r="E849" s="4108" t="inlineStr">
        <is>
          <t>0,000000000000</t>
        </is>
      </c>
    </row>
    <row outlineLevel="0" r="850">
      <c r="A850" s="4108" t="inlineStr">
        <is>
          <t>135792468202012135000</t>
        </is>
      </c>
      <c r="B850" s="4108" t="inlineStr">
        <is>
          <t>135000</t>
        </is>
      </c>
      <c r="C850" s="4108" t="inlineStr">
        <is>
          <t>135792468</t>
        </is>
      </c>
      <c r="D850" s="4108" t="inlineStr">
        <is>
          <t>202012</t>
        </is>
      </c>
      <c r="E850" s="4108" t="inlineStr">
        <is>
          <t>0,000000000000</t>
        </is>
      </c>
    </row>
    <row outlineLevel="0" r="851">
      <c r="A851" s="4108" t="inlineStr">
        <is>
          <t>135792468202012135001</t>
        </is>
      </c>
      <c r="B851" s="4108" t="inlineStr">
        <is>
          <t>135001</t>
        </is>
      </c>
      <c r="C851" s="4108" t="inlineStr">
        <is>
          <t>135792468</t>
        </is>
      </c>
      <c r="D851" s="4108" t="inlineStr">
        <is>
          <t>202012</t>
        </is>
      </c>
      <c r="E851" s="4108" t="inlineStr">
        <is>
          <t>0,000000000000</t>
        </is>
      </c>
    </row>
    <row outlineLevel="0" r="852">
      <c r="A852" s="4108" t="inlineStr">
        <is>
          <t>135792468202012135500</t>
        </is>
      </c>
      <c r="B852" s="4108" t="inlineStr">
        <is>
          <t>135500</t>
        </is>
      </c>
      <c r="C852" s="4108" t="inlineStr">
        <is>
          <t>135792468</t>
        </is>
      </c>
      <c r="D852" s="4108" t="inlineStr">
        <is>
          <t>202012</t>
        </is>
      </c>
      <c r="E852" s="4108" t="inlineStr">
        <is>
          <t>0,000000000000</t>
        </is>
      </c>
    </row>
    <row outlineLevel="0" r="853">
      <c r="A853" s="4108" t="inlineStr">
        <is>
          <t>135792468202012135501</t>
        </is>
      </c>
      <c r="B853" s="4108" t="inlineStr">
        <is>
          <t>135501</t>
        </is>
      </c>
      <c r="C853" s="4108" t="inlineStr">
        <is>
          <t>135792468</t>
        </is>
      </c>
      <c r="D853" s="4108" t="inlineStr">
        <is>
          <t>202012</t>
        </is>
      </c>
      <c r="E853" s="4108" t="inlineStr">
        <is>
          <t>0,000000000000</t>
        </is>
      </c>
    </row>
    <row outlineLevel="0" r="854">
      <c r="A854" s="4108" t="inlineStr">
        <is>
          <t>135792468202012136000</t>
        </is>
      </c>
      <c r="B854" s="4108" t="inlineStr">
        <is>
          <t>136000</t>
        </is>
      </c>
      <c r="C854" s="4108" t="inlineStr">
        <is>
          <t>135792468</t>
        </is>
      </c>
      <c r="D854" s="4108" t="inlineStr">
        <is>
          <t>202012</t>
        </is>
      </c>
      <c r="E854" s="4108" t="inlineStr">
        <is>
          <t>0,000000000000</t>
        </is>
      </c>
    </row>
    <row outlineLevel="0" r="855">
      <c r="A855" s="4108" t="inlineStr">
        <is>
          <t>135792468202012136001</t>
        </is>
      </c>
      <c r="B855" s="4108" t="inlineStr">
        <is>
          <t>136001</t>
        </is>
      </c>
      <c r="C855" s="4108" t="inlineStr">
        <is>
          <t>135792468</t>
        </is>
      </c>
      <c r="D855" s="4108" t="inlineStr">
        <is>
          <t>202012</t>
        </is>
      </c>
      <c r="E855" s="4108" t="inlineStr">
        <is>
          <t>0,000000000000</t>
        </is>
      </c>
    </row>
    <row outlineLevel="0" r="856">
      <c r="A856" s="4108" t="inlineStr">
        <is>
          <t>135792468202012136500</t>
        </is>
      </c>
      <c r="B856" s="4108" t="inlineStr">
        <is>
          <t>136500</t>
        </is>
      </c>
      <c r="C856" s="4108" t="inlineStr">
        <is>
          <t>135792468</t>
        </is>
      </c>
      <c r="D856" s="4108" t="inlineStr">
        <is>
          <t>202012</t>
        </is>
      </c>
      <c r="E856" s="4108" t="inlineStr">
        <is>
          <t>0,000000000000</t>
        </is>
      </c>
    </row>
    <row outlineLevel="0" r="857">
      <c r="A857" s="4108" t="inlineStr">
        <is>
          <t>135792468202012136501</t>
        </is>
      </c>
      <c r="B857" s="4108" t="inlineStr">
        <is>
          <t>136501</t>
        </is>
      </c>
      <c r="C857" s="4108" t="inlineStr">
        <is>
          <t>135792468</t>
        </is>
      </c>
      <c r="D857" s="4108" t="inlineStr">
        <is>
          <t>202012</t>
        </is>
      </c>
      <c r="E857" s="4108" t="inlineStr">
        <is>
          <t>0,000000000000</t>
        </is>
      </c>
    </row>
    <row outlineLevel="0" r="858">
      <c r="A858" s="4108" t="inlineStr">
        <is>
          <t>135792468202012137000</t>
        </is>
      </c>
      <c r="B858" s="4108" t="inlineStr">
        <is>
          <t>137000</t>
        </is>
      </c>
      <c r="C858" s="4108" t="inlineStr">
        <is>
          <t>135792468</t>
        </is>
      </c>
      <c r="D858" s="4108" t="inlineStr">
        <is>
          <t>202012</t>
        </is>
      </c>
      <c r="E858" s="4108" t="inlineStr">
        <is>
          <t>0,000000000000</t>
        </is>
      </c>
    </row>
    <row outlineLevel="0" r="859">
      <c r="A859" s="4108" t="inlineStr">
        <is>
          <t>135792468202012137001</t>
        </is>
      </c>
      <c r="B859" s="4108" t="inlineStr">
        <is>
          <t>137001</t>
        </is>
      </c>
      <c r="C859" s="4108" t="inlineStr">
        <is>
          <t>135792468</t>
        </is>
      </c>
      <c r="D859" s="4108" t="inlineStr">
        <is>
          <t>202012</t>
        </is>
      </c>
      <c r="E859" s="4108" t="inlineStr">
        <is>
          <t>0,000000000000</t>
        </is>
      </c>
    </row>
    <row outlineLevel="0" r="860">
      <c r="A860" s="4108" t="inlineStr">
        <is>
          <t>135792468202012138001</t>
        </is>
      </c>
      <c r="B860" s="4108" t="inlineStr">
        <is>
          <t>138001</t>
        </is>
      </c>
      <c r="C860" s="4108" t="inlineStr">
        <is>
          <t>135792468</t>
        </is>
      </c>
      <c r="D860" s="4108" t="inlineStr">
        <is>
          <t>202012</t>
        </is>
      </c>
      <c r="E860" s="4108" t="inlineStr">
        <is>
          <t>0,000000000000</t>
        </is>
      </c>
    </row>
    <row outlineLevel="0" r="861">
      <c r="A861" s="4108" t="inlineStr">
        <is>
          <t>135792468202012138501</t>
        </is>
      </c>
      <c r="B861" s="4108" t="inlineStr">
        <is>
          <t>138501</t>
        </is>
      </c>
      <c r="C861" s="4108" t="inlineStr">
        <is>
          <t>135792468</t>
        </is>
      </c>
      <c r="D861" s="4108" t="inlineStr">
        <is>
          <t>202012</t>
        </is>
      </c>
      <c r="E861" s="4108" t="inlineStr">
        <is>
          <t>0,000000000000</t>
        </is>
      </c>
    </row>
    <row outlineLevel="0" r="862">
      <c r="A862" s="4108" t="inlineStr">
        <is>
          <t>135792468202012139000</t>
        </is>
      </c>
      <c r="B862" s="4108" t="inlineStr">
        <is>
          <t>139000</t>
        </is>
      </c>
      <c r="C862" s="4108" t="inlineStr">
        <is>
          <t>135792468</t>
        </is>
      </c>
      <c r="D862" s="4108" t="inlineStr">
        <is>
          <t>202012</t>
        </is>
      </c>
      <c r="E862" s="4108" t="inlineStr">
        <is>
          <t>0,000000000000</t>
        </is>
      </c>
    </row>
    <row outlineLevel="0" r="863">
      <c r="A863" s="4108" t="inlineStr">
        <is>
          <t>135792468202012139001</t>
        </is>
      </c>
      <c r="B863" s="4108" t="inlineStr">
        <is>
          <t>139001</t>
        </is>
      </c>
      <c r="C863" s="4108" t="inlineStr">
        <is>
          <t>135792468</t>
        </is>
      </c>
      <c r="D863" s="4108" t="inlineStr">
        <is>
          <t>202012</t>
        </is>
      </c>
      <c r="E863" s="4108" t="inlineStr">
        <is>
          <t>0,000000000000</t>
        </is>
      </c>
    </row>
    <row outlineLevel="0" r="864">
      <c r="A864" s="4108" t="inlineStr">
        <is>
          <t>135792468202012139500</t>
        </is>
      </c>
      <c r="B864" s="4108" t="inlineStr">
        <is>
          <t>139500</t>
        </is>
      </c>
      <c r="C864" s="4108" t="inlineStr">
        <is>
          <t>135792468</t>
        </is>
      </c>
      <c r="D864" s="4108" t="inlineStr">
        <is>
          <t>202012</t>
        </is>
      </c>
      <c r="E864" s="4108" t="inlineStr">
        <is>
          <t>0,000000000000</t>
        </is>
      </c>
    </row>
    <row outlineLevel="0" r="865">
      <c r="A865" s="4108" t="inlineStr">
        <is>
          <t>135792468202012139901</t>
        </is>
      </c>
      <c r="B865" s="4108" t="inlineStr">
        <is>
          <t>139901</t>
        </is>
      </c>
      <c r="C865" s="4108" t="inlineStr">
        <is>
          <t>135792468</t>
        </is>
      </c>
      <c r="D865" s="4108" t="inlineStr">
        <is>
          <t>202012</t>
        </is>
      </c>
      <c r="E865" s="4108" t="inlineStr">
        <is>
          <t>0,000000000000</t>
        </is>
      </c>
    </row>
    <row outlineLevel="0" r="866">
      <c r="A866" s="4108" t="inlineStr">
        <is>
          <t>135792468202012139905</t>
        </is>
      </c>
      <c r="B866" s="4108" t="inlineStr">
        <is>
          <t>139905</t>
        </is>
      </c>
      <c r="C866" s="4108" t="inlineStr">
        <is>
          <t>135792468</t>
        </is>
      </c>
      <c r="D866" s="4108" t="inlineStr">
        <is>
          <t>202012</t>
        </is>
      </c>
      <c r="E866" s="4108" t="inlineStr">
        <is>
          <t>0,000000000000</t>
        </is>
      </c>
    </row>
    <row outlineLevel="0" r="867">
      <c r="A867" s="4108" t="inlineStr">
        <is>
          <t>135792468202012140005</t>
        </is>
      </c>
      <c r="B867" s="4108" t="inlineStr">
        <is>
          <t>140005</t>
        </is>
      </c>
      <c r="C867" s="4108" t="inlineStr">
        <is>
          <t>135792468</t>
        </is>
      </c>
      <c r="D867" s="4108" t="inlineStr">
        <is>
          <t>202012</t>
        </is>
      </c>
      <c r="E867" s="4108" t="inlineStr">
        <is>
          <t>0,000000000000</t>
        </is>
      </c>
    </row>
    <row outlineLevel="0" r="868">
      <c r="A868" s="4108" t="inlineStr">
        <is>
          <t>135792468202012140010</t>
        </is>
      </c>
      <c r="B868" s="4108" t="inlineStr">
        <is>
          <t>140010</t>
        </is>
      </c>
      <c r="C868" s="4108" t="inlineStr">
        <is>
          <t>135792468</t>
        </is>
      </c>
      <c r="D868" s="4108" t="inlineStr">
        <is>
          <t>202012</t>
        </is>
      </c>
      <c r="E868" s="4108" t="inlineStr">
        <is>
          <t>0,000000000000</t>
        </is>
      </c>
    </row>
    <row outlineLevel="0" r="869">
      <c r="A869" s="4108" t="inlineStr">
        <is>
          <t>135792468202012142500</t>
        </is>
      </c>
      <c r="B869" s="4108" t="inlineStr">
        <is>
          <t>142500</t>
        </is>
      </c>
      <c r="C869" s="4108" t="inlineStr">
        <is>
          <t>135792468</t>
        </is>
      </c>
      <c r="D869" s="4108" t="inlineStr">
        <is>
          <t>202012</t>
        </is>
      </c>
      <c r="E869" s="4108" t="inlineStr">
        <is>
          <t>0,000000000000</t>
        </is>
      </c>
    </row>
    <row outlineLevel="0" r="870">
      <c r="A870" s="4108" t="inlineStr">
        <is>
          <t>135792468202012143500</t>
        </is>
      </c>
      <c r="B870" s="4108" t="inlineStr">
        <is>
          <t>143500</t>
        </is>
      </c>
      <c r="C870" s="4108" t="inlineStr">
        <is>
          <t>135792468</t>
        </is>
      </c>
      <c r="D870" s="4108" t="inlineStr">
        <is>
          <t>202012</t>
        </is>
      </c>
      <c r="E870" s="4108" t="inlineStr">
        <is>
          <t>0,000000000000</t>
        </is>
      </c>
    </row>
    <row outlineLevel="0" r="871">
      <c r="A871" s="4108" t="inlineStr">
        <is>
          <t>135792468202012145500</t>
        </is>
      </c>
      <c r="B871" s="4108" t="inlineStr">
        <is>
          <t>145500</t>
        </is>
      </c>
      <c r="C871" s="4108" t="inlineStr">
        <is>
          <t>135792468</t>
        </is>
      </c>
      <c r="D871" s="4108" t="inlineStr">
        <is>
          <t>202012</t>
        </is>
      </c>
      <c r="E871" s="4108" t="inlineStr">
        <is>
          <t>0,000000000000</t>
        </is>
      </c>
    </row>
    <row outlineLevel="0" r="872">
      <c r="A872" s="4108" t="inlineStr">
        <is>
          <t>135792468202012146000</t>
        </is>
      </c>
      <c r="B872" s="4108" t="inlineStr">
        <is>
          <t>146000</t>
        </is>
      </c>
      <c r="C872" s="4108" t="inlineStr">
        <is>
          <t>135792468</t>
        </is>
      </c>
      <c r="D872" s="4108" t="inlineStr">
        <is>
          <t>202012</t>
        </is>
      </c>
      <c r="E872" s="4108" t="inlineStr">
        <is>
          <t>0,000000000000</t>
        </is>
      </c>
    </row>
    <row outlineLevel="0" r="873">
      <c r="A873" s="4108" t="inlineStr">
        <is>
          <t>135792468202012149510</t>
        </is>
      </c>
      <c r="B873" s="4108" t="inlineStr">
        <is>
          <t>149510</t>
        </is>
      </c>
      <c r="C873" s="4108" t="inlineStr">
        <is>
          <t>135792468</t>
        </is>
      </c>
      <c r="D873" s="4108" t="inlineStr">
        <is>
          <t>202012</t>
        </is>
      </c>
      <c r="E873" s="4108" t="inlineStr">
        <is>
          <t>0,000000000000</t>
        </is>
      </c>
    </row>
    <row outlineLevel="0" r="874">
      <c r="A874" s="4108" t="inlineStr">
        <is>
          <t>135792468202012149900</t>
        </is>
      </c>
      <c r="B874" s="4108" t="inlineStr">
        <is>
          <t>149900</t>
        </is>
      </c>
      <c r="C874" s="4108" t="inlineStr">
        <is>
          <t>135792468</t>
        </is>
      </c>
      <c r="D874" s="4108" t="inlineStr">
        <is>
          <t>202012</t>
        </is>
      </c>
      <c r="E874" s="4108" t="inlineStr">
        <is>
          <t>0,000000000000</t>
        </is>
      </c>
    </row>
    <row outlineLevel="0" r="875">
      <c r="A875" s="4108" t="inlineStr">
        <is>
          <t>135792468202012149901</t>
        </is>
      </c>
      <c r="B875" s="4108" t="inlineStr">
        <is>
          <t>149901</t>
        </is>
      </c>
      <c r="C875" s="4108" t="inlineStr">
        <is>
          <t>135792468</t>
        </is>
      </c>
      <c r="D875" s="4108" t="inlineStr">
        <is>
          <t>202012</t>
        </is>
      </c>
      <c r="E875" s="4108" t="inlineStr">
        <is>
          <t>0,000000000000</t>
        </is>
      </c>
    </row>
    <row outlineLevel="0" r="876">
      <c r="A876" s="4108" t="inlineStr">
        <is>
          <t>135792468202012149902</t>
        </is>
      </c>
      <c r="B876" s="4108" t="inlineStr">
        <is>
          <t>149902</t>
        </is>
      </c>
      <c r="C876" s="4108" t="inlineStr">
        <is>
          <t>135792468</t>
        </is>
      </c>
      <c r="D876" s="4108" t="inlineStr">
        <is>
          <t>202012</t>
        </is>
      </c>
      <c r="E876" s="4108" t="inlineStr">
        <is>
          <t>0,000000000000</t>
        </is>
      </c>
    </row>
    <row outlineLevel="0" r="877">
      <c r="A877" s="4108" t="inlineStr">
        <is>
          <t>135792468202012149910</t>
        </is>
      </c>
      <c r="B877" s="4108" t="inlineStr">
        <is>
          <t>149910</t>
        </is>
      </c>
      <c r="C877" s="4108" t="inlineStr">
        <is>
          <t>135792468</t>
        </is>
      </c>
      <c r="D877" s="4108" t="inlineStr">
        <is>
          <t>202012</t>
        </is>
      </c>
      <c r="E877" s="4108" t="inlineStr">
        <is>
          <t>0,000000000000</t>
        </is>
      </c>
    </row>
    <row outlineLevel="0" r="878">
      <c r="A878" s="4108" t="inlineStr">
        <is>
          <t>135792468202012151201</t>
        </is>
      </c>
      <c r="B878" s="4108" t="inlineStr">
        <is>
          <t>151201</t>
        </is>
      </c>
      <c r="C878" s="4108" t="inlineStr">
        <is>
          <t>135792468</t>
        </is>
      </c>
      <c r="D878" s="4108" t="inlineStr">
        <is>
          <t>202012</t>
        </is>
      </c>
      <c r="E878" s="4108" t="inlineStr">
        <is>
          <t>0,000000000000</t>
        </is>
      </c>
    </row>
    <row outlineLevel="0" r="879">
      <c r="A879" s="4108" t="inlineStr">
        <is>
          <t>135792468202012155601</t>
        </is>
      </c>
      <c r="B879" s="4108" t="inlineStr">
        <is>
          <t>155601</t>
        </is>
      </c>
      <c r="C879" s="4108" t="inlineStr">
        <is>
          <t>135792468</t>
        </is>
      </c>
      <c r="D879" s="4108" t="inlineStr">
        <is>
          <t>202012</t>
        </is>
      </c>
      <c r="E879" s="4108" t="inlineStr">
        <is>
          <t>0,000000000000</t>
        </is>
      </c>
    </row>
    <row outlineLevel="0" r="880">
      <c r="A880" s="4108" t="inlineStr">
        <is>
          <t>135792468202012156001</t>
        </is>
      </c>
      <c r="B880" s="4108" t="inlineStr">
        <is>
          <t>156001</t>
        </is>
      </c>
      <c r="C880" s="4108" t="inlineStr">
        <is>
          <t>135792468</t>
        </is>
      </c>
      <c r="D880" s="4108" t="inlineStr">
        <is>
          <t>202012</t>
        </is>
      </c>
      <c r="E880" s="4108" t="inlineStr">
        <is>
          <t>0,000000000000</t>
        </is>
      </c>
    </row>
    <row outlineLevel="0" r="881">
      <c r="A881" s="4108" t="inlineStr">
        <is>
          <t>135792468202012156401</t>
        </is>
      </c>
      <c r="B881" s="4108" t="inlineStr">
        <is>
          <t>156401</t>
        </is>
      </c>
      <c r="C881" s="4108" t="inlineStr">
        <is>
          <t>135792468</t>
        </is>
      </c>
      <c r="D881" s="4108" t="inlineStr">
        <is>
          <t>202012</t>
        </is>
      </c>
      <c r="E881" s="4108" t="inlineStr">
        <is>
          <t>0,000000000000</t>
        </is>
      </c>
    </row>
    <row outlineLevel="0" r="882">
      <c r="A882" s="4108" t="inlineStr">
        <is>
          <t>135792468202012157201</t>
        </is>
      </c>
      <c r="B882" s="4108" t="inlineStr">
        <is>
          <t>157201</t>
        </is>
      </c>
      <c r="C882" s="4108" t="inlineStr">
        <is>
          <t>135792468</t>
        </is>
      </c>
      <c r="D882" s="4108" t="inlineStr">
        <is>
          <t>202012</t>
        </is>
      </c>
      <c r="E882" s="4108" t="inlineStr">
        <is>
          <t>0,000000000000</t>
        </is>
      </c>
    </row>
    <row outlineLevel="0" r="883">
      <c r="A883" s="4108" t="inlineStr">
        <is>
          <t>135792468202012157601</t>
        </is>
      </c>
      <c r="B883" s="4108" t="inlineStr">
        <is>
          <t>157601</t>
        </is>
      </c>
      <c r="C883" s="4108" t="inlineStr">
        <is>
          <t>135792468</t>
        </is>
      </c>
      <c r="D883" s="4108" t="inlineStr">
        <is>
          <t>202012</t>
        </is>
      </c>
      <c r="E883" s="4108" t="inlineStr">
        <is>
          <t>0,000000000000</t>
        </is>
      </c>
    </row>
    <row outlineLevel="0" r="884">
      <c r="A884" s="4108" t="inlineStr">
        <is>
          <t>135792468202012158401</t>
        </is>
      </c>
      <c r="B884" s="4108" t="inlineStr">
        <is>
          <t>158401</t>
        </is>
      </c>
      <c r="C884" s="4108" t="inlineStr">
        <is>
          <t>135792468</t>
        </is>
      </c>
      <c r="D884" s="4108" t="inlineStr">
        <is>
          <t>202012</t>
        </is>
      </c>
      <c r="E884" s="4108" t="inlineStr">
        <is>
          <t>0,000000000000</t>
        </is>
      </c>
    </row>
    <row outlineLevel="0" r="885">
      <c r="A885" s="4108" t="inlineStr">
        <is>
          <t>135792468202012158801</t>
        </is>
      </c>
      <c r="B885" s="4108" t="inlineStr">
        <is>
          <t>158801</t>
        </is>
      </c>
      <c r="C885" s="4108" t="inlineStr">
        <is>
          <t>135792468</t>
        </is>
      </c>
      <c r="D885" s="4108" t="inlineStr">
        <is>
          <t>202012</t>
        </is>
      </c>
      <c r="E885" s="4108" t="inlineStr">
        <is>
          <t>0,000000000000</t>
        </is>
      </c>
    </row>
    <row outlineLevel="0" r="886">
      <c r="A886" s="4108" t="inlineStr">
        <is>
          <t>135792468202012159701</t>
        </is>
      </c>
      <c r="B886" s="4108" t="inlineStr">
        <is>
          <t>159701</t>
        </is>
      </c>
      <c r="C886" s="4108" t="inlineStr">
        <is>
          <t>135792468</t>
        </is>
      </c>
      <c r="D886" s="4108" t="inlineStr">
        <is>
          <t>202012</t>
        </is>
      </c>
      <c r="E886" s="4108" t="inlineStr">
        <is>
          <t>0,000000000000</t>
        </is>
      </c>
    </row>
    <row outlineLevel="0" r="887">
      <c r="A887" s="4108" t="inlineStr">
        <is>
          <t>135792468202012159899</t>
        </is>
      </c>
      <c r="B887" s="4108" t="inlineStr">
        <is>
          <t>159899</t>
        </is>
      </c>
      <c r="C887" s="4108" t="inlineStr">
        <is>
          <t>135792468</t>
        </is>
      </c>
      <c r="D887" s="4108" t="inlineStr">
        <is>
          <t>202012</t>
        </is>
      </c>
      <c r="E887" s="4108" t="inlineStr">
        <is>
          <t>0,000000000000</t>
        </is>
      </c>
    </row>
    <row outlineLevel="0" r="888">
      <c r="A888" s="4108" t="inlineStr">
        <is>
          <t>135792468202012159901</t>
        </is>
      </c>
      <c r="B888" s="4108" t="inlineStr">
        <is>
          <t>159901</t>
        </is>
      </c>
      <c r="C888" s="4108" t="inlineStr">
        <is>
          <t>135792468</t>
        </is>
      </c>
      <c r="D888" s="4108" t="inlineStr">
        <is>
          <t>202012</t>
        </is>
      </c>
      <c r="E888" s="4108" t="inlineStr">
        <is>
          <t>0,000000000000</t>
        </is>
      </c>
    </row>
    <row outlineLevel="0" r="889">
      <c r="A889" s="4108" t="inlineStr">
        <is>
          <t>135792468202012160501</t>
        </is>
      </c>
      <c r="B889" s="4108" t="inlineStr">
        <is>
          <t>160501</t>
        </is>
      </c>
      <c r="C889" s="4108" t="inlineStr">
        <is>
          <t>135792468</t>
        </is>
      </c>
      <c r="D889" s="4108" t="inlineStr">
        <is>
          <t>202012</t>
        </is>
      </c>
      <c r="E889" s="4108" t="inlineStr">
        <is>
          <t>0,000000000000</t>
        </is>
      </c>
    </row>
    <row outlineLevel="0" r="890">
      <c r="A890" s="4108" t="inlineStr">
        <is>
          <t>135792468202012161001</t>
        </is>
      </c>
      <c r="B890" s="4108" t="inlineStr">
        <is>
          <t>161001</t>
        </is>
      </c>
      <c r="C890" s="4108" t="inlineStr">
        <is>
          <t>135792468</t>
        </is>
      </c>
      <c r="D890" s="4108" t="inlineStr">
        <is>
          <t>202012</t>
        </is>
      </c>
      <c r="E890" s="4108" t="inlineStr">
        <is>
          <t>0,000000000000</t>
        </is>
      </c>
    </row>
    <row outlineLevel="0" r="891">
      <c r="A891" s="4108" t="inlineStr">
        <is>
          <t>135792468202012163001</t>
        </is>
      </c>
      <c r="B891" s="4108" t="inlineStr">
        <is>
          <t>163001</t>
        </is>
      </c>
      <c r="C891" s="4108" t="inlineStr">
        <is>
          <t>135792468</t>
        </is>
      </c>
      <c r="D891" s="4108" t="inlineStr">
        <is>
          <t>202012</t>
        </is>
      </c>
      <c r="E891" s="4108" t="inlineStr">
        <is>
          <t>0,000000000000</t>
        </is>
      </c>
    </row>
    <row outlineLevel="0" r="892">
      <c r="A892" s="4108" t="inlineStr">
        <is>
          <t>135792468202012164001</t>
        </is>
      </c>
      <c r="B892" s="4108" t="inlineStr">
        <is>
          <t>164001</t>
        </is>
      </c>
      <c r="C892" s="4108" t="inlineStr">
        <is>
          <t>135792468</t>
        </is>
      </c>
      <c r="D892" s="4108" t="inlineStr">
        <is>
          <t>202012</t>
        </is>
      </c>
      <c r="E892" s="4108" t="inlineStr">
        <is>
          <t>0,000000000000</t>
        </is>
      </c>
    </row>
    <row outlineLevel="0" r="893">
      <c r="A893" s="4108" t="inlineStr">
        <is>
          <t>135792468202012169899</t>
        </is>
      </c>
      <c r="B893" s="4108" t="inlineStr">
        <is>
          <t>169899</t>
        </is>
      </c>
      <c r="C893" s="4108" t="inlineStr">
        <is>
          <t>135792468</t>
        </is>
      </c>
      <c r="D893" s="4108" t="inlineStr">
        <is>
          <t>202012</t>
        </is>
      </c>
      <c r="E893" s="4108" t="inlineStr">
        <is>
          <t>0,000000000000</t>
        </is>
      </c>
    </row>
    <row outlineLevel="0" r="894">
      <c r="A894" s="4108" t="inlineStr">
        <is>
          <t>135792468202012169901</t>
        </is>
      </c>
      <c r="B894" s="4108" t="inlineStr">
        <is>
          <t>169901</t>
        </is>
      </c>
      <c r="C894" s="4108" t="inlineStr">
        <is>
          <t>135792468</t>
        </is>
      </c>
      <c r="D894" s="4108" t="inlineStr">
        <is>
          <t>202012</t>
        </is>
      </c>
      <c r="E894" s="4108" t="inlineStr">
        <is>
          <t>0,000000000000</t>
        </is>
      </c>
    </row>
    <row outlineLevel="0" r="895">
      <c r="A895" s="4108" t="inlineStr">
        <is>
          <t>135792468202012170500</t>
        </is>
      </c>
      <c r="B895" s="4108" t="inlineStr">
        <is>
          <t>170500</t>
        </is>
      </c>
      <c r="C895" s="4108" t="inlineStr">
        <is>
          <t>135792468</t>
        </is>
      </c>
      <c r="D895" s="4108" t="inlineStr">
        <is>
          <t>202012</t>
        </is>
      </c>
      <c r="E895" s="4108" t="inlineStr">
        <is>
          <t>0,000000000000</t>
        </is>
      </c>
    </row>
    <row outlineLevel="0" r="896">
      <c r="A896" s="4108" t="inlineStr">
        <is>
          <t>135792468202012171000</t>
        </is>
      </c>
      <c r="B896" s="4108" t="inlineStr">
        <is>
          <t>171000</t>
        </is>
      </c>
      <c r="C896" s="4108" t="inlineStr">
        <is>
          <t>135792468</t>
        </is>
      </c>
      <c r="D896" s="4108" t="inlineStr">
        <is>
          <t>202012</t>
        </is>
      </c>
      <c r="E896" s="4108" t="inlineStr">
        <is>
          <t>0,000000000000</t>
        </is>
      </c>
    </row>
    <row outlineLevel="0" r="897">
      <c r="A897" s="4108" t="inlineStr">
        <is>
          <t>135792468202012173000</t>
        </is>
      </c>
      <c r="B897" s="4108" t="inlineStr">
        <is>
          <t>173000</t>
        </is>
      </c>
      <c r="C897" s="4108" t="inlineStr">
        <is>
          <t>135792468</t>
        </is>
      </c>
      <c r="D897" s="4108" t="inlineStr">
        <is>
          <t>202012</t>
        </is>
      </c>
      <c r="E897" s="4108" t="inlineStr">
        <is>
          <t>0,000000000000</t>
        </is>
      </c>
    </row>
    <row outlineLevel="0" r="898">
      <c r="A898" s="4108" t="inlineStr">
        <is>
          <t>135792468202012173001</t>
        </is>
      </c>
      <c r="B898" s="4108" t="inlineStr">
        <is>
          <t>173001</t>
        </is>
      </c>
      <c r="C898" s="4108" t="inlineStr">
        <is>
          <t>135792468</t>
        </is>
      </c>
      <c r="D898" s="4108" t="inlineStr">
        <is>
          <t>202012</t>
        </is>
      </c>
      <c r="E898" s="4108" t="inlineStr">
        <is>
          <t>0,000000000000</t>
        </is>
      </c>
    </row>
    <row outlineLevel="0" r="899">
      <c r="A899" s="4108" t="inlineStr">
        <is>
          <t>135792468202012179500</t>
        </is>
      </c>
      <c r="B899" s="4108" t="inlineStr">
        <is>
          <t>179500</t>
        </is>
      </c>
      <c r="C899" s="4108" t="inlineStr">
        <is>
          <t>135792468</t>
        </is>
      </c>
      <c r="D899" s="4108" t="inlineStr">
        <is>
          <t>202012</t>
        </is>
      </c>
      <c r="E899" s="4108" t="inlineStr">
        <is>
          <t>0,000000000000</t>
        </is>
      </c>
    </row>
    <row outlineLevel="0" r="900">
      <c r="A900" s="4108" t="inlineStr">
        <is>
          <t>135792468202012179700</t>
        </is>
      </c>
      <c r="B900" s="4108" t="inlineStr">
        <is>
          <t>179700</t>
        </is>
      </c>
      <c r="C900" s="4108" t="inlineStr">
        <is>
          <t>135792468</t>
        </is>
      </c>
      <c r="D900" s="4108" t="inlineStr">
        <is>
          <t>202012</t>
        </is>
      </c>
      <c r="E900" s="4108" t="inlineStr">
        <is>
          <t>0,000000000000</t>
        </is>
      </c>
    </row>
    <row outlineLevel="0" r="901">
      <c r="A901" s="4108" t="inlineStr">
        <is>
          <t>135792468202012179701</t>
        </is>
      </c>
      <c r="B901" s="4108" t="inlineStr">
        <is>
          <t>179701</t>
        </is>
      </c>
      <c r="C901" s="4108" t="inlineStr">
        <is>
          <t>135792468</t>
        </is>
      </c>
      <c r="D901" s="4108" t="inlineStr">
        <is>
          <t>202012</t>
        </is>
      </c>
      <c r="E901" s="4108" t="inlineStr">
        <is>
          <t>0,000000000000</t>
        </is>
      </c>
    </row>
    <row outlineLevel="0" r="902">
      <c r="A902" s="4108" t="inlineStr">
        <is>
          <t>135792468202012179801</t>
        </is>
      </c>
      <c r="B902" s="4108" t="inlineStr">
        <is>
          <t>179801</t>
        </is>
      </c>
      <c r="C902" s="4108" t="inlineStr">
        <is>
          <t>135792468</t>
        </is>
      </c>
      <c r="D902" s="4108" t="inlineStr">
        <is>
          <t>202012</t>
        </is>
      </c>
      <c r="E902" s="4108" t="inlineStr">
        <is>
          <t>0,000000000000</t>
        </is>
      </c>
    </row>
    <row outlineLevel="0" r="903">
      <c r="A903" s="4108" t="inlineStr">
        <is>
          <t>135792468202012180000</t>
        </is>
      </c>
      <c r="B903" s="4108" t="inlineStr">
        <is>
          <t>180000</t>
        </is>
      </c>
      <c r="C903" s="4108" t="inlineStr">
        <is>
          <t>135792468</t>
        </is>
      </c>
      <c r="D903" s="4108" t="inlineStr">
        <is>
          <t>202012</t>
        </is>
      </c>
      <c r="E903" s="4108" t="inlineStr">
        <is>
          <t>0,000000000000</t>
        </is>
      </c>
    </row>
    <row outlineLevel="0" r="904">
      <c r="A904" s="4108" t="inlineStr">
        <is>
          <t>135792468202012180501</t>
        </is>
      </c>
      <c r="B904" s="4108" t="inlineStr">
        <is>
          <t>180501</t>
        </is>
      </c>
      <c r="C904" s="4108" t="inlineStr">
        <is>
          <t>135792468</t>
        </is>
      </c>
      <c r="D904" s="4108" t="inlineStr">
        <is>
          <t>202012</t>
        </is>
      </c>
      <c r="E904" s="4108" t="inlineStr">
        <is>
          <t>0,000000000000</t>
        </is>
      </c>
    </row>
    <row outlineLevel="0" r="905">
      <c r="A905" s="4108" t="inlineStr">
        <is>
          <t>135792468202012181000</t>
        </is>
      </c>
      <c r="B905" s="4108" t="inlineStr">
        <is>
          <t>181000</t>
        </is>
      </c>
      <c r="C905" s="4108" t="inlineStr">
        <is>
          <t>135792468</t>
        </is>
      </c>
      <c r="D905" s="4108" t="inlineStr">
        <is>
          <t>202012</t>
        </is>
      </c>
      <c r="E905" s="4108" t="inlineStr">
        <is>
          <t>0,000000000000</t>
        </is>
      </c>
    </row>
    <row outlineLevel="0" r="906">
      <c r="A906" s="4108" t="inlineStr">
        <is>
          <t>135792468202012189500</t>
        </is>
      </c>
      <c r="B906" s="4108" t="inlineStr">
        <is>
          <t>189500</t>
        </is>
      </c>
      <c r="C906" s="4108" t="inlineStr">
        <is>
          <t>135792468</t>
        </is>
      </c>
      <c r="D906" s="4108" t="inlineStr">
        <is>
          <t>202012</t>
        </is>
      </c>
      <c r="E906" s="4108" t="inlineStr">
        <is>
          <t>0,000000000000</t>
        </is>
      </c>
    </row>
    <row outlineLevel="0" r="907">
      <c r="A907" s="4108" t="inlineStr">
        <is>
          <t>135792468202012189501</t>
        </is>
      </c>
      <c r="B907" s="4108" t="inlineStr">
        <is>
          <t>189501</t>
        </is>
      </c>
      <c r="C907" s="4108" t="inlineStr">
        <is>
          <t>135792468</t>
        </is>
      </c>
      <c r="D907" s="4108" t="inlineStr">
        <is>
          <t>202012</t>
        </is>
      </c>
      <c r="E907" s="4108" t="inlineStr">
        <is>
          <t>3750,000000000000</t>
        </is>
      </c>
    </row>
    <row outlineLevel="0" r="908">
      <c r="A908" s="4108" t="inlineStr">
        <is>
          <t>135792468202012189520</t>
        </is>
      </c>
      <c r="B908" s="4108" t="inlineStr">
        <is>
          <t>189520</t>
        </is>
      </c>
      <c r="C908" s="4108" t="inlineStr">
        <is>
          <t>135792468</t>
        </is>
      </c>
      <c r="D908" s="4108" t="inlineStr">
        <is>
          <t>202012</t>
        </is>
      </c>
      <c r="E908" s="4108" t="inlineStr">
        <is>
          <t>0,000000000000</t>
        </is>
      </c>
    </row>
    <row outlineLevel="0" r="909">
      <c r="A909" s="4108" t="inlineStr">
        <is>
          <t>135792468202012189701</t>
        </is>
      </c>
      <c r="B909" s="4108" t="inlineStr">
        <is>
          <t>189701</t>
        </is>
      </c>
      <c r="C909" s="4108" t="inlineStr">
        <is>
          <t>135792468</t>
        </is>
      </c>
      <c r="D909" s="4108" t="inlineStr">
        <is>
          <t>202012</t>
        </is>
      </c>
      <c r="E909" s="4108" t="inlineStr">
        <is>
          <t>0,000000000000</t>
        </is>
      </c>
    </row>
    <row outlineLevel="0" r="910">
      <c r="A910" s="4108" t="inlineStr">
        <is>
          <t>135792468202012189901</t>
        </is>
      </c>
      <c r="B910" s="4108" t="inlineStr">
        <is>
          <t>189901</t>
        </is>
      </c>
      <c r="C910" s="4108" t="inlineStr">
        <is>
          <t>135792468</t>
        </is>
      </c>
      <c r="D910" s="4108" t="inlineStr">
        <is>
          <t>202012</t>
        </is>
      </c>
      <c r="E910" s="4108" t="inlineStr">
        <is>
          <t>8,000000000000</t>
        </is>
      </c>
    </row>
    <row outlineLevel="0" r="911">
      <c r="A911" s="4108" t="inlineStr">
        <is>
          <t>135792468202012190000</t>
        </is>
      </c>
      <c r="B911" s="4108" t="inlineStr">
        <is>
          <t>190000</t>
        </is>
      </c>
      <c r="C911" s="4108" t="inlineStr">
        <is>
          <t>135792468</t>
        </is>
      </c>
      <c r="D911" s="4108" t="inlineStr">
        <is>
          <t>202012</t>
        </is>
      </c>
      <c r="E911" s="4108" t="inlineStr">
        <is>
          <t>0,000000000000</t>
        </is>
      </c>
    </row>
    <row outlineLevel="0" r="912">
      <c r="A912" s="4108" t="inlineStr">
        <is>
          <t>135792468202012190501</t>
        </is>
      </c>
      <c r="B912" s="4108" t="inlineStr">
        <is>
          <t>190501</t>
        </is>
      </c>
      <c r="C912" s="4108" t="inlineStr">
        <is>
          <t>135792468</t>
        </is>
      </c>
      <c r="D912" s="4108" t="inlineStr">
        <is>
          <t>202012</t>
        </is>
      </c>
      <c r="E912" s="4108" t="inlineStr">
        <is>
          <t>0,000000000000</t>
        </is>
      </c>
    </row>
    <row outlineLevel="0" r="913">
      <c r="A913" s="4108" t="inlineStr">
        <is>
          <t>135792468202012191001</t>
        </is>
      </c>
      <c r="B913" s="4108" t="inlineStr">
        <is>
          <t>191001</t>
        </is>
      </c>
      <c r="C913" s="4108" t="inlineStr">
        <is>
          <t>135792468</t>
        </is>
      </c>
      <c r="D913" s="4108" t="inlineStr">
        <is>
          <t>202012</t>
        </is>
      </c>
      <c r="E913" s="4108" t="inlineStr">
        <is>
          <t>0,000000000000</t>
        </is>
      </c>
    </row>
    <row outlineLevel="0" r="914">
      <c r="A914" s="4108" t="inlineStr">
        <is>
          <t>135792468202012199501</t>
        </is>
      </c>
      <c r="B914" s="4108" t="inlineStr">
        <is>
          <t>199501</t>
        </is>
      </c>
      <c r="C914" s="4108" t="inlineStr">
        <is>
          <t>135792468</t>
        </is>
      </c>
      <c r="D914" s="4108" t="inlineStr">
        <is>
          <t>202012</t>
        </is>
      </c>
      <c r="E914" s="4108" t="inlineStr">
        <is>
          <t>0,000000000000</t>
        </is>
      </c>
    </row>
    <row outlineLevel="0" r="915">
      <c r="A915" s="4108" t="inlineStr">
        <is>
          <t>135792468202012210500</t>
        </is>
      </c>
      <c r="B915" s="4108" t="inlineStr">
        <is>
          <t>210500</t>
        </is>
      </c>
      <c r="C915" s="4108" t="inlineStr">
        <is>
          <t>135792468</t>
        </is>
      </c>
      <c r="D915" s="4108" t="inlineStr">
        <is>
          <t>202012</t>
        </is>
      </c>
      <c r="E915" s="4108" t="inlineStr">
        <is>
          <t>0,000000000000</t>
        </is>
      </c>
    </row>
    <row outlineLevel="0" r="916">
      <c r="A916" s="4108" t="inlineStr">
        <is>
          <t>135792468202012210501</t>
        </is>
      </c>
      <c r="B916" s="4108" t="inlineStr">
        <is>
          <t>210501</t>
        </is>
      </c>
      <c r="C916" s="4108" t="inlineStr">
        <is>
          <t>135792468</t>
        </is>
      </c>
      <c r="D916" s="4108" t="inlineStr">
        <is>
          <t>202012</t>
        </is>
      </c>
      <c r="E916" s="4108" t="inlineStr">
        <is>
          <t>11290,000000000000</t>
        </is>
      </c>
    </row>
    <row outlineLevel="0" r="917">
      <c r="A917" s="4108" t="inlineStr">
        <is>
          <t>135792468202012211001</t>
        </is>
      </c>
      <c r="B917" s="4108" t="inlineStr">
        <is>
          <t>211001</t>
        </is>
      </c>
      <c r="C917" s="4108" t="inlineStr">
        <is>
          <t>135792468</t>
        </is>
      </c>
      <c r="D917" s="4108" t="inlineStr">
        <is>
          <t>202012</t>
        </is>
      </c>
      <c r="E917" s="4108" t="inlineStr">
        <is>
          <t>0,000000000000</t>
        </is>
      </c>
    </row>
    <row outlineLevel="0" r="918">
      <c r="A918" s="4108" t="inlineStr">
        <is>
          <t>135792468202012211500</t>
        </is>
      </c>
      <c r="B918" s="4108" t="inlineStr">
        <is>
          <t>211500</t>
        </is>
      </c>
      <c r="C918" s="4108" t="inlineStr">
        <is>
          <t>135792468</t>
        </is>
      </c>
      <c r="D918" s="4108" t="inlineStr">
        <is>
          <t>202012</t>
        </is>
      </c>
      <c r="E918" s="4108" t="inlineStr">
        <is>
          <t>433,000000000000</t>
        </is>
      </c>
    </row>
    <row outlineLevel="0" r="919">
      <c r="A919" s="4108" t="inlineStr">
        <is>
          <t>135792468202012219500</t>
        </is>
      </c>
      <c r="B919" s="4108" t="inlineStr">
        <is>
          <t>219500</t>
        </is>
      </c>
      <c r="C919" s="4108" t="inlineStr">
        <is>
          <t>135792468</t>
        </is>
      </c>
      <c r="D919" s="4108" t="inlineStr">
        <is>
          <t>202012</t>
        </is>
      </c>
      <c r="E919" s="4108" t="inlineStr">
        <is>
          <t>0,000000000000</t>
        </is>
      </c>
    </row>
    <row outlineLevel="0" r="920">
      <c r="A920" s="4108" t="inlineStr">
        <is>
          <t>135792468202012220500</t>
        </is>
      </c>
      <c r="B920" s="4108" t="inlineStr">
        <is>
          <t>220500</t>
        </is>
      </c>
      <c r="C920" s="4108" t="inlineStr">
        <is>
          <t>135792468</t>
        </is>
      </c>
      <c r="D920" s="4108" t="inlineStr">
        <is>
          <t>202012</t>
        </is>
      </c>
      <c r="E920" s="4108" t="inlineStr">
        <is>
          <t>0,000000000000</t>
        </is>
      </c>
    </row>
    <row outlineLevel="0" r="921">
      <c r="A921" s="4108" t="inlineStr">
        <is>
          <t>135792468202012220501</t>
        </is>
      </c>
      <c r="B921" s="4108" t="inlineStr">
        <is>
          <t>220501</t>
        </is>
      </c>
      <c r="C921" s="4108" t="inlineStr">
        <is>
          <t>135792468</t>
        </is>
      </c>
      <c r="D921" s="4108" t="inlineStr">
        <is>
          <t>202012</t>
        </is>
      </c>
      <c r="E921" s="4108" t="inlineStr">
        <is>
          <t>0,000000000000</t>
        </is>
      </c>
    </row>
    <row outlineLevel="0" r="922">
      <c r="A922" s="4108" t="inlineStr">
        <is>
          <t>135792468202012221000</t>
        </is>
      </c>
      <c r="B922" s="4108" t="inlineStr">
        <is>
          <t>221000</t>
        </is>
      </c>
      <c r="C922" s="4108" t="inlineStr">
        <is>
          <t>135792468</t>
        </is>
      </c>
      <c r="D922" s="4108" t="inlineStr">
        <is>
          <t>202012</t>
        </is>
      </c>
      <c r="E922" s="4108" t="inlineStr">
        <is>
          <t>0,000000000000</t>
        </is>
      </c>
    </row>
    <row outlineLevel="0" r="923">
      <c r="A923" s="4108" t="inlineStr">
        <is>
          <t>135792468202012221001</t>
        </is>
      </c>
      <c r="B923" s="4108" t="inlineStr">
        <is>
          <t>221001</t>
        </is>
      </c>
      <c r="C923" s="4108" t="inlineStr">
        <is>
          <t>135792468</t>
        </is>
      </c>
      <c r="D923" s="4108" t="inlineStr">
        <is>
          <t>202012</t>
        </is>
      </c>
      <c r="E923" s="4108" t="inlineStr">
        <is>
          <t>0,000000000000</t>
        </is>
      </c>
    </row>
    <row outlineLevel="0" r="924">
      <c r="A924" s="4108" t="inlineStr">
        <is>
          <t>135792468202012221500</t>
        </is>
      </c>
      <c r="B924" s="4108" t="inlineStr">
        <is>
          <t>221500</t>
        </is>
      </c>
      <c r="C924" s="4108" t="inlineStr">
        <is>
          <t>135792468</t>
        </is>
      </c>
      <c r="D924" s="4108" t="inlineStr">
        <is>
          <t>202012</t>
        </is>
      </c>
      <c r="E924" s="4108" t="inlineStr">
        <is>
          <t>0,000000000000</t>
        </is>
      </c>
    </row>
    <row outlineLevel="0" r="925">
      <c r="A925" s="4108" t="inlineStr">
        <is>
          <t>135792468202012230500</t>
        </is>
      </c>
      <c r="B925" s="4108" t="inlineStr">
        <is>
          <t>230500</t>
        </is>
      </c>
      <c r="C925" s="4108" t="inlineStr">
        <is>
          <t>135792468</t>
        </is>
      </c>
      <c r="D925" s="4108" t="inlineStr">
        <is>
          <t>202012</t>
        </is>
      </c>
      <c r="E925" s="4108" t="inlineStr">
        <is>
          <t>335,000000000000</t>
        </is>
      </c>
    </row>
    <row outlineLevel="0" r="926">
      <c r="A926" s="4108" t="inlineStr">
        <is>
          <t>135792468202012230501</t>
        </is>
      </c>
      <c r="B926" s="4108" t="inlineStr">
        <is>
          <t>230501</t>
        </is>
      </c>
      <c r="C926" s="4108" t="inlineStr">
        <is>
          <t>135792468</t>
        </is>
      </c>
      <c r="D926" s="4108" t="inlineStr">
        <is>
          <t>202012</t>
        </is>
      </c>
      <c r="E926" s="4108" t="inlineStr">
        <is>
          <t>0,000000000000</t>
        </is>
      </c>
    </row>
    <row outlineLevel="0" r="927">
      <c r="A927" s="4108" t="inlineStr">
        <is>
          <t>135792468202012231000</t>
        </is>
      </c>
      <c r="B927" s="4108" t="inlineStr">
        <is>
          <t>231000</t>
        </is>
      </c>
      <c r="C927" s="4108" t="inlineStr">
        <is>
          <t>135792468</t>
        </is>
      </c>
      <c r="D927" s="4108" t="inlineStr">
        <is>
          <t>202012</t>
        </is>
      </c>
      <c r="E927" s="4108" t="inlineStr">
        <is>
          <t>0,000000000000</t>
        </is>
      </c>
    </row>
    <row outlineLevel="0" r="928">
      <c r="A928" s="4108" t="inlineStr">
        <is>
          <t>135792468202012231001</t>
        </is>
      </c>
      <c r="B928" s="4108" t="inlineStr">
        <is>
          <t>231001</t>
        </is>
      </c>
      <c r="C928" s="4108" t="inlineStr">
        <is>
          <t>135792468</t>
        </is>
      </c>
      <c r="D928" s="4108" t="inlineStr">
        <is>
          <t>202012</t>
        </is>
      </c>
      <c r="E928" s="4108" t="inlineStr">
        <is>
          <t>0,000000000000</t>
        </is>
      </c>
    </row>
    <row outlineLevel="0" r="929">
      <c r="A929" s="4108" t="inlineStr">
        <is>
          <t>135792468202012231500</t>
        </is>
      </c>
      <c r="B929" s="4108" t="inlineStr">
        <is>
          <t>231500</t>
        </is>
      </c>
      <c r="C929" s="4108" t="inlineStr">
        <is>
          <t>135792468</t>
        </is>
      </c>
      <c r="D929" s="4108" t="inlineStr">
        <is>
          <t>202012</t>
        </is>
      </c>
      <c r="E929" s="4108" t="inlineStr">
        <is>
          <t>0,000000000000</t>
        </is>
      </c>
    </row>
    <row outlineLevel="0" r="930">
      <c r="A930" s="4108" t="inlineStr">
        <is>
          <t>135792468202012231501</t>
        </is>
      </c>
      <c r="B930" s="4108" t="inlineStr">
        <is>
          <t>231501</t>
        </is>
      </c>
      <c r="C930" s="4108" t="inlineStr">
        <is>
          <t>135792468</t>
        </is>
      </c>
      <c r="D930" s="4108" t="inlineStr">
        <is>
          <t>202012</t>
        </is>
      </c>
      <c r="E930" s="4108" t="inlineStr">
        <is>
          <t>1300,000000000000</t>
        </is>
      </c>
    </row>
    <row outlineLevel="0" r="931">
      <c r="A931" s="4108" t="inlineStr">
        <is>
          <t>135792468202012232000</t>
        </is>
      </c>
      <c r="B931" s="4108" t="inlineStr">
        <is>
          <t>232000</t>
        </is>
      </c>
      <c r="C931" s="4108" t="inlineStr">
        <is>
          <t>135792468</t>
        </is>
      </c>
      <c r="D931" s="4108" t="inlineStr">
        <is>
          <t>202012</t>
        </is>
      </c>
      <c r="E931" s="4108" t="inlineStr">
        <is>
          <t>0,000000000000</t>
        </is>
      </c>
    </row>
    <row outlineLevel="0" r="932">
      <c r="A932" s="4108" t="inlineStr">
        <is>
          <t>135792468202012232001</t>
        </is>
      </c>
      <c r="B932" s="4108" t="inlineStr">
        <is>
          <t>232001</t>
        </is>
      </c>
      <c r="C932" s="4108" t="inlineStr">
        <is>
          <t>135792468</t>
        </is>
      </c>
      <c r="D932" s="4108" t="inlineStr">
        <is>
          <t>202012</t>
        </is>
      </c>
      <c r="E932" s="4108" t="inlineStr">
        <is>
          <t>0,000000000000</t>
        </is>
      </c>
    </row>
    <row outlineLevel="0" r="933">
      <c r="A933" s="4108" t="inlineStr">
        <is>
          <t>135792468202012233500</t>
        </is>
      </c>
      <c r="B933" s="4108" t="inlineStr">
        <is>
          <t>233500</t>
        </is>
      </c>
      <c r="C933" s="4108" t="inlineStr">
        <is>
          <t>135792468</t>
        </is>
      </c>
      <c r="D933" s="4108" t="inlineStr">
        <is>
          <t>202012</t>
        </is>
      </c>
      <c r="E933" s="4108" t="inlineStr">
        <is>
          <t>0,000000000000</t>
        </is>
      </c>
    </row>
    <row outlineLevel="0" r="934">
      <c r="A934" s="4108" t="inlineStr">
        <is>
          <t>135792468202012233501</t>
        </is>
      </c>
      <c r="B934" s="4108" t="inlineStr">
        <is>
          <t>233501</t>
        </is>
      </c>
      <c r="C934" s="4108" t="inlineStr">
        <is>
          <t>135792468</t>
        </is>
      </c>
      <c r="D934" s="4108" t="inlineStr">
        <is>
          <t>202012</t>
        </is>
      </c>
      <c r="E934" s="4108" t="inlineStr">
        <is>
          <t>0,000000000000</t>
        </is>
      </c>
    </row>
    <row outlineLevel="0" r="935">
      <c r="A935" s="4108" t="inlineStr">
        <is>
          <t>135792468202012234500</t>
        </is>
      </c>
      <c r="B935" s="4108" t="inlineStr">
        <is>
          <t>234500</t>
        </is>
      </c>
      <c r="C935" s="4108" t="inlineStr">
        <is>
          <t>135792468</t>
        </is>
      </c>
      <c r="D935" s="4108" t="inlineStr">
        <is>
          <t>202012</t>
        </is>
      </c>
      <c r="E935" s="4108" t="inlineStr">
        <is>
          <t>0,000000000000</t>
        </is>
      </c>
    </row>
    <row outlineLevel="0" r="936">
      <c r="A936" s="4108" t="inlineStr">
        <is>
          <t>135792468202012234501</t>
        </is>
      </c>
      <c r="B936" s="4108" t="inlineStr">
        <is>
          <t>234501</t>
        </is>
      </c>
      <c r="C936" s="4108" t="inlineStr">
        <is>
          <t>135792468</t>
        </is>
      </c>
      <c r="D936" s="4108" t="inlineStr">
        <is>
          <t>202012</t>
        </is>
      </c>
      <c r="E936" s="4108" t="inlineStr">
        <is>
          <t>0,000000000000</t>
        </is>
      </c>
    </row>
    <row outlineLevel="0" r="937">
      <c r="A937" s="4108" t="inlineStr">
        <is>
          <t>135792468202012235000</t>
        </is>
      </c>
      <c r="B937" s="4108" t="inlineStr">
        <is>
          <t>235000</t>
        </is>
      </c>
      <c r="C937" s="4108" t="inlineStr">
        <is>
          <t>135792468</t>
        </is>
      </c>
      <c r="D937" s="4108" t="inlineStr">
        <is>
          <t>202012</t>
        </is>
      </c>
      <c r="E937" s="4108" t="inlineStr">
        <is>
          <t>0,000000000000</t>
        </is>
      </c>
    </row>
    <row outlineLevel="0" r="938">
      <c r="A938" s="4108" t="inlineStr">
        <is>
          <t>135792468202012235001</t>
        </is>
      </c>
      <c r="B938" s="4108" t="inlineStr">
        <is>
          <t>235001</t>
        </is>
      </c>
      <c r="C938" s="4108" t="inlineStr">
        <is>
          <t>135792468</t>
        </is>
      </c>
      <c r="D938" s="4108" t="inlineStr">
        <is>
          <t>202012</t>
        </is>
      </c>
      <c r="E938" s="4108" t="inlineStr">
        <is>
          <t>0,000000000000</t>
        </is>
      </c>
    </row>
    <row outlineLevel="0" r="939">
      <c r="A939" s="4108" t="inlineStr">
        <is>
          <t>135792468202012235500</t>
        </is>
      </c>
      <c r="B939" s="4108" t="inlineStr">
        <is>
          <t>235500</t>
        </is>
      </c>
      <c r="C939" s="4108" t="inlineStr">
        <is>
          <t>135792468</t>
        </is>
      </c>
      <c r="D939" s="4108" t="inlineStr">
        <is>
          <t>202012</t>
        </is>
      </c>
      <c r="E939" s="4108" t="inlineStr">
        <is>
          <t>0,000000000000</t>
        </is>
      </c>
    </row>
    <row outlineLevel="0" r="940">
      <c r="A940" s="4108" t="inlineStr">
        <is>
          <t>135792468202012235501</t>
        </is>
      </c>
      <c r="B940" s="4108" t="inlineStr">
        <is>
          <t>235501</t>
        </is>
      </c>
      <c r="C940" s="4108" t="inlineStr">
        <is>
          <t>135792468</t>
        </is>
      </c>
      <c r="D940" s="4108" t="inlineStr">
        <is>
          <t>202012</t>
        </is>
      </c>
      <c r="E940" s="4108" t="inlineStr">
        <is>
          <t>0,000000000000</t>
        </is>
      </c>
    </row>
    <row outlineLevel="0" r="941">
      <c r="A941" s="4108" t="inlineStr">
        <is>
          <t>135792468202012236000</t>
        </is>
      </c>
      <c r="B941" s="4108" t="inlineStr">
        <is>
          <t>236000</t>
        </is>
      </c>
      <c r="C941" s="4108" t="inlineStr">
        <is>
          <t>135792468</t>
        </is>
      </c>
      <c r="D941" s="4108" t="inlineStr">
        <is>
          <t>202012</t>
        </is>
      </c>
      <c r="E941" s="4108" t="inlineStr">
        <is>
          <t>0,000000000000</t>
        </is>
      </c>
    </row>
    <row outlineLevel="0" r="942">
      <c r="A942" s="4108" t="inlineStr">
        <is>
          <t>135792468202012236001</t>
        </is>
      </c>
      <c r="B942" s="4108" t="inlineStr">
        <is>
          <t>236001</t>
        </is>
      </c>
      <c r="C942" s="4108" t="inlineStr">
        <is>
          <t>135792468</t>
        </is>
      </c>
      <c r="D942" s="4108" t="inlineStr">
        <is>
          <t>202012</t>
        </is>
      </c>
      <c r="E942" s="4108" t="inlineStr">
        <is>
          <t>0,000000000000</t>
        </is>
      </c>
    </row>
    <row outlineLevel="0" r="943">
      <c r="A943" s="4108" t="inlineStr">
        <is>
          <t>135792468202012236500</t>
        </is>
      </c>
      <c r="B943" s="4108" t="inlineStr">
        <is>
          <t>236500</t>
        </is>
      </c>
      <c r="C943" s="4108" t="inlineStr">
        <is>
          <t>135792468</t>
        </is>
      </c>
      <c r="D943" s="4108" t="inlineStr">
        <is>
          <t>202012</t>
        </is>
      </c>
      <c r="E943" s="4108" t="inlineStr">
        <is>
          <t>0,000000000000</t>
        </is>
      </c>
    </row>
    <row outlineLevel="0" r="944">
      <c r="A944" s="4108" t="inlineStr">
        <is>
          <t>135792468202012236501</t>
        </is>
      </c>
      <c r="B944" s="4108" t="inlineStr">
        <is>
          <t>236501</t>
        </is>
      </c>
      <c r="C944" s="4108" t="inlineStr">
        <is>
          <t>135792468</t>
        </is>
      </c>
      <c r="D944" s="4108" t="inlineStr">
        <is>
          <t>202012</t>
        </is>
      </c>
      <c r="E944" s="4108" t="inlineStr">
        <is>
          <t>0,000000000000</t>
        </is>
      </c>
    </row>
    <row outlineLevel="0" r="945">
      <c r="A945" s="4108" t="inlineStr">
        <is>
          <t>135792468202012236700</t>
        </is>
      </c>
      <c r="B945" s="4108" t="inlineStr">
        <is>
          <t>236700</t>
        </is>
      </c>
      <c r="C945" s="4108" t="inlineStr">
        <is>
          <t>135792468</t>
        </is>
      </c>
      <c r="D945" s="4108" t="inlineStr">
        <is>
          <t>202012</t>
        </is>
      </c>
      <c r="E945" s="4108" t="inlineStr">
        <is>
          <t>0,000000000000</t>
        </is>
      </c>
    </row>
    <row outlineLevel="0" r="946">
      <c r="A946" s="4108" t="inlineStr">
        <is>
          <t>135792468202012236701</t>
        </is>
      </c>
      <c r="B946" s="4108" t="inlineStr">
        <is>
          <t>236701</t>
        </is>
      </c>
      <c r="C946" s="4108" t="inlineStr">
        <is>
          <t>135792468</t>
        </is>
      </c>
      <c r="D946" s="4108" t="inlineStr">
        <is>
          <t>202012</t>
        </is>
      </c>
      <c r="E946" s="4108" t="inlineStr">
        <is>
          <t>0,000000000000</t>
        </is>
      </c>
    </row>
    <row outlineLevel="0" r="947">
      <c r="A947" s="4108" t="inlineStr">
        <is>
          <t>135792468202012236800</t>
        </is>
      </c>
      <c r="B947" s="4108" t="inlineStr">
        <is>
          <t>236800</t>
        </is>
      </c>
      <c r="C947" s="4108" t="inlineStr">
        <is>
          <t>135792468</t>
        </is>
      </c>
      <c r="D947" s="4108" t="inlineStr">
        <is>
          <t>202012</t>
        </is>
      </c>
      <c r="E947" s="4108" t="inlineStr">
        <is>
          <t>1315,000000000000</t>
        </is>
      </c>
    </row>
    <row outlineLevel="0" r="948">
      <c r="A948" s="4108" t="inlineStr">
        <is>
          <t>135792468202012237000</t>
        </is>
      </c>
      <c r="B948" s="4108" t="inlineStr">
        <is>
          <t>237000</t>
        </is>
      </c>
      <c r="C948" s="4108" t="inlineStr">
        <is>
          <t>135792468</t>
        </is>
      </c>
      <c r="D948" s="4108" t="inlineStr">
        <is>
          <t>202012</t>
        </is>
      </c>
      <c r="E948" s="4108" t="inlineStr">
        <is>
          <t>0,000000000000</t>
        </is>
      </c>
    </row>
    <row outlineLevel="0" r="949">
      <c r="A949" s="4108" t="inlineStr">
        <is>
          <t>135792468202012237001</t>
        </is>
      </c>
      <c r="B949" s="4108" t="inlineStr">
        <is>
          <t>237001</t>
        </is>
      </c>
      <c r="C949" s="4108" t="inlineStr">
        <is>
          <t>135792468</t>
        </is>
      </c>
      <c r="D949" s="4108" t="inlineStr">
        <is>
          <t>202012</t>
        </is>
      </c>
      <c r="E949" s="4108" t="inlineStr">
        <is>
          <t>0,000000000000</t>
        </is>
      </c>
    </row>
    <row outlineLevel="0" r="950">
      <c r="A950" s="4108" t="inlineStr">
        <is>
          <t>135792468202012238000</t>
        </is>
      </c>
      <c r="B950" s="4108" t="inlineStr">
        <is>
          <t>238000</t>
        </is>
      </c>
      <c r="C950" s="4108" t="inlineStr">
        <is>
          <t>135792468</t>
        </is>
      </c>
      <c r="D950" s="4108" t="inlineStr">
        <is>
          <t>202012</t>
        </is>
      </c>
      <c r="E950" s="4108" t="inlineStr">
        <is>
          <t>0,000000000000</t>
        </is>
      </c>
    </row>
    <row outlineLevel="0" r="951">
      <c r="A951" s="4108" t="inlineStr">
        <is>
          <t>135792468202012238001</t>
        </is>
      </c>
      <c r="B951" s="4108" t="inlineStr">
        <is>
          <t>238001</t>
        </is>
      </c>
      <c r="C951" s="4108" t="inlineStr">
        <is>
          <t>135792468</t>
        </is>
      </c>
      <c r="D951" s="4108" t="inlineStr">
        <is>
          <t>202012</t>
        </is>
      </c>
      <c r="E951" s="4108" t="inlineStr">
        <is>
          <t>0,000000000000</t>
        </is>
      </c>
    </row>
    <row outlineLevel="0" r="952">
      <c r="A952" s="4108" t="inlineStr">
        <is>
          <t>135792468202012240001</t>
        </is>
      </c>
      <c r="B952" s="4108" t="inlineStr">
        <is>
          <t>240001</t>
        </is>
      </c>
      <c r="C952" s="4108" t="inlineStr">
        <is>
          <t>135792468</t>
        </is>
      </c>
      <c r="D952" s="4108" t="inlineStr">
        <is>
          <t>202012</t>
        </is>
      </c>
      <c r="E952" s="4108" t="inlineStr">
        <is>
          <t>0,000000000000</t>
        </is>
      </c>
    </row>
    <row outlineLevel="0" r="953">
      <c r="A953" s="4108" t="inlineStr">
        <is>
          <t>135792468202012240400</t>
        </is>
      </c>
      <c r="B953" s="4108" t="inlineStr">
        <is>
          <t>240400</t>
        </is>
      </c>
      <c r="C953" s="4108" t="inlineStr">
        <is>
          <t>135792468</t>
        </is>
      </c>
      <c r="D953" s="4108" t="inlineStr">
        <is>
          <t>202012</t>
        </is>
      </c>
      <c r="E953" s="4108" t="inlineStr">
        <is>
          <t>7,000000000000</t>
        </is>
      </c>
    </row>
    <row outlineLevel="0" r="954">
      <c r="A954" s="4108" t="inlineStr">
        <is>
          <t>135792468202012240401</t>
        </is>
      </c>
      <c r="B954" s="4108" t="inlineStr">
        <is>
          <t>240401</t>
        </is>
      </c>
      <c r="C954" s="4108" t="inlineStr">
        <is>
          <t>135792468</t>
        </is>
      </c>
      <c r="D954" s="4108" t="inlineStr">
        <is>
          <t>202012</t>
        </is>
      </c>
      <c r="E954" s="4108" t="inlineStr">
        <is>
          <t>0,000000000000</t>
        </is>
      </c>
    </row>
    <row outlineLevel="0" r="955">
      <c r="A955" s="4108" t="inlineStr">
        <is>
          <t>135792468202012240800</t>
        </is>
      </c>
      <c r="B955" s="4108" t="inlineStr">
        <is>
          <t>240800</t>
        </is>
      </c>
      <c r="C955" s="4108" t="inlineStr">
        <is>
          <t>135792468</t>
        </is>
      </c>
      <c r="D955" s="4108" t="inlineStr">
        <is>
          <t>202012</t>
        </is>
      </c>
      <c r="E955" s="4108" t="inlineStr">
        <is>
          <t>0,000000000000</t>
        </is>
      </c>
    </row>
    <row outlineLevel="0" r="956">
      <c r="A956" s="4108" t="inlineStr">
        <is>
          <t>135792468202012240801</t>
        </is>
      </c>
      <c r="B956" s="4108" t="inlineStr">
        <is>
          <t>240801</t>
        </is>
      </c>
      <c r="C956" s="4108" t="inlineStr">
        <is>
          <t>135792468</t>
        </is>
      </c>
      <c r="D956" s="4108" t="inlineStr">
        <is>
          <t>202012</t>
        </is>
      </c>
      <c r="E956" s="4108" t="inlineStr">
        <is>
          <t>0,000000000000</t>
        </is>
      </c>
    </row>
    <row outlineLevel="0" r="957">
      <c r="A957" s="4108" t="inlineStr">
        <is>
          <t>135792468202012241200</t>
        </is>
      </c>
      <c r="B957" s="4108" t="inlineStr">
        <is>
          <t>241200</t>
        </is>
      </c>
      <c r="C957" s="4108" t="inlineStr">
        <is>
          <t>135792468</t>
        </is>
      </c>
      <c r="D957" s="4108" t="inlineStr">
        <is>
          <t>202012</t>
        </is>
      </c>
      <c r="E957" s="4108" t="inlineStr">
        <is>
          <t>0,000000000000</t>
        </is>
      </c>
    </row>
    <row outlineLevel="0" r="958">
      <c r="A958" s="4108" t="inlineStr">
        <is>
          <t>135792468202012241201</t>
        </is>
      </c>
      <c r="B958" s="4108" t="inlineStr">
        <is>
          <t>241201</t>
        </is>
      </c>
      <c r="C958" s="4108" t="inlineStr">
        <is>
          <t>135792468</t>
        </is>
      </c>
      <c r="D958" s="4108" t="inlineStr">
        <is>
          <t>202012</t>
        </is>
      </c>
      <c r="E958" s="4108" t="inlineStr">
        <is>
          <t>0,000000000000</t>
        </is>
      </c>
    </row>
    <row outlineLevel="0" r="959">
      <c r="A959" s="4108" t="inlineStr">
        <is>
          <t>135792468202012249500</t>
        </is>
      </c>
      <c r="B959" s="4108" t="inlineStr">
        <is>
          <t>249500</t>
        </is>
      </c>
      <c r="C959" s="4108" t="inlineStr">
        <is>
          <t>135792468</t>
        </is>
      </c>
      <c r="D959" s="4108" t="inlineStr">
        <is>
          <t>202012</t>
        </is>
      </c>
      <c r="E959" s="4108" t="inlineStr">
        <is>
          <t>0,000000000000</t>
        </is>
      </c>
    </row>
    <row outlineLevel="0" r="960">
      <c r="A960" s="4108" t="inlineStr">
        <is>
          <t>135792468202012249501</t>
        </is>
      </c>
      <c r="B960" s="4108" t="inlineStr">
        <is>
          <t>249501</t>
        </is>
      </c>
      <c r="C960" s="4108" t="inlineStr">
        <is>
          <t>135792468</t>
        </is>
      </c>
      <c r="D960" s="4108" t="inlineStr">
        <is>
          <t>202012</t>
        </is>
      </c>
      <c r="E960" s="4108" t="inlineStr">
        <is>
          <t>0,000000000000</t>
        </is>
      </c>
    </row>
    <row outlineLevel="0" r="961">
      <c r="A961" s="4108" t="inlineStr">
        <is>
          <t>135792468202012250500</t>
        </is>
      </c>
      <c r="B961" s="4108" t="inlineStr">
        <is>
          <t>250500</t>
        </is>
      </c>
      <c r="C961" s="4108" t="inlineStr">
        <is>
          <t>135792468</t>
        </is>
      </c>
      <c r="D961" s="4108" t="inlineStr">
        <is>
          <t>202012</t>
        </is>
      </c>
      <c r="E961" s="4108" t="inlineStr">
        <is>
          <t>0,000000000000</t>
        </is>
      </c>
    </row>
    <row outlineLevel="0" r="962">
      <c r="A962" s="4108" t="inlineStr">
        <is>
          <t>135792468202012250501</t>
        </is>
      </c>
      <c r="B962" s="4108" t="inlineStr">
        <is>
          <t>250501</t>
        </is>
      </c>
      <c r="C962" s="4108" t="inlineStr">
        <is>
          <t>135792468</t>
        </is>
      </c>
      <c r="D962" s="4108" t="inlineStr">
        <is>
          <t>202012</t>
        </is>
      </c>
      <c r="E962" s="4108" t="inlineStr">
        <is>
          <t>0,000000000000</t>
        </is>
      </c>
    </row>
    <row outlineLevel="0" r="963">
      <c r="A963" s="4108" t="inlineStr">
        <is>
          <t>135792468202012251000</t>
        </is>
      </c>
      <c r="B963" s="4108" t="inlineStr">
        <is>
          <t>251000</t>
        </is>
      </c>
      <c r="C963" s="4108" t="inlineStr">
        <is>
          <t>135792468</t>
        </is>
      </c>
      <c r="D963" s="4108" t="inlineStr">
        <is>
          <t>202012</t>
        </is>
      </c>
      <c r="E963" s="4108" t="inlineStr">
        <is>
          <t>0,000000000000</t>
        </is>
      </c>
    </row>
    <row outlineLevel="0" r="964">
      <c r="A964" s="4108" t="inlineStr">
        <is>
          <t>135792468202012251001</t>
        </is>
      </c>
      <c r="B964" s="4108" t="inlineStr">
        <is>
          <t>251001</t>
        </is>
      </c>
      <c r="C964" s="4108" t="inlineStr">
        <is>
          <t>135792468</t>
        </is>
      </c>
      <c r="D964" s="4108" t="inlineStr">
        <is>
          <t>202012</t>
        </is>
      </c>
      <c r="E964" s="4108" t="inlineStr">
        <is>
          <t>0,000000000000</t>
        </is>
      </c>
    </row>
    <row outlineLevel="0" r="965">
      <c r="A965" s="4108" t="inlineStr">
        <is>
          <t>135792468202012251500</t>
        </is>
      </c>
      <c r="B965" s="4108" t="inlineStr">
        <is>
          <t>251500</t>
        </is>
      </c>
      <c r="C965" s="4108" t="inlineStr">
        <is>
          <t>135792468</t>
        </is>
      </c>
      <c r="D965" s="4108" t="inlineStr">
        <is>
          <t>202012</t>
        </is>
      </c>
      <c r="E965" s="4108" t="inlineStr">
        <is>
          <t>0,000000000000</t>
        </is>
      </c>
    </row>
    <row outlineLevel="0" r="966">
      <c r="A966" s="4108" t="inlineStr">
        <is>
          <t>135792468202012251501</t>
        </is>
      </c>
      <c r="B966" s="4108" t="inlineStr">
        <is>
          <t>251501</t>
        </is>
      </c>
      <c r="C966" s="4108" t="inlineStr">
        <is>
          <t>135792468</t>
        </is>
      </c>
      <c r="D966" s="4108" t="inlineStr">
        <is>
          <t>202012</t>
        </is>
      </c>
      <c r="E966" s="4108" t="inlineStr">
        <is>
          <t>0,000000000000</t>
        </is>
      </c>
    </row>
    <row outlineLevel="0" r="967">
      <c r="A967" s="4108" t="inlineStr">
        <is>
          <t>135792468202012252500</t>
        </is>
      </c>
      <c r="B967" s="4108" t="inlineStr">
        <is>
          <t>252500</t>
        </is>
      </c>
      <c r="C967" s="4108" t="inlineStr">
        <is>
          <t>135792468</t>
        </is>
      </c>
      <c r="D967" s="4108" t="inlineStr">
        <is>
          <t>202012</t>
        </is>
      </c>
      <c r="E967" s="4108" t="inlineStr">
        <is>
          <t>0,000000000000</t>
        </is>
      </c>
    </row>
    <row outlineLevel="0" r="968">
      <c r="A968" s="4108" t="inlineStr">
        <is>
          <t>135792468202012252501</t>
        </is>
      </c>
      <c r="B968" s="4108" t="inlineStr">
        <is>
          <t>252501</t>
        </is>
      </c>
      <c r="C968" s="4108" t="inlineStr">
        <is>
          <t>135792468</t>
        </is>
      </c>
      <c r="D968" s="4108" t="inlineStr">
        <is>
          <t>202012</t>
        </is>
      </c>
      <c r="E968" s="4108" t="inlineStr">
        <is>
          <t>0,000000000000</t>
        </is>
      </c>
    </row>
    <row outlineLevel="0" r="969">
      <c r="A969" s="4108" t="inlineStr">
        <is>
          <t>135792468202012253000</t>
        </is>
      </c>
      <c r="B969" s="4108" t="inlineStr">
        <is>
          <t>253000</t>
        </is>
      </c>
      <c r="C969" s="4108" t="inlineStr">
        <is>
          <t>135792468</t>
        </is>
      </c>
      <c r="D969" s="4108" t="inlineStr">
        <is>
          <t>202012</t>
        </is>
      </c>
      <c r="E969" s="4108" t="inlineStr">
        <is>
          <t>0,000000000000</t>
        </is>
      </c>
    </row>
    <row outlineLevel="0" r="970">
      <c r="A970" s="4108" t="inlineStr">
        <is>
          <t>135792468202012253001</t>
        </is>
      </c>
      <c r="B970" s="4108" t="inlineStr">
        <is>
          <t>253001</t>
        </is>
      </c>
      <c r="C970" s="4108" t="inlineStr">
        <is>
          <t>135792468</t>
        </is>
      </c>
      <c r="D970" s="4108" t="inlineStr">
        <is>
          <t>202012</t>
        </is>
      </c>
      <c r="E970" s="4108" t="inlineStr">
        <is>
          <t>0,000000000000</t>
        </is>
      </c>
    </row>
    <row outlineLevel="0" r="971">
      <c r="A971" s="4108" t="inlineStr">
        <is>
          <t>135792468202012259500</t>
        </is>
      </c>
      <c r="B971" s="4108" t="inlineStr">
        <is>
          <t>259500</t>
        </is>
      </c>
      <c r="C971" s="4108" t="inlineStr">
        <is>
          <t>135792468</t>
        </is>
      </c>
      <c r="D971" s="4108" t="inlineStr">
        <is>
          <t>202012</t>
        </is>
      </c>
      <c r="E971" s="4108" t="inlineStr">
        <is>
          <t>0,000000000000</t>
        </is>
      </c>
    </row>
    <row outlineLevel="0" r="972">
      <c r="A972" s="4108" t="inlineStr">
        <is>
          <t>135792468202012259501</t>
        </is>
      </c>
      <c r="B972" s="4108" t="inlineStr">
        <is>
          <t>259501</t>
        </is>
      </c>
      <c r="C972" s="4108" t="inlineStr">
        <is>
          <t>135792468</t>
        </is>
      </c>
      <c r="D972" s="4108" t="inlineStr">
        <is>
          <t>202012</t>
        </is>
      </c>
      <c r="E972" s="4108" t="inlineStr">
        <is>
          <t>0,000000000000</t>
        </is>
      </c>
    </row>
    <row outlineLevel="0" r="973">
      <c r="A973" s="4108" t="inlineStr">
        <is>
          <t>135792468202012260500</t>
        </is>
      </c>
      <c r="B973" s="4108" t="inlineStr">
        <is>
          <t>260500</t>
        </is>
      </c>
      <c r="C973" s="4108" t="inlineStr">
        <is>
          <t>135792468</t>
        </is>
      </c>
      <c r="D973" s="4108" t="inlineStr">
        <is>
          <t>202012</t>
        </is>
      </c>
      <c r="E973" s="4108" t="inlineStr">
        <is>
          <t>0,000000000000</t>
        </is>
      </c>
    </row>
    <row outlineLevel="0" r="974">
      <c r="A974" s="4108" t="inlineStr">
        <is>
          <t>135792468202012260501</t>
        </is>
      </c>
      <c r="B974" s="4108" t="inlineStr">
        <is>
          <t>260501</t>
        </is>
      </c>
      <c r="C974" s="4108" t="inlineStr">
        <is>
          <t>135792468</t>
        </is>
      </c>
      <c r="D974" s="4108" t="inlineStr">
        <is>
          <t>202012</t>
        </is>
      </c>
      <c r="E974" s="4108" t="inlineStr">
        <is>
          <t>0,000000000000</t>
        </is>
      </c>
    </row>
    <row outlineLevel="0" r="975">
      <c r="A975" s="4108" t="inlineStr">
        <is>
          <t>135792468202012261000</t>
        </is>
      </c>
      <c r="B975" s="4108" t="inlineStr">
        <is>
          <t>261000</t>
        </is>
      </c>
      <c r="C975" s="4108" t="inlineStr">
        <is>
          <t>135792468</t>
        </is>
      </c>
      <c r="D975" s="4108" t="inlineStr">
        <is>
          <t>202012</t>
        </is>
      </c>
      <c r="E975" s="4108" t="inlineStr">
        <is>
          <t>0,000000000000</t>
        </is>
      </c>
    </row>
    <row outlineLevel="0" r="976">
      <c r="A976" s="4108" t="inlineStr">
        <is>
          <t>135792468202012261001</t>
        </is>
      </c>
      <c r="B976" s="4108" t="inlineStr">
        <is>
          <t>261001</t>
        </is>
      </c>
      <c r="C976" s="4108" t="inlineStr">
        <is>
          <t>135792468</t>
        </is>
      </c>
      <c r="D976" s="4108" t="inlineStr">
        <is>
          <t>202012</t>
        </is>
      </c>
      <c r="E976" s="4108" t="inlineStr">
        <is>
          <t>0,000000000000</t>
        </is>
      </c>
    </row>
    <row outlineLevel="0" r="977">
      <c r="A977" s="4108" t="inlineStr">
        <is>
          <t>135792468202012261500</t>
        </is>
      </c>
      <c r="B977" s="4108" t="inlineStr">
        <is>
          <t>261500</t>
        </is>
      </c>
      <c r="C977" s="4108" t="inlineStr">
        <is>
          <t>135792468</t>
        </is>
      </c>
      <c r="D977" s="4108" t="inlineStr">
        <is>
          <t>202012</t>
        </is>
      </c>
      <c r="E977" s="4108" t="inlineStr">
        <is>
          <t>0,000000000000</t>
        </is>
      </c>
    </row>
    <row outlineLevel="0" r="978">
      <c r="A978" s="4108" t="inlineStr">
        <is>
          <t>135792468202012261501</t>
        </is>
      </c>
      <c r="B978" s="4108" t="inlineStr">
        <is>
          <t>261501</t>
        </is>
      </c>
      <c r="C978" s="4108" t="inlineStr">
        <is>
          <t>135792468</t>
        </is>
      </c>
      <c r="D978" s="4108" t="inlineStr">
        <is>
          <t>202012</t>
        </is>
      </c>
      <c r="E978" s="4108" t="inlineStr">
        <is>
          <t>0,000000000000</t>
        </is>
      </c>
    </row>
    <row outlineLevel="0" r="979">
      <c r="A979" s="4108" t="inlineStr">
        <is>
          <t>135792468202012262000</t>
        </is>
      </c>
      <c r="B979" s="4108" t="inlineStr">
        <is>
          <t>262000</t>
        </is>
      </c>
      <c r="C979" s="4108" t="inlineStr">
        <is>
          <t>135792468</t>
        </is>
      </c>
      <c r="D979" s="4108" t="inlineStr">
        <is>
          <t>202012</t>
        </is>
      </c>
      <c r="E979" s="4108" t="inlineStr">
        <is>
          <t>0,000000000000</t>
        </is>
      </c>
    </row>
    <row outlineLevel="0" r="980">
      <c r="A980" s="4108" t="inlineStr">
        <is>
          <t>135792468202012262001</t>
        </is>
      </c>
      <c r="B980" s="4108" t="inlineStr">
        <is>
          <t>262001</t>
        </is>
      </c>
      <c r="C980" s="4108" t="inlineStr">
        <is>
          <t>135792468</t>
        </is>
      </c>
      <c r="D980" s="4108" t="inlineStr">
        <is>
          <t>202012</t>
        </is>
      </c>
      <c r="E980" s="4108" t="inlineStr">
        <is>
          <t>12,000000000000</t>
        </is>
      </c>
    </row>
    <row outlineLevel="0" r="981">
      <c r="A981" s="4108" t="inlineStr">
        <is>
          <t>135792468202012262500</t>
        </is>
      </c>
      <c r="B981" s="4108" t="inlineStr">
        <is>
          <t>262500</t>
        </is>
      </c>
      <c r="C981" s="4108" t="inlineStr">
        <is>
          <t>135792468</t>
        </is>
      </c>
      <c r="D981" s="4108" t="inlineStr">
        <is>
          <t>202012</t>
        </is>
      </c>
      <c r="E981" s="4108" t="inlineStr">
        <is>
          <t>0,000000000000</t>
        </is>
      </c>
    </row>
    <row outlineLevel="0" r="982">
      <c r="A982" s="4108" t="inlineStr">
        <is>
          <t>135792468202012262501</t>
        </is>
      </c>
      <c r="B982" s="4108" t="inlineStr">
        <is>
          <t>262501</t>
        </is>
      </c>
      <c r="C982" s="4108" t="inlineStr">
        <is>
          <t>135792468</t>
        </is>
      </c>
      <c r="D982" s="4108" t="inlineStr">
        <is>
          <t>202012</t>
        </is>
      </c>
      <c r="E982" s="4108" t="inlineStr">
        <is>
          <t>0,000000000000</t>
        </is>
      </c>
    </row>
    <row outlineLevel="0" r="983">
      <c r="A983" s="4108" t="inlineStr">
        <is>
          <t>135792468202012263000</t>
        </is>
      </c>
      <c r="B983" s="4108" t="inlineStr">
        <is>
          <t>263000</t>
        </is>
      </c>
      <c r="C983" s="4108" t="inlineStr">
        <is>
          <t>135792468</t>
        </is>
      </c>
      <c r="D983" s="4108" t="inlineStr">
        <is>
          <t>202012</t>
        </is>
      </c>
      <c r="E983" s="4108" t="inlineStr">
        <is>
          <t>0,000000000000</t>
        </is>
      </c>
    </row>
    <row outlineLevel="0" r="984">
      <c r="A984" s="4108" t="inlineStr">
        <is>
          <t>135792468202012263001</t>
        </is>
      </c>
      <c r="B984" s="4108" t="inlineStr">
        <is>
          <t>263001</t>
        </is>
      </c>
      <c r="C984" s="4108" t="inlineStr">
        <is>
          <t>135792468</t>
        </is>
      </c>
      <c r="D984" s="4108" t="inlineStr">
        <is>
          <t>202012</t>
        </is>
      </c>
      <c r="E984" s="4108" t="inlineStr">
        <is>
          <t>0,000000000000</t>
        </is>
      </c>
    </row>
    <row outlineLevel="0" r="985">
      <c r="A985" s="4108" t="inlineStr">
        <is>
          <t>135792468202012263500</t>
        </is>
      </c>
      <c r="B985" s="4108" t="inlineStr">
        <is>
          <t>263500</t>
        </is>
      </c>
      <c r="C985" s="4108" t="inlineStr">
        <is>
          <t>135792468</t>
        </is>
      </c>
      <c r="D985" s="4108" t="inlineStr">
        <is>
          <t>202012</t>
        </is>
      </c>
      <c r="E985" s="4108" t="inlineStr">
        <is>
          <t>0,000000000000</t>
        </is>
      </c>
    </row>
    <row outlineLevel="0" r="986">
      <c r="A986" s="4108" t="inlineStr">
        <is>
          <t>135792468202012263501</t>
        </is>
      </c>
      <c r="B986" s="4108" t="inlineStr">
        <is>
          <t>263501</t>
        </is>
      </c>
      <c r="C986" s="4108" t="inlineStr">
        <is>
          <t>135792468</t>
        </is>
      </c>
      <c r="D986" s="4108" t="inlineStr">
        <is>
          <t>202012</t>
        </is>
      </c>
      <c r="E986" s="4108" t="inlineStr">
        <is>
          <t>0,000000000000</t>
        </is>
      </c>
    </row>
    <row outlineLevel="0" r="987">
      <c r="A987" s="4108" t="inlineStr">
        <is>
          <t>135792468202012264000</t>
        </is>
      </c>
      <c r="B987" s="4108" t="inlineStr">
        <is>
          <t>264000</t>
        </is>
      </c>
      <c r="C987" s="4108" t="inlineStr">
        <is>
          <t>135792468</t>
        </is>
      </c>
      <c r="D987" s="4108" t="inlineStr">
        <is>
          <t>202012</t>
        </is>
      </c>
      <c r="E987" s="4108" t="inlineStr">
        <is>
          <t>0,000000000000</t>
        </is>
      </c>
    </row>
    <row outlineLevel="0" r="988">
      <c r="A988" s="4108" t="inlineStr">
        <is>
          <t>135792468202012264001</t>
        </is>
      </c>
      <c r="B988" s="4108" t="inlineStr">
        <is>
          <t>264001</t>
        </is>
      </c>
      <c r="C988" s="4108" t="inlineStr">
        <is>
          <t>135792468</t>
        </is>
      </c>
      <c r="D988" s="4108" t="inlineStr">
        <is>
          <t>202012</t>
        </is>
      </c>
      <c r="E988" s="4108" t="inlineStr">
        <is>
          <t>0,000000000000</t>
        </is>
      </c>
    </row>
    <row outlineLevel="0" r="989">
      <c r="A989" s="4108" t="inlineStr">
        <is>
          <t>135792468202012269500</t>
        </is>
      </c>
      <c r="B989" s="4108" t="inlineStr">
        <is>
          <t>269500</t>
        </is>
      </c>
      <c r="C989" s="4108" t="inlineStr">
        <is>
          <t>135792468</t>
        </is>
      </c>
      <c r="D989" s="4108" t="inlineStr">
        <is>
          <t>202012</t>
        </is>
      </c>
      <c r="E989" s="4108" t="inlineStr">
        <is>
          <t>0,000000000000</t>
        </is>
      </c>
    </row>
    <row outlineLevel="0" r="990">
      <c r="A990" s="4108" t="inlineStr">
        <is>
          <t>135792468202012269501</t>
        </is>
      </c>
      <c r="B990" s="4108" t="inlineStr">
        <is>
          <t>269501</t>
        </is>
      </c>
      <c r="C990" s="4108" t="inlineStr">
        <is>
          <t>135792468</t>
        </is>
      </c>
      <c r="D990" s="4108" t="inlineStr">
        <is>
          <t>202012</t>
        </is>
      </c>
      <c r="E990" s="4108" t="inlineStr">
        <is>
          <t>0,000000000000</t>
        </is>
      </c>
    </row>
    <row outlineLevel="0" r="991">
      <c r="A991" s="4108" t="inlineStr">
        <is>
          <t>135792468202012270500</t>
        </is>
      </c>
      <c r="B991" s="4108" t="inlineStr">
        <is>
          <t>270500</t>
        </is>
      </c>
      <c r="C991" s="4108" t="inlineStr">
        <is>
          <t>135792468</t>
        </is>
      </c>
      <c r="D991" s="4108" t="inlineStr">
        <is>
          <t>202012</t>
        </is>
      </c>
      <c r="E991" s="4108" t="inlineStr">
        <is>
          <t>160,000000000000</t>
        </is>
      </c>
    </row>
    <row outlineLevel="0" r="992">
      <c r="A992" s="4108" t="inlineStr">
        <is>
          <t>135792468202012270501</t>
        </is>
      </c>
      <c r="B992" s="4108" t="inlineStr">
        <is>
          <t>270501</t>
        </is>
      </c>
      <c r="C992" s="4108" t="inlineStr">
        <is>
          <t>135792468</t>
        </is>
      </c>
      <c r="D992" s="4108" t="inlineStr">
        <is>
          <t>202012</t>
        </is>
      </c>
      <c r="E992" s="4108" t="inlineStr">
        <is>
          <t>0,000000000000</t>
        </is>
      </c>
    </row>
    <row outlineLevel="0" r="993">
      <c r="A993" s="4108" t="inlineStr">
        <is>
          <t>135792468202012271000</t>
        </is>
      </c>
      <c r="B993" s="4108" t="inlineStr">
        <is>
          <t>271000</t>
        </is>
      </c>
      <c r="C993" s="4108" t="inlineStr">
        <is>
          <t>135792468</t>
        </is>
      </c>
      <c r="D993" s="4108" t="inlineStr">
        <is>
          <t>202012</t>
        </is>
      </c>
      <c r="E993" s="4108" t="inlineStr">
        <is>
          <t>0,000000000000</t>
        </is>
      </c>
    </row>
    <row outlineLevel="0" r="994">
      <c r="A994" s="4108" t="inlineStr">
        <is>
          <t>135792468202012271001</t>
        </is>
      </c>
      <c r="B994" s="4108" t="inlineStr">
        <is>
          <t>271001</t>
        </is>
      </c>
      <c r="C994" s="4108" t="inlineStr">
        <is>
          <t>135792468</t>
        </is>
      </c>
      <c r="D994" s="4108" t="inlineStr">
        <is>
          <t>202012</t>
        </is>
      </c>
      <c r="E994" s="4108" t="inlineStr">
        <is>
          <t>0,000000000000</t>
        </is>
      </c>
    </row>
    <row outlineLevel="0" r="995">
      <c r="A995" s="4108" t="inlineStr">
        <is>
          <t>135792468202012272001</t>
        </is>
      </c>
      <c r="B995" s="4108" t="inlineStr">
        <is>
          <t>272001</t>
        </is>
      </c>
      <c r="C995" s="4108" t="inlineStr">
        <is>
          <t>135792468</t>
        </is>
      </c>
      <c r="D995" s="4108" t="inlineStr">
        <is>
          <t>202012</t>
        </is>
      </c>
      <c r="E995" s="4108" t="inlineStr">
        <is>
          <t>0,000000000000</t>
        </is>
      </c>
    </row>
    <row outlineLevel="0" r="996">
      <c r="A996" s="4108" t="inlineStr">
        <is>
          <t>135792468202012272500</t>
        </is>
      </c>
      <c r="B996" s="4108" t="inlineStr">
        <is>
          <t>272500</t>
        </is>
      </c>
      <c r="C996" s="4108" t="inlineStr">
        <is>
          <t>135792468</t>
        </is>
      </c>
      <c r="D996" s="4108" t="inlineStr">
        <is>
          <t>202012</t>
        </is>
      </c>
      <c r="E996" s="4108" t="inlineStr">
        <is>
          <t>0,000000000000</t>
        </is>
      </c>
    </row>
    <row outlineLevel="0" r="997">
      <c r="A997" s="4108" t="inlineStr">
        <is>
          <t>135792468202012272501</t>
        </is>
      </c>
      <c r="B997" s="4108" t="inlineStr">
        <is>
          <t>272501</t>
        </is>
      </c>
      <c r="C997" s="4108" t="inlineStr">
        <is>
          <t>135792468</t>
        </is>
      </c>
      <c r="D997" s="4108" t="inlineStr">
        <is>
          <t>202012</t>
        </is>
      </c>
      <c r="E997" s="4108" t="inlineStr">
        <is>
          <t>0,000000000000</t>
        </is>
      </c>
    </row>
    <row outlineLevel="0" r="998">
      <c r="A998" s="4108" t="inlineStr">
        <is>
          <t>135792468202012279500</t>
        </is>
      </c>
      <c r="B998" s="4108" t="inlineStr">
        <is>
          <t>279500</t>
        </is>
      </c>
      <c r="C998" s="4108" t="inlineStr">
        <is>
          <t>135792468</t>
        </is>
      </c>
      <c r="D998" s="4108" t="inlineStr">
        <is>
          <t>202012</t>
        </is>
      </c>
      <c r="E998" s="4108" t="inlineStr">
        <is>
          <t>12,000000000000</t>
        </is>
      </c>
    </row>
    <row outlineLevel="0" r="999">
      <c r="A999" s="4108" t="inlineStr">
        <is>
          <t>135792468202012279501</t>
        </is>
      </c>
      <c r="B999" s="4108" t="inlineStr">
        <is>
          <t>279501</t>
        </is>
      </c>
      <c r="C999" s="4108" t="inlineStr">
        <is>
          <t>135792468</t>
        </is>
      </c>
      <c r="D999" s="4108" t="inlineStr">
        <is>
          <t>202012</t>
        </is>
      </c>
      <c r="E999" s="4108" t="inlineStr">
        <is>
          <t>0,000000000000</t>
        </is>
      </c>
    </row>
    <row outlineLevel="0" r="1000">
      <c r="A1000" s="4108" t="inlineStr">
        <is>
          <t>135792468202012281000</t>
        </is>
      </c>
      <c r="B1000" s="4108" t="inlineStr">
        <is>
          <t>281000</t>
        </is>
      </c>
      <c r="C1000" s="4108" t="inlineStr">
        <is>
          <t>135792468</t>
        </is>
      </c>
      <c r="D1000" s="4108" t="inlineStr">
        <is>
          <t>202012</t>
        </is>
      </c>
      <c r="E1000" s="4108" t="inlineStr">
        <is>
          <t>0,000000000000</t>
        </is>
      </c>
    </row>
    <row outlineLevel="0" r="1001">
      <c r="A1001" s="4108" t="inlineStr">
        <is>
          <t>135792468202012282000</t>
        </is>
      </c>
      <c r="B1001" s="4108" t="inlineStr">
        <is>
          <t>282000</t>
        </is>
      </c>
      <c r="C1001" s="4108" t="inlineStr">
        <is>
          <t>135792468</t>
        </is>
      </c>
      <c r="D1001" s="4108" t="inlineStr">
        <is>
          <t>202012</t>
        </is>
      </c>
      <c r="E1001" s="4108" t="inlineStr">
        <is>
          <t>0,000000000000</t>
        </is>
      </c>
    </row>
    <row outlineLevel="0" r="1002">
      <c r="A1002" s="4108" t="inlineStr">
        <is>
          <t>135792468202012282500</t>
        </is>
      </c>
      <c r="B1002" s="4108" t="inlineStr">
        <is>
          <t>282500</t>
        </is>
      </c>
      <c r="C1002" s="4108" t="inlineStr">
        <is>
          <t>135792468</t>
        </is>
      </c>
      <c r="D1002" s="4108" t="inlineStr">
        <is>
          <t>202012</t>
        </is>
      </c>
      <c r="E1002" s="4108" t="inlineStr">
        <is>
          <t>0,000000000000</t>
        </is>
      </c>
    </row>
    <row outlineLevel="0" r="1003">
      <c r="A1003" s="4108" t="inlineStr">
        <is>
          <t>135792468202012284000</t>
        </is>
      </c>
      <c r="B1003" s="4108" t="inlineStr">
        <is>
          <t>284000</t>
        </is>
      </c>
      <c r="C1003" s="4108" t="inlineStr">
        <is>
          <t>135792468</t>
        </is>
      </c>
      <c r="D1003" s="4108" t="inlineStr">
        <is>
          <t>202012</t>
        </is>
      </c>
      <c r="E1003" s="4108" t="inlineStr">
        <is>
          <t>0,000000000000</t>
        </is>
      </c>
    </row>
    <row outlineLevel="0" r="1004">
      <c r="A1004" s="4108" t="inlineStr">
        <is>
          <t>135792468202012289500</t>
        </is>
      </c>
      <c r="B1004" s="4108" t="inlineStr">
        <is>
          <t>289500</t>
        </is>
      </c>
      <c r="C1004" s="4108" t="inlineStr">
        <is>
          <t>135792468</t>
        </is>
      </c>
      <c r="D1004" s="4108" t="inlineStr">
        <is>
          <t>202012</t>
        </is>
      </c>
      <c r="E1004" s="4108" t="inlineStr">
        <is>
          <t>0,000000000000</t>
        </is>
      </c>
    </row>
    <row outlineLevel="0" r="1005">
      <c r="A1005" s="4108" t="inlineStr">
        <is>
          <t>135792468202012290501</t>
        </is>
      </c>
      <c r="B1005" s="4108" t="inlineStr">
        <is>
          <t>290501</t>
        </is>
      </c>
      <c r="C1005" s="4108" t="inlineStr">
        <is>
          <t>135792468</t>
        </is>
      </c>
      <c r="D1005" s="4108" t="inlineStr">
        <is>
          <t>202012</t>
        </is>
      </c>
      <c r="E1005" s="4108" t="inlineStr">
        <is>
          <t>0,000000000000</t>
        </is>
      </c>
    </row>
    <row outlineLevel="0" r="1006">
      <c r="A1006" s="4108" t="inlineStr">
        <is>
          <t>135792468202012291000</t>
        </is>
      </c>
      <c r="B1006" s="4108" t="inlineStr">
        <is>
          <t>291000</t>
        </is>
      </c>
      <c r="C1006" s="4108" t="inlineStr">
        <is>
          <t>135792468</t>
        </is>
      </c>
      <c r="D1006" s="4108" t="inlineStr">
        <is>
          <t>202012</t>
        </is>
      </c>
      <c r="E1006" s="4108" t="inlineStr">
        <is>
          <t>0,000000000000</t>
        </is>
      </c>
    </row>
    <row outlineLevel="0" r="1007">
      <c r="A1007" s="4108" t="inlineStr">
        <is>
          <t>135792468202012291501</t>
        </is>
      </c>
      <c r="B1007" s="4108" t="inlineStr">
        <is>
          <t>291501</t>
        </is>
      </c>
      <c r="C1007" s="4108" t="inlineStr">
        <is>
          <t>135792468</t>
        </is>
      </c>
      <c r="D1007" s="4108" t="inlineStr">
        <is>
          <t>202012</t>
        </is>
      </c>
      <c r="E1007" s="4108" t="inlineStr">
        <is>
          <t>0,000000000000</t>
        </is>
      </c>
    </row>
    <row outlineLevel="0" r="1008">
      <c r="A1008" s="4108" t="inlineStr">
        <is>
          <t>135792468202012291991</t>
        </is>
      </c>
      <c r="B1008" s="4108" t="inlineStr">
        <is>
          <t>291991</t>
        </is>
      </c>
      <c r="C1008" s="4108" t="inlineStr">
        <is>
          <t>135792468</t>
        </is>
      </c>
      <c r="D1008" s="4108" t="inlineStr">
        <is>
          <t>202012</t>
        </is>
      </c>
      <c r="E1008" s="4108" t="inlineStr">
        <is>
          <t>0,000000000000</t>
        </is>
      </c>
    </row>
    <row outlineLevel="0" r="1009">
      <c r="A1009" s="4108" t="inlineStr">
        <is>
          <t>135792468202012292000</t>
        </is>
      </c>
      <c r="B1009" s="4108" t="inlineStr">
        <is>
          <t>292000</t>
        </is>
      </c>
      <c r="C1009" s="4108" t="inlineStr">
        <is>
          <t>135792468</t>
        </is>
      </c>
      <c r="D1009" s="4108" t="inlineStr">
        <is>
          <t>202012</t>
        </is>
      </c>
      <c r="E1009" s="4108" t="inlineStr">
        <is>
          <t>0,000000000000</t>
        </is>
      </c>
    </row>
    <row outlineLevel="0" r="1010">
      <c r="A1010" s="4108" t="inlineStr">
        <is>
          <t>135792468202012292001</t>
        </is>
      </c>
      <c r="B1010" s="4108" t="inlineStr">
        <is>
          <t>292001</t>
        </is>
      </c>
      <c r="C1010" s="4108" t="inlineStr">
        <is>
          <t>135792468</t>
        </is>
      </c>
      <c r="D1010" s="4108" t="inlineStr">
        <is>
          <t>202012</t>
        </is>
      </c>
      <c r="E1010" s="4108" t="inlineStr">
        <is>
          <t>0,000000000000</t>
        </is>
      </c>
    </row>
    <row outlineLevel="0" r="1011">
      <c r="A1011" s="4108" t="inlineStr">
        <is>
          <t>135792468202012293000</t>
        </is>
      </c>
      <c r="B1011" s="4108" t="inlineStr">
        <is>
          <t>293000</t>
        </is>
      </c>
      <c r="C1011" s="4108" t="inlineStr">
        <is>
          <t>135792468</t>
        </is>
      </c>
      <c r="D1011" s="4108" t="inlineStr">
        <is>
          <t>202012</t>
        </is>
      </c>
      <c r="E1011" s="4108" t="inlineStr">
        <is>
          <t>0,000000000000</t>
        </is>
      </c>
    </row>
    <row outlineLevel="0" r="1012">
      <c r="A1012" s="4108" t="inlineStr">
        <is>
          <t>135792468202012294000</t>
        </is>
      </c>
      <c r="B1012" s="4108" t="inlineStr">
        <is>
          <t>294000</t>
        </is>
      </c>
      <c r="C1012" s="4108" t="inlineStr">
        <is>
          <t>135792468</t>
        </is>
      </c>
      <c r="D1012" s="4108" t="inlineStr">
        <is>
          <t>202012</t>
        </is>
      </c>
      <c r="E1012" s="4108" t="inlineStr">
        <is>
          <t>0,000000000000</t>
        </is>
      </c>
    </row>
    <row outlineLevel="0" r="1013">
      <c r="A1013" s="4108" t="inlineStr">
        <is>
          <t>135792468202012299501</t>
        </is>
      </c>
      <c r="B1013" s="4108" t="inlineStr">
        <is>
          <t>299501</t>
        </is>
      </c>
      <c r="C1013" s="4108" t="inlineStr">
        <is>
          <t>135792468</t>
        </is>
      </c>
      <c r="D1013" s="4108" t="inlineStr">
        <is>
          <t>202012</t>
        </is>
      </c>
      <c r="E1013" s="4108" t="inlineStr">
        <is>
          <t>0,000000000000</t>
        </is>
      </c>
    </row>
    <row outlineLevel="0" r="1014">
      <c r="A1014" s="4108" t="inlineStr">
        <is>
          <t>135792468202012310500</t>
        </is>
      </c>
      <c r="B1014" s="4108" t="inlineStr">
        <is>
          <t>310500</t>
        </is>
      </c>
      <c r="C1014" s="4108" t="inlineStr">
        <is>
          <t>135792468</t>
        </is>
      </c>
      <c r="D1014" s="4108" t="inlineStr">
        <is>
          <t>202012</t>
        </is>
      </c>
      <c r="E1014" s="4108" t="inlineStr">
        <is>
          <t>3767,000000000000</t>
        </is>
      </c>
    </row>
    <row outlineLevel="0" r="1015">
      <c r="A1015" s="4108" t="inlineStr">
        <is>
          <t>135792468202012311500</t>
        </is>
      </c>
      <c r="B1015" s="4108" t="inlineStr">
        <is>
          <t>311500</t>
        </is>
      </c>
      <c r="C1015" s="4108" t="inlineStr">
        <is>
          <t>135792468</t>
        </is>
      </c>
      <c r="D1015" s="4108" t="inlineStr">
        <is>
          <t>202012</t>
        </is>
      </c>
      <c r="E1015" s="4108" t="inlineStr">
        <is>
          <t>0,000000000000</t>
        </is>
      </c>
    </row>
    <row outlineLevel="0" r="1016">
      <c r="A1016" s="4108" t="inlineStr">
        <is>
          <t>135792468202012312000</t>
        </is>
      </c>
      <c r="B1016" s="4108" t="inlineStr">
        <is>
          <t>312000</t>
        </is>
      </c>
      <c r="C1016" s="4108" t="inlineStr">
        <is>
          <t>135792468</t>
        </is>
      </c>
      <c r="D1016" s="4108" t="inlineStr">
        <is>
          <t>202012</t>
        </is>
      </c>
      <c r="E1016" s="4108" t="inlineStr">
        <is>
          <t>0,000000000000</t>
        </is>
      </c>
    </row>
    <row outlineLevel="0" r="1017">
      <c r="A1017" s="4108" t="inlineStr">
        <is>
          <t>135792468202012312500</t>
        </is>
      </c>
      <c r="B1017" s="4108" t="inlineStr">
        <is>
          <t>312500</t>
        </is>
      </c>
      <c r="C1017" s="4108" t="inlineStr">
        <is>
          <t>135792468</t>
        </is>
      </c>
      <c r="D1017" s="4108" t="inlineStr">
        <is>
          <t>202012</t>
        </is>
      </c>
      <c r="E1017" s="4108" t="inlineStr">
        <is>
          <t>0,000000000000</t>
        </is>
      </c>
    </row>
    <row outlineLevel="0" r="1018">
      <c r="A1018" s="4108" t="inlineStr">
        <is>
          <t>135792468202012313000</t>
        </is>
      </c>
      <c r="B1018" s="4108" t="inlineStr">
        <is>
          <t>313000</t>
        </is>
      </c>
      <c r="C1018" s="4108" t="inlineStr">
        <is>
          <t>135792468</t>
        </is>
      </c>
      <c r="D1018" s="4108" t="inlineStr">
        <is>
          <t>202012</t>
        </is>
      </c>
      <c r="E1018" s="4108" t="inlineStr">
        <is>
          <t>0,000000000000</t>
        </is>
      </c>
    </row>
    <row outlineLevel="0" r="1019">
      <c r="A1019" s="4108" t="inlineStr">
        <is>
          <t>135792468202012313500</t>
        </is>
      </c>
      <c r="B1019" s="4108" t="inlineStr">
        <is>
          <t>313500</t>
        </is>
      </c>
      <c r="C1019" s="4108" t="inlineStr">
        <is>
          <t>135792468</t>
        </is>
      </c>
      <c r="D1019" s="4108" t="inlineStr">
        <is>
          <t>202012</t>
        </is>
      </c>
      <c r="E1019" s="4108" t="inlineStr">
        <is>
          <t>0,000000000000</t>
        </is>
      </c>
    </row>
    <row outlineLevel="0" r="1020">
      <c r="A1020" s="4108" t="inlineStr">
        <is>
          <t>135792468202012314000</t>
        </is>
      </c>
      <c r="B1020" s="4108" t="inlineStr">
        <is>
          <t>314000</t>
        </is>
      </c>
      <c r="C1020" s="4108" t="inlineStr">
        <is>
          <t>135792468</t>
        </is>
      </c>
      <c r="D1020" s="4108" t="inlineStr">
        <is>
          <t>202012</t>
        </is>
      </c>
      <c r="E1020" s="4108" t="inlineStr">
        <is>
          <t>0,000000000000</t>
        </is>
      </c>
    </row>
    <row outlineLevel="0" r="1021">
      <c r="A1021" s="4108" t="inlineStr">
        <is>
          <t>135792468202012320500</t>
        </is>
      </c>
      <c r="B1021" s="4108" t="inlineStr">
        <is>
          <t>320500</t>
        </is>
      </c>
      <c r="C1021" s="4108" t="inlineStr">
        <is>
          <t>135792468</t>
        </is>
      </c>
      <c r="D1021" s="4108" t="inlineStr">
        <is>
          <t>202012</t>
        </is>
      </c>
      <c r="E1021" s="4108" t="inlineStr">
        <is>
          <t>0,000000000000</t>
        </is>
      </c>
    </row>
    <row outlineLevel="0" r="1022">
      <c r="A1022" s="4108" t="inlineStr">
        <is>
          <t>135792468202012321000</t>
        </is>
      </c>
      <c r="B1022" s="4108" t="inlineStr">
        <is>
          <t>321000</t>
        </is>
      </c>
      <c r="C1022" s="4108" t="inlineStr">
        <is>
          <t>135792468</t>
        </is>
      </c>
      <c r="D1022" s="4108" t="inlineStr">
        <is>
          <t>202012</t>
        </is>
      </c>
      <c r="E1022" s="4108" t="inlineStr">
        <is>
          <t>0,000000000000</t>
        </is>
      </c>
    </row>
    <row outlineLevel="0" r="1023">
      <c r="A1023" s="4108" t="inlineStr">
        <is>
          <t>135792468202012321500</t>
        </is>
      </c>
      <c r="B1023" s="4108" t="inlineStr">
        <is>
          <t>321500</t>
        </is>
      </c>
      <c r="C1023" s="4108" t="inlineStr">
        <is>
          <t>135792468</t>
        </is>
      </c>
      <c r="D1023" s="4108" t="inlineStr">
        <is>
          <t>202012</t>
        </is>
      </c>
      <c r="E1023" s="4108" t="inlineStr">
        <is>
          <t>0,000000000000</t>
        </is>
      </c>
    </row>
    <row outlineLevel="0" r="1024">
      <c r="A1024" s="4108" t="inlineStr">
        <is>
          <t>135792468202012322000</t>
        </is>
      </c>
      <c r="B1024" s="4108" t="inlineStr">
        <is>
          <t>322000</t>
        </is>
      </c>
      <c r="C1024" s="4108" t="inlineStr">
        <is>
          <t>135792468</t>
        </is>
      </c>
      <c r="D1024" s="4108" t="inlineStr">
        <is>
          <t>202012</t>
        </is>
      </c>
      <c r="E1024" s="4108" t="inlineStr">
        <is>
          <t>0,000000000000</t>
        </is>
      </c>
    </row>
    <row outlineLevel="0" r="1025">
      <c r="A1025" s="4108" t="inlineStr">
        <is>
          <t>135792468202012322500</t>
        </is>
      </c>
      <c r="B1025" s="4108" t="inlineStr">
        <is>
          <t>322500</t>
        </is>
      </c>
      <c r="C1025" s="4108" t="inlineStr">
        <is>
          <t>135792468</t>
        </is>
      </c>
      <c r="D1025" s="4108" t="inlineStr">
        <is>
          <t>202012</t>
        </is>
      </c>
      <c r="E1025" s="4108" t="inlineStr">
        <is>
          <t>0,000000000000</t>
        </is>
      </c>
    </row>
    <row outlineLevel="0" r="1026">
      <c r="A1026" s="4108" t="inlineStr">
        <is>
          <t>135792468202012330500</t>
        </is>
      </c>
      <c r="B1026" s="4108" t="inlineStr">
        <is>
          <t>330500</t>
        </is>
      </c>
      <c r="C1026" s="4108" t="inlineStr">
        <is>
          <t>135792468</t>
        </is>
      </c>
      <c r="D1026" s="4108" t="inlineStr">
        <is>
          <t>202012</t>
        </is>
      </c>
      <c r="E1026" s="4108" t="inlineStr">
        <is>
          <t>166,000000000000</t>
        </is>
      </c>
    </row>
    <row outlineLevel="0" r="1027">
      <c r="A1027" s="4108" t="inlineStr">
        <is>
          <t>135792468202012331000</t>
        </is>
      </c>
      <c r="B1027" s="4108" t="inlineStr">
        <is>
          <t>331000</t>
        </is>
      </c>
      <c r="C1027" s="4108" t="inlineStr">
        <is>
          <t>135792468</t>
        </is>
      </c>
      <c r="D1027" s="4108" t="inlineStr">
        <is>
          <t>202012</t>
        </is>
      </c>
      <c r="E1027" s="4108" t="inlineStr">
        <is>
          <t>0,000000000000</t>
        </is>
      </c>
    </row>
    <row outlineLevel="0" r="1028">
      <c r="A1028" s="4108" t="inlineStr">
        <is>
          <t>135792468202012331500</t>
        </is>
      </c>
      <c r="B1028" s="4108" t="inlineStr">
        <is>
          <t>331500</t>
        </is>
      </c>
      <c r="C1028" s="4108" t="inlineStr">
        <is>
          <t>135792468</t>
        </is>
      </c>
      <c r="D1028" s="4108" t="inlineStr">
        <is>
          <t>202012</t>
        </is>
      </c>
      <c r="E1028" s="4108" t="inlineStr">
        <is>
          <t>0,000000000000</t>
        </is>
      </c>
    </row>
    <row outlineLevel="0" r="1029">
      <c r="A1029" s="4108" t="inlineStr">
        <is>
          <t>135792468202012340505</t>
        </is>
      </c>
      <c r="B1029" s="4108" t="inlineStr">
        <is>
          <t>340505</t>
        </is>
      </c>
      <c r="C1029" s="4108" t="inlineStr">
        <is>
          <t>135792468</t>
        </is>
      </c>
      <c r="D1029" s="4108" t="inlineStr">
        <is>
          <t>202012</t>
        </is>
      </c>
      <c r="E1029" s="4108" t="inlineStr">
        <is>
          <t>0,000000000000</t>
        </is>
      </c>
    </row>
    <row outlineLevel="0" r="1030">
      <c r="A1030" s="4108" t="inlineStr">
        <is>
          <t>135792468202012340515</t>
        </is>
      </c>
      <c r="B1030" s="4108" t="inlineStr">
        <is>
          <t>340515</t>
        </is>
      </c>
      <c r="C1030" s="4108" t="inlineStr">
        <is>
          <t>135792468</t>
        </is>
      </c>
      <c r="D1030" s="4108" t="inlineStr">
        <is>
          <t>202012</t>
        </is>
      </c>
      <c r="E1030" s="4108" t="inlineStr">
        <is>
          <t>0,000000000000</t>
        </is>
      </c>
    </row>
    <row outlineLevel="0" r="1031">
      <c r="A1031" s="4108" t="inlineStr">
        <is>
          <t>135792468202012349500</t>
        </is>
      </c>
      <c r="B1031" s="4108" t="inlineStr">
        <is>
          <t>349500</t>
        </is>
      </c>
      <c r="C1031" s="4108" t="inlineStr">
        <is>
          <t>135792468</t>
        </is>
      </c>
      <c r="D1031" s="4108" t="inlineStr">
        <is>
          <t>202012</t>
        </is>
      </c>
      <c r="E1031" s="4108" t="inlineStr">
        <is>
          <t>0,000000000000</t>
        </is>
      </c>
    </row>
    <row outlineLevel="0" r="1032">
      <c r="A1032" s="4108" t="inlineStr">
        <is>
          <t>135792468202012410500</t>
        </is>
      </c>
      <c r="B1032" s="4108" t="inlineStr">
        <is>
          <t>410500</t>
        </is>
      </c>
      <c r="C1032" s="4108" t="inlineStr">
        <is>
          <t>135792468</t>
        </is>
      </c>
      <c r="D1032" s="4108" t="inlineStr">
        <is>
          <t>202012</t>
        </is>
      </c>
      <c r="E1032" s="4108" t="inlineStr">
        <is>
          <t>1943,000000000000</t>
        </is>
      </c>
    </row>
    <row outlineLevel="0" r="1033">
      <c r="A1033" s="4108" t="inlineStr">
        <is>
          <t>135792468202012411000</t>
        </is>
      </c>
      <c r="B1033" s="4108" t="inlineStr">
        <is>
          <t>411000</t>
        </is>
      </c>
      <c r="C1033" s="4108" t="inlineStr">
        <is>
          <t>135792468</t>
        </is>
      </c>
      <c r="D1033" s="4108" t="inlineStr">
        <is>
          <t>202012</t>
        </is>
      </c>
      <c r="E1033" s="4108" t="inlineStr">
        <is>
          <t>0,000000000000</t>
        </is>
      </c>
    </row>
    <row outlineLevel="0" r="1034">
      <c r="A1034" s="4108" t="inlineStr">
        <is>
          <t>135792468202012420500</t>
        </is>
      </c>
      <c r="B1034" s="4108" t="inlineStr">
        <is>
          <t>420500</t>
        </is>
      </c>
      <c r="C1034" s="4108" t="inlineStr">
        <is>
          <t>135792468</t>
        </is>
      </c>
      <c r="D1034" s="4108" t="inlineStr">
        <is>
          <t>202012</t>
        </is>
      </c>
      <c r="E1034" s="4108" t="inlineStr">
        <is>
          <t>0,000000000000</t>
        </is>
      </c>
    </row>
    <row outlineLevel="0" r="1035">
      <c r="A1035" s="4108" t="inlineStr">
        <is>
          <t>135792468202012421000</t>
        </is>
      </c>
      <c r="B1035" s="4108" t="inlineStr">
        <is>
          <t>421000</t>
        </is>
      </c>
      <c r="C1035" s="4108" t="inlineStr">
        <is>
          <t>135792468</t>
        </is>
      </c>
      <c r="D1035" s="4108" t="inlineStr">
        <is>
          <t>202012</t>
        </is>
      </c>
      <c r="E1035" s="4108" t="inlineStr">
        <is>
          <t>0,000000000000</t>
        </is>
      </c>
    </row>
    <row outlineLevel="0" r="1036">
      <c r="A1036" s="4108" t="inlineStr">
        <is>
          <t>135792468202012421020</t>
        </is>
      </c>
      <c r="B1036" s="4108" t="inlineStr">
        <is>
          <t>421020</t>
        </is>
      </c>
      <c r="C1036" s="4108" t="inlineStr">
        <is>
          <t>135792468</t>
        </is>
      </c>
      <c r="D1036" s="4108" t="inlineStr">
        <is>
          <t>202012</t>
        </is>
      </c>
      <c r="E1036" s="4108" t="inlineStr">
        <is>
          <t>0,000000000000</t>
        </is>
      </c>
    </row>
    <row outlineLevel="0" r="1037">
      <c r="A1037" s="4108" t="inlineStr">
        <is>
          <t>135792468202012421040</t>
        </is>
      </c>
      <c r="B1037" s="4108" t="inlineStr">
        <is>
          <t>421040</t>
        </is>
      </c>
      <c r="C1037" s="4108" t="inlineStr">
        <is>
          <t>135792468</t>
        </is>
      </c>
      <c r="D1037" s="4108" t="inlineStr">
        <is>
          <t>202012</t>
        </is>
      </c>
      <c r="E1037" s="4108" t="inlineStr">
        <is>
          <t>0,000000000000</t>
        </is>
      </c>
    </row>
    <row outlineLevel="0" r="1038">
      <c r="A1038" s="4108" t="inlineStr">
        <is>
          <t>135792468202012421500</t>
        </is>
      </c>
      <c r="B1038" s="4108" t="inlineStr">
        <is>
          <t>421500</t>
        </is>
      </c>
      <c r="C1038" s="4108" t="inlineStr">
        <is>
          <t>135792468</t>
        </is>
      </c>
      <c r="D1038" s="4108" t="inlineStr">
        <is>
          <t>202012</t>
        </is>
      </c>
      <c r="E1038" s="4108" t="inlineStr">
        <is>
          <t>0,000000000000</t>
        </is>
      </c>
    </row>
    <row outlineLevel="0" r="1039">
      <c r="A1039" s="4108" t="inlineStr">
        <is>
          <t>135792468202012422000</t>
        </is>
      </c>
      <c r="B1039" s="4108" t="inlineStr">
        <is>
          <t>422000</t>
        </is>
      </c>
      <c r="C1039" s="4108" t="inlineStr">
        <is>
          <t>135792468</t>
        </is>
      </c>
      <c r="D1039" s="4108" t="inlineStr">
        <is>
          <t>202012</t>
        </is>
      </c>
      <c r="E1039" s="4108" t="inlineStr">
        <is>
          <t>0,000000000000</t>
        </is>
      </c>
    </row>
    <row outlineLevel="0" r="1040">
      <c r="A1040" s="4108" t="inlineStr">
        <is>
          <t>135792468202012422500</t>
        </is>
      </c>
      <c r="B1040" s="4108" t="inlineStr">
        <is>
          <t>422500</t>
        </is>
      </c>
      <c r="C1040" s="4108" t="inlineStr">
        <is>
          <t>135792468</t>
        </is>
      </c>
      <c r="D1040" s="4108" t="inlineStr">
        <is>
          <t>202012</t>
        </is>
      </c>
      <c r="E1040" s="4108" t="inlineStr">
        <is>
          <t>0,000000000000</t>
        </is>
      </c>
    </row>
    <row outlineLevel="0" r="1041">
      <c r="A1041" s="4108" t="inlineStr">
        <is>
          <t>135792468202012423500</t>
        </is>
      </c>
      <c r="B1041" s="4108" t="inlineStr">
        <is>
          <t>423500</t>
        </is>
      </c>
      <c r="C1041" s="4108" t="inlineStr">
        <is>
          <t>135792468</t>
        </is>
      </c>
      <c r="D1041" s="4108" t="inlineStr">
        <is>
          <t>202012</t>
        </is>
      </c>
      <c r="E1041" s="4108" t="inlineStr">
        <is>
          <t>0,000000000000</t>
        </is>
      </c>
    </row>
    <row outlineLevel="0" r="1042">
      <c r="A1042" s="4108" t="inlineStr">
        <is>
          <t>135792468202012424000</t>
        </is>
      </c>
      <c r="B1042" s="4108" t="inlineStr">
        <is>
          <t>424000</t>
        </is>
      </c>
      <c r="C1042" s="4108" t="inlineStr">
        <is>
          <t>135792468</t>
        </is>
      </c>
      <c r="D1042" s="4108" t="inlineStr">
        <is>
          <t>202012</t>
        </is>
      </c>
      <c r="E1042" s="4108" t="inlineStr">
        <is>
          <t>0,000000000000</t>
        </is>
      </c>
    </row>
    <row outlineLevel="0" r="1043">
      <c r="A1043" s="4108" t="inlineStr">
        <is>
          <t>135792468202012425000</t>
        </is>
      </c>
      <c r="B1043" s="4108" t="inlineStr">
        <is>
          <t>425000</t>
        </is>
      </c>
      <c r="C1043" s="4108" t="inlineStr">
        <is>
          <t>135792468</t>
        </is>
      </c>
      <c r="D1043" s="4108" t="inlineStr">
        <is>
          <t>202012</t>
        </is>
      </c>
      <c r="E1043" s="4108" t="inlineStr">
        <is>
          <t>0,000000000000</t>
        </is>
      </c>
    </row>
    <row outlineLevel="0" r="1044">
      <c r="A1044" s="4108" t="inlineStr">
        <is>
          <t>135792468202012426500</t>
        </is>
      </c>
      <c r="B1044" s="4108" t="inlineStr">
        <is>
          <t>426500</t>
        </is>
      </c>
      <c r="C1044" s="4108" t="inlineStr">
        <is>
          <t>135792468</t>
        </is>
      </c>
      <c r="D1044" s="4108" t="inlineStr">
        <is>
          <t>202012</t>
        </is>
      </c>
      <c r="E1044" s="4108" t="inlineStr">
        <is>
          <t>0,000000000000</t>
        </is>
      </c>
    </row>
    <row outlineLevel="0" r="1045">
      <c r="A1045" s="4108" t="inlineStr">
        <is>
          <t>135792468202012429500</t>
        </is>
      </c>
      <c r="B1045" s="4108" t="inlineStr">
        <is>
          <t>429500</t>
        </is>
      </c>
      <c r="C1045" s="4108" t="inlineStr">
        <is>
          <t>135792468</t>
        </is>
      </c>
      <c r="D1045" s="4108" t="inlineStr">
        <is>
          <t>202012</t>
        </is>
      </c>
      <c r="E1045" s="4108" t="inlineStr">
        <is>
          <t>0,000000000000</t>
        </is>
      </c>
    </row>
    <row outlineLevel="0" r="1046">
      <c r="A1046" s="4108" t="inlineStr">
        <is>
          <t>135792468202012510500</t>
        </is>
      </c>
      <c r="B1046" s="4108" t="inlineStr">
        <is>
          <t>510500</t>
        </is>
      </c>
      <c r="C1046" s="4108" t="inlineStr">
        <is>
          <t>135792468</t>
        </is>
      </c>
      <c r="D1046" s="4108" t="inlineStr">
        <is>
          <t>202012</t>
        </is>
      </c>
      <c r="E1046" s="4108" t="inlineStr">
        <is>
          <t>1350,000000000000</t>
        </is>
      </c>
    </row>
    <row outlineLevel="0" r="1047">
      <c r="A1047" s="4108" t="inlineStr">
        <is>
          <t>135792468202012511000</t>
        </is>
      </c>
      <c r="B1047" s="4108" t="inlineStr">
        <is>
          <t>511000</t>
        </is>
      </c>
      <c r="C1047" s="4108" t="inlineStr">
        <is>
          <t>135792468</t>
        </is>
      </c>
      <c r="D1047" s="4108" t="inlineStr">
        <is>
          <t>202012</t>
        </is>
      </c>
      <c r="E1047" s="4108" t="inlineStr">
        <is>
          <t>0,000000000000</t>
        </is>
      </c>
    </row>
    <row outlineLevel="0" r="1048">
      <c r="A1048" s="4108" t="inlineStr">
        <is>
          <t>135792468202012511500</t>
        </is>
      </c>
      <c r="B1048" s="4108" t="inlineStr">
        <is>
          <t>511500</t>
        </is>
      </c>
      <c r="C1048" s="4108" t="inlineStr">
        <is>
          <t>135792468</t>
        </is>
      </c>
      <c r="D1048" s="4108" t="inlineStr">
        <is>
          <t>202012</t>
        </is>
      </c>
      <c r="E1048" s="4108" t="inlineStr">
        <is>
          <t>0,000000000000</t>
        </is>
      </c>
    </row>
    <row outlineLevel="0" r="1049">
      <c r="A1049" s="4108" t="inlineStr">
        <is>
          <t>135792468202012512000</t>
        </is>
      </c>
      <c r="B1049" s="4108" t="inlineStr">
        <is>
          <t>512000</t>
        </is>
      </c>
      <c r="C1049" s="4108" t="inlineStr">
        <is>
          <t>135792468</t>
        </is>
      </c>
      <c r="D1049" s="4108" t="inlineStr">
        <is>
          <t>202012</t>
        </is>
      </c>
      <c r="E1049" s="4108" t="inlineStr">
        <is>
          <t>0,000000000000</t>
        </is>
      </c>
    </row>
    <row outlineLevel="0" r="1050">
      <c r="A1050" s="4108" t="inlineStr">
        <is>
          <t>135792468202012512500</t>
        </is>
      </c>
      <c r="B1050" s="4108" t="inlineStr">
        <is>
          <t>512500</t>
        </is>
      </c>
      <c r="C1050" s="4108" t="inlineStr">
        <is>
          <t>135792468</t>
        </is>
      </c>
      <c r="D1050" s="4108" t="inlineStr">
        <is>
          <t>202012</t>
        </is>
      </c>
      <c r="E1050" s="4108" t="inlineStr">
        <is>
          <t>0,000000000000</t>
        </is>
      </c>
    </row>
    <row outlineLevel="0" r="1051">
      <c r="A1051" s="4108" t="inlineStr">
        <is>
          <t>135792468202012513000</t>
        </is>
      </c>
      <c r="B1051" s="4108" t="inlineStr">
        <is>
          <t>513000</t>
        </is>
      </c>
      <c r="C1051" s="4108" t="inlineStr">
        <is>
          <t>135792468</t>
        </is>
      </c>
      <c r="D1051" s="4108" t="inlineStr">
        <is>
          <t>202012</t>
        </is>
      </c>
      <c r="E1051" s="4108" t="inlineStr">
        <is>
          <t>0,000000000000</t>
        </is>
      </c>
    </row>
    <row outlineLevel="0" r="1052">
      <c r="A1052" s="4108" t="inlineStr">
        <is>
          <t>135792468202012513500</t>
        </is>
      </c>
      <c r="B1052" s="4108" t="inlineStr">
        <is>
          <t>513500</t>
        </is>
      </c>
      <c r="C1052" s="4108" t="inlineStr">
        <is>
          <t>135792468</t>
        </is>
      </c>
      <c r="D1052" s="4108" t="inlineStr">
        <is>
          <t>202012</t>
        </is>
      </c>
      <c r="E1052" s="4108" t="inlineStr">
        <is>
          <t>0,000000000000</t>
        </is>
      </c>
    </row>
    <row outlineLevel="0" r="1053">
      <c r="A1053" s="4108" t="inlineStr">
        <is>
          <t>135792468202012514000</t>
        </is>
      </c>
      <c r="B1053" s="4108" t="inlineStr">
        <is>
          <t>514000</t>
        </is>
      </c>
      <c r="C1053" s="4108" t="inlineStr">
        <is>
          <t>135792468</t>
        </is>
      </c>
      <c r="D1053" s="4108" t="inlineStr">
        <is>
          <t>202012</t>
        </is>
      </c>
      <c r="E1053" s="4108" t="inlineStr">
        <is>
          <t>0,000000000000</t>
        </is>
      </c>
    </row>
    <row outlineLevel="0" r="1054">
      <c r="A1054" s="4108" t="inlineStr">
        <is>
          <t>135792468202012514500</t>
        </is>
      </c>
      <c r="B1054" s="4108" t="inlineStr">
        <is>
          <t>514500</t>
        </is>
      </c>
      <c r="C1054" s="4108" t="inlineStr">
        <is>
          <t>135792468</t>
        </is>
      </c>
      <c r="D1054" s="4108" t="inlineStr">
        <is>
          <t>202012</t>
        </is>
      </c>
      <c r="E1054" s="4108" t="inlineStr">
        <is>
          <t>0,000000000000</t>
        </is>
      </c>
    </row>
    <row outlineLevel="0" r="1055">
      <c r="A1055" s="4108" t="inlineStr">
        <is>
          <t>135792468202012515000</t>
        </is>
      </c>
      <c r="B1055" s="4108" t="inlineStr">
        <is>
          <t>515000</t>
        </is>
      </c>
      <c r="C1055" s="4108" t="inlineStr">
        <is>
          <t>135792468</t>
        </is>
      </c>
      <c r="D1055" s="4108" t="inlineStr">
        <is>
          <t>202012</t>
        </is>
      </c>
      <c r="E1055" s="4108" t="inlineStr">
        <is>
          <t>0,000000000000</t>
        </is>
      </c>
    </row>
    <row outlineLevel="0" r="1056">
      <c r="A1056" s="4108" t="inlineStr">
        <is>
          <t>135792468202012515500</t>
        </is>
      </c>
      <c r="B1056" s="4108" t="inlineStr">
        <is>
          <t>515500</t>
        </is>
      </c>
      <c r="C1056" s="4108" t="inlineStr">
        <is>
          <t>135792468</t>
        </is>
      </c>
      <c r="D1056" s="4108" t="inlineStr">
        <is>
          <t>202012</t>
        </is>
      </c>
      <c r="E1056" s="4108" t="inlineStr">
        <is>
          <t>0,000000000000</t>
        </is>
      </c>
    </row>
    <row outlineLevel="0" r="1057">
      <c r="A1057" s="4108" t="inlineStr">
        <is>
          <t>135792468202012516000</t>
        </is>
      </c>
      <c r="B1057" s="4108" t="inlineStr">
        <is>
          <t>516000</t>
        </is>
      </c>
      <c r="C1057" s="4108" t="inlineStr">
        <is>
          <t>135792468</t>
        </is>
      </c>
      <c r="D1057" s="4108" t="inlineStr">
        <is>
          <t>202012</t>
        </is>
      </c>
      <c r="E1057" s="4108" t="inlineStr">
        <is>
          <t>0,000000000000</t>
        </is>
      </c>
    </row>
    <row outlineLevel="0" r="1058">
      <c r="A1058" s="4108" t="inlineStr">
        <is>
          <t>135792468202012516500</t>
        </is>
      </c>
      <c r="B1058" s="4108" t="inlineStr">
        <is>
          <t>516500</t>
        </is>
      </c>
      <c r="C1058" s="4108" t="inlineStr">
        <is>
          <t>135792468</t>
        </is>
      </c>
      <c r="D1058" s="4108" t="inlineStr">
        <is>
          <t>202012</t>
        </is>
      </c>
      <c r="E1058" s="4108" t="inlineStr">
        <is>
          <t>0,000000000000</t>
        </is>
      </c>
    </row>
    <row outlineLevel="0" r="1059">
      <c r="A1059" s="4108" t="inlineStr">
        <is>
          <t>135792468202012519500</t>
        </is>
      </c>
      <c r="B1059" s="4108" t="inlineStr">
        <is>
          <t>519500</t>
        </is>
      </c>
      <c r="C1059" s="4108" t="inlineStr">
        <is>
          <t>135792468</t>
        </is>
      </c>
      <c r="D1059" s="4108" t="inlineStr">
        <is>
          <t>202012</t>
        </is>
      </c>
      <c r="E1059" s="4108" t="inlineStr">
        <is>
          <t>0,000000000000</t>
        </is>
      </c>
    </row>
    <row outlineLevel="0" r="1060">
      <c r="A1060" s="4108" t="inlineStr">
        <is>
          <t>135792468202012519900</t>
        </is>
      </c>
      <c r="B1060" s="4108" t="inlineStr">
        <is>
          <t>519900</t>
        </is>
      </c>
      <c r="C1060" s="4108" t="inlineStr">
        <is>
          <t>135792468</t>
        </is>
      </c>
      <c r="D1060" s="4108" t="inlineStr">
        <is>
          <t>202012</t>
        </is>
      </c>
      <c r="E1060" s="4108" t="inlineStr">
        <is>
          <t>0,000000000000</t>
        </is>
      </c>
    </row>
    <row outlineLevel="0" r="1061">
      <c r="A1061" s="4108" t="inlineStr">
        <is>
          <t>135792468202012520500</t>
        </is>
      </c>
      <c r="B1061" s="4108" t="inlineStr">
        <is>
          <t>520500</t>
        </is>
      </c>
      <c r="C1061" s="4108" t="inlineStr">
        <is>
          <t>135792468</t>
        </is>
      </c>
      <c r="D1061" s="4108" t="inlineStr">
        <is>
          <t>202012</t>
        </is>
      </c>
      <c r="E1061" s="4108" t="inlineStr">
        <is>
          <t>0,000000000000</t>
        </is>
      </c>
    </row>
    <row outlineLevel="0" r="1062">
      <c r="A1062" s="4108" t="inlineStr">
        <is>
          <t>135792468202012521000</t>
        </is>
      </c>
      <c r="B1062" s="4108" t="inlineStr">
        <is>
          <t>521000</t>
        </is>
      </c>
      <c r="C1062" s="4108" t="inlineStr">
        <is>
          <t>135792468</t>
        </is>
      </c>
      <c r="D1062" s="4108" t="inlineStr">
        <is>
          <t>202012</t>
        </is>
      </c>
      <c r="E1062" s="4108" t="inlineStr">
        <is>
          <t>0,000000000000</t>
        </is>
      </c>
    </row>
    <row outlineLevel="0" r="1063">
      <c r="A1063" s="4108" t="inlineStr">
        <is>
          <t>135792468202012521500</t>
        </is>
      </c>
      <c r="B1063" s="4108" t="inlineStr">
        <is>
          <t>521500</t>
        </is>
      </c>
      <c r="C1063" s="4108" t="inlineStr">
        <is>
          <t>135792468</t>
        </is>
      </c>
      <c r="D1063" s="4108" t="inlineStr">
        <is>
          <t>202012</t>
        </is>
      </c>
      <c r="E1063" s="4108" t="inlineStr">
        <is>
          <t>0,000000000000</t>
        </is>
      </c>
    </row>
    <row outlineLevel="0" r="1064">
      <c r="A1064" s="4108" t="inlineStr">
        <is>
          <t>135792468202012522000</t>
        </is>
      </c>
      <c r="B1064" s="4108" t="inlineStr">
        <is>
          <t>522000</t>
        </is>
      </c>
      <c r="C1064" s="4108" t="inlineStr">
        <is>
          <t>135792468</t>
        </is>
      </c>
      <c r="D1064" s="4108" t="inlineStr">
        <is>
          <t>202012</t>
        </is>
      </c>
      <c r="E1064" s="4108" t="inlineStr">
        <is>
          <t>0,000000000000</t>
        </is>
      </c>
    </row>
    <row outlineLevel="0" r="1065">
      <c r="A1065" s="4108" t="inlineStr">
        <is>
          <t>135792468202012522500</t>
        </is>
      </c>
      <c r="B1065" s="4108" t="inlineStr">
        <is>
          <t>522500</t>
        </is>
      </c>
      <c r="C1065" s="4108" t="inlineStr">
        <is>
          <t>135792468</t>
        </is>
      </c>
      <c r="D1065" s="4108" t="inlineStr">
        <is>
          <t>202012</t>
        </is>
      </c>
      <c r="E1065" s="4108" t="inlineStr">
        <is>
          <t>0,000000000000</t>
        </is>
      </c>
    </row>
    <row outlineLevel="0" r="1066">
      <c r="A1066" s="4108" t="inlineStr">
        <is>
          <t>135792468202012523000</t>
        </is>
      </c>
      <c r="B1066" s="4108" t="inlineStr">
        <is>
          <t>523000</t>
        </is>
      </c>
      <c r="C1066" s="4108" t="inlineStr">
        <is>
          <t>135792468</t>
        </is>
      </c>
      <c r="D1066" s="4108" t="inlineStr">
        <is>
          <t>202012</t>
        </is>
      </c>
      <c r="E1066" s="4108" t="inlineStr">
        <is>
          <t>0,000000000000</t>
        </is>
      </c>
    </row>
    <row outlineLevel="0" r="1067">
      <c r="A1067" s="4108" t="inlineStr">
        <is>
          <t>135792468202012523500</t>
        </is>
      </c>
      <c r="B1067" s="4108" t="inlineStr">
        <is>
          <t>523500</t>
        </is>
      </c>
      <c r="C1067" s="4108" t="inlineStr">
        <is>
          <t>135792468</t>
        </is>
      </c>
      <c r="D1067" s="4108" t="inlineStr">
        <is>
          <t>202012</t>
        </is>
      </c>
      <c r="E1067" s="4108" t="inlineStr">
        <is>
          <t>0,000000000000</t>
        </is>
      </c>
    </row>
    <row outlineLevel="0" r="1068">
      <c r="A1068" s="4108" t="inlineStr">
        <is>
          <t>135792468202012524000</t>
        </is>
      </c>
      <c r="B1068" s="4108" t="inlineStr">
        <is>
          <t>524000</t>
        </is>
      </c>
      <c r="C1068" s="4108" t="inlineStr">
        <is>
          <t>135792468</t>
        </is>
      </c>
      <c r="D1068" s="4108" t="inlineStr">
        <is>
          <t>202012</t>
        </is>
      </c>
      <c r="E1068" s="4108" t="inlineStr">
        <is>
          <t>0,000000000000</t>
        </is>
      </c>
    </row>
    <row outlineLevel="0" r="1069">
      <c r="A1069" s="4108" t="inlineStr">
        <is>
          <t>135792468202012524500</t>
        </is>
      </c>
      <c r="B1069" s="4108" t="inlineStr">
        <is>
          <t>524500</t>
        </is>
      </c>
      <c r="C1069" s="4108" t="inlineStr">
        <is>
          <t>135792468</t>
        </is>
      </c>
      <c r="D1069" s="4108" t="inlineStr">
        <is>
          <t>202012</t>
        </is>
      </c>
      <c r="E1069" s="4108" t="inlineStr">
        <is>
          <t>0,000000000000</t>
        </is>
      </c>
    </row>
    <row outlineLevel="0" r="1070">
      <c r="A1070" s="4108" t="inlineStr">
        <is>
          <t>135792468202012525000</t>
        </is>
      </c>
      <c r="B1070" s="4108" t="inlineStr">
        <is>
          <t>525000</t>
        </is>
      </c>
      <c r="C1070" s="4108" t="inlineStr">
        <is>
          <t>135792468</t>
        </is>
      </c>
      <c r="D1070" s="4108" t="inlineStr">
        <is>
          <t>202012</t>
        </is>
      </c>
      <c r="E1070" s="4108" t="inlineStr">
        <is>
          <t>0,000000000000</t>
        </is>
      </c>
    </row>
    <row outlineLevel="0" r="1071">
      <c r="A1071" s="4108" t="inlineStr">
        <is>
          <t>135792468202012525500</t>
        </is>
      </c>
      <c r="B1071" s="4108" t="inlineStr">
        <is>
          <t>525500</t>
        </is>
      </c>
      <c r="C1071" s="4108" t="inlineStr">
        <is>
          <t>135792468</t>
        </is>
      </c>
      <c r="D1071" s="4108" t="inlineStr">
        <is>
          <t>202012</t>
        </is>
      </c>
      <c r="E1071" s="4108" t="inlineStr">
        <is>
          <t>0,000000000000</t>
        </is>
      </c>
    </row>
    <row outlineLevel="0" r="1072">
      <c r="A1072" s="4108" t="inlineStr">
        <is>
          <t>135792468202012526000</t>
        </is>
      </c>
      <c r="B1072" s="4108" t="inlineStr">
        <is>
          <t>526000</t>
        </is>
      </c>
      <c r="C1072" s="4108" t="inlineStr">
        <is>
          <t>135792468</t>
        </is>
      </c>
      <c r="D1072" s="4108" t="inlineStr">
        <is>
          <t>202012</t>
        </is>
      </c>
      <c r="E1072" s="4108" t="inlineStr">
        <is>
          <t>0,000000000000</t>
        </is>
      </c>
    </row>
    <row outlineLevel="0" r="1073">
      <c r="A1073" s="4108" t="inlineStr">
        <is>
          <t>135792468202012526500</t>
        </is>
      </c>
      <c r="B1073" s="4108" t="inlineStr">
        <is>
          <t>526500</t>
        </is>
      </c>
      <c r="C1073" s="4108" t="inlineStr">
        <is>
          <t>135792468</t>
        </is>
      </c>
      <c r="D1073" s="4108" t="inlineStr">
        <is>
          <t>202012</t>
        </is>
      </c>
      <c r="E1073" s="4108" t="inlineStr">
        <is>
          <t>0,000000000000</t>
        </is>
      </c>
    </row>
    <row outlineLevel="0" r="1074">
      <c r="A1074" s="4108" t="inlineStr">
        <is>
          <t>135792468202012529500</t>
        </is>
      </c>
      <c r="B1074" s="4108" t="inlineStr">
        <is>
          <t>529500</t>
        </is>
      </c>
      <c r="C1074" s="4108" t="inlineStr">
        <is>
          <t>135792468</t>
        </is>
      </c>
      <c r="D1074" s="4108" t="inlineStr">
        <is>
          <t>202012</t>
        </is>
      </c>
      <c r="E1074" s="4108" t="inlineStr">
        <is>
          <t>0,000000000000</t>
        </is>
      </c>
    </row>
    <row outlineLevel="0" r="1075">
      <c r="A1075" s="4108" t="inlineStr">
        <is>
          <t>135792468202012529900</t>
        </is>
      </c>
      <c r="B1075" s="4108" t="inlineStr">
        <is>
          <t>529900</t>
        </is>
      </c>
      <c r="C1075" s="4108" t="inlineStr">
        <is>
          <t>135792468</t>
        </is>
      </c>
      <c r="D1075" s="4108" t="inlineStr">
        <is>
          <t>202012</t>
        </is>
      </c>
      <c r="E1075" s="4108" t="inlineStr">
        <is>
          <t>0,000000000000</t>
        </is>
      </c>
    </row>
    <row outlineLevel="0" r="1076">
      <c r="A1076" s="4108" t="inlineStr">
        <is>
          <t>135792468202012530505</t>
        </is>
      </c>
      <c r="B1076" s="4108" t="inlineStr">
        <is>
          <t>530505</t>
        </is>
      </c>
      <c r="C1076" s="4108" t="inlineStr">
        <is>
          <t>135792468</t>
        </is>
      </c>
      <c r="D1076" s="4108" t="inlineStr">
        <is>
          <t>202012</t>
        </is>
      </c>
      <c r="E1076" s="4108" t="inlineStr">
        <is>
          <t>0,000000000000</t>
        </is>
      </c>
    </row>
    <row outlineLevel="0" r="1077">
      <c r="A1077" s="4108" t="inlineStr">
        <is>
          <t>135792468202012530515</t>
        </is>
      </c>
      <c r="B1077" s="4108" t="inlineStr">
        <is>
          <t>530515</t>
        </is>
      </c>
      <c r="C1077" s="4108" t="inlineStr">
        <is>
          <t>135792468</t>
        </is>
      </c>
      <c r="D1077" s="4108" t="inlineStr">
        <is>
          <t>202012</t>
        </is>
      </c>
      <c r="E1077" s="4108" t="inlineStr">
        <is>
          <t>0,000000000000</t>
        </is>
      </c>
    </row>
    <row outlineLevel="0" r="1078">
      <c r="A1078" s="4108" t="inlineStr">
        <is>
          <t>135792468202012530525</t>
        </is>
      </c>
      <c r="B1078" s="4108" t="inlineStr">
        <is>
          <t>530525</t>
        </is>
      </c>
      <c r="C1078" s="4108" t="inlineStr">
        <is>
          <t>135792468</t>
        </is>
      </c>
      <c r="D1078" s="4108" t="inlineStr">
        <is>
          <t>202012</t>
        </is>
      </c>
      <c r="E1078" s="4108" t="inlineStr">
        <is>
          <t>0,000000000000</t>
        </is>
      </c>
    </row>
    <row outlineLevel="0" r="1079">
      <c r="A1079" s="4108" t="inlineStr">
        <is>
          <t>135792468202012530535</t>
        </is>
      </c>
      <c r="B1079" s="4108" t="inlineStr">
        <is>
          <t>530535</t>
        </is>
      </c>
      <c r="C1079" s="4108" t="inlineStr">
        <is>
          <t>135792468</t>
        </is>
      </c>
      <c r="D1079" s="4108" t="inlineStr">
        <is>
          <t>202012</t>
        </is>
      </c>
      <c r="E1079" s="4108" t="inlineStr">
        <is>
          <t>0,000000000000</t>
        </is>
      </c>
    </row>
    <row outlineLevel="0" r="1080">
      <c r="A1080" s="4108" t="inlineStr">
        <is>
          <t>135792468202012531000</t>
        </is>
      </c>
      <c r="B1080" s="4108" t="inlineStr">
        <is>
          <t>531000</t>
        </is>
      </c>
      <c r="C1080" s="4108" t="inlineStr">
        <is>
          <t>135792468</t>
        </is>
      </c>
      <c r="D1080" s="4108" t="inlineStr">
        <is>
          <t>202012</t>
        </is>
      </c>
      <c r="E1080" s="4108" t="inlineStr">
        <is>
          <t>0,000000000000</t>
        </is>
      </c>
    </row>
    <row outlineLevel="0" r="1081">
      <c r="A1081" s="4108" t="inlineStr">
        <is>
          <t>135792468202012531300</t>
        </is>
      </c>
      <c r="B1081" s="4108" t="inlineStr">
        <is>
          <t>531300</t>
        </is>
      </c>
      <c r="C1081" s="4108" t="inlineStr">
        <is>
          <t>135792468</t>
        </is>
      </c>
      <c r="D1081" s="4108" t="inlineStr">
        <is>
          <t>202012</t>
        </is>
      </c>
      <c r="E1081" s="4108" t="inlineStr">
        <is>
          <t>0,000000000000</t>
        </is>
      </c>
    </row>
    <row outlineLevel="0" r="1082">
      <c r="A1082" s="4108" t="inlineStr">
        <is>
          <t>135792468202012531500</t>
        </is>
      </c>
      <c r="B1082" s="4108" t="inlineStr">
        <is>
          <t>531500</t>
        </is>
      </c>
      <c r="C1082" s="4108" t="inlineStr">
        <is>
          <t>135792468</t>
        </is>
      </c>
      <c r="D1082" s="4108" t="inlineStr">
        <is>
          <t>202012</t>
        </is>
      </c>
      <c r="E1082" s="4108" t="inlineStr">
        <is>
          <t>0,000000000000</t>
        </is>
      </c>
    </row>
    <row outlineLevel="0" r="1083">
      <c r="A1083" s="4108" t="inlineStr">
        <is>
          <t>135792468202012531515</t>
        </is>
      </c>
      <c r="B1083" s="4108" t="inlineStr">
        <is>
          <t>531515</t>
        </is>
      </c>
      <c r="C1083" s="4108" t="inlineStr">
        <is>
          <t>135792468</t>
        </is>
      </c>
      <c r="D1083" s="4108" t="inlineStr">
        <is>
          <t>202012</t>
        </is>
      </c>
      <c r="E1083" s="4108" t="inlineStr">
        <is>
          <t>0,000000000000</t>
        </is>
      </c>
    </row>
    <row outlineLevel="0" r="1084">
      <c r="A1084" s="4108" t="inlineStr">
        <is>
          <t>135792468202012531520</t>
        </is>
      </c>
      <c r="B1084" s="4108" t="inlineStr">
        <is>
          <t>531520</t>
        </is>
      </c>
      <c r="C1084" s="4108" t="inlineStr">
        <is>
          <t>135792468</t>
        </is>
      </c>
      <c r="D1084" s="4108" t="inlineStr">
        <is>
          <t>202012</t>
        </is>
      </c>
      <c r="E1084" s="4108" t="inlineStr">
        <is>
          <t>0,000000000000</t>
        </is>
      </c>
    </row>
    <row outlineLevel="0" r="1085">
      <c r="A1085" s="4108" t="inlineStr">
        <is>
          <t>135792468202012539525</t>
        </is>
      </c>
      <c r="B1085" s="4108" t="inlineStr">
        <is>
          <t>539525</t>
        </is>
      </c>
      <c r="C1085" s="4108" t="inlineStr">
        <is>
          <t>135792468</t>
        </is>
      </c>
      <c r="D1085" s="4108" t="inlineStr">
        <is>
          <t>202012</t>
        </is>
      </c>
      <c r="E1085" s="4108" t="inlineStr">
        <is>
          <t>0,000000000000</t>
        </is>
      </c>
    </row>
    <row outlineLevel="0" r="1086">
      <c r="A1086" s="4108" t="inlineStr">
        <is>
          <t>135792468202012539595</t>
        </is>
      </c>
      <c r="B1086" s="4108" t="inlineStr">
        <is>
          <t>539595</t>
        </is>
      </c>
      <c r="C1086" s="4108" t="inlineStr">
        <is>
          <t>135792468</t>
        </is>
      </c>
      <c r="D1086" s="4108" t="inlineStr">
        <is>
          <t>202012</t>
        </is>
      </c>
      <c r="E1086" s="4108" t="inlineStr">
        <is>
          <t>0,000000000000</t>
        </is>
      </c>
    </row>
    <row outlineLevel="0" r="1087">
      <c r="A1087" s="4108" t="inlineStr">
        <is>
          <t>135792468202012606000</t>
        </is>
      </c>
      <c r="B1087" s="4108" t="inlineStr">
        <is>
          <t>606000</t>
        </is>
      </c>
      <c r="C1087" s="4108" t="inlineStr">
        <is>
          <t>135792468</t>
        </is>
      </c>
      <c r="D1087" s="4108" t="inlineStr">
        <is>
          <t>202012</t>
        </is>
      </c>
      <c r="E1087" s="4108" t="inlineStr">
        <is>
          <t>193,000000000000</t>
        </is>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2"/>
  <dimension ref="A1:E3621"/>
  <sheetViews>
    <sheetView workbookViewId="0" rightToLeft="false">
      <selection activeCell="B4" sqref="B4"/>
    </sheetView>
  </sheetViews>
  <sheetFormatPr baseColWidth="10" defaultRowHeight="14.5"/>
  <sheetData>
    <row spans="1:5" outlineLevel="0" r="1">
      <c r="A1" t="s">
        <v>122</v>
      </c>
      <c r="B1" t="s">
        <v>38</v>
      </c>
      <c r="C1" t="s">
        <v>0</v>
      </c>
      <c r="D1" t="s">
        <v>39</v>
      </c>
      <c r="E1" t="s">
        <v>40</v>
      </c>
    </row>
    <row outlineLevel="0" r="2">
      <c r="A2" s="4108" t="inlineStr">
        <is>
          <t>1357924682022110</t>
        </is>
      </c>
      <c r="B2" s="4108" t="inlineStr">
        <is>
          <t>0</t>
        </is>
      </c>
      <c r="C2" s="4108" t="inlineStr">
        <is>
          <t>135792468</t>
        </is>
      </c>
      <c r="D2" s="4108" t="inlineStr">
        <is>
          <t>202211</t>
        </is>
      </c>
      <c r="E2" s="4108" t="inlineStr">
        <is>
          <t>19706,000000000000</t>
        </is>
      </c>
    </row>
    <row outlineLevel="0" r="3">
      <c r="A3" s="4108" t="inlineStr">
        <is>
          <t>1357924682022111</t>
        </is>
      </c>
      <c r="B3" s="4108" t="inlineStr">
        <is>
          <t>1</t>
        </is>
      </c>
      <c r="C3" s="4108" t="inlineStr">
        <is>
          <t>135792468</t>
        </is>
      </c>
      <c r="D3" s="4108" t="inlineStr">
        <is>
          <t>202211</t>
        </is>
      </c>
      <c r="E3" s="4108" t="inlineStr">
        <is>
          <t>19706,000000000000</t>
        </is>
      </c>
    </row>
    <row outlineLevel="0" r="4">
      <c r="A4" s="4108" t="inlineStr">
        <is>
          <t>1357924682022112</t>
        </is>
      </c>
      <c r="B4" s="4108" t="inlineStr">
        <is>
          <t>2</t>
        </is>
      </c>
      <c r="C4" s="4108" t="inlineStr">
        <is>
          <t>135792468</t>
        </is>
      </c>
      <c r="D4" s="4108" t="inlineStr">
        <is>
          <t>202211</t>
        </is>
      </c>
      <c r="E4" s="4108" t="inlineStr">
        <is>
          <t>14862,000000000000</t>
        </is>
      </c>
    </row>
    <row outlineLevel="0" r="5">
      <c r="A5" s="4108" t="inlineStr">
        <is>
          <t>1357924682022113</t>
        </is>
      </c>
      <c r="B5" s="4108" t="inlineStr">
        <is>
          <t>3</t>
        </is>
      </c>
      <c r="C5" s="4108" t="inlineStr">
        <is>
          <t>135792468</t>
        </is>
      </c>
      <c r="D5" s="4108" t="inlineStr">
        <is>
          <t>202211</t>
        </is>
      </c>
      <c r="E5" s="4108" t="inlineStr">
        <is>
          <t>4844,000000000000</t>
        </is>
      </c>
    </row>
    <row outlineLevel="0" r="6">
      <c r="A6" s="4108" t="inlineStr">
        <is>
          <t>13579246820221111</t>
        </is>
      </c>
      <c r="B6" s="4108" t="inlineStr">
        <is>
          <t>11</t>
        </is>
      </c>
      <c r="C6" s="4108" t="inlineStr">
        <is>
          <t>135792468</t>
        </is>
      </c>
      <c r="D6" s="4108" t="inlineStr">
        <is>
          <t>202211</t>
        </is>
      </c>
      <c r="E6" s="4108" t="inlineStr">
        <is>
          <t>708,000000000000</t>
        </is>
      </c>
    </row>
    <row outlineLevel="0" r="7">
      <c r="A7" s="4108" t="inlineStr">
        <is>
          <t>13579246820221112</t>
        </is>
      </c>
      <c r="B7" s="4108" t="inlineStr">
        <is>
          <t>12</t>
        </is>
      </c>
      <c r="C7" s="4108" t="inlineStr">
        <is>
          <t>135792468</t>
        </is>
      </c>
      <c r="D7" s="4108" t="inlineStr">
        <is>
          <t>202211</t>
        </is>
      </c>
      <c r="E7" s="4108" t="inlineStr">
        <is>
          <t>18998,000000000000</t>
        </is>
      </c>
    </row>
    <row outlineLevel="0" r="8">
      <c r="A8" s="4108" t="inlineStr">
        <is>
          <t>13579246820221121</t>
        </is>
      </c>
      <c r="B8" s="4108" t="inlineStr">
        <is>
          <t>21</t>
        </is>
      </c>
      <c r="C8" s="4108" t="inlineStr">
        <is>
          <t>135792468</t>
        </is>
      </c>
      <c r="D8" s="4108" t="inlineStr">
        <is>
          <t>202211</t>
        </is>
      </c>
      <c r="E8" s="4108" t="inlineStr">
        <is>
          <t>2262,000000000000</t>
        </is>
      </c>
    </row>
    <row outlineLevel="0" r="9">
      <c r="A9" s="4108" t="inlineStr">
        <is>
          <t>13579246820221122</t>
        </is>
      </c>
      <c r="B9" s="4108" t="inlineStr">
        <is>
          <t>22</t>
        </is>
      </c>
      <c r="C9" s="4108" t="inlineStr">
        <is>
          <t>135792468</t>
        </is>
      </c>
      <c r="D9" s="4108" t="inlineStr">
        <is>
          <t>202211</t>
        </is>
      </c>
      <c r="E9" s="4108" t="inlineStr">
        <is>
          <t>12600,000000000000</t>
        </is>
      </c>
    </row>
    <row outlineLevel="0" r="10">
      <c r="A10" s="4108" t="inlineStr">
        <is>
          <t>13579246820221131</t>
        </is>
      </c>
      <c r="B10" s="4108" t="inlineStr">
        <is>
          <t>31</t>
        </is>
      </c>
      <c r="C10" s="4108" t="inlineStr">
        <is>
          <t>135792468</t>
        </is>
      </c>
      <c r="D10" s="4108" t="inlineStr">
        <is>
          <t>202211</t>
        </is>
      </c>
      <c r="E10" s="4108" t="inlineStr">
        <is>
          <t>3767,000000000000</t>
        </is>
      </c>
    </row>
    <row outlineLevel="0" r="11">
      <c r="A11" s="4108" t="inlineStr">
        <is>
          <t>13579246820221132</t>
        </is>
      </c>
      <c r="B11" s="4108" t="inlineStr">
        <is>
          <t>32</t>
        </is>
      </c>
      <c r="C11" s="4108" t="inlineStr">
        <is>
          <t>135792468</t>
        </is>
      </c>
      <c r="D11" s="4108" t="inlineStr">
        <is>
          <t>202211</t>
        </is>
      </c>
      <c r="E11" s="4108" t="inlineStr">
        <is>
          <t>0,000000000000</t>
        </is>
      </c>
    </row>
    <row outlineLevel="0" r="12">
      <c r="A12" s="4108" t="inlineStr">
        <is>
          <t>13579246820221133</t>
        </is>
      </c>
      <c r="B12" s="4108" t="inlineStr">
        <is>
          <t>33</t>
        </is>
      </c>
      <c r="C12" s="4108" t="inlineStr">
        <is>
          <t>135792468</t>
        </is>
      </c>
      <c r="D12" s="4108" t="inlineStr">
        <is>
          <t>202211</t>
        </is>
      </c>
      <c r="E12" s="4108" t="inlineStr">
        <is>
          <t>166,000000000000</t>
        </is>
      </c>
    </row>
    <row outlineLevel="0" r="13">
      <c r="A13" s="4108" t="inlineStr">
        <is>
          <t>13579246820221134</t>
        </is>
      </c>
      <c r="B13" s="4108" t="inlineStr">
        <is>
          <t>34</t>
        </is>
      </c>
      <c r="C13" s="4108" t="inlineStr">
        <is>
          <t>135792468</t>
        </is>
      </c>
      <c r="D13" s="4108" t="inlineStr">
        <is>
          <t>202211</t>
        </is>
      </c>
      <c r="E13" s="4108" t="inlineStr">
        <is>
          <t>0,000000000000</t>
        </is>
      </c>
    </row>
    <row outlineLevel="0" r="14">
      <c r="A14" s="4108" t="inlineStr">
        <is>
          <t>13579246820221135</t>
        </is>
      </c>
      <c r="B14" s="4108" t="inlineStr">
        <is>
          <t>35</t>
        </is>
      </c>
      <c r="C14" s="4108" t="inlineStr">
        <is>
          <t>135792468</t>
        </is>
      </c>
      <c r="D14" s="4108" t="inlineStr">
        <is>
          <t>202211</t>
        </is>
      </c>
      <c r="E14" s="4108" t="inlineStr">
        <is>
          <t>0,000000000000</t>
        </is>
      </c>
    </row>
    <row outlineLevel="0" r="15">
      <c r="A15" s="4108" t="inlineStr">
        <is>
          <t>13579246820221136</t>
        </is>
      </c>
      <c r="B15" s="4108" t="inlineStr">
        <is>
          <t>36</t>
        </is>
      </c>
      <c r="C15" s="4108" t="inlineStr">
        <is>
          <t>135792468</t>
        </is>
      </c>
      <c r="D15" s="4108" t="inlineStr">
        <is>
          <t>202211</t>
        </is>
      </c>
      <c r="E15" s="4108" t="inlineStr">
        <is>
          <t>6,000000000000</t>
        </is>
      </c>
    </row>
    <row outlineLevel="0" r="16">
      <c r="A16" s="4108" t="inlineStr">
        <is>
          <t>13579246820221137</t>
        </is>
      </c>
      <c r="B16" s="4108" t="inlineStr">
        <is>
          <t>37</t>
        </is>
      </c>
      <c r="C16" s="4108" t="inlineStr">
        <is>
          <t>135792468</t>
        </is>
      </c>
      <c r="D16" s="4108" t="inlineStr">
        <is>
          <t>202211</t>
        </is>
      </c>
      <c r="E16" s="4108" t="inlineStr">
        <is>
          <t>905,000000000000</t>
        </is>
      </c>
    </row>
    <row outlineLevel="0" r="17">
      <c r="A17" s="4108" t="inlineStr">
        <is>
          <t>13579246820221138</t>
        </is>
      </c>
      <c r="B17" s="4108" t="inlineStr">
        <is>
          <t>38</t>
        </is>
      </c>
      <c r="C17" s="4108" t="inlineStr">
        <is>
          <t>135792468</t>
        </is>
      </c>
      <c r="D17" s="4108" t="inlineStr">
        <is>
          <t>202211</t>
        </is>
      </c>
      <c r="E17" s="4108" t="inlineStr">
        <is>
          <t>0,000000000000</t>
        </is>
      </c>
    </row>
    <row outlineLevel="0" r="18">
      <c r="A18" s="4108" t="inlineStr">
        <is>
          <t>13579246820221141</t>
        </is>
      </c>
      <c r="B18" s="4108" t="inlineStr">
        <is>
          <t>41</t>
        </is>
      </c>
      <c r="C18" s="4108" t="inlineStr">
        <is>
          <t>135792468</t>
        </is>
      </c>
      <c r="D18" s="4108" t="inlineStr">
        <is>
          <t>202211</t>
        </is>
      </c>
      <c r="E18" s="4108" t="inlineStr">
        <is>
          <t>1943,000000000000</t>
        </is>
      </c>
    </row>
    <row outlineLevel="0" r="19">
      <c r="A19" s="4108" t="inlineStr">
        <is>
          <t>13579246820221142</t>
        </is>
      </c>
      <c r="B19" s="4108" t="inlineStr">
        <is>
          <t>42</t>
        </is>
      </c>
      <c r="C19" s="4108" t="inlineStr">
        <is>
          <t>135792468</t>
        </is>
      </c>
      <c r="D19" s="4108" t="inlineStr">
        <is>
          <t>202211</t>
        </is>
      </c>
      <c r="E19" s="4108" t="inlineStr">
        <is>
          <t>0,000000000000</t>
        </is>
      </c>
    </row>
    <row outlineLevel="0" r="20">
      <c r="A20" s="4108" t="inlineStr">
        <is>
          <t>13579246820221151</t>
        </is>
      </c>
      <c r="B20" s="4108" t="inlineStr">
        <is>
          <t>51</t>
        </is>
      </c>
      <c r="C20" s="4108" t="inlineStr">
        <is>
          <t>135792468</t>
        </is>
      </c>
      <c r="D20" s="4108" t="inlineStr">
        <is>
          <t>202211</t>
        </is>
      </c>
      <c r="E20" s="4108" t="inlineStr">
        <is>
          <t>1350,000000000000</t>
        </is>
      </c>
    </row>
    <row outlineLevel="0" r="21">
      <c r="A21" s="4108" t="inlineStr">
        <is>
          <t>13579246820221152</t>
        </is>
      </c>
      <c r="B21" s="4108" t="inlineStr">
        <is>
          <t>52</t>
        </is>
      </c>
      <c r="C21" s="4108" t="inlineStr">
        <is>
          <t>135792468</t>
        </is>
      </c>
      <c r="D21" s="4108" t="inlineStr">
        <is>
          <t>202211</t>
        </is>
      </c>
      <c r="E21" s="4108" t="inlineStr">
        <is>
          <t>0,000000000000</t>
        </is>
      </c>
    </row>
    <row outlineLevel="0" r="22">
      <c r="A22" s="4108" t="inlineStr">
        <is>
          <t>13579246820221153</t>
        </is>
      </c>
      <c r="B22" s="4108" t="inlineStr">
        <is>
          <t>53</t>
        </is>
      </c>
      <c r="C22" s="4108" t="inlineStr">
        <is>
          <t>135792468</t>
        </is>
      </c>
      <c r="D22" s="4108" t="inlineStr">
        <is>
          <t>202211</t>
        </is>
      </c>
      <c r="E22" s="4108" t="inlineStr">
        <is>
          <t>587,000000000000</t>
        </is>
      </c>
    </row>
    <row outlineLevel="0" r="23">
      <c r="A23" s="4108" t="inlineStr">
        <is>
          <t>13579246820221154</t>
        </is>
      </c>
      <c r="B23" s="4108" t="inlineStr">
        <is>
          <t>54</t>
        </is>
      </c>
      <c r="C23" s="4108" t="inlineStr">
        <is>
          <t>135792468</t>
        </is>
      </c>
      <c r="D23" s="4108" t="inlineStr">
        <is>
          <t>202211</t>
        </is>
      </c>
      <c r="E23" s="4108" t="inlineStr">
        <is>
          <t>0,000000000000</t>
        </is>
      </c>
    </row>
    <row outlineLevel="0" r="24">
      <c r="A24" s="4108" t="inlineStr">
        <is>
          <t>13579246820221161</t>
        </is>
      </c>
      <c r="B24" s="4108" t="inlineStr">
        <is>
          <t>61</t>
        </is>
      </c>
      <c r="C24" s="4108" t="inlineStr">
        <is>
          <t>135792468</t>
        </is>
      </c>
      <c r="D24" s="4108" t="inlineStr">
        <is>
          <t>202211</t>
        </is>
      </c>
      <c r="E24" s="4108" t="inlineStr">
        <is>
          <t>0,000000000000</t>
        </is>
      </c>
    </row>
    <row outlineLevel="0" r="25">
      <c r="A25" s="4108" t="inlineStr">
        <is>
          <t>13579246820221195</t>
        </is>
      </c>
      <c r="B25" s="4108" t="inlineStr">
        <is>
          <t>95</t>
        </is>
      </c>
      <c r="C25" s="4108" t="inlineStr">
        <is>
          <t>135792468</t>
        </is>
      </c>
      <c r="D25" s="4108" t="inlineStr">
        <is>
          <t>202211</t>
        </is>
      </c>
      <c r="E25" s="4108" t="inlineStr">
        <is>
          <t>1943,000000000000</t>
        </is>
      </c>
    </row>
    <row outlineLevel="0" r="26">
      <c r="A26" s="4108" t="inlineStr">
        <is>
          <t>13579246820221196</t>
        </is>
      </c>
      <c r="B26" s="4108" t="inlineStr">
        <is>
          <t>96</t>
        </is>
      </c>
      <c r="C26" s="4108" t="inlineStr">
        <is>
          <t>135792468</t>
        </is>
      </c>
      <c r="D26" s="4108" t="inlineStr">
        <is>
          <t>202211</t>
        </is>
      </c>
      <c r="E26" s="4108" t="inlineStr">
        <is>
          <t>593,000000000000</t>
        </is>
      </c>
    </row>
    <row outlineLevel="0" r="27">
      <c r="A27" s="4108" t="inlineStr">
        <is>
          <t>13579246820221197</t>
        </is>
      </c>
      <c r="B27" s="4108" t="inlineStr">
        <is>
          <t>97</t>
        </is>
      </c>
      <c r="C27" s="4108" t="inlineStr">
        <is>
          <t>135792468</t>
        </is>
      </c>
      <c r="D27" s="4108" t="inlineStr">
        <is>
          <t>202211</t>
        </is>
      </c>
      <c r="E27" s="4108" t="inlineStr">
        <is>
          <t>6,000000000000</t>
        </is>
      </c>
    </row>
    <row outlineLevel="0" r="28">
      <c r="A28" s="4108" t="inlineStr">
        <is>
          <t>13579246820221198</t>
        </is>
      </c>
      <c r="B28" s="4108" t="inlineStr">
        <is>
          <t>98</t>
        </is>
      </c>
      <c r="C28" s="4108" t="inlineStr">
        <is>
          <t>135792468</t>
        </is>
      </c>
      <c r="D28" s="4108" t="inlineStr">
        <is>
          <t>202211</t>
        </is>
      </c>
      <c r="E28" s="4108" t="inlineStr">
        <is>
          <t>0,000000000000</t>
        </is>
      </c>
    </row>
    <row outlineLevel="0" r="29">
      <c r="A29" s="4108" t="inlineStr">
        <is>
          <t>13579246820221199</t>
        </is>
      </c>
      <c r="B29" s="4108" t="inlineStr">
        <is>
          <t>99</t>
        </is>
      </c>
      <c r="C29" s="4108" t="inlineStr">
        <is>
          <t>135792468</t>
        </is>
      </c>
      <c r="D29" s="4108" t="inlineStr">
        <is>
          <t>202211</t>
        </is>
      </c>
      <c r="E29" s="4108" t="inlineStr">
        <is>
          <t>6,000000000000</t>
        </is>
      </c>
    </row>
    <row outlineLevel="0" r="30">
      <c r="A30" s="4108" t="inlineStr">
        <is>
          <t>1357924682022111101</t>
        </is>
      </c>
      <c r="B30" s="4108" t="inlineStr">
        <is>
          <t>1101</t>
        </is>
      </c>
      <c r="C30" s="4108" t="inlineStr">
        <is>
          <t>135792468</t>
        </is>
      </c>
      <c r="D30" s="4108" t="inlineStr">
        <is>
          <t>202211</t>
        </is>
      </c>
      <c r="E30" s="4108" t="inlineStr">
        <is>
          <t>283,000000000000</t>
        </is>
      </c>
    </row>
    <row outlineLevel="0" r="31">
      <c r="A31" s="4108" t="inlineStr">
        <is>
          <t>1357924682022111102</t>
        </is>
      </c>
      <c r="B31" s="4108" t="inlineStr">
        <is>
          <t>1102</t>
        </is>
      </c>
      <c r="C31" s="4108" t="inlineStr">
        <is>
          <t>135792468</t>
        </is>
      </c>
      <c r="D31" s="4108" t="inlineStr">
        <is>
          <t>202211</t>
        </is>
      </c>
      <c r="E31" s="4108" t="inlineStr">
        <is>
          <t>0,000000000000</t>
        </is>
      </c>
    </row>
    <row outlineLevel="0" r="32">
      <c r="A32" s="4108" t="inlineStr">
        <is>
          <t>1357924682022111103</t>
        </is>
      </c>
      <c r="B32" s="4108" t="inlineStr">
        <is>
          <t>1103</t>
        </is>
      </c>
      <c r="C32" s="4108" t="inlineStr">
        <is>
          <t>135792468</t>
        </is>
      </c>
      <c r="D32" s="4108" t="inlineStr">
        <is>
          <t>202211</t>
        </is>
      </c>
      <c r="E32" s="4108" t="inlineStr">
        <is>
          <t>377,000000000000</t>
        </is>
      </c>
    </row>
    <row outlineLevel="0" r="33">
      <c r="A33" s="4108" t="inlineStr">
        <is>
          <t>1357924682022111104</t>
        </is>
      </c>
      <c r="B33" s="4108" t="inlineStr">
        <is>
          <t>1104</t>
        </is>
      </c>
      <c r="C33" s="4108" t="inlineStr">
        <is>
          <t>135792468</t>
        </is>
      </c>
      <c r="D33" s="4108" t="inlineStr">
        <is>
          <t>202211</t>
        </is>
      </c>
      <c r="E33" s="4108" t="inlineStr">
        <is>
          <t>0,000000000000</t>
        </is>
      </c>
    </row>
    <row outlineLevel="0" r="34">
      <c r="A34" s="4108" t="inlineStr">
        <is>
          <t>1357924682022111106</t>
        </is>
      </c>
      <c r="B34" s="4108" t="inlineStr">
        <is>
          <t>1106</t>
        </is>
      </c>
      <c r="C34" s="4108" t="inlineStr">
        <is>
          <t>135792468</t>
        </is>
      </c>
      <c r="D34" s="4108" t="inlineStr">
        <is>
          <t>202211</t>
        </is>
      </c>
      <c r="E34" s="4108" t="inlineStr">
        <is>
          <t>48,000000000000</t>
        </is>
      </c>
    </row>
    <row outlineLevel="0" r="35">
      <c r="A35" s="4108" t="inlineStr">
        <is>
          <t>1357924682022111107</t>
        </is>
      </c>
      <c r="B35" s="4108" t="inlineStr">
        <is>
          <t>1107</t>
        </is>
      </c>
      <c r="C35" s="4108" t="inlineStr">
        <is>
          <t>135792468</t>
        </is>
      </c>
      <c r="D35" s="4108" t="inlineStr">
        <is>
          <t>202211</t>
        </is>
      </c>
      <c r="E35" s="4108" t="inlineStr">
        <is>
          <t>0,000000000000</t>
        </is>
      </c>
    </row>
    <row outlineLevel="0" r="36">
      <c r="A36" s="4108" t="inlineStr">
        <is>
          <t>1357924682022111201</t>
        </is>
      </c>
      <c r="B36" s="4108" t="inlineStr">
        <is>
          <t>1201</t>
        </is>
      </c>
      <c r="C36" s="4108" t="inlineStr">
        <is>
          <t>135792468</t>
        </is>
      </c>
      <c r="D36" s="4108" t="inlineStr">
        <is>
          <t>202211</t>
        </is>
      </c>
      <c r="E36" s="4108" t="inlineStr">
        <is>
          <t>15240,000000000000</t>
        </is>
      </c>
    </row>
    <row outlineLevel="0" r="37">
      <c r="A37" s="4108" t="inlineStr">
        <is>
          <t>1357924682022111202</t>
        </is>
      </c>
      <c r="B37" s="4108" t="inlineStr">
        <is>
          <t>1202</t>
        </is>
      </c>
      <c r="C37" s="4108" t="inlineStr">
        <is>
          <t>135792468</t>
        </is>
      </c>
      <c r="D37" s="4108" t="inlineStr">
        <is>
          <t>202211</t>
        </is>
      </c>
      <c r="E37" s="4108" t="inlineStr">
        <is>
          <t>0,000000000000</t>
        </is>
      </c>
    </row>
    <row outlineLevel="0" r="38">
      <c r="A38" s="4108" t="inlineStr">
        <is>
          <t>1357924682022111203</t>
        </is>
      </c>
      <c r="B38" s="4108" t="inlineStr">
        <is>
          <t>1203</t>
        </is>
      </c>
      <c r="C38" s="4108" t="inlineStr">
        <is>
          <t>135792468</t>
        </is>
      </c>
      <c r="D38" s="4108" t="inlineStr">
        <is>
          <t>202211</t>
        </is>
      </c>
      <c r="E38" s="4108" t="inlineStr">
        <is>
          <t>0,000000000000</t>
        </is>
      </c>
    </row>
    <row outlineLevel="0" r="39">
      <c r="A39" s="4108" t="inlineStr">
        <is>
          <t>1357924682022111205</t>
        </is>
      </c>
      <c r="B39" s="4108" t="inlineStr">
        <is>
          <t>1205</t>
        </is>
      </c>
      <c r="C39" s="4108" t="inlineStr">
        <is>
          <t>135792468</t>
        </is>
      </c>
      <c r="D39" s="4108" t="inlineStr">
        <is>
          <t>202211</t>
        </is>
      </c>
      <c r="E39" s="4108" t="inlineStr">
        <is>
          <t>0,000000000000</t>
        </is>
      </c>
    </row>
    <row outlineLevel="0" r="40">
      <c r="A40" s="4108" t="inlineStr">
        <is>
          <t>1357924682022111206</t>
        </is>
      </c>
      <c r="B40" s="4108" t="inlineStr">
        <is>
          <t>1206</t>
        </is>
      </c>
      <c r="C40" s="4108" t="inlineStr">
        <is>
          <t>135792468</t>
        </is>
      </c>
      <c r="D40" s="4108" t="inlineStr">
        <is>
          <t>202211</t>
        </is>
      </c>
      <c r="E40" s="4108" t="inlineStr">
        <is>
          <t>0,000000000000</t>
        </is>
      </c>
    </row>
    <row outlineLevel="0" r="41">
      <c r="A41" s="4108" t="inlineStr">
        <is>
          <t>1357924682022111207</t>
        </is>
      </c>
      <c r="B41" s="4108" t="inlineStr">
        <is>
          <t>1207</t>
        </is>
      </c>
      <c r="C41" s="4108" t="inlineStr">
        <is>
          <t>135792468</t>
        </is>
      </c>
      <c r="D41" s="4108" t="inlineStr">
        <is>
          <t>202211</t>
        </is>
      </c>
      <c r="E41" s="4108" t="inlineStr">
        <is>
          <t>3758,000000000000</t>
        </is>
      </c>
    </row>
    <row outlineLevel="0" r="42">
      <c r="A42" s="4108" t="inlineStr">
        <is>
          <t>1357924682022111208</t>
        </is>
      </c>
      <c r="B42" s="4108" t="inlineStr">
        <is>
          <t>1208</t>
        </is>
      </c>
      <c r="C42" s="4108" t="inlineStr">
        <is>
          <t>135792468</t>
        </is>
      </c>
      <c r="D42" s="4108" t="inlineStr">
        <is>
          <t>202211</t>
        </is>
      </c>
      <c r="E42" s="4108" t="inlineStr">
        <is>
          <t>0,000000000000</t>
        </is>
      </c>
    </row>
    <row outlineLevel="0" r="43">
      <c r="A43" s="4108" t="inlineStr">
        <is>
          <t>1357924682022112101</t>
        </is>
      </c>
      <c r="B43" s="4108" t="inlineStr">
        <is>
          <t>2101</t>
        </is>
      </c>
      <c r="C43" s="4108" t="inlineStr">
        <is>
          <t>135792468</t>
        </is>
      </c>
      <c r="D43" s="4108" t="inlineStr">
        <is>
          <t>202211</t>
        </is>
      </c>
      <c r="E43" s="4108" t="inlineStr">
        <is>
          <t>433,000000000000</t>
        </is>
      </c>
    </row>
    <row outlineLevel="0" r="44">
      <c r="A44" s="4108" t="inlineStr">
        <is>
          <t>1357924682022112102</t>
        </is>
      </c>
      <c r="B44" s="4108" t="inlineStr">
        <is>
          <t>2102</t>
        </is>
      </c>
      <c r="C44" s="4108" t="inlineStr">
        <is>
          <t>135792468</t>
        </is>
      </c>
      <c r="D44" s="4108" t="inlineStr">
        <is>
          <t>202211</t>
        </is>
      </c>
      <c r="E44" s="4108" t="inlineStr">
        <is>
          <t>0,000000000000</t>
        </is>
      </c>
    </row>
    <row outlineLevel="0" r="45">
      <c r="A45" s="4108" t="inlineStr">
        <is>
          <t>1357924682022112103</t>
        </is>
      </c>
      <c r="B45" s="4108" t="inlineStr">
        <is>
          <t>2103</t>
        </is>
      </c>
      <c r="C45" s="4108" t="inlineStr">
        <is>
          <t>135792468</t>
        </is>
      </c>
      <c r="D45" s="4108" t="inlineStr">
        <is>
          <t>202211</t>
        </is>
      </c>
      <c r="E45" s="4108" t="inlineStr">
        <is>
          <t>1650,000000000000</t>
        </is>
      </c>
    </row>
    <row outlineLevel="0" r="46">
      <c r="A46" s="4108" t="inlineStr">
        <is>
          <t>1357924682022112104</t>
        </is>
      </c>
      <c r="B46" s="4108" t="inlineStr">
        <is>
          <t>2104</t>
        </is>
      </c>
      <c r="C46" s="4108" t="inlineStr">
        <is>
          <t>135792468</t>
        </is>
      </c>
      <c r="D46" s="4108" t="inlineStr">
        <is>
          <t>202211</t>
        </is>
      </c>
      <c r="E46" s="4108" t="inlineStr">
        <is>
          <t>0,000000000000</t>
        </is>
      </c>
    </row>
    <row outlineLevel="0" r="47">
      <c r="A47" s="4108" t="inlineStr">
        <is>
          <t>1357924682022112105</t>
        </is>
      </c>
      <c r="B47" s="4108" t="inlineStr">
        <is>
          <t>2105</t>
        </is>
      </c>
      <c r="C47" s="4108" t="inlineStr">
        <is>
          <t>135792468</t>
        </is>
      </c>
      <c r="D47" s="4108" t="inlineStr">
        <is>
          <t>202211</t>
        </is>
      </c>
      <c r="E47" s="4108" t="inlineStr">
        <is>
          <t>7,000000000000</t>
        </is>
      </c>
    </row>
    <row outlineLevel="0" r="48">
      <c r="A48" s="4108" t="inlineStr">
        <is>
          <t>1357924682022112106</t>
        </is>
      </c>
      <c r="B48" s="4108" t="inlineStr">
        <is>
          <t>2106</t>
        </is>
      </c>
      <c r="C48" s="4108" t="inlineStr">
        <is>
          <t>135792468</t>
        </is>
      </c>
      <c r="D48" s="4108" t="inlineStr">
        <is>
          <t>202211</t>
        </is>
      </c>
      <c r="E48" s="4108" t="inlineStr">
        <is>
          <t>0,000000000000</t>
        </is>
      </c>
    </row>
    <row outlineLevel="0" r="49">
      <c r="A49" s="4108" t="inlineStr">
        <is>
          <t>1357924682022112107</t>
        </is>
      </c>
      <c r="B49" s="4108" t="inlineStr">
        <is>
          <t>2107</t>
        </is>
      </c>
      <c r="C49" s="4108" t="inlineStr">
        <is>
          <t>135792468</t>
        </is>
      </c>
      <c r="D49" s="4108" t="inlineStr">
        <is>
          <t>202211</t>
        </is>
      </c>
      <c r="E49" s="4108" t="inlineStr">
        <is>
          <t>172,000000000000</t>
        </is>
      </c>
    </row>
    <row outlineLevel="0" r="50">
      <c r="A50" s="4108" t="inlineStr">
        <is>
          <t>1357924682022112109</t>
        </is>
      </c>
      <c r="B50" s="4108" t="inlineStr">
        <is>
          <t>2109</t>
        </is>
      </c>
      <c r="C50" s="4108" t="inlineStr">
        <is>
          <t>135792468</t>
        </is>
      </c>
      <c r="D50" s="4108" t="inlineStr">
        <is>
          <t>202211</t>
        </is>
      </c>
      <c r="E50" s="4108" t="inlineStr">
        <is>
          <t>0,000000000000</t>
        </is>
      </c>
    </row>
    <row outlineLevel="0" r="51">
      <c r="A51" s="4108" t="inlineStr">
        <is>
          <t>1357924682022112201</t>
        </is>
      </c>
      <c r="B51" s="4108" t="inlineStr">
        <is>
          <t>2201</t>
        </is>
      </c>
      <c r="C51" s="4108" t="inlineStr">
        <is>
          <t>135792468</t>
        </is>
      </c>
      <c r="D51" s="4108" t="inlineStr">
        <is>
          <t>202211</t>
        </is>
      </c>
      <c r="E51" s="4108" t="inlineStr">
        <is>
          <t>11288,000000000000</t>
        </is>
      </c>
    </row>
    <row outlineLevel="0" r="52">
      <c r="A52" s="4108" t="inlineStr">
        <is>
          <t>1357924682022112203</t>
        </is>
      </c>
      <c r="B52" s="4108" t="inlineStr">
        <is>
          <t>2203</t>
        </is>
      </c>
      <c r="C52" s="4108" t="inlineStr">
        <is>
          <t>135792468</t>
        </is>
      </c>
      <c r="D52" s="4108" t="inlineStr">
        <is>
          <t>202211</t>
        </is>
      </c>
      <c r="E52" s="4108" t="inlineStr">
        <is>
          <t>1300,000000000000</t>
        </is>
      </c>
    </row>
    <row outlineLevel="0" r="53">
      <c r="A53" s="4108" t="inlineStr">
        <is>
          <t>1357924682022112204</t>
        </is>
      </c>
      <c r="B53" s="4108" t="inlineStr">
        <is>
          <t>2204</t>
        </is>
      </c>
      <c r="C53" s="4108" t="inlineStr">
        <is>
          <t>135792468</t>
        </is>
      </c>
      <c r="D53" s="4108" t="inlineStr">
        <is>
          <t>202211</t>
        </is>
      </c>
      <c r="E53" s="4108" t="inlineStr">
        <is>
          <t>0,000000000000</t>
        </is>
      </c>
    </row>
    <row outlineLevel="0" r="54">
      <c r="A54" s="4108" t="inlineStr">
        <is>
          <t>1357924682022112206</t>
        </is>
      </c>
      <c r="B54" s="4108" t="inlineStr">
        <is>
          <t>2206</t>
        </is>
      </c>
      <c r="C54" s="4108" t="inlineStr">
        <is>
          <t>135792468</t>
        </is>
      </c>
      <c r="D54" s="4108" t="inlineStr">
        <is>
          <t>202211</t>
        </is>
      </c>
      <c r="E54" s="4108" t="inlineStr">
        <is>
          <t>12,000000000000</t>
        </is>
      </c>
    </row>
    <row outlineLevel="0" r="55">
      <c r="A55" s="4108" t="inlineStr">
        <is>
          <t>1357924682022112207</t>
        </is>
      </c>
      <c r="B55" s="4108" t="inlineStr">
        <is>
          <t>2207</t>
        </is>
      </c>
      <c r="C55" s="4108" t="inlineStr">
        <is>
          <t>135792468</t>
        </is>
      </c>
      <c r="D55" s="4108" t="inlineStr">
        <is>
          <t>202211</t>
        </is>
      </c>
      <c r="E55" s="4108" t="inlineStr">
        <is>
          <t>0,000000000000</t>
        </is>
      </c>
    </row>
    <row outlineLevel="0" r="56">
      <c r="A56" s="4108" t="inlineStr">
        <is>
          <t>1357924682022112209</t>
        </is>
      </c>
      <c r="B56" s="4108" t="inlineStr">
        <is>
          <t>2209</t>
        </is>
      </c>
      <c r="C56" s="4108" t="inlineStr">
        <is>
          <t>135792468</t>
        </is>
      </c>
      <c r="D56" s="4108" t="inlineStr">
        <is>
          <t>202211</t>
        </is>
      </c>
      <c r="E56" s="4108" t="inlineStr">
        <is>
          <t>0,000000000000</t>
        </is>
      </c>
    </row>
    <row outlineLevel="0" r="57">
      <c r="A57" s="4108" t="inlineStr">
        <is>
          <t>1357924682022115301</t>
        </is>
      </c>
      <c r="B57" s="4108" t="inlineStr">
        <is>
          <t>5301</t>
        </is>
      </c>
      <c r="C57" s="4108" t="inlineStr">
        <is>
          <t>135792468</t>
        </is>
      </c>
      <c r="D57" s="4108" t="inlineStr">
        <is>
          <t>202211</t>
        </is>
      </c>
      <c r="E57" s="4108" t="inlineStr">
        <is>
          <t>587,000000000000</t>
        </is>
      </c>
    </row>
    <row outlineLevel="0" r="58">
      <c r="A58" s="4108" t="inlineStr">
        <is>
          <t>135792468202211108000</t>
        </is>
      </c>
      <c r="B58" s="4108" t="inlineStr">
        <is>
          <t>108000</t>
        </is>
      </c>
      <c r="C58" s="4108" t="inlineStr">
        <is>
          <t>135792468</t>
        </is>
      </c>
      <c r="D58" s="4108" t="inlineStr">
        <is>
          <t>202211</t>
        </is>
      </c>
      <c r="E58" s="4108" t="inlineStr">
        <is>
          <t>0,000000000000</t>
        </is>
      </c>
    </row>
    <row outlineLevel="0" r="59">
      <c r="A59" s="4108" t="inlineStr">
        <is>
          <t>135792468202211108100</t>
        </is>
      </c>
      <c r="B59" s="4108" t="inlineStr">
        <is>
          <t>108100</t>
        </is>
      </c>
      <c r="C59" s="4108" t="inlineStr">
        <is>
          <t>135792468</t>
        </is>
      </c>
      <c r="D59" s="4108" t="inlineStr">
        <is>
          <t>202211</t>
        </is>
      </c>
      <c r="E59" s="4108" t="inlineStr">
        <is>
          <t>0,000000000000</t>
        </is>
      </c>
    </row>
    <row outlineLevel="0" r="60">
      <c r="A60" s="4108" t="inlineStr">
        <is>
          <t>135792468202211108200</t>
        </is>
      </c>
      <c r="B60" s="4108" t="inlineStr">
        <is>
          <t>108200</t>
        </is>
      </c>
      <c r="C60" s="4108" t="inlineStr">
        <is>
          <t>135792468</t>
        </is>
      </c>
      <c r="D60" s="4108" t="inlineStr">
        <is>
          <t>202211</t>
        </is>
      </c>
      <c r="E60" s="4108" t="inlineStr">
        <is>
          <t>0,000000000000</t>
        </is>
      </c>
    </row>
    <row outlineLevel="0" r="61">
      <c r="A61" s="4108" t="inlineStr">
        <is>
          <t>135792468202211108300</t>
        </is>
      </c>
      <c r="B61" s="4108" t="inlineStr">
        <is>
          <t>108300</t>
        </is>
      </c>
      <c r="C61" s="4108" t="inlineStr">
        <is>
          <t>135792468</t>
        </is>
      </c>
      <c r="D61" s="4108" t="inlineStr">
        <is>
          <t>202211</t>
        </is>
      </c>
      <c r="E61" s="4108" t="inlineStr">
        <is>
          <t>0,000000000000</t>
        </is>
      </c>
    </row>
    <row outlineLevel="0" r="62">
      <c r="A62" s="4108" t="inlineStr">
        <is>
          <t>135792468202211108400</t>
        </is>
      </c>
      <c r="B62" s="4108" t="inlineStr">
        <is>
          <t>108400</t>
        </is>
      </c>
      <c r="C62" s="4108" t="inlineStr">
        <is>
          <t>135792468</t>
        </is>
      </c>
      <c r="D62" s="4108" t="inlineStr">
        <is>
          <t>202211</t>
        </is>
      </c>
      <c r="E62" s="4108" t="inlineStr">
        <is>
          <t>0,000000000000</t>
        </is>
      </c>
    </row>
    <row outlineLevel="0" r="63">
      <c r="A63" s="4108" t="inlineStr">
        <is>
          <t>135792468202211109801</t>
        </is>
      </c>
      <c r="B63" s="4108" t="inlineStr">
        <is>
          <t>109801</t>
        </is>
      </c>
      <c r="C63" s="4108" t="inlineStr">
        <is>
          <t>135792468</t>
        </is>
      </c>
      <c r="D63" s="4108" t="inlineStr">
        <is>
          <t>202211</t>
        </is>
      </c>
      <c r="E63" s="4108" t="inlineStr">
        <is>
          <t>0,000000000000</t>
        </is>
      </c>
    </row>
    <row outlineLevel="0" r="64">
      <c r="A64" s="4108" t="inlineStr">
        <is>
          <t>135792468202211110105</t>
        </is>
      </c>
      <c r="B64" s="4108" t="inlineStr">
        <is>
          <t>110105</t>
        </is>
      </c>
      <c r="C64" s="4108" t="inlineStr">
        <is>
          <t>135792468</t>
        </is>
      </c>
      <c r="D64" s="4108" t="inlineStr">
        <is>
          <t>202211</t>
        </is>
      </c>
      <c r="E64" s="4108" t="inlineStr">
        <is>
          <t>283,000000000000</t>
        </is>
      </c>
    </row>
    <row outlineLevel="0" r="65">
      <c r="A65" s="4108" t="inlineStr">
        <is>
          <t>135792468202211110110</t>
        </is>
      </c>
      <c r="B65" s="4108" t="inlineStr">
        <is>
          <t>110110</t>
        </is>
      </c>
      <c r="C65" s="4108" t="inlineStr">
        <is>
          <t>135792468</t>
        </is>
      </c>
      <c r="D65" s="4108" t="inlineStr">
        <is>
          <t>202211</t>
        </is>
      </c>
      <c r="E65" s="4108" t="inlineStr">
        <is>
          <t>0,000000000000</t>
        </is>
      </c>
    </row>
    <row outlineLevel="0" r="66">
      <c r="A66" s="4108" t="inlineStr">
        <is>
          <t>135792468202211110125</t>
        </is>
      </c>
      <c r="B66" s="4108" t="inlineStr">
        <is>
          <t>110125</t>
        </is>
      </c>
      <c r="C66" s="4108" t="inlineStr">
        <is>
          <t>135792468</t>
        </is>
      </c>
      <c r="D66" s="4108" t="inlineStr">
        <is>
          <t>202211</t>
        </is>
      </c>
      <c r="E66" s="4108" t="inlineStr">
        <is>
          <t>0,000000000000</t>
        </is>
      </c>
    </row>
    <row outlineLevel="0" r="67">
      <c r="A67" s="4108" t="inlineStr">
        <is>
          <t>135792468202211110130</t>
        </is>
      </c>
      <c r="B67" s="4108" t="inlineStr">
        <is>
          <t>110130</t>
        </is>
      </c>
      <c r="C67" s="4108" t="inlineStr">
        <is>
          <t>135792468</t>
        </is>
      </c>
      <c r="D67" s="4108" t="inlineStr">
        <is>
          <t>202211</t>
        </is>
      </c>
      <c r="E67" s="4108" t="inlineStr">
        <is>
          <t>0,000000000000</t>
        </is>
      </c>
    </row>
    <row outlineLevel="0" r="68">
      <c r="A68" s="4108" t="inlineStr">
        <is>
          <t>135792468202211110205</t>
        </is>
      </c>
      <c r="B68" s="4108" t="inlineStr">
        <is>
          <t>110205</t>
        </is>
      </c>
      <c r="C68" s="4108" t="inlineStr">
        <is>
          <t>135792468</t>
        </is>
      </c>
      <c r="D68" s="4108" t="inlineStr">
        <is>
          <t>202211</t>
        </is>
      </c>
      <c r="E68" s="4108" t="inlineStr">
        <is>
          <t>0,000000000000</t>
        </is>
      </c>
    </row>
    <row outlineLevel="0" r="69">
      <c r="A69" s="4108" t="inlineStr">
        <is>
          <t>135792468202211110210</t>
        </is>
      </c>
      <c r="B69" s="4108" t="inlineStr">
        <is>
          <t>110210</t>
        </is>
      </c>
      <c r="C69" s="4108" t="inlineStr">
        <is>
          <t>135792468</t>
        </is>
      </c>
      <c r="D69" s="4108" t="inlineStr">
        <is>
          <t>202211</t>
        </is>
      </c>
      <c r="E69" s="4108" t="inlineStr">
        <is>
          <t>0,000000000000</t>
        </is>
      </c>
    </row>
    <row outlineLevel="0" r="70">
      <c r="A70" s="4108" t="inlineStr">
        <is>
          <t>135792468202211110215</t>
        </is>
      </c>
      <c r="B70" s="4108" t="inlineStr">
        <is>
          <t>110215</t>
        </is>
      </c>
      <c r="C70" s="4108" t="inlineStr">
        <is>
          <t>135792468</t>
        </is>
      </c>
      <c r="D70" s="4108" t="inlineStr">
        <is>
          <t>202211</t>
        </is>
      </c>
      <c r="E70" s="4108" t="inlineStr">
        <is>
          <t>0,000000000000</t>
        </is>
      </c>
    </row>
    <row outlineLevel="0" r="71">
      <c r="A71" s="4108" t="inlineStr">
        <is>
          <t>135792468202211110225</t>
        </is>
      </c>
      <c r="B71" s="4108" t="inlineStr">
        <is>
          <t>110225</t>
        </is>
      </c>
      <c r="C71" s="4108" t="inlineStr">
        <is>
          <t>135792468</t>
        </is>
      </c>
      <c r="D71" s="4108" t="inlineStr">
        <is>
          <t>202211</t>
        </is>
      </c>
      <c r="E71" s="4108" t="inlineStr">
        <is>
          <t>0,000000000000</t>
        </is>
      </c>
    </row>
    <row outlineLevel="0" r="72">
      <c r="A72" s="4108" t="inlineStr">
        <is>
          <t>135792468202211110235</t>
        </is>
      </c>
      <c r="B72" s="4108" t="inlineStr">
        <is>
          <t>110235</t>
        </is>
      </c>
      <c r="C72" s="4108" t="inlineStr">
        <is>
          <t>135792468</t>
        </is>
      </c>
      <c r="D72" s="4108" t="inlineStr">
        <is>
          <t>202211</t>
        </is>
      </c>
      <c r="E72" s="4108" t="inlineStr">
        <is>
          <t>0,000000000000</t>
        </is>
      </c>
    </row>
    <row outlineLevel="0" r="73">
      <c r="A73" s="4108" t="inlineStr">
        <is>
          <t>135792468202211110255</t>
        </is>
      </c>
      <c r="B73" s="4108" t="inlineStr">
        <is>
          <t>110255</t>
        </is>
      </c>
      <c r="C73" s="4108" t="inlineStr">
        <is>
          <t>135792468</t>
        </is>
      </c>
      <c r="D73" s="4108" t="inlineStr">
        <is>
          <t>202211</t>
        </is>
      </c>
      <c r="E73" s="4108" t="inlineStr">
        <is>
          <t>0,000000000000</t>
        </is>
      </c>
    </row>
    <row outlineLevel="0" r="74">
      <c r="A74" s="4108" t="inlineStr">
        <is>
          <t>135792468202211110260</t>
        </is>
      </c>
      <c r="B74" s="4108" t="inlineStr">
        <is>
          <t>110260</t>
        </is>
      </c>
      <c r="C74" s="4108" t="inlineStr">
        <is>
          <t>135792468</t>
        </is>
      </c>
      <c r="D74" s="4108" t="inlineStr">
        <is>
          <t>202211</t>
        </is>
      </c>
      <c r="E74" s="4108" t="inlineStr">
        <is>
          <t>0,000000000000</t>
        </is>
      </c>
    </row>
    <row outlineLevel="0" r="75">
      <c r="A75" s="4108" t="inlineStr">
        <is>
          <t>135792468202211110305</t>
        </is>
      </c>
      <c r="B75" s="4108" t="inlineStr">
        <is>
          <t>110305</t>
        </is>
      </c>
      <c r="C75" s="4108" t="inlineStr">
        <is>
          <t>135792468</t>
        </is>
      </c>
      <c r="D75" s="4108" t="inlineStr">
        <is>
          <t>202211</t>
        </is>
      </c>
      <c r="E75" s="4108" t="inlineStr">
        <is>
          <t>377,000000000000</t>
        </is>
      </c>
    </row>
    <row outlineLevel="0" r="76">
      <c r="A76" s="4108" t="inlineStr">
        <is>
          <t>135792468202211110390</t>
        </is>
      </c>
      <c r="B76" s="4108" t="inlineStr">
        <is>
          <t>110390</t>
        </is>
      </c>
      <c r="C76" s="4108" t="inlineStr">
        <is>
          <t>135792468</t>
        </is>
      </c>
      <c r="D76" s="4108" t="inlineStr">
        <is>
          <t>202211</t>
        </is>
      </c>
      <c r="E76" s="4108" t="inlineStr">
        <is>
          <t>0,000000000000</t>
        </is>
      </c>
    </row>
    <row outlineLevel="0" r="77">
      <c r="A77" s="4108" t="inlineStr">
        <is>
          <t>135792468202211110395</t>
        </is>
      </c>
      <c r="B77" s="4108" t="inlineStr">
        <is>
          <t>110395</t>
        </is>
      </c>
      <c r="C77" s="4108" t="inlineStr">
        <is>
          <t>135792468</t>
        </is>
      </c>
      <c r="D77" s="4108" t="inlineStr">
        <is>
          <t>202211</t>
        </is>
      </c>
      <c r="E77" s="4108" t="inlineStr">
        <is>
          <t>0,000000000000</t>
        </is>
      </c>
    </row>
    <row outlineLevel="0" r="78">
      <c r="A78" s="4108" t="inlineStr">
        <is>
          <t>135792468202211110405</t>
        </is>
      </c>
      <c r="B78" s="4108" t="inlineStr">
        <is>
          <t>110405</t>
        </is>
      </c>
      <c r="C78" s="4108" t="inlineStr">
        <is>
          <t>135792468</t>
        </is>
      </c>
      <c r="D78" s="4108" t="inlineStr">
        <is>
          <t>202211</t>
        </is>
      </c>
      <c r="E78" s="4108" t="inlineStr">
        <is>
          <t>0,000000000000</t>
        </is>
      </c>
    </row>
    <row outlineLevel="0" r="79">
      <c r="A79" s="4108" t="inlineStr">
        <is>
          <t>135792468202211110410</t>
        </is>
      </c>
      <c r="B79" s="4108" t="inlineStr">
        <is>
          <t>110410</t>
        </is>
      </c>
      <c r="C79" s="4108" t="inlineStr">
        <is>
          <t>135792468</t>
        </is>
      </c>
      <c r="D79" s="4108" t="inlineStr">
        <is>
          <t>202211</t>
        </is>
      </c>
      <c r="E79" s="4108" t="inlineStr">
        <is>
          <t>0,000000000000</t>
        </is>
      </c>
    </row>
    <row outlineLevel="0" r="80">
      <c r="A80" s="4108" t="inlineStr">
        <is>
          <t>135792468202211110415</t>
        </is>
      </c>
      <c r="B80" s="4108" t="inlineStr">
        <is>
          <t>110415</t>
        </is>
      </c>
      <c r="C80" s="4108" t="inlineStr">
        <is>
          <t>135792468</t>
        </is>
      </c>
      <c r="D80" s="4108" t="inlineStr">
        <is>
          <t>202211</t>
        </is>
      </c>
      <c r="E80" s="4108" t="inlineStr">
        <is>
          <t>0,000000000000</t>
        </is>
      </c>
    </row>
    <row outlineLevel="0" r="81">
      <c r="A81" s="4108" t="inlineStr">
        <is>
          <t>135792468202211110420</t>
        </is>
      </c>
      <c r="B81" s="4108" t="inlineStr">
        <is>
          <t>110420</t>
        </is>
      </c>
      <c r="C81" s="4108" t="inlineStr">
        <is>
          <t>135792468</t>
        </is>
      </c>
      <c r="D81" s="4108" t="inlineStr">
        <is>
          <t>202211</t>
        </is>
      </c>
      <c r="E81" s="4108" t="inlineStr">
        <is>
          <t>0,000000000000</t>
        </is>
      </c>
    </row>
    <row outlineLevel="0" r="82">
      <c r="A82" s="4108" t="inlineStr">
        <is>
          <t>135792468202211110490</t>
        </is>
      </c>
      <c r="B82" s="4108" t="inlineStr">
        <is>
          <t>110490</t>
        </is>
      </c>
      <c r="C82" s="4108" t="inlineStr">
        <is>
          <t>135792468</t>
        </is>
      </c>
      <c r="D82" s="4108" t="inlineStr">
        <is>
          <t>202211</t>
        </is>
      </c>
      <c r="E82" s="4108" t="inlineStr">
        <is>
          <t>0,000000000000</t>
        </is>
      </c>
    </row>
    <row outlineLevel="0" r="83">
      <c r="A83" s="4108" t="inlineStr">
        <is>
          <t>135792468202211110491</t>
        </is>
      </c>
      <c r="B83" s="4108" t="inlineStr">
        <is>
          <t>110491</t>
        </is>
      </c>
      <c r="C83" s="4108" t="inlineStr">
        <is>
          <t>135792468</t>
        </is>
      </c>
      <c r="D83" s="4108" t="inlineStr">
        <is>
          <t>202211</t>
        </is>
      </c>
      <c r="E83" s="4108" t="inlineStr">
        <is>
          <t>0,000000000000</t>
        </is>
      </c>
    </row>
    <row outlineLevel="0" r="84">
      <c r="A84" s="4108" t="inlineStr">
        <is>
          <t>135792468202211110495</t>
        </is>
      </c>
      <c r="B84" s="4108" t="inlineStr">
        <is>
          <t>110495</t>
        </is>
      </c>
      <c r="C84" s="4108" t="inlineStr">
        <is>
          <t>135792468</t>
        </is>
      </c>
      <c r="D84" s="4108" t="inlineStr">
        <is>
          <t>202211</t>
        </is>
      </c>
      <c r="E84" s="4108" t="inlineStr">
        <is>
          <t>0,000000000000</t>
        </is>
      </c>
    </row>
    <row outlineLevel="0" r="85">
      <c r="A85" s="4108" t="inlineStr">
        <is>
          <t>135792468202211111010</t>
        </is>
      </c>
      <c r="B85" s="4108" t="inlineStr">
        <is>
          <t>111010</t>
        </is>
      </c>
      <c r="C85" s="4108" t="inlineStr">
        <is>
          <t>135792468</t>
        </is>
      </c>
      <c r="D85" s="4108" t="inlineStr">
        <is>
          <t>202211</t>
        </is>
      </c>
      <c r="E85" s="4108" t="inlineStr">
        <is>
          <t>0,000000000000</t>
        </is>
      </c>
    </row>
    <row outlineLevel="0" r="86">
      <c r="A86" s="4108" t="inlineStr">
        <is>
          <t>135792468202211120104</t>
        </is>
      </c>
      <c r="B86" s="4108" t="inlineStr">
        <is>
          <t>120104</t>
        </is>
      </c>
      <c r="C86" s="4108" t="inlineStr">
        <is>
          <t>135792468</t>
        </is>
      </c>
      <c r="D86" s="4108" t="inlineStr">
        <is>
          <t>202211</t>
        </is>
      </c>
      <c r="E86" s="4108" t="inlineStr">
        <is>
          <t>10123,000000000000</t>
        </is>
      </c>
    </row>
    <row outlineLevel="0" r="87">
      <c r="A87" s="4108" t="inlineStr">
        <is>
          <t>135792468202211120108</t>
        </is>
      </c>
      <c r="B87" s="4108" t="inlineStr">
        <is>
          <t>120108</t>
        </is>
      </c>
      <c r="C87" s="4108" t="inlineStr">
        <is>
          <t>135792468</t>
        </is>
      </c>
      <c r="D87" s="4108" t="inlineStr">
        <is>
          <t>202211</t>
        </is>
      </c>
      <c r="E87" s="4108" t="inlineStr">
        <is>
          <t>897,000000000000</t>
        </is>
      </c>
    </row>
    <row outlineLevel="0" r="88">
      <c r="A88" s="4108" t="inlineStr">
        <is>
          <t>135792468202211120116</t>
        </is>
      </c>
      <c r="B88" s="4108" t="inlineStr">
        <is>
          <t>120116</t>
        </is>
      </c>
      <c r="C88" s="4108" t="inlineStr">
        <is>
          <t>135792468</t>
        </is>
      </c>
      <c r="D88" s="4108" t="inlineStr">
        <is>
          <t>202211</t>
        </is>
      </c>
      <c r="E88" s="4108" t="inlineStr">
        <is>
          <t>9152,000000000000</t>
        </is>
      </c>
    </row>
    <row outlineLevel="0" r="89">
      <c r="A89" s="4108" t="inlineStr">
        <is>
          <t>135792468202211120120</t>
        </is>
      </c>
      <c r="B89" s="4108" t="inlineStr">
        <is>
          <t>120120</t>
        </is>
      </c>
      <c r="C89" s="4108" t="inlineStr">
        <is>
          <t>135792468</t>
        </is>
      </c>
      <c r="D89" s="4108" t="inlineStr">
        <is>
          <t>202211</t>
        </is>
      </c>
      <c r="E89" s="4108" t="inlineStr">
        <is>
          <t>0,000000000000</t>
        </is>
      </c>
    </row>
    <row outlineLevel="0" r="90">
      <c r="A90" s="4108" t="inlineStr">
        <is>
          <t>135792468202211120124</t>
        </is>
      </c>
      <c r="B90" s="4108" t="inlineStr">
        <is>
          <t>120124</t>
        </is>
      </c>
      <c r="C90" s="4108" t="inlineStr">
        <is>
          <t>135792468</t>
        </is>
      </c>
      <c r="D90" s="4108" t="inlineStr">
        <is>
          <t>202211</t>
        </is>
      </c>
      <c r="E90" s="4108" t="inlineStr">
        <is>
          <t>432,000000000000</t>
        </is>
      </c>
    </row>
    <row outlineLevel="0" r="91">
      <c r="A91" s="4108" t="inlineStr">
        <is>
          <t>135792468202211120128</t>
        </is>
      </c>
      <c r="B91" s="4108" t="inlineStr">
        <is>
          <t>120128</t>
        </is>
      </c>
      <c r="C91" s="4108" t="inlineStr">
        <is>
          <t>135792468</t>
        </is>
      </c>
      <c r="D91" s="4108" t="inlineStr">
        <is>
          <t>202211</t>
        </is>
      </c>
      <c r="E91" s="4108" t="inlineStr">
        <is>
          <t>0,000000000000</t>
        </is>
      </c>
    </row>
    <row outlineLevel="0" r="92">
      <c r="A92" s="4108" t="inlineStr">
        <is>
          <t>135792468202211120140</t>
        </is>
      </c>
      <c r="B92" s="4108" t="inlineStr">
        <is>
          <t>120140</t>
        </is>
      </c>
      <c r="C92" s="4108" t="inlineStr">
        <is>
          <t>135792468</t>
        </is>
      </c>
      <c r="D92" s="4108" t="inlineStr">
        <is>
          <t>202211</t>
        </is>
      </c>
      <c r="E92" s="4108" t="inlineStr">
        <is>
          <t>406,000000000000</t>
        </is>
      </c>
    </row>
    <row outlineLevel="0" r="93">
      <c r="A93" s="4108" t="inlineStr">
        <is>
          <t>135792468202211120145</t>
        </is>
      </c>
      <c r="B93" s="4108" t="inlineStr">
        <is>
          <t>120145</t>
        </is>
      </c>
      <c r="C93" s="4108" t="inlineStr">
        <is>
          <t>135792468</t>
        </is>
      </c>
      <c r="D93" s="4108" t="inlineStr">
        <is>
          <t>202211</t>
        </is>
      </c>
      <c r="E93" s="4108" t="inlineStr">
        <is>
          <t>0,000000000000</t>
        </is>
      </c>
    </row>
    <row outlineLevel="0" r="94">
      <c r="A94" s="4108" t="inlineStr">
        <is>
          <t>135792468202211120195</t>
        </is>
      </c>
      <c r="B94" s="4108" t="inlineStr">
        <is>
          <t>120195</t>
        </is>
      </c>
      <c r="C94" s="4108" t="inlineStr">
        <is>
          <t>135792468</t>
        </is>
      </c>
      <c r="D94" s="4108" t="inlineStr">
        <is>
          <t>202211</t>
        </is>
      </c>
      <c r="E94" s="4108" t="inlineStr">
        <is>
          <t>-5770,000000000000</t>
        </is>
      </c>
    </row>
    <row outlineLevel="0" r="95">
      <c r="A95" s="4108" t="inlineStr">
        <is>
          <t>135792468202211120501</t>
        </is>
      </c>
      <c r="B95" s="4108" t="inlineStr">
        <is>
          <t>120501</t>
        </is>
      </c>
      <c r="C95" s="4108" t="inlineStr">
        <is>
          <t>135792468</t>
        </is>
      </c>
      <c r="D95" s="4108" t="inlineStr">
        <is>
          <t>202211</t>
        </is>
      </c>
      <c r="E95" s="4108" t="inlineStr">
        <is>
          <t>0,000000000000</t>
        </is>
      </c>
    </row>
    <row outlineLevel="0" r="96">
      <c r="A96" s="4108" t="inlineStr">
        <is>
          <t>135792468202211120610</t>
        </is>
      </c>
      <c r="B96" s="4108" t="inlineStr">
        <is>
          <t>120610</t>
        </is>
      </c>
      <c r="C96" s="4108" t="inlineStr">
        <is>
          <t>135792468</t>
        </is>
      </c>
      <c r="D96" s="4108" t="inlineStr">
        <is>
          <t>202211</t>
        </is>
      </c>
      <c r="E96" s="4108" t="inlineStr">
        <is>
          <t>0,000000000000</t>
        </is>
      </c>
    </row>
    <row outlineLevel="0" r="97">
      <c r="A97" s="4108" t="inlineStr">
        <is>
          <t>135792468202211120615</t>
        </is>
      </c>
      <c r="B97" s="4108" t="inlineStr">
        <is>
          <t>120615</t>
        </is>
      </c>
      <c r="C97" s="4108" t="inlineStr">
        <is>
          <t>135792468</t>
        </is>
      </c>
      <c r="D97" s="4108" t="inlineStr">
        <is>
          <t>202211</t>
        </is>
      </c>
      <c r="E97" s="4108" t="inlineStr">
        <is>
          <t>0,000000000000</t>
        </is>
      </c>
    </row>
    <row outlineLevel="0" r="98">
      <c r="A98" s="4108" t="inlineStr">
        <is>
          <t>135792468202211120620</t>
        </is>
      </c>
      <c r="B98" s="4108" t="inlineStr">
        <is>
          <t>120620</t>
        </is>
      </c>
      <c r="C98" s="4108" t="inlineStr">
        <is>
          <t>135792468</t>
        </is>
      </c>
      <c r="D98" s="4108" t="inlineStr">
        <is>
          <t>202211</t>
        </is>
      </c>
      <c r="E98" s="4108" t="inlineStr">
        <is>
          <t>0,000000000000</t>
        </is>
      </c>
    </row>
    <row outlineLevel="0" r="99">
      <c r="A99" s="4108" t="inlineStr">
        <is>
          <t>135792468202211121001</t>
        </is>
      </c>
      <c r="B99" s="4108" t="inlineStr">
        <is>
          <t>121001</t>
        </is>
      </c>
      <c r="C99" s="4108" t="inlineStr">
        <is>
          <t>135792468</t>
        </is>
      </c>
      <c r="D99" s="4108" t="inlineStr">
        <is>
          <t>202211</t>
        </is>
      </c>
      <c r="E99" s="4108" t="inlineStr">
        <is>
          <t>0,000000000000</t>
        </is>
      </c>
    </row>
    <row outlineLevel="0" r="100">
      <c r="A100" s="4108" t="inlineStr">
        <is>
          <t>135792468202211121501</t>
        </is>
      </c>
      <c r="B100" s="4108" t="inlineStr">
        <is>
          <t>121501</t>
        </is>
      </c>
      <c r="C100" s="4108" t="inlineStr">
        <is>
          <t>135792468</t>
        </is>
      </c>
      <c r="D100" s="4108" t="inlineStr">
        <is>
          <t>202211</t>
        </is>
      </c>
      <c r="E100" s="4108" t="inlineStr">
        <is>
          <t>0,000000000000</t>
        </is>
      </c>
    </row>
    <row outlineLevel="0" r="101">
      <c r="A101" s="4108" t="inlineStr">
        <is>
          <t>135792468202211123501</t>
        </is>
      </c>
      <c r="B101" s="4108" t="inlineStr">
        <is>
          <t>123501</t>
        </is>
      </c>
      <c r="C101" s="4108" t="inlineStr">
        <is>
          <t>135792468</t>
        </is>
      </c>
      <c r="D101" s="4108" t="inlineStr">
        <is>
          <t>202211</t>
        </is>
      </c>
      <c r="E101" s="4108" t="inlineStr">
        <is>
          <t>0,000000000000</t>
        </is>
      </c>
    </row>
    <row outlineLevel="0" r="102">
      <c r="A102" s="4108" t="inlineStr">
        <is>
          <t>135792468202211125501</t>
        </is>
      </c>
      <c r="B102" s="4108" t="inlineStr">
        <is>
          <t>125501</t>
        </is>
      </c>
      <c r="C102" s="4108" t="inlineStr">
        <is>
          <t>135792468</t>
        </is>
      </c>
      <c r="D102" s="4108" t="inlineStr">
        <is>
          <t>202211</t>
        </is>
      </c>
      <c r="E102" s="4108" t="inlineStr">
        <is>
          <t>0,000000000000</t>
        </is>
      </c>
    </row>
    <row outlineLevel="0" r="103">
      <c r="A103" s="4108" t="inlineStr">
        <is>
          <t>135792468202211126001</t>
        </is>
      </c>
      <c r="B103" s="4108" t="inlineStr">
        <is>
          <t>126001</t>
        </is>
      </c>
      <c r="C103" s="4108" t="inlineStr">
        <is>
          <t>135792468</t>
        </is>
      </c>
      <c r="D103" s="4108" t="inlineStr">
        <is>
          <t>202211</t>
        </is>
      </c>
      <c r="E103" s="4108" t="inlineStr">
        <is>
          <t>0,000000000000</t>
        </is>
      </c>
    </row>
    <row outlineLevel="0" r="104">
      <c r="A104" s="4108" t="inlineStr">
        <is>
          <t>135792468202211129501</t>
        </is>
      </c>
      <c r="B104" s="4108" t="inlineStr">
        <is>
          <t>129501</t>
        </is>
      </c>
      <c r="C104" s="4108" t="inlineStr">
        <is>
          <t>135792468</t>
        </is>
      </c>
      <c r="D104" s="4108" t="inlineStr">
        <is>
          <t>202211</t>
        </is>
      </c>
      <c r="E104" s="4108" t="inlineStr">
        <is>
          <t>0,000000000000</t>
        </is>
      </c>
    </row>
    <row outlineLevel="0" r="105">
      <c r="A105" s="4108" t="inlineStr">
        <is>
          <t>135792468202211129700</t>
        </is>
      </c>
      <c r="B105" s="4108" t="inlineStr">
        <is>
          <t>129700</t>
        </is>
      </c>
      <c r="C105" s="4108" t="inlineStr">
        <is>
          <t>135792468</t>
        </is>
      </c>
      <c r="D105" s="4108" t="inlineStr">
        <is>
          <t>202211</t>
        </is>
      </c>
      <c r="E105" s="4108" t="inlineStr">
        <is>
          <t>0,000000000000</t>
        </is>
      </c>
    </row>
    <row outlineLevel="0" r="106">
      <c r="A106" s="4108" t="inlineStr">
        <is>
          <t>135792468202211129701</t>
        </is>
      </c>
      <c r="B106" s="4108" t="inlineStr">
        <is>
          <t>129701</t>
        </is>
      </c>
      <c r="C106" s="4108" t="inlineStr">
        <is>
          <t>135792468</t>
        </is>
      </c>
      <c r="D106" s="4108" t="inlineStr">
        <is>
          <t>202211</t>
        </is>
      </c>
      <c r="E106" s="4108" t="inlineStr">
        <is>
          <t>0,000000000000</t>
        </is>
      </c>
    </row>
    <row outlineLevel="0" r="107">
      <c r="A107" s="4108" t="inlineStr">
        <is>
          <t>135792468202211129901</t>
        </is>
      </c>
      <c r="B107" s="4108" t="inlineStr">
        <is>
          <t>129901</t>
        </is>
      </c>
      <c r="C107" s="4108" t="inlineStr">
        <is>
          <t>135792468</t>
        </is>
      </c>
      <c r="D107" s="4108" t="inlineStr">
        <is>
          <t>202211</t>
        </is>
      </c>
      <c r="E107" s="4108" t="inlineStr">
        <is>
          <t>0,000000000000</t>
        </is>
      </c>
    </row>
    <row outlineLevel="0" r="108">
      <c r="A108" s="4108" t="inlineStr">
        <is>
          <t>135792468202211130506</t>
        </is>
      </c>
      <c r="B108" s="4108" t="inlineStr">
        <is>
          <t>130506</t>
        </is>
      </c>
      <c r="C108" s="4108" t="inlineStr">
        <is>
          <t>135792468</t>
        </is>
      </c>
      <c r="D108" s="4108" t="inlineStr">
        <is>
          <t>202211</t>
        </is>
      </c>
      <c r="E108" s="4108" t="inlineStr">
        <is>
          <t>0,000000000000</t>
        </is>
      </c>
    </row>
    <row outlineLevel="0" r="109">
      <c r="A109" s="4108" t="inlineStr">
        <is>
          <t>135792468202211130510</t>
        </is>
      </c>
      <c r="B109" s="4108" t="inlineStr">
        <is>
          <t>130510</t>
        </is>
      </c>
      <c r="C109" s="4108" t="inlineStr">
        <is>
          <t>135792468</t>
        </is>
      </c>
      <c r="D109" s="4108" t="inlineStr">
        <is>
          <t>202211</t>
        </is>
      </c>
      <c r="E109" s="4108" t="inlineStr">
        <is>
          <t>0,000000000000</t>
        </is>
      </c>
    </row>
    <row outlineLevel="0" r="110">
      <c r="A110" s="4108" t="inlineStr">
        <is>
          <t>135792468202211130511</t>
        </is>
      </c>
      <c r="B110" s="4108" t="inlineStr">
        <is>
          <t>130511</t>
        </is>
      </c>
      <c r="C110" s="4108" t="inlineStr">
        <is>
          <t>135792468</t>
        </is>
      </c>
      <c r="D110" s="4108" t="inlineStr">
        <is>
          <t>202211</t>
        </is>
      </c>
      <c r="E110" s="4108" t="inlineStr">
        <is>
          <t>0,000000000000</t>
        </is>
      </c>
    </row>
    <row outlineLevel="0" r="111">
      <c r="A111" s="4108" t="inlineStr">
        <is>
          <t>135792468202211131000</t>
        </is>
      </c>
      <c r="B111" s="4108" t="inlineStr">
        <is>
          <t>131000</t>
        </is>
      </c>
      <c r="C111" s="4108" t="inlineStr">
        <is>
          <t>135792468</t>
        </is>
      </c>
      <c r="D111" s="4108" t="inlineStr">
        <is>
          <t>202211</t>
        </is>
      </c>
      <c r="E111" s="4108" t="inlineStr">
        <is>
          <t>0,000000000000</t>
        </is>
      </c>
    </row>
    <row outlineLevel="0" r="112">
      <c r="A112" s="4108" t="inlineStr">
        <is>
          <t>135792468202211131001</t>
        </is>
      </c>
      <c r="B112" s="4108" t="inlineStr">
        <is>
          <t>131001</t>
        </is>
      </c>
      <c r="C112" s="4108" t="inlineStr">
        <is>
          <t>135792468</t>
        </is>
      </c>
      <c r="D112" s="4108" t="inlineStr">
        <is>
          <t>202211</t>
        </is>
      </c>
      <c r="E112" s="4108" t="inlineStr">
        <is>
          <t>0,000000000000</t>
        </is>
      </c>
    </row>
    <row outlineLevel="0" r="113">
      <c r="A113" s="4108" t="inlineStr">
        <is>
          <t>135792468202211131501</t>
        </is>
      </c>
      <c r="B113" s="4108" t="inlineStr">
        <is>
          <t>131501</t>
        </is>
      </c>
      <c r="C113" s="4108" t="inlineStr">
        <is>
          <t>135792468</t>
        </is>
      </c>
      <c r="D113" s="4108" t="inlineStr">
        <is>
          <t>202211</t>
        </is>
      </c>
      <c r="E113" s="4108" t="inlineStr">
        <is>
          <t>0,000000000000</t>
        </is>
      </c>
    </row>
    <row outlineLevel="0" r="114">
      <c r="A114" s="4108" t="inlineStr">
        <is>
          <t>135792468202211132000</t>
        </is>
      </c>
      <c r="B114" s="4108" t="inlineStr">
        <is>
          <t>132000</t>
        </is>
      </c>
      <c r="C114" s="4108" t="inlineStr">
        <is>
          <t>135792468</t>
        </is>
      </c>
      <c r="D114" s="4108" t="inlineStr">
        <is>
          <t>202211</t>
        </is>
      </c>
      <c r="E114" s="4108" t="inlineStr">
        <is>
          <t>0,000000000000</t>
        </is>
      </c>
    </row>
    <row outlineLevel="0" r="115">
      <c r="A115" s="4108" t="inlineStr">
        <is>
          <t>135792468202211132001</t>
        </is>
      </c>
      <c r="B115" s="4108" t="inlineStr">
        <is>
          <t>132001</t>
        </is>
      </c>
      <c r="C115" s="4108" t="inlineStr">
        <is>
          <t>135792468</t>
        </is>
      </c>
      <c r="D115" s="4108" t="inlineStr">
        <is>
          <t>202211</t>
        </is>
      </c>
      <c r="E115" s="4108" t="inlineStr">
        <is>
          <t>0,000000000000</t>
        </is>
      </c>
    </row>
    <row outlineLevel="0" r="116">
      <c r="A116" s="4108" t="inlineStr">
        <is>
          <t>135792468202211132500</t>
        </is>
      </c>
      <c r="B116" s="4108" t="inlineStr">
        <is>
          <t>132500</t>
        </is>
      </c>
      <c r="C116" s="4108" t="inlineStr">
        <is>
          <t>135792468</t>
        </is>
      </c>
      <c r="D116" s="4108" t="inlineStr">
        <is>
          <t>202211</t>
        </is>
      </c>
      <c r="E116" s="4108" t="inlineStr">
        <is>
          <t>0,000000000000</t>
        </is>
      </c>
    </row>
    <row outlineLevel="0" r="117">
      <c r="A117" s="4108" t="inlineStr">
        <is>
          <t>135792468202211132501</t>
        </is>
      </c>
      <c r="B117" s="4108" t="inlineStr">
        <is>
          <t>132501</t>
        </is>
      </c>
      <c r="C117" s="4108" t="inlineStr">
        <is>
          <t>135792468</t>
        </is>
      </c>
      <c r="D117" s="4108" t="inlineStr">
        <is>
          <t>202211</t>
        </is>
      </c>
      <c r="E117" s="4108" t="inlineStr">
        <is>
          <t>0,000000000000</t>
        </is>
      </c>
    </row>
    <row outlineLevel="0" r="118">
      <c r="A118" s="4108" t="inlineStr">
        <is>
          <t>135792468202211133000</t>
        </is>
      </c>
      <c r="B118" s="4108" t="inlineStr">
        <is>
          <t>133000</t>
        </is>
      </c>
      <c r="C118" s="4108" t="inlineStr">
        <is>
          <t>135792468</t>
        </is>
      </c>
      <c r="D118" s="4108" t="inlineStr">
        <is>
          <t>202211</t>
        </is>
      </c>
      <c r="E118" s="4108" t="inlineStr">
        <is>
          <t>0,000000000000</t>
        </is>
      </c>
    </row>
    <row outlineLevel="0" r="119">
      <c r="A119" s="4108" t="inlineStr">
        <is>
          <t>135792468202211133001</t>
        </is>
      </c>
      <c r="B119" s="4108" t="inlineStr">
        <is>
          <t>133001</t>
        </is>
      </c>
      <c r="C119" s="4108" t="inlineStr">
        <is>
          <t>135792468</t>
        </is>
      </c>
      <c r="D119" s="4108" t="inlineStr">
        <is>
          <t>202211</t>
        </is>
      </c>
      <c r="E119" s="4108" t="inlineStr">
        <is>
          <t>0,000000000000</t>
        </is>
      </c>
    </row>
    <row outlineLevel="0" r="120">
      <c r="A120" s="4108" t="inlineStr">
        <is>
          <t>135792468202211133500</t>
        </is>
      </c>
      <c r="B120" s="4108" t="inlineStr">
        <is>
          <t>133500</t>
        </is>
      </c>
      <c r="C120" s="4108" t="inlineStr">
        <is>
          <t>135792468</t>
        </is>
      </c>
      <c r="D120" s="4108" t="inlineStr">
        <is>
          <t>202211</t>
        </is>
      </c>
      <c r="E120" s="4108" t="inlineStr">
        <is>
          <t>48,000000000000</t>
        </is>
      </c>
    </row>
    <row outlineLevel="0" r="121">
      <c r="A121" s="4108" t="inlineStr">
        <is>
          <t>135792468202211133501</t>
        </is>
      </c>
      <c r="B121" s="4108" t="inlineStr">
        <is>
          <t>133501</t>
        </is>
      </c>
      <c r="C121" s="4108" t="inlineStr">
        <is>
          <t>135792468</t>
        </is>
      </c>
      <c r="D121" s="4108" t="inlineStr">
        <is>
          <t>202211</t>
        </is>
      </c>
      <c r="E121" s="4108" t="inlineStr">
        <is>
          <t>0,000000000000</t>
        </is>
      </c>
    </row>
    <row outlineLevel="0" r="122">
      <c r="A122" s="4108" t="inlineStr">
        <is>
          <t>135792468202211134000</t>
        </is>
      </c>
      <c r="B122" s="4108" t="inlineStr">
        <is>
          <t>134000</t>
        </is>
      </c>
      <c r="C122" s="4108" t="inlineStr">
        <is>
          <t>135792468</t>
        </is>
      </c>
      <c r="D122" s="4108" t="inlineStr">
        <is>
          <t>202211</t>
        </is>
      </c>
      <c r="E122" s="4108" t="inlineStr">
        <is>
          <t>0,000000000000</t>
        </is>
      </c>
    </row>
    <row outlineLevel="0" r="123">
      <c r="A123" s="4108" t="inlineStr">
        <is>
          <t>135792468202211134001</t>
        </is>
      </c>
      <c r="B123" s="4108" t="inlineStr">
        <is>
          <t>134001</t>
        </is>
      </c>
      <c r="C123" s="4108" t="inlineStr">
        <is>
          <t>135792468</t>
        </is>
      </c>
      <c r="D123" s="4108" t="inlineStr">
        <is>
          <t>202211</t>
        </is>
      </c>
      <c r="E123" s="4108" t="inlineStr">
        <is>
          <t>0,000000000000</t>
        </is>
      </c>
    </row>
    <row outlineLevel="0" r="124">
      <c r="A124" s="4108" t="inlineStr">
        <is>
          <t>135792468202211134500</t>
        </is>
      </c>
      <c r="B124" s="4108" t="inlineStr">
        <is>
          <t>134500</t>
        </is>
      </c>
      <c r="C124" s="4108" t="inlineStr">
        <is>
          <t>135792468</t>
        </is>
      </c>
      <c r="D124" s="4108" t="inlineStr">
        <is>
          <t>202211</t>
        </is>
      </c>
      <c r="E124" s="4108" t="inlineStr">
        <is>
          <t>0,000000000000</t>
        </is>
      </c>
    </row>
    <row outlineLevel="0" r="125">
      <c r="A125" s="4108" t="inlineStr">
        <is>
          <t>135792468202211134501</t>
        </is>
      </c>
      <c r="B125" s="4108" t="inlineStr">
        <is>
          <t>134501</t>
        </is>
      </c>
      <c r="C125" s="4108" t="inlineStr">
        <is>
          <t>135792468</t>
        </is>
      </c>
      <c r="D125" s="4108" t="inlineStr">
        <is>
          <t>202211</t>
        </is>
      </c>
      <c r="E125" s="4108" t="inlineStr">
        <is>
          <t>0,000000000000</t>
        </is>
      </c>
    </row>
    <row outlineLevel="0" r="126">
      <c r="A126" s="4108" t="inlineStr">
        <is>
          <t>135792468202211135000</t>
        </is>
      </c>
      <c r="B126" s="4108" t="inlineStr">
        <is>
          <t>135000</t>
        </is>
      </c>
      <c r="C126" s="4108" t="inlineStr">
        <is>
          <t>135792468</t>
        </is>
      </c>
      <c r="D126" s="4108" t="inlineStr">
        <is>
          <t>202211</t>
        </is>
      </c>
      <c r="E126" s="4108" t="inlineStr">
        <is>
          <t>0,000000000000</t>
        </is>
      </c>
    </row>
    <row outlineLevel="0" r="127">
      <c r="A127" s="4108" t="inlineStr">
        <is>
          <t>135792468202211135001</t>
        </is>
      </c>
      <c r="B127" s="4108" t="inlineStr">
        <is>
          <t>135001</t>
        </is>
      </c>
      <c r="C127" s="4108" t="inlineStr">
        <is>
          <t>135792468</t>
        </is>
      </c>
      <c r="D127" s="4108" t="inlineStr">
        <is>
          <t>202211</t>
        </is>
      </c>
      <c r="E127" s="4108" t="inlineStr">
        <is>
          <t>0,000000000000</t>
        </is>
      </c>
    </row>
    <row outlineLevel="0" r="128">
      <c r="A128" s="4108" t="inlineStr">
        <is>
          <t>135792468202211135500</t>
        </is>
      </c>
      <c r="B128" s="4108" t="inlineStr">
        <is>
          <t>135500</t>
        </is>
      </c>
      <c r="C128" s="4108" t="inlineStr">
        <is>
          <t>135792468</t>
        </is>
      </c>
      <c r="D128" s="4108" t="inlineStr">
        <is>
          <t>202211</t>
        </is>
      </c>
      <c r="E128" s="4108" t="inlineStr">
        <is>
          <t>0,000000000000</t>
        </is>
      </c>
    </row>
    <row outlineLevel="0" r="129">
      <c r="A129" s="4108" t="inlineStr">
        <is>
          <t>135792468202211135501</t>
        </is>
      </c>
      <c r="B129" s="4108" t="inlineStr">
        <is>
          <t>135501</t>
        </is>
      </c>
      <c r="C129" s="4108" t="inlineStr">
        <is>
          <t>135792468</t>
        </is>
      </c>
      <c r="D129" s="4108" t="inlineStr">
        <is>
          <t>202211</t>
        </is>
      </c>
      <c r="E129" s="4108" t="inlineStr">
        <is>
          <t>0,000000000000</t>
        </is>
      </c>
    </row>
    <row outlineLevel="0" r="130">
      <c r="A130" s="4108" t="inlineStr">
        <is>
          <t>135792468202211136000</t>
        </is>
      </c>
      <c r="B130" s="4108" t="inlineStr">
        <is>
          <t>136000</t>
        </is>
      </c>
      <c r="C130" s="4108" t="inlineStr">
        <is>
          <t>135792468</t>
        </is>
      </c>
      <c r="D130" s="4108" t="inlineStr">
        <is>
          <t>202211</t>
        </is>
      </c>
      <c r="E130" s="4108" t="inlineStr">
        <is>
          <t>0,000000000000</t>
        </is>
      </c>
    </row>
    <row outlineLevel="0" r="131">
      <c r="A131" s="4108" t="inlineStr">
        <is>
          <t>135792468202211136001</t>
        </is>
      </c>
      <c r="B131" s="4108" t="inlineStr">
        <is>
          <t>136001</t>
        </is>
      </c>
      <c r="C131" s="4108" t="inlineStr">
        <is>
          <t>135792468</t>
        </is>
      </c>
      <c r="D131" s="4108" t="inlineStr">
        <is>
          <t>202211</t>
        </is>
      </c>
      <c r="E131" s="4108" t="inlineStr">
        <is>
          <t>0,000000000000</t>
        </is>
      </c>
    </row>
    <row outlineLevel="0" r="132">
      <c r="A132" s="4108" t="inlineStr">
        <is>
          <t>135792468202211136500</t>
        </is>
      </c>
      <c r="B132" s="4108" t="inlineStr">
        <is>
          <t>136500</t>
        </is>
      </c>
      <c r="C132" s="4108" t="inlineStr">
        <is>
          <t>135792468</t>
        </is>
      </c>
      <c r="D132" s="4108" t="inlineStr">
        <is>
          <t>202211</t>
        </is>
      </c>
      <c r="E132" s="4108" t="inlineStr">
        <is>
          <t>0,000000000000</t>
        </is>
      </c>
    </row>
    <row outlineLevel="0" r="133">
      <c r="A133" s="4108" t="inlineStr">
        <is>
          <t>135792468202211136501</t>
        </is>
      </c>
      <c r="B133" s="4108" t="inlineStr">
        <is>
          <t>136501</t>
        </is>
      </c>
      <c r="C133" s="4108" t="inlineStr">
        <is>
          <t>135792468</t>
        </is>
      </c>
      <c r="D133" s="4108" t="inlineStr">
        <is>
          <t>202211</t>
        </is>
      </c>
      <c r="E133" s="4108" t="inlineStr">
        <is>
          <t>0,000000000000</t>
        </is>
      </c>
    </row>
    <row outlineLevel="0" r="134">
      <c r="A134" s="4108" t="inlineStr">
        <is>
          <t>135792468202211137000</t>
        </is>
      </c>
      <c r="B134" s="4108" t="inlineStr">
        <is>
          <t>137000</t>
        </is>
      </c>
      <c r="C134" s="4108" t="inlineStr">
        <is>
          <t>135792468</t>
        </is>
      </c>
      <c r="D134" s="4108" t="inlineStr">
        <is>
          <t>202211</t>
        </is>
      </c>
      <c r="E134" s="4108" t="inlineStr">
        <is>
          <t>0,000000000000</t>
        </is>
      </c>
    </row>
    <row outlineLevel="0" r="135">
      <c r="A135" s="4108" t="inlineStr">
        <is>
          <t>135792468202211137001</t>
        </is>
      </c>
      <c r="B135" s="4108" t="inlineStr">
        <is>
          <t>137001</t>
        </is>
      </c>
      <c r="C135" s="4108" t="inlineStr">
        <is>
          <t>135792468</t>
        </is>
      </c>
      <c r="D135" s="4108" t="inlineStr">
        <is>
          <t>202211</t>
        </is>
      </c>
      <c r="E135" s="4108" t="inlineStr">
        <is>
          <t>0,000000000000</t>
        </is>
      </c>
    </row>
    <row outlineLevel="0" r="136">
      <c r="A136" s="4108" t="inlineStr">
        <is>
          <t>135792468202211138001</t>
        </is>
      </c>
      <c r="B136" s="4108" t="inlineStr">
        <is>
          <t>138001</t>
        </is>
      </c>
      <c r="C136" s="4108" t="inlineStr">
        <is>
          <t>135792468</t>
        </is>
      </c>
      <c r="D136" s="4108" t="inlineStr">
        <is>
          <t>202211</t>
        </is>
      </c>
      <c r="E136" s="4108" t="inlineStr">
        <is>
          <t>0,000000000000</t>
        </is>
      </c>
    </row>
    <row outlineLevel="0" r="137">
      <c r="A137" s="4108" t="inlineStr">
        <is>
          <t>135792468202211138501</t>
        </is>
      </c>
      <c r="B137" s="4108" t="inlineStr">
        <is>
          <t>138501</t>
        </is>
      </c>
      <c r="C137" s="4108" t="inlineStr">
        <is>
          <t>135792468</t>
        </is>
      </c>
      <c r="D137" s="4108" t="inlineStr">
        <is>
          <t>202211</t>
        </is>
      </c>
      <c r="E137" s="4108" t="inlineStr">
        <is>
          <t>0,000000000000</t>
        </is>
      </c>
    </row>
    <row outlineLevel="0" r="138">
      <c r="A138" s="4108" t="inlineStr">
        <is>
          <t>135792468202211139000</t>
        </is>
      </c>
      <c r="B138" s="4108" t="inlineStr">
        <is>
          <t>139000</t>
        </is>
      </c>
      <c r="C138" s="4108" t="inlineStr">
        <is>
          <t>135792468</t>
        </is>
      </c>
      <c r="D138" s="4108" t="inlineStr">
        <is>
          <t>202211</t>
        </is>
      </c>
      <c r="E138" s="4108" t="inlineStr">
        <is>
          <t>0,000000000000</t>
        </is>
      </c>
    </row>
    <row outlineLevel="0" r="139">
      <c r="A139" s="4108" t="inlineStr">
        <is>
          <t>135792468202211139001</t>
        </is>
      </c>
      <c r="B139" s="4108" t="inlineStr">
        <is>
          <t>139001</t>
        </is>
      </c>
      <c r="C139" s="4108" t="inlineStr">
        <is>
          <t>135792468</t>
        </is>
      </c>
      <c r="D139" s="4108" t="inlineStr">
        <is>
          <t>202211</t>
        </is>
      </c>
      <c r="E139" s="4108" t="inlineStr">
        <is>
          <t>0,000000000000</t>
        </is>
      </c>
    </row>
    <row outlineLevel="0" r="140">
      <c r="A140" s="4108" t="inlineStr">
        <is>
          <t>135792468202211139500</t>
        </is>
      </c>
      <c r="B140" s="4108" t="inlineStr">
        <is>
          <t>139500</t>
        </is>
      </c>
      <c r="C140" s="4108" t="inlineStr">
        <is>
          <t>135792468</t>
        </is>
      </c>
      <c r="D140" s="4108" t="inlineStr">
        <is>
          <t>202211</t>
        </is>
      </c>
      <c r="E140" s="4108" t="inlineStr">
        <is>
          <t>0,000000000000</t>
        </is>
      </c>
    </row>
    <row outlineLevel="0" r="141">
      <c r="A141" s="4108" t="inlineStr">
        <is>
          <t>135792468202211139901</t>
        </is>
      </c>
      <c r="B141" s="4108" t="inlineStr">
        <is>
          <t>139901</t>
        </is>
      </c>
      <c r="C141" s="4108" t="inlineStr">
        <is>
          <t>135792468</t>
        </is>
      </c>
      <c r="D141" s="4108" t="inlineStr">
        <is>
          <t>202211</t>
        </is>
      </c>
      <c r="E141" s="4108" t="inlineStr">
        <is>
          <t>0,000000000000</t>
        </is>
      </c>
    </row>
    <row outlineLevel="0" r="142">
      <c r="A142" s="4108" t="inlineStr">
        <is>
          <t>135792468202211139905</t>
        </is>
      </c>
      <c r="B142" s="4108" t="inlineStr">
        <is>
          <t>139905</t>
        </is>
      </c>
      <c r="C142" s="4108" t="inlineStr">
        <is>
          <t>135792468</t>
        </is>
      </c>
      <c r="D142" s="4108" t="inlineStr">
        <is>
          <t>202211</t>
        </is>
      </c>
      <c r="E142" s="4108" t="inlineStr">
        <is>
          <t>0,000000000000</t>
        </is>
      </c>
    </row>
    <row outlineLevel="0" r="143">
      <c r="A143" s="4108" t="inlineStr">
        <is>
          <t>135792468202211140005</t>
        </is>
      </c>
      <c r="B143" s="4108" t="inlineStr">
        <is>
          <t>140005</t>
        </is>
      </c>
      <c r="C143" s="4108" t="inlineStr">
        <is>
          <t>135792468</t>
        </is>
      </c>
      <c r="D143" s="4108" t="inlineStr">
        <is>
          <t>202211</t>
        </is>
      </c>
      <c r="E143" s="4108" t="inlineStr">
        <is>
          <t>0,000000000000</t>
        </is>
      </c>
    </row>
    <row outlineLevel="0" r="144">
      <c r="A144" s="4108" t="inlineStr">
        <is>
          <t>135792468202211140010</t>
        </is>
      </c>
      <c r="B144" s="4108" t="inlineStr">
        <is>
          <t>140010</t>
        </is>
      </c>
      <c r="C144" s="4108" t="inlineStr">
        <is>
          <t>135792468</t>
        </is>
      </c>
      <c r="D144" s="4108" t="inlineStr">
        <is>
          <t>202211</t>
        </is>
      </c>
      <c r="E144" s="4108" t="inlineStr">
        <is>
          <t>0,000000000000</t>
        </is>
      </c>
    </row>
    <row outlineLevel="0" r="145">
      <c r="A145" s="4108" t="inlineStr">
        <is>
          <t>135792468202211142500</t>
        </is>
      </c>
      <c r="B145" s="4108" t="inlineStr">
        <is>
          <t>142500</t>
        </is>
      </c>
      <c r="C145" s="4108" t="inlineStr">
        <is>
          <t>135792468</t>
        </is>
      </c>
      <c r="D145" s="4108" t="inlineStr">
        <is>
          <t>202211</t>
        </is>
      </c>
      <c r="E145" s="4108" t="inlineStr">
        <is>
          <t>0,000000000000</t>
        </is>
      </c>
    </row>
    <row outlineLevel="0" r="146">
      <c r="A146" s="4108" t="inlineStr">
        <is>
          <t>135792468202211143500</t>
        </is>
      </c>
      <c r="B146" s="4108" t="inlineStr">
        <is>
          <t>143500</t>
        </is>
      </c>
      <c r="C146" s="4108" t="inlineStr">
        <is>
          <t>135792468</t>
        </is>
      </c>
      <c r="D146" s="4108" t="inlineStr">
        <is>
          <t>202211</t>
        </is>
      </c>
      <c r="E146" s="4108" t="inlineStr">
        <is>
          <t>0,000000000000</t>
        </is>
      </c>
    </row>
    <row outlineLevel="0" r="147">
      <c r="A147" s="4108" t="inlineStr">
        <is>
          <t>135792468202211145500</t>
        </is>
      </c>
      <c r="B147" s="4108" t="inlineStr">
        <is>
          <t>145500</t>
        </is>
      </c>
      <c r="C147" s="4108" t="inlineStr">
        <is>
          <t>135792468</t>
        </is>
      </c>
      <c r="D147" s="4108" t="inlineStr">
        <is>
          <t>202211</t>
        </is>
      </c>
      <c r="E147" s="4108" t="inlineStr">
        <is>
          <t>0,000000000000</t>
        </is>
      </c>
    </row>
    <row outlineLevel="0" r="148">
      <c r="A148" s="4108" t="inlineStr">
        <is>
          <t>135792468202211146000</t>
        </is>
      </c>
      <c r="B148" s="4108" t="inlineStr">
        <is>
          <t>146000</t>
        </is>
      </c>
      <c r="C148" s="4108" t="inlineStr">
        <is>
          <t>135792468</t>
        </is>
      </c>
      <c r="D148" s="4108" t="inlineStr">
        <is>
          <t>202211</t>
        </is>
      </c>
      <c r="E148" s="4108" t="inlineStr">
        <is>
          <t>0,000000000000</t>
        </is>
      </c>
    </row>
    <row outlineLevel="0" r="149">
      <c r="A149" s="4108" t="inlineStr">
        <is>
          <t>135792468202211149510</t>
        </is>
      </c>
      <c r="B149" s="4108" t="inlineStr">
        <is>
          <t>149510</t>
        </is>
      </c>
      <c r="C149" s="4108" t="inlineStr">
        <is>
          <t>135792468</t>
        </is>
      </c>
      <c r="D149" s="4108" t="inlineStr">
        <is>
          <t>202211</t>
        </is>
      </c>
      <c r="E149" s="4108" t="inlineStr">
        <is>
          <t>0,000000000000</t>
        </is>
      </c>
    </row>
    <row outlineLevel="0" r="150">
      <c r="A150" s="4108" t="inlineStr">
        <is>
          <t>135792468202211149900</t>
        </is>
      </c>
      <c r="B150" s="4108" t="inlineStr">
        <is>
          <t>149900</t>
        </is>
      </c>
      <c r="C150" s="4108" t="inlineStr">
        <is>
          <t>135792468</t>
        </is>
      </c>
      <c r="D150" s="4108" t="inlineStr">
        <is>
          <t>202211</t>
        </is>
      </c>
      <c r="E150" s="4108" t="inlineStr">
        <is>
          <t>0,000000000000</t>
        </is>
      </c>
    </row>
    <row outlineLevel="0" r="151">
      <c r="A151" s="4108" t="inlineStr">
        <is>
          <t>135792468202211149901</t>
        </is>
      </c>
      <c r="B151" s="4108" t="inlineStr">
        <is>
          <t>149901</t>
        </is>
      </c>
      <c r="C151" s="4108" t="inlineStr">
        <is>
          <t>135792468</t>
        </is>
      </c>
      <c r="D151" s="4108" t="inlineStr">
        <is>
          <t>202211</t>
        </is>
      </c>
      <c r="E151" s="4108" t="inlineStr">
        <is>
          <t>0,000000000000</t>
        </is>
      </c>
    </row>
    <row outlineLevel="0" r="152">
      <c r="A152" s="4108" t="inlineStr">
        <is>
          <t>135792468202211149902</t>
        </is>
      </c>
      <c r="B152" s="4108" t="inlineStr">
        <is>
          <t>149902</t>
        </is>
      </c>
      <c r="C152" s="4108" t="inlineStr">
        <is>
          <t>135792468</t>
        </is>
      </c>
      <c r="D152" s="4108" t="inlineStr">
        <is>
          <t>202211</t>
        </is>
      </c>
      <c r="E152" s="4108" t="inlineStr">
        <is>
          <t>0,000000000000</t>
        </is>
      </c>
    </row>
    <row outlineLevel="0" r="153">
      <c r="A153" s="4108" t="inlineStr">
        <is>
          <t>135792468202211149910</t>
        </is>
      </c>
      <c r="B153" s="4108" t="inlineStr">
        <is>
          <t>149910</t>
        </is>
      </c>
      <c r="C153" s="4108" t="inlineStr">
        <is>
          <t>135792468</t>
        </is>
      </c>
      <c r="D153" s="4108" t="inlineStr">
        <is>
          <t>202211</t>
        </is>
      </c>
      <c r="E153" s="4108" t="inlineStr">
        <is>
          <t>0,000000000000</t>
        </is>
      </c>
    </row>
    <row outlineLevel="0" r="154">
      <c r="A154" s="4108" t="inlineStr">
        <is>
          <t>135792468202211151201</t>
        </is>
      </c>
      <c r="B154" s="4108" t="inlineStr">
        <is>
          <t>151201</t>
        </is>
      </c>
      <c r="C154" s="4108" t="inlineStr">
        <is>
          <t>135792468</t>
        </is>
      </c>
      <c r="D154" s="4108" t="inlineStr">
        <is>
          <t>202211</t>
        </is>
      </c>
      <c r="E154" s="4108" t="inlineStr">
        <is>
          <t>0,000000000000</t>
        </is>
      </c>
    </row>
    <row outlineLevel="0" r="155">
      <c r="A155" s="4108" t="inlineStr">
        <is>
          <t>135792468202211155601</t>
        </is>
      </c>
      <c r="B155" s="4108" t="inlineStr">
        <is>
          <t>155601</t>
        </is>
      </c>
      <c r="C155" s="4108" t="inlineStr">
        <is>
          <t>135792468</t>
        </is>
      </c>
      <c r="D155" s="4108" t="inlineStr">
        <is>
          <t>202211</t>
        </is>
      </c>
      <c r="E155" s="4108" t="inlineStr">
        <is>
          <t>0,000000000000</t>
        </is>
      </c>
    </row>
    <row outlineLevel="0" r="156">
      <c r="A156" s="4108" t="inlineStr">
        <is>
          <t>135792468202211156001</t>
        </is>
      </c>
      <c r="B156" s="4108" t="inlineStr">
        <is>
          <t>156001</t>
        </is>
      </c>
      <c r="C156" s="4108" t="inlineStr">
        <is>
          <t>135792468</t>
        </is>
      </c>
      <c r="D156" s="4108" t="inlineStr">
        <is>
          <t>202211</t>
        </is>
      </c>
      <c r="E156" s="4108" t="inlineStr">
        <is>
          <t>0,000000000000</t>
        </is>
      </c>
    </row>
    <row outlineLevel="0" r="157">
      <c r="A157" s="4108" t="inlineStr">
        <is>
          <t>135792468202211156401</t>
        </is>
      </c>
      <c r="B157" s="4108" t="inlineStr">
        <is>
          <t>156401</t>
        </is>
      </c>
      <c r="C157" s="4108" t="inlineStr">
        <is>
          <t>135792468</t>
        </is>
      </c>
      <c r="D157" s="4108" t="inlineStr">
        <is>
          <t>202211</t>
        </is>
      </c>
      <c r="E157" s="4108" t="inlineStr">
        <is>
          <t>0,000000000000</t>
        </is>
      </c>
    </row>
    <row outlineLevel="0" r="158">
      <c r="A158" s="4108" t="inlineStr">
        <is>
          <t>135792468202211157201</t>
        </is>
      </c>
      <c r="B158" s="4108" t="inlineStr">
        <is>
          <t>157201</t>
        </is>
      </c>
      <c r="C158" s="4108" t="inlineStr">
        <is>
          <t>135792468</t>
        </is>
      </c>
      <c r="D158" s="4108" t="inlineStr">
        <is>
          <t>202211</t>
        </is>
      </c>
      <c r="E158" s="4108" t="inlineStr">
        <is>
          <t>0,000000000000</t>
        </is>
      </c>
    </row>
    <row outlineLevel="0" r="159">
      <c r="A159" s="4108" t="inlineStr">
        <is>
          <t>135792468202211157601</t>
        </is>
      </c>
      <c r="B159" s="4108" t="inlineStr">
        <is>
          <t>157601</t>
        </is>
      </c>
      <c r="C159" s="4108" t="inlineStr">
        <is>
          <t>135792468</t>
        </is>
      </c>
      <c r="D159" s="4108" t="inlineStr">
        <is>
          <t>202211</t>
        </is>
      </c>
      <c r="E159" s="4108" t="inlineStr">
        <is>
          <t>0,000000000000</t>
        </is>
      </c>
    </row>
    <row outlineLevel="0" r="160">
      <c r="A160" s="4108" t="inlineStr">
        <is>
          <t>135792468202211158401</t>
        </is>
      </c>
      <c r="B160" s="4108" t="inlineStr">
        <is>
          <t>158401</t>
        </is>
      </c>
      <c r="C160" s="4108" t="inlineStr">
        <is>
          <t>135792468</t>
        </is>
      </c>
      <c r="D160" s="4108" t="inlineStr">
        <is>
          <t>202211</t>
        </is>
      </c>
      <c r="E160" s="4108" t="inlineStr">
        <is>
          <t>0,000000000000</t>
        </is>
      </c>
    </row>
    <row outlineLevel="0" r="161">
      <c r="A161" s="4108" t="inlineStr">
        <is>
          <t>135792468202211158801</t>
        </is>
      </c>
      <c r="B161" s="4108" t="inlineStr">
        <is>
          <t>158801</t>
        </is>
      </c>
      <c r="C161" s="4108" t="inlineStr">
        <is>
          <t>135792468</t>
        </is>
      </c>
      <c r="D161" s="4108" t="inlineStr">
        <is>
          <t>202211</t>
        </is>
      </c>
      <c r="E161" s="4108" t="inlineStr">
        <is>
          <t>0,000000000000</t>
        </is>
      </c>
    </row>
    <row outlineLevel="0" r="162">
      <c r="A162" s="4108" t="inlineStr">
        <is>
          <t>135792468202211159701</t>
        </is>
      </c>
      <c r="B162" s="4108" t="inlineStr">
        <is>
          <t>159701</t>
        </is>
      </c>
      <c r="C162" s="4108" t="inlineStr">
        <is>
          <t>135792468</t>
        </is>
      </c>
      <c r="D162" s="4108" t="inlineStr">
        <is>
          <t>202211</t>
        </is>
      </c>
      <c r="E162" s="4108" t="inlineStr">
        <is>
          <t>0,000000000000</t>
        </is>
      </c>
    </row>
    <row outlineLevel="0" r="163">
      <c r="A163" s="4108" t="inlineStr">
        <is>
          <t>135792468202211159899</t>
        </is>
      </c>
      <c r="B163" s="4108" t="inlineStr">
        <is>
          <t>159899</t>
        </is>
      </c>
      <c r="C163" s="4108" t="inlineStr">
        <is>
          <t>135792468</t>
        </is>
      </c>
      <c r="D163" s="4108" t="inlineStr">
        <is>
          <t>202211</t>
        </is>
      </c>
      <c r="E163" s="4108" t="inlineStr">
        <is>
          <t>0,000000000000</t>
        </is>
      </c>
    </row>
    <row outlineLevel="0" r="164">
      <c r="A164" s="4108" t="inlineStr">
        <is>
          <t>135792468202211159901</t>
        </is>
      </c>
      <c r="B164" s="4108" t="inlineStr">
        <is>
          <t>159901</t>
        </is>
      </c>
      <c r="C164" s="4108" t="inlineStr">
        <is>
          <t>135792468</t>
        </is>
      </c>
      <c r="D164" s="4108" t="inlineStr">
        <is>
          <t>202211</t>
        </is>
      </c>
      <c r="E164" s="4108" t="inlineStr">
        <is>
          <t>0,000000000000</t>
        </is>
      </c>
    </row>
    <row outlineLevel="0" r="165">
      <c r="A165" s="4108" t="inlineStr">
        <is>
          <t>135792468202211160501</t>
        </is>
      </c>
      <c r="B165" s="4108" t="inlineStr">
        <is>
          <t>160501</t>
        </is>
      </c>
      <c r="C165" s="4108" t="inlineStr">
        <is>
          <t>135792468</t>
        </is>
      </c>
      <c r="D165" s="4108" t="inlineStr">
        <is>
          <t>202211</t>
        </is>
      </c>
      <c r="E165" s="4108" t="inlineStr">
        <is>
          <t>0,000000000000</t>
        </is>
      </c>
    </row>
    <row outlineLevel="0" r="166">
      <c r="A166" s="4108" t="inlineStr">
        <is>
          <t>135792468202211161001</t>
        </is>
      </c>
      <c r="B166" s="4108" t="inlineStr">
        <is>
          <t>161001</t>
        </is>
      </c>
      <c r="C166" s="4108" t="inlineStr">
        <is>
          <t>135792468</t>
        </is>
      </c>
      <c r="D166" s="4108" t="inlineStr">
        <is>
          <t>202211</t>
        </is>
      </c>
      <c r="E166" s="4108" t="inlineStr">
        <is>
          <t>0,000000000000</t>
        </is>
      </c>
    </row>
    <row outlineLevel="0" r="167">
      <c r="A167" s="4108" t="inlineStr">
        <is>
          <t>135792468202211163001</t>
        </is>
      </c>
      <c r="B167" s="4108" t="inlineStr">
        <is>
          <t>163001</t>
        </is>
      </c>
      <c r="C167" s="4108" t="inlineStr">
        <is>
          <t>135792468</t>
        </is>
      </c>
      <c r="D167" s="4108" t="inlineStr">
        <is>
          <t>202211</t>
        </is>
      </c>
      <c r="E167" s="4108" t="inlineStr">
        <is>
          <t>0,000000000000</t>
        </is>
      </c>
    </row>
    <row outlineLevel="0" r="168">
      <c r="A168" s="4108" t="inlineStr">
        <is>
          <t>135792468202211164001</t>
        </is>
      </c>
      <c r="B168" s="4108" t="inlineStr">
        <is>
          <t>164001</t>
        </is>
      </c>
      <c r="C168" s="4108" t="inlineStr">
        <is>
          <t>135792468</t>
        </is>
      </c>
      <c r="D168" s="4108" t="inlineStr">
        <is>
          <t>202211</t>
        </is>
      </c>
      <c r="E168" s="4108" t="inlineStr">
        <is>
          <t>0,000000000000</t>
        </is>
      </c>
    </row>
    <row outlineLevel="0" r="169">
      <c r="A169" s="4108" t="inlineStr">
        <is>
          <t>135792468202211169899</t>
        </is>
      </c>
      <c r="B169" s="4108" t="inlineStr">
        <is>
          <t>169899</t>
        </is>
      </c>
      <c r="C169" s="4108" t="inlineStr">
        <is>
          <t>135792468</t>
        </is>
      </c>
      <c r="D169" s="4108" t="inlineStr">
        <is>
          <t>202211</t>
        </is>
      </c>
      <c r="E169" s="4108" t="inlineStr">
        <is>
          <t>0,000000000000</t>
        </is>
      </c>
    </row>
    <row outlineLevel="0" r="170">
      <c r="A170" s="4108" t="inlineStr">
        <is>
          <t>135792468202211169901</t>
        </is>
      </c>
      <c r="B170" s="4108" t="inlineStr">
        <is>
          <t>169901</t>
        </is>
      </c>
      <c r="C170" s="4108" t="inlineStr">
        <is>
          <t>135792468</t>
        </is>
      </c>
      <c r="D170" s="4108" t="inlineStr">
        <is>
          <t>202211</t>
        </is>
      </c>
      <c r="E170" s="4108" t="inlineStr">
        <is>
          <t>0,000000000000</t>
        </is>
      </c>
    </row>
    <row outlineLevel="0" r="171">
      <c r="A171" s="4108" t="inlineStr">
        <is>
          <t>135792468202211170500</t>
        </is>
      </c>
      <c r="B171" s="4108" t="inlineStr">
        <is>
          <t>170500</t>
        </is>
      </c>
      <c r="C171" s="4108" t="inlineStr">
        <is>
          <t>135792468</t>
        </is>
      </c>
      <c r="D171" s="4108" t="inlineStr">
        <is>
          <t>202211</t>
        </is>
      </c>
      <c r="E171" s="4108" t="inlineStr">
        <is>
          <t>0,000000000000</t>
        </is>
      </c>
    </row>
    <row outlineLevel="0" r="172">
      <c r="A172" s="4108" t="inlineStr">
        <is>
          <t>135792468202211171000</t>
        </is>
      </c>
      <c r="B172" s="4108" t="inlineStr">
        <is>
          <t>171000</t>
        </is>
      </c>
      <c r="C172" s="4108" t="inlineStr">
        <is>
          <t>135792468</t>
        </is>
      </c>
      <c r="D172" s="4108" t="inlineStr">
        <is>
          <t>202211</t>
        </is>
      </c>
      <c r="E172" s="4108" t="inlineStr">
        <is>
          <t>0,000000000000</t>
        </is>
      </c>
    </row>
    <row outlineLevel="0" r="173">
      <c r="A173" s="4108" t="inlineStr">
        <is>
          <t>135792468202211173000</t>
        </is>
      </c>
      <c r="B173" s="4108" t="inlineStr">
        <is>
          <t>173000</t>
        </is>
      </c>
      <c r="C173" s="4108" t="inlineStr">
        <is>
          <t>135792468</t>
        </is>
      </c>
      <c r="D173" s="4108" t="inlineStr">
        <is>
          <t>202211</t>
        </is>
      </c>
      <c r="E173" s="4108" t="inlineStr">
        <is>
          <t>0,000000000000</t>
        </is>
      </c>
    </row>
    <row outlineLevel="0" r="174">
      <c r="A174" s="4108" t="inlineStr">
        <is>
          <t>135792468202211173001</t>
        </is>
      </c>
      <c r="B174" s="4108" t="inlineStr">
        <is>
          <t>173001</t>
        </is>
      </c>
      <c r="C174" s="4108" t="inlineStr">
        <is>
          <t>135792468</t>
        </is>
      </c>
      <c r="D174" s="4108" t="inlineStr">
        <is>
          <t>202211</t>
        </is>
      </c>
      <c r="E174" s="4108" t="inlineStr">
        <is>
          <t>0,000000000000</t>
        </is>
      </c>
    </row>
    <row outlineLevel="0" r="175">
      <c r="A175" s="4108" t="inlineStr">
        <is>
          <t>135792468202211179500</t>
        </is>
      </c>
      <c r="B175" s="4108" t="inlineStr">
        <is>
          <t>179500</t>
        </is>
      </c>
      <c r="C175" s="4108" t="inlineStr">
        <is>
          <t>135792468</t>
        </is>
      </c>
      <c r="D175" s="4108" t="inlineStr">
        <is>
          <t>202211</t>
        </is>
      </c>
      <c r="E175" s="4108" t="inlineStr">
        <is>
          <t>0,000000000000</t>
        </is>
      </c>
    </row>
    <row outlineLevel="0" r="176">
      <c r="A176" s="4108" t="inlineStr">
        <is>
          <t>135792468202211179700</t>
        </is>
      </c>
      <c r="B176" s="4108" t="inlineStr">
        <is>
          <t>179700</t>
        </is>
      </c>
      <c r="C176" s="4108" t="inlineStr">
        <is>
          <t>135792468</t>
        </is>
      </c>
      <c r="D176" s="4108" t="inlineStr">
        <is>
          <t>202211</t>
        </is>
      </c>
      <c r="E176" s="4108" t="inlineStr">
        <is>
          <t>0,000000000000</t>
        </is>
      </c>
    </row>
    <row outlineLevel="0" r="177">
      <c r="A177" s="4108" t="inlineStr">
        <is>
          <t>135792468202211179701</t>
        </is>
      </c>
      <c r="B177" s="4108" t="inlineStr">
        <is>
          <t>179701</t>
        </is>
      </c>
      <c r="C177" s="4108" t="inlineStr">
        <is>
          <t>135792468</t>
        </is>
      </c>
      <c r="D177" s="4108" t="inlineStr">
        <is>
          <t>202211</t>
        </is>
      </c>
      <c r="E177" s="4108" t="inlineStr">
        <is>
          <t>0,000000000000</t>
        </is>
      </c>
    </row>
    <row outlineLevel="0" r="178">
      <c r="A178" s="4108" t="inlineStr">
        <is>
          <t>135792468202211179801</t>
        </is>
      </c>
      <c r="B178" s="4108" t="inlineStr">
        <is>
          <t>179801</t>
        </is>
      </c>
      <c r="C178" s="4108" t="inlineStr">
        <is>
          <t>135792468</t>
        </is>
      </c>
      <c r="D178" s="4108" t="inlineStr">
        <is>
          <t>202211</t>
        </is>
      </c>
      <c r="E178" s="4108" t="inlineStr">
        <is>
          <t>0,000000000000</t>
        </is>
      </c>
    </row>
    <row outlineLevel="0" r="179">
      <c r="A179" s="4108" t="inlineStr">
        <is>
          <t>135792468202211180000</t>
        </is>
      </c>
      <c r="B179" s="4108" t="inlineStr">
        <is>
          <t>180000</t>
        </is>
      </c>
      <c r="C179" s="4108" t="inlineStr">
        <is>
          <t>135792468</t>
        </is>
      </c>
      <c r="D179" s="4108" t="inlineStr">
        <is>
          <t>202211</t>
        </is>
      </c>
      <c r="E179" s="4108" t="inlineStr">
        <is>
          <t>0,000000000000</t>
        </is>
      </c>
    </row>
    <row outlineLevel="0" r="180">
      <c r="A180" s="4108" t="inlineStr">
        <is>
          <t>135792468202211180501</t>
        </is>
      </c>
      <c r="B180" s="4108" t="inlineStr">
        <is>
          <t>180501</t>
        </is>
      </c>
      <c r="C180" s="4108" t="inlineStr">
        <is>
          <t>135792468</t>
        </is>
      </c>
      <c r="D180" s="4108" t="inlineStr">
        <is>
          <t>202211</t>
        </is>
      </c>
      <c r="E180" s="4108" t="inlineStr">
        <is>
          <t>0,000000000000</t>
        </is>
      </c>
    </row>
    <row outlineLevel="0" r="181">
      <c r="A181" s="4108" t="inlineStr">
        <is>
          <t>135792468202211181000</t>
        </is>
      </c>
      <c r="B181" s="4108" t="inlineStr">
        <is>
          <t>181000</t>
        </is>
      </c>
      <c r="C181" s="4108" t="inlineStr">
        <is>
          <t>135792468</t>
        </is>
      </c>
      <c r="D181" s="4108" t="inlineStr">
        <is>
          <t>202211</t>
        </is>
      </c>
      <c r="E181" s="4108" t="inlineStr">
        <is>
          <t>0,000000000000</t>
        </is>
      </c>
    </row>
    <row outlineLevel="0" r="182">
      <c r="A182" s="4108" t="inlineStr">
        <is>
          <t>135792468202211189500</t>
        </is>
      </c>
      <c r="B182" s="4108" t="inlineStr">
        <is>
          <t>189500</t>
        </is>
      </c>
      <c r="C182" s="4108" t="inlineStr">
        <is>
          <t>135792468</t>
        </is>
      </c>
      <c r="D182" s="4108" t="inlineStr">
        <is>
          <t>202211</t>
        </is>
      </c>
      <c r="E182" s="4108" t="inlineStr">
        <is>
          <t>0,000000000000</t>
        </is>
      </c>
    </row>
    <row outlineLevel="0" r="183">
      <c r="A183" s="4108" t="inlineStr">
        <is>
          <t>135792468202211189501</t>
        </is>
      </c>
      <c r="B183" s="4108" t="inlineStr">
        <is>
          <t>189501</t>
        </is>
      </c>
      <c r="C183" s="4108" t="inlineStr">
        <is>
          <t>135792468</t>
        </is>
      </c>
      <c r="D183" s="4108" t="inlineStr">
        <is>
          <t>202211</t>
        </is>
      </c>
      <c r="E183" s="4108" t="inlineStr">
        <is>
          <t>3750,000000000000</t>
        </is>
      </c>
    </row>
    <row outlineLevel="0" r="184">
      <c r="A184" s="4108" t="inlineStr">
        <is>
          <t>135792468202211189520</t>
        </is>
      </c>
      <c r="B184" s="4108" t="inlineStr">
        <is>
          <t>189520</t>
        </is>
      </c>
      <c r="C184" s="4108" t="inlineStr">
        <is>
          <t>135792468</t>
        </is>
      </c>
      <c r="D184" s="4108" t="inlineStr">
        <is>
          <t>202211</t>
        </is>
      </c>
      <c r="E184" s="4108" t="inlineStr">
        <is>
          <t>0,000000000000</t>
        </is>
      </c>
    </row>
    <row outlineLevel="0" r="185">
      <c r="A185" s="4108" t="inlineStr">
        <is>
          <t>135792468202211189701</t>
        </is>
      </c>
      <c r="B185" s="4108" t="inlineStr">
        <is>
          <t>189701</t>
        </is>
      </c>
      <c r="C185" s="4108" t="inlineStr">
        <is>
          <t>135792468</t>
        </is>
      </c>
      <c r="D185" s="4108" t="inlineStr">
        <is>
          <t>202211</t>
        </is>
      </c>
      <c r="E185" s="4108" t="inlineStr">
        <is>
          <t>0,000000000000</t>
        </is>
      </c>
    </row>
    <row outlineLevel="0" r="186">
      <c r="A186" s="4108" t="inlineStr">
        <is>
          <t>135792468202211189901</t>
        </is>
      </c>
      <c r="B186" s="4108" t="inlineStr">
        <is>
          <t>189901</t>
        </is>
      </c>
      <c r="C186" s="4108" t="inlineStr">
        <is>
          <t>135792468</t>
        </is>
      </c>
      <c r="D186" s="4108" t="inlineStr">
        <is>
          <t>202211</t>
        </is>
      </c>
      <c r="E186" s="4108" t="inlineStr">
        <is>
          <t>8,000000000000</t>
        </is>
      </c>
    </row>
    <row outlineLevel="0" r="187">
      <c r="A187" s="4108" t="inlineStr">
        <is>
          <t>135792468202211190000</t>
        </is>
      </c>
      <c r="B187" s="4108" t="inlineStr">
        <is>
          <t>190000</t>
        </is>
      </c>
      <c r="C187" s="4108" t="inlineStr">
        <is>
          <t>135792468</t>
        </is>
      </c>
      <c r="D187" s="4108" t="inlineStr">
        <is>
          <t>202211</t>
        </is>
      </c>
      <c r="E187" s="4108" t="inlineStr">
        <is>
          <t>0,000000000000</t>
        </is>
      </c>
    </row>
    <row outlineLevel="0" r="188">
      <c r="A188" s="4108" t="inlineStr">
        <is>
          <t>135792468202211190501</t>
        </is>
      </c>
      <c r="B188" s="4108" t="inlineStr">
        <is>
          <t>190501</t>
        </is>
      </c>
      <c r="C188" s="4108" t="inlineStr">
        <is>
          <t>135792468</t>
        </is>
      </c>
      <c r="D188" s="4108" t="inlineStr">
        <is>
          <t>202211</t>
        </is>
      </c>
      <c r="E188" s="4108" t="inlineStr">
        <is>
          <t>0,000000000000</t>
        </is>
      </c>
    </row>
    <row outlineLevel="0" r="189">
      <c r="A189" s="4108" t="inlineStr">
        <is>
          <t>135792468202211191001</t>
        </is>
      </c>
      <c r="B189" s="4108" t="inlineStr">
        <is>
          <t>191001</t>
        </is>
      </c>
      <c r="C189" s="4108" t="inlineStr">
        <is>
          <t>135792468</t>
        </is>
      </c>
      <c r="D189" s="4108" t="inlineStr">
        <is>
          <t>202211</t>
        </is>
      </c>
      <c r="E189" s="4108" t="inlineStr">
        <is>
          <t>0,000000000000</t>
        </is>
      </c>
    </row>
    <row outlineLevel="0" r="190">
      <c r="A190" s="4108" t="inlineStr">
        <is>
          <t>135792468202211199501</t>
        </is>
      </c>
      <c r="B190" s="4108" t="inlineStr">
        <is>
          <t>199501</t>
        </is>
      </c>
      <c r="C190" s="4108" t="inlineStr">
        <is>
          <t>135792468</t>
        </is>
      </c>
      <c r="D190" s="4108" t="inlineStr">
        <is>
          <t>202211</t>
        </is>
      </c>
      <c r="E190" s="4108" t="inlineStr">
        <is>
          <t>0,000000000000</t>
        </is>
      </c>
    </row>
    <row outlineLevel="0" r="191">
      <c r="A191" s="4108" t="inlineStr">
        <is>
          <t>135792468202211210500</t>
        </is>
      </c>
      <c r="B191" s="4108" t="inlineStr">
        <is>
          <t>210500</t>
        </is>
      </c>
      <c r="C191" s="4108" t="inlineStr">
        <is>
          <t>135792468</t>
        </is>
      </c>
      <c r="D191" s="4108" t="inlineStr">
        <is>
          <t>202211</t>
        </is>
      </c>
      <c r="E191" s="4108" t="inlineStr">
        <is>
          <t>0,000000000000</t>
        </is>
      </c>
    </row>
    <row outlineLevel="0" r="192">
      <c r="A192" s="4108" t="inlineStr">
        <is>
          <t>135792468202211210501</t>
        </is>
      </c>
      <c r="B192" s="4108" t="inlineStr">
        <is>
          <t>210501</t>
        </is>
      </c>
      <c r="C192" s="4108" t="inlineStr">
        <is>
          <t>135792468</t>
        </is>
      </c>
      <c r="D192" s="4108" t="inlineStr">
        <is>
          <t>202211</t>
        </is>
      </c>
      <c r="E192" s="4108" t="inlineStr">
        <is>
          <t>11288,000000000000</t>
        </is>
      </c>
    </row>
    <row outlineLevel="0" r="193">
      <c r="A193" s="4108" t="inlineStr">
        <is>
          <t>135792468202211211001</t>
        </is>
      </c>
      <c r="B193" s="4108" t="inlineStr">
        <is>
          <t>211001</t>
        </is>
      </c>
      <c r="C193" s="4108" t="inlineStr">
        <is>
          <t>135792468</t>
        </is>
      </c>
      <c r="D193" s="4108" t="inlineStr">
        <is>
          <t>202211</t>
        </is>
      </c>
      <c r="E193" s="4108" t="inlineStr">
        <is>
          <t>0,000000000000</t>
        </is>
      </c>
    </row>
    <row outlineLevel="0" r="194">
      <c r="A194" s="4108" t="inlineStr">
        <is>
          <t>135792468202211211500</t>
        </is>
      </c>
      <c r="B194" s="4108" t="inlineStr">
        <is>
          <t>211500</t>
        </is>
      </c>
      <c r="C194" s="4108" t="inlineStr">
        <is>
          <t>135792468</t>
        </is>
      </c>
      <c r="D194" s="4108" t="inlineStr">
        <is>
          <t>202211</t>
        </is>
      </c>
      <c r="E194" s="4108" t="inlineStr">
        <is>
          <t>433,000000000000</t>
        </is>
      </c>
    </row>
    <row outlineLevel="0" r="195">
      <c r="A195" s="4108" t="inlineStr">
        <is>
          <t>135792468202211219500</t>
        </is>
      </c>
      <c r="B195" s="4108" t="inlineStr">
        <is>
          <t>219500</t>
        </is>
      </c>
      <c r="C195" s="4108" t="inlineStr">
        <is>
          <t>135792468</t>
        </is>
      </c>
      <c r="D195" s="4108" t="inlineStr">
        <is>
          <t>202211</t>
        </is>
      </c>
      <c r="E195" s="4108" t="inlineStr">
        <is>
          <t>0,000000000000</t>
        </is>
      </c>
    </row>
    <row outlineLevel="0" r="196">
      <c r="A196" s="4108" t="inlineStr">
        <is>
          <t>135792468202211220500</t>
        </is>
      </c>
      <c r="B196" s="4108" t="inlineStr">
        <is>
          <t>220500</t>
        </is>
      </c>
      <c r="C196" s="4108" t="inlineStr">
        <is>
          <t>135792468</t>
        </is>
      </c>
      <c r="D196" s="4108" t="inlineStr">
        <is>
          <t>202211</t>
        </is>
      </c>
      <c r="E196" s="4108" t="inlineStr">
        <is>
          <t>0,000000000000</t>
        </is>
      </c>
    </row>
    <row outlineLevel="0" r="197">
      <c r="A197" s="4108" t="inlineStr">
        <is>
          <t>135792468202211220501</t>
        </is>
      </c>
      <c r="B197" s="4108" t="inlineStr">
        <is>
          <t>220501</t>
        </is>
      </c>
      <c r="C197" s="4108" t="inlineStr">
        <is>
          <t>135792468</t>
        </is>
      </c>
      <c r="D197" s="4108" t="inlineStr">
        <is>
          <t>202211</t>
        </is>
      </c>
      <c r="E197" s="4108" t="inlineStr">
        <is>
          <t>0,000000000000</t>
        </is>
      </c>
    </row>
    <row outlineLevel="0" r="198">
      <c r="A198" s="4108" t="inlineStr">
        <is>
          <t>135792468202211221000</t>
        </is>
      </c>
      <c r="B198" s="4108" t="inlineStr">
        <is>
          <t>221000</t>
        </is>
      </c>
      <c r="C198" s="4108" t="inlineStr">
        <is>
          <t>135792468</t>
        </is>
      </c>
      <c r="D198" s="4108" t="inlineStr">
        <is>
          <t>202211</t>
        </is>
      </c>
      <c r="E198" s="4108" t="inlineStr">
        <is>
          <t>0,000000000000</t>
        </is>
      </c>
    </row>
    <row outlineLevel="0" r="199">
      <c r="A199" s="4108" t="inlineStr">
        <is>
          <t>135792468202211221001</t>
        </is>
      </c>
      <c r="B199" s="4108" t="inlineStr">
        <is>
          <t>221001</t>
        </is>
      </c>
      <c r="C199" s="4108" t="inlineStr">
        <is>
          <t>135792468</t>
        </is>
      </c>
      <c r="D199" s="4108" t="inlineStr">
        <is>
          <t>202211</t>
        </is>
      </c>
      <c r="E199" s="4108" t="inlineStr">
        <is>
          <t>0,000000000000</t>
        </is>
      </c>
    </row>
    <row outlineLevel="0" r="200">
      <c r="A200" s="4108" t="inlineStr">
        <is>
          <t>135792468202211221500</t>
        </is>
      </c>
      <c r="B200" s="4108" t="inlineStr">
        <is>
          <t>221500</t>
        </is>
      </c>
      <c r="C200" s="4108" t="inlineStr">
        <is>
          <t>135792468</t>
        </is>
      </c>
      <c r="D200" s="4108" t="inlineStr">
        <is>
          <t>202211</t>
        </is>
      </c>
      <c r="E200" s="4108" t="inlineStr">
        <is>
          <t>0,000000000000</t>
        </is>
      </c>
    </row>
    <row outlineLevel="0" r="201">
      <c r="A201" s="4108" t="inlineStr">
        <is>
          <t>135792468202211230500</t>
        </is>
      </c>
      <c r="B201" s="4108" t="inlineStr">
        <is>
          <t>230500</t>
        </is>
      </c>
      <c r="C201" s="4108" t="inlineStr">
        <is>
          <t>135792468</t>
        </is>
      </c>
      <c r="D201" s="4108" t="inlineStr">
        <is>
          <t>202211</t>
        </is>
      </c>
      <c r="E201" s="4108" t="inlineStr">
        <is>
          <t>335,000000000000</t>
        </is>
      </c>
    </row>
    <row outlineLevel="0" r="202">
      <c r="A202" s="4108" t="inlineStr">
        <is>
          <t>135792468202211230501</t>
        </is>
      </c>
      <c r="B202" s="4108" t="inlineStr">
        <is>
          <t>230501</t>
        </is>
      </c>
      <c r="C202" s="4108" t="inlineStr">
        <is>
          <t>135792468</t>
        </is>
      </c>
      <c r="D202" s="4108" t="inlineStr">
        <is>
          <t>202211</t>
        </is>
      </c>
      <c r="E202" s="4108" t="inlineStr">
        <is>
          <t>0,000000000000</t>
        </is>
      </c>
    </row>
    <row outlineLevel="0" r="203">
      <c r="A203" s="4108" t="inlineStr">
        <is>
          <t>135792468202211231000</t>
        </is>
      </c>
      <c r="B203" s="4108" t="inlineStr">
        <is>
          <t>231000</t>
        </is>
      </c>
      <c r="C203" s="4108" t="inlineStr">
        <is>
          <t>135792468</t>
        </is>
      </c>
      <c r="D203" s="4108" t="inlineStr">
        <is>
          <t>202211</t>
        </is>
      </c>
      <c r="E203" s="4108" t="inlineStr">
        <is>
          <t>0,000000000000</t>
        </is>
      </c>
    </row>
    <row outlineLevel="0" r="204">
      <c r="A204" s="4108" t="inlineStr">
        <is>
          <t>135792468202211231001</t>
        </is>
      </c>
      <c r="B204" s="4108" t="inlineStr">
        <is>
          <t>231001</t>
        </is>
      </c>
      <c r="C204" s="4108" t="inlineStr">
        <is>
          <t>135792468</t>
        </is>
      </c>
      <c r="D204" s="4108" t="inlineStr">
        <is>
          <t>202211</t>
        </is>
      </c>
      <c r="E204" s="4108" t="inlineStr">
        <is>
          <t>0,000000000000</t>
        </is>
      </c>
    </row>
    <row outlineLevel="0" r="205">
      <c r="A205" s="4108" t="inlineStr">
        <is>
          <t>135792468202211231500</t>
        </is>
      </c>
      <c r="B205" s="4108" t="inlineStr">
        <is>
          <t>231500</t>
        </is>
      </c>
      <c r="C205" s="4108" t="inlineStr">
        <is>
          <t>135792468</t>
        </is>
      </c>
      <c r="D205" s="4108" t="inlineStr">
        <is>
          <t>202211</t>
        </is>
      </c>
      <c r="E205" s="4108" t="inlineStr">
        <is>
          <t>0,000000000000</t>
        </is>
      </c>
    </row>
    <row outlineLevel="0" r="206">
      <c r="A206" s="4108" t="inlineStr">
        <is>
          <t>135792468202211231501</t>
        </is>
      </c>
      <c r="B206" s="4108" t="inlineStr">
        <is>
          <t>231501</t>
        </is>
      </c>
      <c r="C206" s="4108" t="inlineStr">
        <is>
          <t>135792468</t>
        </is>
      </c>
      <c r="D206" s="4108" t="inlineStr">
        <is>
          <t>202211</t>
        </is>
      </c>
      <c r="E206" s="4108" t="inlineStr">
        <is>
          <t>1300,000000000000</t>
        </is>
      </c>
    </row>
    <row outlineLevel="0" r="207">
      <c r="A207" s="4108" t="inlineStr">
        <is>
          <t>135792468202211232000</t>
        </is>
      </c>
      <c r="B207" s="4108" t="inlineStr">
        <is>
          <t>232000</t>
        </is>
      </c>
      <c r="C207" s="4108" t="inlineStr">
        <is>
          <t>135792468</t>
        </is>
      </c>
      <c r="D207" s="4108" t="inlineStr">
        <is>
          <t>202211</t>
        </is>
      </c>
      <c r="E207" s="4108" t="inlineStr">
        <is>
          <t>0,000000000000</t>
        </is>
      </c>
    </row>
    <row outlineLevel="0" r="208">
      <c r="A208" s="4108" t="inlineStr">
        <is>
          <t>135792468202211232001</t>
        </is>
      </c>
      <c r="B208" s="4108" t="inlineStr">
        <is>
          <t>232001</t>
        </is>
      </c>
      <c r="C208" s="4108" t="inlineStr">
        <is>
          <t>135792468</t>
        </is>
      </c>
      <c r="D208" s="4108" t="inlineStr">
        <is>
          <t>202211</t>
        </is>
      </c>
      <c r="E208" s="4108" t="inlineStr">
        <is>
          <t>0,000000000000</t>
        </is>
      </c>
    </row>
    <row outlineLevel="0" r="209">
      <c r="A209" s="4108" t="inlineStr">
        <is>
          <t>135792468202211233500</t>
        </is>
      </c>
      <c r="B209" s="4108" t="inlineStr">
        <is>
          <t>233500</t>
        </is>
      </c>
      <c r="C209" s="4108" t="inlineStr">
        <is>
          <t>135792468</t>
        </is>
      </c>
      <c r="D209" s="4108" t="inlineStr">
        <is>
          <t>202211</t>
        </is>
      </c>
      <c r="E209" s="4108" t="inlineStr">
        <is>
          <t>0,000000000000</t>
        </is>
      </c>
    </row>
    <row outlineLevel="0" r="210">
      <c r="A210" s="4108" t="inlineStr">
        <is>
          <t>135792468202211233501</t>
        </is>
      </c>
      <c r="B210" s="4108" t="inlineStr">
        <is>
          <t>233501</t>
        </is>
      </c>
      <c r="C210" s="4108" t="inlineStr">
        <is>
          <t>135792468</t>
        </is>
      </c>
      <c r="D210" s="4108" t="inlineStr">
        <is>
          <t>202211</t>
        </is>
      </c>
      <c r="E210" s="4108" t="inlineStr">
        <is>
          <t>0,000000000000</t>
        </is>
      </c>
    </row>
    <row outlineLevel="0" r="211">
      <c r="A211" s="4108" t="inlineStr">
        <is>
          <t>135792468202211234500</t>
        </is>
      </c>
      <c r="B211" s="4108" t="inlineStr">
        <is>
          <t>234500</t>
        </is>
      </c>
      <c r="C211" s="4108" t="inlineStr">
        <is>
          <t>135792468</t>
        </is>
      </c>
      <c r="D211" s="4108" t="inlineStr">
        <is>
          <t>202211</t>
        </is>
      </c>
      <c r="E211" s="4108" t="inlineStr">
        <is>
          <t>0,000000000000</t>
        </is>
      </c>
    </row>
    <row outlineLevel="0" r="212">
      <c r="A212" s="4108" t="inlineStr">
        <is>
          <t>135792468202211234501</t>
        </is>
      </c>
      <c r="B212" s="4108" t="inlineStr">
        <is>
          <t>234501</t>
        </is>
      </c>
      <c r="C212" s="4108" t="inlineStr">
        <is>
          <t>135792468</t>
        </is>
      </c>
      <c r="D212" s="4108" t="inlineStr">
        <is>
          <t>202211</t>
        </is>
      </c>
      <c r="E212" s="4108" t="inlineStr">
        <is>
          <t>0,000000000000</t>
        </is>
      </c>
    </row>
    <row outlineLevel="0" r="213">
      <c r="A213" s="4108" t="inlineStr">
        <is>
          <t>135792468202211235000</t>
        </is>
      </c>
      <c r="B213" s="4108" t="inlineStr">
        <is>
          <t>235000</t>
        </is>
      </c>
      <c r="C213" s="4108" t="inlineStr">
        <is>
          <t>135792468</t>
        </is>
      </c>
      <c r="D213" s="4108" t="inlineStr">
        <is>
          <t>202211</t>
        </is>
      </c>
      <c r="E213" s="4108" t="inlineStr">
        <is>
          <t>0,000000000000</t>
        </is>
      </c>
    </row>
    <row outlineLevel="0" r="214">
      <c r="A214" s="4108" t="inlineStr">
        <is>
          <t>135792468202211235001</t>
        </is>
      </c>
      <c r="B214" s="4108" t="inlineStr">
        <is>
          <t>235001</t>
        </is>
      </c>
      <c r="C214" s="4108" t="inlineStr">
        <is>
          <t>135792468</t>
        </is>
      </c>
      <c r="D214" s="4108" t="inlineStr">
        <is>
          <t>202211</t>
        </is>
      </c>
      <c r="E214" s="4108" t="inlineStr">
        <is>
          <t>0,000000000000</t>
        </is>
      </c>
    </row>
    <row outlineLevel="0" r="215">
      <c r="A215" s="4108" t="inlineStr">
        <is>
          <t>135792468202211235500</t>
        </is>
      </c>
      <c r="B215" s="4108" t="inlineStr">
        <is>
          <t>235500</t>
        </is>
      </c>
      <c r="C215" s="4108" t="inlineStr">
        <is>
          <t>135792468</t>
        </is>
      </c>
      <c r="D215" s="4108" t="inlineStr">
        <is>
          <t>202211</t>
        </is>
      </c>
      <c r="E215" s="4108" t="inlineStr">
        <is>
          <t>0,000000000000</t>
        </is>
      </c>
    </row>
    <row outlineLevel="0" r="216">
      <c r="A216" s="4108" t="inlineStr">
        <is>
          <t>135792468202211235501</t>
        </is>
      </c>
      <c r="B216" s="4108" t="inlineStr">
        <is>
          <t>235501</t>
        </is>
      </c>
      <c r="C216" s="4108" t="inlineStr">
        <is>
          <t>135792468</t>
        </is>
      </c>
      <c r="D216" s="4108" t="inlineStr">
        <is>
          <t>202211</t>
        </is>
      </c>
      <c r="E216" s="4108" t="inlineStr">
        <is>
          <t>0,000000000000</t>
        </is>
      </c>
    </row>
    <row outlineLevel="0" r="217">
      <c r="A217" s="4108" t="inlineStr">
        <is>
          <t>135792468202211236000</t>
        </is>
      </c>
      <c r="B217" s="4108" t="inlineStr">
        <is>
          <t>236000</t>
        </is>
      </c>
      <c r="C217" s="4108" t="inlineStr">
        <is>
          <t>135792468</t>
        </is>
      </c>
      <c r="D217" s="4108" t="inlineStr">
        <is>
          <t>202211</t>
        </is>
      </c>
      <c r="E217" s="4108" t="inlineStr">
        <is>
          <t>0,000000000000</t>
        </is>
      </c>
    </row>
    <row outlineLevel="0" r="218">
      <c r="A218" s="4108" t="inlineStr">
        <is>
          <t>135792468202211236001</t>
        </is>
      </c>
      <c r="B218" s="4108" t="inlineStr">
        <is>
          <t>236001</t>
        </is>
      </c>
      <c r="C218" s="4108" t="inlineStr">
        <is>
          <t>135792468</t>
        </is>
      </c>
      <c r="D218" s="4108" t="inlineStr">
        <is>
          <t>202211</t>
        </is>
      </c>
      <c r="E218" s="4108" t="inlineStr">
        <is>
          <t>0,000000000000</t>
        </is>
      </c>
    </row>
    <row outlineLevel="0" r="219">
      <c r="A219" s="4108" t="inlineStr">
        <is>
          <t>135792468202211236500</t>
        </is>
      </c>
      <c r="B219" s="4108" t="inlineStr">
        <is>
          <t>236500</t>
        </is>
      </c>
      <c r="C219" s="4108" t="inlineStr">
        <is>
          <t>135792468</t>
        </is>
      </c>
      <c r="D219" s="4108" t="inlineStr">
        <is>
          <t>202211</t>
        </is>
      </c>
      <c r="E219" s="4108" t="inlineStr">
        <is>
          <t>0,000000000000</t>
        </is>
      </c>
    </row>
    <row outlineLevel="0" r="220">
      <c r="A220" s="4108" t="inlineStr">
        <is>
          <t>135792468202211236501</t>
        </is>
      </c>
      <c r="B220" s="4108" t="inlineStr">
        <is>
          <t>236501</t>
        </is>
      </c>
      <c r="C220" s="4108" t="inlineStr">
        <is>
          <t>135792468</t>
        </is>
      </c>
      <c r="D220" s="4108" t="inlineStr">
        <is>
          <t>202211</t>
        </is>
      </c>
      <c r="E220" s="4108" t="inlineStr">
        <is>
          <t>0,000000000000</t>
        </is>
      </c>
    </row>
    <row outlineLevel="0" r="221">
      <c r="A221" s="4108" t="inlineStr">
        <is>
          <t>135792468202211236700</t>
        </is>
      </c>
      <c r="B221" s="4108" t="inlineStr">
        <is>
          <t>236700</t>
        </is>
      </c>
      <c r="C221" s="4108" t="inlineStr">
        <is>
          <t>135792468</t>
        </is>
      </c>
      <c r="D221" s="4108" t="inlineStr">
        <is>
          <t>202211</t>
        </is>
      </c>
      <c r="E221" s="4108" t="inlineStr">
        <is>
          <t>0,000000000000</t>
        </is>
      </c>
    </row>
    <row outlineLevel="0" r="222">
      <c r="A222" s="4108" t="inlineStr">
        <is>
          <t>135792468202211236701</t>
        </is>
      </c>
      <c r="B222" s="4108" t="inlineStr">
        <is>
          <t>236701</t>
        </is>
      </c>
      <c r="C222" s="4108" t="inlineStr">
        <is>
          <t>135792468</t>
        </is>
      </c>
      <c r="D222" s="4108" t="inlineStr">
        <is>
          <t>202211</t>
        </is>
      </c>
      <c r="E222" s="4108" t="inlineStr">
        <is>
          <t>0,000000000000</t>
        </is>
      </c>
    </row>
    <row outlineLevel="0" r="223">
      <c r="A223" s="4108" t="inlineStr">
        <is>
          <t>135792468202211236800</t>
        </is>
      </c>
      <c r="B223" s="4108" t="inlineStr">
        <is>
          <t>236800</t>
        </is>
      </c>
      <c r="C223" s="4108" t="inlineStr">
        <is>
          <t>135792468</t>
        </is>
      </c>
      <c r="D223" s="4108" t="inlineStr">
        <is>
          <t>202211</t>
        </is>
      </c>
      <c r="E223" s="4108" t="inlineStr">
        <is>
          <t>1315,000000000000</t>
        </is>
      </c>
    </row>
    <row outlineLevel="0" r="224">
      <c r="A224" s="4108" t="inlineStr">
        <is>
          <t>135792468202211237000</t>
        </is>
      </c>
      <c r="B224" s="4108" t="inlineStr">
        <is>
          <t>237000</t>
        </is>
      </c>
      <c r="C224" s="4108" t="inlineStr">
        <is>
          <t>135792468</t>
        </is>
      </c>
      <c r="D224" s="4108" t="inlineStr">
        <is>
          <t>202211</t>
        </is>
      </c>
      <c r="E224" s="4108" t="inlineStr">
        <is>
          <t>0,000000000000</t>
        </is>
      </c>
    </row>
    <row outlineLevel="0" r="225">
      <c r="A225" s="4108" t="inlineStr">
        <is>
          <t>135792468202211237001</t>
        </is>
      </c>
      <c r="B225" s="4108" t="inlineStr">
        <is>
          <t>237001</t>
        </is>
      </c>
      <c r="C225" s="4108" t="inlineStr">
        <is>
          <t>135792468</t>
        </is>
      </c>
      <c r="D225" s="4108" t="inlineStr">
        <is>
          <t>202211</t>
        </is>
      </c>
      <c r="E225" s="4108" t="inlineStr">
        <is>
          <t>0,000000000000</t>
        </is>
      </c>
    </row>
    <row outlineLevel="0" r="226">
      <c r="A226" s="4108" t="inlineStr">
        <is>
          <t>135792468202211238000</t>
        </is>
      </c>
      <c r="B226" s="4108" t="inlineStr">
        <is>
          <t>238000</t>
        </is>
      </c>
      <c r="C226" s="4108" t="inlineStr">
        <is>
          <t>135792468</t>
        </is>
      </c>
      <c r="D226" s="4108" t="inlineStr">
        <is>
          <t>202211</t>
        </is>
      </c>
      <c r="E226" s="4108" t="inlineStr">
        <is>
          <t>0,000000000000</t>
        </is>
      </c>
    </row>
    <row outlineLevel="0" r="227">
      <c r="A227" s="4108" t="inlineStr">
        <is>
          <t>135792468202211238001</t>
        </is>
      </c>
      <c r="B227" s="4108" t="inlineStr">
        <is>
          <t>238001</t>
        </is>
      </c>
      <c r="C227" s="4108" t="inlineStr">
        <is>
          <t>135792468</t>
        </is>
      </c>
      <c r="D227" s="4108" t="inlineStr">
        <is>
          <t>202211</t>
        </is>
      </c>
      <c r="E227" s="4108" t="inlineStr">
        <is>
          <t>0,000000000000</t>
        </is>
      </c>
    </row>
    <row outlineLevel="0" r="228">
      <c r="A228" s="4108" t="inlineStr">
        <is>
          <t>135792468202211240001</t>
        </is>
      </c>
      <c r="B228" s="4108" t="inlineStr">
        <is>
          <t>240001</t>
        </is>
      </c>
      <c r="C228" s="4108" t="inlineStr">
        <is>
          <t>135792468</t>
        </is>
      </c>
      <c r="D228" s="4108" t="inlineStr">
        <is>
          <t>202211</t>
        </is>
      </c>
      <c r="E228" s="4108" t="inlineStr">
        <is>
          <t>0,000000000000</t>
        </is>
      </c>
    </row>
    <row outlineLevel="0" r="229">
      <c r="A229" s="4108" t="inlineStr">
        <is>
          <t>135792468202211240400</t>
        </is>
      </c>
      <c r="B229" s="4108" t="inlineStr">
        <is>
          <t>240400</t>
        </is>
      </c>
      <c r="C229" s="4108" t="inlineStr">
        <is>
          <t>135792468</t>
        </is>
      </c>
      <c r="D229" s="4108" t="inlineStr">
        <is>
          <t>202211</t>
        </is>
      </c>
      <c r="E229" s="4108" t="inlineStr">
        <is>
          <t>7,000000000000</t>
        </is>
      </c>
    </row>
    <row outlineLevel="0" r="230">
      <c r="A230" s="4108" t="inlineStr">
        <is>
          <t>135792468202211240401</t>
        </is>
      </c>
      <c r="B230" s="4108" t="inlineStr">
        <is>
          <t>240401</t>
        </is>
      </c>
      <c r="C230" s="4108" t="inlineStr">
        <is>
          <t>135792468</t>
        </is>
      </c>
      <c r="D230" s="4108" t="inlineStr">
        <is>
          <t>202211</t>
        </is>
      </c>
      <c r="E230" s="4108" t="inlineStr">
        <is>
          <t>0,000000000000</t>
        </is>
      </c>
    </row>
    <row outlineLevel="0" r="231">
      <c r="A231" s="4108" t="inlineStr">
        <is>
          <t>135792468202211240800</t>
        </is>
      </c>
      <c r="B231" s="4108" t="inlineStr">
        <is>
          <t>240800</t>
        </is>
      </c>
      <c r="C231" s="4108" t="inlineStr">
        <is>
          <t>135792468</t>
        </is>
      </c>
      <c r="D231" s="4108" t="inlineStr">
        <is>
          <t>202211</t>
        </is>
      </c>
      <c r="E231" s="4108" t="inlineStr">
        <is>
          <t>0,000000000000</t>
        </is>
      </c>
    </row>
    <row outlineLevel="0" r="232">
      <c r="A232" s="4108" t="inlineStr">
        <is>
          <t>135792468202211240801</t>
        </is>
      </c>
      <c r="B232" s="4108" t="inlineStr">
        <is>
          <t>240801</t>
        </is>
      </c>
      <c r="C232" s="4108" t="inlineStr">
        <is>
          <t>135792468</t>
        </is>
      </c>
      <c r="D232" s="4108" t="inlineStr">
        <is>
          <t>202211</t>
        </is>
      </c>
      <c r="E232" s="4108" t="inlineStr">
        <is>
          <t>0,000000000000</t>
        </is>
      </c>
    </row>
    <row outlineLevel="0" r="233">
      <c r="A233" s="4108" t="inlineStr">
        <is>
          <t>135792468202211241200</t>
        </is>
      </c>
      <c r="B233" s="4108" t="inlineStr">
        <is>
          <t>241200</t>
        </is>
      </c>
      <c r="C233" s="4108" t="inlineStr">
        <is>
          <t>135792468</t>
        </is>
      </c>
      <c r="D233" s="4108" t="inlineStr">
        <is>
          <t>202211</t>
        </is>
      </c>
      <c r="E233" s="4108" t="inlineStr">
        <is>
          <t>0,000000000000</t>
        </is>
      </c>
    </row>
    <row outlineLevel="0" r="234">
      <c r="A234" s="4108" t="inlineStr">
        <is>
          <t>135792468202211241201</t>
        </is>
      </c>
      <c r="B234" s="4108" t="inlineStr">
        <is>
          <t>241201</t>
        </is>
      </c>
      <c r="C234" s="4108" t="inlineStr">
        <is>
          <t>135792468</t>
        </is>
      </c>
      <c r="D234" s="4108" t="inlineStr">
        <is>
          <t>202211</t>
        </is>
      </c>
      <c r="E234" s="4108" t="inlineStr">
        <is>
          <t>0,000000000000</t>
        </is>
      </c>
    </row>
    <row outlineLevel="0" r="235">
      <c r="A235" s="4108" t="inlineStr">
        <is>
          <t>135792468202211249500</t>
        </is>
      </c>
      <c r="B235" s="4108" t="inlineStr">
        <is>
          <t>249500</t>
        </is>
      </c>
      <c r="C235" s="4108" t="inlineStr">
        <is>
          <t>135792468</t>
        </is>
      </c>
      <c r="D235" s="4108" t="inlineStr">
        <is>
          <t>202211</t>
        </is>
      </c>
      <c r="E235" s="4108" t="inlineStr">
        <is>
          <t>0,000000000000</t>
        </is>
      </c>
    </row>
    <row outlineLevel="0" r="236">
      <c r="A236" s="4108" t="inlineStr">
        <is>
          <t>135792468202211249501</t>
        </is>
      </c>
      <c r="B236" s="4108" t="inlineStr">
        <is>
          <t>249501</t>
        </is>
      </c>
      <c r="C236" s="4108" t="inlineStr">
        <is>
          <t>135792468</t>
        </is>
      </c>
      <c r="D236" s="4108" t="inlineStr">
        <is>
          <t>202211</t>
        </is>
      </c>
      <c r="E236" s="4108" t="inlineStr">
        <is>
          <t>0,000000000000</t>
        </is>
      </c>
    </row>
    <row outlineLevel="0" r="237">
      <c r="A237" s="4108" t="inlineStr">
        <is>
          <t>135792468202211250500</t>
        </is>
      </c>
      <c r="B237" s="4108" t="inlineStr">
        <is>
          <t>250500</t>
        </is>
      </c>
      <c r="C237" s="4108" t="inlineStr">
        <is>
          <t>135792468</t>
        </is>
      </c>
      <c r="D237" s="4108" t="inlineStr">
        <is>
          <t>202211</t>
        </is>
      </c>
      <c r="E237" s="4108" t="inlineStr">
        <is>
          <t>0,000000000000</t>
        </is>
      </c>
    </row>
    <row outlineLevel="0" r="238">
      <c r="A238" s="4108" t="inlineStr">
        <is>
          <t>135792468202211250501</t>
        </is>
      </c>
      <c r="B238" s="4108" t="inlineStr">
        <is>
          <t>250501</t>
        </is>
      </c>
      <c r="C238" s="4108" t="inlineStr">
        <is>
          <t>135792468</t>
        </is>
      </c>
      <c r="D238" s="4108" t="inlineStr">
        <is>
          <t>202211</t>
        </is>
      </c>
      <c r="E238" s="4108" t="inlineStr">
        <is>
          <t>0,000000000000</t>
        </is>
      </c>
    </row>
    <row outlineLevel="0" r="239">
      <c r="A239" s="4108" t="inlineStr">
        <is>
          <t>135792468202211251000</t>
        </is>
      </c>
      <c r="B239" s="4108" t="inlineStr">
        <is>
          <t>251000</t>
        </is>
      </c>
      <c r="C239" s="4108" t="inlineStr">
        <is>
          <t>135792468</t>
        </is>
      </c>
      <c r="D239" s="4108" t="inlineStr">
        <is>
          <t>202211</t>
        </is>
      </c>
      <c r="E239" s="4108" t="inlineStr">
        <is>
          <t>0,000000000000</t>
        </is>
      </c>
    </row>
    <row outlineLevel="0" r="240">
      <c r="A240" s="4108" t="inlineStr">
        <is>
          <t>135792468202211251001</t>
        </is>
      </c>
      <c r="B240" s="4108" t="inlineStr">
        <is>
          <t>251001</t>
        </is>
      </c>
      <c r="C240" s="4108" t="inlineStr">
        <is>
          <t>135792468</t>
        </is>
      </c>
      <c r="D240" s="4108" t="inlineStr">
        <is>
          <t>202211</t>
        </is>
      </c>
      <c r="E240" s="4108" t="inlineStr">
        <is>
          <t>0,000000000000</t>
        </is>
      </c>
    </row>
    <row outlineLevel="0" r="241">
      <c r="A241" s="4108" t="inlineStr">
        <is>
          <t>135792468202211251500</t>
        </is>
      </c>
      <c r="B241" s="4108" t="inlineStr">
        <is>
          <t>251500</t>
        </is>
      </c>
      <c r="C241" s="4108" t="inlineStr">
        <is>
          <t>135792468</t>
        </is>
      </c>
      <c r="D241" s="4108" t="inlineStr">
        <is>
          <t>202211</t>
        </is>
      </c>
      <c r="E241" s="4108" t="inlineStr">
        <is>
          <t>0,000000000000</t>
        </is>
      </c>
    </row>
    <row outlineLevel="0" r="242">
      <c r="A242" s="4108" t="inlineStr">
        <is>
          <t>135792468202211251501</t>
        </is>
      </c>
      <c r="B242" s="4108" t="inlineStr">
        <is>
          <t>251501</t>
        </is>
      </c>
      <c r="C242" s="4108" t="inlineStr">
        <is>
          <t>135792468</t>
        </is>
      </c>
      <c r="D242" s="4108" t="inlineStr">
        <is>
          <t>202211</t>
        </is>
      </c>
      <c r="E242" s="4108" t="inlineStr">
        <is>
          <t>0,000000000000</t>
        </is>
      </c>
    </row>
    <row outlineLevel="0" r="243">
      <c r="A243" s="4108" t="inlineStr">
        <is>
          <t>135792468202211252500</t>
        </is>
      </c>
      <c r="B243" s="4108" t="inlineStr">
        <is>
          <t>252500</t>
        </is>
      </c>
      <c r="C243" s="4108" t="inlineStr">
        <is>
          <t>135792468</t>
        </is>
      </c>
      <c r="D243" s="4108" t="inlineStr">
        <is>
          <t>202211</t>
        </is>
      </c>
      <c r="E243" s="4108" t="inlineStr">
        <is>
          <t>0,000000000000</t>
        </is>
      </c>
    </row>
    <row outlineLevel="0" r="244">
      <c r="A244" s="4108" t="inlineStr">
        <is>
          <t>135792468202211252501</t>
        </is>
      </c>
      <c r="B244" s="4108" t="inlineStr">
        <is>
          <t>252501</t>
        </is>
      </c>
      <c r="C244" s="4108" t="inlineStr">
        <is>
          <t>135792468</t>
        </is>
      </c>
      <c r="D244" s="4108" t="inlineStr">
        <is>
          <t>202211</t>
        </is>
      </c>
      <c r="E244" s="4108" t="inlineStr">
        <is>
          <t>0,000000000000</t>
        </is>
      </c>
    </row>
    <row outlineLevel="0" r="245">
      <c r="A245" s="4108" t="inlineStr">
        <is>
          <t>135792468202211253000</t>
        </is>
      </c>
      <c r="B245" s="4108" t="inlineStr">
        <is>
          <t>253000</t>
        </is>
      </c>
      <c r="C245" s="4108" t="inlineStr">
        <is>
          <t>135792468</t>
        </is>
      </c>
      <c r="D245" s="4108" t="inlineStr">
        <is>
          <t>202211</t>
        </is>
      </c>
      <c r="E245" s="4108" t="inlineStr">
        <is>
          <t>0,000000000000</t>
        </is>
      </c>
    </row>
    <row outlineLevel="0" r="246">
      <c r="A246" s="4108" t="inlineStr">
        <is>
          <t>135792468202211253001</t>
        </is>
      </c>
      <c r="B246" s="4108" t="inlineStr">
        <is>
          <t>253001</t>
        </is>
      </c>
      <c r="C246" s="4108" t="inlineStr">
        <is>
          <t>135792468</t>
        </is>
      </c>
      <c r="D246" s="4108" t="inlineStr">
        <is>
          <t>202211</t>
        </is>
      </c>
      <c r="E246" s="4108" t="inlineStr">
        <is>
          <t>0,000000000000</t>
        </is>
      </c>
    </row>
    <row outlineLevel="0" r="247">
      <c r="A247" s="4108" t="inlineStr">
        <is>
          <t>135792468202211259500</t>
        </is>
      </c>
      <c r="B247" s="4108" t="inlineStr">
        <is>
          <t>259500</t>
        </is>
      </c>
      <c r="C247" s="4108" t="inlineStr">
        <is>
          <t>135792468</t>
        </is>
      </c>
      <c r="D247" s="4108" t="inlineStr">
        <is>
          <t>202211</t>
        </is>
      </c>
      <c r="E247" s="4108" t="inlineStr">
        <is>
          <t>0,000000000000</t>
        </is>
      </c>
    </row>
    <row outlineLevel="0" r="248">
      <c r="A248" s="4108" t="inlineStr">
        <is>
          <t>135792468202211259501</t>
        </is>
      </c>
      <c r="B248" s="4108" t="inlineStr">
        <is>
          <t>259501</t>
        </is>
      </c>
      <c r="C248" s="4108" t="inlineStr">
        <is>
          <t>135792468</t>
        </is>
      </c>
      <c r="D248" s="4108" t="inlineStr">
        <is>
          <t>202211</t>
        </is>
      </c>
      <c r="E248" s="4108" t="inlineStr">
        <is>
          <t>0,000000000000</t>
        </is>
      </c>
    </row>
    <row outlineLevel="0" r="249">
      <c r="A249" s="4108" t="inlineStr">
        <is>
          <t>135792468202211260500</t>
        </is>
      </c>
      <c r="B249" s="4108" t="inlineStr">
        <is>
          <t>260500</t>
        </is>
      </c>
      <c r="C249" s="4108" t="inlineStr">
        <is>
          <t>135792468</t>
        </is>
      </c>
      <c r="D249" s="4108" t="inlineStr">
        <is>
          <t>202211</t>
        </is>
      </c>
      <c r="E249" s="4108" t="inlineStr">
        <is>
          <t>0,000000000000</t>
        </is>
      </c>
    </row>
    <row outlineLevel="0" r="250">
      <c r="A250" s="4108" t="inlineStr">
        <is>
          <t>135792468202211260501</t>
        </is>
      </c>
      <c r="B250" s="4108" t="inlineStr">
        <is>
          <t>260501</t>
        </is>
      </c>
      <c r="C250" s="4108" t="inlineStr">
        <is>
          <t>135792468</t>
        </is>
      </c>
      <c r="D250" s="4108" t="inlineStr">
        <is>
          <t>202211</t>
        </is>
      </c>
      <c r="E250" s="4108" t="inlineStr">
        <is>
          <t>0,000000000000</t>
        </is>
      </c>
    </row>
    <row outlineLevel="0" r="251">
      <c r="A251" s="4108" t="inlineStr">
        <is>
          <t>135792468202211261000</t>
        </is>
      </c>
      <c r="B251" s="4108" t="inlineStr">
        <is>
          <t>261000</t>
        </is>
      </c>
      <c r="C251" s="4108" t="inlineStr">
        <is>
          <t>135792468</t>
        </is>
      </c>
      <c r="D251" s="4108" t="inlineStr">
        <is>
          <t>202211</t>
        </is>
      </c>
      <c r="E251" s="4108" t="inlineStr">
        <is>
          <t>0,000000000000</t>
        </is>
      </c>
    </row>
    <row outlineLevel="0" r="252">
      <c r="A252" s="4108" t="inlineStr">
        <is>
          <t>135792468202211261001</t>
        </is>
      </c>
      <c r="B252" s="4108" t="inlineStr">
        <is>
          <t>261001</t>
        </is>
      </c>
      <c r="C252" s="4108" t="inlineStr">
        <is>
          <t>135792468</t>
        </is>
      </c>
      <c r="D252" s="4108" t="inlineStr">
        <is>
          <t>202211</t>
        </is>
      </c>
      <c r="E252" s="4108" t="inlineStr">
        <is>
          <t>0,000000000000</t>
        </is>
      </c>
    </row>
    <row outlineLevel="0" r="253">
      <c r="A253" s="4108" t="inlineStr">
        <is>
          <t>135792468202211261500</t>
        </is>
      </c>
      <c r="B253" s="4108" t="inlineStr">
        <is>
          <t>261500</t>
        </is>
      </c>
      <c r="C253" s="4108" t="inlineStr">
        <is>
          <t>135792468</t>
        </is>
      </c>
      <c r="D253" s="4108" t="inlineStr">
        <is>
          <t>202211</t>
        </is>
      </c>
      <c r="E253" s="4108" t="inlineStr">
        <is>
          <t>0,000000000000</t>
        </is>
      </c>
    </row>
    <row outlineLevel="0" r="254">
      <c r="A254" s="4108" t="inlineStr">
        <is>
          <t>135792468202211261501</t>
        </is>
      </c>
      <c r="B254" s="4108" t="inlineStr">
        <is>
          <t>261501</t>
        </is>
      </c>
      <c r="C254" s="4108" t="inlineStr">
        <is>
          <t>135792468</t>
        </is>
      </c>
      <c r="D254" s="4108" t="inlineStr">
        <is>
          <t>202211</t>
        </is>
      </c>
      <c r="E254" s="4108" t="inlineStr">
        <is>
          <t>0,000000000000</t>
        </is>
      </c>
    </row>
    <row outlineLevel="0" r="255">
      <c r="A255" s="4108" t="inlineStr">
        <is>
          <t>135792468202211262000</t>
        </is>
      </c>
      <c r="B255" s="4108" t="inlineStr">
        <is>
          <t>262000</t>
        </is>
      </c>
      <c r="C255" s="4108" t="inlineStr">
        <is>
          <t>135792468</t>
        </is>
      </c>
      <c r="D255" s="4108" t="inlineStr">
        <is>
          <t>202211</t>
        </is>
      </c>
      <c r="E255" s="4108" t="inlineStr">
        <is>
          <t>0,000000000000</t>
        </is>
      </c>
    </row>
    <row outlineLevel="0" r="256">
      <c r="A256" s="4108" t="inlineStr">
        <is>
          <t>135792468202211262001</t>
        </is>
      </c>
      <c r="B256" s="4108" t="inlineStr">
        <is>
          <t>262001</t>
        </is>
      </c>
      <c r="C256" s="4108" t="inlineStr">
        <is>
          <t>135792468</t>
        </is>
      </c>
      <c r="D256" s="4108" t="inlineStr">
        <is>
          <t>202211</t>
        </is>
      </c>
      <c r="E256" s="4108" t="inlineStr">
        <is>
          <t>12,000000000000</t>
        </is>
      </c>
    </row>
    <row outlineLevel="0" r="257">
      <c r="A257" s="4108" t="inlineStr">
        <is>
          <t>135792468202211262500</t>
        </is>
      </c>
      <c r="B257" s="4108" t="inlineStr">
        <is>
          <t>262500</t>
        </is>
      </c>
      <c r="C257" s="4108" t="inlineStr">
        <is>
          <t>135792468</t>
        </is>
      </c>
      <c r="D257" s="4108" t="inlineStr">
        <is>
          <t>202211</t>
        </is>
      </c>
      <c r="E257" s="4108" t="inlineStr">
        <is>
          <t>0,000000000000</t>
        </is>
      </c>
    </row>
    <row outlineLevel="0" r="258">
      <c r="A258" s="4108" t="inlineStr">
        <is>
          <t>135792468202211262501</t>
        </is>
      </c>
      <c r="B258" s="4108" t="inlineStr">
        <is>
          <t>262501</t>
        </is>
      </c>
      <c r="C258" s="4108" t="inlineStr">
        <is>
          <t>135792468</t>
        </is>
      </c>
      <c r="D258" s="4108" t="inlineStr">
        <is>
          <t>202211</t>
        </is>
      </c>
      <c r="E258" s="4108" t="inlineStr">
        <is>
          <t>0,000000000000</t>
        </is>
      </c>
    </row>
    <row outlineLevel="0" r="259">
      <c r="A259" s="4108" t="inlineStr">
        <is>
          <t>135792468202211263000</t>
        </is>
      </c>
      <c r="B259" s="4108" t="inlineStr">
        <is>
          <t>263000</t>
        </is>
      </c>
      <c r="C259" s="4108" t="inlineStr">
        <is>
          <t>135792468</t>
        </is>
      </c>
      <c r="D259" s="4108" t="inlineStr">
        <is>
          <t>202211</t>
        </is>
      </c>
      <c r="E259" s="4108" t="inlineStr">
        <is>
          <t>0,000000000000</t>
        </is>
      </c>
    </row>
    <row outlineLevel="0" r="260">
      <c r="A260" s="4108" t="inlineStr">
        <is>
          <t>135792468202211263001</t>
        </is>
      </c>
      <c r="B260" s="4108" t="inlineStr">
        <is>
          <t>263001</t>
        </is>
      </c>
      <c r="C260" s="4108" t="inlineStr">
        <is>
          <t>135792468</t>
        </is>
      </c>
      <c r="D260" s="4108" t="inlineStr">
        <is>
          <t>202211</t>
        </is>
      </c>
      <c r="E260" s="4108" t="inlineStr">
        <is>
          <t>0,000000000000</t>
        </is>
      </c>
    </row>
    <row outlineLevel="0" r="261">
      <c r="A261" s="4108" t="inlineStr">
        <is>
          <t>135792468202211263500</t>
        </is>
      </c>
      <c r="B261" s="4108" t="inlineStr">
        <is>
          <t>263500</t>
        </is>
      </c>
      <c r="C261" s="4108" t="inlineStr">
        <is>
          <t>135792468</t>
        </is>
      </c>
      <c r="D261" s="4108" t="inlineStr">
        <is>
          <t>202211</t>
        </is>
      </c>
      <c r="E261" s="4108" t="inlineStr">
        <is>
          <t>0,000000000000</t>
        </is>
      </c>
    </row>
    <row outlineLevel="0" r="262">
      <c r="A262" s="4108" t="inlineStr">
        <is>
          <t>135792468202211263501</t>
        </is>
      </c>
      <c r="B262" s="4108" t="inlineStr">
        <is>
          <t>263501</t>
        </is>
      </c>
      <c r="C262" s="4108" t="inlineStr">
        <is>
          <t>135792468</t>
        </is>
      </c>
      <c r="D262" s="4108" t="inlineStr">
        <is>
          <t>202211</t>
        </is>
      </c>
      <c r="E262" s="4108" t="inlineStr">
        <is>
          <t>0,000000000000</t>
        </is>
      </c>
    </row>
    <row outlineLevel="0" r="263">
      <c r="A263" s="4108" t="inlineStr">
        <is>
          <t>135792468202211264000</t>
        </is>
      </c>
      <c r="B263" s="4108" t="inlineStr">
        <is>
          <t>264000</t>
        </is>
      </c>
      <c r="C263" s="4108" t="inlineStr">
        <is>
          <t>135792468</t>
        </is>
      </c>
      <c r="D263" s="4108" t="inlineStr">
        <is>
          <t>202211</t>
        </is>
      </c>
      <c r="E263" s="4108" t="inlineStr">
        <is>
          <t>0,000000000000</t>
        </is>
      </c>
    </row>
    <row outlineLevel="0" r="264">
      <c r="A264" s="4108" t="inlineStr">
        <is>
          <t>135792468202211264001</t>
        </is>
      </c>
      <c r="B264" s="4108" t="inlineStr">
        <is>
          <t>264001</t>
        </is>
      </c>
      <c r="C264" s="4108" t="inlineStr">
        <is>
          <t>135792468</t>
        </is>
      </c>
      <c r="D264" s="4108" t="inlineStr">
        <is>
          <t>202211</t>
        </is>
      </c>
      <c r="E264" s="4108" t="inlineStr">
        <is>
          <t>0,000000000000</t>
        </is>
      </c>
    </row>
    <row outlineLevel="0" r="265">
      <c r="A265" s="4108" t="inlineStr">
        <is>
          <t>135792468202211269500</t>
        </is>
      </c>
      <c r="B265" s="4108" t="inlineStr">
        <is>
          <t>269500</t>
        </is>
      </c>
      <c r="C265" s="4108" t="inlineStr">
        <is>
          <t>135792468</t>
        </is>
      </c>
      <c r="D265" s="4108" t="inlineStr">
        <is>
          <t>202211</t>
        </is>
      </c>
      <c r="E265" s="4108" t="inlineStr">
        <is>
          <t>0,000000000000</t>
        </is>
      </c>
    </row>
    <row outlineLevel="0" r="266">
      <c r="A266" s="4108" t="inlineStr">
        <is>
          <t>135792468202211269501</t>
        </is>
      </c>
      <c r="B266" s="4108" t="inlineStr">
        <is>
          <t>269501</t>
        </is>
      </c>
      <c r="C266" s="4108" t="inlineStr">
        <is>
          <t>135792468</t>
        </is>
      </c>
      <c r="D266" s="4108" t="inlineStr">
        <is>
          <t>202211</t>
        </is>
      </c>
      <c r="E266" s="4108" t="inlineStr">
        <is>
          <t>0,000000000000</t>
        </is>
      </c>
    </row>
    <row outlineLevel="0" r="267">
      <c r="A267" s="4108" t="inlineStr">
        <is>
          <t>135792468202211270500</t>
        </is>
      </c>
      <c r="B267" s="4108" t="inlineStr">
        <is>
          <t>270500</t>
        </is>
      </c>
      <c r="C267" s="4108" t="inlineStr">
        <is>
          <t>135792468</t>
        </is>
      </c>
      <c r="D267" s="4108" t="inlineStr">
        <is>
          <t>202211</t>
        </is>
      </c>
      <c r="E267" s="4108" t="inlineStr">
        <is>
          <t>160,000000000000</t>
        </is>
      </c>
    </row>
    <row outlineLevel="0" r="268">
      <c r="A268" s="4108" t="inlineStr">
        <is>
          <t>135792468202211270501</t>
        </is>
      </c>
      <c r="B268" s="4108" t="inlineStr">
        <is>
          <t>270501</t>
        </is>
      </c>
      <c r="C268" s="4108" t="inlineStr">
        <is>
          <t>135792468</t>
        </is>
      </c>
      <c r="D268" s="4108" t="inlineStr">
        <is>
          <t>202211</t>
        </is>
      </c>
      <c r="E268" s="4108" t="inlineStr">
        <is>
          <t>0,000000000000</t>
        </is>
      </c>
    </row>
    <row outlineLevel="0" r="269">
      <c r="A269" s="4108" t="inlineStr">
        <is>
          <t>135792468202211271000</t>
        </is>
      </c>
      <c r="B269" s="4108" t="inlineStr">
        <is>
          <t>271000</t>
        </is>
      </c>
      <c r="C269" s="4108" t="inlineStr">
        <is>
          <t>135792468</t>
        </is>
      </c>
      <c r="D269" s="4108" t="inlineStr">
        <is>
          <t>202211</t>
        </is>
      </c>
      <c r="E269" s="4108" t="inlineStr">
        <is>
          <t>0,000000000000</t>
        </is>
      </c>
    </row>
    <row outlineLevel="0" r="270">
      <c r="A270" s="4108" t="inlineStr">
        <is>
          <t>135792468202211271001</t>
        </is>
      </c>
      <c r="B270" s="4108" t="inlineStr">
        <is>
          <t>271001</t>
        </is>
      </c>
      <c r="C270" s="4108" t="inlineStr">
        <is>
          <t>135792468</t>
        </is>
      </c>
      <c r="D270" s="4108" t="inlineStr">
        <is>
          <t>202211</t>
        </is>
      </c>
      <c r="E270" s="4108" t="inlineStr">
        <is>
          <t>0,000000000000</t>
        </is>
      </c>
    </row>
    <row outlineLevel="0" r="271">
      <c r="A271" s="4108" t="inlineStr">
        <is>
          <t>135792468202211272001</t>
        </is>
      </c>
      <c r="B271" s="4108" t="inlineStr">
        <is>
          <t>272001</t>
        </is>
      </c>
      <c r="C271" s="4108" t="inlineStr">
        <is>
          <t>135792468</t>
        </is>
      </c>
      <c r="D271" s="4108" t="inlineStr">
        <is>
          <t>202211</t>
        </is>
      </c>
      <c r="E271" s="4108" t="inlineStr">
        <is>
          <t>0,000000000000</t>
        </is>
      </c>
    </row>
    <row outlineLevel="0" r="272">
      <c r="A272" s="4108" t="inlineStr">
        <is>
          <t>135792468202211272500</t>
        </is>
      </c>
      <c r="B272" s="4108" t="inlineStr">
        <is>
          <t>272500</t>
        </is>
      </c>
      <c r="C272" s="4108" t="inlineStr">
        <is>
          <t>135792468</t>
        </is>
      </c>
      <c r="D272" s="4108" t="inlineStr">
        <is>
          <t>202211</t>
        </is>
      </c>
      <c r="E272" s="4108" t="inlineStr">
        <is>
          <t>0,000000000000</t>
        </is>
      </c>
    </row>
    <row outlineLevel="0" r="273">
      <c r="A273" s="4108" t="inlineStr">
        <is>
          <t>135792468202211272501</t>
        </is>
      </c>
      <c r="B273" s="4108" t="inlineStr">
        <is>
          <t>272501</t>
        </is>
      </c>
      <c r="C273" s="4108" t="inlineStr">
        <is>
          <t>135792468</t>
        </is>
      </c>
      <c r="D273" s="4108" t="inlineStr">
        <is>
          <t>202211</t>
        </is>
      </c>
      <c r="E273" s="4108" t="inlineStr">
        <is>
          <t>0,000000000000</t>
        </is>
      </c>
    </row>
    <row outlineLevel="0" r="274">
      <c r="A274" s="4108" t="inlineStr">
        <is>
          <t>135792468202211279500</t>
        </is>
      </c>
      <c r="B274" s="4108" t="inlineStr">
        <is>
          <t>279500</t>
        </is>
      </c>
      <c r="C274" s="4108" t="inlineStr">
        <is>
          <t>135792468</t>
        </is>
      </c>
      <c r="D274" s="4108" t="inlineStr">
        <is>
          <t>202211</t>
        </is>
      </c>
      <c r="E274" s="4108" t="inlineStr">
        <is>
          <t>12,000000000000</t>
        </is>
      </c>
    </row>
    <row outlineLevel="0" r="275">
      <c r="A275" s="4108" t="inlineStr">
        <is>
          <t>135792468202211279501</t>
        </is>
      </c>
      <c r="B275" s="4108" t="inlineStr">
        <is>
          <t>279501</t>
        </is>
      </c>
      <c r="C275" s="4108" t="inlineStr">
        <is>
          <t>135792468</t>
        </is>
      </c>
      <c r="D275" s="4108" t="inlineStr">
        <is>
          <t>202211</t>
        </is>
      </c>
      <c r="E275" s="4108" t="inlineStr">
        <is>
          <t>0,000000000000</t>
        </is>
      </c>
    </row>
    <row outlineLevel="0" r="276">
      <c r="A276" s="4108" t="inlineStr">
        <is>
          <t>135792468202211281000</t>
        </is>
      </c>
      <c r="B276" s="4108" t="inlineStr">
        <is>
          <t>281000</t>
        </is>
      </c>
      <c r="C276" s="4108" t="inlineStr">
        <is>
          <t>135792468</t>
        </is>
      </c>
      <c r="D276" s="4108" t="inlineStr">
        <is>
          <t>202211</t>
        </is>
      </c>
      <c r="E276" s="4108" t="inlineStr">
        <is>
          <t>0,000000000000</t>
        </is>
      </c>
    </row>
    <row outlineLevel="0" r="277">
      <c r="A277" s="4108" t="inlineStr">
        <is>
          <t>135792468202211282000</t>
        </is>
      </c>
      <c r="B277" s="4108" t="inlineStr">
        <is>
          <t>282000</t>
        </is>
      </c>
      <c r="C277" s="4108" t="inlineStr">
        <is>
          <t>135792468</t>
        </is>
      </c>
      <c r="D277" s="4108" t="inlineStr">
        <is>
          <t>202211</t>
        </is>
      </c>
      <c r="E277" s="4108" t="inlineStr">
        <is>
          <t>0,000000000000</t>
        </is>
      </c>
    </row>
    <row outlineLevel="0" r="278">
      <c r="A278" s="4108" t="inlineStr">
        <is>
          <t>135792468202211282500</t>
        </is>
      </c>
      <c r="B278" s="4108" t="inlineStr">
        <is>
          <t>282500</t>
        </is>
      </c>
      <c r="C278" s="4108" t="inlineStr">
        <is>
          <t>135792468</t>
        </is>
      </c>
      <c r="D278" s="4108" t="inlineStr">
        <is>
          <t>202211</t>
        </is>
      </c>
      <c r="E278" s="4108" t="inlineStr">
        <is>
          <t>0,000000000000</t>
        </is>
      </c>
    </row>
    <row outlineLevel="0" r="279">
      <c r="A279" s="4108" t="inlineStr">
        <is>
          <t>135792468202211284000</t>
        </is>
      </c>
      <c r="B279" s="4108" t="inlineStr">
        <is>
          <t>284000</t>
        </is>
      </c>
      <c r="C279" s="4108" t="inlineStr">
        <is>
          <t>135792468</t>
        </is>
      </c>
      <c r="D279" s="4108" t="inlineStr">
        <is>
          <t>202211</t>
        </is>
      </c>
      <c r="E279" s="4108" t="inlineStr">
        <is>
          <t>0,000000000000</t>
        </is>
      </c>
    </row>
    <row outlineLevel="0" r="280">
      <c r="A280" s="4108" t="inlineStr">
        <is>
          <t>135792468202211289500</t>
        </is>
      </c>
      <c r="B280" s="4108" t="inlineStr">
        <is>
          <t>289500</t>
        </is>
      </c>
      <c r="C280" s="4108" t="inlineStr">
        <is>
          <t>135792468</t>
        </is>
      </c>
      <c r="D280" s="4108" t="inlineStr">
        <is>
          <t>202211</t>
        </is>
      </c>
      <c r="E280" s="4108" t="inlineStr">
        <is>
          <t>0,000000000000</t>
        </is>
      </c>
    </row>
    <row outlineLevel="0" r="281">
      <c r="A281" s="4108" t="inlineStr">
        <is>
          <t>135792468202211290501</t>
        </is>
      </c>
      <c r="B281" s="4108" t="inlineStr">
        <is>
          <t>290501</t>
        </is>
      </c>
      <c r="C281" s="4108" t="inlineStr">
        <is>
          <t>135792468</t>
        </is>
      </c>
      <c r="D281" s="4108" t="inlineStr">
        <is>
          <t>202211</t>
        </is>
      </c>
      <c r="E281" s="4108" t="inlineStr">
        <is>
          <t>0,000000000000</t>
        </is>
      </c>
    </row>
    <row outlineLevel="0" r="282">
      <c r="A282" s="4108" t="inlineStr">
        <is>
          <t>135792468202211291000</t>
        </is>
      </c>
      <c r="B282" s="4108" t="inlineStr">
        <is>
          <t>291000</t>
        </is>
      </c>
      <c r="C282" s="4108" t="inlineStr">
        <is>
          <t>135792468</t>
        </is>
      </c>
      <c r="D282" s="4108" t="inlineStr">
        <is>
          <t>202211</t>
        </is>
      </c>
      <c r="E282" s="4108" t="inlineStr">
        <is>
          <t>0,000000000000</t>
        </is>
      </c>
    </row>
    <row outlineLevel="0" r="283">
      <c r="A283" s="4108" t="inlineStr">
        <is>
          <t>135792468202211291501</t>
        </is>
      </c>
      <c r="B283" s="4108" t="inlineStr">
        <is>
          <t>291501</t>
        </is>
      </c>
      <c r="C283" s="4108" t="inlineStr">
        <is>
          <t>135792468</t>
        </is>
      </c>
      <c r="D283" s="4108" t="inlineStr">
        <is>
          <t>202211</t>
        </is>
      </c>
      <c r="E283" s="4108" t="inlineStr">
        <is>
          <t>0,000000000000</t>
        </is>
      </c>
    </row>
    <row outlineLevel="0" r="284">
      <c r="A284" s="4108" t="inlineStr">
        <is>
          <t>135792468202211291991</t>
        </is>
      </c>
      <c r="B284" s="4108" t="inlineStr">
        <is>
          <t>291991</t>
        </is>
      </c>
      <c r="C284" s="4108" t="inlineStr">
        <is>
          <t>135792468</t>
        </is>
      </c>
      <c r="D284" s="4108" t="inlineStr">
        <is>
          <t>202211</t>
        </is>
      </c>
      <c r="E284" s="4108" t="inlineStr">
        <is>
          <t>0,000000000000</t>
        </is>
      </c>
    </row>
    <row outlineLevel="0" r="285">
      <c r="A285" s="4108" t="inlineStr">
        <is>
          <t>135792468202211292000</t>
        </is>
      </c>
      <c r="B285" s="4108" t="inlineStr">
        <is>
          <t>292000</t>
        </is>
      </c>
      <c r="C285" s="4108" t="inlineStr">
        <is>
          <t>135792468</t>
        </is>
      </c>
      <c r="D285" s="4108" t="inlineStr">
        <is>
          <t>202211</t>
        </is>
      </c>
      <c r="E285" s="4108" t="inlineStr">
        <is>
          <t>0,000000000000</t>
        </is>
      </c>
    </row>
    <row outlineLevel="0" r="286">
      <c r="A286" s="4108" t="inlineStr">
        <is>
          <t>135792468202211292001</t>
        </is>
      </c>
      <c r="B286" s="4108" t="inlineStr">
        <is>
          <t>292001</t>
        </is>
      </c>
      <c r="C286" s="4108" t="inlineStr">
        <is>
          <t>135792468</t>
        </is>
      </c>
      <c r="D286" s="4108" t="inlineStr">
        <is>
          <t>202211</t>
        </is>
      </c>
      <c r="E286" s="4108" t="inlineStr">
        <is>
          <t>0,000000000000</t>
        </is>
      </c>
    </row>
    <row outlineLevel="0" r="287">
      <c r="A287" s="4108" t="inlineStr">
        <is>
          <t>135792468202211293000</t>
        </is>
      </c>
      <c r="B287" s="4108" t="inlineStr">
        <is>
          <t>293000</t>
        </is>
      </c>
      <c r="C287" s="4108" t="inlineStr">
        <is>
          <t>135792468</t>
        </is>
      </c>
      <c r="D287" s="4108" t="inlineStr">
        <is>
          <t>202211</t>
        </is>
      </c>
      <c r="E287" s="4108" t="inlineStr">
        <is>
          <t>0,000000000000</t>
        </is>
      </c>
    </row>
    <row outlineLevel="0" r="288">
      <c r="A288" s="4108" t="inlineStr">
        <is>
          <t>135792468202211294000</t>
        </is>
      </c>
      <c r="B288" s="4108" t="inlineStr">
        <is>
          <t>294000</t>
        </is>
      </c>
      <c r="C288" s="4108" t="inlineStr">
        <is>
          <t>135792468</t>
        </is>
      </c>
      <c r="D288" s="4108" t="inlineStr">
        <is>
          <t>202211</t>
        </is>
      </c>
      <c r="E288" s="4108" t="inlineStr">
        <is>
          <t>0,000000000000</t>
        </is>
      </c>
    </row>
    <row outlineLevel="0" r="289">
      <c r="A289" s="4108" t="inlineStr">
        <is>
          <t>135792468202211299501</t>
        </is>
      </c>
      <c r="B289" s="4108" t="inlineStr">
        <is>
          <t>299501</t>
        </is>
      </c>
      <c r="C289" s="4108" t="inlineStr">
        <is>
          <t>135792468</t>
        </is>
      </c>
      <c r="D289" s="4108" t="inlineStr">
        <is>
          <t>202211</t>
        </is>
      </c>
      <c r="E289" s="4108" t="inlineStr">
        <is>
          <t>0,000000000000</t>
        </is>
      </c>
    </row>
    <row outlineLevel="0" r="290">
      <c r="A290" s="4108" t="inlineStr">
        <is>
          <t>135792468202211310500</t>
        </is>
      </c>
      <c r="B290" s="4108" t="inlineStr">
        <is>
          <t>310500</t>
        </is>
      </c>
      <c r="C290" s="4108" t="inlineStr">
        <is>
          <t>135792468</t>
        </is>
      </c>
      <c r="D290" s="4108" t="inlineStr">
        <is>
          <t>202211</t>
        </is>
      </c>
      <c r="E290" s="4108" t="inlineStr">
        <is>
          <t>3767,000000000000</t>
        </is>
      </c>
    </row>
    <row outlineLevel="0" r="291">
      <c r="A291" s="4108" t="inlineStr">
        <is>
          <t>135792468202211311500</t>
        </is>
      </c>
      <c r="B291" s="4108" t="inlineStr">
        <is>
          <t>311500</t>
        </is>
      </c>
      <c r="C291" s="4108" t="inlineStr">
        <is>
          <t>135792468</t>
        </is>
      </c>
      <c r="D291" s="4108" t="inlineStr">
        <is>
          <t>202211</t>
        </is>
      </c>
      <c r="E291" s="4108" t="inlineStr">
        <is>
          <t>0,000000000000</t>
        </is>
      </c>
    </row>
    <row outlineLevel="0" r="292">
      <c r="A292" s="4108" t="inlineStr">
        <is>
          <t>135792468202211312000</t>
        </is>
      </c>
      <c r="B292" s="4108" t="inlineStr">
        <is>
          <t>312000</t>
        </is>
      </c>
      <c r="C292" s="4108" t="inlineStr">
        <is>
          <t>135792468</t>
        </is>
      </c>
      <c r="D292" s="4108" t="inlineStr">
        <is>
          <t>202211</t>
        </is>
      </c>
      <c r="E292" s="4108" t="inlineStr">
        <is>
          <t>0,000000000000</t>
        </is>
      </c>
    </row>
    <row outlineLevel="0" r="293">
      <c r="A293" s="4108" t="inlineStr">
        <is>
          <t>135792468202211312500</t>
        </is>
      </c>
      <c r="B293" s="4108" t="inlineStr">
        <is>
          <t>312500</t>
        </is>
      </c>
      <c r="C293" s="4108" t="inlineStr">
        <is>
          <t>135792468</t>
        </is>
      </c>
      <c r="D293" s="4108" t="inlineStr">
        <is>
          <t>202211</t>
        </is>
      </c>
      <c r="E293" s="4108" t="inlineStr">
        <is>
          <t>0,000000000000</t>
        </is>
      </c>
    </row>
    <row outlineLevel="0" r="294">
      <c r="A294" s="4108" t="inlineStr">
        <is>
          <t>135792468202211313000</t>
        </is>
      </c>
      <c r="B294" s="4108" t="inlineStr">
        <is>
          <t>313000</t>
        </is>
      </c>
      <c r="C294" s="4108" t="inlineStr">
        <is>
          <t>135792468</t>
        </is>
      </c>
      <c r="D294" s="4108" t="inlineStr">
        <is>
          <t>202211</t>
        </is>
      </c>
      <c r="E294" s="4108" t="inlineStr">
        <is>
          <t>0,000000000000</t>
        </is>
      </c>
    </row>
    <row outlineLevel="0" r="295">
      <c r="A295" s="4108" t="inlineStr">
        <is>
          <t>135792468202211313500</t>
        </is>
      </c>
      <c r="B295" s="4108" t="inlineStr">
        <is>
          <t>313500</t>
        </is>
      </c>
      <c r="C295" s="4108" t="inlineStr">
        <is>
          <t>135792468</t>
        </is>
      </c>
      <c r="D295" s="4108" t="inlineStr">
        <is>
          <t>202211</t>
        </is>
      </c>
      <c r="E295" s="4108" t="inlineStr">
        <is>
          <t>0,000000000000</t>
        </is>
      </c>
    </row>
    <row outlineLevel="0" r="296">
      <c r="A296" s="4108" t="inlineStr">
        <is>
          <t>135792468202211314000</t>
        </is>
      </c>
      <c r="B296" s="4108" t="inlineStr">
        <is>
          <t>314000</t>
        </is>
      </c>
      <c r="C296" s="4108" t="inlineStr">
        <is>
          <t>135792468</t>
        </is>
      </c>
      <c r="D296" s="4108" t="inlineStr">
        <is>
          <t>202211</t>
        </is>
      </c>
      <c r="E296" s="4108" t="inlineStr">
        <is>
          <t>0,000000000000</t>
        </is>
      </c>
    </row>
    <row outlineLevel="0" r="297">
      <c r="A297" s="4108" t="inlineStr">
        <is>
          <t>135792468202211320500</t>
        </is>
      </c>
      <c r="B297" s="4108" t="inlineStr">
        <is>
          <t>320500</t>
        </is>
      </c>
      <c r="C297" s="4108" t="inlineStr">
        <is>
          <t>135792468</t>
        </is>
      </c>
      <c r="D297" s="4108" t="inlineStr">
        <is>
          <t>202211</t>
        </is>
      </c>
      <c r="E297" s="4108" t="inlineStr">
        <is>
          <t>0,000000000000</t>
        </is>
      </c>
    </row>
    <row outlineLevel="0" r="298">
      <c r="A298" s="4108" t="inlineStr">
        <is>
          <t>135792468202211321000</t>
        </is>
      </c>
      <c r="B298" s="4108" t="inlineStr">
        <is>
          <t>321000</t>
        </is>
      </c>
      <c r="C298" s="4108" t="inlineStr">
        <is>
          <t>135792468</t>
        </is>
      </c>
      <c r="D298" s="4108" t="inlineStr">
        <is>
          <t>202211</t>
        </is>
      </c>
      <c r="E298" s="4108" t="inlineStr">
        <is>
          <t>0,000000000000</t>
        </is>
      </c>
    </row>
    <row outlineLevel="0" r="299">
      <c r="A299" s="4108" t="inlineStr">
        <is>
          <t>135792468202211321500</t>
        </is>
      </c>
      <c r="B299" s="4108" t="inlineStr">
        <is>
          <t>321500</t>
        </is>
      </c>
      <c r="C299" s="4108" t="inlineStr">
        <is>
          <t>135792468</t>
        </is>
      </c>
      <c r="D299" s="4108" t="inlineStr">
        <is>
          <t>202211</t>
        </is>
      </c>
      <c r="E299" s="4108" t="inlineStr">
        <is>
          <t>0,000000000000</t>
        </is>
      </c>
    </row>
    <row outlineLevel="0" r="300">
      <c r="A300" s="4108" t="inlineStr">
        <is>
          <t>135792468202211322000</t>
        </is>
      </c>
      <c r="B300" s="4108" t="inlineStr">
        <is>
          <t>322000</t>
        </is>
      </c>
      <c r="C300" s="4108" t="inlineStr">
        <is>
          <t>135792468</t>
        </is>
      </c>
      <c r="D300" s="4108" t="inlineStr">
        <is>
          <t>202211</t>
        </is>
      </c>
      <c r="E300" s="4108" t="inlineStr">
        <is>
          <t>0,000000000000</t>
        </is>
      </c>
    </row>
    <row outlineLevel="0" r="301">
      <c r="A301" s="4108" t="inlineStr">
        <is>
          <t>135792468202211322500</t>
        </is>
      </c>
      <c r="B301" s="4108" t="inlineStr">
        <is>
          <t>322500</t>
        </is>
      </c>
      <c r="C301" s="4108" t="inlineStr">
        <is>
          <t>135792468</t>
        </is>
      </c>
      <c r="D301" s="4108" t="inlineStr">
        <is>
          <t>202211</t>
        </is>
      </c>
      <c r="E301" s="4108" t="inlineStr">
        <is>
          <t>0,000000000000</t>
        </is>
      </c>
    </row>
    <row outlineLevel="0" r="302">
      <c r="A302" s="4108" t="inlineStr">
        <is>
          <t>135792468202211330500</t>
        </is>
      </c>
      <c r="B302" s="4108" t="inlineStr">
        <is>
          <t>330500</t>
        </is>
      </c>
      <c r="C302" s="4108" t="inlineStr">
        <is>
          <t>135792468</t>
        </is>
      </c>
      <c r="D302" s="4108" t="inlineStr">
        <is>
          <t>202211</t>
        </is>
      </c>
      <c r="E302" s="4108" t="inlineStr">
        <is>
          <t>166,000000000000</t>
        </is>
      </c>
    </row>
    <row outlineLevel="0" r="303">
      <c r="A303" s="4108" t="inlineStr">
        <is>
          <t>135792468202211331000</t>
        </is>
      </c>
      <c r="B303" s="4108" t="inlineStr">
        <is>
          <t>331000</t>
        </is>
      </c>
      <c r="C303" s="4108" t="inlineStr">
        <is>
          <t>135792468</t>
        </is>
      </c>
      <c r="D303" s="4108" t="inlineStr">
        <is>
          <t>202211</t>
        </is>
      </c>
      <c r="E303" s="4108" t="inlineStr">
        <is>
          <t>0,000000000000</t>
        </is>
      </c>
    </row>
    <row outlineLevel="0" r="304">
      <c r="A304" s="4108" t="inlineStr">
        <is>
          <t>135792468202211331500</t>
        </is>
      </c>
      <c r="B304" s="4108" t="inlineStr">
        <is>
          <t>331500</t>
        </is>
      </c>
      <c r="C304" s="4108" t="inlineStr">
        <is>
          <t>135792468</t>
        </is>
      </c>
      <c r="D304" s="4108" t="inlineStr">
        <is>
          <t>202211</t>
        </is>
      </c>
      <c r="E304" s="4108" t="inlineStr">
        <is>
          <t>0,000000000000</t>
        </is>
      </c>
    </row>
    <row outlineLevel="0" r="305">
      <c r="A305" s="4108" t="inlineStr">
        <is>
          <t>135792468202211340505</t>
        </is>
      </c>
      <c r="B305" s="4108" t="inlineStr">
        <is>
          <t>340505</t>
        </is>
      </c>
      <c r="C305" s="4108" t="inlineStr">
        <is>
          <t>135792468</t>
        </is>
      </c>
      <c r="D305" s="4108" t="inlineStr">
        <is>
          <t>202211</t>
        </is>
      </c>
      <c r="E305" s="4108" t="inlineStr">
        <is>
          <t>0,000000000000</t>
        </is>
      </c>
    </row>
    <row outlineLevel="0" r="306">
      <c r="A306" s="4108" t="inlineStr">
        <is>
          <t>135792468202211340515</t>
        </is>
      </c>
      <c r="B306" s="4108" t="inlineStr">
        <is>
          <t>340515</t>
        </is>
      </c>
      <c r="C306" s="4108" t="inlineStr">
        <is>
          <t>135792468</t>
        </is>
      </c>
      <c r="D306" s="4108" t="inlineStr">
        <is>
          <t>202211</t>
        </is>
      </c>
      <c r="E306" s="4108" t="inlineStr">
        <is>
          <t>0,000000000000</t>
        </is>
      </c>
    </row>
    <row outlineLevel="0" r="307">
      <c r="A307" s="4108" t="inlineStr">
        <is>
          <t>135792468202211349500</t>
        </is>
      </c>
      <c r="B307" s="4108" t="inlineStr">
        <is>
          <t>349500</t>
        </is>
      </c>
      <c r="C307" s="4108" t="inlineStr">
        <is>
          <t>135792468</t>
        </is>
      </c>
      <c r="D307" s="4108" t="inlineStr">
        <is>
          <t>202211</t>
        </is>
      </c>
      <c r="E307" s="4108" t="inlineStr">
        <is>
          <t>0,000000000000</t>
        </is>
      </c>
    </row>
    <row outlineLevel="0" r="308">
      <c r="A308" s="4108" t="inlineStr">
        <is>
          <t>135792468202211410500</t>
        </is>
      </c>
      <c r="B308" s="4108" t="inlineStr">
        <is>
          <t>410500</t>
        </is>
      </c>
      <c r="C308" s="4108" t="inlineStr">
        <is>
          <t>135792468</t>
        </is>
      </c>
      <c r="D308" s="4108" t="inlineStr">
        <is>
          <t>202211</t>
        </is>
      </c>
      <c r="E308" s="4108" t="inlineStr">
        <is>
          <t>1943,000000000000</t>
        </is>
      </c>
    </row>
    <row outlineLevel="0" r="309">
      <c r="A309" s="4108" t="inlineStr">
        <is>
          <t>135792468202211411000</t>
        </is>
      </c>
      <c r="B309" s="4108" t="inlineStr">
        <is>
          <t>411000</t>
        </is>
      </c>
      <c r="C309" s="4108" t="inlineStr">
        <is>
          <t>135792468</t>
        </is>
      </c>
      <c r="D309" s="4108" t="inlineStr">
        <is>
          <t>202211</t>
        </is>
      </c>
      <c r="E309" s="4108" t="inlineStr">
        <is>
          <t>0,000000000000</t>
        </is>
      </c>
    </row>
    <row outlineLevel="0" r="310">
      <c r="A310" s="4108" t="inlineStr">
        <is>
          <t>135792468202211420500</t>
        </is>
      </c>
      <c r="B310" s="4108" t="inlineStr">
        <is>
          <t>420500</t>
        </is>
      </c>
      <c r="C310" s="4108" t="inlineStr">
        <is>
          <t>135792468</t>
        </is>
      </c>
      <c r="D310" s="4108" t="inlineStr">
        <is>
          <t>202211</t>
        </is>
      </c>
      <c r="E310" s="4108" t="inlineStr">
        <is>
          <t>0,000000000000</t>
        </is>
      </c>
    </row>
    <row outlineLevel="0" r="311">
      <c r="A311" s="4108" t="inlineStr">
        <is>
          <t>135792468202211421000</t>
        </is>
      </c>
      <c r="B311" s="4108" t="inlineStr">
        <is>
          <t>421000</t>
        </is>
      </c>
      <c r="C311" s="4108" t="inlineStr">
        <is>
          <t>135792468</t>
        </is>
      </c>
      <c r="D311" s="4108" t="inlineStr">
        <is>
          <t>202211</t>
        </is>
      </c>
      <c r="E311" s="4108" t="inlineStr">
        <is>
          <t>0,000000000000</t>
        </is>
      </c>
    </row>
    <row outlineLevel="0" r="312">
      <c r="A312" s="4108" t="inlineStr">
        <is>
          <t>135792468202211421020</t>
        </is>
      </c>
      <c r="B312" s="4108" t="inlineStr">
        <is>
          <t>421020</t>
        </is>
      </c>
      <c r="C312" s="4108" t="inlineStr">
        <is>
          <t>135792468</t>
        </is>
      </c>
      <c r="D312" s="4108" t="inlineStr">
        <is>
          <t>202211</t>
        </is>
      </c>
      <c r="E312" s="4108" t="inlineStr">
        <is>
          <t>0,000000000000</t>
        </is>
      </c>
    </row>
    <row outlineLevel="0" r="313">
      <c r="A313" s="4108" t="inlineStr">
        <is>
          <t>135792468202211421040</t>
        </is>
      </c>
      <c r="B313" s="4108" t="inlineStr">
        <is>
          <t>421040</t>
        </is>
      </c>
      <c r="C313" s="4108" t="inlineStr">
        <is>
          <t>135792468</t>
        </is>
      </c>
      <c r="D313" s="4108" t="inlineStr">
        <is>
          <t>202211</t>
        </is>
      </c>
      <c r="E313" s="4108" t="inlineStr">
        <is>
          <t>0,000000000000</t>
        </is>
      </c>
    </row>
    <row outlineLevel="0" r="314">
      <c r="A314" s="4108" t="inlineStr">
        <is>
          <t>135792468202211421500</t>
        </is>
      </c>
      <c r="B314" s="4108" t="inlineStr">
        <is>
          <t>421500</t>
        </is>
      </c>
      <c r="C314" s="4108" t="inlineStr">
        <is>
          <t>135792468</t>
        </is>
      </c>
      <c r="D314" s="4108" t="inlineStr">
        <is>
          <t>202211</t>
        </is>
      </c>
      <c r="E314" s="4108" t="inlineStr">
        <is>
          <t>0,000000000000</t>
        </is>
      </c>
    </row>
    <row outlineLevel="0" r="315">
      <c r="A315" s="4108" t="inlineStr">
        <is>
          <t>135792468202211422000</t>
        </is>
      </c>
      <c r="B315" s="4108" t="inlineStr">
        <is>
          <t>422000</t>
        </is>
      </c>
      <c r="C315" s="4108" t="inlineStr">
        <is>
          <t>135792468</t>
        </is>
      </c>
      <c r="D315" s="4108" t="inlineStr">
        <is>
          <t>202211</t>
        </is>
      </c>
      <c r="E315" s="4108" t="inlineStr">
        <is>
          <t>0,000000000000</t>
        </is>
      </c>
    </row>
    <row outlineLevel="0" r="316">
      <c r="A316" s="4108" t="inlineStr">
        <is>
          <t>135792468202211422500</t>
        </is>
      </c>
      <c r="B316" s="4108" t="inlineStr">
        <is>
          <t>422500</t>
        </is>
      </c>
      <c r="C316" s="4108" t="inlineStr">
        <is>
          <t>135792468</t>
        </is>
      </c>
      <c r="D316" s="4108" t="inlineStr">
        <is>
          <t>202211</t>
        </is>
      </c>
      <c r="E316" s="4108" t="inlineStr">
        <is>
          <t>0,000000000000</t>
        </is>
      </c>
    </row>
    <row outlineLevel="0" r="317">
      <c r="A317" s="4108" t="inlineStr">
        <is>
          <t>135792468202211423500</t>
        </is>
      </c>
      <c r="B317" s="4108" t="inlineStr">
        <is>
          <t>423500</t>
        </is>
      </c>
      <c r="C317" s="4108" t="inlineStr">
        <is>
          <t>135792468</t>
        </is>
      </c>
      <c r="D317" s="4108" t="inlineStr">
        <is>
          <t>202211</t>
        </is>
      </c>
      <c r="E317" s="4108" t="inlineStr">
        <is>
          <t>0,000000000000</t>
        </is>
      </c>
    </row>
    <row outlineLevel="0" r="318">
      <c r="A318" s="4108" t="inlineStr">
        <is>
          <t>135792468202211424000</t>
        </is>
      </c>
      <c r="B318" s="4108" t="inlineStr">
        <is>
          <t>424000</t>
        </is>
      </c>
      <c r="C318" s="4108" t="inlineStr">
        <is>
          <t>135792468</t>
        </is>
      </c>
      <c r="D318" s="4108" t="inlineStr">
        <is>
          <t>202211</t>
        </is>
      </c>
      <c r="E318" s="4108" t="inlineStr">
        <is>
          <t>0,000000000000</t>
        </is>
      </c>
    </row>
    <row outlineLevel="0" r="319">
      <c r="A319" s="4108" t="inlineStr">
        <is>
          <t>135792468202211425000</t>
        </is>
      </c>
      <c r="B319" s="4108" t="inlineStr">
        <is>
          <t>425000</t>
        </is>
      </c>
      <c r="C319" s="4108" t="inlineStr">
        <is>
          <t>135792468</t>
        </is>
      </c>
      <c r="D319" s="4108" t="inlineStr">
        <is>
          <t>202211</t>
        </is>
      </c>
      <c r="E319" s="4108" t="inlineStr">
        <is>
          <t>0,000000000000</t>
        </is>
      </c>
    </row>
    <row outlineLevel="0" r="320">
      <c r="A320" s="4108" t="inlineStr">
        <is>
          <t>135792468202211426500</t>
        </is>
      </c>
      <c r="B320" s="4108" t="inlineStr">
        <is>
          <t>426500</t>
        </is>
      </c>
      <c r="C320" s="4108" t="inlineStr">
        <is>
          <t>135792468</t>
        </is>
      </c>
      <c r="D320" s="4108" t="inlineStr">
        <is>
          <t>202211</t>
        </is>
      </c>
      <c r="E320" s="4108" t="inlineStr">
        <is>
          <t>0,000000000000</t>
        </is>
      </c>
    </row>
    <row outlineLevel="0" r="321">
      <c r="A321" s="4108" t="inlineStr">
        <is>
          <t>135792468202211429500</t>
        </is>
      </c>
      <c r="B321" s="4108" t="inlineStr">
        <is>
          <t>429500</t>
        </is>
      </c>
      <c r="C321" s="4108" t="inlineStr">
        <is>
          <t>135792468</t>
        </is>
      </c>
      <c r="D321" s="4108" t="inlineStr">
        <is>
          <t>202211</t>
        </is>
      </c>
      <c r="E321" s="4108" t="inlineStr">
        <is>
          <t>0,000000000000</t>
        </is>
      </c>
    </row>
    <row outlineLevel="0" r="322">
      <c r="A322" s="4108" t="inlineStr">
        <is>
          <t>135792468202211510500</t>
        </is>
      </c>
      <c r="B322" s="4108" t="inlineStr">
        <is>
          <t>510500</t>
        </is>
      </c>
      <c r="C322" s="4108" t="inlineStr">
        <is>
          <t>135792468</t>
        </is>
      </c>
      <c r="D322" s="4108" t="inlineStr">
        <is>
          <t>202211</t>
        </is>
      </c>
      <c r="E322" s="4108" t="inlineStr">
        <is>
          <t>1350,000000000000</t>
        </is>
      </c>
    </row>
    <row outlineLevel="0" r="323">
      <c r="A323" s="4108" t="inlineStr">
        <is>
          <t>135792468202211511000</t>
        </is>
      </c>
      <c r="B323" s="4108" t="inlineStr">
        <is>
          <t>511000</t>
        </is>
      </c>
      <c r="C323" s="4108" t="inlineStr">
        <is>
          <t>135792468</t>
        </is>
      </c>
      <c r="D323" s="4108" t="inlineStr">
        <is>
          <t>202211</t>
        </is>
      </c>
      <c r="E323" s="4108" t="inlineStr">
        <is>
          <t>0,000000000000</t>
        </is>
      </c>
    </row>
    <row outlineLevel="0" r="324">
      <c r="A324" s="4108" t="inlineStr">
        <is>
          <t>135792468202211511500</t>
        </is>
      </c>
      <c r="B324" s="4108" t="inlineStr">
        <is>
          <t>511500</t>
        </is>
      </c>
      <c r="C324" s="4108" t="inlineStr">
        <is>
          <t>135792468</t>
        </is>
      </c>
      <c r="D324" s="4108" t="inlineStr">
        <is>
          <t>202211</t>
        </is>
      </c>
      <c r="E324" s="4108" t="inlineStr">
        <is>
          <t>0,000000000000</t>
        </is>
      </c>
    </row>
    <row outlineLevel="0" r="325">
      <c r="A325" s="4108" t="inlineStr">
        <is>
          <t>135792468202211512000</t>
        </is>
      </c>
      <c r="B325" s="4108" t="inlineStr">
        <is>
          <t>512000</t>
        </is>
      </c>
      <c r="C325" s="4108" t="inlineStr">
        <is>
          <t>135792468</t>
        </is>
      </c>
      <c r="D325" s="4108" t="inlineStr">
        <is>
          <t>202211</t>
        </is>
      </c>
      <c r="E325" s="4108" t="inlineStr">
        <is>
          <t>0,000000000000</t>
        </is>
      </c>
    </row>
    <row outlineLevel="0" r="326">
      <c r="A326" s="4108" t="inlineStr">
        <is>
          <t>135792468202211512500</t>
        </is>
      </c>
      <c r="B326" s="4108" t="inlineStr">
        <is>
          <t>512500</t>
        </is>
      </c>
      <c r="C326" s="4108" t="inlineStr">
        <is>
          <t>135792468</t>
        </is>
      </c>
      <c r="D326" s="4108" t="inlineStr">
        <is>
          <t>202211</t>
        </is>
      </c>
      <c r="E326" s="4108" t="inlineStr">
        <is>
          <t>0,000000000000</t>
        </is>
      </c>
    </row>
    <row outlineLevel="0" r="327">
      <c r="A327" s="4108" t="inlineStr">
        <is>
          <t>135792468202211513000</t>
        </is>
      </c>
      <c r="B327" s="4108" t="inlineStr">
        <is>
          <t>513000</t>
        </is>
      </c>
      <c r="C327" s="4108" t="inlineStr">
        <is>
          <t>135792468</t>
        </is>
      </c>
      <c r="D327" s="4108" t="inlineStr">
        <is>
          <t>202211</t>
        </is>
      </c>
      <c r="E327" s="4108" t="inlineStr">
        <is>
          <t>0,000000000000</t>
        </is>
      </c>
    </row>
    <row outlineLevel="0" r="328">
      <c r="A328" s="4108" t="inlineStr">
        <is>
          <t>135792468202211513500</t>
        </is>
      </c>
      <c r="B328" s="4108" t="inlineStr">
        <is>
          <t>513500</t>
        </is>
      </c>
      <c r="C328" s="4108" t="inlineStr">
        <is>
          <t>135792468</t>
        </is>
      </c>
      <c r="D328" s="4108" t="inlineStr">
        <is>
          <t>202211</t>
        </is>
      </c>
      <c r="E328" s="4108" t="inlineStr">
        <is>
          <t>0,000000000000</t>
        </is>
      </c>
    </row>
    <row outlineLevel="0" r="329">
      <c r="A329" s="4108" t="inlineStr">
        <is>
          <t>135792468202211514000</t>
        </is>
      </c>
      <c r="B329" s="4108" t="inlineStr">
        <is>
          <t>514000</t>
        </is>
      </c>
      <c r="C329" s="4108" t="inlineStr">
        <is>
          <t>135792468</t>
        </is>
      </c>
      <c r="D329" s="4108" t="inlineStr">
        <is>
          <t>202211</t>
        </is>
      </c>
      <c r="E329" s="4108" t="inlineStr">
        <is>
          <t>0,000000000000</t>
        </is>
      </c>
    </row>
    <row outlineLevel="0" r="330">
      <c r="A330" s="4108" t="inlineStr">
        <is>
          <t>135792468202211514500</t>
        </is>
      </c>
      <c r="B330" s="4108" t="inlineStr">
        <is>
          <t>514500</t>
        </is>
      </c>
      <c r="C330" s="4108" t="inlineStr">
        <is>
          <t>135792468</t>
        </is>
      </c>
      <c r="D330" s="4108" t="inlineStr">
        <is>
          <t>202211</t>
        </is>
      </c>
      <c r="E330" s="4108" t="inlineStr">
        <is>
          <t>0,000000000000</t>
        </is>
      </c>
    </row>
    <row outlineLevel="0" r="331">
      <c r="A331" s="4108" t="inlineStr">
        <is>
          <t>135792468202211515000</t>
        </is>
      </c>
      <c r="B331" s="4108" t="inlineStr">
        <is>
          <t>515000</t>
        </is>
      </c>
      <c r="C331" s="4108" t="inlineStr">
        <is>
          <t>135792468</t>
        </is>
      </c>
      <c r="D331" s="4108" t="inlineStr">
        <is>
          <t>202211</t>
        </is>
      </c>
      <c r="E331" s="4108" t="inlineStr">
        <is>
          <t>0,000000000000</t>
        </is>
      </c>
    </row>
    <row outlineLevel="0" r="332">
      <c r="A332" s="4108" t="inlineStr">
        <is>
          <t>135792468202211515500</t>
        </is>
      </c>
      <c r="B332" s="4108" t="inlineStr">
        <is>
          <t>515500</t>
        </is>
      </c>
      <c r="C332" s="4108" t="inlineStr">
        <is>
          <t>135792468</t>
        </is>
      </c>
      <c r="D332" s="4108" t="inlineStr">
        <is>
          <t>202211</t>
        </is>
      </c>
      <c r="E332" s="4108" t="inlineStr">
        <is>
          <t>0,000000000000</t>
        </is>
      </c>
    </row>
    <row outlineLevel="0" r="333">
      <c r="A333" s="4108" t="inlineStr">
        <is>
          <t>135792468202211516000</t>
        </is>
      </c>
      <c r="B333" s="4108" t="inlineStr">
        <is>
          <t>516000</t>
        </is>
      </c>
      <c r="C333" s="4108" t="inlineStr">
        <is>
          <t>135792468</t>
        </is>
      </c>
      <c r="D333" s="4108" t="inlineStr">
        <is>
          <t>202211</t>
        </is>
      </c>
      <c r="E333" s="4108" t="inlineStr">
        <is>
          <t>0,000000000000</t>
        </is>
      </c>
    </row>
    <row outlineLevel="0" r="334">
      <c r="A334" s="4108" t="inlineStr">
        <is>
          <t>135792468202211516500</t>
        </is>
      </c>
      <c r="B334" s="4108" t="inlineStr">
        <is>
          <t>516500</t>
        </is>
      </c>
      <c r="C334" s="4108" t="inlineStr">
        <is>
          <t>135792468</t>
        </is>
      </c>
      <c r="D334" s="4108" t="inlineStr">
        <is>
          <t>202211</t>
        </is>
      </c>
      <c r="E334" s="4108" t="inlineStr">
        <is>
          <t>0,000000000000</t>
        </is>
      </c>
    </row>
    <row outlineLevel="0" r="335">
      <c r="A335" s="4108" t="inlineStr">
        <is>
          <t>135792468202211519500</t>
        </is>
      </c>
      <c r="B335" s="4108" t="inlineStr">
        <is>
          <t>519500</t>
        </is>
      </c>
      <c r="C335" s="4108" t="inlineStr">
        <is>
          <t>135792468</t>
        </is>
      </c>
      <c r="D335" s="4108" t="inlineStr">
        <is>
          <t>202211</t>
        </is>
      </c>
      <c r="E335" s="4108" t="inlineStr">
        <is>
          <t>0,000000000000</t>
        </is>
      </c>
    </row>
    <row outlineLevel="0" r="336">
      <c r="A336" s="4108" t="inlineStr">
        <is>
          <t>135792468202211519900</t>
        </is>
      </c>
      <c r="B336" s="4108" t="inlineStr">
        <is>
          <t>519900</t>
        </is>
      </c>
      <c r="C336" s="4108" t="inlineStr">
        <is>
          <t>135792468</t>
        </is>
      </c>
      <c r="D336" s="4108" t="inlineStr">
        <is>
          <t>202211</t>
        </is>
      </c>
      <c r="E336" s="4108" t="inlineStr">
        <is>
          <t>0,000000000000</t>
        </is>
      </c>
    </row>
    <row outlineLevel="0" r="337">
      <c r="A337" s="4108" t="inlineStr">
        <is>
          <t>135792468202211520500</t>
        </is>
      </c>
      <c r="B337" s="4108" t="inlineStr">
        <is>
          <t>520500</t>
        </is>
      </c>
      <c r="C337" s="4108" t="inlineStr">
        <is>
          <t>135792468</t>
        </is>
      </c>
      <c r="D337" s="4108" t="inlineStr">
        <is>
          <t>202211</t>
        </is>
      </c>
      <c r="E337" s="4108" t="inlineStr">
        <is>
          <t>0,000000000000</t>
        </is>
      </c>
    </row>
    <row outlineLevel="0" r="338">
      <c r="A338" s="4108" t="inlineStr">
        <is>
          <t>135792468202211521000</t>
        </is>
      </c>
      <c r="B338" s="4108" t="inlineStr">
        <is>
          <t>521000</t>
        </is>
      </c>
      <c r="C338" s="4108" t="inlineStr">
        <is>
          <t>135792468</t>
        </is>
      </c>
      <c r="D338" s="4108" t="inlineStr">
        <is>
          <t>202211</t>
        </is>
      </c>
      <c r="E338" s="4108" t="inlineStr">
        <is>
          <t>0,000000000000</t>
        </is>
      </c>
    </row>
    <row outlineLevel="0" r="339">
      <c r="A339" s="4108" t="inlineStr">
        <is>
          <t>135792468202211521500</t>
        </is>
      </c>
      <c r="B339" s="4108" t="inlineStr">
        <is>
          <t>521500</t>
        </is>
      </c>
      <c r="C339" s="4108" t="inlineStr">
        <is>
          <t>135792468</t>
        </is>
      </c>
      <c r="D339" s="4108" t="inlineStr">
        <is>
          <t>202211</t>
        </is>
      </c>
      <c r="E339" s="4108" t="inlineStr">
        <is>
          <t>0,000000000000</t>
        </is>
      </c>
    </row>
    <row outlineLevel="0" r="340">
      <c r="A340" s="4108" t="inlineStr">
        <is>
          <t>135792468202211522000</t>
        </is>
      </c>
      <c r="B340" s="4108" t="inlineStr">
        <is>
          <t>522000</t>
        </is>
      </c>
      <c r="C340" s="4108" t="inlineStr">
        <is>
          <t>135792468</t>
        </is>
      </c>
      <c r="D340" s="4108" t="inlineStr">
        <is>
          <t>202211</t>
        </is>
      </c>
      <c r="E340" s="4108" t="inlineStr">
        <is>
          <t>0,000000000000</t>
        </is>
      </c>
    </row>
    <row outlineLevel="0" r="341">
      <c r="A341" s="4108" t="inlineStr">
        <is>
          <t>135792468202211522500</t>
        </is>
      </c>
      <c r="B341" s="4108" t="inlineStr">
        <is>
          <t>522500</t>
        </is>
      </c>
      <c r="C341" s="4108" t="inlineStr">
        <is>
          <t>135792468</t>
        </is>
      </c>
      <c r="D341" s="4108" t="inlineStr">
        <is>
          <t>202211</t>
        </is>
      </c>
      <c r="E341" s="4108" t="inlineStr">
        <is>
          <t>0,000000000000</t>
        </is>
      </c>
    </row>
    <row outlineLevel="0" r="342">
      <c r="A342" s="4108" t="inlineStr">
        <is>
          <t>135792468202211523000</t>
        </is>
      </c>
      <c r="B342" s="4108" t="inlineStr">
        <is>
          <t>523000</t>
        </is>
      </c>
      <c r="C342" s="4108" t="inlineStr">
        <is>
          <t>135792468</t>
        </is>
      </c>
      <c r="D342" s="4108" t="inlineStr">
        <is>
          <t>202211</t>
        </is>
      </c>
      <c r="E342" s="4108" t="inlineStr">
        <is>
          <t>0,000000000000</t>
        </is>
      </c>
    </row>
    <row outlineLevel="0" r="343">
      <c r="A343" s="4108" t="inlineStr">
        <is>
          <t>135792468202211523500</t>
        </is>
      </c>
      <c r="B343" s="4108" t="inlineStr">
        <is>
          <t>523500</t>
        </is>
      </c>
      <c r="C343" s="4108" t="inlineStr">
        <is>
          <t>135792468</t>
        </is>
      </c>
      <c r="D343" s="4108" t="inlineStr">
        <is>
          <t>202211</t>
        </is>
      </c>
      <c r="E343" s="4108" t="inlineStr">
        <is>
          <t>0,000000000000</t>
        </is>
      </c>
    </row>
    <row outlineLevel="0" r="344">
      <c r="A344" s="4108" t="inlineStr">
        <is>
          <t>135792468202211524000</t>
        </is>
      </c>
      <c r="B344" s="4108" t="inlineStr">
        <is>
          <t>524000</t>
        </is>
      </c>
      <c r="C344" s="4108" t="inlineStr">
        <is>
          <t>135792468</t>
        </is>
      </c>
      <c r="D344" s="4108" t="inlineStr">
        <is>
          <t>202211</t>
        </is>
      </c>
      <c r="E344" s="4108" t="inlineStr">
        <is>
          <t>0,000000000000</t>
        </is>
      </c>
    </row>
    <row outlineLevel="0" r="345">
      <c r="A345" s="4108" t="inlineStr">
        <is>
          <t>135792468202211524500</t>
        </is>
      </c>
      <c r="B345" s="4108" t="inlineStr">
        <is>
          <t>524500</t>
        </is>
      </c>
      <c r="C345" s="4108" t="inlineStr">
        <is>
          <t>135792468</t>
        </is>
      </c>
      <c r="D345" s="4108" t="inlineStr">
        <is>
          <t>202211</t>
        </is>
      </c>
      <c r="E345" s="4108" t="inlineStr">
        <is>
          <t>0,000000000000</t>
        </is>
      </c>
    </row>
    <row outlineLevel="0" r="346">
      <c r="A346" s="4108" t="inlineStr">
        <is>
          <t>135792468202211525000</t>
        </is>
      </c>
      <c r="B346" s="4108" t="inlineStr">
        <is>
          <t>525000</t>
        </is>
      </c>
      <c r="C346" s="4108" t="inlineStr">
        <is>
          <t>135792468</t>
        </is>
      </c>
      <c r="D346" s="4108" t="inlineStr">
        <is>
          <t>202211</t>
        </is>
      </c>
      <c r="E346" s="4108" t="inlineStr">
        <is>
          <t>0,000000000000</t>
        </is>
      </c>
    </row>
    <row outlineLevel="0" r="347">
      <c r="A347" s="4108" t="inlineStr">
        <is>
          <t>135792468202211525500</t>
        </is>
      </c>
      <c r="B347" s="4108" t="inlineStr">
        <is>
          <t>525500</t>
        </is>
      </c>
      <c r="C347" s="4108" t="inlineStr">
        <is>
          <t>135792468</t>
        </is>
      </c>
      <c r="D347" s="4108" t="inlineStr">
        <is>
          <t>202211</t>
        </is>
      </c>
      <c r="E347" s="4108" t="inlineStr">
        <is>
          <t>0,000000000000</t>
        </is>
      </c>
    </row>
    <row outlineLevel="0" r="348">
      <c r="A348" s="4108" t="inlineStr">
        <is>
          <t>135792468202211526000</t>
        </is>
      </c>
      <c r="B348" s="4108" t="inlineStr">
        <is>
          <t>526000</t>
        </is>
      </c>
      <c r="C348" s="4108" t="inlineStr">
        <is>
          <t>135792468</t>
        </is>
      </c>
      <c r="D348" s="4108" t="inlineStr">
        <is>
          <t>202211</t>
        </is>
      </c>
      <c r="E348" s="4108" t="inlineStr">
        <is>
          <t>0,000000000000</t>
        </is>
      </c>
    </row>
    <row outlineLevel="0" r="349">
      <c r="A349" s="4108" t="inlineStr">
        <is>
          <t>135792468202211526500</t>
        </is>
      </c>
      <c r="B349" s="4108" t="inlineStr">
        <is>
          <t>526500</t>
        </is>
      </c>
      <c r="C349" s="4108" t="inlineStr">
        <is>
          <t>135792468</t>
        </is>
      </c>
      <c r="D349" s="4108" t="inlineStr">
        <is>
          <t>202211</t>
        </is>
      </c>
      <c r="E349" s="4108" t="inlineStr">
        <is>
          <t>0,000000000000</t>
        </is>
      </c>
    </row>
    <row outlineLevel="0" r="350">
      <c r="A350" s="4108" t="inlineStr">
        <is>
          <t>135792468202211529500</t>
        </is>
      </c>
      <c r="B350" s="4108" t="inlineStr">
        <is>
          <t>529500</t>
        </is>
      </c>
      <c r="C350" s="4108" t="inlineStr">
        <is>
          <t>135792468</t>
        </is>
      </c>
      <c r="D350" s="4108" t="inlineStr">
        <is>
          <t>202211</t>
        </is>
      </c>
      <c r="E350" s="4108" t="inlineStr">
        <is>
          <t>0,000000000000</t>
        </is>
      </c>
    </row>
    <row outlineLevel="0" r="351">
      <c r="A351" s="4108" t="inlineStr">
        <is>
          <t>135792468202211529900</t>
        </is>
      </c>
      <c r="B351" s="4108" t="inlineStr">
        <is>
          <t>529900</t>
        </is>
      </c>
      <c r="C351" s="4108" t="inlineStr">
        <is>
          <t>135792468</t>
        </is>
      </c>
      <c r="D351" s="4108" t="inlineStr">
        <is>
          <t>202211</t>
        </is>
      </c>
      <c r="E351" s="4108" t="inlineStr">
        <is>
          <t>0,000000000000</t>
        </is>
      </c>
    </row>
    <row outlineLevel="0" r="352">
      <c r="A352" s="4108" t="inlineStr">
        <is>
          <t>135792468202211530505</t>
        </is>
      </c>
      <c r="B352" s="4108" t="inlineStr">
        <is>
          <t>530505</t>
        </is>
      </c>
      <c r="C352" s="4108" t="inlineStr">
        <is>
          <t>135792468</t>
        </is>
      </c>
      <c r="D352" s="4108" t="inlineStr">
        <is>
          <t>202211</t>
        </is>
      </c>
      <c r="E352" s="4108" t="inlineStr">
        <is>
          <t>0,000000000000</t>
        </is>
      </c>
    </row>
    <row outlineLevel="0" r="353">
      <c r="A353" s="4108" t="inlineStr">
        <is>
          <t>135792468202211530515</t>
        </is>
      </c>
      <c r="B353" s="4108" t="inlineStr">
        <is>
          <t>530515</t>
        </is>
      </c>
      <c r="C353" s="4108" t="inlineStr">
        <is>
          <t>135792468</t>
        </is>
      </c>
      <c r="D353" s="4108" t="inlineStr">
        <is>
          <t>202211</t>
        </is>
      </c>
      <c r="E353" s="4108" t="inlineStr">
        <is>
          <t>0,000000000000</t>
        </is>
      </c>
    </row>
    <row outlineLevel="0" r="354">
      <c r="A354" s="4108" t="inlineStr">
        <is>
          <t>135792468202211530525</t>
        </is>
      </c>
      <c r="B354" s="4108" t="inlineStr">
        <is>
          <t>530525</t>
        </is>
      </c>
      <c r="C354" s="4108" t="inlineStr">
        <is>
          <t>135792468</t>
        </is>
      </c>
      <c r="D354" s="4108" t="inlineStr">
        <is>
          <t>202211</t>
        </is>
      </c>
      <c r="E354" s="4108" t="inlineStr">
        <is>
          <t>0,000000000000</t>
        </is>
      </c>
    </row>
    <row outlineLevel="0" r="355">
      <c r="A355" s="4108" t="inlineStr">
        <is>
          <t>135792468202211530535</t>
        </is>
      </c>
      <c r="B355" s="4108" t="inlineStr">
        <is>
          <t>530535</t>
        </is>
      </c>
      <c r="C355" s="4108" t="inlineStr">
        <is>
          <t>135792468</t>
        </is>
      </c>
      <c r="D355" s="4108" t="inlineStr">
        <is>
          <t>202211</t>
        </is>
      </c>
      <c r="E355" s="4108" t="inlineStr">
        <is>
          <t>0,000000000000</t>
        </is>
      </c>
    </row>
    <row outlineLevel="0" r="356">
      <c r="A356" s="4108" t="inlineStr">
        <is>
          <t>135792468202211531000</t>
        </is>
      </c>
      <c r="B356" s="4108" t="inlineStr">
        <is>
          <t>531000</t>
        </is>
      </c>
      <c r="C356" s="4108" t="inlineStr">
        <is>
          <t>135792468</t>
        </is>
      </c>
      <c r="D356" s="4108" t="inlineStr">
        <is>
          <t>202211</t>
        </is>
      </c>
      <c r="E356" s="4108" t="inlineStr">
        <is>
          <t>0,000000000000</t>
        </is>
      </c>
    </row>
    <row outlineLevel="0" r="357">
      <c r="A357" s="4108" t="inlineStr">
        <is>
          <t>135792468202211531300</t>
        </is>
      </c>
      <c r="B357" s="4108" t="inlineStr">
        <is>
          <t>531300</t>
        </is>
      </c>
      <c r="C357" s="4108" t="inlineStr">
        <is>
          <t>135792468</t>
        </is>
      </c>
      <c r="D357" s="4108" t="inlineStr">
        <is>
          <t>202211</t>
        </is>
      </c>
      <c r="E357" s="4108" t="inlineStr">
        <is>
          <t>0,000000000000</t>
        </is>
      </c>
    </row>
    <row outlineLevel="0" r="358">
      <c r="A358" s="4108" t="inlineStr">
        <is>
          <t>135792468202211531500</t>
        </is>
      </c>
      <c r="B358" s="4108" t="inlineStr">
        <is>
          <t>531500</t>
        </is>
      </c>
      <c r="C358" s="4108" t="inlineStr">
        <is>
          <t>135792468</t>
        </is>
      </c>
      <c r="D358" s="4108" t="inlineStr">
        <is>
          <t>202211</t>
        </is>
      </c>
      <c r="E358" s="4108" t="inlineStr">
        <is>
          <t>0,000000000000</t>
        </is>
      </c>
    </row>
    <row outlineLevel="0" r="359">
      <c r="A359" s="4108" t="inlineStr">
        <is>
          <t>135792468202211531515</t>
        </is>
      </c>
      <c r="B359" s="4108" t="inlineStr">
        <is>
          <t>531515</t>
        </is>
      </c>
      <c r="C359" s="4108" t="inlineStr">
        <is>
          <t>135792468</t>
        </is>
      </c>
      <c r="D359" s="4108" t="inlineStr">
        <is>
          <t>202211</t>
        </is>
      </c>
      <c r="E359" s="4108" t="inlineStr">
        <is>
          <t>0,000000000000</t>
        </is>
      </c>
    </row>
    <row outlineLevel="0" r="360">
      <c r="A360" s="4108" t="inlineStr">
        <is>
          <t>135792468202211531520</t>
        </is>
      </c>
      <c r="B360" s="4108" t="inlineStr">
        <is>
          <t>531520</t>
        </is>
      </c>
      <c r="C360" s="4108" t="inlineStr">
        <is>
          <t>135792468</t>
        </is>
      </c>
      <c r="D360" s="4108" t="inlineStr">
        <is>
          <t>202211</t>
        </is>
      </c>
      <c r="E360" s="4108" t="inlineStr">
        <is>
          <t>0,000000000000</t>
        </is>
      </c>
    </row>
    <row outlineLevel="0" r="361">
      <c r="A361" s="4108" t="inlineStr">
        <is>
          <t>135792468202211539525</t>
        </is>
      </c>
      <c r="B361" s="4108" t="inlineStr">
        <is>
          <t>539525</t>
        </is>
      </c>
      <c r="C361" s="4108" t="inlineStr">
        <is>
          <t>135792468</t>
        </is>
      </c>
      <c r="D361" s="4108" t="inlineStr">
        <is>
          <t>202211</t>
        </is>
      </c>
      <c r="E361" s="4108" t="inlineStr">
        <is>
          <t>0,000000000000</t>
        </is>
      </c>
    </row>
    <row outlineLevel="0" r="362">
      <c r="A362" s="4108" t="inlineStr">
        <is>
          <t>135792468202211539595</t>
        </is>
      </c>
      <c r="B362" s="4108" t="inlineStr">
        <is>
          <t>539595</t>
        </is>
      </c>
      <c r="C362" s="4108" t="inlineStr">
        <is>
          <t>135792468</t>
        </is>
      </c>
      <c r="D362" s="4108" t="inlineStr">
        <is>
          <t>202211</t>
        </is>
      </c>
      <c r="E362" s="4108" t="inlineStr">
        <is>
          <t>0,000000000000</t>
        </is>
      </c>
    </row>
    <row outlineLevel="0" r="363">
      <c r="A363" s="4108" t="inlineStr">
        <is>
          <t>135792468202211606000</t>
        </is>
      </c>
      <c r="B363" s="4108" t="inlineStr">
        <is>
          <t>606000</t>
        </is>
      </c>
      <c r="C363" s="4108" t="inlineStr">
        <is>
          <t>135792468</t>
        </is>
      </c>
      <c r="D363" s="4108" t="inlineStr">
        <is>
          <t>202211</t>
        </is>
      </c>
      <c r="E363" s="4108" t="inlineStr">
        <is>
          <t>193,000000000000</t>
        </is>
      </c>
    </row>
    <row outlineLevel="0" r="364">
      <c r="A364" s="4108" t="inlineStr">
        <is>
          <t>135792468202210606000</t>
        </is>
      </c>
      <c r="B364" s="4108" t="inlineStr">
        <is>
          <t>606000</t>
        </is>
      </c>
      <c r="C364" s="4108" t="inlineStr">
        <is>
          <t>135792468</t>
        </is>
      </c>
      <c r="D364" s="4108" t="inlineStr">
        <is>
          <t>202210</t>
        </is>
      </c>
      <c r="E364" s="4108" t="inlineStr">
        <is>
          <t>186,000000000000</t>
        </is>
      </c>
    </row>
    <row outlineLevel="0" r="365">
      <c r="A365" s="4108" t="inlineStr">
        <is>
          <t>135792468202210539595</t>
        </is>
      </c>
      <c r="B365" s="4108" t="inlineStr">
        <is>
          <t>539595</t>
        </is>
      </c>
      <c r="C365" s="4108" t="inlineStr">
        <is>
          <t>135792468</t>
        </is>
      </c>
      <c r="D365" s="4108" t="inlineStr">
        <is>
          <t>202210</t>
        </is>
      </c>
      <c r="E365" s="4108" t="inlineStr">
        <is>
          <t>0,000000000000</t>
        </is>
      </c>
    </row>
    <row outlineLevel="0" r="366">
      <c r="A366" s="4108" t="inlineStr">
        <is>
          <t>135792468202210539525</t>
        </is>
      </c>
      <c r="B366" s="4108" t="inlineStr">
        <is>
          <t>539525</t>
        </is>
      </c>
      <c r="C366" s="4108" t="inlineStr">
        <is>
          <t>135792468</t>
        </is>
      </c>
      <c r="D366" s="4108" t="inlineStr">
        <is>
          <t>202210</t>
        </is>
      </c>
      <c r="E366" s="4108" t="inlineStr">
        <is>
          <t>0,000000000000</t>
        </is>
      </c>
    </row>
    <row outlineLevel="0" r="367">
      <c r="A367" s="4108" t="inlineStr">
        <is>
          <t>135792468202210531520</t>
        </is>
      </c>
      <c r="B367" s="4108" t="inlineStr">
        <is>
          <t>531520</t>
        </is>
      </c>
      <c r="C367" s="4108" t="inlineStr">
        <is>
          <t>135792468</t>
        </is>
      </c>
      <c r="D367" s="4108" t="inlineStr">
        <is>
          <t>202210</t>
        </is>
      </c>
      <c r="E367" s="4108" t="inlineStr">
        <is>
          <t>0,000000000000</t>
        </is>
      </c>
    </row>
    <row outlineLevel="0" r="368">
      <c r="A368" s="4108" t="inlineStr">
        <is>
          <t>135792468202210531515</t>
        </is>
      </c>
      <c r="B368" s="4108" t="inlineStr">
        <is>
          <t>531515</t>
        </is>
      </c>
      <c r="C368" s="4108" t="inlineStr">
        <is>
          <t>135792468</t>
        </is>
      </c>
      <c r="D368" s="4108" t="inlineStr">
        <is>
          <t>202210</t>
        </is>
      </c>
      <c r="E368" s="4108" t="inlineStr">
        <is>
          <t>0,000000000000</t>
        </is>
      </c>
    </row>
    <row outlineLevel="0" r="369">
      <c r="A369" s="4108" t="inlineStr">
        <is>
          <t>135792468202210531500</t>
        </is>
      </c>
      <c r="B369" s="4108" t="inlineStr">
        <is>
          <t>531500</t>
        </is>
      </c>
      <c r="C369" s="4108" t="inlineStr">
        <is>
          <t>135792468</t>
        </is>
      </c>
      <c r="D369" s="4108" t="inlineStr">
        <is>
          <t>202210</t>
        </is>
      </c>
      <c r="E369" s="4108" t="inlineStr">
        <is>
          <t>0,000000000000</t>
        </is>
      </c>
    </row>
    <row outlineLevel="0" r="370">
      <c r="A370" s="4108" t="inlineStr">
        <is>
          <t>135792468202210531300</t>
        </is>
      </c>
      <c r="B370" s="4108" t="inlineStr">
        <is>
          <t>531300</t>
        </is>
      </c>
      <c r="C370" s="4108" t="inlineStr">
        <is>
          <t>135792468</t>
        </is>
      </c>
      <c r="D370" s="4108" t="inlineStr">
        <is>
          <t>202210</t>
        </is>
      </c>
      <c r="E370" s="4108" t="inlineStr">
        <is>
          <t>0,000000000000</t>
        </is>
      </c>
    </row>
    <row outlineLevel="0" r="371">
      <c r="A371" s="4108" t="inlineStr">
        <is>
          <t>135792468202210531000</t>
        </is>
      </c>
      <c r="B371" s="4108" t="inlineStr">
        <is>
          <t>531000</t>
        </is>
      </c>
      <c r="C371" s="4108" t="inlineStr">
        <is>
          <t>135792468</t>
        </is>
      </c>
      <c r="D371" s="4108" t="inlineStr">
        <is>
          <t>202210</t>
        </is>
      </c>
      <c r="E371" s="4108" t="inlineStr">
        <is>
          <t>0,000000000000</t>
        </is>
      </c>
    </row>
    <row outlineLevel="0" r="372">
      <c r="A372" s="4108" t="inlineStr">
        <is>
          <t>135792468202210530535</t>
        </is>
      </c>
      <c r="B372" s="4108" t="inlineStr">
        <is>
          <t>530535</t>
        </is>
      </c>
      <c r="C372" s="4108" t="inlineStr">
        <is>
          <t>135792468</t>
        </is>
      </c>
      <c r="D372" s="4108" t="inlineStr">
        <is>
          <t>202210</t>
        </is>
      </c>
      <c r="E372" s="4108" t="inlineStr">
        <is>
          <t>0,000000000000</t>
        </is>
      </c>
    </row>
    <row outlineLevel="0" r="373">
      <c r="A373" s="4108" t="inlineStr">
        <is>
          <t>135792468202210530525</t>
        </is>
      </c>
      <c r="B373" s="4108" t="inlineStr">
        <is>
          <t>530525</t>
        </is>
      </c>
      <c r="C373" s="4108" t="inlineStr">
        <is>
          <t>135792468</t>
        </is>
      </c>
      <c r="D373" s="4108" t="inlineStr">
        <is>
          <t>202210</t>
        </is>
      </c>
      <c r="E373" s="4108" t="inlineStr">
        <is>
          <t>0,000000000000</t>
        </is>
      </c>
    </row>
    <row outlineLevel="0" r="374">
      <c r="A374" s="4108" t="inlineStr">
        <is>
          <t>135792468202210530515</t>
        </is>
      </c>
      <c r="B374" s="4108" t="inlineStr">
        <is>
          <t>530515</t>
        </is>
      </c>
      <c r="C374" s="4108" t="inlineStr">
        <is>
          <t>135792468</t>
        </is>
      </c>
      <c r="D374" s="4108" t="inlineStr">
        <is>
          <t>202210</t>
        </is>
      </c>
      <c r="E374" s="4108" t="inlineStr">
        <is>
          <t>0,000000000000</t>
        </is>
      </c>
    </row>
    <row outlineLevel="0" r="375">
      <c r="A375" s="4108" t="inlineStr">
        <is>
          <t>135792468202210530505</t>
        </is>
      </c>
      <c r="B375" s="4108" t="inlineStr">
        <is>
          <t>530505</t>
        </is>
      </c>
      <c r="C375" s="4108" t="inlineStr">
        <is>
          <t>135792468</t>
        </is>
      </c>
      <c r="D375" s="4108" t="inlineStr">
        <is>
          <t>202210</t>
        </is>
      </c>
      <c r="E375" s="4108" t="inlineStr">
        <is>
          <t>0,000000000000</t>
        </is>
      </c>
    </row>
    <row outlineLevel="0" r="376">
      <c r="A376" s="4108" t="inlineStr">
        <is>
          <t>135792468202210529900</t>
        </is>
      </c>
      <c r="B376" s="4108" t="inlineStr">
        <is>
          <t>529900</t>
        </is>
      </c>
      <c r="C376" s="4108" t="inlineStr">
        <is>
          <t>135792468</t>
        </is>
      </c>
      <c r="D376" s="4108" t="inlineStr">
        <is>
          <t>202210</t>
        </is>
      </c>
      <c r="E376" s="4108" t="inlineStr">
        <is>
          <t>0,000000000000</t>
        </is>
      </c>
    </row>
    <row outlineLevel="0" r="377">
      <c r="A377" s="4108" t="inlineStr">
        <is>
          <t>135792468202210529500</t>
        </is>
      </c>
      <c r="B377" s="4108" t="inlineStr">
        <is>
          <t>529500</t>
        </is>
      </c>
      <c r="C377" s="4108" t="inlineStr">
        <is>
          <t>135792468</t>
        </is>
      </c>
      <c r="D377" s="4108" t="inlineStr">
        <is>
          <t>202210</t>
        </is>
      </c>
      <c r="E377" s="4108" t="inlineStr">
        <is>
          <t>0,000000000000</t>
        </is>
      </c>
    </row>
    <row outlineLevel="0" r="378">
      <c r="A378" s="4108" t="inlineStr">
        <is>
          <t>135792468202210526500</t>
        </is>
      </c>
      <c r="B378" s="4108" t="inlineStr">
        <is>
          <t>526500</t>
        </is>
      </c>
      <c r="C378" s="4108" t="inlineStr">
        <is>
          <t>135792468</t>
        </is>
      </c>
      <c r="D378" s="4108" t="inlineStr">
        <is>
          <t>202210</t>
        </is>
      </c>
      <c r="E378" s="4108" t="inlineStr">
        <is>
          <t>0,000000000000</t>
        </is>
      </c>
    </row>
    <row outlineLevel="0" r="379">
      <c r="A379" s="4108" t="inlineStr">
        <is>
          <t>135792468202210526000</t>
        </is>
      </c>
      <c r="B379" s="4108" t="inlineStr">
        <is>
          <t>526000</t>
        </is>
      </c>
      <c r="C379" s="4108" t="inlineStr">
        <is>
          <t>135792468</t>
        </is>
      </c>
      <c r="D379" s="4108" t="inlineStr">
        <is>
          <t>202210</t>
        </is>
      </c>
      <c r="E379" s="4108" t="inlineStr">
        <is>
          <t>0,000000000000</t>
        </is>
      </c>
    </row>
    <row outlineLevel="0" r="380">
      <c r="A380" s="4108" t="inlineStr">
        <is>
          <t>135792468202210525500</t>
        </is>
      </c>
      <c r="B380" s="4108" t="inlineStr">
        <is>
          <t>525500</t>
        </is>
      </c>
      <c r="C380" s="4108" t="inlineStr">
        <is>
          <t>135792468</t>
        </is>
      </c>
      <c r="D380" s="4108" t="inlineStr">
        <is>
          <t>202210</t>
        </is>
      </c>
      <c r="E380" s="4108" t="inlineStr">
        <is>
          <t>0,000000000000</t>
        </is>
      </c>
    </row>
    <row outlineLevel="0" r="381">
      <c r="A381" s="4108" t="inlineStr">
        <is>
          <t>135792468202210525000</t>
        </is>
      </c>
      <c r="B381" s="4108" t="inlineStr">
        <is>
          <t>525000</t>
        </is>
      </c>
      <c r="C381" s="4108" t="inlineStr">
        <is>
          <t>135792468</t>
        </is>
      </c>
      <c r="D381" s="4108" t="inlineStr">
        <is>
          <t>202210</t>
        </is>
      </c>
      <c r="E381" s="4108" t="inlineStr">
        <is>
          <t>0,000000000000</t>
        </is>
      </c>
    </row>
    <row outlineLevel="0" r="382">
      <c r="A382" s="4108" t="inlineStr">
        <is>
          <t>135792468202210524500</t>
        </is>
      </c>
      <c r="B382" s="4108" t="inlineStr">
        <is>
          <t>524500</t>
        </is>
      </c>
      <c r="C382" s="4108" t="inlineStr">
        <is>
          <t>135792468</t>
        </is>
      </c>
      <c r="D382" s="4108" t="inlineStr">
        <is>
          <t>202210</t>
        </is>
      </c>
      <c r="E382" s="4108" t="inlineStr">
        <is>
          <t>0,000000000000</t>
        </is>
      </c>
    </row>
    <row outlineLevel="0" r="383">
      <c r="A383" s="4108" t="inlineStr">
        <is>
          <t>135792468202210524000</t>
        </is>
      </c>
      <c r="B383" s="4108" t="inlineStr">
        <is>
          <t>524000</t>
        </is>
      </c>
      <c r="C383" s="4108" t="inlineStr">
        <is>
          <t>135792468</t>
        </is>
      </c>
      <c r="D383" s="4108" t="inlineStr">
        <is>
          <t>202210</t>
        </is>
      </c>
      <c r="E383" s="4108" t="inlineStr">
        <is>
          <t>0,000000000000</t>
        </is>
      </c>
    </row>
    <row outlineLevel="0" r="384">
      <c r="A384" s="4108" t="inlineStr">
        <is>
          <t>135792468202210523500</t>
        </is>
      </c>
      <c r="B384" s="4108" t="inlineStr">
        <is>
          <t>523500</t>
        </is>
      </c>
      <c r="C384" s="4108" t="inlineStr">
        <is>
          <t>135792468</t>
        </is>
      </c>
      <c r="D384" s="4108" t="inlineStr">
        <is>
          <t>202210</t>
        </is>
      </c>
      <c r="E384" s="4108" t="inlineStr">
        <is>
          <t>0,000000000000</t>
        </is>
      </c>
    </row>
    <row outlineLevel="0" r="385">
      <c r="A385" s="4108" t="inlineStr">
        <is>
          <t>135792468202210523000</t>
        </is>
      </c>
      <c r="B385" s="4108" t="inlineStr">
        <is>
          <t>523000</t>
        </is>
      </c>
      <c r="C385" s="4108" t="inlineStr">
        <is>
          <t>135792468</t>
        </is>
      </c>
      <c r="D385" s="4108" t="inlineStr">
        <is>
          <t>202210</t>
        </is>
      </c>
      <c r="E385" s="4108" t="inlineStr">
        <is>
          <t>0,000000000000</t>
        </is>
      </c>
    </row>
    <row outlineLevel="0" r="386">
      <c r="A386" s="4108" t="inlineStr">
        <is>
          <t>135792468202210522500</t>
        </is>
      </c>
      <c r="B386" s="4108" t="inlineStr">
        <is>
          <t>522500</t>
        </is>
      </c>
      <c r="C386" s="4108" t="inlineStr">
        <is>
          <t>135792468</t>
        </is>
      </c>
      <c r="D386" s="4108" t="inlineStr">
        <is>
          <t>202210</t>
        </is>
      </c>
      <c r="E386" s="4108" t="inlineStr">
        <is>
          <t>0,000000000000</t>
        </is>
      </c>
    </row>
    <row outlineLevel="0" r="387">
      <c r="A387" s="4108" t="inlineStr">
        <is>
          <t>135792468202210522000</t>
        </is>
      </c>
      <c r="B387" s="4108" t="inlineStr">
        <is>
          <t>522000</t>
        </is>
      </c>
      <c r="C387" s="4108" t="inlineStr">
        <is>
          <t>135792468</t>
        </is>
      </c>
      <c r="D387" s="4108" t="inlineStr">
        <is>
          <t>202210</t>
        </is>
      </c>
      <c r="E387" s="4108" t="inlineStr">
        <is>
          <t>0,000000000000</t>
        </is>
      </c>
    </row>
    <row outlineLevel="0" r="388">
      <c r="A388" s="4108" t="inlineStr">
        <is>
          <t>135792468202210521500</t>
        </is>
      </c>
      <c r="B388" s="4108" t="inlineStr">
        <is>
          <t>521500</t>
        </is>
      </c>
      <c r="C388" s="4108" t="inlineStr">
        <is>
          <t>135792468</t>
        </is>
      </c>
      <c r="D388" s="4108" t="inlineStr">
        <is>
          <t>202210</t>
        </is>
      </c>
      <c r="E388" s="4108" t="inlineStr">
        <is>
          <t>0,000000000000</t>
        </is>
      </c>
    </row>
    <row outlineLevel="0" r="389">
      <c r="A389" s="4108" t="inlineStr">
        <is>
          <t>135792468202210521000</t>
        </is>
      </c>
      <c r="B389" s="4108" t="inlineStr">
        <is>
          <t>521000</t>
        </is>
      </c>
      <c r="C389" s="4108" t="inlineStr">
        <is>
          <t>135792468</t>
        </is>
      </c>
      <c r="D389" s="4108" t="inlineStr">
        <is>
          <t>202210</t>
        </is>
      </c>
      <c r="E389" s="4108" t="inlineStr">
        <is>
          <t>0,000000000000</t>
        </is>
      </c>
    </row>
    <row outlineLevel="0" r="390">
      <c r="A390" s="4108" t="inlineStr">
        <is>
          <t>135792468202210520500</t>
        </is>
      </c>
      <c r="B390" s="4108" t="inlineStr">
        <is>
          <t>520500</t>
        </is>
      </c>
      <c r="C390" s="4108" t="inlineStr">
        <is>
          <t>135792468</t>
        </is>
      </c>
      <c r="D390" s="4108" t="inlineStr">
        <is>
          <t>202210</t>
        </is>
      </c>
      <c r="E390" s="4108" t="inlineStr">
        <is>
          <t>0,000000000000</t>
        </is>
      </c>
    </row>
    <row outlineLevel="0" r="391">
      <c r="A391" s="4108" t="inlineStr">
        <is>
          <t>135792468202210519900</t>
        </is>
      </c>
      <c r="B391" s="4108" t="inlineStr">
        <is>
          <t>519900</t>
        </is>
      </c>
      <c r="C391" s="4108" t="inlineStr">
        <is>
          <t>135792468</t>
        </is>
      </c>
      <c r="D391" s="4108" t="inlineStr">
        <is>
          <t>202210</t>
        </is>
      </c>
      <c r="E391" s="4108" t="inlineStr">
        <is>
          <t>0,000000000000</t>
        </is>
      </c>
    </row>
    <row outlineLevel="0" r="392">
      <c r="A392" s="4108" t="inlineStr">
        <is>
          <t>135792468202210519500</t>
        </is>
      </c>
      <c r="B392" s="4108" t="inlineStr">
        <is>
          <t>519500</t>
        </is>
      </c>
      <c r="C392" s="4108" t="inlineStr">
        <is>
          <t>135792468</t>
        </is>
      </c>
      <c r="D392" s="4108" t="inlineStr">
        <is>
          <t>202210</t>
        </is>
      </c>
      <c r="E392" s="4108" t="inlineStr">
        <is>
          <t>0,000000000000</t>
        </is>
      </c>
    </row>
    <row outlineLevel="0" r="393">
      <c r="A393" s="4108" t="inlineStr">
        <is>
          <t>135792468202210516500</t>
        </is>
      </c>
      <c r="B393" s="4108" t="inlineStr">
        <is>
          <t>516500</t>
        </is>
      </c>
      <c r="C393" s="4108" t="inlineStr">
        <is>
          <t>135792468</t>
        </is>
      </c>
      <c r="D393" s="4108" t="inlineStr">
        <is>
          <t>202210</t>
        </is>
      </c>
      <c r="E393" s="4108" t="inlineStr">
        <is>
          <t>0,000000000000</t>
        </is>
      </c>
    </row>
    <row outlineLevel="0" r="394">
      <c r="A394" s="4108" t="inlineStr">
        <is>
          <t>135792468202210516000</t>
        </is>
      </c>
      <c r="B394" s="4108" t="inlineStr">
        <is>
          <t>516000</t>
        </is>
      </c>
      <c r="C394" s="4108" t="inlineStr">
        <is>
          <t>135792468</t>
        </is>
      </c>
      <c r="D394" s="4108" t="inlineStr">
        <is>
          <t>202210</t>
        </is>
      </c>
      <c r="E394" s="4108" t="inlineStr">
        <is>
          <t>0,000000000000</t>
        </is>
      </c>
    </row>
    <row outlineLevel="0" r="395">
      <c r="A395" s="4108" t="inlineStr">
        <is>
          <t>135792468202210515500</t>
        </is>
      </c>
      <c r="B395" s="4108" t="inlineStr">
        <is>
          <t>515500</t>
        </is>
      </c>
      <c r="C395" s="4108" t="inlineStr">
        <is>
          <t>135792468</t>
        </is>
      </c>
      <c r="D395" s="4108" t="inlineStr">
        <is>
          <t>202210</t>
        </is>
      </c>
      <c r="E395" s="4108" t="inlineStr">
        <is>
          <t>0,000000000000</t>
        </is>
      </c>
    </row>
    <row outlineLevel="0" r="396">
      <c r="A396" s="4108" t="inlineStr">
        <is>
          <t>135792468202210515000</t>
        </is>
      </c>
      <c r="B396" s="4108" t="inlineStr">
        <is>
          <t>515000</t>
        </is>
      </c>
      <c r="C396" s="4108" t="inlineStr">
        <is>
          <t>135792468</t>
        </is>
      </c>
      <c r="D396" s="4108" t="inlineStr">
        <is>
          <t>202210</t>
        </is>
      </c>
      <c r="E396" s="4108" t="inlineStr">
        <is>
          <t>0,000000000000</t>
        </is>
      </c>
    </row>
    <row outlineLevel="0" r="397">
      <c r="A397" s="4108" t="inlineStr">
        <is>
          <t>135792468202210514500</t>
        </is>
      </c>
      <c r="B397" s="4108" t="inlineStr">
        <is>
          <t>514500</t>
        </is>
      </c>
      <c r="C397" s="4108" t="inlineStr">
        <is>
          <t>135792468</t>
        </is>
      </c>
      <c r="D397" s="4108" t="inlineStr">
        <is>
          <t>202210</t>
        </is>
      </c>
      <c r="E397" s="4108" t="inlineStr">
        <is>
          <t>0,000000000000</t>
        </is>
      </c>
    </row>
    <row outlineLevel="0" r="398">
      <c r="A398" s="4108" t="inlineStr">
        <is>
          <t>135792468202210514000</t>
        </is>
      </c>
      <c r="B398" s="4108" t="inlineStr">
        <is>
          <t>514000</t>
        </is>
      </c>
      <c r="C398" s="4108" t="inlineStr">
        <is>
          <t>135792468</t>
        </is>
      </c>
      <c r="D398" s="4108" t="inlineStr">
        <is>
          <t>202210</t>
        </is>
      </c>
      <c r="E398" s="4108" t="inlineStr">
        <is>
          <t>0,000000000000</t>
        </is>
      </c>
    </row>
    <row outlineLevel="0" r="399">
      <c r="A399" s="4108" t="inlineStr">
        <is>
          <t>135792468202210513500</t>
        </is>
      </c>
      <c r="B399" s="4108" t="inlineStr">
        <is>
          <t>513500</t>
        </is>
      </c>
      <c r="C399" s="4108" t="inlineStr">
        <is>
          <t>135792468</t>
        </is>
      </c>
      <c r="D399" s="4108" t="inlineStr">
        <is>
          <t>202210</t>
        </is>
      </c>
      <c r="E399" s="4108" t="inlineStr">
        <is>
          <t>0,000000000000</t>
        </is>
      </c>
    </row>
    <row outlineLevel="0" r="400">
      <c r="A400" s="4108" t="inlineStr">
        <is>
          <t>135792468202210513000</t>
        </is>
      </c>
      <c r="B400" s="4108" t="inlineStr">
        <is>
          <t>513000</t>
        </is>
      </c>
      <c r="C400" s="4108" t="inlineStr">
        <is>
          <t>135792468</t>
        </is>
      </c>
      <c r="D400" s="4108" t="inlineStr">
        <is>
          <t>202210</t>
        </is>
      </c>
      <c r="E400" s="4108" t="inlineStr">
        <is>
          <t>0,000000000000</t>
        </is>
      </c>
    </row>
    <row outlineLevel="0" r="401">
      <c r="A401" s="4108" t="inlineStr">
        <is>
          <t>135792468202210512500</t>
        </is>
      </c>
      <c r="B401" s="4108" t="inlineStr">
        <is>
          <t>512500</t>
        </is>
      </c>
      <c r="C401" s="4108" t="inlineStr">
        <is>
          <t>135792468</t>
        </is>
      </c>
      <c r="D401" s="4108" t="inlineStr">
        <is>
          <t>202210</t>
        </is>
      </c>
      <c r="E401" s="4108" t="inlineStr">
        <is>
          <t>0,000000000000</t>
        </is>
      </c>
    </row>
    <row outlineLevel="0" r="402">
      <c r="A402" s="4108" t="inlineStr">
        <is>
          <t>135792468202210512000</t>
        </is>
      </c>
      <c r="B402" s="4108" t="inlineStr">
        <is>
          <t>512000</t>
        </is>
      </c>
      <c r="C402" s="4108" t="inlineStr">
        <is>
          <t>135792468</t>
        </is>
      </c>
      <c r="D402" s="4108" t="inlineStr">
        <is>
          <t>202210</t>
        </is>
      </c>
      <c r="E402" s="4108" t="inlineStr">
        <is>
          <t>0,000000000000</t>
        </is>
      </c>
    </row>
    <row outlineLevel="0" r="403">
      <c r="A403" s="4108" t="inlineStr">
        <is>
          <t>135792468202210511500</t>
        </is>
      </c>
      <c r="B403" s="4108" t="inlineStr">
        <is>
          <t>511500</t>
        </is>
      </c>
      <c r="C403" s="4108" t="inlineStr">
        <is>
          <t>135792468</t>
        </is>
      </c>
      <c r="D403" s="4108" t="inlineStr">
        <is>
          <t>202210</t>
        </is>
      </c>
      <c r="E403" s="4108" t="inlineStr">
        <is>
          <t>0,000000000000</t>
        </is>
      </c>
    </row>
    <row outlineLevel="0" r="404">
      <c r="A404" s="4108" t="inlineStr">
        <is>
          <t>135792468202210511000</t>
        </is>
      </c>
      <c r="B404" s="4108" t="inlineStr">
        <is>
          <t>511000</t>
        </is>
      </c>
      <c r="C404" s="4108" t="inlineStr">
        <is>
          <t>135792468</t>
        </is>
      </c>
      <c r="D404" s="4108" t="inlineStr">
        <is>
          <t>202210</t>
        </is>
      </c>
      <c r="E404" s="4108" t="inlineStr">
        <is>
          <t>0,000000000000</t>
        </is>
      </c>
    </row>
    <row outlineLevel="0" r="405">
      <c r="A405" s="4108" t="inlineStr">
        <is>
          <t>135792468202210510500</t>
        </is>
      </c>
      <c r="B405" s="4108" t="inlineStr">
        <is>
          <t>510500</t>
        </is>
      </c>
      <c r="C405" s="4108" t="inlineStr">
        <is>
          <t>135792468</t>
        </is>
      </c>
      <c r="D405" s="4108" t="inlineStr">
        <is>
          <t>202210</t>
        </is>
      </c>
      <c r="E405" s="4108" t="inlineStr">
        <is>
          <t>3900,000000000000</t>
        </is>
      </c>
    </row>
    <row outlineLevel="0" r="406">
      <c r="A406" s="4108" t="inlineStr">
        <is>
          <t>135792468202210429500</t>
        </is>
      </c>
      <c r="B406" s="4108" t="inlineStr">
        <is>
          <t>429500</t>
        </is>
      </c>
      <c r="C406" s="4108" t="inlineStr">
        <is>
          <t>135792468</t>
        </is>
      </c>
      <c r="D406" s="4108" t="inlineStr">
        <is>
          <t>202210</t>
        </is>
      </c>
      <c r="E406" s="4108" t="inlineStr">
        <is>
          <t>0,000000000000</t>
        </is>
      </c>
    </row>
    <row outlineLevel="0" r="407">
      <c r="A407" s="4108" t="inlineStr">
        <is>
          <t>135792468202210426500</t>
        </is>
      </c>
      <c r="B407" s="4108" t="inlineStr">
        <is>
          <t>426500</t>
        </is>
      </c>
      <c r="C407" s="4108" t="inlineStr">
        <is>
          <t>135792468</t>
        </is>
      </c>
      <c r="D407" s="4108" t="inlineStr">
        <is>
          <t>202210</t>
        </is>
      </c>
      <c r="E407" s="4108" t="inlineStr">
        <is>
          <t>0,000000000000</t>
        </is>
      </c>
    </row>
    <row outlineLevel="0" r="408">
      <c r="A408" s="4108" t="inlineStr">
        <is>
          <t>135792468202210425000</t>
        </is>
      </c>
      <c r="B408" s="4108" t="inlineStr">
        <is>
          <t>425000</t>
        </is>
      </c>
      <c r="C408" s="4108" t="inlineStr">
        <is>
          <t>135792468</t>
        </is>
      </c>
      <c r="D408" s="4108" t="inlineStr">
        <is>
          <t>202210</t>
        </is>
      </c>
      <c r="E408" s="4108" t="inlineStr">
        <is>
          <t>0,000000000000</t>
        </is>
      </c>
    </row>
    <row outlineLevel="0" r="409">
      <c r="A409" s="4108" t="inlineStr">
        <is>
          <t>135792468202210424000</t>
        </is>
      </c>
      <c r="B409" s="4108" t="inlineStr">
        <is>
          <t>424000</t>
        </is>
      </c>
      <c r="C409" s="4108" t="inlineStr">
        <is>
          <t>135792468</t>
        </is>
      </c>
      <c r="D409" s="4108" t="inlineStr">
        <is>
          <t>202210</t>
        </is>
      </c>
      <c r="E409" s="4108" t="inlineStr">
        <is>
          <t>0,000000000000</t>
        </is>
      </c>
    </row>
    <row outlineLevel="0" r="410">
      <c r="A410" s="4108" t="inlineStr">
        <is>
          <t>135792468202210423500</t>
        </is>
      </c>
      <c r="B410" s="4108" t="inlineStr">
        <is>
          <t>423500</t>
        </is>
      </c>
      <c r="C410" s="4108" t="inlineStr">
        <is>
          <t>135792468</t>
        </is>
      </c>
      <c r="D410" s="4108" t="inlineStr">
        <is>
          <t>202210</t>
        </is>
      </c>
      <c r="E410" s="4108" t="inlineStr">
        <is>
          <t>0,000000000000</t>
        </is>
      </c>
    </row>
    <row outlineLevel="0" r="411">
      <c r="A411" s="4108" t="inlineStr">
        <is>
          <t>135792468202210422500</t>
        </is>
      </c>
      <c r="B411" s="4108" t="inlineStr">
        <is>
          <t>422500</t>
        </is>
      </c>
      <c r="C411" s="4108" t="inlineStr">
        <is>
          <t>135792468</t>
        </is>
      </c>
      <c r="D411" s="4108" t="inlineStr">
        <is>
          <t>202210</t>
        </is>
      </c>
      <c r="E411" s="4108" t="inlineStr">
        <is>
          <t>0,000000000000</t>
        </is>
      </c>
    </row>
    <row outlineLevel="0" r="412">
      <c r="A412" s="4108" t="inlineStr">
        <is>
          <t>135792468202210422000</t>
        </is>
      </c>
      <c r="B412" s="4108" t="inlineStr">
        <is>
          <t>422000</t>
        </is>
      </c>
      <c r="C412" s="4108" t="inlineStr">
        <is>
          <t>135792468</t>
        </is>
      </c>
      <c r="D412" s="4108" t="inlineStr">
        <is>
          <t>202210</t>
        </is>
      </c>
      <c r="E412" s="4108" t="inlineStr">
        <is>
          <t>0,000000000000</t>
        </is>
      </c>
    </row>
    <row outlineLevel="0" r="413">
      <c r="A413" s="4108" t="inlineStr">
        <is>
          <t>135792468202210421500</t>
        </is>
      </c>
      <c r="B413" s="4108" t="inlineStr">
        <is>
          <t>421500</t>
        </is>
      </c>
      <c r="C413" s="4108" t="inlineStr">
        <is>
          <t>135792468</t>
        </is>
      </c>
      <c r="D413" s="4108" t="inlineStr">
        <is>
          <t>202210</t>
        </is>
      </c>
      <c r="E413" s="4108" t="inlineStr">
        <is>
          <t>0,000000000000</t>
        </is>
      </c>
    </row>
    <row outlineLevel="0" r="414">
      <c r="A414" s="4108" t="inlineStr">
        <is>
          <t>135792468202210421040</t>
        </is>
      </c>
      <c r="B414" s="4108" t="inlineStr">
        <is>
          <t>421040</t>
        </is>
      </c>
      <c r="C414" s="4108" t="inlineStr">
        <is>
          <t>135792468</t>
        </is>
      </c>
      <c r="D414" s="4108" t="inlineStr">
        <is>
          <t>202210</t>
        </is>
      </c>
      <c r="E414" s="4108" t="inlineStr">
        <is>
          <t>0,000000000000</t>
        </is>
      </c>
    </row>
    <row outlineLevel="0" r="415">
      <c r="A415" s="4108" t="inlineStr">
        <is>
          <t>135792468202210421020</t>
        </is>
      </c>
      <c r="B415" s="4108" t="inlineStr">
        <is>
          <t>421020</t>
        </is>
      </c>
      <c r="C415" s="4108" t="inlineStr">
        <is>
          <t>135792468</t>
        </is>
      </c>
      <c r="D415" s="4108" t="inlineStr">
        <is>
          <t>202210</t>
        </is>
      </c>
      <c r="E415" s="4108" t="inlineStr">
        <is>
          <t>0,000000000000</t>
        </is>
      </c>
    </row>
    <row outlineLevel="0" r="416">
      <c r="A416" s="4108" t="inlineStr">
        <is>
          <t>135792468202210421000</t>
        </is>
      </c>
      <c r="B416" s="4108" t="inlineStr">
        <is>
          <t>421000</t>
        </is>
      </c>
      <c r="C416" s="4108" t="inlineStr">
        <is>
          <t>135792468</t>
        </is>
      </c>
      <c r="D416" s="4108" t="inlineStr">
        <is>
          <t>202210</t>
        </is>
      </c>
      <c r="E416" s="4108" t="inlineStr">
        <is>
          <t>0,000000000000</t>
        </is>
      </c>
    </row>
    <row outlineLevel="0" r="417">
      <c r="A417" s="4108" t="inlineStr">
        <is>
          <t>135792468202210420500</t>
        </is>
      </c>
      <c r="B417" s="4108" t="inlineStr">
        <is>
          <t>420500</t>
        </is>
      </c>
      <c r="C417" s="4108" t="inlineStr">
        <is>
          <t>135792468</t>
        </is>
      </c>
      <c r="D417" s="4108" t="inlineStr">
        <is>
          <t>202210</t>
        </is>
      </c>
      <c r="E417" s="4108" t="inlineStr">
        <is>
          <t>0,000000000000</t>
        </is>
      </c>
    </row>
    <row outlineLevel="0" r="418">
      <c r="A418" s="4108" t="inlineStr">
        <is>
          <t>135792468202210411000</t>
        </is>
      </c>
      <c r="B418" s="4108" t="inlineStr">
        <is>
          <t>411000</t>
        </is>
      </c>
      <c r="C418" s="4108" t="inlineStr">
        <is>
          <t>135792468</t>
        </is>
      </c>
      <c r="D418" s="4108" t="inlineStr">
        <is>
          <t>202210</t>
        </is>
      </c>
      <c r="E418" s="4108" t="inlineStr">
        <is>
          <t>0,000000000000</t>
        </is>
      </c>
    </row>
    <row outlineLevel="0" r="419">
      <c r="A419" s="4108" t="inlineStr">
        <is>
          <t>135792468202210410500</t>
        </is>
      </c>
      <c r="B419" s="4108" t="inlineStr">
        <is>
          <t>410500</t>
        </is>
      </c>
      <c r="C419" s="4108" t="inlineStr">
        <is>
          <t>135792468</t>
        </is>
      </c>
      <c r="D419" s="4108" t="inlineStr">
        <is>
          <t>202210</t>
        </is>
      </c>
      <c r="E419" s="4108" t="inlineStr">
        <is>
          <t>8015,000000000000</t>
        </is>
      </c>
    </row>
    <row outlineLevel="0" r="420">
      <c r="A420" s="4108" t="inlineStr">
        <is>
          <t>135792468202210349500</t>
        </is>
      </c>
      <c r="B420" s="4108" t="inlineStr">
        <is>
          <t>349500</t>
        </is>
      </c>
      <c r="C420" s="4108" t="inlineStr">
        <is>
          <t>135792468</t>
        </is>
      </c>
      <c r="D420" s="4108" t="inlineStr">
        <is>
          <t>202210</t>
        </is>
      </c>
      <c r="E420" s="4108" t="inlineStr">
        <is>
          <t>0,000000000000</t>
        </is>
      </c>
    </row>
    <row outlineLevel="0" r="421">
      <c r="A421" s="4108" t="inlineStr">
        <is>
          <t>135792468202210340515</t>
        </is>
      </c>
      <c r="B421" s="4108" t="inlineStr">
        <is>
          <t>340515</t>
        </is>
      </c>
      <c r="C421" s="4108" t="inlineStr">
        <is>
          <t>135792468</t>
        </is>
      </c>
      <c r="D421" s="4108" t="inlineStr">
        <is>
          <t>202210</t>
        </is>
      </c>
      <c r="E421" s="4108" t="inlineStr">
        <is>
          <t>0,000000000000</t>
        </is>
      </c>
    </row>
    <row outlineLevel="0" r="422">
      <c r="A422" s="4108" t="inlineStr">
        <is>
          <t>135792468202210340505</t>
        </is>
      </c>
      <c r="B422" s="4108" t="inlineStr">
        <is>
          <t>340505</t>
        </is>
      </c>
      <c r="C422" s="4108" t="inlineStr">
        <is>
          <t>135792468</t>
        </is>
      </c>
      <c r="D422" s="4108" t="inlineStr">
        <is>
          <t>202210</t>
        </is>
      </c>
      <c r="E422" s="4108" t="inlineStr">
        <is>
          <t>0,000000000000</t>
        </is>
      </c>
    </row>
    <row outlineLevel="0" r="423">
      <c r="A423" s="4108" t="inlineStr">
        <is>
          <t>135792468202210331500</t>
        </is>
      </c>
      <c r="B423" s="4108" t="inlineStr">
        <is>
          <t>331500</t>
        </is>
      </c>
      <c r="C423" s="4108" t="inlineStr">
        <is>
          <t>135792468</t>
        </is>
      </c>
      <c r="D423" s="4108" t="inlineStr">
        <is>
          <t>202210</t>
        </is>
      </c>
      <c r="E423" s="4108" t="inlineStr">
        <is>
          <t>0,000000000000</t>
        </is>
      </c>
    </row>
    <row outlineLevel="0" r="424">
      <c r="A424" s="4108" t="inlineStr">
        <is>
          <t>135792468202210331000</t>
        </is>
      </c>
      <c r="B424" s="4108" t="inlineStr">
        <is>
          <t>331000</t>
        </is>
      </c>
      <c r="C424" s="4108" t="inlineStr">
        <is>
          <t>135792468</t>
        </is>
      </c>
      <c r="D424" s="4108" t="inlineStr">
        <is>
          <t>202210</t>
        </is>
      </c>
      <c r="E424" s="4108" t="inlineStr">
        <is>
          <t>0,000000000000</t>
        </is>
      </c>
    </row>
    <row outlineLevel="0" r="425">
      <c r="A425" s="4108" t="inlineStr">
        <is>
          <t>135792468202210330500</t>
        </is>
      </c>
      <c r="B425" s="4108" t="inlineStr">
        <is>
          <t>330500</t>
        </is>
      </c>
      <c r="C425" s="4108" t="inlineStr">
        <is>
          <t>135792468</t>
        </is>
      </c>
      <c r="D425" s="4108" t="inlineStr">
        <is>
          <t>202210</t>
        </is>
      </c>
      <c r="E425" s="4108" t="inlineStr">
        <is>
          <t>166,000000000000</t>
        </is>
      </c>
    </row>
    <row outlineLevel="0" r="426">
      <c r="A426" s="4108" t="inlineStr">
        <is>
          <t>135792468202210322500</t>
        </is>
      </c>
      <c r="B426" s="4108" t="inlineStr">
        <is>
          <t>322500</t>
        </is>
      </c>
      <c r="C426" s="4108" t="inlineStr">
        <is>
          <t>135792468</t>
        </is>
      </c>
      <c r="D426" s="4108" t="inlineStr">
        <is>
          <t>202210</t>
        </is>
      </c>
      <c r="E426" s="4108" t="inlineStr">
        <is>
          <t>0,000000000000</t>
        </is>
      </c>
    </row>
    <row outlineLevel="0" r="427">
      <c r="A427" s="4108" t="inlineStr">
        <is>
          <t>135792468202210322000</t>
        </is>
      </c>
      <c r="B427" s="4108" t="inlineStr">
        <is>
          <t>322000</t>
        </is>
      </c>
      <c r="C427" s="4108" t="inlineStr">
        <is>
          <t>135792468</t>
        </is>
      </c>
      <c r="D427" s="4108" t="inlineStr">
        <is>
          <t>202210</t>
        </is>
      </c>
      <c r="E427" s="4108" t="inlineStr">
        <is>
          <t>0,000000000000</t>
        </is>
      </c>
    </row>
    <row outlineLevel="0" r="428">
      <c r="A428" s="4108" t="inlineStr">
        <is>
          <t>135792468202210321500</t>
        </is>
      </c>
      <c r="B428" s="4108" t="inlineStr">
        <is>
          <t>321500</t>
        </is>
      </c>
      <c r="C428" s="4108" t="inlineStr">
        <is>
          <t>135792468</t>
        </is>
      </c>
      <c r="D428" s="4108" t="inlineStr">
        <is>
          <t>202210</t>
        </is>
      </c>
      <c r="E428" s="4108" t="inlineStr">
        <is>
          <t>0,000000000000</t>
        </is>
      </c>
    </row>
    <row outlineLevel="0" r="429">
      <c r="A429" s="4108" t="inlineStr">
        <is>
          <t>135792468202210321000</t>
        </is>
      </c>
      <c r="B429" s="4108" t="inlineStr">
        <is>
          <t>321000</t>
        </is>
      </c>
      <c r="C429" s="4108" t="inlineStr">
        <is>
          <t>135792468</t>
        </is>
      </c>
      <c r="D429" s="4108" t="inlineStr">
        <is>
          <t>202210</t>
        </is>
      </c>
      <c r="E429" s="4108" t="inlineStr">
        <is>
          <t>0,000000000000</t>
        </is>
      </c>
    </row>
    <row outlineLevel="0" r="430">
      <c r="A430" s="4108" t="inlineStr">
        <is>
          <t>135792468202210320500</t>
        </is>
      </c>
      <c r="B430" s="4108" t="inlineStr">
        <is>
          <t>320500</t>
        </is>
      </c>
      <c r="C430" s="4108" t="inlineStr">
        <is>
          <t>135792468</t>
        </is>
      </c>
      <c r="D430" s="4108" t="inlineStr">
        <is>
          <t>202210</t>
        </is>
      </c>
      <c r="E430" s="4108" t="inlineStr">
        <is>
          <t>0,000000000000</t>
        </is>
      </c>
    </row>
    <row outlineLevel="0" r="431">
      <c r="A431" s="4108" t="inlineStr">
        <is>
          <t>135792468202210314000</t>
        </is>
      </c>
      <c r="B431" s="4108" t="inlineStr">
        <is>
          <t>314000</t>
        </is>
      </c>
      <c r="C431" s="4108" t="inlineStr">
        <is>
          <t>135792468</t>
        </is>
      </c>
      <c r="D431" s="4108" t="inlineStr">
        <is>
          <t>202210</t>
        </is>
      </c>
      <c r="E431" s="4108" t="inlineStr">
        <is>
          <t>0,000000000000</t>
        </is>
      </c>
    </row>
    <row outlineLevel="0" r="432">
      <c r="A432" s="4108" t="inlineStr">
        <is>
          <t>135792468202210313500</t>
        </is>
      </c>
      <c r="B432" s="4108" t="inlineStr">
        <is>
          <t>313500</t>
        </is>
      </c>
      <c r="C432" s="4108" t="inlineStr">
        <is>
          <t>135792468</t>
        </is>
      </c>
      <c r="D432" s="4108" t="inlineStr">
        <is>
          <t>202210</t>
        </is>
      </c>
      <c r="E432" s="4108" t="inlineStr">
        <is>
          <t>0,000000000000</t>
        </is>
      </c>
    </row>
    <row outlineLevel="0" r="433">
      <c r="A433" s="4108" t="inlineStr">
        <is>
          <t>135792468202210313000</t>
        </is>
      </c>
      <c r="B433" s="4108" t="inlineStr">
        <is>
          <t>313000</t>
        </is>
      </c>
      <c r="C433" s="4108" t="inlineStr">
        <is>
          <t>135792468</t>
        </is>
      </c>
      <c r="D433" s="4108" t="inlineStr">
        <is>
          <t>202210</t>
        </is>
      </c>
      <c r="E433" s="4108" t="inlineStr">
        <is>
          <t>0,000000000000</t>
        </is>
      </c>
    </row>
    <row outlineLevel="0" r="434">
      <c r="A434" s="4108" t="inlineStr">
        <is>
          <t>135792468202210312500</t>
        </is>
      </c>
      <c r="B434" s="4108" t="inlineStr">
        <is>
          <t>312500</t>
        </is>
      </c>
      <c r="C434" s="4108" t="inlineStr">
        <is>
          <t>135792468</t>
        </is>
      </c>
      <c r="D434" s="4108" t="inlineStr">
        <is>
          <t>202210</t>
        </is>
      </c>
      <c r="E434" s="4108" t="inlineStr">
        <is>
          <t>0,000000000000</t>
        </is>
      </c>
    </row>
    <row outlineLevel="0" r="435">
      <c r="A435" s="4108" t="inlineStr">
        <is>
          <t>135792468202210312000</t>
        </is>
      </c>
      <c r="B435" s="4108" t="inlineStr">
        <is>
          <t>312000</t>
        </is>
      </c>
      <c r="C435" s="4108" t="inlineStr">
        <is>
          <t>135792468</t>
        </is>
      </c>
      <c r="D435" s="4108" t="inlineStr">
        <is>
          <t>202210</t>
        </is>
      </c>
      <c r="E435" s="4108" t="inlineStr">
        <is>
          <t>0,000000000000</t>
        </is>
      </c>
    </row>
    <row outlineLevel="0" r="436">
      <c r="A436" s="4108" t="inlineStr">
        <is>
          <t>135792468202210311500</t>
        </is>
      </c>
      <c r="B436" s="4108" t="inlineStr">
        <is>
          <t>311500</t>
        </is>
      </c>
      <c r="C436" s="4108" t="inlineStr">
        <is>
          <t>135792468</t>
        </is>
      </c>
      <c r="D436" s="4108" t="inlineStr">
        <is>
          <t>202210</t>
        </is>
      </c>
      <c r="E436" s="4108" t="inlineStr">
        <is>
          <t>0,000000000000</t>
        </is>
      </c>
    </row>
    <row outlineLevel="0" r="437">
      <c r="A437" s="4108" t="inlineStr">
        <is>
          <t>135792468202210310500</t>
        </is>
      </c>
      <c r="B437" s="4108" t="inlineStr">
        <is>
          <t>310500</t>
        </is>
      </c>
      <c r="C437" s="4108" t="inlineStr">
        <is>
          <t>135792468</t>
        </is>
      </c>
      <c r="D437" s="4108" t="inlineStr">
        <is>
          <t>202210</t>
        </is>
      </c>
      <c r="E437" s="4108" t="inlineStr">
        <is>
          <t>2267,000000000000</t>
        </is>
      </c>
    </row>
    <row outlineLevel="0" r="438">
      <c r="A438" s="4108" t="inlineStr">
        <is>
          <t>135792468202210299501</t>
        </is>
      </c>
      <c r="B438" s="4108" t="inlineStr">
        <is>
          <t>299501</t>
        </is>
      </c>
      <c r="C438" s="4108" t="inlineStr">
        <is>
          <t>135792468</t>
        </is>
      </c>
      <c r="D438" s="4108" t="inlineStr">
        <is>
          <t>202210</t>
        </is>
      </c>
      <c r="E438" s="4108" t="inlineStr">
        <is>
          <t>0,000000000000</t>
        </is>
      </c>
    </row>
    <row outlineLevel="0" r="439">
      <c r="A439" s="4108" t="inlineStr">
        <is>
          <t>135792468202210294000</t>
        </is>
      </c>
      <c r="B439" s="4108" t="inlineStr">
        <is>
          <t>294000</t>
        </is>
      </c>
      <c r="C439" s="4108" t="inlineStr">
        <is>
          <t>135792468</t>
        </is>
      </c>
      <c r="D439" s="4108" t="inlineStr">
        <is>
          <t>202210</t>
        </is>
      </c>
      <c r="E439" s="4108" t="inlineStr">
        <is>
          <t>0,000000000000</t>
        </is>
      </c>
    </row>
    <row outlineLevel="0" r="440">
      <c r="A440" s="4108" t="inlineStr">
        <is>
          <t>135792468202210293000</t>
        </is>
      </c>
      <c r="B440" s="4108" t="inlineStr">
        <is>
          <t>293000</t>
        </is>
      </c>
      <c r="C440" s="4108" t="inlineStr">
        <is>
          <t>135792468</t>
        </is>
      </c>
      <c r="D440" s="4108" t="inlineStr">
        <is>
          <t>202210</t>
        </is>
      </c>
      <c r="E440" s="4108" t="inlineStr">
        <is>
          <t>0,000000000000</t>
        </is>
      </c>
    </row>
    <row outlineLevel="0" r="441">
      <c r="A441" s="4108" t="inlineStr">
        <is>
          <t>135792468202210292001</t>
        </is>
      </c>
      <c r="B441" s="4108" t="inlineStr">
        <is>
          <t>292001</t>
        </is>
      </c>
      <c r="C441" s="4108" t="inlineStr">
        <is>
          <t>135792468</t>
        </is>
      </c>
      <c r="D441" s="4108" t="inlineStr">
        <is>
          <t>202210</t>
        </is>
      </c>
      <c r="E441" s="4108" t="inlineStr">
        <is>
          <t>0,000000000000</t>
        </is>
      </c>
    </row>
    <row outlineLevel="0" r="442">
      <c r="A442" s="4108" t="inlineStr">
        <is>
          <t>135792468202210292000</t>
        </is>
      </c>
      <c r="B442" s="4108" t="inlineStr">
        <is>
          <t>292000</t>
        </is>
      </c>
      <c r="C442" s="4108" t="inlineStr">
        <is>
          <t>135792468</t>
        </is>
      </c>
      <c r="D442" s="4108" t="inlineStr">
        <is>
          <t>202210</t>
        </is>
      </c>
      <c r="E442" s="4108" t="inlineStr">
        <is>
          <t>0,000000000000</t>
        </is>
      </c>
    </row>
    <row outlineLevel="0" r="443">
      <c r="A443" s="4108" t="inlineStr">
        <is>
          <t>135792468202210291991</t>
        </is>
      </c>
      <c r="B443" s="4108" t="inlineStr">
        <is>
          <t>291991</t>
        </is>
      </c>
      <c r="C443" s="4108" t="inlineStr">
        <is>
          <t>135792468</t>
        </is>
      </c>
      <c r="D443" s="4108" t="inlineStr">
        <is>
          <t>202210</t>
        </is>
      </c>
      <c r="E443" s="4108" t="inlineStr">
        <is>
          <t>0,000000000000</t>
        </is>
      </c>
    </row>
    <row outlineLevel="0" r="444">
      <c r="A444" s="4108" t="inlineStr">
        <is>
          <t>135792468202210291501</t>
        </is>
      </c>
      <c r="B444" s="4108" t="inlineStr">
        <is>
          <t>291501</t>
        </is>
      </c>
      <c r="C444" s="4108" t="inlineStr">
        <is>
          <t>135792468</t>
        </is>
      </c>
      <c r="D444" s="4108" t="inlineStr">
        <is>
          <t>202210</t>
        </is>
      </c>
      <c r="E444" s="4108" t="inlineStr">
        <is>
          <t>0,000000000000</t>
        </is>
      </c>
    </row>
    <row outlineLevel="0" r="445">
      <c r="A445" s="4108" t="inlineStr">
        <is>
          <t>135792468202210291000</t>
        </is>
      </c>
      <c r="B445" s="4108" t="inlineStr">
        <is>
          <t>291000</t>
        </is>
      </c>
      <c r="C445" s="4108" t="inlineStr">
        <is>
          <t>135792468</t>
        </is>
      </c>
      <c r="D445" s="4108" t="inlineStr">
        <is>
          <t>202210</t>
        </is>
      </c>
      <c r="E445" s="4108" t="inlineStr">
        <is>
          <t>0,000000000000</t>
        </is>
      </c>
    </row>
    <row outlineLevel="0" r="446">
      <c r="A446" s="4108" t="inlineStr">
        <is>
          <t>135792468202210290501</t>
        </is>
      </c>
      <c r="B446" s="4108" t="inlineStr">
        <is>
          <t>290501</t>
        </is>
      </c>
      <c r="C446" s="4108" t="inlineStr">
        <is>
          <t>135792468</t>
        </is>
      </c>
      <c r="D446" s="4108" t="inlineStr">
        <is>
          <t>202210</t>
        </is>
      </c>
      <c r="E446" s="4108" t="inlineStr">
        <is>
          <t>0,000000000000</t>
        </is>
      </c>
    </row>
    <row outlineLevel="0" r="447">
      <c r="A447" s="4108" t="inlineStr">
        <is>
          <t>135792468202210289500</t>
        </is>
      </c>
      <c r="B447" s="4108" t="inlineStr">
        <is>
          <t>289500</t>
        </is>
      </c>
      <c r="C447" s="4108" t="inlineStr">
        <is>
          <t>135792468</t>
        </is>
      </c>
      <c r="D447" s="4108" t="inlineStr">
        <is>
          <t>202210</t>
        </is>
      </c>
      <c r="E447" s="4108" t="inlineStr">
        <is>
          <t>0,000000000000</t>
        </is>
      </c>
    </row>
    <row outlineLevel="0" r="448">
      <c r="A448" s="4108" t="inlineStr">
        <is>
          <t>135792468202210284000</t>
        </is>
      </c>
      <c r="B448" s="4108" t="inlineStr">
        <is>
          <t>284000</t>
        </is>
      </c>
      <c r="C448" s="4108" t="inlineStr">
        <is>
          <t>135792468</t>
        </is>
      </c>
      <c r="D448" s="4108" t="inlineStr">
        <is>
          <t>202210</t>
        </is>
      </c>
      <c r="E448" s="4108" t="inlineStr">
        <is>
          <t>0,000000000000</t>
        </is>
      </c>
    </row>
    <row outlineLevel="0" r="449">
      <c r="A449" s="4108" t="inlineStr">
        <is>
          <t>135792468202210282500</t>
        </is>
      </c>
      <c r="B449" s="4108" t="inlineStr">
        <is>
          <t>282500</t>
        </is>
      </c>
      <c r="C449" s="4108" t="inlineStr">
        <is>
          <t>135792468</t>
        </is>
      </c>
      <c r="D449" s="4108" t="inlineStr">
        <is>
          <t>202210</t>
        </is>
      </c>
      <c r="E449" s="4108" t="inlineStr">
        <is>
          <t>0,000000000000</t>
        </is>
      </c>
    </row>
    <row outlineLevel="0" r="450">
      <c r="A450" s="4108" t="inlineStr">
        <is>
          <t>135792468202210282000</t>
        </is>
      </c>
      <c r="B450" s="4108" t="inlineStr">
        <is>
          <t>282000</t>
        </is>
      </c>
      <c r="C450" s="4108" t="inlineStr">
        <is>
          <t>135792468</t>
        </is>
      </c>
      <c r="D450" s="4108" t="inlineStr">
        <is>
          <t>202210</t>
        </is>
      </c>
      <c r="E450" s="4108" t="inlineStr">
        <is>
          <t>0,000000000000</t>
        </is>
      </c>
    </row>
    <row outlineLevel="0" r="451">
      <c r="A451" s="4108" t="inlineStr">
        <is>
          <t>135792468202210281000</t>
        </is>
      </c>
      <c r="B451" s="4108" t="inlineStr">
        <is>
          <t>281000</t>
        </is>
      </c>
      <c r="C451" s="4108" t="inlineStr">
        <is>
          <t>135792468</t>
        </is>
      </c>
      <c r="D451" s="4108" t="inlineStr">
        <is>
          <t>202210</t>
        </is>
      </c>
      <c r="E451" s="4108" t="inlineStr">
        <is>
          <t>0,000000000000</t>
        </is>
      </c>
    </row>
    <row outlineLevel="0" r="452">
      <c r="A452" s="4108" t="inlineStr">
        <is>
          <t>135792468202210279501</t>
        </is>
      </c>
      <c r="B452" s="4108" t="inlineStr">
        <is>
          <t>279501</t>
        </is>
      </c>
      <c r="C452" s="4108" t="inlineStr">
        <is>
          <t>135792468</t>
        </is>
      </c>
      <c r="D452" s="4108" t="inlineStr">
        <is>
          <t>202210</t>
        </is>
      </c>
      <c r="E452" s="4108" t="inlineStr">
        <is>
          <t>0,000000000000</t>
        </is>
      </c>
    </row>
    <row outlineLevel="0" r="453">
      <c r="A453" s="4108" t="inlineStr">
        <is>
          <t>135792468202210279500</t>
        </is>
      </c>
      <c r="B453" s="4108" t="inlineStr">
        <is>
          <t>279500</t>
        </is>
      </c>
      <c r="C453" s="4108" t="inlineStr">
        <is>
          <t>135792468</t>
        </is>
      </c>
      <c r="D453" s="4108" t="inlineStr">
        <is>
          <t>202210</t>
        </is>
      </c>
      <c r="E453" s="4108" t="inlineStr">
        <is>
          <t>15,000000000000</t>
        </is>
      </c>
    </row>
    <row outlineLevel="0" r="454">
      <c r="A454" s="4108" t="inlineStr">
        <is>
          <t>135792468202210272501</t>
        </is>
      </c>
      <c r="B454" s="4108" t="inlineStr">
        <is>
          <t>272501</t>
        </is>
      </c>
      <c r="C454" s="4108" t="inlineStr">
        <is>
          <t>135792468</t>
        </is>
      </c>
      <c r="D454" s="4108" t="inlineStr">
        <is>
          <t>202210</t>
        </is>
      </c>
      <c r="E454" s="4108" t="inlineStr">
        <is>
          <t>0,000000000000</t>
        </is>
      </c>
    </row>
    <row outlineLevel="0" r="455">
      <c r="A455" s="4108" t="inlineStr">
        <is>
          <t>135792468202210272500</t>
        </is>
      </c>
      <c r="B455" s="4108" t="inlineStr">
        <is>
          <t>272500</t>
        </is>
      </c>
      <c r="C455" s="4108" t="inlineStr">
        <is>
          <t>135792468</t>
        </is>
      </c>
      <c r="D455" s="4108" t="inlineStr">
        <is>
          <t>202210</t>
        </is>
      </c>
      <c r="E455" s="4108" t="inlineStr">
        <is>
          <t>0,000000000000</t>
        </is>
      </c>
    </row>
    <row outlineLevel="0" r="456">
      <c r="A456" s="4108" t="inlineStr">
        <is>
          <t>135792468202210272001</t>
        </is>
      </c>
      <c r="B456" s="4108" t="inlineStr">
        <is>
          <t>272001</t>
        </is>
      </c>
      <c r="C456" s="4108" t="inlineStr">
        <is>
          <t>135792468</t>
        </is>
      </c>
      <c r="D456" s="4108" t="inlineStr">
        <is>
          <t>202210</t>
        </is>
      </c>
      <c r="E456" s="4108" t="inlineStr">
        <is>
          <t>0,000000000000</t>
        </is>
      </c>
    </row>
    <row outlineLevel="0" r="457">
      <c r="A457" s="4108" t="inlineStr">
        <is>
          <t>135792468202210271001</t>
        </is>
      </c>
      <c r="B457" s="4108" t="inlineStr">
        <is>
          <t>271001</t>
        </is>
      </c>
      <c r="C457" s="4108" t="inlineStr">
        <is>
          <t>135792468</t>
        </is>
      </c>
      <c r="D457" s="4108" t="inlineStr">
        <is>
          <t>202210</t>
        </is>
      </c>
      <c r="E457" s="4108" t="inlineStr">
        <is>
          <t>0,000000000000</t>
        </is>
      </c>
    </row>
    <row outlineLevel="0" r="458">
      <c r="A458" s="4108" t="inlineStr">
        <is>
          <t>135792468202210271000</t>
        </is>
      </c>
      <c r="B458" s="4108" t="inlineStr">
        <is>
          <t>271000</t>
        </is>
      </c>
      <c r="C458" s="4108" t="inlineStr">
        <is>
          <t>135792468</t>
        </is>
      </c>
      <c r="D458" s="4108" t="inlineStr">
        <is>
          <t>202210</t>
        </is>
      </c>
      <c r="E458" s="4108" t="inlineStr">
        <is>
          <t>0,000000000000</t>
        </is>
      </c>
    </row>
    <row outlineLevel="0" r="459">
      <c r="A459" s="4108" t="inlineStr">
        <is>
          <t>135792468202210270501</t>
        </is>
      </c>
      <c r="B459" s="4108" t="inlineStr">
        <is>
          <t>270501</t>
        </is>
      </c>
      <c r="C459" s="4108" t="inlineStr">
        <is>
          <t>135792468</t>
        </is>
      </c>
      <c r="D459" s="4108" t="inlineStr">
        <is>
          <t>202210</t>
        </is>
      </c>
      <c r="E459" s="4108" t="inlineStr">
        <is>
          <t>0,000000000000</t>
        </is>
      </c>
    </row>
    <row outlineLevel="0" r="460">
      <c r="A460" s="4108" t="inlineStr">
        <is>
          <t>135792468202210270500</t>
        </is>
      </c>
      <c r="B460" s="4108" t="inlineStr">
        <is>
          <t>270500</t>
        </is>
      </c>
      <c r="C460" s="4108" t="inlineStr">
        <is>
          <t>135792468</t>
        </is>
      </c>
      <c r="D460" s="4108" t="inlineStr">
        <is>
          <t>202210</t>
        </is>
      </c>
      <c r="E460" s="4108" t="inlineStr">
        <is>
          <t>172,000000000000</t>
        </is>
      </c>
    </row>
    <row outlineLevel="0" r="461">
      <c r="A461" s="4108" t="inlineStr">
        <is>
          <t>135792468202210269501</t>
        </is>
      </c>
      <c r="B461" s="4108" t="inlineStr">
        <is>
          <t>269501</t>
        </is>
      </c>
      <c r="C461" s="4108" t="inlineStr">
        <is>
          <t>135792468</t>
        </is>
      </c>
      <c r="D461" s="4108" t="inlineStr">
        <is>
          <t>202210</t>
        </is>
      </c>
      <c r="E461" s="4108" t="inlineStr">
        <is>
          <t>0,000000000000</t>
        </is>
      </c>
    </row>
    <row outlineLevel="0" r="462">
      <c r="A462" s="4108" t="inlineStr">
        <is>
          <t>135792468202210269500</t>
        </is>
      </c>
      <c r="B462" s="4108" t="inlineStr">
        <is>
          <t>269500</t>
        </is>
      </c>
      <c r="C462" s="4108" t="inlineStr">
        <is>
          <t>135792468</t>
        </is>
      </c>
      <c r="D462" s="4108" t="inlineStr">
        <is>
          <t>202210</t>
        </is>
      </c>
      <c r="E462" s="4108" t="inlineStr">
        <is>
          <t>0,000000000000</t>
        </is>
      </c>
    </row>
    <row outlineLevel="0" r="463">
      <c r="A463" s="4108" t="inlineStr">
        <is>
          <t>135792468202210264001</t>
        </is>
      </c>
      <c r="B463" s="4108" t="inlineStr">
        <is>
          <t>264001</t>
        </is>
      </c>
      <c r="C463" s="4108" t="inlineStr">
        <is>
          <t>135792468</t>
        </is>
      </c>
      <c r="D463" s="4108" t="inlineStr">
        <is>
          <t>202210</t>
        </is>
      </c>
      <c r="E463" s="4108" t="inlineStr">
        <is>
          <t>0,000000000000</t>
        </is>
      </c>
    </row>
    <row outlineLevel="0" r="464">
      <c r="A464" s="4108" t="inlineStr">
        <is>
          <t>135792468202210264000</t>
        </is>
      </c>
      <c r="B464" s="4108" t="inlineStr">
        <is>
          <t>264000</t>
        </is>
      </c>
      <c r="C464" s="4108" t="inlineStr">
        <is>
          <t>135792468</t>
        </is>
      </c>
      <c r="D464" s="4108" t="inlineStr">
        <is>
          <t>202210</t>
        </is>
      </c>
      <c r="E464" s="4108" t="inlineStr">
        <is>
          <t>0,000000000000</t>
        </is>
      </c>
    </row>
    <row outlineLevel="0" r="465">
      <c r="A465" s="4108" t="inlineStr">
        <is>
          <t>135792468202210263501</t>
        </is>
      </c>
      <c r="B465" s="4108" t="inlineStr">
        <is>
          <t>263501</t>
        </is>
      </c>
      <c r="C465" s="4108" t="inlineStr">
        <is>
          <t>135792468</t>
        </is>
      </c>
      <c r="D465" s="4108" t="inlineStr">
        <is>
          <t>202210</t>
        </is>
      </c>
      <c r="E465" s="4108" t="inlineStr">
        <is>
          <t>0,000000000000</t>
        </is>
      </c>
    </row>
    <row outlineLevel="0" r="466">
      <c r="A466" s="4108" t="inlineStr">
        <is>
          <t>135792468202210263500</t>
        </is>
      </c>
      <c r="B466" s="4108" t="inlineStr">
        <is>
          <t>263500</t>
        </is>
      </c>
      <c r="C466" s="4108" t="inlineStr">
        <is>
          <t>135792468</t>
        </is>
      </c>
      <c r="D466" s="4108" t="inlineStr">
        <is>
          <t>202210</t>
        </is>
      </c>
      <c r="E466" s="4108" t="inlineStr">
        <is>
          <t>0,000000000000</t>
        </is>
      </c>
    </row>
    <row outlineLevel="0" r="467">
      <c r="A467" s="4108" t="inlineStr">
        <is>
          <t>135792468202210263001</t>
        </is>
      </c>
      <c r="B467" s="4108" t="inlineStr">
        <is>
          <t>263001</t>
        </is>
      </c>
      <c r="C467" s="4108" t="inlineStr">
        <is>
          <t>135792468</t>
        </is>
      </c>
      <c r="D467" s="4108" t="inlineStr">
        <is>
          <t>202210</t>
        </is>
      </c>
      <c r="E467" s="4108" t="inlineStr">
        <is>
          <t>0,000000000000</t>
        </is>
      </c>
    </row>
    <row outlineLevel="0" r="468">
      <c r="A468" s="4108" t="inlineStr">
        <is>
          <t>135792468202210263000</t>
        </is>
      </c>
      <c r="B468" s="4108" t="inlineStr">
        <is>
          <t>263000</t>
        </is>
      </c>
      <c r="C468" s="4108" t="inlineStr">
        <is>
          <t>135792468</t>
        </is>
      </c>
      <c r="D468" s="4108" t="inlineStr">
        <is>
          <t>202210</t>
        </is>
      </c>
      <c r="E468" s="4108" t="inlineStr">
        <is>
          <t>0,000000000000</t>
        </is>
      </c>
    </row>
    <row outlineLevel="0" r="469">
      <c r="A469" s="4108" t="inlineStr">
        <is>
          <t>135792468202210262501</t>
        </is>
      </c>
      <c r="B469" s="4108" t="inlineStr">
        <is>
          <t>262501</t>
        </is>
      </c>
      <c r="C469" s="4108" t="inlineStr">
        <is>
          <t>135792468</t>
        </is>
      </c>
      <c r="D469" s="4108" t="inlineStr">
        <is>
          <t>202210</t>
        </is>
      </c>
      <c r="E469" s="4108" t="inlineStr">
        <is>
          <t>0,000000000000</t>
        </is>
      </c>
    </row>
    <row outlineLevel="0" r="470">
      <c r="A470" s="4108" t="inlineStr">
        <is>
          <t>135792468202210262500</t>
        </is>
      </c>
      <c r="B470" s="4108" t="inlineStr">
        <is>
          <t>262500</t>
        </is>
      </c>
      <c r="C470" s="4108" t="inlineStr">
        <is>
          <t>135792468</t>
        </is>
      </c>
      <c r="D470" s="4108" t="inlineStr">
        <is>
          <t>202210</t>
        </is>
      </c>
      <c r="E470" s="4108" t="inlineStr">
        <is>
          <t>0,000000000000</t>
        </is>
      </c>
    </row>
    <row outlineLevel="0" r="471">
      <c r="A471" s="4108" t="inlineStr">
        <is>
          <t>135792468202210262001</t>
        </is>
      </c>
      <c r="B471" s="4108" t="inlineStr">
        <is>
          <t>262001</t>
        </is>
      </c>
      <c r="C471" s="4108" t="inlineStr">
        <is>
          <t>135792468</t>
        </is>
      </c>
      <c r="D471" s="4108" t="inlineStr">
        <is>
          <t>202210</t>
        </is>
      </c>
      <c r="E471" s="4108" t="inlineStr">
        <is>
          <t>12,000000000000</t>
        </is>
      </c>
    </row>
    <row outlineLevel="0" r="472">
      <c r="A472" s="4108" t="inlineStr">
        <is>
          <t>135792468202210262000</t>
        </is>
      </c>
      <c r="B472" s="4108" t="inlineStr">
        <is>
          <t>262000</t>
        </is>
      </c>
      <c r="C472" s="4108" t="inlineStr">
        <is>
          <t>135792468</t>
        </is>
      </c>
      <c r="D472" s="4108" t="inlineStr">
        <is>
          <t>202210</t>
        </is>
      </c>
      <c r="E472" s="4108" t="inlineStr">
        <is>
          <t>0,000000000000</t>
        </is>
      </c>
    </row>
    <row outlineLevel="0" r="473">
      <c r="A473" s="4108" t="inlineStr">
        <is>
          <t>135792468202210261501</t>
        </is>
      </c>
      <c r="B473" s="4108" t="inlineStr">
        <is>
          <t>261501</t>
        </is>
      </c>
      <c r="C473" s="4108" t="inlineStr">
        <is>
          <t>135792468</t>
        </is>
      </c>
      <c r="D473" s="4108" t="inlineStr">
        <is>
          <t>202210</t>
        </is>
      </c>
      <c r="E473" s="4108" t="inlineStr">
        <is>
          <t>0,000000000000</t>
        </is>
      </c>
    </row>
    <row outlineLevel="0" r="474">
      <c r="A474" s="4108" t="inlineStr">
        <is>
          <t>135792468202210261500</t>
        </is>
      </c>
      <c r="B474" s="4108" t="inlineStr">
        <is>
          <t>261500</t>
        </is>
      </c>
      <c r="C474" s="4108" t="inlineStr">
        <is>
          <t>135792468</t>
        </is>
      </c>
      <c r="D474" s="4108" t="inlineStr">
        <is>
          <t>202210</t>
        </is>
      </c>
      <c r="E474" s="4108" t="inlineStr">
        <is>
          <t>0,000000000000</t>
        </is>
      </c>
    </row>
    <row outlineLevel="0" r="475">
      <c r="A475" s="4108" t="inlineStr">
        <is>
          <t>135792468202210261001</t>
        </is>
      </c>
      <c r="B475" s="4108" t="inlineStr">
        <is>
          <t>261001</t>
        </is>
      </c>
      <c r="C475" s="4108" t="inlineStr">
        <is>
          <t>135792468</t>
        </is>
      </c>
      <c r="D475" s="4108" t="inlineStr">
        <is>
          <t>202210</t>
        </is>
      </c>
      <c r="E475" s="4108" t="inlineStr">
        <is>
          <t>0,000000000000</t>
        </is>
      </c>
    </row>
    <row outlineLevel="0" r="476">
      <c r="A476" s="4108" t="inlineStr">
        <is>
          <t>135792468202210261000</t>
        </is>
      </c>
      <c r="B476" s="4108" t="inlineStr">
        <is>
          <t>261000</t>
        </is>
      </c>
      <c r="C476" s="4108" t="inlineStr">
        <is>
          <t>135792468</t>
        </is>
      </c>
      <c r="D476" s="4108" t="inlineStr">
        <is>
          <t>202210</t>
        </is>
      </c>
      <c r="E476" s="4108" t="inlineStr">
        <is>
          <t>0,000000000000</t>
        </is>
      </c>
    </row>
    <row outlineLevel="0" r="477">
      <c r="A477" s="4108" t="inlineStr">
        <is>
          <t>135792468202210260501</t>
        </is>
      </c>
      <c r="B477" s="4108" t="inlineStr">
        <is>
          <t>260501</t>
        </is>
      </c>
      <c r="C477" s="4108" t="inlineStr">
        <is>
          <t>135792468</t>
        </is>
      </c>
      <c r="D477" s="4108" t="inlineStr">
        <is>
          <t>202210</t>
        </is>
      </c>
      <c r="E477" s="4108" t="inlineStr">
        <is>
          <t>0,000000000000</t>
        </is>
      </c>
    </row>
    <row outlineLevel="0" r="478">
      <c r="A478" s="4108" t="inlineStr">
        <is>
          <t>135792468202210260500</t>
        </is>
      </c>
      <c r="B478" s="4108" t="inlineStr">
        <is>
          <t>260500</t>
        </is>
      </c>
      <c r="C478" s="4108" t="inlineStr">
        <is>
          <t>135792468</t>
        </is>
      </c>
      <c r="D478" s="4108" t="inlineStr">
        <is>
          <t>202210</t>
        </is>
      </c>
      <c r="E478" s="4108" t="inlineStr">
        <is>
          <t>0,000000000000</t>
        </is>
      </c>
    </row>
    <row outlineLevel="0" r="479">
      <c r="A479" s="4108" t="inlineStr">
        <is>
          <t>135792468202210259501</t>
        </is>
      </c>
      <c r="B479" s="4108" t="inlineStr">
        <is>
          <t>259501</t>
        </is>
      </c>
      <c r="C479" s="4108" t="inlineStr">
        <is>
          <t>135792468</t>
        </is>
      </c>
      <c r="D479" s="4108" t="inlineStr">
        <is>
          <t>202210</t>
        </is>
      </c>
      <c r="E479" s="4108" t="inlineStr">
        <is>
          <t>0,000000000000</t>
        </is>
      </c>
    </row>
    <row outlineLevel="0" r="480">
      <c r="A480" s="4108" t="inlineStr">
        <is>
          <t>135792468202210259500</t>
        </is>
      </c>
      <c r="B480" s="4108" t="inlineStr">
        <is>
          <t>259500</t>
        </is>
      </c>
      <c r="C480" s="4108" t="inlineStr">
        <is>
          <t>135792468</t>
        </is>
      </c>
      <c r="D480" s="4108" t="inlineStr">
        <is>
          <t>202210</t>
        </is>
      </c>
      <c r="E480" s="4108" t="inlineStr">
        <is>
          <t>0,000000000000</t>
        </is>
      </c>
    </row>
    <row outlineLevel="0" r="481">
      <c r="A481" s="4108" t="inlineStr">
        <is>
          <t>135792468202210253001</t>
        </is>
      </c>
      <c r="B481" s="4108" t="inlineStr">
        <is>
          <t>253001</t>
        </is>
      </c>
      <c r="C481" s="4108" t="inlineStr">
        <is>
          <t>135792468</t>
        </is>
      </c>
      <c r="D481" s="4108" t="inlineStr">
        <is>
          <t>202210</t>
        </is>
      </c>
      <c r="E481" s="4108" t="inlineStr">
        <is>
          <t>0,000000000000</t>
        </is>
      </c>
    </row>
    <row outlineLevel="0" r="482">
      <c r="A482" s="4108" t="inlineStr">
        <is>
          <t>135792468202210253000</t>
        </is>
      </c>
      <c r="B482" s="4108" t="inlineStr">
        <is>
          <t>253000</t>
        </is>
      </c>
      <c r="C482" s="4108" t="inlineStr">
        <is>
          <t>135792468</t>
        </is>
      </c>
      <c r="D482" s="4108" t="inlineStr">
        <is>
          <t>202210</t>
        </is>
      </c>
      <c r="E482" s="4108" t="inlineStr">
        <is>
          <t>0,000000000000</t>
        </is>
      </c>
    </row>
    <row outlineLevel="0" r="483">
      <c r="A483" s="4108" t="inlineStr">
        <is>
          <t>135792468202210252501</t>
        </is>
      </c>
      <c r="B483" s="4108" t="inlineStr">
        <is>
          <t>252501</t>
        </is>
      </c>
      <c r="C483" s="4108" t="inlineStr">
        <is>
          <t>135792468</t>
        </is>
      </c>
      <c r="D483" s="4108" t="inlineStr">
        <is>
          <t>202210</t>
        </is>
      </c>
      <c r="E483" s="4108" t="inlineStr">
        <is>
          <t>0,000000000000</t>
        </is>
      </c>
    </row>
    <row outlineLevel="0" r="484">
      <c r="A484" s="4108" t="inlineStr">
        <is>
          <t>135792468202210252500</t>
        </is>
      </c>
      <c r="B484" s="4108" t="inlineStr">
        <is>
          <t>252500</t>
        </is>
      </c>
      <c r="C484" s="4108" t="inlineStr">
        <is>
          <t>135792468</t>
        </is>
      </c>
      <c r="D484" s="4108" t="inlineStr">
        <is>
          <t>202210</t>
        </is>
      </c>
      <c r="E484" s="4108" t="inlineStr">
        <is>
          <t>0,000000000000</t>
        </is>
      </c>
    </row>
    <row outlineLevel="0" r="485">
      <c r="A485" s="4108" t="inlineStr">
        <is>
          <t>135792468202210251501</t>
        </is>
      </c>
      <c r="B485" s="4108" t="inlineStr">
        <is>
          <t>251501</t>
        </is>
      </c>
      <c r="C485" s="4108" t="inlineStr">
        <is>
          <t>135792468</t>
        </is>
      </c>
      <c r="D485" s="4108" t="inlineStr">
        <is>
          <t>202210</t>
        </is>
      </c>
      <c r="E485" s="4108" t="inlineStr">
        <is>
          <t>0,000000000000</t>
        </is>
      </c>
    </row>
    <row outlineLevel="0" r="486">
      <c r="A486" s="4108" t="inlineStr">
        <is>
          <t>135792468202210251500</t>
        </is>
      </c>
      <c r="B486" s="4108" t="inlineStr">
        <is>
          <t>251500</t>
        </is>
      </c>
      <c r="C486" s="4108" t="inlineStr">
        <is>
          <t>135792468</t>
        </is>
      </c>
      <c r="D486" s="4108" t="inlineStr">
        <is>
          <t>202210</t>
        </is>
      </c>
      <c r="E486" s="4108" t="inlineStr">
        <is>
          <t>0,000000000000</t>
        </is>
      </c>
    </row>
    <row outlineLevel="0" r="487">
      <c r="A487" s="4108" t="inlineStr">
        <is>
          <t>135792468202210251001</t>
        </is>
      </c>
      <c r="B487" s="4108" t="inlineStr">
        <is>
          <t>251001</t>
        </is>
      </c>
      <c r="C487" s="4108" t="inlineStr">
        <is>
          <t>135792468</t>
        </is>
      </c>
      <c r="D487" s="4108" t="inlineStr">
        <is>
          <t>202210</t>
        </is>
      </c>
      <c r="E487" s="4108" t="inlineStr">
        <is>
          <t>0,000000000000</t>
        </is>
      </c>
    </row>
    <row outlineLevel="0" r="488">
      <c r="A488" s="4108" t="inlineStr">
        <is>
          <t>135792468202210251000</t>
        </is>
      </c>
      <c r="B488" s="4108" t="inlineStr">
        <is>
          <t>251000</t>
        </is>
      </c>
      <c r="C488" s="4108" t="inlineStr">
        <is>
          <t>135792468</t>
        </is>
      </c>
      <c r="D488" s="4108" t="inlineStr">
        <is>
          <t>202210</t>
        </is>
      </c>
      <c r="E488" s="4108" t="inlineStr">
        <is>
          <t>0,000000000000</t>
        </is>
      </c>
    </row>
    <row outlineLevel="0" r="489">
      <c r="A489" s="4108" t="inlineStr">
        <is>
          <t>135792468202210250501</t>
        </is>
      </c>
      <c r="B489" s="4108" t="inlineStr">
        <is>
          <t>250501</t>
        </is>
      </c>
      <c r="C489" s="4108" t="inlineStr">
        <is>
          <t>135792468</t>
        </is>
      </c>
      <c r="D489" s="4108" t="inlineStr">
        <is>
          <t>202210</t>
        </is>
      </c>
      <c r="E489" s="4108" t="inlineStr">
        <is>
          <t>0,000000000000</t>
        </is>
      </c>
    </row>
    <row outlineLevel="0" r="490">
      <c r="A490" s="4108" t="inlineStr">
        <is>
          <t>135792468202210250500</t>
        </is>
      </c>
      <c r="B490" s="4108" t="inlineStr">
        <is>
          <t>250500</t>
        </is>
      </c>
      <c r="C490" s="4108" t="inlineStr">
        <is>
          <t>135792468</t>
        </is>
      </c>
      <c r="D490" s="4108" t="inlineStr">
        <is>
          <t>202210</t>
        </is>
      </c>
      <c r="E490" s="4108" t="inlineStr">
        <is>
          <t>0,000000000000</t>
        </is>
      </c>
    </row>
    <row outlineLevel="0" r="491">
      <c r="A491" s="4108" t="inlineStr">
        <is>
          <t>135792468202210249501</t>
        </is>
      </c>
      <c r="B491" s="4108" t="inlineStr">
        <is>
          <t>249501</t>
        </is>
      </c>
      <c r="C491" s="4108" t="inlineStr">
        <is>
          <t>135792468</t>
        </is>
      </c>
      <c r="D491" s="4108" t="inlineStr">
        <is>
          <t>202210</t>
        </is>
      </c>
      <c r="E491" s="4108" t="inlineStr">
        <is>
          <t>0,000000000000</t>
        </is>
      </c>
    </row>
    <row outlineLevel="0" r="492">
      <c r="A492" s="4108" t="inlineStr">
        <is>
          <t>135792468202210249500</t>
        </is>
      </c>
      <c r="B492" s="4108" t="inlineStr">
        <is>
          <t>249500</t>
        </is>
      </c>
      <c r="C492" s="4108" t="inlineStr">
        <is>
          <t>135792468</t>
        </is>
      </c>
      <c r="D492" s="4108" t="inlineStr">
        <is>
          <t>202210</t>
        </is>
      </c>
      <c r="E492" s="4108" t="inlineStr">
        <is>
          <t>0,000000000000</t>
        </is>
      </c>
    </row>
    <row outlineLevel="0" r="493">
      <c r="A493" s="4108" t="inlineStr">
        <is>
          <t>135792468202210241201</t>
        </is>
      </c>
      <c r="B493" s="4108" t="inlineStr">
        <is>
          <t>241201</t>
        </is>
      </c>
      <c r="C493" s="4108" t="inlineStr">
        <is>
          <t>135792468</t>
        </is>
      </c>
      <c r="D493" s="4108" t="inlineStr">
        <is>
          <t>202210</t>
        </is>
      </c>
      <c r="E493" s="4108" t="inlineStr">
        <is>
          <t>0,000000000000</t>
        </is>
      </c>
    </row>
    <row outlineLevel="0" r="494">
      <c r="A494" s="4108" t="inlineStr">
        <is>
          <t>135792468202210241200</t>
        </is>
      </c>
      <c r="B494" s="4108" t="inlineStr">
        <is>
          <t>241200</t>
        </is>
      </c>
      <c r="C494" s="4108" t="inlineStr">
        <is>
          <t>135792468</t>
        </is>
      </c>
      <c r="D494" s="4108" t="inlineStr">
        <is>
          <t>202210</t>
        </is>
      </c>
      <c r="E494" s="4108" t="inlineStr">
        <is>
          <t>0,000000000000</t>
        </is>
      </c>
    </row>
    <row outlineLevel="0" r="495">
      <c r="A495" s="4108" t="inlineStr">
        <is>
          <t>135792468202210240801</t>
        </is>
      </c>
      <c r="B495" s="4108" t="inlineStr">
        <is>
          <t>240801</t>
        </is>
      </c>
      <c r="C495" s="4108" t="inlineStr">
        <is>
          <t>135792468</t>
        </is>
      </c>
      <c r="D495" s="4108" t="inlineStr">
        <is>
          <t>202210</t>
        </is>
      </c>
      <c r="E495" s="4108" t="inlineStr">
        <is>
          <t>0,000000000000</t>
        </is>
      </c>
    </row>
    <row outlineLevel="0" r="496">
      <c r="A496" s="4108" t="inlineStr">
        <is>
          <t>135792468202210240800</t>
        </is>
      </c>
      <c r="B496" s="4108" t="inlineStr">
        <is>
          <t>240800</t>
        </is>
      </c>
      <c r="C496" s="4108" t="inlineStr">
        <is>
          <t>135792468</t>
        </is>
      </c>
      <c r="D496" s="4108" t="inlineStr">
        <is>
          <t>202210</t>
        </is>
      </c>
      <c r="E496" s="4108" t="inlineStr">
        <is>
          <t>0,000000000000</t>
        </is>
      </c>
    </row>
    <row outlineLevel="0" r="497">
      <c r="A497" s="4108" t="inlineStr">
        <is>
          <t>135792468202210240401</t>
        </is>
      </c>
      <c r="B497" s="4108" t="inlineStr">
        <is>
          <t>240401</t>
        </is>
      </c>
      <c r="C497" s="4108" t="inlineStr">
        <is>
          <t>135792468</t>
        </is>
      </c>
      <c r="D497" s="4108" t="inlineStr">
        <is>
          <t>202210</t>
        </is>
      </c>
      <c r="E497" s="4108" t="inlineStr">
        <is>
          <t>0,000000000000</t>
        </is>
      </c>
    </row>
    <row outlineLevel="0" r="498">
      <c r="A498" s="4108" t="inlineStr">
        <is>
          <t>135792468202210240400</t>
        </is>
      </c>
      <c r="B498" s="4108" t="inlineStr">
        <is>
          <t>240400</t>
        </is>
      </c>
      <c r="C498" s="4108" t="inlineStr">
        <is>
          <t>135792468</t>
        </is>
      </c>
      <c r="D498" s="4108" t="inlineStr">
        <is>
          <t>202210</t>
        </is>
      </c>
      <c r="E498" s="4108" t="inlineStr">
        <is>
          <t>65,000000000000</t>
        </is>
      </c>
    </row>
    <row outlineLevel="0" r="499">
      <c r="A499" s="4108" t="inlineStr">
        <is>
          <t>135792468202210240001</t>
        </is>
      </c>
      <c r="B499" s="4108" t="inlineStr">
        <is>
          <t>240001</t>
        </is>
      </c>
      <c r="C499" s="4108" t="inlineStr">
        <is>
          <t>135792468</t>
        </is>
      </c>
      <c r="D499" s="4108" t="inlineStr">
        <is>
          <t>202210</t>
        </is>
      </c>
      <c r="E499" s="4108" t="inlineStr">
        <is>
          <t>0,000000000000</t>
        </is>
      </c>
    </row>
    <row outlineLevel="0" r="500">
      <c r="A500" s="4108" t="inlineStr">
        <is>
          <t>135792468202210238001</t>
        </is>
      </c>
      <c r="B500" s="4108" t="inlineStr">
        <is>
          <t>238001</t>
        </is>
      </c>
      <c r="C500" s="4108" t="inlineStr">
        <is>
          <t>135792468</t>
        </is>
      </c>
      <c r="D500" s="4108" t="inlineStr">
        <is>
          <t>202210</t>
        </is>
      </c>
      <c r="E500" s="4108" t="inlineStr">
        <is>
          <t>0,000000000000</t>
        </is>
      </c>
    </row>
    <row outlineLevel="0" r="501">
      <c r="A501" s="4108" t="inlineStr">
        <is>
          <t>135792468202210238000</t>
        </is>
      </c>
      <c r="B501" s="4108" t="inlineStr">
        <is>
          <t>238000</t>
        </is>
      </c>
      <c r="C501" s="4108" t="inlineStr">
        <is>
          <t>135792468</t>
        </is>
      </c>
      <c r="D501" s="4108" t="inlineStr">
        <is>
          <t>202210</t>
        </is>
      </c>
      <c r="E501" s="4108" t="inlineStr">
        <is>
          <t>0,000000000000</t>
        </is>
      </c>
    </row>
    <row outlineLevel="0" r="502">
      <c r="A502" s="4108" t="inlineStr">
        <is>
          <t>135792468202210237001</t>
        </is>
      </c>
      <c r="B502" s="4108" t="inlineStr">
        <is>
          <t>237001</t>
        </is>
      </c>
      <c r="C502" s="4108" t="inlineStr">
        <is>
          <t>135792468</t>
        </is>
      </c>
      <c r="D502" s="4108" t="inlineStr">
        <is>
          <t>202210</t>
        </is>
      </c>
      <c r="E502" s="4108" t="inlineStr">
        <is>
          <t>0,000000000000</t>
        </is>
      </c>
    </row>
    <row outlineLevel="0" r="503">
      <c r="A503" s="4108" t="inlineStr">
        <is>
          <t>135792468202210237000</t>
        </is>
      </c>
      <c r="B503" s="4108" t="inlineStr">
        <is>
          <t>237000</t>
        </is>
      </c>
      <c r="C503" s="4108" t="inlineStr">
        <is>
          <t>135792468</t>
        </is>
      </c>
      <c r="D503" s="4108" t="inlineStr">
        <is>
          <t>202210</t>
        </is>
      </c>
      <c r="E503" s="4108" t="inlineStr">
        <is>
          <t>0,000000000000</t>
        </is>
      </c>
    </row>
    <row outlineLevel="0" r="504">
      <c r="A504" s="4108" t="inlineStr">
        <is>
          <t>135792468202210236800</t>
        </is>
      </c>
      <c r="B504" s="4108" t="inlineStr">
        <is>
          <t>236800</t>
        </is>
      </c>
      <c r="C504" s="4108" t="inlineStr">
        <is>
          <t>135792468</t>
        </is>
      </c>
      <c r="D504" s="4108" t="inlineStr">
        <is>
          <t>202210</t>
        </is>
      </c>
      <c r="E504" s="4108" t="inlineStr">
        <is>
          <t>2099,000000000000</t>
        </is>
      </c>
    </row>
    <row outlineLevel="0" r="505">
      <c r="A505" s="4108" t="inlineStr">
        <is>
          <t>135792468202210236701</t>
        </is>
      </c>
      <c r="B505" s="4108" t="inlineStr">
        <is>
          <t>236701</t>
        </is>
      </c>
      <c r="C505" s="4108" t="inlineStr">
        <is>
          <t>135792468</t>
        </is>
      </c>
      <c r="D505" s="4108" t="inlineStr">
        <is>
          <t>202210</t>
        </is>
      </c>
      <c r="E505" s="4108" t="inlineStr">
        <is>
          <t>0,000000000000</t>
        </is>
      </c>
    </row>
    <row outlineLevel="0" r="506">
      <c r="A506" s="4108" t="inlineStr">
        <is>
          <t>135792468202210236700</t>
        </is>
      </c>
      <c r="B506" s="4108" t="inlineStr">
        <is>
          <t>236700</t>
        </is>
      </c>
      <c r="C506" s="4108" t="inlineStr">
        <is>
          <t>135792468</t>
        </is>
      </c>
      <c r="D506" s="4108" t="inlineStr">
        <is>
          <t>202210</t>
        </is>
      </c>
      <c r="E506" s="4108" t="inlineStr">
        <is>
          <t>0,000000000000</t>
        </is>
      </c>
    </row>
    <row outlineLevel="0" r="507">
      <c r="A507" s="4108" t="inlineStr">
        <is>
          <t>135792468202210236501</t>
        </is>
      </c>
      <c r="B507" s="4108" t="inlineStr">
        <is>
          <t>236501</t>
        </is>
      </c>
      <c r="C507" s="4108" t="inlineStr">
        <is>
          <t>135792468</t>
        </is>
      </c>
      <c r="D507" s="4108" t="inlineStr">
        <is>
          <t>202210</t>
        </is>
      </c>
      <c r="E507" s="4108" t="inlineStr">
        <is>
          <t>0,000000000000</t>
        </is>
      </c>
    </row>
    <row outlineLevel="0" r="508">
      <c r="A508" s="4108" t="inlineStr">
        <is>
          <t>135792468202210236500</t>
        </is>
      </c>
      <c r="B508" s="4108" t="inlineStr">
        <is>
          <t>236500</t>
        </is>
      </c>
      <c r="C508" s="4108" t="inlineStr">
        <is>
          <t>135792468</t>
        </is>
      </c>
      <c r="D508" s="4108" t="inlineStr">
        <is>
          <t>202210</t>
        </is>
      </c>
      <c r="E508" s="4108" t="inlineStr">
        <is>
          <t>0,000000000000</t>
        </is>
      </c>
    </row>
    <row outlineLevel="0" r="509">
      <c r="A509" s="4108" t="inlineStr">
        <is>
          <t>135792468202210236001</t>
        </is>
      </c>
      <c r="B509" s="4108" t="inlineStr">
        <is>
          <t>236001</t>
        </is>
      </c>
      <c r="C509" s="4108" t="inlineStr">
        <is>
          <t>135792468</t>
        </is>
      </c>
      <c r="D509" s="4108" t="inlineStr">
        <is>
          <t>202210</t>
        </is>
      </c>
      <c r="E509" s="4108" t="inlineStr">
        <is>
          <t>0,000000000000</t>
        </is>
      </c>
    </row>
    <row outlineLevel="0" r="510">
      <c r="A510" s="4108" t="inlineStr">
        <is>
          <t>135792468202210236000</t>
        </is>
      </c>
      <c r="B510" s="4108" t="inlineStr">
        <is>
          <t>236000</t>
        </is>
      </c>
      <c r="C510" s="4108" t="inlineStr">
        <is>
          <t>135792468</t>
        </is>
      </c>
      <c r="D510" s="4108" t="inlineStr">
        <is>
          <t>202210</t>
        </is>
      </c>
      <c r="E510" s="4108" t="inlineStr">
        <is>
          <t>0,000000000000</t>
        </is>
      </c>
    </row>
    <row outlineLevel="0" r="511">
      <c r="A511" s="4108" t="inlineStr">
        <is>
          <t>135792468202210235501</t>
        </is>
      </c>
      <c r="B511" s="4108" t="inlineStr">
        <is>
          <t>235501</t>
        </is>
      </c>
      <c r="C511" s="4108" t="inlineStr">
        <is>
          <t>135792468</t>
        </is>
      </c>
      <c r="D511" s="4108" t="inlineStr">
        <is>
          <t>202210</t>
        </is>
      </c>
      <c r="E511" s="4108" t="inlineStr">
        <is>
          <t>0,000000000000</t>
        </is>
      </c>
    </row>
    <row outlineLevel="0" r="512">
      <c r="A512" s="4108" t="inlineStr">
        <is>
          <t>135792468202210235500</t>
        </is>
      </c>
      <c r="B512" s="4108" t="inlineStr">
        <is>
          <t>235500</t>
        </is>
      </c>
      <c r="C512" s="4108" t="inlineStr">
        <is>
          <t>135792468</t>
        </is>
      </c>
      <c r="D512" s="4108" t="inlineStr">
        <is>
          <t>202210</t>
        </is>
      </c>
      <c r="E512" s="4108" t="inlineStr">
        <is>
          <t>0,000000000000</t>
        </is>
      </c>
    </row>
    <row outlineLevel="0" r="513">
      <c r="A513" s="4108" t="inlineStr">
        <is>
          <t>135792468202210235001</t>
        </is>
      </c>
      <c r="B513" s="4108" t="inlineStr">
        <is>
          <t>235001</t>
        </is>
      </c>
      <c r="C513" s="4108" t="inlineStr">
        <is>
          <t>135792468</t>
        </is>
      </c>
      <c r="D513" s="4108" t="inlineStr">
        <is>
          <t>202210</t>
        </is>
      </c>
      <c r="E513" s="4108" t="inlineStr">
        <is>
          <t>0,000000000000</t>
        </is>
      </c>
    </row>
    <row outlineLevel="0" r="514">
      <c r="A514" s="4108" t="inlineStr">
        <is>
          <t>135792468202210235000</t>
        </is>
      </c>
      <c r="B514" s="4108" t="inlineStr">
        <is>
          <t>235000</t>
        </is>
      </c>
      <c r="C514" s="4108" t="inlineStr">
        <is>
          <t>135792468</t>
        </is>
      </c>
      <c r="D514" s="4108" t="inlineStr">
        <is>
          <t>202210</t>
        </is>
      </c>
      <c r="E514" s="4108" t="inlineStr">
        <is>
          <t>901,000000000000</t>
        </is>
      </c>
    </row>
    <row outlineLevel="0" r="515">
      <c r="A515" s="4108" t="inlineStr">
        <is>
          <t>135792468202210234501</t>
        </is>
      </c>
      <c r="B515" s="4108" t="inlineStr">
        <is>
          <t>234501</t>
        </is>
      </c>
      <c r="C515" s="4108" t="inlineStr">
        <is>
          <t>135792468</t>
        </is>
      </c>
      <c r="D515" s="4108" t="inlineStr">
        <is>
          <t>202210</t>
        </is>
      </c>
      <c r="E515" s="4108" t="inlineStr">
        <is>
          <t>0,000000000000</t>
        </is>
      </c>
    </row>
    <row outlineLevel="0" r="516">
      <c r="A516" s="4108" t="inlineStr">
        <is>
          <t>135792468202210234500</t>
        </is>
      </c>
      <c r="B516" s="4108" t="inlineStr">
        <is>
          <t>234500</t>
        </is>
      </c>
      <c r="C516" s="4108" t="inlineStr">
        <is>
          <t>135792468</t>
        </is>
      </c>
      <c r="D516" s="4108" t="inlineStr">
        <is>
          <t>202210</t>
        </is>
      </c>
      <c r="E516" s="4108" t="inlineStr">
        <is>
          <t>0,000000000000</t>
        </is>
      </c>
    </row>
    <row outlineLevel="0" r="517">
      <c r="A517" s="4108" t="inlineStr">
        <is>
          <t>135792468202210233501</t>
        </is>
      </c>
      <c r="B517" s="4108" t="inlineStr">
        <is>
          <t>233501</t>
        </is>
      </c>
      <c r="C517" s="4108" t="inlineStr">
        <is>
          <t>135792468</t>
        </is>
      </c>
      <c r="D517" s="4108" t="inlineStr">
        <is>
          <t>202210</t>
        </is>
      </c>
      <c r="E517" s="4108" t="inlineStr">
        <is>
          <t>0,000000000000</t>
        </is>
      </c>
    </row>
    <row outlineLevel="0" r="518">
      <c r="A518" s="4108" t="inlineStr">
        <is>
          <t>135792468202210233500</t>
        </is>
      </c>
      <c r="B518" s="4108" t="inlineStr">
        <is>
          <t>233500</t>
        </is>
      </c>
      <c r="C518" s="4108" t="inlineStr">
        <is>
          <t>135792468</t>
        </is>
      </c>
      <c r="D518" s="4108" t="inlineStr">
        <is>
          <t>202210</t>
        </is>
      </c>
      <c r="E518" s="4108" t="inlineStr">
        <is>
          <t>0,000000000000</t>
        </is>
      </c>
    </row>
    <row outlineLevel="0" r="519">
      <c r="A519" s="4108" t="inlineStr">
        <is>
          <t>135792468202210232001</t>
        </is>
      </c>
      <c r="B519" s="4108" t="inlineStr">
        <is>
          <t>232001</t>
        </is>
      </c>
      <c r="C519" s="4108" t="inlineStr">
        <is>
          <t>135792468</t>
        </is>
      </c>
      <c r="D519" s="4108" t="inlineStr">
        <is>
          <t>202210</t>
        </is>
      </c>
      <c r="E519" s="4108" t="inlineStr">
        <is>
          <t>0,000000000000</t>
        </is>
      </c>
    </row>
    <row outlineLevel="0" r="520">
      <c r="A520" s="4108" t="inlineStr">
        <is>
          <t>135792468202210232000</t>
        </is>
      </c>
      <c r="B520" s="4108" t="inlineStr">
        <is>
          <t>232000</t>
        </is>
      </c>
      <c r="C520" s="4108" t="inlineStr">
        <is>
          <t>135792468</t>
        </is>
      </c>
      <c r="D520" s="4108" t="inlineStr">
        <is>
          <t>202210</t>
        </is>
      </c>
      <c r="E520" s="4108" t="inlineStr">
        <is>
          <t>0,000000000000</t>
        </is>
      </c>
    </row>
    <row outlineLevel="0" r="521">
      <c r="A521" s="4108" t="inlineStr">
        <is>
          <t>135792468202210231501</t>
        </is>
      </c>
      <c r="B521" s="4108" t="inlineStr">
        <is>
          <t>231501</t>
        </is>
      </c>
      <c r="C521" s="4108" t="inlineStr">
        <is>
          <t>135792468</t>
        </is>
      </c>
      <c r="D521" s="4108" t="inlineStr">
        <is>
          <t>202210</t>
        </is>
      </c>
      <c r="E521" s="4108" t="inlineStr">
        <is>
          <t>0,000000000000</t>
        </is>
      </c>
    </row>
    <row outlineLevel="0" r="522">
      <c r="A522" s="4108" t="inlineStr">
        <is>
          <t>135792468202210231500</t>
        </is>
      </c>
      <c r="B522" s="4108" t="inlineStr">
        <is>
          <t>231500</t>
        </is>
      </c>
      <c r="C522" s="4108" t="inlineStr">
        <is>
          <t>135792468</t>
        </is>
      </c>
      <c r="D522" s="4108" t="inlineStr">
        <is>
          <t>202210</t>
        </is>
      </c>
      <c r="E522" s="4108" t="inlineStr">
        <is>
          <t>0,000000000000</t>
        </is>
      </c>
    </row>
    <row outlineLevel="0" r="523">
      <c r="A523" s="4108" t="inlineStr">
        <is>
          <t>135792468202210231001</t>
        </is>
      </c>
      <c r="B523" s="4108" t="inlineStr">
        <is>
          <t>231001</t>
        </is>
      </c>
      <c r="C523" s="4108" t="inlineStr">
        <is>
          <t>135792468</t>
        </is>
      </c>
      <c r="D523" s="4108" t="inlineStr">
        <is>
          <t>202210</t>
        </is>
      </c>
      <c r="E523" s="4108" t="inlineStr">
        <is>
          <t>0,000000000000</t>
        </is>
      </c>
    </row>
    <row outlineLevel="0" r="524">
      <c r="A524" s="4108" t="inlineStr">
        <is>
          <t>135792468202210231000</t>
        </is>
      </c>
      <c r="B524" s="4108" t="inlineStr">
        <is>
          <t>231000</t>
        </is>
      </c>
      <c r="C524" s="4108" t="inlineStr">
        <is>
          <t>135792468</t>
        </is>
      </c>
      <c r="D524" s="4108" t="inlineStr">
        <is>
          <t>202210</t>
        </is>
      </c>
      <c r="E524" s="4108" t="inlineStr">
        <is>
          <t>0,000000000000</t>
        </is>
      </c>
    </row>
    <row outlineLevel="0" r="525">
      <c r="A525" s="4108" t="inlineStr">
        <is>
          <t>135792468202210230501</t>
        </is>
      </c>
      <c r="B525" s="4108" t="inlineStr">
        <is>
          <t>230501</t>
        </is>
      </c>
      <c r="C525" s="4108" t="inlineStr">
        <is>
          <t>135792468</t>
        </is>
      </c>
      <c r="D525" s="4108" t="inlineStr">
        <is>
          <t>202210</t>
        </is>
      </c>
      <c r="E525" s="4108" t="inlineStr">
        <is>
          <t>0,000000000000</t>
        </is>
      </c>
    </row>
    <row outlineLevel="0" r="526">
      <c r="A526" s="4108" t="inlineStr">
        <is>
          <t>135792468202210230500</t>
        </is>
      </c>
      <c r="B526" s="4108" t="inlineStr">
        <is>
          <t>230500</t>
        </is>
      </c>
      <c r="C526" s="4108" t="inlineStr">
        <is>
          <t>135792468</t>
        </is>
      </c>
      <c r="D526" s="4108" t="inlineStr">
        <is>
          <t>202210</t>
        </is>
      </c>
      <c r="E526" s="4108" t="inlineStr">
        <is>
          <t>1544,000000000000</t>
        </is>
      </c>
    </row>
    <row outlineLevel="0" r="527">
      <c r="A527" s="4108" t="inlineStr">
        <is>
          <t>135792468202210221500</t>
        </is>
      </c>
      <c r="B527" s="4108" t="inlineStr">
        <is>
          <t>221500</t>
        </is>
      </c>
      <c r="C527" s="4108" t="inlineStr">
        <is>
          <t>135792468</t>
        </is>
      </c>
      <c r="D527" s="4108" t="inlineStr">
        <is>
          <t>202210</t>
        </is>
      </c>
      <c r="E527" s="4108" t="inlineStr">
        <is>
          <t>0,000000000000</t>
        </is>
      </c>
    </row>
    <row outlineLevel="0" r="528">
      <c r="A528" s="4108" t="inlineStr">
        <is>
          <t>135792468202210221001</t>
        </is>
      </c>
      <c r="B528" s="4108" t="inlineStr">
        <is>
          <t>221001</t>
        </is>
      </c>
      <c r="C528" s="4108" t="inlineStr">
        <is>
          <t>135792468</t>
        </is>
      </c>
      <c r="D528" s="4108" t="inlineStr">
        <is>
          <t>202210</t>
        </is>
      </c>
      <c r="E528" s="4108" t="inlineStr">
        <is>
          <t>0,000000000000</t>
        </is>
      </c>
    </row>
    <row outlineLevel="0" r="529">
      <c r="A529" s="4108" t="inlineStr">
        <is>
          <t>135792468202210221000</t>
        </is>
      </c>
      <c r="B529" s="4108" t="inlineStr">
        <is>
          <t>221000</t>
        </is>
      </c>
      <c r="C529" s="4108" t="inlineStr">
        <is>
          <t>135792468</t>
        </is>
      </c>
      <c r="D529" s="4108" t="inlineStr">
        <is>
          <t>202210</t>
        </is>
      </c>
      <c r="E529" s="4108" t="inlineStr">
        <is>
          <t>0,000000000000</t>
        </is>
      </c>
    </row>
    <row outlineLevel="0" r="530">
      <c r="A530" s="4108" t="inlineStr">
        <is>
          <t>135792468202210220501</t>
        </is>
      </c>
      <c r="B530" s="4108" t="inlineStr">
        <is>
          <t>220501</t>
        </is>
      </c>
      <c r="C530" s="4108" t="inlineStr">
        <is>
          <t>135792468</t>
        </is>
      </c>
      <c r="D530" s="4108" t="inlineStr">
        <is>
          <t>202210</t>
        </is>
      </c>
      <c r="E530" s="4108" t="inlineStr">
        <is>
          <t>0,000000000000</t>
        </is>
      </c>
    </row>
    <row outlineLevel="0" r="531">
      <c r="A531" s="4108" t="inlineStr">
        <is>
          <t>135792468202210220500</t>
        </is>
      </c>
      <c r="B531" s="4108" t="inlineStr">
        <is>
          <t>220500</t>
        </is>
      </c>
      <c r="C531" s="4108" t="inlineStr">
        <is>
          <t>135792468</t>
        </is>
      </c>
      <c r="D531" s="4108" t="inlineStr">
        <is>
          <t>202210</t>
        </is>
      </c>
      <c r="E531" s="4108" t="inlineStr">
        <is>
          <t>0,000000000000</t>
        </is>
      </c>
    </row>
    <row outlineLevel="0" r="532">
      <c r="A532" s="4108" t="inlineStr">
        <is>
          <t>135792468202210219500</t>
        </is>
      </c>
      <c r="B532" s="4108" t="inlineStr">
        <is>
          <t>219500</t>
        </is>
      </c>
      <c r="C532" s="4108" t="inlineStr">
        <is>
          <t>135792468</t>
        </is>
      </c>
      <c r="D532" s="4108" t="inlineStr">
        <is>
          <t>202210</t>
        </is>
      </c>
      <c r="E532" s="4108" t="inlineStr">
        <is>
          <t>0,000000000000</t>
        </is>
      </c>
    </row>
    <row outlineLevel="0" r="533">
      <c r="A533" s="4108" t="inlineStr">
        <is>
          <t>135792468202210211500</t>
        </is>
      </c>
      <c r="B533" s="4108" t="inlineStr">
        <is>
          <t>211500</t>
        </is>
      </c>
      <c r="C533" s="4108" t="inlineStr">
        <is>
          <t>135792468</t>
        </is>
      </c>
      <c r="D533" s="4108" t="inlineStr">
        <is>
          <t>202210</t>
        </is>
      </c>
      <c r="E533" s="4108" t="inlineStr">
        <is>
          <t>617,000000000000</t>
        </is>
      </c>
    </row>
    <row outlineLevel="0" r="534">
      <c r="A534" s="4108" t="inlineStr">
        <is>
          <t>135792468202210211001</t>
        </is>
      </c>
      <c r="B534" s="4108" t="inlineStr">
        <is>
          <t>211001</t>
        </is>
      </c>
      <c r="C534" s="4108" t="inlineStr">
        <is>
          <t>135792468</t>
        </is>
      </c>
      <c r="D534" s="4108" t="inlineStr">
        <is>
          <t>202210</t>
        </is>
      </c>
      <c r="E534" s="4108" t="inlineStr">
        <is>
          <t>0,000000000000</t>
        </is>
      </c>
    </row>
    <row outlineLevel="0" r="535">
      <c r="A535" s="4108" t="inlineStr">
        <is>
          <t>135792468202210210501</t>
        </is>
      </c>
      <c r="B535" s="4108" t="inlineStr">
        <is>
          <t>210501</t>
        </is>
      </c>
      <c r="C535" s="4108" t="inlineStr">
        <is>
          <t>135792468</t>
        </is>
      </c>
      <c r="D535" s="4108" t="inlineStr">
        <is>
          <t>202210</t>
        </is>
      </c>
      <c r="E535" s="4108" t="inlineStr">
        <is>
          <t>9696,000000000000</t>
        </is>
      </c>
    </row>
    <row outlineLevel="0" r="536">
      <c r="A536" s="4108" t="inlineStr">
        <is>
          <t>135792468202210210500</t>
        </is>
      </c>
      <c r="B536" s="4108" t="inlineStr">
        <is>
          <t>210500</t>
        </is>
      </c>
      <c r="C536" s="4108" t="inlineStr">
        <is>
          <t>135792468</t>
        </is>
      </c>
      <c r="D536" s="4108" t="inlineStr">
        <is>
          <t>202210</t>
        </is>
      </c>
      <c r="E536" s="4108" t="inlineStr">
        <is>
          <t>0,000000000000</t>
        </is>
      </c>
    </row>
    <row outlineLevel="0" r="537">
      <c r="A537" s="4108" t="inlineStr">
        <is>
          <t>135792468202210199501</t>
        </is>
      </c>
      <c r="B537" s="4108" t="inlineStr">
        <is>
          <t>199501</t>
        </is>
      </c>
      <c r="C537" s="4108" t="inlineStr">
        <is>
          <t>135792468</t>
        </is>
      </c>
      <c r="D537" s="4108" t="inlineStr">
        <is>
          <t>202210</t>
        </is>
      </c>
      <c r="E537" s="4108" t="inlineStr">
        <is>
          <t>0,000000000000</t>
        </is>
      </c>
    </row>
    <row outlineLevel="0" r="538">
      <c r="A538" s="4108" t="inlineStr">
        <is>
          <t>135792468202210191001</t>
        </is>
      </c>
      <c r="B538" s="4108" t="inlineStr">
        <is>
          <t>191001</t>
        </is>
      </c>
      <c r="C538" s="4108" t="inlineStr">
        <is>
          <t>135792468</t>
        </is>
      </c>
      <c r="D538" s="4108" t="inlineStr">
        <is>
          <t>202210</t>
        </is>
      </c>
      <c r="E538" s="4108" t="inlineStr">
        <is>
          <t>0,000000000000</t>
        </is>
      </c>
    </row>
    <row outlineLevel="0" r="539">
      <c r="A539" s="4108" t="inlineStr">
        <is>
          <t>135792468202210190501</t>
        </is>
      </c>
      <c r="B539" s="4108" t="inlineStr">
        <is>
          <t>190501</t>
        </is>
      </c>
      <c r="C539" s="4108" t="inlineStr">
        <is>
          <t>135792468</t>
        </is>
      </c>
      <c r="D539" s="4108" t="inlineStr">
        <is>
          <t>202210</t>
        </is>
      </c>
      <c r="E539" s="4108" t="inlineStr">
        <is>
          <t>0,000000000000</t>
        </is>
      </c>
    </row>
    <row outlineLevel="0" r="540">
      <c r="A540" s="4108" t="inlineStr">
        <is>
          <t>135792468202210190000</t>
        </is>
      </c>
      <c r="B540" s="4108" t="inlineStr">
        <is>
          <t>190000</t>
        </is>
      </c>
      <c r="C540" s="4108" t="inlineStr">
        <is>
          <t>135792468</t>
        </is>
      </c>
      <c r="D540" s="4108" t="inlineStr">
        <is>
          <t>202210</t>
        </is>
      </c>
      <c r="E540" s="4108" t="inlineStr">
        <is>
          <t>0,000000000000</t>
        </is>
      </c>
    </row>
    <row outlineLevel="0" r="541">
      <c r="A541" s="4108" t="inlineStr">
        <is>
          <t>135792468202210189901</t>
        </is>
      </c>
      <c r="B541" s="4108" t="inlineStr">
        <is>
          <t>189901</t>
        </is>
      </c>
      <c r="C541" s="4108" t="inlineStr">
        <is>
          <t>135792468</t>
        </is>
      </c>
      <c r="D541" s="4108" t="inlineStr">
        <is>
          <t>202210</t>
        </is>
      </c>
      <c r="E541" s="4108" t="inlineStr">
        <is>
          <t>96,000000000000</t>
        </is>
      </c>
    </row>
    <row outlineLevel="0" r="542">
      <c r="A542" s="4108" t="inlineStr">
        <is>
          <t>135792468202210189701</t>
        </is>
      </c>
      <c r="B542" s="4108" t="inlineStr">
        <is>
          <t>189701</t>
        </is>
      </c>
      <c r="C542" s="4108" t="inlineStr">
        <is>
          <t>135792468</t>
        </is>
      </c>
      <c r="D542" s="4108" t="inlineStr">
        <is>
          <t>202210</t>
        </is>
      </c>
      <c r="E542" s="4108" t="inlineStr">
        <is>
          <t>16,000000000000</t>
        </is>
      </c>
    </row>
    <row outlineLevel="0" r="543">
      <c r="A543" s="4108" t="inlineStr">
        <is>
          <t>135792468202210189520</t>
        </is>
      </c>
      <c r="B543" s="4108" t="inlineStr">
        <is>
          <t>189520</t>
        </is>
      </c>
      <c r="C543" s="4108" t="inlineStr">
        <is>
          <t>135792468</t>
        </is>
      </c>
      <c r="D543" s="4108" t="inlineStr">
        <is>
          <t>202210</t>
        </is>
      </c>
      <c r="E543" s="4108" t="inlineStr">
        <is>
          <t>0,000000000000</t>
        </is>
      </c>
    </row>
    <row outlineLevel="0" r="544">
      <c r="A544" s="4108" t="inlineStr">
        <is>
          <t>135792468202210189501</t>
        </is>
      </c>
      <c r="B544" s="4108" t="inlineStr">
        <is>
          <t>189501</t>
        </is>
      </c>
      <c r="C544" s="4108" t="inlineStr">
        <is>
          <t>135792468</t>
        </is>
      </c>
      <c r="D544" s="4108" t="inlineStr">
        <is>
          <t>202210</t>
        </is>
      </c>
      <c r="E544" s="4108" t="inlineStr">
        <is>
          <t>3750,000000000000</t>
        </is>
      </c>
    </row>
    <row outlineLevel="0" r="545">
      <c r="A545" s="4108" t="inlineStr">
        <is>
          <t>135792468202210189500</t>
        </is>
      </c>
      <c r="B545" s="4108" t="inlineStr">
        <is>
          <t>189500</t>
        </is>
      </c>
      <c r="C545" s="4108" t="inlineStr">
        <is>
          <t>135792468</t>
        </is>
      </c>
      <c r="D545" s="4108" t="inlineStr">
        <is>
          <t>202210</t>
        </is>
      </c>
      <c r="E545" s="4108" t="inlineStr">
        <is>
          <t>0,000000000000</t>
        </is>
      </c>
    </row>
    <row outlineLevel="0" r="546">
      <c r="A546" s="4108" t="inlineStr">
        <is>
          <t>135792468202210181000</t>
        </is>
      </c>
      <c r="B546" s="4108" t="inlineStr">
        <is>
          <t>181000</t>
        </is>
      </c>
      <c r="C546" s="4108" t="inlineStr">
        <is>
          <t>135792468</t>
        </is>
      </c>
      <c r="D546" s="4108" t="inlineStr">
        <is>
          <t>202210</t>
        </is>
      </c>
      <c r="E546" s="4108" t="inlineStr">
        <is>
          <t>0,000000000000</t>
        </is>
      </c>
    </row>
    <row outlineLevel="0" r="547">
      <c r="A547" s="4108" t="inlineStr">
        <is>
          <t>135792468202210180501</t>
        </is>
      </c>
      <c r="B547" s="4108" t="inlineStr">
        <is>
          <t>180501</t>
        </is>
      </c>
      <c r="C547" s="4108" t="inlineStr">
        <is>
          <t>135792468</t>
        </is>
      </c>
      <c r="D547" s="4108" t="inlineStr">
        <is>
          <t>202210</t>
        </is>
      </c>
      <c r="E547" s="4108" t="inlineStr">
        <is>
          <t>0,000000000000</t>
        </is>
      </c>
    </row>
    <row outlineLevel="0" r="548">
      <c r="A548" s="4108" t="inlineStr">
        <is>
          <t>135792468202210180000</t>
        </is>
      </c>
      <c r="B548" s="4108" t="inlineStr">
        <is>
          <t>180000</t>
        </is>
      </c>
      <c r="C548" s="4108" t="inlineStr">
        <is>
          <t>135792468</t>
        </is>
      </c>
      <c r="D548" s="4108" t="inlineStr">
        <is>
          <t>202210</t>
        </is>
      </c>
      <c r="E548" s="4108" t="inlineStr">
        <is>
          <t>0,000000000000</t>
        </is>
      </c>
    </row>
    <row outlineLevel="0" r="549">
      <c r="A549" s="4108" t="inlineStr">
        <is>
          <t>135792468202210179801</t>
        </is>
      </c>
      <c r="B549" s="4108" t="inlineStr">
        <is>
          <t>179801</t>
        </is>
      </c>
      <c r="C549" s="4108" t="inlineStr">
        <is>
          <t>135792468</t>
        </is>
      </c>
      <c r="D549" s="4108" t="inlineStr">
        <is>
          <t>202210</t>
        </is>
      </c>
      <c r="E549" s="4108" t="inlineStr">
        <is>
          <t>0,000000000000</t>
        </is>
      </c>
    </row>
    <row outlineLevel="0" r="550">
      <c r="A550" s="4108" t="inlineStr">
        <is>
          <t>135792468202210179701</t>
        </is>
      </c>
      <c r="B550" s="4108" t="inlineStr">
        <is>
          <t>179701</t>
        </is>
      </c>
      <c r="C550" s="4108" t="inlineStr">
        <is>
          <t>135792468</t>
        </is>
      </c>
      <c r="D550" s="4108" t="inlineStr">
        <is>
          <t>202210</t>
        </is>
      </c>
      <c r="E550" s="4108" t="inlineStr">
        <is>
          <t>0,000000000000</t>
        </is>
      </c>
    </row>
    <row outlineLevel="0" r="551">
      <c r="A551" s="4108" t="inlineStr">
        <is>
          <t>135792468202210179700</t>
        </is>
      </c>
      <c r="B551" s="4108" t="inlineStr">
        <is>
          <t>179700</t>
        </is>
      </c>
      <c r="C551" s="4108" t="inlineStr">
        <is>
          <t>135792468</t>
        </is>
      </c>
      <c r="D551" s="4108" t="inlineStr">
        <is>
          <t>202210</t>
        </is>
      </c>
      <c r="E551" s="4108" t="inlineStr">
        <is>
          <t>0,000000000000</t>
        </is>
      </c>
    </row>
    <row outlineLevel="0" r="552">
      <c r="A552" s="4108" t="inlineStr">
        <is>
          <t>135792468202210179500</t>
        </is>
      </c>
      <c r="B552" s="4108" t="inlineStr">
        <is>
          <t>179500</t>
        </is>
      </c>
      <c r="C552" s="4108" t="inlineStr">
        <is>
          <t>135792468</t>
        </is>
      </c>
      <c r="D552" s="4108" t="inlineStr">
        <is>
          <t>202210</t>
        </is>
      </c>
      <c r="E552" s="4108" t="inlineStr">
        <is>
          <t>0,000000000000</t>
        </is>
      </c>
    </row>
    <row outlineLevel="0" r="553">
      <c r="A553" s="4108" t="inlineStr">
        <is>
          <t>135792468202210173001</t>
        </is>
      </c>
      <c r="B553" s="4108" t="inlineStr">
        <is>
          <t>173001</t>
        </is>
      </c>
      <c r="C553" s="4108" t="inlineStr">
        <is>
          <t>135792468</t>
        </is>
      </c>
      <c r="D553" s="4108" t="inlineStr">
        <is>
          <t>202210</t>
        </is>
      </c>
      <c r="E553" s="4108" t="inlineStr">
        <is>
          <t>0,000000000000</t>
        </is>
      </c>
    </row>
    <row outlineLevel="0" r="554">
      <c r="A554" s="4108" t="inlineStr">
        <is>
          <t>135792468202210173000</t>
        </is>
      </c>
      <c r="B554" s="4108" t="inlineStr">
        <is>
          <t>173000</t>
        </is>
      </c>
      <c r="C554" s="4108" t="inlineStr">
        <is>
          <t>135792468</t>
        </is>
      </c>
      <c r="D554" s="4108" t="inlineStr">
        <is>
          <t>202210</t>
        </is>
      </c>
      <c r="E554" s="4108" t="inlineStr">
        <is>
          <t>0,000000000000</t>
        </is>
      </c>
    </row>
    <row outlineLevel="0" r="555">
      <c r="A555" s="4108" t="inlineStr">
        <is>
          <t>135792468202210171000</t>
        </is>
      </c>
      <c r="B555" s="4108" t="inlineStr">
        <is>
          <t>171000</t>
        </is>
      </c>
      <c r="C555" s="4108" t="inlineStr">
        <is>
          <t>135792468</t>
        </is>
      </c>
      <c r="D555" s="4108" t="inlineStr">
        <is>
          <t>202210</t>
        </is>
      </c>
      <c r="E555" s="4108" t="inlineStr">
        <is>
          <t>0,000000000000</t>
        </is>
      </c>
    </row>
    <row outlineLevel="0" r="556">
      <c r="A556" s="4108" t="inlineStr">
        <is>
          <t>135792468202210170500</t>
        </is>
      </c>
      <c r="B556" s="4108" t="inlineStr">
        <is>
          <t>170500</t>
        </is>
      </c>
      <c r="C556" s="4108" t="inlineStr">
        <is>
          <t>135792468</t>
        </is>
      </c>
      <c r="D556" s="4108" t="inlineStr">
        <is>
          <t>202210</t>
        </is>
      </c>
      <c r="E556" s="4108" t="inlineStr">
        <is>
          <t>0,000000000000</t>
        </is>
      </c>
    </row>
    <row outlineLevel="0" r="557">
      <c r="A557" s="4108" t="inlineStr">
        <is>
          <t>135792468202210169901</t>
        </is>
      </c>
      <c r="B557" s="4108" t="inlineStr">
        <is>
          <t>169901</t>
        </is>
      </c>
      <c r="C557" s="4108" t="inlineStr">
        <is>
          <t>135792468</t>
        </is>
      </c>
      <c r="D557" s="4108" t="inlineStr">
        <is>
          <t>202210</t>
        </is>
      </c>
      <c r="E557" s="4108" t="inlineStr">
        <is>
          <t>0,000000000000</t>
        </is>
      </c>
    </row>
    <row outlineLevel="0" r="558">
      <c r="A558" s="4108" t="inlineStr">
        <is>
          <t>135792468202210169899</t>
        </is>
      </c>
      <c r="B558" s="4108" t="inlineStr">
        <is>
          <t>169899</t>
        </is>
      </c>
      <c r="C558" s="4108" t="inlineStr">
        <is>
          <t>135792468</t>
        </is>
      </c>
      <c r="D558" s="4108" t="inlineStr">
        <is>
          <t>202210</t>
        </is>
      </c>
      <c r="E558" s="4108" t="inlineStr">
        <is>
          <t>0,000000000000</t>
        </is>
      </c>
    </row>
    <row outlineLevel="0" r="559">
      <c r="A559" s="4108" t="inlineStr">
        <is>
          <t>135792468202210164001</t>
        </is>
      </c>
      <c r="B559" s="4108" t="inlineStr">
        <is>
          <t>164001</t>
        </is>
      </c>
      <c r="C559" s="4108" t="inlineStr">
        <is>
          <t>135792468</t>
        </is>
      </c>
      <c r="D559" s="4108" t="inlineStr">
        <is>
          <t>202210</t>
        </is>
      </c>
      <c r="E559" s="4108" t="inlineStr">
        <is>
          <t>0,000000000000</t>
        </is>
      </c>
    </row>
    <row outlineLevel="0" r="560">
      <c r="A560" s="4108" t="inlineStr">
        <is>
          <t>135792468202210163001</t>
        </is>
      </c>
      <c r="B560" s="4108" t="inlineStr">
        <is>
          <t>163001</t>
        </is>
      </c>
      <c r="C560" s="4108" t="inlineStr">
        <is>
          <t>135792468</t>
        </is>
      </c>
      <c r="D560" s="4108" t="inlineStr">
        <is>
          <t>202210</t>
        </is>
      </c>
      <c r="E560" s="4108" t="inlineStr">
        <is>
          <t>0,000000000000</t>
        </is>
      </c>
    </row>
    <row outlineLevel="0" r="561">
      <c r="A561" s="4108" t="inlineStr">
        <is>
          <t>135792468202210161001</t>
        </is>
      </c>
      <c r="B561" s="4108" t="inlineStr">
        <is>
          <t>161001</t>
        </is>
      </c>
      <c r="C561" s="4108" t="inlineStr">
        <is>
          <t>135792468</t>
        </is>
      </c>
      <c r="D561" s="4108" t="inlineStr">
        <is>
          <t>202210</t>
        </is>
      </c>
      <c r="E561" s="4108" t="inlineStr">
        <is>
          <t>0,000000000000</t>
        </is>
      </c>
    </row>
    <row outlineLevel="0" r="562">
      <c r="A562" s="4108" t="inlineStr">
        <is>
          <t>135792468202210160501</t>
        </is>
      </c>
      <c r="B562" s="4108" t="inlineStr">
        <is>
          <t>160501</t>
        </is>
      </c>
      <c r="C562" s="4108" t="inlineStr">
        <is>
          <t>135792468</t>
        </is>
      </c>
      <c r="D562" s="4108" t="inlineStr">
        <is>
          <t>202210</t>
        </is>
      </c>
      <c r="E562" s="4108" t="inlineStr">
        <is>
          <t>0,000000000000</t>
        </is>
      </c>
    </row>
    <row outlineLevel="0" r="563">
      <c r="A563" s="4108" t="inlineStr">
        <is>
          <t>135792468202210159901</t>
        </is>
      </c>
      <c r="B563" s="4108" t="inlineStr">
        <is>
          <t>159901</t>
        </is>
      </c>
      <c r="C563" s="4108" t="inlineStr">
        <is>
          <t>135792468</t>
        </is>
      </c>
      <c r="D563" s="4108" t="inlineStr">
        <is>
          <t>202210</t>
        </is>
      </c>
      <c r="E563" s="4108" t="inlineStr">
        <is>
          <t>0,000000000000</t>
        </is>
      </c>
    </row>
    <row outlineLevel="0" r="564">
      <c r="A564" s="4108" t="inlineStr">
        <is>
          <t>135792468202210159899</t>
        </is>
      </c>
      <c r="B564" s="4108" t="inlineStr">
        <is>
          <t>159899</t>
        </is>
      </c>
      <c r="C564" s="4108" t="inlineStr">
        <is>
          <t>135792468</t>
        </is>
      </c>
      <c r="D564" s="4108" t="inlineStr">
        <is>
          <t>202210</t>
        </is>
      </c>
      <c r="E564" s="4108" t="inlineStr">
        <is>
          <t>0,000000000000</t>
        </is>
      </c>
    </row>
    <row outlineLevel="0" r="565">
      <c r="A565" s="4108" t="inlineStr">
        <is>
          <t>135792468202210159701</t>
        </is>
      </c>
      <c r="B565" s="4108" t="inlineStr">
        <is>
          <t>159701</t>
        </is>
      </c>
      <c r="C565" s="4108" t="inlineStr">
        <is>
          <t>135792468</t>
        </is>
      </c>
      <c r="D565" s="4108" t="inlineStr">
        <is>
          <t>202210</t>
        </is>
      </c>
      <c r="E565" s="4108" t="inlineStr">
        <is>
          <t>0,000000000000</t>
        </is>
      </c>
    </row>
    <row outlineLevel="0" r="566">
      <c r="A566" s="4108" t="inlineStr">
        <is>
          <t>135792468202210158801</t>
        </is>
      </c>
      <c r="B566" s="4108" t="inlineStr">
        <is>
          <t>158801</t>
        </is>
      </c>
      <c r="C566" s="4108" t="inlineStr">
        <is>
          <t>135792468</t>
        </is>
      </c>
      <c r="D566" s="4108" t="inlineStr">
        <is>
          <t>202210</t>
        </is>
      </c>
      <c r="E566" s="4108" t="inlineStr">
        <is>
          <t>0,000000000000</t>
        </is>
      </c>
    </row>
    <row outlineLevel="0" r="567">
      <c r="A567" s="4108" t="inlineStr">
        <is>
          <t>135792468202210158401</t>
        </is>
      </c>
      <c r="B567" s="4108" t="inlineStr">
        <is>
          <t>158401</t>
        </is>
      </c>
      <c r="C567" s="4108" t="inlineStr">
        <is>
          <t>135792468</t>
        </is>
      </c>
      <c r="D567" s="4108" t="inlineStr">
        <is>
          <t>202210</t>
        </is>
      </c>
      <c r="E567" s="4108" t="inlineStr">
        <is>
          <t>0,000000000000</t>
        </is>
      </c>
    </row>
    <row outlineLevel="0" r="568">
      <c r="A568" s="4108" t="inlineStr">
        <is>
          <t>135792468202210157601</t>
        </is>
      </c>
      <c r="B568" s="4108" t="inlineStr">
        <is>
          <t>157601</t>
        </is>
      </c>
      <c r="C568" s="4108" t="inlineStr">
        <is>
          <t>135792468</t>
        </is>
      </c>
      <c r="D568" s="4108" t="inlineStr">
        <is>
          <t>202210</t>
        </is>
      </c>
      <c r="E568" s="4108" t="inlineStr">
        <is>
          <t>0,000000000000</t>
        </is>
      </c>
    </row>
    <row outlineLevel="0" r="569">
      <c r="A569" s="4108" t="inlineStr">
        <is>
          <t>135792468202210157201</t>
        </is>
      </c>
      <c r="B569" s="4108" t="inlineStr">
        <is>
          <t>157201</t>
        </is>
      </c>
      <c r="C569" s="4108" t="inlineStr">
        <is>
          <t>135792468</t>
        </is>
      </c>
      <c r="D569" s="4108" t="inlineStr">
        <is>
          <t>202210</t>
        </is>
      </c>
      <c r="E569" s="4108" t="inlineStr">
        <is>
          <t>0,000000000000</t>
        </is>
      </c>
    </row>
    <row outlineLevel="0" r="570">
      <c r="A570" s="4108" t="inlineStr">
        <is>
          <t>135792468202210156401</t>
        </is>
      </c>
      <c r="B570" s="4108" t="inlineStr">
        <is>
          <t>156401</t>
        </is>
      </c>
      <c r="C570" s="4108" t="inlineStr">
        <is>
          <t>135792468</t>
        </is>
      </c>
      <c r="D570" s="4108" t="inlineStr">
        <is>
          <t>202210</t>
        </is>
      </c>
      <c r="E570" s="4108" t="inlineStr">
        <is>
          <t>0,000000000000</t>
        </is>
      </c>
    </row>
    <row outlineLevel="0" r="571">
      <c r="A571" s="4108" t="inlineStr">
        <is>
          <t>135792468202210156001</t>
        </is>
      </c>
      <c r="B571" s="4108" t="inlineStr">
        <is>
          <t>156001</t>
        </is>
      </c>
      <c r="C571" s="4108" t="inlineStr">
        <is>
          <t>135792468</t>
        </is>
      </c>
      <c r="D571" s="4108" t="inlineStr">
        <is>
          <t>202210</t>
        </is>
      </c>
      <c r="E571" s="4108" t="inlineStr">
        <is>
          <t>0,000000000000</t>
        </is>
      </c>
    </row>
    <row outlineLevel="0" r="572">
      <c r="A572" s="4108" t="inlineStr">
        <is>
          <t>135792468202210155601</t>
        </is>
      </c>
      <c r="B572" s="4108" t="inlineStr">
        <is>
          <t>155601</t>
        </is>
      </c>
      <c r="C572" s="4108" t="inlineStr">
        <is>
          <t>135792468</t>
        </is>
      </c>
      <c r="D572" s="4108" t="inlineStr">
        <is>
          <t>202210</t>
        </is>
      </c>
      <c r="E572" s="4108" t="inlineStr">
        <is>
          <t>0,000000000000</t>
        </is>
      </c>
    </row>
    <row outlineLevel="0" r="573">
      <c r="A573" s="4108" t="inlineStr">
        <is>
          <t>135792468202210151201</t>
        </is>
      </c>
      <c r="B573" s="4108" t="inlineStr">
        <is>
          <t>151201</t>
        </is>
      </c>
      <c r="C573" s="4108" t="inlineStr">
        <is>
          <t>135792468</t>
        </is>
      </c>
      <c r="D573" s="4108" t="inlineStr">
        <is>
          <t>202210</t>
        </is>
      </c>
      <c r="E573" s="4108" t="inlineStr">
        <is>
          <t>0,000000000000</t>
        </is>
      </c>
    </row>
    <row outlineLevel="0" r="574">
      <c r="A574" s="4108" t="inlineStr">
        <is>
          <t>135792468202210149910</t>
        </is>
      </c>
      <c r="B574" s="4108" t="inlineStr">
        <is>
          <t>149910</t>
        </is>
      </c>
      <c r="C574" s="4108" t="inlineStr">
        <is>
          <t>135792468</t>
        </is>
      </c>
      <c r="D574" s="4108" t="inlineStr">
        <is>
          <t>202210</t>
        </is>
      </c>
      <c r="E574" s="4108" t="inlineStr">
        <is>
          <t>0,000000000000</t>
        </is>
      </c>
    </row>
    <row outlineLevel="0" r="575">
      <c r="A575" s="4108" t="inlineStr">
        <is>
          <t>135792468202210149902</t>
        </is>
      </c>
      <c r="B575" s="4108" t="inlineStr">
        <is>
          <t>149902</t>
        </is>
      </c>
      <c r="C575" s="4108" t="inlineStr">
        <is>
          <t>135792468</t>
        </is>
      </c>
      <c r="D575" s="4108" t="inlineStr">
        <is>
          <t>202210</t>
        </is>
      </c>
      <c r="E575" s="4108" t="inlineStr">
        <is>
          <t>0,000000000000</t>
        </is>
      </c>
    </row>
    <row outlineLevel="0" r="576">
      <c r="A576" s="4108" t="inlineStr">
        <is>
          <t>135792468202210149901</t>
        </is>
      </c>
      <c r="B576" s="4108" t="inlineStr">
        <is>
          <t>149901</t>
        </is>
      </c>
      <c r="C576" s="4108" t="inlineStr">
        <is>
          <t>135792468</t>
        </is>
      </c>
      <c r="D576" s="4108" t="inlineStr">
        <is>
          <t>202210</t>
        </is>
      </c>
      <c r="E576" s="4108" t="inlineStr">
        <is>
          <t>0,000000000000</t>
        </is>
      </c>
    </row>
    <row outlineLevel="0" r="577">
      <c r="A577" s="4108" t="inlineStr">
        <is>
          <t>135792468202210149900</t>
        </is>
      </c>
      <c r="B577" s="4108" t="inlineStr">
        <is>
          <t>149900</t>
        </is>
      </c>
      <c r="C577" s="4108" t="inlineStr">
        <is>
          <t>135792468</t>
        </is>
      </c>
      <c r="D577" s="4108" t="inlineStr">
        <is>
          <t>202210</t>
        </is>
      </c>
      <c r="E577" s="4108" t="inlineStr">
        <is>
          <t>0,000000000000</t>
        </is>
      </c>
    </row>
    <row outlineLevel="0" r="578">
      <c r="A578" s="4108" t="inlineStr">
        <is>
          <t>135792468202210149510</t>
        </is>
      </c>
      <c r="B578" s="4108" t="inlineStr">
        <is>
          <t>149510</t>
        </is>
      </c>
      <c r="C578" s="4108" t="inlineStr">
        <is>
          <t>135792468</t>
        </is>
      </c>
      <c r="D578" s="4108" t="inlineStr">
        <is>
          <t>202210</t>
        </is>
      </c>
      <c r="E578" s="4108" t="inlineStr">
        <is>
          <t>0,000000000000</t>
        </is>
      </c>
    </row>
    <row outlineLevel="0" r="579">
      <c r="A579" s="4108" t="inlineStr">
        <is>
          <t>135792468202210146000</t>
        </is>
      </c>
      <c r="B579" s="4108" t="inlineStr">
        <is>
          <t>146000</t>
        </is>
      </c>
      <c r="C579" s="4108" t="inlineStr">
        <is>
          <t>135792468</t>
        </is>
      </c>
      <c r="D579" s="4108" t="inlineStr">
        <is>
          <t>202210</t>
        </is>
      </c>
      <c r="E579" s="4108" t="inlineStr">
        <is>
          <t>0,000000000000</t>
        </is>
      </c>
    </row>
    <row outlineLevel="0" r="580">
      <c r="A580" s="4108" t="inlineStr">
        <is>
          <t>135792468202210145500</t>
        </is>
      </c>
      <c r="B580" s="4108" t="inlineStr">
        <is>
          <t>145500</t>
        </is>
      </c>
      <c r="C580" s="4108" t="inlineStr">
        <is>
          <t>135792468</t>
        </is>
      </c>
      <c r="D580" s="4108" t="inlineStr">
        <is>
          <t>202210</t>
        </is>
      </c>
      <c r="E580" s="4108" t="inlineStr">
        <is>
          <t>0,000000000000</t>
        </is>
      </c>
    </row>
    <row outlineLevel="0" r="581">
      <c r="A581" s="4108" t="inlineStr">
        <is>
          <t>135792468202210143500</t>
        </is>
      </c>
      <c r="B581" s="4108" t="inlineStr">
        <is>
          <t>143500</t>
        </is>
      </c>
      <c r="C581" s="4108" t="inlineStr">
        <is>
          <t>135792468</t>
        </is>
      </c>
      <c r="D581" s="4108" t="inlineStr">
        <is>
          <t>202210</t>
        </is>
      </c>
      <c r="E581" s="4108" t="inlineStr">
        <is>
          <t>0,000000000000</t>
        </is>
      </c>
    </row>
    <row outlineLevel="0" r="582">
      <c r="A582" s="4108" t="inlineStr">
        <is>
          <t>135792468202210142500</t>
        </is>
      </c>
      <c r="B582" s="4108" t="inlineStr">
        <is>
          <t>142500</t>
        </is>
      </c>
      <c r="C582" s="4108" t="inlineStr">
        <is>
          <t>135792468</t>
        </is>
      </c>
      <c r="D582" s="4108" t="inlineStr">
        <is>
          <t>202210</t>
        </is>
      </c>
      <c r="E582" s="4108" t="inlineStr">
        <is>
          <t>0,000000000000</t>
        </is>
      </c>
    </row>
    <row outlineLevel="0" r="583">
      <c r="A583" s="4108" t="inlineStr">
        <is>
          <t>135792468202210140010</t>
        </is>
      </c>
      <c r="B583" s="4108" t="inlineStr">
        <is>
          <t>140010</t>
        </is>
      </c>
      <c r="C583" s="4108" t="inlineStr">
        <is>
          <t>135792468</t>
        </is>
      </c>
      <c r="D583" s="4108" t="inlineStr">
        <is>
          <t>202210</t>
        </is>
      </c>
      <c r="E583" s="4108" t="inlineStr">
        <is>
          <t>0,000000000000</t>
        </is>
      </c>
    </row>
    <row outlineLevel="0" r="584">
      <c r="A584" s="4108" t="inlineStr">
        <is>
          <t>135792468202210140005</t>
        </is>
      </c>
      <c r="B584" s="4108" t="inlineStr">
        <is>
          <t>140005</t>
        </is>
      </c>
      <c r="C584" s="4108" t="inlineStr">
        <is>
          <t>135792468</t>
        </is>
      </c>
      <c r="D584" s="4108" t="inlineStr">
        <is>
          <t>202210</t>
        </is>
      </c>
      <c r="E584" s="4108" t="inlineStr">
        <is>
          <t>0,000000000000</t>
        </is>
      </c>
    </row>
    <row outlineLevel="0" r="585">
      <c r="A585" s="4108" t="inlineStr">
        <is>
          <t>135792468202210139905</t>
        </is>
      </c>
      <c r="B585" s="4108" t="inlineStr">
        <is>
          <t>139905</t>
        </is>
      </c>
      <c r="C585" s="4108" t="inlineStr">
        <is>
          <t>135792468</t>
        </is>
      </c>
      <c r="D585" s="4108" t="inlineStr">
        <is>
          <t>202210</t>
        </is>
      </c>
      <c r="E585" s="4108" t="inlineStr">
        <is>
          <t>0,000000000000</t>
        </is>
      </c>
    </row>
    <row outlineLevel="0" r="586">
      <c r="A586" s="4108" t="inlineStr">
        <is>
          <t>135792468202210139901</t>
        </is>
      </c>
      <c r="B586" s="4108" t="inlineStr">
        <is>
          <t>139901</t>
        </is>
      </c>
      <c r="C586" s="4108" t="inlineStr">
        <is>
          <t>135792468</t>
        </is>
      </c>
      <c r="D586" s="4108" t="inlineStr">
        <is>
          <t>202210</t>
        </is>
      </c>
      <c r="E586" s="4108" t="inlineStr">
        <is>
          <t>0,000000000000</t>
        </is>
      </c>
    </row>
    <row outlineLevel="0" r="587">
      <c r="A587" s="4108" t="inlineStr">
        <is>
          <t>135792468202210139500</t>
        </is>
      </c>
      <c r="B587" s="4108" t="inlineStr">
        <is>
          <t>139500</t>
        </is>
      </c>
      <c r="C587" s="4108" t="inlineStr">
        <is>
          <t>135792468</t>
        </is>
      </c>
      <c r="D587" s="4108" t="inlineStr">
        <is>
          <t>202210</t>
        </is>
      </c>
      <c r="E587" s="4108" t="inlineStr">
        <is>
          <t>0,000000000000</t>
        </is>
      </c>
    </row>
    <row outlineLevel="0" r="588">
      <c r="A588" s="4108" t="inlineStr">
        <is>
          <t>135792468202210139001</t>
        </is>
      </c>
      <c r="B588" s="4108" t="inlineStr">
        <is>
          <t>139001</t>
        </is>
      </c>
      <c r="C588" s="4108" t="inlineStr">
        <is>
          <t>135792468</t>
        </is>
      </c>
      <c r="D588" s="4108" t="inlineStr">
        <is>
          <t>202210</t>
        </is>
      </c>
      <c r="E588" s="4108" t="inlineStr">
        <is>
          <t>0,000000000000</t>
        </is>
      </c>
    </row>
    <row outlineLevel="0" r="589">
      <c r="A589" s="4108" t="inlineStr">
        <is>
          <t>135792468202210139000</t>
        </is>
      </c>
      <c r="B589" s="4108" t="inlineStr">
        <is>
          <t>139000</t>
        </is>
      </c>
      <c r="C589" s="4108" t="inlineStr">
        <is>
          <t>135792468</t>
        </is>
      </c>
      <c r="D589" s="4108" t="inlineStr">
        <is>
          <t>202210</t>
        </is>
      </c>
      <c r="E589" s="4108" t="inlineStr">
        <is>
          <t>0,000000000000</t>
        </is>
      </c>
    </row>
    <row outlineLevel="0" r="590">
      <c r="A590" s="4108" t="inlineStr">
        <is>
          <t>135792468202210138501</t>
        </is>
      </c>
      <c r="B590" s="4108" t="inlineStr">
        <is>
          <t>138501</t>
        </is>
      </c>
      <c r="C590" s="4108" t="inlineStr">
        <is>
          <t>135792468</t>
        </is>
      </c>
      <c r="D590" s="4108" t="inlineStr">
        <is>
          <t>202210</t>
        </is>
      </c>
      <c r="E590" s="4108" t="inlineStr">
        <is>
          <t>0,000000000000</t>
        </is>
      </c>
    </row>
    <row outlineLevel="0" r="591">
      <c r="A591" s="4108" t="inlineStr">
        <is>
          <t>135792468202210138001</t>
        </is>
      </c>
      <c r="B591" s="4108" t="inlineStr">
        <is>
          <t>138001</t>
        </is>
      </c>
      <c r="C591" s="4108" t="inlineStr">
        <is>
          <t>135792468</t>
        </is>
      </c>
      <c r="D591" s="4108" t="inlineStr">
        <is>
          <t>202210</t>
        </is>
      </c>
      <c r="E591" s="4108" t="inlineStr">
        <is>
          <t>0,000000000000</t>
        </is>
      </c>
    </row>
    <row outlineLevel="0" r="592">
      <c r="A592" s="4108" t="inlineStr">
        <is>
          <t>135792468202210137001</t>
        </is>
      </c>
      <c r="B592" s="4108" t="inlineStr">
        <is>
          <t>137001</t>
        </is>
      </c>
      <c r="C592" s="4108" t="inlineStr">
        <is>
          <t>135792468</t>
        </is>
      </c>
      <c r="D592" s="4108" t="inlineStr">
        <is>
          <t>202210</t>
        </is>
      </c>
      <c r="E592" s="4108" t="inlineStr">
        <is>
          <t>0,000000000000</t>
        </is>
      </c>
    </row>
    <row outlineLevel="0" r="593">
      <c r="A593" s="4108" t="inlineStr">
        <is>
          <t>135792468202210137000</t>
        </is>
      </c>
      <c r="B593" s="4108" t="inlineStr">
        <is>
          <t>137000</t>
        </is>
      </c>
      <c r="C593" s="4108" t="inlineStr">
        <is>
          <t>135792468</t>
        </is>
      </c>
      <c r="D593" s="4108" t="inlineStr">
        <is>
          <t>202210</t>
        </is>
      </c>
      <c r="E593" s="4108" t="inlineStr">
        <is>
          <t>0,000000000000</t>
        </is>
      </c>
    </row>
    <row outlineLevel="0" r="594">
      <c r="A594" s="4108" t="inlineStr">
        <is>
          <t>135792468202210136501</t>
        </is>
      </c>
      <c r="B594" s="4108" t="inlineStr">
        <is>
          <t>136501</t>
        </is>
      </c>
      <c r="C594" s="4108" t="inlineStr">
        <is>
          <t>135792468</t>
        </is>
      </c>
      <c r="D594" s="4108" t="inlineStr">
        <is>
          <t>202210</t>
        </is>
      </c>
      <c r="E594" s="4108" t="inlineStr">
        <is>
          <t>0,000000000000</t>
        </is>
      </c>
    </row>
    <row outlineLevel="0" r="595">
      <c r="A595" s="4108" t="inlineStr">
        <is>
          <t>135792468202210136500</t>
        </is>
      </c>
      <c r="B595" s="4108" t="inlineStr">
        <is>
          <t>136500</t>
        </is>
      </c>
      <c r="C595" s="4108" t="inlineStr">
        <is>
          <t>135792468</t>
        </is>
      </c>
      <c r="D595" s="4108" t="inlineStr">
        <is>
          <t>202210</t>
        </is>
      </c>
      <c r="E595" s="4108" t="inlineStr">
        <is>
          <t>0,000000000000</t>
        </is>
      </c>
    </row>
    <row outlineLevel="0" r="596">
      <c r="A596" s="4108" t="inlineStr">
        <is>
          <t>135792468202210136001</t>
        </is>
      </c>
      <c r="B596" s="4108" t="inlineStr">
        <is>
          <t>136001</t>
        </is>
      </c>
      <c r="C596" s="4108" t="inlineStr">
        <is>
          <t>135792468</t>
        </is>
      </c>
      <c r="D596" s="4108" t="inlineStr">
        <is>
          <t>202210</t>
        </is>
      </c>
      <c r="E596" s="4108" t="inlineStr">
        <is>
          <t>0,000000000000</t>
        </is>
      </c>
    </row>
    <row outlineLevel="0" r="597">
      <c r="A597" s="4108" t="inlineStr">
        <is>
          <t>135792468202210136000</t>
        </is>
      </c>
      <c r="B597" s="4108" t="inlineStr">
        <is>
          <t>136000</t>
        </is>
      </c>
      <c r="C597" s="4108" t="inlineStr">
        <is>
          <t>135792468</t>
        </is>
      </c>
      <c r="D597" s="4108" t="inlineStr">
        <is>
          <t>202210</t>
        </is>
      </c>
      <c r="E597" s="4108" t="inlineStr">
        <is>
          <t>0,000000000000</t>
        </is>
      </c>
    </row>
    <row outlineLevel="0" r="598">
      <c r="A598" s="4108" t="inlineStr">
        <is>
          <t>135792468202210135501</t>
        </is>
      </c>
      <c r="B598" s="4108" t="inlineStr">
        <is>
          <t>135501</t>
        </is>
      </c>
      <c r="C598" s="4108" t="inlineStr">
        <is>
          <t>135792468</t>
        </is>
      </c>
      <c r="D598" s="4108" t="inlineStr">
        <is>
          <t>202210</t>
        </is>
      </c>
      <c r="E598" s="4108" t="inlineStr">
        <is>
          <t>0,000000000000</t>
        </is>
      </c>
    </row>
    <row outlineLevel="0" r="599">
      <c r="A599" s="4108" t="inlineStr">
        <is>
          <t>135792468202210135500</t>
        </is>
      </c>
      <c r="B599" s="4108" t="inlineStr">
        <is>
          <t>135500</t>
        </is>
      </c>
      <c r="C599" s="4108" t="inlineStr">
        <is>
          <t>135792468</t>
        </is>
      </c>
      <c r="D599" s="4108" t="inlineStr">
        <is>
          <t>202210</t>
        </is>
      </c>
      <c r="E599" s="4108" t="inlineStr">
        <is>
          <t>0,000000000000</t>
        </is>
      </c>
    </row>
    <row outlineLevel="0" r="600">
      <c r="A600" s="4108" t="inlineStr">
        <is>
          <t>135792468202210135001</t>
        </is>
      </c>
      <c r="B600" s="4108" t="inlineStr">
        <is>
          <t>135001</t>
        </is>
      </c>
      <c r="C600" s="4108" t="inlineStr">
        <is>
          <t>135792468</t>
        </is>
      </c>
      <c r="D600" s="4108" t="inlineStr">
        <is>
          <t>202210</t>
        </is>
      </c>
      <c r="E600" s="4108" t="inlineStr">
        <is>
          <t>0,000000000000</t>
        </is>
      </c>
    </row>
    <row outlineLevel="0" r="601">
      <c r="A601" s="4108" t="inlineStr">
        <is>
          <t>135792468202210135000</t>
        </is>
      </c>
      <c r="B601" s="4108" t="inlineStr">
        <is>
          <t>135000</t>
        </is>
      </c>
      <c r="C601" s="4108" t="inlineStr">
        <is>
          <t>135792468</t>
        </is>
      </c>
      <c r="D601" s="4108" t="inlineStr">
        <is>
          <t>202210</t>
        </is>
      </c>
      <c r="E601" s="4108" t="inlineStr">
        <is>
          <t>0,000000000000</t>
        </is>
      </c>
    </row>
    <row outlineLevel="0" r="602">
      <c r="A602" s="4108" t="inlineStr">
        <is>
          <t>135792468202210134501</t>
        </is>
      </c>
      <c r="B602" s="4108" t="inlineStr">
        <is>
          <t>134501</t>
        </is>
      </c>
      <c r="C602" s="4108" t="inlineStr">
        <is>
          <t>135792468</t>
        </is>
      </c>
      <c r="D602" s="4108" t="inlineStr">
        <is>
          <t>202210</t>
        </is>
      </c>
      <c r="E602" s="4108" t="inlineStr">
        <is>
          <t>0,000000000000</t>
        </is>
      </c>
    </row>
    <row outlineLevel="0" r="603">
      <c r="A603" s="4108" t="inlineStr">
        <is>
          <t>135792468202210134500</t>
        </is>
      </c>
      <c r="B603" s="4108" t="inlineStr">
        <is>
          <t>134500</t>
        </is>
      </c>
      <c r="C603" s="4108" t="inlineStr">
        <is>
          <t>135792468</t>
        </is>
      </c>
      <c r="D603" s="4108" t="inlineStr">
        <is>
          <t>202210</t>
        </is>
      </c>
      <c r="E603" s="4108" t="inlineStr">
        <is>
          <t>0,000000000000</t>
        </is>
      </c>
    </row>
    <row outlineLevel="0" r="604">
      <c r="A604" s="4108" t="inlineStr">
        <is>
          <t>135792468202210134001</t>
        </is>
      </c>
      <c r="B604" s="4108" t="inlineStr">
        <is>
          <t>134001</t>
        </is>
      </c>
      <c r="C604" s="4108" t="inlineStr">
        <is>
          <t>135792468</t>
        </is>
      </c>
      <c r="D604" s="4108" t="inlineStr">
        <is>
          <t>202210</t>
        </is>
      </c>
      <c r="E604" s="4108" t="inlineStr">
        <is>
          <t>0,000000000000</t>
        </is>
      </c>
    </row>
    <row outlineLevel="0" r="605">
      <c r="A605" s="4108" t="inlineStr">
        <is>
          <t>135792468202210134000</t>
        </is>
      </c>
      <c r="B605" s="4108" t="inlineStr">
        <is>
          <t>134000</t>
        </is>
      </c>
      <c r="C605" s="4108" t="inlineStr">
        <is>
          <t>135792468</t>
        </is>
      </c>
      <c r="D605" s="4108" t="inlineStr">
        <is>
          <t>202210</t>
        </is>
      </c>
      <c r="E605" s="4108" t="inlineStr">
        <is>
          <t>0,000000000000</t>
        </is>
      </c>
    </row>
    <row outlineLevel="0" r="606">
      <c r="A606" s="4108" t="inlineStr">
        <is>
          <t>135792468202210133501</t>
        </is>
      </c>
      <c r="B606" s="4108" t="inlineStr">
        <is>
          <t>133501</t>
        </is>
      </c>
      <c r="C606" s="4108" t="inlineStr">
        <is>
          <t>135792468</t>
        </is>
      </c>
      <c r="D606" s="4108" t="inlineStr">
        <is>
          <t>202210</t>
        </is>
      </c>
      <c r="E606" s="4108" t="inlineStr">
        <is>
          <t>0,000000000000</t>
        </is>
      </c>
    </row>
    <row outlineLevel="0" r="607">
      <c r="A607" s="4108" t="inlineStr">
        <is>
          <t>135792468202210133500</t>
        </is>
      </c>
      <c r="B607" s="4108" t="inlineStr">
        <is>
          <t>133500</t>
        </is>
      </c>
      <c r="C607" s="4108" t="inlineStr">
        <is>
          <t>135792468</t>
        </is>
      </c>
      <c r="D607" s="4108" t="inlineStr">
        <is>
          <t>202210</t>
        </is>
      </c>
      <c r="E607" s="4108" t="inlineStr">
        <is>
          <t>43,000000000000</t>
        </is>
      </c>
    </row>
    <row outlineLevel="0" r="608">
      <c r="A608" s="4108" t="inlineStr">
        <is>
          <t>135792468202210133001</t>
        </is>
      </c>
      <c r="B608" s="4108" t="inlineStr">
        <is>
          <t>133001</t>
        </is>
      </c>
      <c r="C608" s="4108" t="inlineStr">
        <is>
          <t>135792468</t>
        </is>
      </c>
      <c r="D608" s="4108" t="inlineStr">
        <is>
          <t>202210</t>
        </is>
      </c>
      <c r="E608" s="4108" t="inlineStr">
        <is>
          <t>0,000000000000</t>
        </is>
      </c>
    </row>
    <row outlineLevel="0" r="609">
      <c r="A609" s="4108" t="inlineStr">
        <is>
          <t>135792468202210133000</t>
        </is>
      </c>
      <c r="B609" s="4108" t="inlineStr">
        <is>
          <t>133000</t>
        </is>
      </c>
      <c r="C609" s="4108" t="inlineStr">
        <is>
          <t>135792468</t>
        </is>
      </c>
      <c r="D609" s="4108" t="inlineStr">
        <is>
          <t>202210</t>
        </is>
      </c>
      <c r="E609" s="4108" t="inlineStr">
        <is>
          <t>0,000000000000</t>
        </is>
      </c>
    </row>
    <row outlineLevel="0" r="610">
      <c r="A610" s="4108" t="inlineStr">
        <is>
          <t>135792468202210132501</t>
        </is>
      </c>
      <c r="B610" s="4108" t="inlineStr">
        <is>
          <t>132501</t>
        </is>
      </c>
      <c r="C610" s="4108" t="inlineStr">
        <is>
          <t>135792468</t>
        </is>
      </c>
      <c r="D610" s="4108" t="inlineStr">
        <is>
          <t>202210</t>
        </is>
      </c>
      <c r="E610" s="4108" t="inlineStr">
        <is>
          <t>0,000000000000</t>
        </is>
      </c>
    </row>
    <row outlineLevel="0" r="611">
      <c r="A611" s="4108" t="inlineStr">
        <is>
          <t>135792468202210132500</t>
        </is>
      </c>
      <c r="B611" s="4108" t="inlineStr">
        <is>
          <t>132500</t>
        </is>
      </c>
      <c r="C611" s="4108" t="inlineStr">
        <is>
          <t>135792468</t>
        </is>
      </c>
      <c r="D611" s="4108" t="inlineStr">
        <is>
          <t>202210</t>
        </is>
      </c>
      <c r="E611" s="4108" t="inlineStr">
        <is>
          <t>0,000000000000</t>
        </is>
      </c>
    </row>
    <row outlineLevel="0" r="612">
      <c r="A612" s="4108" t="inlineStr">
        <is>
          <t>135792468202210132001</t>
        </is>
      </c>
      <c r="B612" s="4108" t="inlineStr">
        <is>
          <t>132001</t>
        </is>
      </c>
      <c r="C612" s="4108" t="inlineStr">
        <is>
          <t>135792468</t>
        </is>
      </c>
      <c r="D612" s="4108" t="inlineStr">
        <is>
          <t>202210</t>
        </is>
      </c>
      <c r="E612" s="4108" t="inlineStr">
        <is>
          <t>0,000000000000</t>
        </is>
      </c>
    </row>
    <row outlineLevel="0" r="613">
      <c r="A613" s="4108" t="inlineStr">
        <is>
          <t>135792468202210132000</t>
        </is>
      </c>
      <c r="B613" s="4108" t="inlineStr">
        <is>
          <t>132000</t>
        </is>
      </c>
      <c r="C613" s="4108" t="inlineStr">
        <is>
          <t>135792468</t>
        </is>
      </c>
      <c r="D613" s="4108" t="inlineStr">
        <is>
          <t>202210</t>
        </is>
      </c>
      <c r="E613" s="4108" t="inlineStr">
        <is>
          <t>0,000000000000</t>
        </is>
      </c>
    </row>
    <row outlineLevel="0" r="614">
      <c r="A614" s="4108" t="inlineStr">
        <is>
          <t>135792468202210131501</t>
        </is>
      </c>
      <c r="B614" s="4108" t="inlineStr">
        <is>
          <t>131501</t>
        </is>
      </c>
      <c r="C614" s="4108" t="inlineStr">
        <is>
          <t>135792468</t>
        </is>
      </c>
      <c r="D614" s="4108" t="inlineStr">
        <is>
          <t>202210</t>
        </is>
      </c>
      <c r="E614" s="4108" t="inlineStr">
        <is>
          <t>0,000000000000</t>
        </is>
      </c>
    </row>
    <row outlineLevel="0" r="615">
      <c r="A615" s="4108" t="inlineStr">
        <is>
          <t>135792468202210131001</t>
        </is>
      </c>
      <c r="B615" s="4108" t="inlineStr">
        <is>
          <t>131001</t>
        </is>
      </c>
      <c r="C615" s="4108" t="inlineStr">
        <is>
          <t>135792468</t>
        </is>
      </c>
      <c r="D615" s="4108" t="inlineStr">
        <is>
          <t>202210</t>
        </is>
      </c>
      <c r="E615" s="4108" t="inlineStr">
        <is>
          <t>0,000000000000</t>
        </is>
      </c>
    </row>
    <row outlineLevel="0" r="616">
      <c r="A616" s="4108" t="inlineStr">
        <is>
          <t>135792468202210131000</t>
        </is>
      </c>
      <c r="B616" s="4108" t="inlineStr">
        <is>
          <t>131000</t>
        </is>
      </c>
      <c r="C616" s="4108" t="inlineStr">
        <is>
          <t>135792468</t>
        </is>
      </c>
      <c r="D616" s="4108" t="inlineStr">
        <is>
          <t>202210</t>
        </is>
      </c>
      <c r="E616" s="4108" t="inlineStr">
        <is>
          <t>0,000000000000</t>
        </is>
      </c>
    </row>
    <row outlineLevel="0" r="617">
      <c r="A617" s="4108" t="inlineStr">
        <is>
          <t>135792468202210130511</t>
        </is>
      </c>
      <c r="B617" s="4108" t="inlineStr">
        <is>
          <t>130511</t>
        </is>
      </c>
      <c r="C617" s="4108" t="inlineStr">
        <is>
          <t>135792468</t>
        </is>
      </c>
      <c r="D617" s="4108" t="inlineStr">
        <is>
          <t>202210</t>
        </is>
      </c>
      <c r="E617" s="4108" t="inlineStr">
        <is>
          <t>0,000000000000</t>
        </is>
      </c>
    </row>
    <row outlineLevel="0" r="618">
      <c r="A618" s="4108" t="inlineStr">
        <is>
          <t>135792468202210130510</t>
        </is>
      </c>
      <c r="B618" s="4108" t="inlineStr">
        <is>
          <t>130510</t>
        </is>
      </c>
      <c r="C618" s="4108" t="inlineStr">
        <is>
          <t>135792468</t>
        </is>
      </c>
      <c r="D618" s="4108" t="inlineStr">
        <is>
          <t>202210</t>
        </is>
      </c>
      <c r="E618" s="4108" t="inlineStr">
        <is>
          <t>0,000000000000</t>
        </is>
      </c>
    </row>
    <row outlineLevel="0" r="619">
      <c r="A619" s="4108" t="inlineStr">
        <is>
          <t>135792468202210130506</t>
        </is>
      </c>
      <c r="B619" s="4108" t="inlineStr">
        <is>
          <t>130506</t>
        </is>
      </c>
      <c r="C619" s="4108" t="inlineStr">
        <is>
          <t>135792468</t>
        </is>
      </c>
      <c r="D619" s="4108" t="inlineStr">
        <is>
          <t>202210</t>
        </is>
      </c>
      <c r="E619" s="4108" t="inlineStr">
        <is>
          <t>0,000000000000</t>
        </is>
      </c>
    </row>
    <row outlineLevel="0" r="620">
      <c r="A620" s="4108" t="inlineStr">
        <is>
          <t>135792468202210129901</t>
        </is>
      </c>
      <c r="B620" s="4108" t="inlineStr">
        <is>
          <t>129901</t>
        </is>
      </c>
      <c r="C620" s="4108" t="inlineStr">
        <is>
          <t>135792468</t>
        </is>
      </c>
      <c r="D620" s="4108" t="inlineStr">
        <is>
          <t>202210</t>
        </is>
      </c>
      <c r="E620" s="4108" t="inlineStr">
        <is>
          <t>0,000000000000</t>
        </is>
      </c>
    </row>
    <row outlineLevel="0" r="621">
      <c r="A621" s="4108" t="inlineStr">
        <is>
          <t>135792468202210129701</t>
        </is>
      </c>
      <c r="B621" s="4108" t="inlineStr">
        <is>
          <t>129701</t>
        </is>
      </c>
      <c r="C621" s="4108" t="inlineStr">
        <is>
          <t>135792468</t>
        </is>
      </c>
      <c r="D621" s="4108" t="inlineStr">
        <is>
          <t>202210</t>
        </is>
      </c>
      <c r="E621" s="4108" t="inlineStr">
        <is>
          <t>0,000000000000</t>
        </is>
      </c>
    </row>
    <row outlineLevel="0" r="622">
      <c r="A622" s="4108" t="inlineStr">
        <is>
          <t>135792468202210129700</t>
        </is>
      </c>
      <c r="B622" s="4108" t="inlineStr">
        <is>
          <t>129700</t>
        </is>
      </c>
      <c r="C622" s="4108" t="inlineStr">
        <is>
          <t>135792468</t>
        </is>
      </c>
      <c r="D622" s="4108" t="inlineStr">
        <is>
          <t>202210</t>
        </is>
      </c>
      <c r="E622" s="4108" t="inlineStr">
        <is>
          <t>0,000000000000</t>
        </is>
      </c>
    </row>
    <row outlineLevel="0" r="623">
      <c r="A623" s="4108" t="inlineStr">
        <is>
          <t>135792468202210129501</t>
        </is>
      </c>
      <c r="B623" s="4108" t="inlineStr">
        <is>
          <t>129501</t>
        </is>
      </c>
      <c r="C623" s="4108" t="inlineStr">
        <is>
          <t>135792468</t>
        </is>
      </c>
      <c r="D623" s="4108" t="inlineStr">
        <is>
          <t>202210</t>
        </is>
      </c>
      <c r="E623" s="4108" t="inlineStr">
        <is>
          <t>0,000000000000</t>
        </is>
      </c>
    </row>
    <row outlineLevel="0" r="624">
      <c r="A624" s="4108" t="inlineStr">
        <is>
          <t>135792468202210126001</t>
        </is>
      </c>
      <c r="B624" s="4108" t="inlineStr">
        <is>
          <t>126001</t>
        </is>
      </c>
      <c r="C624" s="4108" t="inlineStr">
        <is>
          <t>135792468</t>
        </is>
      </c>
      <c r="D624" s="4108" t="inlineStr">
        <is>
          <t>202210</t>
        </is>
      </c>
      <c r="E624" s="4108" t="inlineStr">
        <is>
          <t>0,000000000000</t>
        </is>
      </c>
    </row>
    <row outlineLevel="0" r="625">
      <c r="A625" s="4108" t="inlineStr">
        <is>
          <t>135792468202210125501</t>
        </is>
      </c>
      <c r="B625" s="4108" t="inlineStr">
        <is>
          <t>125501</t>
        </is>
      </c>
      <c r="C625" s="4108" t="inlineStr">
        <is>
          <t>135792468</t>
        </is>
      </c>
      <c r="D625" s="4108" t="inlineStr">
        <is>
          <t>202210</t>
        </is>
      </c>
      <c r="E625" s="4108" t="inlineStr">
        <is>
          <t>0,000000000000</t>
        </is>
      </c>
    </row>
    <row outlineLevel="0" r="626">
      <c r="A626" s="4108" t="inlineStr">
        <is>
          <t>135792468202210123501</t>
        </is>
      </c>
      <c r="B626" s="4108" t="inlineStr">
        <is>
          <t>123501</t>
        </is>
      </c>
      <c r="C626" s="4108" t="inlineStr">
        <is>
          <t>135792468</t>
        </is>
      </c>
      <c r="D626" s="4108" t="inlineStr">
        <is>
          <t>202210</t>
        </is>
      </c>
      <c r="E626" s="4108" t="inlineStr">
        <is>
          <t>0,000000000000</t>
        </is>
      </c>
    </row>
    <row outlineLevel="0" r="627">
      <c r="A627" s="4108" t="inlineStr">
        <is>
          <t>135792468202210121501</t>
        </is>
      </c>
      <c r="B627" s="4108" t="inlineStr">
        <is>
          <t>121501</t>
        </is>
      </c>
      <c r="C627" s="4108" t="inlineStr">
        <is>
          <t>135792468</t>
        </is>
      </c>
      <c r="D627" s="4108" t="inlineStr">
        <is>
          <t>202210</t>
        </is>
      </c>
      <c r="E627" s="4108" t="inlineStr">
        <is>
          <t>0,000000000000</t>
        </is>
      </c>
    </row>
    <row outlineLevel="0" r="628">
      <c r="A628" s="4108" t="inlineStr">
        <is>
          <t>135792468202210121001</t>
        </is>
      </c>
      <c r="B628" s="4108" t="inlineStr">
        <is>
          <t>121001</t>
        </is>
      </c>
      <c r="C628" s="4108" t="inlineStr">
        <is>
          <t>135792468</t>
        </is>
      </c>
      <c r="D628" s="4108" t="inlineStr">
        <is>
          <t>202210</t>
        </is>
      </c>
      <c r="E628" s="4108" t="inlineStr">
        <is>
          <t>0,000000000000</t>
        </is>
      </c>
    </row>
    <row outlineLevel="0" r="629">
      <c r="A629" s="4108" t="inlineStr">
        <is>
          <t>135792468202210120620</t>
        </is>
      </c>
      <c r="B629" s="4108" t="inlineStr">
        <is>
          <t>120620</t>
        </is>
      </c>
      <c r="C629" s="4108" t="inlineStr">
        <is>
          <t>135792468</t>
        </is>
      </c>
      <c r="D629" s="4108" t="inlineStr">
        <is>
          <t>202210</t>
        </is>
      </c>
      <c r="E629" s="4108" t="inlineStr">
        <is>
          <t>0,000000000000</t>
        </is>
      </c>
    </row>
    <row outlineLevel="0" r="630">
      <c r="A630" s="4108" t="inlineStr">
        <is>
          <t>135792468202210120615</t>
        </is>
      </c>
      <c r="B630" s="4108" t="inlineStr">
        <is>
          <t>120615</t>
        </is>
      </c>
      <c r="C630" s="4108" t="inlineStr">
        <is>
          <t>135792468</t>
        </is>
      </c>
      <c r="D630" s="4108" t="inlineStr">
        <is>
          <t>202210</t>
        </is>
      </c>
      <c r="E630" s="4108" t="inlineStr">
        <is>
          <t>0,000000000000</t>
        </is>
      </c>
    </row>
    <row outlineLevel="0" r="631">
      <c r="A631" s="4108" t="inlineStr">
        <is>
          <t>135792468202210120610</t>
        </is>
      </c>
      <c r="B631" s="4108" t="inlineStr">
        <is>
          <t>120610</t>
        </is>
      </c>
      <c r="C631" s="4108" t="inlineStr">
        <is>
          <t>135792468</t>
        </is>
      </c>
      <c r="D631" s="4108" t="inlineStr">
        <is>
          <t>202210</t>
        </is>
      </c>
      <c r="E631" s="4108" t="inlineStr">
        <is>
          <t>0,000000000000</t>
        </is>
      </c>
    </row>
    <row outlineLevel="0" r="632">
      <c r="A632" s="4108" t="inlineStr">
        <is>
          <t>135792468202210120501</t>
        </is>
      </c>
      <c r="B632" s="4108" t="inlineStr">
        <is>
          <t>120501</t>
        </is>
      </c>
      <c r="C632" s="4108" t="inlineStr">
        <is>
          <t>135792468</t>
        </is>
      </c>
      <c r="D632" s="4108" t="inlineStr">
        <is>
          <t>202210</t>
        </is>
      </c>
      <c r="E632" s="4108" t="inlineStr">
        <is>
          <t>0,000000000000</t>
        </is>
      </c>
    </row>
    <row outlineLevel="0" r="633">
      <c r="A633" s="4108" t="inlineStr">
        <is>
          <t>135792468202210120195</t>
        </is>
      </c>
      <c r="B633" s="4108" t="inlineStr">
        <is>
          <t>120195</t>
        </is>
      </c>
      <c r="C633" s="4108" t="inlineStr">
        <is>
          <t>135792468</t>
        </is>
      </c>
      <c r="D633" s="4108" t="inlineStr">
        <is>
          <t>202210</t>
        </is>
      </c>
      <c r="E633" s="4108" t="inlineStr">
        <is>
          <t>-5577,000000000000</t>
        </is>
      </c>
    </row>
    <row outlineLevel="0" r="634">
      <c r="A634" s="4108" t="inlineStr">
        <is>
          <t>135792468202210120145</t>
        </is>
      </c>
      <c r="B634" s="4108" t="inlineStr">
        <is>
          <t>120145</t>
        </is>
      </c>
      <c r="C634" s="4108" t="inlineStr">
        <is>
          <t>135792468</t>
        </is>
      </c>
      <c r="D634" s="4108" t="inlineStr">
        <is>
          <t>202210</t>
        </is>
      </c>
      <c r="E634" s="4108" t="inlineStr">
        <is>
          <t>0,000000000000</t>
        </is>
      </c>
    </row>
    <row outlineLevel="0" r="635">
      <c r="A635" s="4108" t="inlineStr">
        <is>
          <t>135792468202210120140</t>
        </is>
      </c>
      <c r="B635" s="4108" t="inlineStr">
        <is>
          <t>120140</t>
        </is>
      </c>
      <c r="C635" s="4108" t="inlineStr">
        <is>
          <t>135792468</t>
        </is>
      </c>
      <c r="D635" s="4108" t="inlineStr">
        <is>
          <t>202210</t>
        </is>
      </c>
      <c r="E635" s="4108" t="inlineStr">
        <is>
          <t>327,000000000000</t>
        </is>
      </c>
    </row>
    <row outlineLevel="0" r="636">
      <c r="A636" s="4108" t="inlineStr">
        <is>
          <t>135792468202210120128</t>
        </is>
      </c>
      <c r="B636" s="4108" t="inlineStr">
        <is>
          <t>120128</t>
        </is>
      </c>
      <c r="C636" s="4108" t="inlineStr">
        <is>
          <t>135792468</t>
        </is>
      </c>
      <c r="D636" s="4108" t="inlineStr">
        <is>
          <t>202210</t>
        </is>
      </c>
      <c r="E636" s="4108" t="inlineStr">
        <is>
          <t>0,000000000000</t>
        </is>
      </c>
    </row>
    <row outlineLevel="0" r="637">
      <c r="A637" s="4108" t="inlineStr">
        <is>
          <t>135792468202210120124</t>
        </is>
      </c>
      <c r="B637" s="4108" t="inlineStr">
        <is>
          <t>120124</t>
        </is>
      </c>
      <c r="C637" s="4108" t="inlineStr">
        <is>
          <t>135792468</t>
        </is>
      </c>
      <c r="D637" s="4108" t="inlineStr">
        <is>
          <t>202210</t>
        </is>
      </c>
      <c r="E637" s="4108" t="inlineStr">
        <is>
          <t>431,000000000000</t>
        </is>
      </c>
    </row>
    <row outlineLevel="0" r="638">
      <c r="A638" s="4108" t="inlineStr">
        <is>
          <t>135792468202210120120</t>
        </is>
      </c>
      <c r="B638" s="4108" t="inlineStr">
        <is>
          <t>120120</t>
        </is>
      </c>
      <c r="C638" s="4108" t="inlineStr">
        <is>
          <t>135792468</t>
        </is>
      </c>
      <c r="D638" s="4108" t="inlineStr">
        <is>
          <t>202210</t>
        </is>
      </c>
      <c r="E638" s="4108" t="inlineStr">
        <is>
          <t>0,000000000000</t>
        </is>
      </c>
    </row>
    <row outlineLevel="0" r="639">
      <c r="A639" s="4108" t="inlineStr">
        <is>
          <t>135792468202210120116</t>
        </is>
      </c>
      <c r="B639" s="4108" t="inlineStr">
        <is>
          <t>120116</t>
        </is>
      </c>
      <c r="C639" s="4108" t="inlineStr">
        <is>
          <t>135792468</t>
        </is>
      </c>
      <c r="D639" s="4108" t="inlineStr">
        <is>
          <t>202210</t>
        </is>
      </c>
      <c r="E639" s="4108" t="inlineStr">
        <is>
          <t>7085,000000000000</t>
        </is>
      </c>
    </row>
    <row outlineLevel="0" r="640">
      <c r="A640" s="4108" t="inlineStr">
        <is>
          <t>135792468202210120108</t>
        </is>
      </c>
      <c r="B640" s="4108" t="inlineStr">
        <is>
          <t>120108</t>
        </is>
      </c>
      <c r="C640" s="4108" t="inlineStr">
        <is>
          <t>135792468</t>
        </is>
      </c>
      <c r="D640" s="4108" t="inlineStr">
        <is>
          <t>202210</t>
        </is>
      </c>
      <c r="E640" s="4108" t="inlineStr">
        <is>
          <t>1909,000000000000</t>
        </is>
      </c>
    </row>
    <row outlineLevel="0" r="641">
      <c r="A641" s="4108" t="inlineStr">
        <is>
          <t>135792468202210120104</t>
        </is>
      </c>
      <c r="B641" s="4108" t="inlineStr">
        <is>
          <t>120104</t>
        </is>
      </c>
      <c r="C641" s="4108" t="inlineStr">
        <is>
          <t>135792468</t>
        </is>
      </c>
      <c r="D641" s="4108" t="inlineStr">
        <is>
          <t>202210</t>
        </is>
      </c>
      <c r="E641" s="4108" t="inlineStr">
        <is>
          <t>10123,000000000000</t>
        </is>
      </c>
    </row>
    <row outlineLevel="0" r="642">
      <c r="A642" s="4108" t="inlineStr">
        <is>
          <t>135792468202210111010</t>
        </is>
      </c>
      <c r="B642" s="4108" t="inlineStr">
        <is>
          <t>111010</t>
        </is>
      </c>
      <c r="C642" s="4108" t="inlineStr">
        <is>
          <t>135792468</t>
        </is>
      </c>
      <c r="D642" s="4108" t="inlineStr">
        <is>
          <t>202210</t>
        </is>
      </c>
      <c r="E642" s="4108" t="inlineStr">
        <is>
          <t>0,000000000000</t>
        </is>
      </c>
    </row>
    <row outlineLevel="0" r="643">
      <c r="A643" s="4108" t="inlineStr">
        <is>
          <t>135792468202210110495</t>
        </is>
      </c>
      <c r="B643" s="4108" t="inlineStr">
        <is>
          <t>110495</t>
        </is>
      </c>
      <c r="C643" s="4108" t="inlineStr">
        <is>
          <t>135792468</t>
        </is>
      </c>
      <c r="D643" s="4108" t="inlineStr">
        <is>
          <t>202210</t>
        </is>
      </c>
      <c r="E643" s="4108" t="inlineStr">
        <is>
          <t>0,000000000000</t>
        </is>
      </c>
    </row>
    <row outlineLevel="0" r="644">
      <c r="A644" s="4108" t="inlineStr">
        <is>
          <t>135792468202210110491</t>
        </is>
      </c>
      <c r="B644" s="4108" t="inlineStr">
        <is>
          <t>110491</t>
        </is>
      </c>
      <c r="C644" s="4108" t="inlineStr">
        <is>
          <t>135792468</t>
        </is>
      </c>
      <c r="D644" s="4108" t="inlineStr">
        <is>
          <t>202210</t>
        </is>
      </c>
      <c r="E644" s="4108" t="inlineStr">
        <is>
          <t>0,000000000000</t>
        </is>
      </c>
    </row>
    <row outlineLevel="0" r="645">
      <c r="A645" s="4108" t="inlineStr">
        <is>
          <t>135792468202210110490</t>
        </is>
      </c>
      <c r="B645" s="4108" t="inlineStr">
        <is>
          <t>110490</t>
        </is>
      </c>
      <c r="C645" s="4108" t="inlineStr">
        <is>
          <t>135792468</t>
        </is>
      </c>
      <c r="D645" s="4108" t="inlineStr">
        <is>
          <t>202210</t>
        </is>
      </c>
      <c r="E645" s="4108" t="inlineStr">
        <is>
          <t>0,000000000000</t>
        </is>
      </c>
    </row>
    <row outlineLevel="0" r="646">
      <c r="A646" s="4108" t="inlineStr">
        <is>
          <t>135792468202210110420</t>
        </is>
      </c>
      <c r="B646" s="4108" t="inlineStr">
        <is>
          <t>110420</t>
        </is>
      </c>
      <c r="C646" s="4108" t="inlineStr">
        <is>
          <t>135792468</t>
        </is>
      </c>
      <c r="D646" s="4108" t="inlineStr">
        <is>
          <t>202210</t>
        </is>
      </c>
      <c r="E646" s="4108" t="inlineStr">
        <is>
          <t>0,000000000000</t>
        </is>
      </c>
    </row>
    <row outlineLevel="0" r="647">
      <c r="A647" s="4108" t="inlineStr">
        <is>
          <t>135792468202210110415</t>
        </is>
      </c>
      <c r="B647" s="4108" t="inlineStr">
        <is>
          <t>110415</t>
        </is>
      </c>
      <c r="C647" s="4108" t="inlineStr">
        <is>
          <t>135792468</t>
        </is>
      </c>
      <c r="D647" s="4108" t="inlineStr">
        <is>
          <t>202210</t>
        </is>
      </c>
      <c r="E647" s="4108" t="inlineStr">
        <is>
          <t>0,000000000000</t>
        </is>
      </c>
    </row>
    <row outlineLevel="0" r="648">
      <c r="A648" s="4108" t="inlineStr">
        <is>
          <t>135792468202210110410</t>
        </is>
      </c>
      <c r="B648" s="4108" t="inlineStr">
        <is>
          <t>110410</t>
        </is>
      </c>
      <c r="C648" s="4108" t="inlineStr">
        <is>
          <t>135792468</t>
        </is>
      </c>
      <c r="D648" s="4108" t="inlineStr">
        <is>
          <t>202210</t>
        </is>
      </c>
      <c r="E648" s="4108" t="inlineStr">
        <is>
          <t>0,000000000000</t>
        </is>
      </c>
    </row>
    <row outlineLevel="0" r="649">
      <c r="A649" s="4108" t="inlineStr">
        <is>
          <t>135792468202210110405</t>
        </is>
      </c>
      <c r="B649" s="4108" t="inlineStr">
        <is>
          <t>110405</t>
        </is>
      </c>
      <c r="C649" s="4108" t="inlineStr">
        <is>
          <t>135792468</t>
        </is>
      </c>
      <c r="D649" s="4108" t="inlineStr">
        <is>
          <t>202210</t>
        </is>
      </c>
      <c r="E649" s="4108" t="inlineStr">
        <is>
          <t>0,000000000000</t>
        </is>
      </c>
    </row>
    <row outlineLevel="0" r="650">
      <c r="A650" s="4108" t="inlineStr">
        <is>
          <t>135792468202210110395</t>
        </is>
      </c>
      <c r="B650" s="4108" t="inlineStr">
        <is>
          <t>110395</t>
        </is>
      </c>
      <c r="C650" s="4108" t="inlineStr">
        <is>
          <t>135792468</t>
        </is>
      </c>
      <c r="D650" s="4108" t="inlineStr">
        <is>
          <t>202210</t>
        </is>
      </c>
      <c r="E650" s="4108" t="inlineStr">
        <is>
          <t>0,000000000000</t>
        </is>
      </c>
    </row>
    <row outlineLevel="0" r="651">
      <c r="A651" s="4108" t="inlineStr">
        <is>
          <t>135792468202210110390</t>
        </is>
      </c>
      <c r="B651" s="4108" t="inlineStr">
        <is>
          <t>110390</t>
        </is>
      </c>
      <c r="C651" s="4108" t="inlineStr">
        <is>
          <t>135792468</t>
        </is>
      </c>
      <c r="D651" s="4108" t="inlineStr">
        <is>
          <t>202210</t>
        </is>
      </c>
      <c r="E651" s="4108" t="inlineStr">
        <is>
          <t>0,000000000000</t>
        </is>
      </c>
    </row>
    <row outlineLevel="0" r="652">
      <c r="A652" s="4108" t="inlineStr">
        <is>
          <t>135792468202210110305</t>
        </is>
      </c>
      <c r="B652" s="4108" t="inlineStr">
        <is>
          <t>110305</t>
        </is>
      </c>
      <c r="C652" s="4108" t="inlineStr">
        <is>
          <t>135792468</t>
        </is>
      </c>
      <c r="D652" s="4108" t="inlineStr">
        <is>
          <t>202210</t>
        </is>
      </c>
      <c r="E652" s="4108" t="inlineStr">
        <is>
          <t>161,000000000000</t>
        </is>
      </c>
    </row>
    <row outlineLevel="0" r="653">
      <c r="A653" s="4108" t="inlineStr">
        <is>
          <t>135792468202210110260</t>
        </is>
      </c>
      <c r="B653" s="4108" t="inlineStr">
        <is>
          <t>110260</t>
        </is>
      </c>
      <c r="C653" s="4108" t="inlineStr">
        <is>
          <t>135792468</t>
        </is>
      </c>
      <c r="D653" s="4108" t="inlineStr">
        <is>
          <t>202210</t>
        </is>
      </c>
      <c r="E653" s="4108" t="inlineStr">
        <is>
          <t>0,000000000000</t>
        </is>
      </c>
    </row>
    <row outlineLevel="0" r="654">
      <c r="A654" s="4108" t="inlineStr">
        <is>
          <t>135792468202210110255</t>
        </is>
      </c>
      <c r="B654" s="4108" t="inlineStr">
        <is>
          <t>110255</t>
        </is>
      </c>
      <c r="C654" s="4108" t="inlineStr">
        <is>
          <t>135792468</t>
        </is>
      </c>
      <c r="D654" s="4108" t="inlineStr">
        <is>
          <t>202210</t>
        </is>
      </c>
      <c r="E654" s="4108" t="inlineStr">
        <is>
          <t>0,000000000000</t>
        </is>
      </c>
    </row>
    <row outlineLevel="0" r="655">
      <c r="A655" s="4108" t="inlineStr">
        <is>
          <t>135792468202210110235</t>
        </is>
      </c>
      <c r="B655" s="4108" t="inlineStr">
        <is>
          <t>110235</t>
        </is>
      </c>
      <c r="C655" s="4108" t="inlineStr">
        <is>
          <t>135792468</t>
        </is>
      </c>
      <c r="D655" s="4108" t="inlineStr">
        <is>
          <t>202210</t>
        </is>
      </c>
      <c r="E655" s="4108" t="inlineStr">
        <is>
          <t>0,000000000000</t>
        </is>
      </c>
    </row>
    <row outlineLevel="0" r="656">
      <c r="A656" s="4108" t="inlineStr">
        <is>
          <t>135792468202210110225</t>
        </is>
      </c>
      <c r="B656" s="4108" t="inlineStr">
        <is>
          <t>110225</t>
        </is>
      </c>
      <c r="C656" s="4108" t="inlineStr">
        <is>
          <t>135792468</t>
        </is>
      </c>
      <c r="D656" s="4108" t="inlineStr">
        <is>
          <t>202210</t>
        </is>
      </c>
      <c r="E656" s="4108" t="inlineStr">
        <is>
          <t>0,000000000000</t>
        </is>
      </c>
    </row>
    <row outlineLevel="0" r="657">
      <c r="A657" s="4108" t="inlineStr">
        <is>
          <t>135792468202210110215</t>
        </is>
      </c>
      <c r="B657" s="4108" t="inlineStr">
        <is>
          <t>110215</t>
        </is>
      </c>
      <c r="C657" s="4108" t="inlineStr">
        <is>
          <t>135792468</t>
        </is>
      </c>
      <c r="D657" s="4108" t="inlineStr">
        <is>
          <t>202210</t>
        </is>
      </c>
      <c r="E657" s="4108" t="inlineStr">
        <is>
          <t>0,000000000000</t>
        </is>
      </c>
    </row>
    <row outlineLevel="0" r="658">
      <c r="A658" s="4108" t="inlineStr">
        <is>
          <t>135792468202210110210</t>
        </is>
      </c>
      <c r="B658" s="4108" t="inlineStr">
        <is>
          <t>110210</t>
        </is>
      </c>
      <c r="C658" s="4108" t="inlineStr">
        <is>
          <t>135792468</t>
        </is>
      </c>
      <c r="D658" s="4108" t="inlineStr">
        <is>
          <t>202210</t>
        </is>
      </c>
      <c r="E658" s="4108" t="inlineStr">
        <is>
          <t>0,000000000000</t>
        </is>
      </c>
    </row>
    <row outlineLevel="0" r="659">
      <c r="A659" s="4108" t="inlineStr">
        <is>
          <t>135792468202210110205</t>
        </is>
      </c>
      <c r="B659" s="4108" t="inlineStr">
        <is>
          <t>110205</t>
        </is>
      </c>
      <c r="C659" s="4108" t="inlineStr">
        <is>
          <t>135792468</t>
        </is>
      </c>
      <c r="D659" s="4108" t="inlineStr">
        <is>
          <t>202210</t>
        </is>
      </c>
      <c r="E659" s="4108" t="inlineStr">
        <is>
          <t>0,000000000000</t>
        </is>
      </c>
    </row>
    <row outlineLevel="0" r="660">
      <c r="A660" s="4108" t="inlineStr">
        <is>
          <t>135792468202210110130</t>
        </is>
      </c>
      <c r="B660" s="4108" t="inlineStr">
        <is>
          <t>110130</t>
        </is>
      </c>
      <c r="C660" s="4108" t="inlineStr">
        <is>
          <t>135792468</t>
        </is>
      </c>
      <c r="D660" s="4108" t="inlineStr">
        <is>
          <t>202210</t>
        </is>
      </c>
      <c r="E660" s="4108" t="inlineStr">
        <is>
          <t>0,000000000000</t>
        </is>
      </c>
    </row>
    <row outlineLevel="0" r="661">
      <c r="A661" s="4108" t="inlineStr">
        <is>
          <t>135792468202210110125</t>
        </is>
      </c>
      <c r="B661" s="4108" t="inlineStr">
        <is>
          <t>110125</t>
        </is>
      </c>
      <c r="C661" s="4108" t="inlineStr">
        <is>
          <t>135792468</t>
        </is>
      </c>
      <c r="D661" s="4108" t="inlineStr">
        <is>
          <t>202210</t>
        </is>
      </c>
      <c r="E661" s="4108" t="inlineStr">
        <is>
          <t>0,000000000000</t>
        </is>
      </c>
    </row>
    <row outlineLevel="0" r="662">
      <c r="A662" s="4108" t="inlineStr">
        <is>
          <t>135792468202210110110</t>
        </is>
      </c>
      <c r="B662" s="4108" t="inlineStr">
        <is>
          <t>110110</t>
        </is>
      </c>
      <c r="C662" s="4108" t="inlineStr">
        <is>
          <t>135792468</t>
        </is>
      </c>
      <c r="D662" s="4108" t="inlineStr">
        <is>
          <t>202210</t>
        </is>
      </c>
      <c r="E662" s="4108" t="inlineStr">
        <is>
          <t>0,000000000000</t>
        </is>
      </c>
    </row>
    <row outlineLevel="0" r="663">
      <c r="A663" s="4108" t="inlineStr">
        <is>
          <t>135792468202210110105</t>
        </is>
      </c>
      <c r="B663" s="4108" t="inlineStr">
        <is>
          <t>110105</t>
        </is>
      </c>
      <c r="C663" s="4108" t="inlineStr">
        <is>
          <t>135792468</t>
        </is>
      </c>
      <c r="D663" s="4108" t="inlineStr">
        <is>
          <t>202210</t>
        </is>
      </c>
      <c r="E663" s="4108" t="inlineStr">
        <is>
          <t>243,000000000000</t>
        </is>
      </c>
    </row>
    <row outlineLevel="0" r="664">
      <c r="A664" s="4108" t="inlineStr">
        <is>
          <t>135792468202210109801</t>
        </is>
      </c>
      <c r="B664" s="4108" t="inlineStr">
        <is>
          <t>109801</t>
        </is>
      </c>
      <c r="C664" s="4108" t="inlineStr">
        <is>
          <t>135792468</t>
        </is>
      </c>
      <c r="D664" s="4108" t="inlineStr">
        <is>
          <t>202210</t>
        </is>
      </c>
      <c r="E664" s="4108" t="inlineStr">
        <is>
          <t>0,000000000000</t>
        </is>
      </c>
    </row>
    <row outlineLevel="0" r="665">
      <c r="A665" s="4108" t="inlineStr">
        <is>
          <t>135792468202210108400</t>
        </is>
      </c>
      <c r="B665" s="4108" t="inlineStr">
        <is>
          <t>108400</t>
        </is>
      </c>
      <c r="C665" s="4108" t="inlineStr">
        <is>
          <t>135792468</t>
        </is>
      </c>
      <c r="D665" s="4108" t="inlineStr">
        <is>
          <t>202210</t>
        </is>
      </c>
      <c r="E665" s="4108" t="inlineStr">
        <is>
          <t>0,000000000000</t>
        </is>
      </c>
    </row>
    <row outlineLevel="0" r="666">
      <c r="A666" s="4108" t="inlineStr">
        <is>
          <t>135792468202210108300</t>
        </is>
      </c>
      <c r="B666" s="4108" t="inlineStr">
        <is>
          <t>108300</t>
        </is>
      </c>
      <c r="C666" s="4108" t="inlineStr">
        <is>
          <t>135792468</t>
        </is>
      </c>
      <c r="D666" s="4108" t="inlineStr">
        <is>
          <t>202210</t>
        </is>
      </c>
      <c r="E666" s="4108" t="inlineStr">
        <is>
          <t>0,000000000000</t>
        </is>
      </c>
    </row>
    <row outlineLevel="0" r="667">
      <c r="A667" s="4108" t="inlineStr">
        <is>
          <t>135792468202210108200</t>
        </is>
      </c>
      <c r="B667" s="4108" t="inlineStr">
        <is>
          <t>108200</t>
        </is>
      </c>
      <c r="C667" s="4108" t="inlineStr">
        <is>
          <t>135792468</t>
        </is>
      </c>
      <c r="D667" s="4108" t="inlineStr">
        <is>
          <t>202210</t>
        </is>
      </c>
      <c r="E667" s="4108" t="inlineStr">
        <is>
          <t>0,000000000000</t>
        </is>
      </c>
    </row>
    <row outlineLevel="0" r="668">
      <c r="A668" s="4108" t="inlineStr">
        <is>
          <t>135792468202210108100</t>
        </is>
      </c>
      <c r="B668" s="4108" t="inlineStr">
        <is>
          <t>108100</t>
        </is>
      </c>
      <c r="C668" s="4108" t="inlineStr">
        <is>
          <t>135792468</t>
        </is>
      </c>
      <c r="D668" s="4108" t="inlineStr">
        <is>
          <t>202210</t>
        </is>
      </c>
      <c r="E668" s="4108" t="inlineStr">
        <is>
          <t>0,000000000000</t>
        </is>
      </c>
    </row>
    <row outlineLevel="0" r="669">
      <c r="A669" s="4108" t="inlineStr">
        <is>
          <t>135792468202210108000</t>
        </is>
      </c>
      <c r="B669" s="4108" t="inlineStr">
        <is>
          <t>108000</t>
        </is>
      </c>
      <c r="C669" s="4108" t="inlineStr">
        <is>
          <t>135792468</t>
        </is>
      </c>
      <c r="D669" s="4108" t="inlineStr">
        <is>
          <t>202210</t>
        </is>
      </c>
      <c r="E669" s="4108" t="inlineStr">
        <is>
          <t>0,000000000000</t>
        </is>
      </c>
    </row>
    <row outlineLevel="0" r="670">
      <c r="A670" s="4108" t="inlineStr">
        <is>
          <t>1357924682022105301</t>
        </is>
      </c>
      <c r="B670" s="4108" t="inlineStr">
        <is>
          <t>5301</t>
        </is>
      </c>
      <c r="C670" s="4108" t="inlineStr">
        <is>
          <t>135792468</t>
        </is>
      </c>
      <c r="D670" s="4108" t="inlineStr">
        <is>
          <t>202210</t>
        </is>
      </c>
      <c r="E670" s="4108" t="inlineStr">
        <is>
          <t>690,000000000000</t>
        </is>
      </c>
    </row>
    <row outlineLevel="0" r="671">
      <c r="A671" s="4108" t="inlineStr">
        <is>
          <t>1357924682022102209</t>
        </is>
      </c>
      <c r="B671" s="4108" t="inlineStr">
        <is>
          <t>2209</t>
        </is>
      </c>
      <c r="C671" s="4108" t="inlineStr">
        <is>
          <t>135792468</t>
        </is>
      </c>
      <c r="D671" s="4108" t="inlineStr">
        <is>
          <t>202210</t>
        </is>
      </c>
      <c r="E671" s="4108" t="inlineStr">
        <is>
          <t>0,000000000000</t>
        </is>
      </c>
    </row>
    <row outlineLevel="0" r="672">
      <c r="A672" s="4108" t="inlineStr">
        <is>
          <t>1357924682022102207</t>
        </is>
      </c>
      <c r="B672" s="4108" t="inlineStr">
        <is>
          <t>2207</t>
        </is>
      </c>
      <c r="C672" s="4108" t="inlineStr">
        <is>
          <t>135792468</t>
        </is>
      </c>
      <c r="D672" s="4108" t="inlineStr">
        <is>
          <t>202210</t>
        </is>
      </c>
      <c r="E672" s="4108" t="inlineStr">
        <is>
          <t>0,000000000000</t>
        </is>
      </c>
    </row>
    <row outlineLevel="0" r="673">
      <c r="A673" s="4108" t="inlineStr">
        <is>
          <t>1357924682022102206</t>
        </is>
      </c>
      <c r="B673" s="4108" t="inlineStr">
        <is>
          <t>2206</t>
        </is>
      </c>
      <c r="C673" s="4108" t="inlineStr">
        <is>
          <t>135792468</t>
        </is>
      </c>
      <c r="D673" s="4108" t="inlineStr">
        <is>
          <t>202210</t>
        </is>
      </c>
      <c r="E673" s="4108" t="inlineStr">
        <is>
          <t>12,000000000000</t>
        </is>
      </c>
    </row>
    <row outlineLevel="0" r="674">
      <c r="A674" s="4108" t="inlineStr">
        <is>
          <t>1357924682022102204</t>
        </is>
      </c>
      <c r="B674" s="4108" t="inlineStr">
        <is>
          <t>2204</t>
        </is>
      </c>
      <c r="C674" s="4108" t="inlineStr">
        <is>
          <t>135792468</t>
        </is>
      </c>
      <c r="D674" s="4108" t="inlineStr">
        <is>
          <t>202210</t>
        </is>
      </c>
      <c r="E674" s="4108" t="inlineStr">
        <is>
          <t>0,000000000000</t>
        </is>
      </c>
    </row>
    <row outlineLevel="0" r="675">
      <c r="A675" s="4108" t="inlineStr">
        <is>
          <t>1357924682022102203</t>
        </is>
      </c>
      <c r="B675" s="4108" t="inlineStr">
        <is>
          <t>2203</t>
        </is>
      </c>
      <c r="C675" s="4108" t="inlineStr">
        <is>
          <t>135792468</t>
        </is>
      </c>
      <c r="D675" s="4108" t="inlineStr">
        <is>
          <t>202210</t>
        </is>
      </c>
      <c r="E675" s="4108" t="inlineStr">
        <is>
          <t>0,000000000000</t>
        </is>
      </c>
    </row>
    <row outlineLevel="0" r="676">
      <c r="A676" s="4108" t="inlineStr">
        <is>
          <t>1357924682022102201</t>
        </is>
      </c>
      <c r="B676" s="4108" t="inlineStr">
        <is>
          <t>2201</t>
        </is>
      </c>
      <c r="C676" s="4108" t="inlineStr">
        <is>
          <t>135792468</t>
        </is>
      </c>
      <c r="D676" s="4108" t="inlineStr">
        <is>
          <t>202210</t>
        </is>
      </c>
      <c r="E676" s="4108" t="inlineStr">
        <is>
          <t>9696,000000000000</t>
        </is>
      </c>
    </row>
    <row outlineLevel="0" r="677">
      <c r="A677" s="4108" t="inlineStr">
        <is>
          <t>1357924682022102109</t>
        </is>
      </c>
      <c r="B677" s="4108" t="inlineStr">
        <is>
          <t>2109</t>
        </is>
      </c>
      <c r="C677" s="4108" t="inlineStr">
        <is>
          <t>135792468</t>
        </is>
      </c>
      <c r="D677" s="4108" t="inlineStr">
        <is>
          <t>202210</t>
        </is>
      </c>
      <c r="E677" s="4108" t="inlineStr">
        <is>
          <t>0,000000000000</t>
        </is>
      </c>
    </row>
    <row outlineLevel="0" r="678">
      <c r="A678" s="4108" t="inlineStr">
        <is>
          <t>1357924682022102107</t>
        </is>
      </c>
      <c r="B678" s="4108" t="inlineStr">
        <is>
          <t>2107</t>
        </is>
      </c>
      <c r="C678" s="4108" t="inlineStr">
        <is>
          <t>135792468</t>
        </is>
      </c>
      <c r="D678" s="4108" t="inlineStr">
        <is>
          <t>202210</t>
        </is>
      </c>
      <c r="E678" s="4108" t="inlineStr">
        <is>
          <t>187,000000000000</t>
        </is>
      </c>
    </row>
    <row outlineLevel="0" r="679">
      <c r="A679" s="4108" t="inlineStr">
        <is>
          <t>1357924682022102106</t>
        </is>
      </c>
      <c r="B679" s="4108" t="inlineStr">
        <is>
          <t>2106</t>
        </is>
      </c>
      <c r="C679" s="4108" t="inlineStr">
        <is>
          <t>135792468</t>
        </is>
      </c>
      <c r="D679" s="4108" t="inlineStr">
        <is>
          <t>202210</t>
        </is>
      </c>
      <c r="E679" s="4108" t="inlineStr">
        <is>
          <t>0,000000000000</t>
        </is>
      </c>
    </row>
    <row outlineLevel="0" r="680">
      <c r="A680" s="4108" t="inlineStr">
        <is>
          <t>1357924682022102105</t>
        </is>
      </c>
      <c r="B680" s="4108" t="inlineStr">
        <is>
          <t>2105</t>
        </is>
      </c>
      <c r="C680" s="4108" t="inlineStr">
        <is>
          <t>135792468</t>
        </is>
      </c>
      <c r="D680" s="4108" t="inlineStr">
        <is>
          <t>202210</t>
        </is>
      </c>
      <c r="E680" s="4108" t="inlineStr">
        <is>
          <t>65,000000000000</t>
        </is>
      </c>
    </row>
    <row outlineLevel="0" r="681">
      <c r="A681" s="4108" t="inlineStr">
        <is>
          <t>1357924682022102104</t>
        </is>
      </c>
      <c r="B681" s="4108" t="inlineStr">
        <is>
          <t>2104</t>
        </is>
      </c>
      <c r="C681" s="4108" t="inlineStr">
        <is>
          <t>135792468</t>
        </is>
      </c>
      <c r="D681" s="4108" t="inlineStr">
        <is>
          <t>202210</t>
        </is>
      </c>
      <c r="E681" s="4108" t="inlineStr">
        <is>
          <t>0,000000000000</t>
        </is>
      </c>
    </row>
    <row outlineLevel="0" r="682">
      <c r="A682" s="4108" t="inlineStr">
        <is>
          <t>1357924682022102103</t>
        </is>
      </c>
      <c r="B682" s="4108" t="inlineStr">
        <is>
          <t>2103</t>
        </is>
      </c>
      <c r="C682" s="4108" t="inlineStr">
        <is>
          <t>135792468</t>
        </is>
      </c>
      <c r="D682" s="4108" t="inlineStr">
        <is>
          <t>202210</t>
        </is>
      </c>
      <c r="E682" s="4108" t="inlineStr">
        <is>
          <t>4544,000000000000</t>
        </is>
      </c>
    </row>
    <row outlineLevel="0" r="683">
      <c r="A683" s="4108" t="inlineStr">
        <is>
          <t>1357924682022102102</t>
        </is>
      </c>
      <c r="B683" s="4108" t="inlineStr">
        <is>
          <t>2102</t>
        </is>
      </c>
      <c r="C683" s="4108" t="inlineStr">
        <is>
          <t>135792468</t>
        </is>
      </c>
      <c r="D683" s="4108" t="inlineStr">
        <is>
          <t>202210</t>
        </is>
      </c>
      <c r="E683" s="4108" t="inlineStr">
        <is>
          <t>0,000000000000</t>
        </is>
      </c>
    </row>
    <row outlineLevel="0" r="684">
      <c r="A684" s="4108" t="inlineStr">
        <is>
          <t>1357924682022102101</t>
        </is>
      </c>
      <c r="B684" s="4108" t="inlineStr">
        <is>
          <t>2101</t>
        </is>
      </c>
      <c r="C684" s="4108" t="inlineStr">
        <is>
          <t>135792468</t>
        </is>
      </c>
      <c r="D684" s="4108" t="inlineStr">
        <is>
          <t>202210</t>
        </is>
      </c>
      <c r="E684" s="4108" t="inlineStr">
        <is>
          <t>617,000000000000</t>
        </is>
      </c>
    </row>
    <row outlineLevel="0" r="685">
      <c r="A685" s="4108" t="inlineStr">
        <is>
          <t>1357924682022101208</t>
        </is>
      </c>
      <c r="B685" s="4108" t="inlineStr">
        <is>
          <t>1208</t>
        </is>
      </c>
      <c r="C685" s="4108" t="inlineStr">
        <is>
          <t>135792468</t>
        </is>
      </c>
      <c r="D685" s="4108" t="inlineStr">
        <is>
          <t>202210</t>
        </is>
      </c>
      <c r="E685" s="4108" t="inlineStr">
        <is>
          <t>0,000000000000</t>
        </is>
      </c>
    </row>
    <row outlineLevel="0" r="686">
      <c r="A686" s="4108" t="inlineStr">
        <is>
          <t>1357924682022101207</t>
        </is>
      </c>
      <c r="B686" s="4108" t="inlineStr">
        <is>
          <t>1207</t>
        </is>
      </c>
      <c r="C686" s="4108" t="inlineStr">
        <is>
          <t>135792468</t>
        </is>
      </c>
      <c r="D686" s="4108" t="inlineStr">
        <is>
          <t>202210</t>
        </is>
      </c>
      <c r="E686" s="4108" t="inlineStr">
        <is>
          <t>3862,000000000000</t>
        </is>
      </c>
    </row>
    <row outlineLevel="0" r="687">
      <c r="A687" s="4108" t="inlineStr">
        <is>
          <t>1357924682022101206</t>
        </is>
      </c>
      <c r="B687" s="4108" t="inlineStr">
        <is>
          <t>1206</t>
        </is>
      </c>
      <c r="C687" s="4108" t="inlineStr">
        <is>
          <t>135792468</t>
        </is>
      </c>
      <c r="D687" s="4108" t="inlineStr">
        <is>
          <t>202210</t>
        </is>
      </c>
      <c r="E687" s="4108" t="inlineStr">
        <is>
          <t>0,000000000000</t>
        </is>
      </c>
    </row>
    <row outlineLevel="0" r="688">
      <c r="A688" s="4108" t="inlineStr">
        <is>
          <t>1357924682022101205</t>
        </is>
      </c>
      <c r="B688" s="4108" t="inlineStr">
        <is>
          <t>1205</t>
        </is>
      </c>
      <c r="C688" s="4108" t="inlineStr">
        <is>
          <t>135792468</t>
        </is>
      </c>
      <c r="D688" s="4108" t="inlineStr">
        <is>
          <t>202210</t>
        </is>
      </c>
      <c r="E688" s="4108" t="inlineStr">
        <is>
          <t>0,000000000000</t>
        </is>
      </c>
    </row>
    <row outlineLevel="0" r="689">
      <c r="A689" s="4108" t="inlineStr">
        <is>
          <t>1357924682022101203</t>
        </is>
      </c>
      <c r="B689" s="4108" t="inlineStr">
        <is>
          <t>1203</t>
        </is>
      </c>
      <c r="C689" s="4108" t="inlineStr">
        <is>
          <t>135792468</t>
        </is>
      </c>
      <c r="D689" s="4108" t="inlineStr">
        <is>
          <t>202210</t>
        </is>
      </c>
      <c r="E689" s="4108" t="inlineStr">
        <is>
          <t>0,000000000000</t>
        </is>
      </c>
    </row>
    <row outlineLevel="0" r="690">
      <c r="A690" s="4108" t="inlineStr">
        <is>
          <t>1357924682022101202</t>
        </is>
      </c>
      <c r="B690" s="4108" t="inlineStr">
        <is>
          <t>1202</t>
        </is>
      </c>
      <c r="C690" s="4108" t="inlineStr">
        <is>
          <t>135792468</t>
        </is>
      </c>
      <c r="D690" s="4108" t="inlineStr">
        <is>
          <t>202210</t>
        </is>
      </c>
      <c r="E690" s="4108" t="inlineStr">
        <is>
          <t>0,000000000000</t>
        </is>
      </c>
    </row>
    <row outlineLevel="0" r="691">
      <c r="A691" s="4108" t="inlineStr">
        <is>
          <t>1357924682022101201</t>
        </is>
      </c>
      <c r="B691" s="4108" t="inlineStr">
        <is>
          <t>1201</t>
        </is>
      </c>
      <c r="C691" s="4108" t="inlineStr">
        <is>
          <t>135792468</t>
        </is>
      </c>
      <c r="D691" s="4108" t="inlineStr">
        <is>
          <t>202210</t>
        </is>
      </c>
      <c r="E691" s="4108" t="inlineStr">
        <is>
          <t>14298,000000000000</t>
        </is>
      </c>
    </row>
    <row outlineLevel="0" r="692">
      <c r="A692" s="4108" t="inlineStr">
        <is>
          <t>1357924682022101107</t>
        </is>
      </c>
      <c r="B692" s="4108" t="inlineStr">
        <is>
          <t>1107</t>
        </is>
      </c>
      <c r="C692" s="4108" t="inlineStr">
        <is>
          <t>135792468</t>
        </is>
      </c>
      <c r="D692" s="4108" t="inlineStr">
        <is>
          <t>202210</t>
        </is>
      </c>
      <c r="E692" s="4108" t="inlineStr">
        <is>
          <t>0,000000000000</t>
        </is>
      </c>
    </row>
    <row outlineLevel="0" r="693">
      <c r="A693" s="4108" t="inlineStr">
        <is>
          <t>1357924682022101106</t>
        </is>
      </c>
      <c r="B693" s="4108" t="inlineStr">
        <is>
          <t>1106</t>
        </is>
      </c>
      <c r="C693" s="4108" t="inlineStr">
        <is>
          <t>135792468</t>
        </is>
      </c>
      <c r="D693" s="4108" t="inlineStr">
        <is>
          <t>202210</t>
        </is>
      </c>
      <c r="E693" s="4108" t="inlineStr">
        <is>
          <t>43,000000000000</t>
        </is>
      </c>
    </row>
    <row outlineLevel="0" r="694">
      <c r="A694" s="4108" t="inlineStr">
        <is>
          <t>1357924682022101104</t>
        </is>
      </c>
      <c r="B694" s="4108" t="inlineStr">
        <is>
          <t>1104</t>
        </is>
      </c>
      <c r="C694" s="4108" t="inlineStr">
        <is>
          <t>135792468</t>
        </is>
      </c>
      <c r="D694" s="4108" t="inlineStr">
        <is>
          <t>202210</t>
        </is>
      </c>
      <c r="E694" s="4108" t="inlineStr">
        <is>
          <t>0,000000000000</t>
        </is>
      </c>
    </row>
    <row outlineLevel="0" r="695">
      <c r="A695" s="4108" t="inlineStr">
        <is>
          <t>1357924682022101103</t>
        </is>
      </c>
      <c r="B695" s="4108" t="inlineStr">
        <is>
          <t>1103</t>
        </is>
      </c>
      <c r="C695" s="4108" t="inlineStr">
        <is>
          <t>135792468</t>
        </is>
      </c>
      <c r="D695" s="4108" t="inlineStr">
        <is>
          <t>202210</t>
        </is>
      </c>
      <c r="E695" s="4108" t="inlineStr">
        <is>
          <t>161,000000000000</t>
        </is>
      </c>
    </row>
    <row outlineLevel="0" r="696">
      <c r="A696" s="4108" t="inlineStr">
        <is>
          <t>1357924682022101102</t>
        </is>
      </c>
      <c r="B696" s="4108" t="inlineStr">
        <is>
          <t>1102</t>
        </is>
      </c>
      <c r="C696" s="4108" t="inlineStr">
        <is>
          <t>135792468</t>
        </is>
      </c>
      <c r="D696" s="4108" t="inlineStr">
        <is>
          <t>202210</t>
        </is>
      </c>
      <c r="E696" s="4108" t="inlineStr">
        <is>
          <t>0,000000000000</t>
        </is>
      </c>
    </row>
    <row outlineLevel="0" r="697">
      <c r="A697" s="4108" t="inlineStr">
        <is>
          <t>1357924682022101101</t>
        </is>
      </c>
      <c r="B697" s="4108" t="inlineStr">
        <is>
          <t>1101</t>
        </is>
      </c>
      <c r="C697" s="4108" t="inlineStr">
        <is>
          <t>135792468</t>
        </is>
      </c>
      <c r="D697" s="4108" t="inlineStr">
        <is>
          <t>202210</t>
        </is>
      </c>
      <c r="E697" s="4108" t="inlineStr">
        <is>
          <t>243,000000000000</t>
        </is>
      </c>
    </row>
    <row outlineLevel="0" r="698">
      <c r="A698" s="4108" t="inlineStr">
        <is>
          <t>13579246820221099</t>
        </is>
      </c>
      <c r="B698" s="4108" t="inlineStr">
        <is>
          <t>99</t>
        </is>
      </c>
      <c r="C698" s="4108" t="inlineStr">
        <is>
          <t>135792468</t>
        </is>
      </c>
      <c r="D698" s="4108" t="inlineStr">
        <is>
          <t>202210</t>
        </is>
      </c>
      <c r="E698" s="4108" t="inlineStr">
        <is>
          <t>427,000000000000</t>
        </is>
      </c>
    </row>
    <row outlineLevel="0" r="699">
      <c r="A699" s="4108" t="inlineStr">
        <is>
          <t>13579246820221098</t>
        </is>
      </c>
      <c r="B699" s="4108" t="inlineStr">
        <is>
          <t>98</t>
        </is>
      </c>
      <c r="C699" s="4108" t="inlineStr">
        <is>
          <t>135792468</t>
        </is>
      </c>
      <c r="D699" s="4108" t="inlineStr">
        <is>
          <t>202210</t>
        </is>
      </c>
      <c r="E699" s="4108" t="inlineStr">
        <is>
          <t>0,000000000000</t>
        </is>
      </c>
    </row>
    <row outlineLevel="0" r="700">
      <c r="A700" s="4108" t="inlineStr">
        <is>
          <t>13579246820221097</t>
        </is>
      </c>
      <c r="B700" s="4108" t="inlineStr">
        <is>
          <t>97</t>
        </is>
      </c>
      <c r="C700" s="4108" t="inlineStr">
        <is>
          <t>135792468</t>
        </is>
      </c>
      <c r="D700" s="4108" t="inlineStr">
        <is>
          <t>202210</t>
        </is>
      </c>
      <c r="E700" s="4108" t="inlineStr">
        <is>
          <t>427,000000000000</t>
        </is>
      </c>
    </row>
    <row outlineLevel="0" r="701">
      <c r="A701" s="4108" t="inlineStr">
        <is>
          <t>13579246820221096</t>
        </is>
      </c>
      <c r="B701" s="4108" t="inlineStr">
        <is>
          <t>96</t>
        </is>
      </c>
      <c r="C701" s="4108" t="inlineStr">
        <is>
          <t>135792468</t>
        </is>
      </c>
      <c r="D701" s="4108" t="inlineStr">
        <is>
          <t>202210</t>
        </is>
      </c>
      <c r="E701" s="4108" t="inlineStr">
        <is>
          <t>1117,000000000000</t>
        </is>
      </c>
    </row>
    <row outlineLevel="0" r="702">
      <c r="A702" s="4108" t="inlineStr">
        <is>
          <t>13579246820221095</t>
        </is>
      </c>
      <c r="B702" s="4108" t="inlineStr">
        <is>
          <t>95</t>
        </is>
      </c>
      <c r="C702" s="4108" t="inlineStr">
        <is>
          <t>135792468</t>
        </is>
      </c>
      <c r="D702" s="4108" t="inlineStr">
        <is>
          <t>202210</t>
        </is>
      </c>
      <c r="E702" s="4108" t="inlineStr">
        <is>
          <t>5017,000000000000</t>
        </is>
      </c>
    </row>
    <row outlineLevel="0" r="703">
      <c r="A703" s="4108" t="inlineStr">
        <is>
          <t>13579246820221061</t>
        </is>
      </c>
      <c r="B703" s="4108" t="inlineStr">
        <is>
          <t>61</t>
        </is>
      </c>
      <c r="C703" s="4108" t="inlineStr">
        <is>
          <t>135792468</t>
        </is>
      </c>
      <c r="D703" s="4108" t="inlineStr">
        <is>
          <t>202210</t>
        </is>
      </c>
      <c r="E703" s="4108" t="inlineStr">
        <is>
          <t>2998,000000000000</t>
        </is>
      </c>
    </row>
    <row outlineLevel="0" r="704">
      <c r="A704" s="4108" t="inlineStr">
        <is>
          <t>13579246820221054</t>
        </is>
      </c>
      <c r="B704" s="4108" t="inlineStr">
        <is>
          <t>54</t>
        </is>
      </c>
      <c r="C704" s="4108" t="inlineStr">
        <is>
          <t>135792468</t>
        </is>
      </c>
      <c r="D704" s="4108" t="inlineStr">
        <is>
          <t>202210</t>
        </is>
      </c>
      <c r="E704" s="4108" t="inlineStr">
        <is>
          <t>0,000000000000</t>
        </is>
      </c>
    </row>
    <row outlineLevel="0" r="705">
      <c r="A705" s="4108" t="inlineStr">
        <is>
          <t>13579246820221053</t>
        </is>
      </c>
      <c r="B705" s="4108" t="inlineStr">
        <is>
          <t>53</t>
        </is>
      </c>
      <c r="C705" s="4108" t="inlineStr">
        <is>
          <t>135792468</t>
        </is>
      </c>
      <c r="D705" s="4108" t="inlineStr">
        <is>
          <t>202210</t>
        </is>
      </c>
      <c r="E705" s="4108" t="inlineStr">
        <is>
          <t>690,000000000000</t>
        </is>
      </c>
    </row>
    <row outlineLevel="0" r="706">
      <c r="A706" s="4108" t="inlineStr">
        <is>
          <t>13579246820221052</t>
        </is>
      </c>
      <c r="B706" s="4108" t="inlineStr">
        <is>
          <t>52</t>
        </is>
      </c>
      <c r="C706" s="4108" t="inlineStr">
        <is>
          <t>135792468</t>
        </is>
      </c>
      <c r="D706" s="4108" t="inlineStr">
        <is>
          <t>202210</t>
        </is>
      </c>
      <c r="E706" s="4108" t="inlineStr">
        <is>
          <t>0,000000000000</t>
        </is>
      </c>
    </row>
    <row outlineLevel="0" r="707">
      <c r="A707" s="4108" t="inlineStr">
        <is>
          <t>13579246820221051</t>
        </is>
      </c>
      <c r="B707" s="4108" t="inlineStr">
        <is>
          <t>51</t>
        </is>
      </c>
      <c r="C707" s="4108" t="inlineStr">
        <is>
          <t>135792468</t>
        </is>
      </c>
      <c r="D707" s="4108" t="inlineStr">
        <is>
          <t>202210</t>
        </is>
      </c>
      <c r="E707" s="4108" t="inlineStr">
        <is>
          <t>3900,000000000000</t>
        </is>
      </c>
    </row>
    <row outlineLevel="0" r="708">
      <c r="A708" s="4108" t="inlineStr">
        <is>
          <t>13579246820221042</t>
        </is>
      </c>
      <c r="B708" s="4108" t="inlineStr">
        <is>
          <t>42</t>
        </is>
      </c>
      <c r="C708" s="4108" t="inlineStr">
        <is>
          <t>135792468</t>
        </is>
      </c>
      <c r="D708" s="4108" t="inlineStr">
        <is>
          <t>202210</t>
        </is>
      </c>
      <c r="E708" s="4108" t="inlineStr">
        <is>
          <t>0,000000000000</t>
        </is>
      </c>
    </row>
    <row outlineLevel="0" r="709">
      <c r="A709" s="4108" t="inlineStr">
        <is>
          <t>13579246820221041</t>
        </is>
      </c>
      <c r="B709" s="4108" t="inlineStr">
        <is>
          <t>41</t>
        </is>
      </c>
      <c r="C709" s="4108" t="inlineStr">
        <is>
          <t>135792468</t>
        </is>
      </c>
      <c r="D709" s="4108" t="inlineStr">
        <is>
          <t>202210</t>
        </is>
      </c>
      <c r="E709" s="4108" t="inlineStr">
        <is>
          <t>8015,000000000000</t>
        </is>
      </c>
    </row>
    <row outlineLevel="0" r="710">
      <c r="A710" s="4108" t="inlineStr">
        <is>
          <t>13579246820221038</t>
        </is>
      </c>
      <c r="B710" s="4108" t="inlineStr">
        <is>
          <t>38</t>
        </is>
      </c>
      <c r="C710" s="4108" t="inlineStr">
        <is>
          <t>135792468</t>
        </is>
      </c>
      <c r="D710" s="4108" t="inlineStr">
        <is>
          <t>202210</t>
        </is>
      </c>
      <c r="E710" s="4108" t="inlineStr">
        <is>
          <t>0,000000000000</t>
        </is>
      </c>
    </row>
    <row outlineLevel="0" r="711">
      <c r="A711" s="4108" t="inlineStr">
        <is>
          <t>13579246820221037</t>
        </is>
      </c>
      <c r="B711" s="4108" t="inlineStr">
        <is>
          <t>37</t>
        </is>
      </c>
      <c r="C711" s="4108" t="inlineStr">
        <is>
          <t>135792468</t>
        </is>
      </c>
      <c r="D711" s="4108" t="inlineStr">
        <is>
          <t>202210</t>
        </is>
      </c>
      <c r="E711" s="4108" t="inlineStr">
        <is>
          <t>626,000000000000</t>
        </is>
      </c>
    </row>
    <row outlineLevel="0" r="712">
      <c r="A712" s="4108" t="inlineStr">
        <is>
          <t>13579246820221036</t>
        </is>
      </c>
      <c r="B712" s="4108" t="inlineStr">
        <is>
          <t>36</t>
        </is>
      </c>
      <c r="C712" s="4108" t="inlineStr">
        <is>
          <t>135792468</t>
        </is>
      </c>
      <c r="D712" s="4108" t="inlineStr">
        <is>
          <t>202210</t>
        </is>
      </c>
      <c r="E712" s="4108" t="inlineStr">
        <is>
          <t>427,000000000000</t>
        </is>
      </c>
    </row>
    <row outlineLevel="0" r="713">
      <c r="A713" s="4108" t="inlineStr">
        <is>
          <t>13579246820221035</t>
        </is>
      </c>
      <c r="B713" s="4108" t="inlineStr">
        <is>
          <t>35</t>
        </is>
      </c>
      <c r="C713" s="4108" t="inlineStr">
        <is>
          <t>135792468</t>
        </is>
      </c>
      <c r="D713" s="4108" t="inlineStr">
        <is>
          <t>202210</t>
        </is>
      </c>
      <c r="E713" s="4108" t="inlineStr">
        <is>
          <t>0,000000000000</t>
        </is>
      </c>
    </row>
    <row outlineLevel="0" r="714">
      <c r="A714" s="4108" t="inlineStr">
        <is>
          <t>13579246820221034</t>
        </is>
      </c>
      <c r="B714" s="4108" t="inlineStr">
        <is>
          <t>34</t>
        </is>
      </c>
      <c r="C714" s="4108" t="inlineStr">
        <is>
          <t>135792468</t>
        </is>
      </c>
      <c r="D714" s="4108" t="inlineStr">
        <is>
          <t>202210</t>
        </is>
      </c>
      <c r="E714" s="4108" t="inlineStr">
        <is>
          <t>0,000000000000</t>
        </is>
      </c>
    </row>
    <row outlineLevel="0" r="715">
      <c r="A715" s="4108" t="inlineStr">
        <is>
          <t>13579246820221033</t>
        </is>
      </c>
      <c r="B715" s="4108" t="inlineStr">
        <is>
          <t>33</t>
        </is>
      </c>
      <c r="C715" s="4108" t="inlineStr">
        <is>
          <t>135792468</t>
        </is>
      </c>
      <c r="D715" s="4108" t="inlineStr">
        <is>
          <t>202210</t>
        </is>
      </c>
      <c r="E715" s="4108" t="inlineStr">
        <is>
          <t>166,000000000000</t>
        </is>
      </c>
    </row>
    <row outlineLevel="0" r="716">
      <c r="A716" s="4108" t="inlineStr">
        <is>
          <t>13579246820221032</t>
        </is>
      </c>
      <c r="B716" s="4108" t="inlineStr">
        <is>
          <t>32</t>
        </is>
      </c>
      <c r="C716" s="4108" t="inlineStr">
        <is>
          <t>135792468</t>
        </is>
      </c>
      <c r="D716" s="4108" t="inlineStr">
        <is>
          <t>202210</t>
        </is>
      </c>
      <c r="E716" s="4108" t="inlineStr">
        <is>
          <t>0,000000000000</t>
        </is>
      </c>
    </row>
    <row outlineLevel="0" r="717">
      <c r="A717" s="4108" t="inlineStr">
        <is>
          <t>13579246820221031</t>
        </is>
      </c>
      <c r="B717" s="4108" t="inlineStr">
        <is>
          <t>31</t>
        </is>
      </c>
      <c r="C717" s="4108" t="inlineStr">
        <is>
          <t>135792468</t>
        </is>
      </c>
      <c r="D717" s="4108" t="inlineStr">
        <is>
          <t>202210</t>
        </is>
      </c>
      <c r="E717" s="4108" t="inlineStr">
        <is>
          <t>2267,000000000000</t>
        </is>
      </c>
    </row>
    <row outlineLevel="0" r="718">
      <c r="A718" s="4108" t="inlineStr">
        <is>
          <t>13579246820221022</t>
        </is>
      </c>
      <c r="B718" s="4108" t="inlineStr">
        <is>
          <t>22</t>
        </is>
      </c>
      <c r="C718" s="4108" t="inlineStr">
        <is>
          <t>135792468</t>
        </is>
      </c>
      <c r="D718" s="4108" t="inlineStr">
        <is>
          <t>202210</t>
        </is>
      </c>
      <c r="E718" s="4108" t="inlineStr">
        <is>
          <t>9708,000000000000</t>
        </is>
      </c>
    </row>
    <row outlineLevel="0" r="719">
      <c r="A719" s="4108" t="inlineStr">
        <is>
          <t>13579246820221021</t>
        </is>
      </c>
      <c r="B719" s="4108" t="inlineStr">
        <is>
          <t>21</t>
        </is>
      </c>
      <c r="C719" s="4108" t="inlineStr">
        <is>
          <t>135792468</t>
        </is>
      </c>
      <c r="D719" s="4108" t="inlineStr">
        <is>
          <t>202210</t>
        </is>
      </c>
      <c r="E719" s="4108" t="inlineStr">
        <is>
          <t>5413,000000000000</t>
        </is>
      </c>
    </row>
    <row outlineLevel="0" r="720">
      <c r="A720" s="4108" t="inlineStr">
        <is>
          <t>13579246820221012</t>
        </is>
      </c>
      <c r="B720" s="4108" t="inlineStr">
        <is>
          <t>12</t>
        </is>
      </c>
      <c r="C720" s="4108" t="inlineStr">
        <is>
          <t>135792468</t>
        </is>
      </c>
      <c r="D720" s="4108" t="inlineStr">
        <is>
          <t>202210</t>
        </is>
      </c>
      <c r="E720" s="4108" t="inlineStr">
        <is>
          <t>18160,000000000000</t>
        </is>
      </c>
    </row>
    <row outlineLevel="0" r="721">
      <c r="A721" s="4108" t="inlineStr">
        <is>
          <t>13579246820221011</t>
        </is>
      </c>
      <c r="B721" s="4108" t="inlineStr">
        <is>
          <t>11</t>
        </is>
      </c>
      <c r="C721" s="4108" t="inlineStr">
        <is>
          <t>135792468</t>
        </is>
      </c>
      <c r="D721" s="4108" t="inlineStr">
        <is>
          <t>202210</t>
        </is>
      </c>
      <c r="E721" s="4108" t="inlineStr">
        <is>
          <t>447,000000000000</t>
        </is>
      </c>
    </row>
    <row outlineLevel="0" r="722">
      <c r="A722" s="4108" t="inlineStr">
        <is>
          <t>1357924682022103</t>
        </is>
      </c>
      <c r="B722" s="4108" t="inlineStr">
        <is>
          <t>3</t>
        </is>
      </c>
      <c r="C722" s="4108" t="inlineStr">
        <is>
          <t>135792468</t>
        </is>
      </c>
      <c r="D722" s="4108" t="inlineStr">
        <is>
          <t>202210</t>
        </is>
      </c>
      <c r="E722" s="4108" t="inlineStr">
        <is>
          <t>3486,000000000000</t>
        </is>
      </c>
    </row>
    <row outlineLevel="0" r="723">
      <c r="A723" s="4108" t="inlineStr">
        <is>
          <t>1357924682022102</t>
        </is>
      </c>
      <c r="B723" s="4108" t="inlineStr">
        <is>
          <t>2</t>
        </is>
      </c>
      <c r="C723" s="4108" t="inlineStr">
        <is>
          <t>135792468</t>
        </is>
      </c>
      <c r="D723" s="4108" t="inlineStr">
        <is>
          <t>202210</t>
        </is>
      </c>
      <c r="E723" s="4108" t="inlineStr">
        <is>
          <t>15121,000000000000</t>
        </is>
      </c>
    </row>
    <row outlineLevel="0" r="724">
      <c r="A724" s="4108" t="inlineStr">
        <is>
          <t>1357924682022101</t>
        </is>
      </c>
      <c r="B724" s="4108" t="inlineStr">
        <is>
          <t>1</t>
        </is>
      </c>
      <c r="C724" s="4108" t="inlineStr">
        <is>
          <t>135792468</t>
        </is>
      </c>
      <c r="D724" s="4108" t="inlineStr">
        <is>
          <t>202210</t>
        </is>
      </c>
      <c r="E724" s="4108" t="inlineStr">
        <is>
          <t>18607,000000000000</t>
        </is>
      </c>
    </row>
    <row outlineLevel="0" r="725">
      <c r="A725" s="4108" t="inlineStr">
        <is>
          <t>1357924682022100</t>
        </is>
      </c>
      <c r="B725" s="4108" t="inlineStr">
        <is>
          <t>0</t>
        </is>
      </c>
      <c r="C725" s="4108" t="inlineStr">
        <is>
          <t>135792468</t>
        </is>
      </c>
      <c r="D725" s="4108" t="inlineStr">
        <is>
          <t>202210</t>
        </is>
      </c>
      <c r="E725" s="4108" t="inlineStr">
        <is>
          <t>18607,000000000000</t>
        </is>
      </c>
    </row>
    <row outlineLevel="0" r="726">
      <c r="A726" s="4108" t="inlineStr">
        <is>
          <t>1357924682022090</t>
        </is>
      </c>
      <c r="B726" s="4108" t="inlineStr">
        <is>
          <t>0</t>
        </is>
      </c>
      <c r="C726" s="4108" t="inlineStr">
        <is>
          <t>135792468</t>
        </is>
      </c>
      <c r="D726" s="4108" t="inlineStr">
        <is>
          <t>202209</t>
        </is>
      </c>
      <c r="E726" s="4108" t="inlineStr">
        <is>
          <t>19706,000000000000</t>
        </is>
      </c>
    </row>
    <row outlineLevel="0" r="727">
      <c r="A727" s="4108" t="inlineStr">
        <is>
          <t>1357924682022091</t>
        </is>
      </c>
      <c r="B727" s="4108" t="inlineStr">
        <is>
          <t>1</t>
        </is>
      </c>
      <c r="C727" s="4108" t="inlineStr">
        <is>
          <t>135792468</t>
        </is>
      </c>
      <c r="D727" s="4108" t="inlineStr">
        <is>
          <t>202209</t>
        </is>
      </c>
      <c r="E727" s="4108" t="inlineStr">
        <is>
          <t>19706,000000000000</t>
        </is>
      </c>
    </row>
    <row outlineLevel="0" r="728">
      <c r="A728" s="4108" t="inlineStr">
        <is>
          <t>1357924682022092</t>
        </is>
      </c>
      <c r="B728" s="4108" t="inlineStr">
        <is>
          <t>2</t>
        </is>
      </c>
      <c r="C728" s="4108" t="inlineStr">
        <is>
          <t>135792468</t>
        </is>
      </c>
      <c r="D728" s="4108" t="inlineStr">
        <is>
          <t>202209</t>
        </is>
      </c>
      <c r="E728" s="4108" t="inlineStr">
        <is>
          <t>14862,000000000000</t>
        </is>
      </c>
    </row>
    <row outlineLevel="0" r="729">
      <c r="A729" s="4108" t="inlineStr">
        <is>
          <t>13579246820220911</t>
        </is>
      </c>
      <c r="B729" s="4108" t="inlineStr">
        <is>
          <t>11</t>
        </is>
      </c>
      <c r="C729" s="4108" t="inlineStr">
        <is>
          <t>135792468</t>
        </is>
      </c>
      <c r="D729" s="4108" t="inlineStr">
        <is>
          <t>202209</t>
        </is>
      </c>
      <c r="E729" s="4108" t="inlineStr">
        <is>
          <t>708,000000000000</t>
        </is>
      </c>
    </row>
    <row outlineLevel="0" r="730">
      <c r="A730" s="4108" t="inlineStr">
        <is>
          <t>1357924682022093</t>
        </is>
      </c>
      <c r="B730" s="4108" t="inlineStr">
        <is>
          <t>3</t>
        </is>
      </c>
      <c r="C730" s="4108" t="inlineStr">
        <is>
          <t>135792468</t>
        </is>
      </c>
      <c r="D730" s="4108" t="inlineStr">
        <is>
          <t>202209</t>
        </is>
      </c>
      <c r="E730" s="4108" t="inlineStr">
        <is>
          <t>4844,000000000000</t>
        </is>
      </c>
    </row>
    <row outlineLevel="0" r="731">
      <c r="A731" s="4108" t="inlineStr">
        <is>
          <t>13579246820220912</t>
        </is>
      </c>
      <c r="B731" s="4108" t="inlineStr">
        <is>
          <t>12</t>
        </is>
      </c>
      <c r="C731" s="4108" t="inlineStr">
        <is>
          <t>135792468</t>
        </is>
      </c>
      <c r="D731" s="4108" t="inlineStr">
        <is>
          <t>202209</t>
        </is>
      </c>
      <c r="E731" s="4108" t="inlineStr">
        <is>
          <t>18998,000000000000</t>
        </is>
      </c>
    </row>
    <row outlineLevel="0" r="732">
      <c r="A732" s="4108" t="inlineStr">
        <is>
          <t>13579246820220921</t>
        </is>
      </c>
      <c r="B732" s="4108" t="inlineStr">
        <is>
          <t>21</t>
        </is>
      </c>
      <c r="C732" s="4108" t="inlineStr">
        <is>
          <t>135792468</t>
        </is>
      </c>
      <c r="D732" s="4108" t="inlineStr">
        <is>
          <t>202209</t>
        </is>
      </c>
      <c r="E732" s="4108" t="inlineStr">
        <is>
          <t>2262,000000000000</t>
        </is>
      </c>
    </row>
    <row outlineLevel="0" r="733">
      <c r="A733" s="4108" t="inlineStr">
        <is>
          <t>13579246820220922</t>
        </is>
      </c>
      <c r="B733" s="4108" t="inlineStr">
        <is>
          <t>22</t>
        </is>
      </c>
      <c r="C733" s="4108" t="inlineStr">
        <is>
          <t>135792468</t>
        </is>
      </c>
      <c r="D733" s="4108" t="inlineStr">
        <is>
          <t>202209</t>
        </is>
      </c>
      <c r="E733" s="4108" t="inlineStr">
        <is>
          <t>12600,000000000000</t>
        </is>
      </c>
    </row>
    <row outlineLevel="0" r="734">
      <c r="A734" s="4108" t="inlineStr">
        <is>
          <t>13579246820220931</t>
        </is>
      </c>
      <c r="B734" s="4108" t="inlineStr">
        <is>
          <t>31</t>
        </is>
      </c>
      <c r="C734" s="4108" t="inlineStr">
        <is>
          <t>135792468</t>
        </is>
      </c>
      <c r="D734" s="4108" t="inlineStr">
        <is>
          <t>202209</t>
        </is>
      </c>
      <c r="E734" s="4108" t="inlineStr">
        <is>
          <t>3767,000000000000</t>
        </is>
      </c>
    </row>
    <row outlineLevel="0" r="735">
      <c r="A735" s="4108" t="inlineStr">
        <is>
          <t>13579246820220932</t>
        </is>
      </c>
      <c r="B735" s="4108" t="inlineStr">
        <is>
          <t>32</t>
        </is>
      </c>
      <c r="C735" s="4108" t="inlineStr">
        <is>
          <t>135792468</t>
        </is>
      </c>
      <c r="D735" s="4108" t="inlineStr">
        <is>
          <t>202209</t>
        </is>
      </c>
      <c r="E735" s="4108" t="inlineStr">
        <is>
          <t>0,000000000000</t>
        </is>
      </c>
    </row>
    <row outlineLevel="0" r="736">
      <c r="A736" s="4108" t="inlineStr">
        <is>
          <t>13579246820220933</t>
        </is>
      </c>
      <c r="B736" s="4108" t="inlineStr">
        <is>
          <t>33</t>
        </is>
      </c>
      <c r="C736" s="4108" t="inlineStr">
        <is>
          <t>135792468</t>
        </is>
      </c>
      <c r="D736" s="4108" t="inlineStr">
        <is>
          <t>202209</t>
        </is>
      </c>
      <c r="E736" s="4108" t="inlineStr">
        <is>
          <t>166,000000000000</t>
        </is>
      </c>
    </row>
    <row outlineLevel="0" r="737">
      <c r="A737" s="4108" t="inlineStr">
        <is>
          <t>13579246820220935</t>
        </is>
      </c>
      <c r="B737" s="4108" t="inlineStr">
        <is>
          <t>35</t>
        </is>
      </c>
      <c r="C737" s="4108" t="inlineStr">
        <is>
          <t>135792468</t>
        </is>
      </c>
      <c r="D737" s="4108" t="inlineStr">
        <is>
          <t>202209</t>
        </is>
      </c>
      <c r="E737" s="4108" t="inlineStr">
        <is>
          <t>0,000000000000</t>
        </is>
      </c>
    </row>
    <row outlineLevel="0" r="738">
      <c r="A738" s="4108" t="inlineStr">
        <is>
          <t>13579246820220934</t>
        </is>
      </c>
      <c r="B738" s="4108" t="inlineStr">
        <is>
          <t>34</t>
        </is>
      </c>
      <c r="C738" s="4108" t="inlineStr">
        <is>
          <t>135792468</t>
        </is>
      </c>
      <c r="D738" s="4108" t="inlineStr">
        <is>
          <t>202209</t>
        </is>
      </c>
      <c r="E738" s="4108" t="inlineStr">
        <is>
          <t>0,000000000000</t>
        </is>
      </c>
    </row>
    <row outlineLevel="0" r="739">
      <c r="A739" s="4108" t="inlineStr">
        <is>
          <t>13579246820220936</t>
        </is>
      </c>
      <c r="B739" s="4108" t="inlineStr">
        <is>
          <t>36</t>
        </is>
      </c>
      <c r="C739" s="4108" t="inlineStr">
        <is>
          <t>135792468</t>
        </is>
      </c>
      <c r="D739" s="4108" t="inlineStr">
        <is>
          <t>202209</t>
        </is>
      </c>
      <c r="E739" s="4108" t="inlineStr">
        <is>
          <t>6,000000000000</t>
        </is>
      </c>
    </row>
    <row outlineLevel="0" r="740">
      <c r="A740" s="4108" t="inlineStr">
        <is>
          <t>13579246820220937</t>
        </is>
      </c>
      <c r="B740" s="4108" t="inlineStr">
        <is>
          <t>37</t>
        </is>
      </c>
      <c r="C740" s="4108" t="inlineStr">
        <is>
          <t>135792468</t>
        </is>
      </c>
      <c r="D740" s="4108" t="inlineStr">
        <is>
          <t>202209</t>
        </is>
      </c>
      <c r="E740" s="4108" t="inlineStr">
        <is>
          <t>905,000000000000</t>
        </is>
      </c>
    </row>
    <row outlineLevel="0" r="741">
      <c r="A741" s="4108" t="inlineStr">
        <is>
          <t>13579246820220938</t>
        </is>
      </c>
      <c r="B741" s="4108" t="inlineStr">
        <is>
          <t>38</t>
        </is>
      </c>
      <c r="C741" s="4108" t="inlineStr">
        <is>
          <t>135792468</t>
        </is>
      </c>
      <c r="D741" s="4108" t="inlineStr">
        <is>
          <t>202209</t>
        </is>
      </c>
      <c r="E741" s="4108" t="inlineStr">
        <is>
          <t>0,000000000000</t>
        </is>
      </c>
    </row>
    <row outlineLevel="0" r="742">
      <c r="A742" s="4108" t="inlineStr">
        <is>
          <t>13579246820220941</t>
        </is>
      </c>
      <c r="B742" s="4108" t="inlineStr">
        <is>
          <t>41</t>
        </is>
      </c>
      <c r="C742" s="4108" t="inlineStr">
        <is>
          <t>135792468</t>
        </is>
      </c>
      <c r="D742" s="4108" t="inlineStr">
        <is>
          <t>202209</t>
        </is>
      </c>
      <c r="E742" s="4108" t="inlineStr">
        <is>
          <t>1943,000000000000</t>
        </is>
      </c>
    </row>
    <row outlineLevel="0" r="743">
      <c r="A743" s="4108" t="inlineStr">
        <is>
          <t>13579246820220942</t>
        </is>
      </c>
      <c r="B743" s="4108" t="inlineStr">
        <is>
          <t>42</t>
        </is>
      </c>
      <c r="C743" s="4108" t="inlineStr">
        <is>
          <t>135792468</t>
        </is>
      </c>
      <c r="D743" s="4108" t="inlineStr">
        <is>
          <t>202209</t>
        </is>
      </c>
      <c r="E743" s="4108" t="inlineStr">
        <is>
          <t>0,000000000000</t>
        </is>
      </c>
    </row>
    <row outlineLevel="0" r="744">
      <c r="A744" s="4108" t="inlineStr">
        <is>
          <t>13579246820220951</t>
        </is>
      </c>
      <c r="B744" s="4108" t="inlineStr">
        <is>
          <t>51</t>
        </is>
      </c>
      <c r="C744" s="4108" t="inlineStr">
        <is>
          <t>135792468</t>
        </is>
      </c>
      <c r="D744" s="4108" t="inlineStr">
        <is>
          <t>202209</t>
        </is>
      </c>
      <c r="E744" s="4108" t="inlineStr">
        <is>
          <t>1350,000000000000</t>
        </is>
      </c>
    </row>
    <row outlineLevel="0" r="745">
      <c r="A745" s="4108" t="inlineStr">
        <is>
          <t>13579246820220953</t>
        </is>
      </c>
      <c r="B745" s="4108" t="inlineStr">
        <is>
          <t>53</t>
        </is>
      </c>
      <c r="C745" s="4108" t="inlineStr">
        <is>
          <t>135792468</t>
        </is>
      </c>
      <c r="D745" s="4108" t="inlineStr">
        <is>
          <t>202209</t>
        </is>
      </c>
      <c r="E745" s="4108" t="inlineStr">
        <is>
          <t>587,000000000000</t>
        </is>
      </c>
    </row>
    <row outlineLevel="0" r="746">
      <c r="A746" s="4108" t="inlineStr">
        <is>
          <t>13579246820220952</t>
        </is>
      </c>
      <c r="B746" s="4108" t="inlineStr">
        <is>
          <t>52</t>
        </is>
      </c>
      <c r="C746" s="4108" t="inlineStr">
        <is>
          <t>135792468</t>
        </is>
      </c>
      <c r="D746" s="4108" t="inlineStr">
        <is>
          <t>202209</t>
        </is>
      </c>
      <c r="E746" s="4108" t="inlineStr">
        <is>
          <t>0,000000000000</t>
        </is>
      </c>
    </row>
    <row outlineLevel="0" r="747">
      <c r="A747" s="4108" t="inlineStr">
        <is>
          <t>13579246820220954</t>
        </is>
      </c>
      <c r="B747" s="4108" t="inlineStr">
        <is>
          <t>54</t>
        </is>
      </c>
      <c r="C747" s="4108" t="inlineStr">
        <is>
          <t>135792468</t>
        </is>
      </c>
      <c r="D747" s="4108" t="inlineStr">
        <is>
          <t>202209</t>
        </is>
      </c>
      <c r="E747" s="4108" t="inlineStr">
        <is>
          <t>0,000000000000</t>
        </is>
      </c>
    </row>
    <row outlineLevel="0" r="748">
      <c r="A748" s="4108" t="inlineStr">
        <is>
          <t>13579246820220961</t>
        </is>
      </c>
      <c r="B748" s="4108" t="inlineStr">
        <is>
          <t>61</t>
        </is>
      </c>
      <c r="C748" s="4108" t="inlineStr">
        <is>
          <t>135792468</t>
        </is>
      </c>
      <c r="D748" s="4108" t="inlineStr">
        <is>
          <t>202209</t>
        </is>
      </c>
      <c r="E748" s="4108" t="inlineStr">
        <is>
          <t>0,000000000000</t>
        </is>
      </c>
    </row>
    <row outlineLevel="0" r="749">
      <c r="A749" s="4108" t="inlineStr">
        <is>
          <t>13579246820220995</t>
        </is>
      </c>
      <c r="B749" s="4108" t="inlineStr">
        <is>
          <t>95</t>
        </is>
      </c>
      <c r="C749" s="4108" t="inlineStr">
        <is>
          <t>135792468</t>
        </is>
      </c>
      <c r="D749" s="4108" t="inlineStr">
        <is>
          <t>202209</t>
        </is>
      </c>
      <c r="E749" s="4108" t="inlineStr">
        <is>
          <t>1943,000000000000</t>
        </is>
      </c>
    </row>
    <row outlineLevel="0" r="750">
      <c r="A750" s="4108" t="inlineStr">
        <is>
          <t>13579246820220996</t>
        </is>
      </c>
      <c r="B750" s="4108" t="inlineStr">
        <is>
          <t>96</t>
        </is>
      </c>
      <c r="C750" s="4108" t="inlineStr">
        <is>
          <t>135792468</t>
        </is>
      </c>
      <c r="D750" s="4108" t="inlineStr">
        <is>
          <t>202209</t>
        </is>
      </c>
      <c r="E750" s="4108" t="inlineStr">
        <is>
          <t>593,000000000000</t>
        </is>
      </c>
    </row>
    <row outlineLevel="0" r="751">
      <c r="A751" s="4108" t="inlineStr">
        <is>
          <t>13579246820220997</t>
        </is>
      </c>
      <c r="B751" s="4108" t="inlineStr">
        <is>
          <t>97</t>
        </is>
      </c>
      <c r="C751" s="4108" t="inlineStr">
        <is>
          <t>135792468</t>
        </is>
      </c>
      <c r="D751" s="4108" t="inlineStr">
        <is>
          <t>202209</t>
        </is>
      </c>
      <c r="E751" s="4108" t="inlineStr">
        <is>
          <t>6,000000000000</t>
        </is>
      </c>
    </row>
    <row outlineLevel="0" r="752">
      <c r="A752" s="4108" t="inlineStr">
        <is>
          <t>13579246820220998</t>
        </is>
      </c>
      <c r="B752" s="4108" t="inlineStr">
        <is>
          <t>98</t>
        </is>
      </c>
      <c r="C752" s="4108" t="inlineStr">
        <is>
          <t>135792468</t>
        </is>
      </c>
      <c r="D752" s="4108" t="inlineStr">
        <is>
          <t>202209</t>
        </is>
      </c>
      <c r="E752" s="4108" t="inlineStr">
        <is>
          <t>0,000000000000</t>
        </is>
      </c>
    </row>
    <row outlineLevel="0" r="753">
      <c r="A753" s="4108" t="inlineStr">
        <is>
          <t>1357924682022091101</t>
        </is>
      </c>
      <c r="B753" s="4108" t="inlineStr">
        <is>
          <t>1101</t>
        </is>
      </c>
      <c r="C753" s="4108" t="inlineStr">
        <is>
          <t>135792468</t>
        </is>
      </c>
      <c r="D753" s="4108" t="inlineStr">
        <is>
          <t>202209</t>
        </is>
      </c>
      <c r="E753" s="4108" t="inlineStr">
        <is>
          <t>283,000000000000</t>
        </is>
      </c>
    </row>
    <row outlineLevel="0" r="754">
      <c r="A754" s="4108" t="inlineStr">
        <is>
          <t>13579246820220999</t>
        </is>
      </c>
      <c r="B754" s="4108" t="inlineStr">
        <is>
          <t>99</t>
        </is>
      </c>
      <c r="C754" s="4108" t="inlineStr">
        <is>
          <t>135792468</t>
        </is>
      </c>
      <c r="D754" s="4108" t="inlineStr">
        <is>
          <t>202209</t>
        </is>
      </c>
      <c r="E754" s="4108" t="inlineStr">
        <is>
          <t>6,000000000000</t>
        </is>
      </c>
    </row>
    <row outlineLevel="0" r="755">
      <c r="A755" s="4108" t="inlineStr">
        <is>
          <t>1357924682022091102</t>
        </is>
      </c>
      <c r="B755" s="4108" t="inlineStr">
        <is>
          <t>1102</t>
        </is>
      </c>
      <c r="C755" s="4108" t="inlineStr">
        <is>
          <t>135792468</t>
        </is>
      </c>
      <c r="D755" s="4108" t="inlineStr">
        <is>
          <t>202209</t>
        </is>
      </c>
      <c r="E755" s="4108" t="inlineStr">
        <is>
          <t>0,000000000000</t>
        </is>
      </c>
    </row>
    <row outlineLevel="0" r="756">
      <c r="A756" s="4108" t="inlineStr">
        <is>
          <t>1357924682022091103</t>
        </is>
      </c>
      <c r="B756" s="4108" t="inlineStr">
        <is>
          <t>1103</t>
        </is>
      </c>
      <c r="C756" s="4108" t="inlineStr">
        <is>
          <t>135792468</t>
        </is>
      </c>
      <c r="D756" s="4108" t="inlineStr">
        <is>
          <t>202209</t>
        </is>
      </c>
      <c r="E756" s="4108" t="inlineStr">
        <is>
          <t>377,000000000000</t>
        </is>
      </c>
    </row>
    <row outlineLevel="0" r="757">
      <c r="A757" s="4108" t="inlineStr">
        <is>
          <t>1357924682022091104</t>
        </is>
      </c>
      <c r="B757" s="4108" t="inlineStr">
        <is>
          <t>1104</t>
        </is>
      </c>
      <c r="C757" s="4108" t="inlineStr">
        <is>
          <t>135792468</t>
        </is>
      </c>
      <c r="D757" s="4108" t="inlineStr">
        <is>
          <t>202209</t>
        </is>
      </c>
      <c r="E757" s="4108" t="inlineStr">
        <is>
          <t>0,000000000000</t>
        </is>
      </c>
    </row>
    <row outlineLevel="0" r="758">
      <c r="A758" s="4108" t="inlineStr">
        <is>
          <t>1357924682022091106</t>
        </is>
      </c>
      <c r="B758" s="4108" t="inlineStr">
        <is>
          <t>1106</t>
        </is>
      </c>
      <c r="C758" s="4108" t="inlineStr">
        <is>
          <t>135792468</t>
        </is>
      </c>
      <c r="D758" s="4108" t="inlineStr">
        <is>
          <t>202209</t>
        </is>
      </c>
      <c r="E758" s="4108" t="inlineStr">
        <is>
          <t>48,000000000000</t>
        </is>
      </c>
    </row>
    <row outlineLevel="0" r="759">
      <c r="A759" s="4108" t="inlineStr">
        <is>
          <t>1357924682022091107</t>
        </is>
      </c>
      <c r="B759" s="4108" t="inlineStr">
        <is>
          <t>1107</t>
        </is>
      </c>
      <c r="C759" s="4108" t="inlineStr">
        <is>
          <t>135792468</t>
        </is>
      </c>
      <c r="D759" s="4108" t="inlineStr">
        <is>
          <t>202209</t>
        </is>
      </c>
      <c r="E759" s="4108" t="inlineStr">
        <is>
          <t>0,000000000000</t>
        </is>
      </c>
    </row>
    <row outlineLevel="0" r="760">
      <c r="A760" s="4108" t="inlineStr">
        <is>
          <t>1357924682022091201</t>
        </is>
      </c>
      <c r="B760" s="4108" t="inlineStr">
        <is>
          <t>1201</t>
        </is>
      </c>
      <c r="C760" s="4108" t="inlineStr">
        <is>
          <t>135792468</t>
        </is>
      </c>
      <c r="D760" s="4108" t="inlineStr">
        <is>
          <t>202209</t>
        </is>
      </c>
      <c r="E760" s="4108" t="inlineStr">
        <is>
          <t>15240,000000000000</t>
        </is>
      </c>
    </row>
    <row outlineLevel="0" r="761">
      <c r="A761" s="4108" t="inlineStr">
        <is>
          <t>1357924682022091203</t>
        </is>
      </c>
      <c r="B761" s="4108" t="inlineStr">
        <is>
          <t>1203</t>
        </is>
      </c>
      <c r="C761" s="4108" t="inlineStr">
        <is>
          <t>135792468</t>
        </is>
      </c>
      <c r="D761" s="4108" t="inlineStr">
        <is>
          <t>202209</t>
        </is>
      </c>
      <c r="E761" s="4108" t="inlineStr">
        <is>
          <t>0,000000000000</t>
        </is>
      </c>
    </row>
    <row outlineLevel="0" r="762">
      <c r="A762" s="4108" t="inlineStr">
        <is>
          <t>1357924682022091202</t>
        </is>
      </c>
      <c r="B762" s="4108" t="inlineStr">
        <is>
          <t>1202</t>
        </is>
      </c>
      <c r="C762" s="4108" t="inlineStr">
        <is>
          <t>135792468</t>
        </is>
      </c>
      <c r="D762" s="4108" t="inlineStr">
        <is>
          <t>202209</t>
        </is>
      </c>
      <c r="E762" s="4108" t="inlineStr">
        <is>
          <t>0,000000000000</t>
        </is>
      </c>
    </row>
    <row outlineLevel="0" r="763">
      <c r="A763" s="4108" t="inlineStr">
        <is>
          <t>1357924682022091205</t>
        </is>
      </c>
      <c r="B763" s="4108" t="inlineStr">
        <is>
          <t>1205</t>
        </is>
      </c>
      <c r="C763" s="4108" t="inlineStr">
        <is>
          <t>135792468</t>
        </is>
      </c>
      <c r="D763" s="4108" t="inlineStr">
        <is>
          <t>202209</t>
        </is>
      </c>
      <c r="E763" s="4108" t="inlineStr">
        <is>
          <t>0,000000000000</t>
        </is>
      </c>
    </row>
    <row outlineLevel="0" r="764">
      <c r="A764" s="4108" t="inlineStr">
        <is>
          <t>1357924682022091206</t>
        </is>
      </c>
      <c r="B764" s="4108" t="inlineStr">
        <is>
          <t>1206</t>
        </is>
      </c>
      <c r="C764" s="4108" t="inlineStr">
        <is>
          <t>135792468</t>
        </is>
      </c>
      <c r="D764" s="4108" t="inlineStr">
        <is>
          <t>202209</t>
        </is>
      </c>
      <c r="E764" s="4108" t="inlineStr">
        <is>
          <t>0,000000000000</t>
        </is>
      </c>
    </row>
    <row outlineLevel="0" r="765">
      <c r="A765" s="4108" t="inlineStr">
        <is>
          <t>1357924682022091207</t>
        </is>
      </c>
      <c r="B765" s="4108" t="inlineStr">
        <is>
          <t>1207</t>
        </is>
      </c>
      <c r="C765" s="4108" t="inlineStr">
        <is>
          <t>135792468</t>
        </is>
      </c>
      <c r="D765" s="4108" t="inlineStr">
        <is>
          <t>202209</t>
        </is>
      </c>
      <c r="E765" s="4108" t="inlineStr">
        <is>
          <t>3758,000000000000</t>
        </is>
      </c>
    </row>
    <row outlineLevel="0" r="766">
      <c r="A766" s="4108" t="inlineStr">
        <is>
          <t>1357924682022091208</t>
        </is>
      </c>
      <c r="B766" s="4108" t="inlineStr">
        <is>
          <t>1208</t>
        </is>
      </c>
      <c r="C766" s="4108" t="inlineStr">
        <is>
          <t>135792468</t>
        </is>
      </c>
      <c r="D766" s="4108" t="inlineStr">
        <is>
          <t>202209</t>
        </is>
      </c>
      <c r="E766" s="4108" t="inlineStr">
        <is>
          <t>0,000000000000</t>
        </is>
      </c>
    </row>
    <row outlineLevel="0" r="767">
      <c r="A767" s="4108" t="inlineStr">
        <is>
          <t>1357924682022092101</t>
        </is>
      </c>
      <c r="B767" s="4108" t="inlineStr">
        <is>
          <t>2101</t>
        </is>
      </c>
      <c r="C767" s="4108" t="inlineStr">
        <is>
          <t>135792468</t>
        </is>
      </c>
      <c r="D767" s="4108" t="inlineStr">
        <is>
          <t>202209</t>
        </is>
      </c>
      <c r="E767" s="4108" t="inlineStr">
        <is>
          <t>433,000000000000</t>
        </is>
      </c>
    </row>
    <row outlineLevel="0" r="768">
      <c r="A768" s="4108" t="inlineStr">
        <is>
          <t>1357924682022092102</t>
        </is>
      </c>
      <c r="B768" s="4108" t="inlineStr">
        <is>
          <t>2102</t>
        </is>
      </c>
      <c r="C768" s="4108" t="inlineStr">
        <is>
          <t>135792468</t>
        </is>
      </c>
      <c r="D768" s="4108" t="inlineStr">
        <is>
          <t>202209</t>
        </is>
      </c>
      <c r="E768" s="4108" t="inlineStr">
        <is>
          <t>0,000000000000</t>
        </is>
      </c>
    </row>
    <row outlineLevel="0" r="769">
      <c r="A769" s="4108" t="inlineStr">
        <is>
          <t>1357924682022092104</t>
        </is>
      </c>
      <c r="B769" s="4108" t="inlineStr">
        <is>
          <t>2104</t>
        </is>
      </c>
      <c r="C769" s="4108" t="inlineStr">
        <is>
          <t>135792468</t>
        </is>
      </c>
      <c r="D769" s="4108" t="inlineStr">
        <is>
          <t>202209</t>
        </is>
      </c>
      <c r="E769" s="4108" t="inlineStr">
        <is>
          <t>0,000000000000</t>
        </is>
      </c>
    </row>
    <row outlineLevel="0" r="770">
      <c r="A770" s="4108" t="inlineStr">
        <is>
          <t>1357924682022092103</t>
        </is>
      </c>
      <c r="B770" s="4108" t="inlineStr">
        <is>
          <t>2103</t>
        </is>
      </c>
      <c r="C770" s="4108" t="inlineStr">
        <is>
          <t>135792468</t>
        </is>
      </c>
      <c r="D770" s="4108" t="inlineStr">
        <is>
          <t>202209</t>
        </is>
      </c>
      <c r="E770" s="4108" t="inlineStr">
        <is>
          <t>1650,000000000000</t>
        </is>
      </c>
    </row>
    <row outlineLevel="0" r="771">
      <c r="A771" s="4108" t="inlineStr">
        <is>
          <t>1357924682022092105</t>
        </is>
      </c>
      <c r="B771" s="4108" t="inlineStr">
        <is>
          <t>2105</t>
        </is>
      </c>
      <c r="C771" s="4108" t="inlineStr">
        <is>
          <t>135792468</t>
        </is>
      </c>
      <c r="D771" s="4108" t="inlineStr">
        <is>
          <t>202209</t>
        </is>
      </c>
      <c r="E771" s="4108" t="inlineStr">
        <is>
          <t>7,000000000000</t>
        </is>
      </c>
    </row>
    <row outlineLevel="0" r="772">
      <c r="A772" s="4108" t="inlineStr">
        <is>
          <t>1357924682022092106</t>
        </is>
      </c>
      <c r="B772" s="4108" t="inlineStr">
        <is>
          <t>2106</t>
        </is>
      </c>
      <c r="C772" s="4108" t="inlineStr">
        <is>
          <t>135792468</t>
        </is>
      </c>
      <c r="D772" s="4108" t="inlineStr">
        <is>
          <t>202209</t>
        </is>
      </c>
      <c r="E772" s="4108" t="inlineStr">
        <is>
          <t>0,000000000000</t>
        </is>
      </c>
    </row>
    <row outlineLevel="0" r="773">
      <c r="A773" s="4108" t="inlineStr">
        <is>
          <t>1357924682022092107</t>
        </is>
      </c>
      <c r="B773" s="4108" t="inlineStr">
        <is>
          <t>2107</t>
        </is>
      </c>
      <c r="C773" s="4108" t="inlineStr">
        <is>
          <t>135792468</t>
        </is>
      </c>
      <c r="D773" s="4108" t="inlineStr">
        <is>
          <t>202209</t>
        </is>
      </c>
      <c r="E773" s="4108" t="inlineStr">
        <is>
          <t>172,000000000000</t>
        </is>
      </c>
    </row>
    <row outlineLevel="0" r="774">
      <c r="A774" s="4108" t="inlineStr">
        <is>
          <t>1357924682022092109</t>
        </is>
      </c>
      <c r="B774" s="4108" t="inlineStr">
        <is>
          <t>2109</t>
        </is>
      </c>
      <c r="C774" s="4108" t="inlineStr">
        <is>
          <t>135792468</t>
        </is>
      </c>
      <c r="D774" s="4108" t="inlineStr">
        <is>
          <t>202209</t>
        </is>
      </c>
      <c r="E774" s="4108" t="inlineStr">
        <is>
          <t>0,000000000000</t>
        </is>
      </c>
    </row>
    <row outlineLevel="0" r="775">
      <c r="A775" s="4108" t="inlineStr">
        <is>
          <t>1357924682022092201</t>
        </is>
      </c>
      <c r="B775" s="4108" t="inlineStr">
        <is>
          <t>2201</t>
        </is>
      </c>
      <c r="C775" s="4108" t="inlineStr">
        <is>
          <t>135792468</t>
        </is>
      </c>
      <c r="D775" s="4108" t="inlineStr">
        <is>
          <t>202209</t>
        </is>
      </c>
      <c r="E775" s="4108" t="inlineStr">
        <is>
          <t>11288,000000000000</t>
        </is>
      </c>
    </row>
    <row outlineLevel="0" r="776">
      <c r="A776" s="4108" t="inlineStr">
        <is>
          <t>1357924682022092203</t>
        </is>
      </c>
      <c r="B776" s="4108" t="inlineStr">
        <is>
          <t>2203</t>
        </is>
      </c>
      <c r="C776" s="4108" t="inlineStr">
        <is>
          <t>135792468</t>
        </is>
      </c>
      <c r="D776" s="4108" t="inlineStr">
        <is>
          <t>202209</t>
        </is>
      </c>
      <c r="E776" s="4108" t="inlineStr">
        <is>
          <t>1300,000000000000</t>
        </is>
      </c>
    </row>
    <row outlineLevel="0" r="777">
      <c r="A777" s="4108" t="inlineStr">
        <is>
          <t>1357924682022092206</t>
        </is>
      </c>
      <c r="B777" s="4108" t="inlineStr">
        <is>
          <t>2206</t>
        </is>
      </c>
      <c r="C777" s="4108" t="inlineStr">
        <is>
          <t>135792468</t>
        </is>
      </c>
      <c r="D777" s="4108" t="inlineStr">
        <is>
          <t>202209</t>
        </is>
      </c>
      <c r="E777" s="4108" t="inlineStr">
        <is>
          <t>12,000000000000</t>
        </is>
      </c>
    </row>
    <row outlineLevel="0" r="778">
      <c r="A778" s="4108" t="inlineStr">
        <is>
          <t>1357924682022092204</t>
        </is>
      </c>
      <c r="B778" s="4108" t="inlineStr">
        <is>
          <t>2204</t>
        </is>
      </c>
      <c r="C778" s="4108" t="inlineStr">
        <is>
          <t>135792468</t>
        </is>
      </c>
      <c r="D778" s="4108" t="inlineStr">
        <is>
          <t>202209</t>
        </is>
      </c>
      <c r="E778" s="4108" t="inlineStr">
        <is>
          <t>0,000000000000</t>
        </is>
      </c>
    </row>
    <row outlineLevel="0" r="779">
      <c r="A779" s="4108" t="inlineStr">
        <is>
          <t>1357924682022092207</t>
        </is>
      </c>
      <c r="B779" s="4108" t="inlineStr">
        <is>
          <t>2207</t>
        </is>
      </c>
      <c r="C779" s="4108" t="inlineStr">
        <is>
          <t>135792468</t>
        </is>
      </c>
      <c r="D779" s="4108" t="inlineStr">
        <is>
          <t>202209</t>
        </is>
      </c>
      <c r="E779" s="4108" t="inlineStr">
        <is>
          <t>0,000000000000</t>
        </is>
      </c>
    </row>
    <row outlineLevel="0" r="780">
      <c r="A780" s="4108" t="inlineStr">
        <is>
          <t>1357924682022092209</t>
        </is>
      </c>
      <c r="B780" s="4108" t="inlineStr">
        <is>
          <t>2209</t>
        </is>
      </c>
      <c r="C780" s="4108" t="inlineStr">
        <is>
          <t>135792468</t>
        </is>
      </c>
      <c r="D780" s="4108" t="inlineStr">
        <is>
          <t>202209</t>
        </is>
      </c>
      <c r="E780" s="4108" t="inlineStr">
        <is>
          <t>0,000000000000</t>
        </is>
      </c>
    </row>
    <row outlineLevel="0" r="781">
      <c r="A781" s="4108" t="inlineStr">
        <is>
          <t>1357924682022095301</t>
        </is>
      </c>
      <c r="B781" s="4108" t="inlineStr">
        <is>
          <t>5301</t>
        </is>
      </c>
      <c r="C781" s="4108" t="inlineStr">
        <is>
          <t>135792468</t>
        </is>
      </c>
      <c r="D781" s="4108" t="inlineStr">
        <is>
          <t>202209</t>
        </is>
      </c>
      <c r="E781" s="4108" t="inlineStr">
        <is>
          <t>587,000000000000</t>
        </is>
      </c>
    </row>
    <row outlineLevel="0" r="782">
      <c r="A782" s="4108" t="inlineStr">
        <is>
          <t>135792468202209108000</t>
        </is>
      </c>
      <c r="B782" s="4108" t="inlineStr">
        <is>
          <t>108000</t>
        </is>
      </c>
      <c r="C782" s="4108" t="inlineStr">
        <is>
          <t>135792468</t>
        </is>
      </c>
      <c r="D782" s="4108" t="inlineStr">
        <is>
          <t>202209</t>
        </is>
      </c>
      <c r="E782" s="4108" t="inlineStr">
        <is>
          <t>0,000000000000</t>
        </is>
      </c>
    </row>
    <row outlineLevel="0" r="783">
      <c r="A783" s="4108" t="inlineStr">
        <is>
          <t>135792468202209108100</t>
        </is>
      </c>
      <c r="B783" s="4108" t="inlineStr">
        <is>
          <t>108100</t>
        </is>
      </c>
      <c r="C783" s="4108" t="inlineStr">
        <is>
          <t>135792468</t>
        </is>
      </c>
      <c r="D783" s="4108" t="inlineStr">
        <is>
          <t>202209</t>
        </is>
      </c>
      <c r="E783" s="4108" t="inlineStr">
        <is>
          <t>0,000000000000</t>
        </is>
      </c>
    </row>
    <row outlineLevel="0" r="784">
      <c r="A784" s="4108" t="inlineStr">
        <is>
          <t>135792468202209108200</t>
        </is>
      </c>
      <c r="B784" s="4108" t="inlineStr">
        <is>
          <t>108200</t>
        </is>
      </c>
      <c r="C784" s="4108" t="inlineStr">
        <is>
          <t>135792468</t>
        </is>
      </c>
      <c r="D784" s="4108" t="inlineStr">
        <is>
          <t>202209</t>
        </is>
      </c>
      <c r="E784" s="4108" t="inlineStr">
        <is>
          <t>0,000000000000</t>
        </is>
      </c>
    </row>
    <row outlineLevel="0" r="785">
      <c r="A785" s="4108" t="inlineStr">
        <is>
          <t>135792468202209108400</t>
        </is>
      </c>
      <c r="B785" s="4108" t="inlineStr">
        <is>
          <t>108400</t>
        </is>
      </c>
      <c r="C785" s="4108" t="inlineStr">
        <is>
          <t>135792468</t>
        </is>
      </c>
      <c r="D785" s="4108" t="inlineStr">
        <is>
          <t>202209</t>
        </is>
      </c>
      <c r="E785" s="4108" t="inlineStr">
        <is>
          <t>0,000000000000</t>
        </is>
      </c>
    </row>
    <row outlineLevel="0" r="786">
      <c r="A786" s="4108" t="inlineStr">
        <is>
          <t>135792468202209108300</t>
        </is>
      </c>
      <c r="B786" s="4108" t="inlineStr">
        <is>
          <t>108300</t>
        </is>
      </c>
      <c r="C786" s="4108" t="inlineStr">
        <is>
          <t>135792468</t>
        </is>
      </c>
      <c r="D786" s="4108" t="inlineStr">
        <is>
          <t>202209</t>
        </is>
      </c>
      <c r="E786" s="4108" t="inlineStr">
        <is>
          <t>0,000000000000</t>
        </is>
      </c>
    </row>
    <row outlineLevel="0" r="787">
      <c r="A787" s="4108" t="inlineStr">
        <is>
          <t>135792468202209109801</t>
        </is>
      </c>
      <c r="B787" s="4108" t="inlineStr">
        <is>
          <t>109801</t>
        </is>
      </c>
      <c r="C787" s="4108" t="inlineStr">
        <is>
          <t>135792468</t>
        </is>
      </c>
      <c r="D787" s="4108" t="inlineStr">
        <is>
          <t>202209</t>
        </is>
      </c>
      <c r="E787" s="4108" t="inlineStr">
        <is>
          <t>0,000000000000</t>
        </is>
      </c>
    </row>
    <row outlineLevel="0" r="788">
      <c r="A788" s="4108" t="inlineStr">
        <is>
          <t>135792468202209110105</t>
        </is>
      </c>
      <c r="B788" s="4108" t="inlineStr">
        <is>
          <t>110105</t>
        </is>
      </c>
      <c r="C788" s="4108" t="inlineStr">
        <is>
          <t>135792468</t>
        </is>
      </c>
      <c r="D788" s="4108" t="inlineStr">
        <is>
          <t>202209</t>
        </is>
      </c>
      <c r="E788" s="4108" t="inlineStr">
        <is>
          <t>283,000000000000</t>
        </is>
      </c>
    </row>
    <row outlineLevel="0" r="789">
      <c r="A789" s="4108" t="inlineStr">
        <is>
          <t>135792468202209110110</t>
        </is>
      </c>
      <c r="B789" s="4108" t="inlineStr">
        <is>
          <t>110110</t>
        </is>
      </c>
      <c r="C789" s="4108" t="inlineStr">
        <is>
          <t>135792468</t>
        </is>
      </c>
      <c r="D789" s="4108" t="inlineStr">
        <is>
          <t>202209</t>
        </is>
      </c>
      <c r="E789" s="4108" t="inlineStr">
        <is>
          <t>0,000000000000</t>
        </is>
      </c>
    </row>
    <row outlineLevel="0" r="790">
      <c r="A790" s="4108" t="inlineStr">
        <is>
          <t>135792468202209110125</t>
        </is>
      </c>
      <c r="B790" s="4108" t="inlineStr">
        <is>
          <t>110125</t>
        </is>
      </c>
      <c r="C790" s="4108" t="inlineStr">
        <is>
          <t>135792468</t>
        </is>
      </c>
      <c r="D790" s="4108" t="inlineStr">
        <is>
          <t>202209</t>
        </is>
      </c>
      <c r="E790" s="4108" t="inlineStr">
        <is>
          <t>0,000000000000</t>
        </is>
      </c>
    </row>
    <row outlineLevel="0" r="791">
      <c r="A791" s="4108" t="inlineStr">
        <is>
          <t>135792468202209110130</t>
        </is>
      </c>
      <c r="B791" s="4108" t="inlineStr">
        <is>
          <t>110130</t>
        </is>
      </c>
      <c r="C791" s="4108" t="inlineStr">
        <is>
          <t>135792468</t>
        </is>
      </c>
      <c r="D791" s="4108" t="inlineStr">
        <is>
          <t>202209</t>
        </is>
      </c>
      <c r="E791" s="4108" t="inlineStr">
        <is>
          <t>0,000000000000</t>
        </is>
      </c>
    </row>
    <row outlineLevel="0" r="792">
      <c r="A792" s="4108" t="inlineStr">
        <is>
          <t>135792468202209110205</t>
        </is>
      </c>
      <c r="B792" s="4108" t="inlineStr">
        <is>
          <t>110205</t>
        </is>
      </c>
      <c r="C792" s="4108" t="inlineStr">
        <is>
          <t>135792468</t>
        </is>
      </c>
      <c r="D792" s="4108" t="inlineStr">
        <is>
          <t>202209</t>
        </is>
      </c>
      <c r="E792" s="4108" t="inlineStr">
        <is>
          <t>0,000000000000</t>
        </is>
      </c>
    </row>
    <row outlineLevel="0" r="793">
      <c r="A793" s="4108" t="inlineStr">
        <is>
          <t>135792468202209110215</t>
        </is>
      </c>
      <c r="B793" s="4108" t="inlineStr">
        <is>
          <t>110215</t>
        </is>
      </c>
      <c r="C793" s="4108" t="inlineStr">
        <is>
          <t>135792468</t>
        </is>
      </c>
      <c r="D793" s="4108" t="inlineStr">
        <is>
          <t>202209</t>
        </is>
      </c>
      <c r="E793" s="4108" t="inlineStr">
        <is>
          <t>0,000000000000</t>
        </is>
      </c>
    </row>
    <row outlineLevel="0" r="794">
      <c r="A794" s="4108" t="inlineStr">
        <is>
          <t>135792468202209110210</t>
        </is>
      </c>
      <c r="B794" s="4108" t="inlineStr">
        <is>
          <t>110210</t>
        </is>
      </c>
      <c r="C794" s="4108" t="inlineStr">
        <is>
          <t>135792468</t>
        </is>
      </c>
      <c r="D794" s="4108" t="inlineStr">
        <is>
          <t>202209</t>
        </is>
      </c>
      <c r="E794" s="4108" t="inlineStr">
        <is>
          <t>0,000000000000</t>
        </is>
      </c>
    </row>
    <row outlineLevel="0" r="795">
      <c r="A795" s="4108" t="inlineStr">
        <is>
          <t>135792468202209110225</t>
        </is>
      </c>
      <c r="B795" s="4108" t="inlineStr">
        <is>
          <t>110225</t>
        </is>
      </c>
      <c r="C795" s="4108" t="inlineStr">
        <is>
          <t>135792468</t>
        </is>
      </c>
      <c r="D795" s="4108" t="inlineStr">
        <is>
          <t>202209</t>
        </is>
      </c>
      <c r="E795" s="4108" t="inlineStr">
        <is>
          <t>0,000000000000</t>
        </is>
      </c>
    </row>
    <row outlineLevel="0" r="796">
      <c r="A796" s="4108" t="inlineStr">
        <is>
          <t>135792468202209110235</t>
        </is>
      </c>
      <c r="B796" s="4108" t="inlineStr">
        <is>
          <t>110235</t>
        </is>
      </c>
      <c r="C796" s="4108" t="inlineStr">
        <is>
          <t>135792468</t>
        </is>
      </c>
      <c r="D796" s="4108" t="inlineStr">
        <is>
          <t>202209</t>
        </is>
      </c>
      <c r="E796" s="4108" t="inlineStr">
        <is>
          <t>0,000000000000</t>
        </is>
      </c>
    </row>
    <row outlineLevel="0" r="797">
      <c r="A797" s="4108" t="inlineStr">
        <is>
          <t>135792468202209110255</t>
        </is>
      </c>
      <c r="B797" s="4108" t="inlineStr">
        <is>
          <t>110255</t>
        </is>
      </c>
      <c r="C797" s="4108" t="inlineStr">
        <is>
          <t>135792468</t>
        </is>
      </c>
      <c r="D797" s="4108" t="inlineStr">
        <is>
          <t>202209</t>
        </is>
      </c>
      <c r="E797" s="4108" t="inlineStr">
        <is>
          <t>0,000000000000</t>
        </is>
      </c>
    </row>
    <row outlineLevel="0" r="798">
      <c r="A798" s="4108" t="inlineStr">
        <is>
          <t>135792468202209110260</t>
        </is>
      </c>
      <c r="B798" s="4108" t="inlineStr">
        <is>
          <t>110260</t>
        </is>
      </c>
      <c r="C798" s="4108" t="inlineStr">
        <is>
          <t>135792468</t>
        </is>
      </c>
      <c r="D798" s="4108" t="inlineStr">
        <is>
          <t>202209</t>
        </is>
      </c>
      <c r="E798" s="4108" t="inlineStr">
        <is>
          <t>0,000000000000</t>
        </is>
      </c>
    </row>
    <row outlineLevel="0" r="799">
      <c r="A799" s="4108" t="inlineStr">
        <is>
          <t>135792468202209110305</t>
        </is>
      </c>
      <c r="B799" s="4108" t="inlineStr">
        <is>
          <t>110305</t>
        </is>
      </c>
      <c r="C799" s="4108" t="inlineStr">
        <is>
          <t>135792468</t>
        </is>
      </c>
      <c r="D799" s="4108" t="inlineStr">
        <is>
          <t>202209</t>
        </is>
      </c>
      <c r="E799" s="4108" t="inlineStr">
        <is>
          <t>377,000000000000</t>
        </is>
      </c>
    </row>
    <row outlineLevel="0" r="800">
      <c r="A800" s="4108" t="inlineStr">
        <is>
          <t>135792468202209110390</t>
        </is>
      </c>
      <c r="B800" s="4108" t="inlineStr">
        <is>
          <t>110390</t>
        </is>
      </c>
      <c r="C800" s="4108" t="inlineStr">
        <is>
          <t>135792468</t>
        </is>
      </c>
      <c r="D800" s="4108" t="inlineStr">
        <is>
          <t>202209</t>
        </is>
      </c>
      <c r="E800" s="4108" t="inlineStr">
        <is>
          <t>0,000000000000</t>
        </is>
      </c>
    </row>
    <row outlineLevel="0" r="801">
      <c r="A801" s="4108" t="inlineStr">
        <is>
          <t>135792468202209110405</t>
        </is>
      </c>
      <c r="B801" s="4108" t="inlineStr">
        <is>
          <t>110405</t>
        </is>
      </c>
      <c r="C801" s="4108" t="inlineStr">
        <is>
          <t>135792468</t>
        </is>
      </c>
      <c r="D801" s="4108" t="inlineStr">
        <is>
          <t>202209</t>
        </is>
      </c>
      <c r="E801" s="4108" t="inlineStr">
        <is>
          <t>0,000000000000</t>
        </is>
      </c>
    </row>
    <row outlineLevel="0" r="802">
      <c r="A802" s="4108" t="inlineStr">
        <is>
          <t>135792468202209110395</t>
        </is>
      </c>
      <c r="B802" s="4108" t="inlineStr">
        <is>
          <t>110395</t>
        </is>
      </c>
      <c r="C802" s="4108" t="inlineStr">
        <is>
          <t>135792468</t>
        </is>
      </c>
      <c r="D802" s="4108" t="inlineStr">
        <is>
          <t>202209</t>
        </is>
      </c>
      <c r="E802" s="4108" t="inlineStr">
        <is>
          <t>0,000000000000</t>
        </is>
      </c>
    </row>
    <row outlineLevel="0" r="803">
      <c r="A803" s="4108" t="inlineStr">
        <is>
          <t>135792468202209110410</t>
        </is>
      </c>
      <c r="B803" s="4108" t="inlineStr">
        <is>
          <t>110410</t>
        </is>
      </c>
      <c r="C803" s="4108" t="inlineStr">
        <is>
          <t>135792468</t>
        </is>
      </c>
      <c r="D803" s="4108" t="inlineStr">
        <is>
          <t>202209</t>
        </is>
      </c>
      <c r="E803" s="4108" t="inlineStr">
        <is>
          <t>0,000000000000</t>
        </is>
      </c>
    </row>
    <row outlineLevel="0" r="804">
      <c r="A804" s="4108" t="inlineStr">
        <is>
          <t>135792468202209110415</t>
        </is>
      </c>
      <c r="B804" s="4108" t="inlineStr">
        <is>
          <t>110415</t>
        </is>
      </c>
      <c r="C804" s="4108" t="inlineStr">
        <is>
          <t>135792468</t>
        </is>
      </c>
      <c r="D804" s="4108" t="inlineStr">
        <is>
          <t>202209</t>
        </is>
      </c>
      <c r="E804" s="4108" t="inlineStr">
        <is>
          <t>0,000000000000</t>
        </is>
      </c>
    </row>
    <row outlineLevel="0" r="805">
      <c r="A805" s="4108" t="inlineStr">
        <is>
          <t>135792468202209110420</t>
        </is>
      </c>
      <c r="B805" s="4108" t="inlineStr">
        <is>
          <t>110420</t>
        </is>
      </c>
      <c r="C805" s="4108" t="inlineStr">
        <is>
          <t>135792468</t>
        </is>
      </c>
      <c r="D805" s="4108" t="inlineStr">
        <is>
          <t>202209</t>
        </is>
      </c>
      <c r="E805" s="4108" t="inlineStr">
        <is>
          <t>0,000000000000</t>
        </is>
      </c>
    </row>
    <row outlineLevel="0" r="806">
      <c r="A806" s="4108" t="inlineStr">
        <is>
          <t>135792468202209110490</t>
        </is>
      </c>
      <c r="B806" s="4108" t="inlineStr">
        <is>
          <t>110490</t>
        </is>
      </c>
      <c r="C806" s="4108" t="inlineStr">
        <is>
          <t>135792468</t>
        </is>
      </c>
      <c r="D806" s="4108" t="inlineStr">
        <is>
          <t>202209</t>
        </is>
      </c>
      <c r="E806" s="4108" t="inlineStr">
        <is>
          <t>0,000000000000</t>
        </is>
      </c>
    </row>
    <row outlineLevel="0" r="807">
      <c r="A807" s="4108" t="inlineStr">
        <is>
          <t>135792468202209110491</t>
        </is>
      </c>
      <c r="B807" s="4108" t="inlineStr">
        <is>
          <t>110491</t>
        </is>
      </c>
      <c r="C807" s="4108" t="inlineStr">
        <is>
          <t>135792468</t>
        </is>
      </c>
      <c r="D807" s="4108" t="inlineStr">
        <is>
          <t>202209</t>
        </is>
      </c>
      <c r="E807" s="4108" t="inlineStr">
        <is>
          <t>0,000000000000</t>
        </is>
      </c>
    </row>
    <row outlineLevel="0" r="808">
      <c r="A808" s="4108" t="inlineStr">
        <is>
          <t>135792468202209110495</t>
        </is>
      </c>
      <c r="B808" s="4108" t="inlineStr">
        <is>
          <t>110495</t>
        </is>
      </c>
      <c r="C808" s="4108" t="inlineStr">
        <is>
          <t>135792468</t>
        </is>
      </c>
      <c r="D808" s="4108" t="inlineStr">
        <is>
          <t>202209</t>
        </is>
      </c>
      <c r="E808" s="4108" t="inlineStr">
        <is>
          <t>0,000000000000</t>
        </is>
      </c>
    </row>
    <row outlineLevel="0" r="809">
      <c r="A809" s="4108" t="inlineStr">
        <is>
          <t>135792468202209120104</t>
        </is>
      </c>
      <c r="B809" s="4108" t="inlineStr">
        <is>
          <t>120104</t>
        </is>
      </c>
      <c r="C809" s="4108" t="inlineStr">
        <is>
          <t>135792468</t>
        </is>
      </c>
      <c r="D809" s="4108" t="inlineStr">
        <is>
          <t>202209</t>
        </is>
      </c>
      <c r="E809" s="4108" t="inlineStr">
        <is>
          <t>10123,000000000000</t>
        </is>
      </c>
    </row>
    <row outlineLevel="0" r="810">
      <c r="A810" s="4108" t="inlineStr">
        <is>
          <t>135792468202209111010</t>
        </is>
      </c>
      <c r="B810" s="4108" t="inlineStr">
        <is>
          <t>111010</t>
        </is>
      </c>
      <c r="C810" s="4108" t="inlineStr">
        <is>
          <t>135792468</t>
        </is>
      </c>
      <c r="D810" s="4108" t="inlineStr">
        <is>
          <t>202209</t>
        </is>
      </c>
      <c r="E810" s="4108" t="inlineStr">
        <is>
          <t>0,000000000000</t>
        </is>
      </c>
    </row>
    <row outlineLevel="0" r="811">
      <c r="A811" s="4108" t="inlineStr">
        <is>
          <t>135792468202209120108</t>
        </is>
      </c>
      <c r="B811" s="4108" t="inlineStr">
        <is>
          <t>120108</t>
        </is>
      </c>
      <c r="C811" s="4108" t="inlineStr">
        <is>
          <t>135792468</t>
        </is>
      </c>
      <c r="D811" s="4108" t="inlineStr">
        <is>
          <t>202209</t>
        </is>
      </c>
      <c r="E811" s="4108" t="inlineStr">
        <is>
          <t>897,000000000000</t>
        </is>
      </c>
    </row>
    <row outlineLevel="0" r="812">
      <c r="A812" s="4108" t="inlineStr">
        <is>
          <t>135792468202209120116</t>
        </is>
      </c>
      <c r="B812" s="4108" t="inlineStr">
        <is>
          <t>120116</t>
        </is>
      </c>
      <c r="C812" s="4108" t="inlineStr">
        <is>
          <t>135792468</t>
        </is>
      </c>
      <c r="D812" s="4108" t="inlineStr">
        <is>
          <t>202209</t>
        </is>
      </c>
      <c r="E812" s="4108" t="inlineStr">
        <is>
          <t>9152,000000000000</t>
        </is>
      </c>
    </row>
    <row outlineLevel="0" r="813">
      <c r="A813" s="4108" t="inlineStr">
        <is>
          <t>135792468202209120120</t>
        </is>
      </c>
      <c r="B813" s="4108" t="inlineStr">
        <is>
          <t>120120</t>
        </is>
      </c>
      <c r="C813" s="4108" t="inlineStr">
        <is>
          <t>135792468</t>
        </is>
      </c>
      <c r="D813" s="4108" t="inlineStr">
        <is>
          <t>202209</t>
        </is>
      </c>
      <c r="E813" s="4108" t="inlineStr">
        <is>
          <t>0,000000000000</t>
        </is>
      </c>
    </row>
    <row outlineLevel="0" r="814">
      <c r="A814" s="4108" t="inlineStr">
        <is>
          <t>135792468202209120124</t>
        </is>
      </c>
      <c r="B814" s="4108" t="inlineStr">
        <is>
          <t>120124</t>
        </is>
      </c>
      <c r="C814" s="4108" t="inlineStr">
        <is>
          <t>135792468</t>
        </is>
      </c>
      <c r="D814" s="4108" t="inlineStr">
        <is>
          <t>202209</t>
        </is>
      </c>
      <c r="E814" s="4108" t="inlineStr">
        <is>
          <t>432,000000000000</t>
        </is>
      </c>
    </row>
    <row outlineLevel="0" r="815">
      <c r="A815" s="4108" t="inlineStr">
        <is>
          <t>135792468202209120128</t>
        </is>
      </c>
      <c r="B815" s="4108" t="inlineStr">
        <is>
          <t>120128</t>
        </is>
      </c>
      <c r="C815" s="4108" t="inlineStr">
        <is>
          <t>135792468</t>
        </is>
      </c>
      <c r="D815" s="4108" t="inlineStr">
        <is>
          <t>202209</t>
        </is>
      </c>
      <c r="E815" s="4108" t="inlineStr">
        <is>
          <t>0,000000000000</t>
        </is>
      </c>
    </row>
    <row outlineLevel="0" r="816">
      <c r="A816" s="4108" t="inlineStr">
        <is>
          <t>135792468202209120140</t>
        </is>
      </c>
      <c r="B816" s="4108" t="inlineStr">
        <is>
          <t>120140</t>
        </is>
      </c>
      <c r="C816" s="4108" t="inlineStr">
        <is>
          <t>135792468</t>
        </is>
      </c>
      <c r="D816" s="4108" t="inlineStr">
        <is>
          <t>202209</t>
        </is>
      </c>
      <c r="E816" s="4108" t="inlineStr">
        <is>
          <t>406,000000000000</t>
        </is>
      </c>
    </row>
    <row outlineLevel="0" r="817">
      <c r="A817" s="4108" t="inlineStr">
        <is>
          <t>135792468202209120195</t>
        </is>
      </c>
      <c r="B817" s="4108" t="inlineStr">
        <is>
          <t>120195</t>
        </is>
      </c>
      <c r="C817" s="4108" t="inlineStr">
        <is>
          <t>135792468</t>
        </is>
      </c>
      <c r="D817" s="4108" t="inlineStr">
        <is>
          <t>202209</t>
        </is>
      </c>
      <c r="E817" s="4108" t="inlineStr">
        <is>
          <t>-5770,000000000000</t>
        </is>
      </c>
    </row>
    <row outlineLevel="0" r="818">
      <c r="A818" s="4108" t="inlineStr">
        <is>
          <t>135792468202209120145</t>
        </is>
      </c>
      <c r="B818" s="4108" t="inlineStr">
        <is>
          <t>120145</t>
        </is>
      </c>
      <c r="C818" s="4108" t="inlineStr">
        <is>
          <t>135792468</t>
        </is>
      </c>
      <c r="D818" s="4108" t="inlineStr">
        <is>
          <t>202209</t>
        </is>
      </c>
      <c r="E818" s="4108" t="inlineStr">
        <is>
          <t>0,000000000000</t>
        </is>
      </c>
    </row>
    <row outlineLevel="0" r="819">
      <c r="A819" s="4108" t="inlineStr">
        <is>
          <t>135792468202209120501</t>
        </is>
      </c>
      <c r="B819" s="4108" t="inlineStr">
        <is>
          <t>120501</t>
        </is>
      </c>
      <c r="C819" s="4108" t="inlineStr">
        <is>
          <t>135792468</t>
        </is>
      </c>
      <c r="D819" s="4108" t="inlineStr">
        <is>
          <t>202209</t>
        </is>
      </c>
      <c r="E819" s="4108" t="inlineStr">
        <is>
          <t>0,000000000000</t>
        </is>
      </c>
    </row>
    <row outlineLevel="0" r="820">
      <c r="A820" s="4108" t="inlineStr">
        <is>
          <t>135792468202209120610</t>
        </is>
      </c>
      <c r="B820" s="4108" t="inlineStr">
        <is>
          <t>120610</t>
        </is>
      </c>
      <c r="C820" s="4108" t="inlineStr">
        <is>
          <t>135792468</t>
        </is>
      </c>
      <c r="D820" s="4108" t="inlineStr">
        <is>
          <t>202209</t>
        </is>
      </c>
      <c r="E820" s="4108" t="inlineStr">
        <is>
          <t>0,000000000000</t>
        </is>
      </c>
    </row>
    <row outlineLevel="0" r="821">
      <c r="A821" s="4108" t="inlineStr">
        <is>
          <t>135792468202209120615</t>
        </is>
      </c>
      <c r="B821" s="4108" t="inlineStr">
        <is>
          <t>120615</t>
        </is>
      </c>
      <c r="C821" s="4108" t="inlineStr">
        <is>
          <t>135792468</t>
        </is>
      </c>
      <c r="D821" s="4108" t="inlineStr">
        <is>
          <t>202209</t>
        </is>
      </c>
      <c r="E821" s="4108" t="inlineStr">
        <is>
          <t>0,000000000000</t>
        </is>
      </c>
    </row>
    <row outlineLevel="0" r="822">
      <c r="A822" s="4108" t="inlineStr">
        <is>
          <t>135792468202209120620</t>
        </is>
      </c>
      <c r="B822" s="4108" t="inlineStr">
        <is>
          <t>120620</t>
        </is>
      </c>
      <c r="C822" s="4108" t="inlineStr">
        <is>
          <t>135792468</t>
        </is>
      </c>
      <c r="D822" s="4108" t="inlineStr">
        <is>
          <t>202209</t>
        </is>
      </c>
      <c r="E822" s="4108" t="inlineStr">
        <is>
          <t>0,000000000000</t>
        </is>
      </c>
    </row>
    <row outlineLevel="0" r="823">
      <c r="A823" s="4108" t="inlineStr">
        <is>
          <t>135792468202209121001</t>
        </is>
      </c>
      <c r="B823" s="4108" t="inlineStr">
        <is>
          <t>121001</t>
        </is>
      </c>
      <c r="C823" s="4108" t="inlineStr">
        <is>
          <t>135792468</t>
        </is>
      </c>
      <c r="D823" s="4108" t="inlineStr">
        <is>
          <t>202209</t>
        </is>
      </c>
      <c r="E823" s="4108" t="inlineStr">
        <is>
          <t>0,000000000000</t>
        </is>
      </c>
    </row>
    <row outlineLevel="0" r="824">
      <c r="A824" s="4108" t="inlineStr">
        <is>
          <t>135792468202209121501</t>
        </is>
      </c>
      <c r="B824" s="4108" t="inlineStr">
        <is>
          <t>121501</t>
        </is>
      </c>
      <c r="C824" s="4108" t="inlineStr">
        <is>
          <t>135792468</t>
        </is>
      </c>
      <c r="D824" s="4108" t="inlineStr">
        <is>
          <t>202209</t>
        </is>
      </c>
      <c r="E824" s="4108" t="inlineStr">
        <is>
          <t>0,000000000000</t>
        </is>
      </c>
    </row>
    <row outlineLevel="0" r="825">
      <c r="A825" s="4108" t="inlineStr">
        <is>
          <t>135792468202209125501</t>
        </is>
      </c>
      <c r="B825" s="4108" t="inlineStr">
        <is>
          <t>125501</t>
        </is>
      </c>
      <c r="C825" s="4108" t="inlineStr">
        <is>
          <t>135792468</t>
        </is>
      </c>
      <c r="D825" s="4108" t="inlineStr">
        <is>
          <t>202209</t>
        </is>
      </c>
      <c r="E825" s="4108" t="inlineStr">
        <is>
          <t>0,000000000000</t>
        </is>
      </c>
    </row>
    <row outlineLevel="0" r="826">
      <c r="A826" s="4108" t="inlineStr">
        <is>
          <t>135792468202209123501</t>
        </is>
      </c>
      <c r="B826" s="4108" t="inlineStr">
        <is>
          <t>123501</t>
        </is>
      </c>
      <c r="C826" s="4108" t="inlineStr">
        <is>
          <t>135792468</t>
        </is>
      </c>
      <c r="D826" s="4108" t="inlineStr">
        <is>
          <t>202209</t>
        </is>
      </c>
      <c r="E826" s="4108" t="inlineStr">
        <is>
          <t>0,000000000000</t>
        </is>
      </c>
    </row>
    <row outlineLevel="0" r="827">
      <c r="A827" s="4108" t="inlineStr">
        <is>
          <t>135792468202209126001</t>
        </is>
      </c>
      <c r="B827" s="4108" t="inlineStr">
        <is>
          <t>126001</t>
        </is>
      </c>
      <c r="C827" s="4108" t="inlineStr">
        <is>
          <t>135792468</t>
        </is>
      </c>
      <c r="D827" s="4108" t="inlineStr">
        <is>
          <t>202209</t>
        </is>
      </c>
      <c r="E827" s="4108" t="inlineStr">
        <is>
          <t>0,000000000000</t>
        </is>
      </c>
    </row>
    <row outlineLevel="0" r="828">
      <c r="A828" s="4108" t="inlineStr">
        <is>
          <t>135792468202209129501</t>
        </is>
      </c>
      <c r="B828" s="4108" t="inlineStr">
        <is>
          <t>129501</t>
        </is>
      </c>
      <c r="C828" s="4108" t="inlineStr">
        <is>
          <t>135792468</t>
        </is>
      </c>
      <c r="D828" s="4108" t="inlineStr">
        <is>
          <t>202209</t>
        </is>
      </c>
      <c r="E828" s="4108" t="inlineStr">
        <is>
          <t>0,000000000000</t>
        </is>
      </c>
    </row>
    <row outlineLevel="0" r="829">
      <c r="A829" s="4108" t="inlineStr">
        <is>
          <t>135792468202209129700</t>
        </is>
      </c>
      <c r="B829" s="4108" t="inlineStr">
        <is>
          <t>129700</t>
        </is>
      </c>
      <c r="C829" s="4108" t="inlineStr">
        <is>
          <t>135792468</t>
        </is>
      </c>
      <c r="D829" s="4108" t="inlineStr">
        <is>
          <t>202209</t>
        </is>
      </c>
      <c r="E829" s="4108" t="inlineStr">
        <is>
          <t>0,000000000000</t>
        </is>
      </c>
    </row>
    <row outlineLevel="0" r="830">
      <c r="A830" s="4108" t="inlineStr">
        <is>
          <t>135792468202209129701</t>
        </is>
      </c>
      <c r="B830" s="4108" t="inlineStr">
        <is>
          <t>129701</t>
        </is>
      </c>
      <c r="C830" s="4108" t="inlineStr">
        <is>
          <t>135792468</t>
        </is>
      </c>
      <c r="D830" s="4108" t="inlineStr">
        <is>
          <t>202209</t>
        </is>
      </c>
      <c r="E830" s="4108" t="inlineStr">
        <is>
          <t>0,000000000000</t>
        </is>
      </c>
    </row>
    <row outlineLevel="0" r="831">
      <c r="A831" s="4108" t="inlineStr">
        <is>
          <t>135792468202209129901</t>
        </is>
      </c>
      <c r="B831" s="4108" t="inlineStr">
        <is>
          <t>129901</t>
        </is>
      </c>
      <c r="C831" s="4108" t="inlineStr">
        <is>
          <t>135792468</t>
        </is>
      </c>
      <c r="D831" s="4108" t="inlineStr">
        <is>
          <t>202209</t>
        </is>
      </c>
      <c r="E831" s="4108" t="inlineStr">
        <is>
          <t>0,000000000000</t>
        </is>
      </c>
    </row>
    <row outlineLevel="0" r="832">
      <c r="A832" s="4108" t="inlineStr">
        <is>
          <t>135792468202209130506</t>
        </is>
      </c>
      <c r="B832" s="4108" t="inlineStr">
        <is>
          <t>130506</t>
        </is>
      </c>
      <c r="C832" s="4108" t="inlineStr">
        <is>
          <t>135792468</t>
        </is>
      </c>
      <c r="D832" s="4108" t="inlineStr">
        <is>
          <t>202209</t>
        </is>
      </c>
      <c r="E832" s="4108" t="inlineStr">
        <is>
          <t>0,000000000000</t>
        </is>
      </c>
    </row>
    <row outlineLevel="0" r="833">
      <c r="A833" s="4108" t="inlineStr">
        <is>
          <t>135792468202209130511</t>
        </is>
      </c>
      <c r="B833" s="4108" t="inlineStr">
        <is>
          <t>130511</t>
        </is>
      </c>
      <c r="C833" s="4108" t="inlineStr">
        <is>
          <t>135792468</t>
        </is>
      </c>
      <c r="D833" s="4108" t="inlineStr">
        <is>
          <t>202209</t>
        </is>
      </c>
      <c r="E833" s="4108" t="inlineStr">
        <is>
          <t>0,000000000000</t>
        </is>
      </c>
    </row>
    <row outlineLevel="0" r="834">
      <c r="A834" s="4108" t="inlineStr">
        <is>
          <t>135792468202209130510</t>
        </is>
      </c>
      <c r="B834" s="4108" t="inlineStr">
        <is>
          <t>130510</t>
        </is>
      </c>
      <c r="C834" s="4108" t="inlineStr">
        <is>
          <t>135792468</t>
        </is>
      </c>
      <c r="D834" s="4108" t="inlineStr">
        <is>
          <t>202209</t>
        </is>
      </c>
      <c r="E834" s="4108" t="inlineStr">
        <is>
          <t>0,000000000000</t>
        </is>
      </c>
    </row>
    <row outlineLevel="0" r="835">
      <c r="A835" s="4108" t="inlineStr">
        <is>
          <t>135792468202209131000</t>
        </is>
      </c>
      <c r="B835" s="4108" t="inlineStr">
        <is>
          <t>131000</t>
        </is>
      </c>
      <c r="C835" s="4108" t="inlineStr">
        <is>
          <t>135792468</t>
        </is>
      </c>
      <c r="D835" s="4108" t="inlineStr">
        <is>
          <t>202209</t>
        </is>
      </c>
      <c r="E835" s="4108" t="inlineStr">
        <is>
          <t>0,000000000000</t>
        </is>
      </c>
    </row>
    <row outlineLevel="0" r="836">
      <c r="A836" s="4108" t="inlineStr">
        <is>
          <t>135792468202209131001</t>
        </is>
      </c>
      <c r="B836" s="4108" t="inlineStr">
        <is>
          <t>131001</t>
        </is>
      </c>
      <c r="C836" s="4108" t="inlineStr">
        <is>
          <t>135792468</t>
        </is>
      </c>
      <c r="D836" s="4108" t="inlineStr">
        <is>
          <t>202209</t>
        </is>
      </c>
      <c r="E836" s="4108" t="inlineStr">
        <is>
          <t>0,000000000000</t>
        </is>
      </c>
    </row>
    <row outlineLevel="0" r="837">
      <c r="A837" s="4108" t="inlineStr">
        <is>
          <t>135792468202209131501</t>
        </is>
      </c>
      <c r="B837" s="4108" t="inlineStr">
        <is>
          <t>131501</t>
        </is>
      </c>
      <c r="C837" s="4108" t="inlineStr">
        <is>
          <t>135792468</t>
        </is>
      </c>
      <c r="D837" s="4108" t="inlineStr">
        <is>
          <t>202209</t>
        </is>
      </c>
      <c r="E837" s="4108" t="inlineStr">
        <is>
          <t>0,000000000000</t>
        </is>
      </c>
    </row>
    <row outlineLevel="0" r="838">
      <c r="A838" s="4108" t="inlineStr">
        <is>
          <t>135792468202209132000</t>
        </is>
      </c>
      <c r="B838" s="4108" t="inlineStr">
        <is>
          <t>132000</t>
        </is>
      </c>
      <c r="C838" s="4108" t="inlineStr">
        <is>
          <t>135792468</t>
        </is>
      </c>
      <c r="D838" s="4108" t="inlineStr">
        <is>
          <t>202209</t>
        </is>
      </c>
      <c r="E838" s="4108" t="inlineStr">
        <is>
          <t>0,000000000000</t>
        </is>
      </c>
    </row>
    <row outlineLevel="0" r="839">
      <c r="A839" s="4108" t="inlineStr">
        <is>
          <t>135792468202209132001</t>
        </is>
      </c>
      <c r="B839" s="4108" t="inlineStr">
        <is>
          <t>132001</t>
        </is>
      </c>
      <c r="C839" s="4108" t="inlineStr">
        <is>
          <t>135792468</t>
        </is>
      </c>
      <c r="D839" s="4108" t="inlineStr">
        <is>
          <t>202209</t>
        </is>
      </c>
      <c r="E839" s="4108" t="inlineStr">
        <is>
          <t>0,000000000000</t>
        </is>
      </c>
    </row>
    <row outlineLevel="0" r="840">
      <c r="A840" s="4108" t="inlineStr">
        <is>
          <t>135792468202209132500</t>
        </is>
      </c>
      <c r="B840" s="4108" t="inlineStr">
        <is>
          <t>132500</t>
        </is>
      </c>
      <c r="C840" s="4108" t="inlineStr">
        <is>
          <t>135792468</t>
        </is>
      </c>
      <c r="D840" s="4108" t="inlineStr">
        <is>
          <t>202209</t>
        </is>
      </c>
      <c r="E840" s="4108" t="inlineStr">
        <is>
          <t>0,000000000000</t>
        </is>
      </c>
    </row>
    <row outlineLevel="0" r="841">
      <c r="A841" s="4108" t="inlineStr">
        <is>
          <t>135792468202209133000</t>
        </is>
      </c>
      <c r="B841" s="4108" t="inlineStr">
        <is>
          <t>133000</t>
        </is>
      </c>
      <c r="C841" s="4108" t="inlineStr">
        <is>
          <t>135792468</t>
        </is>
      </c>
      <c r="D841" s="4108" t="inlineStr">
        <is>
          <t>202209</t>
        </is>
      </c>
      <c r="E841" s="4108" t="inlineStr">
        <is>
          <t>0,000000000000</t>
        </is>
      </c>
    </row>
    <row outlineLevel="0" r="842">
      <c r="A842" s="4108" t="inlineStr">
        <is>
          <t>135792468202209132501</t>
        </is>
      </c>
      <c r="B842" s="4108" t="inlineStr">
        <is>
          <t>132501</t>
        </is>
      </c>
      <c r="C842" s="4108" t="inlineStr">
        <is>
          <t>135792468</t>
        </is>
      </c>
      <c r="D842" s="4108" t="inlineStr">
        <is>
          <t>202209</t>
        </is>
      </c>
      <c r="E842" s="4108" t="inlineStr">
        <is>
          <t>0,000000000000</t>
        </is>
      </c>
    </row>
    <row outlineLevel="0" r="843">
      <c r="A843" s="4108" t="inlineStr">
        <is>
          <t>135792468202209133001</t>
        </is>
      </c>
      <c r="B843" s="4108" t="inlineStr">
        <is>
          <t>133001</t>
        </is>
      </c>
      <c r="C843" s="4108" t="inlineStr">
        <is>
          <t>135792468</t>
        </is>
      </c>
      <c r="D843" s="4108" t="inlineStr">
        <is>
          <t>202209</t>
        </is>
      </c>
      <c r="E843" s="4108" t="inlineStr">
        <is>
          <t>0,000000000000</t>
        </is>
      </c>
    </row>
    <row outlineLevel="0" r="844">
      <c r="A844" s="4108" t="inlineStr">
        <is>
          <t>135792468202209133500</t>
        </is>
      </c>
      <c r="B844" s="4108" t="inlineStr">
        <is>
          <t>133500</t>
        </is>
      </c>
      <c r="C844" s="4108" t="inlineStr">
        <is>
          <t>135792468</t>
        </is>
      </c>
      <c r="D844" s="4108" t="inlineStr">
        <is>
          <t>202209</t>
        </is>
      </c>
      <c r="E844" s="4108" t="inlineStr">
        <is>
          <t>48,000000000000</t>
        </is>
      </c>
    </row>
    <row outlineLevel="0" r="845">
      <c r="A845" s="4108" t="inlineStr">
        <is>
          <t>135792468202209133501</t>
        </is>
      </c>
      <c r="B845" s="4108" t="inlineStr">
        <is>
          <t>133501</t>
        </is>
      </c>
      <c r="C845" s="4108" t="inlineStr">
        <is>
          <t>135792468</t>
        </is>
      </c>
      <c r="D845" s="4108" t="inlineStr">
        <is>
          <t>202209</t>
        </is>
      </c>
      <c r="E845" s="4108" t="inlineStr">
        <is>
          <t>0,000000000000</t>
        </is>
      </c>
    </row>
    <row outlineLevel="0" r="846">
      <c r="A846" s="4108" t="inlineStr">
        <is>
          <t>135792468202209134000</t>
        </is>
      </c>
      <c r="B846" s="4108" t="inlineStr">
        <is>
          <t>134000</t>
        </is>
      </c>
      <c r="C846" s="4108" t="inlineStr">
        <is>
          <t>135792468</t>
        </is>
      </c>
      <c r="D846" s="4108" t="inlineStr">
        <is>
          <t>202209</t>
        </is>
      </c>
      <c r="E846" s="4108" t="inlineStr">
        <is>
          <t>0,000000000000</t>
        </is>
      </c>
    </row>
    <row outlineLevel="0" r="847">
      <c r="A847" s="4108" t="inlineStr">
        <is>
          <t>135792468202209134001</t>
        </is>
      </c>
      <c r="B847" s="4108" t="inlineStr">
        <is>
          <t>134001</t>
        </is>
      </c>
      <c r="C847" s="4108" t="inlineStr">
        <is>
          <t>135792468</t>
        </is>
      </c>
      <c r="D847" s="4108" t="inlineStr">
        <is>
          <t>202209</t>
        </is>
      </c>
      <c r="E847" s="4108" t="inlineStr">
        <is>
          <t>0,000000000000</t>
        </is>
      </c>
    </row>
    <row outlineLevel="0" r="848">
      <c r="A848" s="4108" t="inlineStr">
        <is>
          <t>135792468202209134500</t>
        </is>
      </c>
      <c r="B848" s="4108" t="inlineStr">
        <is>
          <t>134500</t>
        </is>
      </c>
      <c r="C848" s="4108" t="inlineStr">
        <is>
          <t>135792468</t>
        </is>
      </c>
      <c r="D848" s="4108" t="inlineStr">
        <is>
          <t>202209</t>
        </is>
      </c>
      <c r="E848" s="4108" t="inlineStr">
        <is>
          <t>0,000000000000</t>
        </is>
      </c>
    </row>
    <row outlineLevel="0" r="849">
      <c r="A849" s="4108" t="inlineStr">
        <is>
          <t>135792468202209135000</t>
        </is>
      </c>
      <c r="B849" s="4108" t="inlineStr">
        <is>
          <t>135000</t>
        </is>
      </c>
      <c r="C849" s="4108" t="inlineStr">
        <is>
          <t>135792468</t>
        </is>
      </c>
      <c r="D849" s="4108" t="inlineStr">
        <is>
          <t>202209</t>
        </is>
      </c>
      <c r="E849" s="4108" t="inlineStr">
        <is>
          <t>0,000000000000</t>
        </is>
      </c>
    </row>
    <row outlineLevel="0" r="850">
      <c r="A850" s="4108" t="inlineStr">
        <is>
          <t>135792468202209134501</t>
        </is>
      </c>
      <c r="B850" s="4108" t="inlineStr">
        <is>
          <t>134501</t>
        </is>
      </c>
      <c r="C850" s="4108" t="inlineStr">
        <is>
          <t>135792468</t>
        </is>
      </c>
      <c r="D850" s="4108" t="inlineStr">
        <is>
          <t>202209</t>
        </is>
      </c>
      <c r="E850" s="4108" t="inlineStr">
        <is>
          <t>0,000000000000</t>
        </is>
      </c>
    </row>
    <row outlineLevel="0" r="851">
      <c r="A851" s="4108" t="inlineStr">
        <is>
          <t>135792468202209135001</t>
        </is>
      </c>
      <c r="B851" s="4108" t="inlineStr">
        <is>
          <t>135001</t>
        </is>
      </c>
      <c r="C851" s="4108" t="inlineStr">
        <is>
          <t>135792468</t>
        </is>
      </c>
      <c r="D851" s="4108" t="inlineStr">
        <is>
          <t>202209</t>
        </is>
      </c>
      <c r="E851" s="4108" t="inlineStr">
        <is>
          <t>0,000000000000</t>
        </is>
      </c>
    </row>
    <row outlineLevel="0" r="852">
      <c r="A852" s="4108" t="inlineStr">
        <is>
          <t>135792468202209135500</t>
        </is>
      </c>
      <c r="B852" s="4108" t="inlineStr">
        <is>
          <t>135500</t>
        </is>
      </c>
      <c r="C852" s="4108" t="inlineStr">
        <is>
          <t>135792468</t>
        </is>
      </c>
      <c r="D852" s="4108" t="inlineStr">
        <is>
          <t>202209</t>
        </is>
      </c>
      <c r="E852" s="4108" t="inlineStr">
        <is>
          <t>0,000000000000</t>
        </is>
      </c>
    </row>
    <row outlineLevel="0" r="853">
      <c r="A853" s="4108" t="inlineStr">
        <is>
          <t>135792468202209135501</t>
        </is>
      </c>
      <c r="B853" s="4108" t="inlineStr">
        <is>
          <t>135501</t>
        </is>
      </c>
      <c r="C853" s="4108" t="inlineStr">
        <is>
          <t>135792468</t>
        </is>
      </c>
      <c r="D853" s="4108" t="inlineStr">
        <is>
          <t>202209</t>
        </is>
      </c>
      <c r="E853" s="4108" t="inlineStr">
        <is>
          <t>0,000000000000</t>
        </is>
      </c>
    </row>
    <row outlineLevel="0" r="854">
      <c r="A854" s="4108" t="inlineStr">
        <is>
          <t>135792468202209136000</t>
        </is>
      </c>
      <c r="B854" s="4108" t="inlineStr">
        <is>
          <t>136000</t>
        </is>
      </c>
      <c r="C854" s="4108" t="inlineStr">
        <is>
          <t>135792468</t>
        </is>
      </c>
      <c r="D854" s="4108" t="inlineStr">
        <is>
          <t>202209</t>
        </is>
      </c>
      <c r="E854" s="4108" t="inlineStr">
        <is>
          <t>0,000000000000</t>
        </is>
      </c>
    </row>
    <row outlineLevel="0" r="855">
      <c r="A855" s="4108" t="inlineStr">
        <is>
          <t>135792468202209136001</t>
        </is>
      </c>
      <c r="B855" s="4108" t="inlineStr">
        <is>
          <t>136001</t>
        </is>
      </c>
      <c r="C855" s="4108" t="inlineStr">
        <is>
          <t>135792468</t>
        </is>
      </c>
      <c r="D855" s="4108" t="inlineStr">
        <is>
          <t>202209</t>
        </is>
      </c>
      <c r="E855" s="4108" t="inlineStr">
        <is>
          <t>0,000000000000</t>
        </is>
      </c>
    </row>
    <row outlineLevel="0" r="856">
      <c r="A856" s="4108" t="inlineStr">
        <is>
          <t>135792468202209136500</t>
        </is>
      </c>
      <c r="B856" s="4108" t="inlineStr">
        <is>
          <t>136500</t>
        </is>
      </c>
      <c r="C856" s="4108" t="inlineStr">
        <is>
          <t>135792468</t>
        </is>
      </c>
      <c r="D856" s="4108" t="inlineStr">
        <is>
          <t>202209</t>
        </is>
      </c>
      <c r="E856" s="4108" t="inlineStr">
        <is>
          <t>0,000000000000</t>
        </is>
      </c>
    </row>
    <row outlineLevel="0" r="857">
      <c r="A857" s="4108" t="inlineStr">
        <is>
          <t>135792468202209137000</t>
        </is>
      </c>
      <c r="B857" s="4108" t="inlineStr">
        <is>
          <t>137000</t>
        </is>
      </c>
      <c r="C857" s="4108" t="inlineStr">
        <is>
          <t>135792468</t>
        </is>
      </c>
      <c r="D857" s="4108" t="inlineStr">
        <is>
          <t>202209</t>
        </is>
      </c>
      <c r="E857" s="4108" t="inlineStr">
        <is>
          <t>0,000000000000</t>
        </is>
      </c>
    </row>
    <row outlineLevel="0" r="858">
      <c r="A858" s="4108" t="inlineStr">
        <is>
          <t>135792468202209136501</t>
        </is>
      </c>
      <c r="B858" s="4108" t="inlineStr">
        <is>
          <t>136501</t>
        </is>
      </c>
      <c r="C858" s="4108" t="inlineStr">
        <is>
          <t>135792468</t>
        </is>
      </c>
      <c r="D858" s="4108" t="inlineStr">
        <is>
          <t>202209</t>
        </is>
      </c>
      <c r="E858" s="4108" t="inlineStr">
        <is>
          <t>0,000000000000</t>
        </is>
      </c>
    </row>
    <row outlineLevel="0" r="859">
      <c r="A859" s="4108" t="inlineStr">
        <is>
          <t>135792468202209137001</t>
        </is>
      </c>
      <c r="B859" s="4108" t="inlineStr">
        <is>
          <t>137001</t>
        </is>
      </c>
      <c r="C859" s="4108" t="inlineStr">
        <is>
          <t>135792468</t>
        </is>
      </c>
      <c r="D859" s="4108" t="inlineStr">
        <is>
          <t>202209</t>
        </is>
      </c>
      <c r="E859" s="4108" t="inlineStr">
        <is>
          <t>0,000000000000</t>
        </is>
      </c>
    </row>
    <row outlineLevel="0" r="860">
      <c r="A860" s="4108" t="inlineStr">
        <is>
          <t>135792468202209138001</t>
        </is>
      </c>
      <c r="B860" s="4108" t="inlineStr">
        <is>
          <t>138001</t>
        </is>
      </c>
      <c r="C860" s="4108" t="inlineStr">
        <is>
          <t>135792468</t>
        </is>
      </c>
      <c r="D860" s="4108" t="inlineStr">
        <is>
          <t>202209</t>
        </is>
      </c>
      <c r="E860" s="4108" t="inlineStr">
        <is>
          <t>0,000000000000</t>
        </is>
      </c>
    </row>
    <row outlineLevel="0" r="861">
      <c r="A861" s="4108" t="inlineStr">
        <is>
          <t>135792468202209138501</t>
        </is>
      </c>
      <c r="B861" s="4108" t="inlineStr">
        <is>
          <t>138501</t>
        </is>
      </c>
      <c r="C861" s="4108" t="inlineStr">
        <is>
          <t>135792468</t>
        </is>
      </c>
      <c r="D861" s="4108" t="inlineStr">
        <is>
          <t>202209</t>
        </is>
      </c>
      <c r="E861" s="4108" t="inlineStr">
        <is>
          <t>0,000000000000</t>
        </is>
      </c>
    </row>
    <row outlineLevel="0" r="862">
      <c r="A862" s="4108" t="inlineStr">
        <is>
          <t>135792468202209139000</t>
        </is>
      </c>
      <c r="B862" s="4108" t="inlineStr">
        <is>
          <t>139000</t>
        </is>
      </c>
      <c r="C862" s="4108" t="inlineStr">
        <is>
          <t>135792468</t>
        </is>
      </c>
      <c r="D862" s="4108" t="inlineStr">
        <is>
          <t>202209</t>
        </is>
      </c>
      <c r="E862" s="4108" t="inlineStr">
        <is>
          <t>0,000000000000</t>
        </is>
      </c>
    </row>
    <row outlineLevel="0" r="863">
      <c r="A863" s="4108" t="inlineStr">
        <is>
          <t>135792468202209139001</t>
        </is>
      </c>
      <c r="B863" s="4108" t="inlineStr">
        <is>
          <t>139001</t>
        </is>
      </c>
      <c r="C863" s="4108" t="inlineStr">
        <is>
          <t>135792468</t>
        </is>
      </c>
      <c r="D863" s="4108" t="inlineStr">
        <is>
          <t>202209</t>
        </is>
      </c>
      <c r="E863" s="4108" t="inlineStr">
        <is>
          <t>0,000000000000</t>
        </is>
      </c>
    </row>
    <row outlineLevel="0" r="864">
      <c r="A864" s="4108" t="inlineStr">
        <is>
          <t>135792468202209139500</t>
        </is>
      </c>
      <c r="B864" s="4108" t="inlineStr">
        <is>
          <t>139500</t>
        </is>
      </c>
      <c r="C864" s="4108" t="inlineStr">
        <is>
          <t>135792468</t>
        </is>
      </c>
      <c r="D864" s="4108" t="inlineStr">
        <is>
          <t>202209</t>
        </is>
      </c>
      <c r="E864" s="4108" t="inlineStr">
        <is>
          <t>0,000000000000</t>
        </is>
      </c>
    </row>
    <row outlineLevel="0" r="865">
      <c r="A865" s="4108" t="inlineStr">
        <is>
          <t>135792468202209139905</t>
        </is>
      </c>
      <c r="B865" s="4108" t="inlineStr">
        <is>
          <t>139905</t>
        </is>
      </c>
      <c r="C865" s="4108" t="inlineStr">
        <is>
          <t>135792468</t>
        </is>
      </c>
      <c r="D865" s="4108" t="inlineStr">
        <is>
          <t>202209</t>
        </is>
      </c>
      <c r="E865" s="4108" t="inlineStr">
        <is>
          <t>0,000000000000</t>
        </is>
      </c>
    </row>
    <row outlineLevel="0" r="866">
      <c r="A866" s="4108" t="inlineStr">
        <is>
          <t>135792468202209139901</t>
        </is>
      </c>
      <c r="B866" s="4108" t="inlineStr">
        <is>
          <t>139901</t>
        </is>
      </c>
      <c r="C866" s="4108" t="inlineStr">
        <is>
          <t>135792468</t>
        </is>
      </c>
      <c r="D866" s="4108" t="inlineStr">
        <is>
          <t>202209</t>
        </is>
      </c>
      <c r="E866" s="4108" t="inlineStr">
        <is>
          <t>0,000000000000</t>
        </is>
      </c>
    </row>
    <row outlineLevel="0" r="867">
      <c r="A867" s="4108" t="inlineStr">
        <is>
          <t>135792468202209140005</t>
        </is>
      </c>
      <c r="B867" s="4108" t="inlineStr">
        <is>
          <t>140005</t>
        </is>
      </c>
      <c r="C867" s="4108" t="inlineStr">
        <is>
          <t>135792468</t>
        </is>
      </c>
      <c r="D867" s="4108" t="inlineStr">
        <is>
          <t>202209</t>
        </is>
      </c>
      <c r="E867" s="4108" t="inlineStr">
        <is>
          <t>0,000000000000</t>
        </is>
      </c>
    </row>
    <row outlineLevel="0" r="868">
      <c r="A868" s="4108" t="inlineStr">
        <is>
          <t>135792468202209140010</t>
        </is>
      </c>
      <c r="B868" s="4108" t="inlineStr">
        <is>
          <t>140010</t>
        </is>
      </c>
      <c r="C868" s="4108" t="inlineStr">
        <is>
          <t>135792468</t>
        </is>
      </c>
      <c r="D868" s="4108" t="inlineStr">
        <is>
          <t>202209</t>
        </is>
      </c>
      <c r="E868" s="4108" t="inlineStr">
        <is>
          <t>0,000000000000</t>
        </is>
      </c>
    </row>
    <row outlineLevel="0" r="869">
      <c r="A869" s="4108" t="inlineStr">
        <is>
          <t>135792468202209142500</t>
        </is>
      </c>
      <c r="B869" s="4108" t="inlineStr">
        <is>
          <t>142500</t>
        </is>
      </c>
      <c r="C869" s="4108" t="inlineStr">
        <is>
          <t>135792468</t>
        </is>
      </c>
      <c r="D869" s="4108" t="inlineStr">
        <is>
          <t>202209</t>
        </is>
      </c>
      <c r="E869" s="4108" t="inlineStr">
        <is>
          <t>0,000000000000</t>
        </is>
      </c>
    </row>
    <row outlineLevel="0" r="870">
      <c r="A870" s="4108" t="inlineStr">
        <is>
          <t>135792468202209143500</t>
        </is>
      </c>
      <c r="B870" s="4108" t="inlineStr">
        <is>
          <t>143500</t>
        </is>
      </c>
      <c r="C870" s="4108" t="inlineStr">
        <is>
          <t>135792468</t>
        </is>
      </c>
      <c r="D870" s="4108" t="inlineStr">
        <is>
          <t>202209</t>
        </is>
      </c>
      <c r="E870" s="4108" t="inlineStr">
        <is>
          <t>0,000000000000</t>
        </is>
      </c>
    </row>
    <row outlineLevel="0" r="871">
      <c r="A871" s="4108" t="inlineStr">
        <is>
          <t>135792468202209145500</t>
        </is>
      </c>
      <c r="B871" s="4108" t="inlineStr">
        <is>
          <t>145500</t>
        </is>
      </c>
      <c r="C871" s="4108" t="inlineStr">
        <is>
          <t>135792468</t>
        </is>
      </c>
      <c r="D871" s="4108" t="inlineStr">
        <is>
          <t>202209</t>
        </is>
      </c>
      <c r="E871" s="4108" t="inlineStr">
        <is>
          <t>0,000000000000</t>
        </is>
      </c>
    </row>
    <row outlineLevel="0" r="872">
      <c r="A872" s="4108" t="inlineStr">
        <is>
          <t>135792468202209146000</t>
        </is>
      </c>
      <c r="B872" s="4108" t="inlineStr">
        <is>
          <t>146000</t>
        </is>
      </c>
      <c r="C872" s="4108" t="inlineStr">
        <is>
          <t>135792468</t>
        </is>
      </c>
      <c r="D872" s="4108" t="inlineStr">
        <is>
          <t>202209</t>
        </is>
      </c>
      <c r="E872" s="4108" t="inlineStr">
        <is>
          <t>0,000000000000</t>
        </is>
      </c>
    </row>
    <row outlineLevel="0" r="873">
      <c r="A873" s="4108" t="inlineStr">
        <is>
          <t>135792468202209149900</t>
        </is>
      </c>
      <c r="B873" s="4108" t="inlineStr">
        <is>
          <t>149900</t>
        </is>
      </c>
      <c r="C873" s="4108" t="inlineStr">
        <is>
          <t>135792468</t>
        </is>
      </c>
      <c r="D873" s="4108" t="inlineStr">
        <is>
          <t>202209</t>
        </is>
      </c>
      <c r="E873" s="4108" t="inlineStr">
        <is>
          <t>0,000000000000</t>
        </is>
      </c>
    </row>
    <row outlineLevel="0" r="874">
      <c r="A874" s="4108" t="inlineStr">
        <is>
          <t>135792468202209149510</t>
        </is>
      </c>
      <c r="B874" s="4108" t="inlineStr">
        <is>
          <t>149510</t>
        </is>
      </c>
      <c r="C874" s="4108" t="inlineStr">
        <is>
          <t>135792468</t>
        </is>
      </c>
      <c r="D874" s="4108" t="inlineStr">
        <is>
          <t>202209</t>
        </is>
      </c>
      <c r="E874" s="4108" t="inlineStr">
        <is>
          <t>0,000000000000</t>
        </is>
      </c>
    </row>
    <row outlineLevel="0" r="875">
      <c r="A875" s="4108" t="inlineStr">
        <is>
          <t>135792468202209149901</t>
        </is>
      </c>
      <c r="B875" s="4108" t="inlineStr">
        <is>
          <t>149901</t>
        </is>
      </c>
      <c r="C875" s="4108" t="inlineStr">
        <is>
          <t>135792468</t>
        </is>
      </c>
      <c r="D875" s="4108" t="inlineStr">
        <is>
          <t>202209</t>
        </is>
      </c>
      <c r="E875" s="4108" t="inlineStr">
        <is>
          <t>0,000000000000</t>
        </is>
      </c>
    </row>
    <row outlineLevel="0" r="876">
      <c r="A876" s="4108" t="inlineStr">
        <is>
          <t>135792468202209149902</t>
        </is>
      </c>
      <c r="B876" s="4108" t="inlineStr">
        <is>
          <t>149902</t>
        </is>
      </c>
      <c r="C876" s="4108" t="inlineStr">
        <is>
          <t>135792468</t>
        </is>
      </c>
      <c r="D876" s="4108" t="inlineStr">
        <is>
          <t>202209</t>
        </is>
      </c>
      <c r="E876" s="4108" t="inlineStr">
        <is>
          <t>0,000000000000</t>
        </is>
      </c>
    </row>
    <row outlineLevel="0" r="877">
      <c r="A877" s="4108" t="inlineStr">
        <is>
          <t>135792468202209149910</t>
        </is>
      </c>
      <c r="B877" s="4108" t="inlineStr">
        <is>
          <t>149910</t>
        </is>
      </c>
      <c r="C877" s="4108" t="inlineStr">
        <is>
          <t>135792468</t>
        </is>
      </c>
      <c r="D877" s="4108" t="inlineStr">
        <is>
          <t>202209</t>
        </is>
      </c>
      <c r="E877" s="4108" t="inlineStr">
        <is>
          <t>0,000000000000</t>
        </is>
      </c>
    </row>
    <row outlineLevel="0" r="878">
      <c r="A878" s="4108" t="inlineStr">
        <is>
          <t>135792468202209151201</t>
        </is>
      </c>
      <c r="B878" s="4108" t="inlineStr">
        <is>
          <t>151201</t>
        </is>
      </c>
      <c r="C878" s="4108" t="inlineStr">
        <is>
          <t>135792468</t>
        </is>
      </c>
      <c r="D878" s="4108" t="inlineStr">
        <is>
          <t>202209</t>
        </is>
      </c>
      <c r="E878" s="4108" t="inlineStr">
        <is>
          <t>0,000000000000</t>
        </is>
      </c>
    </row>
    <row outlineLevel="0" r="879">
      <c r="A879" s="4108" t="inlineStr">
        <is>
          <t>135792468202209155601</t>
        </is>
      </c>
      <c r="B879" s="4108" t="inlineStr">
        <is>
          <t>155601</t>
        </is>
      </c>
      <c r="C879" s="4108" t="inlineStr">
        <is>
          <t>135792468</t>
        </is>
      </c>
      <c r="D879" s="4108" t="inlineStr">
        <is>
          <t>202209</t>
        </is>
      </c>
      <c r="E879" s="4108" t="inlineStr">
        <is>
          <t>0,000000000000</t>
        </is>
      </c>
    </row>
    <row outlineLevel="0" r="880">
      <c r="A880" s="4108" t="inlineStr">
        <is>
          <t>135792468202209156001</t>
        </is>
      </c>
      <c r="B880" s="4108" t="inlineStr">
        <is>
          <t>156001</t>
        </is>
      </c>
      <c r="C880" s="4108" t="inlineStr">
        <is>
          <t>135792468</t>
        </is>
      </c>
      <c r="D880" s="4108" t="inlineStr">
        <is>
          <t>202209</t>
        </is>
      </c>
      <c r="E880" s="4108" t="inlineStr">
        <is>
          <t>0,000000000000</t>
        </is>
      </c>
    </row>
    <row outlineLevel="0" r="881">
      <c r="A881" s="4108" t="inlineStr">
        <is>
          <t>135792468202209157201</t>
        </is>
      </c>
      <c r="B881" s="4108" t="inlineStr">
        <is>
          <t>157201</t>
        </is>
      </c>
      <c r="C881" s="4108" t="inlineStr">
        <is>
          <t>135792468</t>
        </is>
      </c>
      <c r="D881" s="4108" t="inlineStr">
        <is>
          <t>202209</t>
        </is>
      </c>
      <c r="E881" s="4108" t="inlineStr">
        <is>
          <t>0,000000000000</t>
        </is>
      </c>
    </row>
    <row outlineLevel="0" r="882">
      <c r="A882" s="4108" t="inlineStr">
        <is>
          <t>135792468202209156401</t>
        </is>
      </c>
      <c r="B882" s="4108" t="inlineStr">
        <is>
          <t>156401</t>
        </is>
      </c>
      <c r="C882" s="4108" t="inlineStr">
        <is>
          <t>135792468</t>
        </is>
      </c>
      <c r="D882" s="4108" t="inlineStr">
        <is>
          <t>202209</t>
        </is>
      </c>
      <c r="E882" s="4108" t="inlineStr">
        <is>
          <t>0,000000000000</t>
        </is>
      </c>
    </row>
    <row outlineLevel="0" r="883">
      <c r="A883" s="4108" t="inlineStr">
        <is>
          <t>135792468202209157601</t>
        </is>
      </c>
      <c r="B883" s="4108" t="inlineStr">
        <is>
          <t>157601</t>
        </is>
      </c>
      <c r="C883" s="4108" t="inlineStr">
        <is>
          <t>135792468</t>
        </is>
      </c>
      <c r="D883" s="4108" t="inlineStr">
        <is>
          <t>202209</t>
        </is>
      </c>
      <c r="E883" s="4108" t="inlineStr">
        <is>
          <t>0,000000000000</t>
        </is>
      </c>
    </row>
    <row outlineLevel="0" r="884">
      <c r="A884" s="4108" t="inlineStr">
        <is>
          <t>135792468202209158401</t>
        </is>
      </c>
      <c r="B884" s="4108" t="inlineStr">
        <is>
          <t>158401</t>
        </is>
      </c>
      <c r="C884" s="4108" t="inlineStr">
        <is>
          <t>135792468</t>
        </is>
      </c>
      <c r="D884" s="4108" t="inlineStr">
        <is>
          <t>202209</t>
        </is>
      </c>
      <c r="E884" s="4108" t="inlineStr">
        <is>
          <t>0,000000000000</t>
        </is>
      </c>
    </row>
    <row outlineLevel="0" r="885">
      <c r="A885" s="4108" t="inlineStr">
        <is>
          <t>135792468202209158801</t>
        </is>
      </c>
      <c r="B885" s="4108" t="inlineStr">
        <is>
          <t>158801</t>
        </is>
      </c>
      <c r="C885" s="4108" t="inlineStr">
        <is>
          <t>135792468</t>
        </is>
      </c>
      <c r="D885" s="4108" t="inlineStr">
        <is>
          <t>202209</t>
        </is>
      </c>
      <c r="E885" s="4108" t="inlineStr">
        <is>
          <t>0,000000000000</t>
        </is>
      </c>
    </row>
    <row outlineLevel="0" r="886">
      <c r="A886" s="4108" t="inlineStr">
        <is>
          <t>135792468202209159701</t>
        </is>
      </c>
      <c r="B886" s="4108" t="inlineStr">
        <is>
          <t>159701</t>
        </is>
      </c>
      <c r="C886" s="4108" t="inlineStr">
        <is>
          <t>135792468</t>
        </is>
      </c>
      <c r="D886" s="4108" t="inlineStr">
        <is>
          <t>202209</t>
        </is>
      </c>
      <c r="E886" s="4108" t="inlineStr">
        <is>
          <t>0,000000000000</t>
        </is>
      </c>
    </row>
    <row outlineLevel="0" r="887">
      <c r="A887" s="4108" t="inlineStr">
        <is>
          <t>135792468202209159899</t>
        </is>
      </c>
      <c r="B887" s="4108" t="inlineStr">
        <is>
          <t>159899</t>
        </is>
      </c>
      <c r="C887" s="4108" t="inlineStr">
        <is>
          <t>135792468</t>
        </is>
      </c>
      <c r="D887" s="4108" t="inlineStr">
        <is>
          <t>202209</t>
        </is>
      </c>
      <c r="E887" s="4108" t="inlineStr">
        <is>
          <t>0,000000000000</t>
        </is>
      </c>
    </row>
    <row outlineLevel="0" r="888">
      <c r="A888" s="4108" t="inlineStr">
        <is>
          <t>135792468202209159901</t>
        </is>
      </c>
      <c r="B888" s="4108" t="inlineStr">
        <is>
          <t>159901</t>
        </is>
      </c>
      <c r="C888" s="4108" t="inlineStr">
        <is>
          <t>135792468</t>
        </is>
      </c>
      <c r="D888" s="4108" t="inlineStr">
        <is>
          <t>202209</t>
        </is>
      </c>
      <c r="E888" s="4108" t="inlineStr">
        <is>
          <t>0,000000000000</t>
        </is>
      </c>
    </row>
    <row outlineLevel="0" r="889">
      <c r="A889" s="4108" t="inlineStr">
        <is>
          <t>135792468202209161001</t>
        </is>
      </c>
      <c r="B889" s="4108" t="inlineStr">
        <is>
          <t>161001</t>
        </is>
      </c>
      <c r="C889" s="4108" t="inlineStr">
        <is>
          <t>135792468</t>
        </is>
      </c>
      <c r="D889" s="4108" t="inlineStr">
        <is>
          <t>202209</t>
        </is>
      </c>
      <c r="E889" s="4108" t="inlineStr">
        <is>
          <t>0,000000000000</t>
        </is>
      </c>
    </row>
    <row outlineLevel="0" r="890">
      <c r="A890" s="4108" t="inlineStr">
        <is>
          <t>135792468202209160501</t>
        </is>
      </c>
      <c r="B890" s="4108" t="inlineStr">
        <is>
          <t>160501</t>
        </is>
      </c>
      <c r="C890" s="4108" t="inlineStr">
        <is>
          <t>135792468</t>
        </is>
      </c>
      <c r="D890" s="4108" t="inlineStr">
        <is>
          <t>202209</t>
        </is>
      </c>
      <c r="E890" s="4108" t="inlineStr">
        <is>
          <t>0,000000000000</t>
        </is>
      </c>
    </row>
    <row outlineLevel="0" r="891">
      <c r="A891" s="4108" t="inlineStr">
        <is>
          <t>135792468202209163001</t>
        </is>
      </c>
      <c r="B891" s="4108" t="inlineStr">
        <is>
          <t>163001</t>
        </is>
      </c>
      <c r="C891" s="4108" t="inlineStr">
        <is>
          <t>135792468</t>
        </is>
      </c>
      <c r="D891" s="4108" t="inlineStr">
        <is>
          <t>202209</t>
        </is>
      </c>
      <c r="E891" s="4108" t="inlineStr">
        <is>
          <t>0,000000000000</t>
        </is>
      </c>
    </row>
    <row outlineLevel="0" r="892">
      <c r="A892" s="4108" t="inlineStr">
        <is>
          <t>135792468202209164001</t>
        </is>
      </c>
      <c r="B892" s="4108" t="inlineStr">
        <is>
          <t>164001</t>
        </is>
      </c>
      <c r="C892" s="4108" t="inlineStr">
        <is>
          <t>135792468</t>
        </is>
      </c>
      <c r="D892" s="4108" t="inlineStr">
        <is>
          <t>202209</t>
        </is>
      </c>
      <c r="E892" s="4108" t="inlineStr">
        <is>
          <t>0,000000000000</t>
        </is>
      </c>
    </row>
    <row outlineLevel="0" r="893">
      <c r="A893" s="4108" t="inlineStr">
        <is>
          <t>135792468202209169899</t>
        </is>
      </c>
      <c r="B893" s="4108" t="inlineStr">
        <is>
          <t>169899</t>
        </is>
      </c>
      <c r="C893" s="4108" t="inlineStr">
        <is>
          <t>135792468</t>
        </is>
      </c>
      <c r="D893" s="4108" t="inlineStr">
        <is>
          <t>202209</t>
        </is>
      </c>
      <c r="E893" s="4108" t="inlineStr">
        <is>
          <t>0,000000000000</t>
        </is>
      </c>
    </row>
    <row outlineLevel="0" r="894">
      <c r="A894" s="4108" t="inlineStr">
        <is>
          <t>135792468202209169901</t>
        </is>
      </c>
      <c r="B894" s="4108" t="inlineStr">
        <is>
          <t>169901</t>
        </is>
      </c>
      <c r="C894" s="4108" t="inlineStr">
        <is>
          <t>135792468</t>
        </is>
      </c>
      <c r="D894" s="4108" t="inlineStr">
        <is>
          <t>202209</t>
        </is>
      </c>
      <c r="E894" s="4108" t="inlineStr">
        <is>
          <t>0,000000000000</t>
        </is>
      </c>
    </row>
    <row outlineLevel="0" r="895">
      <c r="A895" s="4108" t="inlineStr">
        <is>
          <t>135792468202209170500</t>
        </is>
      </c>
      <c r="B895" s="4108" t="inlineStr">
        <is>
          <t>170500</t>
        </is>
      </c>
      <c r="C895" s="4108" t="inlineStr">
        <is>
          <t>135792468</t>
        </is>
      </c>
      <c r="D895" s="4108" t="inlineStr">
        <is>
          <t>202209</t>
        </is>
      </c>
      <c r="E895" s="4108" t="inlineStr">
        <is>
          <t>0,000000000000</t>
        </is>
      </c>
    </row>
    <row outlineLevel="0" r="896">
      <c r="A896" s="4108" t="inlineStr">
        <is>
          <t>135792468202209171000</t>
        </is>
      </c>
      <c r="B896" s="4108" t="inlineStr">
        <is>
          <t>171000</t>
        </is>
      </c>
      <c r="C896" s="4108" t="inlineStr">
        <is>
          <t>135792468</t>
        </is>
      </c>
      <c r="D896" s="4108" t="inlineStr">
        <is>
          <t>202209</t>
        </is>
      </c>
      <c r="E896" s="4108" t="inlineStr">
        <is>
          <t>0,000000000000</t>
        </is>
      </c>
    </row>
    <row outlineLevel="0" r="897">
      <c r="A897" s="4108" t="inlineStr">
        <is>
          <t>135792468202209173001</t>
        </is>
      </c>
      <c r="B897" s="4108" t="inlineStr">
        <is>
          <t>173001</t>
        </is>
      </c>
      <c r="C897" s="4108" t="inlineStr">
        <is>
          <t>135792468</t>
        </is>
      </c>
      <c r="D897" s="4108" t="inlineStr">
        <is>
          <t>202209</t>
        </is>
      </c>
      <c r="E897" s="4108" t="inlineStr">
        <is>
          <t>0,000000000000</t>
        </is>
      </c>
    </row>
    <row outlineLevel="0" r="898">
      <c r="A898" s="4108" t="inlineStr">
        <is>
          <t>135792468202209173000</t>
        </is>
      </c>
      <c r="B898" s="4108" t="inlineStr">
        <is>
          <t>173000</t>
        </is>
      </c>
      <c r="C898" s="4108" t="inlineStr">
        <is>
          <t>135792468</t>
        </is>
      </c>
      <c r="D898" s="4108" t="inlineStr">
        <is>
          <t>202209</t>
        </is>
      </c>
      <c r="E898" s="4108" t="inlineStr">
        <is>
          <t>0,000000000000</t>
        </is>
      </c>
    </row>
    <row outlineLevel="0" r="899">
      <c r="A899" s="4108" t="inlineStr">
        <is>
          <t>135792468202209179500</t>
        </is>
      </c>
      <c r="B899" s="4108" t="inlineStr">
        <is>
          <t>179500</t>
        </is>
      </c>
      <c r="C899" s="4108" t="inlineStr">
        <is>
          <t>135792468</t>
        </is>
      </c>
      <c r="D899" s="4108" t="inlineStr">
        <is>
          <t>202209</t>
        </is>
      </c>
      <c r="E899" s="4108" t="inlineStr">
        <is>
          <t>0,000000000000</t>
        </is>
      </c>
    </row>
    <row outlineLevel="0" r="900">
      <c r="A900" s="4108" t="inlineStr">
        <is>
          <t>135792468202209179700</t>
        </is>
      </c>
      <c r="B900" s="4108" t="inlineStr">
        <is>
          <t>179700</t>
        </is>
      </c>
      <c r="C900" s="4108" t="inlineStr">
        <is>
          <t>135792468</t>
        </is>
      </c>
      <c r="D900" s="4108" t="inlineStr">
        <is>
          <t>202209</t>
        </is>
      </c>
      <c r="E900" s="4108" t="inlineStr">
        <is>
          <t>0,000000000000</t>
        </is>
      </c>
    </row>
    <row outlineLevel="0" r="901">
      <c r="A901" s="4108" t="inlineStr">
        <is>
          <t>135792468202209179701</t>
        </is>
      </c>
      <c r="B901" s="4108" t="inlineStr">
        <is>
          <t>179701</t>
        </is>
      </c>
      <c r="C901" s="4108" t="inlineStr">
        <is>
          <t>135792468</t>
        </is>
      </c>
      <c r="D901" s="4108" t="inlineStr">
        <is>
          <t>202209</t>
        </is>
      </c>
      <c r="E901" s="4108" t="inlineStr">
        <is>
          <t>0,000000000000</t>
        </is>
      </c>
    </row>
    <row outlineLevel="0" r="902">
      <c r="A902" s="4108" t="inlineStr">
        <is>
          <t>135792468202209179801</t>
        </is>
      </c>
      <c r="B902" s="4108" t="inlineStr">
        <is>
          <t>179801</t>
        </is>
      </c>
      <c r="C902" s="4108" t="inlineStr">
        <is>
          <t>135792468</t>
        </is>
      </c>
      <c r="D902" s="4108" t="inlineStr">
        <is>
          <t>202209</t>
        </is>
      </c>
      <c r="E902" s="4108" t="inlineStr">
        <is>
          <t>0,000000000000</t>
        </is>
      </c>
    </row>
    <row outlineLevel="0" r="903">
      <c r="A903" s="4108" t="inlineStr">
        <is>
          <t>135792468202209180000</t>
        </is>
      </c>
      <c r="B903" s="4108" t="inlineStr">
        <is>
          <t>180000</t>
        </is>
      </c>
      <c r="C903" s="4108" t="inlineStr">
        <is>
          <t>135792468</t>
        </is>
      </c>
      <c r="D903" s="4108" t="inlineStr">
        <is>
          <t>202209</t>
        </is>
      </c>
      <c r="E903" s="4108" t="inlineStr">
        <is>
          <t>0,000000000000</t>
        </is>
      </c>
    </row>
    <row outlineLevel="0" r="904">
      <c r="A904" s="4108" t="inlineStr">
        <is>
          <t>135792468202209180501</t>
        </is>
      </c>
      <c r="B904" s="4108" t="inlineStr">
        <is>
          <t>180501</t>
        </is>
      </c>
      <c r="C904" s="4108" t="inlineStr">
        <is>
          <t>135792468</t>
        </is>
      </c>
      <c r="D904" s="4108" t="inlineStr">
        <is>
          <t>202209</t>
        </is>
      </c>
      <c r="E904" s="4108" t="inlineStr">
        <is>
          <t>0,000000000000</t>
        </is>
      </c>
    </row>
    <row outlineLevel="0" r="905">
      <c r="A905" s="4108" t="inlineStr">
        <is>
          <t>135792468202209189500</t>
        </is>
      </c>
      <c r="B905" s="4108" t="inlineStr">
        <is>
          <t>189500</t>
        </is>
      </c>
      <c r="C905" s="4108" t="inlineStr">
        <is>
          <t>135792468</t>
        </is>
      </c>
      <c r="D905" s="4108" t="inlineStr">
        <is>
          <t>202209</t>
        </is>
      </c>
      <c r="E905" s="4108" t="inlineStr">
        <is>
          <t>0,000000000000</t>
        </is>
      </c>
    </row>
    <row outlineLevel="0" r="906">
      <c r="A906" s="4108" t="inlineStr">
        <is>
          <t>135792468202209181000</t>
        </is>
      </c>
      <c r="B906" s="4108" t="inlineStr">
        <is>
          <t>181000</t>
        </is>
      </c>
      <c r="C906" s="4108" t="inlineStr">
        <is>
          <t>135792468</t>
        </is>
      </c>
      <c r="D906" s="4108" t="inlineStr">
        <is>
          <t>202209</t>
        </is>
      </c>
      <c r="E906" s="4108" t="inlineStr">
        <is>
          <t>0,000000000000</t>
        </is>
      </c>
    </row>
    <row outlineLevel="0" r="907">
      <c r="A907" s="4108" t="inlineStr">
        <is>
          <t>135792468202209189501</t>
        </is>
      </c>
      <c r="B907" s="4108" t="inlineStr">
        <is>
          <t>189501</t>
        </is>
      </c>
      <c r="C907" s="4108" t="inlineStr">
        <is>
          <t>135792468</t>
        </is>
      </c>
      <c r="D907" s="4108" t="inlineStr">
        <is>
          <t>202209</t>
        </is>
      </c>
      <c r="E907" s="4108" t="inlineStr">
        <is>
          <t>3750,000000000000</t>
        </is>
      </c>
    </row>
    <row outlineLevel="0" r="908">
      <c r="A908" s="4108" t="inlineStr">
        <is>
          <t>135792468202209189520</t>
        </is>
      </c>
      <c r="B908" s="4108" t="inlineStr">
        <is>
          <t>189520</t>
        </is>
      </c>
      <c r="C908" s="4108" t="inlineStr">
        <is>
          <t>135792468</t>
        </is>
      </c>
      <c r="D908" s="4108" t="inlineStr">
        <is>
          <t>202209</t>
        </is>
      </c>
      <c r="E908" s="4108" t="inlineStr">
        <is>
          <t>0,000000000000</t>
        </is>
      </c>
    </row>
    <row outlineLevel="0" r="909">
      <c r="A909" s="4108" t="inlineStr">
        <is>
          <t>135792468202209189701</t>
        </is>
      </c>
      <c r="B909" s="4108" t="inlineStr">
        <is>
          <t>189701</t>
        </is>
      </c>
      <c r="C909" s="4108" t="inlineStr">
        <is>
          <t>135792468</t>
        </is>
      </c>
      <c r="D909" s="4108" t="inlineStr">
        <is>
          <t>202209</t>
        </is>
      </c>
      <c r="E909" s="4108" t="inlineStr">
        <is>
          <t>0,000000000000</t>
        </is>
      </c>
    </row>
    <row outlineLevel="0" r="910">
      <c r="A910" s="4108" t="inlineStr">
        <is>
          <t>135792468202209189901</t>
        </is>
      </c>
      <c r="B910" s="4108" t="inlineStr">
        <is>
          <t>189901</t>
        </is>
      </c>
      <c r="C910" s="4108" t="inlineStr">
        <is>
          <t>135792468</t>
        </is>
      </c>
      <c r="D910" s="4108" t="inlineStr">
        <is>
          <t>202209</t>
        </is>
      </c>
      <c r="E910" s="4108" t="inlineStr">
        <is>
          <t>8,000000000000</t>
        </is>
      </c>
    </row>
    <row outlineLevel="0" r="911">
      <c r="A911" s="4108" t="inlineStr">
        <is>
          <t>135792468202209190000</t>
        </is>
      </c>
      <c r="B911" s="4108" t="inlineStr">
        <is>
          <t>190000</t>
        </is>
      </c>
      <c r="C911" s="4108" t="inlineStr">
        <is>
          <t>135792468</t>
        </is>
      </c>
      <c r="D911" s="4108" t="inlineStr">
        <is>
          <t>202209</t>
        </is>
      </c>
      <c r="E911" s="4108" t="inlineStr">
        <is>
          <t>0,000000000000</t>
        </is>
      </c>
    </row>
    <row outlineLevel="0" r="912">
      <c r="A912" s="4108" t="inlineStr">
        <is>
          <t>135792468202209190501</t>
        </is>
      </c>
      <c r="B912" s="4108" t="inlineStr">
        <is>
          <t>190501</t>
        </is>
      </c>
      <c r="C912" s="4108" t="inlineStr">
        <is>
          <t>135792468</t>
        </is>
      </c>
      <c r="D912" s="4108" t="inlineStr">
        <is>
          <t>202209</t>
        </is>
      </c>
      <c r="E912" s="4108" t="inlineStr">
        <is>
          <t>0,000000000000</t>
        </is>
      </c>
    </row>
    <row outlineLevel="0" r="913">
      <c r="A913" s="4108" t="inlineStr">
        <is>
          <t>135792468202209199501</t>
        </is>
      </c>
      <c r="B913" s="4108" t="inlineStr">
        <is>
          <t>199501</t>
        </is>
      </c>
      <c r="C913" s="4108" t="inlineStr">
        <is>
          <t>135792468</t>
        </is>
      </c>
      <c r="D913" s="4108" t="inlineStr">
        <is>
          <t>202209</t>
        </is>
      </c>
      <c r="E913" s="4108" t="inlineStr">
        <is>
          <t>0,000000000000</t>
        </is>
      </c>
    </row>
    <row outlineLevel="0" r="914">
      <c r="A914" s="4108" t="inlineStr">
        <is>
          <t>135792468202209191001</t>
        </is>
      </c>
      <c r="B914" s="4108" t="inlineStr">
        <is>
          <t>191001</t>
        </is>
      </c>
      <c r="C914" s="4108" t="inlineStr">
        <is>
          <t>135792468</t>
        </is>
      </c>
      <c r="D914" s="4108" t="inlineStr">
        <is>
          <t>202209</t>
        </is>
      </c>
      <c r="E914" s="4108" t="inlineStr">
        <is>
          <t>0,000000000000</t>
        </is>
      </c>
    </row>
    <row outlineLevel="0" r="915">
      <c r="A915" s="4108" t="inlineStr">
        <is>
          <t>135792468202209210500</t>
        </is>
      </c>
      <c r="B915" s="4108" t="inlineStr">
        <is>
          <t>210500</t>
        </is>
      </c>
      <c r="C915" s="4108" t="inlineStr">
        <is>
          <t>135792468</t>
        </is>
      </c>
      <c r="D915" s="4108" t="inlineStr">
        <is>
          <t>202209</t>
        </is>
      </c>
      <c r="E915" s="4108" t="inlineStr">
        <is>
          <t>0,000000000000</t>
        </is>
      </c>
    </row>
    <row outlineLevel="0" r="916">
      <c r="A916" s="4108" t="inlineStr">
        <is>
          <t>135792468202209210501</t>
        </is>
      </c>
      <c r="B916" s="4108" t="inlineStr">
        <is>
          <t>210501</t>
        </is>
      </c>
      <c r="C916" s="4108" t="inlineStr">
        <is>
          <t>135792468</t>
        </is>
      </c>
      <c r="D916" s="4108" t="inlineStr">
        <is>
          <t>202209</t>
        </is>
      </c>
      <c r="E916" s="4108" t="inlineStr">
        <is>
          <t>11288,000000000000</t>
        </is>
      </c>
    </row>
    <row outlineLevel="0" r="917">
      <c r="A917" s="4108" t="inlineStr">
        <is>
          <t>135792468202209211001</t>
        </is>
      </c>
      <c r="B917" s="4108" t="inlineStr">
        <is>
          <t>211001</t>
        </is>
      </c>
      <c r="C917" s="4108" t="inlineStr">
        <is>
          <t>135792468</t>
        </is>
      </c>
      <c r="D917" s="4108" t="inlineStr">
        <is>
          <t>202209</t>
        </is>
      </c>
      <c r="E917" s="4108" t="inlineStr">
        <is>
          <t>0,000000000000</t>
        </is>
      </c>
    </row>
    <row outlineLevel="0" r="918">
      <c r="A918" s="4108" t="inlineStr">
        <is>
          <t>135792468202209211500</t>
        </is>
      </c>
      <c r="B918" s="4108" t="inlineStr">
        <is>
          <t>211500</t>
        </is>
      </c>
      <c r="C918" s="4108" t="inlineStr">
        <is>
          <t>135792468</t>
        </is>
      </c>
      <c r="D918" s="4108" t="inlineStr">
        <is>
          <t>202209</t>
        </is>
      </c>
      <c r="E918" s="4108" t="inlineStr">
        <is>
          <t>433,000000000000</t>
        </is>
      </c>
    </row>
    <row outlineLevel="0" r="919">
      <c r="A919" s="4108" t="inlineStr">
        <is>
          <t>135792468202209219500</t>
        </is>
      </c>
      <c r="B919" s="4108" t="inlineStr">
        <is>
          <t>219500</t>
        </is>
      </c>
      <c r="C919" s="4108" t="inlineStr">
        <is>
          <t>135792468</t>
        </is>
      </c>
      <c r="D919" s="4108" t="inlineStr">
        <is>
          <t>202209</t>
        </is>
      </c>
      <c r="E919" s="4108" t="inlineStr">
        <is>
          <t>0,000000000000</t>
        </is>
      </c>
    </row>
    <row outlineLevel="0" r="920">
      <c r="A920" s="4108" t="inlineStr">
        <is>
          <t>135792468202209220500</t>
        </is>
      </c>
      <c r="B920" s="4108" t="inlineStr">
        <is>
          <t>220500</t>
        </is>
      </c>
      <c r="C920" s="4108" t="inlineStr">
        <is>
          <t>135792468</t>
        </is>
      </c>
      <c r="D920" s="4108" t="inlineStr">
        <is>
          <t>202209</t>
        </is>
      </c>
      <c r="E920" s="4108" t="inlineStr">
        <is>
          <t>0,000000000000</t>
        </is>
      </c>
    </row>
    <row outlineLevel="0" r="921">
      <c r="A921" s="4108" t="inlineStr">
        <is>
          <t>135792468202209221000</t>
        </is>
      </c>
      <c r="B921" s="4108" t="inlineStr">
        <is>
          <t>221000</t>
        </is>
      </c>
      <c r="C921" s="4108" t="inlineStr">
        <is>
          <t>135792468</t>
        </is>
      </c>
      <c r="D921" s="4108" t="inlineStr">
        <is>
          <t>202209</t>
        </is>
      </c>
      <c r="E921" s="4108" t="inlineStr">
        <is>
          <t>0,000000000000</t>
        </is>
      </c>
    </row>
    <row outlineLevel="0" r="922">
      <c r="A922" s="4108" t="inlineStr">
        <is>
          <t>135792468202209220501</t>
        </is>
      </c>
      <c r="B922" s="4108" t="inlineStr">
        <is>
          <t>220501</t>
        </is>
      </c>
      <c r="C922" s="4108" t="inlineStr">
        <is>
          <t>135792468</t>
        </is>
      </c>
      <c r="D922" s="4108" t="inlineStr">
        <is>
          <t>202209</t>
        </is>
      </c>
      <c r="E922" s="4108" t="inlineStr">
        <is>
          <t>0,000000000000</t>
        </is>
      </c>
    </row>
    <row outlineLevel="0" r="923">
      <c r="A923" s="4108" t="inlineStr">
        <is>
          <t>135792468202209221001</t>
        </is>
      </c>
      <c r="B923" s="4108" t="inlineStr">
        <is>
          <t>221001</t>
        </is>
      </c>
      <c r="C923" s="4108" t="inlineStr">
        <is>
          <t>135792468</t>
        </is>
      </c>
      <c r="D923" s="4108" t="inlineStr">
        <is>
          <t>202209</t>
        </is>
      </c>
      <c r="E923" s="4108" t="inlineStr">
        <is>
          <t>0,000000000000</t>
        </is>
      </c>
    </row>
    <row outlineLevel="0" r="924">
      <c r="A924" s="4108" t="inlineStr">
        <is>
          <t>135792468202209221500</t>
        </is>
      </c>
      <c r="B924" s="4108" t="inlineStr">
        <is>
          <t>221500</t>
        </is>
      </c>
      <c r="C924" s="4108" t="inlineStr">
        <is>
          <t>135792468</t>
        </is>
      </c>
      <c r="D924" s="4108" t="inlineStr">
        <is>
          <t>202209</t>
        </is>
      </c>
      <c r="E924" s="4108" t="inlineStr">
        <is>
          <t>0,000000000000</t>
        </is>
      </c>
    </row>
    <row outlineLevel="0" r="925">
      <c r="A925" s="4108" t="inlineStr">
        <is>
          <t>135792468202209230500</t>
        </is>
      </c>
      <c r="B925" s="4108" t="inlineStr">
        <is>
          <t>230500</t>
        </is>
      </c>
      <c r="C925" s="4108" t="inlineStr">
        <is>
          <t>135792468</t>
        </is>
      </c>
      <c r="D925" s="4108" t="inlineStr">
        <is>
          <t>202209</t>
        </is>
      </c>
      <c r="E925" s="4108" t="inlineStr">
        <is>
          <t>335,000000000000</t>
        </is>
      </c>
    </row>
    <row outlineLevel="0" r="926">
      <c r="A926" s="4108" t="inlineStr">
        <is>
          <t>135792468202209230501</t>
        </is>
      </c>
      <c r="B926" s="4108" t="inlineStr">
        <is>
          <t>230501</t>
        </is>
      </c>
      <c r="C926" s="4108" t="inlineStr">
        <is>
          <t>135792468</t>
        </is>
      </c>
      <c r="D926" s="4108" t="inlineStr">
        <is>
          <t>202209</t>
        </is>
      </c>
      <c r="E926" s="4108" t="inlineStr">
        <is>
          <t>0,000000000000</t>
        </is>
      </c>
    </row>
    <row outlineLevel="0" r="927">
      <c r="A927" s="4108" t="inlineStr">
        <is>
          <t>135792468202209231000</t>
        </is>
      </c>
      <c r="B927" s="4108" t="inlineStr">
        <is>
          <t>231000</t>
        </is>
      </c>
      <c r="C927" s="4108" t="inlineStr">
        <is>
          <t>135792468</t>
        </is>
      </c>
      <c r="D927" s="4108" t="inlineStr">
        <is>
          <t>202209</t>
        </is>
      </c>
      <c r="E927" s="4108" t="inlineStr">
        <is>
          <t>0,000000000000</t>
        </is>
      </c>
    </row>
    <row outlineLevel="0" r="928">
      <c r="A928" s="4108" t="inlineStr">
        <is>
          <t>135792468202209231001</t>
        </is>
      </c>
      <c r="B928" s="4108" t="inlineStr">
        <is>
          <t>231001</t>
        </is>
      </c>
      <c r="C928" s="4108" t="inlineStr">
        <is>
          <t>135792468</t>
        </is>
      </c>
      <c r="D928" s="4108" t="inlineStr">
        <is>
          <t>202209</t>
        </is>
      </c>
      <c r="E928" s="4108" t="inlineStr">
        <is>
          <t>0,000000000000</t>
        </is>
      </c>
    </row>
    <row outlineLevel="0" r="929">
      <c r="A929" s="4108" t="inlineStr">
        <is>
          <t>135792468202209231501</t>
        </is>
      </c>
      <c r="B929" s="4108" t="inlineStr">
        <is>
          <t>231501</t>
        </is>
      </c>
      <c r="C929" s="4108" t="inlineStr">
        <is>
          <t>135792468</t>
        </is>
      </c>
      <c r="D929" s="4108" t="inlineStr">
        <is>
          <t>202209</t>
        </is>
      </c>
      <c r="E929" s="4108" t="inlineStr">
        <is>
          <t>1300,000000000000</t>
        </is>
      </c>
    </row>
    <row outlineLevel="0" r="930">
      <c r="A930" s="4108" t="inlineStr">
        <is>
          <t>135792468202209231500</t>
        </is>
      </c>
      <c r="B930" s="4108" t="inlineStr">
        <is>
          <t>231500</t>
        </is>
      </c>
      <c r="C930" s="4108" t="inlineStr">
        <is>
          <t>135792468</t>
        </is>
      </c>
      <c r="D930" s="4108" t="inlineStr">
        <is>
          <t>202209</t>
        </is>
      </c>
      <c r="E930" s="4108" t="inlineStr">
        <is>
          <t>0,000000000000</t>
        </is>
      </c>
    </row>
    <row outlineLevel="0" r="931">
      <c r="A931" s="4108" t="inlineStr">
        <is>
          <t>135792468202209232000</t>
        </is>
      </c>
      <c r="B931" s="4108" t="inlineStr">
        <is>
          <t>232000</t>
        </is>
      </c>
      <c r="C931" s="4108" t="inlineStr">
        <is>
          <t>135792468</t>
        </is>
      </c>
      <c r="D931" s="4108" t="inlineStr">
        <is>
          <t>202209</t>
        </is>
      </c>
      <c r="E931" s="4108" t="inlineStr">
        <is>
          <t>0,000000000000</t>
        </is>
      </c>
    </row>
    <row outlineLevel="0" r="932">
      <c r="A932" s="4108" t="inlineStr">
        <is>
          <t>135792468202209232001</t>
        </is>
      </c>
      <c r="B932" s="4108" t="inlineStr">
        <is>
          <t>232001</t>
        </is>
      </c>
      <c r="C932" s="4108" t="inlineStr">
        <is>
          <t>135792468</t>
        </is>
      </c>
      <c r="D932" s="4108" t="inlineStr">
        <is>
          <t>202209</t>
        </is>
      </c>
      <c r="E932" s="4108" t="inlineStr">
        <is>
          <t>0,000000000000</t>
        </is>
      </c>
    </row>
    <row outlineLevel="0" r="933">
      <c r="A933" s="4108" t="inlineStr">
        <is>
          <t>135792468202209233500</t>
        </is>
      </c>
      <c r="B933" s="4108" t="inlineStr">
        <is>
          <t>233500</t>
        </is>
      </c>
      <c r="C933" s="4108" t="inlineStr">
        <is>
          <t>135792468</t>
        </is>
      </c>
      <c r="D933" s="4108" t="inlineStr">
        <is>
          <t>202209</t>
        </is>
      </c>
      <c r="E933" s="4108" t="inlineStr">
        <is>
          <t>0,000000000000</t>
        </is>
      </c>
    </row>
    <row outlineLevel="0" r="934">
      <c r="A934" s="4108" t="inlineStr">
        <is>
          <t>135792468202209233501</t>
        </is>
      </c>
      <c r="B934" s="4108" t="inlineStr">
        <is>
          <t>233501</t>
        </is>
      </c>
      <c r="C934" s="4108" t="inlineStr">
        <is>
          <t>135792468</t>
        </is>
      </c>
      <c r="D934" s="4108" t="inlineStr">
        <is>
          <t>202209</t>
        </is>
      </c>
      <c r="E934" s="4108" t="inlineStr">
        <is>
          <t>0,000000000000</t>
        </is>
      </c>
    </row>
    <row outlineLevel="0" r="935">
      <c r="A935" s="4108" t="inlineStr">
        <is>
          <t>135792468202209234500</t>
        </is>
      </c>
      <c r="B935" s="4108" t="inlineStr">
        <is>
          <t>234500</t>
        </is>
      </c>
      <c r="C935" s="4108" t="inlineStr">
        <is>
          <t>135792468</t>
        </is>
      </c>
      <c r="D935" s="4108" t="inlineStr">
        <is>
          <t>202209</t>
        </is>
      </c>
      <c r="E935" s="4108" t="inlineStr">
        <is>
          <t>0,000000000000</t>
        </is>
      </c>
    </row>
    <row outlineLevel="0" r="936">
      <c r="A936" s="4108" t="inlineStr">
        <is>
          <t>135792468202209234501</t>
        </is>
      </c>
      <c r="B936" s="4108" t="inlineStr">
        <is>
          <t>234501</t>
        </is>
      </c>
      <c r="C936" s="4108" t="inlineStr">
        <is>
          <t>135792468</t>
        </is>
      </c>
      <c r="D936" s="4108" t="inlineStr">
        <is>
          <t>202209</t>
        </is>
      </c>
      <c r="E936" s="4108" t="inlineStr">
        <is>
          <t>0,000000000000</t>
        </is>
      </c>
    </row>
    <row outlineLevel="0" r="937">
      <c r="A937" s="4108" t="inlineStr">
        <is>
          <t>135792468202209235001</t>
        </is>
      </c>
      <c r="B937" s="4108" t="inlineStr">
        <is>
          <t>235001</t>
        </is>
      </c>
      <c r="C937" s="4108" t="inlineStr">
        <is>
          <t>135792468</t>
        </is>
      </c>
      <c r="D937" s="4108" t="inlineStr">
        <is>
          <t>202209</t>
        </is>
      </c>
      <c r="E937" s="4108" t="inlineStr">
        <is>
          <t>0,000000000000</t>
        </is>
      </c>
    </row>
    <row outlineLevel="0" r="938">
      <c r="A938" s="4108" t="inlineStr">
        <is>
          <t>135792468202209235000</t>
        </is>
      </c>
      <c r="B938" s="4108" t="inlineStr">
        <is>
          <t>235000</t>
        </is>
      </c>
      <c r="C938" s="4108" t="inlineStr">
        <is>
          <t>135792468</t>
        </is>
      </c>
      <c r="D938" s="4108" t="inlineStr">
        <is>
          <t>202209</t>
        </is>
      </c>
      <c r="E938" s="4108" t="inlineStr">
        <is>
          <t>0,000000000000</t>
        </is>
      </c>
    </row>
    <row outlineLevel="0" r="939">
      <c r="A939" s="4108" t="inlineStr">
        <is>
          <t>135792468202209235500</t>
        </is>
      </c>
      <c r="B939" s="4108" t="inlineStr">
        <is>
          <t>235500</t>
        </is>
      </c>
      <c r="C939" s="4108" t="inlineStr">
        <is>
          <t>135792468</t>
        </is>
      </c>
      <c r="D939" s="4108" t="inlineStr">
        <is>
          <t>202209</t>
        </is>
      </c>
      <c r="E939" s="4108" t="inlineStr">
        <is>
          <t>0,000000000000</t>
        </is>
      </c>
    </row>
    <row outlineLevel="0" r="940">
      <c r="A940" s="4108" t="inlineStr">
        <is>
          <t>135792468202209235501</t>
        </is>
      </c>
      <c r="B940" s="4108" t="inlineStr">
        <is>
          <t>235501</t>
        </is>
      </c>
      <c r="C940" s="4108" t="inlineStr">
        <is>
          <t>135792468</t>
        </is>
      </c>
      <c r="D940" s="4108" t="inlineStr">
        <is>
          <t>202209</t>
        </is>
      </c>
      <c r="E940" s="4108" t="inlineStr">
        <is>
          <t>0,000000000000</t>
        </is>
      </c>
    </row>
    <row outlineLevel="0" r="941">
      <c r="A941" s="4108" t="inlineStr">
        <is>
          <t>135792468202209236000</t>
        </is>
      </c>
      <c r="B941" s="4108" t="inlineStr">
        <is>
          <t>236000</t>
        </is>
      </c>
      <c r="C941" s="4108" t="inlineStr">
        <is>
          <t>135792468</t>
        </is>
      </c>
      <c r="D941" s="4108" t="inlineStr">
        <is>
          <t>202209</t>
        </is>
      </c>
      <c r="E941" s="4108" t="inlineStr">
        <is>
          <t>0,000000000000</t>
        </is>
      </c>
    </row>
    <row outlineLevel="0" r="942">
      <c r="A942" s="4108" t="inlineStr">
        <is>
          <t>135792468202209236001</t>
        </is>
      </c>
      <c r="B942" s="4108" t="inlineStr">
        <is>
          <t>236001</t>
        </is>
      </c>
      <c r="C942" s="4108" t="inlineStr">
        <is>
          <t>135792468</t>
        </is>
      </c>
      <c r="D942" s="4108" t="inlineStr">
        <is>
          <t>202209</t>
        </is>
      </c>
      <c r="E942" s="4108" t="inlineStr">
        <is>
          <t>0,000000000000</t>
        </is>
      </c>
    </row>
    <row outlineLevel="0" r="943">
      <c r="A943" s="4108" t="inlineStr">
        <is>
          <t>135792468202209236500</t>
        </is>
      </c>
      <c r="B943" s="4108" t="inlineStr">
        <is>
          <t>236500</t>
        </is>
      </c>
      <c r="C943" s="4108" t="inlineStr">
        <is>
          <t>135792468</t>
        </is>
      </c>
      <c r="D943" s="4108" t="inlineStr">
        <is>
          <t>202209</t>
        </is>
      </c>
      <c r="E943" s="4108" t="inlineStr">
        <is>
          <t>0,000000000000</t>
        </is>
      </c>
    </row>
    <row outlineLevel="0" r="944">
      <c r="A944" s="4108" t="inlineStr">
        <is>
          <t>135792468202209236501</t>
        </is>
      </c>
      <c r="B944" s="4108" t="inlineStr">
        <is>
          <t>236501</t>
        </is>
      </c>
      <c r="C944" s="4108" t="inlineStr">
        <is>
          <t>135792468</t>
        </is>
      </c>
      <c r="D944" s="4108" t="inlineStr">
        <is>
          <t>202209</t>
        </is>
      </c>
      <c r="E944" s="4108" t="inlineStr">
        <is>
          <t>0,000000000000</t>
        </is>
      </c>
    </row>
    <row outlineLevel="0" r="945">
      <c r="A945" s="4108" t="inlineStr">
        <is>
          <t>135792468202209236701</t>
        </is>
      </c>
      <c r="B945" s="4108" t="inlineStr">
        <is>
          <t>236701</t>
        </is>
      </c>
      <c r="C945" s="4108" t="inlineStr">
        <is>
          <t>135792468</t>
        </is>
      </c>
      <c r="D945" s="4108" t="inlineStr">
        <is>
          <t>202209</t>
        </is>
      </c>
      <c r="E945" s="4108" t="inlineStr">
        <is>
          <t>0,000000000000</t>
        </is>
      </c>
    </row>
    <row outlineLevel="0" r="946">
      <c r="A946" s="4108" t="inlineStr">
        <is>
          <t>135792468202209236700</t>
        </is>
      </c>
      <c r="B946" s="4108" t="inlineStr">
        <is>
          <t>236700</t>
        </is>
      </c>
      <c r="C946" s="4108" t="inlineStr">
        <is>
          <t>135792468</t>
        </is>
      </c>
      <c r="D946" s="4108" t="inlineStr">
        <is>
          <t>202209</t>
        </is>
      </c>
      <c r="E946" s="4108" t="inlineStr">
        <is>
          <t>0,000000000000</t>
        </is>
      </c>
    </row>
    <row outlineLevel="0" r="947">
      <c r="A947" s="4108" t="inlineStr">
        <is>
          <t>135792468202209236800</t>
        </is>
      </c>
      <c r="B947" s="4108" t="inlineStr">
        <is>
          <t>236800</t>
        </is>
      </c>
      <c r="C947" s="4108" t="inlineStr">
        <is>
          <t>135792468</t>
        </is>
      </c>
      <c r="D947" s="4108" t="inlineStr">
        <is>
          <t>202209</t>
        </is>
      </c>
      <c r="E947" s="4108" t="inlineStr">
        <is>
          <t>1315,000000000000</t>
        </is>
      </c>
    </row>
    <row outlineLevel="0" r="948">
      <c r="A948" s="4108" t="inlineStr">
        <is>
          <t>135792468202209237000</t>
        </is>
      </c>
      <c r="B948" s="4108" t="inlineStr">
        <is>
          <t>237000</t>
        </is>
      </c>
      <c r="C948" s="4108" t="inlineStr">
        <is>
          <t>135792468</t>
        </is>
      </c>
      <c r="D948" s="4108" t="inlineStr">
        <is>
          <t>202209</t>
        </is>
      </c>
      <c r="E948" s="4108" t="inlineStr">
        <is>
          <t>0,000000000000</t>
        </is>
      </c>
    </row>
    <row outlineLevel="0" r="949">
      <c r="A949" s="4108" t="inlineStr">
        <is>
          <t>135792468202209237001</t>
        </is>
      </c>
      <c r="B949" s="4108" t="inlineStr">
        <is>
          <t>237001</t>
        </is>
      </c>
      <c r="C949" s="4108" t="inlineStr">
        <is>
          <t>135792468</t>
        </is>
      </c>
      <c r="D949" s="4108" t="inlineStr">
        <is>
          <t>202209</t>
        </is>
      </c>
      <c r="E949" s="4108" t="inlineStr">
        <is>
          <t>0,000000000000</t>
        </is>
      </c>
    </row>
    <row outlineLevel="0" r="950">
      <c r="A950" s="4108" t="inlineStr">
        <is>
          <t>135792468202209238000</t>
        </is>
      </c>
      <c r="B950" s="4108" t="inlineStr">
        <is>
          <t>238000</t>
        </is>
      </c>
      <c r="C950" s="4108" t="inlineStr">
        <is>
          <t>135792468</t>
        </is>
      </c>
      <c r="D950" s="4108" t="inlineStr">
        <is>
          <t>202209</t>
        </is>
      </c>
      <c r="E950" s="4108" t="inlineStr">
        <is>
          <t>0,000000000000</t>
        </is>
      </c>
    </row>
    <row outlineLevel="0" r="951">
      <c r="A951" s="4108" t="inlineStr">
        <is>
          <t>135792468202209238001</t>
        </is>
      </c>
      <c r="B951" s="4108" t="inlineStr">
        <is>
          <t>238001</t>
        </is>
      </c>
      <c r="C951" s="4108" t="inlineStr">
        <is>
          <t>135792468</t>
        </is>
      </c>
      <c r="D951" s="4108" t="inlineStr">
        <is>
          <t>202209</t>
        </is>
      </c>
      <c r="E951" s="4108" t="inlineStr">
        <is>
          <t>0,000000000000</t>
        </is>
      </c>
    </row>
    <row outlineLevel="0" r="952">
      <c r="A952" s="4108" t="inlineStr">
        <is>
          <t>135792468202209240001</t>
        </is>
      </c>
      <c r="B952" s="4108" t="inlineStr">
        <is>
          <t>240001</t>
        </is>
      </c>
      <c r="C952" s="4108" t="inlineStr">
        <is>
          <t>135792468</t>
        </is>
      </c>
      <c r="D952" s="4108" t="inlineStr">
        <is>
          <t>202209</t>
        </is>
      </c>
      <c r="E952" s="4108" t="inlineStr">
        <is>
          <t>0,000000000000</t>
        </is>
      </c>
    </row>
    <row outlineLevel="0" r="953">
      <c r="A953" s="4108" t="inlineStr">
        <is>
          <t>135792468202209240401</t>
        </is>
      </c>
      <c r="B953" s="4108" t="inlineStr">
        <is>
          <t>240401</t>
        </is>
      </c>
      <c r="C953" s="4108" t="inlineStr">
        <is>
          <t>135792468</t>
        </is>
      </c>
      <c r="D953" s="4108" t="inlineStr">
        <is>
          <t>202209</t>
        </is>
      </c>
      <c r="E953" s="4108" t="inlineStr">
        <is>
          <t>0,000000000000</t>
        </is>
      </c>
    </row>
    <row outlineLevel="0" r="954">
      <c r="A954" s="4108" t="inlineStr">
        <is>
          <t>135792468202209240400</t>
        </is>
      </c>
      <c r="B954" s="4108" t="inlineStr">
        <is>
          <t>240400</t>
        </is>
      </c>
      <c r="C954" s="4108" t="inlineStr">
        <is>
          <t>135792468</t>
        </is>
      </c>
      <c r="D954" s="4108" t="inlineStr">
        <is>
          <t>202209</t>
        </is>
      </c>
      <c r="E954" s="4108" t="inlineStr">
        <is>
          <t>7,000000000000</t>
        </is>
      </c>
    </row>
    <row outlineLevel="0" r="955">
      <c r="A955" s="4108" t="inlineStr">
        <is>
          <t>135792468202209240800</t>
        </is>
      </c>
      <c r="B955" s="4108" t="inlineStr">
        <is>
          <t>240800</t>
        </is>
      </c>
      <c r="C955" s="4108" t="inlineStr">
        <is>
          <t>135792468</t>
        </is>
      </c>
      <c r="D955" s="4108" t="inlineStr">
        <is>
          <t>202209</t>
        </is>
      </c>
      <c r="E955" s="4108" t="inlineStr">
        <is>
          <t>0,000000000000</t>
        </is>
      </c>
    </row>
    <row outlineLevel="0" r="956">
      <c r="A956" s="4108" t="inlineStr">
        <is>
          <t>135792468202209240801</t>
        </is>
      </c>
      <c r="B956" s="4108" t="inlineStr">
        <is>
          <t>240801</t>
        </is>
      </c>
      <c r="C956" s="4108" t="inlineStr">
        <is>
          <t>135792468</t>
        </is>
      </c>
      <c r="D956" s="4108" t="inlineStr">
        <is>
          <t>202209</t>
        </is>
      </c>
      <c r="E956" s="4108" t="inlineStr">
        <is>
          <t>0,000000000000</t>
        </is>
      </c>
    </row>
    <row outlineLevel="0" r="957">
      <c r="A957" s="4108" t="inlineStr">
        <is>
          <t>135792468202209241200</t>
        </is>
      </c>
      <c r="B957" s="4108" t="inlineStr">
        <is>
          <t>241200</t>
        </is>
      </c>
      <c r="C957" s="4108" t="inlineStr">
        <is>
          <t>135792468</t>
        </is>
      </c>
      <c r="D957" s="4108" t="inlineStr">
        <is>
          <t>202209</t>
        </is>
      </c>
      <c r="E957" s="4108" t="inlineStr">
        <is>
          <t>0,000000000000</t>
        </is>
      </c>
    </row>
    <row outlineLevel="0" r="958">
      <c r="A958" s="4108" t="inlineStr">
        <is>
          <t>135792468202209241201</t>
        </is>
      </c>
      <c r="B958" s="4108" t="inlineStr">
        <is>
          <t>241201</t>
        </is>
      </c>
      <c r="C958" s="4108" t="inlineStr">
        <is>
          <t>135792468</t>
        </is>
      </c>
      <c r="D958" s="4108" t="inlineStr">
        <is>
          <t>202209</t>
        </is>
      </c>
      <c r="E958" s="4108" t="inlineStr">
        <is>
          <t>0,000000000000</t>
        </is>
      </c>
    </row>
    <row outlineLevel="0" r="959">
      <c r="A959" s="4108" t="inlineStr">
        <is>
          <t>135792468202209249500</t>
        </is>
      </c>
      <c r="B959" s="4108" t="inlineStr">
        <is>
          <t>249500</t>
        </is>
      </c>
      <c r="C959" s="4108" t="inlineStr">
        <is>
          <t>135792468</t>
        </is>
      </c>
      <c r="D959" s="4108" t="inlineStr">
        <is>
          <t>202209</t>
        </is>
      </c>
      <c r="E959" s="4108" t="inlineStr">
        <is>
          <t>0,000000000000</t>
        </is>
      </c>
    </row>
    <row outlineLevel="0" r="960">
      <c r="A960" s="4108" t="inlineStr">
        <is>
          <t>135792468202209249501</t>
        </is>
      </c>
      <c r="B960" s="4108" t="inlineStr">
        <is>
          <t>249501</t>
        </is>
      </c>
      <c r="C960" s="4108" t="inlineStr">
        <is>
          <t>135792468</t>
        </is>
      </c>
      <c r="D960" s="4108" t="inlineStr">
        <is>
          <t>202209</t>
        </is>
      </c>
      <c r="E960" s="4108" t="inlineStr">
        <is>
          <t>0,000000000000</t>
        </is>
      </c>
    </row>
    <row outlineLevel="0" r="961">
      <c r="A961" s="4108" t="inlineStr">
        <is>
          <t>135792468202209250501</t>
        </is>
      </c>
      <c r="B961" s="4108" t="inlineStr">
        <is>
          <t>250501</t>
        </is>
      </c>
      <c r="C961" s="4108" t="inlineStr">
        <is>
          <t>135792468</t>
        </is>
      </c>
      <c r="D961" s="4108" t="inlineStr">
        <is>
          <t>202209</t>
        </is>
      </c>
      <c r="E961" s="4108" t="inlineStr">
        <is>
          <t>0,000000000000</t>
        </is>
      </c>
    </row>
    <row outlineLevel="0" r="962">
      <c r="A962" s="4108" t="inlineStr">
        <is>
          <t>135792468202209250500</t>
        </is>
      </c>
      <c r="B962" s="4108" t="inlineStr">
        <is>
          <t>250500</t>
        </is>
      </c>
      <c r="C962" s="4108" t="inlineStr">
        <is>
          <t>135792468</t>
        </is>
      </c>
      <c r="D962" s="4108" t="inlineStr">
        <is>
          <t>202209</t>
        </is>
      </c>
      <c r="E962" s="4108" t="inlineStr">
        <is>
          <t>0,000000000000</t>
        </is>
      </c>
    </row>
    <row outlineLevel="0" r="963">
      <c r="A963" s="4108" t="inlineStr">
        <is>
          <t>135792468202209251000</t>
        </is>
      </c>
      <c r="B963" s="4108" t="inlineStr">
        <is>
          <t>251000</t>
        </is>
      </c>
      <c r="C963" s="4108" t="inlineStr">
        <is>
          <t>135792468</t>
        </is>
      </c>
      <c r="D963" s="4108" t="inlineStr">
        <is>
          <t>202209</t>
        </is>
      </c>
      <c r="E963" s="4108" t="inlineStr">
        <is>
          <t>0,000000000000</t>
        </is>
      </c>
    </row>
    <row outlineLevel="0" r="964">
      <c r="A964" s="4108" t="inlineStr">
        <is>
          <t>135792468202209251001</t>
        </is>
      </c>
      <c r="B964" s="4108" t="inlineStr">
        <is>
          <t>251001</t>
        </is>
      </c>
      <c r="C964" s="4108" t="inlineStr">
        <is>
          <t>135792468</t>
        </is>
      </c>
      <c r="D964" s="4108" t="inlineStr">
        <is>
          <t>202209</t>
        </is>
      </c>
      <c r="E964" s="4108" t="inlineStr">
        <is>
          <t>0,000000000000</t>
        </is>
      </c>
    </row>
    <row outlineLevel="0" r="965">
      <c r="A965" s="4108" t="inlineStr">
        <is>
          <t>135792468202209251500</t>
        </is>
      </c>
      <c r="B965" s="4108" t="inlineStr">
        <is>
          <t>251500</t>
        </is>
      </c>
      <c r="C965" s="4108" t="inlineStr">
        <is>
          <t>135792468</t>
        </is>
      </c>
      <c r="D965" s="4108" t="inlineStr">
        <is>
          <t>202209</t>
        </is>
      </c>
      <c r="E965" s="4108" t="inlineStr">
        <is>
          <t>0,000000000000</t>
        </is>
      </c>
    </row>
    <row outlineLevel="0" r="966">
      <c r="A966" s="4108" t="inlineStr">
        <is>
          <t>135792468202209251501</t>
        </is>
      </c>
      <c r="B966" s="4108" t="inlineStr">
        <is>
          <t>251501</t>
        </is>
      </c>
      <c r="C966" s="4108" t="inlineStr">
        <is>
          <t>135792468</t>
        </is>
      </c>
      <c r="D966" s="4108" t="inlineStr">
        <is>
          <t>202209</t>
        </is>
      </c>
      <c r="E966" s="4108" t="inlineStr">
        <is>
          <t>0,000000000000</t>
        </is>
      </c>
    </row>
    <row outlineLevel="0" r="967">
      <c r="A967" s="4108" t="inlineStr">
        <is>
          <t>135792468202209252500</t>
        </is>
      </c>
      <c r="B967" s="4108" t="inlineStr">
        <is>
          <t>252500</t>
        </is>
      </c>
      <c r="C967" s="4108" t="inlineStr">
        <is>
          <t>135792468</t>
        </is>
      </c>
      <c r="D967" s="4108" t="inlineStr">
        <is>
          <t>202209</t>
        </is>
      </c>
      <c r="E967" s="4108" t="inlineStr">
        <is>
          <t>0,000000000000</t>
        </is>
      </c>
    </row>
    <row outlineLevel="0" r="968">
      <c r="A968" s="4108" t="inlineStr">
        <is>
          <t>135792468202209252501</t>
        </is>
      </c>
      <c r="B968" s="4108" t="inlineStr">
        <is>
          <t>252501</t>
        </is>
      </c>
      <c r="C968" s="4108" t="inlineStr">
        <is>
          <t>135792468</t>
        </is>
      </c>
      <c r="D968" s="4108" t="inlineStr">
        <is>
          <t>202209</t>
        </is>
      </c>
      <c r="E968" s="4108" t="inlineStr">
        <is>
          <t>0,000000000000</t>
        </is>
      </c>
    </row>
    <row outlineLevel="0" r="969">
      <c r="A969" s="4108" t="inlineStr">
        <is>
          <t>135792468202209253001</t>
        </is>
      </c>
      <c r="B969" s="4108" t="inlineStr">
        <is>
          <t>253001</t>
        </is>
      </c>
      <c r="C969" s="4108" t="inlineStr">
        <is>
          <t>135792468</t>
        </is>
      </c>
      <c r="D969" s="4108" t="inlineStr">
        <is>
          <t>202209</t>
        </is>
      </c>
      <c r="E969" s="4108" t="inlineStr">
        <is>
          <t>0,000000000000</t>
        </is>
      </c>
    </row>
    <row outlineLevel="0" r="970">
      <c r="A970" s="4108" t="inlineStr">
        <is>
          <t>135792468202209253000</t>
        </is>
      </c>
      <c r="B970" s="4108" t="inlineStr">
        <is>
          <t>253000</t>
        </is>
      </c>
      <c r="C970" s="4108" t="inlineStr">
        <is>
          <t>135792468</t>
        </is>
      </c>
      <c r="D970" s="4108" t="inlineStr">
        <is>
          <t>202209</t>
        </is>
      </c>
      <c r="E970" s="4108" t="inlineStr">
        <is>
          <t>0,000000000000</t>
        </is>
      </c>
    </row>
    <row outlineLevel="0" r="971">
      <c r="A971" s="4108" t="inlineStr">
        <is>
          <t>135792468202209259500</t>
        </is>
      </c>
      <c r="B971" s="4108" t="inlineStr">
        <is>
          <t>259500</t>
        </is>
      </c>
      <c r="C971" s="4108" t="inlineStr">
        <is>
          <t>135792468</t>
        </is>
      </c>
      <c r="D971" s="4108" t="inlineStr">
        <is>
          <t>202209</t>
        </is>
      </c>
      <c r="E971" s="4108" t="inlineStr">
        <is>
          <t>0,000000000000</t>
        </is>
      </c>
    </row>
    <row outlineLevel="0" r="972">
      <c r="A972" s="4108" t="inlineStr">
        <is>
          <t>135792468202209259501</t>
        </is>
      </c>
      <c r="B972" s="4108" t="inlineStr">
        <is>
          <t>259501</t>
        </is>
      </c>
      <c r="C972" s="4108" t="inlineStr">
        <is>
          <t>135792468</t>
        </is>
      </c>
      <c r="D972" s="4108" t="inlineStr">
        <is>
          <t>202209</t>
        </is>
      </c>
      <c r="E972" s="4108" t="inlineStr">
        <is>
          <t>0,000000000000</t>
        </is>
      </c>
    </row>
    <row outlineLevel="0" r="973">
      <c r="A973" s="4108" t="inlineStr">
        <is>
          <t>135792468202209260500</t>
        </is>
      </c>
      <c r="B973" s="4108" t="inlineStr">
        <is>
          <t>260500</t>
        </is>
      </c>
      <c r="C973" s="4108" t="inlineStr">
        <is>
          <t>135792468</t>
        </is>
      </c>
      <c r="D973" s="4108" t="inlineStr">
        <is>
          <t>202209</t>
        </is>
      </c>
      <c r="E973" s="4108" t="inlineStr">
        <is>
          <t>0,000000000000</t>
        </is>
      </c>
    </row>
    <row outlineLevel="0" r="974">
      <c r="A974" s="4108" t="inlineStr">
        <is>
          <t>135792468202209260501</t>
        </is>
      </c>
      <c r="B974" s="4108" t="inlineStr">
        <is>
          <t>260501</t>
        </is>
      </c>
      <c r="C974" s="4108" t="inlineStr">
        <is>
          <t>135792468</t>
        </is>
      </c>
      <c r="D974" s="4108" t="inlineStr">
        <is>
          <t>202209</t>
        </is>
      </c>
      <c r="E974" s="4108" t="inlineStr">
        <is>
          <t>0,000000000000</t>
        </is>
      </c>
    </row>
    <row outlineLevel="0" r="975">
      <c r="A975" s="4108" t="inlineStr">
        <is>
          <t>135792468202209261000</t>
        </is>
      </c>
      <c r="B975" s="4108" t="inlineStr">
        <is>
          <t>261000</t>
        </is>
      </c>
      <c r="C975" s="4108" t="inlineStr">
        <is>
          <t>135792468</t>
        </is>
      </c>
      <c r="D975" s="4108" t="inlineStr">
        <is>
          <t>202209</t>
        </is>
      </c>
      <c r="E975" s="4108" t="inlineStr">
        <is>
          <t>0,000000000000</t>
        </is>
      </c>
    </row>
    <row outlineLevel="0" r="976">
      <c r="A976" s="4108" t="inlineStr">
        <is>
          <t>135792468202209261001</t>
        </is>
      </c>
      <c r="B976" s="4108" t="inlineStr">
        <is>
          <t>261001</t>
        </is>
      </c>
      <c r="C976" s="4108" t="inlineStr">
        <is>
          <t>135792468</t>
        </is>
      </c>
      <c r="D976" s="4108" t="inlineStr">
        <is>
          <t>202209</t>
        </is>
      </c>
      <c r="E976" s="4108" t="inlineStr">
        <is>
          <t>0,000000000000</t>
        </is>
      </c>
    </row>
    <row outlineLevel="0" r="977">
      <c r="A977" s="4108" t="inlineStr">
        <is>
          <t>135792468202209261501</t>
        </is>
      </c>
      <c r="B977" s="4108" t="inlineStr">
        <is>
          <t>261501</t>
        </is>
      </c>
      <c r="C977" s="4108" t="inlineStr">
        <is>
          <t>135792468</t>
        </is>
      </c>
      <c r="D977" s="4108" t="inlineStr">
        <is>
          <t>202209</t>
        </is>
      </c>
      <c r="E977" s="4108" t="inlineStr">
        <is>
          <t>0,000000000000</t>
        </is>
      </c>
    </row>
    <row outlineLevel="0" r="978">
      <c r="A978" s="4108" t="inlineStr">
        <is>
          <t>135792468202209261500</t>
        </is>
      </c>
      <c r="B978" s="4108" t="inlineStr">
        <is>
          <t>261500</t>
        </is>
      </c>
      <c r="C978" s="4108" t="inlineStr">
        <is>
          <t>135792468</t>
        </is>
      </c>
      <c r="D978" s="4108" t="inlineStr">
        <is>
          <t>202209</t>
        </is>
      </c>
      <c r="E978" s="4108" t="inlineStr">
        <is>
          <t>0,000000000000</t>
        </is>
      </c>
    </row>
    <row outlineLevel="0" r="979">
      <c r="A979" s="4108" t="inlineStr">
        <is>
          <t>135792468202209262000</t>
        </is>
      </c>
      <c r="B979" s="4108" t="inlineStr">
        <is>
          <t>262000</t>
        </is>
      </c>
      <c r="C979" s="4108" t="inlineStr">
        <is>
          <t>135792468</t>
        </is>
      </c>
      <c r="D979" s="4108" t="inlineStr">
        <is>
          <t>202209</t>
        </is>
      </c>
      <c r="E979" s="4108" t="inlineStr">
        <is>
          <t>0,000000000000</t>
        </is>
      </c>
    </row>
    <row outlineLevel="0" r="980">
      <c r="A980" s="4108" t="inlineStr">
        <is>
          <t>135792468202209262001</t>
        </is>
      </c>
      <c r="B980" s="4108" t="inlineStr">
        <is>
          <t>262001</t>
        </is>
      </c>
      <c r="C980" s="4108" t="inlineStr">
        <is>
          <t>135792468</t>
        </is>
      </c>
      <c r="D980" s="4108" t="inlineStr">
        <is>
          <t>202209</t>
        </is>
      </c>
      <c r="E980" s="4108" t="inlineStr">
        <is>
          <t>12,000000000000</t>
        </is>
      </c>
    </row>
    <row outlineLevel="0" r="981">
      <c r="A981" s="4108" t="inlineStr">
        <is>
          <t>135792468202209262500</t>
        </is>
      </c>
      <c r="B981" s="4108" t="inlineStr">
        <is>
          <t>262500</t>
        </is>
      </c>
      <c r="C981" s="4108" t="inlineStr">
        <is>
          <t>135792468</t>
        </is>
      </c>
      <c r="D981" s="4108" t="inlineStr">
        <is>
          <t>202209</t>
        </is>
      </c>
      <c r="E981" s="4108" t="inlineStr">
        <is>
          <t>0,000000000000</t>
        </is>
      </c>
    </row>
    <row outlineLevel="0" r="982">
      <c r="A982" s="4108" t="inlineStr">
        <is>
          <t>135792468202209262501</t>
        </is>
      </c>
      <c r="B982" s="4108" t="inlineStr">
        <is>
          <t>262501</t>
        </is>
      </c>
      <c r="C982" s="4108" t="inlineStr">
        <is>
          <t>135792468</t>
        </is>
      </c>
      <c r="D982" s="4108" t="inlineStr">
        <is>
          <t>202209</t>
        </is>
      </c>
      <c r="E982" s="4108" t="inlineStr">
        <is>
          <t>0,000000000000</t>
        </is>
      </c>
    </row>
    <row outlineLevel="0" r="983">
      <c r="A983" s="4108" t="inlineStr">
        <is>
          <t>135792468202209263000</t>
        </is>
      </c>
      <c r="B983" s="4108" t="inlineStr">
        <is>
          <t>263000</t>
        </is>
      </c>
      <c r="C983" s="4108" t="inlineStr">
        <is>
          <t>135792468</t>
        </is>
      </c>
      <c r="D983" s="4108" t="inlineStr">
        <is>
          <t>202209</t>
        </is>
      </c>
      <c r="E983" s="4108" t="inlineStr">
        <is>
          <t>0,000000000000</t>
        </is>
      </c>
    </row>
    <row outlineLevel="0" r="984">
      <c r="A984" s="4108" t="inlineStr">
        <is>
          <t>135792468202209263001</t>
        </is>
      </c>
      <c r="B984" s="4108" t="inlineStr">
        <is>
          <t>263001</t>
        </is>
      </c>
      <c r="C984" s="4108" t="inlineStr">
        <is>
          <t>135792468</t>
        </is>
      </c>
      <c r="D984" s="4108" t="inlineStr">
        <is>
          <t>202209</t>
        </is>
      </c>
      <c r="E984" s="4108" t="inlineStr">
        <is>
          <t>0,000000000000</t>
        </is>
      </c>
    </row>
    <row outlineLevel="0" r="985">
      <c r="A985" s="4108" t="inlineStr">
        <is>
          <t>135792468202209263501</t>
        </is>
      </c>
      <c r="B985" s="4108" t="inlineStr">
        <is>
          <t>263501</t>
        </is>
      </c>
      <c r="C985" s="4108" t="inlineStr">
        <is>
          <t>135792468</t>
        </is>
      </c>
      <c r="D985" s="4108" t="inlineStr">
        <is>
          <t>202209</t>
        </is>
      </c>
      <c r="E985" s="4108" t="inlineStr">
        <is>
          <t>0,000000000000</t>
        </is>
      </c>
    </row>
    <row outlineLevel="0" r="986">
      <c r="A986" s="4108" t="inlineStr">
        <is>
          <t>135792468202209263500</t>
        </is>
      </c>
      <c r="B986" s="4108" t="inlineStr">
        <is>
          <t>263500</t>
        </is>
      </c>
      <c r="C986" s="4108" t="inlineStr">
        <is>
          <t>135792468</t>
        </is>
      </c>
      <c r="D986" s="4108" t="inlineStr">
        <is>
          <t>202209</t>
        </is>
      </c>
      <c r="E986" s="4108" t="inlineStr">
        <is>
          <t>0,000000000000</t>
        </is>
      </c>
    </row>
    <row outlineLevel="0" r="987">
      <c r="A987" s="4108" t="inlineStr">
        <is>
          <t>135792468202209264000</t>
        </is>
      </c>
      <c r="B987" s="4108" t="inlineStr">
        <is>
          <t>264000</t>
        </is>
      </c>
      <c r="C987" s="4108" t="inlineStr">
        <is>
          <t>135792468</t>
        </is>
      </c>
      <c r="D987" s="4108" t="inlineStr">
        <is>
          <t>202209</t>
        </is>
      </c>
      <c r="E987" s="4108" t="inlineStr">
        <is>
          <t>0,000000000000</t>
        </is>
      </c>
    </row>
    <row outlineLevel="0" r="988">
      <c r="A988" s="4108" t="inlineStr">
        <is>
          <t>135792468202209264001</t>
        </is>
      </c>
      <c r="B988" s="4108" t="inlineStr">
        <is>
          <t>264001</t>
        </is>
      </c>
      <c r="C988" s="4108" t="inlineStr">
        <is>
          <t>135792468</t>
        </is>
      </c>
      <c r="D988" s="4108" t="inlineStr">
        <is>
          <t>202209</t>
        </is>
      </c>
      <c r="E988" s="4108" t="inlineStr">
        <is>
          <t>0,000000000000</t>
        </is>
      </c>
    </row>
    <row outlineLevel="0" r="989">
      <c r="A989" s="4108" t="inlineStr">
        <is>
          <t>135792468202209269500</t>
        </is>
      </c>
      <c r="B989" s="4108" t="inlineStr">
        <is>
          <t>269500</t>
        </is>
      </c>
      <c r="C989" s="4108" t="inlineStr">
        <is>
          <t>135792468</t>
        </is>
      </c>
      <c r="D989" s="4108" t="inlineStr">
        <is>
          <t>202209</t>
        </is>
      </c>
      <c r="E989" s="4108" t="inlineStr">
        <is>
          <t>0,000000000000</t>
        </is>
      </c>
    </row>
    <row outlineLevel="0" r="990">
      <c r="A990" s="4108" t="inlineStr">
        <is>
          <t>135792468202209269501</t>
        </is>
      </c>
      <c r="B990" s="4108" t="inlineStr">
        <is>
          <t>269501</t>
        </is>
      </c>
      <c r="C990" s="4108" t="inlineStr">
        <is>
          <t>135792468</t>
        </is>
      </c>
      <c r="D990" s="4108" t="inlineStr">
        <is>
          <t>202209</t>
        </is>
      </c>
      <c r="E990" s="4108" t="inlineStr">
        <is>
          <t>0,000000000000</t>
        </is>
      </c>
    </row>
    <row outlineLevel="0" r="991">
      <c r="A991" s="4108" t="inlineStr">
        <is>
          <t>135792468202209270500</t>
        </is>
      </c>
      <c r="B991" s="4108" t="inlineStr">
        <is>
          <t>270500</t>
        </is>
      </c>
      <c r="C991" s="4108" t="inlineStr">
        <is>
          <t>135792468</t>
        </is>
      </c>
      <c r="D991" s="4108" t="inlineStr">
        <is>
          <t>202209</t>
        </is>
      </c>
      <c r="E991" s="4108" t="inlineStr">
        <is>
          <t>160,000000000000</t>
        </is>
      </c>
    </row>
    <row outlineLevel="0" r="992">
      <c r="A992" s="4108" t="inlineStr">
        <is>
          <t>135792468202209270501</t>
        </is>
      </c>
      <c r="B992" s="4108" t="inlineStr">
        <is>
          <t>270501</t>
        </is>
      </c>
      <c r="C992" s="4108" t="inlineStr">
        <is>
          <t>135792468</t>
        </is>
      </c>
      <c r="D992" s="4108" t="inlineStr">
        <is>
          <t>202209</t>
        </is>
      </c>
      <c r="E992" s="4108" t="inlineStr">
        <is>
          <t>0,000000000000</t>
        </is>
      </c>
    </row>
    <row outlineLevel="0" r="993">
      <c r="A993" s="4108" t="inlineStr">
        <is>
          <t>135792468202209271001</t>
        </is>
      </c>
      <c r="B993" s="4108" t="inlineStr">
        <is>
          <t>271001</t>
        </is>
      </c>
      <c r="C993" s="4108" t="inlineStr">
        <is>
          <t>135792468</t>
        </is>
      </c>
      <c r="D993" s="4108" t="inlineStr">
        <is>
          <t>202209</t>
        </is>
      </c>
      <c r="E993" s="4108" t="inlineStr">
        <is>
          <t>0,000000000000</t>
        </is>
      </c>
    </row>
    <row outlineLevel="0" r="994">
      <c r="A994" s="4108" t="inlineStr">
        <is>
          <t>135792468202209271000</t>
        </is>
      </c>
      <c r="B994" s="4108" t="inlineStr">
        <is>
          <t>271000</t>
        </is>
      </c>
      <c r="C994" s="4108" t="inlineStr">
        <is>
          <t>135792468</t>
        </is>
      </c>
      <c r="D994" s="4108" t="inlineStr">
        <is>
          <t>202209</t>
        </is>
      </c>
      <c r="E994" s="4108" t="inlineStr">
        <is>
          <t>0,000000000000</t>
        </is>
      </c>
    </row>
    <row outlineLevel="0" r="995">
      <c r="A995" s="4108" t="inlineStr">
        <is>
          <t>135792468202209272001</t>
        </is>
      </c>
      <c r="B995" s="4108" t="inlineStr">
        <is>
          <t>272001</t>
        </is>
      </c>
      <c r="C995" s="4108" t="inlineStr">
        <is>
          <t>135792468</t>
        </is>
      </c>
      <c r="D995" s="4108" t="inlineStr">
        <is>
          <t>202209</t>
        </is>
      </c>
      <c r="E995" s="4108" t="inlineStr">
        <is>
          <t>0,000000000000</t>
        </is>
      </c>
    </row>
    <row outlineLevel="0" r="996">
      <c r="A996" s="4108" t="inlineStr">
        <is>
          <t>135792468202209272500</t>
        </is>
      </c>
      <c r="B996" s="4108" t="inlineStr">
        <is>
          <t>272500</t>
        </is>
      </c>
      <c r="C996" s="4108" t="inlineStr">
        <is>
          <t>135792468</t>
        </is>
      </c>
      <c r="D996" s="4108" t="inlineStr">
        <is>
          <t>202209</t>
        </is>
      </c>
      <c r="E996" s="4108" t="inlineStr">
        <is>
          <t>0,000000000000</t>
        </is>
      </c>
    </row>
    <row outlineLevel="0" r="997">
      <c r="A997" s="4108" t="inlineStr">
        <is>
          <t>135792468202209272501</t>
        </is>
      </c>
      <c r="B997" s="4108" t="inlineStr">
        <is>
          <t>272501</t>
        </is>
      </c>
      <c r="C997" s="4108" t="inlineStr">
        <is>
          <t>135792468</t>
        </is>
      </c>
      <c r="D997" s="4108" t="inlineStr">
        <is>
          <t>202209</t>
        </is>
      </c>
      <c r="E997" s="4108" t="inlineStr">
        <is>
          <t>0,000000000000</t>
        </is>
      </c>
    </row>
    <row outlineLevel="0" r="998">
      <c r="A998" s="4108" t="inlineStr">
        <is>
          <t>135792468202209279500</t>
        </is>
      </c>
      <c r="B998" s="4108" t="inlineStr">
        <is>
          <t>279500</t>
        </is>
      </c>
      <c r="C998" s="4108" t="inlineStr">
        <is>
          <t>135792468</t>
        </is>
      </c>
      <c r="D998" s="4108" t="inlineStr">
        <is>
          <t>202209</t>
        </is>
      </c>
      <c r="E998" s="4108" t="inlineStr">
        <is>
          <t>12,000000000000</t>
        </is>
      </c>
    </row>
    <row outlineLevel="0" r="999">
      <c r="A999" s="4108" t="inlineStr">
        <is>
          <t>135792468202209279501</t>
        </is>
      </c>
      <c r="B999" s="4108" t="inlineStr">
        <is>
          <t>279501</t>
        </is>
      </c>
      <c r="C999" s="4108" t="inlineStr">
        <is>
          <t>135792468</t>
        </is>
      </c>
      <c r="D999" s="4108" t="inlineStr">
        <is>
          <t>202209</t>
        </is>
      </c>
      <c r="E999" s="4108" t="inlineStr">
        <is>
          <t>0,000000000000</t>
        </is>
      </c>
    </row>
    <row outlineLevel="0" r="1000">
      <c r="A1000" s="4108" t="inlineStr">
        <is>
          <t>135792468202209281000</t>
        </is>
      </c>
      <c r="B1000" s="4108" t="inlineStr">
        <is>
          <t>281000</t>
        </is>
      </c>
      <c r="C1000" s="4108" t="inlineStr">
        <is>
          <t>135792468</t>
        </is>
      </c>
      <c r="D1000" s="4108" t="inlineStr">
        <is>
          <t>202209</t>
        </is>
      </c>
      <c r="E1000" s="4108" t="inlineStr">
        <is>
          <t>0,000000000000</t>
        </is>
      </c>
    </row>
    <row outlineLevel="0" r="1001">
      <c r="A1001" s="4108" t="inlineStr">
        <is>
          <t>135792468202209282500</t>
        </is>
      </c>
      <c r="B1001" s="4108" t="inlineStr">
        <is>
          <t>282500</t>
        </is>
      </c>
      <c r="C1001" s="4108" t="inlineStr">
        <is>
          <t>135792468</t>
        </is>
      </c>
      <c r="D1001" s="4108" t="inlineStr">
        <is>
          <t>202209</t>
        </is>
      </c>
      <c r="E1001" s="4108" t="inlineStr">
        <is>
          <t>0,000000000000</t>
        </is>
      </c>
    </row>
    <row outlineLevel="0" r="1002">
      <c r="A1002" s="4108" t="inlineStr">
        <is>
          <t>135792468202209282000</t>
        </is>
      </c>
      <c r="B1002" s="4108" t="inlineStr">
        <is>
          <t>282000</t>
        </is>
      </c>
      <c r="C1002" s="4108" t="inlineStr">
        <is>
          <t>135792468</t>
        </is>
      </c>
      <c r="D1002" s="4108" t="inlineStr">
        <is>
          <t>202209</t>
        </is>
      </c>
      <c r="E1002" s="4108" t="inlineStr">
        <is>
          <t>0,000000000000</t>
        </is>
      </c>
    </row>
    <row outlineLevel="0" r="1003">
      <c r="A1003" s="4108" t="inlineStr">
        <is>
          <t>135792468202209284000</t>
        </is>
      </c>
      <c r="B1003" s="4108" t="inlineStr">
        <is>
          <t>284000</t>
        </is>
      </c>
      <c r="C1003" s="4108" t="inlineStr">
        <is>
          <t>135792468</t>
        </is>
      </c>
      <c r="D1003" s="4108" t="inlineStr">
        <is>
          <t>202209</t>
        </is>
      </c>
      <c r="E1003" s="4108" t="inlineStr">
        <is>
          <t>0,000000000000</t>
        </is>
      </c>
    </row>
    <row outlineLevel="0" r="1004">
      <c r="A1004" s="4108" t="inlineStr">
        <is>
          <t>135792468202209289500</t>
        </is>
      </c>
      <c r="B1004" s="4108" t="inlineStr">
        <is>
          <t>289500</t>
        </is>
      </c>
      <c r="C1004" s="4108" t="inlineStr">
        <is>
          <t>135792468</t>
        </is>
      </c>
      <c r="D1004" s="4108" t="inlineStr">
        <is>
          <t>202209</t>
        </is>
      </c>
      <c r="E1004" s="4108" t="inlineStr">
        <is>
          <t>0,000000000000</t>
        </is>
      </c>
    </row>
    <row outlineLevel="0" r="1005">
      <c r="A1005" s="4108" t="inlineStr">
        <is>
          <t>135792468202209290501</t>
        </is>
      </c>
      <c r="B1005" s="4108" t="inlineStr">
        <is>
          <t>290501</t>
        </is>
      </c>
      <c r="C1005" s="4108" t="inlineStr">
        <is>
          <t>135792468</t>
        </is>
      </c>
      <c r="D1005" s="4108" t="inlineStr">
        <is>
          <t>202209</t>
        </is>
      </c>
      <c r="E1005" s="4108" t="inlineStr">
        <is>
          <t>0,000000000000</t>
        </is>
      </c>
    </row>
    <row outlineLevel="0" r="1006">
      <c r="A1006" s="4108" t="inlineStr">
        <is>
          <t>135792468202209291000</t>
        </is>
      </c>
      <c r="B1006" s="4108" t="inlineStr">
        <is>
          <t>291000</t>
        </is>
      </c>
      <c r="C1006" s="4108" t="inlineStr">
        <is>
          <t>135792468</t>
        </is>
      </c>
      <c r="D1006" s="4108" t="inlineStr">
        <is>
          <t>202209</t>
        </is>
      </c>
      <c r="E1006" s="4108" t="inlineStr">
        <is>
          <t>0,000000000000</t>
        </is>
      </c>
    </row>
    <row outlineLevel="0" r="1007">
      <c r="A1007" s="4108" t="inlineStr">
        <is>
          <t>135792468202209291501</t>
        </is>
      </c>
      <c r="B1007" s="4108" t="inlineStr">
        <is>
          <t>291501</t>
        </is>
      </c>
      <c r="C1007" s="4108" t="inlineStr">
        <is>
          <t>135792468</t>
        </is>
      </c>
      <c r="D1007" s="4108" t="inlineStr">
        <is>
          <t>202209</t>
        </is>
      </c>
      <c r="E1007" s="4108" t="inlineStr">
        <is>
          <t>0,000000000000</t>
        </is>
      </c>
    </row>
    <row outlineLevel="0" r="1008">
      <c r="A1008" s="4108" t="inlineStr">
        <is>
          <t>135792468202209291991</t>
        </is>
      </c>
      <c r="B1008" s="4108" t="inlineStr">
        <is>
          <t>291991</t>
        </is>
      </c>
      <c r="C1008" s="4108" t="inlineStr">
        <is>
          <t>135792468</t>
        </is>
      </c>
      <c r="D1008" s="4108" t="inlineStr">
        <is>
          <t>202209</t>
        </is>
      </c>
      <c r="E1008" s="4108" t="inlineStr">
        <is>
          <t>0,000000000000</t>
        </is>
      </c>
    </row>
    <row outlineLevel="0" r="1009">
      <c r="A1009" s="4108" t="inlineStr">
        <is>
          <t>135792468202209292001</t>
        </is>
      </c>
      <c r="B1009" s="4108" t="inlineStr">
        <is>
          <t>292001</t>
        </is>
      </c>
      <c r="C1009" s="4108" t="inlineStr">
        <is>
          <t>135792468</t>
        </is>
      </c>
      <c r="D1009" s="4108" t="inlineStr">
        <is>
          <t>202209</t>
        </is>
      </c>
      <c r="E1009" s="4108" t="inlineStr">
        <is>
          <t>0,000000000000</t>
        </is>
      </c>
    </row>
    <row outlineLevel="0" r="1010">
      <c r="A1010" s="4108" t="inlineStr">
        <is>
          <t>135792468202209292000</t>
        </is>
      </c>
      <c r="B1010" s="4108" t="inlineStr">
        <is>
          <t>292000</t>
        </is>
      </c>
      <c r="C1010" s="4108" t="inlineStr">
        <is>
          <t>135792468</t>
        </is>
      </c>
      <c r="D1010" s="4108" t="inlineStr">
        <is>
          <t>202209</t>
        </is>
      </c>
      <c r="E1010" s="4108" t="inlineStr">
        <is>
          <t>0,000000000000</t>
        </is>
      </c>
    </row>
    <row outlineLevel="0" r="1011">
      <c r="A1011" s="4108" t="inlineStr">
        <is>
          <t>135792468202209293000</t>
        </is>
      </c>
      <c r="B1011" s="4108" t="inlineStr">
        <is>
          <t>293000</t>
        </is>
      </c>
      <c r="C1011" s="4108" t="inlineStr">
        <is>
          <t>135792468</t>
        </is>
      </c>
      <c r="D1011" s="4108" t="inlineStr">
        <is>
          <t>202209</t>
        </is>
      </c>
      <c r="E1011" s="4108" t="inlineStr">
        <is>
          <t>0,000000000000</t>
        </is>
      </c>
    </row>
    <row outlineLevel="0" r="1012">
      <c r="A1012" s="4108" t="inlineStr">
        <is>
          <t>135792468202209294000</t>
        </is>
      </c>
      <c r="B1012" s="4108" t="inlineStr">
        <is>
          <t>294000</t>
        </is>
      </c>
      <c r="C1012" s="4108" t="inlineStr">
        <is>
          <t>135792468</t>
        </is>
      </c>
      <c r="D1012" s="4108" t="inlineStr">
        <is>
          <t>202209</t>
        </is>
      </c>
      <c r="E1012" s="4108" t="inlineStr">
        <is>
          <t>0,000000000000</t>
        </is>
      </c>
    </row>
    <row outlineLevel="0" r="1013">
      <c r="A1013" s="4108" t="inlineStr">
        <is>
          <t>135792468202209299501</t>
        </is>
      </c>
      <c r="B1013" s="4108" t="inlineStr">
        <is>
          <t>299501</t>
        </is>
      </c>
      <c r="C1013" s="4108" t="inlineStr">
        <is>
          <t>135792468</t>
        </is>
      </c>
      <c r="D1013" s="4108" t="inlineStr">
        <is>
          <t>202209</t>
        </is>
      </c>
      <c r="E1013" s="4108" t="inlineStr">
        <is>
          <t>0,000000000000</t>
        </is>
      </c>
    </row>
    <row outlineLevel="0" r="1014">
      <c r="A1014" s="4108" t="inlineStr">
        <is>
          <t>135792468202209310500</t>
        </is>
      </c>
      <c r="B1014" s="4108" t="inlineStr">
        <is>
          <t>310500</t>
        </is>
      </c>
      <c r="C1014" s="4108" t="inlineStr">
        <is>
          <t>135792468</t>
        </is>
      </c>
      <c r="D1014" s="4108" t="inlineStr">
        <is>
          <t>202209</t>
        </is>
      </c>
      <c r="E1014" s="4108" t="inlineStr">
        <is>
          <t>3767,000000000000</t>
        </is>
      </c>
    </row>
    <row outlineLevel="0" r="1015">
      <c r="A1015" s="4108" t="inlineStr">
        <is>
          <t>135792468202209311500</t>
        </is>
      </c>
      <c r="B1015" s="4108" t="inlineStr">
        <is>
          <t>311500</t>
        </is>
      </c>
      <c r="C1015" s="4108" t="inlineStr">
        <is>
          <t>135792468</t>
        </is>
      </c>
      <c r="D1015" s="4108" t="inlineStr">
        <is>
          <t>202209</t>
        </is>
      </c>
      <c r="E1015" s="4108" t="inlineStr">
        <is>
          <t>0,000000000000</t>
        </is>
      </c>
    </row>
    <row outlineLevel="0" r="1016">
      <c r="A1016" s="4108" t="inlineStr">
        <is>
          <t>135792468202209312000</t>
        </is>
      </c>
      <c r="B1016" s="4108" t="inlineStr">
        <is>
          <t>312000</t>
        </is>
      </c>
      <c r="C1016" s="4108" t="inlineStr">
        <is>
          <t>135792468</t>
        </is>
      </c>
      <c r="D1016" s="4108" t="inlineStr">
        <is>
          <t>202209</t>
        </is>
      </c>
      <c r="E1016" s="4108" t="inlineStr">
        <is>
          <t>0,000000000000</t>
        </is>
      </c>
    </row>
    <row outlineLevel="0" r="1017">
      <c r="A1017" s="4108" t="inlineStr">
        <is>
          <t>135792468202209313000</t>
        </is>
      </c>
      <c r="B1017" s="4108" t="inlineStr">
        <is>
          <t>313000</t>
        </is>
      </c>
      <c r="C1017" s="4108" t="inlineStr">
        <is>
          <t>135792468</t>
        </is>
      </c>
      <c r="D1017" s="4108" t="inlineStr">
        <is>
          <t>202209</t>
        </is>
      </c>
      <c r="E1017" s="4108" t="inlineStr">
        <is>
          <t>0,000000000000</t>
        </is>
      </c>
    </row>
    <row outlineLevel="0" r="1018">
      <c r="A1018" s="4108" t="inlineStr">
        <is>
          <t>135792468202209312500</t>
        </is>
      </c>
      <c r="B1018" s="4108" t="inlineStr">
        <is>
          <t>312500</t>
        </is>
      </c>
      <c r="C1018" s="4108" t="inlineStr">
        <is>
          <t>135792468</t>
        </is>
      </c>
      <c r="D1018" s="4108" t="inlineStr">
        <is>
          <t>202209</t>
        </is>
      </c>
      <c r="E1018" s="4108" t="inlineStr">
        <is>
          <t>0,000000000000</t>
        </is>
      </c>
    </row>
    <row outlineLevel="0" r="1019">
      <c r="A1019" s="4108" t="inlineStr">
        <is>
          <t>135792468202209313500</t>
        </is>
      </c>
      <c r="B1019" s="4108" t="inlineStr">
        <is>
          <t>313500</t>
        </is>
      </c>
      <c r="C1019" s="4108" t="inlineStr">
        <is>
          <t>135792468</t>
        </is>
      </c>
      <c r="D1019" s="4108" t="inlineStr">
        <is>
          <t>202209</t>
        </is>
      </c>
      <c r="E1019" s="4108" t="inlineStr">
        <is>
          <t>0,000000000000</t>
        </is>
      </c>
    </row>
    <row outlineLevel="0" r="1020">
      <c r="A1020" s="4108" t="inlineStr">
        <is>
          <t>135792468202209314000</t>
        </is>
      </c>
      <c r="B1020" s="4108" t="inlineStr">
        <is>
          <t>314000</t>
        </is>
      </c>
      <c r="C1020" s="4108" t="inlineStr">
        <is>
          <t>135792468</t>
        </is>
      </c>
      <c r="D1020" s="4108" t="inlineStr">
        <is>
          <t>202209</t>
        </is>
      </c>
      <c r="E1020" s="4108" t="inlineStr">
        <is>
          <t>0,000000000000</t>
        </is>
      </c>
    </row>
    <row outlineLevel="0" r="1021">
      <c r="A1021" s="4108" t="inlineStr">
        <is>
          <t>135792468202209320500</t>
        </is>
      </c>
      <c r="B1021" s="4108" t="inlineStr">
        <is>
          <t>320500</t>
        </is>
      </c>
      <c r="C1021" s="4108" t="inlineStr">
        <is>
          <t>135792468</t>
        </is>
      </c>
      <c r="D1021" s="4108" t="inlineStr">
        <is>
          <t>202209</t>
        </is>
      </c>
      <c r="E1021" s="4108" t="inlineStr">
        <is>
          <t>0,000000000000</t>
        </is>
      </c>
    </row>
    <row outlineLevel="0" r="1022">
      <c r="A1022" s="4108" t="inlineStr">
        <is>
          <t>135792468202209321000</t>
        </is>
      </c>
      <c r="B1022" s="4108" t="inlineStr">
        <is>
          <t>321000</t>
        </is>
      </c>
      <c r="C1022" s="4108" t="inlineStr">
        <is>
          <t>135792468</t>
        </is>
      </c>
      <c r="D1022" s="4108" t="inlineStr">
        <is>
          <t>202209</t>
        </is>
      </c>
      <c r="E1022" s="4108" t="inlineStr">
        <is>
          <t>0,000000000000</t>
        </is>
      </c>
    </row>
    <row outlineLevel="0" r="1023">
      <c r="A1023" s="4108" t="inlineStr">
        <is>
          <t>135792468202209321500</t>
        </is>
      </c>
      <c r="B1023" s="4108" t="inlineStr">
        <is>
          <t>321500</t>
        </is>
      </c>
      <c r="C1023" s="4108" t="inlineStr">
        <is>
          <t>135792468</t>
        </is>
      </c>
      <c r="D1023" s="4108" t="inlineStr">
        <is>
          <t>202209</t>
        </is>
      </c>
      <c r="E1023" s="4108" t="inlineStr">
        <is>
          <t>0,000000000000</t>
        </is>
      </c>
    </row>
    <row outlineLevel="0" r="1024">
      <c r="A1024" s="4108" t="inlineStr">
        <is>
          <t>135792468202209322000</t>
        </is>
      </c>
      <c r="B1024" s="4108" t="inlineStr">
        <is>
          <t>322000</t>
        </is>
      </c>
      <c r="C1024" s="4108" t="inlineStr">
        <is>
          <t>135792468</t>
        </is>
      </c>
      <c r="D1024" s="4108" t="inlineStr">
        <is>
          <t>202209</t>
        </is>
      </c>
      <c r="E1024" s="4108" t="inlineStr">
        <is>
          <t>0,000000000000</t>
        </is>
      </c>
    </row>
    <row outlineLevel="0" r="1025">
      <c r="A1025" s="4108" t="inlineStr">
        <is>
          <t>135792468202209330500</t>
        </is>
      </c>
      <c r="B1025" s="4108" t="inlineStr">
        <is>
          <t>330500</t>
        </is>
      </c>
      <c r="C1025" s="4108" t="inlineStr">
        <is>
          <t>135792468</t>
        </is>
      </c>
      <c r="D1025" s="4108" t="inlineStr">
        <is>
          <t>202209</t>
        </is>
      </c>
      <c r="E1025" s="4108" t="inlineStr">
        <is>
          <t>166,000000000000</t>
        </is>
      </c>
    </row>
    <row outlineLevel="0" r="1026">
      <c r="A1026" s="4108" t="inlineStr">
        <is>
          <t>135792468202209322500</t>
        </is>
      </c>
      <c r="B1026" s="4108" t="inlineStr">
        <is>
          <t>322500</t>
        </is>
      </c>
      <c r="C1026" s="4108" t="inlineStr">
        <is>
          <t>135792468</t>
        </is>
      </c>
      <c r="D1026" s="4108" t="inlineStr">
        <is>
          <t>202209</t>
        </is>
      </c>
      <c r="E1026" s="4108" t="inlineStr">
        <is>
          <t>0,000000000000</t>
        </is>
      </c>
    </row>
    <row outlineLevel="0" r="1027">
      <c r="A1027" s="4108" t="inlineStr">
        <is>
          <t>135792468202209331000</t>
        </is>
      </c>
      <c r="B1027" s="4108" t="inlineStr">
        <is>
          <t>331000</t>
        </is>
      </c>
      <c r="C1027" s="4108" t="inlineStr">
        <is>
          <t>135792468</t>
        </is>
      </c>
      <c r="D1027" s="4108" t="inlineStr">
        <is>
          <t>202209</t>
        </is>
      </c>
      <c r="E1027" s="4108" t="inlineStr">
        <is>
          <t>0,000000000000</t>
        </is>
      </c>
    </row>
    <row outlineLevel="0" r="1028">
      <c r="A1028" s="4108" t="inlineStr">
        <is>
          <t>135792468202209331500</t>
        </is>
      </c>
      <c r="B1028" s="4108" t="inlineStr">
        <is>
          <t>331500</t>
        </is>
      </c>
      <c r="C1028" s="4108" t="inlineStr">
        <is>
          <t>135792468</t>
        </is>
      </c>
      <c r="D1028" s="4108" t="inlineStr">
        <is>
          <t>202209</t>
        </is>
      </c>
      <c r="E1028" s="4108" t="inlineStr">
        <is>
          <t>0,000000000000</t>
        </is>
      </c>
    </row>
    <row outlineLevel="0" r="1029">
      <c r="A1029" s="4108" t="inlineStr">
        <is>
          <t>135792468202209340505</t>
        </is>
      </c>
      <c r="B1029" s="4108" t="inlineStr">
        <is>
          <t>340505</t>
        </is>
      </c>
      <c r="C1029" s="4108" t="inlineStr">
        <is>
          <t>135792468</t>
        </is>
      </c>
      <c r="D1029" s="4108" t="inlineStr">
        <is>
          <t>202209</t>
        </is>
      </c>
      <c r="E1029" s="4108" t="inlineStr">
        <is>
          <t>0,000000000000</t>
        </is>
      </c>
    </row>
    <row outlineLevel="0" r="1030">
      <c r="A1030" s="4108" t="inlineStr">
        <is>
          <t>135792468202209340515</t>
        </is>
      </c>
      <c r="B1030" s="4108" t="inlineStr">
        <is>
          <t>340515</t>
        </is>
      </c>
      <c r="C1030" s="4108" t="inlineStr">
        <is>
          <t>135792468</t>
        </is>
      </c>
      <c r="D1030" s="4108" t="inlineStr">
        <is>
          <t>202209</t>
        </is>
      </c>
      <c r="E1030" s="4108" t="inlineStr">
        <is>
          <t>0,000000000000</t>
        </is>
      </c>
    </row>
    <row outlineLevel="0" r="1031">
      <c r="A1031" s="4108" t="inlineStr">
        <is>
          <t>135792468202209349500</t>
        </is>
      </c>
      <c r="B1031" s="4108" t="inlineStr">
        <is>
          <t>349500</t>
        </is>
      </c>
      <c r="C1031" s="4108" t="inlineStr">
        <is>
          <t>135792468</t>
        </is>
      </c>
      <c r="D1031" s="4108" t="inlineStr">
        <is>
          <t>202209</t>
        </is>
      </c>
      <c r="E1031" s="4108" t="inlineStr">
        <is>
          <t>0,000000000000</t>
        </is>
      </c>
    </row>
    <row outlineLevel="0" r="1032">
      <c r="A1032" s="4108" t="inlineStr">
        <is>
          <t>135792468202209410500</t>
        </is>
      </c>
      <c r="B1032" s="4108" t="inlineStr">
        <is>
          <t>410500</t>
        </is>
      </c>
      <c r="C1032" s="4108" t="inlineStr">
        <is>
          <t>135792468</t>
        </is>
      </c>
      <c r="D1032" s="4108" t="inlineStr">
        <is>
          <t>202209</t>
        </is>
      </c>
      <c r="E1032" s="4108" t="inlineStr">
        <is>
          <t>1943,000000000000</t>
        </is>
      </c>
    </row>
    <row outlineLevel="0" r="1033">
      <c r="A1033" s="4108" t="inlineStr">
        <is>
          <t>135792468202209420500</t>
        </is>
      </c>
      <c r="B1033" s="4108" t="inlineStr">
        <is>
          <t>420500</t>
        </is>
      </c>
      <c r="C1033" s="4108" t="inlineStr">
        <is>
          <t>135792468</t>
        </is>
      </c>
      <c r="D1033" s="4108" t="inlineStr">
        <is>
          <t>202209</t>
        </is>
      </c>
      <c r="E1033" s="4108" t="inlineStr">
        <is>
          <t>0,000000000000</t>
        </is>
      </c>
    </row>
    <row outlineLevel="0" r="1034">
      <c r="A1034" s="4108" t="inlineStr">
        <is>
          <t>135792468202209411000</t>
        </is>
      </c>
      <c r="B1034" s="4108" t="inlineStr">
        <is>
          <t>411000</t>
        </is>
      </c>
      <c r="C1034" s="4108" t="inlineStr">
        <is>
          <t>135792468</t>
        </is>
      </c>
      <c r="D1034" s="4108" t="inlineStr">
        <is>
          <t>202209</t>
        </is>
      </c>
      <c r="E1034" s="4108" t="inlineStr">
        <is>
          <t>0,000000000000</t>
        </is>
      </c>
    </row>
    <row outlineLevel="0" r="1035">
      <c r="A1035" s="4108" t="inlineStr">
        <is>
          <t>135792468202209421000</t>
        </is>
      </c>
      <c r="B1035" s="4108" t="inlineStr">
        <is>
          <t>421000</t>
        </is>
      </c>
      <c r="C1035" s="4108" t="inlineStr">
        <is>
          <t>135792468</t>
        </is>
      </c>
      <c r="D1035" s="4108" t="inlineStr">
        <is>
          <t>202209</t>
        </is>
      </c>
      <c r="E1035" s="4108" t="inlineStr">
        <is>
          <t>0,000000000000</t>
        </is>
      </c>
    </row>
    <row outlineLevel="0" r="1036">
      <c r="A1036" s="4108" t="inlineStr">
        <is>
          <t>135792468202209421020</t>
        </is>
      </c>
      <c r="B1036" s="4108" t="inlineStr">
        <is>
          <t>421020</t>
        </is>
      </c>
      <c r="C1036" s="4108" t="inlineStr">
        <is>
          <t>135792468</t>
        </is>
      </c>
      <c r="D1036" s="4108" t="inlineStr">
        <is>
          <t>202209</t>
        </is>
      </c>
      <c r="E1036" s="4108" t="inlineStr">
        <is>
          <t>0,000000000000</t>
        </is>
      </c>
    </row>
    <row outlineLevel="0" r="1037">
      <c r="A1037" s="4108" t="inlineStr">
        <is>
          <t>135792468202209421040</t>
        </is>
      </c>
      <c r="B1037" s="4108" t="inlineStr">
        <is>
          <t>421040</t>
        </is>
      </c>
      <c r="C1037" s="4108" t="inlineStr">
        <is>
          <t>135792468</t>
        </is>
      </c>
      <c r="D1037" s="4108" t="inlineStr">
        <is>
          <t>202209</t>
        </is>
      </c>
      <c r="E1037" s="4108" t="inlineStr">
        <is>
          <t>0,000000000000</t>
        </is>
      </c>
    </row>
    <row outlineLevel="0" r="1038">
      <c r="A1038" s="4108" t="inlineStr">
        <is>
          <t>135792468202209421500</t>
        </is>
      </c>
      <c r="B1038" s="4108" t="inlineStr">
        <is>
          <t>421500</t>
        </is>
      </c>
      <c r="C1038" s="4108" t="inlineStr">
        <is>
          <t>135792468</t>
        </is>
      </c>
      <c r="D1038" s="4108" t="inlineStr">
        <is>
          <t>202209</t>
        </is>
      </c>
      <c r="E1038" s="4108" t="inlineStr">
        <is>
          <t>0,000000000000</t>
        </is>
      </c>
    </row>
    <row outlineLevel="0" r="1039">
      <c r="A1039" s="4108" t="inlineStr">
        <is>
          <t>135792468202209422000</t>
        </is>
      </c>
      <c r="B1039" s="4108" t="inlineStr">
        <is>
          <t>422000</t>
        </is>
      </c>
      <c r="C1039" s="4108" t="inlineStr">
        <is>
          <t>135792468</t>
        </is>
      </c>
      <c r="D1039" s="4108" t="inlineStr">
        <is>
          <t>202209</t>
        </is>
      </c>
      <c r="E1039" s="4108" t="inlineStr">
        <is>
          <t>0,000000000000</t>
        </is>
      </c>
    </row>
    <row outlineLevel="0" r="1040">
      <c r="A1040" s="4108" t="inlineStr">
        <is>
          <t>135792468202209422500</t>
        </is>
      </c>
      <c r="B1040" s="4108" t="inlineStr">
        <is>
          <t>422500</t>
        </is>
      </c>
      <c r="C1040" s="4108" t="inlineStr">
        <is>
          <t>135792468</t>
        </is>
      </c>
      <c r="D1040" s="4108" t="inlineStr">
        <is>
          <t>202209</t>
        </is>
      </c>
      <c r="E1040" s="4108" t="inlineStr">
        <is>
          <t>0,000000000000</t>
        </is>
      </c>
    </row>
    <row outlineLevel="0" r="1041">
      <c r="A1041" s="4108" t="inlineStr">
        <is>
          <t>135792468202209424000</t>
        </is>
      </c>
      <c r="B1041" s="4108" t="inlineStr">
        <is>
          <t>424000</t>
        </is>
      </c>
      <c r="C1041" s="4108" t="inlineStr">
        <is>
          <t>135792468</t>
        </is>
      </c>
      <c r="D1041" s="4108" t="inlineStr">
        <is>
          <t>202209</t>
        </is>
      </c>
      <c r="E1041" s="4108" t="inlineStr">
        <is>
          <t>0,000000000000</t>
        </is>
      </c>
    </row>
    <row outlineLevel="0" r="1042">
      <c r="A1042" s="4108" t="inlineStr">
        <is>
          <t>135792468202209423500</t>
        </is>
      </c>
      <c r="B1042" s="4108" t="inlineStr">
        <is>
          <t>423500</t>
        </is>
      </c>
      <c r="C1042" s="4108" t="inlineStr">
        <is>
          <t>135792468</t>
        </is>
      </c>
      <c r="D1042" s="4108" t="inlineStr">
        <is>
          <t>202209</t>
        </is>
      </c>
      <c r="E1042" s="4108" t="inlineStr">
        <is>
          <t>0,000000000000</t>
        </is>
      </c>
    </row>
    <row outlineLevel="0" r="1043">
      <c r="A1043" s="4108" t="inlineStr">
        <is>
          <t>135792468202209425000</t>
        </is>
      </c>
      <c r="B1043" s="4108" t="inlineStr">
        <is>
          <t>425000</t>
        </is>
      </c>
      <c r="C1043" s="4108" t="inlineStr">
        <is>
          <t>135792468</t>
        </is>
      </c>
      <c r="D1043" s="4108" t="inlineStr">
        <is>
          <t>202209</t>
        </is>
      </c>
      <c r="E1043" s="4108" t="inlineStr">
        <is>
          <t>0,000000000000</t>
        </is>
      </c>
    </row>
    <row outlineLevel="0" r="1044">
      <c r="A1044" s="4108" t="inlineStr">
        <is>
          <t>135792468202209426500</t>
        </is>
      </c>
      <c r="B1044" s="4108" t="inlineStr">
        <is>
          <t>426500</t>
        </is>
      </c>
      <c r="C1044" s="4108" t="inlineStr">
        <is>
          <t>135792468</t>
        </is>
      </c>
      <c r="D1044" s="4108" t="inlineStr">
        <is>
          <t>202209</t>
        </is>
      </c>
      <c r="E1044" s="4108" t="inlineStr">
        <is>
          <t>0,000000000000</t>
        </is>
      </c>
    </row>
    <row outlineLevel="0" r="1045">
      <c r="A1045" s="4108" t="inlineStr">
        <is>
          <t>135792468202209429500</t>
        </is>
      </c>
      <c r="B1045" s="4108" t="inlineStr">
        <is>
          <t>429500</t>
        </is>
      </c>
      <c r="C1045" s="4108" t="inlineStr">
        <is>
          <t>135792468</t>
        </is>
      </c>
      <c r="D1045" s="4108" t="inlineStr">
        <is>
          <t>202209</t>
        </is>
      </c>
      <c r="E1045" s="4108" t="inlineStr">
        <is>
          <t>0,000000000000</t>
        </is>
      </c>
    </row>
    <row outlineLevel="0" r="1046">
      <c r="A1046" s="4108" t="inlineStr">
        <is>
          <t>135792468202209510500</t>
        </is>
      </c>
      <c r="B1046" s="4108" t="inlineStr">
        <is>
          <t>510500</t>
        </is>
      </c>
      <c r="C1046" s="4108" t="inlineStr">
        <is>
          <t>135792468</t>
        </is>
      </c>
      <c r="D1046" s="4108" t="inlineStr">
        <is>
          <t>202209</t>
        </is>
      </c>
      <c r="E1046" s="4108" t="inlineStr">
        <is>
          <t>1350,000000000000</t>
        </is>
      </c>
    </row>
    <row outlineLevel="0" r="1047">
      <c r="A1047" s="4108" t="inlineStr">
        <is>
          <t>135792468202209511000</t>
        </is>
      </c>
      <c r="B1047" s="4108" t="inlineStr">
        <is>
          <t>511000</t>
        </is>
      </c>
      <c r="C1047" s="4108" t="inlineStr">
        <is>
          <t>135792468</t>
        </is>
      </c>
      <c r="D1047" s="4108" t="inlineStr">
        <is>
          <t>202209</t>
        </is>
      </c>
      <c r="E1047" s="4108" t="inlineStr">
        <is>
          <t>0,000000000000</t>
        </is>
      </c>
    </row>
    <row outlineLevel="0" r="1048">
      <c r="A1048" s="4108" t="inlineStr">
        <is>
          <t>135792468202209511500</t>
        </is>
      </c>
      <c r="B1048" s="4108" t="inlineStr">
        <is>
          <t>511500</t>
        </is>
      </c>
      <c r="C1048" s="4108" t="inlineStr">
        <is>
          <t>135792468</t>
        </is>
      </c>
      <c r="D1048" s="4108" t="inlineStr">
        <is>
          <t>202209</t>
        </is>
      </c>
      <c r="E1048" s="4108" t="inlineStr">
        <is>
          <t>0,000000000000</t>
        </is>
      </c>
    </row>
    <row outlineLevel="0" r="1049">
      <c r="A1049" s="4108" t="inlineStr">
        <is>
          <t>135792468202209512500</t>
        </is>
      </c>
      <c r="B1049" s="4108" t="inlineStr">
        <is>
          <t>512500</t>
        </is>
      </c>
      <c r="C1049" s="4108" t="inlineStr">
        <is>
          <t>135792468</t>
        </is>
      </c>
      <c r="D1049" s="4108" t="inlineStr">
        <is>
          <t>202209</t>
        </is>
      </c>
      <c r="E1049" s="4108" t="inlineStr">
        <is>
          <t>0,000000000000</t>
        </is>
      </c>
    </row>
    <row outlineLevel="0" r="1050">
      <c r="A1050" s="4108" t="inlineStr">
        <is>
          <t>135792468202209512000</t>
        </is>
      </c>
      <c r="B1050" s="4108" t="inlineStr">
        <is>
          <t>512000</t>
        </is>
      </c>
      <c r="C1050" s="4108" t="inlineStr">
        <is>
          <t>135792468</t>
        </is>
      </c>
      <c r="D1050" s="4108" t="inlineStr">
        <is>
          <t>202209</t>
        </is>
      </c>
      <c r="E1050" s="4108" t="inlineStr">
        <is>
          <t>0,000000000000</t>
        </is>
      </c>
    </row>
    <row outlineLevel="0" r="1051">
      <c r="A1051" s="4108" t="inlineStr">
        <is>
          <t>135792468202209513000</t>
        </is>
      </c>
      <c r="B1051" s="4108" t="inlineStr">
        <is>
          <t>513000</t>
        </is>
      </c>
      <c r="C1051" s="4108" t="inlineStr">
        <is>
          <t>135792468</t>
        </is>
      </c>
      <c r="D1051" s="4108" t="inlineStr">
        <is>
          <t>202209</t>
        </is>
      </c>
      <c r="E1051" s="4108" t="inlineStr">
        <is>
          <t>0,000000000000</t>
        </is>
      </c>
    </row>
    <row outlineLevel="0" r="1052">
      <c r="A1052" s="4108" t="inlineStr">
        <is>
          <t>135792468202209513500</t>
        </is>
      </c>
      <c r="B1052" s="4108" t="inlineStr">
        <is>
          <t>513500</t>
        </is>
      </c>
      <c r="C1052" s="4108" t="inlineStr">
        <is>
          <t>135792468</t>
        </is>
      </c>
      <c r="D1052" s="4108" t="inlineStr">
        <is>
          <t>202209</t>
        </is>
      </c>
      <c r="E1052" s="4108" t="inlineStr">
        <is>
          <t>0,000000000000</t>
        </is>
      </c>
    </row>
    <row outlineLevel="0" r="1053">
      <c r="A1053" s="4108" t="inlineStr">
        <is>
          <t>135792468202209514000</t>
        </is>
      </c>
      <c r="B1053" s="4108" t="inlineStr">
        <is>
          <t>514000</t>
        </is>
      </c>
      <c r="C1053" s="4108" t="inlineStr">
        <is>
          <t>135792468</t>
        </is>
      </c>
      <c r="D1053" s="4108" t="inlineStr">
        <is>
          <t>202209</t>
        </is>
      </c>
      <c r="E1053" s="4108" t="inlineStr">
        <is>
          <t>0,000000000000</t>
        </is>
      </c>
    </row>
    <row outlineLevel="0" r="1054">
      <c r="A1054" s="4108" t="inlineStr">
        <is>
          <t>135792468202209514500</t>
        </is>
      </c>
      <c r="B1054" s="4108" t="inlineStr">
        <is>
          <t>514500</t>
        </is>
      </c>
      <c r="C1054" s="4108" t="inlineStr">
        <is>
          <t>135792468</t>
        </is>
      </c>
      <c r="D1054" s="4108" t="inlineStr">
        <is>
          <t>202209</t>
        </is>
      </c>
      <c r="E1054" s="4108" t="inlineStr">
        <is>
          <t>0,000000000000</t>
        </is>
      </c>
    </row>
    <row outlineLevel="0" r="1055">
      <c r="A1055" s="4108" t="inlineStr">
        <is>
          <t>135792468202209515000</t>
        </is>
      </c>
      <c r="B1055" s="4108" t="inlineStr">
        <is>
          <t>515000</t>
        </is>
      </c>
      <c r="C1055" s="4108" t="inlineStr">
        <is>
          <t>135792468</t>
        </is>
      </c>
      <c r="D1055" s="4108" t="inlineStr">
        <is>
          <t>202209</t>
        </is>
      </c>
      <c r="E1055" s="4108" t="inlineStr">
        <is>
          <t>0,000000000000</t>
        </is>
      </c>
    </row>
    <row outlineLevel="0" r="1056">
      <c r="A1056" s="4108" t="inlineStr">
        <is>
          <t>135792468202209515500</t>
        </is>
      </c>
      <c r="B1056" s="4108" t="inlineStr">
        <is>
          <t>515500</t>
        </is>
      </c>
      <c r="C1056" s="4108" t="inlineStr">
        <is>
          <t>135792468</t>
        </is>
      </c>
      <c r="D1056" s="4108" t="inlineStr">
        <is>
          <t>202209</t>
        </is>
      </c>
      <c r="E1056" s="4108" t="inlineStr">
        <is>
          <t>0,000000000000</t>
        </is>
      </c>
    </row>
    <row outlineLevel="0" r="1057">
      <c r="A1057" s="4108" t="inlineStr">
        <is>
          <t>135792468202209516500</t>
        </is>
      </c>
      <c r="B1057" s="4108" t="inlineStr">
        <is>
          <t>516500</t>
        </is>
      </c>
      <c r="C1057" s="4108" t="inlineStr">
        <is>
          <t>135792468</t>
        </is>
      </c>
      <c r="D1057" s="4108" t="inlineStr">
        <is>
          <t>202209</t>
        </is>
      </c>
      <c r="E1057" s="4108" t="inlineStr">
        <is>
          <t>0,000000000000</t>
        </is>
      </c>
    </row>
    <row outlineLevel="0" r="1058">
      <c r="A1058" s="4108" t="inlineStr">
        <is>
          <t>135792468202209516000</t>
        </is>
      </c>
      <c r="B1058" s="4108" t="inlineStr">
        <is>
          <t>516000</t>
        </is>
      </c>
      <c r="C1058" s="4108" t="inlineStr">
        <is>
          <t>135792468</t>
        </is>
      </c>
      <c r="D1058" s="4108" t="inlineStr">
        <is>
          <t>202209</t>
        </is>
      </c>
      <c r="E1058" s="4108" t="inlineStr">
        <is>
          <t>0,000000000000</t>
        </is>
      </c>
    </row>
    <row outlineLevel="0" r="1059">
      <c r="A1059" s="4108" t="inlineStr">
        <is>
          <t>135792468202209519500</t>
        </is>
      </c>
      <c r="B1059" s="4108" t="inlineStr">
        <is>
          <t>519500</t>
        </is>
      </c>
      <c r="C1059" s="4108" t="inlineStr">
        <is>
          <t>135792468</t>
        </is>
      </c>
      <c r="D1059" s="4108" t="inlineStr">
        <is>
          <t>202209</t>
        </is>
      </c>
      <c r="E1059" s="4108" t="inlineStr">
        <is>
          <t>0,000000000000</t>
        </is>
      </c>
    </row>
    <row outlineLevel="0" r="1060">
      <c r="A1060" s="4108" t="inlineStr">
        <is>
          <t>135792468202209519900</t>
        </is>
      </c>
      <c r="B1060" s="4108" t="inlineStr">
        <is>
          <t>519900</t>
        </is>
      </c>
      <c r="C1060" s="4108" t="inlineStr">
        <is>
          <t>135792468</t>
        </is>
      </c>
      <c r="D1060" s="4108" t="inlineStr">
        <is>
          <t>202209</t>
        </is>
      </c>
      <c r="E1060" s="4108" t="inlineStr">
        <is>
          <t>0,000000000000</t>
        </is>
      </c>
    </row>
    <row outlineLevel="0" r="1061">
      <c r="A1061" s="4108" t="inlineStr">
        <is>
          <t>135792468202209520500</t>
        </is>
      </c>
      <c r="B1061" s="4108" t="inlineStr">
        <is>
          <t>520500</t>
        </is>
      </c>
      <c r="C1061" s="4108" t="inlineStr">
        <is>
          <t>135792468</t>
        </is>
      </c>
      <c r="D1061" s="4108" t="inlineStr">
        <is>
          <t>202209</t>
        </is>
      </c>
      <c r="E1061" s="4108" t="inlineStr">
        <is>
          <t>0,000000000000</t>
        </is>
      </c>
    </row>
    <row outlineLevel="0" r="1062">
      <c r="A1062" s="4108" t="inlineStr">
        <is>
          <t>135792468202209521000</t>
        </is>
      </c>
      <c r="B1062" s="4108" t="inlineStr">
        <is>
          <t>521000</t>
        </is>
      </c>
      <c r="C1062" s="4108" t="inlineStr">
        <is>
          <t>135792468</t>
        </is>
      </c>
      <c r="D1062" s="4108" t="inlineStr">
        <is>
          <t>202209</t>
        </is>
      </c>
      <c r="E1062" s="4108" t="inlineStr">
        <is>
          <t>0,000000000000</t>
        </is>
      </c>
    </row>
    <row outlineLevel="0" r="1063">
      <c r="A1063" s="4108" t="inlineStr">
        <is>
          <t>135792468202209521500</t>
        </is>
      </c>
      <c r="B1063" s="4108" t="inlineStr">
        <is>
          <t>521500</t>
        </is>
      </c>
      <c r="C1063" s="4108" t="inlineStr">
        <is>
          <t>135792468</t>
        </is>
      </c>
      <c r="D1063" s="4108" t="inlineStr">
        <is>
          <t>202209</t>
        </is>
      </c>
      <c r="E1063" s="4108" t="inlineStr">
        <is>
          <t>0,000000000000</t>
        </is>
      </c>
    </row>
    <row outlineLevel="0" r="1064">
      <c r="A1064" s="4108" t="inlineStr">
        <is>
          <t>135792468202209522000</t>
        </is>
      </c>
      <c r="B1064" s="4108" t="inlineStr">
        <is>
          <t>522000</t>
        </is>
      </c>
      <c r="C1064" s="4108" t="inlineStr">
        <is>
          <t>135792468</t>
        </is>
      </c>
      <c r="D1064" s="4108" t="inlineStr">
        <is>
          <t>202209</t>
        </is>
      </c>
      <c r="E1064" s="4108" t="inlineStr">
        <is>
          <t>0,000000000000</t>
        </is>
      </c>
    </row>
    <row outlineLevel="0" r="1065">
      <c r="A1065" s="4108" t="inlineStr">
        <is>
          <t>135792468202209523000</t>
        </is>
      </c>
      <c r="B1065" s="4108" t="inlineStr">
        <is>
          <t>523000</t>
        </is>
      </c>
      <c r="C1065" s="4108" t="inlineStr">
        <is>
          <t>135792468</t>
        </is>
      </c>
      <c r="D1065" s="4108" t="inlineStr">
        <is>
          <t>202209</t>
        </is>
      </c>
      <c r="E1065" s="4108" t="inlineStr">
        <is>
          <t>0,000000000000</t>
        </is>
      </c>
    </row>
    <row outlineLevel="0" r="1066">
      <c r="A1066" s="4108" t="inlineStr">
        <is>
          <t>135792468202209522500</t>
        </is>
      </c>
      <c r="B1066" s="4108" t="inlineStr">
        <is>
          <t>522500</t>
        </is>
      </c>
      <c r="C1066" s="4108" t="inlineStr">
        <is>
          <t>135792468</t>
        </is>
      </c>
      <c r="D1066" s="4108" t="inlineStr">
        <is>
          <t>202209</t>
        </is>
      </c>
      <c r="E1066" s="4108" t="inlineStr">
        <is>
          <t>0,000000000000</t>
        </is>
      </c>
    </row>
    <row outlineLevel="0" r="1067">
      <c r="A1067" s="4108" t="inlineStr">
        <is>
          <t>135792468202209523500</t>
        </is>
      </c>
      <c r="B1067" s="4108" t="inlineStr">
        <is>
          <t>523500</t>
        </is>
      </c>
      <c r="C1067" s="4108" t="inlineStr">
        <is>
          <t>135792468</t>
        </is>
      </c>
      <c r="D1067" s="4108" t="inlineStr">
        <is>
          <t>202209</t>
        </is>
      </c>
      <c r="E1067" s="4108" t="inlineStr">
        <is>
          <t>0,000000000000</t>
        </is>
      </c>
    </row>
    <row outlineLevel="0" r="1068">
      <c r="A1068" s="4108" t="inlineStr">
        <is>
          <t>135792468202209524000</t>
        </is>
      </c>
      <c r="B1068" s="4108" t="inlineStr">
        <is>
          <t>524000</t>
        </is>
      </c>
      <c r="C1068" s="4108" t="inlineStr">
        <is>
          <t>135792468</t>
        </is>
      </c>
      <c r="D1068" s="4108" t="inlineStr">
        <is>
          <t>202209</t>
        </is>
      </c>
      <c r="E1068" s="4108" t="inlineStr">
        <is>
          <t>0,000000000000</t>
        </is>
      </c>
    </row>
    <row outlineLevel="0" r="1069">
      <c r="A1069" s="4108" t="inlineStr">
        <is>
          <t>135792468202209524500</t>
        </is>
      </c>
      <c r="B1069" s="4108" t="inlineStr">
        <is>
          <t>524500</t>
        </is>
      </c>
      <c r="C1069" s="4108" t="inlineStr">
        <is>
          <t>135792468</t>
        </is>
      </c>
      <c r="D1069" s="4108" t="inlineStr">
        <is>
          <t>202209</t>
        </is>
      </c>
      <c r="E1069" s="4108" t="inlineStr">
        <is>
          <t>0,000000000000</t>
        </is>
      </c>
    </row>
    <row outlineLevel="0" r="1070">
      <c r="A1070" s="4108" t="inlineStr">
        <is>
          <t>135792468202209525000</t>
        </is>
      </c>
      <c r="B1070" s="4108" t="inlineStr">
        <is>
          <t>525000</t>
        </is>
      </c>
      <c r="C1070" s="4108" t="inlineStr">
        <is>
          <t>135792468</t>
        </is>
      </c>
      <c r="D1070" s="4108" t="inlineStr">
        <is>
          <t>202209</t>
        </is>
      </c>
      <c r="E1070" s="4108" t="inlineStr">
        <is>
          <t>0,000000000000</t>
        </is>
      </c>
    </row>
    <row outlineLevel="0" r="1071">
      <c r="A1071" s="4108" t="inlineStr">
        <is>
          <t>135792468202209525500</t>
        </is>
      </c>
      <c r="B1071" s="4108" t="inlineStr">
        <is>
          <t>525500</t>
        </is>
      </c>
      <c r="C1071" s="4108" t="inlineStr">
        <is>
          <t>135792468</t>
        </is>
      </c>
      <c r="D1071" s="4108" t="inlineStr">
        <is>
          <t>202209</t>
        </is>
      </c>
      <c r="E1071" s="4108" t="inlineStr">
        <is>
          <t>0,000000000000</t>
        </is>
      </c>
    </row>
    <row outlineLevel="0" r="1072">
      <c r="A1072" s="4108" t="inlineStr">
        <is>
          <t>135792468202209526000</t>
        </is>
      </c>
      <c r="B1072" s="4108" t="inlineStr">
        <is>
          <t>526000</t>
        </is>
      </c>
      <c r="C1072" s="4108" t="inlineStr">
        <is>
          <t>135792468</t>
        </is>
      </c>
      <c r="D1072" s="4108" t="inlineStr">
        <is>
          <t>202209</t>
        </is>
      </c>
      <c r="E1072" s="4108" t="inlineStr">
        <is>
          <t>0,000000000000</t>
        </is>
      </c>
    </row>
    <row outlineLevel="0" r="1073">
      <c r="A1073" s="4108" t="inlineStr">
        <is>
          <t>135792468202209529500</t>
        </is>
      </c>
      <c r="B1073" s="4108" t="inlineStr">
        <is>
          <t>529500</t>
        </is>
      </c>
      <c r="C1073" s="4108" t="inlineStr">
        <is>
          <t>135792468</t>
        </is>
      </c>
      <c r="D1073" s="4108" t="inlineStr">
        <is>
          <t>202209</t>
        </is>
      </c>
      <c r="E1073" s="4108" t="inlineStr">
        <is>
          <t>0,000000000000</t>
        </is>
      </c>
    </row>
    <row outlineLevel="0" r="1074">
      <c r="A1074" s="4108" t="inlineStr">
        <is>
          <t>135792468202209526500</t>
        </is>
      </c>
      <c r="B1074" s="4108" t="inlineStr">
        <is>
          <t>526500</t>
        </is>
      </c>
      <c r="C1074" s="4108" t="inlineStr">
        <is>
          <t>135792468</t>
        </is>
      </c>
      <c r="D1074" s="4108" t="inlineStr">
        <is>
          <t>202209</t>
        </is>
      </c>
      <c r="E1074" s="4108" t="inlineStr">
        <is>
          <t>0,000000000000</t>
        </is>
      </c>
    </row>
    <row outlineLevel="0" r="1075">
      <c r="A1075" s="4108" t="inlineStr">
        <is>
          <t>135792468202209529900</t>
        </is>
      </c>
      <c r="B1075" s="4108" t="inlineStr">
        <is>
          <t>529900</t>
        </is>
      </c>
      <c r="C1075" s="4108" t="inlineStr">
        <is>
          <t>135792468</t>
        </is>
      </c>
      <c r="D1075" s="4108" t="inlineStr">
        <is>
          <t>202209</t>
        </is>
      </c>
      <c r="E1075" s="4108" t="inlineStr">
        <is>
          <t>0,000000000000</t>
        </is>
      </c>
    </row>
    <row outlineLevel="0" r="1076">
      <c r="A1076" s="4108" t="inlineStr">
        <is>
          <t>135792468202209530505</t>
        </is>
      </c>
      <c r="B1076" s="4108" t="inlineStr">
        <is>
          <t>530505</t>
        </is>
      </c>
      <c r="C1076" s="4108" t="inlineStr">
        <is>
          <t>135792468</t>
        </is>
      </c>
      <c r="D1076" s="4108" t="inlineStr">
        <is>
          <t>202209</t>
        </is>
      </c>
      <c r="E1076" s="4108" t="inlineStr">
        <is>
          <t>0,000000000000</t>
        </is>
      </c>
    </row>
    <row outlineLevel="0" r="1077">
      <c r="A1077" s="4108" t="inlineStr">
        <is>
          <t>135792468202209530515</t>
        </is>
      </c>
      <c r="B1077" s="4108" t="inlineStr">
        <is>
          <t>530515</t>
        </is>
      </c>
      <c r="C1077" s="4108" t="inlineStr">
        <is>
          <t>135792468</t>
        </is>
      </c>
      <c r="D1077" s="4108" t="inlineStr">
        <is>
          <t>202209</t>
        </is>
      </c>
      <c r="E1077" s="4108" t="inlineStr">
        <is>
          <t>0,000000000000</t>
        </is>
      </c>
    </row>
    <row outlineLevel="0" r="1078">
      <c r="A1078" s="4108" t="inlineStr">
        <is>
          <t>135792468202209530525</t>
        </is>
      </c>
      <c r="B1078" s="4108" t="inlineStr">
        <is>
          <t>530525</t>
        </is>
      </c>
      <c r="C1078" s="4108" t="inlineStr">
        <is>
          <t>135792468</t>
        </is>
      </c>
      <c r="D1078" s="4108" t="inlineStr">
        <is>
          <t>202209</t>
        </is>
      </c>
      <c r="E1078" s="4108" t="inlineStr">
        <is>
          <t>0,000000000000</t>
        </is>
      </c>
    </row>
    <row outlineLevel="0" r="1079">
      <c r="A1079" s="4108" t="inlineStr">
        <is>
          <t>135792468202209530535</t>
        </is>
      </c>
      <c r="B1079" s="4108" t="inlineStr">
        <is>
          <t>530535</t>
        </is>
      </c>
      <c r="C1079" s="4108" t="inlineStr">
        <is>
          <t>135792468</t>
        </is>
      </c>
      <c r="D1079" s="4108" t="inlineStr">
        <is>
          <t>202209</t>
        </is>
      </c>
      <c r="E1079" s="4108" t="inlineStr">
        <is>
          <t>0,000000000000</t>
        </is>
      </c>
    </row>
    <row outlineLevel="0" r="1080">
      <c r="A1080" s="4108" t="inlineStr">
        <is>
          <t>135792468202209531000</t>
        </is>
      </c>
      <c r="B1080" s="4108" t="inlineStr">
        <is>
          <t>531000</t>
        </is>
      </c>
      <c r="C1080" s="4108" t="inlineStr">
        <is>
          <t>135792468</t>
        </is>
      </c>
      <c r="D1080" s="4108" t="inlineStr">
        <is>
          <t>202209</t>
        </is>
      </c>
      <c r="E1080" s="4108" t="inlineStr">
        <is>
          <t>0,000000000000</t>
        </is>
      </c>
    </row>
    <row outlineLevel="0" r="1081">
      <c r="A1081" s="4108" t="inlineStr">
        <is>
          <t>135792468202209531500</t>
        </is>
      </c>
      <c r="B1081" s="4108" t="inlineStr">
        <is>
          <t>531500</t>
        </is>
      </c>
      <c r="C1081" s="4108" t="inlineStr">
        <is>
          <t>135792468</t>
        </is>
      </c>
      <c r="D1081" s="4108" t="inlineStr">
        <is>
          <t>202209</t>
        </is>
      </c>
      <c r="E1081" s="4108" t="inlineStr">
        <is>
          <t>0,000000000000</t>
        </is>
      </c>
    </row>
    <row outlineLevel="0" r="1082">
      <c r="A1082" s="4108" t="inlineStr">
        <is>
          <t>135792468202209531300</t>
        </is>
      </c>
      <c r="B1082" s="4108" t="inlineStr">
        <is>
          <t>531300</t>
        </is>
      </c>
      <c r="C1082" s="4108" t="inlineStr">
        <is>
          <t>135792468</t>
        </is>
      </c>
      <c r="D1082" s="4108" t="inlineStr">
        <is>
          <t>202209</t>
        </is>
      </c>
      <c r="E1082" s="4108" t="inlineStr">
        <is>
          <t>0,000000000000</t>
        </is>
      </c>
    </row>
    <row outlineLevel="0" r="1083">
      <c r="A1083" s="4108" t="inlineStr">
        <is>
          <t>135792468202209531515</t>
        </is>
      </c>
      <c r="B1083" s="4108" t="inlineStr">
        <is>
          <t>531515</t>
        </is>
      </c>
      <c r="C1083" s="4108" t="inlineStr">
        <is>
          <t>135792468</t>
        </is>
      </c>
      <c r="D1083" s="4108" t="inlineStr">
        <is>
          <t>202209</t>
        </is>
      </c>
      <c r="E1083" s="4108" t="inlineStr">
        <is>
          <t>0,000000000000</t>
        </is>
      </c>
    </row>
    <row outlineLevel="0" r="1084">
      <c r="A1084" s="4108" t="inlineStr">
        <is>
          <t>135792468202209531520</t>
        </is>
      </c>
      <c r="B1084" s="4108" t="inlineStr">
        <is>
          <t>531520</t>
        </is>
      </c>
      <c r="C1084" s="4108" t="inlineStr">
        <is>
          <t>135792468</t>
        </is>
      </c>
      <c r="D1084" s="4108" t="inlineStr">
        <is>
          <t>202209</t>
        </is>
      </c>
      <c r="E1084" s="4108" t="inlineStr">
        <is>
          <t>0,000000000000</t>
        </is>
      </c>
    </row>
    <row outlineLevel="0" r="1085">
      <c r="A1085" s="4108" t="inlineStr">
        <is>
          <t>135792468202209539525</t>
        </is>
      </c>
      <c r="B1085" s="4108" t="inlineStr">
        <is>
          <t>539525</t>
        </is>
      </c>
      <c r="C1085" s="4108" t="inlineStr">
        <is>
          <t>135792468</t>
        </is>
      </c>
      <c r="D1085" s="4108" t="inlineStr">
        <is>
          <t>202209</t>
        </is>
      </c>
      <c r="E1085" s="4108" t="inlineStr">
        <is>
          <t>0,000000000000</t>
        </is>
      </c>
    </row>
    <row outlineLevel="0" r="1086">
      <c r="A1086" s="4108" t="inlineStr">
        <is>
          <t>135792468202209539595</t>
        </is>
      </c>
      <c r="B1086" s="4108" t="inlineStr">
        <is>
          <t>539595</t>
        </is>
      </c>
      <c r="C1086" s="4108" t="inlineStr">
        <is>
          <t>135792468</t>
        </is>
      </c>
      <c r="D1086" s="4108" t="inlineStr">
        <is>
          <t>202209</t>
        </is>
      </c>
      <c r="E1086" s="4108" t="inlineStr">
        <is>
          <t>0,000000000000</t>
        </is>
      </c>
    </row>
    <row outlineLevel="0" r="1087">
      <c r="A1087" s="4108" t="inlineStr">
        <is>
          <t>135792468202209606000</t>
        </is>
      </c>
      <c r="B1087" s="4108" t="inlineStr">
        <is>
          <t>606000</t>
        </is>
      </c>
      <c r="C1087" s="4108" t="inlineStr">
        <is>
          <t>135792468</t>
        </is>
      </c>
      <c r="D1087" s="4108" t="inlineStr">
        <is>
          <t>202209</t>
        </is>
      </c>
      <c r="E1087" s="4108" t="inlineStr">
        <is>
          <t>193,000000000000</t>
        </is>
      </c>
    </row>
    <row outlineLevel="0" r="1088">
      <c r="A1088" s="4108" t="inlineStr">
        <is>
          <t>135792468202207606000</t>
        </is>
      </c>
      <c r="B1088" s="4108" t="inlineStr">
        <is>
          <t>606000</t>
        </is>
      </c>
      <c r="C1088" s="4108" t="inlineStr">
        <is>
          <t>135792468</t>
        </is>
      </c>
      <c r="D1088" s="4108" t="inlineStr">
        <is>
          <t>202207</t>
        </is>
      </c>
      <c r="E1088" s="4108" t="inlineStr">
        <is>
          <t>186,000000000000</t>
        </is>
      </c>
    </row>
    <row outlineLevel="0" r="1089">
      <c r="A1089" s="4108" t="inlineStr">
        <is>
          <t>135792468202207539595</t>
        </is>
      </c>
      <c r="B1089" s="4108" t="inlineStr">
        <is>
          <t>539595</t>
        </is>
      </c>
      <c r="C1089" s="4108" t="inlineStr">
        <is>
          <t>135792468</t>
        </is>
      </c>
      <c r="D1089" s="4108" t="inlineStr">
        <is>
          <t>202207</t>
        </is>
      </c>
      <c r="E1089" s="4108" t="inlineStr">
        <is>
          <t>0,000000000000</t>
        </is>
      </c>
    </row>
    <row outlineLevel="0" r="1090">
      <c r="A1090" s="4108" t="inlineStr">
        <is>
          <t>135792468202207539525</t>
        </is>
      </c>
      <c r="B1090" s="4108" t="inlineStr">
        <is>
          <t>539525</t>
        </is>
      </c>
      <c r="C1090" s="4108" t="inlineStr">
        <is>
          <t>135792468</t>
        </is>
      </c>
      <c r="D1090" s="4108" t="inlineStr">
        <is>
          <t>202207</t>
        </is>
      </c>
      <c r="E1090" s="4108" t="inlineStr">
        <is>
          <t>0,000000000000</t>
        </is>
      </c>
    </row>
    <row outlineLevel="0" r="1091">
      <c r="A1091" s="4108" t="inlineStr">
        <is>
          <t>135792468202207531520</t>
        </is>
      </c>
      <c r="B1091" s="4108" t="inlineStr">
        <is>
          <t>531520</t>
        </is>
      </c>
      <c r="C1091" s="4108" t="inlineStr">
        <is>
          <t>135792468</t>
        </is>
      </c>
      <c r="D1091" s="4108" t="inlineStr">
        <is>
          <t>202207</t>
        </is>
      </c>
      <c r="E1091" s="4108" t="inlineStr">
        <is>
          <t>0,000000000000</t>
        </is>
      </c>
    </row>
    <row outlineLevel="0" r="1092">
      <c r="A1092" s="4108" t="inlineStr">
        <is>
          <t>135792468202207531515</t>
        </is>
      </c>
      <c r="B1092" s="4108" t="inlineStr">
        <is>
          <t>531515</t>
        </is>
      </c>
      <c r="C1092" s="4108" t="inlineStr">
        <is>
          <t>135792468</t>
        </is>
      </c>
      <c r="D1092" s="4108" t="inlineStr">
        <is>
          <t>202207</t>
        </is>
      </c>
      <c r="E1092" s="4108" t="inlineStr">
        <is>
          <t>0,000000000000</t>
        </is>
      </c>
    </row>
    <row outlineLevel="0" r="1093">
      <c r="A1093" s="4108" t="inlineStr">
        <is>
          <t>135792468202207531300</t>
        </is>
      </c>
      <c r="B1093" s="4108" t="inlineStr">
        <is>
          <t>531300</t>
        </is>
      </c>
      <c r="C1093" s="4108" t="inlineStr">
        <is>
          <t>135792468</t>
        </is>
      </c>
      <c r="D1093" s="4108" t="inlineStr">
        <is>
          <t>202207</t>
        </is>
      </c>
      <c r="E1093" s="4108" t="inlineStr">
        <is>
          <t>0,000000000000</t>
        </is>
      </c>
    </row>
    <row outlineLevel="0" r="1094">
      <c r="A1094" s="4108" t="inlineStr">
        <is>
          <t>135792468202207531500</t>
        </is>
      </c>
      <c r="B1094" s="4108" t="inlineStr">
        <is>
          <t>531500</t>
        </is>
      </c>
      <c r="C1094" s="4108" t="inlineStr">
        <is>
          <t>135792468</t>
        </is>
      </c>
      <c r="D1094" s="4108" t="inlineStr">
        <is>
          <t>202207</t>
        </is>
      </c>
      <c r="E1094" s="4108" t="inlineStr">
        <is>
          <t>0,000000000000</t>
        </is>
      </c>
    </row>
    <row outlineLevel="0" r="1095">
      <c r="A1095" s="4108" t="inlineStr">
        <is>
          <t>135792468202207531000</t>
        </is>
      </c>
      <c r="B1095" s="4108" t="inlineStr">
        <is>
          <t>531000</t>
        </is>
      </c>
      <c r="C1095" s="4108" t="inlineStr">
        <is>
          <t>135792468</t>
        </is>
      </c>
      <c r="D1095" s="4108" t="inlineStr">
        <is>
          <t>202207</t>
        </is>
      </c>
      <c r="E1095" s="4108" t="inlineStr">
        <is>
          <t>0,000000000000</t>
        </is>
      </c>
    </row>
    <row outlineLevel="0" r="1096">
      <c r="A1096" s="4108" t="inlineStr">
        <is>
          <t>135792468202207530535</t>
        </is>
      </c>
      <c r="B1096" s="4108" t="inlineStr">
        <is>
          <t>530535</t>
        </is>
      </c>
      <c r="C1096" s="4108" t="inlineStr">
        <is>
          <t>135792468</t>
        </is>
      </c>
      <c r="D1096" s="4108" t="inlineStr">
        <is>
          <t>202207</t>
        </is>
      </c>
      <c r="E1096" s="4108" t="inlineStr">
        <is>
          <t>0,000000000000</t>
        </is>
      </c>
    </row>
    <row outlineLevel="0" r="1097">
      <c r="A1097" s="4108" t="inlineStr">
        <is>
          <t>135792468202207530525</t>
        </is>
      </c>
      <c r="B1097" s="4108" t="inlineStr">
        <is>
          <t>530525</t>
        </is>
      </c>
      <c r="C1097" s="4108" t="inlineStr">
        <is>
          <t>135792468</t>
        </is>
      </c>
      <c r="D1097" s="4108" t="inlineStr">
        <is>
          <t>202207</t>
        </is>
      </c>
      <c r="E1097" s="4108" t="inlineStr">
        <is>
          <t>0,000000000000</t>
        </is>
      </c>
    </row>
    <row outlineLevel="0" r="1098">
      <c r="A1098" s="4108" t="inlineStr">
        <is>
          <t>135792468202207530515</t>
        </is>
      </c>
      <c r="B1098" s="4108" t="inlineStr">
        <is>
          <t>530515</t>
        </is>
      </c>
      <c r="C1098" s="4108" t="inlineStr">
        <is>
          <t>135792468</t>
        </is>
      </c>
      <c r="D1098" s="4108" t="inlineStr">
        <is>
          <t>202207</t>
        </is>
      </c>
      <c r="E1098" s="4108" t="inlineStr">
        <is>
          <t>0,000000000000</t>
        </is>
      </c>
    </row>
    <row outlineLevel="0" r="1099">
      <c r="A1099" s="4108" t="inlineStr">
        <is>
          <t>135792468202207530505</t>
        </is>
      </c>
      <c r="B1099" s="4108" t="inlineStr">
        <is>
          <t>530505</t>
        </is>
      </c>
      <c r="C1099" s="4108" t="inlineStr">
        <is>
          <t>135792468</t>
        </is>
      </c>
      <c r="D1099" s="4108" t="inlineStr">
        <is>
          <t>202207</t>
        </is>
      </c>
      <c r="E1099" s="4108" t="inlineStr">
        <is>
          <t>0,000000000000</t>
        </is>
      </c>
    </row>
    <row outlineLevel="0" r="1100">
      <c r="A1100" s="4108" t="inlineStr">
        <is>
          <t>135792468202207529900</t>
        </is>
      </c>
      <c r="B1100" s="4108" t="inlineStr">
        <is>
          <t>529900</t>
        </is>
      </c>
      <c r="C1100" s="4108" t="inlineStr">
        <is>
          <t>135792468</t>
        </is>
      </c>
      <c r="D1100" s="4108" t="inlineStr">
        <is>
          <t>202207</t>
        </is>
      </c>
      <c r="E1100" s="4108" t="inlineStr">
        <is>
          <t>0,000000000000</t>
        </is>
      </c>
    </row>
    <row outlineLevel="0" r="1101">
      <c r="A1101" s="4108" t="inlineStr">
        <is>
          <t>135792468202207526500</t>
        </is>
      </c>
      <c r="B1101" s="4108" t="inlineStr">
        <is>
          <t>526500</t>
        </is>
      </c>
      <c r="C1101" s="4108" t="inlineStr">
        <is>
          <t>135792468</t>
        </is>
      </c>
      <c r="D1101" s="4108" t="inlineStr">
        <is>
          <t>202207</t>
        </is>
      </c>
      <c r="E1101" s="4108" t="inlineStr">
        <is>
          <t>0,000000000000</t>
        </is>
      </c>
    </row>
    <row outlineLevel="0" r="1102">
      <c r="A1102" s="4108" t="inlineStr">
        <is>
          <t>135792468202207529500</t>
        </is>
      </c>
      <c r="B1102" s="4108" t="inlineStr">
        <is>
          <t>529500</t>
        </is>
      </c>
      <c r="C1102" s="4108" t="inlineStr">
        <is>
          <t>135792468</t>
        </is>
      </c>
      <c r="D1102" s="4108" t="inlineStr">
        <is>
          <t>202207</t>
        </is>
      </c>
      <c r="E1102" s="4108" t="inlineStr">
        <is>
          <t>0,000000000000</t>
        </is>
      </c>
    </row>
    <row outlineLevel="0" r="1103">
      <c r="A1103" s="4108" t="inlineStr">
        <is>
          <t>135792468202207526000</t>
        </is>
      </c>
      <c r="B1103" s="4108" t="inlineStr">
        <is>
          <t>526000</t>
        </is>
      </c>
      <c r="C1103" s="4108" t="inlineStr">
        <is>
          <t>135792468</t>
        </is>
      </c>
      <c r="D1103" s="4108" t="inlineStr">
        <is>
          <t>202207</t>
        </is>
      </c>
      <c r="E1103" s="4108" t="inlineStr">
        <is>
          <t>0,000000000000</t>
        </is>
      </c>
    </row>
    <row outlineLevel="0" r="1104">
      <c r="A1104" s="4108" t="inlineStr">
        <is>
          <t>135792468202207525500</t>
        </is>
      </c>
      <c r="B1104" s="4108" t="inlineStr">
        <is>
          <t>525500</t>
        </is>
      </c>
      <c r="C1104" s="4108" t="inlineStr">
        <is>
          <t>135792468</t>
        </is>
      </c>
      <c r="D1104" s="4108" t="inlineStr">
        <is>
          <t>202207</t>
        </is>
      </c>
      <c r="E1104" s="4108" t="inlineStr">
        <is>
          <t>0,000000000000</t>
        </is>
      </c>
    </row>
    <row outlineLevel="0" r="1105">
      <c r="A1105" s="4108" t="inlineStr">
        <is>
          <t>135792468202207525000</t>
        </is>
      </c>
      <c r="B1105" s="4108" t="inlineStr">
        <is>
          <t>525000</t>
        </is>
      </c>
      <c r="C1105" s="4108" t="inlineStr">
        <is>
          <t>135792468</t>
        </is>
      </c>
      <c r="D1105" s="4108" t="inlineStr">
        <is>
          <t>202207</t>
        </is>
      </c>
      <c r="E1105" s="4108" t="inlineStr">
        <is>
          <t>0,000000000000</t>
        </is>
      </c>
    </row>
    <row outlineLevel="0" r="1106">
      <c r="A1106" s="4108" t="inlineStr">
        <is>
          <t>135792468202207524500</t>
        </is>
      </c>
      <c r="B1106" s="4108" t="inlineStr">
        <is>
          <t>524500</t>
        </is>
      </c>
      <c r="C1106" s="4108" t="inlineStr">
        <is>
          <t>135792468</t>
        </is>
      </c>
      <c r="D1106" s="4108" t="inlineStr">
        <is>
          <t>202207</t>
        </is>
      </c>
      <c r="E1106" s="4108" t="inlineStr">
        <is>
          <t>0,000000000000</t>
        </is>
      </c>
    </row>
    <row outlineLevel="0" r="1107">
      <c r="A1107" s="4108" t="inlineStr">
        <is>
          <t>135792468202207524000</t>
        </is>
      </c>
      <c r="B1107" s="4108" t="inlineStr">
        <is>
          <t>524000</t>
        </is>
      </c>
      <c r="C1107" s="4108" t="inlineStr">
        <is>
          <t>135792468</t>
        </is>
      </c>
      <c r="D1107" s="4108" t="inlineStr">
        <is>
          <t>202207</t>
        </is>
      </c>
      <c r="E1107" s="4108" t="inlineStr">
        <is>
          <t>0,000000000000</t>
        </is>
      </c>
    </row>
    <row outlineLevel="0" r="1108">
      <c r="A1108" s="4108" t="inlineStr">
        <is>
          <t>135792468202207523500</t>
        </is>
      </c>
      <c r="B1108" s="4108" t="inlineStr">
        <is>
          <t>523500</t>
        </is>
      </c>
      <c r="C1108" s="4108" t="inlineStr">
        <is>
          <t>135792468</t>
        </is>
      </c>
      <c r="D1108" s="4108" t="inlineStr">
        <is>
          <t>202207</t>
        </is>
      </c>
      <c r="E1108" s="4108" t="inlineStr">
        <is>
          <t>0,000000000000</t>
        </is>
      </c>
    </row>
    <row outlineLevel="0" r="1109">
      <c r="A1109" s="4108" t="inlineStr">
        <is>
          <t>135792468202207522500</t>
        </is>
      </c>
      <c r="B1109" s="4108" t="inlineStr">
        <is>
          <t>522500</t>
        </is>
      </c>
      <c r="C1109" s="4108" t="inlineStr">
        <is>
          <t>135792468</t>
        </is>
      </c>
      <c r="D1109" s="4108" t="inlineStr">
        <is>
          <t>202207</t>
        </is>
      </c>
      <c r="E1109" s="4108" t="inlineStr">
        <is>
          <t>0,000000000000</t>
        </is>
      </c>
    </row>
    <row outlineLevel="0" r="1110">
      <c r="A1110" s="4108" t="inlineStr">
        <is>
          <t>135792468202207523000</t>
        </is>
      </c>
      <c r="B1110" s="4108" t="inlineStr">
        <is>
          <t>523000</t>
        </is>
      </c>
      <c r="C1110" s="4108" t="inlineStr">
        <is>
          <t>135792468</t>
        </is>
      </c>
      <c r="D1110" s="4108" t="inlineStr">
        <is>
          <t>202207</t>
        </is>
      </c>
      <c r="E1110" s="4108" t="inlineStr">
        <is>
          <t>0,000000000000</t>
        </is>
      </c>
    </row>
    <row outlineLevel="0" r="1111">
      <c r="A1111" s="4108" t="inlineStr">
        <is>
          <t>135792468202207522000</t>
        </is>
      </c>
      <c r="B1111" s="4108" t="inlineStr">
        <is>
          <t>522000</t>
        </is>
      </c>
      <c r="C1111" s="4108" t="inlineStr">
        <is>
          <t>135792468</t>
        </is>
      </c>
      <c r="D1111" s="4108" t="inlineStr">
        <is>
          <t>202207</t>
        </is>
      </c>
      <c r="E1111" s="4108" t="inlineStr">
        <is>
          <t>0,000000000000</t>
        </is>
      </c>
    </row>
    <row outlineLevel="0" r="1112">
      <c r="A1112" s="4108" t="inlineStr">
        <is>
          <t>135792468202207521500</t>
        </is>
      </c>
      <c r="B1112" s="4108" t="inlineStr">
        <is>
          <t>521500</t>
        </is>
      </c>
      <c r="C1112" s="4108" t="inlineStr">
        <is>
          <t>135792468</t>
        </is>
      </c>
      <c r="D1112" s="4108" t="inlineStr">
        <is>
          <t>202207</t>
        </is>
      </c>
      <c r="E1112" s="4108" t="inlineStr">
        <is>
          <t>0,000000000000</t>
        </is>
      </c>
    </row>
    <row outlineLevel="0" r="1113">
      <c r="A1113" s="4108" t="inlineStr">
        <is>
          <t>135792468202207521000</t>
        </is>
      </c>
      <c r="B1113" s="4108" t="inlineStr">
        <is>
          <t>521000</t>
        </is>
      </c>
      <c r="C1113" s="4108" t="inlineStr">
        <is>
          <t>135792468</t>
        </is>
      </c>
      <c r="D1113" s="4108" t="inlineStr">
        <is>
          <t>202207</t>
        </is>
      </c>
      <c r="E1113" s="4108" t="inlineStr">
        <is>
          <t>0,000000000000</t>
        </is>
      </c>
    </row>
    <row outlineLevel="0" r="1114">
      <c r="A1114" s="4108" t="inlineStr">
        <is>
          <t>135792468202207520500</t>
        </is>
      </c>
      <c r="B1114" s="4108" t="inlineStr">
        <is>
          <t>520500</t>
        </is>
      </c>
      <c r="C1114" s="4108" t="inlineStr">
        <is>
          <t>135792468</t>
        </is>
      </c>
      <c r="D1114" s="4108" t="inlineStr">
        <is>
          <t>202207</t>
        </is>
      </c>
      <c r="E1114" s="4108" t="inlineStr">
        <is>
          <t>0,000000000000</t>
        </is>
      </c>
    </row>
    <row outlineLevel="0" r="1115">
      <c r="A1115" s="4108" t="inlineStr">
        <is>
          <t>135792468202207519900</t>
        </is>
      </c>
      <c r="B1115" s="4108" t="inlineStr">
        <is>
          <t>519900</t>
        </is>
      </c>
      <c r="C1115" s="4108" t="inlineStr">
        <is>
          <t>135792468</t>
        </is>
      </c>
      <c r="D1115" s="4108" t="inlineStr">
        <is>
          <t>202207</t>
        </is>
      </c>
      <c r="E1115" s="4108" t="inlineStr">
        <is>
          <t>0,000000000000</t>
        </is>
      </c>
    </row>
    <row outlineLevel="0" r="1116">
      <c r="A1116" s="4108" t="inlineStr">
        <is>
          <t>135792468202207519500</t>
        </is>
      </c>
      <c r="B1116" s="4108" t="inlineStr">
        <is>
          <t>519500</t>
        </is>
      </c>
      <c r="C1116" s="4108" t="inlineStr">
        <is>
          <t>135792468</t>
        </is>
      </c>
      <c r="D1116" s="4108" t="inlineStr">
        <is>
          <t>202207</t>
        </is>
      </c>
      <c r="E1116" s="4108" t="inlineStr">
        <is>
          <t>0,000000000000</t>
        </is>
      </c>
    </row>
    <row outlineLevel="0" r="1117">
      <c r="A1117" s="4108" t="inlineStr">
        <is>
          <t>135792468202207516000</t>
        </is>
      </c>
      <c r="B1117" s="4108" t="inlineStr">
        <is>
          <t>516000</t>
        </is>
      </c>
      <c r="C1117" s="4108" t="inlineStr">
        <is>
          <t>135792468</t>
        </is>
      </c>
      <c r="D1117" s="4108" t="inlineStr">
        <is>
          <t>202207</t>
        </is>
      </c>
      <c r="E1117" s="4108" t="inlineStr">
        <is>
          <t>0,000000000000</t>
        </is>
      </c>
    </row>
    <row outlineLevel="0" r="1118">
      <c r="A1118" s="4108" t="inlineStr">
        <is>
          <t>135792468202207516500</t>
        </is>
      </c>
      <c r="B1118" s="4108" t="inlineStr">
        <is>
          <t>516500</t>
        </is>
      </c>
      <c r="C1118" s="4108" t="inlineStr">
        <is>
          <t>135792468</t>
        </is>
      </c>
      <c r="D1118" s="4108" t="inlineStr">
        <is>
          <t>202207</t>
        </is>
      </c>
      <c r="E1118" s="4108" t="inlineStr">
        <is>
          <t>0,000000000000</t>
        </is>
      </c>
    </row>
    <row outlineLevel="0" r="1119">
      <c r="A1119" s="4108" t="inlineStr">
        <is>
          <t>135792468202207515500</t>
        </is>
      </c>
      <c r="B1119" s="4108" t="inlineStr">
        <is>
          <t>515500</t>
        </is>
      </c>
      <c r="C1119" s="4108" t="inlineStr">
        <is>
          <t>135792468</t>
        </is>
      </c>
      <c r="D1119" s="4108" t="inlineStr">
        <is>
          <t>202207</t>
        </is>
      </c>
      <c r="E1119" s="4108" t="inlineStr">
        <is>
          <t>0,000000000000</t>
        </is>
      </c>
    </row>
    <row outlineLevel="0" r="1120">
      <c r="A1120" s="4108" t="inlineStr">
        <is>
          <t>135792468202207515000</t>
        </is>
      </c>
      <c r="B1120" s="4108" t="inlineStr">
        <is>
          <t>515000</t>
        </is>
      </c>
      <c r="C1120" s="4108" t="inlineStr">
        <is>
          <t>135792468</t>
        </is>
      </c>
      <c r="D1120" s="4108" t="inlineStr">
        <is>
          <t>202207</t>
        </is>
      </c>
      <c r="E1120" s="4108" t="inlineStr">
        <is>
          <t>0,000000000000</t>
        </is>
      </c>
    </row>
    <row outlineLevel="0" r="1121">
      <c r="A1121" s="4108" t="inlineStr">
        <is>
          <t>135792468202207514500</t>
        </is>
      </c>
      <c r="B1121" s="4108" t="inlineStr">
        <is>
          <t>514500</t>
        </is>
      </c>
      <c r="C1121" s="4108" t="inlineStr">
        <is>
          <t>135792468</t>
        </is>
      </c>
      <c r="D1121" s="4108" t="inlineStr">
        <is>
          <t>202207</t>
        </is>
      </c>
      <c r="E1121" s="4108" t="inlineStr">
        <is>
          <t>0,000000000000</t>
        </is>
      </c>
    </row>
    <row outlineLevel="0" r="1122">
      <c r="A1122" s="4108" t="inlineStr">
        <is>
          <t>135792468202207514000</t>
        </is>
      </c>
      <c r="B1122" s="4108" t="inlineStr">
        <is>
          <t>514000</t>
        </is>
      </c>
      <c r="C1122" s="4108" t="inlineStr">
        <is>
          <t>135792468</t>
        </is>
      </c>
      <c r="D1122" s="4108" t="inlineStr">
        <is>
          <t>202207</t>
        </is>
      </c>
      <c r="E1122" s="4108" t="inlineStr">
        <is>
          <t>0,000000000000</t>
        </is>
      </c>
    </row>
    <row outlineLevel="0" r="1123">
      <c r="A1123" s="4108" t="inlineStr">
        <is>
          <t>135792468202207513500</t>
        </is>
      </c>
      <c r="B1123" s="4108" t="inlineStr">
        <is>
          <t>513500</t>
        </is>
      </c>
      <c r="C1123" s="4108" t="inlineStr">
        <is>
          <t>135792468</t>
        </is>
      </c>
      <c r="D1123" s="4108" t="inlineStr">
        <is>
          <t>202207</t>
        </is>
      </c>
      <c r="E1123" s="4108" t="inlineStr">
        <is>
          <t>0,000000000000</t>
        </is>
      </c>
    </row>
    <row outlineLevel="0" r="1124">
      <c r="A1124" s="4108" t="inlineStr">
        <is>
          <t>135792468202207513000</t>
        </is>
      </c>
      <c r="B1124" s="4108" t="inlineStr">
        <is>
          <t>513000</t>
        </is>
      </c>
      <c r="C1124" s="4108" t="inlineStr">
        <is>
          <t>135792468</t>
        </is>
      </c>
      <c r="D1124" s="4108" t="inlineStr">
        <is>
          <t>202207</t>
        </is>
      </c>
      <c r="E1124" s="4108" t="inlineStr">
        <is>
          <t>0,000000000000</t>
        </is>
      </c>
    </row>
    <row outlineLevel="0" r="1125">
      <c r="A1125" s="4108" t="inlineStr">
        <is>
          <t>135792468202207512000</t>
        </is>
      </c>
      <c r="B1125" s="4108" t="inlineStr">
        <is>
          <t>512000</t>
        </is>
      </c>
      <c r="C1125" s="4108" t="inlineStr">
        <is>
          <t>135792468</t>
        </is>
      </c>
      <c r="D1125" s="4108" t="inlineStr">
        <is>
          <t>202207</t>
        </is>
      </c>
      <c r="E1125" s="4108" t="inlineStr">
        <is>
          <t>0,000000000000</t>
        </is>
      </c>
    </row>
    <row outlineLevel="0" r="1126">
      <c r="A1126" s="4108" t="inlineStr">
        <is>
          <t>135792468202207512500</t>
        </is>
      </c>
      <c r="B1126" s="4108" t="inlineStr">
        <is>
          <t>512500</t>
        </is>
      </c>
      <c r="C1126" s="4108" t="inlineStr">
        <is>
          <t>135792468</t>
        </is>
      </c>
      <c r="D1126" s="4108" t="inlineStr">
        <is>
          <t>202207</t>
        </is>
      </c>
      <c r="E1126" s="4108" t="inlineStr">
        <is>
          <t>0,000000000000</t>
        </is>
      </c>
    </row>
    <row outlineLevel="0" r="1127">
      <c r="A1127" s="4108" t="inlineStr">
        <is>
          <t>135792468202207511500</t>
        </is>
      </c>
      <c r="B1127" s="4108" t="inlineStr">
        <is>
          <t>511500</t>
        </is>
      </c>
      <c r="C1127" s="4108" t="inlineStr">
        <is>
          <t>135792468</t>
        </is>
      </c>
      <c r="D1127" s="4108" t="inlineStr">
        <is>
          <t>202207</t>
        </is>
      </c>
      <c r="E1127" s="4108" t="inlineStr">
        <is>
          <t>0,000000000000</t>
        </is>
      </c>
    </row>
    <row outlineLevel="0" r="1128">
      <c r="A1128" s="4108" t="inlineStr">
        <is>
          <t>135792468202207511000</t>
        </is>
      </c>
      <c r="B1128" s="4108" t="inlineStr">
        <is>
          <t>511000</t>
        </is>
      </c>
      <c r="C1128" s="4108" t="inlineStr">
        <is>
          <t>135792468</t>
        </is>
      </c>
      <c r="D1128" s="4108" t="inlineStr">
        <is>
          <t>202207</t>
        </is>
      </c>
      <c r="E1128" s="4108" t="inlineStr">
        <is>
          <t>0,000000000000</t>
        </is>
      </c>
    </row>
    <row outlineLevel="0" r="1129">
      <c r="A1129" s="4108" t="inlineStr">
        <is>
          <t>135792468202207510500</t>
        </is>
      </c>
      <c r="B1129" s="4108" t="inlineStr">
        <is>
          <t>510500</t>
        </is>
      </c>
      <c r="C1129" s="4108" t="inlineStr">
        <is>
          <t>135792468</t>
        </is>
      </c>
      <c r="D1129" s="4108" t="inlineStr">
        <is>
          <t>202207</t>
        </is>
      </c>
      <c r="E1129" s="4108" t="inlineStr">
        <is>
          <t>3900,000000000000</t>
        </is>
      </c>
    </row>
    <row outlineLevel="0" r="1130">
      <c r="A1130" s="4108" t="inlineStr">
        <is>
          <t>135792468202207429500</t>
        </is>
      </c>
      <c r="B1130" s="4108" t="inlineStr">
        <is>
          <t>429500</t>
        </is>
      </c>
      <c r="C1130" s="4108" t="inlineStr">
        <is>
          <t>135792468</t>
        </is>
      </c>
      <c r="D1130" s="4108" t="inlineStr">
        <is>
          <t>202207</t>
        </is>
      </c>
      <c r="E1130" s="4108" t="inlineStr">
        <is>
          <t>0,000000000000</t>
        </is>
      </c>
    </row>
    <row outlineLevel="0" r="1131">
      <c r="A1131" s="4108" t="inlineStr">
        <is>
          <t>135792468202207426500</t>
        </is>
      </c>
      <c r="B1131" s="4108" t="inlineStr">
        <is>
          <t>426500</t>
        </is>
      </c>
      <c r="C1131" s="4108" t="inlineStr">
        <is>
          <t>135792468</t>
        </is>
      </c>
      <c r="D1131" s="4108" t="inlineStr">
        <is>
          <t>202207</t>
        </is>
      </c>
      <c r="E1131" s="4108" t="inlineStr">
        <is>
          <t>0,000000000000</t>
        </is>
      </c>
    </row>
    <row outlineLevel="0" r="1132">
      <c r="A1132" s="4108" t="inlineStr">
        <is>
          <t>135792468202207425000</t>
        </is>
      </c>
      <c r="B1132" s="4108" t="inlineStr">
        <is>
          <t>425000</t>
        </is>
      </c>
      <c r="C1132" s="4108" t="inlineStr">
        <is>
          <t>135792468</t>
        </is>
      </c>
      <c r="D1132" s="4108" t="inlineStr">
        <is>
          <t>202207</t>
        </is>
      </c>
      <c r="E1132" s="4108" t="inlineStr">
        <is>
          <t>0,000000000000</t>
        </is>
      </c>
    </row>
    <row outlineLevel="0" r="1133">
      <c r="A1133" s="4108" t="inlineStr">
        <is>
          <t>135792468202207423500</t>
        </is>
      </c>
      <c r="B1133" s="4108" t="inlineStr">
        <is>
          <t>423500</t>
        </is>
      </c>
      <c r="C1133" s="4108" t="inlineStr">
        <is>
          <t>135792468</t>
        </is>
      </c>
      <c r="D1133" s="4108" t="inlineStr">
        <is>
          <t>202207</t>
        </is>
      </c>
      <c r="E1133" s="4108" t="inlineStr">
        <is>
          <t>0,000000000000</t>
        </is>
      </c>
    </row>
    <row outlineLevel="0" r="1134">
      <c r="A1134" s="4108" t="inlineStr">
        <is>
          <t>135792468202207424000</t>
        </is>
      </c>
      <c r="B1134" s="4108" t="inlineStr">
        <is>
          <t>424000</t>
        </is>
      </c>
      <c r="C1134" s="4108" t="inlineStr">
        <is>
          <t>135792468</t>
        </is>
      </c>
      <c r="D1134" s="4108" t="inlineStr">
        <is>
          <t>202207</t>
        </is>
      </c>
      <c r="E1134" s="4108" t="inlineStr">
        <is>
          <t>0,000000000000</t>
        </is>
      </c>
    </row>
    <row outlineLevel="0" r="1135">
      <c r="A1135" s="4108" t="inlineStr">
        <is>
          <t>135792468202207422500</t>
        </is>
      </c>
      <c r="B1135" s="4108" t="inlineStr">
        <is>
          <t>422500</t>
        </is>
      </c>
      <c r="C1135" s="4108" t="inlineStr">
        <is>
          <t>135792468</t>
        </is>
      </c>
      <c r="D1135" s="4108" t="inlineStr">
        <is>
          <t>202207</t>
        </is>
      </c>
      <c r="E1135" s="4108" t="inlineStr">
        <is>
          <t>0,000000000000</t>
        </is>
      </c>
    </row>
    <row outlineLevel="0" r="1136">
      <c r="A1136" s="4108" t="inlineStr">
        <is>
          <t>135792468202207422000</t>
        </is>
      </c>
      <c r="B1136" s="4108" t="inlineStr">
        <is>
          <t>422000</t>
        </is>
      </c>
      <c r="C1136" s="4108" t="inlineStr">
        <is>
          <t>135792468</t>
        </is>
      </c>
      <c r="D1136" s="4108" t="inlineStr">
        <is>
          <t>202207</t>
        </is>
      </c>
      <c r="E1136" s="4108" t="inlineStr">
        <is>
          <t>0,000000000000</t>
        </is>
      </c>
    </row>
    <row outlineLevel="0" r="1137">
      <c r="A1137" s="4108" t="inlineStr">
        <is>
          <t>135792468202207421500</t>
        </is>
      </c>
      <c r="B1137" s="4108" t="inlineStr">
        <is>
          <t>421500</t>
        </is>
      </c>
      <c r="C1137" s="4108" t="inlineStr">
        <is>
          <t>135792468</t>
        </is>
      </c>
      <c r="D1137" s="4108" t="inlineStr">
        <is>
          <t>202207</t>
        </is>
      </c>
      <c r="E1137" s="4108" t="inlineStr">
        <is>
          <t>0,000000000000</t>
        </is>
      </c>
    </row>
    <row outlineLevel="0" r="1138">
      <c r="A1138" s="4108" t="inlineStr">
        <is>
          <t>135792468202207421040</t>
        </is>
      </c>
      <c r="B1138" s="4108" t="inlineStr">
        <is>
          <t>421040</t>
        </is>
      </c>
      <c r="C1138" s="4108" t="inlineStr">
        <is>
          <t>135792468</t>
        </is>
      </c>
      <c r="D1138" s="4108" t="inlineStr">
        <is>
          <t>202207</t>
        </is>
      </c>
      <c r="E1138" s="4108" t="inlineStr">
        <is>
          <t>0,000000000000</t>
        </is>
      </c>
    </row>
    <row outlineLevel="0" r="1139">
      <c r="A1139" s="4108" t="inlineStr">
        <is>
          <t>135792468202207421020</t>
        </is>
      </c>
      <c r="B1139" s="4108" t="inlineStr">
        <is>
          <t>421020</t>
        </is>
      </c>
      <c r="C1139" s="4108" t="inlineStr">
        <is>
          <t>135792468</t>
        </is>
      </c>
      <c r="D1139" s="4108" t="inlineStr">
        <is>
          <t>202207</t>
        </is>
      </c>
      <c r="E1139" s="4108" t="inlineStr">
        <is>
          <t>0,000000000000</t>
        </is>
      </c>
    </row>
    <row outlineLevel="0" r="1140">
      <c r="A1140" s="4108" t="inlineStr">
        <is>
          <t>135792468202207421000</t>
        </is>
      </c>
      <c r="B1140" s="4108" t="inlineStr">
        <is>
          <t>421000</t>
        </is>
      </c>
      <c r="C1140" s="4108" t="inlineStr">
        <is>
          <t>135792468</t>
        </is>
      </c>
      <c r="D1140" s="4108" t="inlineStr">
        <is>
          <t>202207</t>
        </is>
      </c>
      <c r="E1140" s="4108" t="inlineStr">
        <is>
          <t>0,000000000000</t>
        </is>
      </c>
    </row>
    <row outlineLevel="0" r="1141">
      <c r="A1141" s="4108" t="inlineStr">
        <is>
          <t>135792468202207411000</t>
        </is>
      </c>
      <c r="B1141" s="4108" t="inlineStr">
        <is>
          <t>411000</t>
        </is>
      </c>
      <c r="C1141" s="4108" t="inlineStr">
        <is>
          <t>135792468</t>
        </is>
      </c>
      <c r="D1141" s="4108" t="inlineStr">
        <is>
          <t>202207</t>
        </is>
      </c>
      <c r="E1141" s="4108" t="inlineStr">
        <is>
          <t>0,000000000000</t>
        </is>
      </c>
    </row>
    <row outlineLevel="0" r="1142">
      <c r="A1142" s="4108" t="inlineStr">
        <is>
          <t>135792468202207420500</t>
        </is>
      </c>
      <c r="B1142" s="4108" t="inlineStr">
        <is>
          <t>420500</t>
        </is>
      </c>
      <c r="C1142" s="4108" t="inlineStr">
        <is>
          <t>135792468</t>
        </is>
      </c>
      <c r="D1142" s="4108" t="inlineStr">
        <is>
          <t>202207</t>
        </is>
      </c>
      <c r="E1142" s="4108" t="inlineStr">
        <is>
          <t>0,000000000000</t>
        </is>
      </c>
    </row>
    <row outlineLevel="0" r="1143">
      <c r="A1143" s="4108" t="inlineStr">
        <is>
          <t>135792468202207410500</t>
        </is>
      </c>
      <c r="B1143" s="4108" t="inlineStr">
        <is>
          <t>410500</t>
        </is>
      </c>
      <c r="C1143" s="4108" t="inlineStr">
        <is>
          <t>135792468</t>
        </is>
      </c>
      <c r="D1143" s="4108" t="inlineStr">
        <is>
          <t>202207</t>
        </is>
      </c>
      <c r="E1143" s="4108" t="inlineStr">
        <is>
          <t>8015,000000000000</t>
        </is>
      </c>
    </row>
    <row outlineLevel="0" r="1144">
      <c r="A1144" s="4108" t="inlineStr">
        <is>
          <t>135792468202207349500</t>
        </is>
      </c>
      <c r="B1144" s="4108" t="inlineStr">
        <is>
          <t>349500</t>
        </is>
      </c>
      <c r="C1144" s="4108" t="inlineStr">
        <is>
          <t>135792468</t>
        </is>
      </c>
      <c r="D1144" s="4108" t="inlineStr">
        <is>
          <t>202207</t>
        </is>
      </c>
      <c r="E1144" s="4108" t="inlineStr">
        <is>
          <t>0,000000000000</t>
        </is>
      </c>
    </row>
    <row outlineLevel="0" r="1145">
      <c r="A1145" s="4108" t="inlineStr">
        <is>
          <t>135792468202207340515</t>
        </is>
      </c>
      <c r="B1145" s="4108" t="inlineStr">
        <is>
          <t>340515</t>
        </is>
      </c>
      <c r="C1145" s="4108" t="inlineStr">
        <is>
          <t>135792468</t>
        </is>
      </c>
      <c r="D1145" s="4108" t="inlineStr">
        <is>
          <t>202207</t>
        </is>
      </c>
      <c r="E1145" s="4108" t="inlineStr">
        <is>
          <t>0,000000000000</t>
        </is>
      </c>
    </row>
    <row outlineLevel="0" r="1146">
      <c r="A1146" s="4108" t="inlineStr">
        <is>
          <t>135792468202207340505</t>
        </is>
      </c>
      <c r="B1146" s="4108" t="inlineStr">
        <is>
          <t>340505</t>
        </is>
      </c>
      <c r="C1146" s="4108" t="inlineStr">
        <is>
          <t>135792468</t>
        </is>
      </c>
      <c r="D1146" s="4108" t="inlineStr">
        <is>
          <t>202207</t>
        </is>
      </c>
      <c r="E1146" s="4108" t="inlineStr">
        <is>
          <t>0,000000000000</t>
        </is>
      </c>
    </row>
    <row outlineLevel="0" r="1147">
      <c r="A1147" s="4108" t="inlineStr">
        <is>
          <t>135792468202207331500</t>
        </is>
      </c>
      <c r="B1147" s="4108" t="inlineStr">
        <is>
          <t>331500</t>
        </is>
      </c>
      <c r="C1147" s="4108" t="inlineStr">
        <is>
          <t>135792468</t>
        </is>
      </c>
      <c r="D1147" s="4108" t="inlineStr">
        <is>
          <t>202207</t>
        </is>
      </c>
      <c r="E1147" s="4108" t="inlineStr">
        <is>
          <t>0,000000000000</t>
        </is>
      </c>
    </row>
    <row outlineLevel="0" r="1148">
      <c r="A1148" s="4108" t="inlineStr">
        <is>
          <t>135792468202207331000</t>
        </is>
      </c>
      <c r="B1148" s="4108" t="inlineStr">
        <is>
          <t>331000</t>
        </is>
      </c>
      <c r="C1148" s="4108" t="inlineStr">
        <is>
          <t>135792468</t>
        </is>
      </c>
      <c r="D1148" s="4108" t="inlineStr">
        <is>
          <t>202207</t>
        </is>
      </c>
      <c r="E1148" s="4108" t="inlineStr">
        <is>
          <t>0,000000000000</t>
        </is>
      </c>
    </row>
    <row outlineLevel="0" r="1149">
      <c r="A1149" s="4108" t="inlineStr">
        <is>
          <t>135792468202207322500</t>
        </is>
      </c>
      <c r="B1149" s="4108" t="inlineStr">
        <is>
          <t>322500</t>
        </is>
      </c>
      <c r="C1149" s="4108" t="inlineStr">
        <is>
          <t>135792468</t>
        </is>
      </c>
      <c r="D1149" s="4108" t="inlineStr">
        <is>
          <t>202207</t>
        </is>
      </c>
      <c r="E1149" s="4108" t="inlineStr">
        <is>
          <t>0,000000000000</t>
        </is>
      </c>
    </row>
    <row outlineLevel="0" r="1150">
      <c r="A1150" s="4108" t="inlineStr">
        <is>
          <t>135792468202207330500</t>
        </is>
      </c>
      <c r="B1150" s="4108" t="inlineStr">
        <is>
          <t>330500</t>
        </is>
      </c>
      <c r="C1150" s="4108" t="inlineStr">
        <is>
          <t>135792468</t>
        </is>
      </c>
      <c r="D1150" s="4108" t="inlineStr">
        <is>
          <t>202207</t>
        </is>
      </c>
      <c r="E1150" s="4108" t="inlineStr">
        <is>
          <t>166,000000000000</t>
        </is>
      </c>
    </row>
    <row outlineLevel="0" r="1151">
      <c r="A1151" s="4108" t="inlineStr">
        <is>
          <t>135792468202207322000</t>
        </is>
      </c>
      <c r="B1151" s="4108" t="inlineStr">
        <is>
          <t>322000</t>
        </is>
      </c>
      <c r="C1151" s="4108" t="inlineStr">
        <is>
          <t>135792468</t>
        </is>
      </c>
      <c r="D1151" s="4108" t="inlineStr">
        <is>
          <t>202207</t>
        </is>
      </c>
      <c r="E1151" s="4108" t="inlineStr">
        <is>
          <t>0,000000000000</t>
        </is>
      </c>
    </row>
    <row outlineLevel="0" r="1152">
      <c r="A1152" s="4108" t="inlineStr">
        <is>
          <t>135792468202207321500</t>
        </is>
      </c>
      <c r="B1152" s="4108" t="inlineStr">
        <is>
          <t>321500</t>
        </is>
      </c>
      <c r="C1152" s="4108" t="inlineStr">
        <is>
          <t>135792468</t>
        </is>
      </c>
      <c r="D1152" s="4108" t="inlineStr">
        <is>
          <t>202207</t>
        </is>
      </c>
      <c r="E1152" s="4108" t="inlineStr">
        <is>
          <t>0,000000000000</t>
        </is>
      </c>
    </row>
    <row outlineLevel="0" r="1153">
      <c r="A1153" s="4108" t="inlineStr">
        <is>
          <t>135792468202207321000</t>
        </is>
      </c>
      <c r="B1153" s="4108" t="inlineStr">
        <is>
          <t>321000</t>
        </is>
      </c>
      <c r="C1153" s="4108" t="inlineStr">
        <is>
          <t>135792468</t>
        </is>
      </c>
      <c r="D1153" s="4108" t="inlineStr">
        <is>
          <t>202207</t>
        </is>
      </c>
      <c r="E1153" s="4108" t="inlineStr">
        <is>
          <t>0,000000000000</t>
        </is>
      </c>
    </row>
    <row outlineLevel="0" r="1154">
      <c r="A1154" s="4108" t="inlineStr">
        <is>
          <t>135792468202207320500</t>
        </is>
      </c>
      <c r="B1154" s="4108" t="inlineStr">
        <is>
          <t>320500</t>
        </is>
      </c>
      <c r="C1154" s="4108" t="inlineStr">
        <is>
          <t>135792468</t>
        </is>
      </c>
      <c r="D1154" s="4108" t="inlineStr">
        <is>
          <t>202207</t>
        </is>
      </c>
      <c r="E1154" s="4108" t="inlineStr">
        <is>
          <t>0,000000000000</t>
        </is>
      </c>
    </row>
    <row outlineLevel="0" r="1155">
      <c r="A1155" s="4108" t="inlineStr">
        <is>
          <t>135792468202207314000</t>
        </is>
      </c>
      <c r="B1155" s="4108" t="inlineStr">
        <is>
          <t>314000</t>
        </is>
      </c>
      <c r="C1155" s="4108" t="inlineStr">
        <is>
          <t>135792468</t>
        </is>
      </c>
      <c r="D1155" s="4108" t="inlineStr">
        <is>
          <t>202207</t>
        </is>
      </c>
      <c r="E1155" s="4108" t="inlineStr">
        <is>
          <t>0,000000000000</t>
        </is>
      </c>
    </row>
    <row outlineLevel="0" r="1156">
      <c r="A1156" s="4108" t="inlineStr">
        <is>
          <t>135792468202207313500</t>
        </is>
      </c>
      <c r="B1156" s="4108" t="inlineStr">
        <is>
          <t>313500</t>
        </is>
      </c>
      <c r="C1156" s="4108" t="inlineStr">
        <is>
          <t>135792468</t>
        </is>
      </c>
      <c r="D1156" s="4108" t="inlineStr">
        <is>
          <t>202207</t>
        </is>
      </c>
      <c r="E1156" s="4108" t="inlineStr">
        <is>
          <t>0,000000000000</t>
        </is>
      </c>
    </row>
    <row outlineLevel="0" r="1157">
      <c r="A1157" s="4108" t="inlineStr">
        <is>
          <t>135792468202207312500</t>
        </is>
      </c>
      <c r="B1157" s="4108" t="inlineStr">
        <is>
          <t>312500</t>
        </is>
      </c>
      <c r="C1157" s="4108" t="inlineStr">
        <is>
          <t>135792468</t>
        </is>
      </c>
      <c r="D1157" s="4108" t="inlineStr">
        <is>
          <t>202207</t>
        </is>
      </c>
      <c r="E1157" s="4108" t="inlineStr">
        <is>
          <t>0,000000000000</t>
        </is>
      </c>
    </row>
    <row outlineLevel="0" r="1158">
      <c r="A1158" s="4108" t="inlineStr">
        <is>
          <t>135792468202207313000</t>
        </is>
      </c>
      <c r="B1158" s="4108" t="inlineStr">
        <is>
          <t>313000</t>
        </is>
      </c>
      <c r="C1158" s="4108" t="inlineStr">
        <is>
          <t>135792468</t>
        </is>
      </c>
      <c r="D1158" s="4108" t="inlineStr">
        <is>
          <t>202207</t>
        </is>
      </c>
      <c r="E1158" s="4108" t="inlineStr">
        <is>
          <t>0,000000000000</t>
        </is>
      </c>
    </row>
    <row outlineLevel="0" r="1159">
      <c r="A1159" s="4108" t="inlineStr">
        <is>
          <t>135792468202207312000</t>
        </is>
      </c>
      <c r="B1159" s="4108" t="inlineStr">
        <is>
          <t>312000</t>
        </is>
      </c>
      <c r="C1159" s="4108" t="inlineStr">
        <is>
          <t>135792468</t>
        </is>
      </c>
      <c r="D1159" s="4108" t="inlineStr">
        <is>
          <t>202207</t>
        </is>
      </c>
      <c r="E1159" s="4108" t="inlineStr">
        <is>
          <t>0,000000000000</t>
        </is>
      </c>
    </row>
    <row outlineLevel="0" r="1160">
      <c r="A1160" s="4108" t="inlineStr">
        <is>
          <t>135792468202207311500</t>
        </is>
      </c>
      <c r="B1160" s="4108" t="inlineStr">
        <is>
          <t>311500</t>
        </is>
      </c>
      <c r="C1160" s="4108" t="inlineStr">
        <is>
          <t>135792468</t>
        </is>
      </c>
      <c r="D1160" s="4108" t="inlineStr">
        <is>
          <t>202207</t>
        </is>
      </c>
      <c r="E1160" s="4108" t="inlineStr">
        <is>
          <t>0,000000000000</t>
        </is>
      </c>
    </row>
    <row outlineLevel="0" r="1161">
      <c r="A1161" s="4108" t="inlineStr">
        <is>
          <t>135792468202207310500</t>
        </is>
      </c>
      <c r="B1161" s="4108" t="inlineStr">
        <is>
          <t>310500</t>
        </is>
      </c>
      <c r="C1161" s="4108" t="inlineStr">
        <is>
          <t>135792468</t>
        </is>
      </c>
      <c r="D1161" s="4108" t="inlineStr">
        <is>
          <t>202207</t>
        </is>
      </c>
      <c r="E1161" s="4108" t="inlineStr">
        <is>
          <t>2267,000000000000</t>
        </is>
      </c>
    </row>
    <row outlineLevel="0" r="1162">
      <c r="A1162" s="4108" t="inlineStr">
        <is>
          <t>135792468202207299501</t>
        </is>
      </c>
      <c r="B1162" s="4108" t="inlineStr">
        <is>
          <t>299501</t>
        </is>
      </c>
      <c r="C1162" s="4108" t="inlineStr">
        <is>
          <t>135792468</t>
        </is>
      </c>
      <c r="D1162" s="4108" t="inlineStr">
        <is>
          <t>202207</t>
        </is>
      </c>
      <c r="E1162" s="4108" t="inlineStr">
        <is>
          <t>0,000000000000</t>
        </is>
      </c>
    </row>
    <row outlineLevel="0" r="1163">
      <c r="A1163" s="4108" t="inlineStr">
        <is>
          <t>135792468202207294000</t>
        </is>
      </c>
      <c r="B1163" s="4108" t="inlineStr">
        <is>
          <t>294000</t>
        </is>
      </c>
      <c r="C1163" s="4108" t="inlineStr">
        <is>
          <t>135792468</t>
        </is>
      </c>
      <c r="D1163" s="4108" t="inlineStr">
        <is>
          <t>202207</t>
        </is>
      </c>
      <c r="E1163" s="4108" t="inlineStr">
        <is>
          <t>0,000000000000</t>
        </is>
      </c>
    </row>
    <row outlineLevel="0" r="1164">
      <c r="A1164" s="4108" t="inlineStr">
        <is>
          <t>135792468202207293000</t>
        </is>
      </c>
      <c r="B1164" s="4108" t="inlineStr">
        <is>
          <t>293000</t>
        </is>
      </c>
      <c r="C1164" s="4108" t="inlineStr">
        <is>
          <t>135792468</t>
        </is>
      </c>
      <c r="D1164" s="4108" t="inlineStr">
        <is>
          <t>202207</t>
        </is>
      </c>
      <c r="E1164" s="4108" t="inlineStr">
        <is>
          <t>0,000000000000</t>
        </is>
      </c>
    </row>
    <row outlineLevel="0" r="1165">
      <c r="A1165" s="4108" t="inlineStr">
        <is>
          <t>135792468202207292000</t>
        </is>
      </c>
      <c r="B1165" s="4108" t="inlineStr">
        <is>
          <t>292000</t>
        </is>
      </c>
      <c r="C1165" s="4108" t="inlineStr">
        <is>
          <t>135792468</t>
        </is>
      </c>
      <c r="D1165" s="4108" t="inlineStr">
        <is>
          <t>202207</t>
        </is>
      </c>
      <c r="E1165" s="4108" t="inlineStr">
        <is>
          <t>0,000000000000</t>
        </is>
      </c>
    </row>
    <row outlineLevel="0" r="1166">
      <c r="A1166" s="4108" t="inlineStr">
        <is>
          <t>135792468202207292001</t>
        </is>
      </c>
      <c r="B1166" s="4108" t="inlineStr">
        <is>
          <t>292001</t>
        </is>
      </c>
      <c r="C1166" s="4108" t="inlineStr">
        <is>
          <t>135792468</t>
        </is>
      </c>
      <c r="D1166" s="4108" t="inlineStr">
        <is>
          <t>202207</t>
        </is>
      </c>
      <c r="E1166" s="4108" t="inlineStr">
        <is>
          <t>0,000000000000</t>
        </is>
      </c>
    </row>
    <row outlineLevel="0" r="1167">
      <c r="A1167" s="4108" t="inlineStr">
        <is>
          <t>135792468202207291991</t>
        </is>
      </c>
      <c r="B1167" s="4108" t="inlineStr">
        <is>
          <t>291991</t>
        </is>
      </c>
      <c r="C1167" s="4108" t="inlineStr">
        <is>
          <t>135792468</t>
        </is>
      </c>
      <c r="D1167" s="4108" t="inlineStr">
        <is>
          <t>202207</t>
        </is>
      </c>
      <c r="E1167" s="4108" t="inlineStr">
        <is>
          <t>0,000000000000</t>
        </is>
      </c>
    </row>
    <row outlineLevel="0" r="1168">
      <c r="A1168" s="4108" t="inlineStr">
        <is>
          <t>135792468202207291501</t>
        </is>
      </c>
      <c r="B1168" s="4108" t="inlineStr">
        <is>
          <t>291501</t>
        </is>
      </c>
      <c r="C1168" s="4108" t="inlineStr">
        <is>
          <t>135792468</t>
        </is>
      </c>
      <c r="D1168" s="4108" t="inlineStr">
        <is>
          <t>202207</t>
        </is>
      </c>
      <c r="E1168" s="4108" t="inlineStr">
        <is>
          <t>0,000000000000</t>
        </is>
      </c>
    </row>
    <row outlineLevel="0" r="1169">
      <c r="A1169" s="4108" t="inlineStr">
        <is>
          <t>135792468202207291000</t>
        </is>
      </c>
      <c r="B1169" s="4108" t="inlineStr">
        <is>
          <t>291000</t>
        </is>
      </c>
      <c r="C1169" s="4108" t="inlineStr">
        <is>
          <t>135792468</t>
        </is>
      </c>
      <c r="D1169" s="4108" t="inlineStr">
        <is>
          <t>202207</t>
        </is>
      </c>
      <c r="E1169" s="4108" t="inlineStr">
        <is>
          <t>0,000000000000</t>
        </is>
      </c>
    </row>
    <row outlineLevel="0" r="1170">
      <c r="A1170" s="4108" t="inlineStr">
        <is>
          <t>135792468202207290501</t>
        </is>
      </c>
      <c r="B1170" s="4108" t="inlineStr">
        <is>
          <t>290501</t>
        </is>
      </c>
      <c r="C1170" s="4108" t="inlineStr">
        <is>
          <t>135792468</t>
        </is>
      </c>
      <c r="D1170" s="4108" t="inlineStr">
        <is>
          <t>202207</t>
        </is>
      </c>
      <c r="E1170" s="4108" t="inlineStr">
        <is>
          <t>0,000000000000</t>
        </is>
      </c>
    </row>
    <row outlineLevel="0" r="1171">
      <c r="A1171" s="4108" t="inlineStr">
        <is>
          <t>135792468202207289500</t>
        </is>
      </c>
      <c r="B1171" s="4108" t="inlineStr">
        <is>
          <t>289500</t>
        </is>
      </c>
      <c r="C1171" s="4108" t="inlineStr">
        <is>
          <t>135792468</t>
        </is>
      </c>
      <c r="D1171" s="4108" t="inlineStr">
        <is>
          <t>202207</t>
        </is>
      </c>
      <c r="E1171" s="4108" t="inlineStr">
        <is>
          <t>0,000000000000</t>
        </is>
      </c>
    </row>
    <row outlineLevel="0" r="1172">
      <c r="A1172" s="4108" t="inlineStr">
        <is>
          <t>135792468202207284000</t>
        </is>
      </c>
      <c r="B1172" s="4108" t="inlineStr">
        <is>
          <t>284000</t>
        </is>
      </c>
      <c r="C1172" s="4108" t="inlineStr">
        <is>
          <t>135792468</t>
        </is>
      </c>
      <c r="D1172" s="4108" t="inlineStr">
        <is>
          <t>202207</t>
        </is>
      </c>
      <c r="E1172" s="4108" t="inlineStr">
        <is>
          <t>0,000000000000</t>
        </is>
      </c>
    </row>
    <row outlineLevel="0" r="1173">
      <c r="A1173" s="4108" t="inlineStr">
        <is>
          <t>135792468202207282000</t>
        </is>
      </c>
      <c r="B1173" s="4108" t="inlineStr">
        <is>
          <t>282000</t>
        </is>
      </c>
      <c r="C1173" s="4108" t="inlineStr">
        <is>
          <t>135792468</t>
        </is>
      </c>
      <c r="D1173" s="4108" t="inlineStr">
        <is>
          <t>202207</t>
        </is>
      </c>
      <c r="E1173" s="4108" t="inlineStr">
        <is>
          <t>0,000000000000</t>
        </is>
      </c>
    </row>
    <row outlineLevel="0" r="1174">
      <c r="A1174" s="4108" t="inlineStr">
        <is>
          <t>135792468202207282500</t>
        </is>
      </c>
      <c r="B1174" s="4108" t="inlineStr">
        <is>
          <t>282500</t>
        </is>
      </c>
      <c r="C1174" s="4108" t="inlineStr">
        <is>
          <t>135792468</t>
        </is>
      </c>
      <c r="D1174" s="4108" t="inlineStr">
        <is>
          <t>202207</t>
        </is>
      </c>
      <c r="E1174" s="4108" t="inlineStr">
        <is>
          <t>0,000000000000</t>
        </is>
      </c>
    </row>
    <row outlineLevel="0" r="1175">
      <c r="A1175" s="4108" t="inlineStr">
        <is>
          <t>135792468202207281000</t>
        </is>
      </c>
      <c r="B1175" s="4108" t="inlineStr">
        <is>
          <t>281000</t>
        </is>
      </c>
      <c r="C1175" s="4108" t="inlineStr">
        <is>
          <t>135792468</t>
        </is>
      </c>
      <c r="D1175" s="4108" t="inlineStr">
        <is>
          <t>202207</t>
        </is>
      </c>
      <c r="E1175" s="4108" t="inlineStr">
        <is>
          <t>0,000000000000</t>
        </is>
      </c>
    </row>
    <row outlineLevel="0" r="1176">
      <c r="A1176" s="4108" t="inlineStr">
        <is>
          <t>135792468202207279501</t>
        </is>
      </c>
      <c r="B1176" s="4108" t="inlineStr">
        <is>
          <t>279501</t>
        </is>
      </c>
      <c r="C1176" s="4108" t="inlineStr">
        <is>
          <t>135792468</t>
        </is>
      </c>
      <c r="D1176" s="4108" t="inlineStr">
        <is>
          <t>202207</t>
        </is>
      </c>
      <c r="E1176" s="4108" t="inlineStr">
        <is>
          <t>0,000000000000</t>
        </is>
      </c>
    </row>
    <row outlineLevel="0" r="1177">
      <c r="A1177" s="4108" t="inlineStr">
        <is>
          <t>135792468202207279500</t>
        </is>
      </c>
      <c r="B1177" s="4108" t="inlineStr">
        <is>
          <t>279500</t>
        </is>
      </c>
      <c r="C1177" s="4108" t="inlineStr">
        <is>
          <t>135792468</t>
        </is>
      </c>
      <c r="D1177" s="4108" t="inlineStr">
        <is>
          <t>202207</t>
        </is>
      </c>
      <c r="E1177" s="4108" t="inlineStr">
        <is>
          <t>15,000000000000</t>
        </is>
      </c>
    </row>
    <row outlineLevel="0" r="1178">
      <c r="A1178" s="4108" t="inlineStr">
        <is>
          <t>135792468202207272501</t>
        </is>
      </c>
      <c r="B1178" s="4108" t="inlineStr">
        <is>
          <t>272501</t>
        </is>
      </c>
      <c r="C1178" s="4108" t="inlineStr">
        <is>
          <t>135792468</t>
        </is>
      </c>
      <c r="D1178" s="4108" t="inlineStr">
        <is>
          <t>202207</t>
        </is>
      </c>
      <c r="E1178" s="4108" t="inlineStr">
        <is>
          <t>0,000000000000</t>
        </is>
      </c>
    </row>
    <row outlineLevel="0" r="1179">
      <c r="A1179" s="4108" t="inlineStr">
        <is>
          <t>135792468202207272500</t>
        </is>
      </c>
      <c r="B1179" s="4108" t="inlineStr">
        <is>
          <t>272500</t>
        </is>
      </c>
      <c r="C1179" s="4108" t="inlineStr">
        <is>
          <t>135792468</t>
        </is>
      </c>
      <c r="D1179" s="4108" t="inlineStr">
        <is>
          <t>202207</t>
        </is>
      </c>
      <c r="E1179" s="4108" t="inlineStr">
        <is>
          <t>0,000000000000</t>
        </is>
      </c>
    </row>
    <row outlineLevel="0" r="1180">
      <c r="A1180" s="4108" t="inlineStr">
        <is>
          <t>135792468202207272001</t>
        </is>
      </c>
      <c r="B1180" s="4108" t="inlineStr">
        <is>
          <t>272001</t>
        </is>
      </c>
      <c r="C1180" s="4108" t="inlineStr">
        <is>
          <t>135792468</t>
        </is>
      </c>
      <c r="D1180" s="4108" t="inlineStr">
        <is>
          <t>202207</t>
        </is>
      </c>
      <c r="E1180" s="4108" t="inlineStr">
        <is>
          <t>0,000000000000</t>
        </is>
      </c>
    </row>
    <row outlineLevel="0" r="1181">
      <c r="A1181" s="4108" t="inlineStr">
        <is>
          <t>135792468202207271000</t>
        </is>
      </c>
      <c r="B1181" s="4108" t="inlineStr">
        <is>
          <t>271000</t>
        </is>
      </c>
      <c r="C1181" s="4108" t="inlineStr">
        <is>
          <t>135792468</t>
        </is>
      </c>
      <c r="D1181" s="4108" t="inlineStr">
        <is>
          <t>202207</t>
        </is>
      </c>
      <c r="E1181" s="4108" t="inlineStr">
        <is>
          <t>0,000000000000</t>
        </is>
      </c>
    </row>
    <row outlineLevel="0" r="1182">
      <c r="A1182" s="4108" t="inlineStr">
        <is>
          <t>135792468202207271001</t>
        </is>
      </c>
      <c r="B1182" s="4108" t="inlineStr">
        <is>
          <t>271001</t>
        </is>
      </c>
      <c r="C1182" s="4108" t="inlineStr">
        <is>
          <t>135792468</t>
        </is>
      </c>
      <c r="D1182" s="4108" t="inlineStr">
        <is>
          <t>202207</t>
        </is>
      </c>
      <c r="E1182" s="4108" t="inlineStr">
        <is>
          <t>0,000000000000</t>
        </is>
      </c>
    </row>
    <row outlineLevel="0" r="1183">
      <c r="A1183" s="4108" t="inlineStr">
        <is>
          <t>135792468202207270501</t>
        </is>
      </c>
      <c r="B1183" s="4108" t="inlineStr">
        <is>
          <t>270501</t>
        </is>
      </c>
      <c r="C1183" s="4108" t="inlineStr">
        <is>
          <t>135792468</t>
        </is>
      </c>
      <c r="D1183" s="4108" t="inlineStr">
        <is>
          <t>202207</t>
        </is>
      </c>
      <c r="E1183" s="4108" t="inlineStr">
        <is>
          <t>0,000000000000</t>
        </is>
      </c>
    </row>
    <row outlineLevel="0" r="1184">
      <c r="A1184" s="4108" t="inlineStr">
        <is>
          <t>135792468202207270500</t>
        </is>
      </c>
      <c r="B1184" s="4108" t="inlineStr">
        <is>
          <t>270500</t>
        </is>
      </c>
      <c r="C1184" s="4108" t="inlineStr">
        <is>
          <t>135792468</t>
        </is>
      </c>
      <c r="D1184" s="4108" t="inlineStr">
        <is>
          <t>202207</t>
        </is>
      </c>
      <c r="E1184" s="4108" t="inlineStr">
        <is>
          <t>172,000000000000</t>
        </is>
      </c>
    </row>
    <row outlineLevel="0" r="1185">
      <c r="A1185" s="4108" t="inlineStr">
        <is>
          <t>135792468202207269501</t>
        </is>
      </c>
      <c r="B1185" s="4108" t="inlineStr">
        <is>
          <t>269501</t>
        </is>
      </c>
      <c r="C1185" s="4108" t="inlineStr">
        <is>
          <t>135792468</t>
        </is>
      </c>
      <c r="D1185" s="4108" t="inlineStr">
        <is>
          <t>202207</t>
        </is>
      </c>
      <c r="E1185" s="4108" t="inlineStr">
        <is>
          <t>0,000000000000</t>
        </is>
      </c>
    </row>
    <row outlineLevel="0" r="1186">
      <c r="A1186" s="4108" t="inlineStr">
        <is>
          <t>135792468202207269500</t>
        </is>
      </c>
      <c r="B1186" s="4108" t="inlineStr">
        <is>
          <t>269500</t>
        </is>
      </c>
      <c r="C1186" s="4108" t="inlineStr">
        <is>
          <t>135792468</t>
        </is>
      </c>
      <c r="D1186" s="4108" t="inlineStr">
        <is>
          <t>202207</t>
        </is>
      </c>
      <c r="E1186" s="4108" t="inlineStr">
        <is>
          <t>0,000000000000</t>
        </is>
      </c>
    </row>
    <row outlineLevel="0" r="1187">
      <c r="A1187" s="4108" t="inlineStr">
        <is>
          <t>135792468202207264001</t>
        </is>
      </c>
      <c r="B1187" s="4108" t="inlineStr">
        <is>
          <t>264001</t>
        </is>
      </c>
      <c r="C1187" s="4108" t="inlineStr">
        <is>
          <t>135792468</t>
        </is>
      </c>
      <c r="D1187" s="4108" t="inlineStr">
        <is>
          <t>202207</t>
        </is>
      </c>
      <c r="E1187" s="4108" t="inlineStr">
        <is>
          <t>0,000000000000</t>
        </is>
      </c>
    </row>
    <row outlineLevel="0" r="1188">
      <c r="A1188" s="4108" t="inlineStr">
        <is>
          <t>135792468202207264000</t>
        </is>
      </c>
      <c r="B1188" s="4108" t="inlineStr">
        <is>
          <t>264000</t>
        </is>
      </c>
      <c r="C1188" s="4108" t="inlineStr">
        <is>
          <t>135792468</t>
        </is>
      </c>
      <c r="D1188" s="4108" t="inlineStr">
        <is>
          <t>202207</t>
        </is>
      </c>
      <c r="E1188" s="4108" t="inlineStr">
        <is>
          <t>0,000000000000</t>
        </is>
      </c>
    </row>
    <row outlineLevel="0" r="1189">
      <c r="A1189" s="4108" t="inlineStr">
        <is>
          <t>135792468202207263500</t>
        </is>
      </c>
      <c r="B1189" s="4108" t="inlineStr">
        <is>
          <t>263500</t>
        </is>
      </c>
      <c r="C1189" s="4108" t="inlineStr">
        <is>
          <t>135792468</t>
        </is>
      </c>
      <c r="D1189" s="4108" t="inlineStr">
        <is>
          <t>202207</t>
        </is>
      </c>
      <c r="E1189" s="4108" t="inlineStr">
        <is>
          <t>0,000000000000</t>
        </is>
      </c>
    </row>
    <row outlineLevel="0" r="1190">
      <c r="A1190" s="4108" t="inlineStr">
        <is>
          <t>135792468202207263501</t>
        </is>
      </c>
      <c r="B1190" s="4108" t="inlineStr">
        <is>
          <t>263501</t>
        </is>
      </c>
      <c r="C1190" s="4108" t="inlineStr">
        <is>
          <t>135792468</t>
        </is>
      </c>
      <c r="D1190" s="4108" t="inlineStr">
        <is>
          <t>202207</t>
        </is>
      </c>
      <c r="E1190" s="4108" t="inlineStr">
        <is>
          <t>0,000000000000</t>
        </is>
      </c>
    </row>
    <row outlineLevel="0" r="1191">
      <c r="A1191" s="4108" t="inlineStr">
        <is>
          <t>135792468202207263001</t>
        </is>
      </c>
      <c r="B1191" s="4108" t="inlineStr">
        <is>
          <t>263001</t>
        </is>
      </c>
      <c r="C1191" s="4108" t="inlineStr">
        <is>
          <t>135792468</t>
        </is>
      </c>
      <c r="D1191" s="4108" t="inlineStr">
        <is>
          <t>202207</t>
        </is>
      </c>
      <c r="E1191" s="4108" t="inlineStr">
        <is>
          <t>0,000000000000</t>
        </is>
      </c>
    </row>
    <row outlineLevel="0" r="1192">
      <c r="A1192" s="4108" t="inlineStr">
        <is>
          <t>135792468202207263000</t>
        </is>
      </c>
      <c r="B1192" s="4108" t="inlineStr">
        <is>
          <t>263000</t>
        </is>
      </c>
      <c r="C1192" s="4108" t="inlineStr">
        <is>
          <t>135792468</t>
        </is>
      </c>
      <c r="D1192" s="4108" t="inlineStr">
        <is>
          <t>202207</t>
        </is>
      </c>
      <c r="E1192" s="4108" t="inlineStr">
        <is>
          <t>0,000000000000</t>
        </is>
      </c>
    </row>
    <row outlineLevel="0" r="1193">
      <c r="A1193" s="4108" t="inlineStr">
        <is>
          <t>135792468202207262501</t>
        </is>
      </c>
      <c r="B1193" s="4108" t="inlineStr">
        <is>
          <t>262501</t>
        </is>
      </c>
      <c r="C1193" s="4108" t="inlineStr">
        <is>
          <t>135792468</t>
        </is>
      </c>
      <c r="D1193" s="4108" t="inlineStr">
        <is>
          <t>202207</t>
        </is>
      </c>
      <c r="E1193" s="4108" t="inlineStr">
        <is>
          <t>0,000000000000</t>
        </is>
      </c>
    </row>
    <row outlineLevel="0" r="1194">
      <c r="A1194" s="4108" t="inlineStr">
        <is>
          <t>135792468202207262500</t>
        </is>
      </c>
      <c r="B1194" s="4108" t="inlineStr">
        <is>
          <t>262500</t>
        </is>
      </c>
      <c r="C1194" s="4108" t="inlineStr">
        <is>
          <t>135792468</t>
        </is>
      </c>
      <c r="D1194" s="4108" t="inlineStr">
        <is>
          <t>202207</t>
        </is>
      </c>
      <c r="E1194" s="4108" t="inlineStr">
        <is>
          <t>0,000000000000</t>
        </is>
      </c>
    </row>
    <row outlineLevel="0" r="1195">
      <c r="A1195" s="4108" t="inlineStr">
        <is>
          <t>135792468202207262001</t>
        </is>
      </c>
      <c r="B1195" s="4108" t="inlineStr">
        <is>
          <t>262001</t>
        </is>
      </c>
      <c r="C1195" s="4108" t="inlineStr">
        <is>
          <t>135792468</t>
        </is>
      </c>
      <c r="D1195" s="4108" t="inlineStr">
        <is>
          <t>202207</t>
        </is>
      </c>
      <c r="E1195" s="4108" t="inlineStr">
        <is>
          <t>12,000000000000</t>
        </is>
      </c>
    </row>
    <row outlineLevel="0" r="1196">
      <c r="A1196" s="4108" t="inlineStr">
        <is>
          <t>135792468202207262000</t>
        </is>
      </c>
      <c r="B1196" s="4108" t="inlineStr">
        <is>
          <t>262000</t>
        </is>
      </c>
      <c r="C1196" s="4108" t="inlineStr">
        <is>
          <t>135792468</t>
        </is>
      </c>
      <c r="D1196" s="4108" t="inlineStr">
        <is>
          <t>202207</t>
        </is>
      </c>
      <c r="E1196" s="4108" t="inlineStr">
        <is>
          <t>0,000000000000</t>
        </is>
      </c>
    </row>
    <row outlineLevel="0" r="1197">
      <c r="A1197" s="4108" t="inlineStr">
        <is>
          <t>135792468202207261500</t>
        </is>
      </c>
      <c r="B1197" s="4108" t="inlineStr">
        <is>
          <t>261500</t>
        </is>
      </c>
      <c r="C1197" s="4108" t="inlineStr">
        <is>
          <t>135792468</t>
        </is>
      </c>
      <c r="D1197" s="4108" t="inlineStr">
        <is>
          <t>202207</t>
        </is>
      </c>
      <c r="E1197" s="4108" t="inlineStr">
        <is>
          <t>0,000000000000</t>
        </is>
      </c>
    </row>
    <row outlineLevel="0" r="1198">
      <c r="A1198" s="4108" t="inlineStr">
        <is>
          <t>135792468202207261501</t>
        </is>
      </c>
      <c r="B1198" s="4108" t="inlineStr">
        <is>
          <t>261501</t>
        </is>
      </c>
      <c r="C1198" s="4108" t="inlineStr">
        <is>
          <t>135792468</t>
        </is>
      </c>
      <c r="D1198" s="4108" t="inlineStr">
        <is>
          <t>202207</t>
        </is>
      </c>
      <c r="E1198" s="4108" t="inlineStr">
        <is>
          <t>0,000000000000</t>
        </is>
      </c>
    </row>
    <row outlineLevel="0" r="1199">
      <c r="A1199" s="4108" t="inlineStr">
        <is>
          <t>135792468202207261001</t>
        </is>
      </c>
      <c r="B1199" s="4108" t="inlineStr">
        <is>
          <t>261001</t>
        </is>
      </c>
      <c r="C1199" s="4108" t="inlineStr">
        <is>
          <t>135792468</t>
        </is>
      </c>
      <c r="D1199" s="4108" t="inlineStr">
        <is>
          <t>202207</t>
        </is>
      </c>
      <c r="E1199" s="4108" t="inlineStr">
        <is>
          <t>0,000000000000</t>
        </is>
      </c>
    </row>
    <row outlineLevel="0" r="1200">
      <c r="A1200" s="4108" t="inlineStr">
        <is>
          <t>135792468202207261000</t>
        </is>
      </c>
      <c r="B1200" s="4108" t="inlineStr">
        <is>
          <t>261000</t>
        </is>
      </c>
      <c r="C1200" s="4108" t="inlineStr">
        <is>
          <t>135792468</t>
        </is>
      </c>
      <c r="D1200" s="4108" t="inlineStr">
        <is>
          <t>202207</t>
        </is>
      </c>
      <c r="E1200" s="4108" t="inlineStr">
        <is>
          <t>0,000000000000</t>
        </is>
      </c>
    </row>
    <row outlineLevel="0" r="1201">
      <c r="A1201" s="4108" t="inlineStr">
        <is>
          <t>135792468202207260501</t>
        </is>
      </c>
      <c r="B1201" s="4108" t="inlineStr">
        <is>
          <t>260501</t>
        </is>
      </c>
      <c r="C1201" s="4108" t="inlineStr">
        <is>
          <t>135792468</t>
        </is>
      </c>
      <c r="D1201" s="4108" t="inlineStr">
        <is>
          <t>202207</t>
        </is>
      </c>
      <c r="E1201" s="4108" t="inlineStr">
        <is>
          <t>0,000000000000</t>
        </is>
      </c>
    </row>
    <row outlineLevel="0" r="1202">
      <c r="A1202" s="4108" t="inlineStr">
        <is>
          <t>135792468202207260500</t>
        </is>
      </c>
      <c r="B1202" s="4108" t="inlineStr">
        <is>
          <t>260500</t>
        </is>
      </c>
      <c r="C1202" s="4108" t="inlineStr">
        <is>
          <t>135792468</t>
        </is>
      </c>
      <c r="D1202" s="4108" t="inlineStr">
        <is>
          <t>202207</t>
        </is>
      </c>
      <c r="E1202" s="4108" t="inlineStr">
        <is>
          <t>0,000000000000</t>
        </is>
      </c>
    </row>
    <row outlineLevel="0" r="1203">
      <c r="A1203" s="4108" t="inlineStr">
        <is>
          <t>135792468202207259501</t>
        </is>
      </c>
      <c r="B1203" s="4108" t="inlineStr">
        <is>
          <t>259501</t>
        </is>
      </c>
      <c r="C1203" s="4108" t="inlineStr">
        <is>
          <t>135792468</t>
        </is>
      </c>
      <c r="D1203" s="4108" t="inlineStr">
        <is>
          <t>202207</t>
        </is>
      </c>
      <c r="E1203" s="4108" t="inlineStr">
        <is>
          <t>0,000000000000</t>
        </is>
      </c>
    </row>
    <row outlineLevel="0" r="1204">
      <c r="A1204" s="4108" t="inlineStr">
        <is>
          <t>135792468202207259500</t>
        </is>
      </c>
      <c r="B1204" s="4108" t="inlineStr">
        <is>
          <t>259500</t>
        </is>
      </c>
      <c r="C1204" s="4108" t="inlineStr">
        <is>
          <t>135792468</t>
        </is>
      </c>
      <c r="D1204" s="4108" t="inlineStr">
        <is>
          <t>202207</t>
        </is>
      </c>
      <c r="E1204" s="4108" t="inlineStr">
        <is>
          <t>0,000000000000</t>
        </is>
      </c>
    </row>
    <row outlineLevel="0" r="1205">
      <c r="A1205" s="4108" t="inlineStr">
        <is>
          <t>135792468202207253000</t>
        </is>
      </c>
      <c r="B1205" s="4108" t="inlineStr">
        <is>
          <t>253000</t>
        </is>
      </c>
      <c r="C1205" s="4108" t="inlineStr">
        <is>
          <t>135792468</t>
        </is>
      </c>
      <c r="D1205" s="4108" t="inlineStr">
        <is>
          <t>202207</t>
        </is>
      </c>
      <c r="E1205" s="4108" t="inlineStr">
        <is>
          <t>0,000000000000</t>
        </is>
      </c>
    </row>
    <row outlineLevel="0" r="1206">
      <c r="A1206" s="4108" t="inlineStr">
        <is>
          <t>135792468202207253001</t>
        </is>
      </c>
      <c r="B1206" s="4108" t="inlineStr">
        <is>
          <t>253001</t>
        </is>
      </c>
      <c r="C1206" s="4108" t="inlineStr">
        <is>
          <t>135792468</t>
        </is>
      </c>
      <c r="D1206" s="4108" t="inlineStr">
        <is>
          <t>202207</t>
        </is>
      </c>
      <c r="E1206" s="4108" t="inlineStr">
        <is>
          <t>0,000000000000</t>
        </is>
      </c>
    </row>
    <row outlineLevel="0" r="1207">
      <c r="A1207" s="4108" t="inlineStr">
        <is>
          <t>135792468202207252501</t>
        </is>
      </c>
      <c r="B1207" s="4108" t="inlineStr">
        <is>
          <t>252501</t>
        </is>
      </c>
      <c r="C1207" s="4108" t="inlineStr">
        <is>
          <t>135792468</t>
        </is>
      </c>
      <c r="D1207" s="4108" t="inlineStr">
        <is>
          <t>202207</t>
        </is>
      </c>
      <c r="E1207" s="4108" t="inlineStr">
        <is>
          <t>0,000000000000</t>
        </is>
      </c>
    </row>
    <row outlineLevel="0" r="1208">
      <c r="A1208" s="4108" t="inlineStr">
        <is>
          <t>135792468202207252500</t>
        </is>
      </c>
      <c r="B1208" s="4108" t="inlineStr">
        <is>
          <t>252500</t>
        </is>
      </c>
      <c r="C1208" s="4108" t="inlineStr">
        <is>
          <t>135792468</t>
        </is>
      </c>
      <c r="D1208" s="4108" t="inlineStr">
        <is>
          <t>202207</t>
        </is>
      </c>
      <c r="E1208" s="4108" t="inlineStr">
        <is>
          <t>0,000000000000</t>
        </is>
      </c>
    </row>
    <row outlineLevel="0" r="1209">
      <c r="A1209" s="4108" t="inlineStr">
        <is>
          <t>135792468202207251501</t>
        </is>
      </c>
      <c r="B1209" s="4108" t="inlineStr">
        <is>
          <t>251501</t>
        </is>
      </c>
      <c r="C1209" s="4108" t="inlineStr">
        <is>
          <t>135792468</t>
        </is>
      </c>
      <c r="D1209" s="4108" t="inlineStr">
        <is>
          <t>202207</t>
        </is>
      </c>
      <c r="E1209" s="4108" t="inlineStr">
        <is>
          <t>0,000000000000</t>
        </is>
      </c>
    </row>
    <row outlineLevel="0" r="1210">
      <c r="A1210" s="4108" t="inlineStr">
        <is>
          <t>135792468202207251500</t>
        </is>
      </c>
      <c r="B1210" s="4108" t="inlineStr">
        <is>
          <t>251500</t>
        </is>
      </c>
      <c r="C1210" s="4108" t="inlineStr">
        <is>
          <t>135792468</t>
        </is>
      </c>
      <c r="D1210" s="4108" t="inlineStr">
        <is>
          <t>202207</t>
        </is>
      </c>
      <c r="E1210" s="4108" t="inlineStr">
        <is>
          <t>0,000000000000</t>
        </is>
      </c>
    </row>
    <row outlineLevel="0" r="1211">
      <c r="A1211" s="4108" t="inlineStr">
        <is>
          <t>135792468202207251001</t>
        </is>
      </c>
      <c r="B1211" s="4108" t="inlineStr">
        <is>
          <t>251001</t>
        </is>
      </c>
      <c r="C1211" s="4108" t="inlineStr">
        <is>
          <t>135792468</t>
        </is>
      </c>
      <c r="D1211" s="4108" t="inlineStr">
        <is>
          <t>202207</t>
        </is>
      </c>
      <c r="E1211" s="4108" t="inlineStr">
        <is>
          <t>0,000000000000</t>
        </is>
      </c>
    </row>
    <row outlineLevel="0" r="1212">
      <c r="A1212" s="4108" t="inlineStr">
        <is>
          <t>135792468202207251000</t>
        </is>
      </c>
      <c r="B1212" s="4108" t="inlineStr">
        <is>
          <t>251000</t>
        </is>
      </c>
      <c r="C1212" s="4108" t="inlineStr">
        <is>
          <t>135792468</t>
        </is>
      </c>
      <c r="D1212" s="4108" t="inlineStr">
        <is>
          <t>202207</t>
        </is>
      </c>
      <c r="E1212" s="4108" t="inlineStr">
        <is>
          <t>0,000000000000</t>
        </is>
      </c>
    </row>
    <row outlineLevel="0" r="1213">
      <c r="A1213" s="4108" t="inlineStr">
        <is>
          <t>135792468202207250500</t>
        </is>
      </c>
      <c r="B1213" s="4108" t="inlineStr">
        <is>
          <t>250500</t>
        </is>
      </c>
      <c r="C1213" s="4108" t="inlineStr">
        <is>
          <t>135792468</t>
        </is>
      </c>
      <c r="D1213" s="4108" t="inlineStr">
        <is>
          <t>202207</t>
        </is>
      </c>
      <c r="E1213" s="4108" t="inlineStr">
        <is>
          <t>0,000000000000</t>
        </is>
      </c>
    </row>
    <row outlineLevel="0" r="1214">
      <c r="A1214" s="4108" t="inlineStr">
        <is>
          <t>135792468202207250501</t>
        </is>
      </c>
      <c r="B1214" s="4108" t="inlineStr">
        <is>
          <t>250501</t>
        </is>
      </c>
      <c r="C1214" s="4108" t="inlineStr">
        <is>
          <t>135792468</t>
        </is>
      </c>
      <c r="D1214" s="4108" t="inlineStr">
        <is>
          <t>202207</t>
        </is>
      </c>
      <c r="E1214" s="4108" t="inlineStr">
        <is>
          <t>0,000000000000</t>
        </is>
      </c>
    </row>
    <row outlineLevel="0" r="1215">
      <c r="A1215" s="4108" t="inlineStr">
        <is>
          <t>135792468202207249501</t>
        </is>
      </c>
      <c r="B1215" s="4108" t="inlineStr">
        <is>
          <t>249501</t>
        </is>
      </c>
      <c r="C1215" s="4108" t="inlineStr">
        <is>
          <t>135792468</t>
        </is>
      </c>
      <c r="D1215" s="4108" t="inlineStr">
        <is>
          <t>202207</t>
        </is>
      </c>
      <c r="E1215" s="4108" t="inlineStr">
        <is>
          <t>0,000000000000</t>
        </is>
      </c>
    </row>
    <row outlineLevel="0" r="1216">
      <c r="A1216" s="4108" t="inlineStr">
        <is>
          <t>135792468202207249500</t>
        </is>
      </c>
      <c r="B1216" s="4108" t="inlineStr">
        <is>
          <t>249500</t>
        </is>
      </c>
      <c r="C1216" s="4108" t="inlineStr">
        <is>
          <t>135792468</t>
        </is>
      </c>
      <c r="D1216" s="4108" t="inlineStr">
        <is>
          <t>202207</t>
        </is>
      </c>
      <c r="E1216" s="4108" t="inlineStr">
        <is>
          <t>0,000000000000</t>
        </is>
      </c>
    </row>
    <row outlineLevel="0" r="1217">
      <c r="A1217" s="4108" t="inlineStr">
        <is>
          <t>135792468202207241201</t>
        </is>
      </c>
      <c r="B1217" s="4108" t="inlineStr">
        <is>
          <t>241201</t>
        </is>
      </c>
      <c r="C1217" s="4108" t="inlineStr">
        <is>
          <t>135792468</t>
        </is>
      </c>
      <c r="D1217" s="4108" t="inlineStr">
        <is>
          <t>202207</t>
        </is>
      </c>
      <c r="E1217" s="4108" t="inlineStr">
        <is>
          <t>0,000000000000</t>
        </is>
      </c>
    </row>
    <row outlineLevel="0" r="1218">
      <c r="A1218" s="4108" t="inlineStr">
        <is>
          <t>135792468202207241200</t>
        </is>
      </c>
      <c r="B1218" s="4108" t="inlineStr">
        <is>
          <t>241200</t>
        </is>
      </c>
      <c r="C1218" s="4108" t="inlineStr">
        <is>
          <t>135792468</t>
        </is>
      </c>
      <c r="D1218" s="4108" t="inlineStr">
        <is>
          <t>202207</t>
        </is>
      </c>
      <c r="E1218" s="4108" t="inlineStr">
        <is>
          <t>0,000000000000</t>
        </is>
      </c>
    </row>
    <row outlineLevel="0" r="1219">
      <c r="A1219" s="4108" t="inlineStr">
        <is>
          <t>135792468202207240801</t>
        </is>
      </c>
      <c r="B1219" s="4108" t="inlineStr">
        <is>
          <t>240801</t>
        </is>
      </c>
      <c r="C1219" s="4108" t="inlineStr">
        <is>
          <t>135792468</t>
        </is>
      </c>
      <c r="D1219" s="4108" t="inlineStr">
        <is>
          <t>202207</t>
        </is>
      </c>
      <c r="E1219" s="4108" t="inlineStr">
        <is>
          <t>0,000000000000</t>
        </is>
      </c>
    </row>
    <row outlineLevel="0" r="1220">
      <c r="A1220" s="4108" t="inlineStr">
        <is>
          <t>135792468202207240800</t>
        </is>
      </c>
      <c r="B1220" s="4108" t="inlineStr">
        <is>
          <t>240800</t>
        </is>
      </c>
      <c r="C1220" s="4108" t="inlineStr">
        <is>
          <t>135792468</t>
        </is>
      </c>
      <c r="D1220" s="4108" t="inlineStr">
        <is>
          <t>202207</t>
        </is>
      </c>
      <c r="E1220" s="4108" t="inlineStr">
        <is>
          <t>0,000000000000</t>
        </is>
      </c>
    </row>
    <row outlineLevel="0" r="1221">
      <c r="A1221" s="4108" t="inlineStr">
        <is>
          <t>135792468202207240400</t>
        </is>
      </c>
      <c r="B1221" s="4108" t="inlineStr">
        <is>
          <t>240400</t>
        </is>
      </c>
      <c r="C1221" s="4108" t="inlineStr">
        <is>
          <t>135792468</t>
        </is>
      </c>
      <c r="D1221" s="4108" t="inlineStr">
        <is>
          <t>202207</t>
        </is>
      </c>
      <c r="E1221" s="4108" t="inlineStr">
        <is>
          <t>65,000000000000</t>
        </is>
      </c>
    </row>
    <row outlineLevel="0" r="1222">
      <c r="A1222" s="4108" t="inlineStr">
        <is>
          <t>135792468202207240401</t>
        </is>
      </c>
      <c r="B1222" s="4108" t="inlineStr">
        <is>
          <t>240401</t>
        </is>
      </c>
      <c r="C1222" s="4108" t="inlineStr">
        <is>
          <t>135792468</t>
        </is>
      </c>
      <c r="D1222" s="4108" t="inlineStr">
        <is>
          <t>202207</t>
        </is>
      </c>
      <c r="E1222" s="4108" t="inlineStr">
        <is>
          <t>0,000000000000</t>
        </is>
      </c>
    </row>
    <row outlineLevel="0" r="1223">
      <c r="A1223" s="4108" t="inlineStr">
        <is>
          <t>135792468202207240001</t>
        </is>
      </c>
      <c r="B1223" s="4108" t="inlineStr">
        <is>
          <t>240001</t>
        </is>
      </c>
      <c r="C1223" s="4108" t="inlineStr">
        <is>
          <t>135792468</t>
        </is>
      </c>
      <c r="D1223" s="4108" t="inlineStr">
        <is>
          <t>202207</t>
        </is>
      </c>
      <c r="E1223" s="4108" t="inlineStr">
        <is>
          <t>0,000000000000</t>
        </is>
      </c>
    </row>
    <row outlineLevel="0" r="1224">
      <c r="A1224" s="4108" t="inlineStr">
        <is>
          <t>135792468202207238001</t>
        </is>
      </c>
      <c r="B1224" s="4108" t="inlineStr">
        <is>
          <t>238001</t>
        </is>
      </c>
      <c r="C1224" s="4108" t="inlineStr">
        <is>
          <t>135792468</t>
        </is>
      </c>
      <c r="D1224" s="4108" t="inlineStr">
        <is>
          <t>202207</t>
        </is>
      </c>
      <c r="E1224" s="4108" t="inlineStr">
        <is>
          <t>0,000000000000</t>
        </is>
      </c>
    </row>
    <row outlineLevel="0" r="1225">
      <c r="A1225" s="4108" t="inlineStr">
        <is>
          <t>135792468202207238000</t>
        </is>
      </c>
      <c r="B1225" s="4108" t="inlineStr">
        <is>
          <t>238000</t>
        </is>
      </c>
      <c r="C1225" s="4108" t="inlineStr">
        <is>
          <t>135792468</t>
        </is>
      </c>
      <c r="D1225" s="4108" t="inlineStr">
        <is>
          <t>202207</t>
        </is>
      </c>
      <c r="E1225" s="4108" t="inlineStr">
        <is>
          <t>0,000000000000</t>
        </is>
      </c>
    </row>
    <row outlineLevel="0" r="1226">
      <c r="A1226" s="4108" t="inlineStr">
        <is>
          <t>135792468202207237001</t>
        </is>
      </c>
      <c r="B1226" s="4108" t="inlineStr">
        <is>
          <t>237001</t>
        </is>
      </c>
      <c r="C1226" s="4108" t="inlineStr">
        <is>
          <t>135792468</t>
        </is>
      </c>
      <c r="D1226" s="4108" t="inlineStr">
        <is>
          <t>202207</t>
        </is>
      </c>
      <c r="E1226" s="4108" t="inlineStr">
        <is>
          <t>0,000000000000</t>
        </is>
      </c>
    </row>
    <row outlineLevel="0" r="1227">
      <c r="A1227" s="4108" t="inlineStr">
        <is>
          <t>135792468202207237000</t>
        </is>
      </c>
      <c r="B1227" s="4108" t="inlineStr">
        <is>
          <t>237000</t>
        </is>
      </c>
      <c r="C1227" s="4108" t="inlineStr">
        <is>
          <t>135792468</t>
        </is>
      </c>
      <c r="D1227" s="4108" t="inlineStr">
        <is>
          <t>202207</t>
        </is>
      </c>
      <c r="E1227" s="4108" t="inlineStr">
        <is>
          <t>0,000000000000</t>
        </is>
      </c>
    </row>
    <row outlineLevel="0" r="1228">
      <c r="A1228" s="4108" t="inlineStr">
        <is>
          <t>135792468202207236800</t>
        </is>
      </c>
      <c r="B1228" s="4108" t="inlineStr">
        <is>
          <t>236800</t>
        </is>
      </c>
      <c r="C1228" s="4108" t="inlineStr">
        <is>
          <t>135792468</t>
        </is>
      </c>
      <c r="D1228" s="4108" t="inlineStr">
        <is>
          <t>202207</t>
        </is>
      </c>
      <c r="E1228" s="4108" t="inlineStr">
        <is>
          <t>2099,000000000000</t>
        </is>
      </c>
    </row>
    <row outlineLevel="0" r="1229">
      <c r="A1229" s="4108" t="inlineStr">
        <is>
          <t>135792468202207236700</t>
        </is>
      </c>
      <c r="B1229" s="4108" t="inlineStr">
        <is>
          <t>236700</t>
        </is>
      </c>
      <c r="C1229" s="4108" t="inlineStr">
        <is>
          <t>135792468</t>
        </is>
      </c>
      <c r="D1229" s="4108" t="inlineStr">
        <is>
          <t>202207</t>
        </is>
      </c>
      <c r="E1229" s="4108" t="inlineStr">
        <is>
          <t>0,000000000000</t>
        </is>
      </c>
    </row>
    <row outlineLevel="0" r="1230">
      <c r="A1230" s="4108" t="inlineStr">
        <is>
          <t>135792468202207236701</t>
        </is>
      </c>
      <c r="B1230" s="4108" t="inlineStr">
        <is>
          <t>236701</t>
        </is>
      </c>
      <c r="C1230" s="4108" t="inlineStr">
        <is>
          <t>135792468</t>
        </is>
      </c>
      <c r="D1230" s="4108" t="inlineStr">
        <is>
          <t>202207</t>
        </is>
      </c>
      <c r="E1230" s="4108" t="inlineStr">
        <is>
          <t>0,000000000000</t>
        </is>
      </c>
    </row>
    <row outlineLevel="0" r="1231">
      <c r="A1231" s="4108" t="inlineStr">
        <is>
          <t>135792468202207236501</t>
        </is>
      </c>
      <c r="B1231" s="4108" t="inlineStr">
        <is>
          <t>236501</t>
        </is>
      </c>
      <c r="C1231" s="4108" t="inlineStr">
        <is>
          <t>135792468</t>
        </is>
      </c>
      <c r="D1231" s="4108" t="inlineStr">
        <is>
          <t>202207</t>
        </is>
      </c>
      <c r="E1231" s="4108" t="inlineStr">
        <is>
          <t>0,000000000000</t>
        </is>
      </c>
    </row>
    <row outlineLevel="0" r="1232">
      <c r="A1232" s="4108" t="inlineStr">
        <is>
          <t>135792468202207236500</t>
        </is>
      </c>
      <c r="B1232" s="4108" t="inlineStr">
        <is>
          <t>236500</t>
        </is>
      </c>
      <c r="C1232" s="4108" t="inlineStr">
        <is>
          <t>135792468</t>
        </is>
      </c>
      <c r="D1232" s="4108" t="inlineStr">
        <is>
          <t>202207</t>
        </is>
      </c>
      <c r="E1232" s="4108" t="inlineStr">
        <is>
          <t>0,000000000000</t>
        </is>
      </c>
    </row>
    <row outlineLevel="0" r="1233">
      <c r="A1233" s="4108" t="inlineStr">
        <is>
          <t>135792468202207236001</t>
        </is>
      </c>
      <c r="B1233" s="4108" t="inlineStr">
        <is>
          <t>236001</t>
        </is>
      </c>
      <c r="C1233" s="4108" t="inlineStr">
        <is>
          <t>135792468</t>
        </is>
      </c>
      <c r="D1233" s="4108" t="inlineStr">
        <is>
          <t>202207</t>
        </is>
      </c>
      <c r="E1233" s="4108" t="inlineStr">
        <is>
          <t>0,000000000000</t>
        </is>
      </c>
    </row>
    <row outlineLevel="0" r="1234">
      <c r="A1234" s="4108" t="inlineStr">
        <is>
          <t>135792468202207236000</t>
        </is>
      </c>
      <c r="B1234" s="4108" t="inlineStr">
        <is>
          <t>236000</t>
        </is>
      </c>
      <c r="C1234" s="4108" t="inlineStr">
        <is>
          <t>135792468</t>
        </is>
      </c>
      <c r="D1234" s="4108" t="inlineStr">
        <is>
          <t>202207</t>
        </is>
      </c>
      <c r="E1234" s="4108" t="inlineStr">
        <is>
          <t>0,000000000000</t>
        </is>
      </c>
    </row>
    <row outlineLevel="0" r="1235">
      <c r="A1235" s="4108" t="inlineStr">
        <is>
          <t>135792468202207235501</t>
        </is>
      </c>
      <c r="B1235" s="4108" t="inlineStr">
        <is>
          <t>235501</t>
        </is>
      </c>
      <c r="C1235" s="4108" t="inlineStr">
        <is>
          <t>135792468</t>
        </is>
      </c>
      <c r="D1235" s="4108" t="inlineStr">
        <is>
          <t>202207</t>
        </is>
      </c>
      <c r="E1235" s="4108" t="inlineStr">
        <is>
          <t>0,000000000000</t>
        </is>
      </c>
    </row>
    <row outlineLevel="0" r="1236">
      <c r="A1236" s="4108" t="inlineStr">
        <is>
          <t>135792468202207235500</t>
        </is>
      </c>
      <c r="B1236" s="4108" t="inlineStr">
        <is>
          <t>235500</t>
        </is>
      </c>
      <c r="C1236" s="4108" t="inlineStr">
        <is>
          <t>135792468</t>
        </is>
      </c>
      <c r="D1236" s="4108" t="inlineStr">
        <is>
          <t>202207</t>
        </is>
      </c>
      <c r="E1236" s="4108" t="inlineStr">
        <is>
          <t>0,000000000000</t>
        </is>
      </c>
    </row>
    <row outlineLevel="0" r="1237">
      <c r="A1237" s="4108" t="inlineStr">
        <is>
          <t>135792468202207235000</t>
        </is>
      </c>
      <c r="B1237" s="4108" t="inlineStr">
        <is>
          <t>235000</t>
        </is>
      </c>
      <c r="C1237" s="4108" t="inlineStr">
        <is>
          <t>135792468</t>
        </is>
      </c>
      <c r="D1237" s="4108" t="inlineStr">
        <is>
          <t>202207</t>
        </is>
      </c>
      <c r="E1237" s="4108" t="inlineStr">
        <is>
          <t>901,000000000000</t>
        </is>
      </c>
    </row>
    <row outlineLevel="0" r="1238">
      <c r="A1238" s="4108" t="inlineStr">
        <is>
          <t>135792468202207235001</t>
        </is>
      </c>
      <c r="B1238" s="4108" t="inlineStr">
        <is>
          <t>235001</t>
        </is>
      </c>
      <c r="C1238" s="4108" t="inlineStr">
        <is>
          <t>135792468</t>
        </is>
      </c>
      <c r="D1238" s="4108" t="inlineStr">
        <is>
          <t>202207</t>
        </is>
      </c>
      <c r="E1238" s="4108" t="inlineStr">
        <is>
          <t>0,000000000000</t>
        </is>
      </c>
    </row>
    <row outlineLevel="0" r="1239">
      <c r="A1239" s="4108" t="inlineStr">
        <is>
          <t>135792468202207234501</t>
        </is>
      </c>
      <c r="B1239" s="4108" t="inlineStr">
        <is>
          <t>234501</t>
        </is>
      </c>
      <c r="C1239" s="4108" t="inlineStr">
        <is>
          <t>135792468</t>
        </is>
      </c>
      <c r="D1239" s="4108" t="inlineStr">
        <is>
          <t>202207</t>
        </is>
      </c>
      <c r="E1239" s="4108" t="inlineStr">
        <is>
          <t>0,000000000000</t>
        </is>
      </c>
    </row>
    <row outlineLevel="0" r="1240">
      <c r="A1240" s="4108" t="inlineStr">
        <is>
          <t>135792468202207234500</t>
        </is>
      </c>
      <c r="B1240" s="4108" t="inlineStr">
        <is>
          <t>234500</t>
        </is>
      </c>
      <c r="C1240" s="4108" t="inlineStr">
        <is>
          <t>135792468</t>
        </is>
      </c>
      <c r="D1240" s="4108" t="inlineStr">
        <is>
          <t>202207</t>
        </is>
      </c>
      <c r="E1240" s="4108" t="inlineStr">
        <is>
          <t>0,000000000000</t>
        </is>
      </c>
    </row>
    <row outlineLevel="0" r="1241">
      <c r="A1241" s="4108" t="inlineStr">
        <is>
          <t>135792468202207233501</t>
        </is>
      </c>
      <c r="B1241" s="4108" t="inlineStr">
        <is>
          <t>233501</t>
        </is>
      </c>
      <c r="C1241" s="4108" t="inlineStr">
        <is>
          <t>135792468</t>
        </is>
      </c>
      <c r="D1241" s="4108" t="inlineStr">
        <is>
          <t>202207</t>
        </is>
      </c>
      <c r="E1241" s="4108" t="inlineStr">
        <is>
          <t>0,000000000000</t>
        </is>
      </c>
    </row>
    <row outlineLevel="0" r="1242">
      <c r="A1242" s="4108" t="inlineStr">
        <is>
          <t>135792468202207233500</t>
        </is>
      </c>
      <c r="B1242" s="4108" t="inlineStr">
        <is>
          <t>233500</t>
        </is>
      </c>
      <c r="C1242" s="4108" t="inlineStr">
        <is>
          <t>135792468</t>
        </is>
      </c>
      <c r="D1242" s="4108" t="inlineStr">
        <is>
          <t>202207</t>
        </is>
      </c>
      <c r="E1242" s="4108" t="inlineStr">
        <is>
          <t>0,000000000000</t>
        </is>
      </c>
    </row>
    <row outlineLevel="0" r="1243">
      <c r="A1243" s="4108" t="inlineStr">
        <is>
          <t>135792468202207232001</t>
        </is>
      </c>
      <c r="B1243" s="4108" t="inlineStr">
        <is>
          <t>232001</t>
        </is>
      </c>
      <c r="C1243" s="4108" t="inlineStr">
        <is>
          <t>135792468</t>
        </is>
      </c>
      <c r="D1243" s="4108" t="inlineStr">
        <is>
          <t>202207</t>
        </is>
      </c>
      <c r="E1243" s="4108" t="inlineStr">
        <is>
          <t>0,000000000000</t>
        </is>
      </c>
    </row>
    <row outlineLevel="0" r="1244">
      <c r="A1244" s="4108" t="inlineStr">
        <is>
          <t>135792468202207232000</t>
        </is>
      </c>
      <c r="B1244" s="4108" t="inlineStr">
        <is>
          <t>232000</t>
        </is>
      </c>
      <c r="C1244" s="4108" t="inlineStr">
        <is>
          <t>135792468</t>
        </is>
      </c>
      <c r="D1244" s="4108" t="inlineStr">
        <is>
          <t>202207</t>
        </is>
      </c>
      <c r="E1244" s="4108" t="inlineStr">
        <is>
          <t>0,000000000000</t>
        </is>
      </c>
    </row>
    <row outlineLevel="0" r="1245">
      <c r="A1245" s="4108" t="inlineStr">
        <is>
          <t>135792468202207231500</t>
        </is>
      </c>
      <c r="B1245" s="4108" t="inlineStr">
        <is>
          <t>231500</t>
        </is>
      </c>
      <c r="C1245" s="4108" t="inlineStr">
        <is>
          <t>135792468</t>
        </is>
      </c>
      <c r="D1245" s="4108" t="inlineStr">
        <is>
          <t>202207</t>
        </is>
      </c>
      <c r="E1245" s="4108" t="inlineStr">
        <is>
          <t>0,000000000000</t>
        </is>
      </c>
    </row>
    <row outlineLevel="0" r="1246">
      <c r="A1246" s="4108" t="inlineStr">
        <is>
          <t>135792468202207231501</t>
        </is>
      </c>
      <c r="B1246" s="4108" t="inlineStr">
        <is>
          <t>231501</t>
        </is>
      </c>
      <c r="C1246" s="4108" t="inlineStr">
        <is>
          <t>135792468</t>
        </is>
      </c>
      <c r="D1246" s="4108" t="inlineStr">
        <is>
          <t>202207</t>
        </is>
      </c>
      <c r="E1246" s="4108" t="inlineStr">
        <is>
          <t>0,000000000000</t>
        </is>
      </c>
    </row>
    <row outlineLevel="0" r="1247">
      <c r="A1247" s="4108" t="inlineStr">
        <is>
          <t>135792468202207231001</t>
        </is>
      </c>
      <c r="B1247" s="4108" t="inlineStr">
        <is>
          <t>231001</t>
        </is>
      </c>
      <c r="C1247" s="4108" t="inlineStr">
        <is>
          <t>135792468</t>
        </is>
      </c>
      <c r="D1247" s="4108" t="inlineStr">
        <is>
          <t>202207</t>
        </is>
      </c>
      <c r="E1247" s="4108" t="inlineStr">
        <is>
          <t>0,000000000000</t>
        </is>
      </c>
    </row>
    <row outlineLevel="0" r="1248">
      <c r="A1248" s="4108" t="inlineStr">
        <is>
          <t>135792468202207231000</t>
        </is>
      </c>
      <c r="B1248" s="4108" t="inlineStr">
        <is>
          <t>231000</t>
        </is>
      </c>
      <c r="C1248" s="4108" t="inlineStr">
        <is>
          <t>135792468</t>
        </is>
      </c>
      <c r="D1248" s="4108" t="inlineStr">
        <is>
          <t>202207</t>
        </is>
      </c>
      <c r="E1248" s="4108" t="inlineStr">
        <is>
          <t>0,000000000000</t>
        </is>
      </c>
    </row>
    <row outlineLevel="0" r="1249">
      <c r="A1249" s="4108" t="inlineStr">
        <is>
          <t>135792468202207230501</t>
        </is>
      </c>
      <c r="B1249" s="4108" t="inlineStr">
        <is>
          <t>230501</t>
        </is>
      </c>
      <c r="C1249" s="4108" t="inlineStr">
        <is>
          <t>135792468</t>
        </is>
      </c>
      <c r="D1249" s="4108" t="inlineStr">
        <is>
          <t>202207</t>
        </is>
      </c>
      <c r="E1249" s="4108" t="inlineStr">
        <is>
          <t>0,000000000000</t>
        </is>
      </c>
    </row>
    <row outlineLevel="0" r="1250">
      <c r="A1250" s="4108" t="inlineStr">
        <is>
          <t>135792468202207230500</t>
        </is>
      </c>
      <c r="B1250" s="4108" t="inlineStr">
        <is>
          <t>230500</t>
        </is>
      </c>
      <c r="C1250" s="4108" t="inlineStr">
        <is>
          <t>135792468</t>
        </is>
      </c>
      <c r="D1250" s="4108" t="inlineStr">
        <is>
          <t>202207</t>
        </is>
      </c>
      <c r="E1250" s="4108" t="inlineStr">
        <is>
          <t>1544,000000000000</t>
        </is>
      </c>
    </row>
    <row outlineLevel="0" r="1251">
      <c r="A1251" s="4108" t="inlineStr">
        <is>
          <t>135792468202207221500</t>
        </is>
      </c>
      <c r="B1251" s="4108" t="inlineStr">
        <is>
          <t>221500</t>
        </is>
      </c>
      <c r="C1251" s="4108" t="inlineStr">
        <is>
          <t>135792468</t>
        </is>
      </c>
      <c r="D1251" s="4108" t="inlineStr">
        <is>
          <t>202207</t>
        </is>
      </c>
      <c r="E1251" s="4108" t="inlineStr">
        <is>
          <t>0,000000000000</t>
        </is>
      </c>
    </row>
    <row outlineLevel="0" r="1252">
      <c r="A1252" s="4108" t="inlineStr">
        <is>
          <t>135792468202207221001</t>
        </is>
      </c>
      <c r="B1252" s="4108" t="inlineStr">
        <is>
          <t>221001</t>
        </is>
      </c>
      <c r="C1252" s="4108" t="inlineStr">
        <is>
          <t>135792468</t>
        </is>
      </c>
      <c r="D1252" s="4108" t="inlineStr">
        <is>
          <t>202207</t>
        </is>
      </c>
      <c r="E1252" s="4108" t="inlineStr">
        <is>
          <t>0,000000000000</t>
        </is>
      </c>
    </row>
    <row outlineLevel="0" r="1253">
      <c r="A1253" s="4108" t="inlineStr">
        <is>
          <t>135792468202207220501</t>
        </is>
      </c>
      <c r="B1253" s="4108" t="inlineStr">
        <is>
          <t>220501</t>
        </is>
      </c>
      <c r="C1253" s="4108" t="inlineStr">
        <is>
          <t>135792468</t>
        </is>
      </c>
      <c r="D1253" s="4108" t="inlineStr">
        <is>
          <t>202207</t>
        </is>
      </c>
      <c r="E1253" s="4108" t="inlineStr">
        <is>
          <t>0,000000000000</t>
        </is>
      </c>
    </row>
    <row outlineLevel="0" r="1254">
      <c r="A1254" s="4108" t="inlineStr">
        <is>
          <t>135792468202207221000</t>
        </is>
      </c>
      <c r="B1254" s="4108" t="inlineStr">
        <is>
          <t>221000</t>
        </is>
      </c>
      <c r="C1254" s="4108" t="inlineStr">
        <is>
          <t>135792468</t>
        </is>
      </c>
      <c r="D1254" s="4108" t="inlineStr">
        <is>
          <t>202207</t>
        </is>
      </c>
      <c r="E1254" s="4108" t="inlineStr">
        <is>
          <t>0,000000000000</t>
        </is>
      </c>
    </row>
    <row outlineLevel="0" r="1255">
      <c r="A1255" s="4108" t="inlineStr">
        <is>
          <t>135792468202207220500</t>
        </is>
      </c>
      <c r="B1255" s="4108" t="inlineStr">
        <is>
          <t>220500</t>
        </is>
      </c>
      <c r="C1255" s="4108" t="inlineStr">
        <is>
          <t>135792468</t>
        </is>
      </c>
      <c r="D1255" s="4108" t="inlineStr">
        <is>
          <t>202207</t>
        </is>
      </c>
      <c r="E1255" s="4108" t="inlineStr">
        <is>
          <t>0,000000000000</t>
        </is>
      </c>
    </row>
    <row outlineLevel="0" r="1256">
      <c r="A1256" s="4108" t="inlineStr">
        <is>
          <t>135792468202207219500</t>
        </is>
      </c>
      <c r="B1256" s="4108" t="inlineStr">
        <is>
          <t>219500</t>
        </is>
      </c>
      <c r="C1256" s="4108" t="inlineStr">
        <is>
          <t>135792468</t>
        </is>
      </c>
      <c r="D1256" s="4108" t="inlineStr">
        <is>
          <t>202207</t>
        </is>
      </c>
      <c r="E1256" s="4108" t="inlineStr">
        <is>
          <t>0,000000000000</t>
        </is>
      </c>
    </row>
    <row outlineLevel="0" r="1257">
      <c r="A1257" s="4108" t="inlineStr">
        <is>
          <t>135792468202207211500</t>
        </is>
      </c>
      <c r="B1257" s="4108" t="inlineStr">
        <is>
          <t>211500</t>
        </is>
      </c>
      <c r="C1257" s="4108" t="inlineStr">
        <is>
          <t>135792468</t>
        </is>
      </c>
      <c r="D1257" s="4108" t="inlineStr">
        <is>
          <t>202207</t>
        </is>
      </c>
      <c r="E1257" s="4108" t="inlineStr">
        <is>
          <t>617,000000000000</t>
        </is>
      </c>
    </row>
    <row outlineLevel="0" r="1258">
      <c r="A1258" s="4108" t="inlineStr">
        <is>
          <t>135792468202207211001</t>
        </is>
      </c>
      <c r="B1258" s="4108" t="inlineStr">
        <is>
          <t>211001</t>
        </is>
      </c>
      <c r="C1258" s="4108" t="inlineStr">
        <is>
          <t>135792468</t>
        </is>
      </c>
      <c r="D1258" s="4108" t="inlineStr">
        <is>
          <t>202207</t>
        </is>
      </c>
      <c r="E1258" s="4108" t="inlineStr">
        <is>
          <t>0,000000000000</t>
        </is>
      </c>
    </row>
    <row outlineLevel="0" r="1259">
      <c r="A1259" s="4108" t="inlineStr">
        <is>
          <t>135792468202207210501</t>
        </is>
      </c>
      <c r="B1259" s="4108" t="inlineStr">
        <is>
          <t>210501</t>
        </is>
      </c>
      <c r="C1259" s="4108" t="inlineStr">
        <is>
          <t>135792468</t>
        </is>
      </c>
      <c r="D1259" s="4108" t="inlineStr">
        <is>
          <t>202207</t>
        </is>
      </c>
      <c r="E1259" s="4108" t="inlineStr">
        <is>
          <t>9696,000000000000</t>
        </is>
      </c>
    </row>
    <row outlineLevel="0" r="1260">
      <c r="A1260" s="4108" t="inlineStr">
        <is>
          <t>135792468202207210500</t>
        </is>
      </c>
      <c r="B1260" s="4108" t="inlineStr">
        <is>
          <t>210500</t>
        </is>
      </c>
      <c r="C1260" s="4108" t="inlineStr">
        <is>
          <t>135792468</t>
        </is>
      </c>
      <c r="D1260" s="4108" t="inlineStr">
        <is>
          <t>202207</t>
        </is>
      </c>
      <c r="E1260" s="4108" t="inlineStr">
        <is>
          <t>0,000000000000</t>
        </is>
      </c>
    </row>
    <row outlineLevel="0" r="1261">
      <c r="A1261" s="4108" t="inlineStr">
        <is>
          <t>135792468202207191001</t>
        </is>
      </c>
      <c r="B1261" s="4108" t="inlineStr">
        <is>
          <t>191001</t>
        </is>
      </c>
      <c r="C1261" s="4108" t="inlineStr">
        <is>
          <t>135792468</t>
        </is>
      </c>
      <c r="D1261" s="4108" t="inlineStr">
        <is>
          <t>202207</t>
        </is>
      </c>
      <c r="E1261" s="4108" t="inlineStr">
        <is>
          <t>0,000000000000</t>
        </is>
      </c>
    </row>
    <row outlineLevel="0" r="1262">
      <c r="A1262" s="4108" t="inlineStr">
        <is>
          <t>135792468202207199501</t>
        </is>
      </c>
      <c r="B1262" s="4108" t="inlineStr">
        <is>
          <t>199501</t>
        </is>
      </c>
      <c r="C1262" s="4108" t="inlineStr">
        <is>
          <t>135792468</t>
        </is>
      </c>
      <c r="D1262" s="4108" t="inlineStr">
        <is>
          <t>202207</t>
        </is>
      </c>
      <c r="E1262" s="4108" t="inlineStr">
        <is>
          <t>0,000000000000</t>
        </is>
      </c>
    </row>
    <row outlineLevel="0" r="1263">
      <c r="A1263" s="4108" t="inlineStr">
        <is>
          <t>135792468202207190501</t>
        </is>
      </c>
      <c r="B1263" s="4108" t="inlineStr">
        <is>
          <t>190501</t>
        </is>
      </c>
      <c r="C1263" s="4108" t="inlineStr">
        <is>
          <t>135792468</t>
        </is>
      </c>
      <c r="D1263" s="4108" t="inlineStr">
        <is>
          <t>202207</t>
        </is>
      </c>
      <c r="E1263" s="4108" t="inlineStr">
        <is>
          <t>0,000000000000</t>
        </is>
      </c>
    </row>
    <row outlineLevel="0" r="1264">
      <c r="A1264" s="4108" t="inlineStr">
        <is>
          <t>135792468202207190000</t>
        </is>
      </c>
      <c r="B1264" s="4108" t="inlineStr">
        <is>
          <t>190000</t>
        </is>
      </c>
      <c r="C1264" s="4108" t="inlineStr">
        <is>
          <t>135792468</t>
        </is>
      </c>
      <c r="D1264" s="4108" t="inlineStr">
        <is>
          <t>202207</t>
        </is>
      </c>
      <c r="E1264" s="4108" t="inlineStr">
        <is>
          <t>0,000000000000</t>
        </is>
      </c>
    </row>
    <row outlineLevel="0" r="1265">
      <c r="A1265" s="4108" t="inlineStr">
        <is>
          <t>135792468202207189901</t>
        </is>
      </c>
      <c r="B1265" s="4108" t="inlineStr">
        <is>
          <t>189901</t>
        </is>
      </c>
      <c r="C1265" s="4108" t="inlineStr">
        <is>
          <t>135792468</t>
        </is>
      </c>
      <c r="D1265" s="4108" t="inlineStr">
        <is>
          <t>202207</t>
        </is>
      </c>
      <c r="E1265" s="4108" t="inlineStr">
        <is>
          <t>96,000000000000</t>
        </is>
      </c>
    </row>
    <row outlineLevel="0" r="1266">
      <c r="A1266" s="4108" t="inlineStr">
        <is>
          <t>135792468202207189701</t>
        </is>
      </c>
      <c r="B1266" s="4108" t="inlineStr">
        <is>
          <t>189701</t>
        </is>
      </c>
      <c r="C1266" s="4108" t="inlineStr">
        <is>
          <t>135792468</t>
        </is>
      </c>
      <c r="D1266" s="4108" t="inlineStr">
        <is>
          <t>202207</t>
        </is>
      </c>
      <c r="E1266" s="4108" t="inlineStr">
        <is>
          <t>16,000000000000</t>
        </is>
      </c>
    </row>
    <row outlineLevel="0" r="1267">
      <c r="A1267" s="4108" t="inlineStr">
        <is>
          <t>135792468202207189520</t>
        </is>
      </c>
      <c r="B1267" s="4108" t="inlineStr">
        <is>
          <t>189520</t>
        </is>
      </c>
      <c r="C1267" s="4108" t="inlineStr">
        <is>
          <t>135792468</t>
        </is>
      </c>
      <c r="D1267" s="4108" t="inlineStr">
        <is>
          <t>202207</t>
        </is>
      </c>
      <c r="E1267" s="4108" t="inlineStr">
        <is>
          <t>0,000000000000</t>
        </is>
      </c>
    </row>
    <row outlineLevel="0" r="1268">
      <c r="A1268" s="4108" t="inlineStr">
        <is>
          <t>135792468202207189501</t>
        </is>
      </c>
      <c r="B1268" s="4108" t="inlineStr">
        <is>
          <t>189501</t>
        </is>
      </c>
      <c r="C1268" s="4108" t="inlineStr">
        <is>
          <t>135792468</t>
        </is>
      </c>
      <c r="D1268" s="4108" t="inlineStr">
        <is>
          <t>202207</t>
        </is>
      </c>
      <c r="E1268" s="4108" t="inlineStr">
        <is>
          <t>3750,000000000000</t>
        </is>
      </c>
    </row>
    <row outlineLevel="0" r="1269">
      <c r="A1269" s="4108" t="inlineStr">
        <is>
          <t>135792468202207181000</t>
        </is>
      </c>
      <c r="B1269" s="4108" t="inlineStr">
        <is>
          <t>181000</t>
        </is>
      </c>
      <c r="C1269" s="4108" t="inlineStr">
        <is>
          <t>135792468</t>
        </is>
      </c>
      <c r="D1269" s="4108" t="inlineStr">
        <is>
          <t>202207</t>
        </is>
      </c>
      <c r="E1269" s="4108" t="inlineStr">
        <is>
          <t>0,000000000000</t>
        </is>
      </c>
    </row>
    <row outlineLevel="0" r="1270">
      <c r="A1270" s="4108" t="inlineStr">
        <is>
          <t>135792468202207189500</t>
        </is>
      </c>
      <c r="B1270" s="4108" t="inlineStr">
        <is>
          <t>189500</t>
        </is>
      </c>
      <c r="C1270" s="4108" t="inlineStr">
        <is>
          <t>135792468</t>
        </is>
      </c>
      <c r="D1270" s="4108" t="inlineStr">
        <is>
          <t>202207</t>
        </is>
      </c>
      <c r="E1270" s="4108" t="inlineStr">
        <is>
          <t>0,000000000000</t>
        </is>
      </c>
    </row>
    <row outlineLevel="0" r="1271">
      <c r="A1271" s="4108" t="inlineStr">
        <is>
          <t>135792468202207180501</t>
        </is>
      </c>
      <c r="B1271" s="4108" t="inlineStr">
        <is>
          <t>180501</t>
        </is>
      </c>
      <c r="C1271" s="4108" t="inlineStr">
        <is>
          <t>135792468</t>
        </is>
      </c>
      <c r="D1271" s="4108" t="inlineStr">
        <is>
          <t>202207</t>
        </is>
      </c>
      <c r="E1271" s="4108" t="inlineStr">
        <is>
          <t>0,000000000000</t>
        </is>
      </c>
    </row>
    <row outlineLevel="0" r="1272">
      <c r="A1272" s="4108" t="inlineStr">
        <is>
          <t>135792468202207180000</t>
        </is>
      </c>
      <c r="B1272" s="4108" t="inlineStr">
        <is>
          <t>180000</t>
        </is>
      </c>
      <c r="C1272" s="4108" t="inlineStr">
        <is>
          <t>135792468</t>
        </is>
      </c>
      <c r="D1272" s="4108" t="inlineStr">
        <is>
          <t>202207</t>
        </is>
      </c>
      <c r="E1272" s="4108" t="inlineStr">
        <is>
          <t>0,000000000000</t>
        </is>
      </c>
    </row>
    <row outlineLevel="0" r="1273">
      <c r="A1273" s="4108" t="inlineStr">
        <is>
          <t>135792468202207179801</t>
        </is>
      </c>
      <c r="B1273" s="4108" t="inlineStr">
        <is>
          <t>179801</t>
        </is>
      </c>
      <c r="C1273" s="4108" t="inlineStr">
        <is>
          <t>135792468</t>
        </is>
      </c>
      <c r="D1273" s="4108" t="inlineStr">
        <is>
          <t>202207</t>
        </is>
      </c>
      <c r="E1273" s="4108" t="inlineStr">
        <is>
          <t>0,000000000000</t>
        </is>
      </c>
    </row>
    <row outlineLevel="0" r="1274">
      <c r="A1274" s="4108" t="inlineStr">
        <is>
          <t>135792468202207179701</t>
        </is>
      </c>
      <c r="B1274" s="4108" t="inlineStr">
        <is>
          <t>179701</t>
        </is>
      </c>
      <c r="C1274" s="4108" t="inlineStr">
        <is>
          <t>135792468</t>
        </is>
      </c>
      <c r="D1274" s="4108" t="inlineStr">
        <is>
          <t>202207</t>
        </is>
      </c>
      <c r="E1274" s="4108" t="inlineStr">
        <is>
          <t>0,000000000000</t>
        </is>
      </c>
    </row>
    <row outlineLevel="0" r="1275">
      <c r="A1275" s="4108" t="inlineStr">
        <is>
          <t>135792468202207179700</t>
        </is>
      </c>
      <c r="B1275" s="4108" t="inlineStr">
        <is>
          <t>179700</t>
        </is>
      </c>
      <c r="C1275" s="4108" t="inlineStr">
        <is>
          <t>135792468</t>
        </is>
      </c>
      <c r="D1275" s="4108" t="inlineStr">
        <is>
          <t>202207</t>
        </is>
      </c>
      <c r="E1275" s="4108" t="inlineStr">
        <is>
          <t>0,000000000000</t>
        </is>
      </c>
    </row>
    <row outlineLevel="0" r="1276">
      <c r="A1276" s="4108" t="inlineStr">
        <is>
          <t>135792468202207179500</t>
        </is>
      </c>
      <c r="B1276" s="4108" t="inlineStr">
        <is>
          <t>179500</t>
        </is>
      </c>
      <c r="C1276" s="4108" t="inlineStr">
        <is>
          <t>135792468</t>
        </is>
      </c>
      <c r="D1276" s="4108" t="inlineStr">
        <is>
          <t>202207</t>
        </is>
      </c>
      <c r="E1276" s="4108" t="inlineStr">
        <is>
          <t>0,000000000000</t>
        </is>
      </c>
    </row>
    <row outlineLevel="0" r="1277">
      <c r="A1277" s="4108" t="inlineStr">
        <is>
          <t>135792468202207173000</t>
        </is>
      </c>
      <c r="B1277" s="4108" t="inlineStr">
        <is>
          <t>173000</t>
        </is>
      </c>
      <c r="C1277" s="4108" t="inlineStr">
        <is>
          <t>135792468</t>
        </is>
      </c>
      <c r="D1277" s="4108" t="inlineStr">
        <is>
          <t>202207</t>
        </is>
      </c>
      <c r="E1277" s="4108" t="inlineStr">
        <is>
          <t>0,000000000000</t>
        </is>
      </c>
    </row>
    <row outlineLevel="0" r="1278">
      <c r="A1278" s="4108" t="inlineStr">
        <is>
          <t>135792468202207173001</t>
        </is>
      </c>
      <c r="B1278" s="4108" t="inlineStr">
        <is>
          <t>173001</t>
        </is>
      </c>
      <c r="C1278" s="4108" t="inlineStr">
        <is>
          <t>135792468</t>
        </is>
      </c>
      <c r="D1278" s="4108" t="inlineStr">
        <is>
          <t>202207</t>
        </is>
      </c>
      <c r="E1278" s="4108" t="inlineStr">
        <is>
          <t>0,000000000000</t>
        </is>
      </c>
    </row>
    <row outlineLevel="0" r="1279">
      <c r="A1279" s="4108" t="inlineStr">
        <is>
          <t>135792468202207171000</t>
        </is>
      </c>
      <c r="B1279" s="4108" t="inlineStr">
        <is>
          <t>171000</t>
        </is>
      </c>
      <c r="C1279" s="4108" t="inlineStr">
        <is>
          <t>135792468</t>
        </is>
      </c>
      <c r="D1279" s="4108" t="inlineStr">
        <is>
          <t>202207</t>
        </is>
      </c>
      <c r="E1279" s="4108" t="inlineStr">
        <is>
          <t>0,000000000000</t>
        </is>
      </c>
    </row>
    <row outlineLevel="0" r="1280">
      <c r="A1280" s="4108" t="inlineStr">
        <is>
          <t>135792468202207170500</t>
        </is>
      </c>
      <c r="B1280" s="4108" t="inlineStr">
        <is>
          <t>170500</t>
        </is>
      </c>
      <c r="C1280" s="4108" t="inlineStr">
        <is>
          <t>135792468</t>
        </is>
      </c>
      <c r="D1280" s="4108" t="inlineStr">
        <is>
          <t>202207</t>
        </is>
      </c>
      <c r="E1280" s="4108" t="inlineStr">
        <is>
          <t>0,000000000000</t>
        </is>
      </c>
    </row>
    <row outlineLevel="0" r="1281">
      <c r="A1281" s="4108" t="inlineStr">
        <is>
          <t>135792468202207169901</t>
        </is>
      </c>
      <c r="B1281" s="4108" t="inlineStr">
        <is>
          <t>169901</t>
        </is>
      </c>
      <c r="C1281" s="4108" t="inlineStr">
        <is>
          <t>135792468</t>
        </is>
      </c>
      <c r="D1281" s="4108" t="inlineStr">
        <is>
          <t>202207</t>
        </is>
      </c>
      <c r="E1281" s="4108" t="inlineStr">
        <is>
          <t>0,000000000000</t>
        </is>
      </c>
    </row>
    <row outlineLevel="0" r="1282">
      <c r="A1282" s="4108" t="inlineStr">
        <is>
          <t>135792468202207169899</t>
        </is>
      </c>
      <c r="B1282" s="4108" t="inlineStr">
        <is>
          <t>169899</t>
        </is>
      </c>
      <c r="C1282" s="4108" t="inlineStr">
        <is>
          <t>135792468</t>
        </is>
      </c>
      <c r="D1282" s="4108" t="inlineStr">
        <is>
          <t>202207</t>
        </is>
      </c>
      <c r="E1282" s="4108" t="inlineStr">
        <is>
          <t>0,000000000000</t>
        </is>
      </c>
    </row>
    <row outlineLevel="0" r="1283">
      <c r="A1283" s="4108" t="inlineStr">
        <is>
          <t>135792468202207164001</t>
        </is>
      </c>
      <c r="B1283" s="4108" t="inlineStr">
        <is>
          <t>164001</t>
        </is>
      </c>
      <c r="C1283" s="4108" t="inlineStr">
        <is>
          <t>135792468</t>
        </is>
      </c>
      <c r="D1283" s="4108" t="inlineStr">
        <is>
          <t>202207</t>
        </is>
      </c>
      <c r="E1283" s="4108" t="inlineStr">
        <is>
          <t>0,000000000000</t>
        </is>
      </c>
    </row>
    <row outlineLevel="0" r="1284">
      <c r="A1284" s="4108" t="inlineStr">
        <is>
          <t>135792468202207163001</t>
        </is>
      </c>
      <c r="B1284" s="4108" t="inlineStr">
        <is>
          <t>163001</t>
        </is>
      </c>
      <c r="C1284" s="4108" t="inlineStr">
        <is>
          <t>135792468</t>
        </is>
      </c>
      <c r="D1284" s="4108" t="inlineStr">
        <is>
          <t>202207</t>
        </is>
      </c>
      <c r="E1284" s="4108" t="inlineStr">
        <is>
          <t>0,000000000000</t>
        </is>
      </c>
    </row>
    <row outlineLevel="0" r="1285">
      <c r="A1285" s="4108" t="inlineStr">
        <is>
          <t>135792468202207160501</t>
        </is>
      </c>
      <c r="B1285" s="4108" t="inlineStr">
        <is>
          <t>160501</t>
        </is>
      </c>
      <c r="C1285" s="4108" t="inlineStr">
        <is>
          <t>135792468</t>
        </is>
      </c>
      <c r="D1285" s="4108" t="inlineStr">
        <is>
          <t>202207</t>
        </is>
      </c>
      <c r="E1285" s="4108" t="inlineStr">
        <is>
          <t>0,000000000000</t>
        </is>
      </c>
    </row>
    <row outlineLevel="0" r="1286">
      <c r="A1286" s="4108" t="inlineStr">
        <is>
          <t>135792468202207161001</t>
        </is>
      </c>
      <c r="B1286" s="4108" t="inlineStr">
        <is>
          <t>161001</t>
        </is>
      </c>
      <c r="C1286" s="4108" t="inlineStr">
        <is>
          <t>135792468</t>
        </is>
      </c>
      <c r="D1286" s="4108" t="inlineStr">
        <is>
          <t>202207</t>
        </is>
      </c>
      <c r="E1286" s="4108" t="inlineStr">
        <is>
          <t>0,000000000000</t>
        </is>
      </c>
    </row>
    <row outlineLevel="0" r="1287">
      <c r="A1287" s="4108" t="inlineStr">
        <is>
          <t>135792468202207159901</t>
        </is>
      </c>
      <c r="B1287" s="4108" t="inlineStr">
        <is>
          <t>159901</t>
        </is>
      </c>
      <c r="C1287" s="4108" t="inlineStr">
        <is>
          <t>135792468</t>
        </is>
      </c>
      <c r="D1287" s="4108" t="inlineStr">
        <is>
          <t>202207</t>
        </is>
      </c>
      <c r="E1287" s="4108" t="inlineStr">
        <is>
          <t>0,000000000000</t>
        </is>
      </c>
    </row>
    <row outlineLevel="0" r="1288">
      <c r="A1288" s="4108" t="inlineStr">
        <is>
          <t>135792468202207159899</t>
        </is>
      </c>
      <c r="B1288" s="4108" t="inlineStr">
        <is>
          <t>159899</t>
        </is>
      </c>
      <c r="C1288" s="4108" t="inlineStr">
        <is>
          <t>135792468</t>
        </is>
      </c>
      <c r="D1288" s="4108" t="inlineStr">
        <is>
          <t>202207</t>
        </is>
      </c>
      <c r="E1288" s="4108" t="inlineStr">
        <is>
          <t>0,000000000000</t>
        </is>
      </c>
    </row>
    <row outlineLevel="0" r="1289">
      <c r="A1289" s="4108" t="inlineStr">
        <is>
          <t>135792468202207159701</t>
        </is>
      </c>
      <c r="B1289" s="4108" t="inlineStr">
        <is>
          <t>159701</t>
        </is>
      </c>
      <c r="C1289" s="4108" t="inlineStr">
        <is>
          <t>135792468</t>
        </is>
      </c>
      <c r="D1289" s="4108" t="inlineStr">
        <is>
          <t>202207</t>
        </is>
      </c>
      <c r="E1289" s="4108" t="inlineStr">
        <is>
          <t>0,000000000000</t>
        </is>
      </c>
    </row>
    <row outlineLevel="0" r="1290">
      <c r="A1290" s="4108" t="inlineStr">
        <is>
          <t>135792468202207158801</t>
        </is>
      </c>
      <c r="B1290" s="4108" t="inlineStr">
        <is>
          <t>158801</t>
        </is>
      </c>
      <c r="C1290" s="4108" t="inlineStr">
        <is>
          <t>135792468</t>
        </is>
      </c>
      <c r="D1290" s="4108" t="inlineStr">
        <is>
          <t>202207</t>
        </is>
      </c>
      <c r="E1290" s="4108" t="inlineStr">
        <is>
          <t>0,000000000000</t>
        </is>
      </c>
    </row>
    <row outlineLevel="0" r="1291">
      <c r="A1291" s="4108" t="inlineStr">
        <is>
          <t>135792468202207158401</t>
        </is>
      </c>
      <c r="B1291" s="4108" t="inlineStr">
        <is>
          <t>158401</t>
        </is>
      </c>
      <c r="C1291" s="4108" t="inlineStr">
        <is>
          <t>135792468</t>
        </is>
      </c>
      <c r="D1291" s="4108" t="inlineStr">
        <is>
          <t>202207</t>
        </is>
      </c>
      <c r="E1291" s="4108" t="inlineStr">
        <is>
          <t>0,000000000000</t>
        </is>
      </c>
    </row>
    <row outlineLevel="0" r="1292">
      <c r="A1292" s="4108" t="inlineStr">
        <is>
          <t>135792468202207157601</t>
        </is>
      </c>
      <c r="B1292" s="4108" t="inlineStr">
        <is>
          <t>157601</t>
        </is>
      </c>
      <c r="C1292" s="4108" t="inlineStr">
        <is>
          <t>135792468</t>
        </is>
      </c>
      <c r="D1292" s="4108" t="inlineStr">
        <is>
          <t>202207</t>
        </is>
      </c>
      <c r="E1292" s="4108" t="inlineStr">
        <is>
          <t>0,000000000000</t>
        </is>
      </c>
    </row>
    <row outlineLevel="0" r="1293">
      <c r="A1293" s="4108" t="inlineStr">
        <is>
          <t>135792468202207156401</t>
        </is>
      </c>
      <c r="B1293" s="4108" t="inlineStr">
        <is>
          <t>156401</t>
        </is>
      </c>
      <c r="C1293" s="4108" t="inlineStr">
        <is>
          <t>135792468</t>
        </is>
      </c>
      <c r="D1293" s="4108" t="inlineStr">
        <is>
          <t>202207</t>
        </is>
      </c>
      <c r="E1293" s="4108" t="inlineStr">
        <is>
          <t>0,000000000000</t>
        </is>
      </c>
    </row>
    <row outlineLevel="0" r="1294">
      <c r="A1294" s="4108" t="inlineStr">
        <is>
          <t>135792468202207157201</t>
        </is>
      </c>
      <c r="B1294" s="4108" t="inlineStr">
        <is>
          <t>157201</t>
        </is>
      </c>
      <c r="C1294" s="4108" t="inlineStr">
        <is>
          <t>135792468</t>
        </is>
      </c>
      <c r="D1294" s="4108" t="inlineStr">
        <is>
          <t>202207</t>
        </is>
      </c>
      <c r="E1294" s="4108" t="inlineStr">
        <is>
          <t>0,000000000000</t>
        </is>
      </c>
    </row>
    <row outlineLevel="0" r="1295">
      <c r="A1295" s="4108" t="inlineStr">
        <is>
          <t>135792468202207156001</t>
        </is>
      </c>
      <c r="B1295" s="4108" t="inlineStr">
        <is>
          <t>156001</t>
        </is>
      </c>
      <c r="C1295" s="4108" t="inlineStr">
        <is>
          <t>135792468</t>
        </is>
      </c>
      <c r="D1295" s="4108" t="inlineStr">
        <is>
          <t>202207</t>
        </is>
      </c>
      <c r="E1295" s="4108" t="inlineStr">
        <is>
          <t>0,000000000000</t>
        </is>
      </c>
    </row>
    <row outlineLevel="0" r="1296">
      <c r="A1296" s="4108" t="inlineStr">
        <is>
          <t>135792468202207155601</t>
        </is>
      </c>
      <c r="B1296" s="4108" t="inlineStr">
        <is>
          <t>155601</t>
        </is>
      </c>
      <c r="C1296" s="4108" t="inlineStr">
        <is>
          <t>135792468</t>
        </is>
      </c>
      <c r="D1296" s="4108" t="inlineStr">
        <is>
          <t>202207</t>
        </is>
      </c>
      <c r="E1296" s="4108" t="inlineStr">
        <is>
          <t>0,000000000000</t>
        </is>
      </c>
    </row>
    <row outlineLevel="0" r="1297">
      <c r="A1297" s="4108" t="inlineStr">
        <is>
          <t>135792468202207151201</t>
        </is>
      </c>
      <c r="B1297" s="4108" t="inlineStr">
        <is>
          <t>151201</t>
        </is>
      </c>
      <c r="C1297" s="4108" t="inlineStr">
        <is>
          <t>135792468</t>
        </is>
      </c>
      <c r="D1297" s="4108" t="inlineStr">
        <is>
          <t>202207</t>
        </is>
      </c>
      <c r="E1297" s="4108" t="inlineStr">
        <is>
          <t>0,000000000000</t>
        </is>
      </c>
    </row>
    <row outlineLevel="0" r="1298">
      <c r="A1298" s="4108" t="inlineStr">
        <is>
          <t>135792468202207149910</t>
        </is>
      </c>
      <c r="B1298" s="4108" t="inlineStr">
        <is>
          <t>149910</t>
        </is>
      </c>
      <c r="C1298" s="4108" t="inlineStr">
        <is>
          <t>135792468</t>
        </is>
      </c>
      <c r="D1298" s="4108" t="inlineStr">
        <is>
          <t>202207</t>
        </is>
      </c>
      <c r="E1298" s="4108" t="inlineStr">
        <is>
          <t>0,000000000000</t>
        </is>
      </c>
    </row>
    <row outlineLevel="0" r="1299">
      <c r="A1299" s="4108" t="inlineStr">
        <is>
          <t>135792468202207149902</t>
        </is>
      </c>
      <c r="B1299" s="4108" t="inlineStr">
        <is>
          <t>149902</t>
        </is>
      </c>
      <c r="C1299" s="4108" t="inlineStr">
        <is>
          <t>135792468</t>
        </is>
      </c>
      <c r="D1299" s="4108" t="inlineStr">
        <is>
          <t>202207</t>
        </is>
      </c>
      <c r="E1299" s="4108" t="inlineStr">
        <is>
          <t>0,000000000000</t>
        </is>
      </c>
    </row>
    <row outlineLevel="0" r="1300">
      <c r="A1300" s="4108" t="inlineStr">
        <is>
          <t>135792468202207149901</t>
        </is>
      </c>
      <c r="B1300" s="4108" t="inlineStr">
        <is>
          <t>149901</t>
        </is>
      </c>
      <c r="C1300" s="4108" t="inlineStr">
        <is>
          <t>135792468</t>
        </is>
      </c>
      <c r="D1300" s="4108" t="inlineStr">
        <is>
          <t>202207</t>
        </is>
      </c>
      <c r="E1300" s="4108" t="inlineStr">
        <is>
          <t>0,000000000000</t>
        </is>
      </c>
    </row>
    <row outlineLevel="0" r="1301">
      <c r="A1301" s="4108" t="inlineStr">
        <is>
          <t>135792468202207149510</t>
        </is>
      </c>
      <c r="B1301" s="4108" t="inlineStr">
        <is>
          <t>149510</t>
        </is>
      </c>
      <c r="C1301" s="4108" t="inlineStr">
        <is>
          <t>135792468</t>
        </is>
      </c>
      <c r="D1301" s="4108" t="inlineStr">
        <is>
          <t>202207</t>
        </is>
      </c>
      <c r="E1301" s="4108" t="inlineStr">
        <is>
          <t>0,000000000000</t>
        </is>
      </c>
    </row>
    <row outlineLevel="0" r="1302">
      <c r="A1302" s="4108" t="inlineStr">
        <is>
          <t>135792468202207149900</t>
        </is>
      </c>
      <c r="B1302" s="4108" t="inlineStr">
        <is>
          <t>149900</t>
        </is>
      </c>
      <c r="C1302" s="4108" t="inlineStr">
        <is>
          <t>135792468</t>
        </is>
      </c>
      <c r="D1302" s="4108" t="inlineStr">
        <is>
          <t>202207</t>
        </is>
      </c>
      <c r="E1302" s="4108" t="inlineStr">
        <is>
          <t>0,000000000000</t>
        </is>
      </c>
    </row>
    <row outlineLevel="0" r="1303">
      <c r="A1303" s="4108" t="inlineStr">
        <is>
          <t>135792468202207146000</t>
        </is>
      </c>
      <c r="B1303" s="4108" t="inlineStr">
        <is>
          <t>146000</t>
        </is>
      </c>
      <c r="C1303" s="4108" t="inlineStr">
        <is>
          <t>135792468</t>
        </is>
      </c>
      <c r="D1303" s="4108" t="inlineStr">
        <is>
          <t>202207</t>
        </is>
      </c>
      <c r="E1303" s="4108" t="inlineStr">
        <is>
          <t>0,000000000000</t>
        </is>
      </c>
    </row>
    <row outlineLevel="0" r="1304">
      <c r="A1304" s="4108" t="inlineStr">
        <is>
          <t>135792468202207145500</t>
        </is>
      </c>
      <c r="B1304" s="4108" t="inlineStr">
        <is>
          <t>145500</t>
        </is>
      </c>
      <c r="C1304" s="4108" t="inlineStr">
        <is>
          <t>135792468</t>
        </is>
      </c>
      <c r="D1304" s="4108" t="inlineStr">
        <is>
          <t>202207</t>
        </is>
      </c>
      <c r="E1304" s="4108" t="inlineStr">
        <is>
          <t>0,000000000000</t>
        </is>
      </c>
    </row>
    <row outlineLevel="0" r="1305">
      <c r="A1305" s="4108" t="inlineStr">
        <is>
          <t>135792468202207143500</t>
        </is>
      </c>
      <c r="B1305" s="4108" t="inlineStr">
        <is>
          <t>143500</t>
        </is>
      </c>
      <c r="C1305" s="4108" t="inlineStr">
        <is>
          <t>135792468</t>
        </is>
      </c>
      <c r="D1305" s="4108" t="inlineStr">
        <is>
          <t>202207</t>
        </is>
      </c>
      <c r="E1305" s="4108" t="inlineStr">
        <is>
          <t>0,000000000000</t>
        </is>
      </c>
    </row>
    <row outlineLevel="0" r="1306">
      <c r="A1306" s="4108" t="inlineStr">
        <is>
          <t>135792468202207142500</t>
        </is>
      </c>
      <c r="B1306" s="4108" t="inlineStr">
        <is>
          <t>142500</t>
        </is>
      </c>
      <c r="C1306" s="4108" t="inlineStr">
        <is>
          <t>135792468</t>
        </is>
      </c>
      <c r="D1306" s="4108" t="inlineStr">
        <is>
          <t>202207</t>
        </is>
      </c>
      <c r="E1306" s="4108" t="inlineStr">
        <is>
          <t>0,000000000000</t>
        </is>
      </c>
    </row>
    <row outlineLevel="0" r="1307">
      <c r="A1307" s="4108" t="inlineStr">
        <is>
          <t>135792468202207140010</t>
        </is>
      </c>
      <c r="B1307" s="4108" t="inlineStr">
        <is>
          <t>140010</t>
        </is>
      </c>
      <c r="C1307" s="4108" t="inlineStr">
        <is>
          <t>135792468</t>
        </is>
      </c>
      <c r="D1307" s="4108" t="inlineStr">
        <is>
          <t>202207</t>
        </is>
      </c>
      <c r="E1307" s="4108" t="inlineStr">
        <is>
          <t>0,000000000000</t>
        </is>
      </c>
    </row>
    <row outlineLevel="0" r="1308">
      <c r="A1308" s="4108" t="inlineStr">
        <is>
          <t>135792468202207140005</t>
        </is>
      </c>
      <c r="B1308" s="4108" t="inlineStr">
        <is>
          <t>140005</t>
        </is>
      </c>
      <c r="C1308" s="4108" t="inlineStr">
        <is>
          <t>135792468</t>
        </is>
      </c>
      <c r="D1308" s="4108" t="inlineStr">
        <is>
          <t>202207</t>
        </is>
      </c>
      <c r="E1308" s="4108" t="inlineStr">
        <is>
          <t>0,000000000000</t>
        </is>
      </c>
    </row>
    <row outlineLevel="0" r="1309">
      <c r="A1309" s="4108" t="inlineStr">
        <is>
          <t>135792468202207139901</t>
        </is>
      </c>
      <c r="B1309" s="4108" t="inlineStr">
        <is>
          <t>139901</t>
        </is>
      </c>
      <c r="C1309" s="4108" t="inlineStr">
        <is>
          <t>135792468</t>
        </is>
      </c>
      <c r="D1309" s="4108" t="inlineStr">
        <is>
          <t>202207</t>
        </is>
      </c>
      <c r="E1309" s="4108" t="inlineStr">
        <is>
          <t>0,000000000000</t>
        </is>
      </c>
    </row>
    <row outlineLevel="0" r="1310">
      <c r="A1310" s="4108" t="inlineStr">
        <is>
          <t>135792468202207139905</t>
        </is>
      </c>
      <c r="B1310" s="4108" t="inlineStr">
        <is>
          <t>139905</t>
        </is>
      </c>
      <c r="C1310" s="4108" t="inlineStr">
        <is>
          <t>135792468</t>
        </is>
      </c>
      <c r="D1310" s="4108" t="inlineStr">
        <is>
          <t>202207</t>
        </is>
      </c>
      <c r="E1310" s="4108" t="inlineStr">
        <is>
          <t>0,000000000000</t>
        </is>
      </c>
    </row>
    <row outlineLevel="0" r="1311">
      <c r="A1311" s="4108" t="inlineStr">
        <is>
          <t>135792468202207139500</t>
        </is>
      </c>
      <c r="B1311" s="4108" t="inlineStr">
        <is>
          <t>139500</t>
        </is>
      </c>
      <c r="C1311" s="4108" t="inlineStr">
        <is>
          <t>135792468</t>
        </is>
      </c>
      <c r="D1311" s="4108" t="inlineStr">
        <is>
          <t>202207</t>
        </is>
      </c>
      <c r="E1311" s="4108" t="inlineStr">
        <is>
          <t>0,000000000000</t>
        </is>
      </c>
    </row>
    <row outlineLevel="0" r="1312">
      <c r="A1312" s="4108" t="inlineStr">
        <is>
          <t>135792468202207139001</t>
        </is>
      </c>
      <c r="B1312" s="4108" t="inlineStr">
        <is>
          <t>139001</t>
        </is>
      </c>
      <c r="C1312" s="4108" t="inlineStr">
        <is>
          <t>135792468</t>
        </is>
      </c>
      <c r="D1312" s="4108" t="inlineStr">
        <is>
          <t>202207</t>
        </is>
      </c>
      <c r="E1312" s="4108" t="inlineStr">
        <is>
          <t>0,000000000000</t>
        </is>
      </c>
    </row>
    <row outlineLevel="0" r="1313">
      <c r="A1313" s="4108" t="inlineStr">
        <is>
          <t>135792468202207139000</t>
        </is>
      </c>
      <c r="B1313" s="4108" t="inlineStr">
        <is>
          <t>139000</t>
        </is>
      </c>
      <c r="C1313" s="4108" t="inlineStr">
        <is>
          <t>135792468</t>
        </is>
      </c>
      <c r="D1313" s="4108" t="inlineStr">
        <is>
          <t>202207</t>
        </is>
      </c>
      <c r="E1313" s="4108" t="inlineStr">
        <is>
          <t>0,000000000000</t>
        </is>
      </c>
    </row>
    <row outlineLevel="0" r="1314">
      <c r="A1314" s="4108" t="inlineStr">
        <is>
          <t>135792468202207138501</t>
        </is>
      </c>
      <c r="B1314" s="4108" t="inlineStr">
        <is>
          <t>138501</t>
        </is>
      </c>
      <c r="C1314" s="4108" t="inlineStr">
        <is>
          <t>135792468</t>
        </is>
      </c>
      <c r="D1314" s="4108" t="inlineStr">
        <is>
          <t>202207</t>
        </is>
      </c>
      <c r="E1314" s="4108" t="inlineStr">
        <is>
          <t>0,000000000000</t>
        </is>
      </c>
    </row>
    <row outlineLevel="0" r="1315">
      <c r="A1315" s="4108" t="inlineStr">
        <is>
          <t>135792468202207138001</t>
        </is>
      </c>
      <c r="B1315" s="4108" t="inlineStr">
        <is>
          <t>138001</t>
        </is>
      </c>
      <c r="C1315" s="4108" t="inlineStr">
        <is>
          <t>135792468</t>
        </is>
      </c>
      <c r="D1315" s="4108" t="inlineStr">
        <is>
          <t>202207</t>
        </is>
      </c>
      <c r="E1315" s="4108" t="inlineStr">
        <is>
          <t>0,000000000000</t>
        </is>
      </c>
    </row>
    <row outlineLevel="0" r="1316">
      <c r="A1316" s="4108" t="inlineStr">
        <is>
          <t>135792468202207137001</t>
        </is>
      </c>
      <c r="B1316" s="4108" t="inlineStr">
        <is>
          <t>137001</t>
        </is>
      </c>
      <c r="C1316" s="4108" t="inlineStr">
        <is>
          <t>135792468</t>
        </is>
      </c>
      <c r="D1316" s="4108" t="inlineStr">
        <is>
          <t>202207</t>
        </is>
      </c>
      <c r="E1316" s="4108" t="inlineStr">
        <is>
          <t>0,000000000000</t>
        </is>
      </c>
    </row>
    <row outlineLevel="0" r="1317">
      <c r="A1317" s="4108" t="inlineStr">
        <is>
          <t>135792468202207136501</t>
        </is>
      </c>
      <c r="B1317" s="4108" t="inlineStr">
        <is>
          <t>136501</t>
        </is>
      </c>
      <c r="C1317" s="4108" t="inlineStr">
        <is>
          <t>135792468</t>
        </is>
      </c>
      <c r="D1317" s="4108" t="inlineStr">
        <is>
          <t>202207</t>
        </is>
      </c>
      <c r="E1317" s="4108" t="inlineStr">
        <is>
          <t>0,000000000000</t>
        </is>
      </c>
    </row>
    <row outlineLevel="0" r="1318">
      <c r="A1318" s="4108" t="inlineStr">
        <is>
          <t>135792468202207137000</t>
        </is>
      </c>
      <c r="B1318" s="4108" t="inlineStr">
        <is>
          <t>137000</t>
        </is>
      </c>
      <c r="C1318" s="4108" t="inlineStr">
        <is>
          <t>135792468</t>
        </is>
      </c>
      <c r="D1318" s="4108" t="inlineStr">
        <is>
          <t>202207</t>
        </is>
      </c>
      <c r="E1318" s="4108" t="inlineStr">
        <is>
          <t>0,000000000000</t>
        </is>
      </c>
    </row>
    <row outlineLevel="0" r="1319">
      <c r="A1319" s="4108" t="inlineStr">
        <is>
          <t>135792468202207136500</t>
        </is>
      </c>
      <c r="B1319" s="4108" t="inlineStr">
        <is>
          <t>136500</t>
        </is>
      </c>
      <c r="C1319" s="4108" t="inlineStr">
        <is>
          <t>135792468</t>
        </is>
      </c>
      <c r="D1319" s="4108" t="inlineStr">
        <is>
          <t>202207</t>
        </is>
      </c>
      <c r="E1319" s="4108" t="inlineStr">
        <is>
          <t>0,000000000000</t>
        </is>
      </c>
    </row>
    <row outlineLevel="0" r="1320">
      <c r="A1320" s="4108" t="inlineStr">
        <is>
          <t>135792468202207136001</t>
        </is>
      </c>
      <c r="B1320" s="4108" t="inlineStr">
        <is>
          <t>136001</t>
        </is>
      </c>
      <c r="C1320" s="4108" t="inlineStr">
        <is>
          <t>135792468</t>
        </is>
      </c>
      <c r="D1320" s="4108" t="inlineStr">
        <is>
          <t>202207</t>
        </is>
      </c>
      <c r="E1320" s="4108" t="inlineStr">
        <is>
          <t>0,000000000000</t>
        </is>
      </c>
    </row>
    <row outlineLevel="0" r="1321">
      <c r="A1321" s="4108" t="inlineStr">
        <is>
          <t>135792468202207136000</t>
        </is>
      </c>
      <c r="B1321" s="4108" t="inlineStr">
        <is>
          <t>136000</t>
        </is>
      </c>
      <c r="C1321" s="4108" t="inlineStr">
        <is>
          <t>135792468</t>
        </is>
      </c>
      <c r="D1321" s="4108" t="inlineStr">
        <is>
          <t>202207</t>
        </is>
      </c>
      <c r="E1321" s="4108" t="inlineStr">
        <is>
          <t>0,000000000000</t>
        </is>
      </c>
    </row>
    <row outlineLevel="0" r="1322">
      <c r="A1322" s="4108" t="inlineStr">
        <is>
          <t>135792468202207135501</t>
        </is>
      </c>
      <c r="B1322" s="4108" t="inlineStr">
        <is>
          <t>135501</t>
        </is>
      </c>
      <c r="C1322" s="4108" t="inlineStr">
        <is>
          <t>135792468</t>
        </is>
      </c>
      <c r="D1322" s="4108" t="inlineStr">
        <is>
          <t>202207</t>
        </is>
      </c>
      <c r="E1322" s="4108" t="inlineStr">
        <is>
          <t>0,000000000000</t>
        </is>
      </c>
    </row>
    <row outlineLevel="0" r="1323">
      <c r="A1323" s="4108" t="inlineStr">
        <is>
          <t>135792468202207135500</t>
        </is>
      </c>
      <c r="B1323" s="4108" t="inlineStr">
        <is>
          <t>135500</t>
        </is>
      </c>
      <c r="C1323" s="4108" t="inlineStr">
        <is>
          <t>135792468</t>
        </is>
      </c>
      <c r="D1323" s="4108" t="inlineStr">
        <is>
          <t>202207</t>
        </is>
      </c>
      <c r="E1323" s="4108" t="inlineStr">
        <is>
          <t>0,000000000000</t>
        </is>
      </c>
    </row>
    <row outlineLevel="0" r="1324">
      <c r="A1324" s="4108" t="inlineStr">
        <is>
          <t>135792468202207135001</t>
        </is>
      </c>
      <c r="B1324" s="4108" t="inlineStr">
        <is>
          <t>135001</t>
        </is>
      </c>
      <c r="C1324" s="4108" t="inlineStr">
        <is>
          <t>135792468</t>
        </is>
      </c>
      <c r="D1324" s="4108" t="inlineStr">
        <is>
          <t>202207</t>
        </is>
      </c>
      <c r="E1324" s="4108" t="inlineStr">
        <is>
          <t>0,000000000000</t>
        </is>
      </c>
    </row>
    <row outlineLevel="0" r="1325">
      <c r="A1325" s="4108" t="inlineStr">
        <is>
          <t>135792468202207134501</t>
        </is>
      </c>
      <c r="B1325" s="4108" t="inlineStr">
        <is>
          <t>134501</t>
        </is>
      </c>
      <c r="C1325" s="4108" t="inlineStr">
        <is>
          <t>135792468</t>
        </is>
      </c>
      <c r="D1325" s="4108" t="inlineStr">
        <is>
          <t>202207</t>
        </is>
      </c>
      <c r="E1325" s="4108" t="inlineStr">
        <is>
          <t>0,000000000000</t>
        </is>
      </c>
    </row>
    <row outlineLevel="0" r="1326">
      <c r="A1326" s="4108" t="inlineStr">
        <is>
          <t>135792468202207135000</t>
        </is>
      </c>
      <c r="B1326" s="4108" t="inlineStr">
        <is>
          <t>135000</t>
        </is>
      </c>
      <c r="C1326" s="4108" t="inlineStr">
        <is>
          <t>135792468</t>
        </is>
      </c>
      <c r="D1326" s="4108" t="inlineStr">
        <is>
          <t>202207</t>
        </is>
      </c>
      <c r="E1326" s="4108" t="inlineStr">
        <is>
          <t>0,000000000000</t>
        </is>
      </c>
    </row>
    <row outlineLevel="0" r="1327">
      <c r="A1327" s="4108" t="inlineStr">
        <is>
          <t>135792468202207134500</t>
        </is>
      </c>
      <c r="B1327" s="4108" t="inlineStr">
        <is>
          <t>134500</t>
        </is>
      </c>
      <c r="C1327" s="4108" t="inlineStr">
        <is>
          <t>135792468</t>
        </is>
      </c>
      <c r="D1327" s="4108" t="inlineStr">
        <is>
          <t>202207</t>
        </is>
      </c>
      <c r="E1327" s="4108" t="inlineStr">
        <is>
          <t>0,000000000000</t>
        </is>
      </c>
    </row>
    <row outlineLevel="0" r="1328">
      <c r="A1328" s="4108" t="inlineStr">
        <is>
          <t>135792468202207134001</t>
        </is>
      </c>
      <c r="B1328" s="4108" t="inlineStr">
        <is>
          <t>134001</t>
        </is>
      </c>
      <c r="C1328" s="4108" t="inlineStr">
        <is>
          <t>135792468</t>
        </is>
      </c>
      <c r="D1328" s="4108" t="inlineStr">
        <is>
          <t>202207</t>
        </is>
      </c>
      <c r="E1328" s="4108" t="inlineStr">
        <is>
          <t>0,000000000000</t>
        </is>
      </c>
    </row>
    <row outlineLevel="0" r="1329">
      <c r="A1329" s="4108" t="inlineStr">
        <is>
          <t>135792468202207134000</t>
        </is>
      </c>
      <c r="B1329" s="4108" t="inlineStr">
        <is>
          <t>134000</t>
        </is>
      </c>
      <c r="C1329" s="4108" t="inlineStr">
        <is>
          <t>135792468</t>
        </is>
      </c>
      <c r="D1329" s="4108" t="inlineStr">
        <is>
          <t>202207</t>
        </is>
      </c>
      <c r="E1329" s="4108" t="inlineStr">
        <is>
          <t>0,000000000000</t>
        </is>
      </c>
    </row>
    <row outlineLevel="0" r="1330">
      <c r="A1330" s="4108" t="inlineStr">
        <is>
          <t>135792468202207133501</t>
        </is>
      </c>
      <c r="B1330" s="4108" t="inlineStr">
        <is>
          <t>133501</t>
        </is>
      </c>
      <c r="C1330" s="4108" t="inlineStr">
        <is>
          <t>135792468</t>
        </is>
      </c>
      <c r="D1330" s="4108" t="inlineStr">
        <is>
          <t>202207</t>
        </is>
      </c>
      <c r="E1330" s="4108" t="inlineStr">
        <is>
          <t>0,000000000000</t>
        </is>
      </c>
    </row>
    <row outlineLevel="0" r="1331">
      <c r="A1331" s="4108" t="inlineStr">
        <is>
          <t>135792468202207133500</t>
        </is>
      </c>
      <c r="B1331" s="4108" t="inlineStr">
        <is>
          <t>133500</t>
        </is>
      </c>
      <c r="C1331" s="4108" t="inlineStr">
        <is>
          <t>135792468</t>
        </is>
      </c>
      <c r="D1331" s="4108" t="inlineStr">
        <is>
          <t>202207</t>
        </is>
      </c>
      <c r="E1331" s="4108" t="inlineStr">
        <is>
          <t>43,000000000000</t>
        </is>
      </c>
    </row>
    <row outlineLevel="0" r="1332">
      <c r="A1332" s="4108" t="inlineStr">
        <is>
          <t>135792468202207133001</t>
        </is>
      </c>
      <c r="B1332" s="4108" t="inlineStr">
        <is>
          <t>133001</t>
        </is>
      </c>
      <c r="C1332" s="4108" t="inlineStr">
        <is>
          <t>135792468</t>
        </is>
      </c>
      <c r="D1332" s="4108" t="inlineStr">
        <is>
          <t>202207</t>
        </is>
      </c>
      <c r="E1332" s="4108" t="inlineStr">
        <is>
          <t>0,000000000000</t>
        </is>
      </c>
    </row>
    <row outlineLevel="0" r="1333">
      <c r="A1333" s="4108" t="inlineStr">
        <is>
          <t>135792468202207132501</t>
        </is>
      </c>
      <c r="B1333" s="4108" t="inlineStr">
        <is>
          <t>132501</t>
        </is>
      </c>
      <c r="C1333" s="4108" t="inlineStr">
        <is>
          <t>135792468</t>
        </is>
      </c>
      <c r="D1333" s="4108" t="inlineStr">
        <is>
          <t>202207</t>
        </is>
      </c>
      <c r="E1333" s="4108" t="inlineStr">
        <is>
          <t>0,000000000000</t>
        </is>
      </c>
    </row>
    <row outlineLevel="0" r="1334">
      <c r="A1334" s="4108" t="inlineStr">
        <is>
          <t>135792468202207133000</t>
        </is>
      </c>
      <c r="B1334" s="4108" t="inlineStr">
        <is>
          <t>133000</t>
        </is>
      </c>
      <c r="C1334" s="4108" t="inlineStr">
        <is>
          <t>135792468</t>
        </is>
      </c>
      <c r="D1334" s="4108" t="inlineStr">
        <is>
          <t>202207</t>
        </is>
      </c>
      <c r="E1334" s="4108" t="inlineStr">
        <is>
          <t>0,000000000000</t>
        </is>
      </c>
    </row>
    <row outlineLevel="0" r="1335">
      <c r="A1335" s="4108" t="inlineStr">
        <is>
          <t>135792468202207132500</t>
        </is>
      </c>
      <c r="B1335" s="4108" t="inlineStr">
        <is>
          <t>132500</t>
        </is>
      </c>
      <c r="C1335" s="4108" t="inlineStr">
        <is>
          <t>135792468</t>
        </is>
      </c>
      <c r="D1335" s="4108" t="inlineStr">
        <is>
          <t>202207</t>
        </is>
      </c>
      <c r="E1335" s="4108" t="inlineStr">
        <is>
          <t>0,000000000000</t>
        </is>
      </c>
    </row>
    <row outlineLevel="0" r="1336">
      <c r="A1336" s="4108" t="inlineStr">
        <is>
          <t>135792468202207132001</t>
        </is>
      </c>
      <c r="B1336" s="4108" t="inlineStr">
        <is>
          <t>132001</t>
        </is>
      </c>
      <c r="C1336" s="4108" t="inlineStr">
        <is>
          <t>135792468</t>
        </is>
      </c>
      <c r="D1336" s="4108" t="inlineStr">
        <is>
          <t>202207</t>
        </is>
      </c>
      <c r="E1336" s="4108" t="inlineStr">
        <is>
          <t>0,000000000000</t>
        </is>
      </c>
    </row>
    <row outlineLevel="0" r="1337">
      <c r="A1337" s="4108" t="inlineStr">
        <is>
          <t>135792468202207132000</t>
        </is>
      </c>
      <c r="B1337" s="4108" t="inlineStr">
        <is>
          <t>132000</t>
        </is>
      </c>
      <c r="C1337" s="4108" t="inlineStr">
        <is>
          <t>135792468</t>
        </is>
      </c>
      <c r="D1337" s="4108" t="inlineStr">
        <is>
          <t>202207</t>
        </is>
      </c>
      <c r="E1337" s="4108" t="inlineStr">
        <is>
          <t>0,000000000000</t>
        </is>
      </c>
    </row>
    <row outlineLevel="0" r="1338">
      <c r="A1338" s="4108" t="inlineStr">
        <is>
          <t>135792468202207131501</t>
        </is>
      </c>
      <c r="B1338" s="4108" t="inlineStr">
        <is>
          <t>131501</t>
        </is>
      </c>
      <c r="C1338" s="4108" t="inlineStr">
        <is>
          <t>135792468</t>
        </is>
      </c>
      <c r="D1338" s="4108" t="inlineStr">
        <is>
          <t>202207</t>
        </is>
      </c>
      <c r="E1338" s="4108" t="inlineStr">
        <is>
          <t>0,000000000000</t>
        </is>
      </c>
    </row>
    <row outlineLevel="0" r="1339">
      <c r="A1339" s="4108" t="inlineStr">
        <is>
          <t>135792468202207131001</t>
        </is>
      </c>
      <c r="B1339" s="4108" t="inlineStr">
        <is>
          <t>131001</t>
        </is>
      </c>
      <c r="C1339" s="4108" t="inlineStr">
        <is>
          <t>135792468</t>
        </is>
      </c>
      <c r="D1339" s="4108" t="inlineStr">
        <is>
          <t>202207</t>
        </is>
      </c>
      <c r="E1339" s="4108" t="inlineStr">
        <is>
          <t>0,000000000000</t>
        </is>
      </c>
    </row>
    <row outlineLevel="0" r="1340">
      <c r="A1340" s="4108" t="inlineStr">
        <is>
          <t>135792468202207131000</t>
        </is>
      </c>
      <c r="B1340" s="4108" t="inlineStr">
        <is>
          <t>131000</t>
        </is>
      </c>
      <c r="C1340" s="4108" t="inlineStr">
        <is>
          <t>135792468</t>
        </is>
      </c>
      <c r="D1340" s="4108" t="inlineStr">
        <is>
          <t>202207</t>
        </is>
      </c>
      <c r="E1340" s="4108" t="inlineStr">
        <is>
          <t>0,000000000000</t>
        </is>
      </c>
    </row>
    <row outlineLevel="0" r="1341">
      <c r="A1341" s="4108" t="inlineStr">
        <is>
          <t>135792468202207130510</t>
        </is>
      </c>
      <c r="B1341" s="4108" t="inlineStr">
        <is>
          <t>130510</t>
        </is>
      </c>
      <c r="C1341" s="4108" t="inlineStr">
        <is>
          <t>135792468</t>
        </is>
      </c>
      <c r="D1341" s="4108" t="inlineStr">
        <is>
          <t>202207</t>
        </is>
      </c>
      <c r="E1341" s="4108" t="inlineStr">
        <is>
          <t>0,000000000000</t>
        </is>
      </c>
    </row>
    <row outlineLevel="0" r="1342">
      <c r="A1342" s="4108" t="inlineStr">
        <is>
          <t>135792468202207130511</t>
        </is>
      </c>
      <c r="B1342" s="4108" t="inlineStr">
        <is>
          <t>130511</t>
        </is>
      </c>
      <c r="C1342" s="4108" t="inlineStr">
        <is>
          <t>135792468</t>
        </is>
      </c>
      <c r="D1342" s="4108" t="inlineStr">
        <is>
          <t>202207</t>
        </is>
      </c>
      <c r="E1342" s="4108" t="inlineStr">
        <is>
          <t>0,000000000000</t>
        </is>
      </c>
    </row>
    <row outlineLevel="0" r="1343">
      <c r="A1343" s="4108" t="inlineStr">
        <is>
          <t>135792468202207130506</t>
        </is>
      </c>
      <c r="B1343" s="4108" t="inlineStr">
        <is>
          <t>130506</t>
        </is>
      </c>
      <c r="C1343" s="4108" t="inlineStr">
        <is>
          <t>135792468</t>
        </is>
      </c>
      <c r="D1343" s="4108" t="inlineStr">
        <is>
          <t>202207</t>
        </is>
      </c>
      <c r="E1343" s="4108" t="inlineStr">
        <is>
          <t>0,000000000000</t>
        </is>
      </c>
    </row>
    <row outlineLevel="0" r="1344">
      <c r="A1344" s="4108" t="inlineStr">
        <is>
          <t>135792468202207129901</t>
        </is>
      </c>
      <c r="B1344" s="4108" t="inlineStr">
        <is>
          <t>129901</t>
        </is>
      </c>
      <c r="C1344" s="4108" t="inlineStr">
        <is>
          <t>135792468</t>
        </is>
      </c>
      <c r="D1344" s="4108" t="inlineStr">
        <is>
          <t>202207</t>
        </is>
      </c>
      <c r="E1344" s="4108" t="inlineStr">
        <is>
          <t>0,000000000000</t>
        </is>
      </c>
    </row>
    <row outlineLevel="0" r="1345">
      <c r="A1345" s="4108" t="inlineStr">
        <is>
          <t>135792468202207129701</t>
        </is>
      </c>
      <c r="B1345" s="4108" t="inlineStr">
        <is>
          <t>129701</t>
        </is>
      </c>
      <c r="C1345" s="4108" t="inlineStr">
        <is>
          <t>135792468</t>
        </is>
      </c>
      <c r="D1345" s="4108" t="inlineStr">
        <is>
          <t>202207</t>
        </is>
      </c>
      <c r="E1345" s="4108" t="inlineStr">
        <is>
          <t>0,000000000000</t>
        </is>
      </c>
    </row>
    <row outlineLevel="0" r="1346">
      <c r="A1346" s="4108" t="inlineStr">
        <is>
          <t>135792468202207129700</t>
        </is>
      </c>
      <c r="B1346" s="4108" t="inlineStr">
        <is>
          <t>129700</t>
        </is>
      </c>
      <c r="C1346" s="4108" t="inlineStr">
        <is>
          <t>135792468</t>
        </is>
      </c>
      <c r="D1346" s="4108" t="inlineStr">
        <is>
          <t>202207</t>
        </is>
      </c>
      <c r="E1346" s="4108" t="inlineStr">
        <is>
          <t>0,000000000000</t>
        </is>
      </c>
    </row>
    <row outlineLevel="0" r="1347">
      <c r="A1347" s="4108" t="inlineStr">
        <is>
          <t>135792468202207129501</t>
        </is>
      </c>
      <c r="B1347" s="4108" t="inlineStr">
        <is>
          <t>129501</t>
        </is>
      </c>
      <c r="C1347" s="4108" t="inlineStr">
        <is>
          <t>135792468</t>
        </is>
      </c>
      <c r="D1347" s="4108" t="inlineStr">
        <is>
          <t>202207</t>
        </is>
      </c>
      <c r="E1347" s="4108" t="inlineStr">
        <is>
          <t>0,000000000000</t>
        </is>
      </c>
    </row>
    <row outlineLevel="0" r="1348">
      <c r="A1348" s="4108" t="inlineStr">
        <is>
          <t>135792468202207126001</t>
        </is>
      </c>
      <c r="B1348" s="4108" t="inlineStr">
        <is>
          <t>126001</t>
        </is>
      </c>
      <c r="C1348" s="4108" t="inlineStr">
        <is>
          <t>135792468</t>
        </is>
      </c>
      <c r="D1348" s="4108" t="inlineStr">
        <is>
          <t>202207</t>
        </is>
      </c>
      <c r="E1348" s="4108" t="inlineStr">
        <is>
          <t>0,000000000000</t>
        </is>
      </c>
    </row>
    <row outlineLevel="0" r="1349">
      <c r="A1349" s="4108" t="inlineStr">
        <is>
          <t>135792468202207123501</t>
        </is>
      </c>
      <c r="B1349" s="4108" t="inlineStr">
        <is>
          <t>123501</t>
        </is>
      </c>
      <c r="C1349" s="4108" t="inlineStr">
        <is>
          <t>135792468</t>
        </is>
      </c>
      <c r="D1349" s="4108" t="inlineStr">
        <is>
          <t>202207</t>
        </is>
      </c>
      <c r="E1349" s="4108" t="inlineStr">
        <is>
          <t>0,000000000000</t>
        </is>
      </c>
    </row>
    <row outlineLevel="0" r="1350">
      <c r="A1350" s="4108" t="inlineStr">
        <is>
          <t>135792468202207125501</t>
        </is>
      </c>
      <c r="B1350" s="4108" t="inlineStr">
        <is>
          <t>125501</t>
        </is>
      </c>
      <c r="C1350" s="4108" t="inlineStr">
        <is>
          <t>135792468</t>
        </is>
      </c>
      <c r="D1350" s="4108" t="inlineStr">
        <is>
          <t>202207</t>
        </is>
      </c>
      <c r="E1350" s="4108" t="inlineStr">
        <is>
          <t>0,000000000000</t>
        </is>
      </c>
    </row>
    <row outlineLevel="0" r="1351">
      <c r="A1351" s="4108" t="inlineStr">
        <is>
          <t>135792468202207121501</t>
        </is>
      </c>
      <c r="B1351" s="4108" t="inlineStr">
        <is>
          <t>121501</t>
        </is>
      </c>
      <c r="C1351" s="4108" t="inlineStr">
        <is>
          <t>135792468</t>
        </is>
      </c>
      <c r="D1351" s="4108" t="inlineStr">
        <is>
          <t>202207</t>
        </is>
      </c>
      <c r="E1351" s="4108" t="inlineStr">
        <is>
          <t>0,000000000000</t>
        </is>
      </c>
    </row>
    <row outlineLevel="0" r="1352">
      <c r="A1352" s="4108" t="inlineStr">
        <is>
          <t>135792468202207121001</t>
        </is>
      </c>
      <c r="B1352" s="4108" t="inlineStr">
        <is>
          <t>121001</t>
        </is>
      </c>
      <c r="C1352" s="4108" t="inlineStr">
        <is>
          <t>135792468</t>
        </is>
      </c>
      <c r="D1352" s="4108" t="inlineStr">
        <is>
          <t>202207</t>
        </is>
      </c>
      <c r="E1352" s="4108" t="inlineStr">
        <is>
          <t>0,000000000000</t>
        </is>
      </c>
    </row>
    <row outlineLevel="0" r="1353">
      <c r="A1353" s="4108" t="inlineStr">
        <is>
          <t>135792468202207120620</t>
        </is>
      </c>
      <c r="B1353" s="4108" t="inlineStr">
        <is>
          <t>120620</t>
        </is>
      </c>
      <c r="C1353" s="4108" t="inlineStr">
        <is>
          <t>135792468</t>
        </is>
      </c>
      <c r="D1353" s="4108" t="inlineStr">
        <is>
          <t>202207</t>
        </is>
      </c>
      <c r="E1353" s="4108" t="inlineStr">
        <is>
          <t>0,000000000000</t>
        </is>
      </c>
    </row>
    <row outlineLevel="0" r="1354">
      <c r="A1354" s="4108" t="inlineStr">
        <is>
          <t>135792468202207120615</t>
        </is>
      </c>
      <c r="B1354" s="4108" t="inlineStr">
        <is>
          <t>120615</t>
        </is>
      </c>
      <c r="C1354" s="4108" t="inlineStr">
        <is>
          <t>135792468</t>
        </is>
      </c>
      <c r="D1354" s="4108" t="inlineStr">
        <is>
          <t>202207</t>
        </is>
      </c>
      <c r="E1354" s="4108" t="inlineStr">
        <is>
          <t>0,000000000000</t>
        </is>
      </c>
    </row>
    <row outlineLevel="0" r="1355">
      <c r="A1355" s="4108" t="inlineStr">
        <is>
          <t>135792468202207120610</t>
        </is>
      </c>
      <c r="B1355" s="4108" t="inlineStr">
        <is>
          <t>120610</t>
        </is>
      </c>
      <c r="C1355" s="4108" t="inlineStr">
        <is>
          <t>135792468</t>
        </is>
      </c>
      <c r="D1355" s="4108" t="inlineStr">
        <is>
          <t>202207</t>
        </is>
      </c>
      <c r="E1355" s="4108" t="inlineStr">
        <is>
          <t>0,000000000000</t>
        </is>
      </c>
    </row>
    <row outlineLevel="0" r="1356">
      <c r="A1356" s="4108" t="inlineStr">
        <is>
          <t>135792468202207120501</t>
        </is>
      </c>
      <c r="B1356" s="4108" t="inlineStr">
        <is>
          <t>120501</t>
        </is>
      </c>
      <c r="C1356" s="4108" t="inlineStr">
        <is>
          <t>135792468</t>
        </is>
      </c>
      <c r="D1356" s="4108" t="inlineStr">
        <is>
          <t>202207</t>
        </is>
      </c>
      <c r="E1356" s="4108" t="inlineStr">
        <is>
          <t>0,000000000000</t>
        </is>
      </c>
    </row>
    <row outlineLevel="0" r="1357">
      <c r="A1357" s="4108" t="inlineStr">
        <is>
          <t>135792468202207120145</t>
        </is>
      </c>
      <c r="B1357" s="4108" t="inlineStr">
        <is>
          <t>120145</t>
        </is>
      </c>
      <c r="C1357" s="4108" t="inlineStr">
        <is>
          <t>135792468</t>
        </is>
      </c>
      <c r="D1357" s="4108" t="inlineStr">
        <is>
          <t>202207</t>
        </is>
      </c>
      <c r="E1357" s="4108" t="inlineStr">
        <is>
          <t>0,000000000000</t>
        </is>
      </c>
    </row>
    <row outlineLevel="0" r="1358">
      <c r="A1358" s="4108" t="inlineStr">
        <is>
          <t>135792468202207120195</t>
        </is>
      </c>
      <c r="B1358" s="4108" t="inlineStr">
        <is>
          <t>120195</t>
        </is>
      </c>
      <c r="C1358" s="4108" t="inlineStr">
        <is>
          <t>135792468</t>
        </is>
      </c>
      <c r="D1358" s="4108" t="inlineStr">
        <is>
          <t>202207</t>
        </is>
      </c>
      <c r="E1358" s="4108" t="inlineStr">
        <is>
          <t>-5577,000000000000</t>
        </is>
      </c>
    </row>
    <row outlineLevel="0" r="1359">
      <c r="A1359" s="4108" t="inlineStr">
        <is>
          <t>135792468202207120140</t>
        </is>
      </c>
      <c r="B1359" s="4108" t="inlineStr">
        <is>
          <t>120140</t>
        </is>
      </c>
      <c r="C1359" s="4108" t="inlineStr">
        <is>
          <t>135792468</t>
        </is>
      </c>
      <c r="D1359" s="4108" t="inlineStr">
        <is>
          <t>202207</t>
        </is>
      </c>
      <c r="E1359" s="4108" t="inlineStr">
        <is>
          <t>327,000000000000</t>
        </is>
      </c>
    </row>
    <row outlineLevel="0" r="1360">
      <c r="A1360" s="4108" t="inlineStr">
        <is>
          <t>135792468202207120128</t>
        </is>
      </c>
      <c r="B1360" s="4108" t="inlineStr">
        <is>
          <t>120128</t>
        </is>
      </c>
      <c r="C1360" s="4108" t="inlineStr">
        <is>
          <t>135792468</t>
        </is>
      </c>
      <c r="D1360" s="4108" t="inlineStr">
        <is>
          <t>202207</t>
        </is>
      </c>
      <c r="E1360" s="4108" t="inlineStr">
        <is>
          <t>0,000000000000</t>
        </is>
      </c>
    </row>
    <row outlineLevel="0" r="1361">
      <c r="A1361" s="4108" t="inlineStr">
        <is>
          <t>135792468202207120124</t>
        </is>
      </c>
      <c r="B1361" s="4108" t="inlineStr">
        <is>
          <t>120124</t>
        </is>
      </c>
      <c r="C1361" s="4108" t="inlineStr">
        <is>
          <t>135792468</t>
        </is>
      </c>
      <c r="D1361" s="4108" t="inlineStr">
        <is>
          <t>202207</t>
        </is>
      </c>
      <c r="E1361" s="4108" t="inlineStr">
        <is>
          <t>431,000000000000</t>
        </is>
      </c>
    </row>
    <row outlineLevel="0" r="1362">
      <c r="A1362" s="4108" t="inlineStr">
        <is>
          <t>135792468202207120120</t>
        </is>
      </c>
      <c r="B1362" s="4108" t="inlineStr">
        <is>
          <t>120120</t>
        </is>
      </c>
      <c r="C1362" s="4108" t="inlineStr">
        <is>
          <t>135792468</t>
        </is>
      </c>
      <c r="D1362" s="4108" t="inlineStr">
        <is>
          <t>202207</t>
        </is>
      </c>
      <c r="E1362" s="4108" t="inlineStr">
        <is>
          <t>0,000000000000</t>
        </is>
      </c>
    </row>
    <row outlineLevel="0" r="1363">
      <c r="A1363" s="4108" t="inlineStr">
        <is>
          <t>135792468202207120116</t>
        </is>
      </c>
      <c r="B1363" s="4108" t="inlineStr">
        <is>
          <t>120116</t>
        </is>
      </c>
      <c r="C1363" s="4108" t="inlineStr">
        <is>
          <t>135792468</t>
        </is>
      </c>
      <c r="D1363" s="4108" t="inlineStr">
        <is>
          <t>202207</t>
        </is>
      </c>
      <c r="E1363" s="4108" t="inlineStr">
        <is>
          <t>7085,000000000000</t>
        </is>
      </c>
    </row>
    <row outlineLevel="0" r="1364">
      <c r="A1364" s="4108" t="inlineStr">
        <is>
          <t>135792468202207120108</t>
        </is>
      </c>
      <c r="B1364" s="4108" t="inlineStr">
        <is>
          <t>120108</t>
        </is>
      </c>
      <c r="C1364" s="4108" t="inlineStr">
        <is>
          <t>135792468</t>
        </is>
      </c>
      <c r="D1364" s="4108" t="inlineStr">
        <is>
          <t>202207</t>
        </is>
      </c>
      <c r="E1364" s="4108" t="inlineStr">
        <is>
          <t>1909,000000000000</t>
        </is>
      </c>
    </row>
    <row outlineLevel="0" r="1365">
      <c r="A1365" s="4108" t="inlineStr">
        <is>
          <t>135792468202207111010</t>
        </is>
      </c>
      <c r="B1365" s="4108" t="inlineStr">
        <is>
          <t>111010</t>
        </is>
      </c>
      <c r="C1365" s="4108" t="inlineStr">
        <is>
          <t>135792468</t>
        </is>
      </c>
      <c r="D1365" s="4108" t="inlineStr">
        <is>
          <t>202207</t>
        </is>
      </c>
      <c r="E1365" s="4108" t="inlineStr">
        <is>
          <t>0,000000000000</t>
        </is>
      </c>
    </row>
    <row outlineLevel="0" r="1366">
      <c r="A1366" s="4108" t="inlineStr">
        <is>
          <t>135792468202207120104</t>
        </is>
      </c>
      <c r="B1366" s="4108" t="inlineStr">
        <is>
          <t>120104</t>
        </is>
      </c>
      <c r="C1366" s="4108" t="inlineStr">
        <is>
          <t>135792468</t>
        </is>
      </c>
      <c r="D1366" s="4108" t="inlineStr">
        <is>
          <t>202207</t>
        </is>
      </c>
      <c r="E1366" s="4108" t="inlineStr">
        <is>
          <t>10123,000000000000</t>
        </is>
      </c>
    </row>
    <row outlineLevel="0" r="1367">
      <c r="A1367" s="4108" t="inlineStr">
        <is>
          <t>135792468202207110495</t>
        </is>
      </c>
      <c r="B1367" s="4108" t="inlineStr">
        <is>
          <t>110495</t>
        </is>
      </c>
      <c r="C1367" s="4108" t="inlineStr">
        <is>
          <t>135792468</t>
        </is>
      </c>
      <c r="D1367" s="4108" t="inlineStr">
        <is>
          <t>202207</t>
        </is>
      </c>
      <c r="E1367" s="4108" t="inlineStr">
        <is>
          <t>0,000000000000</t>
        </is>
      </c>
    </row>
    <row outlineLevel="0" r="1368">
      <c r="A1368" s="4108" t="inlineStr">
        <is>
          <t>135792468202207110491</t>
        </is>
      </c>
      <c r="B1368" s="4108" t="inlineStr">
        <is>
          <t>110491</t>
        </is>
      </c>
      <c r="C1368" s="4108" t="inlineStr">
        <is>
          <t>135792468</t>
        </is>
      </c>
      <c r="D1368" s="4108" t="inlineStr">
        <is>
          <t>202207</t>
        </is>
      </c>
      <c r="E1368" s="4108" t="inlineStr">
        <is>
          <t>0,000000000000</t>
        </is>
      </c>
    </row>
    <row outlineLevel="0" r="1369">
      <c r="A1369" s="4108" t="inlineStr">
        <is>
          <t>135792468202207110490</t>
        </is>
      </c>
      <c r="B1369" s="4108" t="inlineStr">
        <is>
          <t>110490</t>
        </is>
      </c>
      <c r="C1369" s="4108" t="inlineStr">
        <is>
          <t>135792468</t>
        </is>
      </c>
      <c r="D1369" s="4108" t="inlineStr">
        <is>
          <t>202207</t>
        </is>
      </c>
      <c r="E1369" s="4108" t="inlineStr">
        <is>
          <t>0,000000000000</t>
        </is>
      </c>
    </row>
    <row outlineLevel="0" r="1370">
      <c r="A1370" s="4108" t="inlineStr">
        <is>
          <t>135792468202207110420</t>
        </is>
      </c>
      <c r="B1370" s="4108" t="inlineStr">
        <is>
          <t>110420</t>
        </is>
      </c>
      <c r="C1370" s="4108" t="inlineStr">
        <is>
          <t>135792468</t>
        </is>
      </c>
      <c r="D1370" s="4108" t="inlineStr">
        <is>
          <t>202207</t>
        </is>
      </c>
      <c r="E1370" s="4108" t="inlineStr">
        <is>
          <t>0,000000000000</t>
        </is>
      </c>
    </row>
    <row outlineLevel="0" r="1371">
      <c r="A1371" s="4108" t="inlineStr">
        <is>
          <t>135792468202207110415</t>
        </is>
      </c>
      <c r="B1371" s="4108" t="inlineStr">
        <is>
          <t>110415</t>
        </is>
      </c>
      <c r="C1371" s="4108" t="inlineStr">
        <is>
          <t>135792468</t>
        </is>
      </c>
      <c r="D1371" s="4108" t="inlineStr">
        <is>
          <t>202207</t>
        </is>
      </c>
      <c r="E1371" s="4108" t="inlineStr">
        <is>
          <t>0,000000000000</t>
        </is>
      </c>
    </row>
    <row outlineLevel="0" r="1372">
      <c r="A1372" s="4108" t="inlineStr">
        <is>
          <t>135792468202207110410</t>
        </is>
      </c>
      <c r="B1372" s="4108" t="inlineStr">
        <is>
          <t>110410</t>
        </is>
      </c>
      <c r="C1372" s="4108" t="inlineStr">
        <is>
          <t>135792468</t>
        </is>
      </c>
      <c r="D1372" s="4108" t="inlineStr">
        <is>
          <t>202207</t>
        </is>
      </c>
      <c r="E1372" s="4108" t="inlineStr">
        <is>
          <t>0,000000000000</t>
        </is>
      </c>
    </row>
    <row outlineLevel="0" r="1373">
      <c r="A1373" s="4108" t="inlineStr">
        <is>
          <t>135792468202207110395</t>
        </is>
      </c>
      <c r="B1373" s="4108" t="inlineStr">
        <is>
          <t>110395</t>
        </is>
      </c>
      <c r="C1373" s="4108" t="inlineStr">
        <is>
          <t>135792468</t>
        </is>
      </c>
      <c r="D1373" s="4108" t="inlineStr">
        <is>
          <t>202207</t>
        </is>
      </c>
      <c r="E1373" s="4108" t="inlineStr">
        <is>
          <t>0,000000000000</t>
        </is>
      </c>
    </row>
    <row outlineLevel="0" r="1374">
      <c r="A1374" s="4108" t="inlineStr">
        <is>
          <t>135792468202207110405</t>
        </is>
      </c>
      <c r="B1374" s="4108" t="inlineStr">
        <is>
          <t>110405</t>
        </is>
      </c>
      <c r="C1374" s="4108" t="inlineStr">
        <is>
          <t>135792468</t>
        </is>
      </c>
      <c r="D1374" s="4108" t="inlineStr">
        <is>
          <t>202207</t>
        </is>
      </c>
      <c r="E1374" s="4108" t="inlineStr">
        <is>
          <t>0,000000000000</t>
        </is>
      </c>
    </row>
    <row outlineLevel="0" r="1375">
      <c r="A1375" s="4108" t="inlineStr">
        <is>
          <t>135792468202207110390</t>
        </is>
      </c>
      <c r="B1375" s="4108" t="inlineStr">
        <is>
          <t>110390</t>
        </is>
      </c>
      <c r="C1375" s="4108" t="inlineStr">
        <is>
          <t>135792468</t>
        </is>
      </c>
      <c r="D1375" s="4108" t="inlineStr">
        <is>
          <t>202207</t>
        </is>
      </c>
      <c r="E1375" s="4108" t="inlineStr">
        <is>
          <t>0,000000000000</t>
        </is>
      </c>
    </row>
    <row outlineLevel="0" r="1376">
      <c r="A1376" s="4108" t="inlineStr">
        <is>
          <t>135792468202207110305</t>
        </is>
      </c>
      <c r="B1376" s="4108" t="inlineStr">
        <is>
          <t>110305</t>
        </is>
      </c>
      <c r="C1376" s="4108" t="inlineStr">
        <is>
          <t>135792468</t>
        </is>
      </c>
      <c r="D1376" s="4108" t="inlineStr">
        <is>
          <t>202207</t>
        </is>
      </c>
      <c r="E1376" s="4108" t="inlineStr">
        <is>
          <t>161,000000000000</t>
        </is>
      </c>
    </row>
    <row outlineLevel="0" r="1377">
      <c r="A1377" s="4108" t="inlineStr">
        <is>
          <t>135792468202207110260</t>
        </is>
      </c>
      <c r="B1377" s="4108" t="inlineStr">
        <is>
          <t>110260</t>
        </is>
      </c>
      <c r="C1377" s="4108" t="inlineStr">
        <is>
          <t>135792468</t>
        </is>
      </c>
      <c r="D1377" s="4108" t="inlineStr">
        <is>
          <t>202207</t>
        </is>
      </c>
      <c r="E1377" s="4108" t="inlineStr">
        <is>
          <t>0,000000000000</t>
        </is>
      </c>
    </row>
    <row outlineLevel="0" r="1378">
      <c r="A1378" s="4108" t="inlineStr">
        <is>
          <t>135792468202207110255</t>
        </is>
      </c>
      <c r="B1378" s="4108" t="inlineStr">
        <is>
          <t>110255</t>
        </is>
      </c>
      <c r="C1378" s="4108" t="inlineStr">
        <is>
          <t>135792468</t>
        </is>
      </c>
      <c r="D1378" s="4108" t="inlineStr">
        <is>
          <t>202207</t>
        </is>
      </c>
      <c r="E1378" s="4108" t="inlineStr">
        <is>
          <t>0,000000000000</t>
        </is>
      </c>
    </row>
    <row outlineLevel="0" r="1379">
      <c r="A1379" s="4108" t="inlineStr">
        <is>
          <t>135792468202207110235</t>
        </is>
      </c>
      <c r="B1379" s="4108" t="inlineStr">
        <is>
          <t>110235</t>
        </is>
      </c>
      <c r="C1379" s="4108" t="inlineStr">
        <is>
          <t>135792468</t>
        </is>
      </c>
      <c r="D1379" s="4108" t="inlineStr">
        <is>
          <t>202207</t>
        </is>
      </c>
      <c r="E1379" s="4108" t="inlineStr">
        <is>
          <t>0,000000000000</t>
        </is>
      </c>
    </row>
    <row outlineLevel="0" r="1380">
      <c r="A1380" s="4108" t="inlineStr">
        <is>
          <t>135792468202207110225</t>
        </is>
      </c>
      <c r="B1380" s="4108" t="inlineStr">
        <is>
          <t>110225</t>
        </is>
      </c>
      <c r="C1380" s="4108" t="inlineStr">
        <is>
          <t>135792468</t>
        </is>
      </c>
      <c r="D1380" s="4108" t="inlineStr">
        <is>
          <t>202207</t>
        </is>
      </c>
      <c r="E1380" s="4108" t="inlineStr">
        <is>
          <t>0,000000000000</t>
        </is>
      </c>
    </row>
    <row outlineLevel="0" r="1381">
      <c r="A1381" s="4108" t="inlineStr">
        <is>
          <t>135792468202207110210</t>
        </is>
      </c>
      <c r="B1381" s="4108" t="inlineStr">
        <is>
          <t>110210</t>
        </is>
      </c>
      <c r="C1381" s="4108" t="inlineStr">
        <is>
          <t>135792468</t>
        </is>
      </c>
      <c r="D1381" s="4108" t="inlineStr">
        <is>
          <t>202207</t>
        </is>
      </c>
      <c r="E1381" s="4108" t="inlineStr">
        <is>
          <t>0,000000000000</t>
        </is>
      </c>
    </row>
    <row outlineLevel="0" r="1382">
      <c r="A1382" s="4108" t="inlineStr">
        <is>
          <t>135792468202207110215</t>
        </is>
      </c>
      <c r="B1382" s="4108" t="inlineStr">
        <is>
          <t>110215</t>
        </is>
      </c>
      <c r="C1382" s="4108" t="inlineStr">
        <is>
          <t>135792468</t>
        </is>
      </c>
      <c r="D1382" s="4108" t="inlineStr">
        <is>
          <t>202207</t>
        </is>
      </c>
      <c r="E1382" s="4108" t="inlineStr">
        <is>
          <t>0,000000000000</t>
        </is>
      </c>
    </row>
    <row outlineLevel="0" r="1383">
      <c r="A1383" s="4108" t="inlineStr">
        <is>
          <t>135792468202207110205</t>
        </is>
      </c>
      <c r="B1383" s="4108" t="inlineStr">
        <is>
          <t>110205</t>
        </is>
      </c>
      <c r="C1383" s="4108" t="inlineStr">
        <is>
          <t>135792468</t>
        </is>
      </c>
      <c r="D1383" s="4108" t="inlineStr">
        <is>
          <t>202207</t>
        </is>
      </c>
      <c r="E1383" s="4108" t="inlineStr">
        <is>
          <t>0,000000000000</t>
        </is>
      </c>
    </row>
    <row outlineLevel="0" r="1384">
      <c r="A1384" s="4108" t="inlineStr">
        <is>
          <t>135792468202207110130</t>
        </is>
      </c>
      <c r="B1384" s="4108" t="inlineStr">
        <is>
          <t>110130</t>
        </is>
      </c>
      <c r="C1384" s="4108" t="inlineStr">
        <is>
          <t>135792468</t>
        </is>
      </c>
      <c r="D1384" s="4108" t="inlineStr">
        <is>
          <t>202207</t>
        </is>
      </c>
      <c r="E1384" s="4108" t="inlineStr">
        <is>
          <t>0,000000000000</t>
        </is>
      </c>
    </row>
    <row outlineLevel="0" r="1385">
      <c r="A1385" s="4108" t="inlineStr">
        <is>
          <t>135792468202207110125</t>
        </is>
      </c>
      <c r="B1385" s="4108" t="inlineStr">
        <is>
          <t>110125</t>
        </is>
      </c>
      <c r="C1385" s="4108" t="inlineStr">
        <is>
          <t>135792468</t>
        </is>
      </c>
      <c r="D1385" s="4108" t="inlineStr">
        <is>
          <t>202207</t>
        </is>
      </c>
      <c r="E1385" s="4108" t="inlineStr">
        <is>
          <t>0,000000000000</t>
        </is>
      </c>
    </row>
    <row outlineLevel="0" r="1386">
      <c r="A1386" s="4108" t="inlineStr">
        <is>
          <t>135792468202207110110</t>
        </is>
      </c>
      <c r="B1386" s="4108" t="inlineStr">
        <is>
          <t>110110</t>
        </is>
      </c>
      <c r="C1386" s="4108" t="inlineStr">
        <is>
          <t>135792468</t>
        </is>
      </c>
      <c r="D1386" s="4108" t="inlineStr">
        <is>
          <t>202207</t>
        </is>
      </c>
      <c r="E1386" s="4108" t="inlineStr">
        <is>
          <t>0,000000000000</t>
        </is>
      </c>
    </row>
    <row outlineLevel="0" r="1387">
      <c r="A1387" s="4108" t="inlineStr">
        <is>
          <t>135792468202207110105</t>
        </is>
      </c>
      <c r="B1387" s="4108" t="inlineStr">
        <is>
          <t>110105</t>
        </is>
      </c>
      <c r="C1387" s="4108" t="inlineStr">
        <is>
          <t>135792468</t>
        </is>
      </c>
      <c r="D1387" s="4108" t="inlineStr">
        <is>
          <t>202207</t>
        </is>
      </c>
      <c r="E1387" s="4108" t="inlineStr">
        <is>
          <t>243,000000000000</t>
        </is>
      </c>
    </row>
    <row outlineLevel="0" r="1388">
      <c r="A1388" s="4108" t="inlineStr">
        <is>
          <t>135792468202207109801</t>
        </is>
      </c>
      <c r="B1388" s="4108" t="inlineStr">
        <is>
          <t>109801</t>
        </is>
      </c>
      <c r="C1388" s="4108" t="inlineStr">
        <is>
          <t>135792468</t>
        </is>
      </c>
      <c r="D1388" s="4108" t="inlineStr">
        <is>
          <t>202207</t>
        </is>
      </c>
      <c r="E1388" s="4108" t="inlineStr">
        <is>
          <t>0,000000000000</t>
        </is>
      </c>
    </row>
    <row outlineLevel="0" r="1389">
      <c r="A1389" s="4108" t="inlineStr">
        <is>
          <t>135792468202207108300</t>
        </is>
      </c>
      <c r="B1389" s="4108" t="inlineStr">
        <is>
          <t>108300</t>
        </is>
      </c>
      <c r="C1389" s="4108" t="inlineStr">
        <is>
          <t>135792468</t>
        </is>
      </c>
      <c r="D1389" s="4108" t="inlineStr">
        <is>
          <t>202207</t>
        </is>
      </c>
      <c r="E1389" s="4108" t="inlineStr">
        <is>
          <t>0,000000000000</t>
        </is>
      </c>
    </row>
    <row outlineLevel="0" r="1390">
      <c r="A1390" s="4108" t="inlineStr">
        <is>
          <t>135792468202207108400</t>
        </is>
      </c>
      <c r="B1390" s="4108" t="inlineStr">
        <is>
          <t>108400</t>
        </is>
      </c>
      <c r="C1390" s="4108" t="inlineStr">
        <is>
          <t>135792468</t>
        </is>
      </c>
      <c r="D1390" s="4108" t="inlineStr">
        <is>
          <t>202207</t>
        </is>
      </c>
      <c r="E1390" s="4108" t="inlineStr">
        <is>
          <t>0,000000000000</t>
        </is>
      </c>
    </row>
    <row outlineLevel="0" r="1391">
      <c r="A1391" s="4108" t="inlineStr">
        <is>
          <t>135792468202207108200</t>
        </is>
      </c>
      <c r="B1391" s="4108" t="inlineStr">
        <is>
          <t>108200</t>
        </is>
      </c>
      <c r="C1391" s="4108" t="inlineStr">
        <is>
          <t>135792468</t>
        </is>
      </c>
      <c r="D1391" s="4108" t="inlineStr">
        <is>
          <t>202207</t>
        </is>
      </c>
      <c r="E1391" s="4108" t="inlineStr">
        <is>
          <t>0,000000000000</t>
        </is>
      </c>
    </row>
    <row outlineLevel="0" r="1392">
      <c r="A1392" s="4108" t="inlineStr">
        <is>
          <t>135792468202207108100</t>
        </is>
      </c>
      <c r="B1392" s="4108" t="inlineStr">
        <is>
          <t>108100</t>
        </is>
      </c>
      <c r="C1392" s="4108" t="inlineStr">
        <is>
          <t>135792468</t>
        </is>
      </c>
      <c r="D1392" s="4108" t="inlineStr">
        <is>
          <t>202207</t>
        </is>
      </c>
      <c r="E1392" s="4108" t="inlineStr">
        <is>
          <t>0,000000000000</t>
        </is>
      </c>
    </row>
    <row outlineLevel="0" r="1393">
      <c r="A1393" s="4108" t="inlineStr">
        <is>
          <t>135792468202207108000</t>
        </is>
      </c>
      <c r="B1393" s="4108" t="inlineStr">
        <is>
          <t>108000</t>
        </is>
      </c>
      <c r="C1393" s="4108" t="inlineStr">
        <is>
          <t>135792468</t>
        </is>
      </c>
      <c r="D1393" s="4108" t="inlineStr">
        <is>
          <t>202207</t>
        </is>
      </c>
      <c r="E1393" s="4108" t="inlineStr">
        <is>
          <t>0,000000000000</t>
        </is>
      </c>
    </row>
    <row outlineLevel="0" r="1394">
      <c r="A1394" s="4108" t="inlineStr">
        <is>
          <t>1357924682022075301</t>
        </is>
      </c>
      <c r="B1394" s="4108" t="inlineStr">
        <is>
          <t>5301</t>
        </is>
      </c>
      <c r="C1394" s="4108" t="inlineStr">
        <is>
          <t>135792468</t>
        </is>
      </c>
      <c r="D1394" s="4108" t="inlineStr">
        <is>
          <t>202207</t>
        </is>
      </c>
      <c r="E1394" s="4108" t="inlineStr">
        <is>
          <t>690,000000000000</t>
        </is>
      </c>
    </row>
    <row outlineLevel="0" r="1395">
      <c r="A1395" s="4108" t="inlineStr">
        <is>
          <t>1357924682022072209</t>
        </is>
      </c>
      <c r="B1395" s="4108" t="inlineStr">
        <is>
          <t>2209</t>
        </is>
      </c>
      <c r="C1395" s="4108" t="inlineStr">
        <is>
          <t>135792468</t>
        </is>
      </c>
      <c r="D1395" s="4108" t="inlineStr">
        <is>
          <t>202207</t>
        </is>
      </c>
      <c r="E1395" s="4108" t="inlineStr">
        <is>
          <t>0,000000000000</t>
        </is>
      </c>
    </row>
    <row outlineLevel="0" r="1396">
      <c r="A1396" s="4108" t="inlineStr">
        <is>
          <t>1357924682022072207</t>
        </is>
      </c>
      <c r="B1396" s="4108" t="inlineStr">
        <is>
          <t>2207</t>
        </is>
      </c>
      <c r="C1396" s="4108" t="inlineStr">
        <is>
          <t>135792468</t>
        </is>
      </c>
      <c r="D1396" s="4108" t="inlineStr">
        <is>
          <t>202207</t>
        </is>
      </c>
      <c r="E1396" s="4108" t="inlineStr">
        <is>
          <t>0,000000000000</t>
        </is>
      </c>
    </row>
    <row outlineLevel="0" r="1397">
      <c r="A1397" s="4108" t="inlineStr">
        <is>
          <t>1357924682022072204</t>
        </is>
      </c>
      <c r="B1397" s="4108" t="inlineStr">
        <is>
          <t>2204</t>
        </is>
      </c>
      <c r="C1397" s="4108" t="inlineStr">
        <is>
          <t>135792468</t>
        </is>
      </c>
      <c r="D1397" s="4108" t="inlineStr">
        <is>
          <t>202207</t>
        </is>
      </c>
      <c r="E1397" s="4108" t="inlineStr">
        <is>
          <t>0,000000000000</t>
        </is>
      </c>
    </row>
    <row outlineLevel="0" r="1398">
      <c r="A1398" s="4108" t="inlineStr">
        <is>
          <t>1357924682022072206</t>
        </is>
      </c>
      <c r="B1398" s="4108" t="inlineStr">
        <is>
          <t>2206</t>
        </is>
      </c>
      <c r="C1398" s="4108" t="inlineStr">
        <is>
          <t>135792468</t>
        </is>
      </c>
      <c r="D1398" s="4108" t="inlineStr">
        <is>
          <t>202207</t>
        </is>
      </c>
      <c r="E1398" s="4108" t="inlineStr">
        <is>
          <t>12,000000000000</t>
        </is>
      </c>
    </row>
    <row outlineLevel="0" r="1399">
      <c r="A1399" s="4108" t="inlineStr">
        <is>
          <t>1357924682022072203</t>
        </is>
      </c>
      <c r="B1399" s="4108" t="inlineStr">
        <is>
          <t>2203</t>
        </is>
      </c>
      <c r="C1399" s="4108" t="inlineStr">
        <is>
          <t>135792468</t>
        </is>
      </c>
      <c r="D1399" s="4108" t="inlineStr">
        <is>
          <t>202207</t>
        </is>
      </c>
      <c r="E1399" s="4108" t="inlineStr">
        <is>
          <t>0,000000000000</t>
        </is>
      </c>
    </row>
    <row outlineLevel="0" r="1400">
      <c r="A1400" s="4108" t="inlineStr">
        <is>
          <t>1357924682022072201</t>
        </is>
      </c>
      <c r="B1400" s="4108" t="inlineStr">
        <is>
          <t>2201</t>
        </is>
      </c>
      <c r="C1400" s="4108" t="inlineStr">
        <is>
          <t>135792468</t>
        </is>
      </c>
      <c r="D1400" s="4108" t="inlineStr">
        <is>
          <t>202207</t>
        </is>
      </c>
      <c r="E1400" s="4108" t="inlineStr">
        <is>
          <t>9696,000000000000</t>
        </is>
      </c>
    </row>
    <row outlineLevel="0" r="1401">
      <c r="A1401" s="4108" t="inlineStr">
        <is>
          <t>1357924682022072109</t>
        </is>
      </c>
      <c r="B1401" s="4108" t="inlineStr">
        <is>
          <t>2109</t>
        </is>
      </c>
      <c r="C1401" s="4108" t="inlineStr">
        <is>
          <t>135792468</t>
        </is>
      </c>
      <c r="D1401" s="4108" t="inlineStr">
        <is>
          <t>202207</t>
        </is>
      </c>
      <c r="E1401" s="4108" t="inlineStr">
        <is>
          <t>0,000000000000</t>
        </is>
      </c>
    </row>
    <row outlineLevel="0" r="1402">
      <c r="A1402" s="4108" t="inlineStr">
        <is>
          <t>1357924682022072107</t>
        </is>
      </c>
      <c r="B1402" s="4108" t="inlineStr">
        <is>
          <t>2107</t>
        </is>
      </c>
      <c r="C1402" s="4108" t="inlineStr">
        <is>
          <t>135792468</t>
        </is>
      </c>
      <c r="D1402" s="4108" t="inlineStr">
        <is>
          <t>202207</t>
        </is>
      </c>
      <c r="E1402" s="4108" t="inlineStr">
        <is>
          <t>187,000000000000</t>
        </is>
      </c>
    </row>
    <row outlineLevel="0" r="1403">
      <c r="A1403" s="4108" t="inlineStr">
        <is>
          <t>1357924682022072106</t>
        </is>
      </c>
      <c r="B1403" s="4108" t="inlineStr">
        <is>
          <t>2106</t>
        </is>
      </c>
      <c r="C1403" s="4108" t="inlineStr">
        <is>
          <t>135792468</t>
        </is>
      </c>
      <c r="D1403" s="4108" t="inlineStr">
        <is>
          <t>202207</t>
        </is>
      </c>
      <c r="E1403" s="4108" t="inlineStr">
        <is>
          <t>0,000000000000</t>
        </is>
      </c>
    </row>
    <row outlineLevel="0" r="1404">
      <c r="A1404" s="4108" t="inlineStr">
        <is>
          <t>1357924682022072105</t>
        </is>
      </c>
      <c r="B1404" s="4108" t="inlineStr">
        <is>
          <t>2105</t>
        </is>
      </c>
      <c r="C1404" s="4108" t="inlineStr">
        <is>
          <t>135792468</t>
        </is>
      </c>
      <c r="D1404" s="4108" t="inlineStr">
        <is>
          <t>202207</t>
        </is>
      </c>
      <c r="E1404" s="4108" t="inlineStr">
        <is>
          <t>65,000000000000</t>
        </is>
      </c>
    </row>
    <row outlineLevel="0" r="1405">
      <c r="A1405" s="4108" t="inlineStr">
        <is>
          <t>1357924682022072103</t>
        </is>
      </c>
      <c r="B1405" s="4108" t="inlineStr">
        <is>
          <t>2103</t>
        </is>
      </c>
      <c r="C1405" s="4108" t="inlineStr">
        <is>
          <t>135792468</t>
        </is>
      </c>
      <c r="D1405" s="4108" t="inlineStr">
        <is>
          <t>202207</t>
        </is>
      </c>
      <c r="E1405" s="4108" t="inlineStr">
        <is>
          <t>4544,000000000000</t>
        </is>
      </c>
    </row>
    <row outlineLevel="0" r="1406">
      <c r="A1406" s="4108" t="inlineStr">
        <is>
          <t>1357924682022072104</t>
        </is>
      </c>
      <c r="B1406" s="4108" t="inlineStr">
        <is>
          <t>2104</t>
        </is>
      </c>
      <c r="C1406" s="4108" t="inlineStr">
        <is>
          <t>135792468</t>
        </is>
      </c>
      <c r="D1406" s="4108" t="inlineStr">
        <is>
          <t>202207</t>
        </is>
      </c>
      <c r="E1406" s="4108" t="inlineStr">
        <is>
          <t>0,000000000000</t>
        </is>
      </c>
    </row>
    <row outlineLevel="0" r="1407">
      <c r="A1407" s="4108" t="inlineStr">
        <is>
          <t>1357924682022072102</t>
        </is>
      </c>
      <c r="B1407" s="4108" t="inlineStr">
        <is>
          <t>2102</t>
        </is>
      </c>
      <c r="C1407" s="4108" t="inlineStr">
        <is>
          <t>135792468</t>
        </is>
      </c>
      <c r="D1407" s="4108" t="inlineStr">
        <is>
          <t>202207</t>
        </is>
      </c>
      <c r="E1407" s="4108" t="inlineStr">
        <is>
          <t>0,000000000000</t>
        </is>
      </c>
    </row>
    <row outlineLevel="0" r="1408">
      <c r="A1408" s="4108" t="inlineStr">
        <is>
          <t>1357924682022072101</t>
        </is>
      </c>
      <c r="B1408" s="4108" t="inlineStr">
        <is>
          <t>2101</t>
        </is>
      </c>
      <c r="C1408" s="4108" t="inlineStr">
        <is>
          <t>135792468</t>
        </is>
      </c>
      <c r="D1408" s="4108" t="inlineStr">
        <is>
          <t>202207</t>
        </is>
      </c>
      <c r="E1408" s="4108" t="inlineStr">
        <is>
          <t>617,000000000000</t>
        </is>
      </c>
    </row>
    <row outlineLevel="0" r="1409">
      <c r="A1409" s="4108" t="inlineStr">
        <is>
          <t>1357924682022071208</t>
        </is>
      </c>
      <c r="B1409" s="4108" t="inlineStr">
        <is>
          <t>1208</t>
        </is>
      </c>
      <c r="C1409" s="4108" t="inlineStr">
        <is>
          <t>135792468</t>
        </is>
      </c>
      <c r="D1409" s="4108" t="inlineStr">
        <is>
          <t>202207</t>
        </is>
      </c>
      <c r="E1409" s="4108" t="inlineStr">
        <is>
          <t>0,000000000000</t>
        </is>
      </c>
    </row>
    <row outlineLevel="0" r="1410">
      <c r="A1410" s="4108" t="inlineStr">
        <is>
          <t>1357924682022071207</t>
        </is>
      </c>
      <c r="B1410" s="4108" t="inlineStr">
        <is>
          <t>1207</t>
        </is>
      </c>
      <c r="C1410" s="4108" t="inlineStr">
        <is>
          <t>135792468</t>
        </is>
      </c>
      <c r="D1410" s="4108" t="inlineStr">
        <is>
          <t>202207</t>
        </is>
      </c>
      <c r="E1410" s="4108" t="inlineStr">
        <is>
          <t>3862,000000000000</t>
        </is>
      </c>
    </row>
    <row outlineLevel="0" r="1411">
      <c r="A1411" s="4108" t="inlineStr">
        <is>
          <t>1357924682022071206</t>
        </is>
      </c>
      <c r="B1411" s="4108" t="inlineStr">
        <is>
          <t>1206</t>
        </is>
      </c>
      <c r="C1411" s="4108" t="inlineStr">
        <is>
          <t>135792468</t>
        </is>
      </c>
      <c r="D1411" s="4108" t="inlineStr">
        <is>
          <t>202207</t>
        </is>
      </c>
      <c r="E1411" s="4108" t="inlineStr">
        <is>
          <t>0,000000000000</t>
        </is>
      </c>
    </row>
    <row outlineLevel="0" r="1412">
      <c r="A1412" s="4108" t="inlineStr">
        <is>
          <t>1357924682022071205</t>
        </is>
      </c>
      <c r="B1412" s="4108" t="inlineStr">
        <is>
          <t>1205</t>
        </is>
      </c>
      <c r="C1412" s="4108" t="inlineStr">
        <is>
          <t>135792468</t>
        </is>
      </c>
      <c r="D1412" s="4108" t="inlineStr">
        <is>
          <t>202207</t>
        </is>
      </c>
      <c r="E1412" s="4108" t="inlineStr">
        <is>
          <t>0,000000000000</t>
        </is>
      </c>
    </row>
    <row outlineLevel="0" r="1413">
      <c r="A1413" s="4108" t="inlineStr">
        <is>
          <t>1357924682022071202</t>
        </is>
      </c>
      <c r="B1413" s="4108" t="inlineStr">
        <is>
          <t>1202</t>
        </is>
      </c>
      <c r="C1413" s="4108" t="inlineStr">
        <is>
          <t>135792468</t>
        </is>
      </c>
      <c r="D1413" s="4108" t="inlineStr">
        <is>
          <t>202207</t>
        </is>
      </c>
      <c r="E1413" s="4108" t="inlineStr">
        <is>
          <t>0,000000000000</t>
        </is>
      </c>
    </row>
    <row outlineLevel="0" r="1414">
      <c r="A1414" s="4108" t="inlineStr">
        <is>
          <t>1357924682022071203</t>
        </is>
      </c>
      <c r="B1414" s="4108" t="inlineStr">
        <is>
          <t>1203</t>
        </is>
      </c>
      <c r="C1414" s="4108" t="inlineStr">
        <is>
          <t>135792468</t>
        </is>
      </c>
      <c r="D1414" s="4108" t="inlineStr">
        <is>
          <t>202207</t>
        </is>
      </c>
      <c r="E1414" s="4108" t="inlineStr">
        <is>
          <t>0,000000000000</t>
        </is>
      </c>
    </row>
    <row outlineLevel="0" r="1415">
      <c r="A1415" s="4108" t="inlineStr">
        <is>
          <t>1357924682022071201</t>
        </is>
      </c>
      <c r="B1415" s="4108" t="inlineStr">
        <is>
          <t>1201</t>
        </is>
      </c>
      <c r="C1415" s="4108" t="inlineStr">
        <is>
          <t>135792468</t>
        </is>
      </c>
      <c r="D1415" s="4108" t="inlineStr">
        <is>
          <t>202207</t>
        </is>
      </c>
      <c r="E1415" s="4108" t="inlineStr">
        <is>
          <t>14298,000000000000</t>
        </is>
      </c>
    </row>
    <row outlineLevel="0" r="1416">
      <c r="A1416" s="4108" t="inlineStr">
        <is>
          <t>1357924682022071107</t>
        </is>
      </c>
      <c r="B1416" s="4108" t="inlineStr">
        <is>
          <t>1107</t>
        </is>
      </c>
      <c r="C1416" s="4108" t="inlineStr">
        <is>
          <t>135792468</t>
        </is>
      </c>
      <c r="D1416" s="4108" t="inlineStr">
        <is>
          <t>202207</t>
        </is>
      </c>
      <c r="E1416" s="4108" t="inlineStr">
        <is>
          <t>0,000000000000</t>
        </is>
      </c>
    </row>
    <row outlineLevel="0" r="1417">
      <c r="A1417" s="4108" t="inlineStr">
        <is>
          <t>1357924682022071106</t>
        </is>
      </c>
      <c r="B1417" s="4108" t="inlineStr">
        <is>
          <t>1106</t>
        </is>
      </c>
      <c r="C1417" s="4108" t="inlineStr">
        <is>
          <t>135792468</t>
        </is>
      </c>
      <c r="D1417" s="4108" t="inlineStr">
        <is>
          <t>202207</t>
        </is>
      </c>
      <c r="E1417" s="4108" t="inlineStr">
        <is>
          <t>43,000000000000</t>
        </is>
      </c>
    </row>
    <row outlineLevel="0" r="1418">
      <c r="A1418" s="4108" t="inlineStr">
        <is>
          <t>1357924682022071104</t>
        </is>
      </c>
      <c r="B1418" s="4108" t="inlineStr">
        <is>
          <t>1104</t>
        </is>
      </c>
      <c r="C1418" s="4108" t="inlineStr">
        <is>
          <t>135792468</t>
        </is>
      </c>
      <c r="D1418" s="4108" t="inlineStr">
        <is>
          <t>202207</t>
        </is>
      </c>
      <c r="E1418" s="4108" t="inlineStr">
        <is>
          <t>0,000000000000</t>
        </is>
      </c>
    </row>
    <row outlineLevel="0" r="1419">
      <c r="A1419" s="4108" t="inlineStr">
        <is>
          <t>1357924682022071103</t>
        </is>
      </c>
      <c r="B1419" s="4108" t="inlineStr">
        <is>
          <t>1103</t>
        </is>
      </c>
      <c r="C1419" s="4108" t="inlineStr">
        <is>
          <t>135792468</t>
        </is>
      </c>
      <c r="D1419" s="4108" t="inlineStr">
        <is>
          <t>202207</t>
        </is>
      </c>
      <c r="E1419" s="4108" t="inlineStr">
        <is>
          <t>161,000000000000</t>
        </is>
      </c>
    </row>
    <row outlineLevel="0" r="1420">
      <c r="A1420" s="4108" t="inlineStr">
        <is>
          <t>1357924682022071102</t>
        </is>
      </c>
      <c r="B1420" s="4108" t="inlineStr">
        <is>
          <t>1102</t>
        </is>
      </c>
      <c r="C1420" s="4108" t="inlineStr">
        <is>
          <t>135792468</t>
        </is>
      </c>
      <c r="D1420" s="4108" t="inlineStr">
        <is>
          <t>202207</t>
        </is>
      </c>
      <c r="E1420" s="4108" t="inlineStr">
        <is>
          <t>0,000000000000</t>
        </is>
      </c>
    </row>
    <row outlineLevel="0" r="1421">
      <c r="A1421" s="4108" t="inlineStr">
        <is>
          <t>13579246820220799</t>
        </is>
      </c>
      <c r="B1421" s="4108" t="inlineStr">
        <is>
          <t>99</t>
        </is>
      </c>
      <c r="C1421" s="4108" t="inlineStr">
        <is>
          <t>135792468</t>
        </is>
      </c>
      <c r="D1421" s="4108" t="inlineStr">
        <is>
          <t>202207</t>
        </is>
      </c>
      <c r="E1421" s="4108" t="inlineStr">
        <is>
          <t>427,000000000000</t>
        </is>
      </c>
    </row>
    <row outlineLevel="0" r="1422">
      <c r="A1422" s="4108" t="inlineStr">
        <is>
          <t>1357924682022071101</t>
        </is>
      </c>
      <c r="B1422" s="4108" t="inlineStr">
        <is>
          <t>1101</t>
        </is>
      </c>
      <c r="C1422" s="4108" t="inlineStr">
        <is>
          <t>135792468</t>
        </is>
      </c>
      <c r="D1422" s="4108" t="inlineStr">
        <is>
          <t>202207</t>
        </is>
      </c>
      <c r="E1422" s="4108" t="inlineStr">
        <is>
          <t>243,000000000000</t>
        </is>
      </c>
    </row>
    <row outlineLevel="0" r="1423">
      <c r="A1423" s="4108" t="inlineStr">
        <is>
          <t>13579246820220798</t>
        </is>
      </c>
      <c r="B1423" s="4108" t="inlineStr">
        <is>
          <t>98</t>
        </is>
      </c>
      <c r="C1423" s="4108" t="inlineStr">
        <is>
          <t>135792468</t>
        </is>
      </c>
      <c r="D1423" s="4108" t="inlineStr">
        <is>
          <t>202207</t>
        </is>
      </c>
      <c r="E1423" s="4108" t="inlineStr">
        <is>
          <t>0,000000000000</t>
        </is>
      </c>
    </row>
    <row outlineLevel="0" r="1424">
      <c r="A1424" s="4108" t="inlineStr">
        <is>
          <t>13579246820220797</t>
        </is>
      </c>
      <c r="B1424" s="4108" t="inlineStr">
        <is>
          <t>97</t>
        </is>
      </c>
      <c r="C1424" s="4108" t="inlineStr">
        <is>
          <t>135792468</t>
        </is>
      </c>
      <c r="D1424" s="4108" t="inlineStr">
        <is>
          <t>202207</t>
        </is>
      </c>
      <c r="E1424" s="4108" t="inlineStr">
        <is>
          <t>427,000000000000</t>
        </is>
      </c>
    </row>
    <row outlineLevel="0" r="1425">
      <c r="A1425" s="4108" t="inlineStr">
        <is>
          <t>13579246820220796</t>
        </is>
      </c>
      <c r="B1425" s="4108" t="inlineStr">
        <is>
          <t>96</t>
        </is>
      </c>
      <c r="C1425" s="4108" t="inlineStr">
        <is>
          <t>135792468</t>
        </is>
      </c>
      <c r="D1425" s="4108" t="inlineStr">
        <is>
          <t>202207</t>
        </is>
      </c>
      <c r="E1425" s="4108" t="inlineStr">
        <is>
          <t>1117,000000000000</t>
        </is>
      </c>
    </row>
    <row outlineLevel="0" r="1426">
      <c r="A1426" s="4108" t="inlineStr">
        <is>
          <t>13579246820220795</t>
        </is>
      </c>
      <c r="B1426" s="4108" t="inlineStr">
        <is>
          <t>95</t>
        </is>
      </c>
      <c r="C1426" s="4108" t="inlineStr">
        <is>
          <t>135792468</t>
        </is>
      </c>
      <c r="D1426" s="4108" t="inlineStr">
        <is>
          <t>202207</t>
        </is>
      </c>
      <c r="E1426" s="4108" t="inlineStr">
        <is>
          <t>5017,000000000000</t>
        </is>
      </c>
    </row>
    <row outlineLevel="0" r="1427">
      <c r="A1427" s="4108" t="inlineStr">
        <is>
          <t>13579246820220761</t>
        </is>
      </c>
      <c r="B1427" s="4108" t="inlineStr">
        <is>
          <t>61</t>
        </is>
      </c>
      <c r="C1427" s="4108" t="inlineStr">
        <is>
          <t>135792468</t>
        </is>
      </c>
      <c r="D1427" s="4108" t="inlineStr">
        <is>
          <t>202207</t>
        </is>
      </c>
      <c r="E1427" s="4108" t="inlineStr">
        <is>
          <t>2998,000000000000</t>
        </is>
      </c>
    </row>
    <row outlineLevel="0" r="1428">
      <c r="A1428" s="4108" t="inlineStr">
        <is>
          <t>13579246820220754</t>
        </is>
      </c>
      <c r="B1428" s="4108" t="inlineStr">
        <is>
          <t>54</t>
        </is>
      </c>
      <c r="C1428" s="4108" t="inlineStr">
        <is>
          <t>135792468</t>
        </is>
      </c>
      <c r="D1428" s="4108" t="inlineStr">
        <is>
          <t>202207</t>
        </is>
      </c>
      <c r="E1428" s="4108" t="inlineStr">
        <is>
          <t>0,000000000000</t>
        </is>
      </c>
    </row>
    <row outlineLevel="0" r="1429">
      <c r="A1429" s="4108" t="inlineStr">
        <is>
          <t>13579246820220752</t>
        </is>
      </c>
      <c r="B1429" s="4108" t="inlineStr">
        <is>
          <t>52</t>
        </is>
      </c>
      <c r="C1429" s="4108" t="inlineStr">
        <is>
          <t>135792468</t>
        </is>
      </c>
      <c r="D1429" s="4108" t="inlineStr">
        <is>
          <t>202207</t>
        </is>
      </c>
      <c r="E1429" s="4108" t="inlineStr">
        <is>
          <t>0,000000000000</t>
        </is>
      </c>
    </row>
    <row outlineLevel="0" r="1430">
      <c r="A1430" s="4108" t="inlineStr">
        <is>
          <t>13579246820220753</t>
        </is>
      </c>
      <c r="B1430" s="4108" t="inlineStr">
        <is>
          <t>53</t>
        </is>
      </c>
      <c r="C1430" s="4108" t="inlineStr">
        <is>
          <t>135792468</t>
        </is>
      </c>
      <c r="D1430" s="4108" t="inlineStr">
        <is>
          <t>202207</t>
        </is>
      </c>
      <c r="E1430" s="4108" t="inlineStr">
        <is>
          <t>690,000000000000</t>
        </is>
      </c>
    </row>
    <row outlineLevel="0" r="1431">
      <c r="A1431" s="4108" t="inlineStr">
        <is>
          <t>13579246820220751</t>
        </is>
      </c>
      <c r="B1431" s="4108" t="inlineStr">
        <is>
          <t>51</t>
        </is>
      </c>
      <c r="C1431" s="4108" t="inlineStr">
        <is>
          <t>135792468</t>
        </is>
      </c>
      <c r="D1431" s="4108" t="inlineStr">
        <is>
          <t>202207</t>
        </is>
      </c>
      <c r="E1431" s="4108" t="inlineStr">
        <is>
          <t>3900,000000000000</t>
        </is>
      </c>
    </row>
    <row outlineLevel="0" r="1432">
      <c r="A1432" s="4108" t="inlineStr">
        <is>
          <t>13579246820220742</t>
        </is>
      </c>
      <c r="B1432" s="4108" t="inlineStr">
        <is>
          <t>42</t>
        </is>
      </c>
      <c r="C1432" s="4108" t="inlineStr">
        <is>
          <t>135792468</t>
        </is>
      </c>
      <c r="D1432" s="4108" t="inlineStr">
        <is>
          <t>202207</t>
        </is>
      </c>
      <c r="E1432" s="4108" t="inlineStr">
        <is>
          <t>0,000000000000</t>
        </is>
      </c>
    </row>
    <row outlineLevel="0" r="1433">
      <c r="A1433" s="4108" t="inlineStr">
        <is>
          <t>13579246820220741</t>
        </is>
      </c>
      <c r="B1433" s="4108" t="inlineStr">
        <is>
          <t>41</t>
        </is>
      </c>
      <c r="C1433" s="4108" t="inlineStr">
        <is>
          <t>135792468</t>
        </is>
      </c>
      <c r="D1433" s="4108" t="inlineStr">
        <is>
          <t>202207</t>
        </is>
      </c>
      <c r="E1433" s="4108" t="inlineStr">
        <is>
          <t>8015,000000000000</t>
        </is>
      </c>
    </row>
    <row outlineLevel="0" r="1434">
      <c r="A1434" s="4108" t="inlineStr">
        <is>
          <t>13579246820220738</t>
        </is>
      </c>
      <c r="B1434" s="4108" t="inlineStr">
        <is>
          <t>38</t>
        </is>
      </c>
      <c r="C1434" s="4108" t="inlineStr">
        <is>
          <t>135792468</t>
        </is>
      </c>
      <c r="D1434" s="4108" t="inlineStr">
        <is>
          <t>202207</t>
        </is>
      </c>
      <c r="E1434" s="4108" t="inlineStr">
        <is>
          <t>0,000000000000</t>
        </is>
      </c>
    </row>
    <row outlineLevel="0" r="1435">
      <c r="A1435" s="4108" t="inlineStr">
        <is>
          <t>13579246820220737</t>
        </is>
      </c>
      <c r="B1435" s="4108" t="inlineStr">
        <is>
          <t>37</t>
        </is>
      </c>
      <c r="C1435" s="4108" t="inlineStr">
        <is>
          <t>135792468</t>
        </is>
      </c>
      <c r="D1435" s="4108" t="inlineStr">
        <is>
          <t>202207</t>
        </is>
      </c>
      <c r="E1435" s="4108" t="inlineStr">
        <is>
          <t>626,000000000000</t>
        </is>
      </c>
    </row>
    <row outlineLevel="0" r="1436">
      <c r="A1436" s="4108" t="inlineStr">
        <is>
          <t>13579246820220736</t>
        </is>
      </c>
      <c r="B1436" s="4108" t="inlineStr">
        <is>
          <t>36</t>
        </is>
      </c>
      <c r="C1436" s="4108" t="inlineStr">
        <is>
          <t>135792468</t>
        </is>
      </c>
      <c r="D1436" s="4108" t="inlineStr">
        <is>
          <t>202207</t>
        </is>
      </c>
      <c r="E1436" s="4108" t="inlineStr">
        <is>
          <t>427,000000000000</t>
        </is>
      </c>
    </row>
    <row outlineLevel="0" r="1437">
      <c r="A1437" s="4108" t="inlineStr">
        <is>
          <t>13579246820220734</t>
        </is>
      </c>
      <c r="B1437" s="4108" t="inlineStr">
        <is>
          <t>34</t>
        </is>
      </c>
      <c r="C1437" s="4108" t="inlineStr">
        <is>
          <t>135792468</t>
        </is>
      </c>
      <c r="D1437" s="4108" t="inlineStr">
        <is>
          <t>202207</t>
        </is>
      </c>
      <c r="E1437" s="4108" t="inlineStr">
        <is>
          <t>0,000000000000</t>
        </is>
      </c>
    </row>
    <row outlineLevel="0" r="1438">
      <c r="A1438" s="4108" t="inlineStr">
        <is>
          <t>13579246820220735</t>
        </is>
      </c>
      <c r="B1438" s="4108" t="inlineStr">
        <is>
          <t>35</t>
        </is>
      </c>
      <c r="C1438" s="4108" t="inlineStr">
        <is>
          <t>135792468</t>
        </is>
      </c>
      <c r="D1438" s="4108" t="inlineStr">
        <is>
          <t>202207</t>
        </is>
      </c>
      <c r="E1438" s="4108" t="inlineStr">
        <is>
          <t>0,000000000000</t>
        </is>
      </c>
    </row>
    <row outlineLevel="0" r="1439">
      <c r="A1439" s="4108" t="inlineStr">
        <is>
          <t>13579246820220733</t>
        </is>
      </c>
      <c r="B1439" s="4108" t="inlineStr">
        <is>
          <t>33</t>
        </is>
      </c>
      <c r="C1439" s="4108" t="inlineStr">
        <is>
          <t>135792468</t>
        </is>
      </c>
      <c r="D1439" s="4108" t="inlineStr">
        <is>
          <t>202207</t>
        </is>
      </c>
      <c r="E1439" s="4108" t="inlineStr">
        <is>
          <t>166,000000000000</t>
        </is>
      </c>
    </row>
    <row outlineLevel="0" r="1440">
      <c r="A1440" s="4108" t="inlineStr">
        <is>
          <t>13579246820220732</t>
        </is>
      </c>
      <c r="B1440" s="4108" t="inlineStr">
        <is>
          <t>32</t>
        </is>
      </c>
      <c r="C1440" s="4108" t="inlineStr">
        <is>
          <t>135792468</t>
        </is>
      </c>
      <c r="D1440" s="4108" t="inlineStr">
        <is>
          <t>202207</t>
        </is>
      </c>
      <c r="E1440" s="4108" t="inlineStr">
        <is>
          <t>0,000000000000</t>
        </is>
      </c>
    </row>
    <row outlineLevel="0" r="1441">
      <c r="A1441" s="4108" t="inlineStr">
        <is>
          <t>13579246820220731</t>
        </is>
      </c>
      <c r="B1441" s="4108" t="inlineStr">
        <is>
          <t>31</t>
        </is>
      </c>
      <c r="C1441" s="4108" t="inlineStr">
        <is>
          <t>135792468</t>
        </is>
      </c>
      <c r="D1441" s="4108" t="inlineStr">
        <is>
          <t>202207</t>
        </is>
      </c>
      <c r="E1441" s="4108" t="inlineStr">
        <is>
          <t>2267,000000000000</t>
        </is>
      </c>
    </row>
    <row outlineLevel="0" r="1442">
      <c r="A1442" s="4108" t="inlineStr">
        <is>
          <t>13579246820220722</t>
        </is>
      </c>
      <c r="B1442" s="4108" t="inlineStr">
        <is>
          <t>22</t>
        </is>
      </c>
      <c r="C1442" s="4108" t="inlineStr">
        <is>
          <t>135792468</t>
        </is>
      </c>
      <c r="D1442" s="4108" t="inlineStr">
        <is>
          <t>202207</t>
        </is>
      </c>
      <c r="E1442" s="4108" t="inlineStr">
        <is>
          <t>9708,000000000000</t>
        </is>
      </c>
    </row>
    <row outlineLevel="0" r="1443">
      <c r="A1443" s="4108" t="inlineStr">
        <is>
          <t>13579246820220721</t>
        </is>
      </c>
      <c r="B1443" s="4108" t="inlineStr">
        <is>
          <t>21</t>
        </is>
      </c>
      <c r="C1443" s="4108" t="inlineStr">
        <is>
          <t>135792468</t>
        </is>
      </c>
      <c r="D1443" s="4108" t="inlineStr">
        <is>
          <t>202207</t>
        </is>
      </c>
      <c r="E1443" s="4108" t="inlineStr">
        <is>
          <t>5413,000000000000</t>
        </is>
      </c>
    </row>
    <row outlineLevel="0" r="1444">
      <c r="A1444" s="4108" t="inlineStr">
        <is>
          <t>13579246820220712</t>
        </is>
      </c>
      <c r="B1444" s="4108" t="inlineStr">
        <is>
          <t>12</t>
        </is>
      </c>
      <c r="C1444" s="4108" t="inlineStr">
        <is>
          <t>135792468</t>
        </is>
      </c>
      <c r="D1444" s="4108" t="inlineStr">
        <is>
          <t>202207</t>
        </is>
      </c>
      <c r="E1444" s="4108" t="inlineStr">
        <is>
          <t>18160,000000000000</t>
        </is>
      </c>
    </row>
    <row outlineLevel="0" r="1445">
      <c r="A1445" s="4108" t="inlineStr">
        <is>
          <t>1357924682022073</t>
        </is>
      </c>
      <c r="B1445" s="4108" t="inlineStr">
        <is>
          <t>3</t>
        </is>
      </c>
      <c r="C1445" s="4108" t="inlineStr">
        <is>
          <t>135792468</t>
        </is>
      </c>
      <c r="D1445" s="4108" t="inlineStr">
        <is>
          <t>202207</t>
        </is>
      </c>
      <c r="E1445" s="4108" t="inlineStr">
        <is>
          <t>3486,000000000000</t>
        </is>
      </c>
    </row>
    <row outlineLevel="0" r="1446">
      <c r="A1446" s="4108" t="inlineStr">
        <is>
          <t>13579246820220711</t>
        </is>
      </c>
      <c r="B1446" s="4108" t="inlineStr">
        <is>
          <t>11</t>
        </is>
      </c>
      <c r="C1446" s="4108" t="inlineStr">
        <is>
          <t>135792468</t>
        </is>
      </c>
      <c r="D1446" s="4108" t="inlineStr">
        <is>
          <t>202207</t>
        </is>
      </c>
      <c r="E1446" s="4108" t="inlineStr">
        <is>
          <t>447,000000000000</t>
        </is>
      </c>
    </row>
    <row outlineLevel="0" r="1447">
      <c r="A1447" s="4108" t="inlineStr">
        <is>
          <t>1357924682022072</t>
        </is>
      </c>
      <c r="B1447" s="4108" t="inlineStr">
        <is>
          <t>2</t>
        </is>
      </c>
      <c r="C1447" s="4108" t="inlineStr">
        <is>
          <t>135792468</t>
        </is>
      </c>
      <c r="D1447" s="4108" t="inlineStr">
        <is>
          <t>202207</t>
        </is>
      </c>
      <c r="E1447" s="4108" t="inlineStr">
        <is>
          <t>15121,000000000000</t>
        </is>
      </c>
    </row>
    <row outlineLevel="0" r="1448">
      <c r="A1448" s="4108" t="inlineStr">
        <is>
          <t>1357924682022071</t>
        </is>
      </c>
      <c r="B1448" s="4108" t="inlineStr">
        <is>
          <t>1</t>
        </is>
      </c>
      <c r="C1448" s="4108" t="inlineStr">
        <is>
          <t>135792468</t>
        </is>
      </c>
      <c r="D1448" s="4108" t="inlineStr">
        <is>
          <t>202207</t>
        </is>
      </c>
      <c r="E1448" s="4108" t="inlineStr">
        <is>
          <t>18607,000000000000</t>
        </is>
      </c>
    </row>
    <row outlineLevel="0" r="1449">
      <c r="A1449" s="4108" t="inlineStr">
        <is>
          <t>1357924682022070</t>
        </is>
      </c>
      <c r="B1449" s="4108" t="inlineStr">
        <is>
          <t>0</t>
        </is>
      </c>
      <c r="C1449" s="4108" t="inlineStr">
        <is>
          <t>135792468</t>
        </is>
      </c>
      <c r="D1449" s="4108" t="inlineStr">
        <is>
          <t>202207</t>
        </is>
      </c>
      <c r="E1449" s="4108" t="inlineStr">
        <is>
          <t>18607,000000000000</t>
        </is>
      </c>
    </row>
    <row outlineLevel="0" r="1450">
      <c r="A1450" s="4108" t="inlineStr">
        <is>
          <t>1357924682021090</t>
        </is>
      </c>
      <c r="B1450" s="4108" t="inlineStr">
        <is>
          <t>0</t>
        </is>
      </c>
      <c r="C1450" s="4108" t="inlineStr">
        <is>
          <t>135792468</t>
        </is>
      </c>
      <c r="D1450" s="4108" t="inlineStr">
        <is>
          <t>202109</t>
        </is>
      </c>
      <c r="E1450" s="4108" t="inlineStr">
        <is>
          <t>720,004000000000</t>
        </is>
      </c>
    </row>
    <row outlineLevel="0" r="1451">
      <c r="A1451" s="4108" t="inlineStr">
        <is>
          <t>1357924682021091</t>
        </is>
      </c>
      <c r="B1451" s="4108" t="inlineStr">
        <is>
          <t>1</t>
        </is>
      </c>
      <c r="C1451" s="4108" t="inlineStr">
        <is>
          <t>135792468</t>
        </is>
      </c>
      <c r="D1451" s="4108" t="inlineStr">
        <is>
          <t>202109</t>
        </is>
      </c>
      <c r="E1451" s="4108" t="inlineStr">
        <is>
          <t>720,000000000000</t>
        </is>
      </c>
    </row>
    <row outlineLevel="0" r="1452">
      <c r="A1452" s="4108" t="inlineStr">
        <is>
          <t>1357924682021092</t>
        </is>
      </c>
      <c r="B1452" s="4108" t="inlineStr">
        <is>
          <t>2</t>
        </is>
      </c>
      <c r="C1452" s="4108" t="inlineStr">
        <is>
          <t>135792468</t>
        </is>
      </c>
      <c r="D1452" s="4108" t="inlineStr">
        <is>
          <t>202109</t>
        </is>
      </c>
      <c r="E1452" s="4108" t="inlineStr">
        <is>
          <t>435,000000000000</t>
        </is>
      </c>
    </row>
    <row outlineLevel="0" r="1453">
      <c r="A1453" s="4108" t="inlineStr">
        <is>
          <t>13579246820210911</t>
        </is>
      </c>
      <c r="B1453" s="4108" t="inlineStr">
        <is>
          <t>11</t>
        </is>
      </c>
      <c r="C1453" s="4108" t="inlineStr">
        <is>
          <t>135792468</t>
        </is>
      </c>
      <c r="D1453" s="4108" t="inlineStr">
        <is>
          <t>202109</t>
        </is>
      </c>
      <c r="E1453" s="4108" t="inlineStr">
        <is>
          <t>207,000000000000</t>
        </is>
      </c>
    </row>
    <row outlineLevel="0" r="1454">
      <c r="A1454" s="4108" t="inlineStr">
        <is>
          <t>1357924682021093</t>
        </is>
      </c>
      <c r="B1454" s="4108" t="inlineStr">
        <is>
          <t>3</t>
        </is>
      </c>
      <c r="C1454" s="4108" t="inlineStr">
        <is>
          <t>135792468</t>
        </is>
      </c>
      <c r="D1454" s="4108" t="inlineStr">
        <is>
          <t>202109</t>
        </is>
      </c>
      <c r="E1454" s="4108" t="inlineStr">
        <is>
          <t>285,004000000000</t>
        </is>
      </c>
    </row>
    <row outlineLevel="0" r="1455">
      <c r="A1455" s="4108" t="inlineStr">
        <is>
          <t>13579246820210912</t>
        </is>
      </c>
      <c r="B1455" s="4108" t="inlineStr">
        <is>
          <t>12</t>
        </is>
      </c>
      <c r="C1455" s="4108" t="inlineStr">
        <is>
          <t>135792468</t>
        </is>
      </c>
      <c r="D1455" s="4108" t="inlineStr">
        <is>
          <t>202109</t>
        </is>
      </c>
      <c r="E1455" s="4108" t="inlineStr">
        <is>
          <t>513,000000000000</t>
        </is>
      </c>
    </row>
    <row outlineLevel="0" r="1456">
      <c r="A1456" s="4108" t="inlineStr">
        <is>
          <t>13579246820210921</t>
        </is>
      </c>
      <c r="B1456" s="4108" t="inlineStr">
        <is>
          <t>21</t>
        </is>
      </c>
      <c r="C1456" s="4108" t="inlineStr">
        <is>
          <t>135792468</t>
        </is>
      </c>
      <c r="D1456" s="4108" t="inlineStr">
        <is>
          <t>202109</t>
        </is>
      </c>
      <c r="E1456" s="4108" t="inlineStr">
        <is>
          <t>216,000000000000</t>
        </is>
      </c>
    </row>
    <row outlineLevel="0" r="1457">
      <c r="A1457" s="4108" t="inlineStr">
        <is>
          <t>13579246820210922</t>
        </is>
      </c>
      <c r="B1457" s="4108" t="inlineStr">
        <is>
          <t>22</t>
        </is>
      </c>
      <c r="C1457" s="4108" t="inlineStr">
        <is>
          <t>135792468</t>
        </is>
      </c>
      <c r="D1457" s="4108" t="inlineStr">
        <is>
          <t>202109</t>
        </is>
      </c>
      <c r="E1457" s="4108" t="inlineStr">
        <is>
          <t>219,000000000000</t>
        </is>
      </c>
    </row>
    <row outlineLevel="0" r="1458">
      <c r="A1458" s="4108" t="inlineStr">
        <is>
          <t>13579246820210931</t>
        </is>
      </c>
      <c r="B1458" s="4108" t="inlineStr">
        <is>
          <t>31</t>
        </is>
      </c>
      <c r="C1458" s="4108" t="inlineStr">
        <is>
          <t>135792468</t>
        </is>
      </c>
      <c r="D1458" s="4108" t="inlineStr">
        <is>
          <t>202109</t>
        </is>
      </c>
      <c r="E1458" s="4108" t="inlineStr">
        <is>
          <t>27,000000000000</t>
        </is>
      </c>
    </row>
    <row outlineLevel="0" r="1459">
      <c r="A1459" s="4108" t="inlineStr">
        <is>
          <t>13579246820210932</t>
        </is>
      </c>
      <c r="B1459" s="4108" t="inlineStr">
        <is>
          <t>32</t>
        </is>
      </c>
      <c r="C1459" s="4108" t="inlineStr">
        <is>
          <t>135792468</t>
        </is>
      </c>
      <c r="D1459" s="4108" t="inlineStr">
        <is>
          <t>202109</t>
        </is>
      </c>
      <c r="E1459" s="4108" t="inlineStr">
        <is>
          <t>51,000000000000</t>
        </is>
      </c>
    </row>
    <row outlineLevel="0" r="1460">
      <c r="A1460" s="4108" t="inlineStr">
        <is>
          <t>13579246820210933</t>
        </is>
      </c>
      <c r="B1460" s="4108" t="inlineStr">
        <is>
          <t>33</t>
        </is>
      </c>
      <c r="C1460" s="4108" t="inlineStr">
        <is>
          <t>135792468</t>
        </is>
      </c>
      <c r="D1460" s="4108" t="inlineStr">
        <is>
          <t>202109</t>
        </is>
      </c>
      <c r="E1460" s="4108" t="inlineStr">
        <is>
          <t>-6,000000000000</t>
        </is>
      </c>
    </row>
    <row outlineLevel="0" r="1461">
      <c r="A1461" s="4108" t="inlineStr">
        <is>
          <t>13579246820210935</t>
        </is>
      </c>
      <c r="B1461" s="4108" t="inlineStr">
        <is>
          <t>35</t>
        </is>
      </c>
      <c r="C1461" s="4108" t="inlineStr">
        <is>
          <t>135792468</t>
        </is>
      </c>
      <c r="D1461" s="4108" t="inlineStr">
        <is>
          <t>202109</t>
        </is>
      </c>
      <c r="E1461" s="4108" t="inlineStr">
        <is>
          <t>18,000000000000</t>
        </is>
      </c>
    </row>
    <row outlineLevel="0" r="1462">
      <c r="A1462" s="4108" t="inlineStr">
        <is>
          <t>13579246820210934</t>
        </is>
      </c>
      <c r="B1462" s="4108" t="inlineStr">
        <is>
          <t>34</t>
        </is>
      </c>
      <c r="C1462" s="4108" t="inlineStr">
        <is>
          <t>135792468</t>
        </is>
      </c>
      <c r="D1462" s="4108" t="inlineStr">
        <is>
          <t>202109</t>
        </is>
      </c>
      <c r="E1462" s="4108" t="inlineStr">
        <is>
          <t>51,000000000000</t>
        </is>
      </c>
    </row>
    <row outlineLevel="0" r="1463">
      <c r="A1463" s="4108" t="inlineStr">
        <is>
          <t>13579246820210936</t>
        </is>
      </c>
      <c r="B1463" s="4108" t="inlineStr">
        <is>
          <t>36</t>
        </is>
      </c>
      <c r="C1463" s="4108" t="inlineStr">
        <is>
          <t>135792468</t>
        </is>
      </c>
      <c r="D1463" s="4108" t="inlineStr">
        <is>
          <t>202109</t>
        </is>
      </c>
      <c r="E1463" s="4108" t="inlineStr">
        <is>
          <t>72,004000000000</t>
        </is>
      </c>
    </row>
    <row outlineLevel="0" r="1464">
      <c r="A1464" s="4108" t="inlineStr">
        <is>
          <t>13579246820210937</t>
        </is>
      </c>
      <c r="B1464" s="4108" t="inlineStr">
        <is>
          <t>37</t>
        </is>
      </c>
      <c r="C1464" s="4108" t="inlineStr">
        <is>
          <t>135792468</t>
        </is>
      </c>
      <c r="D1464" s="4108" t="inlineStr">
        <is>
          <t>202109</t>
        </is>
      </c>
      <c r="E1464" s="4108" t="inlineStr">
        <is>
          <t>21,000000000000</t>
        </is>
      </c>
    </row>
    <row outlineLevel="0" r="1465">
      <c r="A1465" s="4108" t="inlineStr">
        <is>
          <t>13579246820210938</t>
        </is>
      </c>
      <c r="B1465" s="4108" t="inlineStr">
        <is>
          <t>38</t>
        </is>
      </c>
      <c r="C1465" s="4108" t="inlineStr">
        <is>
          <t>135792468</t>
        </is>
      </c>
      <c r="D1465" s="4108" t="inlineStr">
        <is>
          <t>202109</t>
        </is>
      </c>
      <c r="E1465" s="4108" t="inlineStr">
        <is>
          <t>51,000000000000</t>
        </is>
      </c>
    </row>
    <row outlineLevel="0" r="1466">
      <c r="A1466" s="4108" t="inlineStr">
        <is>
          <t>13579246820210941</t>
        </is>
      </c>
      <c r="B1466" s="4108" t="inlineStr">
        <is>
          <t>41</t>
        </is>
      </c>
      <c r="C1466" s="4108" t="inlineStr">
        <is>
          <t>135792468</t>
        </is>
      </c>
      <c r="D1466" s="4108" t="inlineStr">
        <is>
          <t>202109</t>
        </is>
      </c>
      <c r="E1466" s="4108" t="inlineStr">
        <is>
          <t>5001,050000000000</t>
        </is>
      </c>
    </row>
    <row outlineLevel="0" r="1467">
      <c r="A1467" s="4108" t="inlineStr">
        <is>
          <t>13579246820210942</t>
        </is>
      </c>
      <c r="B1467" s="4108" t="inlineStr">
        <is>
          <t>42</t>
        </is>
      </c>
      <c r="C1467" s="4108" t="inlineStr">
        <is>
          <t>135792468</t>
        </is>
      </c>
      <c r="D1467" s="4108" t="inlineStr">
        <is>
          <t>202109</t>
        </is>
      </c>
      <c r="E1467" s="4108" t="inlineStr">
        <is>
          <t>78,000000000000</t>
        </is>
      </c>
    </row>
    <row outlineLevel="0" r="1468">
      <c r="A1468" s="4108" t="inlineStr">
        <is>
          <t>13579246820210951</t>
        </is>
      </c>
      <c r="B1468" s="4108" t="inlineStr">
        <is>
          <t>51</t>
        </is>
      </c>
      <c r="C1468" s="4108" t="inlineStr">
        <is>
          <t>135792468</t>
        </is>
      </c>
      <c r="D1468" s="4108" t="inlineStr">
        <is>
          <t>202109</t>
        </is>
      </c>
      <c r="E1468" s="4108" t="inlineStr">
        <is>
          <t>120,000000000000</t>
        </is>
      </c>
    </row>
    <row outlineLevel="0" r="1469">
      <c r="A1469" s="4108" t="inlineStr">
        <is>
          <t>13579246820210953</t>
        </is>
      </c>
      <c r="B1469" s="4108" t="inlineStr">
        <is>
          <t>53</t>
        </is>
      </c>
      <c r="C1469" s="4108" t="inlineStr">
        <is>
          <t>135792468</t>
        </is>
      </c>
      <c r="D1469" s="4108" t="inlineStr">
        <is>
          <t>202109</t>
        </is>
      </c>
      <c r="E1469" s="4108" t="inlineStr">
        <is>
          <t>222,000000000000</t>
        </is>
      </c>
    </row>
    <row outlineLevel="0" r="1470">
      <c r="A1470" s="4108" t="inlineStr">
        <is>
          <t>13579246820210952</t>
        </is>
      </c>
      <c r="B1470" s="4108" t="inlineStr">
        <is>
          <t>52</t>
        </is>
      </c>
      <c r="C1470" s="4108" t="inlineStr">
        <is>
          <t>135792468</t>
        </is>
      </c>
      <c r="D1470" s="4108" t="inlineStr">
        <is>
          <t>202109</t>
        </is>
      </c>
      <c r="E1470" s="4108" t="inlineStr">
        <is>
          <t>120,000000000000</t>
        </is>
      </c>
    </row>
    <row outlineLevel="0" r="1471">
      <c r="A1471" s="4108" t="inlineStr">
        <is>
          <t>13579246820210954</t>
        </is>
      </c>
      <c r="B1471" s="4108" t="inlineStr">
        <is>
          <t>54</t>
        </is>
      </c>
      <c r="C1471" s="4108" t="inlineStr">
        <is>
          <t>135792468</t>
        </is>
      </c>
      <c r="D1471" s="4108" t="inlineStr">
        <is>
          <t>202109</t>
        </is>
      </c>
      <c r="E1471" s="4108" t="inlineStr">
        <is>
          <t>0,000000000000</t>
        </is>
      </c>
    </row>
    <row outlineLevel="0" r="1472">
      <c r="A1472" s="4108" t="inlineStr">
        <is>
          <t>13579246820210961</t>
        </is>
      </c>
      <c r="B1472" s="4108" t="inlineStr">
        <is>
          <t>61</t>
        </is>
      </c>
      <c r="C1472" s="4108" t="inlineStr">
        <is>
          <t>135792468</t>
        </is>
      </c>
      <c r="D1472" s="4108" t="inlineStr">
        <is>
          <t>202109</t>
        </is>
      </c>
      <c r="E1472" s="4108" t="inlineStr">
        <is>
          <t>4545,046000000000</t>
        </is>
      </c>
    </row>
    <row outlineLevel="0" r="1473">
      <c r="A1473" s="4108" t="inlineStr">
        <is>
          <t>13579246820210995</t>
        </is>
      </c>
      <c r="B1473" s="4108" t="inlineStr">
        <is>
          <t>95</t>
        </is>
      </c>
      <c r="C1473" s="4108" t="inlineStr">
        <is>
          <t>135792468</t>
        </is>
      </c>
      <c r="D1473" s="4108" t="inlineStr">
        <is>
          <t>202109</t>
        </is>
      </c>
      <c r="E1473" s="4108" t="inlineStr">
        <is>
          <t>456,004000000000</t>
        </is>
      </c>
    </row>
    <row outlineLevel="0" r="1474">
      <c r="A1474" s="4108" t="inlineStr">
        <is>
          <t>13579246820210996</t>
        </is>
      </c>
      <c r="B1474" s="4108" t="inlineStr">
        <is>
          <t>96</t>
        </is>
      </c>
      <c r="C1474" s="4108" t="inlineStr">
        <is>
          <t>135792468</t>
        </is>
      </c>
      <c r="D1474" s="4108" t="inlineStr">
        <is>
          <t>202109</t>
        </is>
      </c>
      <c r="E1474" s="4108" t="inlineStr">
        <is>
          <t>216,004000000000</t>
        </is>
      </c>
    </row>
    <row outlineLevel="0" r="1475">
      <c r="A1475" s="4108" t="inlineStr">
        <is>
          <t>13579246820210997</t>
        </is>
      </c>
      <c r="B1475" s="4108" t="inlineStr">
        <is>
          <t>97</t>
        </is>
      </c>
      <c r="C1475" s="4108" t="inlineStr">
        <is>
          <t>135792468</t>
        </is>
      </c>
      <c r="D1475" s="4108" t="inlineStr">
        <is>
          <t>202109</t>
        </is>
      </c>
      <c r="E1475" s="4108" t="inlineStr">
        <is>
          <t>72,004000000000</t>
        </is>
      </c>
    </row>
    <row outlineLevel="0" r="1476">
      <c r="A1476" s="4108" t="inlineStr">
        <is>
          <t>13579246820210998</t>
        </is>
      </c>
      <c r="B1476" s="4108" t="inlineStr">
        <is>
          <t>98</t>
        </is>
      </c>
      <c r="C1476" s="4108" t="inlineStr">
        <is>
          <t>135792468</t>
        </is>
      </c>
      <c r="D1476" s="4108" t="inlineStr">
        <is>
          <t>202109</t>
        </is>
      </c>
      <c r="E1476" s="4108" t="inlineStr">
        <is>
          <t>0,000000000000</t>
        </is>
      </c>
    </row>
    <row outlineLevel="0" r="1477">
      <c r="A1477" s="4108" t="inlineStr">
        <is>
          <t>1357924682021091101</t>
        </is>
      </c>
      <c r="B1477" s="4108" t="inlineStr">
        <is>
          <t>1101</t>
        </is>
      </c>
      <c r="C1477" s="4108" t="inlineStr">
        <is>
          <t>135792468</t>
        </is>
      </c>
      <c r="D1477" s="4108" t="inlineStr">
        <is>
          <t>202109</t>
        </is>
      </c>
      <c r="E1477" s="4108" t="inlineStr">
        <is>
          <t>15,000000000000</t>
        </is>
      </c>
    </row>
    <row outlineLevel="0" r="1478">
      <c r="A1478" s="4108" t="inlineStr">
        <is>
          <t>13579246820210999</t>
        </is>
      </c>
      <c r="B1478" s="4108" t="inlineStr">
        <is>
          <t>99</t>
        </is>
      </c>
      <c r="C1478" s="4108" t="inlineStr">
        <is>
          <t>135792468</t>
        </is>
      </c>
      <c r="D1478" s="4108" t="inlineStr">
        <is>
          <t>202109</t>
        </is>
      </c>
      <c r="E1478" s="4108" t="inlineStr">
        <is>
          <t>72,004000000000</t>
        </is>
      </c>
    </row>
    <row outlineLevel="0" r="1479">
      <c r="A1479" s="4108" t="inlineStr">
        <is>
          <t>1357924682021091102</t>
        </is>
      </c>
      <c r="B1479" s="4108" t="inlineStr">
        <is>
          <t>1102</t>
        </is>
      </c>
      <c r="C1479" s="4108" t="inlineStr">
        <is>
          <t>135792468</t>
        </is>
      </c>
      <c r="D1479" s="4108" t="inlineStr">
        <is>
          <t>202109</t>
        </is>
      </c>
      <c r="E1479" s="4108" t="inlineStr">
        <is>
          <t>36,000000000000</t>
        </is>
      </c>
    </row>
    <row outlineLevel="0" r="1480">
      <c r="A1480" s="4108" t="inlineStr">
        <is>
          <t>1357924682021091103</t>
        </is>
      </c>
      <c r="B1480" s="4108" t="inlineStr">
        <is>
          <t>1103</t>
        </is>
      </c>
      <c r="C1480" s="4108" t="inlineStr">
        <is>
          <t>135792468</t>
        </is>
      </c>
      <c r="D1480" s="4108" t="inlineStr">
        <is>
          <t>202109</t>
        </is>
      </c>
      <c r="E1480" s="4108" t="inlineStr">
        <is>
          <t>3,000000000000</t>
        </is>
      </c>
    </row>
    <row outlineLevel="0" r="1481">
      <c r="A1481" s="4108" t="inlineStr">
        <is>
          <t>1357924682021091104</t>
        </is>
      </c>
      <c r="B1481" s="4108" t="inlineStr">
        <is>
          <t>1104</t>
        </is>
      </c>
      <c r="C1481" s="4108" t="inlineStr">
        <is>
          <t>135792468</t>
        </is>
      </c>
      <c r="D1481" s="4108" t="inlineStr">
        <is>
          <t>202109</t>
        </is>
      </c>
      <c r="E1481" s="4108" t="inlineStr">
        <is>
          <t>75,000000000000</t>
        </is>
      </c>
    </row>
    <row outlineLevel="0" r="1482">
      <c r="A1482" s="4108" t="inlineStr">
        <is>
          <t>1357924682021091106</t>
        </is>
      </c>
      <c r="B1482" s="4108" t="inlineStr">
        <is>
          <t>1106</t>
        </is>
      </c>
      <c r="C1482" s="4108" t="inlineStr">
        <is>
          <t>135792468</t>
        </is>
      </c>
      <c r="D1482" s="4108" t="inlineStr">
        <is>
          <t>202109</t>
        </is>
      </c>
      <c r="E1482" s="4108" t="inlineStr">
        <is>
          <t>60,000000000000</t>
        </is>
      </c>
    </row>
    <row outlineLevel="0" r="1483">
      <c r="A1483" s="4108" t="inlineStr">
        <is>
          <t>1357924682021091107</t>
        </is>
      </c>
      <c r="B1483" s="4108" t="inlineStr">
        <is>
          <t>1107</t>
        </is>
      </c>
      <c r="C1483" s="4108" t="inlineStr">
        <is>
          <t>135792468</t>
        </is>
      </c>
      <c r="D1483" s="4108" t="inlineStr">
        <is>
          <t>202109</t>
        </is>
      </c>
      <c r="E1483" s="4108" t="inlineStr">
        <is>
          <t>15,000000000000</t>
        </is>
      </c>
    </row>
    <row outlineLevel="0" r="1484">
      <c r="A1484" s="4108" t="inlineStr">
        <is>
          <t>1357924682021091201</t>
        </is>
      </c>
      <c r="B1484" s="4108" t="inlineStr">
        <is>
          <t>1201</t>
        </is>
      </c>
      <c r="C1484" s="4108" t="inlineStr">
        <is>
          <t>135792468</t>
        </is>
      </c>
      <c r="D1484" s="4108" t="inlineStr">
        <is>
          <t>202109</t>
        </is>
      </c>
      <c r="E1484" s="4108" t="inlineStr">
        <is>
          <t>210,000000000000</t>
        </is>
      </c>
    </row>
    <row outlineLevel="0" r="1485">
      <c r="A1485" s="4108" t="inlineStr">
        <is>
          <t>1357924682021091203</t>
        </is>
      </c>
      <c r="B1485" s="4108" t="inlineStr">
        <is>
          <t>1203</t>
        </is>
      </c>
      <c r="C1485" s="4108" t="inlineStr">
        <is>
          <t>135792468</t>
        </is>
      </c>
      <c r="D1485" s="4108" t="inlineStr">
        <is>
          <t>202109</t>
        </is>
      </c>
      <c r="E1485" s="4108" t="inlineStr">
        <is>
          <t>45,000000000000</t>
        </is>
      </c>
    </row>
    <row outlineLevel="0" r="1486">
      <c r="A1486" s="4108" t="inlineStr">
        <is>
          <t>1357924682021091202</t>
        </is>
      </c>
      <c r="B1486" s="4108" t="inlineStr">
        <is>
          <t>1202</t>
        </is>
      </c>
      <c r="C1486" s="4108" t="inlineStr">
        <is>
          <t>135792468</t>
        </is>
      </c>
      <c r="D1486" s="4108" t="inlineStr">
        <is>
          <t>202109</t>
        </is>
      </c>
      <c r="E1486" s="4108" t="inlineStr">
        <is>
          <t>24,000000000000</t>
        </is>
      </c>
    </row>
    <row outlineLevel="0" r="1487">
      <c r="A1487" s="4108" t="inlineStr">
        <is>
          <t>1357924682021091205</t>
        </is>
      </c>
      <c r="B1487" s="4108" t="inlineStr">
        <is>
          <t>1205</t>
        </is>
      </c>
      <c r="C1487" s="4108" t="inlineStr">
        <is>
          <t>135792468</t>
        </is>
      </c>
      <c r="D1487" s="4108" t="inlineStr">
        <is>
          <t>202109</t>
        </is>
      </c>
      <c r="E1487" s="4108" t="inlineStr">
        <is>
          <t>192,000000000000</t>
        </is>
      </c>
    </row>
    <row outlineLevel="0" r="1488">
      <c r="A1488" s="4108" t="inlineStr">
        <is>
          <t>1357924682021091206</t>
        </is>
      </c>
      <c r="B1488" s="4108" t="inlineStr">
        <is>
          <t>1206</t>
        </is>
      </c>
      <c r="C1488" s="4108" t="inlineStr">
        <is>
          <t>135792468</t>
        </is>
      </c>
      <c r="D1488" s="4108" t="inlineStr">
        <is>
          <t>202109</t>
        </is>
      </c>
      <c r="E1488" s="4108" t="inlineStr">
        <is>
          <t>21,000000000000</t>
        </is>
      </c>
    </row>
    <row outlineLevel="0" r="1489">
      <c r="A1489" s="4108" t="inlineStr">
        <is>
          <t>1357924682021091207</t>
        </is>
      </c>
      <c r="B1489" s="4108" t="inlineStr">
        <is>
          <t>1207</t>
        </is>
      </c>
      <c r="C1489" s="4108" t="inlineStr">
        <is>
          <t>135792468</t>
        </is>
      </c>
      <c r="D1489" s="4108" t="inlineStr">
        <is>
          <t>202109</t>
        </is>
      </c>
      <c r="E1489" s="4108" t="inlineStr">
        <is>
          <t>15,000000000000</t>
        </is>
      </c>
    </row>
    <row outlineLevel="0" r="1490">
      <c r="A1490" s="4108" t="inlineStr">
        <is>
          <t>1357924682021091208</t>
        </is>
      </c>
      <c r="B1490" s="4108" t="inlineStr">
        <is>
          <t>1208</t>
        </is>
      </c>
      <c r="C1490" s="4108" t="inlineStr">
        <is>
          <t>135792468</t>
        </is>
      </c>
      <c r="D1490" s="4108" t="inlineStr">
        <is>
          <t>202109</t>
        </is>
      </c>
      <c r="E1490" s="4108" t="inlineStr">
        <is>
          <t>6,000000000000</t>
        </is>
      </c>
    </row>
    <row outlineLevel="0" r="1491">
      <c r="A1491" s="4108" t="inlineStr">
        <is>
          <t>1357924682021092101</t>
        </is>
      </c>
      <c r="B1491" s="4108" t="inlineStr">
        <is>
          <t>2101</t>
        </is>
      </c>
      <c r="C1491" s="4108" t="inlineStr">
        <is>
          <t>135792468</t>
        </is>
      </c>
      <c r="D1491" s="4108" t="inlineStr">
        <is>
          <t>202109</t>
        </is>
      </c>
      <c r="E1491" s="4108" t="inlineStr">
        <is>
          <t>6,000000000000</t>
        </is>
      </c>
    </row>
    <row outlineLevel="0" r="1492">
      <c r="A1492" s="4108" t="inlineStr">
        <is>
          <t>1357924682021092102</t>
        </is>
      </c>
      <c r="B1492" s="4108" t="inlineStr">
        <is>
          <t>2102</t>
        </is>
      </c>
      <c r="C1492" s="4108" t="inlineStr">
        <is>
          <t>135792468</t>
        </is>
      </c>
      <c r="D1492" s="4108" t="inlineStr">
        <is>
          <t>202109</t>
        </is>
      </c>
      <c r="E1492" s="4108" t="inlineStr">
        <is>
          <t>6,000000000000</t>
        </is>
      </c>
    </row>
    <row outlineLevel="0" r="1493">
      <c r="A1493" s="4108" t="inlineStr">
        <is>
          <t>1357924682021092104</t>
        </is>
      </c>
      <c r="B1493" s="4108" t="inlineStr">
        <is>
          <t>2104</t>
        </is>
      </c>
      <c r="C1493" s="4108" t="inlineStr">
        <is>
          <t>135792468</t>
        </is>
      </c>
      <c r="D1493" s="4108" t="inlineStr">
        <is>
          <t>202109</t>
        </is>
      </c>
      <c r="E1493" s="4108" t="inlineStr">
        <is>
          <t>21,000000000000</t>
        </is>
      </c>
    </row>
    <row outlineLevel="0" r="1494">
      <c r="A1494" s="4108" t="inlineStr">
        <is>
          <t>1357924682021092103</t>
        </is>
      </c>
      <c r="B1494" s="4108" t="inlineStr">
        <is>
          <t>2103</t>
        </is>
      </c>
      <c r="C1494" s="4108" t="inlineStr">
        <is>
          <t>135792468</t>
        </is>
      </c>
      <c r="D1494" s="4108" t="inlineStr">
        <is>
          <t>202109</t>
        </is>
      </c>
      <c r="E1494" s="4108" t="inlineStr">
        <is>
          <t>105,000000000000</t>
        </is>
      </c>
    </row>
    <row outlineLevel="0" r="1495">
      <c r="A1495" s="4108" t="inlineStr">
        <is>
          <t>1357924682021092105</t>
        </is>
      </c>
      <c r="B1495" s="4108" t="inlineStr">
        <is>
          <t>2105</t>
        </is>
      </c>
      <c r="C1495" s="4108" t="inlineStr">
        <is>
          <t>135792468</t>
        </is>
      </c>
      <c r="D1495" s="4108" t="inlineStr">
        <is>
          <t>202109</t>
        </is>
      </c>
      <c r="E1495" s="4108" t="inlineStr">
        <is>
          <t>9,000000000000</t>
        </is>
      </c>
    </row>
    <row outlineLevel="0" r="1496">
      <c r="A1496" s="4108" t="inlineStr">
        <is>
          <t>1357924682021092106</t>
        </is>
      </c>
      <c r="B1496" s="4108" t="inlineStr">
        <is>
          <t>2106</t>
        </is>
      </c>
      <c r="C1496" s="4108" t="inlineStr">
        <is>
          <t>135792468</t>
        </is>
      </c>
      <c r="D1496" s="4108" t="inlineStr">
        <is>
          <t>202109</t>
        </is>
      </c>
      <c r="E1496" s="4108" t="inlineStr">
        <is>
          <t>45,000000000000</t>
        </is>
      </c>
    </row>
    <row outlineLevel="0" r="1497">
      <c r="A1497" s="4108" t="inlineStr">
        <is>
          <t>1357924682021092107</t>
        </is>
      </c>
      <c r="B1497" s="4108" t="inlineStr">
        <is>
          <t>2107</t>
        </is>
      </c>
      <c r="C1497" s="4108" t="inlineStr">
        <is>
          <t>135792468</t>
        </is>
      </c>
      <c r="D1497" s="4108" t="inlineStr">
        <is>
          <t>202109</t>
        </is>
      </c>
      <c r="E1497" s="4108" t="inlineStr">
        <is>
          <t>9,000000000000</t>
        </is>
      </c>
    </row>
    <row outlineLevel="0" r="1498">
      <c r="A1498" s="4108" t="inlineStr">
        <is>
          <t>1357924682021092109</t>
        </is>
      </c>
      <c r="B1498" s="4108" t="inlineStr">
        <is>
          <t>2109</t>
        </is>
      </c>
      <c r="C1498" s="4108" t="inlineStr">
        <is>
          <t>135792468</t>
        </is>
      </c>
      <c r="D1498" s="4108" t="inlineStr">
        <is>
          <t>202109</t>
        </is>
      </c>
      <c r="E1498" s="4108" t="inlineStr">
        <is>
          <t>15,000000000000</t>
        </is>
      </c>
    </row>
    <row outlineLevel="0" r="1499">
      <c r="A1499" s="4108" t="inlineStr">
        <is>
          <t>1357924682021092201</t>
        </is>
      </c>
      <c r="B1499" s="4108" t="inlineStr">
        <is>
          <t>2201</t>
        </is>
      </c>
      <c r="C1499" s="4108" t="inlineStr">
        <is>
          <t>135792468</t>
        </is>
      </c>
      <c r="D1499" s="4108" t="inlineStr">
        <is>
          <t>202109</t>
        </is>
      </c>
      <c r="E1499" s="4108" t="inlineStr">
        <is>
          <t>3,000000000000</t>
        </is>
      </c>
    </row>
    <row outlineLevel="0" r="1500">
      <c r="A1500" s="4108" t="inlineStr">
        <is>
          <t>1357924682021092203</t>
        </is>
      </c>
      <c r="B1500" s="4108" t="inlineStr">
        <is>
          <t>2203</t>
        </is>
      </c>
      <c r="C1500" s="4108" t="inlineStr">
        <is>
          <t>135792468</t>
        </is>
      </c>
      <c r="D1500" s="4108" t="inlineStr">
        <is>
          <t>202109</t>
        </is>
      </c>
      <c r="E1500" s="4108" t="inlineStr">
        <is>
          <t>120,000000000000</t>
        </is>
      </c>
    </row>
    <row outlineLevel="0" r="1501">
      <c r="A1501" s="4108" t="inlineStr">
        <is>
          <t>1357924682021092206</t>
        </is>
      </c>
      <c r="B1501" s="4108" t="inlineStr">
        <is>
          <t>2206</t>
        </is>
      </c>
      <c r="C1501" s="4108" t="inlineStr">
        <is>
          <t>135792468</t>
        </is>
      </c>
      <c r="D1501" s="4108" t="inlineStr">
        <is>
          <t>202109</t>
        </is>
      </c>
      <c r="E1501" s="4108" t="inlineStr">
        <is>
          <t>45,000000000000</t>
        </is>
      </c>
    </row>
    <row outlineLevel="0" r="1502">
      <c r="A1502" s="4108" t="inlineStr">
        <is>
          <t>1357924682021092204</t>
        </is>
      </c>
      <c r="B1502" s="4108" t="inlineStr">
        <is>
          <t>2204</t>
        </is>
      </c>
      <c r="C1502" s="4108" t="inlineStr">
        <is>
          <t>135792468</t>
        </is>
      </c>
      <c r="D1502" s="4108" t="inlineStr">
        <is>
          <t>202109</t>
        </is>
      </c>
      <c r="E1502" s="4108" t="inlineStr">
        <is>
          <t>21,000000000000</t>
        </is>
      </c>
    </row>
    <row outlineLevel="0" r="1503">
      <c r="A1503" s="4108" t="inlineStr">
        <is>
          <t>1357924682021092207</t>
        </is>
      </c>
      <c r="B1503" s="4108" t="inlineStr">
        <is>
          <t>2207</t>
        </is>
      </c>
      <c r="C1503" s="4108" t="inlineStr">
        <is>
          <t>135792468</t>
        </is>
      </c>
      <c r="D1503" s="4108" t="inlineStr">
        <is>
          <t>202109</t>
        </is>
      </c>
      <c r="E1503" s="4108" t="inlineStr">
        <is>
          <t>15,000000000000</t>
        </is>
      </c>
    </row>
    <row outlineLevel="0" r="1504">
      <c r="A1504" s="4108" t="inlineStr">
        <is>
          <t>1357924682021092209</t>
        </is>
      </c>
      <c r="B1504" s="4108" t="inlineStr">
        <is>
          <t>2209</t>
        </is>
      </c>
      <c r="C1504" s="4108" t="inlineStr">
        <is>
          <t>135792468</t>
        </is>
      </c>
      <c r="D1504" s="4108" t="inlineStr">
        <is>
          <t>202109</t>
        </is>
      </c>
      <c r="E1504" s="4108" t="inlineStr">
        <is>
          <t>6,000000000000</t>
        </is>
      </c>
    </row>
    <row outlineLevel="0" r="1505">
      <c r="A1505" s="4108" t="inlineStr">
        <is>
          <t>1357924682021095301</t>
        </is>
      </c>
      <c r="B1505" s="4108" t="inlineStr">
        <is>
          <t>5301</t>
        </is>
      </c>
      <c r="C1505" s="4108" t="inlineStr">
        <is>
          <t>135792468</t>
        </is>
      </c>
      <c r="D1505" s="4108" t="inlineStr">
        <is>
          <t>202109</t>
        </is>
      </c>
      <c r="E1505" s="4108" t="inlineStr">
        <is>
          <t>12,000000000000</t>
        </is>
      </c>
    </row>
    <row outlineLevel="0" r="1506">
      <c r="A1506" s="4108" t="inlineStr">
        <is>
          <t>135792468202109108000</t>
        </is>
      </c>
      <c r="B1506" s="4108" t="inlineStr">
        <is>
          <t>108000</t>
        </is>
      </c>
      <c r="C1506" s="4108" t="inlineStr">
        <is>
          <t>135792468</t>
        </is>
      </c>
      <c r="D1506" s="4108" t="inlineStr">
        <is>
          <t>202109</t>
        </is>
      </c>
      <c r="E1506" s="4108" t="inlineStr">
        <is>
          <t>0,000000000000</t>
        </is>
      </c>
    </row>
    <row outlineLevel="0" r="1507">
      <c r="A1507" s="4108" t="inlineStr">
        <is>
          <t>135792468202109108100</t>
        </is>
      </c>
      <c r="B1507" s="4108" t="inlineStr">
        <is>
          <t>108100</t>
        </is>
      </c>
      <c r="C1507" s="4108" t="inlineStr">
        <is>
          <t>135792468</t>
        </is>
      </c>
      <c r="D1507" s="4108" t="inlineStr">
        <is>
          <t>202109</t>
        </is>
      </c>
      <c r="E1507" s="4108" t="inlineStr">
        <is>
          <t>0,000000000000</t>
        </is>
      </c>
    </row>
    <row outlineLevel="0" r="1508">
      <c r="A1508" s="4108" t="inlineStr">
        <is>
          <t>135792468202109108200</t>
        </is>
      </c>
      <c r="B1508" s="4108" t="inlineStr">
        <is>
          <t>108200</t>
        </is>
      </c>
      <c r="C1508" s="4108" t="inlineStr">
        <is>
          <t>135792468</t>
        </is>
      </c>
      <c r="D1508" s="4108" t="inlineStr">
        <is>
          <t>202109</t>
        </is>
      </c>
      <c r="E1508" s="4108" t="inlineStr">
        <is>
          <t>0,000000000000</t>
        </is>
      </c>
    </row>
    <row outlineLevel="0" r="1509">
      <c r="A1509" s="4108" t="inlineStr">
        <is>
          <t>135792468202109108400</t>
        </is>
      </c>
      <c r="B1509" s="4108" t="inlineStr">
        <is>
          <t>108400</t>
        </is>
      </c>
      <c r="C1509" s="4108" t="inlineStr">
        <is>
          <t>135792468</t>
        </is>
      </c>
      <c r="D1509" s="4108" t="inlineStr">
        <is>
          <t>202109</t>
        </is>
      </c>
      <c r="E1509" s="4108" t="inlineStr">
        <is>
          <t>0,000000000000</t>
        </is>
      </c>
    </row>
    <row outlineLevel="0" r="1510">
      <c r="A1510" s="4108" t="inlineStr">
        <is>
          <t>135792468202109108300</t>
        </is>
      </c>
      <c r="B1510" s="4108" t="inlineStr">
        <is>
          <t>108300</t>
        </is>
      </c>
      <c r="C1510" s="4108" t="inlineStr">
        <is>
          <t>135792468</t>
        </is>
      </c>
      <c r="D1510" s="4108" t="inlineStr">
        <is>
          <t>202109</t>
        </is>
      </c>
      <c r="E1510" s="4108" t="inlineStr">
        <is>
          <t>0,000000000000</t>
        </is>
      </c>
    </row>
    <row outlineLevel="0" r="1511">
      <c r="A1511" s="4108" t="inlineStr">
        <is>
          <t>135792468202109109801</t>
        </is>
      </c>
      <c r="B1511" s="4108" t="inlineStr">
        <is>
          <t>109801</t>
        </is>
      </c>
      <c r="C1511" s="4108" t="inlineStr">
        <is>
          <t>135792468</t>
        </is>
      </c>
      <c r="D1511" s="4108" t="inlineStr">
        <is>
          <t>202109</t>
        </is>
      </c>
      <c r="E1511" s="4108" t="inlineStr">
        <is>
          <t>6,000000000000</t>
        </is>
      </c>
    </row>
    <row outlineLevel="0" r="1512">
      <c r="A1512" s="4108" t="inlineStr">
        <is>
          <t>135792468202109110105</t>
        </is>
      </c>
      <c r="B1512" s="4108" t="inlineStr">
        <is>
          <t>110105</t>
        </is>
      </c>
      <c r="C1512" s="4108" t="inlineStr">
        <is>
          <t>135792468</t>
        </is>
      </c>
      <c r="D1512" s="4108" t="inlineStr">
        <is>
          <t>202109</t>
        </is>
      </c>
      <c r="E1512" s="4108" t="inlineStr">
        <is>
          <t>0,000000000000</t>
        </is>
      </c>
    </row>
    <row outlineLevel="0" r="1513">
      <c r="A1513" s="4108" t="inlineStr">
        <is>
          <t>135792468202109110110</t>
        </is>
      </c>
      <c r="B1513" s="4108" t="inlineStr">
        <is>
          <t>110110</t>
        </is>
      </c>
      <c r="C1513" s="4108" t="inlineStr">
        <is>
          <t>135792468</t>
        </is>
      </c>
      <c r="D1513" s="4108" t="inlineStr">
        <is>
          <t>202109</t>
        </is>
      </c>
      <c r="E1513" s="4108" t="inlineStr">
        <is>
          <t>3,000000000000</t>
        </is>
      </c>
    </row>
    <row outlineLevel="0" r="1514">
      <c r="A1514" s="4108" t="inlineStr">
        <is>
          <t>135792468202109110125</t>
        </is>
      </c>
      <c r="B1514" s="4108" t="inlineStr">
        <is>
          <t>110125</t>
        </is>
      </c>
      <c r="C1514" s="4108" t="inlineStr">
        <is>
          <t>135792468</t>
        </is>
      </c>
      <c r="D1514" s="4108" t="inlineStr">
        <is>
          <t>202109</t>
        </is>
      </c>
      <c r="E1514" s="4108" t="inlineStr">
        <is>
          <t>6,000000000000</t>
        </is>
      </c>
    </row>
    <row outlineLevel="0" r="1515">
      <c r="A1515" s="4108" t="inlineStr">
        <is>
          <t>135792468202109110130</t>
        </is>
      </c>
      <c r="B1515" s="4108" t="inlineStr">
        <is>
          <t>110130</t>
        </is>
      </c>
      <c r="C1515" s="4108" t="inlineStr">
        <is>
          <t>135792468</t>
        </is>
      </c>
      <c r="D1515" s="4108" t="inlineStr">
        <is>
          <t>202109</t>
        </is>
      </c>
      <c r="E1515" s="4108" t="inlineStr">
        <is>
          <t>3,000000000000</t>
        </is>
      </c>
    </row>
    <row outlineLevel="0" r="1516">
      <c r="A1516" s="4108" t="inlineStr">
        <is>
          <t>135792468202109110205</t>
        </is>
      </c>
      <c r="B1516" s="4108" t="inlineStr">
        <is>
          <t>110205</t>
        </is>
      </c>
      <c r="C1516" s="4108" t="inlineStr">
        <is>
          <t>135792468</t>
        </is>
      </c>
      <c r="D1516" s="4108" t="inlineStr">
        <is>
          <t>202109</t>
        </is>
      </c>
      <c r="E1516" s="4108" t="inlineStr">
        <is>
          <t>0,000000000000</t>
        </is>
      </c>
    </row>
    <row outlineLevel="0" r="1517">
      <c r="A1517" s="4108" t="inlineStr">
        <is>
          <t>135792468202109110215</t>
        </is>
      </c>
      <c r="B1517" s="4108" t="inlineStr">
        <is>
          <t>110215</t>
        </is>
      </c>
      <c r="C1517" s="4108" t="inlineStr">
        <is>
          <t>135792468</t>
        </is>
      </c>
      <c r="D1517" s="4108" t="inlineStr">
        <is>
          <t>202109</t>
        </is>
      </c>
      <c r="E1517" s="4108" t="inlineStr">
        <is>
          <t>3,000000000000</t>
        </is>
      </c>
    </row>
    <row outlineLevel="0" r="1518">
      <c r="A1518" s="4108" t="inlineStr">
        <is>
          <t>135792468202109110210</t>
        </is>
      </c>
      <c r="B1518" s="4108" t="inlineStr">
        <is>
          <t>110210</t>
        </is>
      </c>
      <c r="C1518" s="4108" t="inlineStr">
        <is>
          <t>135792468</t>
        </is>
      </c>
      <c r="D1518" s="4108" t="inlineStr">
        <is>
          <t>202109</t>
        </is>
      </c>
      <c r="E1518" s="4108" t="inlineStr">
        <is>
          <t>3,000000000000</t>
        </is>
      </c>
    </row>
    <row outlineLevel="0" r="1519">
      <c r="A1519" s="4108" t="inlineStr">
        <is>
          <t>135792468202109110225</t>
        </is>
      </c>
      <c r="B1519" s="4108" t="inlineStr">
        <is>
          <t>110225</t>
        </is>
      </c>
      <c r="C1519" s="4108" t="inlineStr">
        <is>
          <t>135792468</t>
        </is>
      </c>
      <c r="D1519" s="4108" t="inlineStr">
        <is>
          <t>202109</t>
        </is>
      </c>
      <c r="E1519" s="4108" t="inlineStr">
        <is>
          <t>3,000000000000</t>
        </is>
      </c>
    </row>
    <row outlineLevel="0" r="1520">
      <c r="A1520" s="4108" t="inlineStr">
        <is>
          <t>135792468202109110235</t>
        </is>
      </c>
      <c r="B1520" s="4108" t="inlineStr">
        <is>
          <t>110235</t>
        </is>
      </c>
      <c r="C1520" s="4108" t="inlineStr">
        <is>
          <t>135792468</t>
        </is>
      </c>
      <c r="D1520" s="4108" t="inlineStr">
        <is>
          <t>202109</t>
        </is>
      </c>
      <c r="E1520" s="4108" t="inlineStr">
        <is>
          <t>6,000000000000</t>
        </is>
      </c>
    </row>
    <row outlineLevel="0" r="1521">
      <c r="A1521" s="4108" t="inlineStr">
        <is>
          <t>135792468202109110255</t>
        </is>
      </c>
      <c r="B1521" s="4108" t="inlineStr">
        <is>
          <t>110255</t>
        </is>
      </c>
      <c r="C1521" s="4108" t="inlineStr">
        <is>
          <t>135792468</t>
        </is>
      </c>
      <c r="D1521" s="4108" t="inlineStr">
        <is>
          <t>202109</t>
        </is>
      </c>
      <c r="E1521" s="4108" t="inlineStr">
        <is>
          <t>6,000000000000</t>
        </is>
      </c>
    </row>
    <row outlineLevel="0" r="1522">
      <c r="A1522" s="4108" t="inlineStr">
        <is>
          <t>135792468202109110260</t>
        </is>
      </c>
      <c r="B1522" s="4108" t="inlineStr">
        <is>
          <t>110260</t>
        </is>
      </c>
      <c r="C1522" s="4108" t="inlineStr">
        <is>
          <t>135792468</t>
        </is>
      </c>
      <c r="D1522" s="4108" t="inlineStr">
        <is>
          <t>202109</t>
        </is>
      </c>
      <c r="E1522" s="4108" t="inlineStr">
        <is>
          <t>9,000000000000</t>
        </is>
      </c>
    </row>
    <row outlineLevel="0" r="1523">
      <c r="A1523" s="4108" t="inlineStr">
        <is>
          <t>135792468202109110305</t>
        </is>
      </c>
      <c r="B1523" s="4108" t="inlineStr">
        <is>
          <t>110305</t>
        </is>
      </c>
      <c r="C1523" s="4108" t="inlineStr">
        <is>
          <t>135792468</t>
        </is>
      </c>
      <c r="D1523" s="4108" t="inlineStr">
        <is>
          <t>202109</t>
        </is>
      </c>
      <c r="E1523" s="4108" t="inlineStr">
        <is>
          <t>0,000000000000</t>
        </is>
      </c>
    </row>
    <row outlineLevel="0" r="1524">
      <c r="A1524" s="4108" t="inlineStr">
        <is>
          <t>135792468202109110390</t>
        </is>
      </c>
      <c r="B1524" s="4108" t="inlineStr">
        <is>
          <t>110390</t>
        </is>
      </c>
      <c r="C1524" s="4108" t="inlineStr">
        <is>
          <t>135792468</t>
        </is>
      </c>
      <c r="D1524" s="4108" t="inlineStr">
        <is>
          <t>202109</t>
        </is>
      </c>
      <c r="E1524" s="4108" t="inlineStr">
        <is>
          <t>3,000000000000</t>
        </is>
      </c>
    </row>
    <row outlineLevel="0" r="1525">
      <c r="A1525" s="4108" t="inlineStr">
        <is>
          <t>135792468202109110405</t>
        </is>
      </c>
      <c r="B1525" s="4108" t="inlineStr">
        <is>
          <t>110405</t>
        </is>
      </c>
      <c r="C1525" s="4108" t="inlineStr">
        <is>
          <t>135792468</t>
        </is>
      </c>
      <c r="D1525" s="4108" t="inlineStr">
        <is>
          <t>202109</t>
        </is>
      </c>
      <c r="E1525" s="4108" t="inlineStr">
        <is>
          <t>0,000000000000</t>
        </is>
      </c>
    </row>
    <row outlineLevel="0" r="1526">
      <c r="A1526" s="4108" t="inlineStr">
        <is>
          <t>135792468202109110395</t>
        </is>
      </c>
      <c r="B1526" s="4108" t="inlineStr">
        <is>
          <t>110395</t>
        </is>
      </c>
      <c r="C1526" s="4108" t="inlineStr">
        <is>
          <t>135792468</t>
        </is>
      </c>
      <c r="D1526" s="4108" t="inlineStr">
        <is>
          <t>202109</t>
        </is>
      </c>
      <c r="E1526" s="4108" t="inlineStr">
        <is>
          <t>6,000000000000</t>
        </is>
      </c>
    </row>
    <row outlineLevel="0" r="1527">
      <c r="A1527" s="4108" t="inlineStr">
        <is>
          <t>135792468202109110410</t>
        </is>
      </c>
      <c r="B1527" s="4108" t="inlineStr">
        <is>
          <t>110410</t>
        </is>
      </c>
      <c r="C1527" s="4108" t="inlineStr">
        <is>
          <t>135792468</t>
        </is>
      </c>
      <c r="D1527" s="4108" t="inlineStr">
        <is>
          <t>202109</t>
        </is>
      </c>
      <c r="E1527" s="4108" t="inlineStr">
        <is>
          <t>3,000000000000</t>
        </is>
      </c>
    </row>
    <row outlineLevel="0" r="1528">
      <c r="A1528" s="4108" t="inlineStr">
        <is>
          <t>135792468202109110415</t>
        </is>
      </c>
      <c r="B1528" s="4108" t="inlineStr">
        <is>
          <t>110415</t>
        </is>
      </c>
      <c r="C1528" s="4108" t="inlineStr">
        <is>
          <t>135792468</t>
        </is>
      </c>
      <c r="D1528" s="4108" t="inlineStr">
        <is>
          <t>202109</t>
        </is>
      </c>
      <c r="E1528" s="4108" t="inlineStr">
        <is>
          <t>3,000000000000</t>
        </is>
      </c>
    </row>
    <row outlineLevel="0" r="1529">
      <c r="A1529" s="4108" t="inlineStr">
        <is>
          <t>135792468202109110420</t>
        </is>
      </c>
      <c r="B1529" s="4108" t="inlineStr">
        <is>
          <t>110420</t>
        </is>
      </c>
      <c r="C1529" s="4108" t="inlineStr">
        <is>
          <t>135792468</t>
        </is>
      </c>
      <c r="D1529" s="4108" t="inlineStr">
        <is>
          <t>202109</t>
        </is>
      </c>
      <c r="E1529" s="4108" t="inlineStr">
        <is>
          <t>6,000000000000</t>
        </is>
      </c>
    </row>
    <row outlineLevel="0" r="1530">
      <c r="A1530" s="4108" t="inlineStr">
        <is>
          <t>135792468202109110490</t>
        </is>
      </c>
      <c r="B1530" s="4108" t="inlineStr">
        <is>
          <t>110490</t>
        </is>
      </c>
      <c r="C1530" s="4108" t="inlineStr">
        <is>
          <t>135792468</t>
        </is>
      </c>
      <c r="D1530" s="4108" t="inlineStr">
        <is>
          <t>202109</t>
        </is>
      </c>
      <c r="E1530" s="4108" t="inlineStr">
        <is>
          <t>9,000000000000</t>
        </is>
      </c>
    </row>
    <row outlineLevel="0" r="1531">
      <c r="A1531" s="4108" t="inlineStr">
        <is>
          <t>135792468202109110491</t>
        </is>
      </c>
      <c r="B1531" s="4108" t="inlineStr">
        <is>
          <t>110491</t>
        </is>
      </c>
      <c r="C1531" s="4108" t="inlineStr">
        <is>
          <t>135792468</t>
        </is>
      </c>
      <c r="D1531" s="4108" t="inlineStr">
        <is>
          <t>202109</t>
        </is>
      </c>
      <c r="E1531" s="4108" t="inlineStr">
        <is>
          <t>9,000000000000</t>
        </is>
      </c>
    </row>
    <row outlineLevel="0" r="1532">
      <c r="A1532" s="4108" t="inlineStr">
        <is>
          <t>135792468202109110495</t>
        </is>
      </c>
      <c r="B1532" s="4108" t="inlineStr">
        <is>
          <t>110495</t>
        </is>
      </c>
      <c r="C1532" s="4108" t="inlineStr">
        <is>
          <t>135792468</t>
        </is>
      </c>
      <c r="D1532" s="4108" t="inlineStr">
        <is>
          <t>202109</t>
        </is>
      </c>
      <c r="E1532" s="4108" t="inlineStr">
        <is>
          <t>6,000000000000</t>
        </is>
      </c>
    </row>
    <row outlineLevel="0" r="1533">
      <c r="A1533" s="4108" t="inlineStr">
        <is>
          <t>135792468202109120104</t>
        </is>
      </c>
      <c r="B1533" s="4108" t="inlineStr">
        <is>
          <t>120104</t>
        </is>
      </c>
      <c r="C1533" s="4108" t="inlineStr">
        <is>
          <t>135792468</t>
        </is>
      </c>
      <c r="D1533" s="4108" t="inlineStr">
        <is>
          <t>202109</t>
        </is>
      </c>
      <c r="E1533" s="4108" t="inlineStr">
        <is>
          <t>0,000000000000</t>
        </is>
      </c>
    </row>
    <row outlineLevel="0" r="1534">
      <c r="A1534" s="4108" t="inlineStr">
        <is>
          <t>135792468202109111010</t>
        </is>
      </c>
      <c r="B1534" s="4108" t="inlineStr">
        <is>
          <t>111010</t>
        </is>
      </c>
      <c r="C1534" s="4108" t="inlineStr">
        <is>
          <t>135792468</t>
        </is>
      </c>
      <c r="D1534" s="4108" t="inlineStr">
        <is>
          <t>202109</t>
        </is>
      </c>
      <c r="E1534" s="4108" t="inlineStr">
        <is>
          <t>3,000000000000</t>
        </is>
      </c>
    </row>
    <row outlineLevel="0" r="1535">
      <c r="A1535" s="4108" t="inlineStr">
        <is>
          <t>135792468202109120108</t>
        </is>
      </c>
      <c r="B1535" s="4108" t="inlineStr">
        <is>
          <t>120108</t>
        </is>
      </c>
      <c r="C1535" s="4108" t="inlineStr">
        <is>
          <t>135792468</t>
        </is>
      </c>
      <c r="D1535" s="4108" t="inlineStr">
        <is>
          <t>202109</t>
        </is>
      </c>
      <c r="E1535" s="4108" t="inlineStr">
        <is>
          <t>3,000000000000</t>
        </is>
      </c>
    </row>
    <row outlineLevel="0" r="1536">
      <c r="A1536" s="4108" t="inlineStr">
        <is>
          <t>135792468202109120116</t>
        </is>
      </c>
      <c r="B1536" s="4108" t="inlineStr">
        <is>
          <t>120116</t>
        </is>
      </c>
      <c r="C1536" s="4108" t="inlineStr">
        <is>
          <t>135792468</t>
        </is>
      </c>
      <c r="D1536" s="4108" t="inlineStr">
        <is>
          <t>202109</t>
        </is>
      </c>
      <c r="E1536" s="4108" t="inlineStr">
        <is>
          <t>3,000000000000</t>
        </is>
      </c>
    </row>
    <row outlineLevel="0" r="1537">
      <c r="A1537" s="4108" t="inlineStr">
        <is>
          <t>135792468202109120120</t>
        </is>
      </c>
      <c r="B1537" s="4108" t="inlineStr">
        <is>
          <t>120120</t>
        </is>
      </c>
      <c r="C1537" s="4108" t="inlineStr">
        <is>
          <t>135792468</t>
        </is>
      </c>
      <c r="D1537" s="4108" t="inlineStr">
        <is>
          <t>202109</t>
        </is>
      </c>
      <c r="E1537" s="4108" t="inlineStr">
        <is>
          <t>6,000000000000</t>
        </is>
      </c>
    </row>
    <row outlineLevel="0" r="1538">
      <c r="A1538" s="4108" t="inlineStr">
        <is>
          <t>135792468202109120124</t>
        </is>
      </c>
      <c r="B1538" s="4108" t="inlineStr">
        <is>
          <t>120124</t>
        </is>
      </c>
      <c r="C1538" s="4108" t="inlineStr">
        <is>
          <t>135792468</t>
        </is>
      </c>
      <c r="D1538" s="4108" t="inlineStr">
        <is>
          <t>202109</t>
        </is>
      </c>
      <c r="E1538" s="4108" t="inlineStr">
        <is>
          <t>6,000000000000</t>
        </is>
      </c>
    </row>
    <row outlineLevel="0" r="1539">
      <c r="A1539" s="4108" t="inlineStr">
        <is>
          <t>135792468202109120128</t>
        </is>
      </c>
      <c r="B1539" s="4108" t="inlineStr">
        <is>
          <t>120128</t>
        </is>
      </c>
      <c r="C1539" s="4108" t="inlineStr">
        <is>
          <t>135792468</t>
        </is>
      </c>
      <c r="D1539" s="4108" t="inlineStr">
        <is>
          <t>202109</t>
        </is>
      </c>
      <c r="E1539" s="4108" t="inlineStr">
        <is>
          <t>6,000000000000</t>
        </is>
      </c>
    </row>
    <row outlineLevel="0" r="1540">
      <c r="A1540" s="4108" t="inlineStr">
        <is>
          <t>135792468202109120140</t>
        </is>
      </c>
      <c r="B1540" s="4108" t="inlineStr">
        <is>
          <t>120140</t>
        </is>
      </c>
      <c r="C1540" s="4108" t="inlineStr">
        <is>
          <t>135792468</t>
        </is>
      </c>
      <c r="D1540" s="4108" t="inlineStr">
        <is>
          <t>202109</t>
        </is>
      </c>
      <c r="E1540" s="4108" t="inlineStr">
        <is>
          <t>9,000000000000</t>
        </is>
      </c>
    </row>
    <row outlineLevel="0" r="1541">
      <c r="A1541" s="4108" t="inlineStr">
        <is>
          <t>135792468202109120195</t>
        </is>
      </c>
      <c r="B1541" s="4108" t="inlineStr">
        <is>
          <t>120195</t>
        </is>
      </c>
      <c r="C1541" s="4108" t="inlineStr">
        <is>
          <t>135792468</t>
        </is>
      </c>
      <c r="D1541" s="4108" t="inlineStr">
        <is>
          <t>202109</t>
        </is>
      </c>
      <c r="E1541" s="4108" t="inlineStr">
        <is>
          <t>18,000000000000</t>
        </is>
      </c>
    </row>
    <row outlineLevel="0" r="1542">
      <c r="A1542" s="4108" t="inlineStr">
        <is>
          <t>135792468202109120145</t>
        </is>
      </c>
      <c r="B1542" s="4108" t="inlineStr">
        <is>
          <t>120145</t>
        </is>
      </c>
      <c r="C1542" s="4108" t="inlineStr">
        <is>
          <t>135792468</t>
        </is>
      </c>
      <c r="D1542" s="4108" t="inlineStr">
        <is>
          <t>202109</t>
        </is>
      </c>
      <c r="E1542" s="4108" t="inlineStr">
        <is>
          <t>15,000000000000</t>
        </is>
      </c>
    </row>
    <row outlineLevel="0" r="1543">
      <c r="A1543" s="4108" t="inlineStr">
        <is>
          <t>135792468202109120501</t>
        </is>
      </c>
      <c r="B1543" s="4108" t="inlineStr">
        <is>
          <t>120501</t>
        </is>
      </c>
      <c r="C1543" s="4108" t="inlineStr">
        <is>
          <t>135792468</t>
        </is>
      </c>
      <c r="D1543" s="4108" t="inlineStr">
        <is>
          <t>202109</t>
        </is>
      </c>
      <c r="E1543" s="4108" t="inlineStr">
        <is>
          <t>0,000000000000</t>
        </is>
      </c>
    </row>
    <row outlineLevel="0" r="1544">
      <c r="A1544" s="4108" t="inlineStr">
        <is>
          <t>135792468202109120610</t>
        </is>
      </c>
      <c r="B1544" s="4108" t="inlineStr">
        <is>
          <t>120610</t>
        </is>
      </c>
      <c r="C1544" s="4108" t="inlineStr">
        <is>
          <t>135792468</t>
        </is>
      </c>
      <c r="D1544" s="4108" t="inlineStr">
        <is>
          <t>202109</t>
        </is>
      </c>
      <c r="E1544" s="4108" t="inlineStr">
        <is>
          <t>0,000000000000</t>
        </is>
      </c>
    </row>
    <row outlineLevel="0" r="1545">
      <c r="A1545" s="4108" t="inlineStr">
        <is>
          <t>135792468202109120615</t>
        </is>
      </c>
      <c r="B1545" s="4108" t="inlineStr">
        <is>
          <t>120615</t>
        </is>
      </c>
      <c r="C1545" s="4108" t="inlineStr">
        <is>
          <t>135792468</t>
        </is>
      </c>
      <c r="D1545" s="4108" t="inlineStr">
        <is>
          <t>202109</t>
        </is>
      </c>
      <c r="E1545" s="4108" t="inlineStr">
        <is>
          <t>3,000000000000</t>
        </is>
      </c>
    </row>
    <row outlineLevel="0" r="1546">
      <c r="A1546" s="4108" t="inlineStr">
        <is>
          <t>135792468202109120620</t>
        </is>
      </c>
      <c r="B1546" s="4108" t="inlineStr">
        <is>
          <t>120620</t>
        </is>
      </c>
      <c r="C1546" s="4108" t="inlineStr">
        <is>
          <t>135792468</t>
        </is>
      </c>
      <c r="D1546" s="4108" t="inlineStr">
        <is>
          <t>202109</t>
        </is>
      </c>
      <c r="E1546" s="4108" t="inlineStr">
        <is>
          <t>3,000000000000</t>
        </is>
      </c>
    </row>
    <row outlineLevel="0" r="1547">
      <c r="A1547" s="4108" t="inlineStr">
        <is>
          <t>135792468202109121001</t>
        </is>
      </c>
      <c r="B1547" s="4108" t="inlineStr">
        <is>
          <t>121001</t>
        </is>
      </c>
      <c r="C1547" s="4108" t="inlineStr">
        <is>
          <t>135792468</t>
        </is>
      </c>
      <c r="D1547" s="4108" t="inlineStr">
        <is>
          <t>202109</t>
        </is>
      </c>
      <c r="E1547" s="4108" t="inlineStr">
        <is>
          <t>3,000000000000</t>
        </is>
      </c>
    </row>
    <row outlineLevel="0" r="1548">
      <c r="A1548" s="4108" t="inlineStr">
        <is>
          <t>135792468202109121501</t>
        </is>
      </c>
      <c r="B1548" s="4108" t="inlineStr">
        <is>
          <t>121501</t>
        </is>
      </c>
      <c r="C1548" s="4108" t="inlineStr">
        <is>
          <t>135792468</t>
        </is>
      </c>
      <c r="D1548" s="4108" t="inlineStr">
        <is>
          <t>202109</t>
        </is>
      </c>
      <c r="E1548" s="4108" t="inlineStr">
        <is>
          <t>3,000000000000</t>
        </is>
      </c>
    </row>
    <row outlineLevel="0" r="1549">
      <c r="A1549" s="4108" t="inlineStr">
        <is>
          <t>135792468202109125501</t>
        </is>
      </c>
      <c r="B1549" s="4108" t="inlineStr">
        <is>
          <t>125501</t>
        </is>
      </c>
      <c r="C1549" s="4108" t="inlineStr">
        <is>
          <t>135792468</t>
        </is>
      </c>
      <c r="D1549" s="4108" t="inlineStr">
        <is>
          <t>202109</t>
        </is>
      </c>
      <c r="E1549" s="4108" t="inlineStr">
        <is>
          <t>6,000000000000</t>
        </is>
      </c>
    </row>
    <row outlineLevel="0" r="1550">
      <c r="A1550" s="4108" t="inlineStr">
        <is>
          <t>135792468202109123501</t>
        </is>
      </c>
      <c r="B1550" s="4108" t="inlineStr">
        <is>
          <t>123501</t>
        </is>
      </c>
      <c r="C1550" s="4108" t="inlineStr">
        <is>
          <t>135792468</t>
        </is>
      </c>
      <c r="D1550" s="4108" t="inlineStr">
        <is>
          <t>202109</t>
        </is>
      </c>
      <c r="E1550" s="4108" t="inlineStr">
        <is>
          <t>3,000000000000</t>
        </is>
      </c>
    </row>
    <row outlineLevel="0" r="1551">
      <c r="A1551" s="4108" t="inlineStr">
        <is>
          <t>135792468202109126001</t>
        </is>
      </c>
      <c r="B1551" s="4108" t="inlineStr">
        <is>
          <t>126001</t>
        </is>
      </c>
      <c r="C1551" s="4108" t="inlineStr">
        <is>
          <t>135792468</t>
        </is>
      </c>
      <c r="D1551" s="4108" t="inlineStr">
        <is>
          <t>202109</t>
        </is>
      </c>
      <c r="E1551" s="4108" t="inlineStr">
        <is>
          <t>6,000000000000</t>
        </is>
      </c>
    </row>
    <row outlineLevel="0" r="1552">
      <c r="A1552" s="4108" t="inlineStr">
        <is>
          <t>135792468202109129501</t>
        </is>
      </c>
      <c r="B1552" s="4108" t="inlineStr">
        <is>
          <t>129501</t>
        </is>
      </c>
      <c r="C1552" s="4108" t="inlineStr">
        <is>
          <t>135792468</t>
        </is>
      </c>
      <c r="D1552" s="4108" t="inlineStr">
        <is>
          <t>202109</t>
        </is>
      </c>
      <c r="E1552" s="4108" t="inlineStr">
        <is>
          <t>6,000000000000</t>
        </is>
      </c>
    </row>
    <row outlineLevel="0" r="1553">
      <c r="A1553" s="4108" t="inlineStr">
        <is>
          <t>135792468202109129700</t>
        </is>
      </c>
      <c r="B1553" s="4108" t="inlineStr">
        <is>
          <t>129700</t>
        </is>
      </c>
      <c r="C1553" s="4108" t="inlineStr">
        <is>
          <t>135792468</t>
        </is>
      </c>
      <c r="D1553" s="4108" t="inlineStr">
        <is>
          <t>202109</t>
        </is>
      </c>
      <c r="E1553" s="4108" t="inlineStr">
        <is>
          <t>6,000000000000</t>
        </is>
      </c>
    </row>
    <row outlineLevel="0" r="1554">
      <c r="A1554" s="4108" t="inlineStr">
        <is>
          <t>135792468202109129701</t>
        </is>
      </c>
      <c r="B1554" s="4108" t="inlineStr">
        <is>
          <t>129701</t>
        </is>
      </c>
      <c r="C1554" s="4108" t="inlineStr">
        <is>
          <t>135792468</t>
        </is>
      </c>
      <c r="D1554" s="4108" t="inlineStr">
        <is>
          <t>202109</t>
        </is>
      </c>
      <c r="E1554" s="4108" t="inlineStr">
        <is>
          <t>9,000000000000</t>
        </is>
      </c>
    </row>
    <row outlineLevel="0" r="1555">
      <c r="A1555" s="4108" t="inlineStr">
        <is>
          <t>135792468202109129901</t>
        </is>
      </c>
      <c r="B1555" s="4108" t="inlineStr">
        <is>
          <t>129901</t>
        </is>
      </c>
      <c r="C1555" s="4108" t="inlineStr">
        <is>
          <t>135792468</t>
        </is>
      </c>
      <c r="D1555" s="4108" t="inlineStr">
        <is>
          <t>202109</t>
        </is>
      </c>
      <c r="E1555" s="4108" t="inlineStr">
        <is>
          <t>9,000000000000</t>
        </is>
      </c>
    </row>
    <row outlineLevel="0" r="1556">
      <c r="A1556" s="4108" t="inlineStr">
        <is>
          <t>135792468202109130506</t>
        </is>
      </c>
      <c r="B1556" s="4108" t="inlineStr">
        <is>
          <t>130506</t>
        </is>
      </c>
      <c r="C1556" s="4108" t="inlineStr">
        <is>
          <t>135792468</t>
        </is>
      </c>
      <c r="D1556" s="4108" t="inlineStr">
        <is>
          <t>202109</t>
        </is>
      </c>
      <c r="E1556" s="4108" t="inlineStr">
        <is>
          <t>0,000000000000</t>
        </is>
      </c>
    </row>
    <row outlineLevel="0" r="1557">
      <c r="A1557" s="4108" t="inlineStr">
        <is>
          <t>135792468202109130511</t>
        </is>
      </c>
      <c r="B1557" s="4108" t="inlineStr">
        <is>
          <t>130511</t>
        </is>
      </c>
      <c r="C1557" s="4108" t="inlineStr">
        <is>
          <t>135792468</t>
        </is>
      </c>
      <c r="D1557" s="4108" t="inlineStr">
        <is>
          <t>202109</t>
        </is>
      </c>
      <c r="E1557" s="4108" t="inlineStr">
        <is>
          <t>3,000000000000</t>
        </is>
      </c>
    </row>
    <row outlineLevel="0" r="1558">
      <c r="A1558" s="4108" t="inlineStr">
        <is>
          <t>135792468202109130510</t>
        </is>
      </c>
      <c r="B1558" s="4108" t="inlineStr">
        <is>
          <t>130510</t>
        </is>
      </c>
      <c r="C1558" s="4108" t="inlineStr">
        <is>
          <t>135792468</t>
        </is>
      </c>
      <c r="D1558" s="4108" t="inlineStr">
        <is>
          <t>202109</t>
        </is>
      </c>
      <c r="E1558" s="4108" t="inlineStr">
        <is>
          <t>3,000000000000</t>
        </is>
      </c>
    </row>
    <row outlineLevel="0" r="1559">
      <c r="A1559" s="4108" t="inlineStr">
        <is>
          <t>135792468202109131000</t>
        </is>
      </c>
      <c r="B1559" s="4108" t="inlineStr">
        <is>
          <t>131000</t>
        </is>
      </c>
      <c r="C1559" s="4108" t="inlineStr">
        <is>
          <t>135792468</t>
        </is>
      </c>
      <c r="D1559" s="4108" t="inlineStr">
        <is>
          <t>202109</t>
        </is>
      </c>
      <c r="E1559" s="4108" t="inlineStr">
        <is>
          <t>3,000000000000</t>
        </is>
      </c>
    </row>
    <row outlineLevel="0" r="1560">
      <c r="A1560" s="4108" t="inlineStr">
        <is>
          <t>135792468202109131001</t>
        </is>
      </c>
      <c r="B1560" s="4108" t="inlineStr">
        <is>
          <t>131001</t>
        </is>
      </c>
      <c r="C1560" s="4108" t="inlineStr">
        <is>
          <t>135792468</t>
        </is>
      </c>
      <c r="D1560" s="4108" t="inlineStr">
        <is>
          <t>202109</t>
        </is>
      </c>
      <c r="E1560" s="4108" t="inlineStr">
        <is>
          <t>3,000000000000</t>
        </is>
      </c>
    </row>
    <row outlineLevel="0" r="1561">
      <c r="A1561" s="4108" t="inlineStr">
        <is>
          <t>135792468202109131501</t>
        </is>
      </c>
      <c r="B1561" s="4108" t="inlineStr">
        <is>
          <t>131501</t>
        </is>
      </c>
      <c r="C1561" s="4108" t="inlineStr">
        <is>
          <t>135792468</t>
        </is>
      </c>
      <c r="D1561" s="4108" t="inlineStr">
        <is>
          <t>202109</t>
        </is>
      </c>
      <c r="E1561" s="4108" t="inlineStr">
        <is>
          <t>3,000000000000</t>
        </is>
      </c>
    </row>
    <row outlineLevel="0" r="1562">
      <c r="A1562" s="4108" t="inlineStr">
        <is>
          <t>135792468202109132000</t>
        </is>
      </c>
      <c r="B1562" s="4108" t="inlineStr">
        <is>
          <t>132000</t>
        </is>
      </c>
      <c r="C1562" s="4108" t="inlineStr">
        <is>
          <t>135792468</t>
        </is>
      </c>
      <c r="D1562" s="4108" t="inlineStr">
        <is>
          <t>202109</t>
        </is>
      </c>
      <c r="E1562" s="4108" t="inlineStr">
        <is>
          <t>0,000000000000</t>
        </is>
      </c>
    </row>
    <row outlineLevel="0" r="1563">
      <c r="A1563" s="4108" t="inlineStr">
        <is>
          <t>135792468202109132001</t>
        </is>
      </c>
      <c r="B1563" s="4108" t="inlineStr">
        <is>
          <t>132001</t>
        </is>
      </c>
      <c r="C1563" s="4108" t="inlineStr">
        <is>
          <t>135792468</t>
        </is>
      </c>
      <c r="D1563" s="4108" t="inlineStr">
        <is>
          <t>202109</t>
        </is>
      </c>
      <c r="E1563" s="4108" t="inlineStr">
        <is>
          <t>6,000000000000</t>
        </is>
      </c>
    </row>
    <row outlineLevel="0" r="1564">
      <c r="A1564" s="4108" t="inlineStr">
        <is>
          <t>135792468202109132500</t>
        </is>
      </c>
      <c r="B1564" s="4108" t="inlineStr">
        <is>
          <t>132500</t>
        </is>
      </c>
      <c r="C1564" s="4108" t="inlineStr">
        <is>
          <t>135792468</t>
        </is>
      </c>
      <c r="D1564" s="4108" t="inlineStr">
        <is>
          <t>202109</t>
        </is>
      </c>
      <c r="E1564" s="4108" t="inlineStr">
        <is>
          <t>3,000000000000</t>
        </is>
      </c>
    </row>
    <row outlineLevel="0" r="1565">
      <c r="A1565" s="4108" t="inlineStr">
        <is>
          <t>135792468202109133000</t>
        </is>
      </c>
      <c r="B1565" s="4108" t="inlineStr">
        <is>
          <t>133000</t>
        </is>
      </c>
      <c r="C1565" s="4108" t="inlineStr">
        <is>
          <t>135792468</t>
        </is>
      </c>
      <c r="D1565" s="4108" t="inlineStr">
        <is>
          <t>202109</t>
        </is>
      </c>
      <c r="E1565" s="4108" t="inlineStr">
        <is>
          <t>3,000000000000</t>
        </is>
      </c>
    </row>
    <row outlineLevel="0" r="1566">
      <c r="A1566" s="4108" t="inlineStr">
        <is>
          <t>135792468202109132501</t>
        </is>
      </c>
      <c r="B1566" s="4108" t="inlineStr">
        <is>
          <t>132501</t>
        </is>
      </c>
      <c r="C1566" s="4108" t="inlineStr">
        <is>
          <t>135792468</t>
        </is>
      </c>
      <c r="D1566" s="4108" t="inlineStr">
        <is>
          <t>202109</t>
        </is>
      </c>
      <c r="E1566" s="4108" t="inlineStr">
        <is>
          <t>6,000000000000</t>
        </is>
      </c>
    </row>
    <row outlineLevel="0" r="1567">
      <c r="A1567" s="4108" t="inlineStr">
        <is>
          <t>135792468202109133001</t>
        </is>
      </c>
      <c r="B1567" s="4108" t="inlineStr">
        <is>
          <t>133001</t>
        </is>
      </c>
      <c r="C1567" s="4108" t="inlineStr">
        <is>
          <t>135792468</t>
        </is>
      </c>
      <c r="D1567" s="4108" t="inlineStr">
        <is>
          <t>202109</t>
        </is>
      </c>
      <c r="E1567" s="4108" t="inlineStr">
        <is>
          <t>6,000000000000</t>
        </is>
      </c>
    </row>
    <row outlineLevel="0" r="1568">
      <c r="A1568" s="4108" t="inlineStr">
        <is>
          <t>135792468202109133500</t>
        </is>
      </c>
      <c r="B1568" s="4108" t="inlineStr">
        <is>
          <t>133500</t>
        </is>
      </c>
      <c r="C1568" s="4108" t="inlineStr">
        <is>
          <t>135792468</t>
        </is>
      </c>
      <c r="D1568" s="4108" t="inlineStr">
        <is>
          <t>202109</t>
        </is>
      </c>
      <c r="E1568" s="4108" t="inlineStr">
        <is>
          <t>3,000000000000</t>
        </is>
      </c>
    </row>
    <row outlineLevel="0" r="1569">
      <c r="A1569" s="4108" t="inlineStr">
        <is>
          <t>135792468202109133501</t>
        </is>
      </c>
      <c r="B1569" s="4108" t="inlineStr">
        <is>
          <t>133501</t>
        </is>
      </c>
      <c r="C1569" s="4108" t="inlineStr">
        <is>
          <t>135792468</t>
        </is>
      </c>
      <c r="D1569" s="4108" t="inlineStr">
        <is>
          <t>202109</t>
        </is>
      </c>
      <c r="E1569" s="4108" t="inlineStr">
        <is>
          <t>9,000000000000</t>
        </is>
      </c>
    </row>
    <row outlineLevel="0" r="1570">
      <c r="A1570" s="4108" t="inlineStr">
        <is>
          <t>135792468202109134000</t>
        </is>
      </c>
      <c r="B1570" s="4108" t="inlineStr">
        <is>
          <t>134000</t>
        </is>
      </c>
      <c r="C1570" s="4108" t="inlineStr">
        <is>
          <t>135792468</t>
        </is>
      </c>
      <c r="D1570" s="4108" t="inlineStr">
        <is>
          <t>202109</t>
        </is>
      </c>
      <c r="E1570" s="4108" t="inlineStr">
        <is>
          <t>6,000000000000</t>
        </is>
      </c>
    </row>
    <row outlineLevel="0" r="1571">
      <c r="A1571" s="4108" t="inlineStr">
        <is>
          <t>135792468202109134001</t>
        </is>
      </c>
      <c r="B1571" s="4108" t="inlineStr">
        <is>
          <t>134001</t>
        </is>
      </c>
      <c r="C1571" s="4108" t="inlineStr">
        <is>
          <t>135792468</t>
        </is>
      </c>
      <c r="D1571" s="4108" t="inlineStr">
        <is>
          <t>202109</t>
        </is>
      </c>
      <c r="E1571" s="4108" t="inlineStr">
        <is>
          <t>9,000000000000</t>
        </is>
      </c>
    </row>
    <row outlineLevel="0" r="1572">
      <c r="A1572" s="4108" t="inlineStr">
        <is>
          <t>135792468202109134500</t>
        </is>
      </c>
      <c r="B1572" s="4108" t="inlineStr">
        <is>
          <t>134500</t>
        </is>
      </c>
      <c r="C1572" s="4108" t="inlineStr">
        <is>
          <t>135792468</t>
        </is>
      </c>
      <c r="D1572" s="4108" t="inlineStr">
        <is>
          <t>202109</t>
        </is>
      </c>
      <c r="E1572" s="4108" t="inlineStr">
        <is>
          <t>0,000000000000</t>
        </is>
      </c>
    </row>
    <row outlineLevel="0" r="1573">
      <c r="A1573" s="4108" t="inlineStr">
        <is>
          <t>135792468202109135000</t>
        </is>
      </c>
      <c r="B1573" s="4108" t="inlineStr">
        <is>
          <t>135000</t>
        </is>
      </c>
      <c r="C1573" s="4108" t="inlineStr">
        <is>
          <t>135792468</t>
        </is>
      </c>
      <c r="D1573" s="4108" t="inlineStr">
        <is>
          <t>202109</t>
        </is>
      </c>
      <c r="E1573" s="4108" t="inlineStr">
        <is>
          <t>3,000000000000</t>
        </is>
      </c>
    </row>
    <row outlineLevel="0" r="1574">
      <c r="A1574" s="4108" t="inlineStr">
        <is>
          <t>135792468202109134501</t>
        </is>
      </c>
      <c r="B1574" s="4108" t="inlineStr">
        <is>
          <t>134501</t>
        </is>
      </c>
      <c r="C1574" s="4108" t="inlineStr">
        <is>
          <t>135792468</t>
        </is>
      </c>
      <c r="D1574" s="4108" t="inlineStr">
        <is>
          <t>202109</t>
        </is>
      </c>
      <c r="E1574" s="4108" t="inlineStr">
        <is>
          <t>9,000000000000</t>
        </is>
      </c>
    </row>
    <row outlineLevel="0" r="1575">
      <c r="A1575" s="4108" t="inlineStr">
        <is>
          <t>135792468202109135001</t>
        </is>
      </c>
      <c r="B1575" s="4108" t="inlineStr">
        <is>
          <t>135001</t>
        </is>
      </c>
      <c r="C1575" s="4108" t="inlineStr">
        <is>
          <t>135792468</t>
        </is>
      </c>
      <c r="D1575" s="4108" t="inlineStr">
        <is>
          <t>202109</t>
        </is>
      </c>
      <c r="E1575" s="4108" t="inlineStr">
        <is>
          <t>12,000000000000</t>
        </is>
      </c>
    </row>
    <row outlineLevel="0" r="1576">
      <c r="A1576" s="4108" t="inlineStr">
        <is>
          <t>135792468202109135500</t>
        </is>
      </c>
      <c r="B1576" s="4108" t="inlineStr">
        <is>
          <t>135500</t>
        </is>
      </c>
      <c r="C1576" s="4108" t="inlineStr">
        <is>
          <t>135792468</t>
        </is>
      </c>
      <c r="D1576" s="4108" t="inlineStr">
        <is>
          <t>202109</t>
        </is>
      </c>
      <c r="E1576" s="4108" t="inlineStr">
        <is>
          <t>3,000000000000</t>
        </is>
      </c>
    </row>
    <row outlineLevel="0" r="1577">
      <c r="A1577" s="4108" t="inlineStr">
        <is>
          <t>135792468202109135501</t>
        </is>
      </c>
      <c r="B1577" s="4108" t="inlineStr">
        <is>
          <t>135501</t>
        </is>
      </c>
      <c r="C1577" s="4108" t="inlineStr">
        <is>
          <t>135792468</t>
        </is>
      </c>
      <c r="D1577" s="4108" t="inlineStr">
        <is>
          <t>202109</t>
        </is>
      </c>
      <c r="E1577" s="4108" t="inlineStr">
        <is>
          <t>12,000000000000</t>
        </is>
      </c>
    </row>
    <row outlineLevel="0" r="1578">
      <c r="A1578" s="4108" t="inlineStr">
        <is>
          <t>135792468202109136000</t>
        </is>
      </c>
      <c r="B1578" s="4108" t="inlineStr">
        <is>
          <t>136000</t>
        </is>
      </c>
      <c r="C1578" s="4108" t="inlineStr">
        <is>
          <t>135792468</t>
        </is>
      </c>
      <c r="D1578" s="4108" t="inlineStr">
        <is>
          <t>202109</t>
        </is>
      </c>
      <c r="E1578" s="4108" t="inlineStr">
        <is>
          <t>3,000000000000</t>
        </is>
      </c>
    </row>
    <row outlineLevel="0" r="1579">
      <c r="A1579" s="4108" t="inlineStr">
        <is>
          <t>135792468202109136001</t>
        </is>
      </c>
      <c r="B1579" s="4108" t="inlineStr">
        <is>
          <t>136001</t>
        </is>
      </c>
      <c r="C1579" s="4108" t="inlineStr">
        <is>
          <t>135792468</t>
        </is>
      </c>
      <c r="D1579" s="4108" t="inlineStr">
        <is>
          <t>202109</t>
        </is>
      </c>
      <c r="E1579" s="4108" t="inlineStr">
        <is>
          <t>12,000000000000</t>
        </is>
      </c>
    </row>
    <row outlineLevel="0" r="1580">
      <c r="A1580" s="4108" t="inlineStr">
        <is>
          <t>135792468202109136500</t>
        </is>
      </c>
      <c r="B1580" s="4108" t="inlineStr">
        <is>
          <t>136500</t>
        </is>
      </c>
      <c r="C1580" s="4108" t="inlineStr">
        <is>
          <t>135792468</t>
        </is>
      </c>
      <c r="D1580" s="4108" t="inlineStr">
        <is>
          <t>202109</t>
        </is>
      </c>
      <c r="E1580" s="4108" t="inlineStr">
        <is>
          <t>6,000000000000</t>
        </is>
      </c>
    </row>
    <row outlineLevel="0" r="1581">
      <c r="A1581" s="4108" t="inlineStr">
        <is>
          <t>135792468202109137000</t>
        </is>
      </c>
      <c r="B1581" s="4108" t="inlineStr">
        <is>
          <t>137000</t>
        </is>
      </c>
      <c r="C1581" s="4108" t="inlineStr">
        <is>
          <t>135792468</t>
        </is>
      </c>
      <c r="D1581" s="4108" t="inlineStr">
        <is>
          <t>202109</t>
        </is>
      </c>
      <c r="E1581" s="4108" t="inlineStr">
        <is>
          <t>6,000000000000</t>
        </is>
      </c>
    </row>
    <row outlineLevel="0" r="1582">
      <c r="A1582" s="4108" t="inlineStr">
        <is>
          <t>135792468202109136501</t>
        </is>
      </c>
      <c r="B1582" s="4108" t="inlineStr">
        <is>
          <t>136501</t>
        </is>
      </c>
      <c r="C1582" s="4108" t="inlineStr">
        <is>
          <t>135792468</t>
        </is>
      </c>
      <c r="D1582" s="4108" t="inlineStr">
        <is>
          <t>202109</t>
        </is>
      </c>
      <c r="E1582" s="4108" t="inlineStr">
        <is>
          <t>15,000000000000</t>
        </is>
      </c>
    </row>
    <row outlineLevel="0" r="1583">
      <c r="A1583" s="4108" t="inlineStr">
        <is>
          <t>135792468202109137001</t>
        </is>
      </c>
      <c r="B1583" s="4108" t="inlineStr">
        <is>
          <t>137001</t>
        </is>
      </c>
      <c r="C1583" s="4108" t="inlineStr">
        <is>
          <t>135792468</t>
        </is>
      </c>
      <c r="D1583" s="4108" t="inlineStr">
        <is>
          <t>202109</t>
        </is>
      </c>
      <c r="E1583" s="4108" t="inlineStr">
        <is>
          <t>15,000000000000</t>
        </is>
      </c>
    </row>
    <row outlineLevel="0" r="1584">
      <c r="A1584" s="4108" t="inlineStr">
        <is>
          <t>135792468202109138001</t>
        </is>
      </c>
      <c r="B1584" s="4108" t="inlineStr">
        <is>
          <t>138001</t>
        </is>
      </c>
      <c r="C1584" s="4108" t="inlineStr">
        <is>
          <t>135792468</t>
        </is>
      </c>
      <c r="D1584" s="4108" t="inlineStr">
        <is>
          <t>202109</t>
        </is>
      </c>
      <c r="E1584" s="4108" t="inlineStr">
        <is>
          <t>15,000000000000</t>
        </is>
      </c>
    </row>
    <row outlineLevel="0" r="1585">
      <c r="A1585" s="4108" t="inlineStr">
        <is>
          <t>135792468202109138501</t>
        </is>
      </c>
      <c r="B1585" s="4108" t="inlineStr">
        <is>
          <t>138501</t>
        </is>
      </c>
      <c r="C1585" s="4108" t="inlineStr">
        <is>
          <t>135792468</t>
        </is>
      </c>
      <c r="D1585" s="4108" t="inlineStr">
        <is>
          <t>202109</t>
        </is>
      </c>
      <c r="E1585" s="4108" t="inlineStr">
        <is>
          <t>18,000000000000</t>
        </is>
      </c>
    </row>
    <row outlineLevel="0" r="1586">
      <c r="A1586" s="4108" t="inlineStr">
        <is>
          <t>135792468202109139000</t>
        </is>
      </c>
      <c r="B1586" s="4108" t="inlineStr">
        <is>
          <t>139000</t>
        </is>
      </c>
      <c r="C1586" s="4108" t="inlineStr">
        <is>
          <t>135792468</t>
        </is>
      </c>
      <c r="D1586" s="4108" t="inlineStr">
        <is>
          <t>202109</t>
        </is>
      </c>
      <c r="E1586" s="4108" t="inlineStr">
        <is>
          <t>6,000000000000</t>
        </is>
      </c>
    </row>
    <row outlineLevel="0" r="1587">
      <c r="A1587" s="4108" t="inlineStr">
        <is>
          <t>135792468202109139001</t>
        </is>
      </c>
      <c r="B1587" s="4108" t="inlineStr">
        <is>
          <t>139001</t>
        </is>
      </c>
      <c r="C1587" s="4108" t="inlineStr">
        <is>
          <t>135792468</t>
        </is>
      </c>
      <c r="D1587" s="4108" t="inlineStr">
        <is>
          <t>202109</t>
        </is>
      </c>
      <c r="E1587" s="4108" t="inlineStr">
        <is>
          <t>18,000000000000</t>
        </is>
      </c>
    </row>
    <row outlineLevel="0" r="1588">
      <c r="A1588" s="4108" t="inlineStr">
        <is>
          <t>135792468202109139500</t>
        </is>
      </c>
      <c r="B1588" s="4108" t="inlineStr">
        <is>
          <t>139500</t>
        </is>
      </c>
      <c r="C1588" s="4108" t="inlineStr">
        <is>
          <t>135792468</t>
        </is>
      </c>
      <c r="D1588" s="4108" t="inlineStr">
        <is>
          <t>202109</t>
        </is>
      </c>
      <c r="E1588" s="4108" t="inlineStr">
        <is>
          <t>9,000000000000</t>
        </is>
      </c>
    </row>
    <row outlineLevel="0" r="1589">
      <c r="A1589" s="4108" t="inlineStr">
        <is>
          <t>135792468202109139905</t>
        </is>
      </c>
      <c r="B1589" s="4108" t="inlineStr">
        <is>
          <t>139905</t>
        </is>
      </c>
      <c r="C1589" s="4108" t="inlineStr">
        <is>
          <t>135792468</t>
        </is>
      </c>
      <c r="D1589" s="4108" t="inlineStr">
        <is>
          <t>202109</t>
        </is>
      </c>
      <c r="E1589" s="4108" t="inlineStr">
        <is>
          <t>9,000000000000</t>
        </is>
      </c>
    </row>
    <row outlineLevel="0" r="1590">
      <c r="A1590" s="4108" t="inlineStr">
        <is>
          <t>135792468202109139901</t>
        </is>
      </c>
      <c r="B1590" s="4108" t="inlineStr">
        <is>
          <t>139901</t>
        </is>
      </c>
      <c r="C1590" s="4108" t="inlineStr">
        <is>
          <t>135792468</t>
        </is>
      </c>
      <c r="D1590" s="4108" t="inlineStr">
        <is>
          <t>202109</t>
        </is>
      </c>
      <c r="E1590" s="4108" t="inlineStr">
        <is>
          <t>21,000000000000</t>
        </is>
      </c>
    </row>
    <row outlineLevel="0" r="1591">
      <c r="A1591" s="4108" t="inlineStr">
        <is>
          <t>135792468202109140005</t>
        </is>
      </c>
      <c r="B1591" s="4108" t="inlineStr">
        <is>
          <t>140005</t>
        </is>
      </c>
      <c r="C1591" s="4108" t="inlineStr">
        <is>
          <t>135792468</t>
        </is>
      </c>
      <c r="D1591" s="4108" t="inlineStr">
        <is>
          <t>202109</t>
        </is>
      </c>
      <c r="E1591" s="4108" t="inlineStr">
        <is>
          <t>54,000000000000</t>
        </is>
      </c>
    </row>
    <row outlineLevel="0" r="1592">
      <c r="A1592" s="4108" t="inlineStr">
        <is>
          <t>135792468202109140010</t>
        </is>
      </c>
      <c r="B1592" s="4108" t="inlineStr">
        <is>
          <t>140010</t>
        </is>
      </c>
      <c r="C1592" s="4108" t="inlineStr">
        <is>
          <t>135792468</t>
        </is>
      </c>
      <c r="D1592" s="4108" t="inlineStr">
        <is>
          <t>202109</t>
        </is>
      </c>
      <c r="E1592" s="4108" t="inlineStr">
        <is>
          <t>21,000000000000</t>
        </is>
      </c>
    </row>
    <row outlineLevel="0" r="1593">
      <c r="A1593" s="4108" t="inlineStr">
        <is>
          <t>135792468202109142500</t>
        </is>
      </c>
      <c r="B1593" s="4108" t="inlineStr">
        <is>
          <t>142500</t>
        </is>
      </c>
      <c r="C1593" s="4108" t="inlineStr">
        <is>
          <t>135792468</t>
        </is>
      </c>
      <c r="D1593" s="4108" t="inlineStr">
        <is>
          <t>202109</t>
        </is>
      </c>
      <c r="E1593" s="4108" t="inlineStr">
        <is>
          <t>3,000000000000</t>
        </is>
      </c>
    </row>
    <row outlineLevel="0" r="1594">
      <c r="A1594" s="4108" t="inlineStr">
        <is>
          <t>135792468202109143500</t>
        </is>
      </c>
      <c r="B1594" s="4108" t="inlineStr">
        <is>
          <t>143500</t>
        </is>
      </c>
      <c r="C1594" s="4108" t="inlineStr">
        <is>
          <t>135792468</t>
        </is>
      </c>
      <c r="D1594" s="4108" t="inlineStr">
        <is>
          <t>202109</t>
        </is>
      </c>
      <c r="E1594" s="4108" t="inlineStr">
        <is>
          <t>6,000000000000</t>
        </is>
      </c>
    </row>
    <row outlineLevel="0" r="1595">
      <c r="A1595" s="4108" t="inlineStr">
        <is>
          <t>135792468202109145500</t>
        </is>
      </c>
      <c r="B1595" s="4108" t="inlineStr">
        <is>
          <t>145500</t>
        </is>
      </c>
      <c r="C1595" s="4108" t="inlineStr">
        <is>
          <t>135792468</t>
        </is>
      </c>
      <c r="D1595" s="4108" t="inlineStr">
        <is>
          <t>202109</t>
        </is>
      </c>
      <c r="E1595" s="4108" t="inlineStr">
        <is>
          <t>0,000000000000</t>
        </is>
      </c>
    </row>
    <row outlineLevel="0" r="1596">
      <c r="A1596" s="4108" t="inlineStr">
        <is>
          <t>135792468202109146000</t>
        </is>
      </c>
      <c r="B1596" s="4108" t="inlineStr">
        <is>
          <t>146000</t>
        </is>
      </c>
      <c r="C1596" s="4108" t="inlineStr">
        <is>
          <t>135792468</t>
        </is>
      </c>
      <c r="D1596" s="4108" t="inlineStr">
        <is>
          <t>202109</t>
        </is>
      </c>
      <c r="E1596" s="4108" t="inlineStr">
        <is>
          <t>3,000000000000</t>
        </is>
      </c>
    </row>
    <row outlineLevel="0" r="1597">
      <c r="A1597" s="4108" t="inlineStr">
        <is>
          <t>135792468202109149900</t>
        </is>
      </c>
      <c r="B1597" s="4108" t="inlineStr">
        <is>
          <t>149900</t>
        </is>
      </c>
      <c r="C1597" s="4108" t="inlineStr">
        <is>
          <t>135792468</t>
        </is>
      </c>
      <c r="D1597" s="4108" t="inlineStr">
        <is>
          <t>202109</t>
        </is>
      </c>
      <c r="E1597" s="4108" t="inlineStr">
        <is>
          <t>9,000000000000</t>
        </is>
      </c>
    </row>
    <row outlineLevel="0" r="1598">
      <c r="A1598" s="4108" t="inlineStr">
        <is>
          <t>135792468202109149510</t>
        </is>
      </c>
      <c r="B1598" s="4108" t="inlineStr">
        <is>
          <t>149510</t>
        </is>
      </c>
      <c r="C1598" s="4108" t="inlineStr">
        <is>
          <t>135792468</t>
        </is>
      </c>
      <c r="D1598" s="4108" t="inlineStr">
        <is>
          <t>202109</t>
        </is>
      </c>
      <c r="E1598" s="4108" t="inlineStr">
        <is>
          <t>3,000000000000</t>
        </is>
      </c>
    </row>
    <row outlineLevel="0" r="1599">
      <c r="A1599" s="4108" t="inlineStr">
        <is>
          <t>135792468202109149901</t>
        </is>
      </c>
      <c r="B1599" s="4108" t="inlineStr">
        <is>
          <t>149901</t>
        </is>
      </c>
      <c r="C1599" s="4108" t="inlineStr">
        <is>
          <t>135792468</t>
        </is>
      </c>
      <c r="D1599" s="4108" t="inlineStr">
        <is>
          <t>202109</t>
        </is>
      </c>
      <c r="E1599" s="4108" t="inlineStr">
        <is>
          <t>3,000000000000</t>
        </is>
      </c>
    </row>
    <row outlineLevel="0" r="1600">
      <c r="A1600" s="4108" t="inlineStr">
        <is>
          <t>135792468202109149902</t>
        </is>
      </c>
      <c r="B1600" s="4108" t="inlineStr">
        <is>
          <t>149902</t>
        </is>
      </c>
      <c r="C1600" s="4108" t="inlineStr">
        <is>
          <t>135792468</t>
        </is>
      </c>
      <c r="D1600" s="4108" t="inlineStr">
        <is>
          <t>202109</t>
        </is>
      </c>
      <c r="E1600" s="4108" t="inlineStr">
        <is>
          <t>6,000000000000</t>
        </is>
      </c>
    </row>
    <row outlineLevel="0" r="1601">
      <c r="A1601" s="4108" t="inlineStr">
        <is>
          <t>135792468202109149910</t>
        </is>
      </c>
      <c r="B1601" s="4108" t="inlineStr">
        <is>
          <t>149910</t>
        </is>
      </c>
      <c r="C1601" s="4108" t="inlineStr">
        <is>
          <t>135792468</t>
        </is>
      </c>
      <c r="D1601" s="4108" t="inlineStr">
        <is>
          <t>202109</t>
        </is>
      </c>
      <c r="E1601" s="4108" t="inlineStr">
        <is>
          <t>6,000000000000</t>
        </is>
      </c>
    </row>
    <row outlineLevel="0" r="1602">
      <c r="A1602" s="4108" t="inlineStr">
        <is>
          <t>135792468202109151201</t>
        </is>
      </c>
      <c r="B1602" s="4108" t="inlineStr">
        <is>
          <t>151201</t>
        </is>
      </c>
      <c r="C1602" s="4108" t="inlineStr">
        <is>
          <t>135792468</t>
        </is>
      </c>
      <c r="D1602" s="4108" t="inlineStr">
        <is>
          <t>202109</t>
        </is>
      </c>
      <c r="E1602" s="4108" t="inlineStr">
        <is>
          <t>3,000000000000</t>
        </is>
      </c>
    </row>
    <row outlineLevel="0" r="1603">
      <c r="A1603" s="4108" t="inlineStr">
        <is>
          <t>135792468202109155601</t>
        </is>
      </c>
      <c r="B1603" s="4108" t="inlineStr">
        <is>
          <t>155601</t>
        </is>
      </c>
      <c r="C1603" s="4108" t="inlineStr">
        <is>
          <t>135792468</t>
        </is>
      </c>
      <c r="D1603" s="4108" t="inlineStr">
        <is>
          <t>202109</t>
        </is>
      </c>
      <c r="E1603" s="4108" t="inlineStr">
        <is>
          <t>9,000000000000</t>
        </is>
      </c>
    </row>
    <row outlineLevel="0" r="1604">
      <c r="A1604" s="4108" t="inlineStr">
        <is>
          <t>135792468202109156001</t>
        </is>
      </c>
      <c r="B1604" s="4108" t="inlineStr">
        <is>
          <t>156001</t>
        </is>
      </c>
      <c r="C1604" s="4108" t="inlineStr">
        <is>
          <t>135792468</t>
        </is>
      </c>
      <c r="D1604" s="4108" t="inlineStr">
        <is>
          <t>202109</t>
        </is>
      </c>
      <c r="E1604" s="4108" t="inlineStr">
        <is>
          <t>9,000000000000</t>
        </is>
      </c>
    </row>
    <row outlineLevel="0" r="1605">
      <c r="A1605" s="4108" t="inlineStr">
        <is>
          <t>135792468202109157201</t>
        </is>
      </c>
      <c r="B1605" s="4108" t="inlineStr">
        <is>
          <t>157201</t>
        </is>
      </c>
      <c r="C1605" s="4108" t="inlineStr">
        <is>
          <t>135792468</t>
        </is>
      </c>
      <c r="D1605" s="4108" t="inlineStr">
        <is>
          <t>202109</t>
        </is>
      </c>
      <c r="E1605" s="4108" t="inlineStr">
        <is>
          <t>12,000000000000</t>
        </is>
      </c>
    </row>
    <row outlineLevel="0" r="1606">
      <c r="A1606" s="4108" t="inlineStr">
        <is>
          <t>135792468202109156401</t>
        </is>
      </c>
      <c r="B1606" s="4108" t="inlineStr">
        <is>
          <t>156401</t>
        </is>
      </c>
      <c r="C1606" s="4108" t="inlineStr">
        <is>
          <t>135792468</t>
        </is>
      </c>
      <c r="D1606" s="4108" t="inlineStr">
        <is>
          <t>202109</t>
        </is>
      </c>
      <c r="E1606" s="4108" t="inlineStr">
        <is>
          <t>12,000000000000</t>
        </is>
      </c>
    </row>
    <row outlineLevel="0" r="1607">
      <c r="A1607" s="4108" t="inlineStr">
        <is>
          <t>135792468202109157601</t>
        </is>
      </c>
      <c r="B1607" s="4108" t="inlineStr">
        <is>
          <t>157601</t>
        </is>
      </c>
      <c r="C1607" s="4108" t="inlineStr">
        <is>
          <t>135792468</t>
        </is>
      </c>
      <c r="D1607" s="4108" t="inlineStr">
        <is>
          <t>202109</t>
        </is>
      </c>
      <c r="E1607" s="4108" t="inlineStr">
        <is>
          <t>12,000000000000</t>
        </is>
      </c>
    </row>
    <row outlineLevel="0" r="1608">
      <c r="A1608" s="4108" t="inlineStr">
        <is>
          <t>135792468202109158401</t>
        </is>
      </c>
      <c r="B1608" s="4108" t="inlineStr">
        <is>
          <t>158401</t>
        </is>
      </c>
      <c r="C1608" s="4108" t="inlineStr">
        <is>
          <t>135792468</t>
        </is>
      </c>
      <c r="D1608" s="4108" t="inlineStr">
        <is>
          <t>202109</t>
        </is>
      </c>
      <c r="E1608" s="4108" t="inlineStr">
        <is>
          <t>15,000000000000</t>
        </is>
      </c>
    </row>
    <row outlineLevel="0" r="1609">
      <c r="A1609" s="4108" t="inlineStr">
        <is>
          <t>135792468202109158801</t>
        </is>
      </c>
      <c r="B1609" s="4108" t="inlineStr">
        <is>
          <t>158801</t>
        </is>
      </c>
      <c r="C1609" s="4108" t="inlineStr">
        <is>
          <t>135792468</t>
        </is>
      </c>
      <c r="D1609" s="4108" t="inlineStr">
        <is>
          <t>202109</t>
        </is>
      </c>
      <c r="E1609" s="4108" t="inlineStr">
        <is>
          <t>15,000000000000</t>
        </is>
      </c>
    </row>
    <row outlineLevel="0" r="1610">
      <c r="A1610" s="4108" t="inlineStr">
        <is>
          <t>135792468202109159701</t>
        </is>
      </c>
      <c r="B1610" s="4108" t="inlineStr">
        <is>
          <t>159701</t>
        </is>
      </c>
      <c r="C1610" s="4108" t="inlineStr">
        <is>
          <t>135792468</t>
        </is>
      </c>
      <c r="D1610" s="4108" t="inlineStr">
        <is>
          <t>202109</t>
        </is>
      </c>
      <c r="E1610" s="4108" t="inlineStr">
        <is>
          <t>18,000000000000</t>
        </is>
      </c>
    </row>
    <row outlineLevel="0" r="1611">
      <c r="A1611" s="4108" t="inlineStr">
        <is>
          <t>135792468202109159899</t>
        </is>
      </c>
      <c r="B1611" s="4108" t="inlineStr">
        <is>
          <t>159899</t>
        </is>
      </c>
      <c r="C1611" s="4108" t="inlineStr">
        <is>
          <t>135792468</t>
        </is>
      </c>
      <c r="D1611" s="4108" t="inlineStr">
        <is>
          <t>202109</t>
        </is>
      </c>
      <c r="E1611" s="4108" t="inlineStr">
        <is>
          <t>18,000000000000</t>
        </is>
      </c>
    </row>
    <row outlineLevel="0" r="1612">
      <c r="A1612" s="4108" t="inlineStr">
        <is>
          <t>135792468202109159901</t>
        </is>
      </c>
      <c r="B1612" s="4108" t="inlineStr">
        <is>
          <t>159901</t>
        </is>
      </c>
      <c r="C1612" s="4108" t="inlineStr">
        <is>
          <t>135792468</t>
        </is>
      </c>
      <c r="D1612" s="4108" t="inlineStr">
        <is>
          <t>202109</t>
        </is>
      </c>
      <c r="E1612" s="4108" t="inlineStr">
        <is>
          <t>21,000000000000</t>
        </is>
      </c>
    </row>
    <row outlineLevel="0" r="1613">
      <c r="A1613" s="4108" t="inlineStr">
        <is>
          <t>135792468202109161001</t>
        </is>
      </c>
      <c r="B1613" s="4108" t="inlineStr">
        <is>
          <t>161001</t>
        </is>
      </c>
      <c r="C1613" s="4108" t="inlineStr">
        <is>
          <t>135792468</t>
        </is>
      </c>
      <c r="D1613" s="4108" t="inlineStr">
        <is>
          <t>202109</t>
        </is>
      </c>
      <c r="E1613" s="4108" t="inlineStr">
        <is>
          <t>3,000000000000</t>
        </is>
      </c>
    </row>
    <row outlineLevel="0" r="1614">
      <c r="A1614" s="4108" t="inlineStr">
        <is>
          <t>135792468202109160501</t>
        </is>
      </c>
      <c r="B1614" s="4108" t="inlineStr">
        <is>
          <t>160501</t>
        </is>
      </c>
      <c r="C1614" s="4108" t="inlineStr">
        <is>
          <t>135792468</t>
        </is>
      </c>
      <c r="D1614" s="4108" t="inlineStr">
        <is>
          <t>202109</t>
        </is>
      </c>
      <c r="E1614" s="4108" t="inlineStr">
        <is>
          <t>0,000000000000</t>
        </is>
      </c>
    </row>
    <row outlineLevel="0" r="1615">
      <c r="A1615" s="4108" t="inlineStr">
        <is>
          <t>135792468202109163001</t>
        </is>
      </c>
      <c r="B1615" s="4108" t="inlineStr">
        <is>
          <t>163001</t>
        </is>
      </c>
      <c r="C1615" s="4108" t="inlineStr">
        <is>
          <t>135792468</t>
        </is>
      </c>
      <c r="D1615" s="4108" t="inlineStr">
        <is>
          <t>202109</t>
        </is>
      </c>
      <c r="E1615" s="4108" t="inlineStr">
        <is>
          <t>3,000000000000</t>
        </is>
      </c>
    </row>
    <row outlineLevel="0" r="1616">
      <c r="A1616" s="4108" t="inlineStr">
        <is>
          <t>135792468202109164001</t>
        </is>
      </c>
      <c r="B1616" s="4108" t="inlineStr">
        <is>
          <t>164001</t>
        </is>
      </c>
      <c r="C1616" s="4108" t="inlineStr">
        <is>
          <t>135792468</t>
        </is>
      </c>
      <c r="D1616" s="4108" t="inlineStr">
        <is>
          <t>202109</t>
        </is>
      </c>
      <c r="E1616" s="4108" t="inlineStr">
        <is>
          <t>3,000000000000</t>
        </is>
      </c>
    </row>
    <row outlineLevel="0" r="1617">
      <c r="A1617" s="4108" t="inlineStr">
        <is>
          <t>135792468202109169899</t>
        </is>
      </c>
      <c r="B1617" s="4108" t="inlineStr">
        <is>
          <t>169899</t>
        </is>
      </c>
      <c r="C1617" s="4108" t="inlineStr">
        <is>
          <t>135792468</t>
        </is>
      </c>
      <c r="D1617" s="4108" t="inlineStr">
        <is>
          <t>202109</t>
        </is>
      </c>
      <c r="E1617" s="4108" t="inlineStr">
        <is>
          <t>6,000000000000</t>
        </is>
      </c>
    </row>
    <row outlineLevel="0" r="1618">
      <c r="A1618" s="4108" t="inlineStr">
        <is>
          <t>135792468202109169901</t>
        </is>
      </c>
      <c r="B1618" s="4108" t="inlineStr">
        <is>
          <t>169901</t>
        </is>
      </c>
      <c r="C1618" s="4108" t="inlineStr">
        <is>
          <t>135792468</t>
        </is>
      </c>
      <c r="D1618" s="4108" t="inlineStr">
        <is>
          <t>202109</t>
        </is>
      </c>
      <c r="E1618" s="4108" t="inlineStr">
        <is>
          <t>3,000000000000</t>
        </is>
      </c>
    </row>
    <row outlineLevel="0" r="1619">
      <c r="A1619" s="4108" t="inlineStr">
        <is>
          <t>135792468202109170500</t>
        </is>
      </c>
      <c r="B1619" s="4108" t="inlineStr">
        <is>
          <t>170500</t>
        </is>
      </c>
      <c r="C1619" s="4108" t="inlineStr">
        <is>
          <t>135792468</t>
        </is>
      </c>
      <c r="D1619" s="4108" t="inlineStr">
        <is>
          <t>202109</t>
        </is>
      </c>
      <c r="E1619" s="4108" t="inlineStr">
        <is>
          <t>0,000000000000</t>
        </is>
      </c>
    </row>
    <row outlineLevel="0" r="1620">
      <c r="A1620" s="4108" t="inlineStr">
        <is>
          <t>135792468202109171000</t>
        </is>
      </c>
      <c r="B1620" s="4108" t="inlineStr">
        <is>
          <t>171000</t>
        </is>
      </c>
      <c r="C1620" s="4108" t="inlineStr">
        <is>
          <t>135792468</t>
        </is>
      </c>
      <c r="D1620" s="4108" t="inlineStr">
        <is>
          <t>202109</t>
        </is>
      </c>
      <c r="E1620" s="4108" t="inlineStr">
        <is>
          <t>3,000000000000</t>
        </is>
      </c>
    </row>
    <row outlineLevel="0" r="1621">
      <c r="A1621" s="4108" t="inlineStr">
        <is>
          <t>135792468202109173001</t>
        </is>
      </c>
      <c r="B1621" s="4108" t="inlineStr">
        <is>
          <t>173001</t>
        </is>
      </c>
      <c r="C1621" s="4108" t="inlineStr">
        <is>
          <t>135792468</t>
        </is>
      </c>
      <c r="D1621" s="4108" t="inlineStr">
        <is>
          <t>202109</t>
        </is>
      </c>
      <c r="E1621" s="4108" t="inlineStr">
        <is>
          <t>3,000000000000</t>
        </is>
      </c>
    </row>
    <row outlineLevel="0" r="1622">
      <c r="A1622" s="4108" t="inlineStr">
        <is>
          <t>135792468202109173000</t>
        </is>
      </c>
      <c r="B1622" s="4108" t="inlineStr">
        <is>
          <t>173000</t>
        </is>
      </c>
      <c r="C1622" s="4108" t="inlineStr">
        <is>
          <t>135792468</t>
        </is>
      </c>
      <c r="D1622" s="4108" t="inlineStr">
        <is>
          <t>202109</t>
        </is>
      </c>
      <c r="E1622" s="4108" t="inlineStr">
        <is>
          <t>3,000000000000</t>
        </is>
      </c>
    </row>
    <row outlineLevel="0" r="1623">
      <c r="A1623" s="4108" t="inlineStr">
        <is>
          <t>135792468202109179500</t>
        </is>
      </c>
      <c r="B1623" s="4108" t="inlineStr">
        <is>
          <t>179500</t>
        </is>
      </c>
      <c r="C1623" s="4108" t="inlineStr">
        <is>
          <t>135792468</t>
        </is>
      </c>
      <c r="D1623" s="4108" t="inlineStr">
        <is>
          <t>202109</t>
        </is>
      </c>
      <c r="E1623" s="4108" t="inlineStr">
        <is>
          <t>3,000000000000</t>
        </is>
      </c>
    </row>
    <row outlineLevel="0" r="1624">
      <c r="A1624" s="4108" t="inlineStr">
        <is>
          <t>135792468202109179700</t>
        </is>
      </c>
      <c r="B1624" s="4108" t="inlineStr">
        <is>
          <t>179700</t>
        </is>
      </c>
      <c r="C1624" s="4108" t="inlineStr">
        <is>
          <t>135792468</t>
        </is>
      </c>
      <c r="D1624" s="4108" t="inlineStr">
        <is>
          <t>202109</t>
        </is>
      </c>
      <c r="E1624" s="4108" t="inlineStr">
        <is>
          <t>6,000000000000</t>
        </is>
      </c>
    </row>
    <row outlineLevel="0" r="1625">
      <c r="A1625" s="4108" t="inlineStr">
        <is>
          <t>135792468202109179701</t>
        </is>
      </c>
      <c r="B1625" s="4108" t="inlineStr">
        <is>
          <t>179701</t>
        </is>
      </c>
      <c r="C1625" s="4108" t="inlineStr">
        <is>
          <t>135792468</t>
        </is>
      </c>
      <c r="D1625" s="4108" t="inlineStr">
        <is>
          <t>202109</t>
        </is>
      </c>
      <c r="E1625" s="4108" t="inlineStr">
        <is>
          <t>6,000000000000</t>
        </is>
      </c>
    </row>
    <row outlineLevel="0" r="1626">
      <c r="A1626" s="4108" t="inlineStr">
        <is>
          <t>135792468202109179801</t>
        </is>
      </c>
      <c r="B1626" s="4108" t="inlineStr">
        <is>
          <t>179801</t>
        </is>
      </c>
      <c r="C1626" s="4108" t="inlineStr">
        <is>
          <t>135792468</t>
        </is>
      </c>
      <c r="D1626" s="4108" t="inlineStr">
        <is>
          <t>202109</t>
        </is>
      </c>
      <c r="E1626" s="4108" t="inlineStr">
        <is>
          <t>6,000000000000</t>
        </is>
      </c>
    </row>
    <row outlineLevel="0" r="1627">
      <c r="A1627" s="4108" t="inlineStr">
        <is>
          <t>135792468202109180000</t>
        </is>
      </c>
      <c r="B1627" s="4108" t="inlineStr">
        <is>
          <t>180000</t>
        </is>
      </c>
      <c r="C1627" s="4108" t="inlineStr">
        <is>
          <t>135792468</t>
        </is>
      </c>
      <c r="D1627" s="4108" t="inlineStr">
        <is>
          <t>202109</t>
        </is>
      </c>
      <c r="E1627" s="4108" t="inlineStr">
        <is>
          <t>3,000000000000</t>
        </is>
      </c>
    </row>
    <row outlineLevel="0" r="1628">
      <c r="A1628" s="4108" t="inlineStr">
        <is>
          <t>135792468202109180501</t>
        </is>
      </c>
      <c r="B1628" s="4108" t="inlineStr">
        <is>
          <t>180501</t>
        </is>
      </c>
      <c r="C1628" s="4108" t="inlineStr">
        <is>
          <t>135792468</t>
        </is>
      </c>
      <c r="D1628" s="4108" t="inlineStr">
        <is>
          <t>202109</t>
        </is>
      </c>
      <c r="E1628" s="4108" t="inlineStr">
        <is>
          <t>0,000000000000</t>
        </is>
      </c>
    </row>
    <row outlineLevel="0" r="1629">
      <c r="A1629" s="4108" t="inlineStr">
        <is>
          <t>135792468202109189500</t>
        </is>
      </c>
      <c r="B1629" s="4108" t="inlineStr">
        <is>
          <t>189500</t>
        </is>
      </c>
      <c r="C1629" s="4108" t="inlineStr">
        <is>
          <t>135792468</t>
        </is>
      </c>
      <c r="D1629" s="4108" t="inlineStr">
        <is>
          <t>202109</t>
        </is>
      </c>
      <c r="E1629" s="4108" t="inlineStr">
        <is>
          <t>0,000000000000</t>
        </is>
      </c>
    </row>
    <row outlineLevel="0" r="1630">
      <c r="A1630" s="4108" t="inlineStr">
        <is>
          <t>135792468202109181000</t>
        </is>
      </c>
      <c r="B1630" s="4108" t="inlineStr">
        <is>
          <t>181000</t>
        </is>
      </c>
      <c r="C1630" s="4108" t="inlineStr">
        <is>
          <t>135792468</t>
        </is>
      </c>
      <c r="D1630" s="4108" t="inlineStr">
        <is>
          <t>202109</t>
        </is>
      </c>
      <c r="E1630" s="4108" t="inlineStr">
        <is>
          <t>3,000000000000</t>
        </is>
      </c>
    </row>
    <row outlineLevel="0" r="1631">
      <c r="A1631" s="4108" t="inlineStr">
        <is>
          <t>135792468202109189501</t>
        </is>
      </c>
      <c r="B1631" s="4108" t="inlineStr">
        <is>
          <t>189501</t>
        </is>
      </c>
      <c r="C1631" s="4108" t="inlineStr">
        <is>
          <t>135792468</t>
        </is>
      </c>
      <c r="D1631" s="4108" t="inlineStr">
        <is>
          <t>202109</t>
        </is>
      </c>
      <c r="E1631" s="4108" t="inlineStr">
        <is>
          <t>3,000000000000</t>
        </is>
      </c>
    </row>
    <row outlineLevel="0" r="1632">
      <c r="A1632" s="4108" t="inlineStr">
        <is>
          <t>135792468202109189520</t>
        </is>
      </c>
      <c r="B1632" s="4108" t="inlineStr">
        <is>
          <t>189520</t>
        </is>
      </c>
      <c r="C1632" s="4108" t="inlineStr">
        <is>
          <t>135792468</t>
        </is>
      </c>
      <c r="D1632" s="4108" t="inlineStr">
        <is>
          <t>202109</t>
        </is>
      </c>
      <c r="E1632" s="4108" t="inlineStr">
        <is>
          <t>3,000000000000</t>
        </is>
      </c>
    </row>
    <row outlineLevel="0" r="1633">
      <c r="A1633" s="4108" t="inlineStr">
        <is>
          <t>135792468202109189701</t>
        </is>
      </c>
      <c r="B1633" s="4108" t="inlineStr">
        <is>
          <t>189701</t>
        </is>
      </c>
      <c r="C1633" s="4108" t="inlineStr">
        <is>
          <t>135792468</t>
        </is>
      </c>
      <c r="D1633" s="4108" t="inlineStr">
        <is>
          <t>202109</t>
        </is>
      </c>
      <c r="E1633" s="4108" t="inlineStr">
        <is>
          <t>3,000000000000</t>
        </is>
      </c>
    </row>
    <row outlineLevel="0" r="1634">
      <c r="A1634" s="4108" t="inlineStr">
        <is>
          <t>135792468202109189901</t>
        </is>
      </c>
      <c r="B1634" s="4108" t="inlineStr">
        <is>
          <t>189901</t>
        </is>
      </c>
      <c r="C1634" s="4108" t="inlineStr">
        <is>
          <t>135792468</t>
        </is>
      </c>
      <c r="D1634" s="4108" t="inlineStr">
        <is>
          <t>202109</t>
        </is>
      </c>
      <c r="E1634" s="4108" t="inlineStr">
        <is>
          <t>6,000000000000</t>
        </is>
      </c>
    </row>
    <row outlineLevel="0" r="1635">
      <c r="A1635" s="4108" t="inlineStr">
        <is>
          <t>135792468202109190000</t>
        </is>
      </c>
      <c r="B1635" s="4108" t="inlineStr">
        <is>
          <t>190000</t>
        </is>
      </c>
      <c r="C1635" s="4108" t="inlineStr">
        <is>
          <t>135792468</t>
        </is>
      </c>
      <c r="D1635" s="4108" t="inlineStr">
        <is>
          <t>202109</t>
        </is>
      </c>
      <c r="E1635" s="4108" t="inlineStr">
        <is>
          <t>0,000000000000</t>
        </is>
      </c>
    </row>
    <row outlineLevel="0" r="1636">
      <c r="A1636" s="4108" t="inlineStr">
        <is>
          <t>135792468202109190501</t>
        </is>
      </c>
      <c r="B1636" s="4108" t="inlineStr">
        <is>
          <t>190501</t>
        </is>
      </c>
      <c r="C1636" s="4108" t="inlineStr">
        <is>
          <t>135792468</t>
        </is>
      </c>
      <c r="D1636" s="4108" t="inlineStr">
        <is>
          <t>202109</t>
        </is>
      </c>
      <c r="E1636" s="4108" t="inlineStr">
        <is>
          <t>0,000000000000</t>
        </is>
      </c>
    </row>
    <row outlineLevel="0" r="1637">
      <c r="A1637" s="4108" t="inlineStr">
        <is>
          <t>135792468202109199501</t>
        </is>
      </c>
      <c r="B1637" s="4108" t="inlineStr">
        <is>
          <t>199501</t>
        </is>
      </c>
      <c r="C1637" s="4108" t="inlineStr">
        <is>
          <t>135792468</t>
        </is>
      </c>
      <c r="D1637" s="4108" t="inlineStr">
        <is>
          <t>202109</t>
        </is>
      </c>
      <c r="E1637" s="4108" t="inlineStr">
        <is>
          <t>3,000000000000</t>
        </is>
      </c>
    </row>
    <row outlineLevel="0" r="1638">
      <c r="A1638" s="4108" t="inlineStr">
        <is>
          <t>135792468202109191001</t>
        </is>
      </c>
      <c r="B1638" s="4108" t="inlineStr">
        <is>
          <t>191001</t>
        </is>
      </c>
      <c r="C1638" s="4108" t="inlineStr">
        <is>
          <t>135792468</t>
        </is>
      </c>
      <c r="D1638" s="4108" t="inlineStr">
        <is>
          <t>202109</t>
        </is>
      </c>
      <c r="E1638" s="4108" t="inlineStr">
        <is>
          <t>3,000000000000</t>
        </is>
      </c>
    </row>
    <row outlineLevel="0" r="1639">
      <c r="A1639" s="4108" t="inlineStr">
        <is>
          <t>135792468202109210500</t>
        </is>
      </c>
      <c r="B1639" s="4108" t="inlineStr">
        <is>
          <t>210500</t>
        </is>
      </c>
      <c r="C1639" s="4108" t="inlineStr">
        <is>
          <t>135792468</t>
        </is>
      </c>
      <c r="D1639" s="4108" t="inlineStr">
        <is>
          <t>202109</t>
        </is>
      </c>
      <c r="E1639" s="4108" t="inlineStr">
        <is>
          <t>0,000000000000</t>
        </is>
      </c>
    </row>
    <row outlineLevel="0" r="1640">
      <c r="A1640" s="4108" t="inlineStr">
        <is>
          <t>135792468202109210501</t>
        </is>
      </c>
      <c r="B1640" s="4108" t="inlineStr">
        <is>
          <t>210501</t>
        </is>
      </c>
      <c r="C1640" s="4108" t="inlineStr">
        <is>
          <t>135792468</t>
        </is>
      </c>
      <c r="D1640" s="4108" t="inlineStr">
        <is>
          <t>202109</t>
        </is>
      </c>
      <c r="E1640" s="4108" t="inlineStr">
        <is>
          <t>0,000000000000</t>
        </is>
      </c>
    </row>
    <row outlineLevel="0" r="1641">
      <c r="A1641" s="4108" t="inlineStr">
        <is>
          <t>135792468202109211001</t>
        </is>
      </c>
      <c r="B1641" s="4108" t="inlineStr">
        <is>
          <t>211001</t>
        </is>
      </c>
      <c r="C1641" s="4108" t="inlineStr">
        <is>
          <t>135792468</t>
        </is>
      </c>
      <c r="D1641" s="4108" t="inlineStr">
        <is>
          <t>202109</t>
        </is>
      </c>
      <c r="E1641" s="4108" t="inlineStr">
        <is>
          <t>3,000000000000</t>
        </is>
      </c>
    </row>
    <row outlineLevel="0" r="1642">
      <c r="A1642" s="4108" t="inlineStr">
        <is>
          <t>135792468202109211500</t>
        </is>
      </c>
      <c r="B1642" s="4108" t="inlineStr">
        <is>
          <t>211500</t>
        </is>
      </c>
      <c r="C1642" s="4108" t="inlineStr">
        <is>
          <t>135792468</t>
        </is>
      </c>
      <c r="D1642" s="4108" t="inlineStr">
        <is>
          <t>202109</t>
        </is>
      </c>
      <c r="E1642" s="4108" t="inlineStr">
        <is>
          <t>3,000000000000</t>
        </is>
      </c>
    </row>
    <row outlineLevel="0" r="1643">
      <c r="A1643" s="4108" t="inlineStr">
        <is>
          <t>135792468202109219500</t>
        </is>
      </c>
      <c r="B1643" s="4108" t="inlineStr">
        <is>
          <t>219500</t>
        </is>
      </c>
      <c r="C1643" s="4108" t="inlineStr">
        <is>
          <t>135792468</t>
        </is>
      </c>
      <c r="D1643" s="4108" t="inlineStr">
        <is>
          <t>202109</t>
        </is>
      </c>
      <c r="E1643" s="4108" t="inlineStr">
        <is>
          <t>3,000000000000</t>
        </is>
      </c>
    </row>
    <row outlineLevel="0" r="1644">
      <c r="A1644" s="4108" t="inlineStr">
        <is>
          <t>135792468202109220500</t>
        </is>
      </c>
      <c r="B1644" s="4108" t="inlineStr">
        <is>
          <t>220500</t>
        </is>
      </c>
      <c r="C1644" s="4108" t="inlineStr">
        <is>
          <t>135792468</t>
        </is>
      </c>
      <c r="D1644" s="4108" t="inlineStr">
        <is>
          <t>202109</t>
        </is>
      </c>
      <c r="E1644" s="4108" t="inlineStr">
        <is>
          <t>0,000000000000</t>
        </is>
      </c>
    </row>
    <row outlineLevel="0" r="1645">
      <c r="A1645" s="4108" t="inlineStr">
        <is>
          <t>135792468202109221000</t>
        </is>
      </c>
      <c r="B1645" s="4108" t="inlineStr">
        <is>
          <t>221000</t>
        </is>
      </c>
      <c r="C1645" s="4108" t="inlineStr">
        <is>
          <t>135792468</t>
        </is>
      </c>
      <c r="D1645" s="4108" t="inlineStr">
        <is>
          <t>202109</t>
        </is>
      </c>
      <c r="E1645" s="4108" t="inlineStr">
        <is>
          <t>3,000000000000</t>
        </is>
      </c>
    </row>
    <row outlineLevel="0" r="1646">
      <c r="A1646" s="4108" t="inlineStr">
        <is>
          <t>135792468202109220501</t>
        </is>
      </c>
      <c r="B1646" s="4108" t="inlineStr">
        <is>
          <t>220501</t>
        </is>
      </c>
      <c r="C1646" s="4108" t="inlineStr">
        <is>
          <t>135792468</t>
        </is>
      </c>
      <c r="D1646" s="4108" t="inlineStr">
        <is>
          <t>202109</t>
        </is>
      </c>
      <c r="E1646" s="4108" t="inlineStr">
        <is>
          <t>0,000000000000</t>
        </is>
      </c>
    </row>
    <row outlineLevel="0" r="1647">
      <c r="A1647" s="4108" t="inlineStr">
        <is>
          <t>135792468202109221001</t>
        </is>
      </c>
      <c r="B1647" s="4108" t="inlineStr">
        <is>
          <t>221001</t>
        </is>
      </c>
      <c r="C1647" s="4108" t="inlineStr">
        <is>
          <t>135792468</t>
        </is>
      </c>
      <c r="D1647" s="4108" t="inlineStr">
        <is>
          <t>202109</t>
        </is>
      </c>
      <c r="E1647" s="4108" t="inlineStr">
        <is>
          <t>3,000000000000</t>
        </is>
      </c>
    </row>
    <row outlineLevel="0" r="1648">
      <c r="A1648" s="4108" t="inlineStr">
        <is>
          <t>135792468202109221500</t>
        </is>
      </c>
      <c r="B1648" s="4108" t="inlineStr">
        <is>
          <t>221500</t>
        </is>
      </c>
      <c r="C1648" s="4108" t="inlineStr">
        <is>
          <t>135792468</t>
        </is>
      </c>
      <c r="D1648" s="4108" t="inlineStr">
        <is>
          <t>202109</t>
        </is>
      </c>
      <c r="E1648" s="4108" t="inlineStr">
        <is>
          <t>3,000000000000</t>
        </is>
      </c>
    </row>
    <row outlineLevel="0" r="1649">
      <c r="A1649" s="4108" t="inlineStr">
        <is>
          <t>135792468202109230500</t>
        </is>
      </c>
      <c r="B1649" s="4108" t="inlineStr">
        <is>
          <t>230500</t>
        </is>
      </c>
      <c r="C1649" s="4108" t="inlineStr">
        <is>
          <t>135792468</t>
        </is>
      </c>
      <c r="D1649" s="4108" t="inlineStr">
        <is>
          <t>202109</t>
        </is>
      </c>
      <c r="E1649" s="4108" t="inlineStr">
        <is>
          <t>0,000000000000</t>
        </is>
      </c>
    </row>
    <row outlineLevel="0" r="1650">
      <c r="A1650" s="4108" t="inlineStr">
        <is>
          <t>135792468202109230501</t>
        </is>
      </c>
      <c r="B1650" s="4108" t="inlineStr">
        <is>
          <t>230501</t>
        </is>
      </c>
      <c r="C1650" s="4108" t="inlineStr">
        <is>
          <t>135792468</t>
        </is>
      </c>
      <c r="D1650" s="4108" t="inlineStr">
        <is>
          <t>202109</t>
        </is>
      </c>
      <c r="E1650" s="4108" t="inlineStr">
        <is>
          <t>3,000000000000</t>
        </is>
      </c>
    </row>
    <row outlineLevel="0" r="1651">
      <c r="A1651" s="4108" t="inlineStr">
        <is>
          <t>135792468202109231000</t>
        </is>
      </c>
      <c r="B1651" s="4108" t="inlineStr">
        <is>
          <t>231000</t>
        </is>
      </c>
      <c r="C1651" s="4108" t="inlineStr">
        <is>
          <t>135792468</t>
        </is>
      </c>
      <c r="D1651" s="4108" t="inlineStr">
        <is>
          <t>202109</t>
        </is>
      </c>
      <c r="E1651" s="4108" t="inlineStr">
        <is>
          <t>3,000000000000</t>
        </is>
      </c>
    </row>
    <row outlineLevel="0" r="1652">
      <c r="A1652" s="4108" t="inlineStr">
        <is>
          <t>135792468202109231001</t>
        </is>
      </c>
      <c r="B1652" s="4108" t="inlineStr">
        <is>
          <t>231001</t>
        </is>
      </c>
      <c r="C1652" s="4108" t="inlineStr">
        <is>
          <t>135792468</t>
        </is>
      </c>
      <c r="D1652" s="4108" t="inlineStr">
        <is>
          <t>202109</t>
        </is>
      </c>
      <c r="E1652" s="4108" t="inlineStr">
        <is>
          <t>3,000000000000</t>
        </is>
      </c>
    </row>
    <row outlineLevel="0" r="1653">
      <c r="A1653" s="4108" t="inlineStr">
        <is>
          <t>135792468202109231501</t>
        </is>
      </c>
      <c r="B1653" s="4108" t="inlineStr">
        <is>
          <t>231501</t>
        </is>
      </c>
      <c r="C1653" s="4108" t="inlineStr">
        <is>
          <t>135792468</t>
        </is>
      </c>
      <c r="D1653" s="4108" t="inlineStr">
        <is>
          <t>202109</t>
        </is>
      </c>
      <c r="E1653" s="4108" t="inlineStr">
        <is>
          <t>6,000000000000</t>
        </is>
      </c>
    </row>
    <row outlineLevel="0" r="1654">
      <c r="A1654" s="4108" t="inlineStr">
        <is>
          <t>135792468202109231500</t>
        </is>
      </c>
      <c r="B1654" s="4108" t="inlineStr">
        <is>
          <t>231500</t>
        </is>
      </c>
      <c r="C1654" s="4108" t="inlineStr">
        <is>
          <t>135792468</t>
        </is>
      </c>
      <c r="D1654" s="4108" t="inlineStr">
        <is>
          <t>202109</t>
        </is>
      </c>
      <c r="E1654" s="4108" t="inlineStr">
        <is>
          <t>3,000000000000</t>
        </is>
      </c>
    </row>
    <row outlineLevel="0" r="1655">
      <c r="A1655" s="4108" t="inlineStr">
        <is>
          <t>135792468202109232000</t>
        </is>
      </c>
      <c r="B1655" s="4108" t="inlineStr">
        <is>
          <t>232000</t>
        </is>
      </c>
      <c r="C1655" s="4108" t="inlineStr">
        <is>
          <t>135792468</t>
        </is>
      </c>
      <c r="D1655" s="4108" t="inlineStr">
        <is>
          <t>202109</t>
        </is>
      </c>
      <c r="E1655" s="4108" t="inlineStr">
        <is>
          <t>3,000000000000</t>
        </is>
      </c>
    </row>
    <row outlineLevel="0" r="1656">
      <c r="A1656" s="4108" t="inlineStr">
        <is>
          <t>135792468202109232001</t>
        </is>
      </c>
      <c r="B1656" s="4108" t="inlineStr">
        <is>
          <t>232001</t>
        </is>
      </c>
      <c r="C1656" s="4108" t="inlineStr">
        <is>
          <t>135792468</t>
        </is>
      </c>
      <c r="D1656" s="4108" t="inlineStr">
        <is>
          <t>202109</t>
        </is>
      </c>
      <c r="E1656" s="4108" t="inlineStr">
        <is>
          <t>6,000000000000</t>
        </is>
      </c>
    </row>
    <row outlineLevel="0" r="1657">
      <c r="A1657" s="4108" t="inlineStr">
        <is>
          <t>135792468202109233500</t>
        </is>
      </c>
      <c r="B1657" s="4108" t="inlineStr">
        <is>
          <t>233500</t>
        </is>
      </c>
      <c r="C1657" s="4108" t="inlineStr">
        <is>
          <t>135792468</t>
        </is>
      </c>
      <c r="D1657" s="4108" t="inlineStr">
        <is>
          <t>202109</t>
        </is>
      </c>
      <c r="E1657" s="4108" t="inlineStr">
        <is>
          <t>6,000000000000</t>
        </is>
      </c>
    </row>
    <row outlineLevel="0" r="1658">
      <c r="A1658" s="4108" t="inlineStr">
        <is>
          <t>135792468202109233501</t>
        </is>
      </c>
      <c r="B1658" s="4108" t="inlineStr">
        <is>
          <t>233501</t>
        </is>
      </c>
      <c r="C1658" s="4108" t="inlineStr">
        <is>
          <t>135792468</t>
        </is>
      </c>
      <c r="D1658" s="4108" t="inlineStr">
        <is>
          <t>202109</t>
        </is>
      </c>
      <c r="E1658" s="4108" t="inlineStr">
        <is>
          <t>6,000000000000</t>
        </is>
      </c>
    </row>
    <row outlineLevel="0" r="1659">
      <c r="A1659" s="4108" t="inlineStr">
        <is>
          <t>135792468202109234500</t>
        </is>
      </c>
      <c r="B1659" s="4108" t="inlineStr">
        <is>
          <t>234500</t>
        </is>
      </c>
      <c r="C1659" s="4108" t="inlineStr">
        <is>
          <t>135792468</t>
        </is>
      </c>
      <c r="D1659" s="4108" t="inlineStr">
        <is>
          <t>202109</t>
        </is>
      </c>
      <c r="E1659" s="4108" t="inlineStr">
        <is>
          <t>6,000000000000</t>
        </is>
      </c>
    </row>
    <row outlineLevel="0" r="1660">
      <c r="A1660" s="4108" t="inlineStr">
        <is>
          <t>135792468202109234501</t>
        </is>
      </c>
      <c r="B1660" s="4108" t="inlineStr">
        <is>
          <t>234501</t>
        </is>
      </c>
      <c r="C1660" s="4108" t="inlineStr">
        <is>
          <t>135792468</t>
        </is>
      </c>
      <c r="D1660" s="4108" t="inlineStr">
        <is>
          <t>202109</t>
        </is>
      </c>
      <c r="E1660" s="4108" t="inlineStr">
        <is>
          <t>9,000000000000</t>
        </is>
      </c>
    </row>
    <row outlineLevel="0" r="1661">
      <c r="A1661" s="4108" t="inlineStr">
        <is>
          <t>135792468202109235001</t>
        </is>
      </c>
      <c r="B1661" s="4108" t="inlineStr">
        <is>
          <t>235001</t>
        </is>
      </c>
      <c r="C1661" s="4108" t="inlineStr">
        <is>
          <t>135792468</t>
        </is>
      </c>
      <c r="D1661" s="4108" t="inlineStr">
        <is>
          <t>202109</t>
        </is>
      </c>
      <c r="E1661" s="4108" t="inlineStr">
        <is>
          <t>9,000000000000</t>
        </is>
      </c>
    </row>
    <row outlineLevel="0" r="1662">
      <c r="A1662" s="4108" t="inlineStr">
        <is>
          <t>135792468202109235000</t>
        </is>
      </c>
      <c r="B1662" s="4108" t="inlineStr">
        <is>
          <t>235000</t>
        </is>
      </c>
      <c r="C1662" s="4108" t="inlineStr">
        <is>
          <t>135792468</t>
        </is>
      </c>
      <c r="D1662" s="4108" t="inlineStr">
        <is>
          <t>202109</t>
        </is>
      </c>
      <c r="E1662" s="4108" t="inlineStr">
        <is>
          <t>6,000000000000</t>
        </is>
      </c>
    </row>
    <row outlineLevel="0" r="1663">
      <c r="A1663" s="4108" t="inlineStr">
        <is>
          <t>135792468202109235500</t>
        </is>
      </c>
      <c r="B1663" s="4108" t="inlineStr">
        <is>
          <t>235500</t>
        </is>
      </c>
      <c r="C1663" s="4108" t="inlineStr">
        <is>
          <t>135792468</t>
        </is>
      </c>
      <c r="D1663" s="4108" t="inlineStr">
        <is>
          <t>202109</t>
        </is>
      </c>
      <c r="E1663" s="4108" t="inlineStr">
        <is>
          <t>9,000000000000</t>
        </is>
      </c>
    </row>
    <row outlineLevel="0" r="1664">
      <c r="A1664" s="4108" t="inlineStr">
        <is>
          <t>135792468202109235501</t>
        </is>
      </c>
      <c r="B1664" s="4108" t="inlineStr">
        <is>
          <t>235501</t>
        </is>
      </c>
      <c r="C1664" s="4108" t="inlineStr">
        <is>
          <t>135792468</t>
        </is>
      </c>
      <c r="D1664" s="4108" t="inlineStr">
        <is>
          <t>202109</t>
        </is>
      </c>
      <c r="E1664" s="4108" t="inlineStr">
        <is>
          <t>9,000000000000</t>
        </is>
      </c>
    </row>
    <row outlineLevel="0" r="1665">
      <c r="A1665" s="4108" t="inlineStr">
        <is>
          <t>135792468202109236000</t>
        </is>
      </c>
      <c r="B1665" s="4108" t="inlineStr">
        <is>
          <t>236000</t>
        </is>
      </c>
      <c r="C1665" s="4108" t="inlineStr">
        <is>
          <t>135792468</t>
        </is>
      </c>
      <c r="D1665" s="4108" t="inlineStr">
        <is>
          <t>202109</t>
        </is>
      </c>
      <c r="E1665" s="4108" t="inlineStr">
        <is>
          <t>9,000000000000</t>
        </is>
      </c>
    </row>
    <row outlineLevel="0" r="1666">
      <c r="A1666" s="4108" t="inlineStr">
        <is>
          <t>135792468202109236001</t>
        </is>
      </c>
      <c r="B1666" s="4108" t="inlineStr">
        <is>
          <t>236001</t>
        </is>
      </c>
      <c r="C1666" s="4108" t="inlineStr">
        <is>
          <t>135792468</t>
        </is>
      </c>
      <c r="D1666" s="4108" t="inlineStr">
        <is>
          <t>202109</t>
        </is>
      </c>
      <c r="E1666" s="4108" t="inlineStr">
        <is>
          <t>12,000000000000</t>
        </is>
      </c>
    </row>
    <row outlineLevel="0" r="1667">
      <c r="A1667" s="4108" t="inlineStr">
        <is>
          <t>135792468202109236500</t>
        </is>
      </c>
      <c r="B1667" s="4108" t="inlineStr">
        <is>
          <t>236500</t>
        </is>
      </c>
      <c r="C1667" s="4108" t="inlineStr">
        <is>
          <t>135792468</t>
        </is>
      </c>
      <c r="D1667" s="4108" t="inlineStr">
        <is>
          <t>202109</t>
        </is>
      </c>
      <c r="E1667" s="4108" t="inlineStr">
        <is>
          <t>9,000000000000</t>
        </is>
      </c>
    </row>
    <row outlineLevel="0" r="1668">
      <c r="A1668" s="4108" t="inlineStr">
        <is>
          <t>135792468202109236501</t>
        </is>
      </c>
      <c r="B1668" s="4108" t="inlineStr">
        <is>
          <t>236501</t>
        </is>
      </c>
      <c r="C1668" s="4108" t="inlineStr">
        <is>
          <t>135792468</t>
        </is>
      </c>
      <c r="D1668" s="4108" t="inlineStr">
        <is>
          <t>202109</t>
        </is>
      </c>
      <c r="E1668" s="4108" t="inlineStr">
        <is>
          <t>12,000000000000</t>
        </is>
      </c>
    </row>
    <row outlineLevel="0" r="1669">
      <c r="A1669" s="4108" t="inlineStr">
        <is>
          <t>135792468202109236701</t>
        </is>
      </c>
      <c r="B1669" s="4108" t="inlineStr">
        <is>
          <t>236701</t>
        </is>
      </c>
      <c r="C1669" s="4108" t="inlineStr">
        <is>
          <t>135792468</t>
        </is>
      </c>
      <c r="D1669" s="4108" t="inlineStr">
        <is>
          <t>202109</t>
        </is>
      </c>
      <c r="E1669" s="4108" t="inlineStr">
        <is>
          <t>12,000000000000</t>
        </is>
      </c>
    </row>
    <row outlineLevel="0" r="1670">
      <c r="A1670" s="4108" t="inlineStr">
        <is>
          <t>135792468202109236700</t>
        </is>
      </c>
      <c r="B1670" s="4108" t="inlineStr">
        <is>
          <t>236700</t>
        </is>
      </c>
      <c r="C1670" s="4108" t="inlineStr">
        <is>
          <t>135792468</t>
        </is>
      </c>
      <c r="D1670" s="4108" t="inlineStr">
        <is>
          <t>202109</t>
        </is>
      </c>
      <c r="E1670" s="4108" t="inlineStr">
        <is>
          <t>12,000000000000</t>
        </is>
      </c>
    </row>
    <row outlineLevel="0" r="1671">
      <c r="A1671" s="4108" t="inlineStr">
        <is>
          <t>135792468202109236800</t>
        </is>
      </c>
      <c r="B1671" s="4108" t="inlineStr">
        <is>
          <t>236800</t>
        </is>
      </c>
      <c r="C1671" s="4108" t="inlineStr">
        <is>
          <t>135792468</t>
        </is>
      </c>
      <c r="D1671" s="4108" t="inlineStr">
        <is>
          <t>202109</t>
        </is>
      </c>
      <c r="E1671" s="4108" t="inlineStr">
        <is>
          <t>12,000000000000</t>
        </is>
      </c>
    </row>
    <row outlineLevel="0" r="1672">
      <c r="A1672" s="4108" t="inlineStr">
        <is>
          <t>135792468202109237000</t>
        </is>
      </c>
      <c r="B1672" s="4108" t="inlineStr">
        <is>
          <t>237000</t>
        </is>
      </c>
      <c r="C1672" s="4108" t="inlineStr">
        <is>
          <t>135792468</t>
        </is>
      </c>
      <c r="D1672" s="4108" t="inlineStr">
        <is>
          <t>202109</t>
        </is>
      </c>
      <c r="E1672" s="4108" t="inlineStr">
        <is>
          <t>12,000000000000</t>
        </is>
      </c>
    </row>
    <row outlineLevel="0" r="1673">
      <c r="A1673" s="4108" t="inlineStr">
        <is>
          <t>135792468202109237001</t>
        </is>
      </c>
      <c r="B1673" s="4108" t="inlineStr">
        <is>
          <t>237001</t>
        </is>
      </c>
      <c r="C1673" s="4108" t="inlineStr">
        <is>
          <t>135792468</t>
        </is>
      </c>
      <c r="D1673" s="4108" t="inlineStr">
        <is>
          <t>202109</t>
        </is>
      </c>
      <c r="E1673" s="4108" t="inlineStr">
        <is>
          <t>15,000000000000</t>
        </is>
      </c>
    </row>
    <row outlineLevel="0" r="1674">
      <c r="A1674" s="4108" t="inlineStr">
        <is>
          <t>135792468202109238000</t>
        </is>
      </c>
      <c r="B1674" s="4108" t="inlineStr">
        <is>
          <t>238000</t>
        </is>
      </c>
      <c r="C1674" s="4108" t="inlineStr">
        <is>
          <t>135792468</t>
        </is>
      </c>
      <c r="D1674" s="4108" t="inlineStr">
        <is>
          <t>202109</t>
        </is>
      </c>
      <c r="E1674" s="4108" t="inlineStr">
        <is>
          <t>15,000000000000</t>
        </is>
      </c>
    </row>
    <row outlineLevel="0" r="1675">
      <c r="A1675" s="4108" t="inlineStr">
        <is>
          <t>135792468202109238001</t>
        </is>
      </c>
      <c r="B1675" s="4108" t="inlineStr">
        <is>
          <t>238001</t>
        </is>
      </c>
      <c r="C1675" s="4108" t="inlineStr">
        <is>
          <t>135792468</t>
        </is>
      </c>
      <c r="D1675" s="4108" t="inlineStr">
        <is>
          <t>202109</t>
        </is>
      </c>
      <c r="E1675" s="4108" t="inlineStr">
        <is>
          <t>15,000000000000</t>
        </is>
      </c>
    </row>
    <row outlineLevel="0" r="1676">
      <c r="A1676" s="4108" t="inlineStr">
        <is>
          <t>135792468202109240001</t>
        </is>
      </c>
      <c r="B1676" s="4108" t="inlineStr">
        <is>
          <t>240001</t>
        </is>
      </c>
      <c r="C1676" s="4108" t="inlineStr">
        <is>
          <t>135792468</t>
        </is>
      </c>
      <c r="D1676" s="4108" t="inlineStr">
        <is>
          <t>202109</t>
        </is>
      </c>
      <c r="E1676" s="4108" t="inlineStr">
        <is>
          <t>9,000000000000</t>
        </is>
      </c>
    </row>
    <row outlineLevel="0" r="1677">
      <c r="A1677" s="4108" t="inlineStr">
        <is>
          <t>135792468202109240401</t>
        </is>
      </c>
      <c r="B1677" s="4108" t="inlineStr">
        <is>
          <t>240401</t>
        </is>
      </c>
      <c r="C1677" s="4108" t="inlineStr">
        <is>
          <t>135792468</t>
        </is>
      </c>
      <c r="D1677" s="4108" t="inlineStr">
        <is>
          <t>202109</t>
        </is>
      </c>
      <c r="E1677" s="4108" t="inlineStr">
        <is>
          <t>0,000000000000</t>
        </is>
      </c>
    </row>
    <row outlineLevel="0" r="1678">
      <c r="A1678" s="4108" t="inlineStr">
        <is>
          <t>135792468202109240400</t>
        </is>
      </c>
      <c r="B1678" s="4108" t="inlineStr">
        <is>
          <t>240400</t>
        </is>
      </c>
      <c r="C1678" s="4108" t="inlineStr">
        <is>
          <t>135792468</t>
        </is>
      </c>
      <c r="D1678" s="4108" t="inlineStr">
        <is>
          <t>202109</t>
        </is>
      </c>
      <c r="E1678" s="4108" t="inlineStr">
        <is>
          <t>0,000000000000</t>
        </is>
      </c>
    </row>
    <row outlineLevel="0" r="1679">
      <c r="A1679" s="4108" t="inlineStr">
        <is>
          <t>135792468202109240800</t>
        </is>
      </c>
      <c r="B1679" s="4108" t="inlineStr">
        <is>
          <t>240800</t>
        </is>
      </c>
      <c r="C1679" s="4108" t="inlineStr">
        <is>
          <t>135792468</t>
        </is>
      </c>
      <c r="D1679" s="4108" t="inlineStr">
        <is>
          <t>202109</t>
        </is>
      </c>
      <c r="E1679" s="4108" t="inlineStr">
        <is>
          <t>3,000000000000</t>
        </is>
      </c>
    </row>
    <row outlineLevel="0" r="1680">
      <c r="A1680" s="4108" t="inlineStr">
        <is>
          <t>135792468202109240801</t>
        </is>
      </c>
      <c r="B1680" s="4108" t="inlineStr">
        <is>
          <t>240801</t>
        </is>
      </c>
      <c r="C1680" s="4108" t="inlineStr">
        <is>
          <t>135792468</t>
        </is>
      </c>
      <c r="D1680" s="4108" t="inlineStr">
        <is>
          <t>202109</t>
        </is>
      </c>
      <c r="E1680" s="4108" t="inlineStr">
        <is>
          <t>3,000000000000</t>
        </is>
      </c>
    </row>
    <row outlineLevel="0" r="1681">
      <c r="A1681" s="4108" t="inlineStr">
        <is>
          <t>135792468202109241200</t>
        </is>
      </c>
      <c r="B1681" s="4108" t="inlineStr">
        <is>
          <t>241200</t>
        </is>
      </c>
      <c r="C1681" s="4108" t="inlineStr">
        <is>
          <t>135792468</t>
        </is>
      </c>
      <c r="D1681" s="4108" t="inlineStr">
        <is>
          <t>202109</t>
        </is>
      </c>
      <c r="E1681" s="4108" t="inlineStr">
        <is>
          <t>3,000000000000</t>
        </is>
      </c>
    </row>
    <row outlineLevel="0" r="1682">
      <c r="A1682" s="4108" t="inlineStr">
        <is>
          <t>135792468202109241201</t>
        </is>
      </c>
      <c r="B1682" s="4108" t="inlineStr">
        <is>
          <t>241201</t>
        </is>
      </c>
      <c r="C1682" s="4108" t="inlineStr">
        <is>
          <t>135792468</t>
        </is>
      </c>
      <c r="D1682" s="4108" t="inlineStr">
        <is>
          <t>202109</t>
        </is>
      </c>
      <c r="E1682" s="4108" t="inlineStr">
        <is>
          <t>3,000000000000</t>
        </is>
      </c>
    </row>
    <row outlineLevel="0" r="1683">
      <c r="A1683" s="4108" t="inlineStr">
        <is>
          <t>135792468202109249500</t>
        </is>
      </c>
      <c r="B1683" s="4108" t="inlineStr">
        <is>
          <t>249500</t>
        </is>
      </c>
      <c r="C1683" s="4108" t="inlineStr">
        <is>
          <t>135792468</t>
        </is>
      </c>
      <c r="D1683" s="4108" t="inlineStr">
        <is>
          <t>202109</t>
        </is>
      </c>
      <c r="E1683" s="4108" t="inlineStr">
        <is>
          <t>3,000000000000</t>
        </is>
      </c>
    </row>
    <row outlineLevel="0" r="1684">
      <c r="A1684" s="4108" t="inlineStr">
        <is>
          <t>135792468202109249501</t>
        </is>
      </c>
      <c r="B1684" s="4108" t="inlineStr">
        <is>
          <t>249501</t>
        </is>
      </c>
      <c r="C1684" s="4108" t="inlineStr">
        <is>
          <t>135792468</t>
        </is>
      </c>
      <c r="D1684" s="4108" t="inlineStr">
        <is>
          <t>202109</t>
        </is>
      </c>
      <c r="E1684" s="4108" t="inlineStr">
        <is>
          <t>3,000000000000</t>
        </is>
      </c>
    </row>
    <row outlineLevel="0" r="1685">
      <c r="A1685" s="4108" t="inlineStr">
        <is>
          <t>135792468202109250501</t>
        </is>
      </c>
      <c r="B1685" s="4108" t="inlineStr">
        <is>
          <t>250501</t>
        </is>
      </c>
      <c r="C1685" s="4108" t="inlineStr">
        <is>
          <t>135792468</t>
        </is>
      </c>
      <c r="D1685" s="4108" t="inlineStr">
        <is>
          <t>202109</t>
        </is>
      </c>
      <c r="E1685" s="4108" t="inlineStr">
        <is>
          <t>0,000000000000</t>
        </is>
      </c>
    </row>
    <row outlineLevel="0" r="1686">
      <c r="A1686" s="4108" t="inlineStr">
        <is>
          <t>135792468202109250500</t>
        </is>
      </c>
      <c r="B1686" s="4108" t="inlineStr">
        <is>
          <t>250500</t>
        </is>
      </c>
      <c r="C1686" s="4108" t="inlineStr">
        <is>
          <t>135792468</t>
        </is>
      </c>
      <c r="D1686" s="4108" t="inlineStr">
        <is>
          <t>202109</t>
        </is>
      </c>
      <c r="E1686" s="4108" t="inlineStr">
        <is>
          <t>0,000000000000</t>
        </is>
      </c>
    </row>
    <row outlineLevel="0" r="1687">
      <c r="A1687" s="4108" t="inlineStr">
        <is>
          <t>135792468202109251000</t>
        </is>
      </c>
      <c r="B1687" s="4108" t="inlineStr">
        <is>
          <t>251000</t>
        </is>
      </c>
      <c r="C1687" s="4108" t="inlineStr">
        <is>
          <t>135792468</t>
        </is>
      </c>
      <c r="D1687" s="4108" t="inlineStr">
        <is>
          <t>202109</t>
        </is>
      </c>
      <c r="E1687" s="4108" t="inlineStr">
        <is>
          <t>3,000000000000</t>
        </is>
      </c>
    </row>
    <row outlineLevel="0" r="1688">
      <c r="A1688" s="4108" t="inlineStr">
        <is>
          <t>135792468202109251001</t>
        </is>
      </c>
      <c r="B1688" s="4108" t="inlineStr">
        <is>
          <t>251001</t>
        </is>
      </c>
      <c r="C1688" s="4108" t="inlineStr">
        <is>
          <t>135792468</t>
        </is>
      </c>
      <c r="D1688" s="4108" t="inlineStr">
        <is>
          <t>202109</t>
        </is>
      </c>
      <c r="E1688" s="4108" t="inlineStr">
        <is>
          <t>3,000000000000</t>
        </is>
      </c>
    </row>
    <row outlineLevel="0" r="1689">
      <c r="A1689" s="4108" t="inlineStr">
        <is>
          <t>135792468202109251500</t>
        </is>
      </c>
      <c r="B1689" s="4108" t="inlineStr">
        <is>
          <t>251500</t>
        </is>
      </c>
      <c r="C1689" s="4108" t="inlineStr">
        <is>
          <t>135792468</t>
        </is>
      </c>
      <c r="D1689" s="4108" t="inlineStr">
        <is>
          <t>202109</t>
        </is>
      </c>
      <c r="E1689" s="4108" t="inlineStr">
        <is>
          <t>3,000000000000</t>
        </is>
      </c>
    </row>
    <row outlineLevel="0" r="1690">
      <c r="A1690" s="4108" t="inlineStr">
        <is>
          <t>135792468202109251501</t>
        </is>
      </c>
      <c r="B1690" s="4108" t="inlineStr">
        <is>
          <t>251501</t>
        </is>
      </c>
      <c r="C1690" s="4108" t="inlineStr">
        <is>
          <t>135792468</t>
        </is>
      </c>
      <c r="D1690" s="4108" t="inlineStr">
        <is>
          <t>202109</t>
        </is>
      </c>
      <c r="E1690" s="4108" t="inlineStr">
        <is>
          <t>3,000000000000</t>
        </is>
      </c>
    </row>
    <row outlineLevel="0" r="1691">
      <c r="A1691" s="4108" t="inlineStr">
        <is>
          <t>135792468202109252500</t>
        </is>
      </c>
      <c r="B1691" s="4108" t="inlineStr">
        <is>
          <t>252500</t>
        </is>
      </c>
      <c r="C1691" s="4108" t="inlineStr">
        <is>
          <t>135792468</t>
        </is>
      </c>
      <c r="D1691" s="4108" t="inlineStr">
        <is>
          <t>202109</t>
        </is>
      </c>
      <c r="E1691" s="4108" t="inlineStr">
        <is>
          <t>3,000000000000</t>
        </is>
      </c>
    </row>
    <row outlineLevel="0" r="1692">
      <c r="A1692" s="4108" t="inlineStr">
        <is>
          <t>135792468202109252501</t>
        </is>
      </c>
      <c r="B1692" s="4108" t="inlineStr">
        <is>
          <t>252501</t>
        </is>
      </c>
      <c r="C1692" s="4108" t="inlineStr">
        <is>
          <t>135792468</t>
        </is>
      </c>
      <c r="D1692" s="4108" t="inlineStr">
        <is>
          <t>202109</t>
        </is>
      </c>
      <c r="E1692" s="4108" t="inlineStr">
        <is>
          <t>3,000000000000</t>
        </is>
      </c>
    </row>
    <row outlineLevel="0" r="1693">
      <c r="A1693" s="4108" t="inlineStr">
        <is>
          <t>135792468202109253001</t>
        </is>
      </c>
      <c r="B1693" s="4108" t="inlineStr">
        <is>
          <t>253001</t>
        </is>
      </c>
      <c r="C1693" s="4108" t="inlineStr">
        <is>
          <t>135792468</t>
        </is>
      </c>
      <c r="D1693" s="4108" t="inlineStr">
        <is>
          <t>202109</t>
        </is>
      </c>
      <c r="E1693" s="4108" t="inlineStr">
        <is>
          <t>6,000000000000</t>
        </is>
      </c>
    </row>
    <row outlineLevel="0" r="1694">
      <c r="A1694" s="4108" t="inlineStr">
        <is>
          <t>135792468202109253000</t>
        </is>
      </c>
      <c r="B1694" s="4108" t="inlineStr">
        <is>
          <t>253000</t>
        </is>
      </c>
      <c r="C1694" s="4108" t="inlineStr">
        <is>
          <t>135792468</t>
        </is>
      </c>
      <c r="D1694" s="4108" t="inlineStr">
        <is>
          <t>202109</t>
        </is>
      </c>
      <c r="E1694" s="4108" t="inlineStr">
        <is>
          <t>6,000000000000</t>
        </is>
      </c>
    </row>
    <row outlineLevel="0" r="1695">
      <c r="A1695" s="4108" t="inlineStr">
        <is>
          <t>135792468202109259500</t>
        </is>
      </c>
      <c r="B1695" s="4108" t="inlineStr">
        <is>
          <t>259500</t>
        </is>
      </c>
      <c r="C1695" s="4108" t="inlineStr">
        <is>
          <t>135792468</t>
        </is>
      </c>
      <c r="D1695" s="4108" t="inlineStr">
        <is>
          <t>202109</t>
        </is>
      </c>
      <c r="E1695" s="4108" t="inlineStr">
        <is>
          <t>6,000000000000</t>
        </is>
      </c>
    </row>
    <row outlineLevel="0" r="1696">
      <c r="A1696" s="4108" t="inlineStr">
        <is>
          <t>135792468202109259501</t>
        </is>
      </c>
      <c r="B1696" s="4108" t="inlineStr">
        <is>
          <t>259501</t>
        </is>
      </c>
      <c r="C1696" s="4108" t="inlineStr">
        <is>
          <t>135792468</t>
        </is>
      </c>
      <c r="D1696" s="4108" t="inlineStr">
        <is>
          <t>202109</t>
        </is>
      </c>
      <c r="E1696" s="4108" t="inlineStr">
        <is>
          <t>6,000000000000</t>
        </is>
      </c>
    </row>
    <row outlineLevel="0" r="1697">
      <c r="A1697" s="4108" t="inlineStr">
        <is>
          <t>135792468202109260500</t>
        </is>
      </c>
      <c r="B1697" s="4108" t="inlineStr">
        <is>
          <t>260500</t>
        </is>
      </c>
      <c r="C1697" s="4108" t="inlineStr">
        <is>
          <t>135792468</t>
        </is>
      </c>
      <c r="D1697" s="4108" t="inlineStr">
        <is>
          <t>202109</t>
        </is>
      </c>
      <c r="E1697" s="4108" t="inlineStr">
        <is>
          <t>0,000000000000</t>
        </is>
      </c>
    </row>
    <row outlineLevel="0" r="1698">
      <c r="A1698" s="4108" t="inlineStr">
        <is>
          <t>135792468202109260501</t>
        </is>
      </c>
      <c r="B1698" s="4108" t="inlineStr">
        <is>
          <t>260501</t>
        </is>
      </c>
      <c r="C1698" s="4108" t="inlineStr">
        <is>
          <t>135792468</t>
        </is>
      </c>
      <c r="D1698" s="4108" t="inlineStr">
        <is>
          <t>202109</t>
        </is>
      </c>
      <c r="E1698" s="4108" t="inlineStr">
        <is>
          <t>0,000000000000</t>
        </is>
      </c>
    </row>
    <row outlineLevel="0" r="1699">
      <c r="A1699" s="4108" t="inlineStr">
        <is>
          <t>135792468202109261000</t>
        </is>
      </c>
      <c r="B1699" s="4108" t="inlineStr">
        <is>
          <t>261000</t>
        </is>
      </c>
      <c r="C1699" s="4108" t="inlineStr">
        <is>
          <t>135792468</t>
        </is>
      </c>
      <c r="D1699" s="4108" t="inlineStr">
        <is>
          <t>202109</t>
        </is>
      </c>
      <c r="E1699" s="4108" t="inlineStr">
        <is>
          <t>3,000000000000</t>
        </is>
      </c>
    </row>
    <row outlineLevel="0" r="1700">
      <c r="A1700" s="4108" t="inlineStr">
        <is>
          <t>135792468202109261001</t>
        </is>
      </c>
      <c r="B1700" s="4108" t="inlineStr">
        <is>
          <t>261001</t>
        </is>
      </c>
      <c r="C1700" s="4108" t="inlineStr">
        <is>
          <t>135792468</t>
        </is>
      </c>
      <c r="D1700" s="4108" t="inlineStr">
        <is>
          <t>202109</t>
        </is>
      </c>
      <c r="E1700" s="4108" t="inlineStr">
        <is>
          <t>3,000000000000</t>
        </is>
      </c>
    </row>
    <row outlineLevel="0" r="1701">
      <c r="A1701" s="4108" t="inlineStr">
        <is>
          <t>135792468202109261501</t>
        </is>
      </c>
      <c r="B1701" s="4108" t="inlineStr">
        <is>
          <t>261501</t>
        </is>
      </c>
      <c r="C1701" s="4108" t="inlineStr">
        <is>
          <t>135792468</t>
        </is>
      </c>
      <c r="D1701" s="4108" t="inlineStr">
        <is>
          <t>202109</t>
        </is>
      </c>
      <c r="E1701" s="4108" t="inlineStr">
        <is>
          <t>3,000000000000</t>
        </is>
      </c>
    </row>
    <row outlineLevel="0" r="1702">
      <c r="A1702" s="4108" t="inlineStr">
        <is>
          <t>135792468202109261500</t>
        </is>
      </c>
      <c r="B1702" s="4108" t="inlineStr">
        <is>
          <t>261500</t>
        </is>
      </c>
      <c r="C1702" s="4108" t="inlineStr">
        <is>
          <t>135792468</t>
        </is>
      </c>
      <c r="D1702" s="4108" t="inlineStr">
        <is>
          <t>202109</t>
        </is>
      </c>
      <c r="E1702" s="4108" t="inlineStr">
        <is>
          <t>3,000000000000</t>
        </is>
      </c>
    </row>
    <row outlineLevel="0" r="1703">
      <c r="A1703" s="4108" t="inlineStr">
        <is>
          <t>135792468202109262000</t>
        </is>
      </c>
      <c r="B1703" s="4108" t="inlineStr">
        <is>
          <t>262000</t>
        </is>
      </c>
      <c r="C1703" s="4108" t="inlineStr">
        <is>
          <t>135792468</t>
        </is>
      </c>
      <c r="D1703" s="4108" t="inlineStr">
        <is>
          <t>202109</t>
        </is>
      </c>
      <c r="E1703" s="4108" t="inlineStr">
        <is>
          <t>3,000000000000</t>
        </is>
      </c>
    </row>
    <row outlineLevel="0" r="1704">
      <c r="A1704" s="4108" t="inlineStr">
        <is>
          <t>135792468202109262001</t>
        </is>
      </c>
      <c r="B1704" s="4108" t="inlineStr">
        <is>
          <t>262001</t>
        </is>
      </c>
      <c r="C1704" s="4108" t="inlineStr">
        <is>
          <t>135792468</t>
        </is>
      </c>
      <c r="D1704" s="4108" t="inlineStr">
        <is>
          <t>202109</t>
        </is>
      </c>
      <c r="E1704" s="4108" t="inlineStr">
        <is>
          <t>3,000000000000</t>
        </is>
      </c>
    </row>
    <row outlineLevel="0" r="1705">
      <c r="A1705" s="4108" t="inlineStr">
        <is>
          <t>135792468202109262500</t>
        </is>
      </c>
      <c r="B1705" s="4108" t="inlineStr">
        <is>
          <t>262500</t>
        </is>
      </c>
      <c r="C1705" s="4108" t="inlineStr">
        <is>
          <t>135792468</t>
        </is>
      </c>
      <c r="D1705" s="4108" t="inlineStr">
        <is>
          <t>202109</t>
        </is>
      </c>
      <c r="E1705" s="4108" t="inlineStr">
        <is>
          <t>6,000000000000</t>
        </is>
      </c>
    </row>
    <row outlineLevel="0" r="1706">
      <c r="A1706" s="4108" t="inlineStr">
        <is>
          <t>135792468202109262501</t>
        </is>
      </c>
      <c r="B1706" s="4108" t="inlineStr">
        <is>
          <t>262501</t>
        </is>
      </c>
      <c r="C1706" s="4108" t="inlineStr">
        <is>
          <t>135792468</t>
        </is>
      </c>
      <c r="D1706" s="4108" t="inlineStr">
        <is>
          <t>202109</t>
        </is>
      </c>
      <c r="E1706" s="4108" t="inlineStr">
        <is>
          <t>6,000000000000</t>
        </is>
      </c>
    </row>
    <row outlineLevel="0" r="1707">
      <c r="A1707" s="4108" t="inlineStr">
        <is>
          <t>135792468202109263000</t>
        </is>
      </c>
      <c r="B1707" s="4108" t="inlineStr">
        <is>
          <t>263000</t>
        </is>
      </c>
      <c r="C1707" s="4108" t="inlineStr">
        <is>
          <t>135792468</t>
        </is>
      </c>
      <c r="D1707" s="4108" t="inlineStr">
        <is>
          <t>202109</t>
        </is>
      </c>
      <c r="E1707" s="4108" t="inlineStr">
        <is>
          <t>6,000000000000</t>
        </is>
      </c>
    </row>
    <row outlineLevel="0" r="1708">
      <c r="A1708" s="4108" t="inlineStr">
        <is>
          <t>135792468202109263001</t>
        </is>
      </c>
      <c r="B1708" s="4108" t="inlineStr">
        <is>
          <t>263001</t>
        </is>
      </c>
      <c r="C1708" s="4108" t="inlineStr">
        <is>
          <t>135792468</t>
        </is>
      </c>
      <c r="D1708" s="4108" t="inlineStr">
        <is>
          <t>202109</t>
        </is>
      </c>
      <c r="E1708" s="4108" t="inlineStr">
        <is>
          <t>6,000000000000</t>
        </is>
      </c>
    </row>
    <row outlineLevel="0" r="1709">
      <c r="A1709" s="4108" t="inlineStr">
        <is>
          <t>135792468202109263501</t>
        </is>
      </c>
      <c r="B1709" s="4108" t="inlineStr">
        <is>
          <t>263501</t>
        </is>
      </c>
      <c r="C1709" s="4108" t="inlineStr">
        <is>
          <t>135792468</t>
        </is>
      </c>
      <c r="D1709" s="4108" t="inlineStr">
        <is>
          <t>202109</t>
        </is>
      </c>
      <c r="E1709" s="4108" t="inlineStr">
        <is>
          <t>6,000000000000</t>
        </is>
      </c>
    </row>
    <row outlineLevel="0" r="1710">
      <c r="A1710" s="4108" t="inlineStr">
        <is>
          <t>135792468202109263500</t>
        </is>
      </c>
      <c r="B1710" s="4108" t="inlineStr">
        <is>
          <t>263500</t>
        </is>
      </c>
      <c r="C1710" s="4108" t="inlineStr">
        <is>
          <t>135792468</t>
        </is>
      </c>
      <c r="D1710" s="4108" t="inlineStr">
        <is>
          <t>202109</t>
        </is>
      </c>
      <c r="E1710" s="4108" t="inlineStr">
        <is>
          <t>6,000000000000</t>
        </is>
      </c>
    </row>
    <row outlineLevel="0" r="1711">
      <c r="A1711" s="4108" t="inlineStr">
        <is>
          <t>135792468202109264000</t>
        </is>
      </c>
      <c r="B1711" s="4108" t="inlineStr">
        <is>
          <t>264000</t>
        </is>
      </c>
      <c r="C1711" s="4108" t="inlineStr">
        <is>
          <t>135792468</t>
        </is>
      </c>
      <c r="D1711" s="4108" t="inlineStr">
        <is>
          <t>202109</t>
        </is>
      </c>
      <c r="E1711" s="4108" t="inlineStr">
        <is>
          <t>9,000000000000</t>
        </is>
      </c>
    </row>
    <row outlineLevel="0" r="1712">
      <c r="A1712" s="4108" t="inlineStr">
        <is>
          <t>135792468202109264001</t>
        </is>
      </c>
      <c r="B1712" s="4108" t="inlineStr">
        <is>
          <t>264001</t>
        </is>
      </c>
      <c r="C1712" s="4108" t="inlineStr">
        <is>
          <t>135792468</t>
        </is>
      </c>
      <c r="D1712" s="4108" t="inlineStr">
        <is>
          <t>202109</t>
        </is>
      </c>
      <c r="E1712" s="4108" t="inlineStr">
        <is>
          <t>9,000000000000</t>
        </is>
      </c>
    </row>
    <row outlineLevel="0" r="1713">
      <c r="A1713" s="4108" t="inlineStr">
        <is>
          <t>135792468202109269500</t>
        </is>
      </c>
      <c r="B1713" s="4108" t="inlineStr">
        <is>
          <t>269500</t>
        </is>
      </c>
      <c r="C1713" s="4108" t="inlineStr">
        <is>
          <t>135792468</t>
        </is>
      </c>
      <c r="D1713" s="4108" t="inlineStr">
        <is>
          <t>202109</t>
        </is>
      </c>
      <c r="E1713" s="4108" t="inlineStr">
        <is>
          <t>9,000000000000</t>
        </is>
      </c>
    </row>
    <row outlineLevel="0" r="1714">
      <c r="A1714" s="4108" t="inlineStr">
        <is>
          <t>135792468202109269501</t>
        </is>
      </c>
      <c r="B1714" s="4108" t="inlineStr">
        <is>
          <t>269501</t>
        </is>
      </c>
      <c r="C1714" s="4108" t="inlineStr">
        <is>
          <t>135792468</t>
        </is>
      </c>
      <c r="D1714" s="4108" t="inlineStr">
        <is>
          <t>202109</t>
        </is>
      </c>
      <c r="E1714" s="4108" t="inlineStr">
        <is>
          <t>9,000000000000</t>
        </is>
      </c>
    </row>
    <row outlineLevel="0" r="1715">
      <c r="A1715" s="4108" t="inlineStr">
        <is>
          <t>135792468202109270500</t>
        </is>
      </c>
      <c r="B1715" s="4108" t="inlineStr">
        <is>
          <t>270500</t>
        </is>
      </c>
      <c r="C1715" s="4108" t="inlineStr">
        <is>
          <t>135792468</t>
        </is>
      </c>
      <c r="D1715" s="4108" t="inlineStr">
        <is>
          <t>202109</t>
        </is>
      </c>
      <c r="E1715" s="4108" t="inlineStr">
        <is>
          <t>0,000000000000</t>
        </is>
      </c>
    </row>
    <row outlineLevel="0" r="1716">
      <c r="A1716" s="4108" t="inlineStr">
        <is>
          <t>135792468202109270501</t>
        </is>
      </c>
      <c r="B1716" s="4108" t="inlineStr">
        <is>
          <t>270501</t>
        </is>
      </c>
      <c r="C1716" s="4108" t="inlineStr">
        <is>
          <t>135792468</t>
        </is>
      </c>
      <c r="D1716" s="4108" t="inlineStr">
        <is>
          <t>202109</t>
        </is>
      </c>
      <c r="E1716" s="4108" t="inlineStr">
        <is>
          <t>0,000000000000</t>
        </is>
      </c>
    </row>
    <row outlineLevel="0" r="1717">
      <c r="A1717" s="4108" t="inlineStr">
        <is>
          <t>135792468202109271001</t>
        </is>
      </c>
      <c r="B1717" s="4108" t="inlineStr">
        <is>
          <t>271001</t>
        </is>
      </c>
      <c r="C1717" s="4108" t="inlineStr">
        <is>
          <t>135792468</t>
        </is>
      </c>
      <c r="D1717" s="4108" t="inlineStr">
        <is>
          <t>202109</t>
        </is>
      </c>
      <c r="E1717" s="4108" t="inlineStr">
        <is>
          <t>3,000000000000</t>
        </is>
      </c>
    </row>
    <row outlineLevel="0" r="1718">
      <c r="A1718" s="4108" t="inlineStr">
        <is>
          <t>135792468202109271000</t>
        </is>
      </c>
      <c r="B1718" s="4108" t="inlineStr">
        <is>
          <t>271000</t>
        </is>
      </c>
      <c r="C1718" s="4108" t="inlineStr">
        <is>
          <t>135792468</t>
        </is>
      </c>
      <c r="D1718" s="4108" t="inlineStr">
        <is>
          <t>202109</t>
        </is>
      </c>
      <c r="E1718" s="4108" t="inlineStr">
        <is>
          <t>3,000000000000</t>
        </is>
      </c>
    </row>
    <row outlineLevel="0" r="1719">
      <c r="A1719" s="4108" t="inlineStr">
        <is>
          <t>135792468202109272001</t>
        </is>
      </c>
      <c r="B1719" s="4108" t="inlineStr">
        <is>
          <t>272001</t>
        </is>
      </c>
      <c r="C1719" s="4108" t="inlineStr">
        <is>
          <t>135792468</t>
        </is>
      </c>
      <c r="D1719" s="4108" t="inlineStr">
        <is>
          <t>202109</t>
        </is>
      </c>
      <c r="E1719" s="4108" t="inlineStr">
        <is>
          <t>3,000000000000</t>
        </is>
      </c>
    </row>
    <row outlineLevel="0" r="1720">
      <c r="A1720" s="4108" t="inlineStr">
        <is>
          <t>135792468202109272500</t>
        </is>
      </c>
      <c r="B1720" s="4108" t="inlineStr">
        <is>
          <t>272500</t>
        </is>
      </c>
      <c r="C1720" s="4108" t="inlineStr">
        <is>
          <t>135792468</t>
        </is>
      </c>
      <c r="D1720" s="4108" t="inlineStr">
        <is>
          <t>202109</t>
        </is>
      </c>
      <c r="E1720" s="4108" t="inlineStr">
        <is>
          <t>3,000000000000</t>
        </is>
      </c>
    </row>
    <row outlineLevel="0" r="1721">
      <c r="A1721" s="4108" t="inlineStr">
        <is>
          <t>135792468202109272501</t>
        </is>
      </c>
      <c r="B1721" s="4108" t="inlineStr">
        <is>
          <t>272501</t>
        </is>
      </c>
      <c r="C1721" s="4108" t="inlineStr">
        <is>
          <t>135792468</t>
        </is>
      </c>
      <c r="D1721" s="4108" t="inlineStr">
        <is>
          <t>202109</t>
        </is>
      </c>
      <c r="E1721" s="4108" t="inlineStr">
        <is>
          <t>3,000000000000</t>
        </is>
      </c>
    </row>
    <row outlineLevel="0" r="1722">
      <c r="A1722" s="4108" t="inlineStr">
        <is>
          <t>135792468202109279500</t>
        </is>
      </c>
      <c r="B1722" s="4108" t="inlineStr">
        <is>
          <t>279500</t>
        </is>
      </c>
      <c r="C1722" s="4108" t="inlineStr">
        <is>
          <t>135792468</t>
        </is>
      </c>
      <c r="D1722" s="4108" t="inlineStr">
        <is>
          <t>202109</t>
        </is>
      </c>
      <c r="E1722" s="4108" t="inlineStr">
        <is>
          <t>3,000000000000</t>
        </is>
      </c>
    </row>
    <row outlineLevel="0" r="1723">
      <c r="A1723" s="4108" t="inlineStr">
        <is>
          <t>135792468202109279501</t>
        </is>
      </c>
      <c r="B1723" s="4108" t="inlineStr">
        <is>
          <t>279501</t>
        </is>
      </c>
      <c r="C1723" s="4108" t="inlineStr">
        <is>
          <t>135792468</t>
        </is>
      </c>
      <c r="D1723" s="4108" t="inlineStr">
        <is>
          <t>202109</t>
        </is>
      </c>
      <c r="E1723" s="4108" t="inlineStr">
        <is>
          <t>6,000000000000</t>
        </is>
      </c>
    </row>
    <row outlineLevel="0" r="1724">
      <c r="A1724" s="4108" t="inlineStr">
        <is>
          <t>135792468202109281000</t>
        </is>
      </c>
      <c r="B1724" s="4108" t="inlineStr">
        <is>
          <t>281000</t>
        </is>
      </c>
      <c r="C1724" s="4108" t="inlineStr">
        <is>
          <t>135792468</t>
        </is>
      </c>
      <c r="D1724" s="4108" t="inlineStr">
        <is>
          <t>202109</t>
        </is>
      </c>
      <c r="E1724" s="4108" t="inlineStr">
        <is>
          <t>0,000000000000</t>
        </is>
      </c>
    </row>
    <row outlineLevel="0" r="1725">
      <c r="A1725" s="4108" t="inlineStr">
        <is>
          <t>135792468202109282500</t>
        </is>
      </c>
      <c r="B1725" s="4108" t="inlineStr">
        <is>
          <t>282500</t>
        </is>
      </c>
      <c r="C1725" s="4108" t="inlineStr">
        <is>
          <t>135792468</t>
        </is>
      </c>
      <c r="D1725" s="4108" t="inlineStr">
        <is>
          <t>202109</t>
        </is>
      </c>
      <c r="E1725" s="4108" t="inlineStr">
        <is>
          <t>3,000000000000</t>
        </is>
      </c>
    </row>
    <row outlineLevel="0" r="1726">
      <c r="A1726" s="4108" t="inlineStr">
        <is>
          <t>135792468202109282000</t>
        </is>
      </c>
      <c r="B1726" s="4108" t="inlineStr">
        <is>
          <t>282000</t>
        </is>
      </c>
      <c r="C1726" s="4108" t="inlineStr">
        <is>
          <t>135792468</t>
        </is>
      </c>
      <c r="D1726" s="4108" t="inlineStr">
        <is>
          <t>202109</t>
        </is>
      </c>
      <c r="E1726" s="4108" t="inlineStr">
        <is>
          <t>3,000000000000</t>
        </is>
      </c>
    </row>
    <row outlineLevel="0" r="1727">
      <c r="A1727" s="4108" t="inlineStr">
        <is>
          <t>135792468202109284000</t>
        </is>
      </c>
      <c r="B1727" s="4108" t="inlineStr">
        <is>
          <t>284000</t>
        </is>
      </c>
      <c r="C1727" s="4108" t="inlineStr">
        <is>
          <t>135792468</t>
        </is>
      </c>
      <c r="D1727" s="4108" t="inlineStr">
        <is>
          <t>202109</t>
        </is>
      </c>
      <c r="E1727" s="4108" t="inlineStr">
        <is>
          <t>3,000000000000</t>
        </is>
      </c>
    </row>
    <row outlineLevel="0" r="1728">
      <c r="A1728" s="4108" t="inlineStr">
        <is>
          <t>135792468202109289500</t>
        </is>
      </c>
      <c r="B1728" s="4108" t="inlineStr">
        <is>
          <t>289500</t>
        </is>
      </c>
      <c r="C1728" s="4108" t="inlineStr">
        <is>
          <t>135792468</t>
        </is>
      </c>
      <c r="D1728" s="4108" t="inlineStr">
        <is>
          <t>202109</t>
        </is>
      </c>
      <c r="E1728" s="4108" t="inlineStr">
        <is>
          <t>6,000000000000</t>
        </is>
      </c>
    </row>
    <row outlineLevel="0" r="1729">
      <c r="A1729" s="4108" t="inlineStr">
        <is>
          <t>135792468202109290501</t>
        </is>
      </c>
      <c r="B1729" s="4108" t="inlineStr">
        <is>
          <t>290501</t>
        </is>
      </c>
      <c r="C1729" s="4108" t="inlineStr">
        <is>
          <t>135792468</t>
        </is>
      </c>
      <c r="D1729" s="4108" t="inlineStr">
        <is>
          <t>202109</t>
        </is>
      </c>
      <c r="E1729" s="4108" t="inlineStr">
        <is>
          <t>0,000000000000</t>
        </is>
      </c>
    </row>
    <row outlineLevel="0" r="1730">
      <c r="A1730" s="4108" t="inlineStr">
        <is>
          <t>135792468202109291000</t>
        </is>
      </c>
      <c r="B1730" s="4108" t="inlineStr">
        <is>
          <t>291000</t>
        </is>
      </c>
      <c r="C1730" s="4108" t="inlineStr">
        <is>
          <t>135792468</t>
        </is>
      </c>
      <c r="D1730" s="4108" t="inlineStr">
        <is>
          <t>202109</t>
        </is>
      </c>
      <c r="E1730" s="4108" t="inlineStr">
        <is>
          <t>0,000000000000</t>
        </is>
      </c>
    </row>
    <row outlineLevel="0" r="1731">
      <c r="A1731" s="4108" t="inlineStr">
        <is>
          <t>135792468202109291501</t>
        </is>
      </c>
      <c r="B1731" s="4108" t="inlineStr">
        <is>
          <t>291501</t>
        </is>
      </c>
      <c r="C1731" s="4108" t="inlineStr">
        <is>
          <t>135792468</t>
        </is>
      </c>
      <c r="D1731" s="4108" t="inlineStr">
        <is>
          <t>202109</t>
        </is>
      </c>
      <c r="E1731" s="4108" t="inlineStr">
        <is>
          <t>0,000000000000</t>
        </is>
      </c>
    </row>
    <row outlineLevel="0" r="1732">
      <c r="A1732" s="4108" t="inlineStr">
        <is>
          <t>135792468202109291991</t>
        </is>
      </c>
      <c r="B1732" s="4108" t="inlineStr">
        <is>
          <t>291991</t>
        </is>
      </c>
      <c r="C1732" s="4108" t="inlineStr">
        <is>
          <t>135792468</t>
        </is>
      </c>
      <c r="D1732" s="4108" t="inlineStr">
        <is>
          <t>202109</t>
        </is>
      </c>
      <c r="E1732" s="4108" t="inlineStr">
        <is>
          <t>0,000000000000</t>
        </is>
      </c>
    </row>
    <row outlineLevel="0" r="1733">
      <c r="A1733" s="4108" t="inlineStr">
        <is>
          <t>135792468202109292001</t>
        </is>
      </c>
      <c r="B1733" s="4108" t="inlineStr">
        <is>
          <t>292001</t>
        </is>
      </c>
      <c r="C1733" s="4108" t="inlineStr">
        <is>
          <t>135792468</t>
        </is>
      </c>
      <c r="D1733" s="4108" t="inlineStr">
        <is>
          <t>202109</t>
        </is>
      </c>
      <c r="E1733" s="4108" t="inlineStr">
        <is>
          <t>3,000000000000</t>
        </is>
      </c>
    </row>
    <row outlineLevel="0" r="1734">
      <c r="A1734" s="4108" t="inlineStr">
        <is>
          <t>135792468202109292000</t>
        </is>
      </c>
      <c r="B1734" s="4108" t="inlineStr">
        <is>
          <t>292000</t>
        </is>
      </c>
      <c r="C1734" s="4108" t="inlineStr">
        <is>
          <t>135792468</t>
        </is>
      </c>
      <c r="D1734" s="4108" t="inlineStr">
        <is>
          <t>202109</t>
        </is>
      </c>
      <c r="E1734" s="4108" t="inlineStr">
        <is>
          <t>0,000000000000</t>
        </is>
      </c>
    </row>
    <row outlineLevel="0" r="1735">
      <c r="A1735" s="4108" t="inlineStr">
        <is>
          <t>135792468202109293000</t>
        </is>
      </c>
      <c r="B1735" s="4108" t="inlineStr">
        <is>
          <t>293000</t>
        </is>
      </c>
      <c r="C1735" s="4108" t="inlineStr">
        <is>
          <t>135792468</t>
        </is>
      </c>
      <c r="D1735" s="4108" t="inlineStr">
        <is>
          <t>202109</t>
        </is>
      </c>
      <c r="E1735" s="4108" t="inlineStr">
        <is>
          <t>0,000000000000</t>
        </is>
      </c>
    </row>
    <row outlineLevel="0" r="1736">
      <c r="A1736" s="4108" t="inlineStr">
        <is>
          <t>135792468202109294000</t>
        </is>
      </c>
      <c r="B1736" s="4108" t="inlineStr">
        <is>
          <t>294000</t>
        </is>
      </c>
      <c r="C1736" s="4108" t="inlineStr">
        <is>
          <t>135792468</t>
        </is>
      </c>
      <c r="D1736" s="4108" t="inlineStr">
        <is>
          <t>202109</t>
        </is>
      </c>
      <c r="E1736" s="4108" t="inlineStr">
        <is>
          <t>0,000000000000</t>
        </is>
      </c>
    </row>
    <row outlineLevel="0" r="1737">
      <c r="A1737" s="4108" t="inlineStr">
        <is>
          <t>135792468202109299501</t>
        </is>
      </c>
      <c r="B1737" s="4108" t="inlineStr">
        <is>
          <t>299501</t>
        </is>
      </c>
      <c r="C1737" s="4108" t="inlineStr">
        <is>
          <t>135792468</t>
        </is>
      </c>
      <c r="D1737" s="4108" t="inlineStr">
        <is>
          <t>202109</t>
        </is>
      </c>
      <c r="E1737" s="4108" t="inlineStr">
        <is>
          <t>3,000000000000</t>
        </is>
      </c>
    </row>
    <row outlineLevel="0" r="1738">
      <c r="A1738" s="4108" t="inlineStr">
        <is>
          <t>135792468202109310500</t>
        </is>
      </c>
      <c r="B1738" s="4108" t="inlineStr">
        <is>
          <t>310500</t>
        </is>
      </c>
      <c r="C1738" s="4108" t="inlineStr">
        <is>
          <t>135792468</t>
        </is>
      </c>
      <c r="D1738" s="4108" t="inlineStr">
        <is>
          <t>202109</t>
        </is>
      </c>
      <c r="E1738" s="4108" t="inlineStr">
        <is>
          <t>0,000000000000</t>
        </is>
      </c>
    </row>
    <row outlineLevel="0" r="1739">
      <c r="A1739" s="4108" t="inlineStr">
        <is>
          <t>135792468202109311500</t>
        </is>
      </c>
      <c r="B1739" s="4108" t="inlineStr">
        <is>
          <t>311500</t>
        </is>
      </c>
      <c r="C1739" s="4108" t="inlineStr">
        <is>
          <t>135792468</t>
        </is>
      </c>
      <c r="D1739" s="4108" t="inlineStr">
        <is>
          <t>202109</t>
        </is>
      </c>
      <c r="E1739" s="4108" t="inlineStr">
        <is>
          <t>3,000000000000</t>
        </is>
      </c>
    </row>
    <row outlineLevel="0" r="1740">
      <c r="A1740" s="4108" t="inlineStr">
        <is>
          <t>135792468202109312000</t>
        </is>
      </c>
      <c r="B1740" s="4108" t="inlineStr">
        <is>
          <t>312000</t>
        </is>
      </c>
      <c r="C1740" s="4108" t="inlineStr">
        <is>
          <t>135792468</t>
        </is>
      </c>
      <c r="D1740" s="4108" t="inlineStr">
        <is>
          <t>202109</t>
        </is>
      </c>
      <c r="E1740" s="4108" t="inlineStr">
        <is>
          <t>3,000000000000</t>
        </is>
      </c>
    </row>
    <row outlineLevel="0" r="1741">
      <c r="A1741" s="4108" t="inlineStr">
        <is>
          <t>135792468202109313000</t>
        </is>
      </c>
      <c r="B1741" s="4108" t="inlineStr">
        <is>
          <t>313000</t>
        </is>
      </c>
      <c r="C1741" s="4108" t="inlineStr">
        <is>
          <t>135792468</t>
        </is>
      </c>
      <c r="D1741" s="4108" t="inlineStr">
        <is>
          <t>202109</t>
        </is>
      </c>
      <c r="E1741" s="4108" t="inlineStr">
        <is>
          <t>6,000000000000</t>
        </is>
      </c>
    </row>
    <row outlineLevel="0" r="1742">
      <c r="A1742" s="4108" t="inlineStr">
        <is>
          <t>135792468202109312500</t>
        </is>
      </c>
      <c r="B1742" s="4108" t="inlineStr">
        <is>
          <t>312500</t>
        </is>
      </c>
      <c r="C1742" s="4108" t="inlineStr">
        <is>
          <t>135792468</t>
        </is>
      </c>
      <c r="D1742" s="4108" t="inlineStr">
        <is>
          <t>202109</t>
        </is>
      </c>
      <c r="E1742" s="4108" t="inlineStr">
        <is>
          <t>3,000000000000</t>
        </is>
      </c>
    </row>
    <row outlineLevel="0" r="1743">
      <c r="A1743" s="4108" t="inlineStr">
        <is>
          <t>135792468202109313500</t>
        </is>
      </c>
      <c r="B1743" s="4108" t="inlineStr">
        <is>
          <t>313500</t>
        </is>
      </c>
      <c r="C1743" s="4108" t="inlineStr">
        <is>
          <t>135792468</t>
        </is>
      </c>
      <c r="D1743" s="4108" t="inlineStr">
        <is>
          <t>202109</t>
        </is>
      </c>
      <c r="E1743" s="4108" t="inlineStr">
        <is>
          <t>6,000000000000</t>
        </is>
      </c>
    </row>
    <row outlineLevel="0" r="1744">
      <c r="A1744" s="4108" t="inlineStr">
        <is>
          <t>135792468202109314000</t>
        </is>
      </c>
      <c r="B1744" s="4108" t="inlineStr">
        <is>
          <t>314000</t>
        </is>
      </c>
      <c r="C1744" s="4108" t="inlineStr">
        <is>
          <t>135792468</t>
        </is>
      </c>
      <c r="D1744" s="4108" t="inlineStr">
        <is>
          <t>202109</t>
        </is>
      </c>
      <c r="E1744" s="4108" t="inlineStr">
        <is>
          <t>6,000000000000</t>
        </is>
      </c>
    </row>
    <row outlineLevel="0" r="1745">
      <c r="A1745" s="4108" t="inlineStr">
        <is>
          <t>135792468202109320500</t>
        </is>
      </c>
      <c r="B1745" s="4108" t="inlineStr">
        <is>
          <t>320500</t>
        </is>
      </c>
      <c r="C1745" s="4108" t="inlineStr">
        <is>
          <t>135792468</t>
        </is>
      </c>
      <c r="D1745" s="4108" t="inlineStr">
        <is>
          <t>202109</t>
        </is>
      </c>
      <c r="E1745" s="4108" t="inlineStr">
        <is>
          <t>9,000000000000</t>
        </is>
      </c>
    </row>
    <row outlineLevel="0" r="1746">
      <c r="A1746" s="4108" t="inlineStr">
        <is>
          <t>135792468202109321000</t>
        </is>
      </c>
      <c r="B1746" s="4108" t="inlineStr">
        <is>
          <t>321000</t>
        </is>
      </c>
      <c r="C1746" s="4108" t="inlineStr">
        <is>
          <t>135792468</t>
        </is>
      </c>
      <c r="D1746" s="4108" t="inlineStr">
        <is>
          <t>202109</t>
        </is>
      </c>
      <c r="E1746" s="4108" t="inlineStr">
        <is>
          <t>9,000000000000</t>
        </is>
      </c>
    </row>
    <row outlineLevel="0" r="1747">
      <c r="A1747" s="4108" t="inlineStr">
        <is>
          <t>135792468202109321500</t>
        </is>
      </c>
      <c r="B1747" s="4108" t="inlineStr">
        <is>
          <t>321500</t>
        </is>
      </c>
      <c r="C1747" s="4108" t="inlineStr">
        <is>
          <t>135792468</t>
        </is>
      </c>
      <c r="D1747" s="4108" t="inlineStr">
        <is>
          <t>202109</t>
        </is>
      </c>
      <c r="E1747" s="4108" t="inlineStr">
        <is>
          <t>9,000000000000</t>
        </is>
      </c>
    </row>
    <row outlineLevel="0" r="1748">
      <c r="A1748" s="4108" t="inlineStr">
        <is>
          <t>135792468202109322000</t>
        </is>
      </c>
      <c r="B1748" s="4108" t="inlineStr">
        <is>
          <t>322000</t>
        </is>
      </c>
      <c r="C1748" s="4108" t="inlineStr">
        <is>
          <t>135792468</t>
        </is>
      </c>
      <c r="D1748" s="4108" t="inlineStr">
        <is>
          <t>202109</t>
        </is>
      </c>
      <c r="E1748" s="4108" t="inlineStr">
        <is>
          <t>12,000000000000</t>
        </is>
      </c>
    </row>
    <row outlineLevel="0" r="1749">
      <c r="A1749" s="4108" t="inlineStr">
        <is>
          <t>135792468202109330500</t>
        </is>
      </c>
      <c r="B1749" s="4108" t="inlineStr">
        <is>
          <t>330500</t>
        </is>
      </c>
      <c r="C1749" s="4108" t="inlineStr">
        <is>
          <t>135792468</t>
        </is>
      </c>
      <c r="D1749" s="4108" t="inlineStr">
        <is>
          <t>202109</t>
        </is>
      </c>
      <c r="E1749" s="4108" t="inlineStr">
        <is>
          <t>-2,000000000000</t>
        </is>
      </c>
    </row>
    <row outlineLevel="0" r="1750">
      <c r="A1750" s="4108" t="inlineStr">
        <is>
          <t>135792468202109322500</t>
        </is>
      </c>
      <c r="B1750" s="4108" t="inlineStr">
        <is>
          <t>322500</t>
        </is>
      </c>
      <c r="C1750" s="4108" t="inlineStr">
        <is>
          <t>135792468</t>
        </is>
      </c>
      <c r="D1750" s="4108" t="inlineStr">
        <is>
          <t>202109</t>
        </is>
      </c>
      <c r="E1750" s="4108" t="inlineStr">
        <is>
          <t>12,000000000000</t>
        </is>
      </c>
    </row>
    <row outlineLevel="0" r="1751">
      <c r="A1751" s="4108" t="inlineStr">
        <is>
          <t>135792468202109331000</t>
        </is>
      </c>
      <c r="B1751" s="4108" t="inlineStr">
        <is>
          <t>331000</t>
        </is>
      </c>
      <c r="C1751" s="4108" t="inlineStr">
        <is>
          <t>135792468</t>
        </is>
      </c>
      <c r="D1751" s="4108" t="inlineStr">
        <is>
          <t>202109</t>
        </is>
      </c>
      <c r="E1751" s="4108" t="inlineStr">
        <is>
          <t>-2,000000000000</t>
        </is>
      </c>
    </row>
    <row outlineLevel="0" r="1752">
      <c r="A1752" s="4108" t="inlineStr">
        <is>
          <t>135792468202109331500</t>
        </is>
      </c>
      <c r="B1752" s="4108" t="inlineStr">
        <is>
          <t>331500</t>
        </is>
      </c>
      <c r="C1752" s="4108" t="inlineStr">
        <is>
          <t>135792468</t>
        </is>
      </c>
      <c r="D1752" s="4108" t="inlineStr">
        <is>
          <t>202109</t>
        </is>
      </c>
      <c r="E1752" s="4108" t="inlineStr">
        <is>
          <t>-2,000000000000</t>
        </is>
      </c>
    </row>
    <row outlineLevel="0" r="1753">
      <c r="A1753" s="4108" t="inlineStr">
        <is>
          <t>135792468202109340505</t>
        </is>
      </c>
      <c r="B1753" s="4108" t="inlineStr">
        <is>
          <t>340505</t>
        </is>
      </c>
      <c r="C1753" s="4108" t="inlineStr">
        <is>
          <t>135792468</t>
        </is>
      </c>
      <c r="D1753" s="4108" t="inlineStr">
        <is>
          <t>202109</t>
        </is>
      </c>
      <c r="E1753" s="4108" t="inlineStr">
        <is>
          <t>15,000000000000</t>
        </is>
      </c>
    </row>
    <row outlineLevel="0" r="1754">
      <c r="A1754" s="4108" t="inlineStr">
        <is>
          <t>135792468202109340515</t>
        </is>
      </c>
      <c r="B1754" s="4108" t="inlineStr">
        <is>
          <t>340515</t>
        </is>
      </c>
      <c r="C1754" s="4108" t="inlineStr">
        <is>
          <t>135792468</t>
        </is>
      </c>
      <c r="D1754" s="4108" t="inlineStr">
        <is>
          <t>202109</t>
        </is>
      </c>
      <c r="E1754" s="4108" t="inlineStr">
        <is>
          <t>18,000000000000</t>
        </is>
      </c>
    </row>
    <row outlineLevel="0" r="1755">
      <c r="A1755" s="4108" t="inlineStr">
        <is>
          <t>135792468202109349500</t>
        </is>
      </c>
      <c r="B1755" s="4108" t="inlineStr">
        <is>
          <t>349500</t>
        </is>
      </c>
      <c r="C1755" s="4108" t="inlineStr">
        <is>
          <t>135792468</t>
        </is>
      </c>
      <c r="D1755" s="4108" t="inlineStr">
        <is>
          <t>202109</t>
        </is>
      </c>
      <c r="E1755" s="4108" t="inlineStr">
        <is>
          <t>18,000000000000</t>
        </is>
      </c>
    </row>
    <row outlineLevel="0" r="1756">
      <c r="A1756" s="4108" t="inlineStr">
        <is>
          <t>135792468202109410500</t>
        </is>
      </c>
      <c r="B1756" s="4108" t="inlineStr">
        <is>
          <t>410500</t>
        </is>
      </c>
      <c r="C1756" s="4108" t="inlineStr">
        <is>
          <t>135792468</t>
        </is>
      </c>
      <c r="D1756" s="4108" t="inlineStr">
        <is>
          <t>202109</t>
        </is>
      </c>
      <c r="E1756" s="4108" t="inlineStr">
        <is>
          <t>5001,050000000000</t>
        </is>
      </c>
    </row>
    <row outlineLevel="0" r="1757">
      <c r="A1757" s="4108" t="inlineStr">
        <is>
          <t>135792468202109420500</t>
        </is>
      </c>
      <c r="B1757" s="4108" t="inlineStr">
        <is>
          <t>420500</t>
        </is>
      </c>
      <c r="C1757" s="4108" t="inlineStr">
        <is>
          <t>135792468</t>
        </is>
      </c>
      <c r="D1757" s="4108" t="inlineStr">
        <is>
          <t>202109</t>
        </is>
      </c>
      <c r="E1757" s="4108" t="inlineStr">
        <is>
          <t>3,000000000000</t>
        </is>
      </c>
    </row>
    <row outlineLevel="0" r="1758">
      <c r="A1758" s="4108" t="inlineStr">
        <is>
          <t>135792468202109411000</t>
        </is>
      </c>
      <c r="B1758" s="4108" t="inlineStr">
        <is>
          <t>411000</t>
        </is>
      </c>
      <c r="C1758" s="4108" t="inlineStr">
        <is>
          <t>135792468</t>
        </is>
      </c>
      <c r="D1758" s="4108" t="inlineStr">
        <is>
          <t>202109</t>
        </is>
      </c>
      <c r="E1758" s="4108" t="inlineStr">
        <is>
          <t>0,000000000000</t>
        </is>
      </c>
    </row>
    <row outlineLevel="0" r="1759">
      <c r="A1759" s="4108" t="inlineStr">
        <is>
          <t>135792468202109421000</t>
        </is>
      </c>
      <c r="B1759" s="4108" t="inlineStr">
        <is>
          <t>421000</t>
        </is>
      </c>
      <c r="C1759" s="4108" t="inlineStr">
        <is>
          <t>135792468</t>
        </is>
      </c>
      <c r="D1759" s="4108" t="inlineStr">
        <is>
          <t>202109</t>
        </is>
      </c>
      <c r="E1759" s="4108" t="inlineStr">
        <is>
          <t>0,000000000000</t>
        </is>
      </c>
    </row>
    <row outlineLevel="0" r="1760">
      <c r="A1760" s="4108" t="inlineStr">
        <is>
          <t>135792468202109421020</t>
        </is>
      </c>
      <c r="B1760" s="4108" t="inlineStr">
        <is>
          <t>421020</t>
        </is>
      </c>
      <c r="C1760" s="4108" t="inlineStr">
        <is>
          <t>135792468</t>
        </is>
      </c>
      <c r="D1760" s="4108" t="inlineStr">
        <is>
          <t>202109</t>
        </is>
      </c>
      <c r="E1760" s="4108" t="inlineStr">
        <is>
          <t>3,000000000000</t>
        </is>
      </c>
    </row>
    <row outlineLevel="0" r="1761">
      <c r="A1761" s="4108" t="inlineStr">
        <is>
          <t>135792468202109421040</t>
        </is>
      </c>
      <c r="B1761" s="4108" t="inlineStr">
        <is>
          <t>421040</t>
        </is>
      </c>
      <c r="C1761" s="4108" t="inlineStr">
        <is>
          <t>135792468</t>
        </is>
      </c>
      <c r="D1761" s="4108" t="inlineStr">
        <is>
          <t>202109</t>
        </is>
      </c>
      <c r="E1761" s="4108" t="inlineStr">
        <is>
          <t>3,000000000000</t>
        </is>
      </c>
    </row>
    <row outlineLevel="0" r="1762">
      <c r="A1762" s="4108" t="inlineStr">
        <is>
          <t>135792468202109421500</t>
        </is>
      </c>
      <c r="B1762" s="4108" t="inlineStr">
        <is>
          <t>421500</t>
        </is>
      </c>
      <c r="C1762" s="4108" t="inlineStr">
        <is>
          <t>135792468</t>
        </is>
      </c>
      <c r="D1762" s="4108" t="inlineStr">
        <is>
          <t>202109</t>
        </is>
      </c>
      <c r="E1762" s="4108" t="inlineStr">
        <is>
          <t>6,000000000000</t>
        </is>
      </c>
    </row>
    <row outlineLevel="0" r="1763">
      <c r="A1763" s="4108" t="inlineStr">
        <is>
          <t>135792468202109422000</t>
        </is>
      </c>
      <c r="B1763" s="4108" t="inlineStr">
        <is>
          <t>422000</t>
        </is>
      </c>
      <c r="C1763" s="4108" t="inlineStr">
        <is>
          <t>135792468</t>
        </is>
      </c>
      <c r="D1763" s="4108" t="inlineStr">
        <is>
          <t>202109</t>
        </is>
      </c>
      <c r="E1763" s="4108" t="inlineStr">
        <is>
          <t>6,000000000000</t>
        </is>
      </c>
    </row>
    <row outlineLevel="0" r="1764">
      <c r="A1764" s="4108" t="inlineStr">
        <is>
          <t>135792468202109422500</t>
        </is>
      </c>
      <c r="B1764" s="4108" t="inlineStr">
        <is>
          <t>422500</t>
        </is>
      </c>
      <c r="C1764" s="4108" t="inlineStr">
        <is>
          <t>135792468</t>
        </is>
      </c>
      <c r="D1764" s="4108" t="inlineStr">
        <is>
          <t>202109</t>
        </is>
      </c>
      <c r="E1764" s="4108" t="inlineStr">
        <is>
          <t>6,000000000000</t>
        </is>
      </c>
    </row>
    <row outlineLevel="0" r="1765">
      <c r="A1765" s="4108" t="inlineStr">
        <is>
          <t>135792468202109424000</t>
        </is>
      </c>
      <c r="B1765" s="4108" t="inlineStr">
        <is>
          <t>424000</t>
        </is>
      </c>
      <c r="C1765" s="4108" t="inlineStr">
        <is>
          <t>135792468</t>
        </is>
      </c>
      <c r="D1765" s="4108" t="inlineStr">
        <is>
          <t>202109</t>
        </is>
      </c>
      <c r="E1765" s="4108" t="inlineStr">
        <is>
          <t>9,000000000000</t>
        </is>
      </c>
    </row>
    <row outlineLevel="0" r="1766">
      <c r="A1766" s="4108" t="inlineStr">
        <is>
          <t>135792468202109423500</t>
        </is>
      </c>
      <c r="B1766" s="4108" t="inlineStr">
        <is>
          <t>423500</t>
        </is>
      </c>
      <c r="C1766" s="4108" t="inlineStr">
        <is>
          <t>135792468</t>
        </is>
      </c>
      <c r="D1766" s="4108" t="inlineStr">
        <is>
          <t>202109</t>
        </is>
      </c>
      <c r="E1766" s="4108" t="inlineStr">
        <is>
          <t>9,000000000000</t>
        </is>
      </c>
    </row>
    <row outlineLevel="0" r="1767">
      <c r="A1767" s="4108" t="inlineStr">
        <is>
          <t>135792468202109425000</t>
        </is>
      </c>
      <c r="B1767" s="4108" t="inlineStr">
        <is>
          <t>425000</t>
        </is>
      </c>
      <c r="C1767" s="4108" t="inlineStr">
        <is>
          <t>135792468</t>
        </is>
      </c>
      <c r="D1767" s="4108" t="inlineStr">
        <is>
          <t>202109</t>
        </is>
      </c>
      <c r="E1767" s="4108" t="inlineStr">
        <is>
          <t>9,000000000000</t>
        </is>
      </c>
    </row>
    <row outlineLevel="0" r="1768">
      <c r="A1768" s="4108" t="inlineStr">
        <is>
          <t>135792468202109426500</t>
        </is>
      </c>
      <c r="B1768" s="4108" t="inlineStr">
        <is>
          <t>426500</t>
        </is>
      </c>
      <c r="C1768" s="4108" t="inlineStr">
        <is>
          <t>135792468</t>
        </is>
      </c>
      <c r="D1768" s="4108" t="inlineStr">
        <is>
          <t>202109</t>
        </is>
      </c>
      <c r="E1768" s="4108" t="inlineStr">
        <is>
          <t>12,000000000000</t>
        </is>
      </c>
    </row>
    <row outlineLevel="0" r="1769">
      <c r="A1769" s="4108" t="inlineStr">
        <is>
          <t>135792468202109429500</t>
        </is>
      </c>
      <c r="B1769" s="4108" t="inlineStr">
        <is>
          <t>429500</t>
        </is>
      </c>
      <c r="C1769" s="4108" t="inlineStr">
        <is>
          <t>135792468</t>
        </is>
      </c>
      <c r="D1769" s="4108" t="inlineStr">
        <is>
          <t>202109</t>
        </is>
      </c>
      <c r="E1769" s="4108" t="inlineStr">
        <is>
          <t>12,000000000000</t>
        </is>
      </c>
    </row>
    <row outlineLevel="0" r="1770">
      <c r="A1770" s="4108" t="inlineStr">
        <is>
          <t>135792468202109510500</t>
        </is>
      </c>
      <c r="B1770" s="4108" t="inlineStr">
        <is>
          <t>510500</t>
        </is>
      </c>
      <c r="C1770" s="4108" t="inlineStr">
        <is>
          <t>135792468</t>
        </is>
      </c>
      <c r="D1770" s="4108" t="inlineStr">
        <is>
          <t>202109</t>
        </is>
      </c>
      <c r="E1770" s="4108" t="inlineStr">
        <is>
          <t>0,000000000000</t>
        </is>
      </c>
    </row>
    <row outlineLevel="0" r="1771">
      <c r="A1771" s="4108" t="inlineStr">
        <is>
          <t>135792468202109511000</t>
        </is>
      </c>
      <c r="B1771" s="4108" t="inlineStr">
        <is>
          <t>511000</t>
        </is>
      </c>
      <c r="C1771" s="4108" t="inlineStr">
        <is>
          <t>135792468</t>
        </is>
      </c>
      <c r="D1771" s="4108" t="inlineStr">
        <is>
          <t>202109</t>
        </is>
      </c>
      <c r="E1771" s="4108" t="inlineStr">
        <is>
          <t>3,000000000000</t>
        </is>
      </c>
    </row>
    <row outlineLevel="0" r="1772">
      <c r="A1772" s="4108" t="inlineStr">
        <is>
          <t>135792468202109511500</t>
        </is>
      </c>
      <c r="B1772" s="4108" t="inlineStr">
        <is>
          <t>511500</t>
        </is>
      </c>
      <c r="C1772" s="4108" t="inlineStr">
        <is>
          <t>135792468</t>
        </is>
      </c>
      <c r="D1772" s="4108" t="inlineStr">
        <is>
          <t>202109</t>
        </is>
      </c>
      <c r="E1772" s="4108" t="inlineStr">
        <is>
          <t>3,000000000000</t>
        </is>
      </c>
    </row>
    <row outlineLevel="0" r="1773">
      <c r="A1773" s="4108" t="inlineStr">
        <is>
          <t>135792468202109512500</t>
        </is>
      </c>
      <c r="B1773" s="4108" t="inlineStr">
        <is>
          <t>512500</t>
        </is>
      </c>
      <c r="C1773" s="4108" t="inlineStr">
        <is>
          <t>135792468</t>
        </is>
      </c>
      <c r="D1773" s="4108" t="inlineStr">
        <is>
          <t>202109</t>
        </is>
      </c>
      <c r="E1773" s="4108" t="inlineStr">
        <is>
          <t>6,000000000000</t>
        </is>
      </c>
    </row>
    <row outlineLevel="0" r="1774">
      <c r="A1774" s="4108" t="inlineStr">
        <is>
          <t>135792468202109512000</t>
        </is>
      </c>
      <c r="B1774" s="4108" t="inlineStr">
        <is>
          <t>512000</t>
        </is>
      </c>
      <c r="C1774" s="4108" t="inlineStr">
        <is>
          <t>135792468</t>
        </is>
      </c>
      <c r="D1774" s="4108" t="inlineStr">
        <is>
          <t>202109</t>
        </is>
      </c>
      <c r="E1774" s="4108" t="inlineStr">
        <is>
          <t>3,000000000000</t>
        </is>
      </c>
    </row>
    <row outlineLevel="0" r="1775">
      <c r="A1775" s="4108" t="inlineStr">
        <is>
          <t>135792468202109513000</t>
        </is>
      </c>
      <c r="B1775" s="4108" t="inlineStr">
        <is>
          <t>513000</t>
        </is>
      </c>
      <c r="C1775" s="4108" t="inlineStr">
        <is>
          <t>135792468</t>
        </is>
      </c>
      <c r="D1775" s="4108" t="inlineStr">
        <is>
          <t>202109</t>
        </is>
      </c>
      <c r="E1775" s="4108" t="inlineStr">
        <is>
          <t>6,000000000000</t>
        </is>
      </c>
    </row>
    <row outlineLevel="0" r="1776">
      <c r="A1776" s="4108" t="inlineStr">
        <is>
          <t>135792468202109513500</t>
        </is>
      </c>
      <c r="B1776" s="4108" t="inlineStr">
        <is>
          <t>513500</t>
        </is>
      </c>
      <c r="C1776" s="4108" t="inlineStr">
        <is>
          <t>135792468</t>
        </is>
      </c>
      <c r="D1776" s="4108" t="inlineStr">
        <is>
          <t>202109</t>
        </is>
      </c>
      <c r="E1776" s="4108" t="inlineStr">
        <is>
          <t>6,000000000000</t>
        </is>
      </c>
    </row>
    <row outlineLevel="0" r="1777">
      <c r="A1777" s="4108" t="inlineStr">
        <is>
          <t>135792468202109514000</t>
        </is>
      </c>
      <c r="B1777" s="4108" t="inlineStr">
        <is>
          <t>514000</t>
        </is>
      </c>
      <c r="C1777" s="4108" t="inlineStr">
        <is>
          <t>135792468</t>
        </is>
      </c>
      <c r="D1777" s="4108" t="inlineStr">
        <is>
          <t>202109</t>
        </is>
      </c>
      <c r="E1777" s="4108" t="inlineStr">
        <is>
          <t>9,000000000000</t>
        </is>
      </c>
    </row>
    <row outlineLevel="0" r="1778">
      <c r="A1778" s="4108" t="inlineStr">
        <is>
          <t>135792468202109514500</t>
        </is>
      </c>
      <c r="B1778" s="4108" t="inlineStr">
        <is>
          <t>514500</t>
        </is>
      </c>
      <c r="C1778" s="4108" t="inlineStr">
        <is>
          <t>135792468</t>
        </is>
      </c>
      <c r="D1778" s="4108" t="inlineStr">
        <is>
          <t>202109</t>
        </is>
      </c>
      <c r="E1778" s="4108" t="inlineStr">
        <is>
          <t>9,000000000000</t>
        </is>
      </c>
    </row>
    <row outlineLevel="0" r="1779">
      <c r="A1779" s="4108" t="inlineStr">
        <is>
          <t>135792468202109515000</t>
        </is>
      </c>
      <c r="B1779" s="4108" t="inlineStr">
        <is>
          <t>515000</t>
        </is>
      </c>
      <c r="C1779" s="4108" t="inlineStr">
        <is>
          <t>135792468</t>
        </is>
      </c>
      <c r="D1779" s="4108" t="inlineStr">
        <is>
          <t>202109</t>
        </is>
      </c>
      <c r="E1779" s="4108" t="inlineStr">
        <is>
          <t>9,000000000000</t>
        </is>
      </c>
    </row>
    <row outlineLevel="0" r="1780">
      <c r="A1780" s="4108" t="inlineStr">
        <is>
          <t>135792468202109515500</t>
        </is>
      </c>
      <c r="B1780" s="4108" t="inlineStr">
        <is>
          <t>515500</t>
        </is>
      </c>
      <c r="C1780" s="4108" t="inlineStr">
        <is>
          <t>135792468</t>
        </is>
      </c>
      <c r="D1780" s="4108" t="inlineStr">
        <is>
          <t>202109</t>
        </is>
      </c>
      <c r="E1780" s="4108" t="inlineStr">
        <is>
          <t>12,000000000000</t>
        </is>
      </c>
    </row>
    <row outlineLevel="0" r="1781">
      <c r="A1781" s="4108" t="inlineStr">
        <is>
          <t>135792468202109516500</t>
        </is>
      </c>
      <c r="B1781" s="4108" t="inlineStr">
        <is>
          <t>516500</t>
        </is>
      </c>
      <c r="C1781" s="4108" t="inlineStr">
        <is>
          <t>135792468</t>
        </is>
      </c>
      <c r="D1781" s="4108" t="inlineStr">
        <is>
          <t>202109</t>
        </is>
      </c>
      <c r="E1781" s="4108" t="inlineStr">
        <is>
          <t>15,000000000000</t>
        </is>
      </c>
    </row>
    <row outlineLevel="0" r="1782">
      <c r="A1782" s="4108" t="inlineStr">
        <is>
          <t>135792468202109516000</t>
        </is>
      </c>
      <c r="B1782" s="4108" t="inlineStr">
        <is>
          <t>516000</t>
        </is>
      </c>
      <c r="C1782" s="4108" t="inlineStr">
        <is>
          <t>135792468</t>
        </is>
      </c>
      <c r="D1782" s="4108" t="inlineStr">
        <is>
          <t>202109</t>
        </is>
      </c>
      <c r="E1782" s="4108" t="inlineStr">
        <is>
          <t>12,000000000000</t>
        </is>
      </c>
    </row>
    <row outlineLevel="0" r="1783">
      <c r="A1783" s="4108" t="inlineStr">
        <is>
          <t>135792468202109519500</t>
        </is>
      </c>
      <c r="B1783" s="4108" t="inlineStr">
        <is>
          <t>519500</t>
        </is>
      </c>
      <c r="C1783" s="4108" t="inlineStr">
        <is>
          <t>135792468</t>
        </is>
      </c>
      <c r="D1783" s="4108" t="inlineStr">
        <is>
          <t>202109</t>
        </is>
      </c>
      <c r="E1783" s="4108" t="inlineStr">
        <is>
          <t>12,000000000000</t>
        </is>
      </c>
    </row>
    <row outlineLevel="0" r="1784">
      <c r="A1784" s="4108" t="inlineStr">
        <is>
          <t>135792468202109519900</t>
        </is>
      </c>
      <c r="B1784" s="4108" t="inlineStr">
        <is>
          <t>519900</t>
        </is>
      </c>
      <c r="C1784" s="4108" t="inlineStr">
        <is>
          <t>135792468</t>
        </is>
      </c>
      <c r="D1784" s="4108" t="inlineStr">
        <is>
          <t>202109</t>
        </is>
      </c>
      <c r="E1784" s="4108" t="inlineStr">
        <is>
          <t>15,000000000000</t>
        </is>
      </c>
    </row>
    <row outlineLevel="0" r="1785">
      <c r="A1785" s="4108" t="inlineStr">
        <is>
          <t>135792468202109520500</t>
        </is>
      </c>
      <c r="B1785" s="4108" t="inlineStr">
        <is>
          <t>520500</t>
        </is>
      </c>
      <c r="C1785" s="4108" t="inlineStr">
        <is>
          <t>135792468</t>
        </is>
      </c>
      <c r="D1785" s="4108" t="inlineStr">
        <is>
          <t>202109</t>
        </is>
      </c>
      <c r="E1785" s="4108" t="inlineStr">
        <is>
          <t>0,000000000000</t>
        </is>
      </c>
    </row>
    <row outlineLevel="0" r="1786">
      <c r="A1786" s="4108" t="inlineStr">
        <is>
          <t>135792468202109521000</t>
        </is>
      </c>
      <c r="B1786" s="4108" t="inlineStr">
        <is>
          <t>521000</t>
        </is>
      </c>
      <c r="C1786" s="4108" t="inlineStr">
        <is>
          <t>135792468</t>
        </is>
      </c>
      <c r="D1786" s="4108" t="inlineStr">
        <is>
          <t>202109</t>
        </is>
      </c>
      <c r="E1786" s="4108" t="inlineStr">
        <is>
          <t>3,000000000000</t>
        </is>
      </c>
    </row>
    <row outlineLevel="0" r="1787">
      <c r="A1787" s="4108" t="inlineStr">
        <is>
          <t>135792468202109521500</t>
        </is>
      </c>
      <c r="B1787" s="4108" t="inlineStr">
        <is>
          <t>521500</t>
        </is>
      </c>
      <c r="C1787" s="4108" t="inlineStr">
        <is>
          <t>135792468</t>
        </is>
      </c>
      <c r="D1787" s="4108" t="inlineStr">
        <is>
          <t>202109</t>
        </is>
      </c>
      <c r="E1787" s="4108" t="inlineStr">
        <is>
          <t>3,000000000000</t>
        </is>
      </c>
    </row>
    <row outlineLevel="0" r="1788">
      <c r="A1788" s="4108" t="inlineStr">
        <is>
          <t>135792468202109522000</t>
        </is>
      </c>
      <c r="B1788" s="4108" t="inlineStr">
        <is>
          <t>522000</t>
        </is>
      </c>
      <c r="C1788" s="4108" t="inlineStr">
        <is>
          <t>135792468</t>
        </is>
      </c>
      <c r="D1788" s="4108" t="inlineStr">
        <is>
          <t>202109</t>
        </is>
      </c>
      <c r="E1788" s="4108" t="inlineStr">
        <is>
          <t>3,000000000000</t>
        </is>
      </c>
    </row>
    <row outlineLevel="0" r="1789">
      <c r="A1789" s="4108" t="inlineStr">
        <is>
          <t>135792468202109523000</t>
        </is>
      </c>
      <c r="B1789" s="4108" t="inlineStr">
        <is>
          <t>523000</t>
        </is>
      </c>
      <c r="C1789" s="4108" t="inlineStr">
        <is>
          <t>135792468</t>
        </is>
      </c>
      <c r="D1789" s="4108" t="inlineStr">
        <is>
          <t>202109</t>
        </is>
      </c>
      <c r="E1789" s="4108" t="inlineStr">
        <is>
          <t>6,000000000000</t>
        </is>
      </c>
    </row>
    <row outlineLevel="0" r="1790">
      <c r="A1790" s="4108" t="inlineStr">
        <is>
          <t>135792468202109522500</t>
        </is>
      </c>
      <c r="B1790" s="4108" t="inlineStr">
        <is>
          <t>522500</t>
        </is>
      </c>
      <c r="C1790" s="4108" t="inlineStr">
        <is>
          <t>135792468</t>
        </is>
      </c>
      <c r="D1790" s="4108" t="inlineStr">
        <is>
          <t>202109</t>
        </is>
      </c>
      <c r="E1790" s="4108" t="inlineStr">
        <is>
          <t>6,000000000000</t>
        </is>
      </c>
    </row>
    <row outlineLevel="0" r="1791">
      <c r="A1791" s="4108" t="inlineStr">
        <is>
          <t>135792468202109523500</t>
        </is>
      </c>
      <c r="B1791" s="4108" t="inlineStr">
        <is>
          <t>523500</t>
        </is>
      </c>
      <c r="C1791" s="4108" t="inlineStr">
        <is>
          <t>135792468</t>
        </is>
      </c>
      <c r="D1791" s="4108" t="inlineStr">
        <is>
          <t>202109</t>
        </is>
      </c>
      <c r="E1791" s="4108" t="inlineStr">
        <is>
          <t>6,000000000000</t>
        </is>
      </c>
    </row>
    <row outlineLevel="0" r="1792">
      <c r="A1792" s="4108" t="inlineStr">
        <is>
          <t>135792468202109524000</t>
        </is>
      </c>
      <c r="B1792" s="4108" t="inlineStr">
        <is>
          <t>524000</t>
        </is>
      </c>
      <c r="C1792" s="4108" t="inlineStr">
        <is>
          <t>135792468</t>
        </is>
      </c>
      <c r="D1792" s="4108" t="inlineStr">
        <is>
          <t>202109</t>
        </is>
      </c>
      <c r="E1792" s="4108" t="inlineStr">
        <is>
          <t>9,000000000000</t>
        </is>
      </c>
    </row>
    <row outlineLevel="0" r="1793">
      <c r="A1793" s="4108" t="inlineStr">
        <is>
          <t>135792468202109524500</t>
        </is>
      </c>
      <c r="B1793" s="4108" t="inlineStr">
        <is>
          <t>524500</t>
        </is>
      </c>
      <c r="C1793" s="4108" t="inlineStr">
        <is>
          <t>135792468</t>
        </is>
      </c>
      <c r="D1793" s="4108" t="inlineStr">
        <is>
          <t>202109</t>
        </is>
      </c>
      <c r="E1793" s="4108" t="inlineStr">
        <is>
          <t>9,000000000000</t>
        </is>
      </c>
    </row>
    <row outlineLevel="0" r="1794">
      <c r="A1794" s="4108" t="inlineStr">
        <is>
          <t>135792468202109525000</t>
        </is>
      </c>
      <c r="B1794" s="4108" t="inlineStr">
        <is>
          <t>525000</t>
        </is>
      </c>
      <c r="C1794" s="4108" t="inlineStr">
        <is>
          <t>135792468</t>
        </is>
      </c>
      <c r="D1794" s="4108" t="inlineStr">
        <is>
          <t>202109</t>
        </is>
      </c>
      <c r="E1794" s="4108" t="inlineStr">
        <is>
          <t>9,000000000000</t>
        </is>
      </c>
    </row>
    <row outlineLevel="0" r="1795">
      <c r="A1795" s="4108" t="inlineStr">
        <is>
          <t>135792468202109525500</t>
        </is>
      </c>
      <c r="B1795" s="4108" t="inlineStr">
        <is>
          <t>525500</t>
        </is>
      </c>
      <c r="C1795" s="4108" t="inlineStr">
        <is>
          <t>135792468</t>
        </is>
      </c>
      <c r="D1795" s="4108" t="inlineStr">
        <is>
          <t>202109</t>
        </is>
      </c>
      <c r="E1795" s="4108" t="inlineStr">
        <is>
          <t>12,000000000000</t>
        </is>
      </c>
    </row>
    <row outlineLevel="0" r="1796">
      <c r="A1796" s="4108" t="inlineStr">
        <is>
          <t>135792468202109526000</t>
        </is>
      </c>
      <c r="B1796" s="4108" t="inlineStr">
        <is>
          <t>526000</t>
        </is>
      </c>
      <c r="C1796" s="4108" t="inlineStr">
        <is>
          <t>135792468</t>
        </is>
      </c>
      <c r="D1796" s="4108" t="inlineStr">
        <is>
          <t>202109</t>
        </is>
      </c>
      <c r="E1796" s="4108" t="inlineStr">
        <is>
          <t>12,000000000000</t>
        </is>
      </c>
    </row>
    <row outlineLevel="0" r="1797">
      <c r="A1797" s="4108" t="inlineStr">
        <is>
          <t>135792468202109529500</t>
        </is>
      </c>
      <c r="B1797" s="4108" t="inlineStr">
        <is>
          <t>529500</t>
        </is>
      </c>
      <c r="C1797" s="4108" t="inlineStr">
        <is>
          <t>135792468</t>
        </is>
      </c>
      <c r="D1797" s="4108" t="inlineStr">
        <is>
          <t>202109</t>
        </is>
      </c>
      <c r="E1797" s="4108" t="inlineStr">
        <is>
          <t>12,000000000000</t>
        </is>
      </c>
    </row>
    <row outlineLevel="0" r="1798">
      <c r="A1798" s="4108" t="inlineStr">
        <is>
          <t>135792468202109526500</t>
        </is>
      </c>
      <c r="B1798" s="4108" t="inlineStr">
        <is>
          <t>526500</t>
        </is>
      </c>
      <c r="C1798" s="4108" t="inlineStr">
        <is>
          <t>135792468</t>
        </is>
      </c>
      <c r="D1798" s="4108" t="inlineStr">
        <is>
          <t>202109</t>
        </is>
      </c>
      <c r="E1798" s="4108" t="inlineStr">
        <is>
          <t>15,000000000000</t>
        </is>
      </c>
    </row>
    <row outlineLevel="0" r="1799">
      <c r="A1799" s="4108" t="inlineStr">
        <is>
          <t>135792468202109529900</t>
        </is>
      </c>
      <c r="B1799" s="4108" t="inlineStr">
        <is>
          <t>529900</t>
        </is>
      </c>
      <c r="C1799" s="4108" t="inlineStr">
        <is>
          <t>135792468</t>
        </is>
      </c>
      <c r="D1799" s="4108" t="inlineStr">
        <is>
          <t>202109</t>
        </is>
      </c>
      <c r="E1799" s="4108" t="inlineStr">
        <is>
          <t>15,000000000000</t>
        </is>
      </c>
    </row>
    <row outlineLevel="0" r="1800">
      <c r="A1800" s="4108" t="inlineStr">
        <is>
          <t>135792468202109530505</t>
        </is>
      </c>
      <c r="B1800" s="4108" t="inlineStr">
        <is>
          <t>530505</t>
        </is>
      </c>
      <c r="C1800" s="4108" t="inlineStr">
        <is>
          <t>135792468</t>
        </is>
      </c>
      <c r="D1800" s="4108" t="inlineStr">
        <is>
          <t>202109</t>
        </is>
      </c>
      <c r="E1800" s="4108" t="inlineStr">
        <is>
          <t>15,000000000000</t>
        </is>
      </c>
    </row>
    <row outlineLevel="0" r="1801">
      <c r="A1801" s="4108" t="inlineStr">
        <is>
          <t>135792468202109530515</t>
        </is>
      </c>
      <c r="B1801" s="4108" t="inlineStr">
        <is>
          <t>530515</t>
        </is>
      </c>
      <c r="C1801" s="4108" t="inlineStr">
        <is>
          <t>135792468</t>
        </is>
      </c>
      <c r="D1801" s="4108" t="inlineStr">
        <is>
          <t>202109</t>
        </is>
      </c>
      <c r="E1801" s="4108" t="inlineStr">
        <is>
          <t>15,000000000000</t>
        </is>
      </c>
    </row>
    <row outlineLevel="0" r="1802">
      <c r="A1802" s="4108" t="inlineStr">
        <is>
          <t>135792468202109530525</t>
        </is>
      </c>
      <c r="B1802" s="4108" t="inlineStr">
        <is>
          <t>530525</t>
        </is>
      </c>
      <c r="C1802" s="4108" t="inlineStr">
        <is>
          <t>135792468</t>
        </is>
      </c>
      <c r="D1802" s="4108" t="inlineStr">
        <is>
          <t>202109</t>
        </is>
      </c>
      <c r="E1802" s="4108" t="inlineStr">
        <is>
          <t>15,000000000000</t>
        </is>
      </c>
    </row>
    <row outlineLevel="0" r="1803">
      <c r="A1803" s="4108" t="inlineStr">
        <is>
          <t>135792468202109530535</t>
        </is>
      </c>
      <c r="B1803" s="4108" t="inlineStr">
        <is>
          <t>530535</t>
        </is>
      </c>
      <c r="C1803" s="4108" t="inlineStr">
        <is>
          <t>135792468</t>
        </is>
      </c>
      <c r="D1803" s="4108" t="inlineStr">
        <is>
          <t>202109</t>
        </is>
      </c>
      <c r="E1803" s="4108" t="inlineStr">
        <is>
          <t>18,000000000000</t>
        </is>
      </c>
    </row>
    <row outlineLevel="0" r="1804">
      <c r="A1804" s="4108" t="inlineStr">
        <is>
          <t>135792468202109531000</t>
        </is>
      </c>
      <c r="B1804" s="4108" t="inlineStr">
        <is>
          <t>531000</t>
        </is>
      </c>
      <c r="C1804" s="4108" t="inlineStr">
        <is>
          <t>135792468</t>
        </is>
      </c>
      <c r="D1804" s="4108" t="inlineStr">
        <is>
          <t>202109</t>
        </is>
      </c>
      <c r="E1804" s="4108" t="inlineStr">
        <is>
          <t>18,000000000000</t>
        </is>
      </c>
    </row>
    <row outlineLevel="0" r="1805">
      <c r="A1805" s="4108" t="inlineStr">
        <is>
          <t>135792468202109531500</t>
        </is>
      </c>
      <c r="B1805" s="4108" t="inlineStr">
        <is>
          <t>531500</t>
        </is>
      </c>
      <c r="C1805" s="4108" t="inlineStr">
        <is>
          <t>135792468</t>
        </is>
      </c>
      <c r="D1805" s="4108" t="inlineStr">
        <is>
          <t>202109</t>
        </is>
      </c>
      <c r="E1805" s="4108" t="inlineStr">
        <is>
          <t>21,000000000000</t>
        </is>
      </c>
    </row>
    <row outlineLevel="0" r="1806">
      <c r="A1806" s="4108" t="inlineStr">
        <is>
          <t>135792468202109531300</t>
        </is>
      </c>
      <c r="B1806" s="4108" t="inlineStr">
        <is>
          <t>531300</t>
        </is>
      </c>
      <c r="C1806" s="4108" t="inlineStr">
        <is>
          <t>135792468</t>
        </is>
      </c>
      <c r="D1806" s="4108" t="inlineStr">
        <is>
          <t>202109</t>
        </is>
      </c>
      <c r="E1806" s="4108" t="inlineStr">
        <is>
          <t>18,000000000000</t>
        </is>
      </c>
    </row>
    <row outlineLevel="0" r="1807">
      <c r="A1807" s="4108" t="inlineStr">
        <is>
          <t>135792468202109531515</t>
        </is>
      </c>
      <c r="B1807" s="4108" t="inlineStr">
        <is>
          <t>531515</t>
        </is>
      </c>
      <c r="C1807" s="4108" t="inlineStr">
        <is>
          <t>135792468</t>
        </is>
      </c>
      <c r="D1807" s="4108" t="inlineStr">
        <is>
          <t>202109</t>
        </is>
      </c>
      <c r="E1807" s="4108" t="inlineStr">
        <is>
          <t>21,000000000000</t>
        </is>
      </c>
    </row>
    <row outlineLevel="0" r="1808">
      <c r="A1808" s="4108" t="inlineStr">
        <is>
          <t>135792468202109531520</t>
        </is>
      </c>
      <c r="B1808" s="4108" t="inlineStr">
        <is>
          <t>531520</t>
        </is>
      </c>
      <c r="C1808" s="4108" t="inlineStr">
        <is>
          <t>135792468</t>
        </is>
      </c>
      <c r="D1808" s="4108" t="inlineStr">
        <is>
          <t>202109</t>
        </is>
      </c>
      <c r="E1808" s="4108" t="inlineStr">
        <is>
          <t>21,000000000000</t>
        </is>
      </c>
    </row>
    <row outlineLevel="0" r="1809">
      <c r="A1809" s="4108" t="inlineStr">
        <is>
          <t>135792468202109539525</t>
        </is>
      </c>
      <c r="B1809" s="4108" t="inlineStr">
        <is>
          <t>539525</t>
        </is>
      </c>
      <c r="C1809" s="4108" t="inlineStr">
        <is>
          <t>135792468</t>
        </is>
      </c>
      <c r="D1809" s="4108" t="inlineStr">
        <is>
          <t>202109</t>
        </is>
      </c>
      <c r="E1809" s="4108" t="inlineStr">
        <is>
          <t>24,000000000000</t>
        </is>
      </c>
    </row>
    <row outlineLevel="0" r="1810">
      <c r="A1810" s="4108" t="inlineStr">
        <is>
          <t>135792468202109539595</t>
        </is>
      </c>
      <c r="B1810" s="4108" t="inlineStr">
        <is>
          <t>539595</t>
        </is>
      </c>
      <c r="C1810" s="4108" t="inlineStr">
        <is>
          <t>135792468</t>
        </is>
      </c>
      <c r="D1810" s="4108" t="inlineStr">
        <is>
          <t>202109</t>
        </is>
      </c>
      <c r="E1810" s="4108" t="inlineStr">
        <is>
          <t>24,000000000000</t>
        </is>
      </c>
    </row>
    <row outlineLevel="0" r="1811">
      <c r="A1811" s="4108" t="inlineStr">
        <is>
          <t>135792468202109606000</t>
        </is>
      </c>
      <c r="B1811" s="4108" t="inlineStr">
        <is>
          <t>606000</t>
        </is>
      </c>
      <c r="C1811" s="4108" t="inlineStr">
        <is>
          <t>135792468</t>
        </is>
      </c>
      <c r="D1811" s="4108" t="inlineStr">
        <is>
          <t>202109</t>
        </is>
      </c>
      <c r="E1811" s="4108" t="inlineStr">
        <is>
          <t>1101,011000000000</t>
        </is>
      </c>
    </row>
    <row outlineLevel="0" r="1812">
      <c r="A1812" s="4108" t="inlineStr">
        <is>
          <t>135792468202107606000</t>
        </is>
      </c>
      <c r="B1812" s="4108" t="inlineStr">
        <is>
          <t>606000</t>
        </is>
      </c>
      <c r="C1812" s="4108" t="inlineStr">
        <is>
          <t>135792468</t>
        </is>
      </c>
      <c r="D1812" s="4108" t="inlineStr">
        <is>
          <t>202107</t>
        </is>
      </c>
      <c r="E1812" s="4108" t="inlineStr">
        <is>
          <t>345,000000000000</t>
        </is>
      </c>
    </row>
    <row outlineLevel="0" r="1813">
      <c r="A1813" s="4108" t="inlineStr">
        <is>
          <t>135792468202107539595</t>
        </is>
      </c>
      <c r="B1813" s="4108" t="inlineStr">
        <is>
          <t>539595</t>
        </is>
      </c>
      <c r="C1813" s="4108" t="inlineStr">
        <is>
          <t>135792468</t>
        </is>
      </c>
      <c r="D1813" s="4108" t="inlineStr">
        <is>
          <t>202107</t>
        </is>
      </c>
      <c r="E1813" s="4108" t="inlineStr">
        <is>
          <t>0,000000000000</t>
        </is>
      </c>
    </row>
    <row outlineLevel="0" r="1814">
      <c r="A1814" s="4108" t="inlineStr">
        <is>
          <t>135792468202107539525</t>
        </is>
      </c>
      <c r="B1814" s="4108" t="inlineStr">
        <is>
          <t>539525</t>
        </is>
      </c>
      <c r="C1814" s="4108" t="inlineStr">
        <is>
          <t>135792468</t>
        </is>
      </c>
      <c r="D1814" s="4108" t="inlineStr">
        <is>
          <t>202107</t>
        </is>
      </c>
      <c r="E1814" s="4108" t="inlineStr">
        <is>
          <t>8,000000000000</t>
        </is>
      </c>
    </row>
    <row outlineLevel="0" r="1815">
      <c r="A1815" s="4108" t="inlineStr">
        <is>
          <t>135792468202107531520</t>
        </is>
      </c>
      <c r="B1815" s="4108" t="inlineStr">
        <is>
          <t>531520</t>
        </is>
      </c>
      <c r="C1815" s="4108" t="inlineStr">
        <is>
          <t>135792468</t>
        </is>
      </c>
      <c r="D1815" s="4108" t="inlineStr">
        <is>
          <t>202107</t>
        </is>
      </c>
      <c r="E1815" s="4108" t="inlineStr">
        <is>
          <t>9,000000000000</t>
        </is>
      </c>
    </row>
    <row outlineLevel="0" r="1816">
      <c r="A1816" s="4108" t="inlineStr">
        <is>
          <t>135792468202107531515</t>
        </is>
      </c>
      <c r="B1816" s="4108" t="inlineStr">
        <is>
          <t>531515</t>
        </is>
      </c>
      <c r="C1816" s="4108" t="inlineStr">
        <is>
          <t>135792468</t>
        </is>
      </c>
      <c r="D1816" s="4108" t="inlineStr">
        <is>
          <t>202107</t>
        </is>
      </c>
      <c r="E1816" s="4108" t="inlineStr">
        <is>
          <t>1,000000000000</t>
        </is>
      </c>
    </row>
    <row outlineLevel="0" r="1817">
      <c r="A1817" s="4108" t="inlineStr">
        <is>
          <t>135792468202107531300</t>
        </is>
      </c>
      <c r="B1817" s="4108" t="inlineStr">
        <is>
          <t>531300</t>
        </is>
      </c>
      <c r="C1817" s="4108" t="inlineStr">
        <is>
          <t>135792468</t>
        </is>
      </c>
      <c r="D1817" s="4108" t="inlineStr">
        <is>
          <t>202107</t>
        </is>
      </c>
      <c r="E1817" s="4108" t="inlineStr">
        <is>
          <t>3,000000000000</t>
        </is>
      </c>
    </row>
    <row outlineLevel="0" r="1818">
      <c r="A1818" s="4108" t="inlineStr">
        <is>
          <t>135792468202107531500</t>
        </is>
      </c>
      <c r="B1818" s="4108" t="inlineStr">
        <is>
          <t>531500</t>
        </is>
      </c>
      <c r="C1818" s="4108" t="inlineStr">
        <is>
          <t>135792468</t>
        </is>
      </c>
      <c r="D1818" s="4108" t="inlineStr">
        <is>
          <t>202107</t>
        </is>
      </c>
      <c r="E1818" s="4108" t="inlineStr">
        <is>
          <t>2,000000000000</t>
        </is>
      </c>
    </row>
    <row outlineLevel="0" r="1819">
      <c r="A1819" s="4108" t="inlineStr">
        <is>
          <t>135792468202107531000</t>
        </is>
      </c>
      <c r="B1819" s="4108" t="inlineStr">
        <is>
          <t>531000</t>
        </is>
      </c>
      <c r="C1819" s="4108" t="inlineStr">
        <is>
          <t>135792468</t>
        </is>
      </c>
      <c r="D1819" s="4108" t="inlineStr">
        <is>
          <t>202107</t>
        </is>
      </c>
      <c r="E1819" s="4108" t="inlineStr">
        <is>
          <t>4,000000000000</t>
        </is>
      </c>
    </row>
    <row outlineLevel="0" r="1820">
      <c r="A1820" s="4108" t="inlineStr">
        <is>
          <t>135792468202107530535</t>
        </is>
      </c>
      <c r="B1820" s="4108" t="inlineStr">
        <is>
          <t>530535</t>
        </is>
      </c>
      <c r="C1820" s="4108" t="inlineStr">
        <is>
          <t>135792468</t>
        </is>
      </c>
      <c r="D1820" s="4108" t="inlineStr">
        <is>
          <t>202107</t>
        </is>
      </c>
      <c r="E1820" s="4108" t="inlineStr">
        <is>
          <t>5,000000000000</t>
        </is>
      </c>
    </row>
    <row outlineLevel="0" r="1821">
      <c r="A1821" s="4108" t="inlineStr">
        <is>
          <t>135792468202107530525</t>
        </is>
      </c>
      <c r="B1821" s="4108" t="inlineStr">
        <is>
          <t>530525</t>
        </is>
      </c>
      <c r="C1821" s="4108" t="inlineStr">
        <is>
          <t>135792468</t>
        </is>
      </c>
      <c r="D1821" s="4108" t="inlineStr">
        <is>
          <t>202107</t>
        </is>
      </c>
      <c r="E1821" s="4108" t="inlineStr">
        <is>
          <t>8,000000000000</t>
        </is>
      </c>
    </row>
    <row outlineLevel="0" r="1822">
      <c r="A1822" s="4108" t="inlineStr">
        <is>
          <t>135792468202107530515</t>
        </is>
      </c>
      <c r="B1822" s="4108" t="inlineStr">
        <is>
          <t>530515</t>
        </is>
      </c>
      <c r="C1822" s="4108" t="inlineStr">
        <is>
          <t>135792468</t>
        </is>
      </c>
      <c r="D1822" s="4108" t="inlineStr">
        <is>
          <t>202107</t>
        </is>
      </c>
      <c r="E1822" s="4108" t="inlineStr">
        <is>
          <t>6,000000000000</t>
        </is>
      </c>
    </row>
    <row outlineLevel="0" r="1823">
      <c r="A1823" s="4108" t="inlineStr">
        <is>
          <t>135792468202107530505</t>
        </is>
      </c>
      <c r="B1823" s="4108" t="inlineStr">
        <is>
          <t>530505</t>
        </is>
      </c>
      <c r="C1823" s="4108" t="inlineStr">
        <is>
          <t>135792468</t>
        </is>
      </c>
      <c r="D1823" s="4108" t="inlineStr">
        <is>
          <t>202107</t>
        </is>
      </c>
      <c r="E1823" s="4108" t="inlineStr">
        <is>
          <t>7,000000000000</t>
        </is>
      </c>
    </row>
    <row outlineLevel="0" r="1824">
      <c r="A1824" s="4108" t="inlineStr">
        <is>
          <t>135792468202107529900</t>
        </is>
      </c>
      <c r="B1824" s="4108" t="inlineStr">
        <is>
          <t>529900</t>
        </is>
      </c>
      <c r="C1824" s="4108" t="inlineStr">
        <is>
          <t>135792468</t>
        </is>
      </c>
      <c r="D1824" s="4108" t="inlineStr">
        <is>
          <t>202107</t>
        </is>
      </c>
      <c r="E1824" s="4108" t="inlineStr">
        <is>
          <t>7,000000000000</t>
        </is>
      </c>
    </row>
    <row outlineLevel="0" r="1825">
      <c r="A1825" s="4108" t="inlineStr">
        <is>
          <t>135792468202107526500</t>
        </is>
      </c>
      <c r="B1825" s="4108" t="inlineStr">
        <is>
          <t>526500</t>
        </is>
      </c>
      <c r="C1825" s="4108" t="inlineStr">
        <is>
          <t>135792468</t>
        </is>
      </c>
      <c r="D1825" s="4108" t="inlineStr">
        <is>
          <t>202107</t>
        </is>
      </c>
      <c r="E1825" s="4108" t="inlineStr">
        <is>
          <t>6,000000000000</t>
        </is>
      </c>
    </row>
    <row outlineLevel="0" r="1826">
      <c r="A1826" s="4108" t="inlineStr">
        <is>
          <t>135792468202107529500</t>
        </is>
      </c>
      <c r="B1826" s="4108" t="inlineStr">
        <is>
          <t>529500</t>
        </is>
      </c>
      <c r="C1826" s="4108" t="inlineStr">
        <is>
          <t>135792468</t>
        </is>
      </c>
      <c r="D1826" s="4108" t="inlineStr">
        <is>
          <t>202107</t>
        </is>
      </c>
      <c r="E1826" s="4108" t="inlineStr">
        <is>
          <t>4,000000000000</t>
        </is>
      </c>
    </row>
    <row outlineLevel="0" r="1827">
      <c r="A1827" s="4108" t="inlineStr">
        <is>
          <t>135792468202107526000</t>
        </is>
      </c>
      <c r="B1827" s="4108" t="inlineStr">
        <is>
          <t>526000</t>
        </is>
      </c>
      <c r="C1827" s="4108" t="inlineStr">
        <is>
          <t>135792468</t>
        </is>
      </c>
      <c r="D1827" s="4108" t="inlineStr">
        <is>
          <t>202107</t>
        </is>
      </c>
      <c r="E1827" s="4108" t="inlineStr">
        <is>
          <t>5,000000000000</t>
        </is>
      </c>
    </row>
    <row outlineLevel="0" r="1828">
      <c r="A1828" s="4108" t="inlineStr">
        <is>
          <t>135792468202107525500</t>
        </is>
      </c>
      <c r="B1828" s="4108" t="inlineStr">
        <is>
          <t>525500</t>
        </is>
      </c>
      <c r="C1828" s="4108" t="inlineStr">
        <is>
          <t>135792468</t>
        </is>
      </c>
      <c r="D1828" s="4108" t="inlineStr">
        <is>
          <t>202107</t>
        </is>
      </c>
      <c r="E1828" s="4108" t="inlineStr">
        <is>
          <t>3,000000000000</t>
        </is>
      </c>
    </row>
    <row outlineLevel="0" r="1829">
      <c r="A1829" s="4108" t="inlineStr">
        <is>
          <t>135792468202107525000</t>
        </is>
      </c>
      <c r="B1829" s="4108" t="inlineStr">
        <is>
          <t>525000</t>
        </is>
      </c>
      <c r="C1829" s="4108" t="inlineStr">
        <is>
          <t>135792468</t>
        </is>
      </c>
      <c r="D1829" s="4108" t="inlineStr">
        <is>
          <t>202107</t>
        </is>
      </c>
      <c r="E1829" s="4108" t="inlineStr">
        <is>
          <t>2,000000000000</t>
        </is>
      </c>
    </row>
    <row outlineLevel="0" r="1830">
      <c r="A1830" s="4108" t="inlineStr">
        <is>
          <t>135792468202107524500</t>
        </is>
      </c>
      <c r="B1830" s="4108" t="inlineStr">
        <is>
          <t>524500</t>
        </is>
      </c>
      <c r="C1830" s="4108" t="inlineStr">
        <is>
          <t>135792468</t>
        </is>
      </c>
      <c r="D1830" s="4108" t="inlineStr">
        <is>
          <t>202107</t>
        </is>
      </c>
      <c r="E1830" s="4108" t="inlineStr">
        <is>
          <t>1,000000000000</t>
        </is>
      </c>
    </row>
    <row outlineLevel="0" r="1831">
      <c r="A1831" s="4108" t="inlineStr">
        <is>
          <t>135792468202107524000</t>
        </is>
      </c>
      <c r="B1831" s="4108" t="inlineStr">
        <is>
          <t>524000</t>
        </is>
      </c>
      <c r="C1831" s="4108" t="inlineStr">
        <is>
          <t>135792468</t>
        </is>
      </c>
      <c r="D1831" s="4108" t="inlineStr">
        <is>
          <t>202107</t>
        </is>
      </c>
      <c r="E1831" s="4108" t="inlineStr">
        <is>
          <t>9,000000000000</t>
        </is>
      </c>
    </row>
    <row outlineLevel="0" r="1832">
      <c r="A1832" s="4108" t="inlineStr">
        <is>
          <t>135792468202107523500</t>
        </is>
      </c>
      <c r="B1832" s="4108" t="inlineStr">
        <is>
          <t>523500</t>
        </is>
      </c>
      <c r="C1832" s="4108" t="inlineStr">
        <is>
          <t>135792468</t>
        </is>
      </c>
      <c r="D1832" s="4108" t="inlineStr">
        <is>
          <t>202107</t>
        </is>
      </c>
      <c r="E1832" s="4108" t="inlineStr">
        <is>
          <t>8,000000000000</t>
        </is>
      </c>
    </row>
    <row outlineLevel="0" r="1833">
      <c r="A1833" s="4108" t="inlineStr">
        <is>
          <t>135792468202107522500</t>
        </is>
      </c>
      <c r="B1833" s="4108" t="inlineStr">
        <is>
          <t>522500</t>
        </is>
      </c>
      <c r="C1833" s="4108" t="inlineStr">
        <is>
          <t>135792468</t>
        </is>
      </c>
      <c r="D1833" s="4108" t="inlineStr">
        <is>
          <t>202107</t>
        </is>
      </c>
      <c r="E1833" s="4108" t="inlineStr">
        <is>
          <t>6,000000000000</t>
        </is>
      </c>
    </row>
    <row outlineLevel="0" r="1834">
      <c r="A1834" s="4108" t="inlineStr">
        <is>
          <t>135792468202107523000</t>
        </is>
      </c>
      <c r="B1834" s="4108" t="inlineStr">
        <is>
          <t>523000</t>
        </is>
      </c>
      <c r="C1834" s="4108" t="inlineStr">
        <is>
          <t>135792468</t>
        </is>
      </c>
      <c r="D1834" s="4108" t="inlineStr">
        <is>
          <t>202107</t>
        </is>
      </c>
      <c r="E1834" s="4108" t="inlineStr">
        <is>
          <t>7,000000000000</t>
        </is>
      </c>
    </row>
    <row outlineLevel="0" r="1835">
      <c r="A1835" s="4108" t="inlineStr">
        <is>
          <t>135792468202107522000</t>
        </is>
      </c>
      <c r="B1835" s="4108" t="inlineStr">
        <is>
          <t>522000</t>
        </is>
      </c>
      <c r="C1835" s="4108" t="inlineStr">
        <is>
          <t>135792468</t>
        </is>
      </c>
      <c r="D1835" s="4108" t="inlineStr">
        <is>
          <t>202107</t>
        </is>
      </c>
      <c r="E1835" s="4108" t="inlineStr">
        <is>
          <t>5,000000000000</t>
        </is>
      </c>
    </row>
    <row outlineLevel="0" r="1836">
      <c r="A1836" s="4108" t="inlineStr">
        <is>
          <t>135792468202107521500</t>
        </is>
      </c>
      <c r="B1836" s="4108" t="inlineStr">
        <is>
          <t>521500</t>
        </is>
      </c>
      <c r="C1836" s="4108" t="inlineStr">
        <is>
          <t>135792468</t>
        </is>
      </c>
      <c r="D1836" s="4108" t="inlineStr">
        <is>
          <t>202107</t>
        </is>
      </c>
      <c r="E1836" s="4108" t="inlineStr">
        <is>
          <t>4,000000000000</t>
        </is>
      </c>
    </row>
    <row outlineLevel="0" r="1837">
      <c r="A1837" s="4108" t="inlineStr">
        <is>
          <t>135792468202107521000</t>
        </is>
      </c>
      <c r="B1837" s="4108" t="inlineStr">
        <is>
          <t>521000</t>
        </is>
      </c>
      <c r="C1837" s="4108" t="inlineStr">
        <is>
          <t>135792468</t>
        </is>
      </c>
      <c r="D1837" s="4108" t="inlineStr">
        <is>
          <t>202107</t>
        </is>
      </c>
      <c r="E1837" s="4108" t="inlineStr">
        <is>
          <t>3,000000000000</t>
        </is>
      </c>
    </row>
    <row outlineLevel="0" r="1838">
      <c r="A1838" s="4108" t="inlineStr">
        <is>
          <t>135792468202107520500</t>
        </is>
      </c>
      <c r="B1838" s="4108" t="inlineStr">
        <is>
          <t>520500</t>
        </is>
      </c>
      <c r="C1838" s="4108" t="inlineStr">
        <is>
          <t>135792468</t>
        </is>
      </c>
      <c r="D1838" s="4108" t="inlineStr">
        <is>
          <t>202107</t>
        </is>
      </c>
      <c r="E1838" s="4108" t="inlineStr">
        <is>
          <t>2,000000000000</t>
        </is>
      </c>
    </row>
    <row outlineLevel="0" r="1839">
      <c r="A1839" s="4108" t="inlineStr">
        <is>
          <t>135792468202107519900</t>
        </is>
      </c>
      <c r="B1839" s="4108" t="inlineStr">
        <is>
          <t>519900</t>
        </is>
      </c>
      <c r="C1839" s="4108" t="inlineStr">
        <is>
          <t>135792468</t>
        </is>
      </c>
      <c r="D1839" s="4108" t="inlineStr">
        <is>
          <t>202107</t>
        </is>
      </c>
      <c r="E1839" s="4108" t="inlineStr">
        <is>
          <t>8,000000000000</t>
        </is>
      </c>
    </row>
    <row outlineLevel="0" r="1840">
      <c r="A1840" s="4108" t="inlineStr">
        <is>
          <t>135792468202107519500</t>
        </is>
      </c>
      <c r="B1840" s="4108" t="inlineStr">
        <is>
          <t>519500</t>
        </is>
      </c>
      <c r="C1840" s="4108" t="inlineStr">
        <is>
          <t>135792468</t>
        </is>
      </c>
      <c r="D1840" s="4108" t="inlineStr">
        <is>
          <t>202107</t>
        </is>
      </c>
      <c r="E1840" s="4108" t="inlineStr">
        <is>
          <t>5,000000000000</t>
        </is>
      </c>
    </row>
    <row outlineLevel="0" r="1841">
      <c r="A1841" s="4108" t="inlineStr">
        <is>
          <t>135792468202107516000</t>
        </is>
      </c>
      <c r="B1841" s="4108" t="inlineStr">
        <is>
          <t>516000</t>
        </is>
      </c>
      <c r="C1841" s="4108" t="inlineStr">
        <is>
          <t>135792468</t>
        </is>
      </c>
      <c r="D1841" s="4108" t="inlineStr">
        <is>
          <t>202107</t>
        </is>
      </c>
      <c r="E1841" s="4108" t="inlineStr">
        <is>
          <t>6,000000000000</t>
        </is>
      </c>
    </row>
    <row outlineLevel="0" r="1842">
      <c r="A1842" s="4108" t="inlineStr">
        <is>
          <t>135792468202107516500</t>
        </is>
      </c>
      <c r="B1842" s="4108" t="inlineStr">
        <is>
          <t>516500</t>
        </is>
      </c>
      <c r="C1842" s="4108" t="inlineStr">
        <is>
          <t>135792468</t>
        </is>
      </c>
      <c r="D1842" s="4108" t="inlineStr">
        <is>
          <t>202107</t>
        </is>
      </c>
      <c r="E1842" s="4108" t="inlineStr">
        <is>
          <t>6,000000000000</t>
        </is>
      </c>
    </row>
    <row outlineLevel="0" r="1843">
      <c r="A1843" s="4108" t="inlineStr">
        <is>
          <t>135792468202107515500</t>
        </is>
      </c>
      <c r="B1843" s="4108" t="inlineStr">
        <is>
          <t>515500</t>
        </is>
      </c>
      <c r="C1843" s="4108" t="inlineStr">
        <is>
          <t>135792468</t>
        </is>
      </c>
      <c r="D1843" s="4108" t="inlineStr">
        <is>
          <t>202107</t>
        </is>
      </c>
      <c r="E1843" s="4108" t="inlineStr">
        <is>
          <t>4,000000000000</t>
        </is>
      </c>
    </row>
    <row outlineLevel="0" r="1844">
      <c r="A1844" s="4108" t="inlineStr">
        <is>
          <t>135792468202107515000</t>
        </is>
      </c>
      <c r="B1844" s="4108" t="inlineStr">
        <is>
          <t>515000</t>
        </is>
      </c>
      <c r="C1844" s="4108" t="inlineStr">
        <is>
          <t>135792468</t>
        </is>
      </c>
      <c r="D1844" s="4108" t="inlineStr">
        <is>
          <t>202107</t>
        </is>
      </c>
      <c r="E1844" s="4108" t="inlineStr">
        <is>
          <t>3,000000000000</t>
        </is>
      </c>
    </row>
    <row outlineLevel="0" r="1845">
      <c r="A1845" s="4108" t="inlineStr">
        <is>
          <t>135792468202107514500</t>
        </is>
      </c>
      <c r="B1845" s="4108" t="inlineStr">
        <is>
          <t>514500</t>
        </is>
      </c>
      <c r="C1845" s="4108" t="inlineStr">
        <is>
          <t>135792468</t>
        </is>
      </c>
      <c r="D1845" s="4108" t="inlineStr">
        <is>
          <t>202107</t>
        </is>
      </c>
      <c r="E1845" s="4108" t="inlineStr">
        <is>
          <t>2,000000000000</t>
        </is>
      </c>
    </row>
    <row outlineLevel="0" r="1846">
      <c r="A1846" s="4108" t="inlineStr">
        <is>
          <t>135792468202107514000</t>
        </is>
      </c>
      <c r="B1846" s="4108" t="inlineStr">
        <is>
          <t>514000</t>
        </is>
      </c>
      <c r="C1846" s="4108" t="inlineStr">
        <is>
          <t>135792468</t>
        </is>
      </c>
      <c r="D1846" s="4108" t="inlineStr">
        <is>
          <t>202107</t>
        </is>
      </c>
      <c r="E1846" s="4108" t="inlineStr">
        <is>
          <t>1,000000000000</t>
        </is>
      </c>
    </row>
    <row outlineLevel="0" r="1847">
      <c r="A1847" s="4108" t="inlineStr">
        <is>
          <t>135792468202107513500</t>
        </is>
      </c>
      <c r="B1847" s="4108" t="inlineStr">
        <is>
          <t>513500</t>
        </is>
      </c>
      <c r="C1847" s="4108" t="inlineStr">
        <is>
          <t>135792468</t>
        </is>
      </c>
      <c r="D1847" s="4108" t="inlineStr">
        <is>
          <t>202107</t>
        </is>
      </c>
      <c r="E1847" s="4108" t="inlineStr">
        <is>
          <t>9,000000000000</t>
        </is>
      </c>
    </row>
    <row outlineLevel="0" r="1848">
      <c r="A1848" s="4108" t="inlineStr">
        <is>
          <t>135792468202107513000</t>
        </is>
      </c>
      <c r="B1848" s="4108" t="inlineStr">
        <is>
          <t>513000</t>
        </is>
      </c>
      <c r="C1848" s="4108" t="inlineStr">
        <is>
          <t>135792468</t>
        </is>
      </c>
      <c r="D1848" s="4108" t="inlineStr">
        <is>
          <t>202107</t>
        </is>
      </c>
      <c r="E1848" s="4108" t="inlineStr">
        <is>
          <t>8,000000000000</t>
        </is>
      </c>
    </row>
    <row outlineLevel="0" r="1849">
      <c r="A1849" s="4108" t="inlineStr">
        <is>
          <t>135792468202107512000</t>
        </is>
      </c>
      <c r="B1849" s="4108" t="inlineStr">
        <is>
          <t>512000</t>
        </is>
      </c>
      <c r="C1849" s="4108" t="inlineStr">
        <is>
          <t>135792468</t>
        </is>
      </c>
      <c r="D1849" s="4108" t="inlineStr">
        <is>
          <t>202107</t>
        </is>
      </c>
      <c r="E1849" s="4108" t="inlineStr">
        <is>
          <t>6,000000000000</t>
        </is>
      </c>
    </row>
    <row outlineLevel="0" r="1850">
      <c r="A1850" s="4108" t="inlineStr">
        <is>
          <t>135792468202107512500</t>
        </is>
      </c>
      <c r="B1850" s="4108" t="inlineStr">
        <is>
          <t>512500</t>
        </is>
      </c>
      <c r="C1850" s="4108" t="inlineStr">
        <is>
          <t>135792468</t>
        </is>
      </c>
      <c r="D1850" s="4108" t="inlineStr">
        <is>
          <t>202107</t>
        </is>
      </c>
      <c r="E1850" s="4108" t="inlineStr">
        <is>
          <t>7,000000000000</t>
        </is>
      </c>
    </row>
    <row outlineLevel="0" r="1851">
      <c r="A1851" s="4108" t="inlineStr">
        <is>
          <t>135792468202107511500</t>
        </is>
      </c>
      <c r="B1851" s="4108" t="inlineStr">
        <is>
          <t>511500</t>
        </is>
      </c>
      <c r="C1851" s="4108" t="inlineStr">
        <is>
          <t>135792468</t>
        </is>
      </c>
      <c r="D1851" s="4108" t="inlineStr">
        <is>
          <t>202107</t>
        </is>
      </c>
      <c r="E1851" s="4108" t="inlineStr">
        <is>
          <t>5,000000000000</t>
        </is>
      </c>
    </row>
    <row outlineLevel="0" r="1852">
      <c r="A1852" s="4108" t="inlineStr">
        <is>
          <t>135792468202107511000</t>
        </is>
      </c>
      <c r="B1852" s="4108" t="inlineStr">
        <is>
          <t>511000</t>
        </is>
      </c>
      <c r="C1852" s="4108" t="inlineStr">
        <is>
          <t>135792468</t>
        </is>
      </c>
      <c r="D1852" s="4108" t="inlineStr">
        <is>
          <t>202107</t>
        </is>
      </c>
      <c r="E1852" s="4108" t="inlineStr">
        <is>
          <t>4,000000000000</t>
        </is>
      </c>
    </row>
    <row outlineLevel="0" r="1853">
      <c r="A1853" s="4108" t="inlineStr">
        <is>
          <t>135792468202107510500</t>
        </is>
      </c>
      <c r="B1853" s="4108" t="inlineStr">
        <is>
          <t>510500</t>
        </is>
      </c>
      <c r="C1853" s="4108" t="inlineStr">
        <is>
          <t>135792468</t>
        </is>
      </c>
      <c r="D1853" s="4108" t="inlineStr">
        <is>
          <t>202107</t>
        </is>
      </c>
      <c r="E1853" s="4108" t="inlineStr">
        <is>
          <t>3,000000000000</t>
        </is>
      </c>
    </row>
    <row outlineLevel="0" r="1854">
      <c r="A1854" s="4108" t="inlineStr">
        <is>
          <t>135792468202107429500</t>
        </is>
      </c>
      <c r="B1854" s="4108" t="inlineStr">
        <is>
          <t>429500</t>
        </is>
      </c>
      <c r="C1854" s="4108" t="inlineStr">
        <is>
          <t>135792468</t>
        </is>
      </c>
      <c r="D1854" s="4108" t="inlineStr">
        <is>
          <t>202107</t>
        </is>
      </c>
      <c r="E1854" s="4108" t="inlineStr">
        <is>
          <t>3,000000000000</t>
        </is>
      </c>
    </row>
    <row outlineLevel="0" r="1855">
      <c r="A1855" s="4108" t="inlineStr">
        <is>
          <t>135792468202107426500</t>
        </is>
      </c>
      <c r="B1855" s="4108" t="inlineStr">
        <is>
          <t>426500</t>
        </is>
      </c>
      <c r="C1855" s="4108" t="inlineStr">
        <is>
          <t>135792468</t>
        </is>
      </c>
      <c r="D1855" s="4108" t="inlineStr">
        <is>
          <t>202107</t>
        </is>
      </c>
      <c r="E1855" s="4108" t="inlineStr">
        <is>
          <t>2,000000000000</t>
        </is>
      </c>
    </row>
    <row outlineLevel="0" r="1856">
      <c r="A1856" s="4108" t="inlineStr">
        <is>
          <t>135792468202107425000</t>
        </is>
      </c>
      <c r="B1856" s="4108" t="inlineStr">
        <is>
          <t>425000</t>
        </is>
      </c>
      <c r="C1856" s="4108" t="inlineStr">
        <is>
          <t>135792468</t>
        </is>
      </c>
      <c r="D1856" s="4108" t="inlineStr">
        <is>
          <t>202107</t>
        </is>
      </c>
      <c r="E1856" s="4108" t="inlineStr">
        <is>
          <t>1,000000000000</t>
        </is>
      </c>
    </row>
    <row outlineLevel="0" r="1857">
      <c r="A1857" s="4108" t="inlineStr">
        <is>
          <t>135792468202107423500</t>
        </is>
      </c>
      <c r="B1857" s="4108" t="inlineStr">
        <is>
          <t>423500</t>
        </is>
      </c>
      <c r="C1857" s="4108" t="inlineStr">
        <is>
          <t>135792468</t>
        </is>
      </c>
      <c r="D1857" s="4108" t="inlineStr">
        <is>
          <t>202107</t>
        </is>
      </c>
      <c r="E1857" s="4108" t="inlineStr">
        <is>
          <t>8,000000000000</t>
        </is>
      </c>
    </row>
    <row outlineLevel="0" r="1858">
      <c r="A1858" s="4108" t="inlineStr">
        <is>
          <t>135792468202107424000</t>
        </is>
      </c>
      <c r="B1858" s="4108" t="inlineStr">
        <is>
          <t>424000</t>
        </is>
      </c>
      <c r="C1858" s="4108" t="inlineStr">
        <is>
          <t>135792468</t>
        </is>
      </c>
      <c r="D1858" s="4108" t="inlineStr">
        <is>
          <t>202107</t>
        </is>
      </c>
      <c r="E1858" s="4108" t="inlineStr">
        <is>
          <t>9,000000000000</t>
        </is>
      </c>
    </row>
    <row outlineLevel="0" r="1859">
      <c r="A1859" s="4108" t="inlineStr">
        <is>
          <t>135792468202107422500</t>
        </is>
      </c>
      <c r="B1859" s="4108" t="inlineStr">
        <is>
          <t>422500</t>
        </is>
      </c>
      <c r="C1859" s="4108" t="inlineStr">
        <is>
          <t>135792468</t>
        </is>
      </c>
      <c r="D1859" s="4108" t="inlineStr">
        <is>
          <t>202107</t>
        </is>
      </c>
      <c r="E1859" s="4108" t="inlineStr">
        <is>
          <t>7,000000000000</t>
        </is>
      </c>
    </row>
    <row outlineLevel="0" r="1860">
      <c r="A1860" s="4108" t="inlineStr">
        <is>
          <t>135792468202107422000</t>
        </is>
      </c>
      <c r="B1860" s="4108" t="inlineStr">
        <is>
          <t>422000</t>
        </is>
      </c>
      <c r="C1860" s="4108" t="inlineStr">
        <is>
          <t>135792468</t>
        </is>
      </c>
      <c r="D1860" s="4108" t="inlineStr">
        <is>
          <t>202107</t>
        </is>
      </c>
      <c r="E1860" s="4108" t="inlineStr">
        <is>
          <t>6,000000000000</t>
        </is>
      </c>
    </row>
    <row outlineLevel="0" r="1861">
      <c r="A1861" s="4108" t="inlineStr">
        <is>
          <t>135792468202107421500</t>
        </is>
      </c>
      <c r="B1861" s="4108" t="inlineStr">
        <is>
          <t>421500</t>
        </is>
      </c>
      <c r="C1861" s="4108" t="inlineStr">
        <is>
          <t>135792468</t>
        </is>
      </c>
      <c r="D1861" s="4108" t="inlineStr">
        <is>
          <t>202107</t>
        </is>
      </c>
      <c r="E1861" s="4108" t="inlineStr">
        <is>
          <t>5,000000000000</t>
        </is>
      </c>
    </row>
    <row outlineLevel="0" r="1862">
      <c r="A1862" s="4108" t="inlineStr">
        <is>
          <t>135792468202107421040</t>
        </is>
      </c>
      <c r="B1862" s="4108" t="inlineStr">
        <is>
          <t>421040</t>
        </is>
      </c>
      <c r="C1862" s="4108" t="inlineStr">
        <is>
          <t>135792468</t>
        </is>
      </c>
      <c r="D1862" s="4108" t="inlineStr">
        <is>
          <t>202107</t>
        </is>
      </c>
      <c r="E1862" s="4108" t="inlineStr">
        <is>
          <t>4,000000000000</t>
        </is>
      </c>
    </row>
    <row outlineLevel="0" r="1863">
      <c r="A1863" s="4108" t="inlineStr">
        <is>
          <t>135792468202107421020</t>
        </is>
      </c>
      <c r="B1863" s="4108" t="inlineStr">
        <is>
          <t>421020</t>
        </is>
      </c>
      <c r="C1863" s="4108" t="inlineStr">
        <is>
          <t>135792468</t>
        </is>
      </c>
      <c r="D1863" s="4108" t="inlineStr">
        <is>
          <t>202107</t>
        </is>
      </c>
      <c r="E1863" s="4108" t="inlineStr">
        <is>
          <t>2,000000000000</t>
        </is>
      </c>
    </row>
    <row outlineLevel="0" r="1864">
      <c r="A1864" s="4108" t="inlineStr">
        <is>
          <t>135792468202107421000</t>
        </is>
      </c>
      <c r="B1864" s="4108" t="inlineStr">
        <is>
          <t>421000</t>
        </is>
      </c>
      <c r="C1864" s="4108" t="inlineStr">
        <is>
          <t>135792468</t>
        </is>
      </c>
      <c r="D1864" s="4108" t="inlineStr">
        <is>
          <t>202107</t>
        </is>
      </c>
      <c r="E1864" s="4108" t="inlineStr">
        <is>
          <t>1,000000000000</t>
        </is>
      </c>
    </row>
    <row outlineLevel="0" r="1865">
      <c r="A1865" s="4108" t="inlineStr">
        <is>
          <t>135792468202107411000</t>
        </is>
      </c>
      <c r="B1865" s="4108" t="inlineStr">
        <is>
          <t>411000</t>
        </is>
      </c>
      <c r="C1865" s="4108" t="inlineStr">
        <is>
          <t>135792468</t>
        </is>
      </c>
      <c r="D1865" s="4108" t="inlineStr">
        <is>
          <t>202107</t>
        </is>
      </c>
      <c r="E1865" s="4108" t="inlineStr">
        <is>
          <t>4567,000000000000</t>
        </is>
      </c>
    </row>
    <row outlineLevel="0" r="1866">
      <c r="A1866" s="4108" t="inlineStr">
        <is>
          <t>135792468202107420500</t>
        </is>
      </c>
      <c r="B1866" s="4108" t="inlineStr">
        <is>
          <t>420500</t>
        </is>
      </c>
      <c r="C1866" s="4108" t="inlineStr">
        <is>
          <t>135792468</t>
        </is>
      </c>
      <c r="D1866" s="4108" t="inlineStr">
        <is>
          <t>202107</t>
        </is>
      </c>
      <c r="E1866" s="4108" t="inlineStr">
        <is>
          <t>3,000000000000</t>
        </is>
      </c>
    </row>
    <row outlineLevel="0" r="1867">
      <c r="A1867" s="4108" t="inlineStr">
        <is>
          <t>135792468202107410500</t>
        </is>
      </c>
      <c r="B1867" s="4108" t="inlineStr">
        <is>
          <t>410500</t>
        </is>
      </c>
      <c r="C1867" s="4108" t="inlineStr">
        <is>
          <t>135792468</t>
        </is>
      </c>
      <c r="D1867" s="4108" t="inlineStr">
        <is>
          <t>202107</t>
        </is>
      </c>
      <c r="E1867" s="4108" t="inlineStr">
        <is>
          <t>6578,000000000000</t>
        </is>
      </c>
    </row>
    <row outlineLevel="0" r="1868">
      <c r="A1868" s="4108" t="inlineStr">
        <is>
          <t>135792468202107349500</t>
        </is>
      </c>
      <c r="B1868" s="4108" t="inlineStr">
        <is>
          <t>349500</t>
        </is>
      </c>
      <c r="C1868" s="4108" t="inlineStr">
        <is>
          <t>135792468</t>
        </is>
      </c>
      <c r="D1868" s="4108" t="inlineStr">
        <is>
          <t>202107</t>
        </is>
      </c>
      <c r="E1868" s="4108" t="inlineStr">
        <is>
          <t>6,000000000000</t>
        </is>
      </c>
    </row>
    <row outlineLevel="0" r="1869">
      <c r="A1869" s="4108" t="inlineStr">
        <is>
          <t>135792468202107340515</t>
        </is>
      </c>
      <c r="B1869" s="4108" t="inlineStr">
        <is>
          <t>340515</t>
        </is>
      </c>
      <c r="C1869" s="4108" t="inlineStr">
        <is>
          <t>135792468</t>
        </is>
      </c>
      <c r="D1869" s="4108" t="inlineStr">
        <is>
          <t>202107</t>
        </is>
      </c>
      <c r="E1869" s="4108" t="inlineStr">
        <is>
          <t>7,000000000000</t>
        </is>
      </c>
    </row>
    <row outlineLevel="0" r="1870">
      <c r="A1870" s="4108" t="inlineStr">
        <is>
          <t>135792468202107340505</t>
        </is>
      </c>
      <c r="B1870" s="4108" t="inlineStr">
        <is>
          <t>340505</t>
        </is>
      </c>
      <c r="C1870" s="4108" t="inlineStr">
        <is>
          <t>135792468</t>
        </is>
      </c>
      <c r="D1870" s="4108" t="inlineStr">
        <is>
          <t>202107</t>
        </is>
      </c>
      <c r="E1870" s="4108" t="inlineStr">
        <is>
          <t>8,000000000000</t>
        </is>
      </c>
    </row>
    <row outlineLevel="0" r="1871">
      <c r="A1871" s="4108" t="inlineStr">
        <is>
          <t>135792468202107331500</t>
        </is>
      </c>
      <c r="B1871" s="4108" t="inlineStr">
        <is>
          <t>331500</t>
        </is>
      </c>
      <c r="C1871" s="4108" t="inlineStr">
        <is>
          <t>135792468</t>
        </is>
      </c>
      <c r="D1871" s="4108" t="inlineStr">
        <is>
          <t>202107</t>
        </is>
      </c>
      <c r="E1871" s="4108" t="inlineStr">
        <is>
          <t>7,000000000000</t>
        </is>
      </c>
    </row>
    <row outlineLevel="0" r="1872">
      <c r="A1872" s="4108" t="inlineStr">
        <is>
          <t>135792468202107331000</t>
        </is>
      </c>
      <c r="B1872" s="4108" t="inlineStr">
        <is>
          <t>331000</t>
        </is>
      </c>
      <c r="C1872" s="4108" t="inlineStr">
        <is>
          <t>135792468</t>
        </is>
      </c>
      <c r="D1872" s="4108" t="inlineStr">
        <is>
          <t>202107</t>
        </is>
      </c>
      <c r="E1872" s="4108" t="inlineStr">
        <is>
          <t>8,000000000000</t>
        </is>
      </c>
    </row>
    <row outlineLevel="0" r="1873">
      <c r="A1873" s="4108" t="inlineStr">
        <is>
          <t>135792468202107322500</t>
        </is>
      </c>
      <c r="B1873" s="4108" t="inlineStr">
        <is>
          <t>322500</t>
        </is>
      </c>
      <c r="C1873" s="4108" t="inlineStr">
        <is>
          <t>135792468</t>
        </is>
      </c>
      <c r="D1873" s="4108" t="inlineStr">
        <is>
          <t>202107</t>
        </is>
      </c>
      <c r="E1873" s="4108" t="inlineStr">
        <is>
          <t>5,000000000000</t>
        </is>
      </c>
    </row>
    <row outlineLevel="0" r="1874">
      <c r="A1874" s="4108" t="inlineStr">
        <is>
          <t>135792468202107330500</t>
        </is>
      </c>
      <c r="B1874" s="4108" t="inlineStr">
        <is>
          <t>330500</t>
        </is>
      </c>
      <c r="C1874" s="4108" t="inlineStr">
        <is>
          <t>135792468</t>
        </is>
      </c>
      <c r="D1874" s="4108" t="inlineStr">
        <is>
          <t>202107</t>
        </is>
      </c>
      <c r="E1874" s="4108" t="inlineStr">
        <is>
          <t>9,000000000000</t>
        </is>
      </c>
    </row>
    <row outlineLevel="0" r="1875">
      <c r="A1875" s="4108" t="inlineStr">
        <is>
          <t>135792468202107322000</t>
        </is>
      </c>
      <c r="B1875" s="4108" t="inlineStr">
        <is>
          <t>322000</t>
        </is>
      </c>
      <c r="C1875" s="4108" t="inlineStr">
        <is>
          <t>135792468</t>
        </is>
      </c>
      <c r="D1875" s="4108" t="inlineStr">
        <is>
          <t>202107</t>
        </is>
      </c>
      <c r="E1875" s="4108" t="inlineStr">
        <is>
          <t>6,000000000000</t>
        </is>
      </c>
    </row>
    <row outlineLevel="0" r="1876">
      <c r="A1876" s="4108" t="inlineStr">
        <is>
          <t>135792468202107321500</t>
        </is>
      </c>
      <c r="B1876" s="4108" t="inlineStr">
        <is>
          <t>321500</t>
        </is>
      </c>
      <c r="C1876" s="4108" t="inlineStr">
        <is>
          <t>135792468</t>
        </is>
      </c>
      <c r="D1876" s="4108" t="inlineStr">
        <is>
          <t>202107</t>
        </is>
      </c>
      <c r="E1876" s="4108" t="inlineStr">
        <is>
          <t>7,000000000000</t>
        </is>
      </c>
    </row>
    <row outlineLevel="0" r="1877">
      <c r="A1877" s="4108" t="inlineStr">
        <is>
          <t>135792468202107321000</t>
        </is>
      </c>
      <c r="B1877" s="4108" t="inlineStr">
        <is>
          <t>321000</t>
        </is>
      </c>
      <c r="C1877" s="4108" t="inlineStr">
        <is>
          <t>135792468</t>
        </is>
      </c>
      <c r="D1877" s="4108" t="inlineStr">
        <is>
          <t>202107</t>
        </is>
      </c>
      <c r="E1877" s="4108" t="inlineStr">
        <is>
          <t>8,000000000000</t>
        </is>
      </c>
    </row>
    <row outlineLevel="0" r="1878">
      <c r="A1878" s="4108" t="inlineStr">
        <is>
          <t>135792468202107320500</t>
        </is>
      </c>
      <c r="B1878" s="4108" t="inlineStr">
        <is>
          <t>320500</t>
        </is>
      </c>
      <c r="C1878" s="4108" t="inlineStr">
        <is>
          <t>135792468</t>
        </is>
      </c>
      <c r="D1878" s="4108" t="inlineStr">
        <is>
          <t>202107</t>
        </is>
      </c>
      <c r="E1878" s="4108" t="inlineStr">
        <is>
          <t>9,000000000000</t>
        </is>
      </c>
    </row>
    <row outlineLevel="0" r="1879">
      <c r="A1879" s="4108" t="inlineStr">
        <is>
          <t>135792468202107314000</t>
        </is>
      </c>
      <c r="B1879" s="4108" t="inlineStr">
        <is>
          <t>314000</t>
        </is>
      </c>
      <c r="C1879" s="4108" t="inlineStr">
        <is>
          <t>135792468</t>
        </is>
      </c>
      <c r="D1879" s="4108" t="inlineStr">
        <is>
          <t>202107</t>
        </is>
      </c>
      <c r="E1879" s="4108" t="inlineStr">
        <is>
          <t>7,000000000000</t>
        </is>
      </c>
    </row>
    <row outlineLevel="0" r="1880">
      <c r="A1880" s="4108" t="inlineStr">
        <is>
          <t>135792468202107313500</t>
        </is>
      </c>
      <c r="B1880" s="4108" t="inlineStr">
        <is>
          <t>313500</t>
        </is>
      </c>
      <c r="C1880" s="4108" t="inlineStr">
        <is>
          <t>135792468</t>
        </is>
      </c>
      <c r="D1880" s="4108" t="inlineStr">
        <is>
          <t>202107</t>
        </is>
      </c>
      <c r="E1880" s="4108" t="inlineStr">
        <is>
          <t>6,000000000000</t>
        </is>
      </c>
    </row>
    <row outlineLevel="0" r="1881">
      <c r="A1881" s="4108" t="inlineStr">
        <is>
          <t>135792468202107312500</t>
        </is>
      </c>
      <c r="B1881" s="4108" t="inlineStr">
        <is>
          <t>312500</t>
        </is>
      </c>
      <c r="C1881" s="4108" t="inlineStr">
        <is>
          <t>135792468</t>
        </is>
      </c>
      <c r="D1881" s="4108" t="inlineStr">
        <is>
          <t>202107</t>
        </is>
      </c>
      <c r="E1881" s="4108" t="inlineStr">
        <is>
          <t>4,000000000000</t>
        </is>
      </c>
    </row>
    <row outlineLevel="0" r="1882">
      <c r="A1882" s="4108" t="inlineStr">
        <is>
          <t>135792468202107313000</t>
        </is>
      </c>
      <c r="B1882" s="4108" t="inlineStr">
        <is>
          <t>313000</t>
        </is>
      </c>
      <c r="C1882" s="4108" t="inlineStr">
        <is>
          <t>135792468</t>
        </is>
      </c>
      <c r="D1882" s="4108" t="inlineStr">
        <is>
          <t>202107</t>
        </is>
      </c>
      <c r="E1882" s="4108" t="inlineStr">
        <is>
          <t>5,000000000000</t>
        </is>
      </c>
    </row>
    <row outlineLevel="0" r="1883">
      <c r="A1883" s="4108" t="inlineStr">
        <is>
          <t>135792468202107312000</t>
        </is>
      </c>
      <c r="B1883" s="4108" t="inlineStr">
        <is>
          <t>312000</t>
        </is>
      </c>
      <c r="C1883" s="4108" t="inlineStr">
        <is>
          <t>135792468</t>
        </is>
      </c>
      <c r="D1883" s="4108" t="inlineStr">
        <is>
          <t>202107</t>
        </is>
      </c>
      <c r="E1883" s="4108" t="inlineStr">
        <is>
          <t>3,000000000000</t>
        </is>
      </c>
    </row>
    <row outlineLevel="0" r="1884">
      <c r="A1884" s="4108" t="inlineStr">
        <is>
          <t>135792468202107311500</t>
        </is>
      </c>
      <c r="B1884" s="4108" t="inlineStr">
        <is>
          <t>311500</t>
        </is>
      </c>
      <c r="C1884" s="4108" t="inlineStr">
        <is>
          <t>135792468</t>
        </is>
      </c>
      <c r="D1884" s="4108" t="inlineStr">
        <is>
          <t>202107</t>
        </is>
      </c>
      <c r="E1884" s="4108" t="inlineStr">
        <is>
          <t>2,000000000000</t>
        </is>
      </c>
    </row>
    <row outlineLevel="0" r="1885">
      <c r="A1885" s="4108" t="inlineStr">
        <is>
          <t>135792468202107310500</t>
        </is>
      </c>
      <c r="B1885" s="4108" t="inlineStr">
        <is>
          <t>310500</t>
        </is>
      </c>
      <c r="C1885" s="4108" t="inlineStr">
        <is>
          <t>135792468</t>
        </is>
      </c>
      <c r="D1885" s="4108" t="inlineStr">
        <is>
          <t>202107</t>
        </is>
      </c>
      <c r="E1885" s="4108" t="inlineStr">
        <is>
          <t>125,000000000000</t>
        </is>
      </c>
    </row>
    <row outlineLevel="0" r="1886">
      <c r="A1886" s="4108" t="inlineStr">
        <is>
          <t>135792468202107299501</t>
        </is>
      </c>
      <c r="B1886" s="4108" t="inlineStr">
        <is>
          <t>299501</t>
        </is>
      </c>
      <c r="C1886" s="4108" t="inlineStr">
        <is>
          <t>135792468</t>
        </is>
      </c>
      <c r="D1886" s="4108" t="inlineStr">
        <is>
          <t>202107</t>
        </is>
      </c>
      <c r="E1886" s="4108" t="inlineStr">
        <is>
          <t>6,000000000000</t>
        </is>
      </c>
    </row>
    <row outlineLevel="0" r="1887">
      <c r="A1887" s="4108" t="inlineStr">
        <is>
          <t>135792468202107294000</t>
        </is>
      </c>
      <c r="B1887" s="4108" t="inlineStr">
        <is>
          <t>294000</t>
        </is>
      </c>
      <c r="C1887" s="4108" t="inlineStr">
        <is>
          <t>135792468</t>
        </is>
      </c>
      <c r="D1887" s="4108" t="inlineStr">
        <is>
          <t>202107</t>
        </is>
      </c>
      <c r="E1887" s="4108" t="inlineStr">
        <is>
          <t>8,000000000000</t>
        </is>
      </c>
    </row>
    <row outlineLevel="0" r="1888">
      <c r="A1888" s="4108" t="inlineStr">
        <is>
          <t>135792468202107293000</t>
        </is>
      </c>
      <c r="B1888" s="4108" t="inlineStr">
        <is>
          <t>293000</t>
        </is>
      </c>
      <c r="C1888" s="4108" t="inlineStr">
        <is>
          <t>135792468</t>
        </is>
      </c>
      <c r="D1888" s="4108" t="inlineStr">
        <is>
          <t>202107</t>
        </is>
      </c>
      <c r="E1888" s="4108" t="inlineStr">
        <is>
          <t>7,000000000000</t>
        </is>
      </c>
    </row>
    <row outlineLevel="0" r="1889">
      <c r="A1889" s="4108" t="inlineStr">
        <is>
          <t>135792468202107292000</t>
        </is>
      </c>
      <c r="B1889" s="4108" t="inlineStr">
        <is>
          <t>292000</t>
        </is>
      </c>
      <c r="C1889" s="4108" t="inlineStr">
        <is>
          <t>135792468</t>
        </is>
      </c>
      <c r="D1889" s="4108" t="inlineStr">
        <is>
          <t>202107</t>
        </is>
      </c>
      <c r="E1889" s="4108" t="inlineStr">
        <is>
          <t>6,000000000000</t>
        </is>
      </c>
    </row>
    <row outlineLevel="0" r="1890">
      <c r="A1890" s="4108" t="inlineStr">
        <is>
          <t>135792468202107292001</t>
        </is>
      </c>
      <c r="B1890" s="4108" t="inlineStr">
        <is>
          <t>292001</t>
        </is>
      </c>
      <c r="C1890" s="4108" t="inlineStr">
        <is>
          <t>135792468</t>
        </is>
      </c>
      <c r="D1890" s="4108" t="inlineStr">
        <is>
          <t>202107</t>
        </is>
      </c>
      <c r="E1890" s="4108" t="inlineStr">
        <is>
          <t>5,000000000000</t>
        </is>
      </c>
    </row>
    <row outlineLevel="0" r="1891">
      <c r="A1891" s="4108" t="inlineStr">
        <is>
          <t>135792468202107291991</t>
        </is>
      </c>
      <c r="B1891" s="4108" t="inlineStr">
        <is>
          <t>291991</t>
        </is>
      </c>
      <c r="C1891" s="4108" t="inlineStr">
        <is>
          <t>135792468</t>
        </is>
      </c>
      <c r="D1891" s="4108" t="inlineStr">
        <is>
          <t>202107</t>
        </is>
      </c>
      <c r="E1891" s="4108" t="inlineStr">
        <is>
          <t>4,000000000000</t>
        </is>
      </c>
    </row>
    <row outlineLevel="0" r="1892">
      <c r="A1892" s="4108" t="inlineStr">
        <is>
          <t>135792468202107291501</t>
        </is>
      </c>
      <c r="B1892" s="4108" t="inlineStr">
        <is>
          <t>291501</t>
        </is>
      </c>
      <c r="C1892" s="4108" t="inlineStr">
        <is>
          <t>135792468</t>
        </is>
      </c>
      <c r="D1892" s="4108" t="inlineStr">
        <is>
          <t>202107</t>
        </is>
      </c>
      <c r="E1892" s="4108" t="inlineStr">
        <is>
          <t>0,000000000000</t>
        </is>
      </c>
    </row>
    <row outlineLevel="0" r="1893">
      <c r="A1893" s="4108" t="inlineStr">
        <is>
          <t>135792468202107291000</t>
        </is>
      </c>
      <c r="B1893" s="4108" t="inlineStr">
        <is>
          <t>291000</t>
        </is>
      </c>
      <c r="C1893" s="4108" t="inlineStr">
        <is>
          <t>135792468</t>
        </is>
      </c>
      <c r="D1893" s="4108" t="inlineStr">
        <is>
          <t>202107</t>
        </is>
      </c>
      <c r="E1893" s="4108" t="inlineStr">
        <is>
          <t>5,000000000000</t>
        </is>
      </c>
    </row>
    <row outlineLevel="0" r="1894">
      <c r="A1894" s="4108" t="inlineStr">
        <is>
          <t>135792468202107290501</t>
        </is>
      </c>
      <c r="B1894" s="4108" t="inlineStr">
        <is>
          <t>290501</t>
        </is>
      </c>
      <c r="C1894" s="4108" t="inlineStr">
        <is>
          <t>135792468</t>
        </is>
      </c>
      <c r="D1894" s="4108" t="inlineStr">
        <is>
          <t>202107</t>
        </is>
      </c>
      <c r="E1894" s="4108" t="inlineStr">
        <is>
          <t>0,000000000000</t>
        </is>
      </c>
    </row>
    <row outlineLevel="0" r="1895">
      <c r="A1895" s="4108" t="inlineStr">
        <is>
          <t>135792468202107289500</t>
        </is>
      </c>
      <c r="B1895" s="4108" t="inlineStr">
        <is>
          <t>289500</t>
        </is>
      </c>
      <c r="C1895" s="4108" t="inlineStr">
        <is>
          <t>135792468</t>
        </is>
      </c>
      <c r="D1895" s="4108" t="inlineStr">
        <is>
          <t>202107</t>
        </is>
      </c>
      <c r="E1895" s="4108" t="inlineStr">
        <is>
          <t>1,000000000000</t>
        </is>
      </c>
    </row>
    <row outlineLevel="0" r="1896">
      <c r="A1896" s="4108" t="inlineStr">
        <is>
          <t>135792468202107284000</t>
        </is>
      </c>
      <c r="B1896" s="4108" t="inlineStr">
        <is>
          <t>284000</t>
        </is>
      </c>
      <c r="C1896" s="4108" t="inlineStr">
        <is>
          <t>135792468</t>
        </is>
      </c>
      <c r="D1896" s="4108" t="inlineStr">
        <is>
          <t>202107</t>
        </is>
      </c>
      <c r="E1896" s="4108" t="inlineStr">
        <is>
          <t>9,000000000000</t>
        </is>
      </c>
    </row>
    <row outlineLevel="0" r="1897">
      <c r="A1897" s="4108" t="inlineStr">
        <is>
          <t>135792468202107282000</t>
        </is>
      </c>
      <c r="B1897" s="4108" t="inlineStr">
        <is>
          <t>282000</t>
        </is>
      </c>
      <c r="C1897" s="4108" t="inlineStr">
        <is>
          <t>135792468</t>
        </is>
      </c>
      <c r="D1897" s="4108" t="inlineStr">
        <is>
          <t>202107</t>
        </is>
      </c>
      <c r="E1897" s="4108" t="inlineStr">
        <is>
          <t>7,000000000000</t>
        </is>
      </c>
    </row>
    <row outlineLevel="0" r="1898">
      <c r="A1898" s="4108" t="inlineStr">
        <is>
          <t>135792468202107282500</t>
        </is>
      </c>
      <c r="B1898" s="4108" t="inlineStr">
        <is>
          <t>282500</t>
        </is>
      </c>
      <c r="C1898" s="4108" t="inlineStr">
        <is>
          <t>135792468</t>
        </is>
      </c>
      <c r="D1898" s="4108" t="inlineStr">
        <is>
          <t>202107</t>
        </is>
      </c>
      <c r="E1898" s="4108" t="inlineStr">
        <is>
          <t>8,000000000000</t>
        </is>
      </c>
    </row>
    <row outlineLevel="0" r="1899">
      <c r="A1899" s="4108" t="inlineStr">
        <is>
          <t>135792468202107281000</t>
        </is>
      </c>
      <c r="B1899" s="4108" t="inlineStr">
        <is>
          <t>281000</t>
        </is>
      </c>
      <c r="C1899" s="4108" t="inlineStr">
        <is>
          <t>135792468</t>
        </is>
      </c>
      <c r="D1899" s="4108" t="inlineStr">
        <is>
          <t>202107</t>
        </is>
      </c>
      <c r="E1899" s="4108" t="inlineStr">
        <is>
          <t>6,000000000000</t>
        </is>
      </c>
    </row>
    <row outlineLevel="0" r="1900">
      <c r="A1900" s="4108" t="inlineStr">
        <is>
          <t>135792468202107279501</t>
        </is>
      </c>
      <c r="B1900" s="4108" t="inlineStr">
        <is>
          <t>279501</t>
        </is>
      </c>
      <c r="C1900" s="4108" t="inlineStr">
        <is>
          <t>135792468</t>
        </is>
      </c>
      <c r="D1900" s="4108" t="inlineStr">
        <is>
          <t>202107</t>
        </is>
      </c>
      <c r="E1900" s="4108" t="inlineStr">
        <is>
          <t>3,000000000000</t>
        </is>
      </c>
    </row>
    <row outlineLevel="0" r="1901">
      <c r="A1901" s="4108" t="inlineStr">
        <is>
          <t>135792468202107279500</t>
        </is>
      </c>
      <c r="B1901" s="4108" t="inlineStr">
        <is>
          <t>279500</t>
        </is>
      </c>
      <c r="C1901" s="4108" t="inlineStr">
        <is>
          <t>135792468</t>
        </is>
      </c>
      <c r="D1901" s="4108" t="inlineStr">
        <is>
          <t>202107</t>
        </is>
      </c>
      <c r="E1901" s="4108" t="inlineStr">
        <is>
          <t>8,000000000000</t>
        </is>
      </c>
    </row>
    <row outlineLevel="0" r="1902">
      <c r="A1902" s="4108" t="inlineStr">
        <is>
          <t>135792468202107272501</t>
        </is>
      </c>
      <c r="B1902" s="4108" t="inlineStr">
        <is>
          <t>272501</t>
        </is>
      </c>
      <c r="C1902" s="4108" t="inlineStr">
        <is>
          <t>135792468</t>
        </is>
      </c>
      <c r="D1902" s="4108" t="inlineStr">
        <is>
          <t>202107</t>
        </is>
      </c>
      <c r="E1902" s="4108" t="inlineStr">
        <is>
          <t>9,000000000000</t>
        </is>
      </c>
    </row>
    <row outlineLevel="0" r="1903">
      <c r="A1903" s="4108" t="inlineStr">
        <is>
          <t>135792468202107272500</t>
        </is>
      </c>
      <c r="B1903" s="4108" t="inlineStr">
        <is>
          <t>272500</t>
        </is>
      </c>
      <c r="C1903" s="4108" t="inlineStr">
        <is>
          <t>135792468</t>
        </is>
      </c>
      <c r="D1903" s="4108" t="inlineStr">
        <is>
          <t>202107</t>
        </is>
      </c>
      <c r="E1903" s="4108" t="inlineStr">
        <is>
          <t>7,000000000000</t>
        </is>
      </c>
    </row>
    <row outlineLevel="0" r="1904">
      <c r="A1904" s="4108" t="inlineStr">
        <is>
          <t>135792468202107272001</t>
        </is>
      </c>
      <c r="B1904" s="4108" t="inlineStr">
        <is>
          <t>272001</t>
        </is>
      </c>
      <c r="C1904" s="4108" t="inlineStr">
        <is>
          <t>135792468</t>
        </is>
      </c>
      <c r="D1904" s="4108" t="inlineStr">
        <is>
          <t>202107</t>
        </is>
      </c>
      <c r="E1904" s="4108" t="inlineStr">
        <is>
          <t>8,000000000000</t>
        </is>
      </c>
    </row>
    <row outlineLevel="0" r="1905">
      <c r="A1905" s="4108" t="inlineStr">
        <is>
          <t>135792468202107271000</t>
        </is>
      </c>
      <c r="B1905" s="4108" t="inlineStr">
        <is>
          <t>271000</t>
        </is>
      </c>
      <c r="C1905" s="4108" t="inlineStr">
        <is>
          <t>135792468</t>
        </is>
      </c>
      <c r="D1905" s="4108" t="inlineStr">
        <is>
          <t>202107</t>
        </is>
      </c>
      <c r="E1905" s="4108" t="inlineStr">
        <is>
          <t>6,000000000000</t>
        </is>
      </c>
    </row>
    <row outlineLevel="0" r="1906">
      <c r="A1906" s="4108" t="inlineStr">
        <is>
          <t>135792468202107271001</t>
        </is>
      </c>
      <c r="B1906" s="4108" t="inlineStr">
        <is>
          <t>271001</t>
        </is>
      </c>
      <c r="C1906" s="4108" t="inlineStr">
        <is>
          <t>135792468</t>
        </is>
      </c>
      <c r="D1906" s="4108" t="inlineStr">
        <is>
          <t>202107</t>
        </is>
      </c>
      <c r="E1906" s="4108" t="inlineStr">
        <is>
          <t>7,000000000000</t>
        </is>
      </c>
    </row>
    <row outlineLevel="0" r="1907">
      <c r="A1907" s="4108" t="inlineStr">
        <is>
          <t>135792468202107270501</t>
        </is>
      </c>
      <c r="B1907" s="4108" t="inlineStr">
        <is>
          <t>270501</t>
        </is>
      </c>
      <c r="C1907" s="4108" t="inlineStr">
        <is>
          <t>135792468</t>
        </is>
      </c>
      <c r="D1907" s="4108" t="inlineStr">
        <is>
          <t>202107</t>
        </is>
      </c>
      <c r="E1907" s="4108" t="inlineStr">
        <is>
          <t>6,000000000000</t>
        </is>
      </c>
    </row>
    <row outlineLevel="0" r="1908">
      <c r="A1908" s="4108" t="inlineStr">
        <is>
          <t>135792468202107270500</t>
        </is>
      </c>
      <c r="B1908" s="4108" t="inlineStr">
        <is>
          <t>270500</t>
        </is>
      </c>
      <c r="C1908" s="4108" t="inlineStr">
        <is>
          <t>135792468</t>
        </is>
      </c>
      <c r="D1908" s="4108" t="inlineStr">
        <is>
          <t>202107</t>
        </is>
      </c>
      <c r="E1908" s="4108" t="inlineStr">
        <is>
          <t>5,000000000000</t>
        </is>
      </c>
    </row>
    <row outlineLevel="0" r="1909">
      <c r="A1909" s="4108" t="inlineStr">
        <is>
          <t>135792468202107269501</t>
        </is>
      </c>
      <c r="B1909" s="4108" t="inlineStr">
        <is>
          <t>269501</t>
        </is>
      </c>
      <c r="C1909" s="4108" t="inlineStr">
        <is>
          <t>135792468</t>
        </is>
      </c>
      <c r="D1909" s="4108" t="inlineStr">
        <is>
          <t>202107</t>
        </is>
      </c>
      <c r="E1909" s="4108" t="inlineStr">
        <is>
          <t>1,000000000000</t>
        </is>
      </c>
    </row>
    <row outlineLevel="0" r="1910">
      <c r="A1910" s="4108" t="inlineStr">
        <is>
          <t>135792468202107269500</t>
        </is>
      </c>
      <c r="B1910" s="4108" t="inlineStr">
        <is>
          <t>269500</t>
        </is>
      </c>
      <c r="C1910" s="4108" t="inlineStr">
        <is>
          <t>135792468</t>
        </is>
      </c>
      <c r="D1910" s="4108" t="inlineStr">
        <is>
          <t>202107</t>
        </is>
      </c>
      <c r="E1910" s="4108" t="inlineStr">
        <is>
          <t>9,000000000000</t>
        </is>
      </c>
    </row>
    <row outlineLevel="0" r="1911">
      <c r="A1911" s="4108" t="inlineStr">
        <is>
          <t>135792468202107264001</t>
        </is>
      </c>
      <c r="B1911" s="4108" t="inlineStr">
        <is>
          <t>264001</t>
        </is>
      </c>
      <c r="C1911" s="4108" t="inlineStr">
        <is>
          <t>135792468</t>
        </is>
      </c>
      <c r="D1911" s="4108" t="inlineStr">
        <is>
          <t>202107</t>
        </is>
      </c>
      <c r="E1911" s="4108" t="inlineStr">
        <is>
          <t>9,000000000000</t>
        </is>
      </c>
    </row>
    <row outlineLevel="0" r="1912">
      <c r="A1912" s="4108" t="inlineStr">
        <is>
          <t>135792468202107264000</t>
        </is>
      </c>
      <c r="B1912" s="4108" t="inlineStr">
        <is>
          <t>264000</t>
        </is>
      </c>
      <c r="C1912" s="4108" t="inlineStr">
        <is>
          <t>135792468</t>
        </is>
      </c>
      <c r="D1912" s="4108" t="inlineStr">
        <is>
          <t>202107</t>
        </is>
      </c>
      <c r="E1912" s="4108" t="inlineStr">
        <is>
          <t>8,000000000000</t>
        </is>
      </c>
    </row>
    <row outlineLevel="0" r="1913">
      <c r="A1913" s="4108" t="inlineStr">
        <is>
          <t>135792468202107263500</t>
        </is>
      </c>
      <c r="B1913" s="4108" t="inlineStr">
        <is>
          <t>263500</t>
        </is>
      </c>
      <c r="C1913" s="4108" t="inlineStr">
        <is>
          <t>135792468</t>
        </is>
      </c>
      <c r="D1913" s="4108" t="inlineStr">
        <is>
          <t>202107</t>
        </is>
      </c>
      <c r="E1913" s="4108" t="inlineStr">
        <is>
          <t>7,000000000000</t>
        </is>
      </c>
    </row>
    <row outlineLevel="0" r="1914">
      <c r="A1914" s="4108" t="inlineStr">
        <is>
          <t>135792468202107263501</t>
        </is>
      </c>
      <c r="B1914" s="4108" t="inlineStr">
        <is>
          <t>263501</t>
        </is>
      </c>
      <c r="C1914" s="4108" t="inlineStr">
        <is>
          <t>135792468</t>
        </is>
      </c>
      <c r="D1914" s="4108" t="inlineStr">
        <is>
          <t>202107</t>
        </is>
      </c>
      <c r="E1914" s="4108" t="inlineStr">
        <is>
          <t>8,000000000000</t>
        </is>
      </c>
    </row>
    <row outlineLevel="0" r="1915">
      <c r="A1915" s="4108" t="inlineStr">
        <is>
          <t>135792468202107263001</t>
        </is>
      </c>
      <c r="B1915" s="4108" t="inlineStr">
        <is>
          <t>263001</t>
        </is>
      </c>
      <c r="C1915" s="4108" t="inlineStr">
        <is>
          <t>135792468</t>
        </is>
      </c>
      <c r="D1915" s="4108" t="inlineStr">
        <is>
          <t>202107</t>
        </is>
      </c>
      <c r="E1915" s="4108" t="inlineStr">
        <is>
          <t>7,000000000000</t>
        </is>
      </c>
    </row>
    <row outlineLevel="0" r="1916">
      <c r="A1916" s="4108" t="inlineStr">
        <is>
          <t>135792468202107263000</t>
        </is>
      </c>
      <c r="B1916" s="4108" t="inlineStr">
        <is>
          <t>263000</t>
        </is>
      </c>
      <c r="C1916" s="4108" t="inlineStr">
        <is>
          <t>135792468</t>
        </is>
      </c>
      <c r="D1916" s="4108" t="inlineStr">
        <is>
          <t>202107</t>
        </is>
      </c>
      <c r="E1916" s="4108" t="inlineStr">
        <is>
          <t>6,000000000000</t>
        </is>
      </c>
    </row>
    <row outlineLevel="0" r="1917">
      <c r="A1917" s="4108" t="inlineStr">
        <is>
          <t>135792468202107262501</t>
        </is>
      </c>
      <c r="B1917" s="4108" t="inlineStr">
        <is>
          <t>262501</t>
        </is>
      </c>
      <c r="C1917" s="4108" t="inlineStr">
        <is>
          <t>135792468</t>
        </is>
      </c>
      <c r="D1917" s="4108" t="inlineStr">
        <is>
          <t>202107</t>
        </is>
      </c>
      <c r="E1917" s="4108" t="inlineStr">
        <is>
          <t>6,000000000000</t>
        </is>
      </c>
    </row>
    <row outlineLevel="0" r="1918">
      <c r="A1918" s="4108" t="inlineStr">
        <is>
          <t>135792468202107262500</t>
        </is>
      </c>
      <c r="B1918" s="4108" t="inlineStr">
        <is>
          <t>262500</t>
        </is>
      </c>
      <c r="C1918" s="4108" t="inlineStr">
        <is>
          <t>135792468</t>
        </is>
      </c>
      <c r="D1918" s="4108" t="inlineStr">
        <is>
          <t>202107</t>
        </is>
      </c>
      <c r="E1918" s="4108" t="inlineStr">
        <is>
          <t>5,000000000000</t>
        </is>
      </c>
    </row>
    <row outlineLevel="0" r="1919">
      <c r="A1919" s="4108" t="inlineStr">
        <is>
          <t>135792468202107262001</t>
        </is>
      </c>
      <c r="B1919" s="4108" t="inlineStr">
        <is>
          <t>262001</t>
        </is>
      </c>
      <c r="C1919" s="4108" t="inlineStr">
        <is>
          <t>135792468</t>
        </is>
      </c>
      <c r="D1919" s="4108" t="inlineStr">
        <is>
          <t>202107</t>
        </is>
      </c>
      <c r="E1919" s="4108" t="inlineStr">
        <is>
          <t>5,000000000000</t>
        </is>
      </c>
    </row>
    <row outlineLevel="0" r="1920">
      <c r="A1920" s="4108" t="inlineStr">
        <is>
          <t>135792468202107262000</t>
        </is>
      </c>
      <c r="B1920" s="4108" t="inlineStr">
        <is>
          <t>262000</t>
        </is>
      </c>
      <c r="C1920" s="4108" t="inlineStr">
        <is>
          <t>135792468</t>
        </is>
      </c>
      <c r="D1920" s="4108" t="inlineStr">
        <is>
          <t>202107</t>
        </is>
      </c>
      <c r="E1920" s="4108" t="inlineStr">
        <is>
          <t>4,000000000000</t>
        </is>
      </c>
    </row>
    <row outlineLevel="0" r="1921">
      <c r="A1921" s="4108" t="inlineStr">
        <is>
          <t>135792468202107261500</t>
        </is>
      </c>
      <c r="B1921" s="4108" t="inlineStr">
        <is>
          <t>261500</t>
        </is>
      </c>
      <c r="C1921" s="4108" t="inlineStr">
        <is>
          <t>135792468</t>
        </is>
      </c>
      <c r="D1921" s="4108" t="inlineStr">
        <is>
          <t>202107</t>
        </is>
      </c>
      <c r="E1921" s="4108" t="inlineStr">
        <is>
          <t>3,000000000000</t>
        </is>
      </c>
    </row>
    <row outlineLevel="0" r="1922">
      <c r="A1922" s="4108" t="inlineStr">
        <is>
          <t>135792468202107261501</t>
        </is>
      </c>
      <c r="B1922" s="4108" t="inlineStr">
        <is>
          <t>261501</t>
        </is>
      </c>
      <c r="C1922" s="4108" t="inlineStr">
        <is>
          <t>135792468</t>
        </is>
      </c>
      <c r="D1922" s="4108" t="inlineStr">
        <is>
          <t>202107</t>
        </is>
      </c>
      <c r="E1922" s="4108" t="inlineStr">
        <is>
          <t>4,000000000000</t>
        </is>
      </c>
    </row>
    <row outlineLevel="0" r="1923">
      <c r="A1923" s="4108" t="inlineStr">
        <is>
          <t>135792468202107261001</t>
        </is>
      </c>
      <c r="B1923" s="4108" t="inlineStr">
        <is>
          <t>261001</t>
        </is>
      </c>
      <c r="C1923" s="4108" t="inlineStr">
        <is>
          <t>135792468</t>
        </is>
      </c>
      <c r="D1923" s="4108" t="inlineStr">
        <is>
          <t>202107</t>
        </is>
      </c>
      <c r="E1923" s="4108" t="inlineStr">
        <is>
          <t>3,000000000000</t>
        </is>
      </c>
    </row>
    <row outlineLevel="0" r="1924">
      <c r="A1924" s="4108" t="inlineStr">
        <is>
          <t>135792468202107261000</t>
        </is>
      </c>
      <c r="B1924" s="4108" t="inlineStr">
        <is>
          <t>261000</t>
        </is>
      </c>
      <c r="C1924" s="4108" t="inlineStr">
        <is>
          <t>135792468</t>
        </is>
      </c>
      <c r="D1924" s="4108" t="inlineStr">
        <is>
          <t>202107</t>
        </is>
      </c>
      <c r="E1924" s="4108" t="inlineStr">
        <is>
          <t>2,000000000000</t>
        </is>
      </c>
    </row>
    <row outlineLevel="0" r="1925">
      <c r="A1925" s="4108" t="inlineStr">
        <is>
          <t>135792468202107260501</t>
        </is>
      </c>
      <c r="B1925" s="4108" t="inlineStr">
        <is>
          <t>260501</t>
        </is>
      </c>
      <c r="C1925" s="4108" t="inlineStr">
        <is>
          <t>135792468</t>
        </is>
      </c>
      <c r="D1925" s="4108" t="inlineStr">
        <is>
          <t>202107</t>
        </is>
      </c>
      <c r="E1925" s="4108" t="inlineStr">
        <is>
          <t>2,000000000000</t>
        </is>
      </c>
    </row>
    <row outlineLevel="0" r="1926">
      <c r="A1926" s="4108" t="inlineStr">
        <is>
          <t>135792468202107260500</t>
        </is>
      </c>
      <c r="B1926" s="4108" t="inlineStr">
        <is>
          <t>260500</t>
        </is>
      </c>
      <c r="C1926" s="4108" t="inlineStr">
        <is>
          <t>135792468</t>
        </is>
      </c>
      <c r="D1926" s="4108" t="inlineStr">
        <is>
          <t>202107</t>
        </is>
      </c>
      <c r="E1926" s="4108" t="inlineStr">
        <is>
          <t>1,000000000000</t>
        </is>
      </c>
    </row>
    <row outlineLevel="0" r="1927">
      <c r="A1927" s="4108" t="inlineStr">
        <is>
          <t>135792468202107259501</t>
        </is>
      </c>
      <c r="B1927" s="4108" t="inlineStr">
        <is>
          <t>259501</t>
        </is>
      </c>
      <c r="C1927" s="4108" t="inlineStr">
        <is>
          <t>135792468</t>
        </is>
      </c>
      <c r="D1927" s="4108" t="inlineStr">
        <is>
          <t>202107</t>
        </is>
      </c>
      <c r="E1927" s="4108" t="inlineStr">
        <is>
          <t>6,000000000000</t>
        </is>
      </c>
    </row>
    <row outlineLevel="0" r="1928">
      <c r="A1928" s="4108" t="inlineStr">
        <is>
          <t>135792468202107259500</t>
        </is>
      </c>
      <c r="B1928" s="4108" t="inlineStr">
        <is>
          <t>259500</t>
        </is>
      </c>
      <c r="C1928" s="4108" t="inlineStr">
        <is>
          <t>135792468</t>
        </is>
      </c>
      <c r="D1928" s="4108" t="inlineStr">
        <is>
          <t>202107</t>
        </is>
      </c>
      <c r="E1928" s="4108" t="inlineStr">
        <is>
          <t>5,000000000000</t>
        </is>
      </c>
    </row>
    <row outlineLevel="0" r="1929">
      <c r="A1929" s="4108" t="inlineStr">
        <is>
          <t>135792468202107253000</t>
        </is>
      </c>
      <c r="B1929" s="4108" t="inlineStr">
        <is>
          <t>253000</t>
        </is>
      </c>
      <c r="C1929" s="4108" t="inlineStr">
        <is>
          <t>135792468</t>
        </is>
      </c>
      <c r="D1929" s="4108" t="inlineStr">
        <is>
          <t>202107</t>
        </is>
      </c>
      <c r="E1929" s="4108" t="inlineStr">
        <is>
          <t>7,000000000000</t>
        </is>
      </c>
    </row>
    <row outlineLevel="0" r="1930">
      <c r="A1930" s="4108" t="inlineStr">
        <is>
          <t>135792468202107253001</t>
        </is>
      </c>
      <c r="B1930" s="4108" t="inlineStr">
        <is>
          <t>253001</t>
        </is>
      </c>
      <c r="C1930" s="4108" t="inlineStr">
        <is>
          <t>135792468</t>
        </is>
      </c>
      <c r="D1930" s="4108" t="inlineStr">
        <is>
          <t>202107</t>
        </is>
      </c>
      <c r="E1930" s="4108" t="inlineStr">
        <is>
          <t>6,000000000000</t>
        </is>
      </c>
    </row>
    <row outlineLevel="0" r="1931">
      <c r="A1931" s="4108" t="inlineStr">
        <is>
          <t>135792468202107252501</t>
        </is>
      </c>
      <c r="B1931" s="4108" t="inlineStr">
        <is>
          <t>252501</t>
        </is>
      </c>
      <c r="C1931" s="4108" t="inlineStr">
        <is>
          <t>135792468</t>
        </is>
      </c>
      <c r="D1931" s="4108" t="inlineStr">
        <is>
          <t>202107</t>
        </is>
      </c>
      <c r="E1931" s="4108" t="inlineStr">
        <is>
          <t>5,000000000000</t>
        </is>
      </c>
    </row>
    <row outlineLevel="0" r="1932">
      <c r="A1932" s="4108" t="inlineStr">
        <is>
          <t>135792468202107252500</t>
        </is>
      </c>
      <c r="B1932" s="4108" t="inlineStr">
        <is>
          <t>252500</t>
        </is>
      </c>
      <c r="C1932" s="4108" t="inlineStr">
        <is>
          <t>135792468</t>
        </is>
      </c>
      <c r="D1932" s="4108" t="inlineStr">
        <is>
          <t>202107</t>
        </is>
      </c>
      <c r="E1932" s="4108" t="inlineStr">
        <is>
          <t>6,000000000000</t>
        </is>
      </c>
    </row>
    <row outlineLevel="0" r="1933">
      <c r="A1933" s="4108" t="inlineStr">
        <is>
          <t>135792468202107251501</t>
        </is>
      </c>
      <c r="B1933" s="4108" t="inlineStr">
        <is>
          <t>251501</t>
        </is>
      </c>
      <c r="C1933" s="4108" t="inlineStr">
        <is>
          <t>135792468</t>
        </is>
      </c>
      <c r="D1933" s="4108" t="inlineStr">
        <is>
          <t>202107</t>
        </is>
      </c>
      <c r="E1933" s="4108" t="inlineStr">
        <is>
          <t>4,000000000000</t>
        </is>
      </c>
    </row>
    <row outlineLevel="0" r="1934">
      <c r="A1934" s="4108" t="inlineStr">
        <is>
          <t>135792468202107251500</t>
        </is>
      </c>
      <c r="B1934" s="4108" t="inlineStr">
        <is>
          <t>251500</t>
        </is>
      </c>
      <c r="C1934" s="4108" t="inlineStr">
        <is>
          <t>135792468</t>
        </is>
      </c>
      <c r="D1934" s="4108" t="inlineStr">
        <is>
          <t>202107</t>
        </is>
      </c>
      <c r="E1934" s="4108" t="inlineStr">
        <is>
          <t>4,000000000000</t>
        </is>
      </c>
    </row>
    <row outlineLevel="0" r="1935">
      <c r="A1935" s="4108" t="inlineStr">
        <is>
          <t>135792468202107251001</t>
        </is>
      </c>
      <c r="B1935" s="4108" t="inlineStr">
        <is>
          <t>251001</t>
        </is>
      </c>
      <c r="C1935" s="4108" t="inlineStr">
        <is>
          <t>135792468</t>
        </is>
      </c>
      <c r="D1935" s="4108" t="inlineStr">
        <is>
          <t>202107</t>
        </is>
      </c>
      <c r="E1935" s="4108" t="inlineStr">
        <is>
          <t>3,000000000000</t>
        </is>
      </c>
    </row>
    <row outlineLevel="0" r="1936">
      <c r="A1936" s="4108" t="inlineStr">
        <is>
          <t>135792468202107251000</t>
        </is>
      </c>
      <c r="B1936" s="4108" t="inlineStr">
        <is>
          <t>251000</t>
        </is>
      </c>
      <c r="C1936" s="4108" t="inlineStr">
        <is>
          <t>135792468</t>
        </is>
      </c>
      <c r="D1936" s="4108" t="inlineStr">
        <is>
          <t>202107</t>
        </is>
      </c>
      <c r="E1936" s="4108" t="inlineStr">
        <is>
          <t>5,000000000000</t>
        </is>
      </c>
    </row>
    <row outlineLevel="0" r="1937">
      <c r="A1937" s="4108" t="inlineStr">
        <is>
          <t>135792468202107250500</t>
        </is>
      </c>
      <c r="B1937" s="4108" t="inlineStr">
        <is>
          <t>250500</t>
        </is>
      </c>
      <c r="C1937" s="4108" t="inlineStr">
        <is>
          <t>135792468</t>
        </is>
      </c>
      <c r="D1937" s="4108" t="inlineStr">
        <is>
          <t>202107</t>
        </is>
      </c>
      <c r="E1937" s="4108" t="inlineStr">
        <is>
          <t>6,000000000000</t>
        </is>
      </c>
    </row>
    <row outlineLevel="0" r="1938">
      <c r="A1938" s="4108" t="inlineStr">
        <is>
          <t>135792468202107250501</t>
        </is>
      </c>
      <c r="B1938" s="4108" t="inlineStr">
        <is>
          <t>250501</t>
        </is>
      </c>
      <c r="C1938" s="4108" t="inlineStr">
        <is>
          <t>135792468</t>
        </is>
      </c>
      <c r="D1938" s="4108" t="inlineStr">
        <is>
          <t>202107</t>
        </is>
      </c>
      <c r="E1938" s="4108" t="inlineStr">
        <is>
          <t>2,000000000000</t>
        </is>
      </c>
    </row>
    <row outlineLevel="0" r="1939">
      <c r="A1939" s="4108" t="inlineStr">
        <is>
          <t>135792468202107249501</t>
        </is>
      </c>
      <c r="B1939" s="4108" t="inlineStr">
        <is>
          <t>249501</t>
        </is>
      </c>
      <c r="C1939" s="4108" t="inlineStr">
        <is>
          <t>135792468</t>
        </is>
      </c>
      <c r="D1939" s="4108" t="inlineStr">
        <is>
          <t>202107</t>
        </is>
      </c>
      <c r="E1939" s="4108" t="inlineStr">
        <is>
          <t>7,000000000000</t>
        </is>
      </c>
    </row>
    <row outlineLevel="0" r="1940">
      <c r="A1940" s="4108" t="inlineStr">
        <is>
          <t>135792468202107249500</t>
        </is>
      </c>
      <c r="B1940" s="4108" t="inlineStr">
        <is>
          <t>249500</t>
        </is>
      </c>
      <c r="C1940" s="4108" t="inlineStr">
        <is>
          <t>135792468</t>
        </is>
      </c>
      <c r="D1940" s="4108" t="inlineStr">
        <is>
          <t>202107</t>
        </is>
      </c>
      <c r="E1940" s="4108" t="inlineStr">
        <is>
          <t>3,000000000000</t>
        </is>
      </c>
    </row>
    <row outlineLevel="0" r="1941">
      <c r="A1941" s="4108" t="inlineStr">
        <is>
          <t>135792468202107241201</t>
        </is>
      </c>
      <c r="B1941" s="4108" t="inlineStr">
        <is>
          <t>241201</t>
        </is>
      </c>
      <c r="C1941" s="4108" t="inlineStr">
        <is>
          <t>135792468</t>
        </is>
      </c>
      <c r="D1941" s="4108" t="inlineStr">
        <is>
          <t>202107</t>
        </is>
      </c>
      <c r="E1941" s="4108" t="inlineStr">
        <is>
          <t>6,000000000000</t>
        </is>
      </c>
    </row>
    <row outlineLevel="0" r="1942">
      <c r="A1942" s="4108" t="inlineStr">
        <is>
          <t>135792468202107241200</t>
        </is>
      </c>
      <c r="B1942" s="4108" t="inlineStr">
        <is>
          <t>241200</t>
        </is>
      </c>
      <c r="C1942" s="4108" t="inlineStr">
        <is>
          <t>135792468</t>
        </is>
      </c>
      <c r="D1942" s="4108" t="inlineStr">
        <is>
          <t>202107</t>
        </is>
      </c>
      <c r="E1942" s="4108" t="inlineStr">
        <is>
          <t>4,000000000000</t>
        </is>
      </c>
    </row>
    <row outlineLevel="0" r="1943">
      <c r="A1943" s="4108" t="inlineStr">
        <is>
          <t>135792468202107240801</t>
        </is>
      </c>
      <c r="B1943" s="4108" t="inlineStr">
        <is>
          <t>240801</t>
        </is>
      </c>
      <c r="C1943" s="4108" t="inlineStr">
        <is>
          <t>135792468</t>
        </is>
      </c>
      <c r="D1943" s="4108" t="inlineStr">
        <is>
          <t>202107</t>
        </is>
      </c>
      <c r="E1943" s="4108" t="inlineStr">
        <is>
          <t>5,000000000000</t>
        </is>
      </c>
    </row>
    <row outlineLevel="0" r="1944">
      <c r="A1944" s="4108" t="inlineStr">
        <is>
          <t>135792468202107240800</t>
        </is>
      </c>
      <c r="B1944" s="4108" t="inlineStr">
        <is>
          <t>240800</t>
        </is>
      </c>
      <c r="C1944" s="4108" t="inlineStr">
        <is>
          <t>135792468</t>
        </is>
      </c>
      <c r="D1944" s="4108" t="inlineStr">
        <is>
          <t>202107</t>
        </is>
      </c>
      <c r="E1944" s="4108" t="inlineStr">
        <is>
          <t>6,000000000000</t>
        </is>
      </c>
    </row>
    <row outlineLevel="0" r="1945">
      <c r="A1945" s="4108" t="inlineStr">
        <is>
          <t>135792468202107240400</t>
        </is>
      </c>
      <c r="B1945" s="4108" t="inlineStr">
        <is>
          <t>240400</t>
        </is>
      </c>
      <c r="C1945" s="4108" t="inlineStr">
        <is>
          <t>135792468</t>
        </is>
      </c>
      <c r="D1945" s="4108" t="inlineStr">
        <is>
          <t>202107</t>
        </is>
      </c>
      <c r="E1945" s="4108" t="inlineStr">
        <is>
          <t>7,000000000000</t>
        </is>
      </c>
    </row>
    <row outlineLevel="0" r="1946">
      <c r="A1946" s="4108" t="inlineStr">
        <is>
          <t>135792468202107240401</t>
        </is>
      </c>
      <c r="B1946" s="4108" t="inlineStr">
        <is>
          <t>240401</t>
        </is>
      </c>
      <c r="C1946" s="4108" t="inlineStr">
        <is>
          <t>135792468</t>
        </is>
      </c>
      <c r="D1946" s="4108" t="inlineStr">
        <is>
          <t>202107</t>
        </is>
      </c>
      <c r="E1946" s="4108" t="inlineStr">
        <is>
          <t>6,000000000000</t>
        </is>
      </c>
    </row>
    <row outlineLevel="0" r="1947">
      <c r="A1947" s="4108" t="inlineStr">
        <is>
          <t>135792468202107240001</t>
        </is>
      </c>
      <c r="B1947" s="4108" t="inlineStr">
        <is>
          <t>240001</t>
        </is>
      </c>
      <c r="C1947" s="4108" t="inlineStr">
        <is>
          <t>135792468</t>
        </is>
      </c>
      <c r="D1947" s="4108" t="inlineStr">
        <is>
          <t>202107</t>
        </is>
      </c>
      <c r="E1947" s="4108" t="inlineStr">
        <is>
          <t>24,000000000000</t>
        </is>
      </c>
    </row>
    <row outlineLevel="0" r="1948">
      <c r="A1948" s="4108" t="inlineStr">
        <is>
          <t>135792468202107238001</t>
        </is>
      </c>
      <c r="B1948" s="4108" t="inlineStr">
        <is>
          <t>238001</t>
        </is>
      </c>
      <c r="C1948" s="4108" t="inlineStr">
        <is>
          <t>135792468</t>
        </is>
      </c>
      <c r="D1948" s="4108" t="inlineStr">
        <is>
          <t>202107</t>
        </is>
      </c>
      <c r="E1948" s="4108" t="inlineStr">
        <is>
          <t>4,000000000000</t>
        </is>
      </c>
    </row>
    <row outlineLevel="0" r="1949">
      <c r="A1949" s="4108" t="inlineStr">
        <is>
          <t>135792468202107238000</t>
        </is>
      </c>
      <c r="B1949" s="4108" t="inlineStr">
        <is>
          <t>238000</t>
        </is>
      </c>
      <c r="C1949" s="4108" t="inlineStr">
        <is>
          <t>135792468</t>
        </is>
      </c>
      <c r="D1949" s="4108" t="inlineStr">
        <is>
          <t>202107</t>
        </is>
      </c>
      <c r="E1949" s="4108" t="inlineStr">
        <is>
          <t>5,000000000000</t>
        </is>
      </c>
    </row>
    <row outlineLevel="0" r="1950">
      <c r="A1950" s="4108" t="inlineStr">
        <is>
          <t>135792468202107237001</t>
        </is>
      </c>
      <c r="B1950" s="4108" t="inlineStr">
        <is>
          <t>237001</t>
        </is>
      </c>
      <c r="C1950" s="4108" t="inlineStr">
        <is>
          <t>135792468</t>
        </is>
      </c>
      <c r="D1950" s="4108" t="inlineStr">
        <is>
          <t>202107</t>
        </is>
      </c>
      <c r="E1950" s="4108" t="inlineStr">
        <is>
          <t>5,000000000000</t>
        </is>
      </c>
    </row>
    <row outlineLevel="0" r="1951">
      <c r="A1951" s="4108" t="inlineStr">
        <is>
          <t>135792468202107237000</t>
        </is>
      </c>
      <c r="B1951" s="4108" t="inlineStr">
        <is>
          <t>237000</t>
        </is>
      </c>
      <c r="C1951" s="4108" t="inlineStr">
        <is>
          <t>135792468</t>
        </is>
      </c>
      <c r="D1951" s="4108" t="inlineStr">
        <is>
          <t>202107</t>
        </is>
      </c>
      <c r="E1951" s="4108" t="inlineStr">
        <is>
          <t>6,000000000000</t>
        </is>
      </c>
    </row>
    <row outlineLevel="0" r="1952">
      <c r="A1952" s="4108" t="inlineStr">
        <is>
          <t>135792468202107236800</t>
        </is>
      </c>
      <c r="B1952" s="4108" t="inlineStr">
        <is>
          <t>236800</t>
        </is>
      </c>
      <c r="C1952" s="4108" t="inlineStr">
        <is>
          <t>135792468</t>
        </is>
      </c>
      <c r="D1952" s="4108" t="inlineStr">
        <is>
          <t>202107</t>
        </is>
      </c>
      <c r="E1952" s="4108" t="inlineStr">
        <is>
          <t>7,000000000000</t>
        </is>
      </c>
    </row>
    <row outlineLevel="0" r="1953">
      <c r="A1953" s="4108" t="inlineStr">
        <is>
          <t>135792468202107236700</t>
        </is>
      </c>
      <c r="B1953" s="4108" t="inlineStr">
        <is>
          <t>236700</t>
        </is>
      </c>
      <c r="C1953" s="4108" t="inlineStr">
        <is>
          <t>135792468</t>
        </is>
      </c>
      <c r="D1953" s="4108" t="inlineStr">
        <is>
          <t>202107</t>
        </is>
      </c>
      <c r="E1953" s="4108" t="inlineStr">
        <is>
          <t>8,000000000000</t>
        </is>
      </c>
    </row>
    <row outlineLevel="0" r="1954">
      <c r="A1954" s="4108" t="inlineStr">
        <is>
          <t>135792468202107236701</t>
        </is>
      </c>
      <c r="B1954" s="4108" t="inlineStr">
        <is>
          <t>236701</t>
        </is>
      </c>
      <c r="C1954" s="4108" t="inlineStr">
        <is>
          <t>135792468</t>
        </is>
      </c>
      <c r="D1954" s="4108" t="inlineStr">
        <is>
          <t>202107</t>
        </is>
      </c>
      <c r="E1954" s="4108" t="inlineStr">
        <is>
          <t>6,000000000000</t>
        </is>
      </c>
    </row>
    <row outlineLevel="0" r="1955">
      <c r="A1955" s="4108" t="inlineStr">
        <is>
          <t>135792468202107236501</t>
        </is>
      </c>
      <c r="B1955" s="4108" t="inlineStr">
        <is>
          <t>236501</t>
        </is>
      </c>
      <c r="C1955" s="4108" t="inlineStr">
        <is>
          <t>135792468</t>
        </is>
      </c>
      <c r="D1955" s="4108" t="inlineStr">
        <is>
          <t>202107</t>
        </is>
      </c>
      <c r="E1955" s="4108" t="inlineStr">
        <is>
          <t>7,000000000000</t>
        </is>
      </c>
    </row>
    <row outlineLevel="0" r="1956">
      <c r="A1956" s="4108" t="inlineStr">
        <is>
          <t>135792468202107236500</t>
        </is>
      </c>
      <c r="B1956" s="4108" t="inlineStr">
        <is>
          <t>236500</t>
        </is>
      </c>
      <c r="C1956" s="4108" t="inlineStr">
        <is>
          <t>135792468</t>
        </is>
      </c>
      <c r="D1956" s="4108" t="inlineStr">
        <is>
          <t>202107</t>
        </is>
      </c>
      <c r="E1956" s="4108" t="inlineStr">
        <is>
          <t>9,000000000000</t>
        </is>
      </c>
    </row>
    <row outlineLevel="0" r="1957">
      <c r="A1957" s="4108" t="inlineStr">
        <is>
          <t>135792468202107236001</t>
        </is>
      </c>
      <c r="B1957" s="4108" t="inlineStr">
        <is>
          <t>236001</t>
        </is>
      </c>
      <c r="C1957" s="4108" t="inlineStr">
        <is>
          <t>135792468</t>
        </is>
      </c>
      <c r="D1957" s="4108" t="inlineStr">
        <is>
          <t>202107</t>
        </is>
      </c>
      <c r="E1957" s="4108" t="inlineStr">
        <is>
          <t>8,000000000000</t>
        </is>
      </c>
    </row>
    <row outlineLevel="0" r="1958">
      <c r="A1958" s="4108" t="inlineStr">
        <is>
          <t>135792468202107236000</t>
        </is>
      </c>
      <c r="B1958" s="4108" t="inlineStr">
        <is>
          <t>236000</t>
        </is>
      </c>
      <c r="C1958" s="4108" t="inlineStr">
        <is>
          <t>135792468</t>
        </is>
      </c>
      <c r="D1958" s="4108" t="inlineStr">
        <is>
          <t>202107</t>
        </is>
      </c>
      <c r="E1958" s="4108" t="inlineStr">
        <is>
          <t>9,000000000000</t>
        </is>
      </c>
    </row>
    <row outlineLevel="0" r="1959">
      <c r="A1959" s="4108" t="inlineStr">
        <is>
          <t>135792468202107235501</t>
        </is>
      </c>
      <c r="B1959" s="4108" t="inlineStr">
        <is>
          <t>235501</t>
        </is>
      </c>
      <c r="C1959" s="4108" t="inlineStr">
        <is>
          <t>135792468</t>
        </is>
      </c>
      <c r="D1959" s="4108" t="inlineStr">
        <is>
          <t>202107</t>
        </is>
      </c>
      <c r="E1959" s="4108" t="inlineStr">
        <is>
          <t>9,000000000000</t>
        </is>
      </c>
    </row>
    <row outlineLevel="0" r="1960">
      <c r="A1960" s="4108" t="inlineStr">
        <is>
          <t>135792468202107235500</t>
        </is>
      </c>
      <c r="B1960" s="4108" t="inlineStr">
        <is>
          <t>235500</t>
        </is>
      </c>
      <c r="C1960" s="4108" t="inlineStr">
        <is>
          <t>135792468</t>
        </is>
      </c>
      <c r="D1960" s="4108" t="inlineStr">
        <is>
          <t>202107</t>
        </is>
      </c>
      <c r="E1960" s="4108" t="inlineStr">
        <is>
          <t>8,000000000000</t>
        </is>
      </c>
    </row>
    <row outlineLevel="0" r="1961">
      <c r="A1961" s="4108" t="inlineStr">
        <is>
          <t>135792468202107235000</t>
        </is>
      </c>
      <c r="B1961" s="4108" t="inlineStr">
        <is>
          <t>235000</t>
        </is>
      </c>
      <c r="C1961" s="4108" t="inlineStr">
        <is>
          <t>135792468</t>
        </is>
      </c>
      <c r="D1961" s="4108" t="inlineStr">
        <is>
          <t>202107</t>
        </is>
      </c>
      <c r="E1961" s="4108" t="inlineStr">
        <is>
          <t>7,000000000000</t>
        </is>
      </c>
    </row>
    <row outlineLevel="0" r="1962">
      <c r="A1962" s="4108" t="inlineStr">
        <is>
          <t>135792468202107235001</t>
        </is>
      </c>
      <c r="B1962" s="4108" t="inlineStr">
        <is>
          <t>235001</t>
        </is>
      </c>
      <c r="C1962" s="4108" t="inlineStr">
        <is>
          <t>135792468</t>
        </is>
      </c>
      <c r="D1962" s="4108" t="inlineStr">
        <is>
          <t>202107</t>
        </is>
      </c>
      <c r="E1962" s="4108" t="inlineStr">
        <is>
          <t>1,000000000000</t>
        </is>
      </c>
    </row>
    <row outlineLevel="0" r="1963">
      <c r="A1963" s="4108" t="inlineStr">
        <is>
          <t>135792468202107234501</t>
        </is>
      </c>
      <c r="B1963" s="4108" t="inlineStr">
        <is>
          <t>234501</t>
        </is>
      </c>
      <c r="C1963" s="4108" t="inlineStr">
        <is>
          <t>135792468</t>
        </is>
      </c>
      <c r="D1963" s="4108" t="inlineStr">
        <is>
          <t>202107</t>
        </is>
      </c>
      <c r="E1963" s="4108" t="inlineStr">
        <is>
          <t>2,000000000000</t>
        </is>
      </c>
    </row>
    <row outlineLevel="0" r="1964">
      <c r="A1964" s="4108" t="inlineStr">
        <is>
          <t>135792468202107234500</t>
        </is>
      </c>
      <c r="B1964" s="4108" t="inlineStr">
        <is>
          <t>234500</t>
        </is>
      </c>
      <c r="C1964" s="4108" t="inlineStr">
        <is>
          <t>135792468</t>
        </is>
      </c>
      <c r="D1964" s="4108" t="inlineStr">
        <is>
          <t>202107</t>
        </is>
      </c>
      <c r="E1964" s="4108" t="inlineStr">
        <is>
          <t>6,000000000000</t>
        </is>
      </c>
    </row>
    <row outlineLevel="0" r="1965">
      <c r="A1965" s="4108" t="inlineStr">
        <is>
          <t>135792468202107233501</t>
        </is>
      </c>
      <c r="B1965" s="4108" t="inlineStr">
        <is>
          <t>233501</t>
        </is>
      </c>
      <c r="C1965" s="4108" t="inlineStr">
        <is>
          <t>135792468</t>
        </is>
      </c>
      <c r="D1965" s="4108" t="inlineStr">
        <is>
          <t>202107</t>
        </is>
      </c>
      <c r="E1965" s="4108" t="inlineStr">
        <is>
          <t>3,000000000000</t>
        </is>
      </c>
    </row>
    <row outlineLevel="0" r="1966">
      <c r="A1966" s="4108" t="inlineStr">
        <is>
          <t>135792468202107233500</t>
        </is>
      </c>
      <c r="B1966" s="4108" t="inlineStr">
        <is>
          <t>233500</t>
        </is>
      </c>
      <c r="C1966" s="4108" t="inlineStr">
        <is>
          <t>135792468</t>
        </is>
      </c>
      <c r="D1966" s="4108" t="inlineStr">
        <is>
          <t>202107</t>
        </is>
      </c>
      <c r="E1966" s="4108" t="inlineStr">
        <is>
          <t>5,000000000000</t>
        </is>
      </c>
    </row>
    <row outlineLevel="0" r="1967">
      <c r="A1967" s="4108" t="inlineStr">
        <is>
          <t>135792468202107232001</t>
        </is>
      </c>
      <c r="B1967" s="4108" t="inlineStr">
        <is>
          <t>232001</t>
        </is>
      </c>
      <c r="C1967" s="4108" t="inlineStr">
        <is>
          <t>135792468</t>
        </is>
      </c>
      <c r="D1967" s="4108" t="inlineStr">
        <is>
          <t>202107</t>
        </is>
      </c>
      <c r="E1967" s="4108" t="inlineStr">
        <is>
          <t>4,000000000000</t>
        </is>
      </c>
    </row>
    <row outlineLevel="0" r="1968">
      <c r="A1968" s="4108" t="inlineStr">
        <is>
          <t>135792468202107232000</t>
        </is>
      </c>
      <c r="B1968" s="4108" t="inlineStr">
        <is>
          <t>232000</t>
        </is>
      </c>
      <c r="C1968" s="4108" t="inlineStr">
        <is>
          <t>135792468</t>
        </is>
      </c>
      <c r="D1968" s="4108" t="inlineStr">
        <is>
          <t>202107</t>
        </is>
      </c>
      <c r="E1968" s="4108" t="inlineStr">
        <is>
          <t>4,000000000000</t>
        </is>
      </c>
    </row>
    <row outlineLevel="0" r="1969">
      <c r="A1969" s="4108" t="inlineStr">
        <is>
          <t>135792468202107231500</t>
        </is>
      </c>
      <c r="B1969" s="4108" t="inlineStr">
        <is>
          <t>231500</t>
        </is>
      </c>
      <c r="C1969" s="4108" t="inlineStr">
        <is>
          <t>135792468</t>
        </is>
      </c>
      <c r="D1969" s="4108" t="inlineStr">
        <is>
          <t>202107</t>
        </is>
      </c>
      <c r="E1969" s="4108" t="inlineStr">
        <is>
          <t>3,000000000000</t>
        </is>
      </c>
    </row>
    <row outlineLevel="0" r="1970">
      <c r="A1970" s="4108" t="inlineStr">
        <is>
          <t>135792468202107231501</t>
        </is>
      </c>
      <c r="B1970" s="4108" t="inlineStr">
        <is>
          <t>231501</t>
        </is>
      </c>
      <c r="C1970" s="4108" t="inlineStr">
        <is>
          <t>135792468</t>
        </is>
      </c>
      <c r="D1970" s="4108" t="inlineStr">
        <is>
          <t>202107</t>
        </is>
      </c>
      <c r="E1970" s="4108" t="inlineStr">
        <is>
          <t>5,000000000000</t>
        </is>
      </c>
    </row>
    <row outlineLevel="0" r="1971">
      <c r="A1971" s="4108" t="inlineStr">
        <is>
          <t>135792468202107231001</t>
        </is>
      </c>
      <c r="B1971" s="4108" t="inlineStr">
        <is>
          <t>231001</t>
        </is>
      </c>
      <c r="C1971" s="4108" t="inlineStr">
        <is>
          <t>135792468</t>
        </is>
      </c>
      <c r="D1971" s="4108" t="inlineStr">
        <is>
          <t>202107</t>
        </is>
      </c>
      <c r="E1971" s="4108" t="inlineStr">
        <is>
          <t>6,000000000000</t>
        </is>
      </c>
    </row>
    <row outlineLevel="0" r="1972">
      <c r="A1972" s="4108" t="inlineStr">
        <is>
          <t>135792468202107231000</t>
        </is>
      </c>
      <c r="B1972" s="4108" t="inlineStr">
        <is>
          <t>231000</t>
        </is>
      </c>
      <c r="C1972" s="4108" t="inlineStr">
        <is>
          <t>135792468</t>
        </is>
      </c>
      <c r="D1972" s="4108" t="inlineStr">
        <is>
          <t>202107</t>
        </is>
      </c>
      <c r="E1972" s="4108" t="inlineStr">
        <is>
          <t>2,000000000000</t>
        </is>
      </c>
    </row>
    <row outlineLevel="0" r="1973">
      <c r="A1973" s="4108" t="inlineStr">
        <is>
          <t>135792468202107230501</t>
        </is>
      </c>
      <c r="B1973" s="4108" t="inlineStr">
        <is>
          <t>230501</t>
        </is>
      </c>
      <c r="C1973" s="4108" t="inlineStr">
        <is>
          <t>135792468</t>
        </is>
      </c>
      <c r="D1973" s="4108" t="inlineStr">
        <is>
          <t>202107</t>
        </is>
      </c>
      <c r="E1973" s="4108" t="inlineStr">
        <is>
          <t>7,000000000000</t>
        </is>
      </c>
    </row>
    <row outlineLevel="0" r="1974">
      <c r="A1974" s="4108" t="inlineStr">
        <is>
          <t>135792468202107230500</t>
        </is>
      </c>
      <c r="B1974" s="4108" t="inlineStr">
        <is>
          <t>230500</t>
        </is>
      </c>
      <c r="C1974" s="4108" t="inlineStr">
        <is>
          <t>135792468</t>
        </is>
      </c>
      <c r="D1974" s="4108" t="inlineStr">
        <is>
          <t>202107</t>
        </is>
      </c>
      <c r="E1974" s="4108" t="inlineStr">
        <is>
          <t>1,000000000000</t>
        </is>
      </c>
    </row>
    <row outlineLevel="0" r="1975">
      <c r="A1975" s="4108" t="inlineStr">
        <is>
          <t>135792468202107221500</t>
        </is>
      </c>
      <c r="B1975" s="4108" t="inlineStr">
        <is>
          <t>221500</t>
        </is>
      </c>
      <c r="C1975" s="4108" t="inlineStr">
        <is>
          <t>135792468</t>
        </is>
      </c>
      <c r="D1975" s="4108" t="inlineStr">
        <is>
          <t>202107</t>
        </is>
      </c>
      <c r="E1975" s="4108" t="inlineStr">
        <is>
          <t>3,000000000000</t>
        </is>
      </c>
    </row>
    <row outlineLevel="0" r="1976">
      <c r="A1976" s="4108" t="inlineStr">
        <is>
          <t>135792468202107221001</t>
        </is>
      </c>
      <c r="B1976" s="4108" t="inlineStr">
        <is>
          <t>221001</t>
        </is>
      </c>
      <c r="C1976" s="4108" t="inlineStr">
        <is>
          <t>135792468</t>
        </is>
      </c>
      <c r="D1976" s="4108" t="inlineStr">
        <is>
          <t>202107</t>
        </is>
      </c>
      <c r="E1976" s="4108" t="inlineStr">
        <is>
          <t>8,000000000000</t>
        </is>
      </c>
    </row>
    <row outlineLevel="0" r="1977">
      <c r="A1977" s="4108" t="inlineStr">
        <is>
          <t>135792468202107220501</t>
        </is>
      </c>
      <c r="B1977" s="4108" t="inlineStr">
        <is>
          <t>220501</t>
        </is>
      </c>
      <c r="C1977" s="4108" t="inlineStr">
        <is>
          <t>135792468</t>
        </is>
      </c>
      <c r="D1977" s="4108" t="inlineStr">
        <is>
          <t>202107</t>
        </is>
      </c>
      <c r="E1977" s="4108" t="inlineStr">
        <is>
          <t>9,000000000000</t>
        </is>
      </c>
    </row>
    <row outlineLevel="0" r="1978">
      <c r="A1978" s="4108" t="inlineStr">
        <is>
          <t>135792468202107221000</t>
        </is>
      </c>
      <c r="B1978" s="4108" t="inlineStr">
        <is>
          <t>221000</t>
        </is>
      </c>
      <c r="C1978" s="4108" t="inlineStr">
        <is>
          <t>135792468</t>
        </is>
      </c>
      <c r="D1978" s="4108" t="inlineStr">
        <is>
          <t>202107</t>
        </is>
      </c>
      <c r="E1978" s="4108" t="inlineStr">
        <is>
          <t>4,000000000000</t>
        </is>
      </c>
    </row>
    <row outlineLevel="0" r="1979">
      <c r="A1979" s="4108" t="inlineStr">
        <is>
          <t>135792468202107220500</t>
        </is>
      </c>
      <c r="B1979" s="4108" t="inlineStr">
        <is>
          <t>220500</t>
        </is>
      </c>
      <c r="C1979" s="4108" t="inlineStr">
        <is>
          <t>135792468</t>
        </is>
      </c>
      <c r="D1979" s="4108" t="inlineStr">
        <is>
          <t>202107</t>
        </is>
      </c>
      <c r="E1979" s="4108" t="inlineStr">
        <is>
          <t>5,000000000000</t>
        </is>
      </c>
    </row>
    <row outlineLevel="0" r="1980">
      <c r="A1980" s="4108" t="inlineStr">
        <is>
          <t>135792468202107219500</t>
        </is>
      </c>
      <c r="B1980" s="4108" t="inlineStr">
        <is>
          <t>219500</t>
        </is>
      </c>
      <c r="C1980" s="4108" t="inlineStr">
        <is>
          <t>135792468</t>
        </is>
      </c>
      <c r="D1980" s="4108" t="inlineStr">
        <is>
          <t>202107</t>
        </is>
      </c>
      <c r="E1980" s="4108" t="inlineStr">
        <is>
          <t>7,000000000000</t>
        </is>
      </c>
    </row>
    <row outlineLevel="0" r="1981">
      <c r="A1981" s="4108" t="inlineStr">
        <is>
          <t>135792468202107211500</t>
        </is>
      </c>
      <c r="B1981" s="4108" t="inlineStr">
        <is>
          <t>211500</t>
        </is>
      </c>
      <c r="C1981" s="4108" t="inlineStr">
        <is>
          <t>135792468</t>
        </is>
      </c>
      <c r="D1981" s="4108" t="inlineStr">
        <is>
          <t>202107</t>
        </is>
      </c>
      <c r="E1981" s="4108" t="inlineStr">
        <is>
          <t>6,000000000000</t>
        </is>
      </c>
    </row>
    <row outlineLevel="0" r="1982">
      <c r="A1982" s="4108" t="inlineStr">
        <is>
          <t>135792468202107211001</t>
        </is>
      </c>
      <c r="B1982" s="4108" t="inlineStr">
        <is>
          <t>211001</t>
        </is>
      </c>
      <c r="C1982" s="4108" t="inlineStr">
        <is>
          <t>135792468</t>
        </is>
      </c>
      <c r="D1982" s="4108" t="inlineStr">
        <is>
          <t>202107</t>
        </is>
      </c>
      <c r="E1982" s="4108" t="inlineStr">
        <is>
          <t>4,000000000000</t>
        </is>
      </c>
    </row>
    <row outlineLevel="0" r="1983">
      <c r="A1983" s="4108" t="inlineStr">
        <is>
          <t>135792468202107210501</t>
        </is>
      </c>
      <c r="B1983" s="4108" t="inlineStr">
        <is>
          <t>210501</t>
        </is>
      </c>
      <c r="C1983" s="4108" t="inlineStr">
        <is>
          <t>135792468</t>
        </is>
      </c>
      <c r="D1983" s="4108" t="inlineStr">
        <is>
          <t>202107</t>
        </is>
      </c>
      <c r="E1983" s="4108" t="inlineStr">
        <is>
          <t>3,000000000000</t>
        </is>
      </c>
    </row>
    <row outlineLevel="0" r="1984">
      <c r="A1984" s="4108" t="inlineStr">
        <is>
          <t>135792468202107210500</t>
        </is>
      </c>
      <c r="B1984" s="4108" t="inlineStr">
        <is>
          <t>210500</t>
        </is>
      </c>
      <c r="C1984" s="4108" t="inlineStr">
        <is>
          <t>135792468</t>
        </is>
      </c>
      <c r="D1984" s="4108" t="inlineStr">
        <is>
          <t>202107</t>
        </is>
      </c>
      <c r="E1984" s="4108" t="inlineStr">
        <is>
          <t>5,000000000000</t>
        </is>
      </c>
    </row>
    <row outlineLevel="0" r="1985">
      <c r="A1985" s="4108" t="inlineStr">
        <is>
          <t>135792468202107191001</t>
        </is>
      </c>
      <c r="B1985" s="4108" t="inlineStr">
        <is>
          <t>191001</t>
        </is>
      </c>
      <c r="C1985" s="4108" t="inlineStr">
        <is>
          <t>135792468</t>
        </is>
      </c>
      <c r="D1985" s="4108" t="inlineStr">
        <is>
          <t>202107</t>
        </is>
      </c>
      <c r="E1985" s="4108" t="inlineStr">
        <is>
          <t>5,000000000000</t>
        </is>
      </c>
    </row>
    <row outlineLevel="0" r="1986">
      <c r="A1986" s="4108" t="inlineStr">
        <is>
          <t>135792468202107199501</t>
        </is>
      </c>
      <c r="B1986" s="4108" t="inlineStr">
        <is>
          <t>199501</t>
        </is>
      </c>
      <c r="C1986" s="4108" t="inlineStr">
        <is>
          <t>135792468</t>
        </is>
      </c>
      <c r="D1986" s="4108" t="inlineStr">
        <is>
          <t>202107</t>
        </is>
      </c>
      <c r="E1986" s="4108" t="inlineStr">
        <is>
          <t>6,000000000000</t>
        </is>
      </c>
    </row>
    <row outlineLevel="0" r="1987">
      <c r="A1987" s="4108" t="inlineStr">
        <is>
          <t>135792468202107190501</t>
        </is>
      </c>
      <c r="B1987" s="4108" t="inlineStr">
        <is>
          <t>190501</t>
        </is>
      </c>
      <c r="C1987" s="4108" t="inlineStr">
        <is>
          <t>135792468</t>
        </is>
      </c>
      <c r="D1987" s="4108" t="inlineStr">
        <is>
          <t>202107</t>
        </is>
      </c>
      <c r="E1987" s="4108" t="inlineStr">
        <is>
          <t>4,000000000000</t>
        </is>
      </c>
    </row>
    <row outlineLevel="0" r="1988">
      <c r="A1988" s="4108" t="inlineStr">
        <is>
          <t>135792468202107190000</t>
        </is>
      </c>
      <c r="B1988" s="4108" t="inlineStr">
        <is>
          <t>190000</t>
        </is>
      </c>
      <c r="C1988" s="4108" t="inlineStr">
        <is>
          <t>135792468</t>
        </is>
      </c>
      <c r="D1988" s="4108" t="inlineStr">
        <is>
          <t>202107</t>
        </is>
      </c>
      <c r="E1988" s="4108" t="inlineStr">
        <is>
          <t>26,000000000000</t>
        </is>
      </c>
    </row>
    <row outlineLevel="0" r="1989">
      <c r="A1989" s="4108" t="inlineStr">
        <is>
          <t>135792468202107189901</t>
        </is>
      </c>
      <c r="B1989" s="4108" t="inlineStr">
        <is>
          <t>189901</t>
        </is>
      </c>
      <c r="C1989" s="4108" t="inlineStr">
        <is>
          <t>135792468</t>
        </is>
      </c>
      <c r="D1989" s="4108" t="inlineStr">
        <is>
          <t>202107</t>
        </is>
      </c>
      <c r="E1989" s="4108" t="inlineStr">
        <is>
          <t>4,000000000000</t>
        </is>
      </c>
    </row>
    <row outlineLevel="0" r="1990">
      <c r="A1990" s="4108" t="inlineStr">
        <is>
          <t>135792468202107189701</t>
        </is>
      </c>
      <c r="B1990" s="4108" t="inlineStr">
        <is>
          <t>189701</t>
        </is>
      </c>
      <c r="C1990" s="4108" t="inlineStr">
        <is>
          <t>135792468</t>
        </is>
      </c>
      <c r="D1990" s="4108" t="inlineStr">
        <is>
          <t>202107</t>
        </is>
      </c>
      <c r="E1990" s="4108" t="inlineStr">
        <is>
          <t>5,000000000000</t>
        </is>
      </c>
    </row>
    <row outlineLevel="0" r="1991">
      <c r="A1991" s="4108" t="inlineStr">
        <is>
          <t>135792468202107189520</t>
        </is>
      </c>
      <c r="B1991" s="4108" t="inlineStr">
        <is>
          <t>189520</t>
        </is>
      </c>
      <c r="C1991" s="4108" t="inlineStr">
        <is>
          <t>135792468</t>
        </is>
      </c>
      <c r="D1991" s="4108" t="inlineStr">
        <is>
          <t>202107</t>
        </is>
      </c>
      <c r="E1991" s="4108" t="inlineStr">
        <is>
          <t>8,000000000000</t>
        </is>
      </c>
    </row>
    <row outlineLevel="0" r="1992">
      <c r="A1992" s="4108" t="inlineStr">
        <is>
          <t>135792468202107189501</t>
        </is>
      </c>
      <c r="B1992" s="4108" t="inlineStr">
        <is>
          <t>189501</t>
        </is>
      </c>
      <c r="C1992" s="4108" t="inlineStr">
        <is>
          <t>135792468</t>
        </is>
      </c>
      <c r="D1992" s="4108" t="inlineStr">
        <is>
          <t>202107</t>
        </is>
      </c>
      <c r="E1992" s="4108" t="inlineStr">
        <is>
          <t>7,000000000000</t>
        </is>
      </c>
    </row>
    <row outlineLevel="0" r="1993">
      <c r="A1993" s="4108" t="inlineStr">
        <is>
          <t>135792468202107181000</t>
        </is>
      </c>
      <c r="B1993" s="4108" t="inlineStr">
        <is>
          <t>181000</t>
        </is>
      </c>
      <c r="C1993" s="4108" t="inlineStr">
        <is>
          <t>135792468</t>
        </is>
      </c>
      <c r="D1993" s="4108" t="inlineStr">
        <is>
          <t>202107</t>
        </is>
      </c>
      <c r="E1993" s="4108" t="inlineStr">
        <is>
          <t>5,000000000000</t>
        </is>
      </c>
    </row>
    <row outlineLevel="0" r="1994">
      <c r="A1994" s="4108" t="inlineStr">
        <is>
          <t>135792468202107189500</t>
        </is>
      </c>
      <c r="B1994" s="4108" t="inlineStr">
        <is>
          <t>189500</t>
        </is>
      </c>
      <c r="C1994" s="4108" t="inlineStr">
        <is>
          <t>135792468</t>
        </is>
      </c>
      <c r="D1994" s="4108" t="inlineStr">
        <is>
          <t>202107</t>
        </is>
      </c>
      <c r="E1994" s="4108" t="inlineStr">
        <is>
          <t>4,000000000000</t>
        </is>
      </c>
    </row>
    <row outlineLevel="0" r="1995">
      <c r="A1995" s="4108" t="inlineStr">
        <is>
          <t>135792468202107180501</t>
        </is>
      </c>
      <c r="B1995" s="4108" t="inlineStr">
        <is>
          <t>180501</t>
        </is>
      </c>
      <c r="C1995" s="4108" t="inlineStr">
        <is>
          <t>135792468</t>
        </is>
      </c>
      <c r="D1995" s="4108" t="inlineStr">
        <is>
          <t>202107</t>
        </is>
      </c>
      <c r="E1995" s="4108" t="inlineStr">
        <is>
          <t>6,000000000000</t>
        </is>
      </c>
    </row>
    <row outlineLevel="0" r="1996">
      <c r="A1996" s="4108" t="inlineStr">
        <is>
          <t>135792468202107180000</t>
        </is>
      </c>
      <c r="B1996" s="4108" t="inlineStr">
        <is>
          <t>180000</t>
        </is>
      </c>
      <c r="C1996" s="4108" t="inlineStr">
        <is>
          <t>135792468</t>
        </is>
      </c>
      <c r="D1996" s="4108" t="inlineStr">
        <is>
          <t>202107</t>
        </is>
      </c>
      <c r="E1996" s="4108" t="inlineStr">
        <is>
          <t>9,000000000000</t>
        </is>
      </c>
    </row>
    <row outlineLevel="0" r="1997">
      <c r="A1997" s="4108" t="inlineStr">
        <is>
          <t>135792468202107179801</t>
        </is>
      </c>
      <c r="B1997" s="4108" t="inlineStr">
        <is>
          <t>179801</t>
        </is>
      </c>
      <c r="C1997" s="4108" t="inlineStr">
        <is>
          <t>135792468</t>
        </is>
      </c>
      <c r="D1997" s="4108" t="inlineStr">
        <is>
          <t>202107</t>
        </is>
      </c>
      <c r="E1997" s="4108" t="inlineStr">
        <is>
          <t>3,000000000000</t>
        </is>
      </c>
    </row>
    <row outlineLevel="0" r="1998">
      <c r="A1998" s="4108" t="inlineStr">
        <is>
          <t>135792468202107179701</t>
        </is>
      </c>
      <c r="B1998" s="4108" t="inlineStr">
        <is>
          <t>179701</t>
        </is>
      </c>
      <c r="C1998" s="4108" t="inlineStr">
        <is>
          <t>135792468</t>
        </is>
      </c>
      <c r="D1998" s="4108" t="inlineStr">
        <is>
          <t>202107</t>
        </is>
      </c>
      <c r="E1998" s="4108" t="inlineStr">
        <is>
          <t>2,000000000000</t>
        </is>
      </c>
    </row>
    <row outlineLevel="0" r="1999">
      <c r="A1999" s="4108" t="inlineStr">
        <is>
          <t>135792468202107179700</t>
        </is>
      </c>
      <c r="B1999" s="4108" t="inlineStr">
        <is>
          <t>179700</t>
        </is>
      </c>
      <c r="C1999" s="4108" t="inlineStr">
        <is>
          <t>135792468</t>
        </is>
      </c>
      <c r="D1999" s="4108" t="inlineStr">
        <is>
          <t>202107</t>
        </is>
      </c>
      <c r="E1999" s="4108" t="inlineStr">
        <is>
          <t>2,000000000000</t>
        </is>
      </c>
    </row>
    <row outlineLevel="0" r="2000">
      <c r="A2000" s="4108" t="inlineStr">
        <is>
          <t>135792468202107179500</t>
        </is>
      </c>
      <c r="B2000" s="4108" t="inlineStr">
        <is>
          <t>179500</t>
        </is>
      </c>
      <c r="C2000" s="4108" t="inlineStr">
        <is>
          <t>135792468</t>
        </is>
      </c>
      <c r="D2000" s="4108" t="inlineStr">
        <is>
          <t>202107</t>
        </is>
      </c>
      <c r="E2000" s="4108" t="inlineStr">
        <is>
          <t>3,000000000000</t>
        </is>
      </c>
    </row>
    <row outlineLevel="0" r="2001">
      <c r="A2001" s="4108" t="inlineStr">
        <is>
          <t>135792468202107173000</t>
        </is>
      </c>
      <c r="B2001" s="4108" t="inlineStr">
        <is>
          <t>173000</t>
        </is>
      </c>
      <c r="C2001" s="4108" t="inlineStr">
        <is>
          <t>135792468</t>
        </is>
      </c>
      <c r="D2001" s="4108" t="inlineStr">
        <is>
          <t>202107</t>
        </is>
      </c>
      <c r="E2001" s="4108" t="inlineStr">
        <is>
          <t>4,000000000000</t>
        </is>
      </c>
    </row>
    <row outlineLevel="0" r="2002">
      <c r="A2002" s="4108" t="inlineStr">
        <is>
          <t>135792468202107173001</t>
        </is>
      </c>
      <c r="B2002" s="4108" t="inlineStr">
        <is>
          <t>173001</t>
        </is>
      </c>
      <c r="C2002" s="4108" t="inlineStr">
        <is>
          <t>135792468</t>
        </is>
      </c>
      <c r="D2002" s="4108" t="inlineStr">
        <is>
          <t>202107</t>
        </is>
      </c>
      <c r="E2002" s="4108" t="inlineStr">
        <is>
          <t>8,000000000000</t>
        </is>
      </c>
    </row>
    <row outlineLevel="0" r="2003">
      <c r="A2003" s="4108" t="inlineStr">
        <is>
          <t>135792468202107171000</t>
        </is>
      </c>
      <c r="B2003" s="4108" t="inlineStr">
        <is>
          <t>171000</t>
        </is>
      </c>
      <c r="C2003" s="4108" t="inlineStr">
        <is>
          <t>135792468</t>
        </is>
      </c>
      <c r="D2003" s="4108" t="inlineStr">
        <is>
          <t>202107</t>
        </is>
      </c>
      <c r="E2003" s="4108" t="inlineStr">
        <is>
          <t>5,000000000000</t>
        </is>
      </c>
    </row>
    <row outlineLevel="0" r="2004">
      <c r="A2004" s="4108" t="inlineStr">
        <is>
          <t>135792468202107170500</t>
        </is>
      </c>
      <c r="B2004" s="4108" t="inlineStr">
        <is>
          <t>170500</t>
        </is>
      </c>
      <c r="C2004" s="4108" t="inlineStr">
        <is>
          <t>135792468</t>
        </is>
      </c>
      <c r="D2004" s="4108" t="inlineStr">
        <is>
          <t>202107</t>
        </is>
      </c>
      <c r="E2004" s="4108" t="inlineStr">
        <is>
          <t>6,000000000000</t>
        </is>
      </c>
    </row>
    <row outlineLevel="0" r="2005">
      <c r="A2005" s="4108" t="inlineStr">
        <is>
          <t>135792468202107169901</t>
        </is>
      </c>
      <c r="B2005" s="4108" t="inlineStr">
        <is>
          <t>169901</t>
        </is>
      </c>
      <c r="C2005" s="4108" t="inlineStr">
        <is>
          <t>135792468</t>
        </is>
      </c>
      <c r="D2005" s="4108" t="inlineStr">
        <is>
          <t>202107</t>
        </is>
      </c>
      <c r="E2005" s="4108" t="inlineStr">
        <is>
          <t>2,000000000000</t>
        </is>
      </c>
    </row>
    <row outlineLevel="0" r="2006">
      <c r="A2006" s="4108" t="inlineStr">
        <is>
          <t>135792468202107169899</t>
        </is>
      </c>
      <c r="B2006" s="4108" t="inlineStr">
        <is>
          <t>169899</t>
        </is>
      </c>
      <c r="C2006" s="4108" t="inlineStr">
        <is>
          <t>135792468</t>
        </is>
      </c>
      <c r="D2006" s="4108" t="inlineStr">
        <is>
          <t>202107</t>
        </is>
      </c>
      <c r="E2006" s="4108" t="inlineStr">
        <is>
          <t>3,000000000000</t>
        </is>
      </c>
    </row>
    <row outlineLevel="0" r="2007">
      <c r="A2007" s="4108" t="inlineStr">
        <is>
          <t>135792468202107164001</t>
        </is>
      </c>
      <c r="B2007" s="4108" t="inlineStr">
        <is>
          <t>164001</t>
        </is>
      </c>
      <c r="C2007" s="4108" t="inlineStr">
        <is>
          <t>135792468</t>
        </is>
      </c>
      <c r="D2007" s="4108" t="inlineStr">
        <is>
          <t>202107</t>
        </is>
      </c>
      <c r="E2007" s="4108" t="inlineStr">
        <is>
          <t>5,000000000000</t>
        </is>
      </c>
    </row>
    <row outlineLevel="0" r="2008">
      <c r="A2008" s="4108" t="inlineStr">
        <is>
          <t>135792468202107163001</t>
        </is>
      </c>
      <c r="B2008" s="4108" t="inlineStr">
        <is>
          <t>163001</t>
        </is>
      </c>
      <c r="C2008" s="4108" t="inlineStr">
        <is>
          <t>135792468</t>
        </is>
      </c>
      <c r="D2008" s="4108" t="inlineStr">
        <is>
          <t>202107</t>
        </is>
      </c>
      <c r="E2008" s="4108" t="inlineStr">
        <is>
          <t>6,000000000000</t>
        </is>
      </c>
    </row>
    <row outlineLevel="0" r="2009">
      <c r="A2009" s="4108" t="inlineStr">
        <is>
          <t>135792468202107160501</t>
        </is>
      </c>
      <c r="B2009" s="4108" t="inlineStr">
        <is>
          <t>160501</t>
        </is>
      </c>
      <c r="C2009" s="4108" t="inlineStr">
        <is>
          <t>135792468</t>
        </is>
      </c>
      <c r="D2009" s="4108" t="inlineStr">
        <is>
          <t>202107</t>
        </is>
      </c>
      <c r="E2009" s="4108" t="inlineStr">
        <is>
          <t>8,000000000000</t>
        </is>
      </c>
    </row>
    <row outlineLevel="0" r="2010">
      <c r="A2010" s="4108" t="inlineStr">
        <is>
          <t>135792468202107161001</t>
        </is>
      </c>
      <c r="B2010" s="4108" t="inlineStr">
        <is>
          <t>161001</t>
        </is>
      </c>
      <c r="C2010" s="4108" t="inlineStr">
        <is>
          <t>135792468</t>
        </is>
      </c>
      <c r="D2010" s="4108" t="inlineStr">
        <is>
          <t>202107</t>
        </is>
      </c>
      <c r="E2010" s="4108" t="inlineStr">
        <is>
          <t>7,000000000000</t>
        </is>
      </c>
    </row>
    <row outlineLevel="0" r="2011">
      <c r="A2011" s="4108" t="inlineStr">
        <is>
          <t>135792468202107159901</t>
        </is>
      </c>
      <c r="B2011" s="4108" t="inlineStr">
        <is>
          <t>159901</t>
        </is>
      </c>
      <c r="C2011" s="4108" t="inlineStr">
        <is>
          <t>135792468</t>
        </is>
      </c>
      <c r="D2011" s="4108" t="inlineStr">
        <is>
          <t>202107</t>
        </is>
      </c>
      <c r="E2011" s="4108" t="inlineStr">
        <is>
          <t>4,000000000000</t>
        </is>
      </c>
    </row>
    <row outlineLevel="0" r="2012">
      <c r="A2012" s="4108" t="inlineStr">
        <is>
          <t>135792468202107159899</t>
        </is>
      </c>
      <c r="B2012" s="4108" t="inlineStr">
        <is>
          <t>159899</t>
        </is>
      </c>
      <c r="C2012" s="4108" t="inlineStr">
        <is>
          <t>135792468</t>
        </is>
      </c>
      <c r="D2012" s="4108" t="inlineStr">
        <is>
          <t>202107</t>
        </is>
      </c>
      <c r="E2012" s="4108" t="inlineStr">
        <is>
          <t>3,000000000000</t>
        </is>
      </c>
    </row>
    <row outlineLevel="0" r="2013">
      <c r="A2013" s="4108" t="inlineStr">
        <is>
          <t>135792468202107159701</t>
        </is>
      </c>
      <c r="B2013" s="4108" t="inlineStr">
        <is>
          <t>159701</t>
        </is>
      </c>
      <c r="C2013" s="4108" t="inlineStr">
        <is>
          <t>135792468</t>
        </is>
      </c>
      <c r="D2013" s="4108" t="inlineStr">
        <is>
          <t>202107</t>
        </is>
      </c>
      <c r="E2013" s="4108" t="inlineStr">
        <is>
          <t>2,000000000000</t>
        </is>
      </c>
    </row>
    <row outlineLevel="0" r="2014">
      <c r="A2014" s="4108" t="inlineStr">
        <is>
          <t>135792468202107158801</t>
        </is>
      </c>
      <c r="B2014" s="4108" t="inlineStr">
        <is>
          <t>158801</t>
        </is>
      </c>
      <c r="C2014" s="4108" t="inlineStr">
        <is>
          <t>135792468</t>
        </is>
      </c>
      <c r="D2014" s="4108" t="inlineStr">
        <is>
          <t>202107</t>
        </is>
      </c>
      <c r="E2014" s="4108" t="inlineStr">
        <is>
          <t>7,000000000000</t>
        </is>
      </c>
    </row>
    <row outlineLevel="0" r="2015">
      <c r="A2015" s="4108" t="inlineStr">
        <is>
          <t>135792468202107158401</t>
        </is>
      </c>
      <c r="B2015" s="4108" t="inlineStr">
        <is>
          <t>158401</t>
        </is>
      </c>
      <c r="C2015" s="4108" t="inlineStr">
        <is>
          <t>135792468</t>
        </is>
      </c>
      <c r="D2015" s="4108" t="inlineStr">
        <is>
          <t>202107</t>
        </is>
      </c>
      <c r="E2015" s="4108" t="inlineStr">
        <is>
          <t>6,000000000000</t>
        </is>
      </c>
    </row>
    <row outlineLevel="0" r="2016">
      <c r="A2016" s="4108" t="inlineStr">
        <is>
          <t>135792468202107157601</t>
        </is>
      </c>
      <c r="B2016" s="4108" t="inlineStr">
        <is>
          <t>157601</t>
        </is>
      </c>
      <c r="C2016" s="4108" t="inlineStr">
        <is>
          <t>135792468</t>
        </is>
      </c>
      <c r="D2016" s="4108" t="inlineStr">
        <is>
          <t>202107</t>
        </is>
      </c>
      <c r="E2016" s="4108" t="inlineStr">
        <is>
          <t>5,000000000000</t>
        </is>
      </c>
    </row>
    <row outlineLevel="0" r="2017">
      <c r="A2017" s="4108" t="inlineStr">
        <is>
          <t>135792468202107156401</t>
        </is>
      </c>
      <c r="B2017" s="4108" t="inlineStr">
        <is>
          <t>156401</t>
        </is>
      </c>
      <c r="C2017" s="4108" t="inlineStr">
        <is>
          <t>135792468</t>
        </is>
      </c>
      <c r="D2017" s="4108" t="inlineStr">
        <is>
          <t>202107</t>
        </is>
      </c>
      <c r="E2017" s="4108" t="inlineStr">
        <is>
          <t>3,000000000000</t>
        </is>
      </c>
    </row>
    <row outlineLevel="0" r="2018">
      <c r="A2018" s="4108" t="inlineStr">
        <is>
          <t>135792468202107157201</t>
        </is>
      </c>
      <c r="B2018" s="4108" t="inlineStr">
        <is>
          <t>157201</t>
        </is>
      </c>
      <c r="C2018" s="4108" t="inlineStr">
        <is>
          <t>135792468</t>
        </is>
      </c>
      <c r="D2018" s="4108" t="inlineStr">
        <is>
          <t>202107</t>
        </is>
      </c>
      <c r="E2018" s="4108" t="inlineStr">
        <is>
          <t>4,000000000000</t>
        </is>
      </c>
    </row>
    <row outlineLevel="0" r="2019">
      <c r="A2019" s="4108" t="inlineStr">
        <is>
          <t>135792468202107156001</t>
        </is>
      </c>
      <c r="B2019" s="4108" t="inlineStr">
        <is>
          <t>156001</t>
        </is>
      </c>
      <c r="C2019" s="4108" t="inlineStr">
        <is>
          <t>135792468</t>
        </is>
      </c>
      <c r="D2019" s="4108" t="inlineStr">
        <is>
          <t>202107</t>
        </is>
      </c>
      <c r="E2019" s="4108" t="inlineStr">
        <is>
          <t>2,000000000000</t>
        </is>
      </c>
    </row>
    <row outlineLevel="0" r="2020">
      <c r="A2020" s="4108" t="inlineStr">
        <is>
          <t>135792468202107155601</t>
        </is>
      </c>
      <c r="B2020" s="4108" t="inlineStr">
        <is>
          <t>155601</t>
        </is>
      </c>
      <c r="C2020" s="4108" t="inlineStr">
        <is>
          <t>135792468</t>
        </is>
      </c>
      <c r="D2020" s="4108" t="inlineStr">
        <is>
          <t>202107</t>
        </is>
      </c>
      <c r="E2020" s="4108" t="inlineStr">
        <is>
          <t>1,000000000000</t>
        </is>
      </c>
    </row>
    <row outlineLevel="0" r="2021">
      <c r="A2021" s="4108" t="inlineStr">
        <is>
          <t>135792468202107151201</t>
        </is>
      </c>
      <c r="B2021" s="4108" t="inlineStr">
        <is>
          <t>151201</t>
        </is>
      </c>
      <c r="C2021" s="4108" t="inlineStr">
        <is>
          <t>135792468</t>
        </is>
      </c>
      <c r="D2021" s="4108" t="inlineStr">
        <is>
          <t>202107</t>
        </is>
      </c>
      <c r="E2021" s="4108" t="inlineStr">
        <is>
          <t>4,000000000000</t>
        </is>
      </c>
    </row>
    <row outlineLevel="0" r="2022">
      <c r="A2022" s="4108" t="inlineStr">
        <is>
          <t>135792468202107149910</t>
        </is>
      </c>
      <c r="B2022" s="4108" t="inlineStr">
        <is>
          <t>149910</t>
        </is>
      </c>
      <c r="C2022" s="4108" t="inlineStr">
        <is>
          <t>135792468</t>
        </is>
      </c>
      <c r="D2022" s="4108" t="inlineStr">
        <is>
          <t>202107</t>
        </is>
      </c>
      <c r="E2022" s="4108" t="inlineStr">
        <is>
          <t>3,000000000000</t>
        </is>
      </c>
    </row>
    <row outlineLevel="0" r="2023">
      <c r="A2023" s="4108" t="inlineStr">
        <is>
          <t>135792468202107149902</t>
        </is>
      </c>
      <c r="B2023" s="4108" t="inlineStr">
        <is>
          <t>149902</t>
        </is>
      </c>
      <c r="C2023" s="4108" t="inlineStr">
        <is>
          <t>135792468</t>
        </is>
      </c>
      <c r="D2023" s="4108" t="inlineStr">
        <is>
          <t>202107</t>
        </is>
      </c>
      <c r="E2023" s="4108" t="inlineStr">
        <is>
          <t>2,000000000000</t>
        </is>
      </c>
    </row>
    <row outlineLevel="0" r="2024">
      <c r="A2024" s="4108" t="inlineStr">
        <is>
          <t>135792468202107149901</t>
        </is>
      </c>
      <c r="B2024" s="4108" t="inlineStr">
        <is>
          <t>149901</t>
        </is>
      </c>
      <c r="C2024" s="4108" t="inlineStr">
        <is>
          <t>135792468</t>
        </is>
      </c>
      <c r="D2024" s="4108" t="inlineStr">
        <is>
          <t>202107</t>
        </is>
      </c>
      <c r="E2024" s="4108" t="inlineStr">
        <is>
          <t>1,000000000000</t>
        </is>
      </c>
    </row>
    <row outlineLevel="0" r="2025">
      <c r="A2025" s="4108" t="inlineStr">
        <is>
          <t>135792468202107149510</t>
        </is>
      </c>
      <c r="B2025" s="4108" t="inlineStr">
        <is>
          <t>149510</t>
        </is>
      </c>
      <c r="C2025" s="4108" t="inlineStr">
        <is>
          <t>135792468</t>
        </is>
      </c>
      <c r="D2025" s="4108" t="inlineStr">
        <is>
          <t>202107</t>
        </is>
      </c>
      <c r="E2025" s="4108" t="inlineStr">
        <is>
          <t>9,000000000000</t>
        </is>
      </c>
    </row>
    <row outlineLevel="0" r="2026">
      <c r="A2026" s="4108" t="inlineStr">
        <is>
          <t>135792468202107149900</t>
        </is>
      </c>
      <c r="B2026" s="4108" t="inlineStr">
        <is>
          <t>149900</t>
        </is>
      </c>
      <c r="C2026" s="4108" t="inlineStr">
        <is>
          <t>135792468</t>
        </is>
      </c>
      <c r="D2026" s="4108" t="inlineStr">
        <is>
          <t>202107</t>
        </is>
      </c>
      <c r="E2026" s="4108" t="inlineStr">
        <is>
          <t>1,000000000000</t>
        </is>
      </c>
    </row>
    <row outlineLevel="0" r="2027">
      <c r="A2027" s="4108" t="inlineStr">
        <is>
          <t>135792468202107146000</t>
        </is>
      </c>
      <c r="B2027" s="4108" t="inlineStr">
        <is>
          <t>146000</t>
        </is>
      </c>
      <c r="C2027" s="4108" t="inlineStr">
        <is>
          <t>135792468</t>
        </is>
      </c>
      <c r="D2027" s="4108" t="inlineStr">
        <is>
          <t>202107</t>
        </is>
      </c>
      <c r="E2027" s="4108" t="inlineStr">
        <is>
          <t>8,000000000000</t>
        </is>
      </c>
    </row>
    <row outlineLevel="0" r="2028">
      <c r="A2028" s="4108" t="inlineStr">
        <is>
          <t>135792468202107145500</t>
        </is>
      </c>
      <c r="B2028" s="4108" t="inlineStr">
        <is>
          <t>145500</t>
        </is>
      </c>
      <c r="C2028" s="4108" t="inlineStr">
        <is>
          <t>135792468</t>
        </is>
      </c>
      <c r="D2028" s="4108" t="inlineStr">
        <is>
          <t>202107</t>
        </is>
      </c>
      <c r="E2028" s="4108" t="inlineStr">
        <is>
          <t>7,000000000000</t>
        </is>
      </c>
    </row>
    <row outlineLevel="0" r="2029">
      <c r="A2029" s="4108" t="inlineStr">
        <is>
          <t>135792468202107143500</t>
        </is>
      </c>
      <c r="B2029" s="4108" t="inlineStr">
        <is>
          <t>143500</t>
        </is>
      </c>
      <c r="C2029" s="4108" t="inlineStr">
        <is>
          <t>135792468</t>
        </is>
      </c>
      <c r="D2029" s="4108" t="inlineStr">
        <is>
          <t>202107</t>
        </is>
      </c>
      <c r="E2029" s="4108" t="inlineStr">
        <is>
          <t>5,000000000000</t>
        </is>
      </c>
    </row>
    <row outlineLevel="0" r="2030">
      <c r="A2030" s="4108" t="inlineStr">
        <is>
          <t>135792468202107142500</t>
        </is>
      </c>
      <c r="B2030" s="4108" t="inlineStr">
        <is>
          <t>142500</t>
        </is>
      </c>
      <c r="C2030" s="4108" t="inlineStr">
        <is>
          <t>135792468</t>
        </is>
      </c>
      <c r="D2030" s="4108" t="inlineStr">
        <is>
          <t>202107</t>
        </is>
      </c>
      <c r="E2030" s="4108" t="inlineStr">
        <is>
          <t>7,000000000000</t>
        </is>
      </c>
    </row>
    <row outlineLevel="0" r="2031">
      <c r="A2031" s="4108" t="inlineStr">
        <is>
          <t>135792468202107140010</t>
        </is>
      </c>
      <c r="B2031" s="4108" t="inlineStr">
        <is>
          <t>140010</t>
        </is>
      </c>
      <c r="C2031" s="4108" t="inlineStr">
        <is>
          <t>135792468</t>
        </is>
      </c>
      <c r="D2031" s="4108" t="inlineStr">
        <is>
          <t>202107</t>
        </is>
      </c>
      <c r="E2031" s="4108" t="inlineStr">
        <is>
          <t>30,000000000000</t>
        </is>
      </c>
    </row>
    <row outlineLevel="0" r="2032">
      <c r="A2032" s="4108" t="inlineStr">
        <is>
          <t>135792468202107140005</t>
        </is>
      </c>
      <c r="B2032" s="4108" t="inlineStr">
        <is>
          <t>140005</t>
        </is>
      </c>
      <c r="C2032" s="4108" t="inlineStr">
        <is>
          <t>135792468</t>
        </is>
      </c>
      <c r="D2032" s="4108" t="inlineStr">
        <is>
          <t>202107</t>
        </is>
      </c>
      <c r="E2032" s="4108" t="inlineStr">
        <is>
          <t>46,000000000000</t>
        </is>
      </c>
    </row>
    <row outlineLevel="0" r="2033">
      <c r="A2033" s="4108" t="inlineStr">
        <is>
          <t>135792468202107139901</t>
        </is>
      </c>
      <c r="B2033" s="4108" t="inlineStr">
        <is>
          <t>139901</t>
        </is>
      </c>
      <c r="C2033" s="4108" t="inlineStr">
        <is>
          <t>135792468</t>
        </is>
      </c>
      <c r="D2033" s="4108" t="inlineStr">
        <is>
          <t>202107</t>
        </is>
      </c>
      <c r="E2033" s="4108" t="inlineStr">
        <is>
          <t>8,000000000000</t>
        </is>
      </c>
    </row>
    <row outlineLevel="0" r="2034">
      <c r="A2034" s="4108" t="inlineStr">
        <is>
          <t>135792468202107139905</t>
        </is>
      </c>
      <c r="B2034" s="4108" t="inlineStr">
        <is>
          <t>139905</t>
        </is>
      </c>
      <c r="C2034" s="4108" t="inlineStr">
        <is>
          <t>135792468</t>
        </is>
      </c>
      <c r="D2034" s="4108" t="inlineStr">
        <is>
          <t>202107</t>
        </is>
      </c>
      <c r="E2034" s="4108" t="inlineStr">
        <is>
          <t>8,000000000000</t>
        </is>
      </c>
    </row>
    <row outlineLevel="0" r="2035">
      <c r="A2035" s="4108" t="inlineStr">
        <is>
          <t>135792468202107139500</t>
        </is>
      </c>
      <c r="B2035" s="4108" t="inlineStr">
        <is>
          <t>139500</t>
        </is>
      </c>
      <c r="C2035" s="4108" t="inlineStr">
        <is>
          <t>135792468</t>
        </is>
      </c>
      <c r="D2035" s="4108" t="inlineStr">
        <is>
          <t>202107</t>
        </is>
      </c>
      <c r="E2035" s="4108" t="inlineStr">
        <is>
          <t>6,000000000000</t>
        </is>
      </c>
    </row>
    <row outlineLevel="0" r="2036">
      <c r="A2036" s="4108" t="inlineStr">
        <is>
          <t>135792468202107139001</t>
        </is>
      </c>
      <c r="B2036" s="4108" t="inlineStr">
        <is>
          <t>139001</t>
        </is>
      </c>
      <c r="C2036" s="4108" t="inlineStr">
        <is>
          <t>135792468</t>
        </is>
      </c>
      <c r="D2036" s="4108" t="inlineStr">
        <is>
          <t>202107</t>
        </is>
      </c>
      <c r="E2036" s="4108" t="inlineStr">
        <is>
          <t>1,000000000000</t>
        </is>
      </c>
    </row>
    <row outlineLevel="0" r="2037">
      <c r="A2037" s="4108" t="inlineStr">
        <is>
          <t>135792468202107139000</t>
        </is>
      </c>
      <c r="B2037" s="4108" t="inlineStr">
        <is>
          <t>139000</t>
        </is>
      </c>
      <c r="C2037" s="4108" t="inlineStr">
        <is>
          <t>135792468</t>
        </is>
      </c>
      <c r="D2037" s="4108" t="inlineStr">
        <is>
          <t>202107</t>
        </is>
      </c>
      <c r="E2037" s="4108" t="inlineStr">
        <is>
          <t>5,000000000000</t>
        </is>
      </c>
    </row>
    <row outlineLevel="0" r="2038">
      <c r="A2038" s="4108" t="inlineStr">
        <is>
          <t>135792468202107138501</t>
        </is>
      </c>
      <c r="B2038" s="4108" t="inlineStr">
        <is>
          <t>138501</t>
        </is>
      </c>
      <c r="C2038" s="4108" t="inlineStr">
        <is>
          <t>135792468</t>
        </is>
      </c>
      <c r="D2038" s="4108" t="inlineStr">
        <is>
          <t>202107</t>
        </is>
      </c>
      <c r="E2038" s="4108" t="inlineStr">
        <is>
          <t>2,000000000000</t>
        </is>
      </c>
    </row>
    <row outlineLevel="0" r="2039">
      <c r="A2039" s="4108" t="inlineStr">
        <is>
          <t>135792468202107138001</t>
        </is>
      </c>
      <c r="B2039" s="4108" t="inlineStr">
        <is>
          <t>138001</t>
        </is>
      </c>
      <c r="C2039" s="4108" t="inlineStr">
        <is>
          <t>135792468</t>
        </is>
      </c>
      <c r="D2039" s="4108" t="inlineStr">
        <is>
          <t>202107</t>
        </is>
      </c>
      <c r="E2039" s="4108" t="inlineStr">
        <is>
          <t>3,000000000000</t>
        </is>
      </c>
    </row>
    <row outlineLevel="0" r="2040">
      <c r="A2040" s="4108" t="inlineStr">
        <is>
          <t>135792468202107137001</t>
        </is>
      </c>
      <c r="B2040" s="4108" t="inlineStr">
        <is>
          <t>137001</t>
        </is>
      </c>
      <c r="C2040" s="4108" t="inlineStr">
        <is>
          <t>135792468</t>
        </is>
      </c>
      <c r="D2040" s="4108" t="inlineStr">
        <is>
          <t>202107</t>
        </is>
      </c>
      <c r="E2040" s="4108" t="inlineStr">
        <is>
          <t>4,000000000000</t>
        </is>
      </c>
    </row>
    <row outlineLevel="0" r="2041">
      <c r="A2041" s="4108" t="inlineStr">
        <is>
          <t>135792468202107136501</t>
        </is>
      </c>
      <c r="B2041" s="4108" t="inlineStr">
        <is>
          <t>136501</t>
        </is>
      </c>
      <c r="C2041" s="4108" t="inlineStr">
        <is>
          <t>135792468</t>
        </is>
      </c>
      <c r="D2041" s="4108" t="inlineStr">
        <is>
          <t>202107</t>
        </is>
      </c>
      <c r="E2041" s="4108" t="inlineStr">
        <is>
          <t>5,000000000000</t>
        </is>
      </c>
    </row>
    <row outlineLevel="0" r="2042">
      <c r="A2042" s="4108" t="inlineStr">
        <is>
          <t>135792468202107137000</t>
        </is>
      </c>
      <c r="B2042" s="4108" t="inlineStr">
        <is>
          <t>137000</t>
        </is>
      </c>
      <c r="C2042" s="4108" t="inlineStr">
        <is>
          <t>135792468</t>
        </is>
      </c>
      <c r="D2042" s="4108" t="inlineStr">
        <is>
          <t>202107</t>
        </is>
      </c>
      <c r="E2042" s="4108" t="inlineStr">
        <is>
          <t>4,000000000000</t>
        </is>
      </c>
    </row>
    <row outlineLevel="0" r="2043">
      <c r="A2043" s="4108" t="inlineStr">
        <is>
          <t>135792468202107136500</t>
        </is>
      </c>
      <c r="B2043" s="4108" t="inlineStr">
        <is>
          <t>136500</t>
        </is>
      </c>
      <c r="C2043" s="4108" t="inlineStr">
        <is>
          <t>135792468</t>
        </is>
      </c>
      <c r="D2043" s="4108" t="inlineStr">
        <is>
          <t>202107</t>
        </is>
      </c>
      <c r="E2043" s="4108" t="inlineStr">
        <is>
          <t>3,000000000000</t>
        </is>
      </c>
    </row>
    <row outlineLevel="0" r="2044">
      <c r="A2044" s="4108" t="inlineStr">
        <is>
          <t>135792468202107136001</t>
        </is>
      </c>
      <c r="B2044" s="4108" t="inlineStr">
        <is>
          <t>136001</t>
        </is>
      </c>
      <c r="C2044" s="4108" t="inlineStr">
        <is>
          <t>135792468</t>
        </is>
      </c>
      <c r="D2044" s="4108" t="inlineStr">
        <is>
          <t>202107</t>
        </is>
      </c>
      <c r="E2044" s="4108" t="inlineStr">
        <is>
          <t>6,000000000000</t>
        </is>
      </c>
    </row>
    <row outlineLevel="0" r="2045">
      <c r="A2045" s="4108" t="inlineStr">
        <is>
          <t>135792468202107136000</t>
        </is>
      </c>
      <c r="B2045" s="4108" t="inlineStr">
        <is>
          <t>136000</t>
        </is>
      </c>
      <c r="C2045" s="4108" t="inlineStr">
        <is>
          <t>135792468</t>
        </is>
      </c>
      <c r="D2045" s="4108" t="inlineStr">
        <is>
          <t>202107</t>
        </is>
      </c>
      <c r="E2045" s="4108" t="inlineStr">
        <is>
          <t>2,000000000000</t>
        </is>
      </c>
    </row>
    <row outlineLevel="0" r="2046">
      <c r="A2046" s="4108" t="inlineStr">
        <is>
          <t>135792468202107135501</t>
        </is>
      </c>
      <c r="B2046" s="4108" t="inlineStr">
        <is>
          <t>135501</t>
        </is>
      </c>
      <c r="C2046" s="4108" t="inlineStr">
        <is>
          <t>135792468</t>
        </is>
      </c>
      <c r="D2046" s="4108" t="inlineStr">
        <is>
          <t>202107</t>
        </is>
      </c>
      <c r="E2046" s="4108" t="inlineStr">
        <is>
          <t>7,000000000000</t>
        </is>
      </c>
    </row>
    <row outlineLevel="0" r="2047">
      <c r="A2047" s="4108" t="inlineStr">
        <is>
          <t>135792468202107135500</t>
        </is>
      </c>
      <c r="B2047" s="4108" t="inlineStr">
        <is>
          <t>135500</t>
        </is>
      </c>
      <c r="C2047" s="4108" t="inlineStr">
        <is>
          <t>135792468</t>
        </is>
      </c>
      <c r="D2047" s="4108" t="inlineStr">
        <is>
          <t>202107</t>
        </is>
      </c>
      <c r="E2047" s="4108" t="inlineStr">
        <is>
          <t>9,000000000000</t>
        </is>
      </c>
    </row>
    <row outlineLevel="0" r="2048">
      <c r="A2048" s="4108" t="inlineStr">
        <is>
          <t>135792468202107135001</t>
        </is>
      </c>
      <c r="B2048" s="4108" t="inlineStr">
        <is>
          <t>135001</t>
        </is>
      </c>
      <c r="C2048" s="4108" t="inlineStr">
        <is>
          <t>135792468</t>
        </is>
      </c>
      <c r="D2048" s="4108" t="inlineStr">
        <is>
          <t>202107</t>
        </is>
      </c>
      <c r="E2048" s="4108" t="inlineStr">
        <is>
          <t>8,000000000000</t>
        </is>
      </c>
    </row>
    <row outlineLevel="0" r="2049">
      <c r="A2049" s="4108" t="inlineStr">
        <is>
          <t>135792468202107134501</t>
        </is>
      </c>
      <c r="B2049" s="4108" t="inlineStr">
        <is>
          <t>134501</t>
        </is>
      </c>
      <c r="C2049" s="4108" t="inlineStr">
        <is>
          <t>135792468</t>
        </is>
      </c>
      <c r="D2049" s="4108" t="inlineStr">
        <is>
          <t>202107</t>
        </is>
      </c>
      <c r="E2049" s="4108" t="inlineStr">
        <is>
          <t>9,000000000000</t>
        </is>
      </c>
    </row>
    <row outlineLevel="0" r="2050">
      <c r="A2050" s="4108" t="inlineStr">
        <is>
          <t>135792468202107135000</t>
        </is>
      </c>
      <c r="B2050" s="4108" t="inlineStr">
        <is>
          <t>135000</t>
        </is>
      </c>
      <c r="C2050" s="4108" t="inlineStr">
        <is>
          <t>135792468</t>
        </is>
      </c>
      <c r="D2050" s="4108" t="inlineStr">
        <is>
          <t>202107</t>
        </is>
      </c>
      <c r="E2050" s="4108" t="inlineStr">
        <is>
          <t>8,000000000000</t>
        </is>
      </c>
    </row>
    <row outlineLevel="0" r="2051">
      <c r="A2051" s="4108" t="inlineStr">
        <is>
          <t>135792468202107134500</t>
        </is>
      </c>
      <c r="B2051" s="4108" t="inlineStr">
        <is>
          <t>134500</t>
        </is>
      </c>
      <c r="C2051" s="4108" t="inlineStr">
        <is>
          <t>135792468</t>
        </is>
      </c>
      <c r="D2051" s="4108" t="inlineStr">
        <is>
          <t>202107</t>
        </is>
      </c>
      <c r="E2051" s="4108" t="inlineStr">
        <is>
          <t>7,000000000000</t>
        </is>
      </c>
    </row>
    <row outlineLevel="0" r="2052">
      <c r="A2052" s="4108" t="inlineStr">
        <is>
          <t>135792468202107134001</t>
        </is>
      </c>
      <c r="B2052" s="4108" t="inlineStr">
        <is>
          <t>134001</t>
        </is>
      </c>
      <c r="C2052" s="4108" t="inlineStr">
        <is>
          <t>135792468</t>
        </is>
      </c>
      <c r="D2052" s="4108" t="inlineStr">
        <is>
          <t>202107</t>
        </is>
      </c>
      <c r="E2052" s="4108" t="inlineStr">
        <is>
          <t>1,000000000000</t>
        </is>
      </c>
    </row>
    <row outlineLevel="0" r="2053">
      <c r="A2053" s="4108" t="inlineStr">
        <is>
          <t>135792468202107134000</t>
        </is>
      </c>
      <c r="B2053" s="4108" t="inlineStr">
        <is>
          <t>134000</t>
        </is>
      </c>
      <c r="C2053" s="4108" t="inlineStr">
        <is>
          <t>135792468</t>
        </is>
      </c>
      <c r="D2053" s="4108" t="inlineStr">
        <is>
          <t>202107</t>
        </is>
      </c>
      <c r="E2053" s="4108" t="inlineStr">
        <is>
          <t>6,000000000000</t>
        </is>
      </c>
    </row>
    <row outlineLevel="0" r="2054">
      <c r="A2054" s="4108" t="inlineStr">
        <is>
          <t>135792468202107133501</t>
        </is>
      </c>
      <c r="B2054" s="4108" t="inlineStr">
        <is>
          <t>133501</t>
        </is>
      </c>
      <c r="C2054" s="4108" t="inlineStr">
        <is>
          <t>135792468</t>
        </is>
      </c>
      <c r="D2054" s="4108" t="inlineStr">
        <is>
          <t>202107</t>
        </is>
      </c>
      <c r="E2054" s="4108" t="inlineStr">
        <is>
          <t>2,000000000000</t>
        </is>
      </c>
    </row>
    <row outlineLevel="0" r="2055">
      <c r="A2055" s="4108" t="inlineStr">
        <is>
          <t>135792468202107133500</t>
        </is>
      </c>
      <c r="B2055" s="4108" t="inlineStr">
        <is>
          <t>133500</t>
        </is>
      </c>
      <c r="C2055" s="4108" t="inlineStr">
        <is>
          <t>135792468</t>
        </is>
      </c>
      <c r="D2055" s="4108" t="inlineStr">
        <is>
          <t>202107</t>
        </is>
      </c>
      <c r="E2055" s="4108" t="inlineStr">
        <is>
          <t>5,000000000000</t>
        </is>
      </c>
    </row>
    <row outlineLevel="0" r="2056">
      <c r="A2056" s="4108" t="inlineStr">
        <is>
          <t>135792468202107133001</t>
        </is>
      </c>
      <c r="B2056" s="4108" t="inlineStr">
        <is>
          <t>133001</t>
        </is>
      </c>
      <c r="C2056" s="4108" t="inlineStr">
        <is>
          <t>135792468</t>
        </is>
      </c>
      <c r="D2056" s="4108" t="inlineStr">
        <is>
          <t>202107</t>
        </is>
      </c>
      <c r="E2056" s="4108" t="inlineStr">
        <is>
          <t>3,000000000000</t>
        </is>
      </c>
    </row>
    <row outlineLevel="0" r="2057">
      <c r="A2057" s="4108" t="inlineStr">
        <is>
          <t>135792468202107132501</t>
        </is>
      </c>
      <c r="B2057" s="4108" t="inlineStr">
        <is>
          <t>132501</t>
        </is>
      </c>
      <c r="C2057" s="4108" t="inlineStr">
        <is>
          <t>135792468</t>
        </is>
      </c>
      <c r="D2057" s="4108" t="inlineStr">
        <is>
          <t>202107</t>
        </is>
      </c>
      <c r="E2057" s="4108" t="inlineStr">
        <is>
          <t>4,000000000000</t>
        </is>
      </c>
    </row>
    <row outlineLevel="0" r="2058">
      <c r="A2058" s="4108" t="inlineStr">
        <is>
          <t>135792468202107133000</t>
        </is>
      </c>
      <c r="B2058" s="4108" t="inlineStr">
        <is>
          <t>133000</t>
        </is>
      </c>
      <c r="C2058" s="4108" t="inlineStr">
        <is>
          <t>135792468</t>
        </is>
      </c>
      <c r="D2058" s="4108" t="inlineStr">
        <is>
          <t>202107</t>
        </is>
      </c>
      <c r="E2058" s="4108" t="inlineStr">
        <is>
          <t>4,000000000000</t>
        </is>
      </c>
    </row>
    <row outlineLevel="0" r="2059">
      <c r="A2059" s="4108" t="inlineStr">
        <is>
          <t>135792468202107132500</t>
        </is>
      </c>
      <c r="B2059" s="4108" t="inlineStr">
        <is>
          <t>132500</t>
        </is>
      </c>
      <c r="C2059" s="4108" t="inlineStr">
        <is>
          <t>135792468</t>
        </is>
      </c>
      <c r="D2059" s="4108" t="inlineStr">
        <is>
          <t>202107</t>
        </is>
      </c>
      <c r="E2059" s="4108" t="inlineStr">
        <is>
          <t>3,000000000000</t>
        </is>
      </c>
    </row>
    <row outlineLevel="0" r="2060">
      <c r="A2060" s="4108" t="inlineStr">
        <is>
          <t>135792468202107132001</t>
        </is>
      </c>
      <c r="B2060" s="4108" t="inlineStr">
        <is>
          <t>132001</t>
        </is>
      </c>
      <c r="C2060" s="4108" t="inlineStr">
        <is>
          <t>135792468</t>
        </is>
      </c>
      <c r="D2060" s="4108" t="inlineStr">
        <is>
          <t>202107</t>
        </is>
      </c>
      <c r="E2060" s="4108" t="inlineStr">
        <is>
          <t>5,000000000000</t>
        </is>
      </c>
    </row>
    <row outlineLevel="0" r="2061">
      <c r="A2061" s="4108" t="inlineStr">
        <is>
          <t>135792468202107132000</t>
        </is>
      </c>
      <c r="B2061" s="4108" t="inlineStr">
        <is>
          <t>132000</t>
        </is>
      </c>
      <c r="C2061" s="4108" t="inlineStr">
        <is>
          <t>135792468</t>
        </is>
      </c>
      <c r="D2061" s="4108" t="inlineStr">
        <is>
          <t>202107</t>
        </is>
      </c>
      <c r="E2061" s="4108" t="inlineStr">
        <is>
          <t>2,000000000000</t>
        </is>
      </c>
    </row>
    <row outlineLevel="0" r="2062">
      <c r="A2062" s="4108" t="inlineStr">
        <is>
          <t>135792468202107131501</t>
        </is>
      </c>
      <c r="B2062" s="4108" t="inlineStr">
        <is>
          <t>131501</t>
        </is>
      </c>
      <c r="C2062" s="4108" t="inlineStr">
        <is>
          <t>135792468</t>
        </is>
      </c>
      <c r="D2062" s="4108" t="inlineStr">
        <is>
          <t>202107</t>
        </is>
      </c>
      <c r="E2062" s="4108" t="inlineStr">
        <is>
          <t>6,000000000000</t>
        </is>
      </c>
    </row>
    <row outlineLevel="0" r="2063">
      <c r="A2063" s="4108" t="inlineStr">
        <is>
          <t>135792468202107131001</t>
        </is>
      </c>
      <c r="B2063" s="4108" t="inlineStr">
        <is>
          <t>131001</t>
        </is>
      </c>
      <c r="C2063" s="4108" t="inlineStr">
        <is>
          <t>135792468</t>
        </is>
      </c>
      <c r="D2063" s="4108" t="inlineStr">
        <is>
          <t>202107</t>
        </is>
      </c>
      <c r="E2063" s="4108" t="inlineStr">
        <is>
          <t>7,000000000000</t>
        </is>
      </c>
    </row>
    <row outlineLevel="0" r="2064">
      <c r="A2064" s="4108" t="inlineStr">
        <is>
          <t>135792468202107131000</t>
        </is>
      </c>
      <c r="B2064" s="4108" t="inlineStr">
        <is>
          <t>131000</t>
        </is>
      </c>
      <c r="C2064" s="4108" t="inlineStr">
        <is>
          <t>135792468</t>
        </is>
      </c>
      <c r="D2064" s="4108" t="inlineStr">
        <is>
          <t>202107</t>
        </is>
      </c>
      <c r="E2064" s="4108" t="inlineStr">
        <is>
          <t>4,000000000000</t>
        </is>
      </c>
    </row>
    <row outlineLevel="0" r="2065">
      <c r="A2065" s="4108" t="inlineStr">
        <is>
          <t>135792468202107130510</t>
        </is>
      </c>
      <c r="B2065" s="4108" t="inlineStr">
        <is>
          <t>130510</t>
        </is>
      </c>
      <c r="C2065" s="4108" t="inlineStr">
        <is>
          <t>135792468</t>
        </is>
      </c>
      <c r="D2065" s="4108" t="inlineStr">
        <is>
          <t>202107</t>
        </is>
      </c>
      <c r="E2065" s="4108" t="inlineStr">
        <is>
          <t>3,000000000000</t>
        </is>
      </c>
    </row>
    <row outlineLevel="0" r="2066">
      <c r="A2066" s="4108" t="inlineStr">
        <is>
          <t>135792468202107130511</t>
        </is>
      </c>
      <c r="B2066" s="4108" t="inlineStr">
        <is>
          <t>130511</t>
        </is>
      </c>
      <c r="C2066" s="4108" t="inlineStr">
        <is>
          <t>135792468</t>
        </is>
      </c>
      <c r="D2066" s="4108" t="inlineStr">
        <is>
          <t>202107</t>
        </is>
      </c>
      <c r="E2066" s="4108" t="inlineStr">
        <is>
          <t>8,000000000000</t>
        </is>
      </c>
    </row>
    <row outlineLevel="0" r="2067">
      <c r="A2067" s="4108" t="inlineStr">
        <is>
          <t>135792468202107130506</t>
        </is>
      </c>
      <c r="B2067" s="4108" t="inlineStr">
        <is>
          <t>130506</t>
        </is>
      </c>
      <c r="C2067" s="4108" t="inlineStr">
        <is>
          <t>135792468</t>
        </is>
      </c>
      <c r="D2067" s="4108" t="inlineStr">
        <is>
          <t>202107</t>
        </is>
      </c>
      <c r="E2067" s="4108" t="inlineStr">
        <is>
          <t>9,000000000000</t>
        </is>
      </c>
    </row>
    <row outlineLevel="0" r="2068">
      <c r="A2068" s="4108" t="inlineStr">
        <is>
          <t>135792468202107129901</t>
        </is>
      </c>
      <c r="B2068" s="4108" t="inlineStr">
        <is>
          <t>129901</t>
        </is>
      </c>
      <c r="C2068" s="4108" t="inlineStr">
        <is>
          <t>135792468</t>
        </is>
      </c>
      <c r="D2068" s="4108" t="inlineStr">
        <is>
          <t>202107</t>
        </is>
      </c>
      <c r="E2068" s="4108" t="inlineStr">
        <is>
          <t>8,000000000000</t>
        </is>
      </c>
    </row>
    <row outlineLevel="0" r="2069">
      <c r="A2069" s="4108" t="inlineStr">
        <is>
          <t>135792468202107129701</t>
        </is>
      </c>
      <c r="B2069" s="4108" t="inlineStr">
        <is>
          <t>129701</t>
        </is>
      </c>
      <c r="C2069" s="4108" t="inlineStr">
        <is>
          <t>135792468</t>
        </is>
      </c>
      <c r="D2069" s="4108" t="inlineStr">
        <is>
          <t>202107</t>
        </is>
      </c>
      <c r="E2069" s="4108" t="inlineStr">
        <is>
          <t>9,000000000000</t>
        </is>
      </c>
    </row>
    <row outlineLevel="0" r="2070">
      <c r="A2070" s="4108" t="inlineStr">
        <is>
          <t>135792468202107129700</t>
        </is>
      </c>
      <c r="B2070" s="4108" t="inlineStr">
        <is>
          <t>129700</t>
        </is>
      </c>
      <c r="C2070" s="4108" t="inlineStr">
        <is>
          <t>135792468</t>
        </is>
      </c>
      <c r="D2070" s="4108" t="inlineStr">
        <is>
          <t>202107</t>
        </is>
      </c>
      <c r="E2070" s="4108" t="inlineStr">
        <is>
          <t>7,000000000000</t>
        </is>
      </c>
    </row>
    <row outlineLevel="0" r="2071">
      <c r="A2071" s="4108" t="inlineStr">
        <is>
          <t>135792468202107129501</t>
        </is>
      </c>
      <c r="B2071" s="4108" t="inlineStr">
        <is>
          <t>129501</t>
        </is>
      </c>
      <c r="C2071" s="4108" t="inlineStr">
        <is>
          <t>135792468</t>
        </is>
      </c>
      <c r="D2071" s="4108" t="inlineStr">
        <is>
          <t>202107</t>
        </is>
      </c>
      <c r="E2071" s="4108" t="inlineStr">
        <is>
          <t>8,000000000000</t>
        </is>
      </c>
    </row>
    <row outlineLevel="0" r="2072">
      <c r="A2072" s="4108" t="inlineStr">
        <is>
          <t>135792468202107126001</t>
        </is>
      </c>
      <c r="B2072" s="4108" t="inlineStr">
        <is>
          <t>126001</t>
        </is>
      </c>
      <c r="C2072" s="4108" t="inlineStr">
        <is>
          <t>135792468</t>
        </is>
      </c>
      <c r="D2072" s="4108" t="inlineStr">
        <is>
          <t>202107</t>
        </is>
      </c>
      <c r="E2072" s="4108" t="inlineStr">
        <is>
          <t>7,000000000000</t>
        </is>
      </c>
    </row>
    <row outlineLevel="0" r="2073">
      <c r="A2073" s="4108" t="inlineStr">
        <is>
          <t>135792468202107123501</t>
        </is>
      </c>
      <c r="B2073" s="4108" t="inlineStr">
        <is>
          <t>123501</t>
        </is>
      </c>
      <c r="C2073" s="4108" t="inlineStr">
        <is>
          <t>135792468</t>
        </is>
      </c>
      <c r="D2073" s="4108" t="inlineStr">
        <is>
          <t>202107</t>
        </is>
      </c>
      <c r="E2073" s="4108" t="inlineStr">
        <is>
          <t>5,000000000000</t>
        </is>
      </c>
    </row>
    <row outlineLevel="0" r="2074">
      <c r="A2074" s="4108" t="inlineStr">
        <is>
          <t>135792468202107125501</t>
        </is>
      </c>
      <c r="B2074" s="4108" t="inlineStr">
        <is>
          <t>125501</t>
        </is>
      </c>
      <c r="C2074" s="4108" t="inlineStr">
        <is>
          <t>135792468</t>
        </is>
      </c>
      <c r="D2074" s="4108" t="inlineStr">
        <is>
          <t>202107</t>
        </is>
      </c>
      <c r="E2074" s="4108" t="inlineStr">
        <is>
          <t>6,000000000000</t>
        </is>
      </c>
    </row>
    <row outlineLevel="0" r="2075">
      <c r="A2075" s="4108" t="inlineStr">
        <is>
          <t>135792468202107121501</t>
        </is>
      </c>
      <c r="B2075" s="4108" t="inlineStr">
        <is>
          <t>121501</t>
        </is>
      </c>
      <c r="C2075" s="4108" t="inlineStr">
        <is>
          <t>135792468</t>
        </is>
      </c>
      <c r="D2075" s="4108" t="inlineStr">
        <is>
          <t>202107</t>
        </is>
      </c>
      <c r="E2075" s="4108" t="inlineStr">
        <is>
          <t>4,000000000000</t>
        </is>
      </c>
    </row>
    <row outlineLevel="0" r="2076">
      <c r="A2076" s="4108" t="inlineStr">
        <is>
          <t>135792468202107121001</t>
        </is>
      </c>
      <c r="B2076" s="4108" t="inlineStr">
        <is>
          <t>121001</t>
        </is>
      </c>
      <c r="C2076" s="4108" t="inlineStr">
        <is>
          <t>135792468</t>
        </is>
      </c>
      <c r="D2076" s="4108" t="inlineStr">
        <is>
          <t>202107</t>
        </is>
      </c>
      <c r="E2076" s="4108" t="inlineStr">
        <is>
          <t>3,000000000000</t>
        </is>
      </c>
    </row>
    <row outlineLevel="0" r="2077">
      <c r="A2077" s="4108" t="inlineStr">
        <is>
          <t>135792468202107120620</t>
        </is>
      </c>
      <c r="B2077" s="4108" t="inlineStr">
        <is>
          <t>120620</t>
        </is>
      </c>
      <c r="C2077" s="4108" t="inlineStr">
        <is>
          <t>135792468</t>
        </is>
      </c>
      <c r="D2077" s="4108" t="inlineStr">
        <is>
          <t>202107</t>
        </is>
      </c>
      <c r="E2077" s="4108" t="inlineStr">
        <is>
          <t>1,000000000000</t>
        </is>
      </c>
    </row>
    <row outlineLevel="0" r="2078">
      <c r="A2078" s="4108" t="inlineStr">
        <is>
          <t>135792468202107120615</t>
        </is>
      </c>
      <c r="B2078" s="4108" t="inlineStr">
        <is>
          <t>120615</t>
        </is>
      </c>
      <c r="C2078" s="4108" t="inlineStr">
        <is>
          <t>135792468</t>
        </is>
      </c>
      <c r="D2078" s="4108" t="inlineStr">
        <is>
          <t>202107</t>
        </is>
      </c>
      <c r="E2078" s="4108" t="inlineStr">
        <is>
          <t>8,000000000000</t>
        </is>
      </c>
    </row>
    <row outlineLevel="0" r="2079">
      <c r="A2079" s="4108" t="inlineStr">
        <is>
          <t>135792468202107120610</t>
        </is>
      </c>
      <c r="B2079" s="4108" t="inlineStr">
        <is>
          <t>120610</t>
        </is>
      </c>
      <c r="C2079" s="4108" t="inlineStr">
        <is>
          <t>135792468</t>
        </is>
      </c>
      <c r="D2079" s="4108" t="inlineStr">
        <is>
          <t>202107</t>
        </is>
      </c>
      <c r="E2079" s="4108" t="inlineStr">
        <is>
          <t>7,000000000000</t>
        </is>
      </c>
    </row>
    <row outlineLevel="0" r="2080">
      <c r="A2080" s="4108" t="inlineStr">
        <is>
          <t>135792468202107120501</t>
        </is>
      </c>
      <c r="B2080" s="4108" t="inlineStr">
        <is>
          <t>120501</t>
        </is>
      </c>
      <c r="C2080" s="4108" t="inlineStr">
        <is>
          <t>135792468</t>
        </is>
      </c>
      <c r="D2080" s="4108" t="inlineStr">
        <is>
          <t>202107</t>
        </is>
      </c>
      <c r="E2080" s="4108" t="inlineStr">
        <is>
          <t>2,000000000000</t>
        </is>
      </c>
    </row>
    <row outlineLevel="0" r="2081">
      <c r="A2081" s="4108" t="inlineStr">
        <is>
          <t>135792468202107120145</t>
        </is>
      </c>
      <c r="B2081" s="4108" t="inlineStr">
        <is>
          <t>120145</t>
        </is>
      </c>
      <c r="C2081" s="4108" t="inlineStr">
        <is>
          <t>135792468</t>
        </is>
      </c>
      <c r="D2081" s="4108" t="inlineStr">
        <is>
          <t>202107</t>
        </is>
      </c>
      <c r="E2081" s="4108" t="inlineStr">
        <is>
          <t>8,000000000000</t>
        </is>
      </c>
    </row>
    <row outlineLevel="0" r="2082">
      <c r="A2082" s="4108" t="inlineStr">
        <is>
          <t>135792468202107120195</t>
        </is>
      </c>
      <c r="B2082" s="4108" t="inlineStr">
        <is>
          <t>120195</t>
        </is>
      </c>
      <c r="C2082" s="4108" t="inlineStr">
        <is>
          <t>135792468</t>
        </is>
      </c>
      <c r="D2082" s="4108" t="inlineStr">
        <is>
          <t>202107</t>
        </is>
      </c>
      <c r="E2082" s="4108" t="inlineStr">
        <is>
          <t>9,000000000000</t>
        </is>
      </c>
    </row>
    <row outlineLevel="0" r="2083">
      <c r="A2083" s="4108" t="inlineStr">
        <is>
          <t>135792468202107120140</t>
        </is>
      </c>
      <c r="B2083" s="4108" t="inlineStr">
        <is>
          <t>120140</t>
        </is>
      </c>
      <c r="C2083" s="4108" t="inlineStr">
        <is>
          <t>135792468</t>
        </is>
      </c>
      <c r="D2083" s="4108" t="inlineStr">
        <is>
          <t>202107</t>
        </is>
      </c>
      <c r="E2083" s="4108" t="inlineStr">
        <is>
          <t>9,000000000000</t>
        </is>
      </c>
    </row>
    <row outlineLevel="0" r="2084">
      <c r="A2084" s="4108" t="inlineStr">
        <is>
          <t>135792468202107120128</t>
        </is>
      </c>
      <c r="B2084" s="4108" t="inlineStr">
        <is>
          <t>120128</t>
        </is>
      </c>
      <c r="C2084" s="4108" t="inlineStr">
        <is>
          <t>135792468</t>
        </is>
      </c>
      <c r="D2084" s="4108" t="inlineStr">
        <is>
          <t>202107</t>
        </is>
      </c>
      <c r="E2084" s="4108" t="inlineStr">
        <is>
          <t>8,000000000000</t>
        </is>
      </c>
    </row>
    <row outlineLevel="0" r="2085">
      <c r="A2085" s="4108" t="inlineStr">
        <is>
          <t>135792468202107120124</t>
        </is>
      </c>
      <c r="B2085" s="4108" t="inlineStr">
        <is>
          <t>120124</t>
        </is>
      </c>
      <c r="C2085" s="4108" t="inlineStr">
        <is>
          <t>135792468</t>
        </is>
      </c>
      <c r="D2085" s="4108" t="inlineStr">
        <is>
          <t>202107</t>
        </is>
      </c>
      <c r="E2085" s="4108" t="inlineStr">
        <is>
          <t>7,000000000000</t>
        </is>
      </c>
    </row>
    <row outlineLevel="0" r="2086">
      <c r="A2086" s="4108" t="inlineStr">
        <is>
          <t>135792468202107120120</t>
        </is>
      </c>
      <c r="B2086" s="4108" t="inlineStr">
        <is>
          <t>120120</t>
        </is>
      </c>
      <c r="C2086" s="4108" t="inlineStr">
        <is>
          <t>135792468</t>
        </is>
      </c>
      <c r="D2086" s="4108" t="inlineStr">
        <is>
          <t>202107</t>
        </is>
      </c>
      <c r="E2086" s="4108" t="inlineStr">
        <is>
          <t>6,000000000000</t>
        </is>
      </c>
    </row>
    <row outlineLevel="0" r="2087">
      <c r="A2087" s="4108" t="inlineStr">
        <is>
          <t>135792468202107120116</t>
        </is>
      </c>
      <c r="B2087" s="4108" t="inlineStr">
        <is>
          <t>120116</t>
        </is>
      </c>
      <c r="C2087" s="4108" t="inlineStr">
        <is>
          <t>135792468</t>
        </is>
      </c>
      <c r="D2087" s="4108" t="inlineStr">
        <is>
          <t>202107</t>
        </is>
      </c>
      <c r="E2087" s="4108" t="inlineStr">
        <is>
          <t>5,000000000000</t>
        </is>
      </c>
    </row>
    <row outlineLevel="0" r="2088">
      <c r="A2088" s="4108" t="inlineStr">
        <is>
          <t>135792468202107120108</t>
        </is>
      </c>
      <c r="B2088" s="4108" t="inlineStr">
        <is>
          <t>120108</t>
        </is>
      </c>
      <c r="C2088" s="4108" t="inlineStr">
        <is>
          <t>135792468</t>
        </is>
      </c>
      <c r="D2088" s="4108" t="inlineStr">
        <is>
          <t>202107</t>
        </is>
      </c>
      <c r="E2088" s="4108" t="inlineStr">
        <is>
          <t>3,000000000000</t>
        </is>
      </c>
    </row>
    <row outlineLevel="0" r="2089">
      <c r="A2089" s="4108" t="inlineStr">
        <is>
          <t>135792468202107111010</t>
        </is>
      </c>
      <c r="B2089" s="4108" t="inlineStr">
        <is>
          <t>111010</t>
        </is>
      </c>
      <c r="C2089" s="4108" t="inlineStr">
        <is>
          <t>135792468</t>
        </is>
      </c>
      <c r="D2089" s="4108" t="inlineStr">
        <is>
          <t>202107</t>
        </is>
      </c>
      <c r="E2089" s="4108" t="inlineStr">
        <is>
          <t>3,000000000000</t>
        </is>
      </c>
    </row>
    <row outlineLevel="0" r="2090">
      <c r="A2090" s="4108" t="inlineStr">
        <is>
          <t>135792468202107120104</t>
        </is>
      </c>
      <c r="B2090" s="4108" t="inlineStr">
        <is>
          <t>120104</t>
        </is>
      </c>
      <c r="C2090" s="4108" t="inlineStr">
        <is>
          <t>135792468</t>
        </is>
      </c>
      <c r="D2090" s="4108" t="inlineStr">
        <is>
          <t>202107</t>
        </is>
      </c>
      <c r="E2090" s="4108" t="inlineStr">
        <is>
          <t>2,000000000000</t>
        </is>
      </c>
    </row>
    <row outlineLevel="0" r="2091">
      <c r="A2091" s="4108" t="inlineStr">
        <is>
          <t>135792468202107110495</t>
        </is>
      </c>
      <c r="B2091" s="4108" t="inlineStr">
        <is>
          <t>110495</t>
        </is>
      </c>
      <c r="C2091" s="4108" t="inlineStr">
        <is>
          <t>135792468</t>
        </is>
      </c>
      <c r="D2091" s="4108" t="inlineStr">
        <is>
          <t>202107</t>
        </is>
      </c>
      <c r="E2091" s="4108" t="inlineStr">
        <is>
          <t>3,000000000000</t>
        </is>
      </c>
    </row>
    <row outlineLevel="0" r="2092">
      <c r="A2092" s="4108" t="inlineStr">
        <is>
          <t>135792468202107110491</t>
        </is>
      </c>
      <c r="B2092" s="4108" t="inlineStr">
        <is>
          <t>110491</t>
        </is>
      </c>
      <c r="C2092" s="4108" t="inlineStr">
        <is>
          <t>135792468</t>
        </is>
      </c>
      <c r="D2092" s="4108" t="inlineStr">
        <is>
          <t>202107</t>
        </is>
      </c>
      <c r="E2092" s="4108" t="inlineStr">
        <is>
          <t>1,000000000000</t>
        </is>
      </c>
    </row>
    <row outlineLevel="0" r="2093">
      <c r="A2093" s="4108" t="inlineStr">
        <is>
          <t>135792468202107110490</t>
        </is>
      </c>
      <c r="B2093" s="4108" t="inlineStr">
        <is>
          <t>110490</t>
        </is>
      </c>
      <c r="C2093" s="4108" t="inlineStr">
        <is>
          <t>135792468</t>
        </is>
      </c>
      <c r="D2093" s="4108" t="inlineStr">
        <is>
          <t>202107</t>
        </is>
      </c>
      <c r="E2093" s="4108" t="inlineStr">
        <is>
          <t>2,000000000000</t>
        </is>
      </c>
    </row>
    <row outlineLevel="0" r="2094">
      <c r="A2094" s="4108" t="inlineStr">
        <is>
          <t>135792468202107110420</t>
        </is>
      </c>
      <c r="B2094" s="4108" t="inlineStr">
        <is>
          <t>110420</t>
        </is>
      </c>
      <c r="C2094" s="4108" t="inlineStr">
        <is>
          <t>135792468</t>
        </is>
      </c>
      <c r="D2094" s="4108" t="inlineStr">
        <is>
          <t>202107</t>
        </is>
      </c>
      <c r="E2094" s="4108" t="inlineStr">
        <is>
          <t>4,000000000000</t>
        </is>
      </c>
    </row>
    <row outlineLevel="0" r="2095">
      <c r="A2095" s="4108" t="inlineStr">
        <is>
          <t>135792468202107110415</t>
        </is>
      </c>
      <c r="B2095" s="4108" t="inlineStr">
        <is>
          <t>110415</t>
        </is>
      </c>
      <c r="C2095" s="4108" t="inlineStr">
        <is>
          <t>135792468</t>
        </is>
      </c>
      <c r="D2095" s="4108" t="inlineStr">
        <is>
          <t>202107</t>
        </is>
      </c>
      <c r="E2095" s="4108" t="inlineStr">
        <is>
          <t>6,000000000000</t>
        </is>
      </c>
    </row>
    <row outlineLevel="0" r="2096">
      <c r="A2096" s="4108" t="inlineStr">
        <is>
          <t>135792468202107110410</t>
        </is>
      </c>
      <c r="B2096" s="4108" t="inlineStr">
        <is>
          <t>110410</t>
        </is>
      </c>
      <c r="C2096" s="4108" t="inlineStr">
        <is>
          <t>135792468</t>
        </is>
      </c>
      <c r="D2096" s="4108" t="inlineStr">
        <is>
          <t>202107</t>
        </is>
      </c>
      <c r="E2096" s="4108" t="inlineStr">
        <is>
          <t>8,000000000000</t>
        </is>
      </c>
    </row>
    <row outlineLevel="0" r="2097">
      <c r="A2097" s="4108" t="inlineStr">
        <is>
          <t>135792468202107110395</t>
        </is>
      </c>
      <c r="B2097" s="4108" t="inlineStr">
        <is>
          <t>110395</t>
        </is>
      </c>
      <c r="C2097" s="4108" t="inlineStr">
        <is>
          <t>135792468</t>
        </is>
      </c>
      <c r="D2097" s="4108" t="inlineStr">
        <is>
          <t>202107</t>
        </is>
      </c>
      <c r="E2097" s="4108" t="inlineStr">
        <is>
          <t>6,000000000000</t>
        </is>
      </c>
    </row>
    <row outlineLevel="0" r="2098">
      <c r="A2098" s="4108" t="inlineStr">
        <is>
          <t>135792468202107110405</t>
        </is>
      </c>
      <c r="B2098" s="4108" t="inlineStr">
        <is>
          <t>110405</t>
        </is>
      </c>
      <c r="C2098" s="4108" t="inlineStr">
        <is>
          <t>135792468</t>
        </is>
      </c>
      <c r="D2098" s="4108" t="inlineStr">
        <is>
          <t>202107</t>
        </is>
      </c>
      <c r="E2098" s="4108" t="inlineStr">
        <is>
          <t>9,000000000000</t>
        </is>
      </c>
    </row>
    <row outlineLevel="0" r="2099">
      <c r="A2099" s="4108" t="inlineStr">
        <is>
          <t>135792468202107110390</t>
        </is>
      </c>
      <c r="B2099" s="4108" t="inlineStr">
        <is>
          <t>110390</t>
        </is>
      </c>
      <c r="C2099" s="4108" t="inlineStr">
        <is>
          <t>135792468</t>
        </is>
      </c>
      <c r="D2099" s="4108" t="inlineStr">
        <is>
          <t>202107</t>
        </is>
      </c>
      <c r="E2099" s="4108" t="inlineStr">
        <is>
          <t>5,000000000000</t>
        </is>
      </c>
    </row>
    <row outlineLevel="0" r="2100">
      <c r="A2100" s="4108" t="inlineStr">
        <is>
          <t>135792468202107110305</t>
        </is>
      </c>
      <c r="B2100" s="4108" t="inlineStr">
        <is>
          <t>110305</t>
        </is>
      </c>
      <c r="C2100" s="4108" t="inlineStr">
        <is>
          <t>135792468</t>
        </is>
      </c>
      <c r="D2100" s="4108" t="inlineStr">
        <is>
          <t>202107</t>
        </is>
      </c>
      <c r="E2100" s="4108" t="inlineStr">
        <is>
          <t>2,000000000000</t>
        </is>
      </c>
    </row>
    <row outlineLevel="0" r="2101">
      <c r="A2101" s="4108" t="inlineStr">
        <is>
          <t>135792468202107110260</t>
        </is>
      </c>
      <c r="B2101" s="4108" t="inlineStr">
        <is>
          <t>110260</t>
        </is>
      </c>
      <c r="C2101" s="4108" t="inlineStr">
        <is>
          <t>135792468</t>
        </is>
      </c>
      <c r="D2101" s="4108" t="inlineStr">
        <is>
          <t>202107</t>
        </is>
      </c>
      <c r="E2101" s="4108" t="inlineStr">
        <is>
          <t>8,000000000000</t>
        </is>
      </c>
    </row>
    <row outlineLevel="0" r="2102">
      <c r="A2102" s="4108" t="inlineStr">
        <is>
          <t>135792468202107110255</t>
        </is>
      </c>
      <c r="B2102" s="4108" t="inlineStr">
        <is>
          <t>110255</t>
        </is>
      </c>
      <c r="C2102" s="4108" t="inlineStr">
        <is>
          <t>135792468</t>
        </is>
      </c>
      <c r="D2102" s="4108" t="inlineStr">
        <is>
          <t>202107</t>
        </is>
      </c>
      <c r="E2102" s="4108" t="inlineStr">
        <is>
          <t>6,000000000000</t>
        </is>
      </c>
    </row>
    <row outlineLevel="0" r="2103">
      <c r="A2103" s="4108" t="inlineStr">
        <is>
          <t>135792468202107110235</t>
        </is>
      </c>
      <c r="B2103" s="4108" t="inlineStr">
        <is>
          <t>110235</t>
        </is>
      </c>
      <c r="C2103" s="4108" t="inlineStr">
        <is>
          <t>135792468</t>
        </is>
      </c>
      <c r="D2103" s="4108" t="inlineStr">
        <is>
          <t>202107</t>
        </is>
      </c>
      <c r="E2103" s="4108" t="inlineStr">
        <is>
          <t>5,000000000000</t>
        </is>
      </c>
    </row>
    <row outlineLevel="0" r="2104">
      <c r="A2104" s="4108" t="inlineStr">
        <is>
          <t>135792468202107110225</t>
        </is>
      </c>
      <c r="B2104" s="4108" t="inlineStr">
        <is>
          <t>110225</t>
        </is>
      </c>
      <c r="C2104" s="4108" t="inlineStr">
        <is>
          <t>135792468</t>
        </is>
      </c>
      <c r="D2104" s="4108" t="inlineStr">
        <is>
          <t>202107</t>
        </is>
      </c>
      <c r="E2104" s="4108" t="inlineStr">
        <is>
          <t>4,000000000000</t>
        </is>
      </c>
    </row>
    <row outlineLevel="0" r="2105">
      <c r="A2105" s="4108" t="inlineStr">
        <is>
          <t>135792468202107110210</t>
        </is>
      </c>
      <c r="B2105" s="4108" t="inlineStr">
        <is>
          <t>110210</t>
        </is>
      </c>
      <c r="C2105" s="4108" t="inlineStr">
        <is>
          <t>135792468</t>
        </is>
      </c>
      <c r="D2105" s="4108" t="inlineStr">
        <is>
          <t>202107</t>
        </is>
      </c>
      <c r="E2105" s="4108" t="inlineStr">
        <is>
          <t>2,000000000000</t>
        </is>
      </c>
    </row>
    <row outlineLevel="0" r="2106">
      <c r="A2106" s="4108" t="inlineStr">
        <is>
          <t>135792468202107110215</t>
        </is>
      </c>
      <c r="B2106" s="4108" t="inlineStr">
        <is>
          <t>110215</t>
        </is>
      </c>
      <c r="C2106" s="4108" t="inlineStr">
        <is>
          <t>135792468</t>
        </is>
      </c>
      <c r="D2106" s="4108" t="inlineStr">
        <is>
          <t>202107</t>
        </is>
      </c>
      <c r="E2106" s="4108" t="inlineStr">
        <is>
          <t>3,000000000000</t>
        </is>
      </c>
    </row>
    <row outlineLevel="0" r="2107">
      <c r="A2107" s="4108" t="inlineStr">
        <is>
          <t>135792468202107110205</t>
        </is>
      </c>
      <c r="B2107" s="4108" t="inlineStr">
        <is>
          <t>110205</t>
        </is>
      </c>
      <c r="C2107" s="4108" t="inlineStr">
        <is>
          <t>135792468</t>
        </is>
      </c>
      <c r="D2107" s="4108" t="inlineStr">
        <is>
          <t>202107</t>
        </is>
      </c>
      <c r="E2107" s="4108" t="inlineStr">
        <is>
          <t>1,000000000000</t>
        </is>
      </c>
    </row>
    <row outlineLevel="0" r="2108">
      <c r="A2108" s="4108" t="inlineStr">
        <is>
          <t>135792468202107110130</t>
        </is>
      </c>
      <c r="B2108" s="4108" t="inlineStr">
        <is>
          <t>110130</t>
        </is>
      </c>
      <c r="C2108" s="4108" t="inlineStr">
        <is>
          <t>135792468</t>
        </is>
      </c>
      <c r="D2108" s="4108" t="inlineStr">
        <is>
          <t>202107</t>
        </is>
      </c>
      <c r="E2108" s="4108" t="inlineStr">
        <is>
          <t>4,000000000000</t>
        </is>
      </c>
    </row>
    <row outlineLevel="0" r="2109">
      <c r="A2109" s="4108" t="inlineStr">
        <is>
          <t>135792468202107110125</t>
        </is>
      </c>
      <c r="B2109" s="4108" t="inlineStr">
        <is>
          <t>110125</t>
        </is>
      </c>
      <c r="C2109" s="4108" t="inlineStr">
        <is>
          <t>135792468</t>
        </is>
      </c>
      <c r="D2109" s="4108" t="inlineStr">
        <is>
          <t>202107</t>
        </is>
      </c>
      <c r="E2109" s="4108" t="inlineStr">
        <is>
          <t>5,000000000000</t>
        </is>
      </c>
    </row>
    <row outlineLevel="0" r="2110">
      <c r="A2110" s="4108" t="inlineStr">
        <is>
          <t>135792468202107110110</t>
        </is>
      </c>
      <c r="B2110" s="4108" t="inlineStr">
        <is>
          <t>110110</t>
        </is>
      </c>
      <c r="C2110" s="4108" t="inlineStr">
        <is>
          <t>135792468</t>
        </is>
      </c>
      <c r="D2110" s="4108" t="inlineStr">
        <is>
          <t>202107</t>
        </is>
      </c>
      <c r="E2110" s="4108" t="inlineStr">
        <is>
          <t>2,000000000000</t>
        </is>
      </c>
    </row>
    <row outlineLevel="0" r="2111">
      <c r="A2111" s="4108" t="inlineStr">
        <is>
          <t>135792468202107110105</t>
        </is>
      </c>
      <c r="B2111" s="4108" t="inlineStr">
        <is>
          <t>110105</t>
        </is>
      </c>
      <c r="C2111" s="4108" t="inlineStr">
        <is>
          <t>135792468</t>
        </is>
      </c>
      <c r="D2111" s="4108" t="inlineStr">
        <is>
          <t>202107</t>
        </is>
      </c>
      <c r="E2111" s="4108" t="inlineStr">
        <is>
          <t>1,000000000000</t>
        </is>
      </c>
    </row>
    <row outlineLevel="0" r="2112">
      <c r="A2112" s="4108" t="inlineStr">
        <is>
          <t>135792468202107109801</t>
        </is>
      </c>
      <c r="B2112" s="4108" t="inlineStr">
        <is>
          <t>109801</t>
        </is>
      </c>
      <c r="C2112" s="4108" t="inlineStr">
        <is>
          <t>135792468</t>
        </is>
      </c>
      <c r="D2112" s="4108" t="inlineStr">
        <is>
          <t>202107</t>
        </is>
      </c>
      <c r="E2112" s="4108" t="inlineStr">
        <is>
          <t>4,000000000000</t>
        </is>
      </c>
    </row>
    <row outlineLevel="0" r="2113">
      <c r="A2113" s="4108" t="inlineStr">
        <is>
          <t>135792468202107108300</t>
        </is>
      </c>
      <c r="B2113" s="4108" t="inlineStr">
        <is>
          <t>108300</t>
        </is>
      </c>
      <c r="C2113" s="4108" t="inlineStr">
        <is>
          <t>135792468</t>
        </is>
      </c>
      <c r="D2113" s="4108" t="inlineStr">
        <is>
          <t>202107</t>
        </is>
      </c>
      <c r="E2113" s="4108" t="inlineStr">
        <is>
          <t>5,000000000000</t>
        </is>
      </c>
    </row>
    <row outlineLevel="0" r="2114">
      <c r="A2114" s="4108" t="inlineStr">
        <is>
          <t>135792468202107108400</t>
        </is>
      </c>
      <c r="B2114" s="4108" t="inlineStr">
        <is>
          <t>108400</t>
        </is>
      </c>
      <c r="C2114" s="4108" t="inlineStr">
        <is>
          <t>135792468</t>
        </is>
      </c>
      <c r="D2114" s="4108" t="inlineStr">
        <is>
          <t>202107</t>
        </is>
      </c>
      <c r="E2114" s="4108" t="inlineStr">
        <is>
          <t>4,000000000000</t>
        </is>
      </c>
    </row>
    <row outlineLevel="0" r="2115">
      <c r="A2115" s="4108" t="inlineStr">
        <is>
          <t>135792468202107108200</t>
        </is>
      </c>
      <c r="B2115" s="4108" t="inlineStr">
        <is>
          <t>108200</t>
        </is>
      </c>
      <c r="C2115" s="4108" t="inlineStr">
        <is>
          <t>135792468</t>
        </is>
      </c>
      <c r="D2115" s="4108" t="inlineStr">
        <is>
          <t>202107</t>
        </is>
      </c>
      <c r="E2115" s="4108" t="inlineStr">
        <is>
          <t>6,000000000000</t>
        </is>
      </c>
    </row>
    <row outlineLevel="0" r="2116">
      <c r="A2116" s="4108" t="inlineStr">
        <is>
          <t>135792468202107108100</t>
        </is>
      </c>
      <c r="B2116" s="4108" t="inlineStr">
        <is>
          <t>108100</t>
        </is>
      </c>
      <c r="C2116" s="4108" t="inlineStr">
        <is>
          <t>135792468</t>
        </is>
      </c>
      <c r="D2116" s="4108" t="inlineStr">
        <is>
          <t>202107</t>
        </is>
      </c>
      <c r="E2116" s="4108" t="inlineStr">
        <is>
          <t>7,000000000000</t>
        </is>
      </c>
    </row>
    <row outlineLevel="0" r="2117">
      <c r="A2117" s="4108" t="inlineStr">
        <is>
          <t>135792468202107108000</t>
        </is>
      </c>
      <c r="B2117" s="4108" t="inlineStr">
        <is>
          <t>108000</t>
        </is>
      </c>
      <c r="C2117" s="4108" t="inlineStr">
        <is>
          <t>135792468</t>
        </is>
      </c>
      <c r="D2117" s="4108" t="inlineStr">
        <is>
          <t>202107</t>
        </is>
      </c>
      <c r="E2117" s="4108" t="inlineStr">
        <is>
          <t>22,000000000000</t>
        </is>
      </c>
    </row>
    <row outlineLevel="0" r="2118">
      <c r="A2118" s="4108" t="inlineStr">
        <is>
          <t>1357924682021075301</t>
        </is>
      </c>
      <c r="B2118" s="4108" t="inlineStr">
        <is>
          <t>5301</t>
        </is>
      </c>
      <c r="C2118" s="4108" t="inlineStr">
        <is>
          <t>135792468</t>
        </is>
      </c>
      <c r="D2118" s="4108" t="inlineStr">
        <is>
          <t>202107</t>
        </is>
      </c>
      <c r="E2118" s="4108" t="inlineStr">
        <is>
          <t>9,000000000000</t>
        </is>
      </c>
    </row>
    <row outlineLevel="0" r="2119">
      <c r="A2119" s="4108" t="inlineStr">
        <is>
          <t>1357924682021072209</t>
        </is>
      </c>
      <c r="B2119" s="4108" t="inlineStr">
        <is>
          <t>2209</t>
        </is>
      </c>
      <c r="C2119" s="4108" t="inlineStr">
        <is>
          <t>135792468</t>
        </is>
      </c>
      <c r="D2119" s="4108" t="inlineStr">
        <is>
          <t>202107</t>
        </is>
      </c>
      <c r="E2119" s="4108" t="inlineStr">
        <is>
          <t>15,000000000000</t>
        </is>
      </c>
    </row>
    <row outlineLevel="0" r="2120">
      <c r="A2120" s="4108" t="inlineStr">
        <is>
          <t>1357924682021072207</t>
        </is>
      </c>
      <c r="B2120" s="4108" t="inlineStr">
        <is>
          <t>2207</t>
        </is>
      </c>
      <c r="C2120" s="4108" t="inlineStr">
        <is>
          <t>135792468</t>
        </is>
      </c>
      <c r="D2120" s="4108" t="inlineStr">
        <is>
          <t>202107</t>
        </is>
      </c>
      <c r="E2120" s="4108" t="inlineStr">
        <is>
          <t>33,000000000000</t>
        </is>
      </c>
    </row>
    <row outlineLevel="0" r="2121">
      <c r="A2121" s="4108" t="inlineStr">
        <is>
          <t>1357924682021072204</t>
        </is>
      </c>
      <c r="B2121" s="4108" t="inlineStr">
        <is>
          <t>2204</t>
        </is>
      </c>
      <c r="C2121" s="4108" t="inlineStr">
        <is>
          <t>135792468</t>
        </is>
      </c>
      <c r="D2121" s="4108" t="inlineStr">
        <is>
          <t>202107</t>
        </is>
      </c>
      <c r="E2121" s="4108" t="inlineStr">
        <is>
          <t>26,000000000000</t>
        </is>
      </c>
    </row>
    <row outlineLevel="0" r="2122">
      <c r="A2122" s="4108" t="inlineStr">
        <is>
          <t>1357924682021072206</t>
        </is>
      </c>
      <c r="B2122" s="4108" t="inlineStr">
        <is>
          <t>2206</t>
        </is>
      </c>
      <c r="C2122" s="4108" t="inlineStr">
        <is>
          <t>135792468</t>
        </is>
      </c>
      <c r="D2122" s="4108" t="inlineStr">
        <is>
          <t>202107</t>
        </is>
      </c>
      <c r="E2122" s="4108" t="inlineStr">
        <is>
          <t>45,000000000000</t>
        </is>
      </c>
    </row>
    <row outlineLevel="0" r="2123">
      <c r="A2123" s="4108" t="inlineStr">
        <is>
          <t>1357924682021072203</t>
        </is>
      </c>
      <c r="B2123" s="4108" t="inlineStr">
        <is>
          <t>2203</t>
        </is>
      </c>
      <c r="C2123" s="4108" t="inlineStr">
        <is>
          <t>135792468</t>
        </is>
      </c>
      <c r="D2123" s="4108" t="inlineStr">
        <is>
          <t>202107</t>
        </is>
      </c>
      <c r="E2123" s="4108" t="inlineStr">
        <is>
          <t>84,000000000000</t>
        </is>
      </c>
    </row>
    <row outlineLevel="0" r="2124">
      <c r="A2124" s="4108" t="inlineStr">
        <is>
          <t>1357924682021072201</t>
        </is>
      </c>
      <c r="B2124" s="4108" t="inlineStr">
        <is>
          <t>2201</t>
        </is>
      </c>
      <c r="C2124" s="4108" t="inlineStr">
        <is>
          <t>135792468</t>
        </is>
      </c>
      <c r="D2124" s="4108" t="inlineStr">
        <is>
          <t>202107</t>
        </is>
      </c>
      <c r="E2124" s="4108" t="inlineStr">
        <is>
          <t>7,000000000000</t>
        </is>
      </c>
    </row>
    <row outlineLevel="0" r="2125">
      <c r="A2125" s="4108" t="inlineStr">
        <is>
          <t>1357924682021072109</t>
        </is>
      </c>
      <c r="B2125" s="4108" t="inlineStr">
        <is>
          <t>2109</t>
        </is>
      </c>
      <c r="C2125" s="4108" t="inlineStr">
        <is>
          <t>135792468</t>
        </is>
      </c>
      <c r="D2125" s="4108" t="inlineStr">
        <is>
          <t>202107</t>
        </is>
      </c>
      <c r="E2125" s="4108" t="inlineStr">
        <is>
          <t>31,000000000000</t>
        </is>
      </c>
    </row>
    <row outlineLevel="0" r="2126">
      <c r="A2126" s="4108" t="inlineStr">
        <is>
          <t>1357924682021072107</t>
        </is>
      </c>
      <c r="B2126" s="4108" t="inlineStr">
        <is>
          <t>2107</t>
        </is>
      </c>
      <c r="C2126" s="4108" t="inlineStr">
        <is>
          <t>135792468</t>
        </is>
      </c>
      <c r="D2126" s="4108" t="inlineStr">
        <is>
          <t>202107</t>
        </is>
      </c>
      <c r="E2126" s="4108" t="inlineStr">
        <is>
          <t>26,000000000000</t>
        </is>
      </c>
    </row>
    <row outlineLevel="0" r="2127">
      <c r="A2127" s="4108" t="inlineStr">
        <is>
          <t>1357924682021072106</t>
        </is>
      </c>
      <c r="B2127" s="4108" t="inlineStr">
        <is>
          <t>2106</t>
        </is>
      </c>
      <c r="C2127" s="4108" t="inlineStr">
        <is>
          <t>135792468</t>
        </is>
      </c>
      <c r="D2127" s="4108" t="inlineStr">
        <is>
          <t>202107</t>
        </is>
      </c>
      <c r="E2127" s="4108" t="inlineStr">
        <is>
          <t>45,000000000000</t>
        </is>
      </c>
    </row>
    <row outlineLevel="0" r="2128">
      <c r="A2128" s="4108" t="inlineStr">
        <is>
          <t>1357924682021072105</t>
        </is>
      </c>
      <c r="B2128" s="4108" t="inlineStr">
        <is>
          <t>2105</t>
        </is>
      </c>
      <c r="C2128" s="4108" t="inlineStr">
        <is>
          <t>135792468</t>
        </is>
      </c>
      <c r="D2128" s="4108" t="inlineStr">
        <is>
          <t>202107</t>
        </is>
      </c>
      <c r="E2128" s="4108" t="inlineStr">
        <is>
          <t>20,000000000000</t>
        </is>
      </c>
    </row>
    <row outlineLevel="0" r="2129">
      <c r="A2129" s="4108" t="inlineStr">
        <is>
          <t>1357924682021072103</t>
        </is>
      </c>
      <c r="B2129" s="4108" t="inlineStr">
        <is>
          <t>2103</t>
        </is>
      </c>
      <c r="C2129" s="4108" t="inlineStr">
        <is>
          <t>135792468</t>
        </is>
      </c>
      <c r="D2129" s="4108" t="inlineStr">
        <is>
          <t>202107</t>
        </is>
      </c>
      <c r="E2129" s="4108" t="inlineStr">
        <is>
          <t>80,000000000000</t>
        </is>
      </c>
    </row>
    <row outlineLevel="0" r="2130">
      <c r="A2130" s="4108" t="inlineStr">
        <is>
          <t>1357924682021072104</t>
        </is>
      </c>
      <c r="B2130" s="4108" t="inlineStr">
        <is>
          <t>2104</t>
        </is>
      </c>
      <c r="C2130" s="4108" t="inlineStr">
        <is>
          <t>135792468</t>
        </is>
      </c>
      <c r="D2130" s="4108" t="inlineStr">
        <is>
          <t>202107</t>
        </is>
      </c>
      <c r="E2130" s="4108" t="inlineStr">
        <is>
          <t>33,000000000000</t>
        </is>
      </c>
    </row>
    <row outlineLevel="0" r="2131">
      <c r="A2131" s="4108" t="inlineStr">
        <is>
          <t>1357924682021072102</t>
        </is>
      </c>
      <c r="B2131" s="4108" t="inlineStr">
        <is>
          <t>2102</t>
        </is>
      </c>
      <c r="C2131" s="4108" t="inlineStr">
        <is>
          <t>135792468</t>
        </is>
      </c>
      <c r="D2131" s="4108" t="inlineStr">
        <is>
          <t>202107</t>
        </is>
      </c>
      <c r="E2131" s="4108" t="inlineStr">
        <is>
          <t>12,000000000000</t>
        </is>
      </c>
    </row>
    <row outlineLevel="0" r="2132">
      <c r="A2132" s="4108" t="inlineStr">
        <is>
          <t>1357924682021072101</t>
        </is>
      </c>
      <c r="B2132" s="4108" t="inlineStr">
        <is>
          <t>2101</t>
        </is>
      </c>
      <c r="C2132" s="4108" t="inlineStr">
        <is>
          <t>135792468</t>
        </is>
      </c>
      <c r="D2132" s="4108" t="inlineStr">
        <is>
          <t>202107</t>
        </is>
      </c>
      <c r="E2132" s="4108" t="inlineStr">
        <is>
          <t>18,000000000000</t>
        </is>
      </c>
    </row>
    <row outlineLevel="0" r="2133">
      <c r="A2133" s="4108" t="inlineStr">
        <is>
          <t>1357924682021071208</t>
        </is>
      </c>
      <c r="B2133" s="4108" t="inlineStr">
        <is>
          <t>1208</t>
        </is>
      </c>
      <c r="C2133" s="4108" t="inlineStr">
        <is>
          <t>135792468</t>
        </is>
      </c>
      <c r="D2133" s="4108" t="inlineStr">
        <is>
          <t>202107</t>
        </is>
      </c>
      <c r="E2133" s="4108" t="inlineStr">
        <is>
          <t>15,000000000000</t>
        </is>
      </c>
    </row>
    <row outlineLevel="0" r="2134">
      <c r="A2134" s="4108" t="inlineStr">
        <is>
          <t>1357924682021071207</t>
        </is>
      </c>
      <c r="B2134" s="4108" t="inlineStr">
        <is>
          <t>1207</t>
        </is>
      </c>
      <c r="C2134" s="4108" t="inlineStr">
        <is>
          <t>135792468</t>
        </is>
      </c>
      <c r="D2134" s="4108" t="inlineStr">
        <is>
          <t>202107</t>
        </is>
      </c>
      <c r="E2134" s="4108" t="inlineStr">
        <is>
          <t>30,000000000000</t>
        </is>
      </c>
    </row>
    <row outlineLevel="0" r="2135">
      <c r="A2135" s="4108" t="inlineStr">
        <is>
          <t>1357924682021071206</t>
        </is>
      </c>
      <c r="B2135" s="4108" t="inlineStr">
        <is>
          <t>1206</t>
        </is>
      </c>
      <c r="C2135" s="4108" t="inlineStr">
        <is>
          <t>135792468</t>
        </is>
      </c>
      <c r="D2135" s="4108" t="inlineStr">
        <is>
          <t>202107</t>
        </is>
      </c>
      <c r="E2135" s="4108" t="inlineStr">
        <is>
          <t>29,000000000000</t>
        </is>
      </c>
    </row>
    <row outlineLevel="0" r="2136">
      <c r="A2136" s="4108" t="inlineStr">
        <is>
          <t>1357924682021071205</t>
        </is>
      </c>
      <c r="B2136" s="4108" t="inlineStr">
        <is>
          <t>1205</t>
        </is>
      </c>
      <c r="C2136" s="4108" t="inlineStr">
        <is>
          <t>135792468</t>
        </is>
      </c>
      <c r="D2136" s="4108" t="inlineStr">
        <is>
          <t>202107</t>
        </is>
      </c>
      <c r="E2136" s="4108" t="inlineStr">
        <is>
          <t>98,000000000000</t>
        </is>
      </c>
    </row>
    <row outlineLevel="0" r="2137">
      <c r="A2137" s="4108" t="inlineStr">
        <is>
          <t>1357924682021071202</t>
        </is>
      </c>
      <c r="B2137" s="4108" t="inlineStr">
        <is>
          <t>1202</t>
        </is>
      </c>
      <c r="C2137" s="4108" t="inlineStr">
        <is>
          <t>135792468</t>
        </is>
      </c>
      <c r="D2137" s="4108" t="inlineStr">
        <is>
          <t>202107</t>
        </is>
      </c>
      <c r="E2137" s="4108" t="inlineStr">
        <is>
          <t>35,000000000000</t>
        </is>
      </c>
    </row>
    <row outlineLevel="0" r="2138">
      <c r="A2138" s="4108" t="inlineStr">
        <is>
          <t>1357924682021071203</t>
        </is>
      </c>
      <c r="B2138" s="4108" t="inlineStr">
        <is>
          <t>1203</t>
        </is>
      </c>
      <c r="C2138" s="4108" t="inlineStr">
        <is>
          <t>135792468</t>
        </is>
      </c>
      <c r="D2138" s="4108" t="inlineStr">
        <is>
          <t>202107</t>
        </is>
      </c>
      <c r="E2138" s="4108" t="inlineStr">
        <is>
          <t>52,000000000000</t>
        </is>
      </c>
    </row>
    <row outlineLevel="0" r="2139">
      <c r="A2139" s="4108" t="inlineStr">
        <is>
          <t>1357924682021071201</t>
        </is>
      </c>
      <c r="B2139" s="4108" t="inlineStr">
        <is>
          <t>1201</t>
        </is>
      </c>
      <c r="C2139" s="4108" t="inlineStr">
        <is>
          <t>135792468</t>
        </is>
      </c>
      <c r="D2139" s="4108" t="inlineStr">
        <is>
          <t>202107</t>
        </is>
      </c>
      <c r="E2139" s="4108" t="inlineStr">
        <is>
          <t>98,000000000000</t>
        </is>
      </c>
    </row>
    <row outlineLevel="0" r="2140">
      <c r="A2140" s="4108" t="inlineStr">
        <is>
          <t>1357924682021071107</t>
        </is>
      </c>
      <c r="B2140" s="4108" t="inlineStr">
        <is>
          <t>1107</t>
        </is>
      </c>
      <c r="C2140" s="4108" t="inlineStr">
        <is>
          <t>135792468</t>
        </is>
      </c>
      <c r="D2140" s="4108" t="inlineStr">
        <is>
          <t>202107</t>
        </is>
      </c>
      <c r="E2140" s="4108" t="inlineStr">
        <is>
          <t>20,000000000000</t>
        </is>
      </c>
    </row>
    <row outlineLevel="0" r="2141">
      <c r="A2141" s="4108" t="inlineStr">
        <is>
          <t>1357924682021071106</t>
        </is>
      </c>
      <c r="B2141" s="4108" t="inlineStr">
        <is>
          <t>1106</t>
        </is>
      </c>
      <c r="C2141" s="4108" t="inlineStr">
        <is>
          <t>135792468</t>
        </is>
      </c>
      <c r="D2141" s="4108" t="inlineStr">
        <is>
          <t>202107</t>
        </is>
      </c>
      <c r="E2141" s="4108" t="inlineStr">
        <is>
          <t>72,000000000000</t>
        </is>
      </c>
    </row>
    <row outlineLevel="0" r="2142">
      <c r="A2142" s="4108" t="inlineStr">
        <is>
          <t>1357924682021071104</t>
        </is>
      </c>
      <c r="B2142" s="4108" t="inlineStr">
        <is>
          <t>1104</t>
        </is>
      </c>
      <c r="C2142" s="4108" t="inlineStr">
        <is>
          <t>135792468</t>
        </is>
      </c>
      <c r="D2142" s="4108" t="inlineStr">
        <is>
          <t>202107</t>
        </is>
      </c>
      <c r="E2142" s="4108" t="inlineStr">
        <is>
          <t>76,000000000000</t>
        </is>
      </c>
    </row>
    <row outlineLevel="0" r="2143">
      <c r="A2143" s="4108" t="inlineStr">
        <is>
          <t>1357924682021071103</t>
        </is>
      </c>
      <c r="B2143" s="4108" t="inlineStr">
        <is>
          <t>1103</t>
        </is>
      </c>
      <c r="C2143" s="4108" t="inlineStr">
        <is>
          <t>135792468</t>
        </is>
      </c>
      <c r="D2143" s="4108" t="inlineStr">
        <is>
          <t>202107</t>
        </is>
      </c>
      <c r="E2143" s="4108" t="inlineStr">
        <is>
          <t>8,000000000000</t>
        </is>
      </c>
    </row>
    <row outlineLevel="0" r="2144">
      <c r="A2144" s="4108" t="inlineStr">
        <is>
          <t>1357924682021071102</t>
        </is>
      </c>
      <c r="B2144" s="4108" t="inlineStr">
        <is>
          <t>1102</t>
        </is>
      </c>
      <c r="C2144" s="4108" t="inlineStr">
        <is>
          <t>135792468</t>
        </is>
      </c>
      <c r="D2144" s="4108" t="inlineStr">
        <is>
          <t>202107</t>
        </is>
      </c>
      <c r="E2144" s="4108" t="inlineStr">
        <is>
          <t>36,000000000000</t>
        </is>
      </c>
    </row>
    <row outlineLevel="0" r="2145">
      <c r="A2145" s="4108" t="inlineStr">
        <is>
          <t>13579246820210799</t>
        </is>
      </c>
      <c r="B2145" s="4108" t="inlineStr">
        <is>
          <t>99</t>
        </is>
      </c>
      <c r="C2145" s="4108" t="inlineStr">
        <is>
          <t>135792468</t>
        </is>
      </c>
      <c r="D2145" s="4108" t="inlineStr">
        <is>
          <t>202107</t>
        </is>
      </c>
      <c r="E2145" s="4108" t="inlineStr">
        <is>
          <t>10984,000000000000</t>
        </is>
      </c>
    </row>
    <row outlineLevel="0" r="2146">
      <c r="A2146" s="4108" t="inlineStr">
        <is>
          <t>1357924682021071101</t>
        </is>
      </c>
      <c r="B2146" s="4108" t="inlineStr">
        <is>
          <t>1101</t>
        </is>
      </c>
      <c r="C2146" s="4108" t="inlineStr">
        <is>
          <t>135792468</t>
        </is>
      </c>
      <c r="D2146" s="4108" t="inlineStr">
        <is>
          <t>202107</t>
        </is>
      </c>
      <c r="E2146" s="4108" t="inlineStr">
        <is>
          <t>15,000000000000</t>
        </is>
      </c>
    </row>
    <row outlineLevel="0" r="2147">
      <c r="A2147" s="4108" t="inlineStr">
        <is>
          <t>13579246820210798</t>
        </is>
      </c>
      <c r="B2147" s="4108" t="inlineStr">
        <is>
          <t>98</t>
        </is>
      </c>
      <c r="C2147" s="4108" t="inlineStr">
        <is>
          <t>135792468</t>
        </is>
      </c>
      <c r="D2147" s="4108" t="inlineStr">
        <is>
          <t>202107</t>
        </is>
      </c>
      <c r="E2147" s="4108" t="inlineStr">
        <is>
          <t>0,000000000000</t>
        </is>
      </c>
    </row>
    <row outlineLevel="0" r="2148">
      <c r="A2148" s="4108" t="inlineStr">
        <is>
          <t>13579246820210797</t>
        </is>
      </c>
      <c r="B2148" s="4108" t="inlineStr">
        <is>
          <t>97</t>
        </is>
      </c>
      <c r="C2148" s="4108" t="inlineStr">
        <is>
          <t>135792468</t>
        </is>
      </c>
      <c r="D2148" s="4108" t="inlineStr">
        <is>
          <t>202107</t>
        </is>
      </c>
      <c r="E2148" s="4108" t="inlineStr">
        <is>
          <t>10984,000000000000</t>
        </is>
      </c>
    </row>
    <row outlineLevel="0" r="2149">
      <c r="A2149" s="4108" t="inlineStr">
        <is>
          <t>13579246820210796</t>
        </is>
      </c>
      <c r="B2149" s="4108" t="inlineStr">
        <is>
          <t>96</t>
        </is>
      </c>
      <c r="C2149" s="4108" t="inlineStr">
        <is>
          <t>135792468</t>
        </is>
      </c>
      <c r="D2149" s="4108" t="inlineStr">
        <is>
          <t>202107</t>
        </is>
      </c>
      <c r="E2149" s="4108" t="inlineStr">
        <is>
          <t>10995,000000000000</t>
        </is>
      </c>
    </row>
    <row outlineLevel="0" r="2150">
      <c r="A2150" s="4108" t="inlineStr">
        <is>
          <t>13579246820210795</t>
        </is>
      </c>
      <c r="B2150" s="4108" t="inlineStr">
        <is>
          <t>95</t>
        </is>
      </c>
      <c r="C2150" s="4108" t="inlineStr">
        <is>
          <t>135792468</t>
        </is>
      </c>
      <c r="D2150" s="4108" t="inlineStr">
        <is>
          <t>202107</t>
        </is>
      </c>
      <c r="E2150" s="4108" t="inlineStr">
        <is>
          <t>11144,000000000000</t>
        </is>
      </c>
    </row>
    <row outlineLevel="0" r="2151">
      <c r="A2151" s="4108" t="inlineStr">
        <is>
          <t>13579246820210761</t>
        </is>
      </c>
      <c r="B2151" s="4108" t="inlineStr">
        <is>
          <t>61</t>
        </is>
      </c>
      <c r="C2151" s="4108" t="inlineStr">
        <is>
          <t>135792468</t>
        </is>
      </c>
      <c r="D2151" s="4108" t="inlineStr">
        <is>
          <t>202107</t>
        </is>
      </c>
      <c r="E2151" s="4108" t="inlineStr">
        <is>
          <t>1,000000000000</t>
        </is>
      </c>
    </row>
    <row outlineLevel="0" r="2152">
      <c r="A2152" s="4108" t="inlineStr">
        <is>
          <t>13579246820210754</t>
        </is>
      </c>
      <c r="B2152" s="4108" t="inlineStr">
        <is>
          <t>54</t>
        </is>
      </c>
      <c r="C2152" s="4108" t="inlineStr">
        <is>
          <t>135792468</t>
        </is>
      </c>
      <c r="D2152" s="4108" t="inlineStr">
        <is>
          <t>202107</t>
        </is>
      </c>
      <c r="E2152" s="4108" t="inlineStr">
        <is>
          <t>0,000000000000</t>
        </is>
      </c>
    </row>
    <row outlineLevel="0" r="2153">
      <c r="A2153" s="4108" t="inlineStr">
        <is>
          <t>13579246820210752</t>
        </is>
      </c>
      <c r="B2153" s="4108" t="inlineStr">
        <is>
          <t>52</t>
        </is>
      </c>
      <c r="C2153" s="4108" t="inlineStr">
        <is>
          <t>135792468</t>
        </is>
      </c>
      <c r="D2153" s="4108" t="inlineStr">
        <is>
          <t>202107</t>
        </is>
      </c>
      <c r="E2153" s="4108" t="inlineStr">
        <is>
          <t>72,000000000000</t>
        </is>
      </c>
    </row>
    <row outlineLevel="0" r="2154">
      <c r="A2154" s="4108" t="inlineStr">
        <is>
          <t>13579246820210753</t>
        </is>
      </c>
      <c r="B2154" s="4108" t="inlineStr">
        <is>
          <t>53</t>
        </is>
      </c>
      <c r="C2154" s="4108" t="inlineStr">
        <is>
          <t>135792468</t>
        </is>
      </c>
      <c r="D2154" s="4108" t="inlineStr">
        <is>
          <t>202107</t>
        </is>
      </c>
      <c r="E2154" s="4108" t="inlineStr">
        <is>
          <t>62,000000000000</t>
        </is>
      </c>
    </row>
    <row outlineLevel="0" r="2155">
      <c r="A2155" s="4108" t="inlineStr">
        <is>
          <t>13579246820210751</t>
        </is>
      </c>
      <c r="B2155" s="4108" t="inlineStr">
        <is>
          <t>51</t>
        </is>
      </c>
      <c r="C2155" s="4108" t="inlineStr">
        <is>
          <t>135792468</t>
        </is>
      </c>
      <c r="D2155" s="4108" t="inlineStr">
        <is>
          <t>202107</t>
        </is>
      </c>
      <c r="E2155" s="4108" t="inlineStr">
        <is>
          <t>77,000000000000</t>
        </is>
      </c>
    </row>
    <row outlineLevel="0" r="2156">
      <c r="A2156" s="4108" t="inlineStr">
        <is>
          <t>13579246820210742</t>
        </is>
      </c>
      <c r="B2156" s="4108" t="inlineStr">
        <is>
          <t>42</t>
        </is>
      </c>
      <c r="C2156" s="4108" t="inlineStr">
        <is>
          <t>135792468</t>
        </is>
      </c>
      <c r="D2156" s="4108" t="inlineStr">
        <is>
          <t>202107</t>
        </is>
      </c>
      <c r="E2156" s="4108" t="inlineStr">
        <is>
          <t>51,000000000000</t>
        </is>
      </c>
    </row>
    <row outlineLevel="0" r="2157">
      <c r="A2157" s="4108" t="inlineStr">
        <is>
          <t>13579246820210741</t>
        </is>
      </c>
      <c r="B2157" s="4108" t="inlineStr">
        <is>
          <t>41</t>
        </is>
      </c>
      <c r="C2157" s="4108" t="inlineStr">
        <is>
          <t>135792468</t>
        </is>
      </c>
      <c r="D2157" s="4108" t="inlineStr">
        <is>
          <t>202107</t>
        </is>
      </c>
      <c r="E2157" s="4108" t="inlineStr">
        <is>
          <t>11145,000000000000</t>
        </is>
      </c>
    </row>
    <row outlineLevel="0" r="2158">
      <c r="A2158" s="4108" t="inlineStr">
        <is>
          <t>13579246820210738</t>
        </is>
      </c>
      <c r="B2158" s="4108" t="inlineStr">
        <is>
          <t>38</t>
        </is>
      </c>
      <c r="C2158" s="4108" t="inlineStr">
        <is>
          <t>135792468</t>
        </is>
      </c>
      <c r="D2158" s="4108" t="inlineStr">
        <is>
          <t>202107</t>
        </is>
      </c>
      <c r="E2158" s="4108" t="inlineStr">
        <is>
          <t>3,000000000000</t>
        </is>
      </c>
    </row>
    <row outlineLevel="0" r="2159">
      <c r="A2159" s="4108" t="inlineStr">
        <is>
          <t>13579246820210737</t>
        </is>
      </c>
      <c r="B2159" s="4108" t="inlineStr">
        <is>
          <t>37</t>
        </is>
      </c>
      <c r="C2159" s="4108" t="inlineStr">
        <is>
          <t>135792468</t>
        </is>
      </c>
      <c r="D2159" s="4108" t="inlineStr">
        <is>
          <t>202107</t>
        </is>
      </c>
      <c r="E2159" s="4108" t="inlineStr">
        <is>
          <t>-11126,000000000000</t>
        </is>
      </c>
    </row>
    <row outlineLevel="0" r="2160">
      <c r="A2160" s="4108" t="inlineStr">
        <is>
          <t>13579246820210736</t>
        </is>
      </c>
      <c r="B2160" s="4108" t="inlineStr">
        <is>
          <t>36</t>
        </is>
      </c>
      <c r="C2160" s="4108" t="inlineStr">
        <is>
          <t>135792468</t>
        </is>
      </c>
      <c r="D2160" s="4108" t="inlineStr">
        <is>
          <t>202107</t>
        </is>
      </c>
      <c r="E2160" s="4108" t="inlineStr">
        <is>
          <t>10984,000000000000</t>
        </is>
      </c>
    </row>
    <row outlineLevel="0" r="2161">
      <c r="A2161" s="4108" t="inlineStr">
        <is>
          <t>13579246820210734</t>
        </is>
      </c>
      <c r="B2161" s="4108" t="inlineStr">
        <is>
          <t>34</t>
        </is>
      </c>
      <c r="C2161" s="4108" t="inlineStr">
        <is>
          <t>135792468</t>
        </is>
      </c>
      <c r="D2161" s="4108" t="inlineStr">
        <is>
          <t>202107</t>
        </is>
      </c>
      <c r="E2161" s="4108" t="inlineStr">
        <is>
          <t>21,000000000000</t>
        </is>
      </c>
    </row>
    <row outlineLevel="0" r="2162">
      <c r="A2162" s="4108" t="inlineStr">
        <is>
          <t>13579246820210735</t>
        </is>
      </c>
      <c r="B2162" s="4108" t="inlineStr">
        <is>
          <t>35</t>
        </is>
      </c>
      <c r="C2162" s="4108" t="inlineStr">
        <is>
          <t>135792468</t>
        </is>
      </c>
      <c r="D2162" s="4108" t="inlineStr">
        <is>
          <t>202107</t>
        </is>
      </c>
      <c r="E2162" s="4108" t="inlineStr">
        <is>
          <t>1,000000000000</t>
        </is>
      </c>
    </row>
    <row outlineLevel="0" r="2163">
      <c r="A2163" s="4108" t="inlineStr">
        <is>
          <t>13579246820210733</t>
        </is>
      </c>
      <c r="B2163" s="4108" t="inlineStr">
        <is>
          <t>33</t>
        </is>
      </c>
      <c r="C2163" s="4108" t="inlineStr">
        <is>
          <t>135792468</t>
        </is>
      </c>
      <c r="D2163" s="4108" t="inlineStr">
        <is>
          <t>202107</t>
        </is>
      </c>
      <c r="E2163" s="4108" t="inlineStr">
        <is>
          <t>24,000000000000</t>
        </is>
      </c>
    </row>
    <row outlineLevel="0" r="2164">
      <c r="A2164" s="4108" t="inlineStr">
        <is>
          <t>13579246820210732</t>
        </is>
      </c>
      <c r="B2164" s="4108" t="inlineStr">
        <is>
          <t>32</t>
        </is>
      </c>
      <c r="C2164" s="4108" t="inlineStr">
        <is>
          <t>135792468</t>
        </is>
      </c>
      <c r="D2164" s="4108" t="inlineStr">
        <is>
          <t>202107</t>
        </is>
      </c>
      <c r="E2164" s="4108" t="inlineStr">
        <is>
          <t>35,000000000000</t>
        </is>
      </c>
    </row>
    <row outlineLevel="0" r="2165">
      <c r="A2165" s="4108" t="inlineStr">
        <is>
          <t>13579246820210731</t>
        </is>
      </c>
      <c r="B2165" s="4108" t="inlineStr">
        <is>
          <t>31</t>
        </is>
      </c>
      <c r="C2165" s="4108" t="inlineStr">
        <is>
          <t>135792468</t>
        </is>
      </c>
      <c r="D2165" s="4108" t="inlineStr">
        <is>
          <t>202107</t>
        </is>
      </c>
      <c r="E2165" s="4108" t="inlineStr">
        <is>
          <t>152,000000000000</t>
        </is>
      </c>
    </row>
    <row outlineLevel="0" r="2166">
      <c r="A2166" s="4108" t="inlineStr">
        <is>
          <t>13579246820210722</t>
        </is>
      </c>
      <c r="B2166" s="4108" t="inlineStr">
        <is>
          <t>22</t>
        </is>
      </c>
      <c r="C2166" s="4108" t="inlineStr">
        <is>
          <t>135792468</t>
        </is>
      </c>
      <c r="D2166" s="4108" t="inlineStr">
        <is>
          <t>202107</t>
        </is>
      </c>
      <c r="E2166" s="4108" t="inlineStr">
        <is>
          <t>234,000000000000</t>
        </is>
      </c>
    </row>
    <row outlineLevel="0" r="2167">
      <c r="A2167" s="4108" t="inlineStr">
        <is>
          <t>13579246820210721</t>
        </is>
      </c>
      <c r="B2167" s="4108" t="inlineStr">
        <is>
          <t>21</t>
        </is>
      </c>
      <c r="C2167" s="4108" t="inlineStr">
        <is>
          <t>135792468</t>
        </is>
      </c>
      <c r="D2167" s="4108" t="inlineStr">
        <is>
          <t>202107</t>
        </is>
      </c>
      <c r="E2167" s="4108" t="inlineStr">
        <is>
          <t>265,000000000000</t>
        </is>
      </c>
    </row>
    <row outlineLevel="0" r="2168">
      <c r="A2168" s="4108" t="inlineStr">
        <is>
          <t>13579246820210712</t>
        </is>
      </c>
      <c r="B2168" s="4108" t="inlineStr">
        <is>
          <t>12</t>
        </is>
      </c>
      <c r="C2168" s="4108" t="inlineStr">
        <is>
          <t>135792468</t>
        </is>
      </c>
      <c r="D2168" s="4108" t="inlineStr">
        <is>
          <t>202107</t>
        </is>
      </c>
      <c r="E2168" s="4108" t="inlineStr">
        <is>
          <t>357,000000000000</t>
        </is>
      </c>
    </row>
    <row outlineLevel="0" r="2169">
      <c r="A2169" s="4108" t="inlineStr">
        <is>
          <t>1357924682021073</t>
        </is>
      </c>
      <c r="B2169" s="4108" t="inlineStr">
        <is>
          <t>3</t>
        </is>
      </c>
      <c r="C2169" s="4108" t="inlineStr">
        <is>
          <t>135792468</t>
        </is>
      </c>
      <c r="D2169" s="4108" t="inlineStr">
        <is>
          <t>202107</t>
        </is>
      </c>
      <c r="E2169" s="4108" t="inlineStr">
        <is>
          <t>94,000000000000</t>
        </is>
      </c>
    </row>
    <row outlineLevel="0" r="2170">
      <c r="A2170" s="4108" t="inlineStr">
        <is>
          <t>13579246820210711</t>
        </is>
      </c>
      <c r="B2170" s="4108" t="inlineStr">
        <is>
          <t>11</t>
        </is>
      </c>
      <c r="C2170" s="4108" t="inlineStr">
        <is>
          <t>135792468</t>
        </is>
      </c>
      <c r="D2170" s="4108" t="inlineStr">
        <is>
          <t>202107</t>
        </is>
      </c>
      <c r="E2170" s="4108" t="inlineStr">
        <is>
          <t>236,000000000000</t>
        </is>
      </c>
    </row>
    <row outlineLevel="0" r="2171">
      <c r="A2171" s="4108" t="inlineStr">
        <is>
          <t>1357924682021072</t>
        </is>
      </c>
      <c r="B2171" s="4108" t="inlineStr">
        <is>
          <t>2</t>
        </is>
      </c>
      <c r="C2171" s="4108" t="inlineStr">
        <is>
          <t>135792468</t>
        </is>
      </c>
      <c r="D2171" s="4108" t="inlineStr">
        <is>
          <t>202107</t>
        </is>
      </c>
      <c r="E2171" s="4108" t="inlineStr">
        <is>
          <t>499,000000000000</t>
        </is>
      </c>
    </row>
    <row outlineLevel="0" r="2172">
      <c r="A2172" s="4108" t="inlineStr">
        <is>
          <t>1357924682021071</t>
        </is>
      </c>
      <c r="B2172" s="4108" t="inlineStr">
        <is>
          <t>1</t>
        </is>
      </c>
      <c r="C2172" s="4108" t="inlineStr">
        <is>
          <t>135792468</t>
        </is>
      </c>
      <c r="D2172" s="4108" t="inlineStr">
        <is>
          <t>202107</t>
        </is>
      </c>
      <c r="E2172" s="4108" t="inlineStr">
        <is>
          <t>593,000000000000</t>
        </is>
      </c>
    </row>
    <row outlineLevel="0" r="2173">
      <c r="A2173" s="4108" t="inlineStr">
        <is>
          <t>1357924682021070</t>
        </is>
      </c>
      <c r="B2173" s="4108" t="inlineStr">
        <is>
          <t>0</t>
        </is>
      </c>
      <c r="C2173" s="4108" t="inlineStr">
        <is>
          <t>135792468</t>
        </is>
      </c>
      <c r="D2173" s="4108" t="inlineStr">
        <is>
          <t>202107</t>
        </is>
      </c>
      <c r="E2173" s="4108" t="inlineStr">
        <is>
          <t>593,000000000000</t>
        </is>
      </c>
    </row>
    <row outlineLevel="0" r="2174">
      <c r="A2174" s="4108" t="inlineStr">
        <is>
          <t>1357924682020090</t>
        </is>
      </c>
      <c r="B2174" s="4108" t="inlineStr">
        <is>
          <t>0</t>
        </is>
      </c>
      <c r="C2174" s="4108" t="inlineStr">
        <is>
          <t>135792468</t>
        </is>
      </c>
      <c r="D2174" s="4108" t="inlineStr">
        <is>
          <t>202009</t>
        </is>
      </c>
      <c r="E2174" s="4108" t="inlineStr">
        <is>
          <t>612,000000000000</t>
        </is>
      </c>
    </row>
    <row outlineLevel="0" r="2175">
      <c r="A2175" s="4108" t="inlineStr">
        <is>
          <t>1357924682020091</t>
        </is>
      </c>
      <c r="B2175" s="4108" t="inlineStr">
        <is>
          <t>1</t>
        </is>
      </c>
      <c r="C2175" s="4108" t="inlineStr">
        <is>
          <t>135792468</t>
        </is>
      </c>
      <c r="D2175" s="4108" t="inlineStr">
        <is>
          <t>202009</t>
        </is>
      </c>
      <c r="E2175" s="4108" t="inlineStr">
        <is>
          <t>612,000000000000</t>
        </is>
      </c>
    </row>
    <row outlineLevel="0" r="2176">
      <c r="A2176" s="4108" t="inlineStr">
        <is>
          <t>1357924682020092</t>
        </is>
      </c>
      <c r="B2176" s="4108" t="inlineStr">
        <is>
          <t>2</t>
        </is>
      </c>
      <c r="C2176" s="4108" t="inlineStr">
        <is>
          <t>135792468</t>
        </is>
      </c>
      <c r="D2176" s="4108" t="inlineStr">
        <is>
          <t>202009</t>
        </is>
      </c>
      <c r="E2176" s="4108" t="inlineStr">
        <is>
          <t>321,000000000000</t>
        </is>
      </c>
    </row>
    <row outlineLevel="0" r="2177">
      <c r="A2177" s="4108" t="inlineStr">
        <is>
          <t>13579246820200911</t>
        </is>
      </c>
      <c r="B2177" s="4108" t="inlineStr">
        <is>
          <t>11</t>
        </is>
      </c>
      <c r="C2177" s="4108" t="inlineStr">
        <is>
          <t>135792468</t>
        </is>
      </c>
      <c r="D2177" s="4108" t="inlineStr">
        <is>
          <t>202009</t>
        </is>
      </c>
      <c r="E2177" s="4108" t="inlineStr">
        <is>
          <t>102,000000000000</t>
        </is>
      </c>
    </row>
    <row outlineLevel="0" r="2178">
      <c r="A2178" s="4108" t="inlineStr">
        <is>
          <t>1357924682020093</t>
        </is>
      </c>
      <c r="B2178" s="4108" t="inlineStr">
        <is>
          <t>3</t>
        </is>
      </c>
      <c r="C2178" s="4108" t="inlineStr">
        <is>
          <t>135792468</t>
        </is>
      </c>
      <c r="D2178" s="4108" t="inlineStr">
        <is>
          <t>202009</t>
        </is>
      </c>
      <c r="E2178" s="4108" t="inlineStr">
        <is>
          <t>291,000000000000</t>
        </is>
      </c>
    </row>
    <row outlineLevel="0" r="2179">
      <c r="A2179" s="4108" t="inlineStr">
        <is>
          <t>13579246820200912</t>
        </is>
      </c>
      <c r="B2179" s="4108" t="inlineStr">
        <is>
          <t>12</t>
        </is>
      </c>
      <c r="C2179" s="4108" t="inlineStr">
        <is>
          <t>135792468</t>
        </is>
      </c>
      <c r="D2179" s="4108" t="inlineStr">
        <is>
          <t>202009</t>
        </is>
      </c>
      <c r="E2179" s="4108" t="inlineStr">
        <is>
          <t>510,000000000000</t>
        </is>
      </c>
    </row>
    <row outlineLevel="0" r="2180">
      <c r="A2180" s="4108" t="inlineStr">
        <is>
          <t>13579246820200921</t>
        </is>
      </c>
      <c r="B2180" s="4108" t="inlineStr">
        <is>
          <t>21</t>
        </is>
      </c>
      <c r="C2180" s="4108" t="inlineStr">
        <is>
          <t>135792468</t>
        </is>
      </c>
      <c r="D2180" s="4108" t="inlineStr">
        <is>
          <t>202009</t>
        </is>
      </c>
      <c r="E2180" s="4108" t="inlineStr">
        <is>
          <t>198,000000000000</t>
        </is>
      </c>
    </row>
    <row outlineLevel="0" r="2181">
      <c r="A2181" s="4108" t="inlineStr">
        <is>
          <t>13579246820200922</t>
        </is>
      </c>
      <c r="B2181" s="4108" t="inlineStr">
        <is>
          <t>22</t>
        </is>
      </c>
      <c r="C2181" s="4108" t="inlineStr">
        <is>
          <t>135792468</t>
        </is>
      </c>
      <c r="D2181" s="4108" t="inlineStr">
        <is>
          <t>202009</t>
        </is>
      </c>
      <c r="E2181" s="4108" t="inlineStr">
        <is>
          <t>123,000000000000</t>
        </is>
      </c>
    </row>
    <row outlineLevel="0" r="2182">
      <c r="A2182" s="4108" t="inlineStr">
        <is>
          <t>13579246820200931</t>
        </is>
      </c>
      <c r="B2182" s="4108" t="inlineStr">
        <is>
          <t>31</t>
        </is>
      </c>
      <c r="C2182" s="4108" t="inlineStr">
        <is>
          <t>135792468</t>
        </is>
      </c>
      <c r="D2182" s="4108" t="inlineStr">
        <is>
          <t>202009</t>
        </is>
      </c>
      <c r="E2182" s="4108" t="inlineStr">
        <is>
          <t>0,000000000000</t>
        </is>
      </c>
    </row>
    <row outlineLevel="0" r="2183">
      <c r="A2183" s="4108" t="inlineStr">
        <is>
          <t>13579246820200932</t>
        </is>
      </c>
      <c r="B2183" s="4108" t="inlineStr">
        <is>
          <t>32</t>
        </is>
      </c>
      <c r="C2183" s="4108" t="inlineStr">
        <is>
          <t>135792468</t>
        </is>
      </c>
      <c r="D2183" s="4108" t="inlineStr">
        <is>
          <t>202009</t>
        </is>
      </c>
      <c r="E2183" s="4108" t="inlineStr">
        <is>
          <t>100,000000000000</t>
        </is>
      </c>
    </row>
    <row outlineLevel="0" r="2184">
      <c r="A2184" s="4108" t="inlineStr">
        <is>
          <t>13579246820200933</t>
        </is>
      </c>
      <c r="B2184" s="4108" t="inlineStr">
        <is>
          <t>33</t>
        </is>
      </c>
      <c r="C2184" s="4108" t="inlineStr">
        <is>
          <t>135792468</t>
        </is>
      </c>
      <c r="D2184" s="4108" t="inlineStr">
        <is>
          <t>202009</t>
        </is>
      </c>
      <c r="E2184" s="4108" t="inlineStr">
        <is>
          <t>-6,000000000000</t>
        </is>
      </c>
    </row>
    <row outlineLevel="0" r="2185">
      <c r="A2185" s="4108" t="inlineStr">
        <is>
          <t>13579246820200935</t>
        </is>
      </c>
      <c r="B2185" s="4108" t="inlineStr">
        <is>
          <t>35</t>
        </is>
      </c>
      <c r="C2185" s="4108" t="inlineStr">
        <is>
          <t>135792468</t>
        </is>
      </c>
      <c r="D2185" s="4108" t="inlineStr">
        <is>
          <t>202009</t>
        </is>
      </c>
      <c r="E2185" s="4108" t="inlineStr">
        <is>
          <t>-19,000000000000</t>
        </is>
      </c>
    </row>
    <row outlineLevel="0" r="2186">
      <c r="A2186" s="4108" t="inlineStr">
        <is>
          <t>13579246820200934</t>
        </is>
      </c>
      <c r="B2186" s="4108" t="inlineStr">
        <is>
          <t>34</t>
        </is>
      </c>
      <c r="C2186" s="4108" t="inlineStr">
        <is>
          <t>135792468</t>
        </is>
      </c>
      <c r="D2186" s="4108" t="inlineStr">
        <is>
          <t>202009</t>
        </is>
      </c>
      <c r="E2186" s="4108" t="inlineStr">
        <is>
          <t>0,000000000000</t>
        </is>
      </c>
    </row>
    <row outlineLevel="0" r="2187">
      <c r="A2187" s="4108" t="inlineStr">
        <is>
          <t>13579246820200936</t>
        </is>
      </c>
      <c r="B2187" s="4108" t="inlineStr">
        <is>
          <t>36</t>
        </is>
      </c>
      <c r="C2187" s="4108" t="inlineStr">
        <is>
          <t>135792468</t>
        </is>
      </c>
      <c r="D2187" s="4108" t="inlineStr">
        <is>
          <t>202009</t>
        </is>
      </c>
      <c r="E2187" s="4108" t="inlineStr">
        <is>
          <t>-9665,000000000000</t>
        </is>
      </c>
    </row>
    <row outlineLevel="0" r="2188">
      <c r="A2188" s="4108" t="inlineStr">
        <is>
          <t>13579246820200937</t>
        </is>
      </c>
      <c r="B2188" s="4108" t="inlineStr">
        <is>
          <t>37</t>
        </is>
      </c>
      <c r="C2188" s="4108" t="inlineStr">
        <is>
          <t>135792468</t>
        </is>
      </c>
      <c r="D2188" s="4108" t="inlineStr">
        <is>
          <t>202009</t>
        </is>
      </c>
      <c r="E2188" s="4108" t="inlineStr">
        <is>
          <t>9845,000000000000</t>
        </is>
      </c>
    </row>
    <row outlineLevel="0" r="2189">
      <c r="A2189" s="4108" t="inlineStr">
        <is>
          <t>13579246820200938</t>
        </is>
      </c>
      <c r="B2189" s="4108" t="inlineStr">
        <is>
          <t>38</t>
        </is>
      </c>
      <c r="C2189" s="4108" t="inlineStr">
        <is>
          <t>135792468</t>
        </is>
      </c>
      <c r="D2189" s="4108" t="inlineStr">
        <is>
          <t>202009</t>
        </is>
      </c>
      <c r="E2189" s="4108" t="inlineStr">
        <is>
          <t>36,000000000000</t>
        </is>
      </c>
    </row>
    <row outlineLevel="0" r="2190">
      <c r="A2190" s="4108" t="inlineStr">
        <is>
          <t>13579246820200941</t>
        </is>
      </c>
      <c r="B2190" s="4108" t="inlineStr">
        <is>
          <t>41</t>
        </is>
      </c>
      <c r="C2190" s="4108" t="inlineStr">
        <is>
          <t>135792468</t>
        </is>
      </c>
      <c r="D2190" s="4108" t="inlineStr">
        <is>
          <t>202009</t>
        </is>
      </c>
      <c r="E2190" s="4108" t="inlineStr">
        <is>
          <t>4000,000000000000</t>
        </is>
      </c>
    </row>
    <row outlineLevel="0" r="2191">
      <c r="A2191" s="4108" t="inlineStr">
        <is>
          <t>13579246820200942</t>
        </is>
      </c>
      <c r="B2191" s="4108" t="inlineStr">
        <is>
          <t>42</t>
        </is>
      </c>
      <c r="C2191" s="4108" t="inlineStr">
        <is>
          <t>135792468</t>
        </is>
      </c>
      <c r="D2191" s="4108" t="inlineStr">
        <is>
          <t>202009</t>
        </is>
      </c>
      <c r="E2191" s="4108" t="inlineStr">
        <is>
          <t>50,000000000000</t>
        </is>
      </c>
    </row>
    <row outlineLevel="0" r="2192">
      <c r="A2192" s="4108" t="inlineStr">
        <is>
          <t>13579246820200951</t>
        </is>
      </c>
      <c r="B2192" s="4108" t="inlineStr">
        <is>
          <t>51</t>
        </is>
      </c>
      <c r="C2192" s="4108" t="inlineStr">
        <is>
          <t>135792468</t>
        </is>
      </c>
      <c r="D2192" s="4108" t="inlineStr">
        <is>
          <t>202009</t>
        </is>
      </c>
      <c r="E2192" s="4108" t="inlineStr">
        <is>
          <t>9440,000000000000</t>
        </is>
      </c>
    </row>
    <row outlineLevel="0" r="2193">
      <c r="A2193" s="4108" t="inlineStr">
        <is>
          <t>13579246820200953</t>
        </is>
      </c>
      <c r="B2193" s="4108" t="inlineStr">
        <is>
          <t>53</t>
        </is>
      </c>
      <c r="C2193" s="4108" t="inlineStr">
        <is>
          <t>135792468</t>
        </is>
      </c>
      <c r="D2193" s="4108" t="inlineStr">
        <is>
          <t>202009</t>
        </is>
      </c>
      <c r="E2193" s="4108" t="inlineStr">
        <is>
          <t>30,000000000000</t>
        </is>
      </c>
    </row>
    <row outlineLevel="0" r="2194">
      <c r="A2194" s="4108" t="inlineStr">
        <is>
          <t>13579246820200952</t>
        </is>
      </c>
      <c r="B2194" s="4108" t="inlineStr">
        <is>
          <t>52</t>
        </is>
      </c>
      <c r="C2194" s="4108" t="inlineStr">
        <is>
          <t>135792468</t>
        </is>
      </c>
      <c r="D2194" s="4108" t="inlineStr">
        <is>
          <t>202009</t>
        </is>
      </c>
      <c r="E2194" s="4108" t="inlineStr">
        <is>
          <t>0,000000000000</t>
        </is>
      </c>
    </row>
    <row outlineLevel="0" r="2195">
      <c r="A2195" s="4108" t="inlineStr">
        <is>
          <t>13579246820200954</t>
        </is>
      </c>
      <c r="B2195" s="4108" t="inlineStr">
        <is>
          <t>54</t>
        </is>
      </c>
      <c r="C2195" s="4108" t="inlineStr">
        <is>
          <t>135792468</t>
        </is>
      </c>
      <c r="D2195" s="4108" t="inlineStr">
        <is>
          <t>202009</t>
        </is>
      </c>
      <c r="E2195" s="4108" t="inlineStr">
        <is>
          <t>0,000000000000</t>
        </is>
      </c>
    </row>
    <row outlineLevel="0" r="2196">
      <c r="A2196" s="4108" t="inlineStr">
        <is>
          <t>13579246820200961</t>
        </is>
      </c>
      <c r="B2196" s="4108" t="inlineStr">
        <is>
          <t>61</t>
        </is>
      </c>
      <c r="C2196" s="4108" t="inlineStr">
        <is>
          <t>135792468</t>
        </is>
      </c>
      <c r="D2196" s="4108" t="inlineStr">
        <is>
          <t>202009</t>
        </is>
      </c>
      <c r="E2196" s="4108" t="inlineStr">
        <is>
          <t>4245,000000000000</t>
        </is>
      </c>
    </row>
    <row outlineLevel="0" r="2197">
      <c r="A2197" s="4108" t="inlineStr">
        <is>
          <t>13579246820200995</t>
        </is>
      </c>
      <c r="B2197" s="4108" t="inlineStr">
        <is>
          <t>95</t>
        </is>
      </c>
      <c r="C2197" s="4108" t="inlineStr">
        <is>
          <t>135792468</t>
        </is>
      </c>
      <c r="D2197" s="4108" t="inlineStr">
        <is>
          <t>202009</t>
        </is>
      </c>
      <c r="E2197" s="4108" t="inlineStr">
        <is>
          <t>-245,000000000000</t>
        </is>
      </c>
    </row>
    <row outlineLevel="0" r="2198">
      <c r="A2198" s="4108" t="inlineStr">
        <is>
          <t>13579246820200996</t>
        </is>
      </c>
      <c r="B2198" s="4108" t="inlineStr">
        <is>
          <t>96</t>
        </is>
      </c>
      <c r="C2198" s="4108" t="inlineStr">
        <is>
          <t>135792468</t>
        </is>
      </c>
      <c r="D2198" s="4108" t="inlineStr">
        <is>
          <t>202009</t>
        </is>
      </c>
      <c r="E2198" s="4108" t="inlineStr">
        <is>
          <t>-9685,000000000000</t>
        </is>
      </c>
    </row>
    <row outlineLevel="0" r="2199">
      <c r="A2199" s="4108" t="inlineStr">
        <is>
          <t>13579246820200997</t>
        </is>
      </c>
      <c r="B2199" s="4108" t="inlineStr">
        <is>
          <t>97</t>
        </is>
      </c>
      <c r="C2199" s="4108" t="inlineStr">
        <is>
          <t>135792468</t>
        </is>
      </c>
      <c r="D2199" s="4108" t="inlineStr">
        <is>
          <t>202009</t>
        </is>
      </c>
      <c r="E2199" s="4108" t="inlineStr">
        <is>
          <t>-9665,000000000000</t>
        </is>
      </c>
    </row>
    <row outlineLevel="0" r="2200">
      <c r="A2200" s="4108" t="inlineStr">
        <is>
          <t>13579246820200998</t>
        </is>
      </c>
      <c r="B2200" s="4108" t="inlineStr">
        <is>
          <t>98</t>
        </is>
      </c>
      <c r="C2200" s="4108" t="inlineStr">
        <is>
          <t>135792468</t>
        </is>
      </c>
      <c r="D2200" s="4108" t="inlineStr">
        <is>
          <t>202009</t>
        </is>
      </c>
      <c r="E2200" s="4108" t="inlineStr">
        <is>
          <t>0,000000000000</t>
        </is>
      </c>
    </row>
    <row outlineLevel="0" r="2201">
      <c r="A2201" s="4108" t="inlineStr">
        <is>
          <t>1357924682020091101</t>
        </is>
      </c>
      <c r="B2201" s="4108" t="inlineStr">
        <is>
          <t>1101</t>
        </is>
      </c>
      <c r="C2201" s="4108" t="inlineStr">
        <is>
          <t>135792468</t>
        </is>
      </c>
      <c r="D2201" s="4108" t="inlineStr">
        <is>
          <t>202009</t>
        </is>
      </c>
      <c r="E2201" s="4108" t="inlineStr">
        <is>
          <t>15,000000000000</t>
        </is>
      </c>
    </row>
    <row outlineLevel="0" r="2202">
      <c r="A2202" s="4108" t="inlineStr">
        <is>
          <t>13579246820200999</t>
        </is>
      </c>
      <c r="B2202" s="4108" t="inlineStr">
        <is>
          <t>99</t>
        </is>
      </c>
      <c r="C2202" s="4108" t="inlineStr">
        <is>
          <t>135792468</t>
        </is>
      </c>
      <c r="D2202" s="4108" t="inlineStr">
        <is>
          <t>202009</t>
        </is>
      </c>
      <c r="E2202" s="4108" t="inlineStr">
        <is>
          <t>-9665,000000000000</t>
        </is>
      </c>
    </row>
    <row outlineLevel="0" r="2203">
      <c r="A2203" s="4108" t="inlineStr">
        <is>
          <t>1357924682020091102</t>
        </is>
      </c>
      <c r="B2203" s="4108" t="inlineStr">
        <is>
          <t>1102</t>
        </is>
      </c>
      <c r="C2203" s="4108" t="inlineStr">
        <is>
          <t>135792468</t>
        </is>
      </c>
      <c r="D2203" s="4108" t="inlineStr">
        <is>
          <t>202009</t>
        </is>
      </c>
      <c r="E2203" s="4108" t="inlineStr">
        <is>
          <t>21,000000000000</t>
        </is>
      </c>
    </row>
    <row outlineLevel="0" r="2204">
      <c r="A2204" s="4108" t="inlineStr">
        <is>
          <t>1357924682020091103</t>
        </is>
      </c>
      <c r="B2204" s="4108" t="inlineStr">
        <is>
          <t>1103</t>
        </is>
      </c>
      <c r="C2204" s="4108" t="inlineStr">
        <is>
          <t>135792468</t>
        </is>
      </c>
      <c r="D2204" s="4108" t="inlineStr">
        <is>
          <t>202009</t>
        </is>
      </c>
      <c r="E2204" s="4108" t="inlineStr">
        <is>
          <t>5,000000000000</t>
        </is>
      </c>
    </row>
    <row outlineLevel="0" r="2205">
      <c r="A2205" s="4108" t="inlineStr">
        <is>
          <t>1357924682020091104</t>
        </is>
      </c>
      <c r="B2205" s="4108" t="inlineStr">
        <is>
          <t>1104</t>
        </is>
      </c>
      <c r="C2205" s="4108" t="inlineStr">
        <is>
          <t>135792468</t>
        </is>
      </c>
      <c r="D2205" s="4108" t="inlineStr">
        <is>
          <t>202009</t>
        </is>
      </c>
      <c r="E2205" s="4108" t="inlineStr">
        <is>
          <t>46,000000000000</t>
        </is>
      </c>
    </row>
    <row outlineLevel="0" r="2206">
      <c r="A2206" s="4108" t="inlineStr">
        <is>
          <t>1357924682020091106</t>
        </is>
      </c>
      <c r="B2206" s="4108" t="inlineStr">
        <is>
          <t>1106</t>
        </is>
      </c>
      <c r="C2206" s="4108" t="inlineStr">
        <is>
          <t>135792468</t>
        </is>
      </c>
      <c r="D2206" s="4108" t="inlineStr">
        <is>
          <t>202009</t>
        </is>
      </c>
      <c r="E2206" s="4108" t="inlineStr">
        <is>
          <t>0,000000000000</t>
        </is>
      </c>
    </row>
    <row outlineLevel="0" r="2207">
      <c r="A2207" s="4108" t="inlineStr">
        <is>
          <t>1357924682020091107</t>
        </is>
      </c>
      <c r="B2207" s="4108" t="inlineStr">
        <is>
          <t>1107</t>
        </is>
      </c>
      <c r="C2207" s="4108" t="inlineStr">
        <is>
          <t>135792468</t>
        </is>
      </c>
      <c r="D2207" s="4108" t="inlineStr">
        <is>
          <t>202009</t>
        </is>
      </c>
      <c r="E2207" s="4108" t="inlineStr">
        <is>
          <t>15,000000000000</t>
        </is>
      </c>
    </row>
    <row outlineLevel="0" r="2208">
      <c r="A2208" s="4108" t="inlineStr">
        <is>
          <t>1357924682020091201</t>
        </is>
      </c>
      <c r="B2208" s="4108" t="inlineStr">
        <is>
          <t>1201</t>
        </is>
      </c>
      <c r="C2208" s="4108" t="inlineStr">
        <is>
          <t>135792468</t>
        </is>
      </c>
      <c r="D2208" s="4108" t="inlineStr">
        <is>
          <t>202009</t>
        </is>
      </c>
      <c r="E2208" s="4108" t="inlineStr">
        <is>
          <t>210,000000000000</t>
        </is>
      </c>
    </row>
    <row outlineLevel="0" r="2209">
      <c r="A2209" s="4108" t="inlineStr">
        <is>
          <t>1357924682020091203</t>
        </is>
      </c>
      <c r="B2209" s="4108" t="inlineStr">
        <is>
          <t>1203</t>
        </is>
      </c>
      <c r="C2209" s="4108" t="inlineStr">
        <is>
          <t>135792468</t>
        </is>
      </c>
      <c r="D2209" s="4108" t="inlineStr">
        <is>
          <t>202009</t>
        </is>
      </c>
      <c r="E2209" s="4108" t="inlineStr">
        <is>
          <t>45,000000000000</t>
        </is>
      </c>
    </row>
    <row outlineLevel="0" r="2210">
      <c r="A2210" s="4108" t="inlineStr">
        <is>
          <t>1357924682020091202</t>
        </is>
      </c>
      <c r="B2210" s="4108" t="inlineStr">
        <is>
          <t>1202</t>
        </is>
      </c>
      <c r="C2210" s="4108" t="inlineStr">
        <is>
          <t>135792468</t>
        </is>
      </c>
      <c r="D2210" s="4108" t="inlineStr">
        <is>
          <t>202009</t>
        </is>
      </c>
      <c r="E2210" s="4108" t="inlineStr">
        <is>
          <t>22,000000000000</t>
        </is>
      </c>
    </row>
    <row outlineLevel="0" r="2211">
      <c r="A2211" s="4108" t="inlineStr">
        <is>
          <t>1357924682020091205</t>
        </is>
      </c>
      <c r="B2211" s="4108" t="inlineStr">
        <is>
          <t>1205</t>
        </is>
      </c>
      <c r="C2211" s="4108" t="inlineStr">
        <is>
          <t>135792468</t>
        </is>
      </c>
      <c r="D2211" s="4108" t="inlineStr">
        <is>
          <t>202009</t>
        </is>
      </c>
      <c r="E2211" s="4108" t="inlineStr">
        <is>
          <t>191,000000000000</t>
        </is>
      </c>
    </row>
    <row outlineLevel="0" r="2212">
      <c r="A2212" s="4108" t="inlineStr">
        <is>
          <t>1357924682020091206</t>
        </is>
      </c>
      <c r="B2212" s="4108" t="inlineStr">
        <is>
          <t>1206</t>
        </is>
      </c>
      <c r="C2212" s="4108" t="inlineStr">
        <is>
          <t>135792468</t>
        </is>
      </c>
      <c r="D2212" s="4108" t="inlineStr">
        <is>
          <t>202009</t>
        </is>
      </c>
      <c r="E2212" s="4108" t="inlineStr">
        <is>
          <t>21,000000000000</t>
        </is>
      </c>
    </row>
    <row outlineLevel="0" r="2213">
      <c r="A2213" s="4108" t="inlineStr">
        <is>
          <t>1357924682020091207</t>
        </is>
      </c>
      <c r="B2213" s="4108" t="inlineStr">
        <is>
          <t>1207</t>
        </is>
      </c>
      <c r="C2213" s="4108" t="inlineStr">
        <is>
          <t>135792468</t>
        </is>
      </c>
      <c r="D2213" s="4108" t="inlineStr">
        <is>
          <t>202009</t>
        </is>
      </c>
      <c r="E2213" s="4108" t="inlineStr">
        <is>
          <t>15,000000000000</t>
        </is>
      </c>
    </row>
    <row outlineLevel="0" r="2214">
      <c r="A2214" s="4108" t="inlineStr">
        <is>
          <t>1357924682020091208</t>
        </is>
      </c>
      <c r="B2214" s="4108" t="inlineStr">
        <is>
          <t>1208</t>
        </is>
      </c>
      <c r="C2214" s="4108" t="inlineStr">
        <is>
          <t>135792468</t>
        </is>
      </c>
      <c r="D2214" s="4108" t="inlineStr">
        <is>
          <t>202009</t>
        </is>
      </c>
      <c r="E2214" s="4108" t="inlineStr">
        <is>
          <t>6,000000000000</t>
        </is>
      </c>
    </row>
    <row outlineLevel="0" r="2215">
      <c r="A2215" s="4108" t="inlineStr">
        <is>
          <t>1357924682020092101</t>
        </is>
      </c>
      <c r="B2215" s="4108" t="inlineStr">
        <is>
          <t>2101</t>
        </is>
      </c>
      <c r="C2215" s="4108" t="inlineStr">
        <is>
          <t>135792468</t>
        </is>
      </c>
      <c r="D2215" s="4108" t="inlineStr">
        <is>
          <t>202009</t>
        </is>
      </c>
      <c r="E2215" s="4108" t="inlineStr">
        <is>
          <t>6,000000000000</t>
        </is>
      </c>
    </row>
    <row outlineLevel="0" r="2216">
      <c r="A2216" s="4108" t="inlineStr">
        <is>
          <t>1357924682020092102</t>
        </is>
      </c>
      <c r="B2216" s="4108" t="inlineStr">
        <is>
          <t>2102</t>
        </is>
      </c>
      <c r="C2216" s="4108" t="inlineStr">
        <is>
          <t>135792468</t>
        </is>
      </c>
      <c r="D2216" s="4108" t="inlineStr">
        <is>
          <t>202009</t>
        </is>
      </c>
      <c r="E2216" s="4108" t="inlineStr">
        <is>
          <t>6,000000000000</t>
        </is>
      </c>
    </row>
    <row outlineLevel="0" r="2217">
      <c r="A2217" s="4108" t="inlineStr">
        <is>
          <t>1357924682020092104</t>
        </is>
      </c>
      <c r="B2217" s="4108" t="inlineStr">
        <is>
          <t>2104</t>
        </is>
      </c>
      <c r="C2217" s="4108" t="inlineStr">
        <is>
          <t>135792468</t>
        </is>
      </c>
      <c r="D2217" s="4108" t="inlineStr">
        <is>
          <t>202009</t>
        </is>
      </c>
      <c r="E2217" s="4108" t="inlineStr">
        <is>
          <t>21,000000000000</t>
        </is>
      </c>
    </row>
    <row outlineLevel="0" r="2218">
      <c r="A2218" s="4108" t="inlineStr">
        <is>
          <t>1357924682020092103</t>
        </is>
      </c>
      <c r="B2218" s="4108" t="inlineStr">
        <is>
          <t>2103</t>
        </is>
      </c>
      <c r="C2218" s="4108" t="inlineStr">
        <is>
          <t>135792468</t>
        </is>
      </c>
      <c r="D2218" s="4108" t="inlineStr">
        <is>
          <t>202009</t>
        </is>
      </c>
      <c r="E2218" s="4108" t="inlineStr">
        <is>
          <t>65,000000000000</t>
        </is>
      </c>
    </row>
    <row outlineLevel="0" r="2219">
      <c r="A2219" s="4108" t="inlineStr">
        <is>
          <t>1357924682020092105</t>
        </is>
      </c>
      <c r="B2219" s="4108" t="inlineStr">
        <is>
          <t>2105</t>
        </is>
      </c>
      <c r="C2219" s="4108" t="inlineStr">
        <is>
          <t>135792468</t>
        </is>
      </c>
      <c r="D2219" s="4108" t="inlineStr">
        <is>
          <t>202009</t>
        </is>
      </c>
      <c r="E2219" s="4108" t="inlineStr">
        <is>
          <t>10,000000000000</t>
        </is>
      </c>
    </row>
    <row outlineLevel="0" r="2220">
      <c r="A2220" s="4108" t="inlineStr">
        <is>
          <t>1357924682020092106</t>
        </is>
      </c>
      <c r="B2220" s="4108" t="inlineStr">
        <is>
          <t>2106</t>
        </is>
      </c>
      <c r="C2220" s="4108" t="inlineStr">
        <is>
          <t>135792468</t>
        </is>
      </c>
      <c r="D2220" s="4108" t="inlineStr">
        <is>
          <t>202009</t>
        </is>
      </c>
      <c r="E2220" s="4108" t="inlineStr">
        <is>
          <t>45,000000000000</t>
        </is>
      </c>
    </row>
    <row outlineLevel="0" r="2221">
      <c r="A2221" s="4108" t="inlineStr">
        <is>
          <t>1357924682020092107</t>
        </is>
      </c>
      <c r="B2221" s="4108" t="inlineStr">
        <is>
          <t>2107</t>
        </is>
      </c>
      <c r="C2221" s="4108" t="inlineStr">
        <is>
          <t>135792468</t>
        </is>
      </c>
      <c r="D2221" s="4108" t="inlineStr">
        <is>
          <t>202009</t>
        </is>
      </c>
      <c r="E2221" s="4108" t="inlineStr">
        <is>
          <t>10,000000000000</t>
        </is>
      </c>
    </row>
    <row outlineLevel="0" r="2222">
      <c r="A2222" s="4108" t="inlineStr">
        <is>
          <t>1357924682020092109</t>
        </is>
      </c>
      <c r="B2222" s="4108" t="inlineStr">
        <is>
          <t>2109</t>
        </is>
      </c>
      <c r="C2222" s="4108" t="inlineStr">
        <is>
          <t>135792468</t>
        </is>
      </c>
      <c r="D2222" s="4108" t="inlineStr">
        <is>
          <t>202009</t>
        </is>
      </c>
      <c r="E2222" s="4108" t="inlineStr">
        <is>
          <t>35,000000000000</t>
        </is>
      </c>
    </row>
    <row outlineLevel="0" r="2223">
      <c r="A2223" s="4108" t="inlineStr">
        <is>
          <t>1357924682020092201</t>
        </is>
      </c>
      <c r="B2223" s="4108" t="inlineStr">
        <is>
          <t>2201</t>
        </is>
      </c>
      <c r="C2223" s="4108" t="inlineStr">
        <is>
          <t>135792468</t>
        </is>
      </c>
      <c r="D2223" s="4108" t="inlineStr">
        <is>
          <t>202009</t>
        </is>
      </c>
      <c r="E2223" s="4108" t="inlineStr">
        <is>
          <t>3,000000000000</t>
        </is>
      </c>
    </row>
    <row outlineLevel="0" r="2224">
      <c r="A2224" s="4108" t="inlineStr">
        <is>
          <t>1357924682020092203</t>
        </is>
      </c>
      <c r="B2224" s="4108" t="inlineStr">
        <is>
          <t>2203</t>
        </is>
      </c>
      <c r="C2224" s="4108" t="inlineStr">
        <is>
          <t>135792468</t>
        </is>
      </c>
      <c r="D2224" s="4108" t="inlineStr">
        <is>
          <t>202009</t>
        </is>
      </c>
      <c r="E2224" s="4108" t="inlineStr">
        <is>
          <t>120,000000000000</t>
        </is>
      </c>
    </row>
    <row outlineLevel="0" r="2225">
      <c r="A2225" s="4108" t="inlineStr">
        <is>
          <t>1357924682020092206</t>
        </is>
      </c>
      <c r="B2225" s="4108" t="inlineStr">
        <is>
          <t>2206</t>
        </is>
      </c>
      <c r="C2225" s="4108" t="inlineStr">
        <is>
          <t>135792468</t>
        </is>
      </c>
      <c r="D2225" s="4108" t="inlineStr">
        <is>
          <t>202009</t>
        </is>
      </c>
      <c r="E2225" s="4108" t="inlineStr">
        <is>
          <t>0,000000000000</t>
        </is>
      </c>
    </row>
    <row outlineLevel="0" r="2226">
      <c r="A2226" s="4108" t="inlineStr">
        <is>
          <t>1357924682020092204</t>
        </is>
      </c>
      <c r="B2226" s="4108" t="inlineStr">
        <is>
          <t>2204</t>
        </is>
      </c>
      <c r="C2226" s="4108" t="inlineStr">
        <is>
          <t>135792468</t>
        </is>
      </c>
      <c r="D2226" s="4108" t="inlineStr">
        <is>
          <t>202009</t>
        </is>
      </c>
      <c r="E2226" s="4108" t="inlineStr">
        <is>
          <t>0,000000000000</t>
        </is>
      </c>
    </row>
    <row outlineLevel="0" r="2227">
      <c r="A2227" s="4108" t="inlineStr">
        <is>
          <t>1357924682020092207</t>
        </is>
      </c>
      <c r="B2227" s="4108" t="inlineStr">
        <is>
          <t>2207</t>
        </is>
      </c>
      <c r="C2227" s="4108" t="inlineStr">
        <is>
          <t>135792468</t>
        </is>
      </c>
      <c r="D2227" s="4108" t="inlineStr">
        <is>
          <t>202009</t>
        </is>
      </c>
      <c r="E2227" s="4108" t="inlineStr">
        <is>
          <t>0,000000000000</t>
        </is>
      </c>
    </row>
    <row outlineLevel="0" r="2228">
      <c r="A2228" s="4108" t="inlineStr">
        <is>
          <t>1357924682020092209</t>
        </is>
      </c>
      <c r="B2228" s="4108" t="inlineStr">
        <is>
          <t>2209</t>
        </is>
      </c>
      <c r="C2228" s="4108" t="inlineStr">
        <is>
          <t>135792468</t>
        </is>
      </c>
      <c r="D2228" s="4108" t="inlineStr">
        <is>
          <t>202009</t>
        </is>
      </c>
      <c r="E2228" s="4108" t="inlineStr">
        <is>
          <t>0,000000000000</t>
        </is>
      </c>
    </row>
    <row outlineLevel="0" r="2229">
      <c r="A2229" s="4108" t="inlineStr">
        <is>
          <t>1357924682020095301</t>
        </is>
      </c>
      <c r="B2229" s="4108" t="inlineStr">
        <is>
          <t>5301</t>
        </is>
      </c>
      <c r="C2229" s="4108" t="inlineStr">
        <is>
          <t>135792468</t>
        </is>
      </c>
      <c r="D2229" s="4108" t="inlineStr">
        <is>
          <t>202009</t>
        </is>
      </c>
      <c r="E2229" s="4108" t="inlineStr">
        <is>
          <t>30,000000000000</t>
        </is>
      </c>
    </row>
    <row outlineLevel="0" r="2230">
      <c r="A2230" s="4108" t="inlineStr">
        <is>
          <t>135792468202009108000</t>
        </is>
      </c>
      <c r="B2230" s="4108" t="inlineStr">
        <is>
          <t>108000</t>
        </is>
      </c>
      <c r="C2230" s="4108" t="inlineStr">
        <is>
          <t>135792468</t>
        </is>
      </c>
      <c r="D2230" s="4108" t="inlineStr">
        <is>
          <t>202009</t>
        </is>
      </c>
      <c r="E2230" s="4108" t="inlineStr">
        <is>
          <t>0,000000000000</t>
        </is>
      </c>
    </row>
    <row outlineLevel="0" r="2231">
      <c r="A2231" s="4108" t="inlineStr">
        <is>
          <t>135792468202009108100</t>
        </is>
      </c>
      <c r="B2231" s="4108" t="inlineStr">
        <is>
          <t>108100</t>
        </is>
      </c>
      <c r="C2231" s="4108" t="inlineStr">
        <is>
          <t>135792468</t>
        </is>
      </c>
      <c r="D2231" s="4108" t="inlineStr">
        <is>
          <t>202009</t>
        </is>
      </c>
      <c r="E2231" s="4108" t="inlineStr">
        <is>
          <t>0,000000000000</t>
        </is>
      </c>
    </row>
    <row outlineLevel="0" r="2232">
      <c r="A2232" s="4108" t="inlineStr">
        <is>
          <t>135792468202009108200</t>
        </is>
      </c>
      <c r="B2232" s="4108" t="inlineStr">
        <is>
          <t>108200</t>
        </is>
      </c>
      <c r="C2232" s="4108" t="inlineStr">
        <is>
          <t>135792468</t>
        </is>
      </c>
      <c r="D2232" s="4108" t="inlineStr">
        <is>
          <t>202009</t>
        </is>
      </c>
      <c r="E2232" s="4108" t="inlineStr">
        <is>
          <t>0,000000000000</t>
        </is>
      </c>
    </row>
    <row outlineLevel="0" r="2233">
      <c r="A2233" s="4108" t="inlineStr">
        <is>
          <t>135792468202009108400</t>
        </is>
      </c>
      <c r="B2233" s="4108" t="inlineStr">
        <is>
          <t>108400</t>
        </is>
      </c>
      <c r="C2233" s="4108" t="inlineStr">
        <is>
          <t>135792468</t>
        </is>
      </c>
      <c r="D2233" s="4108" t="inlineStr">
        <is>
          <t>202009</t>
        </is>
      </c>
      <c r="E2233" s="4108" t="inlineStr">
        <is>
          <t>0,000000000000</t>
        </is>
      </c>
    </row>
    <row outlineLevel="0" r="2234">
      <c r="A2234" s="4108" t="inlineStr">
        <is>
          <t>135792468202009108300</t>
        </is>
      </c>
      <c r="B2234" s="4108" t="inlineStr">
        <is>
          <t>108300</t>
        </is>
      </c>
      <c r="C2234" s="4108" t="inlineStr">
        <is>
          <t>135792468</t>
        </is>
      </c>
      <c r="D2234" s="4108" t="inlineStr">
        <is>
          <t>202009</t>
        </is>
      </c>
      <c r="E2234" s="4108" t="inlineStr">
        <is>
          <t>0,000000000000</t>
        </is>
      </c>
    </row>
    <row outlineLevel="0" r="2235">
      <c r="A2235" s="4108" t="inlineStr">
        <is>
          <t>135792468202009109801</t>
        </is>
      </c>
      <c r="B2235" s="4108" t="inlineStr">
        <is>
          <t>109801</t>
        </is>
      </c>
      <c r="C2235" s="4108" t="inlineStr">
        <is>
          <t>135792468</t>
        </is>
      </c>
      <c r="D2235" s="4108" t="inlineStr">
        <is>
          <t>202009</t>
        </is>
      </c>
      <c r="E2235" s="4108" t="inlineStr">
        <is>
          <t>5,000000000000</t>
        </is>
      </c>
    </row>
    <row outlineLevel="0" r="2236">
      <c r="A2236" s="4108" t="inlineStr">
        <is>
          <t>135792468202009110105</t>
        </is>
      </c>
      <c r="B2236" s="4108" t="inlineStr">
        <is>
          <t>110105</t>
        </is>
      </c>
      <c r="C2236" s="4108" t="inlineStr">
        <is>
          <t>135792468</t>
        </is>
      </c>
      <c r="D2236" s="4108" t="inlineStr">
        <is>
          <t>202009</t>
        </is>
      </c>
      <c r="E2236" s="4108" t="inlineStr">
        <is>
          <t>1,000000000000</t>
        </is>
      </c>
    </row>
    <row outlineLevel="0" r="2237">
      <c r="A2237" s="4108" t="inlineStr">
        <is>
          <t>135792468202009110110</t>
        </is>
      </c>
      <c r="B2237" s="4108" t="inlineStr">
        <is>
          <t>110110</t>
        </is>
      </c>
      <c r="C2237" s="4108" t="inlineStr">
        <is>
          <t>135792468</t>
        </is>
      </c>
      <c r="D2237" s="4108" t="inlineStr">
        <is>
          <t>202009</t>
        </is>
      </c>
      <c r="E2237" s="4108" t="inlineStr">
        <is>
          <t>2,000000000000</t>
        </is>
      </c>
    </row>
    <row outlineLevel="0" r="2238">
      <c r="A2238" s="4108" t="inlineStr">
        <is>
          <t>135792468202009110125</t>
        </is>
      </c>
      <c r="B2238" s="4108" t="inlineStr">
        <is>
          <t>110125</t>
        </is>
      </c>
      <c r="C2238" s="4108" t="inlineStr">
        <is>
          <t>135792468</t>
        </is>
      </c>
      <c r="D2238" s="4108" t="inlineStr">
        <is>
          <t>202009</t>
        </is>
      </c>
      <c r="E2238" s="4108" t="inlineStr">
        <is>
          <t>5,000000000000</t>
        </is>
      </c>
    </row>
    <row outlineLevel="0" r="2239">
      <c r="A2239" s="4108" t="inlineStr">
        <is>
          <t>135792468202009110130</t>
        </is>
      </c>
      <c r="B2239" s="4108" t="inlineStr">
        <is>
          <t>110130</t>
        </is>
      </c>
      <c r="C2239" s="4108" t="inlineStr">
        <is>
          <t>135792468</t>
        </is>
      </c>
      <c r="D2239" s="4108" t="inlineStr">
        <is>
          <t>202009</t>
        </is>
      </c>
      <c r="E2239" s="4108" t="inlineStr">
        <is>
          <t>4,000000000000</t>
        </is>
      </c>
    </row>
    <row outlineLevel="0" r="2240">
      <c r="A2240" s="4108" t="inlineStr">
        <is>
          <t>135792468202009110205</t>
        </is>
      </c>
      <c r="B2240" s="4108" t="inlineStr">
        <is>
          <t>110205</t>
        </is>
      </c>
      <c r="C2240" s="4108" t="inlineStr">
        <is>
          <t>135792468</t>
        </is>
      </c>
      <c r="D2240" s="4108" t="inlineStr">
        <is>
          <t>202009</t>
        </is>
      </c>
      <c r="E2240" s="4108" t="inlineStr">
        <is>
          <t>1,000000000000</t>
        </is>
      </c>
    </row>
    <row outlineLevel="0" r="2241">
      <c r="A2241" s="4108" t="inlineStr">
        <is>
          <t>135792468202009110215</t>
        </is>
      </c>
      <c r="B2241" s="4108" t="inlineStr">
        <is>
          <t>110215</t>
        </is>
      </c>
      <c r="C2241" s="4108" t="inlineStr">
        <is>
          <t>135792468</t>
        </is>
      </c>
      <c r="D2241" s="4108" t="inlineStr">
        <is>
          <t>202009</t>
        </is>
      </c>
      <c r="E2241" s="4108" t="inlineStr">
        <is>
          <t>3,000000000000</t>
        </is>
      </c>
    </row>
    <row outlineLevel="0" r="2242">
      <c r="A2242" s="4108" t="inlineStr">
        <is>
          <t>135792468202009110210</t>
        </is>
      </c>
      <c r="B2242" s="4108" t="inlineStr">
        <is>
          <t>110210</t>
        </is>
      </c>
      <c r="C2242" s="4108" t="inlineStr">
        <is>
          <t>135792468</t>
        </is>
      </c>
      <c r="D2242" s="4108" t="inlineStr">
        <is>
          <t>202009</t>
        </is>
      </c>
      <c r="E2242" s="4108" t="inlineStr">
        <is>
          <t>2,000000000000</t>
        </is>
      </c>
    </row>
    <row outlineLevel="0" r="2243">
      <c r="A2243" s="4108" t="inlineStr">
        <is>
          <t>135792468202009110225</t>
        </is>
      </c>
      <c r="B2243" s="4108" t="inlineStr">
        <is>
          <t>110225</t>
        </is>
      </c>
      <c r="C2243" s="4108" t="inlineStr">
        <is>
          <t>135792468</t>
        </is>
      </c>
      <c r="D2243" s="4108" t="inlineStr">
        <is>
          <t>202009</t>
        </is>
      </c>
      <c r="E2243" s="4108" t="inlineStr">
        <is>
          <t>4,000000000000</t>
        </is>
      </c>
    </row>
    <row outlineLevel="0" r="2244">
      <c r="A2244" s="4108" t="inlineStr">
        <is>
          <t>135792468202009110235</t>
        </is>
      </c>
      <c r="B2244" s="4108" t="inlineStr">
        <is>
          <t>110235</t>
        </is>
      </c>
      <c r="C2244" s="4108" t="inlineStr">
        <is>
          <t>135792468</t>
        </is>
      </c>
      <c r="D2244" s="4108" t="inlineStr">
        <is>
          <t>202009</t>
        </is>
      </c>
      <c r="E2244" s="4108" t="inlineStr">
        <is>
          <t>5,000000000000</t>
        </is>
      </c>
    </row>
    <row outlineLevel="0" r="2245">
      <c r="A2245" s="4108" t="inlineStr">
        <is>
          <t>135792468202009110255</t>
        </is>
      </c>
      <c r="B2245" s="4108" t="inlineStr">
        <is>
          <t>110255</t>
        </is>
      </c>
      <c r="C2245" s="4108" t="inlineStr">
        <is>
          <t>135792468</t>
        </is>
      </c>
      <c r="D2245" s="4108" t="inlineStr">
        <is>
          <t>202009</t>
        </is>
      </c>
      <c r="E2245" s="4108" t="inlineStr">
        <is>
          <t>1,000000000000</t>
        </is>
      </c>
    </row>
    <row outlineLevel="0" r="2246">
      <c r="A2246" s="4108" t="inlineStr">
        <is>
          <t>135792468202009110260</t>
        </is>
      </c>
      <c r="B2246" s="4108" t="inlineStr">
        <is>
          <t>110260</t>
        </is>
      </c>
      <c r="C2246" s="4108" t="inlineStr">
        <is>
          <t>135792468</t>
        </is>
      </c>
      <c r="D2246" s="4108" t="inlineStr">
        <is>
          <t>202009</t>
        </is>
      </c>
      <c r="E2246" s="4108" t="inlineStr">
        <is>
          <t>3,000000000000</t>
        </is>
      </c>
    </row>
    <row outlineLevel="0" r="2247">
      <c r="A2247" s="4108" t="inlineStr">
        <is>
          <t>135792468202009110305</t>
        </is>
      </c>
      <c r="B2247" s="4108" t="inlineStr">
        <is>
          <t>110305</t>
        </is>
      </c>
      <c r="C2247" s="4108" t="inlineStr">
        <is>
          <t>135792468</t>
        </is>
      </c>
      <c r="D2247" s="4108" t="inlineStr">
        <is>
          <t>202009</t>
        </is>
      </c>
      <c r="E2247" s="4108" t="inlineStr">
        <is>
          <t>1,000000000000</t>
        </is>
      </c>
    </row>
    <row outlineLevel="0" r="2248">
      <c r="A2248" s="4108" t="inlineStr">
        <is>
          <t>135792468202009110390</t>
        </is>
      </c>
      <c r="B2248" s="4108" t="inlineStr">
        <is>
          <t>110390</t>
        </is>
      </c>
      <c r="C2248" s="4108" t="inlineStr">
        <is>
          <t>135792468</t>
        </is>
      </c>
      <c r="D2248" s="4108" t="inlineStr">
        <is>
          <t>202009</t>
        </is>
      </c>
      <c r="E2248" s="4108" t="inlineStr">
        <is>
          <t>4,000000000000</t>
        </is>
      </c>
    </row>
    <row outlineLevel="0" r="2249">
      <c r="A2249" s="4108" t="inlineStr">
        <is>
          <t>135792468202009110405</t>
        </is>
      </c>
      <c r="B2249" s="4108" t="inlineStr">
        <is>
          <t>110405</t>
        </is>
      </c>
      <c r="C2249" s="4108" t="inlineStr">
        <is>
          <t>135792468</t>
        </is>
      </c>
      <c r="D2249" s="4108" t="inlineStr">
        <is>
          <t>202009</t>
        </is>
      </c>
      <c r="E2249" s="4108" t="inlineStr">
        <is>
          <t>1,000000000000</t>
        </is>
      </c>
    </row>
    <row outlineLevel="0" r="2250">
      <c r="A2250" s="4108" t="inlineStr">
        <is>
          <t>135792468202009110395</t>
        </is>
      </c>
      <c r="B2250" s="4108" t="inlineStr">
        <is>
          <t>110395</t>
        </is>
      </c>
      <c r="C2250" s="4108" t="inlineStr">
        <is>
          <t>135792468</t>
        </is>
      </c>
      <c r="D2250" s="4108" t="inlineStr">
        <is>
          <t>202009</t>
        </is>
      </c>
      <c r="E2250" s="4108" t="inlineStr">
        <is>
          <t>5,000000000000</t>
        </is>
      </c>
    </row>
    <row outlineLevel="0" r="2251">
      <c r="A2251" s="4108" t="inlineStr">
        <is>
          <t>135792468202009110410</t>
        </is>
      </c>
      <c r="B2251" s="4108" t="inlineStr">
        <is>
          <t>110410</t>
        </is>
      </c>
      <c r="C2251" s="4108" t="inlineStr">
        <is>
          <t>135792468</t>
        </is>
      </c>
      <c r="D2251" s="4108" t="inlineStr">
        <is>
          <t>202009</t>
        </is>
      </c>
      <c r="E2251" s="4108" t="inlineStr">
        <is>
          <t>2,000000000000</t>
        </is>
      </c>
    </row>
    <row outlineLevel="0" r="2252">
      <c r="A2252" s="4108" t="inlineStr">
        <is>
          <t>135792468202009110415</t>
        </is>
      </c>
      <c r="B2252" s="4108" t="inlineStr">
        <is>
          <t>110415</t>
        </is>
      </c>
      <c r="C2252" s="4108" t="inlineStr">
        <is>
          <t>135792468</t>
        </is>
      </c>
      <c r="D2252" s="4108" t="inlineStr">
        <is>
          <t>202009</t>
        </is>
      </c>
      <c r="E2252" s="4108" t="inlineStr">
        <is>
          <t>4,000000000000</t>
        </is>
      </c>
    </row>
    <row outlineLevel="0" r="2253">
      <c r="A2253" s="4108" t="inlineStr">
        <is>
          <t>135792468202009110420</t>
        </is>
      </c>
      <c r="B2253" s="4108" t="inlineStr">
        <is>
          <t>110420</t>
        </is>
      </c>
      <c r="C2253" s="4108" t="inlineStr">
        <is>
          <t>135792468</t>
        </is>
      </c>
      <c r="D2253" s="4108" t="inlineStr">
        <is>
          <t>202009</t>
        </is>
      </c>
      <c r="E2253" s="4108" t="inlineStr">
        <is>
          <t>1,000000000000</t>
        </is>
      </c>
    </row>
    <row outlineLevel="0" r="2254">
      <c r="A2254" s="4108" t="inlineStr">
        <is>
          <t>135792468202009110490</t>
        </is>
      </c>
      <c r="B2254" s="4108" t="inlineStr">
        <is>
          <t>110490</t>
        </is>
      </c>
      <c r="C2254" s="4108" t="inlineStr">
        <is>
          <t>135792468</t>
        </is>
      </c>
      <c r="D2254" s="4108" t="inlineStr">
        <is>
          <t>202009</t>
        </is>
      </c>
      <c r="E2254" s="4108" t="inlineStr">
        <is>
          <t>3,000000000000</t>
        </is>
      </c>
    </row>
    <row outlineLevel="0" r="2255">
      <c r="A2255" s="4108" t="inlineStr">
        <is>
          <t>135792468202009110491</t>
        </is>
      </c>
      <c r="B2255" s="4108" t="inlineStr">
        <is>
          <t>110491</t>
        </is>
      </c>
      <c r="C2255" s="4108" t="inlineStr">
        <is>
          <t>135792468</t>
        </is>
      </c>
      <c r="D2255" s="4108" t="inlineStr">
        <is>
          <t>202009</t>
        </is>
      </c>
      <c r="E2255" s="4108" t="inlineStr">
        <is>
          <t>4,000000000000</t>
        </is>
      </c>
    </row>
    <row outlineLevel="0" r="2256">
      <c r="A2256" s="4108" t="inlineStr">
        <is>
          <t>135792468202009110495</t>
        </is>
      </c>
      <c r="B2256" s="4108" t="inlineStr">
        <is>
          <t>110495</t>
        </is>
      </c>
      <c r="C2256" s="4108" t="inlineStr">
        <is>
          <t>135792468</t>
        </is>
      </c>
      <c r="D2256" s="4108" t="inlineStr">
        <is>
          <t>202009</t>
        </is>
      </c>
      <c r="E2256" s="4108" t="inlineStr">
        <is>
          <t>2,000000000000</t>
        </is>
      </c>
    </row>
    <row outlineLevel="0" r="2257">
      <c r="A2257" s="4108" t="inlineStr">
        <is>
          <t>135792468202009120104</t>
        </is>
      </c>
      <c r="B2257" s="4108" t="inlineStr">
        <is>
          <t>120104</t>
        </is>
      </c>
      <c r="C2257" s="4108" t="inlineStr">
        <is>
          <t>135792468</t>
        </is>
      </c>
      <c r="D2257" s="4108" t="inlineStr">
        <is>
          <t>202009</t>
        </is>
      </c>
      <c r="E2257" s="4108" t="inlineStr">
        <is>
          <t>1,000000000000</t>
        </is>
      </c>
    </row>
    <row outlineLevel="0" r="2258">
      <c r="A2258" s="4108" t="inlineStr">
        <is>
          <t>135792468202009111010</t>
        </is>
      </c>
      <c r="B2258" s="4108" t="inlineStr">
        <is>
          <t>111010</t>
        </is>
      </c>
      <c r="C2258" s="4108" t="inlineStr">
        <is>
          <t>135792468</t>
        </is>
      </c>
      <c r="D2258" s="4108" t="inlineStr">
        <is>
          <t>202009</t>
        </is>
      </c>
      <c r="E2258" s="4108" t="inlineStr">
        <is>
          <t>3,000000000000</t>
        </is>
      </c>
    </row>
    <row outlineLevel="0" r="2259">
      <c r="A2259" s="4108" t="inlineStr">
        <is>
          <t>135792468202009120108</t>
        </is>
      </c>
      <c r="B2259" s="4108" t="inlineStr">
        <is>
          <t>120108</t>
        </is>
      </c>
      <c r="C2259" s="4108" t="inlineStr">
        <is>
          <t>135792468</t>
        </is>
      </c>
      <c r="D2259" s="4108" t="inlineStr">
        <is>
          <t>202009</t>
        </is>
      </c>
      <c r="E2259" s="4108" t="inlineStr">
        <is>
          <t>2,000000000000</t>
        </is>
      </c>
    </row>
    <row outlineLevel="0" r="2260">
      <c r="A2260" s="4108" t="inlineStr">
        <is>
          <t>135792468202009120116</t>
        </is>
      </c>
      <c r="B2260" s="4108" t="inlineStr">
        <is>
          <t>120116</t>
        </is>
      </c>
      <c r="C2260" s="4108" t="inlineStr">
        <is>
          <t>135792468</t>
        </is>
      </c>
      <c r="D2260" s="4108" t="inlineStr">
        <is>
          <t>202009</t>
        </is>
      </c>
      <c r="E2260" s="4108" t="inlineStr">
        <is>
          <t>4,000000000000</t>
        </is>
      </c>
    </row>
    <row outlineLevel="0" r="2261">
      <c r="A2261" s="4108" t="inlineStr">
        <is>
          <t>135792468202009120120</t>
        </is>
      </c>
      <c r="B2261" s="4108" t="inlineStr">
        <is>
          <t>120120</t>
        </is>
      </c>
      <c r="C2261" s="4108" t="inlineStr">
        <is>
          <t>135792468</t>
        </is>
      </c>
      <c r="D2261" s="4108" t="inlineStr">
        <is>
          <t>202009</t>
        </is>
      </c>
      <c r="E2261" s="4108" t="inlineStr">
        <is>
          <t>5,000000000000</t>
        </is>
      </c>
    </row>
    <row outlineLevel="0" r="2262">
      <c r="A2262" s="4108" t="inlineStr">
        <is>
          <t>135792468202009120124</t>
        </is>
      </c>
      <c r="B2262" s="4108" t="inlineStr">
        <is>
          <t>120124</t>
        </is>
      </c>
      <c r="C2262" s="4108" t="inlineStr">
        <is>
          <t>135792468</t>
        </is>
      </c>
      <c r="D2262" s="4108" t="inlineStr">
        <is>
          <t>202009</t>
        </is>
      </c>
      <c r="E2262" s="4108" t="inlineStr">
        <is>
          <t>6,000000000000</t>
        </is>
      </c>
    </row>
    <row outlineLevel="0" r="2263">
      <c r="A2263" s="4108" t="inlineStr">
        <is>
          <t>135792468202009120128</t>
        </is>
      </c>
      <c r="B2263" s="4108" t="inlineStr">
        <is>
          <t>120128</t>
        </is>
      </c>
      <c r="C2263" s="4108" t="inlineStr">
        <is>
          <t>135792468</t>
        </is>
      </c>
      <c r="D2263" s="4108" t="inlineStr">
        <is>
          <t>202009</t>
        </is>
      </c>
      <c r="E2263" s="4108" t="inlineStr">
        <is>
          <t>7,000000000000</t>
        </is>
      </c>
    </row>
    <row outlineLevel="0" r="2264">
      <c r="A2264" s="4108" t="inlineStr">
        <is>
          <t>135792468202009120140</t>
        </is>
      </c>
      <c r="B2264" s="4108" t="inlineStr">
        <is>
          <t>120140</t>
        </is>
      </c>
      <c r="C2264" s="4108" t="inlineStr">
        <is>
          <t>135792468</t>
        </is>
      </c>
      <c r="D2264" s="4108" t="inlineStr">
        <is>
          <t>202009</t>
        </is>
      </c>
      <c r="E2264" s="4108" t="inlineStr">
        <is>
          <t>8,000000000000</t>
        </is>
      </c>
    </row>
    <row outlineLevel="0" r="2265">
      <c r="A2265" s="4108" t="inlineStr">
        <is>
          <t>135792468202009120195</t>
        </is>
      </c>
      <c r="B2265" s="4108" t="inlineStr">
        <is>
          <t>120195</t>
        </is>
      </c>
      <c r="C2265" s="4108" t="inlineStr">
        <is>
          <t>135792468</t>
        </is>
      </c>
      <c r="D2265" s="4108" t="inlineStr">
        <is>
          <t>202009</t>
        </is>
      </c>
      <c r="E2265" s="4108" t="inlineStr">
        <is>
          <t>17,000000000000</t>
        </is>
      </c>
    </row>
    <row outlineLevel="0" r="2266">
      <c r="A2266" s="4108" t="inlineStr">
        <is>
          <t>135792468202009120145</t>
        </is>
      </c>
      <c r="B2266" s="4108" t="inlineStr">
        <is>
          <t>120145</t>
        </is>
      </c>
      <c r="C2266" s="4108" t="inlineStr">
        <is>
          <t>135792468</t>
        </is>
      </c>
      <c r="D2266" s="4108" t="inlineStr">
        <is>
          <t>202009</t>
        </is>
      </c>
      <c r="E2266" s="4108" t="inlineStr">
        <is>
          <t>16,000000000000</t>
        </is>
      </c>
    </row>
    <row outlineLevel="0" r="2267">
      <c r="A2267" s="4108" t="inlineStr">
        <is>
          <t>135792468202009120501</t>
        </is>
      </c>
      <c r="B2267" s="4108" t="inlineStr">
        <is>
          <t>120501</t>
        </is>
      </c>
      <c r="C2267" s="4108" t="inlineStr">
        <is>
          <t>135792468</t>
        </is>
      </c>
      <c r="D2267" s="4108" t="inlineStr">
        <is>
          <t>202009</t>
        </is>
      </c>
      <c r="E2267" s="4108" t="inlineStr">
        <is>
          <t>1,000000000000</t>
        </is>
      </c>
    </row>
    <row outlineLevel="0" r="2268">
      <c r="A2268" s="4108" t="inlineStr">
        <is>
          <t>135792468202009120610</t>
        </is>
      </c>
      <c r="B2268" s="4108" t="inlineStr">
        <is>
          <t>120610</t>
        </is>
      </c>
      <c r="C2268" s="4108" t="inlineStr">
        <is>
          <t>135792468</t>
        </is>
      </c>
      <c r="D2268" s="4108" t="inlineStr">
        <is>
          <t>202009</t>
        </is>
      </c>
      <c r="E2268" s="4108" t="inlineStr">
        <is>
          <t>1,000000000000</t>
        </is>
      </c>
    </row>
    <row outlineLevel="0" r="2269">
      <c r="A2269" s="4108" t="inlineStr">
        <is>
          <t>135792468202009120615</t>
        </is>
      </c>
      <c r="B2269" s="4108" t="inlineStr">
        <is>
          <t>120615</t>
        </is>
      </c>
      <c r="C2269" s="4108" t="inlineStr">
        <is>
          <t>135792468</t>
        </is>
      </c>
      <c r="D2269" s="4108" t="inlineStr">
        <is>
          <t>202009</t>
        </is>
      </c>
      <c r="E2269" s="4108" t="inlineStr">
        <is>
          <t>2,000000000000</t>
        </is>
      </c>
    </row>
    <row outlineLevel="0" r="2270">
      <c r="A2270" s="4108" t="inlineStr">
        <is>
          <t>135792468202009120620</t>
        </is>
      </c>
      <c r="B2270" s="4108" t="inlineStr">
        <is>
          <t>120620</t>
        </is>
      </c>
      <c r="C2270" s="4108" t="inlineStr">
        <is>
          <t>135792468</t>
        </is>
      </c>
      <c r="D2270" s="4108" t="inlineStr">
        <is>
          <t>202009</t>
        </is>
      </c>
      <c r="E2270" s="4108" t="inlineStr">
        <is>
          <t>4,000000000000</t>
        </is>
      </c>
    </row>
    <row outlineLevel="0" r="2271">
      <c r="A2271" s="4108" t="inlineStr">
        <is>
          <t>135792468202009121001</t>
        </is>
      </c>
      <c r="B2271" s="4108" t="inlineStr">
        <is>
          <t>121001</t>
        </is>
      </c>
      <c r="C2271" s="4108" t="inlineStr">
        <is>
          <t>135792468</t>
        </is>
      </c>
      <c r="D2271" s="4108" t="inlineStr">
        <is>
          <t>202009</t>
        </is>
      </c>
      <c r="E2271" s="4108" t="inlineStr">
        <is>
          <t>2,000000000000</t>
        </is>
      </c>
    </row>
    <row outlineLevel="0" r="2272">
      <c r="A2272" s="4108" t="inlineStr">
        <is>
          <t>135792468202009121501</t>
        </is>
      </c>
      <c r="B2272" s="4108" t="inlineStr">
        <is>
          <t>121501</t>
        </is>
      </c>
      <c r="C2272" s="4108" t="inlineStr">
        <is>
          <t>135792468</t>
        </is>
      </c>
      <c r="D2272" s="4108" t="inlineStr">
        <is>
          <t>202009</t>
        </is>
      </c>
      <c r="E2272" s="4108" t="inlineStr">
        <is>
          <t>3,000000000000</t>
        </is>
      </c>
    </row>
    <row outlineLevel="0" r="2273">
      <c r="A2273" s="4108" t="inlineStr">
        <is>
          <t>135792468202009125501</t>
        </is>
      </c>
      <c r="B2273" s="4108" t="inlineStr">
        <is>
          <t>125501</t>
        </is>
      </c>
      <c r="C2273" s="4108" t="inlineStr">
        <is>
          <t>135792468</t>
        </is>
      </c>
      <c r="D2273" s="4108" t="inlineStr">
        <is>
          <t>202009</t>
        </is>
      </c>
      <c r="E2273" s="4108" t="inlineStr">
        <is>
          <t>5,000000000000</t>
        </is>
      </c>
    </row>
    <row outlineLevel="0" r="2274">
      <c r="A2274" s="4108" t="inlineStr">
        <is>
          <t>135792468202009123501</t>
        </is>
      </c>
      <c r="B2274" s="4108" t="inlineStr">
        <is>
          <t>123501</t>
        </is>
      </c>
      <c r="C2274" s="4108" t="inlineStr">
        <is>
          <t>135792468</t>
        </is>
      </c>
      <c r="D2274" s="4108" t="inlineStr">
        <is>
          <t>202009</t>
        </is>
      </c>
      <c r="E2274" s="4108" t="inlineStr">
        <is>
          <t>4,000000000000</t>
        </is>
      </c>
    </row>
    <row outlineLevel="0" r="2275">
      <c r="A2275" s="4108" t="inlineStr">
        <is>
          <t>135792468202009126001</t>
        </is>
      </c>
      <c r="B2275" s="4108" t="inlineStr">
        <is>
          <t>126001</t>
        </is>
      </c>
      <c r="C2275" s="4108" t="inlineStr">
        <is>
          <t>135792468</t>
        </is>
      </c>
      <c r="D2275" s="4108" t="inlineStr">
        <is>
          <t>202009</t>
        </is>
      </c>
      <c r="E2275" s="4108" t="inlineStr">
        <is>
          <t>6,000000000000</t>
        </is>
      </c>
    </row>
    <row outlineLevel="0" r="2276">
      <c r="A2276" s="4108" t="inlineStr">
        <is>
          <t>135792468202009129501</t>
        </is>
      </c>
      <c r="B2276" s="4108" t="inlineStr">
        <is>
          <t>129501</t>
        </is>
      </c>
      <c r="C2276" s="4108" t="inlineStr">
        <is>
          <t>135792468</t>
        </is>
      </c>
      <c r="D2276" s="4108" t="inlineStr">
        <is>
          <t>202009</t>
        </is>
      </c>
      <c r="E2276" s="4108" t="inlineStr">
        <is>
          <t>7,000000000000</t>
        </is>
      </c>
    </row>
    <row outlineLevel="0" r="2277">
      <c r="A2277" s="4108" t="inlineStr">
        <is>
          <t>135792468202009129700</t>
        </is>
      </c>
      <c r="B2277" s="4108" t="inlineStr">
        <is>
          <t>129700</t>
        </is>
      </c>
      <c r="C2277" s="4108" t="inlineStr">
        <is>
          <t>135792468</t>
        </is>
      </c>
      <c r="D2277" s="4108" t="inlineStr">
        <is>
          <t>202009</t>
        </is>
      </c>
      <c r="E2277" s="4108" t="inlineStr">
        <is>
          <t>2,000000000000</t>
        </is>
      </c>
    </row>
    <row outlineLevel="0" r="2278">
      <c r="A2278" s="4108" t="inlineStr">
        <is>
          <t>135792468202009129701</t>
        </is>
      </c>
      <c r="B2278" s="4108" t="inlineStr">
        <is>
          <t>129701</t>
        </is>
      </c>
      <c r="C2278" s="4108" t="inlineStr">
        <is>
          <t>135792468</t>
        </is>
      </c>
      <c r="D2278" s="4108" t="inlineStr">
        <is>
          <t>202009</t>
        </is>
      </c>
      <c r="E2278" s="4108" t="inlineStr">
        <is>
          <t>8,000000000000</t>
        </is>
      </c>
    </row>
    <row outlineLevel="0" r="2279">
      <c r="A2279" s="4108" t="inlineStr">
        <is>
          <t>135792468202009129901</t>
        </is>
      </c>
      <c r="B2279" s="4108" t="inlineStr">
        <is>
          <t>129901</t>
        </is>
      </c>
      <c r="C2279" s="4108" t="inlineStr">
        <is>
          <t>135792468</t>
        </is>
      </c>
      <c r="D2279" s="4108" t="inlineStr">
        <is>
          <t>202009</t>
        </is>
      </c>
      <c r="E2279" s="4108" t="inlineStr">
        <is>
          <t>9,000000000000</t>
        </is>
      </c>
    </row>
    <row outlineLevel="0" r="2280">
      <c r="A2280" s="4108" t="inlineStr">
        <is>
          <t>135792468202009130506</t>
        </is>
      </c>
      <c r="B2280" s="4108" t="inlineStr">
        <is>
          <t>130506</t>
        </is>
      </c>
      <c r="C2280" s="4108" t="inlineStr">
        <is>
          <t>135792468</t>
        </is>
      </c>
      <c r="D2280" s="4108" t="inlineStr">
        <is>
          <t>202009</t>
        </is>
      </c>
      <c r="E2280" s="4108" t="inlineStr">
        <is>
          <t>1,000000000000</t>
        </is>
      </c>
    </row>
    <row outlineLevel="0" r="2281">
      <c r="A2281" s="4108" t="inlineStr">
        <is>
          <t>135792468202009130511</t>
        </is>
      </c>
      <c r="B2281" s="4108" t="inlineStr">
        <is>
          <t>130511</t>
        </is>
      </c>
      <c r="C2281" s="4108" t="inlineStr">
        <is>
          <t>135792468</t>
        </is>
      </c>
      <c r="D2281" s="4108" t="inlineStr">
        <is>
          <t>202009</t>
        </is>
      </c>
      <c r="E2281" s="4108" t="inlineStr">
        <is>
          <t>2,000000000000</t>
        </is>
      </c>
    </row>
    <row outlineLevel="0" r="2282">
      <c r="A2282" s="4108" t="inlineStr">
        <is>
          <t>135792468202009130510</t>
        </is>
      </c>
      <c r="B2282" s="4108" t="inlineStr">
        <is>
          <t>130510</t>
        </is>
      </c>
      <c r="C2282" s="4108" t="inlineStr">
        <is>
          <t>135792468</t>
        </is>
      </c>
      <c r="D2282" s="4108" t="inlineStr">
        <is>
          <t>202009</t>
        </is>
      </c>
      <c r="E2282" s="4108" t="inlineStr">
        <is>
          <t>2,000000000000</t>
        </is>
      </c>
    </row>
    <row outlineLevel="0" r="2283">
      <c r="A2283" s="4108" t="inlineStr">
        <is>
          <t>135792468202009131000</t>
        </is>
      </c>
      <c r="B2283" s="4108" t="inlineStr">
        <is>
          <t>131000</t>
        </is>
      </c>
      <c r="C2283" s="4108" t="inlineStr">
        <is>
          <t>135792468</t>
        </is>
      </c>
      <c r="D2283" s="4108" t="inlineStr">
        <is>
          <t>202009</t>
        </is>
      </c>
      <c r="E2283" s="4108" t="inlineStr">
        <is>
          <t>3,000000000000</t>
        </is>
      </c>
    </row>
    <row outlineLevel="0" r="2284">
      <c r="A2284" s="4108" t="inlineStr">
        <is>
          <t>135792468202009131001</t>
        </is>
      </c>
      <c r="B2284" s="4108" t="inlineStr">
        <is>
          <t>131001</t>
        </is>
      </c>
      <c r="C2284" s="4108" t="inlineStr">
        <is>
          <t>135792468</t>
        </is>
      </c>
      <c r="D2284" s="4108" t="inlineStr">
        <is>
          <t>202009</t>
        </is>
      </c>
      <c r="E2284" s="4108" t="inlineStr">
        <is>
          <t>3,000000000000</t>
        </is>
      </c>
    </row>
    <row outlineLevel="0" r="2285">
      <c r="A2285" s="4108" t="inlineStr">
        <is>
          <t>135792468202009131501</t>
        </is>
      </c>
      <c r="B2285" s="4108" t="inlineStr">
        <is>
          <t>131501</t>
        </is>
      </c>
      <c r="C2285" s="4108" t="inlineStr">
        <is>
          <t>135792468</t>
        </is>
      </c>
      <c r="D2285" s="4108" t="inlineStr">
        <is>
          <t>202009</t>
        </is>
      </c>
      <c r="E2285" s="4108" t="inlineStr">
        <is>
          <t>4,000000000000</t>
        </is>
      </c>
    </row>
    <row outlineLevel="0" r="2286">
      <c r="A2286" s="4108" t="inlineStr">
        <is>
          <t>135792468202009132000</t>
        </is>
      </c>
      <c r="B2286" s="4108" t="inlineStr">
        <is>
          <t>132000</t>
        </is>
      </c>
      <c r="C2286" s="4108" t="inlineStr">
        <is>
          <t>135792468</t>
        </is>
      </c>
      <c r="D2286" s="4108" t="inlineStr">
        <is>
          <t>202009</t>
        </is>
      </c>
      <c r="E2286" s="4108" t="inlineStr">
        <is>
          <t>0,000000000000</t>
        </is>
      </c>
    </row>
    <row outlineLevel="0" r="2287">
      <c r="A2287" s="4108" t="inlineStr">
        <is>
          <t>135792468202009132001</t>
        </is>
      </c>
      <c r="B2287" s="4108" t="inlineStr">
        <is>
          <t>132001</t>
        </is>
      </c>
      <c r="C2287" s="4108" t="inlineStr">
        <is>
          <t>135792468</t>
        </is>
      </c>
      <c r="D2287" s="4108" t="inlineStr">
        <is>
          <t>202009</t>
        </is>
      </c>
      <c r="E2287" s="4108" t="inlineStr">
        <is>
          <t>5,000000000000</t>
        </is>
      </c>
    </row>
    <row outlineLevel="0" r="2288">
      <c r="A2288" s="4108" t="inlineStr">
        <is>
          <t>135792468202009132500</t>
        </is>
      </c>
      <c r="B2288" s="4108" t="inlineStr">
        <is>
          <t>132500</t>
        </is>
      </c>
      <c r="C2288" s="4108" t="inlineStr">
        <is>
          <t>135792468</t>
        </is>
      </c>
      <c r="D2288" s="4108" t="inlineStr">
        <is>
          <t>202009</t>
        </is>
      </c>
      <c r="E2288" s="4108" t="inlineStr">
        <is>
          <t>0,000000000000</t>
        </is>
      </c>
    </row>
    <row outlineLevel="0" r="2289">
      <c r="A2289" s="4108" t="inlineStr">
        <is>
          <t>135792468202009133000</t>
        </is>
      </c>
      <c r="B2289" s="4108" t="inlineStr">
        <is>
          <t>133000</t>
        </is>
      </c>
      <c r="C2289" s="4108" t="inlineStr">
        <is>
          <t>135792468</t>
        </is>
      </c>
      <c r="D2289" s="4108" t="inlineStr">
        <is>
          <t>202009</t>
        </is>
      </c>
      <c r="E2289" s="4108" t="inlineStr">
        <is>
          <t>0,000000000000</t>
        </is>
      </c>
    </row>
    <row outlineLevel="0" r="2290">
      <c r="A2290" s="4108" t="inlineStr">
        <is>
          <t>135792468202009132501</t>
        </is>
      </c>
      <c r="B2290" s="4108" t="inlineStr">
        <is>
          <t>132501</t>
        </is>
      </c>
      <c r="C2290" s="4108" t="inlineStr">
        <is>
          <t>135792468</t>
        </is>
      </c>
      <c r="D2290" s="4108" t="inlineStr">
        <is>
          <t>202009</t>
        </is>
      </c>
      <c r="E2290" s="4108" t="inlineStr">
        <is>
          <t>6,000000000000</t>
        </is>
      </c>
    </row>
    <row outlineLevel="0" r="2291">
      <c r="A2291" s="4108" t="inlineStr">
        <is>
          <t>135792468202009133001</t>
        </is>
      </c>
      <c r="B2291" s="4108" t="inlineStr">
        <is>
          <t>133001</t>
        </is>
      </c>
      <c r="C2291" s="4108" t="inlineStr">
        <is>
          <t>135792468</t>
        </is>
      </c>
      <c r="D2291" s="4108" t="inlineStr">
        <is>
          <t>202009</t>
        </is>
      </c>
      <c r="E2291" s="4108" t="inlineStr">
        <is>
          <t>7,000000000000</t>
        </is>
      </c>
    </row>
    <row outlineLevel="0" r="2292">
      <c r="A2292" s="4108" t="inlineStr">
        <is>
          <t>135792468202009133500</t>
        </is>
      </c>
      <c r="B2292" s="4108" t="inlineStr">
        <is>
          <t>133500</t>
        </is>
      </c>
      <c r="C2292" s="4108" t="inlineStr">
        <is>
          <t>135792468</t>
        </is>
      </c>
      <c r="D2292" s="4108" t="inlineStr">
        <is>
          <t>202009</t>
        </is>
      </c>
      <c r="E2292" s="4108" t="inlineStr">
        <is>
          <t>0,000000000000</t>
        </is>
      </c>
    </row>
    <row outlineLevel="0" r="2293">
      <c r="A2293" s="4108" t="inlineStr">
        <is>
          <t>135792468202009133501</t>
        </is>
      </c>
      <c r="B2293" s="4108" t="inlineStr">
        <is>
          <t>133501</t>
        </is>
      </c>
      <c r="C2293" s="4108" t="inlineStr">
        <is>
          <t>135792468</t>
        </is>
      </c>
      <c r="D2293" s="4108" t="inlineStr">
        <is>
          <t>202009</t>
        </is>
      </c>
      <c r="E2293" s="4108" t="inlineStr">
        <is>
          <t>8,000000000000</t>
        </is>
      </c>
    </row>
    <row outlineLevel="0" r="2294">
      <c r="A2294" s="4108" t="inlineStr">
        <is>
          <t>135792468202009134000</t>
        </is>
      </c>
      <c r="B2294" s="4108" t="inlineStr">
        <is>
          <t>134000</t>
        </is>
      </c>
      <c r="C2294" s="4108" t="inlineStr">
        <is>
          <t>135792468</t>
        </is>
      </c>
      <c r="D2294" s="4108" t="inlineStr">
        <is>
          <t>202009</t>
        </is>
      </c>
      <c r="E2294" s="4108" t="inlineStr">
        <is>
          <t>0,000000000000</t>
        </is>
      </c>
    </row>
    <row outlineLevel="0" r="2295">
      <c r="A2295" s="4108" t="inlineStr">
        <is>
          <t>135792468202009134001</t>
        </is>
      </c>
      <c r="B2295" s="4108" t="inlineStr">
        <is>
          <t>134001</t>
        </is>
      </c>
      <c r="C2295" s="4108" t="inlineStr">
        <is>
          <t>135792468</t>
        </is>
      </c>
      <c r="D2295" s="4108" t="inlineStr">
        <is>
          <t>202009</t>
        </is>
      </c>
      <c r="E2295" s="4108" t="inlineStr">
        <is>
          <t>9,000000000000</t>
        </is>
      </c>
    </row>
    <row outlineLevel="0" r="2296">
      <c r="A2296" s="4108" t="inlineStr">
        <is>
          <t>135792468202009134500</t>
        </is>
      </c>
      <c r="B2296" s="4108" t="inlineStr">
        <is>
          <t>134500</t>
        </is>
      </c>
      <c r="C2296" s="4108" t="inlineStr">
        <is>
          <t>135792468</t>
        </is>
      </c>
      <c r="D2296" s="4108" t="inlineStr">
        <is>
          <t>202009</t>
        </is>
      </c>
      <c r="E2296" s="4108" t="inlineStr">
        <is>
          <t>0,000000000000</t>
        </is>
      </c>
    </row>
    <row outlineLevel="0" r="2297">
      <c r="A2297" s="4108" t="inlineStr">
        <is>
          <t>135792468202009135000</t>
        </is>
      </c>
      <c r="B2297" s="4108" t="inlineStr">
        <is>
          <t>135000</t>
        </is>
      </c>
      <c r="C2297" s="4108" t="inlineStr">
        <is>
          <t>135792468</t>
        </is>
      </c>
      <c r="D2297" s="4108" t="inlineStr">
        <is>
          <t>202009</t>
        </is>
      </c>
      <c r="E2297" s="4108" t="inlineStr">
        <is>
          <t>0,000000000000</t>
        </is>
      </c>
    </row>
    <row outlineLevel="0" r="2298">
      <c r="A2298" s="4108" t="inlineStr">
        <is>
          <t>135792468202009134501</t>
        </is>
      </c>
      <c r="B2298" s="4108" t="inlineStr">
        <is>
          <t>134501</t>
        </is>
      </c>
      <c r="C2298" s="4108" t="inlineStr">
        <is>
          <t>135792468</t>
        </is>
      </c>
      <c r="D2298" s="4108" t="inlineStr">
        <is>
          <t>202009</t>
        </is>
      </c>
      <c r="E2298" s="4108" t="inlineStr">
        <is>
          <t>10,000000000000</t>
        </is>
      </c>
    </row>
    <row outlineLevel="0" r="2299">
      <c r="A2299" s="4108" t="inlineStr">
        <is>
          <t>135792468202009135001</t>
        </is>
      </c>
      <c r="B2299" s="4108" t="inlineStr">
        <is>
          <t>135001</t>
        </is>
      </c>
      <c r="C2299" s="4108" t="inlineStr">
        <is>
          <t>135792468</t>
        </is>
      </c>
      <c r="D2299" s="4108" t="inlineStr">
        <is>
          <t>202009</t>
        </is>
      </c>
      <c r="E2299" s="4108" t="inlineStr">
        <is>
          <t>11,000000000000</t>
        </is>
      </c>
    </row>
    <row outlineLevel="0" r="2300">
      <c r="A2300" s="4108" t="inlineStr">
        <is>
          <t>135792468202009135500</t>
        </is>
      </c>
      <c r="B2300" s="4108" t="inlineStr">
        <is>
          <t>135500</t>
        </is>
      </c>
      <c r="C2300" s="4108" t="inlineStr">
        <is>
          <t>135792468</t>
        </is>
      </c>
      <c r="D2300" s="4108" t="inlineStr">
        <is>
          <t>202009</t>
        </is>
      </c>
      <c r="E2300" s="4108" t="inlineStr">
        <is>
          <t>0,000000000000</t>
        </is>
      </c>
    </row>
    <row outlineLevel="0" r="2301">
      <c r="A2301" s="4108" t="inlineStr">
        <is>
          <t>135792468202009135501</t>
        </is>
      </c>
      <c r="B2301" s="4108" t="inlineStr">
        <is>
          <t>135501</t>
        </is>
      </c>
      <c r="C2301" s="4108" t="inlineStr">
        <is>
          <t>135792468</t>
        </is>
      </c>
      <c r="D2301" s="4108" t="inlineStr">
        <is>
          <t>202009</t>
        </is>
      </c>
      <c r="E2301" s="4108" t="inlineStr">
        <is>
          <t>12,000000000000</t>
        </is>
      </c>
    </row>
    <row outlineLevel="0" r="2302">
      <c r="A2302" s="4108" t="inlineStr">
        <is>
          <t>135792468202009136000</t>
        </is>
      </c>
      <c r="B2302" s="4108" t="inlineStr">
        <is>
          <t>136000</t>
        </is>
      </c>
      <c r="C2302" s="4108" t="inlineStr">
        <is>
          <t>135792468</t>
        </is>
      </c>
      <c r="D2302" s="4108" t="inlineStr">
        <is>
          <t>202009</t>
        </is>
      </c>
      <c r="E2302" s="4108" t="inlineStr">
        <is>
          <t>0,000000000000</t>
        </is>
      </c>
    </row>
    <row outlineLevel="0" r="2303">
      <c r="A2303" s="4108" t="inlineStr">
        <is>
          <t>135792468202009136001</t>
        </is>
      </c>
      <c r="B2303" s="4108" t="inlineStr">
        <is>
          <t>136001</t>
        </is>
      </c>
      <c r="C2303" s="4108" t="inlineStr">
        <is>
          <t>135792468</t>
        </is>
      </c>
      <c r="D2303" s="4108" t="inlineStr">
        <is>
          <t>202009</t>
        </is>
      </c>
      <c r="E2303" s="4108" t="inlineStr">
        <is>
          <t>13,000000000000</t>
        </is>
      </c>
    </row>
    <row outlineLevel="0" r="2304">
      <c r="A2304" s="4108" t="inlineStr">
        <is>
          <t>135792468202009136500</t>
        </is>
      </c>
      <c r="B2304" s="4108" t="inlineStr">
        <is>
          <t>136500</t>
        </is>
      </c>
      <c r="C2304" s="4108" t="inlineStr">
        <is>
          <t>135792468</t>
        </is>
      </c>
      <c r="D2304" s="4108" t="inlineStr">
        <is>
          <t>202009</t>
        </is>
      </c>
      <c r="E2304" s="4108" t="inlineStr">
        <is>
          <t>0,000000000000</t>
        </is>
      </c>
    </row>
    <row outlineLevel="0" r="2305">
      <c r="A2305" s="4108" t="inlineStr">
        <is>
          <t>135792468202009137000</t>
        </is>
      </c>
      <c r="B2305" s="4108" t="inlineStr">
        <is>
          <t>137000</t>
        </is>
      </c>
      <c r="C2305" s="4108" t="inlineStr">
        <is>
          <t>135792468</t>
        </is>
      </c>
      <c r="D2305" s="4108" t="inlineStr">
        <is>
          <t>202009</t>
        </is>
      </c>
      <c r="E2305" s="4108" t="inlineStr">
        <is>
          <t>0,000000000000</t>
        </is>
      </c>
    </row>
    <row outlineLevel="0" r="2306">
      <c r="A2306" s="4108" t="inlineStr">
        <is>
          <t>135792468202009136501</t>
        </is>
      </c>
      <c r="B2306" s="4108" t="inlineStr">
        <is>
          <t>136501</t>
        </is>
      </c>
      <c r="C2306" s="4108" t="inlineStr">
        <is>
          <t>135792468</t>
        </is>
      </c>
      <c r="D2306" s="4108" t="inlineStr">
        <is>
          <t>202009</t>
        </is>
      </c>
      <c r="E2306" s="4108" t="inlineStr">
        <is>
          <t>14,000000000000</t>
        </is>
      </c>
    </row>
    <row outlineLevel="0" r="2307">
      <c r="A2307" s="4108" t="inlineStr">
        <is>
          <t>135792468202009137001</t>
        </is>
      </c>
      <c r="B2307" s="4108" t="inlineStr">
        <is>
          <t>137001</t>
        </is>
      </c>
      <c r="C2307" s="4108" t="inlineStr">
        <is>
          <t>135792468</t>
        </is>
      </c>
      <c r="D2307" s="4108" t="inlineStr">
        <is>
          <t>202009</t>
        </is>
      </c>
      <c r="E2307" s="4108" t="inlineStr">
        <is>
          <t>15,000000000000</t>
        </is>
      </c>
    </row>
    <row outlineLevel="0" r="2308">
      <c r="A2308" s="4108" t="inlineStr">
        <is>
          <t>135792468202009138001</t>
        </is>
      </c>
      <c r="B2308" s="4108" t="inlineStr">
        <is>
          <t>138001</t>
        </is>
      </c>
      <c r="C2308" s="4108" t="inlineStr">
        <is>
          <t>135792468</t>
        </is>
      </c>
      <c r="D2308" s="4108" t="inlineStr">
        <is>
          <t>202009</t>
        </is>
      </c>
      <c r="E2308" s="4108" t="inlineStr">
        <is>
          <t>16,000000000000</t>
        </is>
      </c>
    </row>
    <row outlineLevel="0" r="2309">
      <c r="A2309" s="4108" t="inlineStr">
        <is>
          <t>135792468202009138501</t>
        </is>
      </c>
      <c r="B2309" s="4108" t="inlineStr">
        <is>
          <t>138501</t>
        </is>
      </c>
      <c r="C2309" s="4108" t="inlineStr">
        <is>
          <t>135792468</t>
        </is>
      </c>
      <c r="D2309" s="4108" t="inlineStr">
        <is>
          <t>202009</t>
        </is>
      </c>
      <c r="E2309" s="4108" t="inlineStr">
        <is>
          <t>17,000000000000</t>
        </is>
      </c>
    </row>
    <row outlineLevel="0" r="2310">
      <c r="A2310" s="4108" t="inlineStr">
        <is>
          <t>135792468202009139000</t>
        </is>
      </c>
      <c r="B2310" s="4108" t="inlineStr">
        <is>
          <t>139000</t>
        </is>
      </c>
      <c r="C2310" s="4108" t="inlineStr">
        <is>
          <t>135792468</t>
        </is>
      </c>
      <c r="D2310" s="4108" t="inlineStr">
        <is>
          <t>202009</t>
        </is>
      </c>
      <c r="E2310" s="4108" t="inlineStr">
        <is>
          <t>0,000000000000</t>
        </is>
      </c>
    </row>
    <row outlineLevel="0" r="2311">
      <c r="A2311" s="4108" t="inlineStr">
        <is>
          <t>135792468202009139001</t>
        </is>
      </c>
      <c r="B2311" s="4108" t="inlineStr">
        <is>
          <t>139001</t>
        </is>
      </c>
      <c r="C2311" s="4108" t="inlineStr">
        <is>
          <t>135792468</t>
        </is>
      </c>
      <c r="D2311" s="4108" t="inlineStr">
        <is>
          <t>202009</t>
        </is>
      </c>
      <c r="E2311" s="4108" t="inlineStr">
        <is>
          <t>18,000000000000</t>
        </is>
      </c>
    </row>
    <row outlineLevel="0" r="2312">
      <c r="A2312" s="4108" t="inlineStr">
        <is>
          <t>135792468202009139500</t>
        </is>
      </c>
      <c r="B2312" s="4108" t="inlineStr">
        <is>
          <t>139500</t>
        </is>
      </c>
      <c r="C2312" s="4108" t="inlineStr">
        <is>
          <t>135792468</t>
        </is>
      </c>
      <c r="D2312" s="4108" t="inlineStr">
        <is>
          <t>202009</t>
        </is>
      </c>
      <c r="E2312" s="4108" t="inlineStr">
        <is>
          <t>0,000000000000</t>
        </is>
      </c>
    </row>
    <row outlineLevel="0" r="2313">
      <c r="A2313" s="4108" t="inlineStr">
        <is>
          <t>135792468202009139905</t>
        </is>
      </c>
      <c r="B2313" s="4108" t="inlineStr">
        <is>
          <t>139905</t>
        </is>
      </c>
      <c r="C2313" s="4108" t="inlineStr">
        <is>
          <t>135792468</t>
        </is>
      </c>
      <c r="D2313" s="4108" t="inlineStr">
        <is>
          <t>202009</t>
        </is>
      </c>
      <c r="E2313" s="4108" t="inlineStr">
        <is>
          <t>0,000000000000</t>
        </is>
      </c>
    </row>
    <row outlineLevel="0" r="2314">
      <c r="A2314" s="4108" t="inlineStr">
        <is>
          <t>135792468202009139901</t>
        </is>
      </c>
      <c r="B2314" s="4108" t="inlineStr">
        <is>
          <t>139901</t>
        </is>
      </c>
      <c r="C2314" s="4108" t="inlineStr">
        <is>
          <t>135792468</t>
        </is>
      </c>
      <c r="D2314" s="4108" t="inlineStr">
        <is>
          <t>202009</t>
        </is>
      </c>
      <c r="E2314" s="4108" t="inlineStr">
        <is>
          <t>20,000000000000</t>
        </is>
      </c>
    </row>
    <row outlineLevel="0" r="2315">
      <c r="A2315" s="4108" t="inlineStr">
        <is>
          <t>135792468202009140005</t>
        </is>
      </c>
      <c r="B2315" s="4108" t="inlineStr">
        <is>
          <t>140005</t>
        </is>
      </c>
      <c r="C2315" s="4108" t="inlineStr">
        <is>
          <t>135792468</t>
        </is>
      </c>
      <c r="D2315" s="4108" t="inlineStr">
        <is>
          <t>202009</t>
        </is>
      </c>
      <c r="E2315" s="4108" t="inlineStr">
        <is>
          <t>30,000000000000</t>
        </is>
      </c>
    </row>
    <row outlineLevel="0" r="2316">
      <c r="A2316" s="4108" t="inlineStr">
        <is>
          <t>135792468202009140010</t>
        </is>
      </c>
      <c r="B2316" s="4108" t="inlineStr">
        <is>
          <t>140010</t>
        </is>
      </c>
      <c r="C2316" s="4108" t="inlineStr">
        <is>
          <t>135792468</t>
        </is>
      </c>
      <c r="D2316" s="4108" t="inlineStr">
        <is>
          <t>202009</t>
        </is>
      </c>
      <c r="E2316" s="4108" t="inlineStr">
        <is>
          <t>16,000000000000</t>
        </is>
      </c>
    </row>
    <row outlineLevel="0" r="2317">
      <c r="A2317" s="4108" t="inlineStr">
        <is>
          <t>135792468202009142500</t>
        </is>
      </c>
      <c r="B2317" s="4108" t="inlineStr">
        <is>
          <t>142500</t>
        </is>
      </c>
      <c r="C2317" s="4108" t="inlineStr">
        <is>
          <t>135792468</t>
        </is>
      </c>
      <c r="D2317" s="4108" t="inlineStr">
        <is>
          <t>202009</t>
        </is>
      </c>
      <c r="E2317" s="4108" t="inlineStr">
        <is>
          <t>3,000000000000</t>
        </is>
      </c>
    </row>
    <row outlineLevel="0" r="2318">
      <c r="A2318" s="4108" t="inlineStr">
        <is>
          <t>135792468202009143500</t>
        </is>
      </c>
      <c r="B2318" s="4108" t="inlineStr">
        <is>
          <t>143500</t>
        </is>
      </c>
      <c r="C2318" s="4108" t="inlineStr">
        <is>
          <t>135792468</t>
        </is>
      </c>
      <c r="D2318" s="4108" t="inlineStr">
        <is>
          <t>202009</t>
        </is>
      </c>
      <c r="E2318" s="4108" t="inlineStr">
        <is>
          <t>5,000000000000</t>
        </is>
      </c>
    </row>
    <row outlineLevel="0" r="2319">
      <c r="A2319" s="4108" t="inlineStr">
        <is>
          <t>135792468202009145500</t>
        </is>
      </c>
      <c r="B2319" s="4108" t="inlineStr">
        <is>
          <t>145500</t>
        </is>
      </c>
      <c r="C2319" s="4108" t="inlineStr">
        <is>
          <t>135792468</t>
        </is>
      </c>
      <c r="D2319" s="4108" t="inlineStr">
        <is>
          <t>202009</t>
        </is>
      </c>
      <c r="E2319" s="4108" t="inlineStr">
        <is>
          <t>1,000000000000</t>
        </is>
      </c>
    </row>
    <row outlineLevel="0" r="2320">
      <c r="A2320" s="4108" t="inlineStr">
        <is>
          <t>135792468202009146000</t>
        </is>
      </c>
      <c r="B2320" s="4108" t="inlineStr">
        <is>
          <t>146000</t>
        </is>
      </c>
      <c r="C2320" s="4108" t="inlineStr">
        <is>
          <t>135792468</t>
        </is>
      </c>
      <c r="D2320" s="4108" t="inlineStr">
        <is>
          <t>202009</t>
        </is>
      </c>
      <c r="E2320" s="4108" t="inlineStr">
        <is>
          <t>2,000000000000</t>
        </is>
      </c>
    </row>
    <row outlineLevel="0" r="2321">
      <c r="A2321" s="4108" t="inlineStr">
        <is>
          <t>135792468202009149900</t>
        </is>
      </c>
      <c r="B2321" s="4108" t="inlineStr">
        <is>
          <t>149900</t>
        </is>
      </c>
      <c r="C2321" s="4108" t="inlineStr">
        <is>
          <t>135792468</t>
        </is>
      </c>
      <c r="D2321" s="4108" t="inlineStr">
        <is>
          <t>202009</t>
        </is>
      </c>
      <c r="E2321" s="4108" t="inlineStr">
        <is>
          <t>5,000000000000</t>
        </is>
      </c>
    </row>
    <row outlineLevel="0" r="2322">
      <c r="A2322" s="4108" t="inlineStr">
        <is>
          <t>135792468202009149510</t>
        </is>
      </c>
      <c r="B2322" s="4108" t="inlineStr">
        <is>
          <t>149510</t>
        </is>
      </c>
      <c r="C2322" s="4108" t="inlineStr">
        <is>
          <t>135792468</t>
        </is>
      </c>
      <c r="D2322" s="4108" t="inlineStr">
        <is>
          <t>202009</t>
        </is>
      </c>
      <c r="E2322" s="4108" t="inlineStr">
        <is>
          <t>3,000000000000</t>
        </is>
      </c>
    </row>
    <row outlineLevel="0" r="2323">
      <c r="A2323" s="4108" t="inlineStr">
        <is>
          <t>135792468202009149901</t>
        </is>
      </c>
      <c r="B2323" s="4108" t="inlineStr">
        <is>
          <t>149901</t>
        </is>
      </c>
      <c r="C2323" s="4108" t="inlineStr">
        <is>
          <t>135792468</t>
        </is>
      </c>
      <c r="D2323" s="4108" t="inlineStr">
        <is>
          <t>202009</t>
        </is>
      </c>
      <c r="E2323" s="4108" t="inlineStr">
        <is>
          <t>4,000000000000</t>
        </is>
      </c>
    </row>
    <row outlineLevel="0" r="2324">
      <c r="A2324" s="4108" t="inlineStr">
        <is>
          <t>135792468202009149902</t>
        </is>
      </c>
      <c r="B2324" s="4108" t="inlineStr">
        <is>
          <t>149902</t>
        </is>
      </c>
      <c r="C2324" s="4108" t="inlineStr">
        <is>
          <t>135792468</t>
        </is>
      </c>
      <c r="D2324" s="4108" t="inlineStr">
        <is>
          <t>202009</t>
        </is>
      </c>
      <c r="E2324" s="4108" t="inlineStr">
        <is>
          <t>5,000000000000</t>
        </is>
      </c>
    </row>
    <row outlineLevel="0" r="2325">
      <c r="A2325" s="4108" t="inlineStr">
        <is>
          <t>135792468202009149910</t>
        </is>
      </c>
      <c r="B2325" s="4108" t="inlineStr">
        <is>
          <t>149910</t>
        </is>
      </c>
      <c r="C2325" s="4108" t="inlineStr">
        <is>
          <t>135792468</t>
        </is>
      </c>
      <c r="D2325" s="4108" t="inlineStr">
        <is>
          <t>202009</t>
        </is>
      </c>
      <c r="E2325" s="4108" t="inlineStr">
        <is>
          <t>1,000000000000</t>
        </is>
      </c>
    </row>
    <row outlineLevel="0" r="2326">
      <c r="A2326" s="4108" t="inlineStr">
        <is>
          <t>135792468202009151201</t>
        </is>
      </c>
      <c r="B2326" s="4108" t="inlineStr">
        <is>
          <t>151201</t>
        </is>
      </c>
      <c r="C2326" s="4108" t="inlineStr">
        <is>
          <t>135792468</t>
        </is>
      </c>
      <c r="D2326" s="4108" t="inlineStr">
        <is>
          <t>202009</t>
        </is>
      </c>
      <c r="E2326" s="4108" t="inlineStr">
        <is>
          <t>3,000000000000</t>
        </is>
      </c>
    </row>
    <row outlineLevel="0" r="2327">
      <c r="A2327" s="4108" t="inlineStr">
        <is>
          <t>135792468202009155601</t>
        </is>
      </c>
      <c r="B2327" s="4108" t="inlineStr">
        <is>
          <t>155601</t>
        </is>
      </c>
      <c r="C2327" s="4108" t="inlineStr">
        <is>
          <t>135792468</t>
        </is>
      </c>
      <c r="D2327" s="4108" t="inlineStr">
        <is>
          <t>202009</t>
        </is>
      </c>
      <c r="E2327" s="4108" t="inlineStr">
        <is>
          <t>9,000000000000</t>
        </is>
      </c>
    </row>
    <row outlineLevel="0" r="2328">
      <c r="A2328" s="4108" t="inlineStr">
        <is>
          <t>135792468202009156001</t>
        </is>
      </c>
      <c r="B2328" s="4108" t="inlineStr">
        <is>
          <t>156001</t>
        </is>
      </c>
      <c r="C2328" s="4108" t="inlineStr">
        <is>
          <t>135792468</t>
        </is>
      </c>
      <c r="D2328" s="4108" t="inlineStr">
        <is>
          <t>202009</t>
        </is>
      </c>
      <c r="E2328" s="4108" t="inlineStr">
        <is>
          <t>10,000000000000</t>
        </is>
      </c>
    </row>
    <row outlineLevel="0" r="2329">
      <c r="A2329" s="4108" t="inlineStr">
        <is>
          <t>135792468202009157201</t>
        </is>
      </c>
      <c r="B2329" s="4108" t="inlineStr">
        <is>
          <t>157201</t>
        </is>
      </c>
      <c r="C2329" s="4108" t="inlineStr">
        <is>
          <t>135792468</t>
        </is>
      </c>
      <c r="D2329" s="4108" t="inlineStr">
        <is>
          <t>202009</t>
        </is>
      </c>
      <c r="E2329" s="4108" t="inlineStr">
        <is>
          <t>12,000000000000</t>
        </is>
      </c>
    </row>
    <row outlineLevel="0" r="2330">
      <c r="A2330" s="4108" t="inlineStr">
        <is>
          <t>135792468202009156401</t>
        </is>
      </c>
      <c r="B2330" s="4108" t="inlineStr">
        <is>
          <t>156401</t>
        </is>
      </c>
      <c r="C2330" s="4108" t="inlineStr">
        <is>
          <t>135792468</t>
        </is>
      </c>
      <c r="D2330" s="4108" t="inlineStr">
        <is>
          <t>202009</t>
        </is>
      </c>
      <c r="E2330" s="4108" t="inlineStr">
        <is>
          <t>11,000000000000</t>
        </is>
      </c>
    </row>
    <row outlineLevel="0" r="2331">
      <c r="A2331" s="4108" t="inlineStr">
        <is>
          <t>135792468202009157601</t>
        </is>
      </c>
      <c r="B2331" s="4108" t="inlineStr">
        <is>
          <t>157601</t>
        </is>
      </c>
      <c r="C2331" s="4108" t="inlineStr">
        <is>
          <t>135792468</t>
        </is>
      </c>
      <c r="D2331" s="4108" t="inlineStr">
        <is>
          <t>202009</t>
        </is>
      </c>
      <c r="E2331" s="4108" t="inlineStr">
        <is>
          <t>13,000000000000</t>
        </is>
      </c>
    </row>
    <row outlineLevel="0" r="2332">
      <c r="A2332" s="4108" t="inlineStr">
        <is>
          <t>135792468202009158401</t>
        </is>
      </c>
      <c r="B2332" s="4108" t="inlineStr">
        <is>
          <t>158401</t>
        </is>
      </c>
      <c r="C2332" s="4108" t="inlineStr">
        <is>
          <t>135792468</t>
        </is>
      </c>
      <c r="D2332" s="4108" t="inlineStr">
        <is>
          <t>202009</t>
        </is>
      </c>
      <c r="E2332" s="4108" t="inlineStr">
        <is>
          <t>14,000000000000</t>
        </is>
      </c>
    </row>
    <row outlineLevel="0" r="2333">
      <c r="A2333" s="4108" t="inlineStr">
        <is>
          <t>135792468202009158801</t>
        </is>
      </c>
      <c r="B2333" s="4108" t="inlineStr">
        <is>
          <t>158801</t>
        </is>
      </c>
      <c r="C2333" s="4108" t="inlineStr">
        <is>
          <t>135792468</t>
        </is>
      </c>
      <c r="D2333" s="4108" t="inlineStr">
        <is>
          <t>202009</t>
        </is>
      </c>
      <c r="E2333" s="4108" t="inlineStr">
        <is>
          <t>15,000000000000</t>
        </is>
      </c>
    </row>
    <row outlineLevel="0" r="2334">
      <c r="A2334" s="4108" t="inlineStr">
        <is>
          <t>135792468202009159701</t>
        </is>
      </c>
      <c r="B2334" s="4108" t="inlineStr">
        <is>
          <t>159701</t>
        </is>
      </c>
      <c r="C2334" s="4108" t="inlineStr">
        <is>
          <t>135792468</t>
        </is>
      </c>
      <c r="D2334" s="4108" t="inlineStr">
        <is>
          <t>202009</t>
        </is>
      </c>
      <c r="E2334" s="4108" t="inlineStr">
        <is>
          <t>18,000000000000</t>
        </is>
      </c>
    </row>
    <row outlineLevel="0" r="2335">
      <c r="A2335" s="4108" t="inlineStr">
        <is>
          <t>135792468202009159899</t>
        </is>
      </c>
      <c r="B2335" s="4108" t="inlineStr">
        <is>
          <t>159899</t>
        </is>
      </c>
      <c r="C2335" s="4108" t="inlineStr">
        <is>
          <t>135792468</t>
        </is>
      </c>
      <c r="D2335" s="4108" t="inlineStr">
        <is>
          <t>202009</t>
        </is>
      </c>
      <c r="E2335" s="4108" t="inlineStr">
        <is>
          <t>19,000000000000</t>
        </is>
      </c>
    </row>
    <row outlineLevel="0" r="2336">
      <c r="A2336" s="4108" t="inlineStr">
        <is>
          <t>135792468202009159901</t>
        </is>
      </c>
      <c r="B2336" s="4108" t="inlineStr">
        <is>
          <t>159901</t>
        </is>
      </c>
      <c r="C2336" s="4108" t="inlineStr">
        <is>
          <t>135792468</t>
        </is>
      </c>
      <c r="D2336" s="4108" t="inlineStr">
        <is>
          <t>202009</t>
        </is>
      </c>
      <c r="E2336" s="4108" t="inlineStr">
        <is>
          <t>20,000000000000</t>
        </is>
      </c>
    </row>
    <row outlineLevel="0" r="2337">
      <c r="A2337" s="4108" t="inlineStr">
        <is>
          <t>135792468202009161001</t>
        </is>
      </c>
      <c r="B2337" s="4108" t="inlineStr">
        <is>
          <t>161001</t>
        </is>
      </c>
      <c r="C2337" s="4108" t="inlineStr">
        <is>
          <t>135792468</t>
        </is>
      </c>
      <c r="D2337" s="4108" t="inlineStr">
        <is>
          <t>202009</t>
        </is>
      </c>
      <c r="E2337" s="4108" t="inlineStr">
        <is>
          <t>2,000000000000</t>
        </is>
      </c>
    </row>
    <row outlineLevel="0" r="2338">
      <c r="A2338" s="4108" t="inlineStr">
        <is>
          <t>135792468202009160501</t>
        </is>
      </c>
      <c r="B2338" s="4108" t="inlineStr">
        <is>
          <t>160501</t>
        </is>
      </c>
      <c r="C2338" s="4108" t="inlineStr">
        <is>
          <t>135792468</t>
        </is>
      </c>
      <c r="D2338" s="4108" t="inlineStr">
        <is>
          <t>202009</t>
        </is>
      </c>
      <c r="E2338" s="4108" t="inlineStr">
        <is>
          <t>1,000000000000</t>
        </is>
      </c>
    </row>
    <row outlineLevel="0" r="2339">
      <c r="A2339" s="4108" t="inlineStr">
        <is>
          <t>135792468202009163001</t>
        </is>
      </c>
      <c r="B2339" s="4108" t="inlineStr">
        <is>
          <t>163001</t>
        </is>
      </c>
      <c r="C2339" s="4108" t="inlineStr">
        <is>
          <t>135792468</t>
        </is>
      </c>
      <c r="D2339" s="4108" t="inlineStr">
        <is>
          <t>202009</t>
        </is>
      </c>
      <c r="E2339" s="4108" t="inlineStr">
        <is>
          <t>3,000000000000</t>
        </is>
      </c>
    </row>
    <row outlineLevel="0" r="2340">
      <c r="A2340" s="4108" t="inlineStr">
        <is>
          <t>135792468202009164001</t>
        </is>
      </c>
      <c r="B2340" s="4108" t="inlineStr">
        <is>
          <t>164001</t>
        </is>
      </c>
      <c r="C2340" s="4108" t="inlineStr">
        <is>
          <t>135792468</t>
        </is>
      </c>
      <c r="D2340" s="4108" t="inlineStr">
        <is>
          <t>202009</t>
        </is>
      </c>
      <c r="E2340" s="4108" t="inlineStr">
        <is>
          <t>4,000000000000</t>
        </is>
      </c>
    </row>
    <row outlineLevel="0" r="2341">
      <c r="A2341" s="4108" t="inlineStr">
        <is>
          <t>135792468202009169899</t>
        </is>
      </c>
      <c r="B2341" s="4108" t="inlineStr">
        <is>
          <t>169899</t>
        </is>
      </c>
      <c r="C2341" s="4108" t="inlineStr">
        <is>
          <t>135792468</t>
        </is>
      </c>
      <c r="D2341" s="4108" t="inlineStr">
        <is>
          <t>202009</t>
        </is>
      </c>
      <c r="E2341" s="4108" t="inlineStr">
        <is>
          <t>6,000000000000</t>
        </is>
      </c>
    </row>
    <row outlineLevel="0" r="2342">
      <c r="A2342" s="4108" t="inlineStr">
        <is>
          <t>135792468202009169901</t>
        </is>
      </c>
      <c r="B2342" s="4108" t="inlineStr">
        <is>
          <t>169901</t>
        </is>
      </c>
      <c r="C2342" s="4108" t="inlineStr">
        <is>
          <t>135792468</t>
        </is>
      </c>
      <c r="D2342" s="4108" t="inlineStr">
        <is>
          <t>202009</t>
        </is>
      </c>
      <c r="E2342" s="4108" t="inlineStr">
        <is>
          <t>1,000000000000</t>
        </is>
      </c>
    </row>
    <row outlineLevel="0" r="2343">
      <c r="A2343" s="4108" t="inlineStr">
        <is>
          <t>135792468202009170500</t>
        </is>
      </c>
      <c r="B2343" s="4108" t="inlineStr">
        <is>
          <t>170500</t>
        </is>
      </c>
      <c r="C2343" s="4108" t="inlineStr">
        <is>
          <t>135792468</t>
        </is>
      </c>
      <c r="D2343" s="4108" t="inlineStr">
        <is>
          <t>202009</t>
        </is>
      </c>
      <c r="E2343" s="4108" t="inlineStr">
        <is>
          <t>1,000000000000</t>
        </is>
      </c>
    </row>
    <row outlineLevel="0" r="2344">
      <c r="A2344" s="4108" t="inlineStr">
        <is>
          <t>135792468202009171000</t>
        </is>
      </c>
      <c r="B2344" s="4108" t="inlineStr">
        <is>
          <t>171000</t>
        </is>
      </c>
      <c r="C2344" s="4108" t="inlineStr">
        <is>
          <t>135792468</t>
        </is>
      </c>
      <c r="D2344" s="4108" t="inlineStr">
        <is>
          <t>202009</t>
        </is>
      </c>
      <c r="E2344" s="4108" t="inlineStr">
        <is>
          <t>2,000000000000</t>
        </is>
      </c>
    </row>
    <row outlineLevel="0" r="2345">
      <c r="A2345" s="4108" t="inlineStr">
        <is>
          <t>135792468202009173001</t>
        </is>
      </c>
      <c r="B2345" s="4108" t="inlineStr">
        <is>
          <t>173001</t>
        </is>
      </c>
      <c r="C2345" s="4108" t="inlineStr">
        <is>
          <t>135792468</t>
        </is>
      </c>
      <c r="D2345" s="4108" t="inlineStr">
        <is>
          <t>202009</t>
        </is>
      </c>
      <c r="E2345" s="4108" t="inlineStr">
        <is>
          <t>3,000000000000</t>
        </is>
      </c>
    </row>
    <row outlineLevel="0" r="2346">
      <c r="A2346" s="4108" t="inlineStr">
        <is>
          <t>135792468202009173000</t>
        </is>
      </c>
      <c r="B2346" s="4108" t="inlineStr">
        <is>
          <t>173000</t>
        </is>
      </c>
      <c r="C2346" s="4108" t="inlineStr">
        <is>
          <t>135792468</t>
        </is>
      </c>
      <c r="D2346" s="4108" t="inlineStr">
        <is>
          <t>202009</t>
        </is>
      </c>
      <c r="E2346" s="4108" t="inlineStr">
        <is>
          <t>3,000000000000</t>
        </is>
      </c>
    </row>
    <row outlineLevel="0" r="2347">
      <c r="A2347" s="4108" t="inlineStr">
        <is>
          <t>135792468202009179500</t>
        </is>
      </c>
      <c r="B2347" s="4108" t="inlineStr">
        <is>
          <t>179500</t>
        </is>
      </c>
      <c r="C2347" s="4108" t="inlineStr">
        <is>
          <t>135792468</t>
        </is>
      </c>
      <c r="D2347" s="4108" t="inlineStr">
        <is>
          <t>202009</t>
        </is>
      </c>
      <c r="E2347" s="4108" t="inlineStr">
        <is>
          <t>4,000000000000</t>
        </is>
      </c>
    </row>
    <row outlineLevel="0" r="2348">
      <c r="A2348" s="4108" t="inlineStr">
        <is>
          <t>135792468202009179700</t>
        </is>
      </c>
      <c r="B2348" s="4108" t="inlineStr">
        <is>
          <t>179700</t>
        </is>
      </c>
      <c r="C2348" s="4108" t="inlineStr">
        <is>
          <t>135792468</t>
        </is>
      </c>
      <c r="D2348" s="4108" t="inlineStr">
        <is>
          <t>202009</t>
        </is>
      </c>
      <c r="E2348" s="4108" t="inlineStr">
        <is>
          <t>5,000000000000</t>
        </is>
      </c>
    </row>
    <row outlineLevel="0" r="2349">
      <c r="A2349" s="4108" t="inlineStr">
        <is>
          <t>135792468202009179701</t>
        </is>
      </c>
      <c r="B2349" s="4108" t="inlineStr">
        <is>
          <t>179701</t>
        </is>
      </c>
      <c r="C2349" s="4108" t="inlineStr">
        <is>
          <t>135792468</t>
        </is>
      </c>
      <c r="D2349" s="4108" t="inlineStr">
        <is>
          <t>202009</t>
        </is>
      </c>
      <c r="E2349" s="4108" t="inlineStr">
        <is>
          <t>5,000000000000</t>
        </is>
      </c>
    </row>
    <row outlineLevel="0" r="2350">
      <c r="A2350" s="4108" t="inlineStr">
        <is>
          <t>135792468202009179801</t>
        </is>
      </c>
      <c r="B2350" s="4108" t="inlineStr">
        <is>
          <t>179801</t>
        </is>
      </c>
      <c r="C2350" s="4108" t="inlineStr">
        <is>
          <t>135792468</t>
        </is>
      </c>
      <c r="D2350" s="4108" t="inlineStr">
        <is>
          <t>202009</t>
        </is>
      </c>
      <c r="E2350" s="4108" t="inlineStr">
        <is>
          <t>6,000000000000</t>
        </is>
      </c>
    </row>
    <row outlineLevel="0" r="2351">
      <c r="A2351" s="4108" t="inlineStr">
        <is>
          <t>135792468202009180000</t>
        </is>
      </c>
      <c r="B2351" s="4108" t="inlineStr">
        <is>
          <t>180000</t>
        </is>
      </c>
      <c r="C2351" s="4108" t="inlineStr">
        <is>
          <t>135792468</t>
        </is>
      </c>
      <c r="D2351" s="4108" t="inlineStr">
        <is>
          <t>202009</t>
        </is>
      </c>
      <c r="E2351" s="4108" t="inlineStr">
        <is>
          <t>0,000000000000</t>
        </is>
      </c>
    </row>
    <row outlineLevel="0" r="2352">
      <c r="A2352" s="4108" t="inlineStr">
        <is>
          <t>135792468202009180501</t>
        </is>
      </c>
      <c r="B2352" s="4108" t="inlineStr">
        <is>
          <t>180501</t>
        </is>
      </c>
      <c r="C2352" s="4108" t="inlineStr">
        <is>
          <t>135792468</t>
        </is>
      </c>
      <c r="D2352" s="4108" t="inlineStr">
        <is>
          <t>202009</t>
        </is>
      </c>
      <c r="E2352" s="4108" t="inlineStr">
        <is>
          <t>1,000000000000</t>
        </is>
      </c>
    </row>
    <row outlineLevel="0" r="2353">
      <c r="A2353" s="4108" t="inlineStr">
        <is>
          <t>135792468202009189500</t>
        </is>
      </c>
      <c r="B2353" s="4108" t="inlineStr">
        <is>
          <t>189500</t>
        </is>
      </c>
      <c r="C2353" s="4108" t="inlineStr">
        <is>
          <t>135792468</t>
        </is>
      </c>
      <c r="D2353" s="4108" t="inlineStr">
        <is>
          <t>202009</t>
        </is>
      </c>
      <c r="E2353" s="4108" t="inlineStr">
        <is>
          <t>0,000000000000</t>
        </is>
      </c>
    </row>
    <row outlineLevel="0" r="2354">
      <c r="A2354" s="4108" t="inlineStr">
        <is>
          <t>135792468202009181000</t>
        </is>
      </c>
      <c r="B2354" s="4108" t="inlineStr">
        <is>
          <t>181000</t>
        </is>
      </c>
      <c r="C2354" s="4108" t="inlineStr">
        <is>
          <t>135792468</t>
        </is>
      </c>
      <c r="D2354" s="4108" t="inlineStr">
        <is>
          <t>202009</t>
        </is>
      </c>
      <c r="E2354" s="4108" t="inlineStr">
        <is>
          <t>0,000000000000</t>
        </is>
      </c>
    </row>
    <row outlineLevel="0" r="2355">
      <c r="A2355" s="4108" t="inlineStr">
        <is>
          <t>135792468202009189501</t>
        </is>
      </c>
      <c r="B2355" s="4108" t="inlineStr">
        <is>
          <t>189501</t>
        </is>
      </c>
      <c r="C2355" s="4108" t="inlineStr">
        <is>
          <t>135792468</t>
        </is>
      </c>
      <c r="D2355" s="4108" t="inlineStr">
        <is>
          <t>202009</t>
        </is>
      </c>
      <c r="E2355" s="4108" t="inlineStr">
        <is>
          <t>2,000000000000</t>
        </is>
      </c>
    </row>
    <row outlineLevel="0" r="2356">
      <c r="A2356" s="4108" t="inlineStr">
        <is>
          <t>135792468202009189520</t>
        </is>
      </c>
      <c r="B2356" s="4108" t="inlineStr">
        <is>
          <t>189520</t>
        </is>
      </c>
      <c r="C2356" s="4108" t="inlineStr">
        <is>
          <t>135792468</t>
        </is>
      </c>
      <c r="D2356" s="4108" t="inlineStr">
        <is>
          <t>202009</t>
        </is>
      </c>
      <c r="E2356" s="4108" t="inlineStr">
        <is>
          <t>3,000000000000</t>
        </is>
      </c>
    </row>
    <row outlineLevel="0" r="2357">
      <c r="A2357" s="4108" t="inlineStr">
        <is>
          <t>135792468202009189701</t>
        </is>
      </c>
      <c r="B2357" s="4108" t="inlineStr">
        <is>
          <t>189701</t>
        </is>
      </c>
      <c r="C2357" s="4108" t="inlineStr">
        <is>
          <t>135792468</t>
        </is>
      </c>
      <c r="D2357" s="4108" t="inlineStr">
        <is>
          <t>202009</t>
        </is>
      </c>
      <c r="E2357" s="4108" t="inlineStr">
        <is>
          <t>4,000000000000</t>
        </is>
      </c>
    </row>
    <row outlineLevel="0" r="2358">
      <c r="A2358" s="4108" t="inlineStr">
        <is>
          <t>135792468202009189901</t>
        </is>
      </c>
      <c r="B2358" s="4108" t="inlineStr">
        <is>
          <t>189901</t>
        </is>
      </c>
      <c r="C2358" s="4108" t="inlineStr">
        <is>
          <t>135792468</t>
        </is>
      </c>
      <c r="D2358" s="4108" t="inlineStr">
        <is>
          <t>202009</t>
        </is>
      </c>
      <c r="E2358" s="4108" t="inlineStr">
        <is>
          <t>5,000000000000</t>
        </is>
      </c>
    </row>
    <row outlineLevel="0" r="2359">
      <c r="A2359" s="4108" t="inlineStr">
        <is>
          <t>135792468202009190000</t>
        </is>
      </c>
      <c r="B2359" s="4108" t="inlineStr">
        <is>
          <t>190000</t>
        </is>
      </c>
      <c r="C2359" s="4108" t="inlineStr">
        <is>
          <t>135792468</t>
        </is>
      </c>
      <c r="D2359" s="4108" t="inlineStr">
        <is>
          <t>202009</t>
        </is>
      </c>
      <c r="E2359" s="4108" t="inlineStr">
        <is>
          <t>0,000000000000</t>
        </is>
      </c>
    </row>
    <row outlineLevel="0" r="2360">
      <c r="A2360" s="4108" t="inlineStr">
        <is>
          <t>135792468202009190501</t>
        </is>
      </c>
      <c r="B2360" s="4108" t="inlineStr">
        <is>
          <t>190501</t>
        </is>
      </c>
      <c r="C2360" s="4108" t="inlineStr">
        <is>
          <t>135792468</t>
        </is>
      </c>
      <c r="D2360" s="4108" t="inlineStr">
        <is>
          <t>202009</t>
        </is>
      </c>
      <c r="E2360" s="4108" t="inlineStr">
        <is>
          <t>1,000000000000</t>
        </is>
      </c>
    </row>
    <row outlineLevel="0" r="2361">
      <c r="A2361" s="4108" t="inlineStr">
        <is>
          <t>135792468202009199501</t>
        </is>
      </c>
      <c r="B2361" s="4108" t="inlineStr">
        <is>
          <t>199501</t>
        </is>
      </c>
      <c r="C2361" s="4108" t="inlineStr">
        <is>
          <t>135792468</t>
        </is>
      </c>
      <c r="D2361" s="4108" t="inlineStr">
        <is>
          <t>202009</t>
        </is>
      </c>
      <c r="E2361" s="4108" t="inlineStr">
        <is>
          <t>3,000000000000</t>
        </is>
      </c>
    </row>
    <row outlineLevel="0" r="2362">
      <c r="A2362" s="4108" t="inlineStr">
        <is>
          <t>135792468202009191001</t>
        </is>
      </c>
      <c r="B2362" s="4108" t="inlineStr">
        <is>
          <t>191001</t>
        </is>
      </c>
      <c r="C2362" s="4108" t="inlineStr">
        <is>
          <t>135792468</t>
        </is>
      </c>
      <c r="D2362" s="4108" t="inlineStr">
        <is>
          <t>202009</t>
        </is>
      </c>
      <c r="E2362" s="4108" t="inlineStr">
        <is>
          <t>2,000000000000</t>
        </is>
      </c>
    </row>
    <row outlineLevel="0" r="2363">
      <c r="A2363" s="4108" t="inlineStr">
        <is>
          <t>135792468202009210500</t>
        </is>
      </c>
      <c r="B2363" s="4108" t="inlineStr">
        <is>
          <t>210500</t>
        </is>
      </c>
      <c r="C2363" s="4108" t="inlineStr">
        <is>
          <t>135792468</t>
        </is>
      </c>
      <c r="D2363" s="4108" t="inlineStr">
        <is>
          <t>202009</t>
        </is>
      </c>
      <c r="E2363" s="4108" t="inlineStr">
        <is>
          <t>1,000000000000</t>
        </is>
      </c>
    </row>
    <row outlineLevel="0" r="2364">
      <c r="A2364" s="4108" t="inlineStr">
        <is>
          <t>135792468202009210501</t>
        </is>
      </c>
      <c r="B2364" s="4108" t="inlineStr">
        <is>
          <t>210501</t>
        </is>
      </c>
      <c r="C2364" s="4108" t="inlineStr">
        <is>
          <t>135792468</t>
        </is>
      </c>
      <c r="D2364" s="4108" t="inlineStr">
        <is>
          <t>202009</t>
        </is>
      </c>
      <c r="E2364" s="4108" t="inlineStr">
        <is>
          <t>1,000000000000</t>
        </is>
      </c>
    </row>
    <row outlineLevel="0" r="2365">
      <c r="A2365" s="4108" t="inlineStr">
        <is>
          <t>135792468202009211001</t>
        </is>
      </c>
      <c r="B2365" s="4108" t="inlineStr">
        <is>
          <t>211001</t>
        </is>
      </c>
      <c r="C2365" s="4108" t="inlineStr">
        <is>
          <t>135792468</t>
        </is>
      </c>
      <c r="D2365" s="4108" t="inlineStr">
        <is>
          <t>202009</t>
        </is>
      </c>
      <c r="E2365" s="4108" t="inlineStr">
        <is>
          <t>2,000000000000</t>
        </is>
      </c>
    </row>
    <row outlineLevel="0" r="2366">
      <c r="A2366" s="4108" t="inlineStr">
        <is>
          <t>135792468202009211500</t>
        </is>
      </c>
      <c r="B2366" s="4108" t="inlineStr">
        <is>
          <t>211500</t>
        </is>
      </c>
      <c r="C2366" s="4108" t="inlineStr">
        <is>
          <t>135792468</t>
        </is>
      </c>
      <c r="D2366" s="4108" t="inlineStr">
        <is>
          <t>202009</t>
        </is>
      </c>
      <c r="E2366" s="4108" t="inlineStr">
        <is>
          <t>2,000000000000</t>
        </is>
      </c>
    </row>
    <row outlineLevel="0" r="2367">
      <c r="A2367" s="4108" t="inlineStr">
        <is>
          <t>135792468202009219500</t>
        </is>
      </c>
      <c r="B2367" s="4108" t="inlineStr">
        <is>
          <t>219500</t>
        </is>
      </c>
      <c r="C2367" s="4108" t="inlineStr">
        <is>
          <t>135792468</t>
        </is>
      </c>
      <c r="D2367" s="4108" t="inlineStr">
        <is>
          <t>202009</t>
        </is>
      </c>
      <c r="E2367" s="4108" t="inlineStr">
        <is>
          <t>3,000000000000</t>
        </is>
      </c>
    </row>
    <row outlineLevel="0" r="2368">
      <c r="A2368" s="4108" t="inlineStr">
        <is>
          <t>135792468202009220500</t>
        </is>
      </c>
      <c r="B2368" s="4108" t="inlineStr">
        <is>
          <t>220500</t>
        </is>
      </c>
      <c r="C2368" s="4108" t="inlineStr">
        <is>
          <t>135792468</t>
        </is>
      </c>
      <c r="D2368" s="4108" t="inlineStr">
        <is>
          <t>202009</t>
        </is>
      </c>
      <c r="E2368" s="4108" t="inlineStr">
        <is>
          <t>1,000000000000</t>
        </is>
      </c>
    </row>
    <row outlineLevel="0" r="2369">
      <c r="A2369" s="4108" t="inlineStr">
        <is>
          <t>135792468202009221000</t>
        </is>
      </c>
      <c r="B2369" s="4108" t="inlineStr">
        <is>
          <t>221000</t>
        </is>
      </c>
      <c r="C2369" s="4108" t="inlineStr">
        <is>
          <t>135792468</t>
        </is>
      </c>
      <c r="D2369" s="4108" t="inlineStr">
        <is>
          <t>202009</t>
        </is>
      </c>
      <c r="E2369" s="4108" t="inlineStr">
        <is>
          <t>2,000000000000</t>
        </is>
      </c>
    </row>
    <row outlineLevel="0" r="2370">
      <c r="A2370" s="4108" t="inlineStr">
        <is>
          <t>135792468202009220501</t>
        </is>
      </c>
      <c r="B2370" s="4108" t="inlineStr">
        <is>
          <t>220501</t>
        </is>
      </c>
      <c r="C2370" s="4108" t="inlineStr">
        <is>
          <t>135792468</t>
        </is>
      </c>
      <c r="D2370" s="4108" t="inlineStr">
        <is>
          <t>202009</t>
        </is>
      </c>
      <c r="E2370" s="4108" t="inlineStr">
        <is>
          <t>1,000000000000</t>
        </is>
      </c>
    </row>
    <row outlineLevel="0" r="2371">
      <c r="A2371" s="4108" t="inlineStr">
        <is>
          <t>135792468202009221001</t>
        </is>
      </c>
      <c r="B2371" s="4108" t="inlineStr">
        <is>
          <t>221001</t>
        </is>
      </c>
      <c r="C2371" s="4108" t="inlineStr">
        <is>
          <t>135792468</t>
        </is>
      </c>
      <c r="D2371" s="4108" t="inlineStr">
        <is>
          <t>202009</t>
        </is>
      </c>
      <c r="E2371" s="4108" t="inlineStr">
        <is>
          <t>2,000000000000</t>
        </is>
      </c>
    </row>
    <row outlineLevel="0" r="2372">
      <c r="A2372" s="4108" t="inlineStr">
        <is>
          <t>135792468202009221500</t>
        </is>
      </c>
      <c r="B2372" s="4108" t="inlineStr">
        <is>
          <t>221500</t>
        </is>
      </c>
      <c r="C2372" s="4108" t="inlineStr">
        <is>
          <t>135792468</t>
        </is>
      </c>
      <c r="D2372" s="4108" t="inlineStr">
        <is>
          <t>202009</t>
        </is>
      </c>
      <c r="E2372" s="4108" t="inlineStr">
        <is>
          <t>3,000000000000</t>
        </is>
      </c>
    </row>
    <row outlineLevel="0" r="2373">
      <c r="A2373" s="4108" t="inlineStr">
        <is>
          <t>135792468202009230500</t>
        </is>
      </c>
      <c r="B2373" s="4108" t="inlineStr">
        <is>
          <t>230500</t>
        </is>
      </c>
      <c r="C2373" s="4108" t="inlineStr">
        <is>
          <t>135792468</t>
        </is>
      </c>
      <c r="D2373" s="4108" t="inlineStr">
        <is>
          <t>202009</t>
        </is>
      </c>
      <c r="E2373" s="4108" t="inlineStr">
        <is>
          <t>1,000000000000</t>
        </is>
      </c>
    </row>
    <row outlineLevel="0" r="2374">
      <c r="A2374" s="4108" t="inlineStr">
        <is>
          <t>135792468202009230501</t>
        </is>
      </c>
      <c r="B2374" s="4108" t="inlineStr">
        <is>
          <t>230501</t>
        </is>
      </c>
      <c r="C2374" s="4108" t="inlineStr">
        <is>
          <t>135792468</t>
        </is>
      </c>
      <c r="D2374" s="4108" t="inlineStr">
        <is>
          <t>202009</t>
        </is>
      </c>
      <c r="E2374" s="4108" t="inlineStr">
        <is>
          <t>3,000000000000</t>
        </is>
      </c>
    </row>
    <row outlineLevel="0" r="2375">
      <c r="A2375" s="4108" t="inlineStr">
        <is>
          <t>135792468202009231000</t>
        </is>
      </c>
      <c r="B2375" s="4108" t="inlineStr">
        <is>
          <t>231000</t>
        </is>
      </c>
      <c r="C2375" s="4108" t="inlineStr">
        <is>
          <t>135792468</t>
        </is>
      </c>
      <c r="D2375" s="4108" t="inlineStr">
        <is>
          <t>202009</t>
        </is>
      </c>
      <c r="E2375" s="4108" t="inlineStr">
        <is>
          <t>2,000000000000</t>
        </is>
      </c>
    </row>
    <row outlineLevel="0" r="2376">
      <c r="A2376" s="4108" t="inlineStr">
        <is>
          <t>135792468202009231001</t>
        </is>
      </c>
      <c r="B2376" s="4108" t="inlineStr">
        <is>
          <t>231001</t>
        </is>
      </c>
      <c r="C2376" s="4108" t="inlineStr">
        <is>
          <t>135792468</t>
        </is>
      </c>
      <c r="D2376" s="4108" t="inlineStr">
        <is>
          <t>202009</t>
        </is>
      </c>
      <c r="E2376" s="4108" t="inlineStr">
        <is>
          <t>4,000000000000</t>
        </is>
      </c>
    </row>
    <row outlineLevel="0" r="2377">
      <c r="A2377" s="4108" t="inlineStr">
        <is>
          <t>135792468202009231501</t>
        </is>
      </c>
      <c r="B2377" s="4108" t="inlineStr">
        <is>
          <t>231501</t>
        </is>
      </c>
      <c r="C2377" s="4108" t="inlineStr">
        <is>
          <t>135792468</t>
        </is>
      </c>
      <c r="D2377" s="4108" t="inlineStr">
        <is>
          <t>202009</t>
        </is>
      </c>
      <c r="E2377" s="4108" t="inlineStr">
        <is>
          <t>5,000000000000</t>
        </is>
      </c>
    </row>
    <row outlineLevel="0" r="2378">
      <c r="A2378" s="4108" t="inlineStr">
        <is>
          <t>135792468202009231500</t>
        </is>
      </c>
      <c r="B2378" s="4108" t="inlineStr">
        <is>
          <t>231500</t>
        </is>
      </c>
      <c r="C2378" s="4108" t="inlineStr">
        <is>
          <t>135792468</t>
        </is>
      </c>
      <c r="D2378" s="4108" t="inlineStr">
        <is>
          <t>202009</t>
        </is>
      </c>
      <c r="E2378" s="4108" t="inlineStr">
        <is>
          <t>3,000000000000</t>
        </is>
      </c>
    </row>
    <row outlineLevel="0" r="2379">
      <c r="A2379" s="4108" t="inlineStr">
        <is>
          <t>135792468202009232000</t>
        </is>
      </c>
      <c r="B2379" s="4108" t="inlineStr">
        <is>
          <t>232000</t>
        </is>
      </c>
      <c r="C2379" s="4108" t="inlineStr">
        <is>
          <t>135792468</t>
        </is>
      </c>
      <c r="D2379" s="4108" t="inlineStr">
        <is>
          <t>202009</t>
        </is>
      </c>
      <c r="E2379" s="4108" t="inlineStr">
        <is>
          <t>4,000000000000</t>
        </is>
      </c>
    </row>
    <row outlineLevel="0" r="2380">
      <c r="A2380" s="4108" t="inlineStr">
        <is>
          <t>135792468202009232001</t>
        </is>
      </c>
      <c r="B2380" s="4108" t="inlineStr">
        <is>
          <t>232001</t>
        </is>
      </c>
      <c r="C2380" s="4108" t="inlineStr">
        <is>
          <t>135792468</t>
        </is>
      </c>
      <c r="D2380" s="4108" t="inlineStr">
        <is>
          <t>202009</t>
        </is>
      </c>
      <c r="E2380" s="4108" t="inlineStr">
        <is>
          <t>6,000000000000</t>
        </is>
      </c>
    </row>
    <row outlineLevel="0" r="2381">
      <c r="A2381" s="4108" t="inlineStr">
        <is>
          <t>135792468202009233500</t>
        </is>
      </c>
      <c r="B2381" s="4108" t="inlineStr">
        <is>
          <t>233500</t>
        </is>
      </c>
      <c r="C2381" s="4108" t="inlineStr">
        <is>
          <t>135792468</t>
        </is>
      </c>
      <c r="D2381" s="4108" t="inlineStr">
        <is>
          <t>202009</t>
        </is>
      </c>
      <c r="E2381" s="4108" t="inlineStr">
        <is>
          <t>5,000000000000</t>
        </is>
      </c>
    </row>
    <row outlineLevel="0" r="2382">
      <c r="A2382" s="4108" t="inlineStr">
        <is>
          <t>135792468202009233501</t>
        </is>
      </c>
      <c r="B2382" s="4108" t="inlineStr">
        <is>
          <t>233501</t>
        </is>
      </c>
      <c r="C2382" s="4108" t="inlineStr">
        <is>
          <t>135792468</t>
        </is>
      </c>
      <c r="D2382" s="4108" t="inlineStr">
        <is>
          <t>202009</t>
        </is>
      </c>
      <c r="E2382" s="4108" t="inlineStr">
        <is>
          <t>7,000000000000</t>
        </is>
      </c>
    </row>
    <row outlineLevel="0" r="2383">
      <c r="A2383" s="4108" t="inlineStr">
        <is>
          <t>135792468202009234500</t>
        </is>
      </c>
      <c r="B2383" s="4108" t="inlineStr">
        <is>
          <t>234500</t>
        </is>
      </c>
      <c r="C2383" s="4108" t="inlineStr">
        <is>
          <t>135792468</t>
        </is>
      </c>
      <c r="D2383" s="4108" t="inlineStr">
        <is>
          <t>202009</t>
        </is>
      </c>
      <c r="E2383" s="4108" t="inlineStr">
        <is>
          <t>6,000000000000</t>
        </is>
      </c>
    </row>
    <row outlineLevel="0" r="2384">
      <c r="A2384" s="4108" t="inlineStr">
        <is>
          <t>135792468202009234501</t>
        </is>
      </c>
      <c r="B2384" s="4108" t="inlineStr">
        <is>
          <t>234501</t>
        </is>
      </c>
      <c r="C2384" s="4108" t="inlineStr">
        <is>
          <t>135792468</t>
        </is>
      </c>
      <c r="D2384" s="4108" t="inlineStr">
        <is>
          <t>202009</t>
        </is>
      </c>
      <c r="E2384" s="4108" t="inlineStr">
        <is>
          <t>8,000000000000</t>
        </is>
      </c>
    </row>
    <row outlineLevel="0" r="2385">
      <c r="A2385" s="4108" t="inlineStr">
        <is>
          <t>135792468202009235001</t>
        </is>
      </c>
      <c r="B2385" s="4108" t="inlineStr">
        <is>
          <t>235001</t>
        </is>
      </c>
      <c r="C2385" s="4108" t="inlineStr">
        <is>
          <t>135792468</t>
        </is>
      </c>
      <c r="D2385" s="4108" t="inlineStr">
        <is>
          <t>202009</t>
        </is>
      </c>
      <c r="E2385" s="4108" t="inlineStr">
        <is>
          <t>9,000000000000</t>
        </is>
      </c>
    </row>
    <row outlineLevel="0" r="2386">
      <c r="A2386" s="4108" t="inlineStr">
        <is>
          <t>135792468202009235000</t>
        </is>
      </c>
      <c r="B2386" s="4108" t="inlineStr">
        <is>
          <t>235000</t>
        </is>
      </c>
      <c r="C2386" s="4108" t="inlineStr">
        <is>
          <t>135792468</t>
        </is>
      </c>
      <c r="D2386" s="4108" t="inlineStr">
        <is>
          <t>202009</t>
        </is>
      </c>
      <c r="E2386" s="4108" t="inlineStr">
        <is>
          <t>7,000000000000</t>
        </is>
      </c>
    </row>
    <row outlineLevel="0" r="2387">
      <c r="A2387" s="4108" t="inlineStr">
        <is>
          <t>135792468202009235500</t>
        </is>
      </c>
      <c r="B2387" s="4108" t="inlineStr">
        <is>
          <t>235500</t>
        </is>
      </c>
      <c r="C2387" s="4108" t="inlineStr">
        <is>
          <t>135792468</t>
        </is>
      </c>
      <c r="D2387" s="4108" t="inlineStr">
        <is>
          <t>202009</t>
        </is>
      </c>
      <c r="E2387" s="4108" t="inlineStr">
        <is>
          <t>8,000000000000</t>
        </is>
      </c>
    </row>
    <row outlineLevel="0" r="2388">
      <c r="A2388" s="4108" t="inlineStr">
        <is>
          <t>135792468202009235501</t>
        </is>
      </c>
      <c r="B2388" s="4108" t="inlineStr">
        <is>
          <t>235501</t>
        </is>
      </c>
      <c r="C2388" s="4108" t="inlineStr">
        <is>
          <t>135792468</t>
        </is>
      </c>
      <c r="D2388" s="4108" t="inlineStr">
        <is>
          <t>202009</t>
        </is>
      </c>
      <c r="E2388" s="4108" t="inlineStr">
        <is>
          <t>10,000000000000</t>
        </is>
      </c>
    </row>
    <row outlineLevel="0" r="2389">
      <c r="A2389" s="4108" t="inlineStr">
        <is>
          <t>135792468202009236000</t>
        </is>
      </c>
      <c r="B2389" s="4108" t="inlineStr">
        <is>
          <t>236000</t>
        </is>
      </c>
      <c r="C2389" s="4108" t="inlineStr">
        <is>
          <t>135792468</t>
        </is>
      </c>
      <c r="D2389" s="4108" t="inlineStr">
        <is>
          <t>202009</t>
        </is>
      </c>
      <c r="E2389" s="4108" t="inlineStr">
        <is>
          <t>9,000000000000</t>
        </is>
      </c>
    </row>
    <row outlineLevel="0" r="2390">
      <c r="A2390" s="4108" t="inlineStr">
        <is>
          <t>135792468202009236001</t>
        </is>
      </c>
      <c r="B2390" s="4108" t="inlineStr">
        <is>
          <t>236001</t>
        </is>
      </c>
      <c r="C2390" s="4108" t="inlineStr">
        <is>
          <t>135792468</t>
        </is>
      </c>
      <c r="D2390" s="4108" t="inlineStr">
        <is>
          <t>202009</t>
        </is>
      </c>
      <c r="E2390" s="4108" t="inlineStr">
        <is>
          <t>11,000000000000</t>
        </is>
      </c>
    </row>
    <row outlineLevel="0" r="2391">
      <c r="A2391" s="4108" t="inlineStr">
        <is>
          <t>135792468202009236500</t>
        </is>
      </c>
      <c r="B2391" s="4108" t="inlineStr">
        <is>
          <t>236500</t>
        </is>
      </c>
      <c r="C2391" s="4108" t="inlineStr">
        <is>
          <t>135792468</t>
        </is>
      </c>
      <c r="D2391" s="4108" t="inlineStr">
        <is>
          <t>202009</t>
        </is>
      </c>
      <c r="E2391" s="4108" t="inlineStr">
        <is>
          <t>10,000000000000</t>
        </is>
      </c>
    </row>
    <row outlineLevel="0" r="2392">
      <c r="A2392" s="4108" t="inlineStr">
        <is>
          <t>135792468202009236501</t>
        </is>
      </c>
      <c r="B2392" s="4108" t="inlineStr">
        <is>
          <t>236501</t>
        </is>
      </c>
      <c r="C2392" s="4108" t="inlineStr">
        <is>
          <t>135792468</t>
        </is>
      </c>
      <c r="D2392" s="4108" t="inlineStr">
        <is>
          <t>202009</t>
        </is>
      </c>
      <c r="E2392" s="4108" t="inlineStr">
        <is>
          <t>12,000000000000</t>
        </is>
      </c>
    </row>
    <row outlineLevel="0" r="2393">
      <c r="A2393" s="4108" t="inlineStr">
        <is>
          <t>135792468202009236701</t>
        </is>
      </c>
      <c r="B2393" s="4108" t="inlineStr">
        <is>
          <t>236701</t>
        </is>
      </c>
      <c r="C2393" s="4108" t="inlineStr">
        <is>
          <t>135792468</t>
        </is>
      </c>
      <c r="D2393" s="4108" t="inlineStr">
        <is>
          <t>202009</t>
        </is>
      </c>
      <c r="E2393" s="4108" t="inlineStr">
        <is>
          <t>13,000000000000</t>
        </is>
      </c>
    </row>
    <row outlineLevel="0" r="2394">
      <c r="A2394" s="4108" t="inlineStr">
        <is>
          <t>135792468202009236700</t>
        </is>
      </c>
      <c r="B2394" s="4108" t="inlineStr">
        <is>
          <t>236700</t>
        </is>
      </c>
      <c r="C2394" s="4108" t="inlineStr">
        <is>
          <t>135792468</t>
        </is>
      </c>
      <c r="D2394" s="4108" t="inlineStr">
        <is>
          <t>202009</t>
        </is>
      </c>
      <c r="E2394" s="4108" t="inlineStr">
        <is>
          <t>1,000000000000</t>
        </is>
      </c>
    </row>
    <row outlineLevel="0" r="2395">
      <c r="A2395" s="4108" t="inlineStr">
        <is>
          <t>135792468202009236800</t>
        </is>
      </c>
      <c r="B2395" s="4108" t="inlineStr">
        <is>
          <t>236800</t>
        </is>
      </c>
      <c r="C2395" s="4108" t="inlineStr">
        <is>
          <t>135792468</t>
        </is>
      </c>
      <c r="D2395" s="4108" t="inlineStr">
        <is>
          <t>202009</t>
        </is>
      </c>
      <c r="E2395" s="4108" t="inlineStr">
        <is>
          <t>2,000000000000</t>
        </is>
      </c>
    </row>
    <row outlineLevel="0" r="2396">
      <c r="A2396" s="4108" t="inlineStr">
        <is>
          <t>135792468202009237000</t>
        </is>
      </c>
      <c r="B2396" s="4108" t="inlineStr">
        <is>
          <t>237000</t>
        </is>
      </c>
      <c r="C2396" s="4108" t="inlineStr">
        <is>
          <t>135792468</t>
        </is>
      </c>
      <c r="D2396" s="4108" t="inlineStr">
        <is>
          <t>202009</t>
        </is>
      </c>
      <c r="E2396" s="4108" t="inlineStr">
        <is>
          <t>3,000000000000</t>
        </is>
      </c>
    </row>
    <row outlineLevel="0" r="2397">
      <c r="A2397" s="4108" t="inlineStr">
        <is>
          <t>135792468202009237001</t>
        </is>
      </c>
      <c r="B2397" s="4108" t="inlineStr">
        <is>
          <t>237001</t>
        </is>
      </c>
      <c r="C2397" s="4108" t="inlineStr">
        <is>
          <t>135792468</t>
        </is>
      </c>
      <c r="D2397" s="4108" t="inlineStr">
        <is>
          <t>202009</t>
        </is>
      </c>
      <c r="E2397" s="4108" t="inlineStr">
        <is>
          <t>14,000000000000</t>
        </is>
      </c>
    </row>
    <row outlineLevel="0" r="2398">
      <c r="A2398" s="4108" t="inlineStr">
        <is>
          <t>135792468202009238000</t>
        </is>
      </c>
      <c r="B2398" s="4108" t="inlineStr">
        <is>
          <t>238000</t>
        </is>
      </c>
      <c r="C2398" s="4108" t="inlineStr">
        <is>
          <t>135792468</t>
        </is>
      </c>
      <c r="D2398" s="4108" t="inlineStr">
        <is>
          <t>202009</t>
        </is>
      </c>
      <c r="E2398" s="4108" t="inlineStr">
        <is>
          <t>4,000000000000</t>
        </is>
      </c>
    </row>
    <row outlineLevel="0" r="2399">
      <c r="A2399" s="4108" t="inlineStr">
        <is>
          <t>135792468202009238001</t>
        </is>
      </c>
      <c r="B2399" s="4108" t="inlineStr">
        <is>
          <t>238001</t>
        </is>
      </c>
      <c r="C2399" s="4108" t="inlineStr">
        <is>
          <t>135792468</t>
        </is>
      </c>
      <c r="D2399" s="4108" t="inlineStr">
        <is>
          <t>202009</t>
        </is>
      </c>
      <c r="E2399" s="4108" t="inlineStr">
        <is>
          <t>15,000000000000</t>
        </is>
      </c>
    </row>
    <row outlineLevel="0" r="2400">
      <c r="A2400" s="4108" t="inlineStr">
        <is>
          <t>135792468202009240001</t>
        </is>
      </c>
      <c r="B2400" s="4108" t="inlineStr">
        <is>
          <t>240001</t>
        </is>
      </c>
      <c r="C2400" s="4108" t="inlineStr">
        <is>
          <t>135792468</t>
        </is>
      </c>
      <c r="D2400" s="4108" t="inlineStr">
        <is>
          <t>202009</t>
        </is>
      </c>
      <c r="E2400" s="4108" t="inlineStr">
        <is>
          <t>0,000000000000</t>
        </is>
      </c>
    </row>
    <row outlineLevel="0" r="2401">
      <c r="A2401" s="4108" t="inlineStr">
        <is>
          <t>135792468202009240401</t>
        </is>
      </c>
      <c r="B2401" s="4108" t="inlineStr">
        <is>
          <t>240401</t>
        </is>
      </c>
      <c r="C2401" s="4108" t="inlineStr">
        <is>
          <t>135792468</t>
        </is>
      </c>
      <c r="D2401" s="4108" t="inlineStr">
        <is>
          <t>202009</t>
        </is>
      </c>
      <c r="E2401" s="4108" t="inlineStr">
        <is>
          <t>0,000000000000</t>
        </is>
      </c>
    </row>
    <row outlineLevel="0" r="2402">
      <c r="A2402" s="4108" t="inlineStr">
        <is>
          <t>135792468202009240400</t>
        </is>
      </c>
      <c r="B2402" s="4108" t="inlineStr">
        <is>
          <t>240400</t>
        </is>
      </c>
      <c r="C2402" s="4108" t="inlineStr">
        <is>
          <t>135792468</t>
        </is>
      </c>
      <c r="D2402" s="4108" t="inlineStr">
        <is>
          <t>202009</t>
        </is>
      </c>
      <c r="E2402" s="4108" t="inlineStr">
        <is>
          <t>1,000000000000</t>
        </is>
      </c>
    </row>
    <row outlineLevel="0" r="2403">
      <c r="A2403" s="4108" t="inlineStr">
        <is>
          <t>135792468202009240800</t>
        </is>
      </c>
      <c r="B2403" s="4108" t="inlineStr">
        <is>
          <t>240800</t>
        </is>
      </c>
      <c r="C2403" s="4108" t="inlineStr">
        <is>
          <t>135792468</t>
        </is>
      </c>
      <c r="D2403" s="4108" t="inlineStr">
        <is>
          <t>202009</t>
        </is>
      </c>
      <c r="E2403" s="4108" t="inlineStr">
        <is>
          <t>2,000000000000</t>
        </is>
      </c>
    </row>
    <row outlineLevel="0" r="2404">
      <c r="A2404" s="4108" t="inlineStr">
        <is>
          <t>135792468202009240801</t>
        </is>
      </c>
      <c r="B2404" s="4108" t="inlineStr">
        <is>
          <t>240801</t>
        </is>
      </c>
      <c r="C2404" s="4108" t="inlineStr">
        <is>
          <t>135792468</t>
        </is>
      </c>
      <c r="D2404" s="4108" t="inlineStr">
        <is>
          <t>202009</t>
        </is>
      </c>
      <c r="E2404" s="4108" t="inlineStr">
        <is>
          <t>0,000000000000</t>
        </is>
      </c>
    </row>
    <row outlineLevel="0" r="2405">
      <c r="A2405" s="4108" t="inlineStr">
        <is>
          <t>135792468202009241200</t>
        </is>
      </c>
      <c r="B2405" s="4108" t="inlineStr">
        <is>
          <t>241200</t>
        </is>
      </c>
      <c r="C2405" s="4108" t="inlineStr">
        <is>
          <t>135792468</t>
        </is>
      </c>
      <c r="D2405" s="4108" t="inlineStr">
        <is>
          <t>202009</t>
        </is>
      </c>
      <c r="E2405" s="4108" t="inlineStr">
        <is>
          <t>3,000000000000</t>
        </is>
      </c>
    </row>
    <row outlineLevel="0" r="2406">
      <c r="A2406" s="4108" t="inlineStr">
        <is>
          <t>135792468202009241201</t>
        </is>
      </c>
      <c r="B2406" s="4108" t="inlineStr">
        <is>
          <t>241201</t>
        </is>
      </c>
      <c r="C2406" s="4108" t="inlineStr">
        <is>
          <t>135792468</t>
        </is>
      </c>
      <c r="D2406" s="4108" t="inlineStr">
        <is>
          <t>202009</t>
        </is>
      </c>
      <c r="E2406" s="4108" t="inlineStr">
        <is>
          <t>0,000000000000</t>
        </is>
      </c>
    </row>
    <row outlineLevel="0" r="2407">
      <c r="A2407" s="4108" t="inlineStr">
        <is>
          <t>135792468202009249500</t>
        </is>
      </c>
      <c r="B2407" s="4108" t="inlineStr">
        <is>
          <t>249500</t>
        </is>
      </c>
      <c r="C2407" s="4108" t="inlineStr">
        <is>
          <t>135792468</t>
        </is>
      </c>
      <c r="D2407" s="4108" t="inlineStr">
        <is>
          <t>202009</t>
        </is>
      </c>
      <c r="E2407" s="4108" t="inlineStr">
        <is>
          <t>4,000000000000</t>
        </is>
      </c>
    </row>
    <row outlineLevel="0" r="2408">
      <c r="A2408" s="4108" t="inlineStr">
        <is>
          <t>135792468202009249501</t>
        </is>
      </c>
      <c r="B2408" s="4108" t="inlineStr">
        <is>
          <t>249501</t>
        </is>
      </c>
      <c r="C2408" s="4108" t="inlineStr">
        <is>
          <t>135792468</t>
        </is>
      </c>
      <c r="D2408" s="4108" t="inlineStr">
        <is>
          <t>202009</t>
        </is>
      </c>
      <c r="E2408" s="4108" t="inlineStr">
        <is>
          <t>0,000000000000</t>
        </is>
      </c>
    </row>
    <row outlineLevel="0" r="2409">
      <c r="A2409" s="4108" t="inlineStr">
        <is>
          <t>135792468202009250501</t>
        </is>
      </c>
      <c r="B2409" s="4108" t="inlineStr">
        <is>
          <t>250501</t>
        </is>
      </c>
      <c r="C2409" s="4108" t="inlineStr">
        <is>
          <t>135792468</t>
        </is>
      </c>
      <c r="D2409" s="4108" t="inlineStr">
        <is>
          <t>202009</t>
        </is>
      </c>
      <c r="E2409" s="4108" t="inlineStr">
        <is>
          <t>0,000000000000</t>
        </is>
      </c>
    </row>
    <row outlineLevel="0" r="2410">
      <c r="A2410" s="4108" t="inlineStr">
        <is>
          <t>135792468202009250500</t>
        </is>
      </c>
      <c r="B2410" s="4108" t="inlineStr">
        <is>
          <t>250500</t>
        </is>
      </c>
      <c r="C2410" s="4108" t="inlineStr">
        <is>
          <t>135792468</t>
        </is>
      </c>
      <c r="D2410" s="4108" t="inlineStr">
        <is>
          <t>202009</t>
        </is>
      </c>
      <c r="E2410" s="4108" t="inlineStr">
        <is>
          <t>1,000000000000</t>
        </is>
      </c>
    </row>
    <row outlineLevel="0" r="2411">
      <c r="A2411" s="4108" t="inlineStr">
        <is>
          <t>135792468202009251000</t>
        </is>
      </c>
      <c r="B2411" s="4108" t="inlineStr">
        <is>
          <t>251000</t>
        </is>
      </c>
      <c r="C2411" s="4108" t="inlineStr">
        <is>
          <t>135792468</t>
        </is>
      </c>
      <c r="D2411" s="4108" t="inlineStr">
        <is>
          <t>202009</t>
        </is>
      </c>
      <c r="E2411" s="4108" t="inlineStr">
        <is>
          <t>2,000000000000</t>
        </is>
      </c>
    </row>
    <row outlineLevel="0" r="2412">
      <c r="A2412" s="4108" t="inlineStr">
        <is>
          <t>135792468202009251001</t>
        </is>
      </c>
      <c r="B2412" s="4108" t="inlineStr">
        <is>
          <t>251001</t>
        </is>
      </c>
      <c r="C2412" s="4108" t="inlineStr">
        <is>
          <t>135792468</t>
        </is>
      </c>
      <c r="D2412" s="4108" t="inlineStr">
        <is>
          <t>202009</t>
        </is>
      </c>
      <c r="E2412" s="4108" t="inlineStr">
        <is>
          <t>0,000000000000</t>
        </is>
      </c>
    </row>
    <row outlineLevel="0" r="2413">
      <c r="A2413" s="4108" t="inlineStr">
        <is>
          <t>135792468202009251500</t>
        </is>
      </c>
      <c r="B2413" s="4108" t="inlineStr">
        <is>
          <t>251500</t>
        </is>
      </c>
      <c r="C2413" s="4108" t="inlineStr">
        <is>
          <t>135792468</t>
        </is>
      </c>
      <c r="D2413" s="4108" t="inlineStr">
        <is>
          <t>202009</t>
        </is>
      </c>
      <c r="E2413" s="4108" t="inlineStr">
        <is>
          <t>3,000000000000</t>
        </is>
      </c>
    </row>
    <row outlineLevel="0" r="2414">
      <c r="A2414" s="4108" t="inlineStr">
        <is>
          <t>135792468202009251501</t>
        </is>
      </c>
      <c r="B2414" s="4108" t="inlineStr">
        <is>
          <t>251501</t>
        </is>
      </c>
      <c r="C2414" s="4108" t="inlineStr">
        <is>
          <t>135792468</t>
        </is>
      </c>
      <c r="D2414" s="4108" t="inlineStr">
        <is>
          <t>202009</t>
        </is>
      </c>
      <c r="E2414" s="4108" t="inlineStr">
        <is>
          <t>0,000000000000</t>
        </is>
      </c>
    </row>
    <row outlineLevel="0" r="2415">
      <c r="A2415" s="4108" t="inlineStr">
        <is>
          <t>135792468202009252500</t>
        </is>
      </c>
      <c r="B2415" s="4108" t="inlineStr">
        <is>
          <t>252500</t>
        </is>
      </c>
      <c r="C2415" s="4108" t="inlineStr">
        <is>
          <t>135792468</t>
        </is>
      </c>
      <c r="D2415" s="4108" t="inlineStr">
        <is>
          <t>202009</t>
        </is>
      </c>
      <c r="E2415" s="4108" t="inlineStr">
        <is>
          <t>4,000000000000</t>
        </is>
      </c>
    </row>
    <row outlineLevel="0" r="2416">
      <c r="A2416" s="4108" t="inlineStr">
        <is>
          <t>135792468202009252501</t>
        </is>
      </c>
      <c r="B2416" s="4108" t="inlineStr">
        <is>
          <t>252501</t>
        </is>
      </c>
      <c r="C2416" s="4108" t="inlineStr">
        <is>
          <t>135792468</t>
        </is>
      </c>
      <c r="D2416" s="4108" t="inlineStr">
        <is>
          <t>202009</t>
        </is>
      </c>
      <c r="E2416" s="4108" t="inlineStr">
        <is>
          <t>0,000000000000</t>
        </is>
      </c>
    </row>
    <row outlineLevel="0" r="2417">
      <c r="A2417" s="4108" t="inlineStr">
        <is>
          <t>135792468202009253001</t>
        </is>
      </c>
      <c r="B2417" s="4108" t="inlineStr">
        <is>
          <t>253001</t>
        </is>
      </c>
      <c r="C2417" s="4108" t="inlineStr">
        <is>
          <t>135792468</t>
        </is>
      </c>
      <c r="D2417" s="4108" t="inlineStr">
        <is>
          <t>202009</t>
        </is>
      </c>
      <c r="E2417" s="4108" t="inlineStr">
        <is>
          <t>0,000000000000</t>
        </is>
      </c>
    </row>
    <row outlineLevel="0" r="2418">
      <c r="A2418" s="4108" t="inlineStr">
        <is>
          <t>135792468202009253000</t>
        </is>
      </c>
      <c r="B2418" s="4108" t="inlineStr">
        <is>
          <t>253000</t>
        </is>
      </c>
      <c r="C2418" s="4108" t="inlineStr">
        <is>
          <t>135792468</t>
        </is>
      </c>
      <c r="D2418" s="4108" t="inlineStr">
        <is>
          <t>202009</t>
        </is>
      </c>
      <c r="E2418" s="4108" t="inlineStr">
        <is>
          <t>5,000000000000</t>
        </is>
      </c>
    </row>
    <row outlineLevel="0" r="2419">
      <c r="A2419" s="4108" t="inlineStr">
        <is>
          <t>135792468202009259500</t>
        </is>
      </c>
      <c r="B2419" s="4108" t="inlineStr">
        <is>
          <t>259500</t>
        </is>
      </c>
      <c r="C2419" s="4108" t="inlineStr">
        <is>
          <t>135792468</t>
        </is>
      </c>
      <c r="D2419" s="4108" t="inlineStr">
        <is>
          <t>202009</t>
        </is>
      </c>
      <c r="E2419" s="4108" t="inlineStr">
        <is>
          <t>6,000000000000</t>
        </is>
      </c>
    </row>
    <row outlineLevel="0" r="2420">
      <c r="A2420" s="4108" t="inlineStr">
        <is>
          <t>135792468202009259501</t>
        </is>
      </c>
      <c r="B2420" s="4108" t="inlineStr">
        <is>
          <t>259501</t>
        </is>
      </c>
      <c r="C2420" s="4108" t="inlineStr">
        <is>
          <t>135792468</t>
        </is>
      </c>
      <c r="D2420" s="4108" t="inlineStr">
        <is>
          <t>202009</t>
        </is>
      </c>
      <c r="E2420" s="4108" t="inlineStr">
        <is>
          <t>0,000000000000</t>
        </is>
      </c>
    </row>
    <row outlineLevel="0" r="2421">
      <c r="A2421" s="4108" t="inlineStr">
        <is>
          <t>135792468202009260500</t>
        </is>
      </c>
      <c r="B2421" s="4108" t="inlineStr">
        <is>
          <t>260500</t>
        </is>
      </c>
      <c r="C2421" s="4108" t="inlineStr">
        <is>
          <t>135792468</t>
        </is>
      </c>
      <c r="D2421" s="4108" t="inlineStr">
        <is>
          <t>202009</t>
        </is>
      </c>
      <c r="E2421" s="4108" t="inlineStr">
        <is>
          <t>1,000000000000</t>
        </is>
      </c>
    </row>
    <row outlineLevel="0" r="2422">
      <c r="A2422" s="4108" t="inlineStr">
        <is>
          <t>135792468202009260501</t>
        </is>
      </c>
      <c r="B2422" s="4108" t="inlineStr">
        <is>
          <t>260501</t>
        </is>
      </c>
      <c r="C2422" s="4108" t="inlineStr">
        <is>
          <t>135792468</t>
        </is>
      </c>
      <c r="D2422" s="4108" t="inlineStr">
        <is>
          <t>202009</t>
        </is>
      </c>
      <c r="E2422" s="4108" t="inlineStr">
        <is>
          <t>0,000000000000</t>
        </is>
      </c>
    </row>
    <row outlineLevel="0" r="2423">
      <c r="A2423" s="4108" t="inlineStr">
        <is>
          <t>135792468202009261000</t>
        </is>
      </c>
      <c r="B2423" s="4108" t="inlineStr">
        <is>
          <t>261000</t>
        </is>
      </c>
      <c r="C2423" s="4108" t="inlineStr">
        <is>
          <t>135792468</t>
        </is>
      </c>
      <c r="D2423" s="4108" t="inlineStr">
        <is>
          <t>202009</t>
        </is>
      </c>
      <c r="E2423" s="4108" t="inlineStr">
        <is>
          <t>2,000000000000</t>
        </is>
      </c>
    </row>
    <row outlineLevel="0" r="2424">
      <c r="A2424" s="4108" t="inlineStr">
        <is>
          <t>135792468202009261001</t>
        </is>
      </c>
      <c r="B2424" s="4108" t="inlineStr">
        <is>
          <t>261001</t>
        </is>
      </c>
      <c r="C2424" s="4108" t="inlineStr">
        <is>
          <t>135792468</t>
        </is>
      </c>
      <c r="D2424" s="4108" t="inlineStr">
        <is>
          <t>202009</t>
        </is>
      </c>
      <c r="E2424" s="4108" t="inlineStr">
        <is>
          <t>0,000000000000</t>
        </is>
      </c>
    </row>
    <row outlineLevel="0" r="2425">
      <c r="A2425" s="4108" t="inlineStr">
        <is>
          <t>135792468202009261501</t>
        </is>
      </c>
      <c r="B2425" s="4108" t="inlineStr">
        <is>
          <t>261501</t>
        </is>
      </c>
      <c r="C2425" s="4108" t="inlineStr">
        <is>
          <t>135792468</t>
        </is>
      </c>
      <c r="D2425" s="4108" t="inlineStr">
        <is>
          <t>202009</t>
        </is>
      </c>
      <c r="E2425" s="4108" t="inlineStr">
        <is>
          <t>0,000000000000</t>
        </is>
      </c>
    </row>
    <row outlineLevel="0" r="2426">
      <c r="A2426" s="4108" t="inlineStr">
        <is>
          <t>135792468202009261500</t>
        </is>
      </c>
      <c r="B2426" s="4108" t="inlineStr">
        <is>
          <t>261500</t>
        </is>
      </c>
      <c r="C2426" s="4108" t="inlineStr">
        <is>
          <t>135792468</t>
        </is>
      </c>
      <c r="D2426" s="4108" t="inlineStr">
        <is>
          <t>202009</t>
        </is>
      </c>
      <c r="E2426" s="4108" t="inlineStr">
        <is>
          <t>3,000000000000</t>
        </is>
      </c>
    </row>
    <row outlineLevel="0" r="2427">
      <c r="A2427" s="4108" t="inlineStr">
        <is>
          <t>135792468202009262000</t>
        </is>
      </c>
      <c r="B2427" s="4108" t="inlineStr">
        <is>
          <t>262000</t>
        </is>
      </c>
      <c r="C2427" s="4108" t="inlineStr">
        <is>
          <t>135792468</t>
        </is>
      </c>
      <c r="D2427" s="4108" t="inlineStr">
        <is>
          <t>202009</t>
        </is>
      </c>
      <c r="E2427" s="4108" t="inlineStr">
        <is>
          <t>4,000000000000</t>
        </is>
      </c>
    </row>
    <row outlineLevel="0" r="2428">
      <c r="A2428" s="4108" t="inlineStr">
        <is>
          <t>135792468202009262001</t>
        </is>
      </c>
      <c r="B2428" s="4108" t="inlineStr">
        <is>
          <t>262001</t>
        </is>
      </c>
      <c r="C2428" s="4108" t="inlineStr">
        <is>
          <t>135792468</t>
        </is>
      </c>
      <c r="D2428" s="4108" t="inlineStr">
        <is>
          <t>202009</t>
        </is>
      </c>
      <c r="E2428" s="4108" t="inlineStr">
        <is>
          <t>0,000000000000</t>
        </is>
      </c>
    </row>
    <row outlineLevel="0" r="2429">
      <c r="A2429" s="4108" t="inlineStr">
        <is>
          <t>135792468202009262500</t>
        </is>
      </c>
      <c r="B2429" s="4108" t="inlineStr">
        <is>
          <t>262500</t>
        </is>
      </c>
      <c r="C2429" s="4108" t="inlineStr">
        <is>
          <t>135792468</t>
        </is>
      </c>
      <c r="D2429" s="4108" t="inlineStr">
        <is>
          <t>202009</t>
        </is>
      </c>
      <c r="E2429" s="4108" t="inlineStr">
        <is>
          <t>5,000000000000</t>
        </is>
      </c>
    </row>
    <row outlineLevel="0" r="2430">
      <c r="A2430" s="4108" t="inlineStr">
        <is>
          <t>135792468202009262501</t>
        </is>
      </c>
      <c r="B2430" s="4108" t="inlineStr">
        <is>
          <t>262501</t>
        </is>
      </c>
      <c r="C2430" s="4108" t="inlineStr">
        <is>
          <t>135792468</t>
        </is>
      </c>
      <c r="D2430" s="4108" t="inlineStr">
        <is>
          <t>202009</t>
        </is>
      </c>
      <c r="E2430" s="4108" t="inlineStr">
        <is>
          <t>0,000000000000</t>
        </is>
      </c>
    </row>
    <row outlineLevel="0" r="2431">
      <c r="A2431" s="4108" t="inlineStr">
        <is>
          <t>135792468202009263000</t>
        </is>
      </c>
      <c r="B2431" s="4108" t="inlineStr">
        <is>
          <t>263000</t>
        </is>
      </c>
      <c r="C2431" s="4108" t="inlineStr">
        <is>
          <t>135792468</t>
        </is>
      </c>
      <c r="D2431" s="4108" t="inlineStr">
        <is>
          <t>202009</t>
        </is>
      </c>
      <c r="E2431" s="4108" t="inlineStr">
        <is>
          <t>6,000000000000</t>
        </is>
      </c>
    </row>
    <row outlineLevel="0" r="2432">
      <c r="A2432" s="4108" t="inlineStr">
        <is>
          <t>135792468202009263001</t>
        </is>
      </c>
      <c r="B2432" s="4108" t="inlineStr">
        <is>
          <t>263001</t>
        </is>
      </c>
      <c r="C2432" s="4108" t="inlineStr">
        <is>
          <t>135792468</t>
        </is>
      </c>
      <c r="D2432" s="4108" t="inlineStr">
        <is>
          <t>202009</t>
        </is>
      </c>
      <c r="E2432" s="4108" t="inlineStr">
        <is>
          <t>0,000000000000</t>
        </is>
      </c>
    </row>
    <row outlineLevel="0" r="2433">
      <c r="A2433" s="4108" t="inlineStr">
        <is>
          <t>135792468202009263501</t>
        </is>
      </c>
      <c r="B2433" s="4108" t="inlineStr">
        <is>
          <t>263501</t>
        </is>
      </c>
      <c r="C2433" s="4108" t="inlineStr">
        <is>
          <t>135792468</t>
        </is>
      </c>
      <c r="D2433" s="4108" t="inlineStr">
        <is>
          <t>202009</t>
        </is>
      </c>
      <c r="E2433" s="4108" t="inlineStr">
        <is>
          <t>0,000000000000</t>
        </is>
      </c>
    </row>
    <row outlineLevel="0" r="2434">
      <c r="A2434" s="4108" t="inlineStr">
        <is>
          <t>135792468202009263500</t>
        </is>
      </c>
      <c r="B2434" s="4108" t="inlineStr">
        <is>
          <t>263500</t>
        </is>
      </c>
      <c r="C2434" s="4108" t="inlineStr">
        <is>
          <t>135792468</t>
        </is>
      </c>
      <c r="D2434" s="4108" t="inlineStr">
        <is>
          <t>202009</t>
        </is>
      </c>
      <c r="E2434" s="4108" t="inlineStr">
        <is>
          <t>7,000000000000</t>
        </is>
      </c>
    </row>
    <row outlineLevel="0" r="2435">
      <c r="A2435" s="4108" t="inlineStr">
        <is>
          <t>135792468202009264000</t>
        </is>
      </c>
      <c r="B2435" s="4108" t="inlineStr">
        <is>
          <t>264000</t>
        </is>
      </c>
      <c r="C2435" s="4108" t="inlineStr">
        <is>
          <t>135792468</t>
        </is>
      </c>
      <c r="D2435" s="4108" t="inlineStr">
        <is>
          <t>202009</t>
        </is>
      </c>
      <c r="E2435" s="4108" t="inlineStr">
        <is>
          <t>8,000000000000</t>
        </is>
      </c>
    </row>
    <row outlineLevel="0" r="2436">
      <c r="A2436" s="4108" t="inlineStr">
        <is>
          <t>135792468202009264001</t>
        </is>
      </c>
      <c r="B2436" s="4108" t="inlineStr">
        <is>
          <t>264001</t>
        </is>
      </c>
      <c r="C2436" s="4108" t="inlineStr">
        <is>
          <t>135792468</t>
        </is>
      </c>
      <c r="D2436" s="4108" t="inlineStr">
        <is>
          <t>202009</t>
        </is>
      </c>
      <c r="E2436" s="4108" t="inlineStr">
        <is>
          <t>0,000000000000</t>
        </is>
      </c>
    </row>
    <row outlineLevel="0" r="2437">
      <c r="A2437" s="4108" t="inlineStr">
        <is>
          <t>135792468202009269500</t>
        </is>
      </c>
      <c r="B2437" s="4108" t="inlineStr">
        <is>
          <t>269500</t>
        </is>
      </c>
      <c r="C2437" s="4108" t="inlineStr">
        <is>
          <t>135792468</t>
        </is>
      </c>
      <c r="D2437" s="4108" t="inlineStr">
        <is>
          <t>202009</t>
        </is>
      </c>
      <c r="E2437" s="4108" t="inlineStr">
        <is>
          <t>9,000000000000</t>
        </is>
      </c>
    </row>
    <row outlineLevel="0" r="2438">
      <c r="A2438" s="4108" t="inlineStr">
        <is>
          <t>135792468202009269501</t>
        </is>
      </c>
      <c r="B2438" s="4108" t="inlineStr">
        <is>
          <t>269501</t>
        </is>
      </c>
      <c r="C2438" s="4108" t="inlineStr">
        <is>
          <t>135792468</t>
        </is>
      </c>
      <c r="D2438" s="4108" t="inlineStr">
        <is>
          <t>202009</t>
        </is>
      </c>
      <c r="E2438" s="4108" t="inlineStr">
        <is>
          <t>0,000000000000</t>
        </is>
      </c>
    </row>
    <row outlineLevel="0" r="2439">
      <c r="A2439" s="4108" t="inlineStr">
        <is>
          <t>135792468202009270500</t>
        </is>
      </c>
      <c r="B2439" s="4108" t="inlineStr">
        <is>
          <t>270500</t>
        </is>
      </c>
      <c r="C2439" s="4108" t="inlineStr">
        <is>
          <t>135792468</t>
        </is>
      </c>
      <c r="D2439" s="4108" t="inlineStr">
        <is>
          <t>202009</t>
        </is>
      </c>
      <c r="E2439" s="4108" t="inlineStr">
        <is>
          <t>1,000000000000</t>
        </is>
      </c>
    </row>
    <row outlineLevel="0" r="2440">
      <c r="A2440" s="4108" t="inlineStr">
        <is>
          <t>135792468202009270501</t>
        </is>
      </c>
      <c r="B2440" s="4108" t="inlineStr">
        <is>
          <t>270501</t>
        </is>
      </c>
      <c r="C2440" s="4108" t="inlineStr">
        <is>
          <t>135792468</t>
        </is>
      </c>
      <c r="D2440" s="4108" t="inlineStr">
        <is>
          <t>202009</t>
        </is>
      </c>
      <c r="E2440" s="4108" t="inlineStr">
        <is>
          <t>0,000000000000</t>
        </is>
      </c>
    </row>
    <row outlineLevel="0" r="2441">
      <c r="A2441" s="4108" t="inlineStr">
        <is>
          <t>135792468202009271001</t>
        </is>
      </c>
      <c r="B2441" s="4108" t="inlineStr">
        <is>
          <t>271001</t>
        </is>
      </c>
      <c r="C2441" s="4108" t="inlineStr">
        <is>
          <t>135792468</t>
        </is>
      </c>
      <c r="D2441" s="4108" t="inlineStr">
        <is>
          <t>202009</t>
        </is>
      </c>
      <c r="E2441" s="4108" t="inlineStr">
        <is>
          <t>0,000000000000</t>
        </is>
      </c>
    </row>
    <row outlineLevel="0" r="2442">
      <c r="A2442" s="4108" t="inlineStr">
        <is>
          <t>135792468202009271000</t>
        </is>
      </c>
      <c r="B2442" s="4108" t="inlineStr">
        <is>
          <t>271000</t>
        </is>
      </c>
      <c r="C2442" s="4108" t="inlineStr">
        <is>
          <t>135792468</t>
        </is>
      </c>
      <c r="D2442" s="4108" t="inlineStr">
        <is>
          <t>202009</t>
        </is>
      </c>
      <c r="E2442" s="4108" t="inlineStr">
        <is>
          <t>2,000000000000</t>
        </is>
      </c>
    </row>
    <row outlineLevel="0" r="2443">
      <c r="A2443" s="4108" t="inlineStr">
        <is>
          <t>135792468202009272001</t>
        </is>
      </c>
      <c r="B2443" s="4108" t="inlineStr">
        <is>
          <t>272001</t>
        </is>
      </c>
      <c r="C2443" s="4108" t="inlineStr">
        <is>
          <t>135792468</t>
        </is>
      </c>
      <c r="D2443" s="4108" t="inlineStr">
        <is>
          <t>202009</t>
        </is>
      </c>
      <c r="E2443" s="4108" t="inlineStr">
        <is>
          <t>0,000000000000</t>
        </is>
      </c>
    </row>
    <row outlineLevel="0" r="2444">
      <c r="A2444" s="4108" t="inlineStr">
        <is>
          <t>135792468202009272500</t>
        </is>
      </c>
      <c r="B2444" s="4108" t="inlineStr">
        <is>
          <t>272500</t>
        </is>
      </c>
      <c r="C2444" s="4108" t="inlineStr">
        <is>
          <t>135792468</t>
        </is>
      </c>
      <c r="D2444" s="4108" t="inlineStr">
        <is>
          <t>202009</t>
        </is>
      </c>
      <c r="E2444" s="4108" t="inlineStr">
        <is>
          <t>3,000000000000</t>
        </is>
      </c>
    </row>
    <row outlineLevel="0" r="2445">
      <c r="A2445" s="4108" t="inlineStr">
        <is>
          <t>135792468202009272501</t>
        </is>
      </c>
      <c r="B2445" s="4108" t="inlineStr">
        <is>
          <t>272501</t>
        </is>
      </c>
      <c r="C2445" s="4108" t="inlineStr">
        <is>
          <t>135792468</t>
        </is>
      </c>
      <c r="D2445" s="4108" t="inlineStr">
        <is>
          <t>202009</t>
        </is>
      </c>
      <c r="E2445" s="4108" t="inlineStr">
        <is>
          <t>0,000000000000</t>
        </is>
      </c>
    </row>
    <row outlineLevel="0" r="2446">
      <c r="A2446" s="4108" t="inlineStr">
        <is>
          <t>135792468202009279500</t>
        </is>
      </c>
      <c r="B2446" s="4108" t="inlineStr">
        <is>
          <t>279500</t>
        </is>
      </c>
      <c r="C2446" s="4108" t="inlineStr">
        <is>
          <t>135792468</t>
        </is>
      </c>
      <c r="D2446" s="4108" t="inlineStr">
        <is>
          <t>202009</t>
        </is>
      </c>
      <c r="E2446" s="4108" t="inlineStr">
        <is>
          <t>4,000000000000</t>
        </is>
      </c>
    </row>
    <row outlineLevel="0" r="2447">
      <c r="A2447" s="4108" t="inlineStr">
        <is>
          <t>135792468202009279501</t>
        </is>
      </c>
      <c r="B2447" s="4108" t="inlineStr">
        <is>
          <t>279501</t>
        </is>
      </c>
      <c r="C2447" s="4108" t="inlineStr">
        <is>
          <t>135792468</t>
        </is>
      </c>
      <c r="D2447" s="4108" t="inlineStr">
        <is>
          <t>202009</t>
        </is>
      </c>
      <c r="E2447" s="4108" t="inlineStr">
        <is>
          <t>0,000000000000</t>
        </is>
      </c>
    </row>
    <row outlineLevel="0" r="2448">
      <c r="A2448" s="4108" t="inlineStr">
        <is>
          <t>135792468202009281000</t>
        </is>
      </c>
      <c r="B2448" s="4108" t="inlineStr">
        <is>
          <t>281000</t>
        </is>
      </c>
      <c r="C2448" s="4108" t="inlineStr">
        <is>
          <t>135792468</t>
        </is>
      </c>
      <c r="D2448" s="4108" t="inlineStr">
        <is>
          <t>202009</t>
        </is>
      </c>
      <c r="E2448" s="4108" t="inlineStr">
        <is>
          <t>5,000000000000</t>
        </is>
      </c>
    </row>
    <row outlineLevel="0" r="2449">
      <c r="A2449" s="4108" t="inlineStr">
        <is>
          <t>135792468202009282500</t>
        </is>
      </c>
      <c r="B2449" s="4108" t="inlineStr">
        <is>
          <t>282500</t>
        </is>
      </c>
      <c r="C2449" s="4108" t="inlineStr">
        <is>
          <t>135792468</t>
        </is>
      </c>
      <c r="D2449" s="4108" t="inlineStr">
        <is>
          <t>202009</t>
        </is>
      </c>
      <c r="E2449" s="4108" t="inlineStr">
        <is>
          <t>7,000000000000</t>
        </is>
      </c>
    </row>
    <row outlineLevel="0" r="2450">
      <c r="A2450" s="4108" t="inlineStr">
        <is>
          <t>135792468202009282000</t>
        </is>
      </c>
      <c r="B2450" s="4108" t="inlineStr">
        <is>
          <t>282000</t>
        </is>
      </c>
      <c r="C2450" s="4108" t="inlineStr">
        <is>
          <t>135792468</t>
        </is>
      </c>
      <c r="D2450" s="4108" t="inlineStr">
        <is>
          <t>202009</t>
        </is>
      </c>
      <c r="E2450" s="4108" t="inlineStr">
        <is>
          <t>6,000000000000</t>
        </is>
      </c>
    </row>
    <row outlineLevel="0" r="2451">
      <c r="A2451" s="4108" t="inlineStr">
        <is>
          <t>135792468202009284000</t>
        </is>
      </c>
      <c r="B2451" s="4108" t="inlineStr">
        <is>
          <t>284000</t>
        </is>
      </c>
      <c r="C2451" s="4108" t="inlineStr">
        <is>
          <t>135792468</t>
        </is>
      </c>
      <c r="D2451" s="4108" t="inlineStr">
        <is>
          <t>202009</t>
        </is>
      </c>
      <c r="E2451" s="4108" t="inlineStr">
        <is>
          <t>8,000000000000</t>
        </is>
      </c>
    </row>
    <row outlineLevel="0" r="2452">
      <c r="A2452" s="4108" t="inlineStr">
        <is>
          <t>135792468202009289500</t>
        </is>
      </c>
      <c r="B2452" s="4108" t="inlineStr">
        <is>
          <t>289500</t>
        </is>
      </c>
      <c r="C2452" s="4108" t="inlineStr">
        <is>
          <t>135792468</t>
        </is>
      </c>
      <c r="D2452" s="4108" t="inlineStr">
        <is>
          <t>202009</t>
        </is>
      </c>
      <c r="E2452" s="4108" t="inlineStr">
        <is>
          <t>9,000000000000</t>
        </is>
      </c>
    </row>
    <row outlineLevel="0" r="2453">
      <c r="A2453" s="4108" t="inlineStr">
        <is>
          <t>135792468202009290501</t>
        </is>
      </c>
      <c r="B2453" s="4108" t="inlineStr">
        <is>
          <t>290501</t>
        </is>
      </c>
      <c r="C2453" s="4108" t="inlineStr">
        <is>
          <t>135792468</t>
        </is>
      </c>
      <c r="D2453" s="4108" t="inlineStr">
        <is>
          <t>202009</t>
        </is>
      </c>
      <c r="E2453" s="4108" t="inlineStr">
        <is>
          <t>0,000000000000</t>
        </is>
      </c>
    </row>
    <row outlineLevel="0" r="2454">
      <c r="A2454" s="4108" t="inlineStr">
        <is>
          <t>135792468202009291000</t>
        </is>
      </c>
      <c r="B2454" s="4108" t="inlineStr">
        <is>
          <t>291000</t>
        </is>
      </c>
      <c r="C2454" s="4108" t="inlineStr">
        <is>
          <t>135792468</t>
        </is>
      </c>
      <c r="D2454" s="4108" t="inlineStr">
        <is>
          <t>202009</t>
        </is>
      </c>
      <c r="E2454" s="4108" t="inlineStr">
        <is>
          <t>0,000000000000</t>
        </is>
      </c>
    </row>
    <row outlineLevel="0" r="2455">
      <c r="A2455" s="4108" t="inlineStr">
        <is>
          <t>135792468202009291501</t>
        </is>
      </c>
      <c r="B2455" s="4108" t="inlineStr">
        <is>
          <t>291501</t>
        </is>
      </c>
      <c r="C2455" s="4108" t="inlineStr">
        <is>
          <t>135792468</t>
        </is>
      </c>
      <c r="D2455" s="4108" t="inlineStr">
        <is>
          <t>202009</t>
        </is>
      </c>
      <c r="E2455" s="4108" t="inlineStr">
        <is>
          <t>0,000000000000</t>
        </is>
      </c>
    </row>
    <row outlineLevel="0" r="2456">
      <c r="A2456" s="4108" t="inlineStr">
        <is>
          <t>135792468202009291991</t>
        </is>
      </c>
      <c r="B2456" s="4108" t="inlineStr">
        <is>
          <t>291991</t>
        </is>
      </c>
      <c r="C2456" s="4108" t="inlineStr">
        <is>
          <t>135792468</t>
        </is>
      </c>
      <c r="D2456" s="4108" t="inlineStr">
        <is>
          <t>202009</t>
        </is>
      </c>
      <c r="E2456" s="4108" t="inlineStr">
        <is>
          <t>0,000000000000</t>
        </is>
      </c>
    </row>
    <row outlineLevel="0" r="2457">
      <c r="A2457" s="4108" t="inlineStr">
        <is>
          <t>135792468202009292001</t>
        </is>
      </c>
      <c r="B2457" s="4108" t="inlineStr">
        <is>
          <t>292001</t>
        </is>
      </c>
      <c r="C2457" s="4108" t="inlineStr">
        <is>
          <t>135792468</t>
        </is>
      </c>
      <c r="D2457" s="4108" t="inlineStr">
        <is>
          <t>202009</t>
        </is>
      </c>
      <c r="E2457" s="4108" t="inlineStr">
        <is>
          <t>0,000000000000</t>
        </is>
      </c>
    </row>
    <row outlineLevel="0" r="2458">
      <c r="A2458" s="4108" t="inlineStr">
        <is>
          <t>135792468202009292000</t>
        </is>
      </c>
      <c r="B2458" s="4108" t="inlineStr">
        <is>
          <t>292000</t>
        </is>
      </c>
      <c r="C2458" s="4108" t="inlineStr">
        <is>
          <t>135792468</t>
        </is>
      </c>
      <c r="D2458" s="4108" t="inlineStr">
        <is>
          <t>202009</t>
        </is>
      </c>
      <c r="E2458" s="4108" t="inlineStr">
        <is>
          <t>0,000000000000</t>
        </is>
      </c>
    </row>
    <row outlineLevel="0" r="2459">
      <c r="A2459" s="4108" t="inlineStr">
        <is>
          <t>135792468202009293000</t>
        </is>
      </c>
      <c r="B2459" s="4108" t="inlineStr">
        <is>
          <t>293000</t>
        </is>
      </c>
      <c r="C2459" s="4108" t="inlineStr">
        <is>
          <t>135792468</t>
        </is>
      </c>
      <c r="D2459" s="4108" t="inlineStr">
        <is>
          <t>202009</t>
        </is>
      </c>
      <c r="E2459" s="4108" t="inlineStr">
        <is>
          <t>0,000000000000</t>
        </is>
      </c>
    </row>
    <row outlineLevel="0" r="2460">
      <c r="A2460" s="4108" t="inlineStr">
        <is>
          <t>135792468202009294000</t>
        </is>
      </c>
      <c r="B2460" s="4108" t="inlineStr">
        <is>
          <t>294000</t>
        </is>
      </c>
      <c r="C2460" s="4108" t="inlineStr">
        <is>
          <t>135792468</t>
        </is>
      </c>
      <c r="D2460" s="4108" t="inlineStr">
        <is>
          <t>202009</t>
        </is>
      </c>
      <c r="E2460" s="4108" t="inlineStr">
        <is>
          <t>0,000000000000</t>
        </is>
      </c>
    </row>
    <row outlineLevel="0" r="2461">
      <c r="A2461" s="4108" t="inlineStr">
        <is>
          <t>135792468202009299501</t>
        </is>
      </c>
      <c r="B2461" s="4108" t="inlineStr">
        <is>
          <t>299501</t>
        </is>
      </c>
      <c r="C2461" s="4108" t="inlineStr">
        <is>
          <t>135792468</t>
        </is>
      </c>
      <c r="D2461" s="4108" t="inlineStr">
        <is>
          <t>202009</t>
        </is>
      </c>
      <c r="E2461" s="4108" t="inlineStr">
        <is>
          <t>0,000000000000</t>
        </is>
      </c>
    </row>
    <row outlineLevel="0" r="2462">
      <c r="A2462" s="4108" t="inlineStr">
        <is>
          <t>135792468202009310500</t>
        </is>
      </c>
      <c r="B2462" s="4108" t="inlineStr">
        <is>
          <t>310500</t>
        </is>
      </c>
      <c r="C2462" s="4108" t="inlineStr">
        <is>
          <t>135792468</t>
        </is>
      </c>
      <c r="D2462" s="4108" t="inlineStr">
        <is>
          <t>202009</t>
        </is>
      </c>
      <c r="E2462" s="4108" t="inlineStr">
        <is>
          <t>0,000000000000</t>
        </is>
      </c>
    </row>
    <row outlineLevel="0" r="2463">
      <c r="A2463" s="4108" t="inlineStr">
        <is>
          <t>135792468202009311500</t>
        </is>
      </c>
      <c r="B2463" s="4108" t="inlineStr">
        <is>
          <t>311500</t>
        </is>
      </c>
      <c r="C2463" s="4108" t="inlineStr">
        <is>
          <t>135792468</t>
        </is>
      </c>
      <c r="D2463" s="4108" t="inlineStr">
        <is>
          <t>202009</t>
        </is>
      </c>
      <c r="E2463" s="4108" t="inlineStr">
        <is>
          <t>0,000000000000</t>
        </is>
      </c>
    </row>
    <row outlineLevel="0" r="2464">
      <c r="A2464" s="4108" t="inlineStr">
        <is>
          <t>135792468202009312000</t>
        </is>
      </c>
      <c r="B2464" s="4108" t="inlineStr">
        <is>
          <t>312000</t>
        </is>
      </c>
      <c r="C2464" s="4108" t="inlineStr">
        <is>
          <t>135792468</t>
        </is>
      </c>
      <c r="D2464" s="4108" t="inlineStr">
        <is>
          <t>202009</t>
        </is>
      </c>
      <c r="E2464" s="4108" t="inlineStr">
        <is>
          <t>0,000000000000</t>
        </is>
      </c>
    </row>
    <row outlineLevel="0" r="2465">
      <c r="A2465" s="4108" t="inlineStr">
        <is>
          <t>135792468202009313000</t>
        </is>
      </c>
      <c r="B2465" s="4108" t="inlineStr">
        <is>
          <t>313000</t>
        </is>
      </c>
      <c r="C2465" s="4108" t="inlineStr">
        <is>
          <t>135792468</t>
        </is>
      </c>
      <c r="D2465" s="4108" t="inlineStr">
        <is>
          <t>202009</t>
        </is>
      </c>
      <c r="E2465" s="4108" t="inlineStr">
        <is>
          <t>0,000000000000</t>
        </is>
      </c>
    </row>
    <row outlineLevel="0" r="2466">
      <c r="A2466" s="4108" t="inlineStr">
        <is>
          <t>135792468202009312500</t>
        </is>
      </c>
      <c r="B2466" s="4108" t="inlineStr">
        <is>
          <t>312500</t>
        </is>
      </c>
      <c r="C2466" s="4108" t="inlineStr">
        <is>
          <t>135792468</t>
        </is>
      </c>
      <c r="D2466" s="4108" t="inlineStr">
        <is>
          <t>202009</t>
        </is>
      </c>
      <c r="E2466" s="4108" t="inlineStr">
        <is>
          <t>0,000000000000</t>
        </is>
      </c>
    </row>
    <row outlineLevel="0" r="2467">
      <c r="A2467" s="4108" t="inlineStr">
        <is>
          <t>135792468202009313500</t>
        </is>
      </c>
      <c r="B2467" s="4108" t="inlineStr">
        <is>
          <t>313500</t>
        </is>
      </c>
      <c r="C2467" s="4108" t="inlineStr">
        <is>
          <t>135792468</t>
        </is>
      </c>
      <c r="D2467" s="4108" t="inlineStr">
        <is>
          <t>202009</t>
        </is>
      </c>
      <c r="E2467" s="4108" t="inlineStr">
        <is>
          <t>0,000000000000</t>
        </is>
      </c>
    </row>
    <row outlineLevel="0" r="2468">
      <c r="A2468" s="4108" t="inlineStr">
        <is>
          <t>135792468202009314000</t>
        </is>
      </c>
      <c r="B2468" s="4108" t="inlineStr">
        <is>
          <t>314000</t>
        </is>
      </c>
      <c r="C2468" s="4108" t="inlineStr">
        <is>
          <t>135792468</t>
        </is>
      </c>
      <c r="D2468" s="4108" t="inlineStr">
        <is>
          <t>202009</t>
        </is>
      </c>
      <c r="E2468" s="4108" t="inlineStr">
        <is>
          <t>0,000000000000</t>
        </is>
      </c>
    </row>
    <row outlineLevel="0" r="2469">
      <c r="A2469" s="4108" t="inlineStr">
        <is>
          <t>135792468202009320500</t>
        </is>
      </c>
      <c r="B2469" s="4108" t="inlineStr">
        <is>
          <t>320500</t>
        </is>
      </c>
      <c r="C2469" s="4108" t="inlineStr">
        <is>
          <t>135792468</t>
        </is>
      </c>
      <c r="D2469" s="4108" t="inlineStr">
        <is>
          <t>202009</t>
        </is>
      </c>
      <c r="E2469" s="4108" t="inlineStr">
        <is>
          <t>100,000000000000</t>
        </is>
      </c>
    </row>
    <row outlineLevel="0" r="2470">
      <c r="A2470" s="4108" t="inlineStr">
        <is>
          <t>135792468202009321000</t>
        </is>
      </c>
      <c r="B2470" s="4108" t="inlineStr">
        <is>
          <t>321000</t>
        </is>
      </c>
      <c r="C2470" s="4108" t="inlineStr">
        <is>
          <t>135792468</t>
        </is>
      </c>
      <c r="D2470" s="4108" t="inlineStr">
        <is>
          <t>202009</t>
        </is>
      </c>
      <c r="E2470" s="4108" t="inlineStr">
        <is>
          <t>0,000000000000</t>
        </is>
      </c>
    </row>
    <row outlineLevel="0" r="2471">
      <c r="A2471" s="4108" t="inlineStr">
        <is>
          <t>135792468202009321500</t>
        </is>
      </c>
      <c r="B2471" s="4108" t="inlineStr">
        <is>
          <t>321500</t>
        </is>
      </c>
      <c r="C2471" s="4108" t="inlineStr">
        <is>
          <t>135792468</t>
        </is>
      </c>
      <c r="D2471" s="4108" t="inlineStr">
        <is>
          <t>202009</t>
        </is>
      </c>
      <c r="E2471" s="4108" t="inlineStr">
        <is>
          <t>0,000000000000</t>
        </is>
      </c>
    </row>
    <row outlineLevel="0" r="2472">
      <c r="A2472" s="4108" t="inlineStr">
        <is>
          <t>135792468202009322000</t>
        </is>
      </c>
      <c r="B2472" s="4108" t="inlineStr">
        <is>
          <t>322000</t>
        </is>
      </c>
      <c r="C2472" s="4108" t="inlineStr">
        <is>
          <t>135792468</t>
        </is>
      </c>
      <c r="D2472" s="4108" t="inlineStr">
        <is>
          <t>202009</t>
        </is>
      </c>
      <c r="E2472" s="4108" t="inlineStr">
        <is>
          <t>0,000000000000</t>
        </is>
      </c>
    </row>
    <row outlineLevel="0" r="2473">
      <c r="A2473" s="4108" t="inlineStr">
        <is>
          <t>135792468202009330500</t>
        </is>
      </c>
      <c r="B2473" s="4108" t="inlineStr">
        <is>
          <t>330500</t>
        </is>
      </c>
      <c r="C2473" s="4108" t="inlineStr">
        <is>
          <t>135792468</t>
        </is>
      </c>
      <c r="D2473" s="4108" t="inlineStr">
        <is>
          <t>202009</t>
        </is>
      </c>
      <c r="E2473" s="4108" t="inlineStr">
        <is>
          <t>-2,000000000000</t>
        </is>
      </c>
    </row>
    <row outlineLevel="0" r="2474">
      <c r="A2474" s="4108" t="inlineStr">
        <is>
          <t>135792468202009322500</t>
        </is>
      </c>
      <c r="B2474" s="4108" t="inlineStr">
        <is>
          <t>322500</t>
        </is>
      </c>
      <c r="C2474" s="4108" t="inlineStr">
        <is>
          <t>135792468</t>
        </is>
      </c>
      <c r="D2474" s="4108" t="inlineStr">
        <is>
          <t>202009</t>
        </is>
      </c>
      <c r="E2474" s="4108" t="inlineStr">
        <is>
          <t>0,000000000000</t>
        </is>
      </c>
    </row>
    <row outlineLevel="0" r="2475">
      <c r="A2475" s="4108" t="inlineStr">
        <is>
          <t>135792468202009331000</t>
        </is>
      </c>
      <c r="B2475" s="4108" t="inlineStr">
        <is>
          <t>331000</t>
        </is>
      </c>
      <c r="C2475" s="4108" t="inlineStr">
        <is>
          <t>135792468</t>
        </is>
      </c>
      <c r="D2475" s="4108" t="inlineStr">
        <is>
          <t>202009</t>
        </is>
      </c>
      <c r="E2475" s="4108" t="inlineStr">
        <is>
          <t>-2,000000000000</t>
        </is>
      </c>
    </row>
    <row outlineLevel="0" r="2476">
      <c r="A2476" s="4108" t="inlineStr">
        <is>
          <t>135792468202009331500</t>
        </is>
      </c>
      <c r="B2476" s="4108" t="inlineStr">
        <is>
          <t>331500</t>
        </is>
      </c>
      <c r="C2476" s="4108" t="inlineStr">
        <is>
          <t>135792468</t>
        </is>
      </c>
      <c r="D2476" s="4108" t="inlineStr">
        <is>
          <t>202009</t>
        </is>
      </c>
      <c r="E2476" s="4108" t="inlineStr">
        <is>
          <t>-2,000000000000</t>
        </is>
      </c>
    </row>
    <row outlineLevel="0" r="2477">
      <c r="A2477" s="4108" t="inlineStr">
        <is>
          <t>135792468202009340505</t>
        </is>
      </c>
      <c r="B2477" s="4108" t="inlineStr">
        <is>
          <t>340505</t>
        </is>
      </c>
      <c r="C2477" s="4108" t="inlineStr">
        <is>
          <t>135792468</t>
        </is>
      </c>
      <c r="D2477" s="4108" t="inlineStr">
        <is>
          <t>202009</t>
        </is>
      </c>
      <c r="E2477" s="4108" t="inlineStr">
        <is>
          <t>0,000000000000</t>
        </is>
      </c>
    </row>
    <row outlineLevel="0" r="2478">
      <c r="A2478" s="4108" t="inlineStr">
        <is>
          <t>135792468202009340515</t>
        </is>
      </c>
      <c r="B2478" s="4108" t="inlineStr">
        <is>
          <t>340515</t>
        </is>
      </c>
      <c r="C2478" s="4108" t="inlineStr">
        <is>
          <t>135792468</t>
        </is>
      </c>
      <c r="D2478" s="4108" t="inlineStr">
        <is>
          <t>202009</t>
        </is>
      </c>
      <c r="E2478" s="4108" t="inlineStr">
        <is>
          <t>0,000000000000</t>
        </is>
      </c>
    </row>
    <row outlineLevel="0" r="2479">
      <c r="A2479" s="4108" t="inlineStr">
        <is>
          <t>135792468202009349500</t>
        </is>
      </c>
      <c r="B2479" s="4108" t="inlineStr">
        <is>
          <t>349500</t>
        </is>
      </c>
      <c r="C2479" s="4108" t="inlineStr">
        <is>
          <t>135792468</t>
        </is>
      </c>
      <c r="D2479" s="4108" t="inlineStr">
        <is>
          <t>202009</t>
        </is>
      </c>
      <c r="E2479" s="4108" t="inlineStr">
        <is>
          <t>0,000000000000</t>
        </is>
      </c>
    </row>
    <row outlineLevel="0" r="2480">
      <c r="A2480" s="4108" t="inlineStr">
        <is>
          <t>135792468202009410500</t>
        </is>
      </c>
      <c r="B2480" s="4108" t="inlineStr">
        <is>
          <t>410500</t>
        </is>
      </c>
      <c r="C2480" s="4108" t="inlineStr">
        <is>
          <t>135792468</t>
        </is>
      </c>
      <c r="D2480" s="4108" t="inlineStr">
        <is>
          <t>202009</t>
        </is>
      </c>
      <c r="E2480" s="4108" t="inlineStr">
        <is>
          <t>4000,000000000000</t>
        </is>
      </c>
    </row>
    <row outlineLevel="0" r="2481">
      <c r="A2481" s="4108" t="inlineStr">
        <is>
          <t>135792468202009420500</t>
        </is>
      </c>
      <c r="B2481" s="4108" t="inlineStr">
        <is>
          <t>420500</t>
        </is>
      </c>
      <c r="C2481" s="4108" t="inlineStr">
        <is>
          <t>135792468</t>
        </is>
      </c>
      <c r="D2481" s="4108" t="inlineStr">
        <is>
          <t>202009</t>
        </is>
      </c>
      <c r="E2481" s="4108" t="inlineStr">
        <is>
          <t>0,000000000000</t>
        </is>
      </c>
    </row>
    <row outlineLevel="0" r="2482">
      <c r="A2482" s="4108" t="inlineStr">
        <is>
          <t>135792468202009411000</t>
        </is>
      </c>
      <c r="B2482" s="4108" t="inlineStr">
        <is>
          <t>411000</t>
        </is>
      </c>
      <c r="C2482" s="4108" t="inlineStr">
        <is>
          <t>135792468</t>
        </is>
      </c>
      <c r="D2482" s="4108" t="inlineStr">
        <is>
          <t>202009</t>
        </is>
      </c>
      <c r="E2482" s="4108" t="inlineStr">
        <is>
          <t>0,000000000000</t>
        </is>
      </c>
    </row>
    <row outlineLevel="0" r="2483">
      <c r="A2483" s="4108" t="inlineStr">
        <is>
          <t>135792468202009421000</t>
        </is>
      </c>
      <c r="B2483" s="4108" t="inlineStr">
        <is>
          <t>421000</t>
        </is>
      </c>
      <c r="C2483" s="4108" t="inlineStr">
        <is>
          <t>135792468</t>
        </is>
      </c>
      <c r="D2483" s="4108" t="inlineStr">
        <is>
          <t>202009</t>
        </is>
      </c>
      <c r="E2483" s="4108" t="inlineStr">
        <is>
          <t>50,000000000000</t>
        </is>
      </c>
    </row>
    <row outlineLevel="0" r="2484">
      <c r="A2484" s="4108" t="inlineStr">
        <is>
          <t>135792468202009421020</t>
        </is>
      </c>
      <c r="B2484" s="4108" t="inlineStr">
        <is>
          <t>421020</t>
        </is>
      </c>
      <c r="C2484" s="4108" t="inlineStr">
        <is>
          <t>135792468</t>
        </is>
      </c>
      <c r="D2484" s="4108" t="inlineStr">
        <is>
          <t>202009</t>
        </is>
      </c>
      <c r="E2484" s="4108" t="inlineStr">
        <is>
          <t>0,000000000000</t>
        </is>
      </c>
    </row>
    <row outlineLevel="0" r="2485">
      <c r="A2485" s="4108" t="inlineStr">
        <is>
          <t>135792468202009421040</t>
        </is>
      </c>
      <c r="B2485" s="4108" t="inlineStr">
        <is>
          <t>421040</t>
        </is>
      </c>
      <c r="C2485" s="4108" t="inlineStr">
        <is>
          <t>135792468</t>
        </is>
      </c>
      <c r="D2485" s="4108" t="inlineStr">
        <is>
          <t>202009</t>
        </is>
      </c>
      <c r="E2485" s="4108" t="inlineStr">
        <is>
          <t>0,000000000000</t>
        </is>
      </c>
    </row>
    <row outlineLevel="0" r="2486">
      <c r="A2486" s="4108" t="inlineStr">
        <is>
          <t>135792468202009421500</t>
        </is>
      </c>
      <c r="B2486" s="4108" t="inlineStr">
        <is>
          <t>421500</t>
        </is>
      </c>
      <c r="C2486" s="4108" t="inlineStr">
        <is>
          <t>135792468</t>
        </is>
      </c>
      <c r="D2486" s="4108" t="inlineStr">
        <is>
          <t>202009</t>
        </is>
      </c>
      <c r="E2486" s="4108" t="inlineStr">
        <is>
          <t>0,000000000000</t>
        </is>
      </c>
    </row>
    <row outlineLevel="0" r="2487">
      <c r="A2487" s="4108" t="inlineStr">
        <is>
          <t>135792468202009422000</t>
        </is>
      </c>
      <c r="B2487" s="4108" t="inlineStr">
        <is>
          <t>422000</t>
        </is>
      </c>
      <c r="C2487" s="4108" t="inlineStr">
        <is>
          <t>135792468</t>
        </is>
      </c>
      <c r="D2487" s="4108" t="inlineStr">
        <is>
          <t>202009</t>
        </is>
      </c>
      <c r="E2487" s="4108" t="inlineStr">
        <is>
          <t>0,000000000000</t>
        </is>
      </c>
    </row>
    <row outlineLevel="0" r="2488">
      <c r="A2488" s="4108" t="inlineStr">
        <is>
          <t>135792468202009422500</t>
        </is>
      </c>
      <c r="B2488" s="4108" t="inlineStr">
        <is>
          <t>422500</t>
        </is>
      </c>
      <c r="C2488" s="4108" t="inlineStr">
        <is>
          <t>135792468</t>
        </is>
      </c>
      <c r="D2488" s="4108" t="inlineStr">
        <is>
          <t>202009</t>
        </is>
      </c>
      <c r="E2488" s="4108" t="inlineStr">
        <is>
          <t>0,000000000000</t>
        </is>
      </c>
    </row>
    <row outlineLevel="0" r="2489">
      <c r="A2489" s="4108" t="inlineStr">
        <is>
          <t>135792468202009424000</t>
        </is>
      </c>
      <c r="B2489" s="4108" t="inlineStr">
        <is>
          <t>424000</t>
        </is>
      </c>
      <c r="C2489" s="4108" t="inlineStr">
        <is>
          <t>135792468</t>
        </is>
      </c>
      <c r="D2489" s="4108" t="inlineStr">
        <is>
          <t>202009</t>
        </is>
      </c>
      <c r="E2489" s="4108" t="inlineStr">
        <is>
          <t>0,000000000000</t>
        </is>
      </c>
    </row>
    <row outlineLevel="0" r="2490">
      <c r="A2490" s="4108" t="inlineStr">
        <is>
          <t>135792468202009423500</t>
        </is>
      </c>
      <c r="B2490" s="4108" t="inlineStr">
        <is>
          <t>423500</t>
        </is>
      </c>
      <c r="C2490" s="4108" t="inlineStr">
        <is>
          <t>135792468</t>
        </is>
      </c>
      <c r="D2490" s="4108" t="inlineStr">
        <is>
          <t>202009</t>
        </is>
      </c>
      <c r="E2490" s="4108" t="inlineStr">
        <is>
          <t>0,000000000000</t>
        </is>
      </c>
    </row>
    <row outlineLevel="0" r="2491">
      <c r="A2491" s="4108" t="inlineStr">
        <is>
          <t>135792468202009425000</t>
        </is>
      </c>
      <c r="B2491" s="4108" t="inlineStr">
        <is>
          <t>425000</t>
        </is>
      </c>
      <c r="C2491" s="4108" t="inlineStr">
        <is>
          <t>135792468</t>
        </is>
      </c>
      <c r="D2491" s="4108" t="inlineStr">
        <is>
          <t>202009</t>
        </is>
      </c>
      <c r="E2491" s="4108" t="inlineStr">
        <is>
          <t>0,000000000000</t>
        </is>
      </c>
    </row>
    <row outlineLevel="0" r="2492">
      <c r="A2492" s="4108" t="inlineStr">
        <is>
          <t>135792468202009426500</t>
        </is>
      </c>
      <c r="B2492" s="4108" t="inlineStr">
        <is>
          <t>426500</t>
        </is>
      </c>
      <c r="C2492" s="4108" t="inlineStr">
        <is>
          <t>135792468</t>
        </is>
      </c>
      <c r="D2492" s="4108" t="inlineStr">
        <is>
          <t>202009</t>
        </is>
      </c>
      <c r="E2492" s="4108" t="inlineStr">
        <is>
          <t>0,000000000000</t>
        </is>
      </c>
    </row>
    <row outlineLevel="0" r="2493">
      <c r="A2493" s="4108" t="inlineStr">
        <is>
          <t>135792468202009429500</t>
        </is>
      </c>
      <c r="B2493" s="4108" t="inlineStr">
        <is>
          <t>429500</t>
        </is>
      </c>
      <c r="C2493" s="4108" t="inlineStr">
        <is>
          <t>135792468</t>
        </is>
      </c>
      <c r="D2493" s="4108" t="inlineStr">
        <is>
          <t>202009</t>
        </is>
      </c>
      <c r="E2493" s="4108" t="inlineStr">
        <is>
          <t>0,000000000000</t>
        </is>
      </c>
    </row>
    <row outlineLevel="0" r="2494">
      <c r="A2494" s="4108" t="inlineStr">
        <is>
          <t>135792468202009510500</t>
        </is>
      </c>
      <c r="B2494" s="4108" t="inlineStr">
        <is>
          <t>510500</t>
        </is>
      </c>
      <c r="C2494" s="4108" t="inlineStr">
        <is>
          <t>135792468</t>
        </is>
      </c>
      <c r="D2494" s="4108" t="inlineStr">
        <is>
          <t>202009</t>
        </is>
      </c>
      <c r="E2494" s="4108" t="inlineStr">
        <is>
          <t>9000,000000000000</t>
        </is>
      </c>
    </row>
    <row outlineLevel="0" r="2495">
      <c r="A2495" s="4108" t="inlineStr">
        <is>
          <t>135792468202009511000</t>
        </is>
      </c>
      <c r="B2495" s="4108" t="inlineStr">
        <is>
          <t>511000</t>
        </is>
      </c>
      <c r="C2495" s="4108" t="inlineStr">
        <is>
          <t>135792468</t>
        </is>
      </c>
      <c r="D2495" s="4108" t="inlineStr">
        <is>
          <t>202009</t>
        </is>
      </c>
      <c r="E2495" s="4108" t="inlineStr">
        <is>
          <t>440,000000000000</t>
        </is>
      </c>
    </row>
    <row outlineLevel="0" r="2496">
      <c r="A2496" s="4108" t="inlineStr">
        <is>
          <t>135792468202009511500</t>
        </is>
      </c>
      <c r="B2496" s="4108" t="inlineStr">
        <is>
          <t>511500</t>
        </is>
      </c>
      <c r="C2496" s="4108" t="inlineStr">
        <is>
          <t>135792468</t>
        </is>
      </c>
      <c r="D2496" s="4108" t="inlineStr">
        <is>
          <t>202009</t>
        </is>
      </c>
      <c r="E2496" s="4108" t="inlineStr">
        <is>
          <t>0,000000000000</t>
        </is>
      </c>
    </row>
    <row outlineLevel="0" r="2497">
      <c r="A2497" s="4108" t="inlineStr">
        <is>
          <t>135792468202009512500</t>
        </is>
      </c>
      <c r="B2497" s="4108" t="inlineStr">
        <is>
          <t>512500</t>
        </is>
      </c>
      <c r="C2497" s="4108" t="inlineStr">
        <is>
          <t>135792468</t>
        </is>
      </c>
      <c r="D2497" s="4108" t="inlineStr">
        <is>
          <t>202009</t>
        </is>
      </c>
      <c r="E2497" s="4108" t="inlineStr">
        <is>
          <t>0,000000000000</t>
        </is>
      </c>
    </row>
    <row outlineLevel="0" r="2498">
      <c r="A2498" s="4108" t="inlineStr">
        <is>
          <t>135792468202009512000</t>
        </is>
      </c>
      <c r="B2498" s="4108" t="inlineStr">
        <is>
          <t>512000</t>
        </is>
      </c>
      <c r="C2498" s="4108" t="inlineStr">
        <is>
          <t>135792468</t>
        </is>
      </c>
      <c r="D2498" s="4108" t="inlineStr">
        <is>
          <t>202009</t>
        </is>
      </c>
      <c r="E2498" s="4108" t="inlineStr">
        <is>
          <t>0,000000000000</t>
        </is>
      </c>
    </row>
    <row outlineLevel="0" r="2499">
      <c r="A2499" s="4108" t="inlineStr">
        <is>
          <t>135792468202009513000</t>
        </is>
      </c>
      <c r="B2499" s="4108" t="inlineStr">
        <is>
          <t>513000</t>
        </is>
      </c>
      <c r="C2499" s="4108" t="inlineStr">
        <is>
          <t>135792468</t>
        </is>
      </c>
      <c r="D2499" s="4108" t="inlineStr">
        <is>
          <t>202009</t>
        </is>
      </c>
      <c r="E2499" s="4108" t="inlineStr">
        <is>
          <t>0,000000000000</t>
        </is>
      </c>
    </row>
    <row outlineLevel="0" r="2500">
      <c r="A2500" s="4108" t="inlineStr">
        <is>
          <t>135792468202009513500</t>
        </is>
      </c>
      <c r="B2500" s="4108" t="inlineStr">
        <is>
          <t>513500</t>
        </is>
      </c>
      <c r="C2500" s="4108" t="inlineStr">
        <is>
          <t>135792468</t>
        </is>
      </c>
      <c r="D2500" s="4108" t="inlineStr">
        <is>
          <t>202009</t>
        </is>
      </c>
      <c r="E2500" s="4108" t="inlineStr">
        <is>
          <t>0,000000000000</t>
        </is>
      </c>
    </row>
    <row outlineLevel="0" r="2501">
      <c r="A2501" s="4108" t="inlineStr">
        <is>
          <t>135792468202009514000</t>
        </is>
      </c>
      <c r="B2501" s="4108" t="inlineStr">
        <is>
          <t>514000</t>
        </is>
      </c>
      <c r="C2501" s="4108" t="inlineStr">
        <is>
          <t>135792468</t>
        </is>
      </c>
      <c r="D2501" s="4108" t="inlineStr">
        <is>
          <t>202009</t>
        </is>
      </c>
      <c r="E2501" s="4108" t="inlineStr">
        <is>
          <t>0,000000000000</t>
        </is>
      </c>
    </row>
    <row outlineLevel="0" r="2502">
      <c r="A2502" s="4108" t="inlineStr">
        <is>
          <t>135792468202009514500</t>
        </is>
      </c>
      <c r="B2502" s="4108" t="inlineStr">
        <is>
          <t>514500</t>
        </is>
      </c>
      <c r="C2502" s="4108" t="inlineStr">
        <is>
          <t>135792468</t>
        </is>
      </c>
      <c r="D2502" s="4108" t="inlineStr">
        <is>
          <t>202009</t>
        </is>
      </c>
      <c r="E2502" s="4108" t="inlineStr">
        <is>
          <t>0,000000000000</t>
        </is>
      </c>
    </row>
    <row outlineLevel="0" r="2503">
      <c r="A2503" s="4108" t="inlineStr">
        <is>
          <t>135792468202009515000</t>
        </is>
      </c>
      <c r="B2503" s="4108" t="inlineStr">
        <is>
          <t>515000</t>
        </is>
      </c>
      <c r="C2503" s="4108" t="inlineStr">
        <is>
          <t>135792468</t>
        </is>
      </c>
      <c r="D2503" s="4108" t="inlineStr">
        <is>
          <t>202009</t>
        </is>
      </c>
      <c r="E2503" s="4108" t="inlineStr">
        <is>
          <t>0,000000000000</t>
        </is>
      </c>
    </row>
    <row outlineLevel="0" r="2504">
      <c r="A2504" s="4108" t="inlineStr">
        <is>
          <t>135792468202009515500</t>
        </is>
      </c>
      <c r="B2504" s="4108" t="inlineStr">
        <is>
          <t>515500</t>
        </is>
      </c>
      <c r="C2504" s="4108" t="inlineStr">
        <is>
          <t>135792468</t>
        </is>
      </c>
      <c r="D2504" s="4108" t="inlineStr">
        <is>
          <t>202009</t>
        </is>
      </c>
      <c r="E2504" s="4108" t="inlineStr">
        <is>
          <t>0,000000000000</t>
        </is>
      </c>
    </row>
    <row outlineLevel="0" r="2505">
      <c r="A2505" s="4108" t="inlineStr">
        <is>
          <t>135792468202009516500</t>
        </is>
      </c>
      <c r="B2505" s="4108" t="inlineStr">
        <is>
          <t>516500</t>
        </is>
      </c>
      <c r="C2505" s="4108" t="inlineStr">
        <is>
          <t>135792468</t>
        </is>
      </c>
      <c r="D2505" s="4108" t="inlineStr">
        <is>
          <t>202009</t>
        </is>
      </c>
      <c r="E2505" s="4108" t="inlineStr">
        <is>
          <t>0,000000000000</t>
        </is>
      </c>
    </row>
    <row outlineLevel="0" r="2506">
      <c r="A2506" s="4108" t="inlineStr">
        <is>
          <t>135792468202009516000</t>
        </is>
      </c>
      <c r="B2506" s="4108" t="inlineStr">
        <is>
          <t>516000</t>
        </is>
      </c>
      <c r="C2506" s="4108" t="inlineStr">
        <is>
          <t>135792468</t>
        </is>
      </c>
      <c r="D2506" s="4108" t="inlineStr">
        <is>
          <t>202009</t>
        </is>
      </c>
      <c r="E2506" s="4108" t="inlineStr">
        <is>
          <t>0,000000000000</t>
        </is>
      </c>
    </row>
    <row outlineLevel="0" r="2507">
      <c r="A2507" s="4108" t="inlineStr">
        <is>
          <t>135792468202009519500</t>
        </is>
      </c>
      <c r="B2507" s="4108" t="inlineStr">
        <is>
          <t>519500</t>
        </is>
      </c>
      <c r="C2507" s="4108" t="inlineStr">
        <is>
          <t>135792468</t>
        </is>
      </c>
      <c r="D2507" s="4108" t="inlineStr">
        <is>
          <t>202009</t>
        </is>
      </c>
      <c r="E2507" s="4108" t="inlineStr">
        <is>
          <t>0,000000000000</t>
        </is>
      </c>
    </row>
    <row outlineLevel="0" r="2508">
      <c r="A2508" s="4108" t="inlineStr">
        <is>
          <t>135792468202009519900</t>
        </is>
      </c>
      <c r="B2508" s="4108" t="inlineStr">
        <is>
          <t>519900</t>
        </is>
      </c>
      <c r="C2508" s="4108" t="inlineStr">
        <is>
          <t>135792468</t>
        </is>
      </c>
      <c r="D2508" s="4108" t="inlineStr">
        <is>
          <t>202009</t>
        </is>
      </c>
      <c r="E2508" s="4108" t="inlineStr">
        <is>
          <t>0,000000000000</t>
        </is>
      </c>
    </row>
    <row outlineLevel="0" r="2509">
      <c r="A2509" s="4108" t="inlineStr">
        <is>
          <t>135792468202009520500</t>
        </is>
      </c>
      <c r="B2509" s="4108" t="inlineStr">
        <is>
          <t>520500</t>
        </is>
      </c>
      <c r="C2509" s="4108" t="inlineStr">
        <is>
          <t>135792468</t>
        </is>
      </c>
      <c r="D2509" s="4108" t="inlineStr">
        <is>
          <t>202009</t>
        </is>
      </c>
      <c r="E2509" s="4108" t="inlineStr">
        <is>
          <t>0,000000000000</t>
        </is>
      </c>
    </row>
    <row outlineLevel="0" r="2510">
      <c r="A2510" s="4108" t="inlineStr">
        <is>
          <t>135792468202009521000</t>
        </is>
      </c>
      <c r="B2510" s="4108" t="inlineStr">
        <is>
          <t>521000</t>
        </is>
      </c>
      <c r="C2510" s="4108" t="inlineStr">
        <is>
          <t>135792468</t>
        </is>
      </c>
      <c r="D2510" s="4108" t="inlineStr">
        <is>
          <t>202009</t>
        </is>
      </c>
      <c r="E2510" s="4108" t="inlineStr">
        <is>
          <t>0,000000000000</t>
        </is>
      </c>
    </row>
    <row outlineLevel="0" r="2511">
      <c r="A2511" s="4108" t="inlineStr">
        <is>
          <t>135792468202009521500</t>
        </is>
      </c>
      <c r="B2511" s="4108" t="inlineStr">
        <is>
          <t>521500</t>
        </is>
      </c>
      <c r="C2511" s="4108" t="inlineStr">
        <is>
          <t>135792468</t>
        </is>
      </c>
      <c r="D2511" s="4108" t="inlineStr">
        <is>
          <t>202009</t>
        </is>
      </c>
      <c r="E2511" s="4108" t="inlineStr">
        <is>
          <t>0,000000000000</t>
        </is>
      </c>
    </row>
    <row outlineLevel="0" r="2512">
      <c r="A2512" s="4108" t="inlineStr">
        <is>
          <t>135792468202009522000</t>
        </is>
      </c>
      <c r="B2512" s="4108" t="inlineStr">
        <is>
          <t>522000</t>
        </is>
      </c>
      <c r="C2512" s="4108" t="inlineStr">
        <is>
          <t>135792468</t>
        </is>
      </c>
      <c r="D2512" s="4108" t="inlineStr">
        <is>
          <t>202009</t>
        </is>
      </c>
      <c r="E2512" s="4108" t="inlineStr">
        <is>
          <t>0,000000000000</t>
        </is>
      </c>
    </row>
    <row outlineLevel="0" r="2513">
      <c r="A2513" s="4108" t="inlineStr">
        <is>
          <t>135792468202009523000</t>
        </is>
      </c>
      <c r="B2513" s="4108" t="inlineStr">
        <is>
          <t>523000</t>
        </is>
      </c>
      <c r="C2513" s="4108" t="inlineStr">
        <is>
          <t>135792468</t>
        </is>
      </c>
      <c r="D2513" s="4108" t="inlineStr">
        <is>
          <t>202009</t>
        </is>
      </c>
      <c r="E2513" s="4108" t="inlineStr">
        <is>
          <t>0,000000000000</t>
        </is>
      </c>
    </row>
    <row outlineLevel="0" r="2514">
      <c r="A2514" s="4108" t="inlineStr">
        <is>
          <t>135792468202009522500</t>
        </is>
      </c>
      <c r="B2514" s="4108" t="inlineStr">
        <is>
          <t>522500</t>
        </is>
      </c>
      <c r="C2514" s="4108" t="inlineStr">
        <is>
          <t>135792468</t>
        </is>
      </c>
      <c r="D2514" s="4108" t="inlineStr">
        <is>
          <t>202009</t>
        </is>
      </c>
      <c r="E2514" s="4108" t="inlineStr">
        <is>
          <t>0,000000000000</t>
        </is>
      </c>
    </row>
    <row outlineLevel="0" r="2515">
      <c r="A2515" s="4108" t="inlineStr">
        <is>
          <t>135792468202009523500</t>
        </is>
      </c>
      <c r="B2515" s="4108" t="inlineStr">
        <is>
          <t>523500</t>
        </is>
      </c>
      <c r="C2515" s="4108" t="inlineStr">
        <is>
          <t>135792468</t>
        </is>
      </c>
      <c r="D2515" s="4108" t="inlineStr">
        <is>
          <t>202009</t>
        </is>
      </c>
      <c r="E2515" s="4108" t="inlineStr">
        <is>
          <t>0,000000000000</t>
        </is>
      </c>
    </row>
    <row outlineLevel="0" r="2516">
      <c r="A2516" s="4108" t="inlineStr">
        <is>
          <t>135792468202009524000</t>
        </is>
      </c>
      <c r="B2516" s="4108" t="inlineStr">
        <is>
          <t>524000</t>
        </is>
      </c>
      <c r="C2516" s="4108" t="inlineStr">
        <is>
          <t>135792468</t>
        </is>
      </c>
      <c r="D2516" s="4108" t="inlineStr">
        <is>
          <t>202009</t>
        </is>
      </c>
      <c r="E2516" s="4108" t="inlineStr">
        <is>
          <t>0,000000000000</t>
        </is>
      </c>
    </row>
    <row outlineLevel="0" r="2517">
      <c r="A2517" s="4108" t="inlineStr">
        <is>
          <t>135792468202009524500</t>
        </is>
      </c>
      <c r="B2517" s="4108" t="inlineStr">
        <is>
          <t>524500</t>
        </is>
      </c>
      <c r="C2517" s="4108" t="inlineStr">
        <is>
          <t>135792468</t>
        </is>
      </c>
      <c r="D2517" s="4108" t="inlineStr">
        <is>
          <t>202009</t>
        </is>
      </c>
      <c r="E2517" s="4108" t="inlineStr">
        <is>
          <t>0,000000000000</t>
        </is>
      </c>
    </row>
    <row outlineLevel="0" r="2518">
      <c r="A2518" s="4108" t="inlineStr">
        <is>
          <t>135792468202009525000</t>
        </is>
      </c>
      <c r="B2518" s="4108" t="inlineStr">
        <is>
          <t>525000</t>
        </is>
      </c>
      <c r="C2518" s="4108" t="inlineStr">
        <is>
          <t>135792468</t>
        </is>
      </c>
      <c r="D2518" s="4108" t="inlineStr">
        <is>
          <t>202009</t>
        </is>
      </c>
      <c r="E2518" s="4108" t="inlineStr">
        <is>
          <t>0,000000000000</t>
        </is>
      </c>
    </row>
    <row outlineLevel="0" r="2519">
      <c r="A2519" s="4108" t="inlineStr">
        <is>
          <t>135792468202009525500</t>
        </is>
      </c>
      <c r="B2519" s="4108" t="inlineStr">
        <is>
          <t>525500</t>
        </is>
      </c>
      <c r="C2519" s="4108" t="inlineStr">
        <is>
          <t>135792468</t>
        </is>
      </c>
      <c r="D2519" s="4108" t="inlineStr">
        <is>
          <t>202009</t>
        </is>
      </c>
      <c r="E2519" s="4108" t="inlineStr">
        <is>
          <t>0,000000000000</t>
        </is>
      </c>
    </row>
    <row outlineLevel="0" r="2520">
      <c r="A2520" s="4108" t="inlineStr">
        <is>
          <t>135792468202009526000</t>
        </is>
      </c>
      <c r="B2520" s="4108" t="inlineStr">
        <is>
          <t>526000</t>
        </is>
      </c>
      <c r="C2520" s="4108" t="inlineStr">
        <is>
          <t>135792468</t>
        </is>
      </c>
      <c r="D2520" s="4108" t="inlineStr">
        <is>
          <t>202009</t>
        </is>
      </c>
      <c r="E2520" s="4108" t="inlineStr">
        <is>
          <t>0,000000000000</t>
        </is>
      </c>
    </row>
    <row outlineLevel="0" r="2521">
      <c r="A2521" s="4108" t="inlineStr">
        <is>
          <t>135792468202009529500</t>
        </is>
      </c>
      <c r="B2521" s="4108" t="inlineStr">
        <is>
          <t>529500</t>
        </is>
      </c>
      <c r="C2521" s="4108" t="inlineStr">
        <is>
          <t>135792468</t>
        </is>
      </c>
      <c r="D2521" s="4108" t="inlineStr">
        <is>
          <t>202009</t>
        </is>
      </c>
      <c r="E2521" s="4108" t="inlineStr">
        <is>
          <t>0,000000000000</t>
        </is>
      </c>
    </row>
    <row outlineLevel="0" r="2522">
      <c r="A2522" s="4108" t="inlineStr">
        <is>
          <t>135792468202009526500</t>
        </is>
      </c>
      <c r="B2522" s="4108" t="inlineStr">
        <is>
          <t>526500</t>
        </is>
      </c>
      <c r="C2522" s="4108" t="inlineStr">
        <is>
          <t>135792468</t>
        </is>
      </c>
      <c r="D2522" s="4108" t="inlineStr">
        <is>
          <t>202009</t>
        </is>
      </c>
      <c r="E2522" s="4108" t="inlineStr">
        <is>
          <t>0,000000000000</t>
        </is>
      </c>
    </row>
    <row outlineLevel="0" r="2523">
      <c r="A2523" s="4108" t="inlineStr">
        <is>
          <t>135792468202009529900</t>
        </is>
      </c>
      <c r="B2523" s="4108" t="inlineStr">
        <is>
          <t>529900</t>
        </is>
      </c>
      <c r="C2523" s="4108" t="inlineStr">
        <is>
          <t>135792468</t>
        </is>
      </c>
      <c r="D2523" s="4108" t="inlineStr">
        <is>
          <t>202009</t>
        </is>
      </c>
      <c r="E2523" s="4108" t="inlineStr">
        <is>
          <t>0,000000000000</t>
        </is>
      </c>
    </row>
    <row outlineLevel="0" r="2524">
      <c r="A2524" s="4108" t="inlineStr">
        <is>
          <t>135792468202009530505</t>
        </is>
      </c>
      <c r="B2524" s="4108" t="inlineStr">
        <is>
          <t>530505</t>
        </is>
      </c>
      <c r="C2524" s="4108" t="inlineStr">
        <is>
          <t>135792468</t>
        </is>
      </c>
      <c r="D2524" s="4108" t="inlineStr">
        <is>
          <t>202009</t>
        </is>
      </c>
      <c r="E2524" s="4108" t="inlineStr">
        <is>
          <t>0,000000000000</t>
        </is>
      </c>
    </row>
    <row outlineLevel="0" r="2525">
      <c r="A2525" s="4108" t="inlineStr">
        <is>
          <t>135792468202009530515</t>
        </is>
      </c>
      <c r="B2525" s="4108" t="inlineStr">
        <is>
          <t>530515</t>
        </is>
      </c>
      <c r="C2525" s="4108" t="inlineStr">
        <is>
          <t>135792468</t>
        </is>
      </c>
      <c r="D2525" s="4108" t="inlineStr">
        <is>
          <t>202009</t>
        </is>
      </c>
      <c r="E2525" s="4108" t="inlineStr">
        <is>
          <t>0,000000000000</t>
        </is>
      </c>
    </row>
    <row outlineLevel="0" r="2526">
      <c r="A2526" s="4108" t="inlineStr">
        <is>
          <t>135792468202009530525</t>
        </is>
      </c>
      <c r="B2526" s="4108" t="inlineStr">
        <is>
          <t>530525</t>
        </is>
      </c>
      <c r="C2526" s="4108" t="inlineStr">
        <is>
          <t>135792468</t>
        </is>
      </c>
      <c r="D2526" s="4108" t="inlineStr">
        <is>
          <t>202009</t>
        </is>
      </c>
      <c r="E2526" s="4108" t="inlineStr">
        <is>
          <t>0,000000000000</t>
        </is>
      </c>
    </row>
    <row outlineLevel="0" r="2527">
      <c r="A2527" s="4108" t="inlineStr">
        <is>
          <t>135792468202009530535</t>
        </is>
      </c>
      <c r="B2527" s="4108" t="inlineStr">
        <is>
          <t>530535</t>
        </is>
      </c>
      <c r="C2527" s="4108" t="inlineStr">
        <is>
          <t>135792468</t>
        </is>
      </c>
      <c r="D2527" s="4108" t="inlineStr">
        <is>
          <t>202009</t>
        </is>
      </c>
      <c r="E2527" s="4108" t="inlineStr">
        <is>
          <t>0,000000000000</t>
        </is>
      </c>
    </row>
    <row outlineLevel="0" r="2528">
      <c r="A2528" s="4108" t="inlineStr">
        <is>
          <t>135792468202009531000</t>
        </is>
      </c>
      <c r="B2528" s="4108" t="inlineStr">
        <is>
          <t>531000</t>
        </is>
      </c>
      <c r="C2528" s="4108" t="inlineStr">
        <is>
          <t>135792468</t>
        </is>
      </c>
      <c r="D2528" s="4108" t="inlineStr">
        <is>
          <t>202009</t>
        </is>
      </c>
      <c r="E2528" s="4108" t="inlineStr">
        <is>
          <t>0,000000000000</t>
        </is>
      </c>
    </row>
    <row outlineLevel="0" r="2529">
      <c r="A2529" s="4108" t="inlineStr">
        <is>
          <t>135792468202009531500</t>
        </is>
      </c>
      <c r="B2529" s="4108" t="inlineStr">
        <is>
          <t>531500</t>
        </is>
      </c>
      <c r="C2529" s="4108" t="inlineStr">
        <is>
          <t>135792468</t>
        </is>
      </c>
      <c r="D2529" s="4108" t="inlineStr">
        <is>
          <t>202009</t>
        </is>
      </c>
      <c r="E2529" s="4108" t="inlineStr">
        <is>
          <t>0,000000000000</t>
        </is>
      </c>
    </row>
    <row outlineLevel="0" r="2530">
      <c r="A2530" s="4108" t="inlineStr">
        <is>
          <t>135792468202009531300</t>
        </is>
      </c>
      <c r="B2530" s="4108" t="inlineStr">
        <is>
          <t>531300</t>
        </is>
      </c>
      <c r="C2530" s="4108" t="inlineStr">
        <is>
          <t>135792468</t>
        </is>
      </c>
      <c r="D2530" s="4108" t="inlineStr">
        <is>
          <t>202009</t>
        </is>
      </c>
      <c r="E2530" s="4108" t="inlineStr">
        <is>
          <t>0,000000000000</t>
        </is>
      </c>
    </row>
    <row outlineLevel="0" r="2531">
      <c r="A2531" s="4108" t="inlineStr">
        <is>
          <t>135792468202009531515</t>
        </is>
      </c>
      <c r="B2531" s="4108" t="inlineStr">
        <is>
          <t>531515</t>
        </is>
      </c>
      <c r="C2531" s="4108" t="inlineStr">
        <is>
          <t>135792468</t>
        </is>
      </c>
      <c r="D2531" s="4108" t="inlineStr">
        <is>
          <t>202009</t>
        </is>
      </c>
      <c r="E2531" s="4108" t="inlineStr">
        <is>
          <t>0,000000000000</t>
        </is>
      </c>
    </row>
    <row outlineLevel="0" r="2532">
      <c r="A2532" s="4108" t="inlineStr">
        <is>
          <t>135792468202009531520</t>
        </is>
      </c>
      <c r="B2532" s="4108" t="inlineStr">
        <is>
          <t>531520</t>
        </is>
      </c>
      <c r="C2532" s="4108" t="inlineStr">
        <is>
          <t>135792468</t>
        </is>
      </c>
      <c r="D2532" s="4108" t="inlineStr">
        <is>
          <t>202009</t>
        </is>
      </c>
      <c r="E2532" s="4108" t="inlineStr">
        <is>
          <t>0,000000000000</t>
        </is>
      </c>
    </row>
    <row outlineLevel="0" r="2533">
      <c r="A2533" s="4108" t="inlineStr">
        <is>
          <t>135792468202009539525</t>
        </is>
      </c>
      <c r="B2533" s="4108" t="inlineStr">
        <is>
          <t>539525</t>
        </is>
      </c>
      <c r="C2533" s="4108" t="inlineStr">
        <is>
          <t>135792468</t>
        </is>
      </c>
      <c r="D2533" s="4108" t="inlineStr">
        <is>
          <t>202009</t>
        </is>
      </c>
      <c r="E2533" s="4108" t="inlineStr">
        <is>
          <t>0,000000000000</t>
        </is>
      </c>
    </row>
    <row outlineLevel="0" r="2534">
      <c r="A2534" s="4108" t="inlineStr">
        <is>
          <t>135792468202009539595</t>
        </is>
      </c>
      <c r="B2534" s="4108" t="inlineStr">
        <is>
          <t>539595</t>
        </is>
      </c>
      <c r="C2534" s="4108" t="inlineStr">
        <is>
          <t>135792468</t>
        </is>
      </c>
      <c r="D2534" s="4108" t="inlineStr">
        <is>
          <t>202009</t>
        </is>
      </c>
      <c r="E2534" s="4108" t="inlineStr">
        <is>
          <t>0,000000000000</t>
        </is>
      </c>
    </row>
    <row outlineLevel="0" r="2535">
      <c r="A2535" s="4108" t="inlineStr">
        <is>
          <t>135792468202009606000</t>
        </is>
      </c>
      <c r="B2535" s="4108" t="inlineStr">
        <is>
          <t>606000</t>
        </is>
      </c>
      <c r="C2535" s="4108" t="inlineStr">
        <is>
          <t>135792468</t>
        </is>
      </c>
      <c r="D2535" s="4108" t="inlineStr">
        <is>
          <t>202009</t>
        </is>
      </c>
      <c r="E2535" s="4108" t="inlineStr">
        <is>
          <t>1200,000000000000</t>
        </is>
      </c>
    </row>
    <row outlineLevel="0" r="2536">
      <c r="A2536" s="4108" t="inlineStr">
        <is>
          <t>135792468202007606000</t>
        </is>
      </c>
      <c r="B2536" s="4108" t="inlineStr">
        <is>
          <t>606000</t>
        </is>
      </c>
      <c r="C2536" s="4108" t="inlineStr">
        <is>
          <t>135792468</t>
        </is>
      </c>
      <c r="D2536" s="4108" t="inlineStr">
        <is>
          <t>202007</t>
        </is>
      </c>
      <c r="E2536" s="4108" t="inlineStr">
        <is>
          <t>345,000000000000</t>
        </is>
      </c>
    </row>
    <row outlineLevel="0" r="2537">
      <c r="A2537" s="4108" t="inlineStr">
        <is>
          <t>135792468202007539595</t>
        </is>
      </c>
      <c r="B2537" s="4108" t="inlineStr">
        <is>
          <t>539595</t>
        </is>
      </c>
      <c r="C2537" s="4108" t="inlineStr">
        <is>
          <t>135792468</t>
        </is>
      </c>
      <c r="D2537" s="4108" t="inlineStr">
        <is>
          <t>202007</t>
        </is>
      </c>
      <c r="E2537" s="4108" t="inlineStr">
        <is>
          <t>7,000000000000</t>
        </is>
      </c>
    </row>
    <row outlineLevel="0" r="2538">
      <c r="A2538" s="4108" t="inlineStr">
        <is>
          <t>135792468202007539525</t>
        </is>
      </c>
      <c r="B2538" s="4108" t="inlineStr">
        <is>
          <t>539525</t>
        </is>
      </c>
      <c r="C2538" s="4108" t="inlineStr">
        <is>
          <t>135792468</t>
        </is>
      </c>
      <c r="D2538" s="4108" t="inlineStr">
        <is>
          <t>202007</t>
        </is>
      </c>
      <c r="E2538" s="4108" t="inlineStr">
        <is>
          <t>8,000000000000</t>
        </is>
      </c>
    </row>
    <row outlineLevel="0" r="2539">
      <c r="A2539" s="4108" t="inlineStr">
        <is>
          <t>135792468202007531520</t>
        </is>
      </c>
      <c r="B2539" s="4108" t="inlineStr">
        <is>
          <t>531520</t>
        </is>
      </c>
      <c r="C2539" s="4108" t="inlineStr">
        <is>
          <t>135792468</t>
        </is>
      </c>
      <c r="D2539" s="4108" t="inlineStr">
        <is>
          <t>202007</t>
        </is>
      </c>
      <c r="E2539" s="4108" t="inlineStr">
        <is>
          <t>9,000000000000</t>
        </is>
      </c>
    </row>
    <row outlineLevel="0" r="2540">
      <c r="A2540" s="4108" t="inlineStr">
        <is>
          <t>135792468202007531515</t>
        </is>
      </c>
      <c r="B2540" s="4108" t="inlineStr">
        <is>
          <t>531515</t>
        </is>
      </c>
      <c r="C2540" s="4108" t="inlineStr">
        <is>
          <t>135792468</t>
        </is>
      </c>
      <c r="D2540" s="4108" t="inlineStr">
        <is>
          <t>202007</t>
        </is>
      </c>
      <c r="E2540" s="4108" t="inlineStr">
        <is>
          <t>1,000000000000</t>
        </is>
      </c>
    </row>
    <row outlineLevel="0" r="2541">
      <c r="A2541" s="4108" t="inlineStr">
        <is>
          <t>135792468202007531300</t>
        </is>
      </c>
      <c r="B2541" s="4108" t="inlineStr">
        <is>
          <t>531300</t>
        </is>
      </c>
      <c r="C2541" s="4108" t="inlineStr">
        <is>
          <t>135792468</t>
        </is>
      </c>
      <c r="D2541" s="4108" t="inlineStr">
        <is>
          <t>202007</t>
        </is>
      </c>
      <c r="E2541" s="4108" t="inlineStr">
        <is>
          <t>3,000000000000</t>
        </is>
      </c>
    </row>
    <row outlineLevel="0" r="2542">
      <c r="A2542" s="4108" t="inlineStr">
        <is>
          <t>135792468202007531500</t>
        </is>
      </c>
      <c r="B2542" s="4108" t="inlineStr">
        <is>
          <t>531500</t>
        </is>
      </c>
      <c r="C2542" s="4108" t="inlineStr">
        <is>
          <t>135792468</t>
        </is>
      </c>
      <c r="D2542" s="4108" t="inlineStr">
        <is>
          <t>202007</t>
        </is>
      </c>
      <c r="E2542" s="4108" t="inlineStr">
        <is>
          <t>2,000000000000</t>
        </is>
      </c>
    </row>
    <row outlineLevel="0" r="2543">
      <c r="A2543" s="4108" t="inlineStr">
        <is>
          <t>135792468202007531000</t>
        </is>
      </c>
      <c r="B2543" s="4108" t="inlineStr">
        <is>
          <t>531000</t>
        </is>
      </c>
      <c r="C2543" s="4108" t="inlineStr">
        <is>
          <t>135792468</t>
        </is>
      </c>
      <c r="D2543" s="4108" t="inlineStr">
        <is>
          <t>202007</t>
        </is>
      </c>
      <c r="E2543" s="4108" t="inlineStr">
        <is>
          <t>4,000000000000</t>
        </is>
      </c>
    </row>
    <row outlineLevel="0" r="2544">
      <c r="A2544" s="4108" t="inlineStr">
        <is>
          <t>135792468202007530535</t>
        </is>
      </c>
      <c r="B2544" s="4108" t="inlineStr">
        <is>
          <t>530535</t>
        </is>
      </c>
      <c r="C2544" s="4108" t="inlineStr">
        <is>
          <t>135792468</t>
        </is>
      </c>
      <c r="D2544" s="4108" t="inlineStr">
        <is>
          <t>202007</t>
        </is>
      </c>
      <c r="E2544" s="4108" t="inlineStr">
        <is>
          <t>5,000000000000</t>
        </is>
      </c>
    </row>
    <row outlineLevel="0" r="2545">
      <c r="A2545" s="4108" t="inlineStr">
        <is>
          <t>135792468202007530525</t>
        </is>
      </c>
      <c r="B2545" s="4108" t="inlineStr">
        <is>
          <t>530525</t>
        </is>
      </c>
      <c r="C2545" s="4108" t="inlineStr">
        <is>
          <t>135792468</t>
        </is>
      </c>
      <c r="D2545" s="4108" t="inlineStr">
        <is>
          <t>202007</t>
        </is>
      </c>
      <c r="E2545" s="4108" t="inlineStr">
        <is>
          <t>8,000000000000</t>
        </is>
      </c>
    </row>
    <row outlineLevel="0" r="2546">
      <c r="A2546" s="4108" t="inlineStr">
        <is>
          <t>135792468202007530515</t>
        </is>
      </c>
      <c r="B2546" s="4108" t="inlineStr">
        <is>
          <t>530515</t>
        </is>
      </c>
      <c r="C2546" s="4108" t="inlineStr">
        <is>
          <t>135792468</t>
        </is>
      </c>
      <c r="D2546" s="4108" t="inlineStr">
        <is>
          <t>202007</t>
        </is>
      </c>
      <c r="E2546" s="4108" t="inlineStr">
        <is>
          <t>6,000000000000</t>
        </is>
      </c>
    </row>
    <row outlineLevel="0" r="2547">
      <c r="A2547" s="4108" t="inlineStr">
        <is>
          <t>135792468202007530505</t>
        </is>
      </c>
      <c r="B2547" s="4108" t="inlineStr">
        <is>
          <t>530505</t>
        </is>
      </c>
      <c r="C2547" s="4108" t="inlineStr">
        <is>
          <t>135792468</t>
        </is>
      </c>
      <c r="D2547" s="4108" t="inlineStr">
        <is>
          <t>202007</t>
        </is>
      </c>
      <c r="E2547" s="4108" t="inlineStr">
        <is>
          <t>7,000000000000</t>
        </is>
      </c>
    </row>
    <row outlineLevel="0" r="2548">
      <c r="A2548" s="4108" t="inlineStr">
        <is>
          <t>135792468202007529900</t>
        </is>
      </c>
      <c r="B2548" s="4108" t="inlineStr">
        <is>
          <t>529900</t>
        </is>
      </c>
      <c r="C2548" s="4108" t="inlineStr">
        <is>
          <t>135792468</t>
        </is>
      </c>
      <c r="D2548" s="4108" t="inlineStr">
        <is>
          <t>202007</t>
        </is>
      </c>
      <c r="E2548" s="4108" t="inlineStr">
        <is>
          <t>6,000000000000</t>
        </is>
      </c>
    </row>
    <row outlineLevel="0" r="2549">
      <c r="A2549" s="4108" t="inlineStr">
        <is>
          <t>135792468202007526500</t>
        </is>
      </c>
      <c r="B2549" s="4108" t="inlineStr">
        <is>
          <t>526500</t>
        </is>
      </c>
      <c r="C2549" s="4108" t="inlineStr">
        <is>
          <t>135792468</t>
        </is>
      </c>
      <c r="D2549" s="4108" t="inlineStr">
        <is>
          <t>202007</t>
        </is>
      </c>
      <c r="E2549" s="4108" t="inlineStr">
        <is>
          <t>5,000000000000</t>
        </is>
      </c>
    </row>
    <row outlineLevel="0" r="2550">
      <c r="A2550" s="4108" t="inlineStr">
        <is>
          <t>135792468202007529500</t>
        </is>
      </c>
      <c r="B2550" s="4108" t="inlineStr">
        <is>
          <t>529500</t>
        </is>
      </c>
      <c r="C2550" s="4108" t="inlineStr">
        <is>
          <t>135792468</t>
        </is>
      </c>
      <c r="D2550" s="4108" t="inlineStr">
        <is>
          <t>202007</t>
        </is>
      </c>
      <c r="E2550" s="4108" t="inlineStr">
        <is>
          <t>3,000000000000</t>
        </is>
      </c>
    </row>
    <row outlineLevel="0" r="2551">
      <c r="A2551" s="4108" t="inlineStr">
        <is>
          <t>135792468202007526000</t>
        </is>
      </c>
      <c r="B2551" s="4108" t="inlineStr">
        <is>
          <t>526000</t>
        </is>
      </c>
      <c r="C2551" s="4108" t="inlineStr">
        <is>
          <t>135792468</t>
        </is>
      </c>
      <c r="D2551" s="4108" t="inlineStr">
        <is>
          <t>202007</t>
        </is>
      </c>
      <c r="E2551" s="4108" t="inlineStr">
        <is>
          <t>4,000000000000</t>
        </is>
      </c>
    </row>
    <row outlineLevel="0" r="2552">
      <c r="A2552" s="4108" t="inlineStr">
        <is>
          <t>135792468202007525500</t>
        </is>
      </c>
      <c r="B2552" s="4108" t="inlineStr">
        <is>
          <t>525500</t>
        </is>
      </c>
      <c r="C2552" s="4108" t="inlineStr">
        <is>
          <t>135792468</t>
        </is>
      </c>
      <c r="D2552" s="4108" t="inlineStr">
        <is>
          <t>202007</t>
        </is>
      </c>
      <c r="E2552" s="4108" t="inlineStr">
        <is>
          <t>2,000000000000</t>
        </is>
      </c>
    </row>
    <row outlineLevel="0" r="2553">
      <c r="A2553" s="4108" t="inlineStr">
        <is>
          <t>135792468202007525000</t>
        </is>
      </c>
      <c r="B2553" s="4108" t="inlineStr">
        <is>
          <t>525000</t>
        </is>
      </c>
      <c r="C2553" s="4108" t="inlineStr">
        <is>
          <t>135792468</t>
        </is>
      </c>
      <c r="D2553" s="4108" t="inlineStr">
        <is>
          <t>202007</t>
        </is>
      </c>
      <c r="E2553" s="4108" t="inlineStr">
        <is>
          <t>1,000000000000</t>
        </is>
      </c>
    </row>
    <row outlineLevel="0" r="2554">
      <c r="A2554" s="4108" t="inlineStr">
        <is>
          <t>135792468202007524500</t>
        </is>
      </c>
      <c r="B2554" s="4108" t="inlineStr">
        <is>
          <t>524500</t>
        </is>
      </c>
      <c r="C2554" s="4108" t="inlineStr">
        <is>
          <t>135792468</t>
        </is>
      </c>
      <c r="D2554" s="4108" t="inlineStr">
        <is>
          <t>202007</t>
        </is>
      </c>
      <c r="E2554" s="4108" t="inlineStr">
        <is>
          <t>9,000000000000</t>
        </is>
      </c>
    </row>
    <row outlineLevel="0" r="2555">
      <c r="A2555" s="4108" t="inlineStr">
        <is>
          <t>135792468202007524000</t>
        </is>
      </c>
      <c r="B2555" s="4108" t="inlineStr">
        <is>
          <t>524000</t>
        </is>
      </c>
      <c r="C2555" s="4108" t="inlineStr">
        <is>
          <t>135792468</t>
        </is>
      </c>
      <c r="D2555" s="4108" t="inlineStr">
        <is>
          <t>202007</t>
        </is>
      </c>
      <c r="E2555" s="4108" t="inlineStr">
        <is>
          <t>8,000000000000</t>
        </is>
      </c>
    </row>
    <row outlineLevel="0" r="2556">
      <c r="A2556" s="4108" t="inlineStr">
        <is>
          <t>135792468202007523500</t>
        </is>
      </c>
      <c r="B2556" s="4108" t="inlineStr">
        <is>
          <t>523500</t>
        </is>
      </c>
      <c r="C2556" s="4108" t="inlineStr">
        <is>
          <t>135792468</t>
        </is>
      </c>
      <c r="D2556" s="4108" t="inlineStr">
        <is>
          <t>202007</t>
        </is>
      </c>
      <c r="E2556" s="4108" t="inlineStr">
        <is>
          <t>7,000000000000</t>
        </is>
      </c>
    </row>
    <row outlineLevel="0" r="2557">
      <c r="A2557" s="4108" t="inlineStr">
        <is>
          <t>135792468202007522500</t>
        </is>
      </c>
      <c r="B2557" s="4108" t="inlineStr">
        <is>
          <t>522500</t>
        </is>
      </c>
      <c r="C2557" s="4108" t="inlineStr">
        <is>
          <t>135792468</t>
        </is>
      </c>
      <c r="D2557" s="4108" t="inlineStr">
        <is>
          <t>202007</t>
        </is>
      </c>
      <c r="E2557" s="4108" t="inlineStr">
        <is>
          <t>5,000000000000</t>
        </is>
      </c>
    </row>
    <row outlineLevel="0" r="2558">
      <c r="A2558" s="4108" t="inlineStr">
        <is>
          <t>135792468202007523000</t>
        </is>
      </c>
      <c r="B2558" s="4108" t="inlineStr">
        <is>
          <t>523000</t>
        </is>
      </c>
      <c r="C2558" s="4108" t="inlineStr">
        <is>
          <t>135792468</t>
        </is>
      </c>
      <c r="D2558" s="4108" t="inlineStr">
        <is>
          <t>202007</t>
        </is>
      </c>
      <c r="E2558" s="4108" t="inlineStr">
        <is>
          <t>6,000000000000</t>
        </is>
      </c>
    </row>
    <row outlineLevel="0" r="2559">
      <c r="A2559" s="4108" t="inlineStr">
        <is>
          <t>135792468202007522000</t>
        </is>
      </c>
      <c r="B2559" s="4108" t="inlineStr">
        <is>
          <t>522000</t>
        </is>
      </c>
      <c r="C2559" s="4108" t="inlineStr">
        <is>
          <t>135792468</t>
        </is>
      </c>
      <c r="D2559" s="4108" t="inlineStr">
        <is>
          <t>202007</t>
        </is>
      </c>
      <c r="E2559" s="4108" t="inlineStr">
        <is>
          <t>4,000000000000</t>
        </is>
      </c>
    </row>
    <row outlineLevel="0" r="2560">
      <c r="A2560" s="4108" t="inlineStr">
        <is>
          <t>135792468202007521500</t>
        </is>
      </c>
      <c r="B2560" s="4108" t="inlineStr">
        <is>
          <t>521500</t>
        </is>
      </c>
      <c r="C2560" s="4108" t="inlineStr">
        <is>
          <t>135792468</t>
        </is>
      </c>
      <c r="D2560" s="4108" t="inlineStr">
        <is>
          <t>202007</t>
        </is>
      </c>
      <c r="E2560" s="4108" t="inlineStr">
        <is>
          <t>3,000000000000</t>
        </is>
      </c>
    </row>
    <row outlineLevel="0" r="2561">
      <c r="A2561" s="4108" t="inlineStr">
        <is>
          <t>135792468202007521000</t>
        </is>
      </c>
      <c r="B2561" s="4108" t="inlineStr">
        <is>
          <t>521000</t>
        </is>
      </c>
      <c r="C2561" s="4108" t="inlineStr">
        <is>
          <t>135792468</t>
        </is>
      </c>
      <c r="D2561" s="4108" t="inlineStr">
        <is>
          <t>202007</t>
        </is>
      </c>
      <c r="E2561" s="4108" t="inlineStr">
        <is>
          <t>2,000000000000</t>
        </is>
      </c>
    </row>
    <row outlineLevel="0" r="2562">
      <c r="A2562" s="4108" t="inlineStr">
        <is>
          <t>135792468202007520500</t>
        </is>
      </c>
      <c r="B2562" s="4108" t="inlineStr">
        <is>
          <t>520500</t>
        </is>
      </c>
      <c r="C2562" s="4108" t="inlineStr">
        <is>
          <t>135792468</t>
        </is>
      </c>
      <c r="D2562" s="4108" t="inlineStr">
        <is>
          <t>202007</t>
        </is>
      </c>
      <c r="E2562" s="4108" t="inlineStr">
        <is>
          <t>1,000000000000</t>
        </is>
      </c>
    </row>
    <row outlineLevel="0" r="2563">
      <c r="A2563" s="4108" t="inlineStr">
        <is>
          <t>135792468202007519900</t>
        </is>
      </c>
      <c r="B2563" s="4108" t="inlineStr">
        <is>
          <t>519900</t>
        </is>
      </c>
      <c r="C2563" s="4108" t="inlineStr">
        <is>
          <t>135792468</t>
        </is>
      </c>
      <c r="D2563" s="4108" t="inlineStr">
        <is>
          <t>202007</t>
        </is>
      </c>
      <c r="E2563" s="4108" t="inlineStr">
        <is>
          <t>6,000000000000</t>
        </is>
      </c>
    </row>
    <row outlineLevel="0" r="2564">
      <c r="A2564" s="4108" t="inlineStr">
        <is>
          <t>135792468202007519500</t>
        </is>
      </c>
      <c r="B2564" s="4108" t="inlineStr">
        <is>
          <t>519500</t>
        </is>
      </c>
      <c r="C2564" s="4108" t="inlineStr">
        <is>
          <t>135792468</t>
        </is>
      </c>
      <c r="D2564" s="4108" t="inlineStr">
        <is>
          <t>202007</t>
        </is>
      </c>
      <c r="E2564" s="4108" t="inlineStr">
        <is>
          <t>3,000000000000</t>
        </is>
      </c>
    </row>
    <row outlineLevel="0" r="2565">
      <c r="A2565" s="4108" t="inlineStr">
        <is>
          <t>135792468202007516000</t>
        </is>
      </c>
      <c r="B2565" s="4108" t="inlineStr">
        <is>
          <t>516000</t>
        </is>
      </c>
      <c r="C2565" s="4108" t="inlineStr">
        <is>
          <t>135792468</t>
        </is>
      </c>
      <c r="D2565" s="4108" t="inlineStr">
        <is>
          <t>202007</t>
        </is>
      </c>
      <c r="E2565" s="4108" t="inlineStr">
        <is>
          <t>4,000000000000</t>
        </is>
      </c>
    </row>
    <row outlineLevel="0" r="2566">
      <c r="A2566" s="4108" t="inlineStr">
        <is>
          <t>135792468202007516500</t>
        </is>
      </c>
      <c r="B2566" s="4108" t="inlineStr">
        <is>
          <t>516500</t>
        </is>
      </c>
      <c r="C2566" s="4108" t="inlineStr">
        <is>
          <t>135792468</t>
        </is>
      </c>
      <c r="D2566" s="4108" t="inlineStr">
        <is>
          <t>202007</t>
        </is>
      </c>
      <c r="E2566" s="4108" t="inlineStr">
        <is>
          <t>5,000000000000</t>
        </is>
      </c>
    </row>
    <row outlineLevel="0" r="2567">
      <c r="A2567" s="4108" t="inlineStr">
        <is>
          <t>135792468202007515500</t>
        </is>
      </c>
      <c r="B2567" s="4108" t="inlineStr">
        <is>
          <t>515500</t>
        </is>
      </c>
      <c r="C2567" s="4108" t="inlineStr">
        <is>
          <t>135792468</t>
        </is>
      </c>
      <c r="D2567" s="4108" t="inlineStr">
        <is>
          <t>202007</t>
        </is>
      </c>
      <c r="E2567" s="4108" t="inlineStr">
        <is>
          <t>2,000000000000</t>
        </is>
      </c>
    </row>
    <row outlineLevel="0" r="2568">
      <c r="A2568" s="4108" t="inlineStr">
        <is>
          <t>135792468202007515000</t>
        </is>
      </c>
      <c r="B2568" s="4108" t="inlineStr">
        <is>
          <t>515000</t>
        </is>
      </c>
      <c r="C2568" s="4108" t="inlineStr">
        <is>
          <t>135792468</t>
        </is>
      </c>
      <c r="D2568" s="4108" t="inlineStr">
        <is>
          <t>202007</t>
        </is>
      </c>
      <c r="E2568" s="4108" t="inlineStr">
        <is>
          <t>1,000000000000</t>
        </is>
      </c>
    </row>
    <row outlineLevel="0" r="2569">
      <c r="A2569" s="4108" t="inlineStr">
        <is>
          <t>135792468202007514500</t>
        </is>
      </c>
      <c r="B2569" s="4108" t="inlineStr">
        <is>
          <t>514500</t>
        </is>
      </c>
      <c r="C2569" s="4108" t="inlineStr">
        <is>
          <t>135792468</t>
        </is>
      </c>
      <c r="D2569" s="4108" t="inlineStr">
        <is>
          <t>202007</t>
        </is>
      </c>
      <c r="E2569" s="4108" t="inlineStr">
        <is>
          <t>9,000000000000</t>
        </is>
      </c>
    </row>
    <row outlineLevel="0" r="2570">
      <c r="A2570" s="4108" t="inlineStr">
        <is>
          <t>135792468202007514000</t>
        </is>
      </c>
      <c r="B2570" s="4108" t="inlineStr">
        <is>
          <t>514000</t>
        </is>
      </c>
      <c r="C2570" s="4108" t="inlineStr">
        <is>
          <t>135792468</t>
        </is>
      </c>
      <c r="D2570" s="4108" t="inlineStr">
        <is>
          <t>202007</t>
        </is>
      </c>
      <c r="E2570" s="4108" t="inlineStr">
        <is>
          <t>8,000000000000</t>
        </is>
      </c>
    </row>
    <row outlineLevel="0" r="2571">
      <c r="A2571" s="4108" t="inlineStr">
        <is>
          <t>135792468202007513500</t>
        </is>
      </c>
      <c r="B2571" s="4108" t="inlineStr">
        <is>
          <t>513500</t>
        </is>
      </c>
      <c r="C2571" s="4108" t="inlineStr">
        <is>
          <t>135792468</t>
        </is>
      </c>
      <c r="D2571" s="4108" t="inlineStr">
        <is>
          <t>202007</t>
        </is>
      </c>
      <c r="E2571" s="4108" t="inlineStr">
        <is>
          <t>7,000000000000</t>
        </is>
      </c>
    </row>
    <row outlineLevel="0" r="2572">
      <c r="A2572" s="4108" t="inlineStr">
        <is>
          <t>135792468202007513000</t>
        </is>
      </c>
      <c r="B2572" s="4108" t="inlineStr">
        <is>
          <t>513000</t>
        </is>
      </c>
      <c r="C2572" s="4108" t="inlineStr">
        <is>
          <t>135792468</t>
        </is>
      </c>
      <c r="D2572" s="4108" t="inlineStr">
        <is>
          <t>202007</t>
        </is>
      </c>
      <c r="E2572" s="4108" t="inlineStr">
        <is>
          <t>6,000000000000</t>
        </is>
      </c>
    </row>
    <row outlineLevel="0" r="2573">
      <c r="A2573" s="4108" t="inlineStr">
        <is>
          <t>135792468202007512000</t>
        </is>
      </c>
      <c r="B2573" s="4108" t="inlineStr">
        <is>
          <t>512000</t>
        </is>
      </c>
      <c r="C2573" s="4108" t="inlineStr">
        <is>
          <t>135792468</t>
        </is>
      </c>
      <c r="D2573" s="4108" t="inlineStr">
        <is>
          <t>202007</t>
        </is>
      </c>
      <c r="E2573" s="4108" t="inlineStr">
        <is>
          <t>4,000000000000</t>
        </is>
      </c>
    </row>
    <row outlineLevel="0" r="2574">
      <c r="A2574" s="4108" t="inlineStr">
        <is>
          <t>135792468202007512500</t>
        </is>
      </c>
      <c r="B2574" s="4108" t="inlineStr">
        <is>
          <t>512500</t>
        </is>
      </c>
      <c r="C2574" s="4108" t="inlineStr">
        <is>
          <t>135792468</t>
        </is>
      </c>
      <c r="D2574" s="4108" t="inlineStr">
        <is>
          <t>202007</t>
        </is>
      </c>
      <c r="E2574" s="4108" t="inlineStr">
        <is>
          <t>5,000000000000</t>
        </is>
      </c>
    </row>
    <row outlineLevel="0" r="2575">
      <c r="A2575" s="4108" t="inlineStr">
        <is>
          <t>135792468202007511500</t>
        </is>
      </c>
      <c r="B2575" s="4108" t="inlineStr">
        <is>
          <t>511500</t>
        </is>
      </c>
      <c r="C2575" s="4108" t="inlineStr">
        <is>
          <t>135792468</t>
        </is>
      </c>
      <c r="D2575" s="4108" t="inlineStr">
        <is>
          <t>202007</t>
        </is>
      </c>
      <c r="E2575" s="4108" t="inlineStr">
        <is>
          <t>3,000000000000</t>
        </is>
      </c>
    </row>
    <row outlineLevel="0" r="2576">
      <c r="A2576" s="4108" t="inlineStr">
        <is>
          <t>135792468202007511000</t>
        </is>
      </c>
      <c r="B2576" s="4108" t="inlineStr">
        <is>
          <t>511000</t>
        </is>
      </c>
      <c r="C2576" s="4108" t="inlineStr">
        <is>
          <t>135792468</t>
        </is>
      </c>
      <c r="D2576" s="4108" t="inlineStr">
        <is>
          <t>202007</t>
        </is>
      </c>
      <c r="E2576" s="4108" t="inlineStr">
        <is>
          <t>2,000000000000</t>
        </is>
      </c>
    </row>
    <row outlineLevel="0" r="2577">
      <c r="A2577" s="4108" t="inlineStr">
        <is>
          <t>135792468202007510500</t>
        </is>
      </c>
      <c r="B2577" s="4108" t="inlineStr">
        <is>
          <t>510500</t>
        </is>
      </c>
      <c r="C2577" s="4108" t="inlineStr">
        <is>
          <t>135792468</t>
        </is>
      </c>
      <c r="D2577" s="4108" t="inlineStr">
        <is>
          <t>202007</t>
        </is>
      </c>
      <c r="E2577" s="4108" t="inlineStr">
        <is>
          <t>1,000000000000</t>
        </is>
      </c>
    </row>
    <row outlineLevel="0" r="2578">
      <c r="A2578" s="4108" t="inlineStr">
        <is>
          <t>135792468202007429500</t>
        </is>
      </c>
      <c r="B2578" s="4108" t="inlineStr">
        <is>
          <t>429500</t>
        </is>
      </c>
      <c r="C2578" s="4108" t="inlineStr">
        <is>
          <t>135792468</t>
        </is>
      </c>
      <c r="D2578" s="4108" t="inlineStr">
        <is>
          <t>202007</t>
        </is>
      </c>
      <c r="E2578" s="4108" t="inlineStr">
        <is>
          <t>4,000000000000</t>
        </is>
      </c>
    </row>
    <row outlineLevel="0" r="2579">
      <c r="A2579" s="4108" t="inlineStr">
        <is>
          <t>135792468202007426500</t>
        </is>
      </c>
      <c r="B2579" s="4108" t="inlineStr">
        <is>
          <t>426500</t>
        </is>
      </c>
      <c r="C2579" s="4108" t="inlineStr">
        <is>
          <t>135792468</t>
        </is>
      </c>
      <c r="D2579" s="4108" t="inlineStr">
        <is>
          <t>202007</t>
        </is>
      </c>
      <c r="E2579" s="4108" t="inlineStr">
        <is>
          <t>3,000000000000</t>
        </is>
      </c>
    </row>
    <row outlineLevel="0" r="2580">
      <c r="A2580" s="4108" t="inlineStr">
        <is>
          <t>135792468202007425000</t>
        </is>
      </c>
      <c r="B2580" s="4108" t="inlineStr">
        <is>
          <t>425000</t>
        </is>
      </c>
      <c r="C2580" s="4108" t="inlineStr">
        <is>
          <t>135792468</t>
        </is>
      </c>
      <c r="D2580" s="4108" t="inlineStr">
        <is>
          <t>202007</t>
        </is>
      </c>
      <c r="E2580" s="4108" t="inlineStr">
        <is>
          <t>2,000000000000</t>
        </is>
      </c>
    </row>
    <row outlineLevel="0" r="2581">
      <c r="A2581" s="4108" t="inlineStr">
        <is>
          <t>135792468202007423500</t>
        </is>
      </c>
      <c r="B2581" s="4108" t="inlineStr">
        <is>
          <t>423500</t>
        </is>
      </c>
      <c r="C2581" s="4108" t="inlineStr">
        <is>
          <t>135792468</t>
        </is>
      </c>
      <c r="D2581" s="4108" t="inlineStr">
        <is>
          <t>202007</t>
        </is>
      </c>
      <c r="E2581" s="4108" t="inlineStr">
        <is>
          <t>9,000000000000</t>
        </is>
      </c>
    </row>
    <row outlineLevel="0" r="2582">
      <c r="A2582" s="4108" t="inlineStr">
        <is>
          <t>135792468202007424000</t>
        </is>
      </c>
      <c r="B2582" s="4108" t="inlineStr">
        <is>
          <t>424000</t>
        </is>
      </c>
      <c r="C2582" s="4108" t="inlineStr">
        <is>
          <t>135792468</t>
        </is>
      </c>
      <c r="D2582" s="4108" t="inlineStr">
        <is>
          <t>202007</t>
        </is>
      </c>
      <c r="E2582" s="4108" t="inlineStr">
        <is>
          <t>1,000000000000</t>
        </is>
      </c>
    </row>
    <row outlineLevel="0" r="2583">
      <c r="A2583" s="4108" t="inlineStr">
        <is>
          <t>135792468202007422500</t>
        </is>
      </c>
      <c r="B2583" s="4108" t="inlineStr">
        <is>
          <t>422500</t>
        </is>
      </c>
      <c r="C2583" s="4108" t="inlineStr">
        <is>
          <t>135792468</t>
        </is>
      </c>
      <c r="D2583" s="4108" t="inlineStr">
        <is>
          <t>202007</t>
        </is>
      </c>
      <c r="E2583" s="4108" t="inlineStr">
        <is>
          <t>8,000000000000</t>
        </is>
      </c>
    </row>
    <row outlineLevel="0" r="2584">
      <c r="A2584" s="4108" t="inlineStr">
        <is>
          <t>135792468202007422000</t>
        </is>
      </c>
      <c r="B2584" s="4108" t="inlineStr">
        <is>
          <t>422000</t>
        </is>
      </c>
      <c r="C2584" s="4108" t="inlineStr">
        <is>
          <t>135792468</t>
        </is>
      </c>
      <c r="D2584" s="4108" t="inlineStr">
        <is>
          <t>202007</t>
        </is>
      </c>
      <c r="E2584" s="4108" t="inlineStr">
        <is>
          <t>7,000000000000</t>
        </is>
      </c>
    </row>
    <row outlineLevel="0" r="2585">
      <c r="A2585" s="4108" t="inlineStr">
        <is>
          <t>135792468202007421500</t>
        </is>
      </c>
      <c r="B2585" s="4108" t="inlineStr">
        <is>
          <t>421500</t>
        </is>
      </c>
      <c r="C2585" s="4108" t="inlineStr">
        <is>
          <t>135792468</t>
        </is>
      </c>
      <c r="D2585" s="4108" t="inlineStr">
        <is>
          <t>202007</t>
        </is>
      </c>
      <c r="E2585" s="4108" t="inlineStr">
        <is>
          <t>6,000000000000</t>
        </is>
      </c>
    </row>
    <row outlineLevel="0" r="2586">
      <c r="A2586" s="4108" t="inlineStr">
        <is>
          <t>135792468202007421040</t>
        </is>
      </c>
      <c r="B2586" s="4108" t="inlineStr">
        <is>
          <t>421040</t>
        </is>
      </c>
      <c r="C2586" s="4108" t="inlineStr">
        <is>
          <t>135792468</t>
        </is>
      </c>
      <c r="D2586" s="4108" t="inlineStr">
        <is>
          <t>202007</t>
        </is>
      </c>
      <c r="E2586" s="4108" t="inlineStr">
        <is>
          <t>5,000000000000</t>
        </is>
      </c>
    </row>
    <row outlineLevel="0" r="2587">
      <c r="A2587" s="4108" t="inlineStr">
        <is>
          <t>135792468202007421020</t>
        </is>
      </c>
      <c r="B2587" s="4108" t="inlineStr">
        <is>
          <t>421020</t>
        </is>
      </c>
      <c r="C2587" s="4108" t="inlineStr">
        <is>
          <t>135792468</t>
        </is>
      </c>
      <c r="D2587" s="4108" t="inlineStr">
        <is>
          <t>202007</t>
        </is>
      </c>
      <c r="E2587" s="4108" t="inlineStr">
        <is>
          <t>3,000000000000</t>
        </is>
      </c>
    </row>
    <row outlineLevel="0" r="2588">
      <c r="A2588" s="4108" t="inlineStr">
        <is>
          <t>135792468202007421000</t>
        </is>
      </c>
      <c r="B2588" s="4108" t="inlineStr">
        <is>
          <t>421000</t>
        </is>
      </c>
      <c r="C2588" s="4108" t="inlineStr">
        <is>
          <t>135792468</t>
        </is>
      </c>
      <c r="D2588" s="4108" t="inlineStr">
        <is>
          <t>202007</t>
        </is>
      </c>
      <c r="E2588" s="4108" t="inlineStr">
        <is>
          <t>2,000000000000</t>
        </is>
      </c>
    </row>
    <row outlineLevel="0" r="2589">
      <c r="A2589" s="4108" t="inlineStr">
        <is>
          <t>135792468202007411000</t>
        </is>
      </c>
      <c r="B2589" s="4108" t="inlineStr">
        <is>
          <t>411000</t>
        </is>
      </c>
      <c r="C2589" s="4108" t="inlineStr">
        <is>
          <t>135792468</t>
        </is>
      </c>
      <c r="D2589" s="4108" t="inlineStr">
        <is>
          <t>202007</t>
        </is>
      </c>
      <c r="E2589" s="4108" t="inlineStr">
        <is>
          <t>2345,000000000000</t>
        </is>
      </c>
    </row>
    <row outlineLevel="0" r="2590">
      <c r="A2590" s="4108" t="inlineStr">
        <is>
          <t>135792468202007420500</t>
        </is>
      </c>
      <c r="B2590" s="4108" t="inlineStr">
        <is>
          <t>420500</t>
        </is>
      </c>
      <c r="C2590" s="4108" t="inlineStr">
        <is>
          <t>135792468</t>
        </is>
      </c>
      <c r="D2590" s="4108" t="inlineStr">
        <is>
          <t>202007</t>
        </is>
      </c>
      <c r="E2590" s="4108" t="inlineStr">
        <is>
          <t>4,000000000000</t>
        </is>
      </c>
    </row>
    <row outlineLevel="0" r="2591">
      <c r="A2591" s="4108" t="inlineStr">
        <is>
          <t>135792468202007410500</t>
        </is>
      </c>
      <c r="B2591" s="4108" t="inlineStr">
        <is>
          <t>410500</t>
        </is>
      </c>
      <c r="C2591" s="4108" t="inlineStr">
        <is>
          <t>135792468</t>
        </is>
      </c>
      <c r="D2591" s="4108" t="inlineStr">
        <is>
          <t>202007</t>
        </is>
      </c>
      <c r="E2591" s="4108" t="inlineStr">
        <is>
          <t>5678,000000000000</t>
        </is>
      </c>
    </row>
    <row outlineLevel="0" r="2592">
      <c r="A2592" s="4108" t="inlineStr">
        <is>
          <t>135792468202007349500</t>
        </is>
      </c>
      <c r="B2592" s="4108" t="inlineStr">
        <is>
          <t>349500</t>
        </is>
      </c>
      <c r="C2592" s="4108" t="inlineStr">
        <is>
          <t>135792468</t>
        </is>
      </c>
      <c r="D2592" s="4108" t="inlineStr">
        <is>
          <t>202007</t>
        </is>
      </c>
      <c r="E2592" s="4108" t="inlineStr">
        <is>
          <t>4,000000000000</t>
        </is>
      </c>
    </row>
    <row outlineLevel="0" r="2593">
      <c r="A2593" s="4108" t="inlineStr">
        <is>
          <t>135792468202007340515</t>
        </is>
      </c>
      <c r="B2593" s="4108" t="inlineStr">
        <is>
          <t>340515</t>
        </is>
      </c>
      <c r="C2593" s="4108" t="inlineStr">
        <is>
          <t>135792468</t>
        </is>
      </c>
      <c r="D2593" s="4108" t="inlineStr">
        <is>
          <t>202007</t>
        </is>
      </c>
      <c r="E2593" s="4108" t="inlineStr">
        <is>
          <t>5,000000000000</t>
        </is>
      </c>
    </row>
    <row outlineLevel="0" r="2594">
      <c r="A2594" s="4108" t="inlineStr">
        <is>
          <t>135792468202007340505</t>
        </is>
      </c>
      <c r="B2594" s="4108" t="inlineStr">
        <is>
          <t>340505</t>
        </is>
      </c>
      <c r="C2594" s="4108" t="inlineStr">
        <is>
          <t>135792468</t>
        </is>
      </c>
      <c r="D2594" s="4108" t="inlineStr">
        <is>
          <t>202007</t>
        </is>
      </c>
      <c r="E2594" s="4108" t="inlineStr">
        <is>
          <t>6,000000000000</t>
        </is>
      </c>
    </row>
    <row outlineLevel="0" r="2595">
      <c r="A2595" s="4108" t="inlineStr">
        <is>
          <t>135792468202007331500</t>
        </is>
      </c>
      <c r="B2595" s="4108" t="inlineStr">
        <is>
          <t>331500</t>
        </is>
      </c>
      <c r="C2595" s="4108" t="inlineStr">
        <is>
          <t>135792468</t>
        </is>
      </c>
      <c r="D2595" s="4108" t="inlineStr">
        <is>
          <t>202007</t>
        </is>
      </c>
      <c r="E2595" s="4108" t="inlineStr">
        <is>
          <t>3,000000000000</t>
        </is>
      </c>
    </row>
    <row outlineLevel="0" r="2596">
      <c r="A2596" s="4108" t="inlineStr">
        <is>
          <t>135792468202007331000</t>
        </is>
      </c>
      <c r="B2596" s="4108" t="inlineStr">
        <is>
          <t>331000</t>
        </is>
      </c>
      <c r="C2596" s="4108" t="inlineStr">
        <is>
          <t>135792468</t>
        </is>
      </c>
      <c r="D2596" s="4108" t="inlineStr">
        <is>
          <t>202007</t>
        </is>
      </c>
      <c r="E2596" s="4108" t="inlineStr">
        <is>
          <t>2,000000000000</t>
        </is>
      </c>
    </row>
    <row outlineLevel="0" r="2597">
      <c r="A2597" s="4108" t="inlineStr">
        <is>
          <t>135792468202007322500</t>
        </is>
      </c>
      <c r="B2597" s="4108" t="inlineStr">
        <is>
          <t>322500</t>
        </is>
      </c>
      <c r="C2597" s="4108" t="inlineStr">
        <is>
          <t>135792468</t>
        </is>
      </c>
      <c r="D2597" s="4108" t="inlineStr">
        <is>
          <t>202007</t>
        </is>
      </c>
      <c r="E2597" s="4108" t="inlineStr">
        <is>
          <t>4,000000000000</t>
        </is>
      </c>
    </row>
    <row outlineLevel="0" r="2598">
      <c r="A2598" s="4108" t="inlineStr">
        <is>
          <t>135792468202007330500</t>
        </is>
      </c>
      <c r="B2598" s="4108" t="inlineStr">
        <is>
          <t>330500</t>
        </is>
      </c>
      <c r="C2598" s="4108" t="inlineStr">
        <is>
          <t>135792468</t>
        </is>
      </c>
      <c r="D2598" s="4108" t="inlineStr">
        <is>
          <t>202007</t>
        </is>
      </c>
      <c r="E2598" s="4108" t="inlineStr">
        <is>
          <t>1,000000000000</t>
        </is>
      </c>
    </row>
    <row outlineLevel="0" r="2599">
      <c r="A2599" s="4108" t="inlineStr">
        <is>
          <t>135792468202007322000</t>
        </is>
      </c>
      <c r="B2599" s="4108" t="inlineStr">
        <is>
          <t>322000</t>
        </is>
      </c>
      <c r="C2599" s="4108" t="inlineStr">
        <is>
          <t>135792468</t>
        </is>
      </c>
      <c r="D2599" s="4108" t="inlineStr">
        <is>
          <t>202007</t>
        </is>
      </c>
      <c r="E2599" s="4108" t="inlineStr">
        <is>
          <t>5,000000000000</t>
        </is>
      </c>
    </row>
    <row outlineLevel="0" r="2600">
      <c r="A2600" s="4108" t="inlineStr">
        <is>
          <t>135792468202007321500</t>
        </is>
      </c>
      <c r="B2600" s="4108" t="inlineStr">
        <is>
          <t>321500</t>
        </is>
      </c>
      <c r="C2600" s="4108" t="inlineStr">
        <is>
          <t>135792468</t>
        </is>
      </c>
      <c r="D2600" s="4108" t="inlineStr">
        <is>
          <t>202007</t>
        </is>
      </c>
      <c r="E2600" s="4108" t="inlineStr">
        <is>
          <t>6,000000000000</t>
        </is>
      </c>
    </row>
    <row outlineLevel="0" r="2601">
      <c r="A2601" s="4108" t="inlineStr">
        <is>
          <t>135792468202007321000</t>
        </is>
      </c>
      <c r="B2601" s="4108" t="inlineStr">
        <is>
          <t>321000</t>
        </is>
      </c>
      <c r="C2601" s="4108" t="inlineStr">
        <is>
          <t>135792468</t>
        </is>
      </c>
      <c r="D2601" s="4108" t="inlineStr">
        <is>
          <t>202007</t>
        </is>
      </c>
      <c r="E2601" s="4108" t="inlineStr">
        <is>
          <t>7,000000000000</t>
        </is>
      </c>
    </row>
    <row outlineLevel="0" r="2602">
      <c r="A2602" s="4108" t="inlineStr">
        <is>
          <t>135792468202007320500</t>
        </is>
      </c>
      <c r="B2602" s="4108" t="inlineStr">
        <is>
          <t>320500</t>
        </is>
      </c>
      <c r="C2602" s="4108" t="inlineStr">
        <is>
          <t>135792468</t>
        </is>
      </c>
      <c r="D2602" s="4108" t="inlineStr">
        <is>
          <t>202007</t>
        </is>
      </c>
      <c r="E2602" s="4108" t="inlineStr">
        <is>
          <t>8,000000000000</t>
        </is>
      </c>
    </row>
    <row outlineLevel="0" r="2603">
      <c r="A2603" s="4108" t="inlineStr">
        <is>
          <t>135792468202007314000</t>
        </is>
      </c>
      <c r="B2603" s="4108" t="inlineStr">
        <is>
          <t>314000</t>
        </is>
      </c>
      <c r="C2603" s="4108" t="inlineStr">
        <is>
          <t>135792468</t>
        </is>
      </c>
      <c r="D2603" s="4108" t="inlineStr">
        <is>
          <t>202007</t>
        </is>
      </c>
      <c r="E2603" s="4108" t="inlineStr">
        <is>
          <t>6,000000000000</t>
        </is>
      </c>
    </row>
    <row outlineLevel="0" r="2604">
      <c r="A2604" s="4108" t="inlineStr">
        <is>
          <t>135792468202007313500</t>
        </is>
      </c>
      <c r="B2604" s="4108" t="inlineStr">
        <is>
          <t>313500</t>
        </is>
      </c>
      <c r="C2604" s="4108" t="inlineStr">
        <is>
          <t>135792468</t>
        </is>
      </c>
      <c r="D2604" s="4108" t="inlineStr">
        <is>
          <t>202007</t>
        </is>
      </c>
      <c r="E2604" s="4108" t="inlineStr">
        <is>
          <t>5,000000000000</t>
        </is>
      </c>
    </row>
    <row outlineLevel="0" r="2605">
      <c r="A2605" s="4108" t="inlineStr">
        <is>
          <t>135792468202007312500</t>
        </is>
      </c>
      <c r="B2605" s="4108" t="inlineStr">
        <is>
          <t>312500</t>
        </is>
      </c>
      <c r="C2605" s="4108" t="inlineStr">
        <is>
          <t>135792468</t>
        </is>
      </c>
      <c r="D2605" s="4108" t="inlineStr">
        <is>
          <t>202007</t>
        </is>
      </c>
      <c r="E2605" s="4108" t="inlineStr">
        <is>
          <t>3,000000000000</t>
        </is>
      </c>
    </row>
    <row outlineLevel="0" r="2606">
      <c r="A2606" s="4108" t="inlineStr">
        <is>
          <t>135792468202007313000</t>
        </is>
      </c>
      <c r="B2606" s="4108" t="inlineStr">
        <is>
          <t>313000</t>
        </is>
      </c>
      <c r="C2606" s="4108" t="inlineStr">
        <is>
          <t>135792468</t>
        </is>
      </c>
      <c r="D2606" s="4108" t="inlineStr">
        <is>
          <t>202007</t>
        </is>
      </c>
      <c r="E2606" s="4108" t="inlineStr">
        <is>
          <t>4,000000000000</t>
        </is>
      </c>
    </row>
    <row outlineLevel="0" r="2607">
      <c r="A2607" s="4108" t="inlineStr">
        <is>
          <t>135792468202007312000</t>
        </is>
      </c>
      <c r="B2607" s="4108" t="inlineStr">
        <is>
          <t>312000</t>
        </is>
      </c>
      <c r="C2607" s="4108" t="inlineStr">
        <is>
          <t>135792468</t>
        </is>
      </c>
      <c r="D2607" s="4108" t="inlineStr">
        <is>
          <t>202007</t>
        </is>
      </c>
      <c r="E2607" s="4108" t="inlineStr">
        <is>
          <t>2,000000000000</t>
        </is>
      </c>
    </row>
    <row outlineLevel="0" r="2608">
      <c r="A2608" s="4108" t="inlineStr">
        <is>
          <t>135792468202007311500</t>
        </is>
      </c>
      <c r="B2608" s="4108" t="inlineStr">
        <is>
          <t>311500</t>
        </is>
      </c>
      <c r="C2608" s="4108" t="inlineStr">
        <is>
          <t>135792468</t>
        </is>
      </c>
      <c r="D2608" s="4108" t="inlineStr">
        <is>
          <t>202007</t>
        </is>
      </c>
      <c r="E2608" s="4108" t="inlineStr">
        <is>
          <t>1,000000000000</t>
        </is>
      </c>
    </row>
    <row outlineLevel="0" r="2609">
      <c r="A2609" s="4108" t="inlineStr">
        <is>
          <t>135792468202007310500</t>
        </is>
      </c>
      <c r="B2609" s="4108" t="inlineStr">
        <is>
          <t>310500</t>
        </is>
      </c>
      <c r="C2609" s="4108" t="inlineStr">
        <is>
          <t>135792468</t>
        </is>
      </c>
      <c r="D2609" s="4108" t="inlineStr">
        <is>
          <t>202007</t>
        </is>
      </c>
      <c r="E2609" s="4108" t="inlineStr">
        <is>
          <t>123,000000000000</t>
        </is>
      </c>
    </row>
    <row outlineLevel="0" r="2610">
      <c r="A2610" s="4108" t="inlineStr">
        <is>
          <t>135792468202007299501</t>
        </is>
      </c>
      <c r="B2610" s="4108" t="inlineStr">
        <is>
          <t>299501</t>
        </is>
      </c>
      <c r="C2610" s="4108" t="inlineStr">
        <is>
          <t>135792468</t>
        </is>
      </c>
      <c r="D2610" s="4108" t="inlineStr">
        <is>
          <t>202007</t>
        </is>
      </c>
      <c r="E2610" s="4108" t="inlineStr">
        <is>
          <t>3,000000000000</t>
        </is>
      </c>
    </row>
    <row outlineLevel="0" r="2611">
      <c r="A2611" s="4108" t="inlineStr">
        <is>
          <t>135792468202007294000</t>
        </is>
      </c>
      <c r="B2611" s="4108" t="inlineStr">
        <is>
          <t>294000</t>
        </is>
      </c>
      <c r="C2611" s="4108" t="inlineStr">
        <is>
          <t>135792468</t>
        </is>
      </c>
      <c r="D2611" s="4108" t="inlineStr">
        <is>
          <t>202007</t>
        </is>
      </c>
      <c r="E2611" s="4108" t="inlineStr">
        <is>
          <t>4,000000000000</t>
        </is>
      </c>
    </row>
    <row outlineLevel="0" r="2612">
      <c r="A2612" s="4108" t="inlineStr">
        <is>
          <t>135792468202007293000</t>
        </is>
      </c>
      <c r="B2612" s="4108" t="inlineStr">
        <is>
          <t>293000</t>
        </is>
      </c>
      <c r="C2612" s="4108" t="inlineStr">
        <is>
          <t>135792468</t>
        </is>
      </c>
      <c r="D2612" s="4108" t="inlineStr">
        <is>
          <t>202007</t>
        </is>
      </c>
      <c r="E2612" s="4108" t="inlineStr">
        <is>
          <t>3,000000000000</t>
        </is>
      </c>
    </row>
    <row outlineLevel="0" r="2613">
      <c r="A2613" s="4108" t="inlineStr">
        <is>
          <t>135792468202007292000</t>
        </is>
      </c>
      <c r="B2613" s="4108" t="inlineStr">
        <is>
          <t>292000</t>
        </is>
      </c>
      <c r="C2613" s="4108" t="inlineStr">
        <is>
          <t>135792468</t>
        </is>
      </c>
      <c r="D2613" s="4108" t="inlineStr">
        <is>
          <t>202007</t>
        </is>
      </c>
      <c r="E2613" s="4108" t="inlineStr">
        <is>
          <t>2,000000000000</t>
        </is>
      </c>
    </row>
    <row outlineLevel="0" r="2614">
      <c r="A2614" s="4108" t="inlineStr">
        <is>
          <t>135792468202007292001</t>
        </is>
      </c>
      <c r="B2614" s="4108" t="inlineStr">
        <is>
          <t>292001</t>
        </is>
      </c>
      <c r="C2614" s="4108" t="inlineStr">
        <is>
          <t>135792468</t>
        </is>
      </c>
      <c r="D2614" s="4108" t="inlineStr">
        <is>
          <t>202007</t>
        </is>
      </c>
      <c r="E2614" s="4108" t="inlineStr">
        <is>
          <t>2,000000000000</t>
        </is>
      </c>
    </row>
    <row outlineLevel="0" r="2615">
      <c r="A2615" s="4108" t="inlineStr">
        <is>
          <t>135792468202007291991</t>
        </is>
      </c>
      <c r="B2615" s="4108" t="inlineStr">
        <is>
          <t>291991</t>
        </is>
      </c>
      <c r="C2615" s="4108" t="inlineStr">
        <is>
          <t>135792468</t>
        </is>
      </c>
      <c r="D2615" s="4108" t="inlineStr">
        <is>
          <t>202007</t>
        </is>
      </c>
      <c r="E2615" s="4108" t="inlineStr">
        <is>
          <t>1,000000000000</t>
        </is>
      </c>
    </row>
    <row outlineLevel="0" r="2616">
      <c r="A2616" s="4108" t="inlineStr">
        <is>
          <t>135792468202007291501</t>
        </is>
      </c>
      <c r="B2616" s="4108" t="inlineStr">
        <is>
          <t>291501</t>
        </is>
      </c>
      <c r="C2616" s="4108" t="inlineStr">
        <is>
          <t>135792468</t>
        </is>
      </c>
      <c r="D2616" s="4108" t="inlineStr">
        <is>
          <t>202007</t>
        </is>
      </c>
      <c r="E2616" s="4108" t="inlineStr">
        <is>
          <t>0,000000000000</t>
        </is>
      </c>
    </row>
    <row outlineLevel="0" r="2617">
      <c r="A2617" s="4108" t="inlineStr">
        <is>
          <t>135792468202007291000</t>
        </is>
      </c>
      <c r="B2617" s="4108" t="inlineStr">
        <is>
          <t>291000</t>
        </is>
      </c>
      <c r="C2617" s="4108" t="inlineStr">
        <is>
          <t>135792468</t>
        </is>
      </c>
      <c r="D2617" s="4108" t="inlineStr">
        <is>
          <t>202007</t>
        </is>
      </c>
      <c r="E2617" s="4108" t="inlineStr">
        <is>
          <t>1,000000000000</t>
        </is>
      </c>
    </row>
    <row outlineLevel="0" r="2618">
      <c r="A2618" s="4108" t="inlineStr">
        <is>
          <t>135792468202007290501</t>
        </is>
      </c>
      <c r="B2618" s="4108" t="inlineStr">
        <is>
          <t>290501</t>
        </is>
      </c>
      <c r="C2618" s="4108" t="inlineStr">
        <is>
          <t>135792468</t>
        </is>
      </c>
      <c r="D2618" s="4108" t="inlineStr">
        <is>
          <t>202007</t>
        </is>
      </c>
      <c r="E2618" s="4108" t="inlineStr">
        <is>
          <t>0,000000000000</t>
        </is>
      </c>
    </row>
    <row outlineLevel="0" r="2619">
      <c r="A2619" s="4108" t="inlineStr">
        <is>
          <t>135792468202007289500</t>
        </is>
      </c>
      <c r="B2619" s="4108" t="inlineStr">
        <is>
          <t>289500</t>
        </is>
      </c>
      <c r="C2619" s="4108" t="inlineStr">
        <is>
          <t>135792468</t>
        </is>
      </c>
      <c r="D2619" s="4108" t="inlineStr">
        <is>
          <t>202007</t>
        </is>
      </c>
      <c r="E2619" s="4108" t="inlineStr">
        <is>
          <t>5,000000000000</t>
        </is>
      </c>
    </row>
    <row outlineLevel="0" r="2620">
      <c r="A2620" s="4108" t="inlineStr">
        <is>
          <t>135792468202007284000</t>
        </is>
      </c>
      <c r="B2620" s="4108" t="inlineStr">
        <is>
          <t>284000</t>
        </is>
      </c>
      <c r="C2620" s="4108" t="inlineStr">
        <is>
          <t>135792468</t>
        </is>
      </c>
      <c r="D2620" s="4108" t="inlineStr">
        <is>
          <t>202007</t>
        </is>
      </c>
      <c r="E2620" s="4108" t="inlineStr">
        <is>
          <t>4,000000000000</t>
        </is>
      </c>
    </row>
    <row outlineLevel="0" r="2621">
      <c r="A2621" s="4108" t="inlineStr">
        <is>
          <t>135792468202007282000</t>
        </is>
      </c>
      <c r="B2621" s="4108" t="inlineStr">
        <is>
          <t>282000</t>
        </is>
      </c>
      <c r="C2621" s="4108" t="inlineStr">
        <is>
          <t>135792468</t>
        </is>
      </c>
      <c r="D2621" s="4108" t="inlineStr">
        <is>
          <t>202007</t>
        </is>
      </c>
      <c r="E2621" s="4108" t="inlineStr">
        <is>
          <t>2,000000000000</t>
        </is>
      </c>
    </row>
    <row outlineLevel="0" r="2622">
      <c r="A2622" s="4108" t="inlineStr">
        <is>
          <t>135792468202007282500</t>
        </is>
      </c>
      <c r="B2622" s="4108" t="inlineStr">
        <is>
          <t>282500</t>
        </is>
      </c>
      <c r="C2622" s="4108" t="inlineStr">
        <is>
          <t>135792468</t>
        </is>
      </c>
      <c r="D2622" s="4108" t="inlineStr">
        <is>
          <t>202007</t>
        </is>
      </c>
      <c r="E2622" s="4108" t="inlineStr">
        <is>
          <t>3,000000000000</t>
        </is>
      </c>
    </row>
    <row outlineLevel="0" r="2623">
      <c r="A2623" s="4108" t="inlineStr">
        <is>
          <t>135792468202007281000</t>
        </is>
      </c>
      <c r="B2623" s="4108" t="inlineStr">
        <is>
          <t>281000</t>
        </is>
      </c>
      <c r="C2623" s="4108" t="inlineStr">
        <is>
          <t>135792468</t>
        </is>
      </c>
      <c r="D2623" s="4108" t="inlineStr">
        <is>
          <t>202007</t>
        </is>
      </c>
      <c r="E2623" s="4108" t="inlineStr">
        <is>
          <t>1,000000000000</t>
        </is>
      </c>
    </row>
    <row outlineLevel="0" r="2624">
      <c r="A2624" s="4108" t="inlineStr">
        <is>
          <t>135792468202007279501</t>
        </is>
      </c>
      <c r="B2624" s="4108" t="inlineStr">
        <is>
          <t>279501</t>
        </is>
      </c>
      <c r="C2624" s="4108" t="inlineStr">
        <is>
          <t>135792468</t>
        </is>
      </c>
      <c r="D2624" s="4108" t="inlineStr">
        <is>
          <t>202007</t>
        </is>
      </c>
      <c r="E2624" s="4108" t="inlineStr">
        <is>
          <t>5,000000000000</t>
        </is>
      </c>
    </row>
    <row outlineLevel="0" r="2625">
      <c r="A2625" s="4108" t="inlineStr">
        <is>
          <t>135792468202007279500</t>
        </is>
      </c>
      <c r="B2625" s="4108" t="inlineStr">
        <is>
          <t>279500</t>
        </is>
      </c>
      <c r="C2625" s="4108" t="inlineStr">
        <is>
          <t>135792468</t>
        </is>
      </c>
      <c r="D2625" s="4108" t="inlineStr">
        <is>
          <t>202007</t>
        </is>
      </c>
      <c r="E2625" s="4108" t="inlineStr">
        <is>
          <t>4,000000000000</t>
        </is>
      </c>
    </row>
    <row outlineLevel="0" r="2626">
      <c r="A2626" s="4108" t="inlineStr">
        <is>
          <t>135792468202007272501</t>
        </is>
      </c>
      <c r="B2626" s="4108" t="inlineStr">
        <is>
          <t>272501</t>
        </is>
      </c>
      <c r="C2626" s="4108" t="inlineStr">
        <is>
          <t>135792468</t>
        </is>
      </c>
      <c r="D2626" s="4108" t="inlineStr">
        <is>
          <t>202007</t>
        </is>
      </c>
      <c r="E2626" s="4108" t="inlineStr">
        <is>
          <t>4,000000000000</t>
        </is>
      </c>
    </row>
    <row outlineLevel="0" r="2627">
      <c r="A2627" s="4108" t="inlineStr">
        <is>
          <t>135792468202007272500</t>
        </is>
      </c>
      <c r="B2627" s="4108" t="inlineStr">
        <is>
          <t>272500</t>
        </is>
      </c>
      <c r="C2627" s="4108" t="inlineStr">
        <is>
          <t>135792468</t>
        </is>
      </c>
      <c r="D2627" s="4108" t="inlineStr">
        <is>
          <t>202007</t>
        </is>
      </c>
      <c r="E2627" s="4108" t="inlineStr">
        <is>
          <t>3,000000000000</t>
        </is>
      </c>
    </row>
    <row outlineLevel="0" r="2628">
      <c r="A2628" s="4108" t="inlineStr">
        <is>
          <t>135792468202007272001</t>
        </is>
      </c>
      <c r="B2628" s="4108" t="inlineStr">
        <is>
          <t>272001</t>
        </is>
      </c>
      <c r="C2628" s="4108" t="inlineStr">
        <is>
          <t>135792468</t>
        </is>
      </c>
      <c r="D2628" s="4108" t="inlineStr">
        <is>
          <t>202007</t>
        </is>
      </c>
      <c r="E2628" s="4108" t="inlineStr">
        <is>
          <t>3,000000000000</t>
        </is>
      </c>
    </row>
    <row outlineLevel="0" r="2629">
      <c r="A2629" s="4108" t="inlineStr">
        <is>
          <t>135792468202007271000</t>
        </is>
      </c>
      <c r="B2629" s="4108" t="inlineStr">
        <is>
          <t>271000</t>
        </is>
      </c>
      <c r="C2629" s="4108" t="inlineStr">
        <is>
          <t>135792468</t>
        </is>
      </c>
      <c r="D2629" s="4108" t="inlineStr">
        <is>
          <t>202007</t>
        </is>
      </c>
      <c r="E2629" s="4108" t="inlineStr">
        <is>
          <t>2,000000000000</t>
        </is>
      </c>
    </row>
    <row outlineLevel="0" r="2630">
      <c r="A2630" s="4108" t="inlineStr">
        <is>
          <t>135792468202007271001</t>
        </is>
      </c>
      <c r="B2630" s="4108" t="inlineStr">
        <is>
          <t>271001</t>
        </is>
      </c>
      <c r="C2630" s="4108" t="inlineStr">
        <is>
          <t>135792468</t>
        </is>
      </c>
      <c r="D2630" s="4108" t="inlineStr">
        <is>
          <t>202007</t>
        </is>
      </c>
      <c r="E2630" s="4108" t="inlineStr">
        <is>
          <t>2,000000000000</t>
        </is>
      </c>
    </row>
    <row outlineLevel="0" r="2631">
      <c r="A2631" s="4108" t="inlineStr">
        <is>
          <t>135792468202007270501</t>
        </is>
      </c>
      <c r="B2631" s="4108" t="inlineStr">
        <is>
          <t>270501</t>
        </is>
      </c>
      <c r="C2631" s="4108" t="inlineStr">
        <is>
          <t>135792468</t>
        </is>
      </c>
      <c r="D2631" s="4108" t="inlineStr">
        <is>
          <t>202007</t>
        </is>
      </c>
      <c r="E2631" s="4108" t="inlineStr">
        <is>
          <t>1,000000000000</t>
        </is>
      </c>
    </row>
    <row outlineLevel="0" r="2632">
      <c r="A2632" s="4108" t="inlineStr">
        <is>
          <t>135792468202007270500</t>
        </is>
      </c>
      <c r="B2632" s="4108" t="inlineStr">
        <is>
          <t>270500</t>
        </is>
      </c>
      <c r="C2632" s="4108" t="inlineStr">
        <is>
          <t>135792468</t>
        </is>
      </c>
      <c r="D2632" s="4108" t="inlineStr">
        <is>
          <t>202007</t>
        </is>
      </c>
      <c r="E2632" s="4108" t="inlineStr">
        <is>
          <t>1,000000000000</t>
        </is>
      </c>
    </row>
    <row outlineLevel="0" r="2633">
      <c r="A2633" s="4108" t="inlineStr">
        <is>
          <t>135792468202007269501</t>
        </is>
      </c>
      <c r="B2633" s="4108" t="inlineStr">
        <is>
          <t>269501</t>
        </is>
      </c>
      <c r="C2633" s="4108" t="inlineStr">
        <is>
          <t>135792468</t>
        </is>
      </c>
      <c r="D2633" s="4108" t="inlineStr">
        <is>
          <t>202007</t>
        </is>
      </c>
      <c r="E2633" s="4108" t="inlineStr">
        <is>
          <t>9,000000000000</t>
        </is>
      </c>
    </row>
    <row outlineLevel="0" r="2634">
      <c r="A2634" s="4108" t="inlineStr">
        <is>
          <t>135792468202007269500</t>
        </is>
      </c>
      <c r="B2634" s="4108" t="inlineStr">
        <is>
          <t>269500</t>
        </is>
      </c>
      <c r="C2634" s="4108" t="inlineStr">
        <is>
          <t>135792468</t>
        </is>
      </c>
      <c r="D2634" s="4108" t="inlineStr">
        <is>
          <t>202007</t>
        </is>
      </c>
      <c r="E2634" s="4108" t="inlineStr">
        <is>
          <t>8,000000000000</t>
        </is>
      </c>
    </row>
    <row outlineLevel="0" r="2635">
      <c r="A2635" s="4108" t="inlineStr">
        <is>
          <t>135792468202007264001</t>
        </is>
      </c>
      <c r="B2635" s="4108" t="inlineStr">
        <is>
          <t>264001</t>
        </is>
      </c>
      <c r="C2635" s="4108" t="inlineStr">
        <is>
          <t>135792468</t>
        </is>
      </c>
      <c r="D2635" s="4108" t="inlineStr">
        <is>
          <t>202007</t>
        </is>
      </c>
      <c r="E2635" s="4108" t="inlineStr">
        <is>
          <t>8,000000000000</t>
        </is>
      </c>
    </row>
    <row outlineLevel="0" r="2636">
      <c r="A2636" s="4108" t="inlineStr">
        <is>
          <t>135792468202007264000</t>
        </is>
      </c>
      <c r="B2636" s="4108" t="inlineStr">
        <is>
          <t>264000</t>
        </is>
      </c>
      <c r="C2636" s="4108" t="inlineStr">
        <is>
          <t>135792468</t>
        </is>
      </c>
      <c r="D2636" s="4108" t="inlineStr">
        <is>
          <t>202007</t>
        </is>
      </c>
      <c r="E2636" s="4108" t="inlineStr">
        <is>
          <t>7,000000000000</t>
        </is>
      </c>
    </row>
    <row outlineLevel="0" r="2637">
      <c r="A2637" s="4108" t="inlineStr">
        <is>
          <t>135792468202007263500</t>
        </is>
      </c>
      <c r="B2637" s="4108" t="inlineStr">
        <is>
          <t>263500</t>
        </is>
      </c>
      <c r="C2637" s="4108" t="inlineStr">
        <is>
          <t>135792468</t>
        </is>
      </c>
      <c r="D2637" s="4108" t="inlineStr">
        <is>
          <t>202007</t>
        </is>
      </c>
      <c r="E2637" s="4108" t="inlineStr">
        <is>
          <t>6,000000000000</t>
        </is>
      </c>
    </row>
    <row outlineLevel="0" r="2638">
      <c r="A2638" s="4108" t="inlineStr">
        <is>
          <t>135792468202007263501</t>
        </is>
      </c>
      <c r="B2638" s="4108" t="inlineStr">
        <is>
          <t>263501</t>
        </is>
      </c>
      <c r="C2638" s="4108" t="inlineStr">
        <is>
          <t>135792468</t>
        </is>
      </c>
      <c r="D2638" s="4108" t="inlineStr">
        <is>
          <t>202007</t>
        </is>
      </c>
      <c r="E2638" s="4108" t="inlineStr">
        <is>
          <t>7,000000000000</t>
        </is>
      </c>
    </row>
    <row outlineLevel="0" r="2639">
      <c r="A2639" s="4108" t="inlineStr">
        <is>
          <t>135792468202007263001</t>
        </is>
      </c>
      <c r="B2639" s="4108" t="inlineStr">
        <is>
          <t>263001</t>
        </is>
      </c>
      <c r="C2639" s="4108" t="inlineStr">
        <is>
          <t>135792468</t>
        </is>
      </c>
      <c r="D2639" s="4108" t="inlineStr">
        <is>
          <t>202007</t>
        </is>
      </c>
      <c r="E2639" s="4108" t="inlineStr">
        <is>
          <t>6,000000000000</t>
        </is>
      </c>
    </row>
    <row outlineLevel="0" r="2640">
      <c r="A2640" s="4108" t="inlineStr">
        <is>
          <t>135792468202007263000</t>
        </is>
      </c>
      <c r="B2640" s="4108" t="inlineStr">
        <is>
          <t>263000</t>
        </is>
      </c>
      <c r="C2640" s="4108" t="inlineStr">
        <is>
          <t>135792468</t>
        </is>
      </c>
      <c r="D2640" s="4108" t="inlineStr">
        <is>
          <t>202007</t>
        </is>
      </c>
      <c r="E2640" s="4108" t="inlineStr">
        <is>
          <t>5,000000000000</t>
        </is>
      </c>
    </row>
    <row outlineLevel="0" r="2641">
      <c r="A2641" s="4108" t="inlineStr">
        <is>
          <t>135792468202007262501</t>
        </is>
      </c>
      <c r="B2641" s="4108" t="inlineStr">
        <is>
          <t>262501</t>
        </is>
      </c>
      <c r="C2641" s="4108" t="inlineStr">
        <is>
          <t>135792468</t>
        </is>
      </c>
      <c r="D2641" s="4108" t="inlineStr">
        <is>
          <t>202007</t>
        </is>
      </c>
      <c r="E2641" s="4108" t="inlineStr">
        <is>
          <t>5,000000000000</t>
        </is>
      </c>
    </row>
    <row outlineLevel="0" r="2642">
      <c r="A2642" s="4108" t="inlineStr">
        <is>
          <t>135792468202007262500</t>
        </is>
      </c>
      <c r="B2642" s="4108" t="inlineStr">
        <is>
          <t>262500</t>
        </is>
      </c>
      <c r="C2642" s="4108" t="inlineStr">
        <is>
          <t>135792468</t>
        </is>
      </c>
      <c r="D2642" s="4108" t="inlineStr">
        <is>
          <t>202007</t>
        </is>
      </c>
      <c r="E2642" s="4108" t="inlineStr">
        <is>
          <t>4,000000000000</t>
        </is>
      </c>
    </row>
    <row outlineLevel="0" r="2643">
      <c r="A2643" s="4108" t="inlineStr">
        <is>
          <t>135792468202007262001</t>
        </is>
      </c>
      <c r="B2643" s="4108" t="inlineStr">
        <is>
          <t>262001</t>
        </is>
      </c>
      <c r="C2643" s="4108" t="inlineStr">
        <is>
          <t>135792468</t>
        </is>
      </c>
      <c r="D2643" s="4108" t="inlineStr">
        <is>
          <t>202007</t>
        </is>
      </c>
      <c r="E2643" s="4108" t="inlineStr">
        <is>
          <t>4,000000000000</t>
        </is>
      </c>
    </row>
    <row outlineLevel="0" r="2644">
      <c r="A2644" s="4108" t="inlineStr">
        <is>
          <t>135792468202007262000</t>
        </is>
      </c>
      <c r="B2644" s="4108" t="inlineStr">
        <is>
          <t>262000</t>
        </is>
      </c>
      <c r="C2644" s="4108" t="inlineStr">
        <is>
          <t>135792468</t>
        </is>
      </c>
      <c r="D2644" s="4108" t="inlineStr">
        <is>
          <t>202007</t>
        </is>
      </c>
      <c r="E2644" s="4108" t="inlineStr">
        <is>
          <t>3,000000000000</t>
        </is>
      </c>
    </row>
    <row outlineLevel="0" r="2645">
      <c r="A2645" s="4108" t="inlineStr">
        <is>
          <t>135792468202007261500</t>
        </is>
      </c>
      <c r="B2645" s="4108" t="inlineStr">
        <is>
          <t>261500</t>
        </is>
      </c>
      <c r="C2645" s="4108" t="inlineStr">
        <is>
          <t>135792468</t>
        </is>
      </c>
      <c r="D2645" s="4108" t="inlineStr">
        <is>
          <t>202007</t>
        </is>
      </c>
      <c r="E2645" s="4108" t="inlineStr">
        <is>
          <t>2,000000000000</t>
        </is>
      </c>
    </row>
    <row outlineLevel="0" r="2646">
      <c r="A2646" s="4108" t="inlineStr">
        <is>
          <t>135792468202007261501</t>
        </is>
      </c>
      <c r="B2646" s="4108" t="inlineStr">
        <is>
          <t>261501</t>
        </is>
      </c>
      <c r="C2646" s="4108" t="inlineStr">
        <is>
          <t>135792468</t>
        </is>
      </c>
      <c r="D2646" s="4108" t="inlineStr">
        <is>
          <t>202007</t>
        </is>
      </c>
      <c r="E2646" s="4108" t="inlineStr">
        <is>
          <t>3,000000000000</t>
        </is>
      </c>
    </row>
    <row outlineLevel="0" r="2647">
      <c r="A2647" s="4108" t="inlineStr">
        <is>
          <t>135792468202007261001</t>
        </is>
      </c>
      <c r="B2647" s="4108" t="inlineStr">
        <is>
          <t>261001</t>
        </is>
      </c>
      <c r="C2647" s="4108" t="inlineStr">
        <is>
          <t>135792468</t>
        </is>
      </c>
      <c r="D2647" s="4108" t="inlineStr">
        <is>
          <t>202007</t>
        </is>
      </c>
      <c r="E2647" s="4108" t="inlineStr">
        <is>
          <t>2,000000000000</t>
        </is>
      </c>
    </row>
    <row outlineLevel="0" r="2648">
      <c r="A2648" s="4108" t="inlineStr">
        <is>
          <t>135792468202007261000</t>
        </is>
      </c>
      <c r="B2648" s="4108" t="inlineStr">
        <is>
          <t>261000</t>
        </is>
      </c>
      <c r="C2648" s="4108" t="inlineStr">
        <is>
          <t>135792468</t>
        </is>
      </c>
      <c r="D2648" s="4108" t="inlineStr">
        <is>
          <t>202007</t>
        </is>
      </c>
      <c r="E2648" s="4108" t="inlineStr">
        <is>
          <t>1,000000000000</t>
        </is>
      </c>
    </row>
    <row outlineLevel="0" r="2649">
      <c r="A2649" s="4108" t="inlineStr">
        <is>
          <t>135792468202007260501</t>
        </is>
      </c>
      <c r="B2649" s="4108" t="inlineStr">
        <is>
          <t>260501</t>
        </is>
      </c>
      <c r="C2649" s="4108" t="inlineStr">
        <is>
          <t>135792468</t>
        </is>
      </c>
      <c r="D2649" s="4108" t="inlineStr">
        <is>
          <t>202007</t>
        </is>
      </c>
      <c r="E2649" s="4108" t="inlineStr">
        <is>
          <t>1,000000000000</t>
        </is>
      </c>
    </row>
    <row outlineLevel="0" r="2650">
      <c r="A2650" s="4108" t="inlineStr">
        <is>
          <t>135792468202007260500</t>
        </is>
      </c>
      <c r="B2650" s="4108" t="inlineStr">
        <is>
          <t>260500</t>
        </is>
      </c>
      <c r="C2650" s="4108" t="inlineStr">
        <is>
          <t>135792468</t>
        </is>
      </c>
      <c r="D2650" s="4108" t="inlineStr">
        <is>
          <t>202007</t>
        </is>
      </c>
      <c r="E2650" s="4108" t="inlineStr">
        <is>
          <t>8,000000000000</t>
        </is>
      </c>
    </row>
    <row outlineLevel="0" r="2651">
      <c r="A2651" s="4108" t="inlineStr">
        <is>
          <t>135792468202007259501</t>
        </is>
      </c>
      <c r="B2651" s="4108" t="inlineStr">
        <is>
          <t>259501</t>
        </is>
      </c>
      <c r="C2651" s="4108" t="inlineStr">
        <is>
          <t>135792468</t>
        </is>
      </c>
      <c r="D2651" s="4108" t="inlineStr">
        <is>
          <t>202007</t>
        </is>
      </c>
      <c r="E2651" s="4108" t="inlineStr">
        <is>
          <t>6,000000000000</t>
        </is>
      </c>
    </row>
    <row outlineLevel="0" r="2652">
      <c r="A2652" s="4108" t="inlineStr">
        <is>
          <t>135792468202007259500</t>
        </is>
      </c>
      <c r="B2652" s="4108" t="inlineStr">
        <is>
          <t>259500</t>
        </is>
      </c>
      <c r="C2652" s="4108" t="inlineStr">
        <is>
          <t>135792468</t>
        </is>
      </c>
      <c r="D2652" s="4108" t="inlineStr">
        <is>
          <t>202007</t>
        </is>
      </c>
      <c r="E2652" s="4108" t="inlineStr">
        <is>
          <t>6,000000000000</t>
        </is>
      </c>
    </row>
    <row outlineLevel="0" r="2653">
      <c r="A2653" s="4108" t="inlineStr">
        <is>
          <t>135792468202007253000</t>
        </is>
      </c>
      <c r="B2653" s="4108" t="inlineStr">
        <is>
          <t>253000</t>
        </is>
      </c>
      <c r="C2653" s="4108" t="inlineStr">
        <is>
          <t>135792468</t>
        </is>
      </c>
      <c r="D2653" s="4108" t="inlineStr">
        <is>
          <t>202007</t>
        </is>
      </c>
      <c r="E2653" s="4108" t="inlineStr">
        <is>
          <t>5,000000000000</t>
        </is>
      </c>
    </row>
    <row outlineLevel="0" r="2654">
      <c r="A2654" s="4108" t="inlineStr">
        <is>
          <t>135792468202007253001</t>
        </is>
      </c>
      <c r="B2654" s="4108" t="inlineStr">
        <is>
          <t>253001</t>
        </is>
      </c>
      <c r="C2654" s="4108" t="inlineStr">
        <is>
          <t>135792468</t>
        </is>
      </c>
      <c r="D2654" s="4108" t="inlineStr">
        <is>
          <t>202007</t>
        </is>
      </c>
      <c r="E2654" s="4108" t="inlineStr">
        <is>
          <t>5,000000000000</t>
        </is>
      </c>
    </row>
    <row outlineLevel="0" r="2655">
      <c r="A2655" s="4108" t="inlineStr">
        <is>
          <t>135792468202007252501</t>
        </is>
      </c>
      <c r="B2655" s="4108" t="inlineStr">
        <is>
          <t>252501</t>
        </is>
      </c>
      <c r="C2655" s="4108" t="inlineStr">
        <is>
          <t>135792468</t>
        </is>
      </c>
      <c r="D2655" s="4108" t="inlineStr">
        <is>
          <t>202007</t>
        </is>
      </c>
      <c r="E2655" s="4108" t="inlineStr">
        <is>
          <t>4,000000000000</t>
        </is>
      </c>
    </row>
    <row outlineLevel="0" r="2656">
      <c r="A2656" s="4108" t="inlineStr">
        <is>
          <t>135792468202007252500</t>
        </is>
      </c>
      <c r="B2656" s="4108" t="inlineStr">
        <is>
          <t>252500</t>
        </is>
      </c>
      <c r="C2656" s="4108" t="inlineStr">
        <is>
          <t>135792468</t>
        </is>
      </c>
      <c r="D2656" s="4108" t="inlineStr">
        <is>
          <t>202007</t>
        </is>
      </c>
      <c r="E2656" s="4108" t="inlineStr">
        <is>
          <t>4,000000000000</t>
        </is>
      </c>
    </row>
    <row outlineLevel="0" r="2657">
      <c r="A2657" s="4108" t="inlineStr">
        <is>
          <t>135792468202007251501</t>
        </is>
      </c>
      <c r="B2657" s="4108" t="inlineStr">
        <is>
          <t>251501</t>
        </is>
      </c>
      <c r="C2657" s="4108" t="inlineStr">
        <is>
          <t>135792468</t>
        </is>
      </c>
      <c r="D2657" s="4108" t="inlineStr">
        <is>
          <t>202007</t>
        </is>
      </c>
      <c r="E2657" s="4108" t="inlineStr">
        <is>
          <t>3,000000000000</t>
        </is>
      </c>
    </row>
    <row outlineLevel="0" r="2658">
      <c r="A2658" s="4108" t="inlineStr">
        <is>
          <t>135792468202007251500</t>
        </is>
      </c>
      <c r="B2658" s="4108" t="inlineStr">
        <is>
          <t>251500</t>
        </is>
      </c>
      <c r="C2658" s="4108" t="inlineStr">
        <is>
          <t>135792468</t>
        </is>
      </c>
      <c r="D2658" s="4108" t="inlineStr">
        <is>
          <t>202007</t>
        </is>
      </c>
      <c r="E2658" s="4108" t="inlineStr">
        <is>
          <t>3,000000000000</t>
        </is>
      </c>
    </row>
    <row outlineLevel="0" r="2659">
      <c r="A2659" s="4108" t="inlineStr">
        <is>
          <t>135792468202007251001</t>
        </is>
      </c>
      <c r="B2659" s="4108" t="inlineStr">
        <is>
          <t>251001</t>
        </is>
      </c>
      <c r="C2659" s="4108" t="inlineStr">
        <is>
          <t>135792468</t>
        </is>
      </c>
      <c r="D2659" s="4108" t="inlineStr">
        <is>
          <t>202007</t>
        </is>
      </c>
      <c r="E2659" s="4108" t="inlineStr">
        <is>
          <t>2,000000000000</t>
        </is>
      </c>
    </row>
    <row outlineLevel="0" r="2660">
      <c r="A2660" s="4108" t="inlineStr">
        <is>
          <t>135792468202007251000</t>
        </is>
      </c>
      <c r="B2660" s="4108" t="inlineStr">
        <is>
          <t>251000</t>
        </is>
      </c>
      <c r="C2660" s="4108" t="inlineStr">
        <is>
          <t>135792468</t>
        </is>
      </c>
      <c r="D2660" s="4108" t="inlineStr">
        <is>
          <t>202007</t>
        </is>
      </c>
      <c r="E2660" s="4108" t="inlineStr">
        <is>
          <t>2,000000000000</t>
        </is>
      </c>
    </row>
    <row outlineLevel="0" r="2661">
      <c r="A2661" s="4108" t="inlineStr">
        <is>
          <t>135792468202007250500</t>
        </is>
      </c>
      <c r="B2661" s="4108" t="inlineStr">
        <is>
          <t>250500</t>
        </is>
      </c>
      <c r="C2661" s="4108" t="inlineStr">
        <is>
          <t>135792468</t>
        </is>
      </c>
      <c r="D2661" s="4108" t="inlineStr">
        <is>
          <t>202007</t>
        </is>
      </c>
      <c r="E2661" s="4108" t="inlineStr">
        <is>
          <t>1,000000000000</t>
        </is>
      </c>
    </row>
    <row outlineLevel="0" r="2662">
      <c r="A2662" s="4108" t="inlineStr">
        <is>
          <t>135792468202007250501</t>
        </is>
      </c>
      <c r="B2662" s="4108" t="inlineStr">
        <is>
          <t>250501</t>
        </is>
      </c>
      <c r="C2662" s="4108" t="inlineStr">
        <is>
          <t>135792468</t>
        </is>
      </c>
      <c r="D2662" s="4108" t="inlineStr">
        <is>
          <t>202007</t>
        </is>
      </c>
      <c r="E2662" s="4108" t="inlineStr">
        <is>
          <t>1,000000000000</t>
        </is>
      </c>
    </row>
    <row outlineLevel="0" r="2663">
      <c r="A2663" s="4108" t="inlineStr">
        <is>
          <t>135792468202007249501</t>
        </is>
      </c>
      <c r="B2663" s="4108" t="inlineStr">
        <is>
          <t>249501</t>
        </is>
      </c>
      <c r="C2663" s="4108" t="inlineStr">
        <is>
          <t>135792468</t>
        </is>
      </c>
      <c r="D2663" s="4108" t="inlineStr">
        <is>
          <t>202007</t>
        </is>
      </c>
      <c r="E2663" s="4108" t="inlineStr">
        <is>
          <t>4,000000000000</t>
        </is>
      </c>
    </row>
    <row outlineLevel="0" r="2664">
      <c r="A2664" s="4108" t="inlineStr">
        <is>
          <t>135792468202007249500</t>
        </is>
      </c>
      <c r="B2664" s="4108" t="inlineStr">
        <is>
          <t>249500</t>
        </is>
      </c>
      <c r="C2664" s="4108" t="inlineStr">
        <is>
          <t>135792468</t>
        </is>
      </c>
      <c r="D2664" s="4108" t="inlineStr">
        <is>
          <t>202007</t>
        </is>
      </c>
      <c r="E2664" s="4108" t="inlineStr">
        <is>
          <t>4,000000000000</t>
        </is>
      </c>
    </row>
    <row outlineLevel="0" r="2665">
      <c r="A2665" s="4108" t="inlineStr">
        <is>
          <t>135792468202007241201</t>
        </is>
      </c>
      <c r="B2665" s="4108" t="inlineStr">
        <is>
          <t>241201</t>
        </is>
      </c>
      <c r="C2665" s="4108" t="inlineStr">
        <is>
          <t>135792468</t>
        </is>
      </c>
      <c r="D2665" s="4108" t="inlineStr">
        <is>
          <t>202007</t>
        </is>
      </c>
      <c r="E2665" s="4108" t="inlineStr">
        <is>
          <t>3,000000000000</t>
        </is>
      </c>
    </row>
    <row outlineLevel="0" r="2666">
      <c r="A2666" s="4108" t="inlineStr">
        <is>
          <t>135792468202007241200</t>
        </is>
      </c>
      <c r="B2666" s="4108" t="inlineStr">
        <is>
          <t>241200</t>
        </is>
      </c>
      <c r="C2666" s="4108" t="inlineStr">
        <is>
          <t>135792468</t>
        </is>
      </c>
      <c r="D2666" s="4108" t="inlineStr">
        <is>
          <t>202007</t>
        </is>
      </c>
      <c r="E2666" s="4108" t="inlineStr">
        <is>
          <t>3,000000000000</t>
        </is>
      </c>
    </row>
    <row outlineLevel="0" r="2667">
      <c r="A2667" s="4108" t="inlineStr">
        <is>
          <t>135792468202007240801</t>
        </is>
      </c>
      <c r="B2667" s="4108" t="inlineStr">
        <is>
          <t>240801</t>
        </is>
      </c>
      <c r="C2667" s="4108" t="inlineStr">
        <is>
          <t>135792468</t>
        </is>
      </c>
      <c r="D2667" s="4108" t="inlineStr">
        <is>
          <t>202007</t>
        </is>
      </c>
      <c r="E2667" s="4108" t="inlineStr">
        <is>
          <t>2,000000000000</t>
        </is>
      </c>
    </row>
    <row outlineLevel="0" r="2668">
      <c r="A2668" s="4108" t="inlineStr">
        <is>
          <t>135792468202007240800</t>
        </is>
      </c>
      <c r="B2668" s="4108" t="inlineStr">
        <is>
          <t>240800</t>
        </is>
      </c>
      <c r="C2668" s="4108" t="inlineStr">
        <is>
          <t>135792468</t>
        </is>
      </c>
      <c r="D2668" s="4108" t="inlineStr">
        <is>
          <t>202007</t>
        </is>
      </c>
      <c r="E2668" s="4108" t="inlineStr">
        <is>
          <t>2,000000000000</t>
        </is>
      </c>
    </row>
    <row outlineLevel="0" r="2669">
      <c r="A2669" s="4108" t="inlineStr">
        <is>
          <t>135792468202007240400</t>
        </is>
      </c>
      <c r="B2669" s="4108" t="inlineStr">
        <is>
          <t>240400</t>
        </is>
      </c>
      <c r="C2669" s="4108" t="inlineStr">
        <is>
          <t>135792468</t>
        </is>
      </c>
      <c r="D2669" s="4108" t="inlineStr">
        <is>
          <t>202007</t>
        </is>
      </c>
      <c r="E2669" s="4108" t="inlineStr">
        <is>
          <t>1,000000000000</t>
        </is>
      </c>
    </row>
    <row outlineLevel="0" r="2670">
      <c r="A2670" s="4108" t="inlineStr">
        <is>
          <t>135792468202007240401</t>
        </is>
      </c>
      <c r="B2670" s="4108" t="inlineStr">
        <is>
          <t>240401</t>
        </is>
      </c>
      <c r="C2670" s="4108" t="inlineStr">
        <is>
          <t>135792468</t>
        </is>
      </c>
      <c r="D2670" s="4108" t="inlineStr">
        <is>
          <t>202007</t>
        </is>
      </c>
      <c r="E2670" s="4108" t="inlineStr">
        <is>
          <t>1,000000000000</t>
        </is>
      </c>
    </row>
    <row outlineLevel="0" r="2671">
      <c r="A2671" s="4108" t="inlineStr">
        <is>
          <t>135792468202007240001</t>
        </is>
      </c>
      <c r="B2671" s="4108" t="inlineStr">
        <is>
          <t>240001</t>
        </is>
      </c>
      <c r="C2671" s="4108" t="inlineStr">
        <is>
          <t>135792468</t>
        </is>
      </c>
      <c r="D2671" s="4108" t="inlineStr">
        <is>
          <t>202007</t>
        </is>
      </c>
      <c r="E2671" s="4108" t="inlineStr">
        <is>
          <t>10,000000000000</t>
        </is>
      </c>
    </row>
    <row outlineLevel="0" r="2672">
      <c r="A2672" s="4108" t="inlineStr">
        <is>
          <t>135792468202007238001</t>
        </is>
      </c>
      <c r="B2672" s="4108" t="inlineStr">
        <is>
          <t>238001</t>
        </is>
      </c>
      <c r="C2672" s="4108" t="inlineStr">
        <is>
          <t>135792468</t>
        </is>
      </c>
      <c r="D2672" s="4108" t="inlineStr">
        <is>
          <t>202007</t>
        </is>
      </c>
      <c r="E2672" s="4108" t="inlineStr">
        <is>
          <t>7,000000000000</t>
        </is>
      </c>
    </row>
    <row outlineLevel="0" r="2673">
      <c r="A2673" s="4108" t="inlineStr">
        <is>
          <t>135792468202007238000</t>
        </is>
      </c>
      <c r="B2673" s="4108" t="inlineStr">
        <is>
          <t>238000</t>
        </is>
      </c>
      <c r="C2673" s="4108" t="inlineStr">
        <is>
          <t>135792468</t>
        </is>
      </c>
      <c r="D2673" s="4108" t="inlineStr">
        <is>
          <t>202007</t>
        </is>
      </c>
      <c r="E2673" s="4108" t="inlineStr">
        <is>
          <t>4,000000000000</t>
        </is>
      </c>
    </row>
    <row outlineLevel="0" r="2674">
      <c r="A2674" s="4108" t="inlineStr">
        <is>
          <t>135792468202007237001</t>
        </is>
      </c>
      <c r="B2674" s="4108" t="inlineStr">
        <is>
          <t>237001</t>
        </is>
      </c>
      <c r="C2674" s="4108" t="inlineStr">
        <is>
          <t>135792468</t>
        </is>
      </c>
      <c r="D2674" s="4108" t="inlineStr">
        <is>
          <t>202007</t>
        </is>
      </c>
      <c r="E2674" s="4108" t="inlineStr">
        <is>
          <t>6,000000000000</t>
        </is>
      </c>
    </row>
    <row outlineLevel="0" r="2675">
      <c r="A2675" s="4108" t="inlineStr">
        <is>
          <t>135792468202007237000</t>
        </is>
      </c>
      <c r="B2675" s="4108" t="inlineStr">
        <is>
          <t>237000</t>
        </is>
      </c>
      <c r="C2675" s="4108" t="inlineStr">
        <is>
          <t>135792468</t>
        </is>
      </c>
      <c r="D2675" s="4108" t="inlineStr">
        <is>
          <t>202007</t>
        </is>
      </c>
      <c r="E2675" s="4108" t="inlineStr">
        <is>
          <t>6,000000000000</t>
        </is>
      </c>
    </row>
    <row outlineLevel="0" r="2676">
      <c r="A2676" s="4108" t="inlineStr">
        <is>
          <t>135792468202007236800</t>
        </is>
      </c>
      <c r="B2676" s="4108" t="inlineStr">
        <is>
          <t>236800</t>
        </is>
      </c>
      <c r="C2676" s="4108" t="inlineStr">
        <is>
          <t>135792468</t>
        </is>
      </c>
      <c r="D2676" s="4108" t="inlineStr">
        <is>
          <t>202007</t>
        </is>
      </c>
      <c r="E2676" s="4108" t="inlineStr">
        <is>
          <t>7,000000000000</t>
        </is>
      </c>
    </row>
    <row outlineLevel="0" r="2677">
      <c r="A2677" s="4108" t="inlineStr">
        <is>
          <t>135792468202007236700</t>
        </is>
      </c>
      <c r="B2677" s="4108" t="inlineStr">
        <is>
          <t>236700</t>
        </is>
      </c>
      <c r="C2677" s="4108" t="inlineStr">
        <is>
          <t>135792468</t>
        </is>
      </c>
      <c r="D2677" s="4108" t="inlineStr">
        <is>
          <t>202007</t>
        </is>
      </c>
      <c r="E2677" s="4108" t="inlineStr">
        <is>
          <t>9,000000000000</t>
        </is>
      </c>
    </row>
    <row outlineLevel="0" r="2678">
      <c r="A2678" s="4108" t="inlineStr">
        <is>
          <t>135792468202007236701</t>
        </is>
      </c>
      <c r="B2678" s="4108" t="inlineStr">
        <is>
          <t>236701</t>
        </is>
      </c>
      <c r="C2678" s="4108" t="inlineStr">
        <is>
          <t>135792468</t>
        </is>
      </c>
      <c r="D2678" s="4108" t="inlineStr">
        <is>
          <t>202007</t>
        </is>
      </c>
      <c r="E2678" s="4108" t="inlineStr">
        <is>
          <t>5,000000000000</t>
        </is>
      </c>
    </row>
    <row outlineLevel="0" r="2679">
      <c r="A2679" s="4108" t="inlineStr">
        <is>
          <t>135792468202007236501</t>
        </is>
      </c>
      <c r="B2679" s="4108" t="inlineStr">
        <is>
          <t>236501</t>
        </is>
      </c>
      <c r="C2679" s="4108" t="inlineStr">
        <is>
          <t>135792468</t>
        </is>
      </c>
      <c r="D2679" s="4108" t="inlineStr">
        <is>
          <t>202007</t>
        </is>
      </c>
      <c r="E2679" s="4108" t="inlineStr">
        <is>
          <t>4,000000000000</t>
        </is>
      </c>
    </row>
    <row outlineLevel="0" r="2680">
      <c r="A2680" s="4108" t="inlineStr">
        <is>
          <t>135792468202007236500</t>
        </is>
      </c>
      <c r="B2680" s="4108" t="inlineStr">
        <is>
          <t>236500</t>
        </is>
      </c>
      <c r="C2680" s="4108" t="inlineStr">
        <is>
          <t>135792468</t>
        </is>
      </c>
      <c r="D2680" s="4108" t="inlineStr">
        <is>
          <t>202007</t>
        </is>
      </c>
      <c r="E2680" s="4108" t="inlineStr">
        <is>
          <t>7,000000000000</t>
        </is>
      </c>
    </row>
    <row outlineLevel="0" r="2681">
      <c r="A2681" s="4108" t="inlineStr">
        <is>
          <t>135792468202007236001</t>
        </is>
      </c>
      <c r="B2681" s="4108" t="inlineStr">
        <is>
          <t>236001</t>
        </is>
      </c>
      <c r="C2681" s="4108" t="inlineStr">
        <is>
          <t>135792468</t>
        </is>
      </c>
      <c r="D2681" s="4108" t="inlineStr">
        <is>
          <t>202007</t>
        </is>
      </c>
      <c r="E2681" s="4108" t="inlineStr">
        <is>
          <t>3,000000000000</t>
        </is>
      </c>
    </row>
    <row outlineLevel="0" r="2682">
      <c r="A2682" s="4108" t="inlineStr">
        <is>
          <t>135792468202007236000</t>
        </is>
      </c>
      <c r="B2682" s="4108" t="inlineStr">
        <is>
          <t>236000</t>
        </is>
      </c>
      <c r="C2682" s="4108" t="inlineStr">
        <is>
          <t>135792468</t>
        </is>
      </c>
      <c r="D2682" s="4108" t="inlineStr">
        <is>
          <t>202007</t>
        </is>
      </c>
      <c r="E2682" s="4108" t="inlineStr">
        <is>
          <t>7,000000000000</t>
        </is>
      </c>
    </row>
    <row outlineLevel="0" r="2683">
      <c r="A2683" s="4108" t="inlineStr">
        <is>
          <t>135792468202007235501</t>
        </is>
      </c>
      <c r="B2683" s="4108" t="inlineStr">
        <is>
          <t>235501</t>
        </is>
      </c>
      <c r="C2683" s="4108" t="inlineStr">
        <is>
          <t>135792468</t>
        </is>
      </c>
      <c r="D2683" s="4108" t="inlineStr">
        <is>
          <t>202007</t>
        </is>
      </c>
      <c r="E2683" s="4108" t="inlineStr">
        <is>
          <t>2,000000000000</t>
        </is>
      </c>
    </row>
    <row outlineLevel="0" r="2684">
      <c r="A2684" s="4108" t="inlineStr">
        <is>
          <t>135792468202007235500</t>
        </is>
      </c>
      <c r="B2684" s="4108" t="inlineStr">
        <is>
          <t>235500</t>
        </is>
      </c>
      <c r="C2684" s="4108" t="inlineStr">
        <is>
          <t>135792468</t>
        </is>
      </c>
      <c r="D2684" s="4108" t="inlineStr">
        <is>
          <t>202007</t>
        </is>
      </c>
      <c r="E2684" s="4108" t="inlineStr">
        <is>
          <t>6,000000000000</t>
        </is>
      </c>
    </row>
    <row outlineLevel="0" r="2685">
      <c r="A2685" s="4108" t="inlineStr">
        <is>
          <t>135792468202007235000</t>
        </is>
      </c>
      <c r="B2685" s="4108" t="inlineStr">
        <is>
          <t>235000</t>
        </is>
      </c>
      <c r="C2685" s="4108" t="inlineStr">
        <is>
          <t>135792468</t>
        </is>
      </c>
      <c r="D2685" s="4108" t="inlineStr">
        <is>
          <t>202007</t>
        </is>
      </c>
      <c r="E2685" s="4108" t="inlineStr">
        <is>
          <t>5,000000000000</t>
        </is>
      </c>
    </row>
    <row outlineLevel="0" r="2686">
      <c r="A2686" s="4108" t="inlineStr">
        <is>
          <t>135792468202007235001</t>
        </is>
      </c>
      <c r="B2686" s="4108" t="inlineStr">
        <is>
          <t>235001</t>
        </is>
      </c>
      <c r="C2686" s="4108" t="inlineStr">
        <is>
          <t>135792468</t>
        </is>
      </c>
      <c r="D2686" s="4108" t="inlineStr">
        <is>
          <t>202007</t>
        </is>
      </c>
      <c r="E2686" s="4108" t="inlineStr">
        <is>
          <t>1,000000000000</t>
        </is>
      </c>
    </row>
    <row outlineLevel="0" r="2687">
      <c r="A2687" s="4108" t="inlineStr">
        <is>
          <t>135792468202007234501</t>
        </is>
      </c>
      <c r="B2687" s="4108" t="inlineStr">
        <is>
          <t>234501</t>
        </is>
      </c>
      <c r="C2687" s="4108" t="inlineStr">
        <is>
          <t>135792468</t>
        </is>
      </c>
      <c r="D2687" s="4108" t="inlineStr">
        <is>
          <t>202007</t>
        </is>
      </c>
      <c r="E2687" s="4108" t="inlineStr">
        <is>
          <t>8,000000000000</t>
        </is>
      </c>
    </row>
    <row outlineLevel="0" r="2688">
      <c r="A2688" s="4108" t="inlineStr">
        <is>
          <t>135792468202007234500</t>
        </is>
      </c>
      <c r="B2688" s="4108" t="inlineStr">
        <is>
          <t>234500</t>
        </is>
      </c>
      <c r="C2688" s="4108" t="inlineStr">
        <is>
          <t>135792468</t>
        </is>
      </c>
      <c r="D2688" s="4108" t="inlineStr">
        <is>
          <t>202007</t>
        </is>
      </c>
      <c r="E2688" s="4108" t="inlineStr">
        <is>
          <t>4,000000000000</t>
        </is>
      </c>
    </row>
    <row outlineLevel="0" r="2689">
      <c r="A2689" s="4108" t="inlineStr">
        <is>
          <t>135792468202007233501</t>
        </is>
      </c>
      <c r="B2689" s="4108" t="inlineStr">
        <is>
          <t>233501</t>
        </is>
      </c>
      <c r="C2689" s="4108" t="inlineStr">
        <is>
          <t>135792468</t>
        </is>
      </c>
      <c r="D2689" s="4108" t="inlineStr">
        <is>
          <t>202007</t>
        </is>
      </c>
      <c r="E2689" s="4108" t="inlineStr">
        <is>
          <t>7,000000000000</t>
        </is>
      </c>
    </row>
    <row outlineLevel="0" r="2690">
      <c r="A2690" s="4108" t="inlineStr">
        <is>
          <t>135792468202007233500</t>
        </is>
      </c>
      <c r="B2690" s="4108" t="inlineStr">
        <is>
          <t>233500</t>
        </is>
      </c>
      <c r="C2690" s="4108" t="inlineStr">
        <is>
          <t>135792468</t>
        </is>
      </c>
      <c r="D2690" s="4108" t="inlineStr">
        <is>
          <t>202007</t>
        </is>
      </c>
      <c r="E2690" s="4108" t="inlineStr">
        <is>
          <t>2,000000000000</t>
        </is>
      </c>
    </row>
    <row outlineLevel="0" r="2691">
      <c r="A2691" s="4108" t="inlineStr">
        <is>
          <t>135792468202007232001</t>
        </is>
      </c>
      <c r="B2691" s="4108" t="inlineStr">
        <is>
          <t>232001</t>
        </is>
      </c>
      <c r="C2691" s="4108" t="inlineStr">
        <is>
          <t>135792468</t>
        </is>
      </c>
      <c r="D2691" s="4108" t="inlineStr">
        <is>
          <t>202007</t>
        </is>
      </c>
      <c r="E2691" s="4108" t="inlineStr">
        <is>
          <t>6,000000000000</t>
        </is>
      </c>
    </row>
    <row outlineLevel="0" r="2692">
      <c r="A2692" s="4108" t="inlineStr">
        <is>
          <t>135792468202007232000</t>
        </is>
      </c>
      <c r="B2692" s="4108" t="inlineStr">
        <is>
          <t>232000</t>
        </is>
      </c>
      <c r="C2692" s="4108" t="inlineStr">
        <is>
          <t>135792468</t>
        </is>
      </c>
      <c r="D2692" s="4108" t="inlineStr">
        <is>
          <t>202007</t>
        </is>
      </c>
      <c r="E2692" s="4108" t="inlineStr">
        <is>
          <t>3,000000000000</t>
        </is>
      </c>
    </row>
    <row outlineLevel="0" r="2693">
      <c r="A2693" s="4108" t="inlineStr">
        <is>
          <t>135792468202007231500</t>
        </is>
      </c>
      <c r="B2693" s="4108" t="inlineStr">
        <is>
          <t>231500</t>
        </is>
      </c>
      <c r="C2693" s="4108" t="inlineStr">
        <is>
          <t>135792468</t>
        </is>
      </c>
      <c r="D2693" s="4108" t="inlineStr">
        <is>
          <t>202007</t>
        </is>
      </c>
      <c r="E2693" s="4108" t="inlineStr">
        <is>
          <t>4,000000000000</t>
        </is>
      </c>
    </row>
    <row outlineLevel="0" r="2694">
      <c r="A2694" s="4108" t="inlineStr">
        <is>
          <t>135792468202007231501</t>
        </is>
      </c>
      <c r="B2694" s="4108" t="inlineStr">
        <is>
          <t>231501</t>
        </is>
      </c>
      <c r="C2694" s="4108" t="inlineStr">
        <is>
          <t>135792468</t>
        </is>
      </c>
      <c r="D2694" s="4108" t="inlineStr">
        <is>
          <t>202007</t>
        </is>
      </c>
      <c r="E2694" s="4108" t="inlineStr">
        <is>
          <t>5,000000000000</t>
        </is>
      </c>
    </row>
    <row outlineLevel="0" r="2695">
      <c r="A2695" s="4108" t="inlineStr">
        <is>
          <t>135792468202007231001</t>
        </is>
      </c>
      <c r="B2695" s="4108" t="inlineStr">
        <is>
          <t>231001</t>
        </is>
      </c>
      <c r="C2695" s="4108" t="inlineStr">
        <is>
          <t>135792468</t>
        </is>
      </c>
      <c r="D2695" s="4108" t="inlineStr">
        <is>
          <t>202007</t>
        </is>
      </c>
      <c r="E2695" s="4108" t="inlineStr">
        <is>
          <t>4,000000000000</t>
        </is>
      </c>
    </row>
    <row outlineLevel="0" r="2696">
      <c r="A2696" s="4108" t="inlineStr">
        <is>
          <t>135792468202007231000</t>
        </is>
      </c>
      <c r="B2696" s="4108" t="inlineStr">
        <is>
          <t>231000</t>
        </is>
      </c>
      <c r="C2696" s="4108" t="inlineStr">
        <is>
          <t>135792468</t>
        </is>
      </c>
      <c r="D2696" s="4108" t="inlineStr">
        <is>
          <t>202007</t>
        </is>
      </c>
      <c r="E2696" s="4108" t="inlineStr">
        <is>
          <t>5,000000000000</t>
        </is>
      </c>
    </row>
    <row outlineLevel="0" r="2697">
      <c r="A2697" s="4108" t="inlineStr">
        <is>
          <t>135792468202007230501</t>
        </is>
      </c>
      <c r="B2697" s="4108" t="inlineStr">
        <is>
          <t>230501</t>
        </is>
      </c>
      <c r="C2697" s="4108" t="inlineStr">
        <is>
          <t>135792468</t>
        </is>
      </c>
      <c r="D2697" s="4108" t="inlineStr">
        <is>
          <t>202007</t>
        </is>
      </c>
      <c r="E2697" s="4108" t="inlineStr">
        <is>
          <t>3,000000000000</t>
        </is>
      </c>
    </row>
    <row outlineLevel="0" r="2698">
      <c r="A2698" s="4108" t="inlineStr">
        <is>
          <t>135792468202007230500</t>
        </is>
      </c>
      <c r="B2698" s="4108" t="inlineStr">
        <is>
          <t>230500</t>
        </is>
      </c>
      <c r="C2698" s="4108" t="inlineStr">
        <is>
          <t>135792468</t>
        </is>
      </c>
      <c r="D2698" s="4108" t="inlineStr">
        <is>
          <t>202007</t>
        </is>
      </c>
      <c r="E2698" s="4108" t="inlineStr">
        <is>
          <t>6,000000000000</t>
        </is>
      </c>
    </row>
    <row outlineLevel="0" r="2699">
      <c r="A2699" s="4108" t="inlineStr">
        <is>
          <t>135792468202007221500</t>
        </is>
      </c>
      <c r="B2699" s="4108" t="inlineStr">
        <is>
          <t>221500</t>
        </is>
      </c>
      <c r="C2699" s="4108" t="inlineStr">
        <is>
          <t>135792468</t>
        </is>
      </c>
      <c r="D2699" s="4108" t="inlineStr">
        <is>
          <t>202007</t>
        </is>
      </c>
      <c r="E2699" s="4108" t="inlineStr">
        <is>
          <t>4,000000000000</t>
        </is>
      </c>
    </row>
    <row outlineLevel="0" r="2700">
      <c r="A2700" s="4108" t="inlineStr">
        <is>
          <t>135792468202007221001</t>
        </is>
      </c>
      <c r="B2700" s="4108" t="inlineStr">
        <is>
          <t>221001</t>
        </is>
      </c>
      <c r="C2700" s="4108" t="inlineStr">
        <is>
          <t>135792468</t>
        </is>
      </c>
      <c r="D2700" s="4108" t="inlineStr">
        <is>
          <t>202007</t>
        </is>
      </c>
      <c r="E2700" s="4108" t="inlineStr">
        <is>
          <t>2,000000000000</t>
        </is>
      </c>
    </row>
    <row outlineLevel="0" r="2701">
      <c r="A2701" s="4108" t="inlineStr">
        <is>
          <t>135792468202007220501</t>
        </is>
      </c>
      <c r="B2701" s="4108" t="inlineStr">
        <is>
          <t>220501</t>
        </is>
      </c>
      <c r="C2701" s="4108" t="inlineStr">
        <is>
          <t>135792468</t>
        </is>
      </c>
      <c r="D2701" s="4108" t="inlineStr">
        <is>
          <t>202007</t>
        </is>
      </c>
      <c r="E2701" s="4108" t="inlineStr">
        <is>
          <t>1,000000000000</t>
        </is>
      </c>
    </row>
    <row outlineLevel="0" r="2702">
      <c r="A2702" s="4108" t="inlineStr">
        <is>
          <t>135792468202007221000</t>
        </is>
      </c>
      <c r="B2702" s="4108" t="inlineStr">
        <is>
          <t>221000</t>
        </is>
      </c>
      <c r="C2702" s="4108" t="inlineStr">
        <is>
          <t>135792468</t>
        </is>
      </c>
      <c r="D2702" s="4108" t="inlineStr">
        <is>
          <t>202007</t>
        </is>
      </c>
      <c r="E2702" s="4108" t="inlineStr">
        <is>
          <t>5,000000000000</t>
        </is>
      </c>
    </row>
    <row outlineLevel="0" r="2703">
      <c r="A2703" s="4108" t="inlineStr">
        <is>
          <t>135792468202007220500</t>
        </is>
      </c>
      <c r="B2703" s="4108" t="inlineStr">
        <is>
          <t>220500</t>
        </is>
      </c>
      <c r="C2703" s="4108" t="inlineStr">
        <is>
          <t>135792468</t>
        </is>
      </c>
      <c r="D2703" s="4108" t="inlineStr">
        <is>
          <t>202007</t>
        </is>
      </c>
      <c r="E2703" s="4108" t="inlineStr">
        <is>
          <t>6,000000000000</t>
        </is>
      </c>
    </row>
    <row outlineLevel="0" r="2704">
      <c r="A2704" s="4108" t="inlineStr">
        <is>
          <t>135792468202007219500</t>
        </is>
      </c>
      <c r="B2704" s="4108" t="inlineStr">
        <is>
          <t>219500</t>
        </is>
      </c>
      <c r="C2704" s="4108" t="inlineStr">
        <is>
          <t>135792468</t>
        </is>
      </c>
      <c r="D2704" s="4108" t="inlineStr">
        <is>
          <t>202007</t>
        </is>
      </c>
      <c r="E2704" s="4108" t="inlineStr">
        <is>
          <t>3,000000000000</t>
        </is>
      </c>
    </row>
    <row outlineLevel="0" r="2705">
      <c r="A2705" s="4108" t="inlineStr">
        <is>
          <t>135792468202007211500</t>
        </is>
      </c>
      <c r="B2705" s="4108" t="inlineStr">
        <is>
          <t>211500</t>
        </is>
      </c>
      <c r="C2705" s="4108" t="inlineStr">
        <is>
          <t>135792468</t>
        </is>
      </c>
      <c r="D2705" s="4108" t="inlineStr">
        <is>
          <t>202007</t>
        </is>
      </c>
      <c r="E2705" s="4108" t="inlineStr">
        <is>
          <t>2,000000000000</t>
        </is>
      </c>
    </row>
    <row outlineLevel="0" r="2706">
      <c r="A2706" s="4108" t="inlineStr">
        <is>
          <t>135792468202007211001</t>
        </is>
      </c>
      <c r="B2706" s="4108" t="inlineStr">
        <is>
          <t>211001</t>
        </is>
      </c>
      <c r="C2706" s="4108" t="inlineStr">
        <is>
          <t>135792468</t>
        </is>
      </c>
      <c r="D2706" s="4108" t="inlineStr">
        <is>
          <t>202007</t>
        </is>
      </c>
      <c r="E2706" s="4108" t="inlineStr">
        <is>
          <t>2,000000000000</t>
        </is>
      </c>
    </row>
    <row outlineLevel="0" r="2707">
      <c r="A2707" s="4108" t="inlineStr">
        <is>
          <t>135792468202007210501</t>
        </is>
      </c>
      <c r="B2707" s="4108" t="inlineStr">
        <is>
          <t>210501</t>
        </is>
      </c>
      <c r="C2707" s="4108" t="inlineStr">
        <is>
          <t>135792468</t>
        </is>
      </c>
      <c r="D2707" s="4108" t="inlineStr">
        <is>
          <t>202007</t>
        </is>
      </c>
      <c r="E2707" s="4108" t="inlineStr">
        <is>
          <t>1,000000000000</t>
        </is>
      </c>
    </row>
    <row outlineLevel="0" r="2708">
      <c r="A2708" s="4108" t="inlineStr">
        <is>
          <t>135792468202007210500</t>
        </is>
      </c>
      <c r="B2708" s="4108" t="inlineStr">
        <is>
          <t>210500</t>
        </is>
      </c>
      <c r="C2708" s="4108" t="inlineStr">
        <is>
          <t>135792468</t>
        </is>
      </c>
      <c r="D2708" s="4108" t="inlineStr">
        <is>
          <t>202007</t>
        </is>
      </c>
      <c r="E2708" s="4108" t="inlineStr">
        <is>
          <t>1,000000000000</t>
        </is>
      </c>
    </row>
    <row outlineLevel="0" r="2709">
      <c r="A2709" s="4108" t="inlineStr">
        <is>
          <t>135792468202007191001</t>
        </is>
      </c>
      <c r="B2709" s="4108" t="inlineStr">
        <is>
          <t>191001</t>
        </is>
      </c>
      <c r="C2709" s="4108" t="inlineStr">
        <is>
          <t>135792468</t>
        </is>
      </c>
      <c r="D2709" s="4108" t="inlineStr">
        <is>
          <t>202007</t>
        </is>
      </c>
      <c r="E2709" s="4108" t="inlineStr">
        <is>
          <t>2,000000000000</t>
        </is>
      </c>
    </row>
    <row outlineLevel="0" r="2710">
      <c r="A2710" s="4108" t="inlineStr">
        <is>
          <t>135792468202007199501</t>
        </is>
      </c>
      <c r="B2710" s="4108" t="inlineStr">
        <is>
          <t>199501</t>
        </is>
      </c>
      <c r="C2710" s="4108" t="inlineStr">
        <is>
          <t>135792468</t>
        </is>
      </c>
      <c r="D2710" s="4108" t="inlineStr">
        <is>
          <t>202007</t>
        </is>
      </c>
      <c r="E2710" s="4108" t="inlineStr">
        <is>
          <t>3,000000000000</t>
        </is>
      </c>
    </row>
    <row outlineLevel="0" r="2711">
      <c r="A2711" s="4108" t="inlineStr">
        <is>
          <t>135792468202007190501</t>
        </is>
      </c>
      <c r="B2711" s="4108" t="inlineStr">
        <is>
          <t>190501</t>
        </is>
      </c>
      <c r="C2711" s="4108" t="inlineStr">
        <is>
          <t>135792468</t>
        </is>
      </c>
      <c r="D2711" s="4108" t="inlineStr">
        <is>
          <t>202007</t>
        </is>
      </c>
      <c r="E2711" s="4108" t="inlineStr">
        <is>
          <t>1,000000000000</t>
        </is>
      </c>
    </row>
    <row outlineLevel="0" r="2712">
      <c r="A2712" s="4108" t="inlineStr">
        <is>
          <t>135792468202007190000</t>
        </is>
      </c>
      <c r="B2712" s="4108" t="inlineStr">
        <is>
          <t>190000</t>
        </is>
      </c>
      <c r="C2712" s="4108" t="inlineStr">
        <is>
          <t>135792468</t>
        </is>
      </c>
      <c r="D2712" s="4108" t="inlineStr">
        <is>
          <t>202007</t>
        </is>
      </c>
      <c r="E2712" s="4108" t="inlineStr">
        <is>
          <t>10,000000000000</t>
        </is>
      </c>
    </row>
    <row outlineLevel="0" r="2713">
      <c r="A2713" s="4108" t="inlineStr">
        <is>
          <t>135792468202007189901</t>
        </is>
      </c>
      <c r="B2713" s="4108" t="inlineStr">
        <is>
          <t>189901</t>
        </is>
      </c>
      <c r="C2713" s="4108" t="inlineStr">
        <is>
          <t>135792468</t>
        </is>
      </c>
      <c r="D2713" s="4108" t="inlineStr">
        <is>
          <t>202007</t>
        </is>
      </c>
      <c r="E2713" s="4108" t="inlineStr">
        <is>
          <t>5,000000000000</t>
        </is>
      </c>
    </row>
    <row outlineLevel="0" r="2714">
      <c r="A2714" s="4108" t="inlineStr">
        <is>
          <t>135792468202007189701</t>
        </is>
      </c>
      <c r="B2714" s="4108" t="inlineStr">
        <is>
          <t>189701</t>
        </is>
      </c>
      <c r="C2714" s="4108" t="inlineStr">
        <is>
          <t>135792468</t>
        </is>
      </c>
      <c r="D2714" s="4108" t="inlineStr">
        <is>
          <t>202007</t>
        </is>
      </c>
      <c r="E2714" s="4108" t="inlineStr">
        <is>
          <t>4,000000000000</t>
        </is>
      </c>
    </row>
    <row outlineLevel="0" r="2715">
      <c r="A2715" s="4108" t="inlineStr">
        <is>
          <t>135792468202007189520</t>
        </is>
      </c>
      <c r="B2715" s="4108" t="inlineStr">
        <is>
          <t>189520</t>
        </is>
      </c>
      <c r="C2715" s="4108" t="inlineStr">
        <is>
          <t>135792468</t>
        </is>
      </c>
      <c r="D2715" s="4108" t="inlineStr">
        <is>
          <t>202007</t>
        </is>
      </c>
      <c r="E2715" s="4108" t="inlineStr">
        <is>
          <t>3,000000000000</t>
        </is>
      </c>
    </row>
    <row outlineLevel="0" r="2716">
      <c r="A2716" s="4108" t="inlineStr">
        <is>
          <t>135792468202007189501</t>
        </is>
      </c>
      <c r="B2716" s="4108" t="inlineStr">
        <is>
          <t>189501</t>
        </is>
      </c>
      <c r="C2716" s="4108" t="inlineStr">
        <is>
          <t>135792468</t>
        </is>
      </c>
      <c r="D2716" s="4108" t="inlineStr">
        <is>
          <t>202007</t>
        </is>
      </c>
      <c r="E2716" s="4108" t="inlineStr">
        <is>
          <t>2,000000000000</t>
        </is>
      </c>
    </row>
    <row outlineLevel="0" r="2717">
      <c r="A2717" s="4108" t="inlineStr">
        <is>
          <t>135792468202007181000</t>
        </is>
      </c>
      <c r="B2717" s="4108" t="inlineStr">
        <is>
          <t>181000</t>
        </is>
      </c>
      <c r="C2717" s="4108" t="inlineStr">
        <is>
          <t>135792468</t>
        </is>
      </c>
      <c r="D2717" s="4108" t="inlineStr">
        <is>
          <t>202007</t>
        </is>
      </c>
      <c r="E2717" s="4108" t="inlineStr">
        <is>
          <t>2,000000000000</t>
        </is>
      </c>
    </row>
    <row outlineLevel="0" r="2718">
      <c r="A2718" s="4108" t="inlineStr">
        <is>
          <t>135792468202007189500</t>
        </is>
      </c>
      <c r="B2718" s="4108" t="inlineStr">
        <is>
          <t>189500</t>
        </is>
      </c>
      <c r="C2718" s="4108" t="inlineStr">
        <is>
          <t>135792468</t>
        </is>
      </c>
      <c r="D2718" s="4108" t="inlineStr">
        <is>
          <t>202007</t>
        </is>
      </c>
      <c r="E2718" s="4108" t="inlineStr">
        <is>
          <t>1,000000000000</t>
        </is>
      </c>
    </row>
    <row outlineLevel="0" r="2719">
      <c r="A2719" s="4108" t="inlineStr">
        <is>
          <t>135792468202007180501</t>
        </is>
      </c>
      <c r="B2719" s="4108" t="inlineStr">
        <is>
          <t>180501</t>
        </is>
      </c>
      <c r="C2719" s="4108" t="inlineStr">
        <is>
          <t>135792468</t>
        </is>
      </c>
      <c r="D2719" s="4108" t="inlineStr">
        <is>
          <t>202007</t>
        </is>
      </c>
      <c r="E2719" s="4108" t="inlineStr">
        <is>
          <t>1,000000000000</t>
        </is>
      </c>
    </row>
    <row outlineLevel="0" r="2720">
      <c r="A2720" s="4108" t="inlineStr">
        <is>
          <t>135792468202007180000</t>
        </is>
      </c>
      <c r="B2720" s="4108" t="inlineStr">
        <is>
          <t>180000</t>
        </is>
      </c>
      <c r="C2720" s="4108" t="inlineStr">
        <is>
          <t>135792468</t>
        </is>
      </c>
      <c r="D2720" s="4108" t="inlineStr">
        <is>
          <t>202007</t>
        </is>
      </c>
      <c r="E2720" s="4108" t="inlineStr">
        <is>
          <t>3,000000000000</t>
        </is>
      </c>
    </row>
    <row outlineLevel="0" r="2721">
      <c r="A2721" s="4108" t="inlineStr">
        <is>
          <t>135792468202007179801</t>
        </is>
      </c>
      <c r="B2721" s="4108" t="inlineStr">
        <is>
          <t>179801</t>
        </is>
      </c>
      <c r="C2721" s="4108" t="inlineStr">
        <is>
          <t>135792468</t>
        </is>
      </c>
      <c r="D2721" s="4108" t="inlineStr">
        <is>
          <t>202007</t>
        </is>
      </c>
      <c r="E2721" s="4108" t="inlineStr">
        <is>
          <t>6,000000000000</t>
        </is>
      </c>
    </row>
    <row outlineLevel="0" r="2722">
      <c r="A2722" s="4108" t="inlineStr">
        <is>
          <t>135792468202007179701</t>
        </is>
      </c>
      <c r="B2722" s="4108" t="inlineStr">
        <is>
          <t>179701</t>
        </is>
      </c>
      <c r="C2722" s="4108" t="inlineStr">
        <is>
          <t>135792468</t>
        </is>
      </c>
      <c r="D2722" s="4108" t="inlineStr">
        <is>
          <t>202007</t>
        </is>
      </c>
      <c r="E2722" s="4108" t="inlineStr">
        <is>
          <t>5,000000000000</t>
        </is>
      </c>
    </row>
    <row outlineLevel="0" r="2723">
      <c r="A2723" s="4108" t="inlineStr">
        <is>
          <t>135792468202007179700</t>
        </is>
      </c>
      <c r="B2723" s="4108" t="inlineStr">
        <is>
          <t>179700</t>
        </is>
      </c>
      <c r="C2723" s="4108" t="inlineStr">
        <is>
          <t>135792468</t>
        </is>
      </c>
      <c r="D2723" s="4108" t="inlineStr">
        <is>
          <t>202007</t>
        </is>
      </c>
      <c r="E2723" s="4108" t="inlineStr">
        <is>
          <t>5,000000000000</t>
        </is>
      </c>
    </row>
    <row outlineLevel="0" r="2724">
      <c r="A2724" s="4108" t="inlineStr">
        <is>
          <t>135792468202007179500</t>
        </is>
      </c>
      <c r="B2724" s="4108" t="inlineStr">
        <is>
          <t>179500</t>
        </is>
      </c>
      <c r="C2724" s="4108" t="inlineStr">
        <is>
          <t>135792468</t>
        </is>
      </c>
      <c r="D2724" s="4108" t="inlineStr">
        <is>
          <t>202007</t>
        </is>
      </c>
      <c r="E2724" s="4108" t="inlineStr">
        <is>
          <t>4,000000000000</t>
        </is>
      </c>
    </row>
    <row outlineLevel="0" r="2725">
      <c r="A2725" s="4108" t="inlineStr">
        <is>
          <t>135792468202007173000</t>
        </is>
      </c>
      <c r="B2725" s="4108" t="inlineStr">
        <is>
          <t>173000</t>
        </is>
      </c>
      <c r="C2725" s="4108" t="inlineStr">
        <is>
          <t>135792468</t>
        </is>
      </c>
      <c r="D2725" s="4108" t="inlineStr">
        <is>
          <t>202007</t>
        </is>
      </c>
      <c r="E2725" s="4108" t="inlineStr">
        <is>
          <t>3,000000000000</t>
        </is>
      </c>
    </row>
    <row outlineLevel="0" r="2726">
      <c r="A2726" s="4108" t="inlineStr">
        <is>
          <t>135792468202007173001</t>
        </is>
      </c>
      <c r="B2726" s="4108" t="inlineStr">
        <is>
          <t>173001</t>
        </is>
      </c>
      <c r="C2726" s="4108" t="inlineStr">
        <is>
          <t>135792468</t>
        </is>
      </c>
      <c r="D2726" s="4108" t="inlineStr">
        <is>
          <t>202007</t>
        </is>
      </c>
      <c r="E2726" s="4108" t="inlineStr">
        <is>
          <t>3,000000000000</t>
        </is>
      </c>
    </row>
    <row outlineLevel="0" r="2727">
      <c r="A2727" s="4108" t="inlineStr">
        <is>
          <t>135792468202007171000</t>
        </is>
      </c>
      <c r="B2727" s="4108" t="inlineStr">
        <is>
          <t>171000</t>
        </is>
      </c>
      <c r="C2727" s="4108" t="inlineStr">
        <is>
          <t>135792468</t>
        </is>
      </c>
      <c r="D2727" s="4108" t="inlineStr">
        <is>
          <t>202007</t>
        </is>
      </c>
      <c r="E2727" s="4108" t="inlineStr">
        <is>
          <t>2,000000000000</t>
        </is>
      </c>
    </row>
    <row outlineLevel="0" r="2728">
      <c r="A2728" s="4108" t="inlineStr">
        <is>
          <t>135792468202007170500</t>
        </is>
      </c>
      <c r="B2728" s="4108" t="inlineStr">
        <is>
          <t>170500</t>
        </is>
      </c>
      <c r="C2728" s="4108" t="inlineStr">
        <is>
          <t>135792468</t>
        </is>
      </c>
      <c r="D2728" s="4108" t="inlineStr">
        <is>
          <t>202007</t>
        </is>
      </c>
      <c r="E2728" s="4108" t="inlineStr">
        <is>
          <t>1,000000000000</t>
        </is>
      </c>
    </row>
    <row outlineLevel="0" r="2729">
      <c r="A2729" s="4108" t="inlineStr">
        <is>
          <t>135792468202007169901</t>
        </is>
      </c>
      <c r="B2729" s="4108" t="inlineStr">
        <is>
          <t>169901</t>
        </is>
      </c>
      <c r="C2729" s="4108" t="inlineStr">
        <is>
          <t>135792468</t>
        </is>
      </c>
      <c r="D2729" s="4108" t="inlineStr">
        <is>
          <t>202007</t>
        </is>
      </c>
      <c r="E2729" s="4108" t="inlineStr">
        <is>
          <t>7,000000000000</t>
        </is>
      </c>
    </row>
    <row outlineLevel="0" r="2730">
      <c r="A2730" s="4108" t="inlineStr">
        <is>
          <t>135792468202007169899</t>
        </is>
      </c>
      <c r="B2730" s="4108" t="inlineStr">
        <is>
          <t>169899</t>
        </is>
      </c>
      <c r="C2730" s="4108" t="inlineStr">
        <is>
          <t>135792468</t>
        </is>
      </c>
      <c r="D2730" s="4108" t="inlineStr">
        <is>
          <t>202007</t>
        </is>
      </c>
      <c r="E2730" s="4108" t="inlineStr">
        <is>
          <t>6,000000000000</t>
        </is>
      </c>
    </row>
    <row outlineLevel="0" r="2731">
      <c r="A2731" s="4108" t="inlineStr">
        <is>
          <t>135792468202007164001</t>
        </is>
      </c>
      <c r="B2731" s="4108" t="inlineStr">
        <is>
          <t>164001</t>
        </is>
      </c>
      <c r="C2731" s="4108" t="inlineStr">
        <is>
          <t>135792468</t>
        </is>
      </c>
      <c r="D2731" s="4108" t="inlineStr">
        <is>
          <t>202007</t>
        </is>
      </c>
      <c r="E2731" s="4108" t="inlineStr">
        <is>
          <t>4,000000000000</t>
        </is>
      </c>
    </row>
    <row outlineLevel="0" r="2732">
      <c r="A2732" s="4108" t="inlineStr">
        <is>
          <t>135792468202007163001</t>
        </is>
      </c>
      <c r="B2732" s="4108" t="inlineStr">
        <is>
          <t>163001</t>
        </is>
      </c>
      <c r="C2732" s="4108" t="inlineStr">
        <is>
          <t>135792468</t>
        </is>
      </c>
      <c r="D2732" s="4108" t="inlineStr">
        <is>
          <t>202007</t>
        </is>
      </c>
      <c r="E2732" s="4108" t="inlineStr">
        <is>
          <t>3,000000000000</t>
        </is>
      </c>
    </row>
    <row outlineLevel="0" r="2733">
      <c r="A2733" s="4108" t="inlineStr">
        <is>
          <t>135792468202007160501</t>
        </is>
      </c>
      <c r="B2733" s="4108" t="inlineStr">
        <is>
          <t>160501</t>
        </is>
      </c>
      <c r="C2733" s="4108" t="inlineStr">
        <is>
          <t>135792468</t>
        </is>
      </c>
      <c r="D2733" s="4108" t="inlineStr">
        <is>
          <t>202007</t>
        </is>
      </c>
      <c r="E2733" s="4108" t="inlineStr">
        <is>
          <t>1,000000000000</t>
        </is>
      </c>
    </row>
    <row outlineLevel="0" r="2734">
      <c r="A2734" s="4108" t="inlineStr">
        <is>
          <t>135792468202007161001</t>
        </is>
      </c>
      <c r="B2734" s="4108" t="inlineStr">
        <is>
          <t>161001</t>
        </is>
      </c>
      <c r="C2734" s="4108" t="inlineStr">
        <is>
          <t>135792468</t>
        </is>
      </c>
      <c r="D2734" s="4108" t="inlineStr">
        <is>
          <t>202007</t>
        </is>
      </c>
      <c r="E2734" s="4108" t="inlineStr">
        <is>
          <t>2,000000000000</t>
        </is>
      </c>
    </row>
    <row outlineLevel="0" r="2735">
      <c r="A2735" s="4108" t="inlineStr">
        <is>
          <t>135792468202007159901</t>
        </is>
      </c>
      <c r="B2735" s="4108" t="inlineStr">
        <is>
          <t>159901</t>
        </is>
      </c>
      <c r="C2735" s="4108" t="inlineStr">
        <is>
          <t>135792468</t>
        </is>
      </c>
      <c r="D2735" s="4108" t="inlineStr">
        <is>
          <t>202007</t>
        </is>
      </c>
      <c r="E2735" s="4108" t="inlineStr">
        <is>
          <t>2,000000000000</t>
        </is>
      </c>
    </row>
    <row outlineLevel="0" r="2736">
      <c r="A2736" s="4108" t="inlineStr">
        <is>
          <t>135792468202007159899</t>
        </is>
      </c>
      <c r="B2736" s="4108" t="inlineStr">
        <is>
          <t>159899</t>
        </is>
      </c>
      <c r="C2736" s="4108" t="inlineStr">
        <is>
          <t>135792468</t>
        </is>
      </c>
      <c r="D2736" s="4108" t="inlineStr">
        <is>
          <t>202007</t>
        </is>
      </c>
      <c r="E2736" s="4108" t="inlineStr">
        <is>
          <t>1,000000000000</t>
        </is>
      </c>
    </row>
    <row outlineLevel="0" r="2737">
      <c r="A2737" s="4108" t="inlineStr">
        <is>
          <t>135792468202007159701</t>
        </is>
      </c>
      <c r="B2737" s="4108" t="inlineStr">
        <is>
          <t>159701</t>
        </is>
      </c>
      <c r="C2737" s="4108" t="inlineStr">
        <is>
          <t>135792468</t>
        </is>
      </c>
      <c r="D2737" s="4108" t="inlineStr">
        <is>
          <t>202007</t>
        </is>
      </c>
      <c r="E2737" s="4108" t="inlineStr">
        <is>
          <t>9,000000000000</t>
        </is>
      </c>
    </row>
    <row outlineLevel="0" r="2738">
      <c r="A2738" s="4108" t="inlineStr">
        <is>
          <t>135792468202007158801</t>
        </is>
      </c>
      <c r="B2738" s="4108" t="inlineStr">
        <is>
          <t>158801</t>
        </is>
      </c>
      <c r="C2738" s="4108" t="inlineStr">
        <is>
          <t>135792468</t>
        </is>
      </c>
      <c r="D2738" s="4108" t="inlineStr">
        <is>
          <t>202007</t>
        </is>
      </c>
      <c r="E2738" s="4108" t="inlineStr">
        <is>
          <t>6,000000000000</t>
        </is>
      </c>
    </row>
    <row outlineLevel="0" r="2739">
      <c r="A2739" s="4108" t="inlineStr">
        <is>
          <t>135792468202007158401</t>
        </is>
      </c>
      <c r="B2739" s="4108" t="inlineStr">
        <is>
          <t>158401</t>
        </is>
      </c>
      <c r="C2739" s="4108" t="inlineStr">
        <is>
          <t>135792468</t>
        </is>
      </c>
      <c r="D2739" s="4108" t="inlineStr">
        <is>
          <t>202007</t>
        </is>
      </c>
      <c r="E2739" s="4108" t="inlineStr">
        <is>
          <t>5,000000000000</t>
        </is>
      </c>
    </row>
    <row outlineLevel="0" r="2740">
      <c r="A2740" s="4108" t="inlineStr">
        <is>
          <t>135792468202007157601</t>
        </is>
      </c>
      <c r="B2740" s="4108" t="inlineStr">
        <is>
          <t>157601</t>
        </is>
      </c>
      <c r="C2740" s="4108" t="inlineStr">
        <is>
          <t>135792468</t>
        </is>
      </c>
      <c r="D2740" s="4108" t="inlineStr">
        <is>
          <t>202007</t>
        </is>
      </c>
      <c r="E2740" s="4108" t="inlineStr">
        <is>
          <t>4,000000000000</t>
        </is>
      </c>
    </row>
    <row outlineLevel="0" r="2741">
      <c r="A2741" s="4108" t="inlineStr">
        <is>
          <t>135792468202007156401</t>
        </is>
      </c>
      <c r="B2741" s="4108" t="inlineStr">
        <is>
          <t>156401</t>
        </is>
      </c>
      <c r="C2741" s="4108" t="inlineStr">
        <is>
          <t>135792468</t>
        </is>
      </c>
      <c r="D2741" s="4108" t="inlineStr">
        <is>
          <t>202007</t>
        </is>
      </c>
      <c r="E2741" s="4108" t="inlineStr">
        <is>
          <t>2,000000000000</t>
        </is>
      </c>
    </row>
    <row outlineLevel="0" r="2742">
      <c r="A2742" s="4108" t="inlineStr">
        <is>
          <t>135792468202007157201</t>
        </is>
      </c>
      <c r="B2742" s="4108" t="inlineStr">
        <is>
          <t>157201</t>
        </is>
      </c>
      <c r="C2742" s="4108" t="inlineStr">
        <is>
          <t>135792468</t>
        </is>
      </c>
      <c r="D2742" s="4108" t="inlineStr">
        <is>
          <t>202007</t>
        </is>
      </c>
      <c r="E2742" s="4108" t="inlineStr">
        <is>
          <t>3,000000000000</t>
        </is>
      </c>
    </row>
    <row outlineLevel="0" r="2743">
      <c r="A2743" s="4108" t="inlineStr">
        <is>
          <t>135792468202007156001</t>
        </is>
      </c>
      <c r="B2743" s="4108" t="inlineStr">
        <is>
          <t>156001</t>
        </is>
      </c>
      <c r="C2743" s="4108" t="inlineStr">
        <is>
          <t>135792468</t>
        </is>
      </c>
      <c r="D2743" s="4108" t="inlineStr">
        <is>
          <t>202007</t>
        </is>
      </c>
      <c r="E2743" s="4108" t="inlineStr">
        <is>
          <t>1,000000000000</t>
        </is>
      </c>
    </row>
    <row outlineLevel="0" r="2744">
      <c r="A2744" s="4108" t="inlineStr">
        <is>
          <t>135792468202007155601</t>
        </is>
      </c>
      <c r="B2744" s="4108" t="inlineStr">
        <is>
          <t>155601</t>
        </is>
      </c>
      <c r="C2744" s="4108" t="inlineStr">
        <is>
          <t>135792468</t>
        </is>
      </c>
      <c r="D2744" s="4108" t="inlineStr">
        <is>
          <t>202007</t>
        </is>
      </c>
      <c r="E2744" s="4108" t="inlineStr">
        <is>
          <t>9,000000000000</t>
        </is>
      </c>
    </row>
    <row outlineLevel="0" r="2745">
      <c r="A2745" s="4108" t="inlineStr">
        <is>
          <t>135792468202007151201</t>
        </is>
      </c>
      <c r="B2745" s="4108" t="inlineStr">
        <is>
          <t>151201</t>
        </is>
      </c>
      <c r="C2745" s="4108" t="inlineStr">
        <is>
          <t>135792468</t>
        </is>
      </c>
      <c r="D2745" s="4108" t="inlineStr">
        <is>
          <t>202007</t>
        </is>
      </c>
      <c r="E2745" s="4108" t="inlineStr">
        <is>
          <t>3,000000000000</t>
        </is>
      </c>
    </row>
    <row outlineLevel="0" r="2746">
      <c r="A2746" s="4108" t="inlineStr">
        <is>
          <t>135792468202007149910</t>
        </is>
      </c>
      <c r="B2746" s="4108" t="inlineStr">
        <is>
          <t>149910</t>
        </is>
      </c>
      <c r="C2746" s="4108" t="inlineStr">
        <is>
          <t>135792468</t>
        </is>
      </c>
      <c r="D2746" s="4108" t="inlineStr">
        <is>
          <t>202007</t>
        </is>
      </c>
      <c r="E2746" s="4108" t="inlineStr">
        <is>
          <t>6,000000000000</t>
        </is>
      </c>
    </row>
    <row outlineLevel="0" r="2747">
      <c r="A2747" s="4108" t="inlineStr">
        <is>
          <t>135792468202007149902</t>
        </is>
      </c>
      <c r="B2747" s="4108" t="inlineStr">
        <is>
          <t>149902</t>
        </is>
      </c>
      <c r="C2747" s="4108" t="inlineStr">
        <is>
          <t>135792468</t>
        </is>
      </c>
      <c r="D2747" s="4108" t="inlineStr">
        <is>
          <t>202007</t>
        </is>
      </c>
      <c r="E2747" s="4108" t="inlineStr">
        <is>
          <t>5,000000000000</t>
        </is>
      </c>
    </row>
    <row outlineLevel="0" r="2748">
      <c r="A2748" s="4108" t="inlineStr">
        <is>
          <t>135792468202007149901</t>
        </is>
      </c>
      <c r="B2748" s="4108" t="inlineStr">
        <is>
          <t>149901</t>
        </is>
      </c>
      <c r="C2748" s="4108" t="inlineStr">
        <is>
          <t>135792468</t>
        </is>
      </c>
      <c r="D2748" s="4108" t="inlineStr">
        <is>
          <t>202007</t>
        </is>
      </c>
      <c r="E2748" s="4108" t="inlineStr">
        <is>
          <t>4,000000000000</t>
        </is>
      </c>
    </row>
    <row outlineLevel="0" r="2749">
      <c r="A2749" s="4108" t="inlineStr">
        <is>
          <t>135792468202007149510</t>
        </is>
      </c>
      <c r="B2749" s="4108" t="inlineStr">
        <is>
          <t>149510</t>
        </is>
      </c>
      <c r="C2749" s="4108" t="inlineStr">
        <is>
          <t>135792468</t>
        </is>
      </c>
      <c r="D2749" s="4108" t="inlineStr">
        <is>
          <t>202007</t>
        </is>
      </c>
      <c r="E2749" s="4108" t="inlineStr">
        <is>
          <t>3,000000000000</t>
        </is>
      </c>
    </row>
    <row outlineLevel="0" r="2750">
      <c r="A2750" s="4108" t="inlineStr">
        <is>
          <t>135792468202007149900</t>
        </is>
      </c>
      <c r="B2750" s="4108" t="inlineStr">
        <is>
          <t>149900</t>
        </is>
      </c>
      <c r="C2750" s="4108" t="inlineStr">
        <is>
          <t>135792468</t>
        </is>
      </c>
      <c r="D2750" s="4108" t="inlineStr">
        <is>
          <t>202007</t>
        </is>
      </c>
      <c r="E2750" s="4108" t="inlineStr">
        <is>
          <t>3,000000000000</t>
        </is>
      </c>
    </row>
    <row outlineLevel="0" r="2751">
      <c r="A2751" s="4108" t="inlineStr">
        <is>
          <t>135792468202007146000</t>
        </is>
      </c>
      <c r="B2751" s="4108" t="inlineStr">
        <is>
          <t>146000</t>
        </is>
      </c>
      <c r="C2751" s="4108" t="inlineStr">
        <is>
          <t>135792468</t>
        </is>
      </c>
      <c r="D2751" s="4108" t="inlineStr">
        <is>
          <t>202007</t>
        </is>
      </c>
      <c r="E2751" s="4108" t="inlineStr">
        <is>
          <t>2,000000000000</t>
        </is>
      </c>
    </row>
    <row outlineLevel="0" r="2752">
      <c r="A2752" s="4108" t="inlineStr">
        <is>
          <t>135792468202007145500</t>
        </is>
      </c>
      <c r="B2752" s="4108" t="inlineStr">
        <is>
          <t>145500</t>
        </is>
      </c>
      <c r="C2752" s="4108" t="inlineStr">
        <is>
          <t>135792468</t>
        </is>
      </c>
      <c r="D2752" s="4108" t="inlineStr">
        <is>
          <t>202007</t>
        </is>
      </c>
      <c r="E2752" s="4108" t="inlineStr">
        <is>
          <t>1,000000000000</t>
        </is>
      </c>
    </row>
    <row outlineLevel="0" r="2753">
      <c r="A2753" s="4108" t="inlineStr">
        <is>
          <t>135792468202007143500</t>
        </is>
      </c>
      <c r="B2753" s="4108" t="inlineStr">
        <is>
          <t>143500</t>
        </is>
      </c>
      <c r="C2753" s="4108" t="inlineStr">
        <is>
          <t>135792468</t>
        </is>
      </c>
      <c r="D2753" s="4108" t="inlineStr">
        <is>
          <t>202007</t>
        </is>
      </c>
      <c r="E2753" s="4108" t="inlineStr">
        <is>
          <t>5,000000000000</t>
        </is>
      </c>
    </row>
    <row outlineLevel="0" r="2754">
      <c r="A2754" s="4108" t="inlineStr">
        <is>
          <t>135792468202007142500</t>
        </is>
      </c>
      <c r="B2754" s="4108" t="inlineStr">
        <is>
          <t>142500</t>
        </is>
      </c>
      <c r="C2754" s="4108" t="inlineStr">
        <is>
          <t>135792468</t>
        </is>
      </c>
      <c r="D2754" s="4108" t="inlineStr">
        <is>
          <t>202007</t>
        </is>
      </c>
      <c r="E2754" s="4108" t="inlineStr">
        <is>
          <t>3,000000000000</t>
        </is>
      </c>
    </row>
    <row outlineLevel="0" r="2755">
      <c r="A2755" s="4108" t="inlineStr">
        <is>
          <t>135792468202007140010</t>
        </is>
      </c>
      <c r="B2755" s="4108" t="inlineStr">
        <is>
          <t>140010</t>
        </is>
      </c>
      <c r="C2755" s="4108" t="inlineStr">
        <is>
          <t>135792468</t>
        </is>
      </c>
      <c r="D2755" s="4108" t="inlineStr">
        <is>
          <t>202007</t>
        </is>
      </c>
      <c r="E2755" s="4108" t="inlineStr">
        <is>
          <t>21,000000000000</t>
        </is>
      </c>
    </row>
    <row outlineLevel="0" r="2756">
      <c r="A2756" s="4108" t="inlineStr">
        <is>
          <t>135792468202007140005</t>
        </is>
      </c>
      <c r="B2756" s="4108" t="inlineStr">
        <is>
          <t>140005</t>
        </is>
      </c>
      <c r="C2756" s="4108" t="inlineStr">
        <is>
          <t>135792468</t>
        </is>
      </c>
      <c r="D2756" s="4108" t="inlineStr">
        <is>
          <t>202007</t>
        </is>
      </c>
      <c r="E2756" s="4108" t="inlineStr">
        <is>
          <t>48,000000000000</t>
        </is>
      </c>
    </row>
    <row outlineLevel="0" r="2757">
      <c r="A2757" s="4108" t="inlineStr">
        <is>
          <t>135792468202007139901</t>
        </is>
      </c>
      <c r="B2757" s="4108" t="inlineStr">
        <is>
          <t>139901</t>
        </is>
      </c>
      <c r="C2757" s="4108" t="inlineStr">
        <is>
          <t>135792468</t>
        </is>
      </c>
      <c r="D2757" s="4108" t="inlineStr">
        <is>
          <t>202007</t>
        </is>
      </c>
      <c r="E2757" s="4108" t="inlineStr">
        <is>
          <t>2,000000000000</t>
        </is>
      </c>
    </row>
    <row outlineLevel="0" r="2758">
      <c r="A2758" s="4108" t="inlineStr">
        <is>
          <t>135792468202007139905</t>
        </is>
      </c>
      <c r="B2758" s="4108" t="inlineStr">
        <is>
          <t>139905</t>
        </is>
      </c>
      <c r="C2758" s="4108" t="inlineStr">
        <is>
          <t>135792468</t>
        </is>
      </c>
      <c r="D2758" s="4108" t="inlineStr">
        <is>
          <t>202007</t>
        </is>
      </c>
      <c r="E2758" s="4108" t="inlineStr">
        <is>
          <t>6,000000000000</t>
        </is>
      </c>
    </row>
    <row outlineLevel="0" r="2759">
      <c r="A2759" s="4108" t="inlineStr">
        <is>
          <t>135792468202007139500</t>
        </is>
      </c>
      <c r="B2759" s="4108" t="inlineStr">
        <is>
          <t>139500</t>
        </is>
      </c>
      <c r="C2759" s="4108" t="inlineStr">
        <is>
          <t>135792468</t>
        </is>
      </c>
      <c r="D2759" s="4108" t="inlineStr">
        <is>
          <t>202007</t>
        </is>
      </c>
      <c r="E2759" s="4108" t="inlineStr">
        <is>
          <t>5,000000000000</t>
        </is>
      </c>
    </row>
    <row outlineLevel="0" r="2760">
      <c r="A2760" s="4108" t="inlineStr">
        <is>
          <t>135792468202007139001</t>
        </is>
      </c>
      <c r="B2760" s="4108" t="inlineStr">
        <is>
          <t>139001</t>
        </is>
      </c>
      <c r="C2760" s="4108" t="inlineStr">
        <is>
          <t>135792468</t>
        </is>
      </c>
      <c r="D2760" s="4108" t="inlineStr">
        <is>
          <t>202007</t>
        </is>
      </c>
      <c r="E2760" s="4108" t="inlineStr">
        <is>
          <t>3,000000000000</t>
        </is>
      </c>
    </row>
    <row outlineLevel="0" r="2761">
      <c r="A2761" s="4108" t="inlineStr">
        <is>
          <t>135792468202007139000</t>
        </is>
      </c>
      <c r="B2761" s="4108" t="inlineStr">
        <is>
          <t>139000</t>
        </is>
      </c>
      <c r="C2761" s="4108" t="inlineStr">
        <is>
          <t>135792468</t>
        </is>
      </c>
      <c r="D2761" s="4108" t="inlineStr">
        <is>
          <t>202007</t>
        </is>
      </c>
      <c r="E2761" s="4108" t="inlineStr">
        <is>
          <t>4,000000000000</t>
        </is>
      </c>
    </row>
    <row outlineLevel="0" r="2762">
      <c r="A2762" s="4108" t="inlineStr">
        <is>
          <t>135792468202007138501</t>
        </is>
      </c>
      <c r="B2762" s="4108" t="inlineStr">
        <is>
          <t>138501</t>
        </is>
      </c>
      <c r="C2762" s="4108" t="inlineStr">
        <is>
          <t>135792468</t>
        </is>
      </c>
      <c r="D2762" s="4108" t="inlineStr">
        <is>
          <t>202007</t>
        </is>
      </c>
      <c r="E2762" s="4108" t="inlineStr">
        <is>
          <t>4,000000000000</t>
        </is>
      </c>
    </row>
    <row outlineLevel="0" r="2763">
      <c r="A2763" s="4108" t="inlineStr">
        <is>
          <t>135792468202007138001</t>
        </is>
      </c>
      <c r="B2763" s="4108" t="inlineStr">
        <is>
          <t>138001</t>
        </is>
      </c>
      <c r="C2763" s="4108" t="inlineStr">
        <is>
          <t>135792468</t>
        </is>
      </c>
      <c r="D2763" s="4108" t="inlineStr">
        <is>
          <t>202007</t>
        </is>
      </c>
      <c r="E2763" s="4108" t="inlineStr">
        <is>
          <t>5,000000000000</t>
        </is>
      </c>
    </row>
    <row outlineLevel="0" r="2764">
      <c r="A2764" s="4108" t="inlineStr">
        <is>
          <t>135792468202007137001</t>
        </is>
      </c>
      <c r="B2764" s="4108" t="inlineStr">
        <is>
          <t>137001</t>
        </is>
      </c>
      <c r="C2764" s="4108" t="inlineStr">
        <is>
          <t>135792468</t>
        </is>
      </c>
      <c r="D2764" s="4108" t="inlineStr">
        <is>
          <t>202007</t>
        </is>
      </c>
      <c r="E2764" s="4108" t="inlineStr">
        <is>
          <t>6,000000000000</t>
        </is>
      </c>
    </row>
    <row outlineLevel="0" r="2765">
      <c r="A2765" s="4108" t="inlineStr">
        <is>
          <t>135792468202007136501</t>
        </is>
      </c>
      <c r="B2765" s="4108" t="inlineStr">
        <is>
          <t>136501</t>
        </is>
      </c>
      <c r="C2765" s="4108" t="inlineStr">
        <is>
          <t>135792468</t>
        </is>
      </c>
      <c r="D2765" s="4108" t="inlineStr">
        <is>
          <t>202007</t>
        </is>
      </c>
      <c r="E2765" s="4108" t="inlineStr">
        <is>
          <t>9,000000000000</t>
        </is>
      </c>
    </row>
    <row outlineLevel="0" r="2766">
      <c r="A2766" s="4108" t="inlineStr">
        <is>
          <t>135792468202007137000</t>
        </is>
      </c>
      <c r="B2766" s="4108" t="inlineStr">
        <is>
          <t>137000</t>
        </is>
      </c>
      <c r="C2766" s="4108" t="inlineStr">
        <is>
          <t>135792468</t>
        </is>
      </c>
      <c r="D2766" s="4108" t="inlineStr">
        <is>
          <t>202007</t>
        </is>
      </c>
      <c r="E2766" s="4108" t="inlineStr">
        <is>
          <t>3,000000000000</t>
        </is>
      </c>
    </row>
    <row outlineLevel="0" r="2767">
      <c r="A2767" s="4108" t="inlineStr">
        <is>
          <t>135792468202007136500</t>
        </is>
      </c>
      <c r="B2767" s="4108" t="inlineStr">
        <is>
          <t>136500</t>
        </is>
      </c>
      <c r="C2767" s="4108" t="inlineStr">
        <is>
          <t>135792468</t>
        </is>
      </c>
      <c r="D2767" s="4108" t="inlineStr">
        <is>
          <t>202007</t>
        </is>
      </c>
      <c r="E2767" s="4108" t="inlineStr">
        <is>
          <t>1,000000000000</t>
        </is>
      </c>
    </row>
    <row outlineLevel="0" r="2768">
      <c r="A2768" s="4108" t="inlineStr">
        <is>
          <t>135792468202007136001</t>
        </is>
      </c>
      <c r="B2768" s="4108" t="inlineStr">
        <is>
          <t>136001</t>
        </is>
      </c>
      <c r="C2768" s="4108" t="inlineStr">
        <is>
          <t>135792468</t>
        </is>
      </c>
      <c r="D2768" s="4108" t="inlineStr">
        <is>
          <t>202007</t>
        </is>
      </c>
      <c r="E2768" s="4108" t="inlineStr">
        <is>
          <t>8,000000000000</t>
        </is>
      </c>
    </row>
    <row outlineLevel="0" r="2769">
      <c r="A2769" s="4108" t="inlineStr">
        <is>
          <t>135792468202007136000</t>
        </is>
      </c>
      <c r="B2769" s="4108" t="inlineStr">
        <is>
          <t>136000</t>
        </is>
      </c>
      <c r="C2769" s="4108" t="inlineStr">
        <is>
          <t>135792468</t>
        </is>
      </c>
      <c r="D2769" s="4108" t="inlineStr">
        <is>
          <t>202007</t>
        </is>
      </c>
      <c r="E2769" s="4108" t="inlineStr">
        <is>
          <t>9,000000000000</t>
        </is>
      </c>
    </row>
    <row outlineLevel="0" r="2770">
      <c r="A2770" s="4108" t="inlineStr">
        <is>
          <t>135792468202007135501</t>
        </is>
      </c>
      <c r="B2770" s="4108" t="inlineStr">
        <is>
          <t>135501</t>
        </is>
      </c>
      <c r="C2770" s="4108" t="inlineStr">
        <is>
          <t>135792468</t>
        </is>
      </c>
      <c r="D2770" s="4108" t="inlineStr">
        <is>
          <t>202007</t>
        </is>
      </c>
      <c r="E2770" s="4108" t="inlineStr">
        <is>
          <t>7,000000000000</t>
        </is>
      </c>
    </row>
    <row outlineLevel="0" r="2771">
      <c r="A2771" s="4108" t="inlineStr">
        <is>
          <t>135792468202007135500</t>
        </is>
      </c>
      <c r="B2771" s="4108" t="inlineStr">
        <is>
          <t>135500</t>
        </is>
      </c>
      <c r="C2771" s="4108" t="inlineStr">
        <is>
          <t>135792468</t>
        </is>
      </c>
      <c r="D2771" s="4108" t="inlineStr">
        <is>
          <t>202007</t>
        </is>
      </c>
      <c r="E2771" s="4108" t="inlineStr">
        <is>
          <t>8,000000000000</t>
        </is>
      </c>
    </row>
    <row outlineLevel="0" r="2772">
      <c r="A2772" s="4108" t="inlineStr">
        <is>
          <t>135792468202007135001</t>
        </is>
      </c>
      <c r="B2772" s="4108" t="inlineStr">
        <is>
          <t>135001</t>
        </is>
      </c>
      <c r="C2772" s="4108" t="inlineStr">
        <is>
          <t>135792468</t>
        </is>
      </c>
      <c r="D2772" s="4108" t="inlineStr">
        <is>
          <t>202007</t>
        </is>
      </c>
      <c r="E2772" s="4108" t="inlineStr">
        <is>
          <t>6,000000000000</t>
        </is>
      </c>
    </row>
    <row outlineLevel="0" r="2773">
      <c r="A2773" s="4108" t="inlineStr">
        <is>
          <t>135792468202007134501</t>
        </is>
      </c>
      <c r="B2773" s="4108" t="inlineStr">
        <is>
          <t>134501</t>
        </is>
      </c>
      <c r="C2773" s="4108" t="inlineStr">
        <is>
          <t>135792468</t>
        </is>
      </c>
      <c r="D2773" s="4108" t="inlineStr">
        <is>
          <t>202007</t>
        </is>
      </c>
      <c r="E2773" s="4108" t="inlineStr">
        <is>
          <t>4,000000000000</t>
        </is>
      </c>
    </row>
    <row outlineLevel="0" r="2774">
      <c r="A2774" s="4108" t="inlineStr">
        <is>
          <t>135792468202007135000</t>
        </is>
      </c>
      <c r="B2774" s="4108" t="inlineStr">
        <is>
          <t>135000</t>
        </is>
      </c>
      <c r="C2774" s="4108" t="inlineStr">
        <is>
          <t>135792468</t>
        </is>
      </c>
      <c r="D2774" s="4108" t="inlineStr">
        <is>
          <t>202007</t>
        </is>
      </c>
      <c r="E2774" s="4108" t="inlineStr">
        <is>
          <t>7,000000000000</t>
        </is>
      </c>
    </row>
    <row outlineLevel="0" r="2775">
      <c r="A2775" s="4108" t="inlineStr">
        <is>
          <t>135792468202007134500</t>
        </is>
      </c>
      <c r="B2775" s="4108" t="inlineStr">
        <is>
          <t>134500</t>
        </is>
      </c>
      <c r="C2775" s="4108" t="inlineStr">
        <is>
          <t>135792468</t>
        </is>
      </c>
      <c r="D2775" s="4108" t="inlineStr">
        <is>
          <t>202007</t>
        </is>
      </c>
      <c r="E2775" s="4108" t="inlineStr">
        <is>
          <t>6,000000000000</t>
        </is>
      </c>
    </row>
    <row outlineLevel="0" r="2776">
      <c r="A2776" s="4108" t="inlineStr">
        <is>
          <t>135792468202007134001</t>
        </is>
      </c>
      <c r="B2776" s="4108" t="inlineStr">
        <is>
          <t>134001</t>
        </is>
      </c>
      <c r="C2776" s="4108" t="inlineStr">
        <is>
          <t>135792468</t>
        </is>
      </c>
      <c r="D2776" s="4108" t="inlineStr">
        <is>
          <t>202007</t>
        </is>
      </c>
      <c r="E2776" s="4108" t="inlineStr">
        <is>
          <t>1,000000000000</t>
        </is>
      </c>
    </row>
    <row outlineLevel="0" r="2777">
      <c r="A2777" s="4108" t="inlineStr">
        <is>
          <t>135792468202007134000</t>
        </is>
      </c>
      <c r="B2777" s="4108" t="inlineStr">
        <is>
          <t>134000</t>
        </is>
      </c>
      <c r="C2777" s="4108" t="inlineStr">
        <is>
          <t>135792468</t>
        </is>
      </c>
      <c r="D2777" s="4108" t="inlineStr">
        <is>
          <t>202007</t>
        </is>
      </c>
      <c r="E2777" s="4108" t="inlineStr">
        <is>
          <t>5,000000000000</t>
        </is>
      </c>
    </row>
    <row outlineLevel="0" r="2778">
      <c r="A2778" s="4108" t="inlineStr">
        <is>
          <t>135792468202007133501</t>
        </is>
      </c>
      <c r="B2778" s="4108" t="inlineStr">
        <is>
          <t>133501</t>
        </is>
      </c>
      <c r="C2778" s="4108" t="inlineStr">
        <is>
          <t>135792468</t>
        </is>
      </c>
      <c r="D2778" s="4108" t="inlineStr">
        <is>
          <t>202007</t>
        </is>
      </c>
      <c r="E2778" s="4108" t="inlineStr">
        <is>
          <t>2,000000000000</t>
        </is>
      </c>
    </row>
    <row outlineLevel="0" r="2779">
      <c r="A2779" s="4108" t="inlineStr">
        <is>
          <t>135792468202007133500</t>
        </is>
      </c>
      <c r="B2779" s="4108" t="inlineStr">
        <is>
          <t>133500</t>
        </is>
      </c>
      <c r="C2779" s="4108" t="inlineStr">
        <is>
          <t>135792468</t>
        </is>
      </c>
      <c r="D2779" s="4108" t="inlineStr">
        <is>
          <t>202007</t>
        </is>
      </c>
      <c r="E2779" s="4108" t="inlineStr">
        <is>
          <t>4,000000000000</t>
        </is>
      </c>
    </row>
    <row outlineLevel="0" r="2780">
      <c r="A2780" s="4108" t="inlineStr">
        <is>
          <t>135792468202007133001</t>
        </is>
      </c>
      <c r="B2780" s="4108" t="inlineStr">
        <is>
          <t>133001</t>
        </is>
      </c>
      <c r="C2780" s="4108" t="inlineStr">
        <is>
          <t>135792468</t>
        </is>
      </c>
      <c r="D2780" s="4108" t="inlineStr">
        <is>
          <t>202007</t>
        </is>
      </c>
      <c r="E2780" s="4108" t="inlineStr">
        <is>
          <t>3,000000000000</t>
        </is>
      </c>
    </row>
    <row outlineLevel="0" r="2781">
      <c r="A2781" s="4108" t="inlineStr">
        <is>
          <t>135792468202007132501</t>
        </is>
      </c>
      <c r="B2781" s="4108" t="inlineStr">
        <is>
          <t>132501</t>
        </is>
      </c>
      <c r="C2781" s="4108" t="inlineStr">
        <is>
          <t>135792468</t>
        </is>
      </c>
      <c r="D2781" s="4108" t="inlineStr">
        <is>
          <t>202007</t>
        </is>
      </c>
      <c r="E2781" s="4108" t="inlineStr">
        <is>
          <t>4,000000000000</t>
        </is>
      </c>
    </row>
    <row outlineLevel="0" r="2782">
      <c r="A2782" s="4108" t="inlineStr">
        <is>
          <t>135792468202007133000</t>
        </is>
      </c>
      <c r="B2782" s="4108" t="inlineStr">
        <is>
          <t>133000</t>
        </is>
      </c>
      <c r="C2782" s="4108" t="inlineStr">
        <is>
          <t>135792468</t>
        </is>
      </c>
      <c r="D2782" s="4108" t="inlineStr">
        <is>
          <t>202007</t>
        </is>
      </c>
      <c r="E2782" s="4108" t="inlineStr">
        <is>
          <t>3,000000000000</t>
        </is>
      </c>
    </row>
    <row outlineLevel="0" r="2783">
      <c r="A2783" s="4108" t="inlineStr">
        <is>
          <t>135792468202007132500</t>
        </is>
      </c>
      <c r="B2783" s="4108" t="inlineStr">
        <is>
          <t>132500</t>
        </is>
      </c>
      <c r="C2783" s="4108" t="inlineStr">
        <is>
          <t>135792468</t>
        </is>
      </c>
      <c r="D2783" s="4108" t="inlineStr">
        <is>
          <t>202007</t>
        </is>
      </c>
      <c r="E2783" s="4108" t="inlineStr">
        <is>
          <t>2,000000000000</t>
        </is>
      </c>
    </row>
    <row outlineLevel="0" r="2784">
      <c r="A2784" s="4108" t="inlineStr">
        <is>
          <t>135792468202007132001</t>
        </is>
      </c>
      <c r="B2784" s="4108" t="inlineStr">
        <is>
          <t>132001</t>
        </is>
      </c>
      <c r="C2784" s="4108" t="inlineStr">
        <is>
          <t>135792468</t>
        </is>
      </c>
      <c r="D2784" s="4108" t="inlineStr">
        <is>
          <t>202007</t>
        </is>
      </c>
      <c r="E2784" s="4108" t="inlineStr">
        <is>
          <t>9,000000000000</t>
        </is>
      </c>
    </row>
    <row outlineLevel="0" r="2785">
      <c r="A2785" s="4108" t="inlineStr">
        <is>
          <t>135792468202007132000</t>
        </is>
      </c>
      <c r="B2785" s="4108" t="inlineStr">
        <is>
          <t>132000</t>
        </is>
      </c>
      <c r="C2785" s="4108" t="inlineStr">
        <is>
          <t>135792468</t>
        </is>
      </c>
      <c r="D2785" s="4108" t="inlineStr">
        <is>
          <t>202007</t>
        </is>
      </c>
      <c r="E2785" s="4108" t="inlineStr">
        <is>
          <t>1,000000000000</t>
        </is>
      </c>
    </row>
    <row outlineLevel="0" r="2786">
      <c r="A2786" s="4108" t="inlineStr">
        <is>
          <t>135792468202007131501</t>
        </is>
      </c>
      <c r="B2786" s="4108" t="inlineStr">
        <is>
          <t>131501</t>
        </is>
      </c>
      <c r="C2786" s="4108" t="inlineStr">
        <is>
          <t>135792468</t>
        </is>
      </c>
      <c r="D2786" s="4108" t="inlineStr">
        <is>
          <t>202007</t>
        </is>
      </c>
      <c r="E2786" s="4108" t="inlineStr">
        <is>
          <t>8,000000000000</t>
        </is>
      </c>
    </row>
    <row outlineLevel="0" r="2787">
      <c r="A2787" s="4108" t="inlineStr">
        <is>
          <t>135792468202007131001</t>
        </is>
      </c>
      <c r="B2787" s="4108" t="inlineStr">
        <is>
          <t>131001</t>
        </is>
      </c>
      <c r="C2787" s="4108" t="inlineStr">
        <is>
          <t>135792468</t>
        </is>
      </c>
      <c r="D2787" s="4108" t="inlineStr">
        <is>
          <t>202007</t>
        </is>
      </c>
      <c r="E2787" s="4108" t="inlineStr">
        <is>
          <t>7,000000000000</t>
        </is>
      </c>
    </row>
    <row outlineLevel="0" r="2788">
      <c r="A2788" s="4108" t="inlineStr">
        <is>
          <t>135792468202007131000</t>
        </is>
      </c>
      <c r="B2788" s="4108" t="inlineStr">
        <is>
          <t>131000</t>
        </is>
      </c>
      <c r="C2788" s="4108" t="inlineStr">
        <is>
          <t>135792468</t>
        </is>
      </c>
      <c r="D2788" s="4108" t="inlineStr">
        <is>
          <t>202007</t>
        </is>
      </c>
      <c r="E2788" s="4108" t="inlineStr">
        <is>
          <t>3,000000000000</t>
        </is>
      </c>
    </row>
    <row outlineLevel="0" r="2789">
      <c r="A2789" s="4108" t="inlineStr">
        <is>
          <t>135792468202007130510</t>
        </is>
      </c>
      <c r="B2789" s="4108" t="inlineStr">
        <is>
          <t>130510</t>
        </is>
      </c>
      <c r="C2789" s="4108" t="inlineStr">
        <is>
          <t>135792468</t>
        </is>
      </c>
      <c r="D2789" s="4108" t="inlineStr">
        <is>
          <t>202007</t>
        </is>
      </c>
      <c r="E2789" s="4108" t="inlineStr">
        <is>
          <t>2,000000000000</t>
        </is>
      </c>
    </row>
    <row outlineLevel="0" r="2790">
      <c r="A2790" s="4108" t="inlineStr">
        <is>
          <t>135792468202007130511</t>
        </is>
      </c>
      <c r="B2790" s="4108" t="inlineStr">
        <is>
          <t>130511</t>
        </is>
      </c>
      <c r="C2790" s="4108" t="inlineStr">
        <is>
          <t>135792468</t>
        </is>
      </c>
      <c r="D2790" s="4108" t="inlineStr">
        <is>
          <t>202007</t>
        </is>
      </c>
      <c r="E2790" s="4108" t="inlineStr">
        <is>
          <t>6,000000000000</t>
        </is>
      </c>
    </row>
    <row outlineLevel="0" r="2791">
      <c r="A2791" s="4108" t="inlineStr">
        <is>
          <t>135792468202007130506</t>
        </is>
      </c>
      <c r="B2791" s="4108" t="inlineStr">
        <is>
          <t>130506</t>
        </is>
      </c>
      <c r="C2791" s="4108" t="inlineStr">
        <is>
          <t>135792468</t>
        </is>
      </c>
      <c r="D2791" s="4108" t="inlineStr">
        <is>
          <t>202007</t>
        </is>
      </c>
      <c r="E2791" s="4108" t="inlineStr">
        <is>
          <t>5,000000000000</t>
        </is>
      </c>
    </row>
    <row outlineLevel="0" r="2792">
      <c r="A2792" s="4108" t="inlineStr">
        <is>
          <t>135792468202007129901</t>
        </is>
      </c>
      <c r="B2792" s="4108" t="inlineStr">
        <is>
          <t>129901</t>
        </is>
      </c>
      <c r="C2792" s="4108" t="inlineStr">
        <is>
          <t>135792468</t>
        </is>
      </c>
      <c r="D2792" s="4108" t="inlineStr">
        <is>
          <t>202007</t>
        </is>
      </c>
      <c r="E2792" s="4108" t="inlineStr">
        <is>
          <t>9,000000000000</t>
        </is>
      </c>
    </row>
    <row outlineLevel="0" r="2793">
      <c r="A2793" s="4108" t="inlineStr">
        <is>
          <t>135792468202007129701</t>
        </is>
      </c>
      <c r="B2793" s="4108" t="inlineStr">
        <is>
          <t>129701</t>
        </is>
      </c>
      <c r="C2793" s="4108" t="inlineStr">
        <is>
          <t>135792468</t>
        </is>
      </c>
      <c r="D2793" s="4108" t="inlineStr">
        <is>
          <t>202007</t>
        </is>
      </c>
      <c r="E2793" s="4108" t="inlineStr">
        <is>
          <t>8,000000000000</t>
        </is>
      </c>
    </row>
    <row outlineLevel="0" r="2794">
      <c r="A2794" s="4108" t="inlineStr">
        <is>
          <t>135792468202007129700</t>
        </is>
      </c>
      <c r="B2794" s="4108" t="inlineStr">
        <is>
          <t>129700</t>
        </is>
      </c>
      <c r="C2794" s="4108" t="inlineStr">
        <is>
          <t>135792468</t>
        </is>
      </c>
      <c r="D2794" s="4108" t="inlineStr">
        <is>
          <t>202007</t>
        </is>
      </c>
      <c r="E2794" s="4108" t="inlineStr">
        <is>
          <t>8,000000000000</t>
        </is>
      </c>
    </row>
    <row outlineLevel="0" r="2795">
      <c r="A2795" s="4108" t="inlineStr">
        <is>
          <t>135792468202007129501</t>
        </is>
      </c>
      <c r="B2795" s="4108" t="inlineStr">
        <is>
          <t>129501</t>
        </is>
      </c>
      <c r="C2795" s="4108" t="inlineStr">
        <is>
          <t>135792468</t>
        </is>
      </c>
      <c r="D2795" s="4108" t="inlineStr">
        <is>
          <t>202007</t>
        </is>
      </c>
      <c r="E2795" s="4108" t="inlineStr">
        <is>
          <t>7,000000000000</t>
        </is>
      </c>
    </row>
    <row outlineLevel="0" r="2796">
      <c r="A2796" s="4108" t="inlineStr">
        <is>
          <t>135792468202007126001</t>
        </is>
      </c>
      <c r="B2796" s="4108" t="inlineStr">
        <is>
          <t>126001</t>
        </is>
      </c>
      <c r="C2796" s="4108" t="inlineStr">
        <is>
          <t>135792468</t>
        </is>
      </c>
      <c r="D2796" s="4108" t="inlineStr">
        <is>
          <t>202007</t>
        </is>
      </c>
      <c r="E2796" s="4108" t="inlineStr">
        <is>
          <t>6,000000000000</t>
        </is>
      </c>
    </row>
    <row outlineLevel="0" r="2797">
      <c r="A2797" s="4108" t="inlineStr">
        <is>
          <t>135792468202007123501</t>
        </is>
      </c>
      <c r="B2797" s="4108" t="inlineStr">
        <is>
          <t>123501</t>
        </is>
      </c>
      <c r="C2797" s="4108" t="inlineStr">
        <is>
          <t>135792468</t>
        </is>
      </c>
      <c r="D2797" s="4108" t="inlineStr">
        <is>
          <t>202007</t>
        </is>
      </c>
      <c r="E2797" s="4108" t="inlineStr">
        <is>
          <t>4,000000000000</t>
        </is>
      </c>
    </row>
    <row outlineLevel="0" r="2798">
      <c r="A2798" s="4108" t="inlineStr">
        <is>
          <t>135792468202007125501</t>
        </is>
      </c>
      <c r="B2798" s="4108" t="inlineStr">
        <is>
          <t>125501</t>
        </is>
      </c>
      <c r="C2798" s="4108" t="inlineStr">
        <is>
          <t>135792468</t>
        </is>
      </c>
      <c r="D2798" s="4108" t="inlineStr">
        <is>
          <t>202007</t>
        </is>
      </c>
      <c r="E2798" s="4108" t="inlineStr">
        <is>
          <t>5,000000000000</t>
        </is>
      </c>
    </row>
    <row outlineLevel="0" r="2799">
      <c r="A2799" s="4108" t="inlineStr">
        <is>
          <t>135792468202007121501</t>
        </is>
      </c>
      <c r="B2799" s="4108" t="inlineStr">
        <is>
          <t>121501</t>
        </is>
      </c>
      <c r="C2799" s="4108" t="inlineStr">
        <is>
          <t>135792468</t>
        </is>
      </c>
      <c r="D2799" s="4108" t="inlineStr">
        <is>
          <t>202007</t>
        </is>
      </c>
      <c r="E2799" s="4108" t="inlineStr">
        <is>
          <t>3,000000000000</t>
        </is>
      </c>
    </row>
    <row outlineLevel="0" r="2800">
      <c r="A2800" s="4108" t="inlineStr">
        <is>
          <t>135792468202007121001</t>
        </is>
      </c>
      <c r="B2800" s="4108" t="inlineStr">
        <is>
          <t>121001</t>
        </is>
      </c>
      <c r="C2800" s="4108" t="inlineStr">
        <is>
          <t>135792468</t>
        </is>
      </c>
      <c r="D2800" s="4108" t="inlineStr">
        <is>
          <t>202007</t>
        </is>
      </c>
      <c r="E2800" s="4108" t="inlineStr">
        <is>
          <t>2,000000000000</t>
        </is>
      </c>
    </row>
    <row outlineLevel="0" r="2801">
      <c r="A2801" s="4108" t="inlineStr">
        <is>
          <t>135792468202007120620</t>
        </is>
      </c>
      <c r="B2801" s="4108" t="inlineStr">
        <is>
          <t>120620</t>
        </is>
      </c>
      <c r="C2801" s="4108" t="inlineStr">
        <is>
          <t>135792468</t>
        </is>
      </c>
      <c r="D2801" s="4108" t="inlineStr">
        <is>
          <t>202007</t>
        </is>
      </c>
      <c r="E2801" s="4108" t="inlineStr">
        <is>
          <t>4,000000000000</t>
        </is>
      </c>
    </row>
    <row outlineLevel="0" r="2802">
      <c r="A2802" s="4108" t="inlineStr">
        <is>
          <t>135792468202007120615</t>
        </is>
      </c>
      <c r="B2802" s="4108" t="inlineStr">
        <is>
          <t>120615</t>
        </is>
      </c>
      <c r="C2802" s="4108" t="inlineStr">
        <is>
          <t>135792468</t>
        </is>
      </c>
      <c r="D2802" s="4108" t="inlineStr">
        <is>
          <t>202007</t>
        </is>
      </c>
      <c r="E2802" s="4108" t="inlineStr">
        <is>
          <t>2,000000000000</t>
        </is>
      </c>
    </row>
    <row outlineLevel="0" r="2803">
      <c r="A2803" s="4108" t="inlineStr">
        <is>
          <t>135792468202007120610</t>
        </is>
      </c>
      <c r="B2803" s="4108" t="inlineStr">
        <is>
          <t>120610</t>
        </is>
      </c>
      <c r="C2803" s="4108" t="inlineStr">
        <is>
          <t>135792468</t>
        </is>
      </c>
      <c r="D2803" s="4108" t="inlineStr">
        <is>
          <t>202007</t>
        </is>
      </c>
      <c r="E2803" s="4108" t="inlineStr">
        <is>
          <t>1,000000000000</t>
        </is>
      </c>
    </row>
    <row outlineLevel="0" r="2804">
      <c r="A2804" s="4108" t="inlineStr">
        <is>
          <t>135792468202007120501</t>
        </is>
      </c>
      <c r="B2804" s="4108" t="inlineStr">
        <is>
          <t>120501</t>
        </is>
      </c>
      <c r="C2804" s="4108" t="inlineStr">
        <is>
          <t>135792468</t>
        </is>
      </c>
      <c r="D2804" s="4108" t="inlineStr">
        <is>
          <t>202007</t>
        </is>
      </c>
      <c r="E2804" s="4108" t="inlineStr">
        <is>
          <t>1,000000000000</t>
        </is>
      </c>
    </row>
    <row outlineLevel="0" r="2805">
      <c r="A2805" s="4108" t="inlineStr">
        <is>
          <t>135792468202007120145</t>
        </is>
      </c>
      <c r="B2805" s="4108" t="inlineStr">
        <is>
          <t>120145</t>
        </is>
      </c>
      <c r="C2805" s="4108" t="inlineStr">
        <is>
          <t>135792468</t>
        </is>
      </c>
      <c r="D2805" s="4108" t="inlineStr">
        <is>
          <t>202007</t>
        </is>
      </c>
      <c r="E2805" s="4108" t="inlineStr">
        <is>
          <t>7,000000000000</t>
        </is>
      </c>
    </row>
    <row outlineLevel="0" r="2806">
      <c r="A2806" s="4108" t="inlineStr">
        <is>
          <t>135792468202007120195</t>
        </is>
      </c>
      <c r="B2806" s="4108" t="inlineStr">
        <is>
          <t>120195</t>
        </is>
      </c>
      <c r="C2806" s="4108" t="inlineStr">
        <is>
          <t>135792468</t>
        </is>
      </c>
      <c r="D2806" s="4108" t="inlineStr">
        <is>
          <t>202007</t>
        </is>
      </c>
      <c r="E2806" s="4108" t="inlineStr">
        <is>
          <t>8,000000000000</t>
        </is>
      </c>
    </row>
    <row outlineLevel="0" r="2807">
      <c r="A2807" s="4108" t="inlineStr">
        <is>
          <t>135792468202007120140</t>
        </is>
      </c>
      <c r="B2807" s="4108" t="inlineStr">
        <is>
          <t>120140</t>
        </is>
      </c>
      <c r="C2807" s="4108" t="inlineStr">
        <is>
          <t>135792468</t>
        </is>
      </c>
      <c r="D2807" s="4108" t="inlineStr">
        <is>
          <t>202007</t>
        </is>
      </c>
      <c r="E2807" s="4108" t="inlineStr">
        <is>
          <t>8,000000000000</t>
        </is>
      </c>
    </row>
    <row outlineLevel="0" r="2808">
      <c r="A2808" s="4108" t="inlineStr">
        <is>
          <t>135792468202007120128</t>
        </is>
      </c>
      <c r="B2808" s="4108" t="inlineStr">
        <is>
          <t>120128</t>
        </is>
      </c>
      <c r="C2808" s="4108" t="inlineStr">
        <is>
          <t>135792468</t>
        </is>
      </c>
      <c r="D2808" s="4108" t="inlineStr">
        <is>
          <t>202007</t>
        </is>
      </c>
      <c r="E2808" s="4108" t="inlineStr">
        <is>
          <t>7,000000000000</t>
        </is>
      </c>
    </row>
    <row outlineLevel="0" r="2809">
      <c r="A2809" s="4108" t="inlineStr">
        <is>
          <t>135792468202007120124</t>
        </is>
      </c>
      <c r="B2809" s="4108" t="inlineStr">
        <is>
          <t>120124</t>
        </is>
      </c>
      <c r="C2809" s="4108" t="inlineStr">
        <is>
          <t>135792468</t>
        </is>
      </c>
      <c r="D2809" s="4108" t="inlineStr">
        <is>
          <t>202007</t>
        </is>
      </c>
      <c r="E2809" s="4108" t="inlineStr">
        <is>
          <t>6,000000000000</t>
        </is>
      </c>
    </row>
    <row outlineLevel="0" r="2810">
      <c r="A2810" s="4108" t="inlineStr">
        <is>
          <t>135792468202007120120</t>
        </is>
      </c>
      <c r="B2810" s="4108" t="inlineStr">
        <is>
          <t>120120</t>
        </is>
      </c>
      <c r="C2810" s="4108" t="inlineStr">
        <is>
          <t>135792468</t>
        </is>
      </c>
      <c r="D2810" s="4108" t="inlineStr">
        <is>
          <t>202007</t>
        </is>
      </c>
      <c r="E2810" s="4108" t="inlineStr">
        <is>
          <t>5,000000000000</t>
        </is>
      </c>
    </row>
    <row outlineLevel="0" r="2811">
      <c r="A2811" s="4108" t="inlineStr">
        <is>
          <t>135792468202007120116</t>
        </is>
      </c>
      <c r="B2811" s="4108" t="inlineStr">
        <is>
          <t>120116</t>
        </is>
      </c>
      <c r="C2811" s="4108" t="inlineStr">
        <is>
          <t>135792468</t>
        </is>
      </c>
      <c r="D2811" s="4108" t="inlineStr">
        <is>
          <t>202007</t>
        </is>
      </c>
      <c r="E2811" s="4108" t="inlineStr">
        <is>
          <t>4,000000000000</t>
        </is>
      </c>
    </row>
    <row outlineLevel="0" r="2812">
      <c r="A2812" s="4108" t="inlineStr">
        <is>
          <t>135792468202007120108</t>
        </is>
      </c>
      <c r="B2812" s="4108" t="inlineStr">
        <is>
          <t>120108</t>
        </is>
      </c>
      <c r="C2812" s="4108" t="inlineStr">
        <is>
          <t>135792468</t>
        </is>
      </c>
      <c r="D2812" s="4108" t="inlineStr">
        <is>
          <t>202007</t>
        </is>
      </c>
      <c r="E2812" s="4108" t="inlineStr">
        <is>
          <t>2,000000000000</t>
        </is>
      </c>
    </row>
    <row outlineLevel="0" r="2813">
      <c r="A2813" s="4108" t="inlineStr">
        <is>
          <t>135792468202007111010</t>
        </is>
      </c>
      <c r="B2813" s="4108" t="inlineStr">
        <is>
          <t>111010</t>
        </is>
      </c>
      <c r="C2813" s="4108" t="inlineStr">
        <is>
          <t>135792468</t>
        </is>
      </c>
      <c r="D2813" s="4108" t="inlineStr">
        <is>
          <t>202007</t>
        </is>
      </c>
      <c r="E2813" s="4108" t="inlineStr">
        <is>
          <t>4,000000000000</t>
        </is>
      </c>
    </row>
    <row outlineLevel="0" r="2814">
      <c r="A2814" s="4108" t="inlineStr">
        <is>
          <t>135792468202007120104</t>
        </is>
      </c>
      <c r="B2814" s="4108" t="inlineStr">
        <is>
          <t>120104</t>
        </is>
      </c>
      <c r="C2814" s="4108" t="inlineStr">
        <is>
          <t>135792468</t>
        </is>
      </c>
      <c r="D2814" s="4108" t="inlineStr">
        <is>
          <t>202007</t>
        </is>
      </c>
      <c r="E2814" s="4108" t="inlineStr">
        <is>
          <t>1,000000000000</t>
        </is>
      </c>
    </row>
    <row outlineLevel="0" r="2815">
      <c r="A2815" s="4108" t="inlineStr">
        <is>
          <t>135792468202007110495</t>
        </is>
      </c>
      <c r="B2815" s="4108" t="inlineStr">
        <is>
          <t>110495</t>
        </is>
      </c>
      <c r="C2815" s="4108" t="inlineStr">
        <is>
          <t>135792468</t>
        </is>
      </c>
      <c r="D2815" s="4108" t="inlineStr">
        <is>
          <t>202007</t>
        </is>
      </c>
      <c r="E2815" s="4108" t="inlineStr">
        <is>
          <t>7,000000000000</t>
        </is>
      </c>
    </row>
    <row outlineLevel="0" r="2816">
      <c r="A2816" s="4108" t="inlineStr">
        <is>
          <t>135792468202007110491</t>
        </is>
      </c>
      <c r="B2816" s="4108" t="inlineStr">
        <is>
          <t>110491</t>
        </is>
      </c>
      <c r="C2816" s="4108" t="inlineStr">
        <is>
          <t>135792468</t>
        </is>
      </c>
      <c r="D2816" s="4108" t="inlineStr">
        <is>
          <t>202007</t>
        </is>
      </c>
      <c r="E2816" s="4108" t="inlineStr">
        <is>
          <t>9,000000000000</t>
        </is>
      </c>
    </row>
    <row outlineLevel="0" r="2817">
      <c r="A2817" s="4108" t="inlineStr">
        <is>
          <t>135792468202007110490</t>
        </is>
      </c>
      <c r="B2817" s="4108" t="inlineStr">
        <is>
          <t>110490</t>
        </is>
      </c>
      <c r="C2817" s="4108" t="inlineStr">
        <is>
          <t>135792468</t>
        </is>
      </c>
      <c r="D2817" s="4108" t="inlineStr">
        <is>
          <t>202007</t>
        </is>
      </c>
      <c r="E2817" s="4108" t="inlineStr">
        <is>
          <t>8,000000000000</t>
        </is>
      </c>
    </row>
    <row outlineLevel="0" r="2818">
      <c r="A2818" s="4108" t="inlineStr">
        <is>
          <t>135792468202007110420</t>
        </is>
      </c>
      <c r="B2818" s="4108" t="inlineStr">
        <is>
          <t>110420</t>
        </is>
      </c>
      <c r="C2818" s="4108" t="inlineStr">
        <is>
          <t>135792468</t>
        </is>
      </c>
      <c r="D2818" s="4108" t="inlineStr">
        <is>
          <t>202007</t>
        </is>
      </c>
      <c r="E2818" s="4108" t="inlineStr">
        <is>
          <t>6,000000000000</t>
        </is>
      </c>
    </row>
    <row outlineLevel="0" r="2819">
      <c r="A2819" s="4108" t="inlineStr">
        <is>
          <t>135792468202007110415</t>
        </is>
      </c>
      <c r="B2819" s="4108" t="inlineStr">
        <is>
          <t>110415</t>
        </is>
      </c>
      <c r="C2819" s="4108" t="inlineStr">
        <is>
          <t>135792468</t>
        </is>
      </c>
      <c r="D2819" s="4108" t="inlineStr">
        <is>
          <t>202007</t>
        </is>
      </c>
      <c r="E2819" s="4108" t="inlineStr">
        <is>
          <t>4,000000000000</t>
        </is>
      </c>
    </row>
    <row outlineLevel="0" r="2820">
      <c r="A2820" s="4108" t="inlineStr">
        <is>
          <t>135792468202007110410</t>
        </is>
      </c>
      <c r="B2820" s="4108" t="inlineStr">
        <is>
          <t>110410</t>
        </is>
      </c>
      <c r="C2820" s="4108" t="inlineStr">
        <is>
          <t>135792468</t>
        </is>
      </c>
      <c r="D2820" s="4108" t="inlineStr">
        <is>
          <t>202007</t>
        </is>
      </c>
      <c r="E2820" s="4108" t="inlineStr">
        <is>
          <t>2,000000000000</t>
        </is>
      </c>
    </row>
    <row outlineLevel="0" r="2821">
      <c r="A2821" s="4108" t="inlineStr">
        <is>
          <t>135792468202007110395</t>
        </is>
      </c>
      <c r="B2821" s="4108" t="inlineStr">
        <is>
          <t>110395</t>
        </is>
      </c>
      <c r="C2821" s="4108" t="inlineStr">
        <is>
          <t>135792468</t>
        </is>
      </c>
      <c r="D2821" s="4108" t="inlineStr">
        <is>
          <t>202007</t>
        </is>
      </c>
      <c r="E2821" s="4108" t="inlineStr">
        <is>
          <t>5,000000000000</t>
        </is>
      </c>
    </row>
    <row outlineLevel="0" r="2822">
      <c r="A2822" s="4108" t="inlineStr">
        <is>
          <t>135792468202007110405</t>
        </is>
      </c>
      <c r="B2822" s="4108" t="inlineStr">
        <is>
          <t>110405</t>
        </is>
      </c>
      <c r="C2822" s="4108" t="inlineStr">
        <is>
          <t>135792468</t>
        </is>
      </c>
      <c r="D2822" s="4108" t="inlineStr">
        <is>
          <t>202007</t>
        </is>
      </c>
      <c r="E2822" s="4108" t="inlineStr">
        <is>
          <t>1,000000000000</t>
        </is>
      </c>
    </row>
    <row outlineLevel="0" r="2823">
      <c r="A2823" s="4108" t="inlineStr">
        <is>
          <t>135792468202007110390</t>
        </is>
      </c>
      <c r="B2823" s="4108" t="inlineStr">
        <is>
          <t>110390</t>
        </is>
      </c>
      <c r="C2823" s="4108" t="inlineStr">
        <is>
          <t>135792468</t>
        </is>
      </c>
      <c r="D2823" s="4108" t="inlineStr">
        <is>
          <t>202007</t>
        </is>
      </c>
      <c r="E2823" s="4108" t="inlineStr">
        <is>
          <t>4,000000000000</t>
        </is>
      </c>
    </row>
    <row outlineLevel="0" r="2824">
      <c r="A2824" s="4108" t="inlineStr">
        <is>
          <t>135792468202007110305</t>
        </is>
      </c>
      <c r="B2824" s="4108" t="inlineStr">
        <is>
          <t>110305</t>
        </is>
      </c>
      <c r="C2824" s="4108" t="inlineStr">
        <is>
          <t>135792468</t>
        </is>
      </c>
      <c r="D2824" s="4108" t="inlineStr">
        <is>
          <t>202007</t>
        </is>
      </c>
      <c r="E2824" s="4108" t="inlineStr">
        <is>
          <t>1,000000000000</t>
        </is>
      </c>
    </row>
    <row outlineLevel="0" r="2825">
      <c r="A2825" s="4108" t="inlineStr">
        <is>
          <t>135792468202007110260</t>
        </is>
      </c>
      <c r="B2825" s="4108" t="inlineStr">
        <is>
          <t>110260</t>
        </is>
      </c>
      <c r="C2825" s="4108" t="inlineStr">
        <is>
          <t>135792468</t>
        </is>
      </c>
      <c r="D2825" s="4108" t="inlineStr">
        <is>
          <t>202007</t>
        </is>
      </c>
      <c r="E2825" s="4108" t="inlineStr">
        <is>
          <t>9,000000000000</t>
        </is>
      </c>
    </row>
    <row outlineLevel="0" r="2826">
      <c r="A2826" s="4108" t="inlineStr">
        <is>
          <t>135792468202007110255</t>
        </is>
      </c>
      <c r="B2826" s="4108" t="inlineStr">
        <is>
          <t>110255</t>
        </is>
      </c>
      <c r="C2826" s="4108" t="inlineStr">
        <is>
          <t>135792468</t>
        </is>
      </c>
      <c r="D2826" s="4108" t="inlineStr">
        <is>
          <t>202007</t>
        </is>
      </c>
      <c r="E2826" s="4108" t="inlineStr">
        <is>
          <t>7,000000000000</t>
        </is>
      </c>
    </row>
    <row outlineLevel="0" r="2827">
      <c r="A2827" s="4108" t="inlineStr">
        <is>
          <t>135792468202007110235</t>
        </is>
      </c>
      <c r="B2827" s="4108" t="inlineStr">
        <is>
          <t>110235</t>
        </is>
      </c>
      <c r="C2827" s="4108" t="inlineStr">
        <is>
          <t>135792468</t>
        </is>
      </c>
      <c r="D2827" s="4108" t="inlineStr">
        <is>
          <t>202007</t>
        </is>
      </c>
      <c r="E2827" s="4108" t="inlineStr">
        <is>
          <t>6,000000000000</t>
        </is>
      </c>
    </row>
    <row outlineLevel="0" r="2828">
      <c r="A2828" s="4108" t="inlineStr">
        <is>
          <t>135792468202007110225</t>
        </is>
      </c>
      <c r="B2828" s="4108" t="inlineStr">
        <is>
          <t>110225</t>
        </is>
      </c>
      <c r="C2828" s="4108" t="inlineStr">
        <is>
          <t>135792468</t>
        </is>
      </c>
      <c r="D2828" s="4108" t="inlineStr">
        <is>
          <t>202007</t>
        </is>
      </c>
      <c r="E2828" s="4108" t="inlineStr">
        <is>
          <t>5,000000000000</t>
        </is>
      </c>
    </row>
    <row outlineLevel="0" r="2829">
      <c r="A2829" s="4108" t="inlineStr">
        <is>
          <t>135792468202007110210</t>
        </is>
      </c>
      <c r="B2829" s="4108" t="inlineStr">
        <is>
          <t>110210</t>
        </is>
      </c>
      <c r="C2829" s="4108" t="inlineStr">
        <is>
          <t>135792468</t>
        </is>
      </c>
      <c r="D2829" s="4108" t="inlineStr">
        <is>
          <t>202007</t>
        </is>
      </c>
      <c r="E2829" s="4108" t="inlineStr">
        <is>
          <t>3,000000000000</t>
        </is>
      </c>
    </row>
    <row outlineLevel="0" r="2830">
      <c r="A2830" s="4108" t="inlineStr">
        <is>
          <t>135792468202007110215</t>
        </is>
      </c>
      <c r="B2830" s="4108" t="inlineStr">
        <is>
          <t>110215</t>
        </is>
      </c>
      <c r="C2830" s="4108" t="inlineStr">
        <is>
          <t>135792468</t>
        </is>
      </c>
      <c r="D2830" s="4108" t="inlineStr">
        <is>
          <t>202007</t>
        </is>
      </c>
      <c r="E2830" s="4108" t="inlineStr">
        <is>
          <t>4,000000000000</t>
        </is>
      </c>
    </row>
    <row outlineLevel="0" r="2831">
      <c r="A2831" s="4108" t="inlineStr">
        <is>
          <t>135792468202007110205</t>
        </is>
      </c>
      <c r="B2831" s="4108" t="inlineStr">
        <is>
          <t>110205</t>
        </is>
      </c>
      <c r="C2831" s="4108" t="inlineStr">
        <is>
          <t>135792468</t>
        </is>
      </c>
      <c r="D2831" s="4108" t="inlineStr">
        <is>
          <t>202007</t>
        </is>
      </c>
      <c r="E2831" s="4108" t="inlineStr">
        <is>
          <t>2,000000000000</t>
        </is>
      </c>
    </row>
    <row outlineLevel="0" r="2832">
      <c r="A2832" s="4108" t="inlineStr">
        <is>
          <t>135792468202007110130</t>
        </is>
      </c>
      <c r="B2832" s="4108" t="inlineStr">
        <is>
          <t>110130</t>
        </is>
      </c>
      <c r="C2832" s="4108" t="inlineStr">
        <is>
          <t>135792468</t>
        </is>
      </c>
      <c r="D2832" s="4108" t="inlineStr">
        <is>
          <t>202007</t>
        </is>
      </c>
      <c r="E2832" s="4108" t="inlineStr">
        <is>
          <t>5,000000000000</t>
        </is>
      </c>
    </row>
    <row outlineLevel="0" r="2833">
      <c r="A2833" s="4108" t="inlineStr">
        <is>
          <t>135792468202007110125</t>
        </is>
      </c>
      <c r="B2833" s="4108" t="inlineStr">
        <is>
          <t>110125</t>
        </is>
      </c>
      <c r="C2833" s="4108" t="inlineStr">
        <is>
          <t>135792468</t>
        </is>
      </c>
      <c r="D2833" s="4108" t="inlineStr">
        <is>
          <t>202007</t>
        </is>
      </c>
      <c r="E2833" s="4108" t="inlineStr">
        <is>
          <t>6,000000000000</t>
        </is>
      </c>
    </row>
    <row outlineLevel="0" r="2834">
      <c r="A2834" s="4108" t="inlineStr">
        <is>
          <t>135792468202007110110</t>
        </is>
      </c>
      <c r="B2834" s="4108" t="inlineStr">
        <is>
          <t>110110</t>
        </is>
      </c>
      <c r="C2834" s="4108" t="inlineStr">
        <is>
          <t>135792468</t>
        </is>
      </c>
      <c r="D2834" s="4108" t="inlineStr">
        <is>
          <t>202007</t>
        </is>
      </c>
      <c r="E2834" s="4108" t="inlineStr">
        <is>
          <t>3,000000000000</t>
        </is>
      </c>
    </row>
    <row outlineLevel="0" r="2835">
      <c r="A2835" s="4108" t="inlineStr">
        <is>
          <t>135792468202007110105</t>
        </is>
      </c>
      <c r="B2835" s="4108" t="inlineStr">
        <is>
          <t>110105</t>
        </is>
      </c>
      <c r="C2835" s="4108" t="inlineStr">
        <is>
          <t>135792468</t>
        </is>
      </c>
      <c r="D2835" s="4108" t="inlineStr">
        <is>
          <t>202007</t>
        </is>
      </c>
      <c r="E2835" s="4108" t="inlineStr">
        <is>
          <t>2,000000000000</t>
        </is>
      </c>
    </row>
    <row outlineLevel="0" r="2836">
      <c r="A2836" s="4108" t="inlineStr">
        <is>
          <t>135792468202007109801</t>
        </is>
      </c>
      <c r="B2836" s="4108" t="inlineStr">
        <is>
          <t>109801</t>
        </is>
      </c>
      <c r="C2836" s="4108" t="inlineStr">
        <is>
          <t>135792468</t>
        </is>
      </c>
      <c r="D2836" s="4108" t="inlineStr">
        <is>
          <t>202007</t>
        </is>
      </c>
      <c r="E2836" s="4108" t="inlineStr">
        <is>
          <t>5,000000000000</t>
        </is>
      </c>
    </row>
    <row outlineLevel="0" r="2837">
      <c r="A2837" s="4108" t="inlineStr">
        <is>
          <t>135792468202007108300</t>
        </is>
      </c>
      <c r="B2837" s="4108" t="inlineStr">
        <is>
          <t>108300</t>
        </is>
      </c>
      <c r="C2837" s="4108" t="inlineStr">
        <is>
          <t>135792468</t>
        </is>
      </c>
      <c r="D2837" s="4108" t="inlineStr">
        <is>
          <t>202007</t>
        </is>
      </c>
      <c r="E2837" s="4108" t="inlineStr">
        <is>
          <t>2,000000000000</t>
        </is>
      </c>
    </row>
    <row outlineLevel="0" r="2838">
      <c r="A2838" s="4108" t="inlineStr">
        <is>
          <t>135792468202007108400</t>
        </is>
      </c>
      <c r="B2838" s="4108" t="inlineStr">
        <is>
          <t>108400</t>
        </is>
      </c>
      <c r="C2838" s="4108" t="inlineStr">
        <is>
          <t>135792468</t>
        </is>
      </c>
      <c r="D2838" s="4108" t="inlineStr">
        <is>
          <t>202007</t>
        </is>
      </c>
      <c r="E2838" s="4108" t="inlineStr">
        <is>
          <t>1,000000000000</t>
        </is>
      </c>
    </row>
    <row outlineLevel="0" r="2839">
      <c r="A2839" s="4108" t="inlineStr">
        <is>
          <t>135792468202007108200</t>
        </is>
      </c>
      <c r="B2839" s="4108" t="inlineStr">
        <is>
          <t>108200</t>
        </is>
      </c>
      <c r="C2839" s="4108" t="inlineStr">
        <is>
          <t>135792468</t>
        </is>
      </c>
      <c r="D2839" s="4108" t="inlineStr">
        <is>
          <t>202007</t>
        </is>
      </c>
      <c r="E2839" s="4108" t="inlineStr">
        <is>
          <t>3,000000000000</t>
        </is>
      </c>
    </row>
    <row outlineLevel="0" r="2840">
      <c r="A2840" s="4108" t="inlineStr">
        <is>
          <t>135792468202007108100</t>
        </is>
      </c>
      <c r="B2840" s="4108" t="inlineStr">
        <is>
          <t>108100</t>
        </is>
      </c>
      <c r="C2840" s="4108" t="inlineStr">
        <is>
          <t>135792468</t>
        </is>
      </c>
      <c r="D2840" s="4108" t="inlineStr">
        <is>
          <t>202007</t>
        </is>
      </c>
      <c r="E2840" s="4108" t="inlineStr">
        <is>
          <t>4,000000000000</t>
        </is>
      </c>
    </row>
    <row outlineLevel="0" r="2841">
      <c r="A2841" s="4108" t="inlineStr">
        <is>
          <t>135792468202007108000</t>
        </is>
      </c>
      <c r="B2841" s="4108" t="inlineStr">
        <is>
          <t>108000</t>
        </is>
      </c>
      <c r="C2841" s="4108" t="inlineStr">
        <is>
          <t>135792468</t>
        </is>
      </c>
      <c r="D2841" s="4108" t="inlineStr">
        <is>
          <t>202007</t>
        </is>
      </c>
      <c r="E2841" s="4108" t="inlineStr">
        <is>
          <t>10,000000000000</t>
        </is>
      </c>
    </row>
    <row outlineLevel="0" r="2842">
      <c r="A2842" s="4108" t="inlineStr">
        <is>
          <t>1357924682020075301</t>
        </is>
      </c>
      <c r="B2842" s="4108" t="inlineStr">
        <is>
          <t>5301</t>
        </is>
      </c>
      <c r="C2842" s="4108" t="inlineStr">
        <is>
          <t>135792468</t>
        </is>
      </c>
      <c r="D2842" s="4108" t="inlineStr">
        <is>
          <t>202007</t>
        </is>
      </c>
      <c r="E2842" s="4108" t="inlineStr">
        <is>
          <t>9,000000000000</t>
        </is>
      </c>
    </row>
    <row outlineLevel="0" r="2843">
      <c r="A2843" s="4108" t="inlineStr">
        <is>
          <t>1357924682020072209</t>
        </is>
      </c>
      <c r="B2843" s="4108" t="inlineStr">
        <is>
          <t>2209</t>
        </is>
      </c>
      <c r="C2843" s="4108" t="inlineStr">
        <is>
          <t>135792468</t>
        </is>
      </c>
      <c r="D2843" s="4108" t="inlineStr">
        <is>
          <t>202007</t>
        </is>
      </c>
      <c r="E2843" s="4108" t="inlineStr">
        <is>
          <t>6,000000000000</t>
        </is>
      </c>
    </row>
    <row outlineLevel="0" r="2844">
      <c r="A2844" s="4108" t="inlineStr">
        <is>
          <t>1357924682020072207</t>
        </is>
      </c>
      <c r="B2844" s="4108" t="inlineStr">
        <is>
          <t>2207</t>
        </is>
      </c>
      <c r="C2844" s="4108" t="inlineStr">
        <is>
          <t>135792468</t>
        </is>
      </c>
      <c r="D2844" s="4108" t="inlineStr">
        <is>
          <t>202007</t>
        </is>
      </c>
      <c r="E2844" s="4108" t="inlineStr">
        <is>
          <t>15,000000000000</t>
        </is>
      </c>
    </row>
    <row outlineLevel="0" r="2845">
      <c r="A2845" s="4108" t="inlineStr">
        <is>
          <t>1357924682020072204</t>
        </is>
      </c>
      <c r="B2845" s="4108" t="inlineStr">
        <is>
          <t>2204</t>
        </is>
      </c>
      <c r="C2845" s="4108" t="inlineStr">
        <is>
          <t>135792468</t>
        </is>
      </c>
      <c r="D2845" s="4108" t="inlineStr">
        <is>
          <t>202007</t>
        </is>
      </c>
      <c r="E2845" s="4108" t="inlineStr">
        <is>
          <t>21,000000000000</t>
        </is>
      </c>
    </row>
    <row outlineLevel="0" r="2846">
      <c r="A2846" s="4108" t="inlineStr">
        <is>
          <t>1357924682020072206</t>
        </is>
      </c>
      <c r="B2846" s="4108" t="inlineStr">
        <is>
          <t>2206</t>
        </is>
      </c>
      <c r="C2846" s="4108" t="inlineStr">
        <is>
          <t>135792468</t>
        </is>
      </c>
      <c r="D2846" s="4108" t="inlineStr">
        <is>
          <t>202007</t>
        </is>
      </c>
      <c r="E2846" s="4108" t="inlineStr">
        <is>
          <t>45,000000000000</t>
        </is>
      </c>
    </row>
    <row outlineLevel="0" r="2847">
      <c r="A2847" s="4108" t="inlineStr">
        <is>
          <t>1357924682020072203</t>
        </is>
      </c>
      <c r="B2847" s="4108" t="inlineStr">
        <is>
          <t>2203</t>
        </is>
      </c>
      <c r="C2847" s="4108" t="inlineStr">
        <is>
          <t>135792468</t>
        </is>
      </c>
      <c r="D2847" s="4108" t="inlineStr">
        <is>
          <t>202007</t>
        </is>
      </c>
      <c r="E2847" s="4108" t="inlineStr">
        <is>
          <t>64,000000000000</t>
        </is>
      </c>
    </row>
    <row outlineLevel="0" r="2848">
      <c r="A2848" s="4108" t="inlineStr">
        <is>
          <t>1357924682020072201</t>
        </is>
      </c>
      <c r="B2848" s="4108" t="inlineStr">
        <is>
          <t>2201</t>
        </is>
      </c>
      <c r="C2848" s="4108" t="inlineStr">
        <is>
          <t>135792468</t>
        </is>
      </c>
      <c r="D2848" s="4108" t="inlineStr">
        <is>
          <t>202007</t>
        </is>
      </c>
      <c r="E2848" s="4108" t="inlineStr">
        <is>
          <t>3,000000000000</t>
        </is>
      </c>
    </row>
    <row outlineLevel="0" r="2849">
      <c r="A2849" s="4108" t="inlineStr">
        <is>
          <t>1357924682020072109</t>
        </is>
      </c>
      <c r="B2849" s="4108" t="inlineStr">
        <is>
          <t>2109</t>
        </is>
      </c>
      <c r="C2849" s="4108" t="inlineStr">
        <is>
          <t>135792468</t>
        </is>
      </c>
      <c r="D2849" s="4108" t="inlineStr">
        <is>
          <t>202007</t>
        </is>
      </c>
      <c r="E2849" s="4108" t="inlineStr">
        <is>
          <t>15,000000000000</t>
        </is>
      </c>
    </row>
    <row outlineLevel="0" r="2850">
      <c r="A2850" s="4108" t="inlineStr">
        <is>
          <t>1357924682020072107</t>
        </is>
      </c>
      <c r="B2850" s="4108" t="inlineStr">
        <is>
          <t>2107</t>
        </is>
      </c>
      <c r="C2850" s="4108" t="inlineStr">
        <is>
          <t>135792468</t>
        </is>
      </c>
      <c r="D2850" s="4108" t="inlineStr">
        <is>
          <t>202007</t>
        </is>
      </c>
      <c r="E2850" s="4108" t="inlineStr">
        <is>
          <t>10,000000000000</t>
        </is>
      </c>
    </row>
    <row outlineLevel="0" r="2851">
      <c r="A2851" s="4108" t="inlineStr">
        <is>
          <t>1357924682020072106</t>
        </is>
      </c>
      <c r="B2851" s="4108" t="inlineStr">
        <is>
          <t>2106</t>
        </is>
      </c>
      <c r="C2851" s="4108" t="inlineStr">
        <is>
          <t>135792468</t>
        </is>
      </c>
      <c r="D2851" s="4108" t="inlineStr">
        <is>
          <t>202007</t>
        </is>
      </c>
      <c r="E2851" s="4108" t="inlineStr">
        <is>
          <t>44,000000000000</t>
        </is>
      </c>
    </row>
    <row outlineLevel="0" r="2852">
      <c r="A2852" s="4108" t="inlineStr">
        <is>
          <t>1357924682020072105</t>
        </is>
      </c>
      <c r="B2852" s="4108" t="inlineStr">
        <is>
          <t>2105</t>
        </is>
      </c>
      <c r="C2852" s="4108" t="inlineStr">
        <is>
          <t>135792468</t>
        </is>
      </c>
      <c r="D2852" s="4108" t="inlineStr">
        <is>
          <t>202007</t>
        </is>
      </c>
      <c r="E2852" s="4108" t="inlineStr">
        <is>
          <t>10,000000000000</t>
        </is>
      </c>
    </row>
    <row outlineLevel="0" r="2853">
      <c r="A2853" s="4108" t="inlineStr">
        <is>
          <t>1357924682020072103</t>
        </is>
      </c>
      <c r="B2853" s="4108" t="inlineStr">
        <is>
          <t>2103</t>
        </is>
      </c>
      <c r="C2853" s="4108" t="inlineStr">
        <is>
          <t>135792468</t>
        </is>
      </c>
      <c r="D2853" s="4108" t="inlineStr">
        <is>
          <t>202007</t>
        </is>
      </c>
      <c r="E2853" s="4108" t="inlineStr">
        <is>
          <t>75,000000000000</t>
        </is>
      </c>
    </row>
    <row outlineLevel="0" r="2854">
      <c r="A2854" s="4108" t="inlineStr">
        <is>
          <t>1357924682020072104</t>
        </is>
      </c>
      <c r="B2854" s="4108" t="inlineStr">
        <is>
          <t>2104</t>
        </is>
      </c>
      <c r="C2854" s="4108" t="inlineStr">
        <is>
          <t>135792468</t>
        </is>
      </c>
      <c r="D2854" s="4108" t="inlineStr">
        <is>
          <t>202007</t>
        </is>
      </c>
      <c r="E2854" s="4108" t="inlineStr">
        <is>
          <t>21,000000000000</t>
        </is>
      </c>
    </row>
    <row outlineLevel="0" r="2855">
      <c r="A2855" s="4108" t="inlineStr">
        <is>
          <t>1357924682020072102</t>
        </is>
      </c>
      <c r="B2855" s="4108" t="inlineStr">
        <is>
          <t>2102</t>
        </is>
      </c>
      <c r="C2855" s="4108" t="inlineStr">
        <is>
          <t>135792468</t>
        </is>
      </c>
      <c r="D2855" s="4108" t="inlineStr">
        <is>
          <t>202007</t>
        </is>
      </c>
      <c r="E2855" s="4108" t="inlineStr">
        <is>
          <t>15,000000000000</t>
        </is>
      </c>
    </row>
    <row outlineLevel="0" r="2856">
      <c r="A2856" s="4108" t="inlineStr">
        <is>
          <t>1357924682020072101</t>
        </is>
      </c>
      <c r="B2856" s="4108" t="inlineStr">
        <is>
          <t>2101</t>
        </is>
      </c>
      <c r="C2856" s="4108" t="inlineStr">
        <is>
          <t>135792468</t>
        </is>
      </c>
      <c r="D2856" s="4108" t="inlineStr">
        <is>
          <t>202007</t>
        </is>
      </c>
      <c r="E2856" s="4108" t="inlineStr">
        <is>
          <t>6,000000000000</t>
        </is>
      </c>
    </row>
    <row outlineLevel="0" r="2857">
      <c r="A2857" s="4108" t="inlineStr">
        <is>
          <t>1357924682020071208</t>
        </is>
      </c>
      <c r="B2857" s="4108" t="inlineStr">
        <is>
          <t>1208</t>
        </is>
      </c>
      <c r="C2857" s="4108" t="inlineStr">
        <is>
          <t>135792468</t>
        </is>
      </c>
      <c r="D2857" s="4108" t="inlineStr">
        <is>
          <t>202007</t>
        </is>
      </c>
      <c r="E2857" s="4108" t="inlineStr">
        <is>
          <t>6,000000000000</t>
        </is>
      </c>
    </row>
    <row outlineLevel="0" r="2858">
      <c r="A2858" s="4108" t="inlineStr">
        <is>
          <t>1357924682020071207</t>
        </is>
      </c>
      <c r="B2858" s="4108" t="inlineStr">
        <is>
          <t>1207</t>
        </is>
      </c>
      <c r="C2858" s="4108" t="inlineStr">
        <is>
          <t>135792468</t>
        </is>
      </c>
      <c r="D2858" s="4108" t="inlineStr">
        <is>
          <t>202007</t>
        </is>
      </c>
      <c r="E2858" s="4108" t="inlineStr">
        <is>
          <t>15,000000000000</t>
        </is>
      </c>
    </row>
    <row outlineLevel="0" r="2859">
      <c r="A2859" s="4108" t="inlineStr">
        <is>
          <t>1357924682020071206</t>
        </is>
      </c>
      <c r="B2859" s="4108" t="inlineStr">
        <is>
          <t>1206</t>
        </is>
      </c>
      <c r="C2859" s="4108" t="inlineStr">
        <is>
          <t>135792468</t>
        </is>
      </c>
      <c r="D2859" s="4108" t="inlineStr">
        <is>
          <t>202007</t>
        </is>
      </c>
      <c r="E2859" s="4108" t="inlineStr">
        <is>
          <t>21,000000000000</t>
        </is>
      </c>
    </row>
    <row outlineLevel="0" r="2860">
      <c r="A2860" s="4108" t="inlineStr">
        <is>
          <t>1357924682020071205</t>
        </is>
      </c>
      <c r="B2860" s="4108" t="inlineStr">
        <is>
          <t>1205</t>
        </is>
      </c>
      <c r="C2860" s="4108" t="inlineStr">
        <is>
          <t>135792468</t>
        </is>
      </c>
      <c r="D2860" s="4108" t="inlineStr">
        <is>
          <t>202007</t>
        </is>
      </c>
      <c r="E2860" s="4108" t="inlineStr">
        <is>
          <t>99,000000000000</t>
        </is>
      </c>
    </row>
    <row outlineLevel="0" r="2861">
      <c r="A2861" s="4108" t="inlineStr">
        <is>
          <t>1357924682020071202</t>
        </is>
      </c>
      <c r="B2861" s="4108" t="inlineStr">
        <is>
          <t>1202</t>
        </is>
      </c>
      <c r="C2861" s="4108" t="inlineStr">
        <is>
          <t>135792468</t>
        </is>
      </c>
      <c r="D2861" s="4108" t="inlineStr">
        <is>
          <t>202007</t>
        </is>
      </c>
      <c r="E2861" s="4108" t="inlineStr">
        <is>
          <t>28,000000000000</t>
        </is>
      </c>
    </row>
    <row outlineLevel="0" r="2862">
      <c r="A2862" s="4108" t="inlineStr">
        <is>
          <t>1357924682020071203</t>
        </is>
      </c>
      <c r="B2862" s="4108" t="inlineStr">
        <is>
          <t>1203</t>
        </is>
      </c>
      <c r="C2862" s="4108" t="inlineStr">
        <is>
          <t>135792468</t>
        </is>
      </c>
      <c r="D2862" s="4108" t="inlineStr">
        <is>
          <t>202007</t>
        </is>
      </c>
      <c r="E2862" s="4108" t="inlineStr">
        <is>
          <t>45,000000000000</t>
        </is>
      </c>
    </row>
    <row outlineLevel="0" r="2863">
      <c r="A2863" s="4108" t="inlineStr">
        <is>
          <t>1357924682020071201</t>
        </is>
      </c>
      <c r="B2863" s="4108" t="inlineStr">
        <is>
          <t>1201</t>
        </is>
      </c>
      <c r="C2863" s="4108" t="inlineStr">
        <is>
          <t>135792468</t>
        </is>
      </c>
      <c r="D2863" s="4108" t="inlineStr">
        <is>
          <t>202007</t>
        </is>
      </c>
      <c r="E2863" s="4108" t="inlineStr">
        <is>
          <t>93,000000000000</t>
        </is>
      </c>
    </row>
    <row outlineLevel="0" r="2864">
      <c r="A2864" s="4108" t="inlineStr">
        <is>
          <t>1357924682020071107</t>
        </is>
      </c>
      <c r="B2864" s="4108" t="inlineStr">
        <is>
          <t>1107</t>
        </is>
      </c>
      <c r="C2864" s="4108" t="inlineStr">
        <is>
          <t>135792468</t>
        </is>
      </c>
      <c r="D2864" s="4108" t="inlineStr">
        <is>
          <t>202007</t>
        </is>
      </c>
      <c r="E2864" s="4108" t="inlineStr">
        <is>
          <t>15,000000000000</t>
        </is>
      </c>
    </row>
    <row outlineLevel="0" r="2865">
      <c r="A2865" s="4108" t="inlineStr">
        <is>
          <t>1357924682020071106</t>
        </is>
      </c>
      <c r="B2865" s="4108" t="inlineStr">
        <is>
          <t>1106</t>
        </is>
      </c>
      <c r="C2865" s="4108" t="inlineStr">
        <is>
          <t>135792468</t>
        </is>
      </c>
      <c r="D2865" s="4108" t="inlineStr">
        <is>
          <t>202007</t>
        </is>
      </c>
      <c r="E2865" s="4108" t="inlineStr">
        <is>
          <t>64,000000000000</t>
        </is>
      </c>
    </row>
    <row outlineLevel="0" r="2866">
      <c r="A2866" s="4108" t="inlineStr">
        <is>
          <t>1357924682020071104</t>
        </is>
      </c>
      <c r="B2866" s="4108" t="inlineStr">
        <is>
          <t>1104</t>
        </is>
      </c>
      <c r="C2866" s="4108" t="inlineStr">
        <is>
          <t>135792468</t>
        </is>
      </c>
      <c r="D2866" s="4108" t="inlineStr">
        <is>
          <t>202007</t>
        </is>
      </c>
      <c r="E2866" s="4108" t="inlineStr">
        <is>
          <t>69,000000000000</t>
        </is>
      </c>
    </row>
    <row outlineLevel="0" r="2867">
      <c r="A2867" s="4108" t="inlineStr">
        <is>
          <t>1357924682020071103</t>
        </is>
      </c>
      <c r="B2867" s="4108" t="inlineStr">
        <is>
          <t>1103</t>
        </is>
      </c>
      <c r="C2867" s="4108" t="inlineStr">
        <is>
          <t>135792468</t>
        </is>
      </c>
      <c r="D2867" s="4108" t="inlineStr">
        <is>
          <t>202007</t>
        </is>
      </c>
      <c r="E2867" s="4108" t="inlineStr">
        <is>
          <t>5,000000000000</t>
        </is>
      </c>
    </row>
    <row outlineLevel="0" r="2868">
      <c r="A2868" s="4108" t="inlineStr">
        <is>
          <t>1357924682020071102</t>
        </is>
      </c>
      <c r="B2868" s="4108" t="inlineStr">
        <is>
          <t>1102</t>
        </is>
      </c>
      <c r="C2868" s="4108" t="inlineStr">
        <is>
          <t>135792468</t>
        </is>
      </c>
      <c r="D2868" s="4108" t="inlineStr">
        <is>
          <t>202007</t>
        </is>
      </c>
      <c r="E2868" s="4108" t="inlineStr">
        <is>
          <t>44,000000000000</t>
        </is>
      </c>
    </row>
    <row outlineLevel="0" r="2869">
      <c r="A2869" s="4108" t="inlineStr">
        <is>
          <t>13579246820200799</t>
        </is>
      </c>
      <c r="B2869" s="4108" t="inlineStr">
        <is>
          <t>99</t>
        </is>
      </c>
      <c r="C2869" s="4108" t="inlineStr">
        <is>
          <t>135792468</t>
        </is>
      </c>
      <c r="D2869" s="4108" t="inlineStr">
        <is>
          <t>202007</t>
        </is>
      </c>
      <c r="E2869" s="4108" t="inlineStr">
        <is>
          <t>7874,000000000000</t>
        </is>
      </c>
    </row>
    <row outlineLevel="0" r="2870">
      <c r="A2870" s="4108" t="inlineStr">
        <is>
          <t>1357924682020071101</t>
        </is>
      </c>
      <c r="B2870" s="4108" t="inlineStr">
        <is>
          <t>1101</t>
        </is>
      </c>
      <c r="C2870" s="4108" t="inlineStr">
        <is>
          <t>135792468</t>
        </is>
      </c>
      <c r="D2870" s="4108" t="inlineStr">
        <is>
          <t>202007</t>
        </is>
      </c>
      <c r="E2870" s="4108" t="inlineStr">
        <is>
          <t>20,000000000000</t>
        </is>
      </c>
    </row>
    <row outlineLevel="0" r="2871">
      <c r="A2871" s="4108" t="inlineStr">
        <is>
          <t>13579246820200798</t>
        </is>
      </c>
      <c r="B2871" s="4108" t="inlineStr">
        <is>
          <t>98</t>
        </is>
      </c>
      <c r="C2871" s="4108" t="inlineStr">
        <is>
          <t>135792468</t>
        </is>
      </c>
      <c r="D2871" s="4108" t="inlineStr">
        <is>
          <t>202007</t>
        </is>
      </c>
      <c r="E2871" s="4108" t="inlineStr">
        <is>
          <t>0,000000000000</t>
        </is>
      </c>
    </row>
    <row outlineLevel="0" r="2872">
      <c r="A2872" s="4108" t="inlineStr">
        <is>
          <t>13579246820200797</t>
        </is>
      </c>
      <c r="B2872" s="4108" t="inlineStr">
        <is>
          <t>97</t>
        </is>
      </c>
      <c r="C2872" s="4108" t="inlineStr">
        <is>
          <t>135792468</t>
        </is>
      </c>
      <c r="D2872" s="4108" t="inlineStr">
        <is>
          <t>202007</t>
        </is>
      </c>
      <c r="E2872" s="4108" t="inlineStr">
        <is>
          <t>7874,000000000000</t>
        </is>
      </c>
    </row>
    <row outlineLevel="0" r="2873">
      <c r="A2873" s="4108" t="inlineStr">
        <is>
          <t>13579246820200796</t>
        </is>
      </c>
      <c r="B2873" s="4108" t="inlineStr">
        <is>
          <t>96</t>
        </is>
      </c>
      <c r="C2873" s="4108" t="inlineStr">
        <is>
          <t>135792468</t>
        </is>
      </c>
      <c r="D2873" s="4108" t="inlineStr">
        <is>
          <t>202007</t>
        </is>
      </c>
      <c r="E2873" s="4108" t="inlineStr">
        <is>
          <t>7889,000000000000</t>
        </is>
      </c>
    </row>
    <row outlineLevel="0" r="2874">
      <c r="A2874" s="4108" t="inlineStr">
        <is>
          <t>13579246820200795</t>
        </is>
      </c>
      <c r="B2874" s="4108" t="inlineStr">
        <is>
          <t>95</t>
        </is>
      </c>
      <c r="C2874" s="4108" t="inlineStr">
        <is>
          <t>135792468</t>
        </is>
      </c>
      <c r="D2874" s="4108" t="inlineStr">
        <is>
          <t>202007</t>
        </is>
      </c>
      <c r="E2874" s="4108" t="inlineStr">
        <is>
          <t>8021,000000000000</t>
        </is>
      </c>
    </row>
    <row outlineLevel="0" r="2875">
      <c r="A2875" s="4108" t="inlineStr">
        <is>
          <t>13579246820200761</t>
        </is>
      </c>
      <c r="B2875" s="4108" t="inlineStr">
        <is>
          <t>61</t>
        </is>
      </c>
      <c r="C2875" s="4108" t="inlineStr">
        <is>
          <t>135792468</t>
        </is>
      </c>
      <c r="D2875" s="4108" t="inlineStr">
        <is>
          <t>202007</t>
        </is>
      </c>
      <c r="E2875" s="4108" t="inlineStr">
        <is>
          <t>2,000000000000</t>
        </is>
      </c>
    </row>
    <row outlineLevel="0" r="2876">
      <c r="A2876" s="4108" t="inlineStr">
        <is>
          <t>13579246820200754</t>
        </is>
      </c>
      <c r="B2876" s="4108" t="inlineStr">
        <is>
          <t>54</t>
        </is>
      </c>
      <c r="C2876" s="4108" t="inlineStr">
        <is>
          <t>135792468</t>
        </is>
      </c>
      <c r="D2876" s="4108" t="inlineStr">
        <is>
          <t>202007</t>
        </is>
      </c>
      <c r="E2876" s="4108" t="inlineStr">
        <is>
          <t>0,000000000000</t>
        </is>
      </c>
    </row>
    <row outlineLevel="0" r="2877">
      <c r="A2877" s="4108" t="inlineStr">
        <is>
          <t>13579246820200752</t>
        </is>
      </c>
      <c r="B2877" s="4108" t="inlineStr">
        <is>
          <t>52</t>
        </is>
      </c>
      <c r="C2877" s="4108" t="inlineStr">
        <is>
          <t>135792468</t>
        </is>
      </c>
      <c r="D2877" s="4108" t="inlineStr">
        <is>
          <t>202007</t>
        </is>
      </c>
      <c r="E2877" s="4108" t="inlineStr">
        <is>
          <t>66,000000000000</t>
        </is>
      </c>
    </row>
    <row outlineLevel="0" r="2878">
      <c r="A2878" s="4108" t="inlineStr">
        <is>
          <t>13579246820200753</t>
        </is>
      </c>
      <c r="B2878" s="4108" t="inlineStr">
        <is>
          <t>53</t>
        </is>
      </c>
      <c r="C2878" s="4108" t="inlineStr">
        <is>
          <t>135792468</t>
        </is>
      </c>
      <c r="D2878" s="4108" t="inlineStr">
        <is>
          <t>202007</t>
        </is>
      </c>
      <c r="E2878" s="4108" t="inlineStr">
        <is>
          <t>69,000000000000</t>
        </is>
      </c>
    </row>
    <row outlineLevel="0" r="2879">
      <c r="A2879" s="4108" t="inlineStr">
        <is>
          <t>13579246820200751</t>
        </is>
      </c>
      <c r="B2879" s="4108" t="inlineStr">
        <is>
          <t>51</t>
        </is>
      </c>
      <c r="C2879" s="4108" t="inlineStr">
        <is>
          <t>135792468</t>
        </is>
      </c>
      <c r="D2879" s="4108" t="inlineStr">
        <is>
          <t>202007</t>
        </is>
      </c>
      <c r="E2879" s="4108" t="inlineStr">
        <is>
          <t>66,000000000000</t>
        </is>
      </c>
    </row>
    <row outlineLevel="0" r="2880">
      <c r="A2880" s="4108" t="inlineStr">
        <is>
          <t>13579246820200742</t>
        </is>
      </c>
      <c r="B2880" s="4108" t="inlineStr">
        <is>
          <t>42</t>
        </is>
      </c>
      <c r="C2880" s="4108" t="inlineStr">
        <is>
          <t>135792468</t>
        </is>
      </c>
      <c r="D2880" s="4108" t="inlineStr">
        <is>
          <t>202007</t>
        </is>
      </c>
      <c r="E2880" s="4108" t="inlineStr">
        <is>
          <t>54,000000000000</t>
        </is>
      </c>
    </row>
    <row outlineLevel="0" r="2881">
      <c r="A2881" s="4108" t="inlineStr">
        <is>
          <t>13579246820200741</t>
        </is>
      </c>
      <c r="B2881" s="4108" t="inlineStr">
        <is>
          <t>41</t>
        </is>
      </c>
      <c r="C2881" s="4108" t="inlineStr">
        <is>
          <t>135792468</t>
        </is>
      </c>
      <c r="D2881" s="4108" t="inlineStr">
        <is>
          <t>202007</t>
        </is>
      </c>
      <c r="E2881" s="4108" t="inlineStr">
        <is>
          <t>8023,000000000000</t>
        </is>
      </c>
    </row>
    <row outlineLevel="0" r="2882">
      <c r="A2882" s="4108" t="inlineStr">
        <is>
          <t>13579246820200738</t>
        </is>
      </c>
      <c r="B2882" s="4108" t="inlineStr">
        <is>
          <t>38</t>
        </is>
      </c>
      <c r="C2882" s="4108" t="inlineStr">
        <is>
          <t>135792468</t>
        </is>
      </c>
      <c r="D2882" s="4108" t="inlineStr">
        <is>
          <t>202007</t>
        </is>
      </c>
      <c r="E2882" s="4108" t="inlineStr">
        <is>
          <t>6,000000000000</t>
        </is>
      </c>
    </row>
    <row outlineLevel="0" r="2883">
      <c r="A2883" s="4108" t="inlineStr">
        <is>
          <t>13579246820200737</t>
        </is>
      </c>
      <c r="B2883" s="4108" t="inlineStr">
        <is>
          <t>37</t>
        </is>
      </c>
      <c r="C2883" s="4108" t="inlineStr">
        <is>
          <t>135792468</t>
        </is>
      </c>
      <c r="D2883" s="4108" t="inlineStr">
        <is>
          <t>202007</t>
        </is>
      </c>
      <c r="E2883" s="4108" t="inlineStr">
        <is>
          <t>-7915,000000000000</t>
        </is>
      </c>
    </row>
    <row outlineLevel="0" r="2884">
      <c r="A2884" s="4108" t="inlineStr">
        <is>
          <t>13579246820200736</t>
        </is>
      </c>
      <c r="B2884" s="4108" t="inlineStr">
        <is>
          <t>36</t>
        </is>
      </c>
      <c r="C2884" s="4108" t="inlineStr">
        <is>
          <t>135792468</t>
        </is>
      </c>
      <c r="D2884" s="4108" t="inlineStr">
        <is>
          <t>202007</t>
        </is>
      </c>
      <c r="E2884" s="4108" t="inlineStr">
        <is>
          <t>7874,000000000000</t>
        </is>
      </c>
    </row>
    <row outlineLevel="0" r="2885">
      <c r="A2885" s="4108" t="inlineStr">
        <is>
          <t>13579246820200734</t>
        </is>
      </c>
      <c r="B2885" s="4108" t="inlineStr">
        <is>
          <t>34</t>
        </is>
      </c>
      <c r="C2885" s="4108" t="inlineStr">
        <is>
          <t>135792468</t>
        </is>
      </c>
      <c r="D2885" s="4108" t="inlineStr">
        <is>
          <t>202007</t>
        </is>
      </c>
      <c r="E2885" s="4108" t="inlineStr">
        <is>
          <t>15,000000000000</t>
        </is>
      </c>
    </row>
    <row outlineLevel="0" r="2886">
      <c r="A2886" s="4108" t="inlineStr">
        <is>
          <t>13579246820200735</t>
        </is>
      </c>
      <c r="B2886" s="4108" t="inlineStr">
        <is>
          <t>35</t>
        </is>
      </c>
      <c r="C2886" s="4108" t="inlineStr">
        <is>
          <t>135792468</t>
        </is>
      </c>
      <c r="D2886" s="4108" t="inlineStr">
        <is>
          <t>202007</t>
        </is>
      </c>
      <c r="E2886" s="4108" t="inlineStr">
        <is>
          <t>7,000000000000</t>
        </is>
      </c>
    </row>
    <row outlineLevel="0" r="2887">
      <c r="A2887" s="4108" t="inlineStr">
        <is>
          <t>13579246820200733</t>
        </is>
      </c>
      <c r="B2887" s="4108" t="inlineStr">
        <is>
          <t>33</t>
        </is>
      </c>
      <c r="C2887" s="4108" t="inlineStr">
        <is>
          <t>135792468</t>
        </is>
      </c>
      <c r="D2887" s="4108" t="inlineStr">
        <is>
          <t>202007</t>
        </is>
      </c>
      <c r="E2887" s="4108" t="inlineStr">
        <is>
          <t>6,000000000000</t>
        </is>
      </c>
    </row>
    <row outlineLevel="0" r="2888">
      <c r="A2888" s="4108" t="inlineStr">
        <is>
          <t>13579246820200732</t>
        </is>
      </c>
      <c r="B2888" s="4108" t="inlineStr">
        <is>
          <t>32</t>
        </is>
      </c>
      <c r="C2888" s="4108" t="inlineStr">
        <is>
          <t>135792468</t>
        </is>
      </c>
      <c r="D2888" s="4108" t="inlineStr">
        <is>
          <t>202007</t>
        </is>
      </c>
      <c r="E2888" s="4108" t="inlineStr">
        <is>
          <t>30,000000000000</t>
        </is>
      </c>
    </row>
    <row outlineLevel="0" r="2889">
      <c r="A2889" s="4108" t="inlineStr">
        <is>
          <t>13579246820200731</t>
        </is>
      </c>
      <c r="B2889" s="4108" t="inlineStr">
        <is>
          <t>31</t>
        </is>
      </c>
      <c r="C2889" s="4108" t="inlineStr">
        <is>
          <t>135792468</t>
        </is>
      </c>
      <c r="D2889" s="4108" t="inlineStr">
        <is>
          <t>202007</t>
        </is>
      </c>
      <c r="E2889" s="4108" t="inlineStr">
        <is>
          <t>144,000000000000</t>
        </is>
      </c>
    </row>
    <row outlineLevel="0" r="2890">
      <c r="A2890" s="4108" t="inlineStr">
        <is>
          <t>13579246820200722</t>
        </is>
      </c>
      <c r="B2890" s="4108" t="inlineStr">
        <is>
          <t>22</t>
        </is>
      </c>
      <c r="C2890" s="4108" t="inlineStr">
        <is>
          <t>135792468</t>
        </is>
      </c>
      <c r="D2890" s="4108" t="inlineStr">
        <is>
          <t>202007</t>
        </is>
      </c>
      <c r="E2890" s="4108" t="inlineStr">
        <is>
          <t>164,000000000000</t>
        </is>
      </c>
    </row>
    <row outlineLevel="0" r="2891">
      <c r="A2891" s="4108" t="inlineStr">
        <is>
          <t>13579246820200721</t>
        </is>
      </c>
      <c r="B2891" s="4108" t="inlineStr">
        <is>
          <t>21</t>
        </is>
      </c>
      <c r="C2891" s="4108" t="inlineStr">
        <is>
          <t>135792468</t>
        </is>
      </c>
      <c r="D2891" s="4108" t="inlineStr">
        <is>
          <t>202007</t>
        </is>
      </c>
      <c r="E2891" s="4108" t="inlineStr">
        <is>
          <t>196,000000000000</t>
        </is>
      </c>
    </row>
    <row outlineLevel="0" r="2892">
      <c r="A2892" s="4108" t="inlineStr">
        <is>
          <t>13579246820200712</t>
        </is>
      </c>
      <c r="B2892" s="4108" t="inlineStr">
        <is>
          <t>12</t>
        </is>
      </c>
      <c r="C2892" s="4108" t="inlineStr">
        <is>
          <t>135792468</t>
        </is>
      </c>
      <c r="D2892" s="4108" t="inlineStr">
        <is>
          <t>202007</t>
        </is>
      </c>
      <c r="E2892" s="4108" t="inlineStr">
        <is>
          <t>307,000000000000</t>
        </is>
      </c>
    </row>
    <row outlineLevel="0" r="2893">
      <c r="A2893" s="4108" t="inlineStr">
        <is>
          <t>1357924682020073</t>
        </is>
      </c>
      <c r="B2893" s="4108" t="inlineStr">
        <is>
          <t>3</t>
        </is>
      </c>
      <c r="C2893" s="4108" t="inlineStr">
        <is>
          <t>135792468</t>
        </is>
      </c>
      <c r="D2893" s="4108" t="inlineStr">
        <is>
          <t>202007</t>
        </is>
      </c>
      <c r="E2893" s="4108" t="inlineStr">
        <is>
          <t>167,000000000000</t>
        </is>
      </c>
    </row>
    <row outlineLevel="0" r="2894">
      <c r="A2894" s="4108" t="inlineStr">
        <is>
          <t>13579246820200711</t>
        </is>
      </c>
      <c r="B2894" s="4108" t="inlineStr">
        <is>
          <t>11</t>
        </is>
      </c>
      <c r="C2894" s="4108" t="inlineStr">
        <is>
          <t>135792468</t>
        </is>
      </c>
      <c r="D2894" s="4108" t="inlineStr">
        <is>
          <t>202007</t>
        </is>
      </c>
      <c r="E2894" s="4108" t="inlineStr">
        <is>
          <t>220,000000000000</t>
        </is>
      </c>
    </row>
    <row outlineLevel="0" r="2895">
      <c r="A2895" s="4108" t="inlineStr">
        <is>
          <t>1357924682020072</t>
        </is>
      </c>
      <c r="B2895" s="4108" t="inlineStr">
        <is>
          <t>2</t>
        </is>
      </c>
      <c r="C2895" s="4108" t="inlineStr">
        <is>
          <t>135792468</t>
        </is>
      </c>
      <c r="D2895" s="4108" t="inlineStr">
        <is>
          <t>202007</t>
        </is>
      </c>
      <c r="E2895" s="4108" t="inlineStr">
        <is>
          <t>360,000000000000</t>
        </is>
      </c>
    </row>
    <row outlineLevel="0" r="2896">
      <c r="A2896" s="4108" t="inlineStr">
        <is>
          <t>1357924682020071</t>
        </is>
      </c>
      <c r="B2896" s="4108" t="inlineStr">
        <is>
          <t>1</t>
        </is>
      </c>
      <c r="C2896" s="4108" t="inlineStr">
        <is>
          <t>135792468</t>
        </is>
      </c>
      <c r="D2896" s="4108" t="inlineStr">
        <is>
          <t>202007</t>
        </is>
      </c>
      <c r="E2896" s="4108" t="inlineStr">
        <is>
          <t>527,000000000000</t>
        </is>
      </c>
    </row>
    <row outlineLevel="0" r="2897">
      <c r="A2897" s="4108" t="inlineStr">
        <is>
          <t>1357924682020070</t>
        </is>
      </c>
      <c r="B2897" s="4108" t="inlineStr">
        <is>
          <t>0</t>
        </is>
      </c>
      <c r="C2897" s="4108" t="inlineStr">
        <is>
          <t>135792468</t>
        </is>
      </c>
      <c r="D2897" s="4108" t="inlineStr">
        <is>
          <t>202007</t>
        </is>
      </c>
      <c r="E2897" s="4108" t="inlineStr">
        <is>
          <t>527,000000000000</t>
        </is>
      </c>
    </row>
    <row outlineLevel="0" r="2898">
      <c r="A2898" s="4108" t="inlineStr">
        <is>
          <t>1357924682020060</t>
        </is>
      </c>
      <c r="B2898" s="4108" t="inlineStr">
        <is>
          <t>0</t>
        </is>
      </c>
      <c r="C2898" s="4108" t="inlineStr">
        <is>
          <t>135792468</t>
        </is>
      </c>
      <c r="D2898" s="4108" t="inlineStr">
        <is>
          <t>202006</t>
        </is>
      </c>
      <c r="E2898" s="4108" t="inlineStr">
        <is>
          <t>13,000000000000</t>
        </is>
      </c>
    </row>
    <row outlineLevel="0" r="2899">
      <c r="A2899" s="4108" t="inlineStr">
        <is>
          <t>1357924682020061</t>
        </is>
      </c>
      <c r="B2899" s="4108" t="inlineStr">
        <is>
          <t>1</t>
        </is>
      </c>
      <c r="C2899" s="4108" t="inlineStr">
        <is>
          <t>135792468</t>
        </is>
      </c>
      <c r="D2899" s="4108" t="inlineStr">
        <is>
          <t>202006</t>
        </is>
      </c>
      <c r="E2899" s="4108" t="inlineStr">
        <is>
          <t>13,000000000000</t>
        </is>
      </c>
    </row>
    <row outlineLevel="0" r="2900">
      <c r="A2900" s="4108" t="inlineStr">
        <is>
          <t>1357924682020062</t>
        </is>
      </c>
      <c r="B2900" s="4108" t="inlineStr">
        <is>
          <t>2</t>
        </is>
      </c>
      <c r="C2900" s="4108" t="inlineStr">
        <is>
          <t>135792468</t>
        </is>
      </c>
      <c r="D2900" s="4108" t="inlineStr">
        <is>
          <t>202006</t>
        </is>
      </c>
      <c r="E2900" s="4108" t="inlineStr">
        <is>
          <t>205,000000000000</t>
        </is>
      </c>
    </row>
    <row outlineLevel="0" r="2901">
      <c r="A2901" s="4108" t="inlineStr">
        <is>
          <t>1357924682020063</t>
        </is>
      </c>
      <c r="B2901" s="4108" t="inlineStr">
        <is>
          <t>3</t>
        </is>
      </c>
      <c r="C2901" s="4108" t="inlineStr">
        <is>
          <t>135792468</t>
        </is>
      </c>
      <c r="D2901" s="4108" t="inlineStr">
        <is>
          <t>202006</t>
        </is>
      </c>
      <c r="E2901" s="4108" t="inlineStr">
        <is>
          <t>-192,000000000000</t>
        </is>
      </c>
    </row>
    <row outlineLevel="0" r="2902">
      <c r="A2902" s="4108" t="inlineStr">
        <is>
          <t>13579246820200611</t>
        </is>
      </c>
      <c r="B2902" s="4108" t="inlineStr">
        <is>
          <t>11</t>
        </is>
      </c>
      <c r="C2902" s="4108" t="inlineStr">
        <is>
          <t>135792468</t>
        </is>
      </c>
      <c r="D2902" s="4108" t="inlineStr">
        <is>
          <t>202006</t>
        </is>
      </c>
      <c r="E2902" s="4108" t="inlineStr">
        <is>
          <t>7,000000000000</t>
        </is>
      </c>
    </row>
    <row outlineLevel="0" r="2903">
      <c r="A2903" s="4108" t="inlineStr">
        <is>
          <t>13579246820200612</t>
        </is>
      </c>
      <c r="B2903" s="4108" t="inlineStr">
        <is>
          <t>12</t>
        </is>
      </c>
      <c r="C2903" s="4108" t="inlineStr">
        <is>
          <t>135792468</t>
        </is>
      </c>
      <c r="D2903" s="4108" t="inlineStr">
        <is>
          <t>202006</t>
        </is>
      </c>
      <c r="E2903" s="4108" t="inlineStr">
        <is>
          <t>6,000000000000</t>
        </is>
      </c>
    </row>
    <row outlineLevel="0" r="2904">
      <c r="A2904" s="4108" t="inlineStr">
        <is>
          <t>13579246820200621</t>
        </is>
      </c>
      <c r="B2904" s="4108" t="inlineStr">
        <is>
          <t>21</t>
        </is>
      </c>
      <c r="C2904" s="4108" t="inlineStr">
        <is>
          <t>135792468</t>
        </is>
      </c>
      <c r="D2904" s="4108" t="inlineStr">
        <is>
          <t>202006</t>
        </is>
      </c>
      <c r="E2904" s="4108" t="inlineStr">
        <is>
          <t>5,000000000000</t>
        </is>
      </c>
    </row>
    <row outlineLevel="0" r="2905">
      <c r="A2905" s="4108" t="inlineStr">
        <is>
          <t>13579246820200622</t>
        </is>
      </c>
      <c r="B2905" s="4108" t="inlineStr">
        <is>
          <t>22</t>
        </is>
      </c>
      <c r="C2905" s="4108" t="inlineStr">
        <is>
          <t>135792468</t>
        </is>
      </c>
      <c r="D2905" s="4108" t="inlineStr">
        <is>
          <t>202006</t>
        </is>
      </c>
      <c r="E2905" s="4108" t="inlineStr">
        <is>
          <t>200,000000000000</t>
        </is>
      </c>
    </row>
    <row outlineLevel="0" r="2906">
      <c r="A2906" s="4108" t="inlineStr">
        <is>
          <t>13579246820200631</t>
        </is>
      </c>
      <c r="B2906" s="4108" t="inlineStr">
        <is>
          <t>31</t>
        </is>
      </c>
      <c r="C2906" s="4108" t="inlineStr">
        <is>
          <t>135792468</t>
        </is>
      </c>
      <c r="D2906" s="4108" t="inlineStr">
        <is>
          <t>202006</t>
        </is>
      </c>
      <c r="E2906" s="4108" t="inlineStr">
        <is>
          <t>961,000000000000</t>
        </is>
      </c>
    </row>
    <row outlineLevel="0" r="2907">
      <c r="A2907" s="4108" t="inlineStr">
        <is>
          <t>13579246820200632</t>
        </is>
      </c>
      <c r="B2907" s="4108" t="inlineStr">
        <is>
          <t>32</t>
        </is>
      </c>
      <c r="C2907" s="4108" t="inlineStr">
        <is>
          <t>135792468</t>
        </is>
      </c>
      <c r="D2907" s="4108" t="inlineStr">
        <is>
          <t>202006</t>
        </is>
      </c>
      <c r="E2907" s="4108" t="inlineStr">
        <is>
          <t>0,000000000000</t>
        </is>
      </c>
    </row>
    <row outlineLevel="0" r="2908">
      <c r="A2908" s="4108" t="inlineStr">
        <is>
          <t>13579246820200633</t>
        </is>
      </c>
      <c r="B2908" s="4108" t="inlineStr">
        <is>
          <t>33</t>
        </is>
      </c>
      <c r="C2908" s="4108" t="inlineStr">
        <is>
          <t>135792468</t>
        </is>
      </c>
      <c r="D2908" s="4108" t="inlineStr">
        <is>
          <t>202006</t>
        </is>
      </c>
      <c r="E2908" s="4108" t="inlineStr">
        <is>
          <t>0,000000000000</t>
        </is>
      </c>
    </row>
    <row outlineLevel="0" r="2909">
      <c r="A2909" s="4108" t="inlineStr">
        <is>
          <t>13579246820200634</t>
        </is>
      </c>
      <c r="B2909" s="4108" t="inlineStr">
        <is>
          <t>34</t>
        </is>
      </c>
      <c r="C2909" s="4108" t="inlineStr">
        <is>
          <t>135792468</t>
        </is>
      </c>
      <c r="D2909" s="4108" t="inlineStr">
        <is>
          <t>202006</t>
        </is>
      </c>
      <c r="E2909" s="4108" t="inlineStr">
        <is>
          <t>0,000000000000</t>
        </is>
      </c>
    </row>
    <row outlineLevel="0" r="2910">
      <c r="A2910" s="4108" t="inlineStr">
        <is>
          <t>13579246820200635</t>
        </is>
      </c>
      <c r="B2910" s="4108" t="inlineStr">
        <is>
          <t>35</t>
        </is>
      </c>
      <c r="C2910" s="4108" t="inlineStr">
        <is>
          <t>135792468</t>
        </is>
      </c>
      <c r="D2910" s="4108" t="inlineStr">
        <is>
          <t>202006</t>
        </is>
      </c>
      <c r="E2910" s="4108" t="inlineStr">
        <is>
          <t>0,000000000000</t>
        </is>
      </c>
    </row>
    <row outlineLevel="0" r="2911">
      <c r="A2911" s="4108" t="inlineStr">
        <is>
          <t>13579246820200636</t>
        </is>
      </c>
      <c r="B2911" s="4108" t="inlineStr">
        <is>
          <t>36</t>
        </is>
      </c>
      <c r="C2911" s="4108" t="inlineStr">
        <is>
          <t>135792468</t>
        </is>
      </c>
      <c r="D2911" s="4108" t="inlineStr">
        <is>
          <t>202006</t>
        </is>
      </c>
      <c r="E2911" s="4108" t="inlineStr">
        <is>
          <t>-1153,000000000000</t>
        </is>
      </c>
    </row>
    <row outlineLevel="0" r="2912">
      <c r="A2912" s="4108" t="inlineStr">
        <is>
          <t>13579246820200637</t>
        </is>
      </c>
      <c r="B2912" s="4108" t="inlineStr">
        <is>
          <t>37</t>
        </is>
      </c>
      <c r="C2912" s="4108" t="inlineStr">
        <is>
          <t>135792468</t>
        </is>
      </c>
      <c r="D2912" s="4108" t="inlineStr">
        <is>
          <t>202006</t>
        </is>
      </c>
      <c r="E2912" s="4108" t="inlineStr">
        <is>
          <t>0,000000000000</t>
        </is>
      </c>
    </row>
    <row outlineLevel="0" r="2913">
      <c r="A2913" s="4108" t="inlineStr">
        <is>
          <t>13579246820200638</t>
        </is>
      </c>
      <c r="B2913" s="4108" t="inlineStr">
        <is>
          <t>38</t>
        </is>
      </c>
      <c r="C2913" s="4108" t="inlineStr">
        <is>
          <t>135792468</t>
        </is>
      </c>
      <c r="D2913" s="4108" t="inlineStr">
        <is>
          <t>202006</t>
        </is>
      </c>
      <c r="E2913" s="4108" t="inlineStr">
        <is>
          <t>0,000000000000</t>
        </is>
      </c>
    </row>
    <row outlineLevel="0" r="2914">
      <c r="A2914" s="4108" t="inlineStr">
        <is>
          <t>13579246820200641</t>
        </is>
      </c>
      <c r="B2914" s="4108" t="inlineStr">
        <is>
          <t>41</t>
        </is>
      </c>
      <c r="C2914" s="4108" t="inlineStr">
        <is>
          <t>135792468</t>
        </is>
      </c>
      <c r="D2914" s="4108" t="inlineStr">
        <is>
          <t>202006</t>
        </is>
      </c>
      <c r="E2914" s="4108" t="inlineStr">
        <is>
          <t>400,000000000000</t>
        </is>
      </c>
    </row>
    <row outlineLevel="0" r="2915">
      <c r="A2915" s="4108" t="inlineStr">
        <is>
          <t>13579246820200642</t>
        </is>
      </c>
      <c r="B2915" s="4108" t="inlineStr">
        <is>
          <t>42</t>
        </is>
      </c>
      <c r="C2915" s="4108" t="inlineStr">
        <is>
          <t>135792468</t>
        </is>
      </c>
      <c r="D2915" s="4108" t="inlineStr">
        <is>
          <t>202006</t>
        </is>
      </c>
      <c r="E2915" s="4108" t="inlineStr">
        <is>
          <t>0,000000000000</t>
        </is>
      </c>
    </row>
    <row outlineLevel="0" r="2916">
      <c r="A2916" s="4108" t="inlineStr">
        <is>
          <t>13579246820200651</t>
        </is>
      </c>
      <c r="B2916" s="4108" t="inlineStr">
        <is>
          <t>51</t>
        </is>
      </c>
      <c r="C2916" s="4108" t="inlineStr">
        <is>
          <t>135792468</t>
        </is>
      </c>
      <c r="D2916" s="4108" t="inlineStr">
        <is>
          <t>202006</t>
        </is>
      </c>
      <c r="E2916" s="4108" t="inlineStr">
        <is>
          <t>0,000000000000</t>
        </is>
      </c>
    </row>
    <row outlineLevel="0" r="2917">
      <c r="A2917" s="4108" t="inlineStr">
        <is>
          <t>13579246820200652</t>
        </is>
      </c>
      <c r="B2917" s="4108" t="inlineStr">
        <is>
          <t>52</t>
        </is>
      </c>
      <c r="C2917" s="4108" t="inlineStr">
        <is>
          <t>135792468</t>
        </is>
      </c>
      <c r="D2917" s="4108" t="inlineStr">
        <is>
          <t>202006</t>
        </is>
      </c>
      <c r="E2917" s="4108" t="inlineStr">
        <is>
          <t>0,000000000000</t>
        </is>
      </c>
    </row>
    <row outlineLevel="0" r="2918">
      <c r="A2918" s="4108" t="inlineStr">
        <is>
          <t>13579246820200653</t>
        </is>
      </c>
      <c r="B2918" s="4108" t="inlineStr">
        <is>
          <t>53</t>
        </is>
      </c>
      <c r="C2918" s="4108" t="inlineStr">
        <is>
          <t>135792468</t>
        </is>
      </c>
      <c r="D2918" s="4108" t="inlineStr">
        <is>
          <t>202006</t>
        </is>
      </c>
      <c r="E2918" s="4108" t="inlineStr">
        <is>
          <t>0,000000000000</t>
        </is>
      </c>
    </row>
    <row outlineLevel="0" r="2919">
      <c r="A2919" s="4108" t="inlineStr">
        <is>
          <t>13579246820200654</t>
        </is>
      </c>
      <c r="B2919" s="4108" t="inlineStr">
        <is>
          <t>54</t>
        </is>
      </c>
      <c r="C2919" s="4108" t="inlineStr">
        <is>
          <t>135792468</t>
        </is>
      </c>
      <c r="D2919" s="4108" t="inlineStr">
        <is>
          <t>202006</t>
        </is>
      </c>
      <c r="E2919" s="4108" t="inlineStr">
        <is>
          <t>0,000000000000</t>
        </is>
      </c>
    </row>
    <row outlineLevel="0" r="2920">
      <c r="A2920" s="4108" t="inlineStr">
        <is>
          <t>13579246820200661</t>
        </is>
      </c>
      <c r="B2920" s="4108" t="inlineStr">
        <is>
          <t>61</t>
        </is>
      </c>
      <c r="C2920" s="4108" t="inlineStr">
        <is>
          <t>135792468</t>
        </is>
      </c>
      <c r="D2920" s="4108" t="inlineStr">
        <is>
          <t>202006</t>
        </is>
      </c>
      <c r="E2920" s="4108" t="inlineStr">
        <is>
          <t>1553,000000000000</t>
        </is>
      </c>
    </row>
    <row outlineLevel="0" r="2921">
      <c r="A2921" s="4108" t="inlineStr">
        <is>
          <t>13579246820200695</t>
        </is>
      </c>
      <c r="B2921" s="4108" t="inlineStr">
        <is>
          <t>95</t>
        </is>
      </c>
      <c r="C2921" s="4108" t="inlineStr">
        <is>
          <t>135792468</t>
        </is>
      </c>
      <c r="D2921" s="4108" t="inlineStr">
        <is>
          <t>202006</t>
        </is>
      </c>
      <c r="E2921" s="4108" t="inlineStr">
        <is>
          <t>-1153,000000000000</t>
        </is>
      </c>
    </row>
    <row outlineLevel="0" r="2922">
      <c r="A2922" s="4108" t="inlineStr">
        <is>
          <t>13579246820200696</t>
        </is>
      </c>
      <c r="B2922" s="4108" t="inlineStr">
        <is>
          <t>96</t>
        </is>
      </c>
      <c r="C2922" s="4108" t="inlineStr">
        <is>
          <t>135792468</t>
        </is>
      </c>
      <c r="D2922" s="4108" t="inlineStr">
        <is>
          <t>202006</t>
        </is>
      </c>
      <c r="E2922" s="4108" t="inlineStr">
        <is>
          <t>-1153,000000000000</t>
        </is>
      </c>
    </row>
    <row outlineLevel="0" r="2923">
      <c r="A2923" s="4108" t="inlineStr">
        <is>
          <t>13579246820200697</t>
        </is>
      </c>
      <c r="B2923" s="4108" t="inlineStr">
        <is>
          <t>97</t>
        </is>
      </c>
      <c r="C2923" s="4108" t="inlineStr">
        <is>
          <t>135792468</t>
        </is>
      </c>
      <c r="D2923" s="4108" t="inlineStr">
        <is>
          <t>202006</t>
        </is>
      </c>
      <c r="E2923" s="4108" t="inlineStr">
        <is>
          <t>-1153,000000000000</t>
        </is>
      </c>
    </row>
    <row outlineLevel="0" r="2924">
      <c r="A2924" s="4108" t="inlineStr">
        <is>
          <t>13579246820200698</t>
        </is>
      </c>
      <c r="B2924" s="4108" t="inlineStr">
        <is>
          <t>98</t>
        </is>
      </c>
      <c r="C2924" s="4108" t="inlineStr">
        <is>
          <t>135792468</t>
        </is>
      </c>
      <c r="D2924" s="4108" t="inlineStr">
        <is>
          <t>202006</t>
        </is>
      </c>
      <c r="E2924" s="4108" t="inlineStr">
        <is>
          <t>0,000000000000</t>
        </is>
      </c>
    </row>
    <row outlineLevel="0" r="2925">
      <c r="A2925" s="4108" t="inlineStr">
        <is>
          <t>13579246820200699</t>
        </is>
      </c>
      <c r="B2925" s="4108" t="inlineStr">
        <is>
          <t>99</t>
        </is>
      </c>
      <c r="C2925" s="4108" t="inlineStr">
        <is>
          <t>135792468</t>
        </is>
      </c>
      <c r="D2925" s="4108" t="inlineStr">
        <is>
          <t>202006</t>
        </is>
      </c>
      <c r="E2925" s="4108" t="inlineStr">
        <is>
          <t>-1153,000000000000</t>
        </is>
      </c>
    </row>
    <row outlineLevel="0" r="2926">
      <c r="A2926" s="4108" t="inlineStr">
        <is>
          <t>1357924682020061101</t>
        </is>
      </c>
      <c r="B2926" s="4108" t="inlineStr">
        <is>
          <t>1101</t>
        </is>
      </c>
      <c r="C2926" s="4108" t="inlineStr">
        <is>
          <t>135792468</t>
        </is>
      </c>
      <c r="D2926" s="4108" t="inlineStr">
        <is>
          <t>202006</t>
        </is>
      </c>
      <c r="E2926" s="4108" t="inlineStr">
        <is>
          <t>2,000000000000</t>
        </is>
      </c>
    </row>
    <row outlineLevel="0" r="2927">
      <c r="A2927" s="4108" t="inlineStr">
        <is>
          <t>1357924682020061102</t>
        </is>
      </c>
      <c r="B2927" s="4108" t="inlineStr">
        <is>
          <t>1102</t>
        </is>
      </c>
      <c r="C2927" s="4108" t="inlineStr">
        <is>
          <t>135792468</t>
        </is>
      </c>
      <c r="D2927" s="4108" t="inlineStr">
        <is>
          <t>202006</t>
        </is>
      </c>
      <c r="E2927" s="4108" t="inlineStr">
        <is>
          <t>0,000000000000</t>
        </is>
      </c>
    </row>
    <row outlineLevel="0" r="2928">
      <c r="A2928" s="4108" t="inlineStr">
        <is>
          <t>1357924682020061103</t>
        </is>
      </c>
      <c r="B2928" s="4108" t="inlineStr">
        <is>
          <t>1103</t>
        </is>
      </c>
      <c r="C2928" s="4108" t="inlineStr">
        <is>
          <t>135792468</t>
        </is>
      </c>
      <c r="D2928" s="4108" t="inlineStr">
        <is>
          <t>202006</t>
        </is>
      </c>
      <c r="E2928" s="4108" t="inlineStr">
        <is>
          <t>0,000000000000</t>
        </is>
      </c>
    </row>
    <row outlineLevel="0" r="2929">
      <c r="A2929" s="4108" t="inlineStr">
        <is>
          <t>1357924682020061104</t>
        </is>
      </c>
      <c r="B2929" s="4108" t="inlineStr">
        <is>
          <t>1104</t>
        </is>
      </c>
      <c r="C2929" s="4108" t="inlineStr">
        <is>
          <t>135792468</t>
        </is>
      </c>
      <c r="D2929" s="4108" t="inlineStr">
        <is>
          <t>202006</t>
        </is>
      </c>
      <c r="E2929" s="4108" t="inlineStr">
        <is>
          <t>0,000000000000</t>
        </is>
      </c>
    </row>
    <row outlineLevel="0" r="2930">
      <c r="A2930" s="4108" t="inlineStr">
        <is>
          <t>1357924682020061106</t>
        </is>
      </c>
      <c r="B2930" s="4108" t="inlineStr">
        <is>
          <t>1106</t>
        </is>
      </c>
      <c r="C2930" s="4108" t="inlineStr">
        <is>
          <t>135792468</t>
        </is>
      </c>
      <c r="D2930" s="4108" t="inlineStr">
        <is>
          <t>202006</t>
        </is>
      </c>
      <c r="E2930" s="4108" t="inlineStr">
        <is>
          <t>5,000000000000</t>
        </is>
      </c>
    </row>
    <row outlineLevel="0" r="2931">
      <c r="A2931" s="4108" t="inlineStr">
        <is>
          <t>1357924682020061107</t>
        </is>
      </c>
      <c r="B2931" s="4108" t="inlineStr">
        <is>
          <t>1107</t>
        </is>
      </c>
      <c r="C2931" s="4108" t="inlineStr">
        <is>
          <t>135792468</t>
        </is>
      </c>
      <c r="D2931" s="4108" t="inlineStr">
        <is>
          <t>202006</t>
        </is>
      </c>
      <c r="E2931" s="4108" t="inlineStr">
        <is>
          <t>0,000000000000</t>
        </is>
      </c>
    </row>
    <row outlineLevel="0" r="2932">
      <c r="A2932" s="4108" t="inlineStr">
        <is>
          <t>1357924682020061201</t>
        </is>
      </c>
      <c r="B2932" s="4108" t="inlineStr">
        <is>
          <t>1201</t>
        </is>
      </c>
      <c r="C2932" s="4108" t="inlineStr">
        <is>
          <t>135792468</t>
        </is>
      </c>
      <c r="D2932" s="4108" t="inlineStr">
        <is>
          <t>202006</t>
        </is>
      </c>
      <c r="E2932" s="4108" t="inlineStr">
        <is>
          <t>0,000000000000</t>
        </is>
      </c>
    </row>
    <row outlineLevel="0" r="2933">
      <c r="A2933" s="4108" t="inlineStr">
        <is>
          <t>1357924682020061202</t>
        </is>
      </c>
      <c r="B2933" s="4108" t="inlineStr">
        <is>
          <t>1202</t>
        </is>
      </c>
      <c r="C2933" s="4108" t="inlineStr">
        <is>
          <t>135792468</t>
        </is>
      </c>
      <c r="D2933" s="4108" t="inlineStr">
        <is>
          <t>202006</t>
        </is>
      </c>
      <c r="E2933" s="4108" t="inlineStr">
        <is>
          <t>0,000000000000</t>
        </is>
      </c>
    </row>
    <row outlineLevel="0" r="2934">
      <c r="A2934" s="4108" t="inlineStr">
        <is>
          <t>1357924682020061203</t>
        </is>
      </c>
      <c r="B2934" s="4108" t="inlineStr">
        <is>
          <t>1203</t>
        </is>
      </c>
      <c r="C2934" s="4108" t="inlineStr">
        <is>
          <t>135792468</t>
        </is>
      </c>
      <c r="D2934" s="4108" t="inlineStr">
        <is>
          <t>202006</t>
        </is>
      </c>
      <c r="E2934" s="4108" t="inlineStr">
        <is>
          <t>0,000000000000</t>
        </is>
      </c>
    </row>
    <row outlineLevel="0" r="2935">
      <c r="A2935" s="4108" t="inlineStr">
        <is>
          <t>1357924682020061205</t>
        </is>
      </c>
      <c r="B2935" s="4108" t="inlineStr">
        <is>
          <t>1205</t>
        </is>
      </c>
      <c r="C2935" s="4108" t="inlineStr">
        <is>
          <t>135792468</t>
        </is>
      </c>
      <c r="D2935" s="4108" t="inlineStr">
        <is>
          <t>202006</t>
        </is>
      </c>
      <c r="E2935" s="4108" t="inlineStr">
        <is>
          <t>0,000000000000</t>
        </is>
      </c>
    </row>
    <row outlineLevel="0" r="2936">
      <c r="A2936" s="4108" t="inlineStr">
        <is>
          <t>1357924682020061206</t>
        </is>
      </c>
      <c r="B2936" s="4108" t="inlineStr">
        <is>
          <t>1206</t>
        </is>
      </c>
      <c r="C2936" s="4108" t="inlineStr">
        <is>
          <t>135792468</t>
        </is>
      </c>
      <c r="D2936" s="4108" t="inlineStr">
        <is>
          <t>202006</t>
        </is>
      </c>
      <c r="E2936" s="4108" t="inlineStr">
        <is>
          <t>0,000000000000</t>
        </is>
      </c>
    </row>
    <row outlineLevel="0" r="2937">
      <c r="A2937" s="4108" t="inlineStr">
        <is>
          <t>1357924682020061207</t>
        </is>
      </c>
      <c r="B2937" s="4108" t="inlineStr">
        <is>
          <t>1207</t>
        </is>
      </c>
      <c r="C2937" s="4108" t="inlineStr">
        <is>
          <t>135792468</t>
        </is>
      </c>
      <c r="D2937" s="4108" t="inlineStr">
        <is>
          <t>202006</t>
        </is>
      </c>
      <c r="E2937" s="4108" t="inlineStr">
        <is>
          <t>6,000000000000</t>
        </is>
      </c>
    </row>
    <row outlineLevel="0" r="2938">
      <c r="A2938" s="4108" t="inlineStr">
        <is>
          <t>1357924682020061208</t>
        </is>
      </c>
      <c r="B2938" s="4108" t="inlineStr">
        <is>
          <t>1208</t>
        </is>
      </c>
      <c r="C2938" s="4108" t="inlineStr">
        <is>
          <t>135792468</t>
        </is>
      </c>
      <c r="D2938" s="4108" t="inlineStr">
        <is>
          <t>202006</t>
        </is>
      </c>
      <c r="E2938" s="4108" t="inlineStr">
        <is>
          <t>0,000000000000</t>
        </is>
      </c>
    </row>
    <row outlineLevel="0" r="2939">
      <c r="A2939" s="4108" t="inlineStr">
        <is>
          <t>1357924682020062101</t>
        </is>
      </c>
      <c r="B2939" s="4108" t="inlineStr">
        <is>
          <t>2101</t>
        </is>
      </c>
      <c r="C2939" s="4108" t="inlineStr">
        <is>
          <t>135792468</t>
        </is>
      </c>
      <c r="D2939" s="4108" t="inlineStr">
        <is>
          <t>202006</t>
        </is>
      </c>
      <c r="E2939" s="4108" t="inlineStr">
        <is>
          <t>0,000000000000</t>
        </is>
      </c>
    </row>
    <row outlineLevel="0" r="2940">
      <c r="A2940" s="4108" t="inlineStr">
        <is>
          <t>1357924682020062102</t>
        </is>
      </c>
      <c r="B2940" s="4108" t="inlineStr">
        <is>
          <t>2102</t>
        </is>
      </c>
      <c r="C2940" s="4108" t="inlineStr">
        <is>
          <t>135792468</t>
        </is>
      </c>
      <c r="D2940" s="4108" t="inlineStr">
        <is>
          <t>202006</t>
        </is>
      </c>
      <c r="E2940" s="4108" t="inlineStr">
        <is>
          <t>5,000000000000</t>
        </is>
      </c>
    </row>
    <row outlineLevel="0" r="2941">
      <c r="A2941" s="4108" t="inlineStr">
        <is>
          <t>1357924682020062103</t>
        </is>
      </c>
      <c r="B2941" s="4108" t="inlineStr">
        <is>
          <t>2103</t>
        </is>
      </c>
      <c r="C2941" s="4108" t="inlineStr">
        <is>
          <t>135792468</t>
        </is>
      </c>
      <c r="D2941" s="4108" t="inlineStr">
        <is>
          <t>202006</t>
        </is>
      </c>
      <c r="E2941" s="4108" t="inlineStr">
        <is>
          <t>0,000000000000</t>
        </is>
      </c>
    </row>
    <row outlineLevel="0" r="2942">
      <c r="A2942" s="4108" t="inlineStr">
        <is>
          <t>1357924682020062104</t>
        </is>
      </c>
      <c r="B2942" s="4108" t="inlineStr">
        <is>
          <t>2104</t>
        </is>
      </c>
      <c r="C2942" s="4108" t="inlineStr">
        <is>
          <t>135792468</t>
        </is>
      </c>
      <c r="D2942" s="4108" t="inlineStr">
        <is>
          <t>202006</t>
        </is>
      </c>
      <c r="E2942" s="4108" t="inlineStr">
        <is>
          <t>0,000000000000</t>
        </is>
      </c>
    </row>
    <row outlineLevel="0" r="2943">
      <c r="A2943" s="4108" t="inlineStr">
        <is>
          <t>1357924682020062105</t>
        </is>
      </c>
      <c r="B2943" s="4108" t="inlineStr">
        <is>
          <t>2105</t>
        </is>
      </c>
      <c r="C2943" s="4108" t="inlineStr">
        <is>
          <t>135792468</t>
        </is>
      </c>
      <c r="D2943" s="4108" t="inlineStr">
        <is>
          <t>202006</t>
        </is>
      </c>
      <c r="E2943" s="4108" t="inlineStr">
        <is>
          <t>0,000000000000</t>
        </is>
      </c>
    </row>
    <row outlineLevel="0" r="2944">
      <c r="A2944" s="4108" t="inlineStr">
        <is>
          <t>1357924682020062106</t>
        </is>
      </c>
      <c r="B2944" s="4108" t="inlineStr">
        <is>
          <t>2106</t>
        </is>
      </c>
      <c r="C2944" s="4108" t="inlineStr">
        <is>
          <t>135792468</t>
        </is>
      </c>
      <c r="D2944" s="4108" t="inlineStr">
        <is>
          <t>202006</t>
        </is>
      </c>
      <c r="E2944" s="4108" t="inlineStr">
        <is>
          <t>0,000000000000</t>
        </is>
      </c>
    </row>
    <row outlineLevel="0" r="2945">
      <c r="A2945" s="4108" t="inlineStr">
        <is>
          <t>1357924682020062107</t>
        </is>
      </c>
      <c r="B2945" s="4108" t="inlineStr">
        <is>
          <t>2107</t>
        </is>
      </c>
      <c r="C2945" s="4108" t="inlineStr">
        <is>
          <t>135792468</t>
        </is>
      </c>
      <c r="D2945" s="4108" t="inlineStr">
        <is>
          <t>202006</t>
        </is>
      </c>
      <c r="E2945" s="4108" t="inlineStr">
        <is>
          <t>0,000000000000</t>
        </is>
      </c>
    </row>
    <row outlineLevel="0" r="2946">
      <c r="A2946" s="4108" t="inlineStr">
        <is>
          <t>1357924682020062109</t>
        </is>
      </c>
      <c r="B2946" s="4108" t="inlineStr">
        <is>
          <t>2109</t>
        </is>
      </c>
      <c r="C2946" s="4108" t="inlineStr">
        <is>
          <t>135792468</t>
        </is>
      </c>
      <c r="D2946" s="4108" t="inlineStr">
        <is>
          <t>202006</t>
        </is>
      </c>
      <c r="E2946" s="4108" t="inlineStr">
        <is>
          <t>0,000000000000</t>
        </is>
      </c>
    </row>
    <row outlineLevel="0" r="2947">
      <c r="A2947" s="4108" t="inlineStr">
        <is>
          <t>1357924682020062201</t>
        </is>
      </c>
      <c r="B2947" s="4108" t="inlineStr">
        <is>
          <t>2201</t>
        </is>
      </c>
      <c r="C2947" s="4108" t="inlineStr">
        <is>
          <t>135792468</t>
        </is>
      </c>
      <c r="D2947" s="4108" t="inlineStr">
        <is>
          <t>202006</t>
        </is>
      </c>
      <c r="E2947" s="4108" t="inlineStr">
        <is>
          <t>0,000000000000</t>
        </is>
      </c>
    </row>
    <row outlineLevel="0" r="2948">
      <c r="A2948" s="4108" t="inlineStr">
        <is>
          <t>1357924682020062203</t>
        </is>
      </c>
      <c r="B2948" s="4108" t="inlineStr">
        <is>
          <t>2203</t>
        </is>
      </c>
      <c r="C2948" s="4108" t="inlineStr">
        <is>
          <t>135792468</t>
        </is>
      </c>
      <c r="D2948" s="4108" t="inlineStr">
        <is>
          <t>202006</t>
        </is>
      </c>
      <c r="E2948" s="4108" t="inlineStr">
        <is>
          <t>0,000000000000</t>
        </is>
      </c>
    </row>
    <row outlineLevel="0" r="2949">
      <c r="A2949" s="4108" t="inlineStr">
        <is>
          <t>1357924682020062204</t>
        </is>
      </c>
      <c r="B2949" s="4108" t="inlineStr">
        <is>
          <t>2204</t>
        </is>
      </c>
      <c r="C2949" s="4108" t="inlineStr">
        <is>
          <t>135792468</t>
        </is>
      </c>
      <c r="D2949" s="4108" t="inlineStr">
        <is>
          <t>202006</t>
        </is>
      </c>
      <c r="E2949" s="4108" t="inlineStr">
        <is>
          <t>0,000000000000</t>
        </is>
      </c>
    </row>
    <row outlineLevel="0" r="2950">
      <c r="A2950" s="4108" t="inlineStr">
        <is>
          <t>1357924682020062206</t>
        </is>
      </c>
      <c r="B2950" s="4108" t="inlineStr">
        <is>
          <t>2206</t>
        </is>
      </c>
      <c r="C2950" s="4108" t="inlineStr">
        <is>
          <t>135792468</t>
        </is>
      </c>
      <c r="D2950" s="4108" t="inlineStr">
        <is>
          <t>202006</t>
        </is>
      </c>
      <c r="E2950" s="4108" t="inlineStr">
        <is>
          <t>200,000000000000</t>
        </is>
      </c>
    </row>
    <row outlineLevel="0" r="2951">
      <c r="A2951" s="4108" t="inlineStr">
        <is>
          <t>1357924682020062207</t>
        </is>
      </c>
      <c r="B2951" s="4108" t="inlineStr">
        <is>
          <t>2207</t>
        </is>
      </c>
      <c r="C2951" s="4108" t="inlineStr">
        <is>
          <t>135792468</t>
        </is>
      </c>
      <c r="D2951" s="4108" t="inlineStr">
        <is>
          <t>202006</t>
        </is>
      </c>
      <c r="E2951" s="4108" t="inlineStr">
        <is>
          <t>0,000000000000</t>
        </is>
      </c>
    </row>
    <row outlineLevel="0" r="2952">
      <c r="A2952" s="4108" t="inlineStr">
        <is>
          <t>1357924682020062209</t>
        </is>
      </c>
      <c r="B2952" s="4108" t="inlineStr">
        <is>
          <t>2209</t>
        </is>
      </c>
      <c r="C2952" s="4108" t="inlineStr">
        <is>
          <t>135792468</t>
        </is>
      </c>
      <c r="D2952" s="4108" t="inlineStr">
        <is>
          <t>202006</t>
        </is>
      </c>
      <c r="E2952" s="4108" t="inlineStr">
        <is>
          <t>0,000000000000</t>
        </is>
      </c>
    </row>
    <row outlineLevel="0" r="2953">
      <c r="A2953" s="4108" t="inlineStr">
        <is>
          <t>1357924682020065301</t>
        </is>
      </c>
      <c r="B2953" s="4108" t="inlineStr">
        <is>
          <t>5301</t>
        </is>
      </c>
      <c r="C2953" s="4108" t="inlineStr">
        <is>
          <t>135792468</t>
        </is>
      </c>
      <c r="D2953" s="4108" t="inlineStr">
        <is>
          <t>202006</t>
        </is>
      </c>
      <c r="E2953" s="4108" t="inlineStr">
        <is>
          <t>0,000000000000</t>
        </is>
      </c>
    </row>
    <row outlineLevel="0" r="2954">
      <c r="A2954" s="4108" t="inlineStr">
        <is>
          <t>135792468202006108000</t>
        </is>
      </c>
      <c r="B2954" s="4108" t="inlineStr">
        <is>
          <t>108000</t>
        </is>
      </c>
      <c r="C2954" s="4108" t="inlineStr">
        <is>
          <t>135792468</t>
        </is>
      </c>
      <c r="D2954" s="4108" t="inlineStr">
        <is>
          <t>202006</t>
        </is>
      </c>
      <c r="E2954" s="4108" t="inlineStr">
        <is>
          <t>0,000000000000</t>
        </is>
      </c>
    </row>
    <row outlineLevel="0" r="2955">
      <c r="A2955" s="4108" t="inlineStr">
        <is>
          <t>135792468202006108100</t>
        </is>
      </c>
      <c r="B2955" s="4108" t="inlineStr">
        <is>
          <t>108100</t>
        </is>
      </c>
      <c r="C2955" s="4108" t="inlineStr">
        <is>
          <t>135792468</t>
        </is>
      </c>
      <c r="D2955" s="4108" t="inlineStr">
        <is>
          <t>202006</t>
        </is>
      </c>
      <c r="E2955" s="4108" t="inlineStr">
        <is>
          <t>0,000000000000</t>
        </is>
      </c>
    </row>
    <row outlineLevel="0" r="2956">
      <c r="A2956" s="4108" t="inlineStr">
        <is>
          <t>135792468202006108200</t>
        </is>
      </c>
      <c r="B2956" s="4108" t="inlineStr">
        <is>
          <t>108200</t>
        </is>
      </c>
      <c r="C2956" s="4108" t="inlineStr">
        <is>
          <t>135792468</t>
        </is>
      </c>
      <c r="D2956" s="4108" t="inlineStr">
        <is>
          <t>202006</t>
        </is>
      </c>
      <c r="E2956" s="4108" t="inlineStr">
        <is>
          <t>0,000000000000</t>
        </is>
      </c>
    </row>
    <row outlineLevel="0" r="2957">
      <c r="A2957" s="4108" t="inlineStr">
        <is>
          <t>135792468202006108300</t>
        </is>
      </c>
      <c r="B2957" s="4108" t="inlineStr">
        <is>
          <t>108300</t>
        </is>
      </c>
      <c r="C2957" s="4108" t="inlineStr">
        <is>
          <t>135792468</t>
        </is>
      </c>
      <c r="D2957" s="4108" t="inlineStr">
        <is>
          <t>202006</t>
        </is>
      </c>
      <c r="E2957" s="4108" t="inlineStr">
        <is>
          <t>0,000000000000</t>
        </is>
      </c>
    </row>
    <row outlineLevel="0" r="2958">
      <c r="A2958" s="4108" t="inlineStr">
        <is>
          <t>135792468202006108400</t>
        </is>
      </c>
      <c r="B2958" s="4108" t="inlineStr">
        <is>
          <t>108400</t>
        </is>
      </c>
      <c r="C2958" s="4108" t="inlineStr">
        <is>
          <t>135792468</t>
        </is>
      </c>
      <c r="D2958" s="4108" t="inlineStr">
        <is>
          <t>202006</t>
        </is>
      </c>
      <c r="E2958" s="4108" t="inlineStr">
        <is>
          <t>0,000000000000</t>
        </is>
      </c>
    </row>
    <row outlineLevel="0" r="2959">
      <c r="A2959" s="4108" t="inlineStr">
        <is>
          <t>135792468202006109801</t>
        </is>
      </c>
      <c r="B2959" s="4108" t="inlineStr">
        <is>
          <t>109801</t>
        </is>
      </c>
      <c r="C2959" s="4108" t="inlineStr">
        <is>
          <t>135792468</t>
        </is>
      </c>
      <c r="D2959" s="4108" t="inlineStr">
        <is>
          <t>202006</t>
        </is>
      </c>
      <c r="E2959" s="4108" t="inlineStr">
        <is>
          <t>0,000000000000</t>
        </is>
      </c>
    </row>
    <row outlineLevel="0" r="2960">
      <c r="A2960" s="4108" t="inlineStr">
        <is>
          <t>135792468202006110105</t>
        </is>
      </c>
      <c r="B2960" s="4108" t="inlineStr">
        <is>
          <t>110105</t>
        </is>
      </c>
      <c r="C2960" s="4108" t="inlineStr">
        <is>
          <t>135792468</t>
        </is>
      </c>
      <c r="D2960" s="4108" t="inlineStr">
        <is>
          <t>202006</t>
        </is>
      </c>
      <c r="E2960" s="4108" t="inlineStr">
        <is>
          <t>2,000000000000</t>
        </is>
      </c>
    </row>
    <row outlineLevel="0" r="2961">
      <c r="A2961" s="4108" t="inlineStr">
        <is>
          <t>135792468202006110110</t>
        </is>
      </c>
      <c r="B2961" s="4108" t="inlineStr">
        <is>
          <t>110110</t>
        </is>
      </c>
      <c r="C2961" s="4108" t="inlineStr">
        <is>
          <t>135792468</t>
        </is>
      </c>
      <c r="D2961" s="4108" t="inlineStr">
        <is>
          <t>202006</t>
        </is>
      </c>
      <c r="E2961" s="4108" t="inlineStr">
        <is>
          <t>0,000000000000</t>
        </is>
      </c>
    </row>
    <row outlineLevel="0" r="2962">
      <c r="A2962" s="4108" t="inlineStr">
        <is>
          <t>135792468202006110125</t>
        </is>
      </c>
      <c r="B2962" s="4108" t="inlineStr">
        <is>
          <t>110125</t>
        </is>
      </c>
      <c r="C2962" s="4108" t="inlineStr">
        <is>
          <t>135792468</t>
        </is>
      </c>
      <c r="D2962" s="4108" t="inlineStr">
        <is>
          <t>202006</t>
        </is>
      </c>
      <c r="E2962" s="4108" t="inlineStr">
        <is>
          <t>0,000000000000</t>
        </is>
      </c>
    </row>
    <row outlineLevel="0" r="2963">
      <c r="A2963" s="4108" t="inlineStr">
        <is>
          <t>135792468202006110130</t>
        </is>
      </c>
      <c r="B2963" s="4108" t="inlineStr">
        <is>
          <t>110130</t>
        </is>
      </c>
      <c r="C2963" s="4108" t="inlineStr">
        <is>
          <t>135792468</t>
        </is>
      </c>
      <c r="D2963" s="4108" t="inlineStr">
        <is>
          <t>202006</t>
        </is>
      </c>
      <c r="E2963" s="4108" t="inlineStr">
        <is>
          <t>0,000000000000</t>
        </is>
      </c>
    </row>
    <row outlineLevel="0" r="2964">
      <c r="A2964" s="4108" t="inlineStr">
        <is>
          <t>135792468202006110205</t>
        </is>
      </c>
      <c r="B2964" s="4108" t="inlineStr">
        <is>
          <t>110205</t>
        </is>
      </c>
      <c r="C2964" s="4108" t="inlineStr">
        <is>
          <t>135792468</t>
        </is>
      </c>
      <c r="D2964" s="4108" t="inlineStr">
        <is>
          <t>202006</t>
        </is>
      </c>
      <c r="E2964" s="4108" t="inlineStr">
        <is>
          <t>0,000000000000</t>
        </is>
      </c>
    </row>
    <row outlineLevel="0" r="2965">
      <c r="A2965" s="4108" t="inlineStr">
        <is>
          <t>135792468202006110210</t>
        </is>
      </c>
      <c r="B2965" s="4108" t="inlineStr">
        <is>
          <t>110210</t>
        </is>
      </c>
      <c r="C2965" s="4108" t="inlineStr">
        <is>
          <t>135792468</t>
        </is>
      </c>
      <c r="D2965" s="4108" t="inlineStr">
        <is>
          <t>202006</t>
        </is>
      </c>
      <c r="E2965" s="4108" t="inlineStr">
        <is>
          <t>0,000000000000</t>
        </is>
      </c>
    </row>
    <row outlineLevel="0" r="2966">
      <c r="A2966" s="4108" t="inlineStr">
        <is>
          <t>135792468202006110215</t>
        </is>
      </c>
      <c r="B2966" s="4108" t="inlineStr">
        <is>
          <t>110215</t>
        </is>
      </c>
      <c r="C2966" s="4108" t="inlineStr">
        <is>
          <t>135792468</t>
        </is>
      </c>
      <c r="D2966" s="4108" t="inlineStr">
        <is>
          <t>202006</t>
        </is>
      </c>
      <c r="E2966" s="4108" t="inlineStr">
        <is>
          <t>0,000000000000</t>
        </is>
      </c>
    </row>
    <row outlineLevel="0" r="2967">
      <c r="A2967" s="4108" t="inlineStr">
        <is>
          <t>135792468202006110225</t>
        </is>
      </c>
      <c r="B2967" s="4108" t="inlineStr">
        <is>
          <t>110225</t>
        </is>
      </c>
      <c r="C2967" s="4108" t="inlineStr">
        <is>
          <t>135792468</t>
        </is>
      </c>
      <c r="D2967" s="4108" t="inlineStr">
        <is>
          <t>202006</t>
        </is>
      </c>
      <c r="E2967" s="4108" t="inlineStr">
        <is>
          <t>0,000000000000</t>
        </is>
      </c>
    </row>
    <row outlineLevel="0" r="2968">
      <c r="A2968" s="4108" t="inlineStr">
        <is>
          <t>135792468202006110235</t>
        </is>
      </c>
      <c r="B2968" s="4108" t="inlineStr">
        <is>
          <t>110235</t>
        </is>
      </c>
      <c r="C2968" s="4108" t="inlineStr">
        <is>
          <t>135792468</t>
        </is>
      </c>
      <c r="D2968" s="4108" t="inlineStr">
        <is>
          <t>202006</t>
        </is>
      </c>
      <c r="E2968" s="4108" t="inlineStr">
        <is>
          <t>0,000000000000</t>
        </is>
      </c>
    </row>
    <row outlineLevel="0" r="2969">
      <c r="A2969" s="4108" t="inlineStr">
        <is>
          <t>135792468202006110255</t>
        </is>
      </c>
      <c r="B2969" s="4108" t="inlineStr">
        <is>
          <t>110255</t>
        </is>
      </c>
      <c r="C2969" s="4108" t="inlineStr">
        <is>
          <t>135792468</t>
        </is>
      </c>
      <c r="D2969" s="4108" t="inlineStr">
        <is>
          <t>202006</t>
        </is>
      </c>
      <c r="E2969" s="4108" t="inlineStr">
        <is>
          <t>0,000000000000</t>
        </is>
      </c>
    </row>
    <row outlineLevel="0" r="2970">
      <c r="A2970" s="4108" t="inlineStr">
        <is>
          <t>135792468202006110260</t>
        </is>
      </c>
      <c r="B2970" s="4108" t="inlineStr">
        <is>
          <t>110260</t>
        </is>
      </c>
      <c r="C2970" s="4108" t="inlineStr">
        <is>
          <t>135792468</t>
        </is>
      </c>
      <c r="D2970" s="4108" t="inlineStr">
        <is>
          <t>202006</t>
        </is>
      </c>
      <c r="E2970" s="4108" t="inlineStr">
        <is>
          <t>0,000000000000</t>
        </is>
      </c>
    </row>
    <row outlineLevel="0" r="2971">
      <c r="A2971" s="4108" t="inlineStr">
        <is>
          <t>135792468202006110305</t>
        </is>
      </c>
      <c r="B2971" s="4108" t="inlineStr">
        <is>
          <t>110305</t>
        </is>
      </c>
      <c r="C2971" s="4108" t="inlineStr">
        <is>
          <t>135792468</t>
        </is>
      </c>
      <c r="D2971" s="4108" t="inlineStr">
        <is>
          <t>202006</t>
        </is>
      </c>
      <c r="E2971" s="4108" t="inlineStr">
        <is>
          <t>0,000000000000</t>
        </is>
      </c>
    </row>
    <row outlineLevel="0" r="2972">
      <c r="A2972" s="4108" t="inlineStr">
        <is>
          <t>135792468202006110390</t>
        </is>
      </c>
      <c r="B2972" s="4108" t="inlineStr">
        <is>
          <t>110390</t>
        </is>
      </c>
      <c r="C2972" s="4108" t="inlineStr">
        <is>
          <t>135792468</t>
        </is>
      </c>
      <c r="D2972" s="4108" t="inlineStr">
        <is>
          <t>202006</t>
        </is>
      </c>
      <c r="E2972" s="4108" t="inlineStr">
        <is>
          <t>0,000000000000</t>
        </is>
      </c>
    </row>
    <row outlineLevel="0" r="2973">
      <c r="A2973" s="4108" t="inlineStr">
        <is>
          <t>135792468202006110395</t>
        </is>
      </c>
      <c r="B2973" s="4108" t="inlineStr">
        <is>
          <t>110395</t>
        </is>
      </c>
      <c r="C2973" s="4108" t="inlineStr">
        <is>
          <t>135792468</t>
        </is>
      </c>
      <c r="D2973" s="4108" t="inlineStr">
        <is>
          <t>202006</t>
        </is>
      </c>
      <c r="E2973" s="4108" t="inlineStr">
        <is>
          <t>0,000000000000</t>
        </is>
      </c>
    </row>
    <row outlineLevel="0" r="2974">
      <c r="A2974" s="4108" t="inlineStr">
        <is>
          <t>135792468202006110405</t>
        </is>
      </c>
      <c r="B2974" s="4108" t="inlineStr">
        <is>
          <t>110405</t>
        </is>
      </c>
      <c r="C2974" s="4108" t="inlineStr">
        <is>
          <t>135792468</t>
        </is>
      </c>
      <c r="D2974" s="4108" t="inlineStr">
        <is>
          <t>202006</t>
        </is>
      </c>
      <c r="E2974" s="4108" t="inlineStr">
        <is>
          <t>0,000000000000</t>
        </is>
      </c>
    </row>
    <row outlineLevel="0" r="2975">
      <c r="A2975" s="4108" t="inlineStr">
        <is>
          <t>135792468202006110410</t>
        </is>
      </c>
      <c r="B2975" s="4108" t="inlineStr">
        <is>
          <t>110410</t>
        </is>
      </c>
      <c r="C2975" s="4108" t="inlineStr">
        <is>
          <t>135792468</t>
        </is>
      </c>
      <c r="D2975" s="4108" t="inlineStr">
        <is>
          <t>202006</t>
        </is>
      </c>
      <c r="E2975" s="4108" t="inlineStr">
        <is>
          <t>0,000000000000</t>
        </is>
      </c>
    </row>
    <row outlineLevel="0" r="2976">
      <c r="A2976" s="4108" t="inlineStr">
        <is>
          <t>135792468202006110415</t>
        </is>
      </c>
      <c r="B2976" s="4108" t="inlineStr">
        <is>
          <t>110415</t>
        </is>
      </c>
      <c r="C2976" s="4108" t="inlineStr">
        <is>
          <t>135792468</t>
        </is>
      </c>
      <c r="D2976" s="4108" t="inlineStr">
        <is>
          <t>202006</t>
        </is>
      </c>
      <c r="E2976" s="4108" t="inlineStr">
        <is>
          <t>0,000000000000</t>
        </is>
      </c>
    </row>
    <row outlineLevel="0" r="2977">
      <c r="A2977" s="4108" t="inlineStr">
        <is>
          <t>135792468202006110420</t>
        </is>
      </c>
      <c r="B2977" s="4108" t="inlineStr">
        <is>
          <t>110420</t>
        </is>
      </c>
      <c r="C2977" s="4108" t="inlineStr">
        <is>
          <t>135792468</t>
        </is>
      </c>
      <c r="D2977" s="4108" t="inlineStr">
        <is>
          <t>202006</t>
        </is>
      </c>
      <c r="E2977" s="4108" t="inlineStr">
        <is>
          <t>0,000000000000</t>
        </is>
      </c>
    </row>
    <row outlineLevel="0" r="2978">
      <c r="A2978" s="4108" t="inlineStr">
        <is>
          <t>135792468202006110490</t>
        </is>
      </c>
      <c r="B2978" s="4108" t="inlineStr">
        <is>
          <t>110490</t>
        </is>
      </c>
      <c r="C2978" s="4108" t="inlineStr">
        <is>
          <t>135792468</t>
        </is>
      </c>
      <c r="D2978" s="4108" t="inlineStr">
        <is>
          <t>202006</t>
        </is>
      </c>
      <c r="E2978" s="4108" t="inlineStr">
        <is>
          <t>0,000000000000</t>
        </is>
      </c>
    </row>
    <row outlineLevel="0" r="2979">
      <c r="A2979" s="4108" t="inlineStr">
        <is>
          <t>135792468202006110491</t>
        </is>
      </c>
      <c r="B2979" s="4108" t="inlineStr">
        <is>
          <t>110491</t>
        </is>
      </c>
      <c r="C2979" s="4108" t="inlineStr">
        <is>
          <t>135792468</t>
        </is>
      </c>
      <c r="D2979" s="4108" t="inlineStr">
        <is>
          <t>202006</t>
        </is>
      </c>
      <c r="E2979" s="4108" t="inlineStr">
        <is>
          <t>0,000000000000</t>
        </is>
      </c>
    </row>
    <row outlineLevel="0" r="2980">
      <c r="A2980" s="4108" t="inlineStr">
        <is>
          <t>135792468202006110495</t>
        </is>
      </c>
      <c r="B2980" s="4108" t="inlineStr">
        <is>
          <t>110495</t>
        </is>
      </c>
      <c r="C2980" s="4108" t="inlineStr">
        <is>
          <t>135792468</t>
        </is>
      </c>
      <c r="D2980" s="4108" t="inlineStr">
        <is>
          <t>202006</t>
        </is>
      </c>
      <c r="E2980" s="4108" t="inlineStr">
        <is>
          <t>0,000000000000</t>
        </is>
      </c>
    </row>
    <row outlineLevel="0" r="2981">
      <c r="A2981" s="4108" t="inlineStr">
        <is>
          <t>135792468202006111010</t>
        </is>
      </c>
      <c r="B2981" s="4108" t="inlineStr">
        <is>
          <t>111010</t>
        </is>
      </c>
      <c r="C2981" s="4108" t="inlineStr">
        <is>
          <t>135792468</t>
        </is>
      </c>
      <c r="D2981" s="4108" t="inlineStr">
        <is>
          <t>202006</t>
        </is>
      </c>
      <c r="E2981" s="4108" t="inlineStr">
        <is>
          <t>0,000000000000</t>
        </is>
      </c>
    </row>
    <row outlineLevel="0" r="2982">
      <c r="A2982" s="4108" t="inlineStr">
        <is>
          <t>135792468202006120104</t>
        </is>
      </c>
      <c r="B2982" s="4108" t="inlineStr">
        <is>
          <t>120104</t>
        </is>
      </c>
      <c r="C2982" s="4108" t="inlineStr">
        <is>
          <t>135792468</t>
        </is>
      </c>
      <c r="D2982" s="4108" t="inlineStr">
        <is>
          <t>202006</t>
        </is>
      </c>
      <c r="E2982" s="4108" t="inlineStr">
        <is>
          <t>0,000000000000</t>
        </is>
      </c>
    </row>
    <row outlineLevel="0" r="2983">
      <c r="A2983" s="4108" t="inlineStr">
        <is>
          <t>135792468202006120108</t>
        </is>
      </c>
      <c r="B2983" s="4108" t="inlineStr">
        <is>
          <t>120108</t>
        </is>
      </c>
      <c r="C2983" s="4108" t="inlineStr">
        <is>
          <t>135792468</t>
        </is>
      </c>
      <c r="D2983" s="4108" t="inlineStr">
        <is>
          <t>202006</t>
        </is>
      </c>
      <c r="E2983" s="4108" t="inlineStr">
        <is>
          <t>0,000000000000</t>
        </is>
      </c>
    </row>
    <row outlineLevel="0" r="2984">
      <c r="A2984" s="4108" t="inlineStr">
        <is>
          <t>135792468202006120116</t>
        </is>
      </c>
      <c r="B2984" s="4108" t="inlineStr">
        <is>
          <t>120116</t>
        </is>
      </c>
      <c r="C2984" s="4108" t="inlineStr">
        <is>
          <t>135792468</t>
        </is>
      </c>
      <c r="D2984" s="4108" t="inlineStr">
        <is>
          <t>202006</t>
        </is>
      </c>
      <c r="E2984" s="4108" t="inlineStr">
        <is>
          <t>0,000000000000</t>
        </is>
      </c>
    </row>
    <row outlineLevel="0" r="2985">
      <c r="A2985" s="4108" t="inlineStr">
        <is>
          <t>135792468202006120120</t>
        </is>
      </c>
      <c r="B2985" s="4108" t="inlineStr">
        <is>
          <t>120120</t>
        </is>
      </c>
      <c r="C2985" s="4108" t="inlineStr">
        <is>
          <t>135792468</t>
        </is>
      </c>
      <c r="D2985" s="4108" t="inlineStr">
        <is>
          <t>202006</t>
        </is>
      </c>
      <c r="E2985" s="4108" t="inlineStr">
        <is>
          <t>0,000000000000</t>
        </is>
      </c>
    </row>
    <row outlineLevel="0" r="2986">
      <c r="A2986" s="4108" t="inlineStr">
        <is>
          <t>135792468202006120124</t>
        </is>
      </c>
      <c r="B2986" s="4108" t="inlineStr">
        <is>
          <t>120124</t>
        </is>
      </c>
      <c r="C2986" s="4108" t="inlineStr">
        <is>
          <t>135792468</t>
        </is>
      </c>
      <c r="D2986" s="4108" t="inlineStr">
        <is>
          <t>202006</t>
        </is>
      </c>
      <c r="E2986" s="4108" t="inlineStr">
        <is>
          <t>0,000000000000</t>
        </is>
      </c>
    </row>
    <row outlineLevel="0" r="2987">
      <c r="A2987" s="4108" t="inlineStr">
        <is>
          <t>135792468202006120128</t>
        </is>
      </c>
      <c r="B2987" s="4108" t="inlineStr">
        <is>
          <t>120128</t>
        </is>
      </c>
      <c r="C2987" s="4108" t="inlineStr">
        <is>
          <t>135792468</t>
        </is>
      </c>
      <c r="D2987" s="4108" t="inlineStr">
        <is>
          <t>202006</t>
        </is>
      </c>
      <c r="E2987" s="4108" t="inlineStr">
        <is>
          <t>0,000000000000</t>
        </is>
      </c>
    </row>
    <row outlineLevel="0" r="2988">
      <c r="A2988" s="4108" t="inlineStr">
        <is>
          <t>135792468202006120140</t>
        </is>
      </c>
      <c r="B2988" s="4108" t="inlineStr">
        <is>
          <t>120140</t>
        </is>
      </c>
      <c r="C2988" s="4108" t="inlineStr">
        <is>
          <t>135792468</t>
        </is>
      </c>
      <c r="D2988" s="4108" t="inlineStr">
        <is>
          <t>202006</t>
        </is>
      </c>
      <c r="E2988" s="4108" t="inlineStr">
        <is>
          <t>0,000000000000</t>
        </is>
      </c>
    </row>
    <row outlineLevel="0" r="2989">
      <c r="A2989" s="4108" t="inlineStr">
        <is>
          <t>135792468202006120145</t>
        </is>
      </c>
      <c r="B2989" s="4108" t="inlineStr">
        <is>
          <t>120145</t>
        </is>
      </c>
      <c r="C2989" s="4108" t="inlineStr">
        <is>
          <t>135792468</t>
        </is>
      </c>
      <c r="D2989" s="4108" t="inlineStr">
        <is>
          <t>202006</t>
        </is>
      </c>
      <c r="E2989" s="4108" t="inlineStr">
        <is>
          <t>0,000000000000</t>
        </is>
      </c>
    </row>
    <row outlineLevel="0" r="2990">
      <c r="A2990" s="4108" t="inlineStr">
        <is>
          <t>135792468202006120195</t>
        </is>
      </c>
      <c r="B2990" s="4108" t="inlineStr">
        <is>
          <t>120195</t>
        </is>
      </c>
      <c r="C2990" s="4108" t="inlineStr">
        <is>
          <t>135792468</t>
        </is>
      </c>
      <c r="D2990" s="4108" t="inlineStr">
        <is>
          <t>202006</t>
        </is>
      </c>
      <c r="E2990" s="4108" t="inlineStr">
        <is>
          <t>0,000000000000</t>
        </is>
      </c>
    </row>
    <row outlineLevel="0" r="2991">
      <c r="A2991" s="4108" t="inlineStr">
        <is>
          <t>135792468202006120501</t>
        </is>
      </c>
      <c r="B2991" s="4108" t="inlineStr">
        <is>
          <t>120501</t>
        </is>
      </c>
      <c r="C2991" s="4108" t="inlineStr">
        <is>
          <t>135792468</t>
        </is>
      </c>
      <c r="D2991" s="4108" t="inlineStr">
        <is>
          <t>202006</t>
        </is>
      </c>
      <c r="E2991" s="4108" t="inlineStr">
        <is>
          <t>0,000000000000</t>
        </is>
      </c>
    </row>
    <row outlineLevel="0" r="2992">
      <c r="A2992" s="4108" t="inlineStr">
        <is>
          <t>135792468202006120610</t>
        </is>
      </c>
      <c r="B2992" s="4108" t="inlineStr">
        <is>
          <t>120610</t>
        </is>
      </c>
      <c r="C2992" s="4108" t="inlineStr">
        <is>
          <t>135792468</t>
        </is>
      </c>
      <c r="D2992" s="4108" t="inlineStr">
        <is>
          <t>202006</t>
        </is>
      </c>
      <c r="E2992" s="4108" t="inlineStr">
        <is>
          <t>0,000000000000</t>
        </is>
      </c>
    </row>
    <row outlineLevel="0" r="2993">
      <c r="A2993" s="4108" t="inlineStr">
        <is>
          <t>135792468202006120615</t>
        </is>
      </c>
      <c r="B2993" s="4108" t="inlineStr">
        <is>
          <t>120615</t>
        </is>
      </c>
      <c r="C2993" s="4108" t="inlineStr">
        <is>
          <t>135792468</t>
        </is>
      </c>
      <c r="D2993" s="4108" t="inlineStr">
        <is>
          <t>202006</t>
        </is>
      </c>
      <c r="E2993" s="4108" t="inlineStr">
        <is>
          <t>0,000000000000</t>
        </is>
      </c>
    </row>
    <row outlineLevel="0" r="2994">
      <c r="A2994" s="4108" t="inlineStr">
        <is>
          <t>135792468202006120620</t>
        </is>
      </c>
      <c r="B2994" s="4108" t="inlineStr">
        <is>
          <t>120620</t>
        </is>
      </c>
      <c r="C2994" s="4108" t="inlineStr">
        <is>
          <t>135792468</t>
        </is>
      </c>
      <c r="D2994" s="4108" t="inlineStr">
        <is>
          <t>202006</t>
        </is>
      </c>
      <c r="E2994" s="4108" t="inlineStr">
        <is>
          <t>0,000000000000</t>
        </is>
      </c>
    </row>
    <row outlineLevel="0" r="2995">
      <c r="A2995" s="4108" t="inlineStr">
        <is>
          <t>135792468202006121001</t>
        </is>
      </c>
      <c r="B2995" s="4108" t="inlineStr">
        <is>
          <t>121001</t>
        </is>
      </c>
      <c r="C2995" s="4108" t="inlineStr">
        <is>
          <t>135792468</t>
        </is>
      </c>
      <c r="D2995" s="4108" t="inlineStr">
        <is>
          <t>202006</t>
        </is>
      </c>
      <c r="E2995" s="4108" t="inlineStr">
        <is>
          <t>0,000000000000</t>
        </is>
      </c>
    </row>
    <row outlineLevel="0" r="2996">
      <c r="A2996" s="4108" t="inlineStr">
        <is>
          <t>135792468202006121501</t>
        </is>
      </c>
      <c r="B2996" s="4108" t="inlineStr">
        <is>
          <t>121501</t>
        </is>
      </c>
      <c r="C2996" s="4108" t="inlineStr">
        <is>
          <t>135792468</t>
        </is>
      </c>
      <c r="D2996" s="4108" t="inlineStr">
        <is>
          <t>202006</t>
        </is>
      </c>
      <c r="E2996" s="4108" t="inlineStr">
        <is>
          <t>0,000000000000</t>
        </is>
      </c>
    </row>
    <row outlineLevel="0" r="2997">
      <c r="A2997" s="4108" t="inlineStr">
        <is>
          <t>135792468202006123501</t>
        </is>
      </c>
      <c r="B2997" s="4108" t="inlineStr">
        <is>
          <t>123501</t>
        </is>
      </c>
      <c r="C2997" s="4108" t="inlineStr">
        <is>
          <t>135792468</t>
        </is>
      </c>
      <c r="D2997" s="4108" t="inlineStr">
        <is>
          <t>202006</t>
        </is>
      </c>
      <c r="E2997" s="4108" t="inlineStr">
        <is>
          <t>0,000000000000</t>
        </is>
      </c>
    </row>
    <row outlineLevel="0" r="2998">
      <c r="A2998" s="4108" t="inlineStr">
        <is>
          <t>135792468202006125501</t>
        </is>
      </c>
      <c r="B2998" s="4108" t="inlineStr">
        <is>
          <t>125501</t>
        </is>
      </c>
      <c r="C2998" s="4108" t="inlineStr">
        <is>
          <t>135792468</t>
        </is>
      </c>
      <c r="D2998" s="4108" t="inlineStr">
        <is>
          <t>202006</t>
        </is>
      </c>
      <c r="E2998" s="4108" t="inlineStr">
        <is>
          <t>0,000000000000</t>
        </is>
      </c>
    </row>
    <row outlineLevel="0" r="2999">
      <c r="A2999" s="4108" t="inlineStr">
        <is>
          <t>135792468202006126001</t>
        </is>
      </c>
      <c r="B2999" s="4108" t="inlineStr">
        <is>
          <t>126001</t>
        </is>
      </c>
      <c r="C2999" s="4108" t="inlineStr">
        <is>
          <t>135792468</t>
        </is>
      </c>
      <c r="D2999" s="4108" t="inlineStr">
        <is>
          <t>202006</t>
        </is>
      </c>
      <c r="E2999" s="4108" t="inlineStr">
        <is>
          <t>0,000000000000</t>
        </is>
      </c>
    </row>
    <row outlineLevel="0" r="3000">
      <c r="A3000" s="4108" t="inlineStr">
        <is>
          <t>135792468202006129501</t>
        </is>
      </c>
      <c r="B3000" s="4108" t="inlineStr">
        <is>
          <t>129501</t>
        </is>
      </c>
      <c r="C3000" s="4108" t="inlineStr">
        <is>
          <t>135792468</t>
        </is>
      </c>
      <c r="D3000" s="4108" t="inlineStr">
        <is>
          <t>202006</t>
        </is>
      </c>
      <c r="E3000" s="4108" t="inlineStr">
        <is>
          <t>0,000000000000</t>
        </is>
      </c>
    </row>
    <row outlineLevel="0" r="3001">
      <c r="A3001" s="4108" t="inlineStr">
        <is>
          <t>135792468202006129700</t>
        </is>
      </c>
      <c r="B3001" s="4108" t="inlineStr">
        <is>
          <t>129700</t>
        </is>
      </c>
      <c r="C3001" s="4108" t="inlineStr">
        <is>
          <t>135792468</t>
        </is>
      </c>
      <c r="D3001" s="4108" t="inlineStr">
        <is>
          <t>202006</t>
        </is>
      </c>
      <c r="E3001" s="4108" t="inlineStr">
        <is>
          <t>0,000000000000</t>
        </is>
      </c>
    </row>
    <row outlineLevel="0" r="3002">
      <c r="A3002" s="4108" t="inlineStr">
        <is>
          <t>135792468202006129701</t>
        </is>
      </c>
      <c r="B3002" s="4108" t="inlineStr">
        <is>
          <t>129701</t>
        </is>
      </c>
      <c r="C3002" s="4108" t="inlineStr">
        <is>
          <t>135792468</t>
        </is>
      </c>
      <c r="D3002" s="4108" t="inlineStr">
        <is>
          <t>202006</t>
        </is>
      </c>
      <c r="E3002" s="4108" t="inlineStr">
        <is>
          <t>0,000000000000</t>
        </is>
      </c>
    </row>
    <row outlineLevel="0" r="3003">
      <c r="A3003" s="4108" t="inlineStr">
        <is>
          <t>135792468202006129901</t>
        </is>
      </c>
      <c r="B3003" s="4108" t="inlineStr">
        <is>
          <t>129901</t>
        </is>
      </c>
      <c r="C3003" s="4108" t="inlineStr">
        <is>
          <t>135792468</t>
        </is>
      </c>
      <c r="D3003" s="4108" t="inlineStr">
        <is>
          <t>202006</t>
        </is>
      </c>
      <c r="E3003" s="4108" t="inlineStr">
        <is>
          <t>0,000000000000</t>
        </is>
      </c>
    </row>
    <row outlineLevel="0" r="3004">
      <c r="A3004" s="4108" t="inlineStr">
        <is>
          <t>135792468202006130506</t>
        </is>
      </c>
      <c r="B3004" s="4108" t="inlineStr">
        <is>
          <t>130506</t>
        </is>
      </c>
      <c r="C3004" s="4108" t="inlineStr">
        <is>
          <t>135792468</t>
        </is>
      </c>
      <c r="D3004" s="4108" t="inlineStr">
        <is>
          <t>202006</t>
        </is>
      </c>
      <c r="E3004" s="4108" t="inlineStr">
        <is>
          <t>0,000000000000</t>
        </is>
      </c>
    </row>
    <row outlineLevel="0" r="3005">
      <c r="A3005" s="4108" t="inlineStr">
        <is>
          <t>135792468202006130510</t>
        </is>
      </c>
      <c r="B3005" s="4108" t="inlineStr">
        <is>
          <t>130510</t>
        </is>
      </c>
      <c r="C3005" s="4108" t="inlineStr">
        <is>
          <t>135792468</t>
        </is>
      </c>
      <c r="D3005" s="4108" t="inlineStr">
        <is>
          <t>202006</t>
        </is>
      </c>
      <c r="E3005" s="4108" t="inlineStr">
        <is>
          <t>0,000000000000</t>
        </is>
      </c>
    </row>
    <row outlineLevel="0" r="3006">
      <c r="A3006" s="4108" t="inlineStr">
        <is>
          <t>135792468202006130511</t>
        </is>
      </c>
      <c r="B3006" s="4108" t="inlineStr">
        <is>
          <t>130511</t>
        </is>
      </c>
      <c r="C3006" s="4108" t="inlineStr">
        <is>
          <t>135792468</t>
        </is>
      </c>
      <c r="D3006" s="4108" t="inlineStr">
        <is>
          <t>202006</t>
        </is>
      </c>
      <c r="E3006" s="4108" t="inlineStr">
        <is>
          <t>0,000000000000</t>
        </is>
      </c>
    </row>
    <row outlineLevel="0" r="3007">
      <c r="A3007" s="4108" t="inlineStr">
        <is>
          <t>135792468202006131000</t>
        </is>
      </c>
      <c r="B3007" s="4108" t="inlineStr">
        <is>
          <t>131000</t>
        </is>
      </c>
      <c r="C3007" s="4108" t="inlineStr">
        <is>
          <t>135792468</t>
        </is>
      </c>
      <c r="D3007" s="4108" t="inlineStr">
        <is>
          <t>202006</t>
        </is>
      </c>
      <c r="E3007" s="4108" t="inlineStr">
        <is>
          <t>0,000000000000</t>
        </is>
      </c>
    </row>
    <row outlineLevel="0" r="3008">
      <c r="A3008" s="4108" t="inlineStr">
        <is>
          <t>135792468202006131001</t>
        </is>
      </c>
      <c r="B3008" s="4108" t="inlineStr">
        <is>
          <t>131001</t>
        </is>
      </c>
      <c r="C3008" s="4108" t="inlineStr">
        <is>
          <t>135792468</t>
        </is>
      </c>
      <c r="D3008" s="4108" t="inlineStr">
        <is>
          <t>202006</t>
        </is>
      </c>
      <c r="E3008" s="4108" t="inlineStr">
        <is>
          <t>0,000000000000</t>
        </is>
      </c>
    </row>
    <row outlineLevel="0" r="3009">
      <c r="A3009" s="4108" t="inlineStr">
        <is>
          <t>135792468202006131501</t>
        </is>
      </c>
      <c r="B3009" s="4108" t="inlineStr">
        <is>
          <t>131501</t>
        </is>
      </c>
      <c r="C3009" s="4108" t="inlineStr">
        <is>
          <t>135792468</t>
        </is>
      </c>
      <c r="D3009" s="4108" t="inlineStr">
        <is>
          <t>202006</t>
        </is>
      </c>
      <c r="E3009" s="4108" t="inlineStr">
        <is>
          <t>0,000000000000</t>
        </is>
      </c>
    </row>
    <row outlineLevel="0" r="3010">
      <c r="A3010" s="4108" t="inlineStr">
        <is>
          <t>135792468202006132000</t>
        </is>
      </c>
      <c r="B3010" s="4108" t="inlineStr">
        <is>
          <t>132000</t>
        </is>
      </c>
      <c r="C3010" s="4108" t="inlineStr">
        <is>
          <t>135792468</t>
        </is>
      </c>
      <c r="D3010" s="4108" t="inlineStr">
        <is>
          <t>202006</t>
        </is>
      </c>
      <c r="E3010" s="4108" t="inlineStr">
        <is>
          <t>0,000000000000</t>
        </is>
      </c>
    </row>
    <row outlineLevel="0" r="3011">
      <c r="A3011" s="4108" t="inlineStr">
        <is>
          <t>135792468202006132001</t>
        </is>
      </c>
      <c r="B3011" s="4108" t="inlineStr">
        <is>
          <t>132001</t>
        </is>
      </c>
      <c r="C3011" s="4108" t="inlineStr">
        <is>
          <t>135792468</t>
        </is>
      </c>
      <c r="D3011" s="4108" t="inlineStr">
        <is>
          <t>202006</t>
        </is>
      </c>
      <c r="E3011" s="4108" t="inlineStr">
        <is>
          <t>0,000000000000</t>
        </is>
      </c>
    </row>
    <row outlineLevel="0" r="3012">
      <c r="A3012" s="4108" t="inlineStr">
        <is>
          <t>135792468202006132500</t>
        </is>
      </c>
      <c r="B3012" s="4108" t="inlineStr">
        <is>
          <t>132500</t>
        </is>
      </c>
      <c r="C3012" s="4108" t="inlineStr">
        <is>
          <t>135792468</t>
        </is>
      </c>
      <c r="D3012" s="4108" t="inlineStr">
        <is>
          <t>202006</t>
        </is>
      </c>
      <c r="E3012" s="4108" t="inlineStr">
        <is>
          <t>0,000000000000</t>
        </is>
      </c>
    </row>
    <row outlineLevel="0" r="3013">
      <c r="A3013" s="4108" t="inlineStr">
        <is>
          <t>135792468202006132501</t>
        </is>
      </c>
      <c r="B3013" s="4108" t="inlineStr">
        <is>
          <t>132501</t>
        </is>
      </c>
      <c r="C3013" s="4108" t="inlineStr">
        <is>
          <t>135792468</t>
        </is>
      </c>
      <c r="D3013" s="4108" t="inlineStr">
        <is>
          <t>202006</t>
        </is>
      </c>
      <c r="E3013" s="4108" t="inlineStr">
        <is>
          <t>0,000000000000</t>
        </is>
      </c>
    </row>
    <row outlineLevel="0" r="3014">
      <c r="A3014" s="4108" t="inlineStr">
        <is>
          <t>135792468202006133000</t>
        </is>
      </c>
      <c r="B3014" s="4108" t="inlineStr">
        <is>
          <t>133000</t>
        </is>
      </c>
      <c r="C3014" s="4108" t="inlineStr">
        <is>
          <t>135792468</t>
        </is>
      </c>
      <c r="D3014" s="4108" t="inlineStr">
        <is>
          <t>202006</t>
        </is>
      </c>
      <c r="E3014" s="4108" t="inlineStr">
        <is>
          <t>0,000000000000</t>
        </is>
      </c>
    </row>
    <row outlineLevel="0" r="3015">
      <c r="A3015" s="4108" t="inlineStr">
        <is>
          <t>135792468202006133001</t>
        </is>
      </c>
      <c r="B3015" s="4108" t="inlineStr">
        <is>
          <t>133001</t>
        </is>
      </c>
      <c r="C3015" s="4108" t="inlineStr">
        <is>
          <t>135792468</t>
        </is>
      </c>
      <c r="D3015" s="4108" t="inlineStr">
        <is>
          <t>202006</t>
        </is>
      </c>
      <c r="E3015" s="4108" t="inlineStr">
        <is>
          <t>0,000000000000</t>
        </is>
      </c>
    </row>
    <row outlineLevel="0" r="3016">
      <c r="A3016" s="4108" t="inlineStr">
        <is>
          <t>135792468202006133500</t>
        </is>
      </c>
      <c r="B3016" s="4108" t="inlineStr">
        <is>
          <t>133500</t>
        </is>
      </c>
      <c r="C3016" s="4108" t="inlineStr">
        <is>
          <t>135792468</t>
        </is>
      </c>
      <c r="D3016" s="4108" t="inlineStr">
        <is>
          <t>202006</t>
        </is>
      </c>
      <c r="E3016" s="4108" t="inlineStr">
        <is>
          <t>0,000000000000</t>
        </is>
      </c>
    </row>
    <row outlineLevel="0" r="3017">
      <c r="A3017" s="4108" t="inlineStr">
        <is>
          <t>135792468202006133501</t>
        </is>
      </c>
      <c r="B3017" s="4108" t="inlineStr">
        <is>
          <t>133501</t>
        </is>
      </c>
      <c r="C3017" s="4108" t="inlineStr">
        <is>
          <t>135792468</t>
        </is>
      </c>
      <c r="D3017" s="4108" t="inlineStr">
        <is>
          <t>202006</t>
        </is>
      </c>
      <c r="E3017" s="4108" t="inlineStr">
        <is>
          <t>0,000000000000</t>
        </is>
      </c>
    </row>
    <row outlineLevel="0" r="3018">
      <c r="A3018" s="4108" t="inlineStr">
        <is>
          <t>135792468202006134000</t>
        </is>
      </c>
      <c r="B3018" s="4108" t="inlineStr">
        <is>
          <t>134000</t>
        </is>
      </c>
      <c r="C3018" s="4108" t="inlineStr">
        <is>
          <t>135792468</t>
        </is>
      </c>
      <c r="D3018" s="4108" t="inlineStr">
        <is>
          <t>202006</t>
        </is>
      </c>
      <c r="E3018" s="4108" t="inlineStr">
        <is>
          <t>5,000000000000</t>
        </is>
      </c>
    </row>
    <row outlineLevel="0" r="3019">
      <c r="A3019" s="4108" t="inlineStr">
        <is>
          <t>135792468202006134001</t>
        </is>
      </c>
      <c r="B3019" s="4108" t="inlineStr">
        <is>
          <t>134001</t>
        </is>
      </c>
      <c r="C3019" s="4108" t="inlineStr">
        <is>
          <t>135792468</t>
        </is>
      </c>
      <c r="D3019" s="4108" t="inlineStr">
        <is>
          <t>202006</t>
        </is>
      </c>
      <c r="E3019" s="4108" t="inlineStr">
        <is>
          <t>0,000000000000</t>
        </is>
      </c>
    </row>
    <row outlineLevel="0" r="3020">
      <c r="A3020" s="4108" t="inlineStr">
        <is>
          <t>135792468202006134500</t>
        </is>
      </c>
      <c r="B3020" s="4108" t="inlineStr">
        <is>
          <t>134500</t>
        </is>
      </c>
      <c r="C3020" s="4108" t="inlineStr">
        <is>
          <t>135792468</t>
        </is>
      </c>
      <c r="D3020" s="4108" t="inlineStr">
        <is>
          <t>202006</t>
        </is>
      </c>
      <c r="E3020" s="4108" t="inlineStr">
        <is>
          <t>0,000000000000</t>
        </is>
      </c>
    </row>
    <row outlineLevel="0" r="3021">
      <c r="A3021" s="4108" t="inlineStr">
        <is>
          <t>135792468202006134501</t>
        </is>
      </c>
      <c r="B3021" s="4108" t="inlineStr">
        <is>
          <t>134501</t>
        </is>
      </c>
      <c r="C3021" s="4108" t="inlineStr">
        <is>
          <t>135792468</t>
        </is>
      </c>
      <c r="D3021" s="4108" t="inlineStr">
        <is>
          <t>202006</t>
        </is>
      </c>
      <c r="E3021" s="4108" t="inlineStr">
        <is>
          <t>0,000000000000</t>
        </is>
      </c>
    </row>
    <row outlineLevel="0" r="3022">
      <c r="A3022" s="4108" t="inlineStr">
        <is>
          <t>135792468202006135000</t>
        </is>
      </c>
      <c r="B3022" s="4108" t="inlineStr">
        <is>
          <t>135000</t>
        </is>
      </c>
      <c r="C3022" s="4108" t="inlineStr">
        <is>
          <t>135792468</t>
        </is>
      </c>
      <c r="D3022" s="4108" t="inlineStr">
        <is>
          <t>202006</t>
        </is>
      </c>
      <c r="E3022" s="4108" t="inlineStr">
        <is>
          <t>0,000000000000</t>
        </is>
      </c>
    </row>
    <row outlineLevel="0" r="3023">
      <c r="A3023" s="4108" t="inlineStr">
        <is>
          <t>135792468202006135001</t>
        </is>
      </c>
      <c r="B3023" s="4108" t="inlineStr">
        <is>
          <t>135001</t>
        </is>
      </c>
      <c r="C3023" s="4108" t="inlineStr">
        <is>
          <t>135792468</t>
        </is>
      </c>
      <c r="D3023" s="4108" t="inlineStr">
        <is>
          <t>202006</t>
        </is>
      </c>
      <c r="E3023" s="4108" t="inlineStr">
        <is>
          <t>0,000000000000</t>
        </is>
      </c>
    </row>
    <row outlineLevel="0" r="3024">
      <c r="A3024" s="4108" t="inlineStr">
        <is>
          <t>135792468202006135500</t>
        </is>
      </c>
      <c r="B3024" s="4108" t="inlineStr">
        <is>
          <t>135500</t>
        </is>
      </c>
      <c r="C3024" s="4108" t="inlineStr">
        <is>
          <t>135792468</t>
        </is>
      </c>
      <c r="D3024" s="4108" t="inlineStr">
        <is>
          <t>202006</t>
        </is>
      </c>
      <c r="E3024" s="4108" t="inlineStr">
        <is>
          <t>0,000000000000</t>
        </is>
      </c>
    </row>
    <row outlineLevel="0" r="3025">
      <c r="A3025" s="4108" t="inlineStr">
        <is>
          <t>135792468202006135501</t>
        </is>
      </c>
      <c r="B3025" s="4108" t="inlineStr">
        <is>
          <t>135501</t>
        </is>
      </c>
      <c r="C3025" s="4108" t="inlineStr">
        <is>
          <t>135792468</t>
        </is>
      </c>
      <c r="D3025" s="4108" t="inlineStr">
        <is>
          <t>202006</t>
        </is>
      </c>
      <c r="E3025" s="4108" t="inlineStr">
        <is>
          <t>0,000000000000</t>
        </is>
      </c>
    </row>
    <row outlineLevel="0" r="3026">
      <c r="A3026" s="4108" t="inlineStr">
        <is>
          <t>135792468202006136000</t>
        </is>
      </c>
      <c r="B3026" s="4108" t="inlineStr">
        <is>
          <t>136000</t>
        </is>
      </c>
      <c r="C3026" s="4108" t="inlineStr">
        <is>
          <t>135792468</t>
        </is>
      </c>
      <c r="D3026" s="4108" t="inlineStr">
        <is>
          <t>202006</t>
        </is>
      </c>
      <c r="E3026" s="4108" t="inlineStr">
        <is>
          <t>0,000000000000</t>
        </is>
      </c>
    </row>
    <row outlineLevel="0" r="3027">
      <c r="A3027" s="4108" t="inlineStr">
        <is>
          <t>135792468202006136001</t>
        </is>
      </c>
      <c r="B3027" s="4108" t="inlineStr">
        <is>
          <t>136001</t>
        </is>
      </c>
      <c r="C3027" s="4108" t="inlineStr">
        <is>
          <t>135792468</t>
        </is>
      </c>
      <c r="D3027" s="4108" t="inlineStr">
        <is>
          <t>202006</t>
        </is>
      </c>
      <c r="E3027" s="4108" t="inlineStr">
        <is>
          <t>0,000000000000</t>
        </is>
      </c>
    </row>
    <row outlineLevel="0" r="3028">
      <c r="A3028" s="4108" t="inlineStr">
        <is>
          <t>135792468202006136500</t>
        </is>
      </c>
      <c r="B3028" s="4108" t="inlineStr">
        <is>
          <t>136500</t>
        </is>
      </c>
      <c r="C3028" s="4108" t="inlineStr">
        <is>
          <t>135792468</t>
        </is>
      </c>
      <c r="D3028" s="4108" t="inlineStr">
        <is>
          <t>202006</t>
        </is>
      </c>
      <c r="E3028" s="4108" t="inlineStr">
        <is>
          <t>0,000000000000</t>
        </is>
      </c>
    </row>
    <row outlineLevel="0" r="3029">
      <c r="A3029" s="4108" t="inlineStr">
        <is>
          <t>135792468202006136501</t>
        </is>
      </c>
      <c r="B3029" s="4108" t="inlineStr">
        <is>
          <t>136501</t>
        </is>
      </c>
      <c r="C3029" s="4108" t="inlineStr">
        <is>
          <t>135792468</t>
        </is>
      </c>
      <c r="D3029" s="4108" t="inlineStr">
        <is>
          <t>202006</t>
        </is>
      </c>
      <c r="E3029" s="4108" t="inlineStr">
        <is>
          <t>0,000000000000</t>
        </is>
      </c>
    </row>
    <row outlineLevel="0" r="3030">
      <c r="A3030" s="4108" t="inlineStr">
        <is>
          <t>135792468202006137000</t>
        </is>
      </c>
      <c r="B3030" s="4108" t="inlineStr">
        <is>
          <t>137000</t>
        </is>
      </c>
      <c r="C3030" s="4108" t="inlineStr">
        <is>
          <t>135792468</t>
        </is>
      </c>
      <c r="D3030" s="4108" t="inlineStr">
        <is>
          <t>202006</t>
        </is>
      </c>
      <c r="E3030" s="4108" t="inlineStr">
        <is>
          <t>0,000000000000</t>
        </is>
      </c>
    </row>
    <row outlineLevel="0" r="3031">
      <c r="A3031" s="4108" t="inlineStr">
        <is>
          <t>135792468202006137001</t>
        </is>
      </c>
      <c r="B3031" s="4108" t="inlineStr">
        <is>
          <t>137001</t>
        </is>
      </c>
      <c r="C3031" s="4108" t="inlineStr">
        <is>
          <t>135792468</t>
        </is>
      </c>
      <c r="D3031" s="4108" t="inlineStr">
        <is>
          <t>202006</t>
        </is>
      </c>
      <c r="E3031" s="4108" t="inlineStr">
        <is>
          <t>0,000000000000</t>
        </is>
      </c>
    </row>
    <row outlineLevel="0" r="3032">
      <c r="A3032" s="4108" t="inlineStr">
        <is>
          <t>135792468202006138001</t>
        </is>
      </c>
      <c r="B3032" s="4108" t="inlineStr">
        <is>
          <t>138001</t>
        </is>
      </c>
      <c r="C3032" s="4108" t="inlineStr">
        <is>
          <t>135792468</t>
        </is>
      </c>
      <c r="D3032" s="4108" t="inlineStr">
        <is>
          <t>202006</t>
        </is>
      </c>
      <c r="E3032" s="4108" t="inlineStr">
        <is>
          <t>0,000000000000</t>
        </is>
      </c>
    </row>
    <row outlineLevel="0" r="3033">
      <c r="A3033" s="4108" t="inlineStr">
        <is>
          <t>135792468202006138501</t>
        </is>
      </c>
      <c r="B3033" s="4108" t="inlineStr">
        <is>
          <t>138501</t>
        </is>
      </c>
      <c r="C3033" s="4108" t="inlineStr">
        <is>
          <t>135792468</t>
        </is>
      </c>
      <c r="D3033" s="4108" t="inlineStr">
        <is>
          <t>202006</t>
        </is>
      </c>
      <c r="E3033" s="4108" t="inlineStr">
        <is>
          <t>0,000000000000</t>
        </is>
      </c>
    </row>
    <row outlineLevel="0" r="3034">
      <c r="A3034" s="4108" t="inlineStr">
        <is>
          <t>135792468202006139000</t>
        </is>
      </c>
      <c r="B3034" s="4108" t="inlineStr">
        <is>
          <t>139000</t>
        </is>
      </c>
      <c r="C3034" s="4108" t="inlineStr">
        <is>
          <t>135792468</t>
        </is>
      </c>
      <c r="D3034" s="4108" t="inlineStr">
        <is>
          <t>202006</t>
        </is>
      </c>
      <c r="E3034" s="4108" t="inlineStr">
        <is>
          <t>0,000000000000</t>
        </is>
      </c>
    </row>
    <row outlineLevel="0" r="3035">
      <c r="A3035" s="4108" t="inlineStr">
        <is>
          <t>135792468202006139001</t>
        </is>
      </c>
      <c r="B3035" s="4108" t="inlineStr">
        <is>
          <t>139001</t>
        </is>
      </c>
      <c r="C3035" s="4108" t="inlineStr">
        <is>
          <t>135792468</t>
        </is>
      </c>
      <c r="D3035" s="4108" t="inlineStr">
        <is>
          <t>202006</t>
        </is>
      </c>
      <c r="E3035" s="4108" t="inlineStr">
        <is>
          <t>0,000000000000</t>
        </is>
      </c>
    </row>
    <row outlineLevel="0" r="3036">
      <c r="A3036" s="4108" t="inlineStr">
        <is>
          <t>135792468202006139500</t>
        </is>
      </c>
      <c r="B3036" s="4108" t="inlineStr">
        <is>
          <t>139500</t>
        </is>
      </c>
      <c r="C3036" s="4108" t="inlineStr">
        <is>
          <t>135792468</t>
        </is>
      </c>
      <c r="D3036" s="4108" t="inlineStr">
        <is>
          <t>202006</t>
        </is>
      </c>
      <c r="E3036" s="4108" t="inlineStr">
        <is>
          <t>0,000000000000</t>
        </is>
      </c>
    </row>
    <row outlineLevel="0" r="3037">
      <c r="A3037" s="4108" t="inlineStr">
        <is>
          <t>135792468202006139901</t>
        </is>
      </c>
      <c r="B3037" s="4108" t="inlineStr">
        <is>
          <t>139901</t>
        </is>
      </c>
      <c r="C3037" s="4108" t="inlineStr">
        <is>
          <t>135792468</t>
        </is>
      </c>
      <c r="D3037" s="4108" t="inlineStr">
        <is>
          <t>202006</t>
        </is>
      </c>
      <c r="E3037" s="4108" t="inlineStr">
        <is>
          <t>0,000000000000</t>
        </is>
      </c>
    </row>
    <row outlineLevel="0" r="3038">
      <c r="A3038" s="4108" t="inlineStr">
        <is>
          <t>135792468202006139905</t>
        </is>
      </c>
      <c r="B3038" s="4108" t="inlineStr">
        <is>
          <t>139905</t>
        </is>
      </c>
      <c r="C3038" s="4108" t="inlineStr">
        <is>
          <t>135792468</t>
        </is>
      </c>
      <c r="D3038" s="4108" t="inlineStr">
        <is>
          <t>202006</t>
        </is>
      </c>
      <c r="E3038" s="4108" t="inlineStr">
        <is>
          <t>0,000000000000</t>
        </is>
      </c>
    </row>
    <row outlineLevel="0" r="3039">
      <c r="A3039" s="4108" t="inlineStr">
        <is>
          <t>135792468202006140005</t>
        </is>
      </c>
      <c r="B3039" s="4108" t="inlineStr">
        <is>
          <t>140005</t>
        </is>
      </c>
      <c r="C3039" s="4108" t="inlineStr">
        <is>
          <t>135792468</t>
        </is>
      </c>
      <c r="D3039" s="4108" t="inlineStr">
        <is>
          <t>202006</t>
        </is>
      </c>
      <c r="E3039" s="4108" t="inlineStr">
        <is>
          <t>0,000000000000</t>
        </is>
      </c>
    </row>
    <row outlineLevel="0" r="3040">
      <c r="A3040" s="4108" t="inlineStr">
        <is>
          <t>135792468202006140010</t>
        </is>
      </c>
      <c r="B3040" s="4108" t="inlineStr">
        <is>
          <t>140010</t>
        </is>
      </c>
      <c r="C3040" s="4108" t="inlineStr">
        <is>
          <t>135792468</t>
        </is>
      </c>
      <c r="D3040" s="4108" t="inlineStr">
        <is>
          <t>202006</t>
        </is>
      </c>
      <c r="E3040" s="4108" t="inlineStr">
        <is>
          <t>0,000000000000</t>
        </is>
      </c>
    </row>
    <row outlineLevel="0" r="3041">
      <c r="A3041" s="4108" t="inlineStr">
        <is>
          <t>135792468202006142500</t>
        </is>
      </c>
      <c r="B3041" s="4108" t="inlineStr">
        <is>
          <t>142500</t>
        </is>
      </c>
      <c r="C3041" s="4108" t="inlineStr">
        <is>
          <t>135792468</t>
        </is>
      </c>
      <c r="D3041" s="4108" t="inlineStr">
        <is>
          <t>202006</t>
        </is>
      </c>
      <c r="E3041" s="4108" t="inlineStr">
        <is>
          <t>0,000000000000</t>
        </is>
      </c>
    </row>
    <row outlineLevel="0" r="3042">
      <c r="A3042" s="4108" t="inlineStr">
        <is>
          <t>135792468202006143500</t>
        </is>
      </c>
      <c r="B3042" s="4108" t="inlineStr">
        <is>
          <t>143500</t>
        </is>
      </c>
      <c r="C3042" s="4108" t="inlineStr">
        <is>
          <t>135792468</t>
        </is>
      </c>
      <c r="D3042" s="4108" t="inlineStr">
        <is>
          <t>202006</t>
        </is>
      </c>
      <c r="E3042" s="4108" t="inlineStr">
        <is>
          <t>0,000000000000</t>
        </is>
      </c>
    </row>
    <row outlineLevel="0" r="3043">
      <c r="A3043" s="4108" t="inlineStr">
        <is>
          <t>135792468202006145500</t>
        </is>
      </c>
      <c r="B3043" s="4108" t="inlineStr">
        <is>
          <t>145500</t>
        </is>
      </c>
      <c r="C3043" s="4108" t="inlineStr">
        <is>
          <t>135792468</t>
        </is>
      </c>
      <c r="D3043" s="4108" t="inlineStr">
        <is>
          <t>202006</t>
        </is>
      </c>
      <c r="E3043" s="4108" t="inlineStr">
        <is>
          <t>0,000000000000</t>
        </is>
      </c>
    </row>
    <row outlineLevel="0" r="3044">
      <c r="A3044" s="4108" t="inlineStr">
        <is>
          <t>135792468202006146000</t>
        </is>
      </c>
      <c r="B3044" s="4108" t="inlineStr">
        <is>
          <t>146000</t>
        </is>
      </c>
      <c r="C3044" s="4108" t="inlineStr">
        <is>
          <t>135792468</t>
        </is>
      </c>
      <c r="D3044" s="4108" t="inlineStr">
        <is>
          <t>202006</t>
        </is>
      </c>
      <c r="E3044" s="4108" t="inlineStr">
        <is>
          <t>0,000000000000</t>
        </is>
      </c>
    </row>
    <row outlineLevel="0" r="3045">
      <c r="A3045" s="4108" t="inlineStr">
        <is>
          <t>135792468202006149510</t>
        </is>
      </c>
      <c r="B3045" s="4108" t="inlineStr">
        <is>
          <t>149510</t>
        </is>
      </c>
      <c r="C3045" s="4108" t="inlineStr">
        <is>
          <t>135792468</t>
        </is>
      </c>
      <c r="D3045" s="4108" t="inlineStr">
        <is>
          <t>202006</t>
        </is>
      </c>
      <c r="E3045" s="4108" t="inlineStr">
        <is>
          <t>0,000000000000</t>
        </is>
      </c>
    </row>
    <row outlineLevel="0" r="3046">
      <c r="A3046" s="4108" t="inlineStr">
        <is>
          <t>135792468202006149900</t>
        </is>
      </c>
      <c r="B3046" s="4108" t="inlineStr">
        <is>
          <t>149900</t>
        </is>
      </c>
      <c r="C3046" s="4108" t="inlineStr">
        <is>
          <t>135792468</t>
        </is>
      </c>
      <c r="D3046" s="4108" t="inlineStr">
        <is>
          <t>202006</t>
        </is>
      </c>
      <c r="E3046" s="4108" t="inlineStr">
        <is>
          <t>0,000000000000</t>
        </is>
      </c>
    </row>
    <row outlineLevel="0" r="3047">
      <c r="A3047" s="4108" t="inlineStr">
        <is>
          <t>135792468202006149901</t>
        </is>
      </c>
      <c r="B3047" s="4108" t="inlineStr">
        <is>
          <t>149901</t>
        </is>
      </c>
      <c r="C3047" s="4108" t="inlineStr">
        <is>
          <t>135792468</t>
        </is>
      </c>
      <c r="D3047" s="4108" t="inlineStr">
        <is>
          <t>202006</t>
        </is>
      </c>
      <c r="E3047" s="4108" t="inlineStr">
        <is>
          <t>0,000000000000</t>
        </is>
      </c>
    </row>
    <row outlineLevel="0" r="3048">
      <c r="A3048" s="4108" t="inlineStr">
        <is>
          <t>135792468202006149902</t>
        </is>
      </c>
      <c r="B3048" s="4108" t="inlineStr">
        <is>
          <t>149902</t>
        </is>
      </c>
      <c r="C3048" s="4108" t="inlineStr">
        <is>
          <t>135792468</t>
        </is>
      </c>
      <c r="D3048" s="4108" t="inlineStr">
        <is>
          <t>202006</t>
        </is>
      </c>
      <c r="E3048" s="4108" t="inlineStr">
        <is>
          <t>0,000000000000</t>
        </is>
      </c>
    </row>
    <row outlineLevel="0" r="3049">
      <c r="A3049" s="4108" t="inlineStr">
        <is>
          <t>135792468202006149910</t>
        </is>
      </c>
      <c r="B3049" s="4108" t="inlineStr">
        <is>
          <t>149910</t>
        </is>
      </c>
      <c r="C3049" s="4108" t="inlineStr">
        <is>
          <t>135792468</t>
        </is>
      </c>
      <c r="D3049" s="4108" t="inlineStr">
        <is>
          <t>202006</t>
        </is>
      </c>
      <c r="E3049" s="4108" t="inlineStr">
        <is>
          <t>0,000000000000</t>
        </is>
      </c>
    </row>
    <row outlineLevel="0" r="3050">
      <c r="A3050" s="4108" t="inlineStr">
        <is>
          <t>135792468202006151201</t>
        </is>
      </c>
      <c r="B3050" s="4108" t="inlineStr">
        <is>
          <t>151201</t>
        </is>
      </c>
      <c r="C3050" s="4108" t="inlineStr">
        <is>
          <t>135792468</t>
        </is>
      </c>
      <c r="D3050" s="4108" t="inlineStr">
        <is>
          <t>202006</t>
        </is>
      </c>
      <c r="E3050" s="4108" t="inlineStr">
        <is>
          <t>0,000000000000</t>
        </is>
      </c>
    </row>
    <row outlineLevel="0" r="3051">
      <c r="A3051" s="4108" t="inlineStr">
        <is>
          <t>135792468202006155601</t>
        </is>
      </c>
      <c r="B3051" s="4108" t="inlineStr">
        <is>
          <t>155601</t>
        </is>
      </c>
      <c r="C3051" s="4108" t="inlineStr">
        <is>
          <t>135792468</t>
        </is>
      </c>
      <c r="D3051" s="4108" t="inlineStr">
        <is>
          <t>202006</t>
        </is>
      </c>
      <c r="E3051" s="4108" t="inlineStr">
        <is>
          <t>0,000000000000</t>
        </is>
      </c>
    </row>
    <row outlineLevel="0" r="3052">
      <c r="A3052" s="4108" t="inlineStr">
        <is>
          <t>135792468202006156001</t>
        </is>
      </c>
      <c r="B3052" s="4108" t="inlineStr">
        <is>
          <t>156001</t>
        </is>
      </c>
      <c r="C3052" s="4108" t="inlineStr">
        <is>
          <t>135792468</t>
        </is>
      </c>
      <c r="D3052" s="4108" t="inlineStr">
        <is>
          <t>202006</t>
        </is>
      </c>
      <c r="E3052" s="4108" t="inlineStr">
        <is>
          <t>0,000000000000</t>
        </is>
      </c>
    </row>
    <row outlineLevel="0" r="3053">
      <c r="A3053" s="4108" t="inlineStr">
        <is>
          <t>135792468202006156401</t>
        </is>
      </c>
      <c r="B3053" s="4108" t="inlineStr">
        <is>
          <t>156401</t>
        </is>
      </c>
      <c r="C3053" s="4108" t="inlineStr">
        <is>
          <t>135792468</t>
        </is>
      </c>
      <c r="D3053" s="4108" t="inlineStr">
        <is>
          <t>202006</t>
        </is>
      </c>
      <c r="E3053" s="4108" t="inlineStr">
        <is>
          <t>0,000000000000</t>
        </is>
      </c>
    </row>
    <row outlineLevel="0" r="3054">
      <c r="A3054" s="4108" t="inlineStr">
        <is>
          <t>135792468202006157201</t>
        </is>
      </c>
      <c r="B3054" s="4108" t="inlineStr">
        <is>
          <t>157201</t>
        </is>
      </c>
      <c r="C3054" s="4108" t="inlineStr">
        <is>
          <t>135792468</t>
        </is>
      </c>
      <c r="D3054" s="4108" t="inlineStr">
        <is>
          <t>202006</t>
        </is>
      </c>
      <c r="E3054" s="4108" t="inlineStr">
        <is>
          <t>0,000000000000</t>
        </is>
      </c>
    </row>
    <row outlineLevel="0" r="3055">
      <c r="A3055" s="4108" t="inlineStr">
        <is>
          <t>135792468202006157601</t>
        </is>
      </c>
      <c r="B3055" s="4108" t="inlineStr">
        <is>
          <t>157601</t>
        </is>
      </c>
      <c r="C3055" s="4108" t="inlineStr">
        <is>
          <t>135792468</t>
        </is>
      </c>
      <c r="D3055" s="4108" t="inlineStr">
        <is>
          <t>202006</t>
        </is>
      </c>
      <c r="E3055" s="4108" t="inlineStr">
        <is>
          <t>0,000000000000</t>
        </is>
      </c>
    </row>
    <row outlineLevel="0" r="3056">
      <c r="A3056" s="4108" t="inlineStr">
        <is>
          <t>135792468202006158401</t>
        </is>
      </c>
      <c r="B3056" s="4108" t="inlineStr">
        <is>
          <t>158401</t>
        </is>
      </c>
      <c r="C3056" s="4108" t="inlineStr">
        <is>
          <t>135792468</t>
        </is>
      </c>
      <c r="D3056" s="4108" t="inlineStr">
        <is>
          <t>202006</t>
        </is>
      </c>
      <c r="E3056" s="4108" t="inlineStr">
        <is>
          <t>0,000000000000</t>
        </is>
      </c>
    </row>
    <row outlineLevel="0" r="3057">
      <c r="A3057" s="4108" t="inlineStr">
        <is>
          <t>135792468202006158801</t>
        </is>
      </c>
      <c r="B3057" s="4108" t="inlineStr">
        <is>
          <t>158801</t>
        </is>
      </c>
      <c r="C3057" s="4108" t="inlineStr">
        <is>
          <t>135792468</t>
        </is>
      </c>
      <c r="D3057" s="4108" t="inlineStr">
        <is>
          <t>202006</t>
        </is>
      </c>
      <c r="E3057" s="4108" t="inlineStr">
        <is>
          <t>0,000000000000</t>
        </is>
      </c>
    </row>
    <row outlineLevel="0" r="3058">
      <c r="A3058" s="4108" t="inlineStr">
        <is>
          <t>135792468202006159701</t>
        </is>
      </c>
      <c r="B3058" s="4108" t="inlineStr">
        <is>
          <t>159701</t>
        </is>
      </c>
      <c r="C3058" s="4108" t="inlineStr">
        <is>
          <t>135792468</t>
        </is>
      </c>
      <c r="D3058" s="4108" t="inlineStr">
        <is>
          <t>202006</t>
        </is>
      </c>
      <c r="E3058" s="4108" t="inlineStr">
        <is>
          <t>0,000000000000</t>
        </is>
      </c>
    </row>
    <row outlineLevel="0" r="3059">
      <c r="A3059" s="4108" t="inlineStr">
        <is>
          <t>135792468202006159899</t>
        </is>
      </c>
      <c r="B3059" s="4108" t="inlineStr">
        <is>
          <t>159899</t>
        </is>
      </c>
      <c r="C3059" s="4108" t="inlineStr">
        <is>
          <t>135792468</t>
        </is>
      </c>
      <c r="D3059" s="4108" t="inlineStr">
        <is>
          <t>202006</t>
        </is>
      </c>
      <c r="E3059" s="4108" t="inlineStr">
        <is>
          <t>0,000000000000</t>
        </is>
      </c>
    </row>
    <row outlineLevel="0" r="3060">
      <c r="A3060" s="4108" t="inlineStr">
        <is>
          <t>135792468202006159901</t>
        </is>
      </c>
      <c r="B3060" s="4108" t="inlineStr">
        <is>
          <t>159901</t>
        </is>
      </c>
      <c r="C3060" s="4108" t="inlineStr">
        <is>
          <t>135792468</t>
        </is>
      </c>
      <c r="D3060" s="4108" t="inlineStr">
        <is>
          <t>202006</t>
        </is>
      </c>
      <c r="E3060" s="4108" t="inlineStr">
        <is>
          <t>0,000000000000</t>
        </is>
      </c>
    </row>
    <row outlineLevel="0" r="3061">
      <c r="A3061" s="4108" t="inlineStr">
        <is>
          <t>135792468202006160501</t>
        </is>
      </c>
      <c r="B3061" s="4108" t="inlineStr">
        <is>
          <t>160501</t>
        </is>
      </c>
      <c r="C3061" s="4108" t="inlineStr">
        <is>
          <t>135792468</t>
        </is>
      </c>
      <c r="D3061" s="4108" t="inlineStr">
        <is>
          <t>202006</t>
        </is>
      </c>
      <c r="E3061" s="4108" t="inlineStr">
        <is>
          <t>0,000000000000</t>
        </is>
      </c>
    </row>
    <row outlineLevel="0" r="3062">
      <c r="A3062" s="4108" t="inlineStr">
        <is>
          <t>135792468202006161001</t>
        </is>
      </c>
      <c r="B3062" s="4108" t="inlineStr">
        <is>
          <t>161001</t>
        </is>
      </c>
      <c r="C3062" s="4108" t="inlineStr">
        <is>
          <t>135792468</t>
        </is>
      </c>
      <c r="D3062" s="4108" t="inlineStr">
        <is>
          <t>202006</t>
        </is>
      </c>
      <c r="E3062" s="4108" t="inlineStr">
        <is>
          <t>0,000000000000</t>
        </is>
      </c>
    </row>
    <row outlineLevel="0" r="3063">
      <c r="A3063" s="4108" t="inlineStr">
        <is>
          <t>135792468202006163001</t>
        </is>
      </c>
      <c r="B3063" s="4108" t="inlineStr">
        <is>
          <t>163001</t>
        </is>
      </c>
      <c r="C3063" s="4108" t="inlineStr">
        <is>
          <t>135792468</t>
        </is>
      </c>
      <c r="D3063" s="4108" t="inlineStr">
        <is>
          <t>202006</t>
        </is>
      </c>
      <c r="E3063" s="4108" t="inlineStr">
        <is>
          <t>0,000000000000</t>
        </is>
      </c>
    </row>
    <row outlineLevel="0" r="3064">
      <c r="A3064" s="4108" t="inlineStr">
        <is>
          <t>135792468202006164001</t>
        </is>
      </c>
      <c r="B3064" s="4108" t="inlineStr">
        <is>
          <t>164001</t>
        </is>
      </c>
      <c r="C3064" s="4108" t="inlineStr">
        <is>
          <t>135792468</t>
        </is>
      </c>
      <c r="D3064" s="4108" t="inlineStr">
        <is>
          <t>202006</t>
        </is>
      </c>
      <c r="E3064" s="4108" t="inlineStr">
        <is>
          <t>0,000000000000</t>
        </is>
      </c>
    </row>
    <row outlineLevel="0" r="3065">
      <c r="A3065" s="4108" t="inlineStr">
        <is>
          <t>135792468202006169899</t>
        </is>
      </c>
      <c r="B3065" s="4108" t="inlineStr">
        <is>
          <t>169899</t>
        </is>
      </c>
      <c r="C3065" s="4108" t="inlineStr">
        <is>
          <t>135792468</t>
        </is>
      </c>
      <c r="D3065" s="4108" t="inlineStr">
        <is>
          <t>202006</t>
        </is>
      </c>
      <c r="E3065" s="4108" t="inlineStr">
        <is>
          <t>0,000000000000</t>
        </is>
      </c>
    </row>
    <row outlineLevel="0" r="3066">
      <c r="A3066" s="4108" t="inlineStr">
        <is>
          <t>135792468202006169901</t>
        </is>
      </c>
      <c r="B3066" s="4108" t="inlineStr">
        <is>
          <t>169901</t>
        </is>
      </c>
      <c r="C3066" s="4108" t="inlineStr">
        <is>
          <t>135792468</t>
        </is>
      </c>
      <c r="D3066" s="4108" t="inlineStr">
        <is>
          <t>202006</t>
        </is>
      </c>
      <c r="E3066" s="4108" t="inlineStr">
        <is>
          <t>0,000000000000</t>
        </is>
      </c>
    </row>
    <row outlineLevel="0" r="3067">
      <c r="A3067" s="4108" t="inlineStr">
        <is>
          <t>135792468202006170500</t>
        </is>
      </c>
      <c r="B3067" s="4108" t="inlineStr">
        <is>
          <t>170500</t>
        </is>
      </c>
      <c r="C3067" s="4108" t="inlineStr">
        <is>
          <t>135792468</t>
        </is>
      </c>
      <c r="D3067" s="4108" t="inlineStr">
        <is>
          <t>202006</t>
        </is>
      </c>
      <c r="E3067" s="4108" t="inlineStr">
        <is>
          <t>0,000000000000</t>
        </is>
      </c>
    </row>
    <row outlineLevel="0" r="3068">
      <c r="A3068" s="4108" t="inlineStr">
        <is>
          <t>135792468202006171000</t>
        </is>
      </c>
      <c r="B3068" s="4108" t="inlineStr">
        <is>
          <t>171000</t>
        </is>
      </c>
      <c r="C3068" s="4108" t="inlineStr">
        <is>
          <t>135792468</t>
        </is>
      </c>
      <c r="D3068" s="4108" t="inlineStr">
        <is>
          <t>202006</t>
        </is>
      </c>
      <c r="E3068" s="4108" t="inlineStr">
        <is>
          <t>0,000000000000</t>
        </is>
      </c>
    </row>
    <row outlineLevel="0" r="3069">
      <c r="A3069" s="4108" t="inlineStr">
        <is>
          <t>135792468202006173000</t>
        </is>
      </c>
      <c r="B3069" s="4108" t="inlineStr">
        <is>
          <t>173000</t>
        </is>
      </c>
      <c r="C3069" s="4108" t="inlineStr">
        <is>
          <t>135792468</t>
        </is>
      </c>
      <c r="D3069" s="4108" t="inlineStr">
        <is>
          <t>202006</t>
        </is>
      </c>
      <c r="E3069" s="4108" t="inlineStr">
        <is>
          <t>0,000000000000</t>
        </is>
      </c>
    </row>
    <row outlineLevel="0" r="3070">
      <c r="A3070" s="4108" t="inlineStr">
        <is>
          <t>135792468202006173001</t>
        </is>
      </c>
      <c r="B3070" s="4108" t="inlineStr">
        <is>
          <t>173001</t>
        </is>
      </c>
      <c r="C3070" s="4108" t="inlineStr">
        <is>
          <t>135792468</t>
        </is>
      </c>
      <c r="D3070" s="4108" t="inlineStr">
        <is>
          <t>202006</t>
        </is>
      </c>
      <c r="E3070" s="4108" t="inlineStr">
        <is>
          <t>0,000000000000</t>
        </is>
      </c>
    </row>
    <row outlineLevel="0" r="3071">
      <c r="A3071" s="4108" t="inlineStr">
        <is>
          <t>135792468202006179500</t>
        </is>
      </c>
      <c r="B3071" s="4108" t="inlineStr">
        <is>
          <t>179500</t>
        </is>
      </c>
      <c r="C3071" s="4108" t="inlineStr">
        <is>
          <t>135792468</t>
        </is>
      </c>
      <c r="D3071" s="4108" t="inlineStr">
        <is>
          <t>202006</t>
        </is>
      </c>
      <c r="E3071" s="4108" t="inlineStr">
        <is>
          <t>0,000000000000</t>
        </is>
      </c>
    </row>
    <row outlineLevel="0" r="3072">
      <c r="A3072" s="4108" t="inlineStr">
        <is>
          <t>135792468202006179700</t>
        </is>
      </c>
      <c r="B3072" s="4108" t="inlineStr">
        <is>
          <t>179700</t>
        </is>
      </c>
      <c r="C3072" s="4108" t="inlineStr">
        <is>
          <t>135792468</t>
        </is>
      </c>
      <c r="D3072" s="4108" t="inlineStr">
        <is>
          <t>202006</t>
        </is>
      </c>
      <c r="E3072" s="4108" t="inlineStr">
        <is>
          <t>0,000000000000</t>
        </is>
      </c>
    </row>
    <row outlineLevel="0" r="3073">
      <c r="A3073" s="4108" t="inlineStr">
        <is>
          <t>135792468202006179701</t>
        </is>
      </c>
      <c r="B3073" s="4108" t="inlineStr">
        <is>
          <t>179701</t>
        </is>
      </c>
      <c r="C3073" s="4108" t="inlineStr">
        <is>
          <t>135792468</t>
        </is>
      </c>
      <c r="D3073" s="4108" t="inlineStr">
        <is>
          <t>202006</t>
        </is>
      </c>
      <c r="E3073" s="4108" t="inlineStr">
        <is>
          <t>0,000000000000</t>
        </is>
      </c>
    </row>
    <row outlineLevel="0" r="3074">
      <c r="A3074" s="4108" t="inlineStr">
        <is>
          <t>135792468202006179801</t>
        </is>
      </c>
      <c r="B3074" s="4108" t="inlineStr">
        <is>
          <t>179801</t>
        </is>
      </c>
      <c r="C3074" s="4108" t="inlineStr">
        <is>
          <t>135792468</t>
        </is>
      </c>
      <c r="D3074" s="4108" t="inlineStr">
        <is>
          <t>202006</t>
        </is>
      </c>
      <c r="E3074" s="4108" t="inlineStr">
        <is>
          <t>0,000000000000</t>
        </is>
      </c>
    </row>
    <row outlineLevel="0" r="3075">
      <c r="A3075" s="4108" t="inlineStr">
        <is>
          <t>135792468202006180000</t>
        </is>
      </c>
      <c r="B3075" s="4108" t="inlineStr">
        <is>
          <t>180000</t>
        </is>
      </c>
      <c r="C3075" s="4108" t="inlineStr">
        <is>
          <t>135792468</t>
        </is>
      </c>
      <c r="D3075" s="4108" t="inlineStr">
        <is>
          <t>202006</t>
        </is>
      </c>
      <c r="E3075" s="4108" t="inlineStr">
        <is>
          <t>0,000000000000</t>
        </is>
      </c>
    </row>
    <row outlineLevel="0" r="3076">
      <c r="A3076" s="4108" t="inlineStr">
        <is>
          <t>135792468202006180501</t>
        </is>
      </c>
      <c r="B3076" s="4108" t="inlineStr">
        <is>
          <t>180501</t>
        </is>
      </c>
      <c r="C3076" s="4108" t="inlineStr">
        <is>
          <t>135792468</t>
        </is>
      </c>
      <c r="D3076" s="4108" t="inlineStr">
        <is>
          <t>202006</t>
        </is>
      </c>
      <c r="E3076" s="4108" t="inlineStr">
        <is>
          <t>6,000000000000</t>
        </is>
      </c>
    </row>
    <row outlineLevel="0" r="3077">
      <c r="A3077" s="4108" t="inlineStr">
        <is>
          <t>135792468202006181000</t>
        </is>
      </c>
      <c r="B3077" s="4108" t="inlineStr">
        <is>
          <t>181000</t>
        </is>
      </c>
      <c r="C3077" s="4108" t="inlineStr">
        <is>
          <t>135792468</t>
        </is>
      </c>
      <c r="D3077" s="4108" t="inlineStr">
        <is>
          <t>202006</t>
        </is>
      </c>
      <c r="E3077" s="4108" t="inlineStr">
        <is>
          <t>0,000000000000</t>
        </is>
      </c>
    </row>
    <row outlineLevel="0" r="3078">
      <c r="A3078" s="4108" t="inlineStr">
        <is>
          <t>135792468202006189500</t>
        </is>
      </c>
      <c r="B3078" s="4108" t="inlineStr">
        <is>
          <t>189500</t>
        </is>
      </c>
      <c r="C3078" s="4108" t="inlineStr">
        <is>
          <t>135792468</t>
        </is>
      </c>
      <c r="D3078" s="4108" t="inlineStr">
        <is>
          <t>202006</t>
        </is>
      </c>
      <c r="E3078" s="4108" t="inlineStr">
        <is>
          <t>0,000000000000</t>
        </is>
      </c>
    </row>
    <row outlineLevel="0" r="3079">
      <c r="A3079" s="4108" t="inlineStr">
        <is>
          <t>135792468202006189501</t>
        </is>
      </c>
      <c r="B3079" s="4108" t="inlineStr">
        <is>
          <t>189501</t>
        </is>
      </c>
      <c r="C3079" s="4108" t="inlineStr">
        <is>
          <t>135792468</t>
        </is>
      </c>
      <c r="D3079" s="4108" t="inlineStr">
        <is>
          <t>202006</t>
        </is>
      </c>
      <c r="E3079" s="4108" t="inlineStr">
        <is>
          <t>0,000000000000</t>
        </is>
      </c>
    </row>
    <row outlineLevel="0" r="3080">
      <c r="A3080" s="4108" t="inlineStr">
        <is>
          <t>135792468202006189520</t>
        </is>
      </c>
      <c r="B3080" s="4108" t="inlineStr">
        <is>
          <t>189520</t>
        </is>
      </c>
      <c r="C3080" s="4108" t="inlineStr">
        <is>
          <t>135792468</t>
        </is>
      </c>
      <c r="D3080" s="4108" t="inlineStr">
        <is>
          <t>202006</t>
        </is>
      </c>
      <c r="E3080" s="4108" t="inlineStr">
        <is>
          <t>0,000000000000</t>
        </is>
      </c>
    </row>
    <row outlineLevel="0" r="3081">
      <c r="A3081" s="4108" t="inlineStr">
        <is>
          <t>135792468202006189701</t>
        </is>
      </c>
      <c r="B3081" s="4108" t="inlineStr">
        <is>
          <t>189701</t>
        </is>
      </c>
      <c r="C3081" s="4108" t="inlineStr">
        <is>
          <t>135792468</t>
        </is>
      </c>
      <c r="D3081" s="4108" t="inlineStr">
        <is>
          <t>202006</t>
        </is>
      </c>
      <c r="E3081" s="4108" t="inlineStr">
        <is>
          <t>0,000000000000</t>
        </is>
      </c>
    </row>
    <row outlineLevel="0" r="3082">
      <c r="A3082" s="4108" t="inlineStr">
        <is>
          <t>135792468202006189901</t>
        </is>
      </c>
      <c r="B3082" s="4108" t="inlineStr">
        <is>
          <t>189901</t>
        </is>
      </c>
      <c r="C3082" s="4108" t="inlineStr">
        <is>
          <t>135792468</t>
        </is>
      </c>
      <c r="D3082" s="4108" t="inlineStr">
        <is>
          <t>202006</t>
        </is>
      </c>
      <c r="E3082" s="4108" t="inlineStr">
        <is>
          <t>0,000000000000</t>
        </is>
      </c>
    </row>
    <row outlineLevel="0" r="3083">
      <c r="A3083" s="4108" t="inlineStr">
        <is>
          <t>135792468202006190000</t>
        </is>
      </c>
      <c r="B3083" s="4108" t="inlineStr">
        <is>
          <t>190000</t>
        </is>
      </c>
      <c r="C3083" s="4108" t="inlineStr">
        <is>
          <t>135792468</t>
        </is>
      </c>
      <c r="D3083" s="4108" t="inlineStr">
        <is>
          <t>202006</t>
        </is>
      </c>
      <c r="E3083" s="4108" t="inlineStr">
        <is>
          <t>0,000000000000</t>
        </is>
      </c>
    </row>
    <row outlineLevel="0" r="3084">
      <c r="A3084" s="4108" t="inlineStr">
        <is>
          <t>135792468202006190501</t>
        </is>
      </c>
      <c r="B3084" s="4108" t="inlineStr">
        <is>
          <t>190501</t>
        </is>
      </c>
      <c r="C3084" s="4108" t="inlineStr">
        <is>
          <t>135792468</t>
        </is>
      </c>
      <c r="D3084" s="4108" t="inlineStr">
        <is>
          <t>202006</t>
        </is>
      </c>
      <c r="E3084" s="4108" t="inlineStr">
        <is>
          <t>0,000000000000</t>
        </is>
      </c>
    </row>
    <row outlineLevel="0" r="3085">
      <c r="A3085" s="4108" t="inlineStr">
        <is>
          <t>135792468202006191001</t>
        </is>
      </c>
      <c r="B3085" s="4108" t="inlineStr">
        <is>
          <t>191001</t>
        </is>
      </c>
      <c r="C3085" s="4108" t="inlineStr">
        <is>
          <t>135792468</t>
        </is>
      </c>
      <c r="D3085" s="4108" t="inlineStr">
        <is>
          <t>202006</t>
        </is>
      </c>
      <c r="E3085" s="4108" t="inlineStr">
        <is>
          <t>0,000000000000</t>
        </is>
      </c>
    </row>
    <row outlineLevel="0" r="3086">
      <c r="A3086" s="4108" t="inlineStr">
        <is>
          <t>135792468202006199501</t>
        </is>
      </c>
      <c r="B3086" s="4108" t="inlineStr">
        <is>
          <t>199501</t>
        </is>
      </c>
      <c r="C3086" s="4108" t="inlineStr">
        <is>
          <t>135792468</t>
        </is>
      </c>
      <c r="D3086" s="4108" t="inlineStr">
        <is>
          <t>202006</t>
        </is>
      </c>
      <c r="E3086" s="4108" t="inlineStr">
        <is>
          <t>0,000000000000</t>
        </is>
      </c>
    </row>
    <row outlineLevel="0" r="3087">
      <c r="A3087" s="4108" t="inlineStr">
        <is>
          <t>135792468202006210500</t>
        </is>
      </c>
      <c r="B3087" s="4108" t="inlineStr">
        <is>
          <t>210500</t>
        </is>
      </c>
      <c r="C3087" s="4108" t="inlineStr">
        <is>
          <t>135792468</t>
        </is>
      </c>
      <c r="D3087" s="4108" t="inlineStr">
        <is>
          <t>202006</t>
        </is>
      </c>
      <c r="E3087" s="4108" t="inlineStr">
        <is>
          <t>0,000000000000</t>
        </is>
      </c>
    </row>
    <row outlineLevel="0" r="3088">
      <c r="A3088" s="4108" t="inlineStr">
        <is>
          <t>135792468202006210501</t>
        </is>
      </c>
      <c r="B3088" s="4108" t="inlineStr">
        <is>
          <t>210501</t>
        </is>
      </c>
      <c r="C3088" s="4108" t="inlineStr">
        <is>
          <t>135792468</t>
        </is>
      </c>
      <c r="D3088" s="4108" t="inlineStr">
        <is>
          <t>202006</t>
        </is>
      </c>
      <c r="E3088" s="4108" t="inlineStr">
        <is>
          <t>0,000000000000</t>
        </is>
      </c>
    </row>
    <row outlineLevel="0" r="3089">
      <c r="A3089" s="4108" t="inlineStr">
        <is>
          <t>135792468202006211001</t>
        </is>
      </c>
      <c r="B3089" s="4108" t="inlineStr">
        <is>
          <t>211001</t>
        </is>
      </c>
      <c r="C3089" s="4108" t="inlineStr">
        <is>
          <t>135792468</t>
        </is>
      </c>
      <c r="D3089" s="4108" t="inlineStr">
        <is>
          <t>202006</t>
        </is>
      </c>
      <c r="E3089" s="4108" t="inlineStr">
        <is>
          <t>0,000000000000</t>
        </is>
      </c>
    </row>
    <row outlineLevel="0" r="3090">
      <c r="A3090" s="4108" t="inlineStr">
        <is>
          <t>135792468202006211500</t>
        </is>
      </c>
      <c r="B3090" s="4108" t="inlineStr">
        <is>
          <t>211500</t>
        </is>
      </c>
      <c r="C3090" s="4108" t="inlineStr">
        <is>
          <t>135792468</t>
        </is>
      </c>
      <c r="D3090" s="4108" t="inlineStr">
        <is>
          <t>202006</t>
        </is>
      </c>
      <c r="E3090" s="4108" t="inlineStr">
        <is>
          <t>0,000000000000</t>
        </is>
      </c>
    </row>
    <row outlineLevel="0" r="3091">
      <c r="A3091" s="4108" t="inlineStr">
        <is>
          <t>135792468202006219500</t>
        </is>
      </c>
      <c r="B3091" s="4108" t="inlineStr">
        <is>
          <t>219500</t>
        </is>
      </c>
      <c r="C3091" s="4108" t="inlineStr">
        <is>
          <t>135792468</t>
        </is>
      </c>
      <c r="D3091" s="4108" t="inlineStr">
        <is>
          <t>202006</t>
        </is>
      </c>
      <c r="E3091" s="4108" t="inlineStr">
        <is>
          <t>0,000000000000</t>
        </is>
      </c>
    </row>
    <row outlineLevel="0" r="3092">
      <c r="A3092" s="4108" t="inlineStr">
        <is>
          <t>135792468202006220500</t>
        </is>
      </c>
      <c r="B3092" s="4108" t="inlineStr">
        <is>
          <t>220500</t>
        </is>
      </c>
      <c r="C3092" s="4108" t="inlineStr">
        <is>
          <t>135792468</t>
        </is>
      </c>
      <c r="D3092" s="4108" t="inlineStr">
        <is>
          <t>202006</t>
        </is>
      </c>
      <c r="E3092" s="4108" t="inlineStr">
        <is>
          <t>5,000000000000</t>
        </is>
      </c>
    </row>
    <row outlineLevel="0" r="3093">
      <c r="A3093" s="4108" t="inlineStr">
        <is>
          <t>135792468202006220501</t>
        </is>
      </c>
      <c r="B3093" s="4108" t="inlineStr">
        <is>
          <t>220501</t>
        </is>
      </c>
      <c r="C3093" s="4108" t="inlineStr">
        <is>
          <t>135792468</t>
        </is>
      </c>
      <c r="D3093" s="4108" t="inlineStr">
        <is>
          <t>202006</t>
        </is>
      </c>
      <c r="E3093" s="4108" t="inlineStr">
        <is>
          <t>0,000000000000</t>
        </is>
      </c>
    </row>
    <row outlineLevel="0" r="3094">
      <c r="A3094" s="4108" t="inlineStr">
        <is>
          <t>135792468202006221000</t>
        </is>
      </c>
      <c r="B3094" s="4108" t="inlineStr">
        <is>
          <t>221000</t>
        </is>
      </c>
      <c r="C3094" s="4108" t="inlineStr">
        <is>
          <t>135792468</t>
        </is>
      </c>
      <c r="D3094" s="4108" t="inlineStr">
        <is>
          <t>202006</t>
        </is>
      </c>
      <c r="E3094" s="4108" t="inlineStr">
        <is>
          <t>0,000000000000</t>
        </is>
      </c>
    </row>
    <row outlineLevel="0" r="3095">
      <c r="A3095" s="4108" t="inlineStr">
        <is>
          <t>135792468202006221001</t>
        </is>
      </c>
      <c r="B3095" s="4108" t="inlineStr">
        <is>
          <t>221001</t>
        </is>
      </c>
      <c r="C3095" s="4108" t="inlineStr">
        <is>
          <t>135792468</t>
        </is>
      </c>
      <c r="D3095" s="4108" t="inlineStr">
        <is>
          <t>202006</t>
        </is>
      </c>
      <c r="E3095" s="4108" t="inlineStr">
        <is>
          <t>0,000000000000</t>
        </is>
      </c>
    </row>
    <row outlineLevel="0" r="3096">
      <c r="A3096" s="4108" t="inlineStr">
        <is>
          <t>135792468202006221500</t>
        </is>
      </c>
      <c r="B3096" s="4108" t="inlineStr">
        <is>
          <t>221500</t>
        </is>
      </c>
      <c r="C3096" s="4108" t="inlineStr">
        <is>
          <t>135792468</t>
        </is>
      </c>
      <c r="D3096" s="4108" t="inlineStr">
        <is>
          <t>202006</t>
        </is>
      </c>
      <c r="E3096" s="4108" t="inlineStr">
        <is>
          <t>0,000000000000</t>
        </is>
      </c>
    </row>
    <row outlineLevel="0" r="3097">
      <c r="A3097" s="4108" t="inlineStr">
        <is>
          <t>135792468202006230500</t>
        </is>
      </c>
      <c r="B3097" s="4108" t="inlineStr">
        <is>
          <t>230500</t>
        </is>
      </c>
      <c r="C3097" s="4108" t="inlineStr">
        <is>
          <t>135792468</t>
        </is>
      </c>
      <c r="D3097" s="4108" t="inlineStr">
        <is>
          <t>202006</t>
        </is>
      </c>
      <c r="E3097" s="4108" t="inlineStr">
        <is>
          <t>0,000000000000</t>
        </is>
      </c>
    </row>
    <row outlineLevel="0" r="3098">
      <c r="A3098" s="4108" t="inlineStr">
        <is>
          <t>135792468202006230501</t>
        </is>
      </c>
      <c r="B3098" s="4108" t="inlineStr">
        <is>
          <t>230501</t>
        </is>
      </c>
      <c r="C3098" s="4108" t="inlineStr">
        <is>
          <t>135792468</t>
        </is>
      </c>
      <c r="D3098" s="4108" t="inlineStr">
        <is>
          <t>202006</t>
        </is>
      </c>
      <c r="E3098" s="4108" t="inlineStr">
        <is>
          <t>0,000000000000</t>
        </is>
      </c>
    </row>
    <row outlineLevel="0" r="3099">
      <c r="A3099" s="4108" t="inlineStr">
        <is>
          <t>135792468202006231000</t>
        </is>
      </c>
      <c r="B3099" s="4108" t="inlineStr">
        <is>
          <t>231000</t>
        </is>
      </c>
      <c r="C3099" s="4108" t="inlineStr">
        <is>
          <t>135792468</t>
        </is>
      </c>
      <c r="D3099" s="4108" t="inlineStr">
        <is>
          <t>202006</t>
        </is>
      </c>
      <c r="E3099" s="4108" t="inlineStr">
        <is>
          <t>0,000000000000</t>
        </is>
      </c>
    </row>
    <row outlineLevel="0" r="3100">
      <c r="A3100" s="4108" t="inlineStr">
        <is>
          <t>135792468202006231001</t>
        </is>
      </c>
      <c r="B3100" s="4108" t="inlineStr">
        <is>
          <t>231001</t>
        </is>
      </c>
      <c r="C3100" s="4108" t="inlineStr">
        <is>
          <t>135792468</t>
        </is>
      </c>
      <c r="D3100" s="4108" t="inlineStr">
        <is>
          <t>202006</t>
        </is>
      </c>
      <c r="E3100" s="4108" t="inlineStr">
        <is>
          <t>0,000000000000</t>
        </is>
      </c>
    </row>
    <row outlineLevel="0" r="3101">
      <c r="A3101" s="4108" t="inlineStr">
        <is>
          <t>135792468202006231500</t>
        </is>
      </c>
      <c r="B3101" s="4108" t="inlineStr">
        <is>
          <t>231500</t>
        </is>
      </c>
      <c r="C3101" s="4108" t="inlineStr">
        <is>
          <t>135792468</t>
        </is>
      </c>
      <c r="D3101" s="4108" t="inlineStr">
        <is>
          <t>202006</t>
        </is>
      </c>
      <c r="E3101" s="4108" t="inlineStr">
        <is>
          <t>0,000000000000</t>
        </is>
      </c>
    </row>
    <row outlineLevel="0" r="3102">
      <c r="A3102" s="4108" t="inlineStr">
        <is>
          <t>135792468202006231501</t>
        </is>
      </c>
      <c r="B3102" s="4108" t="inlineStr">
        <is>
          <t>231501</t>
        </is>
      </c>
      <c r="C3102" s="4108" t="inlineStr">
        <is>
          <t>135792468</t>
        </is>
      </c>
      <c r="D3102" s="4108" t="inlineStr">
        <is>
          <t>202006</t>
        </is>
      </c>
      <c r="E3102" s="4108" t="inlineStr">
        <is>
          <t>0,000000000000</t>
        </is>
      </c>
    </row>
    <row outlineLevel="0" r="3103">
      <c r="A3103" s="4108" t="inlineStr">
        <is>
          <t>135792468202006232000</t>
        </is>
      </c>
      <c r="B3103" s="4108" t="inlineStr">
        <is>
          <t>232000</t>
        </is>
      </c>
      <c r="C3103" s="4108" t="inlineStr">
        <is>
          <t>135792468</t>
        </is>
      </c>
      <c r="D3103" s="4108" t="inlineStr">
        <is>
          <t>202006</t>
        </is>
      </c>
      <c r="E3103" s="4108" t="inlineStr">
        <is>
          <t>0,000000000000</t>
        </is>
      </c>
    </row>
    <row outlineLevel="0" r="3104">
      <c r="A3104" s="4108" t="inlineStr">
        <is>
          <t>135792468202006232001</t>
        </is>
      </c>
      <c r="B3104" s="4108" t="inlineStr">
        <is>
          <t>232001</t>
        </is>
      </c>
      <c r="C3104" s="4108" t="inlineStr">
        <is>
          <t>135792468</t>
        </is>
      </c>
      <c r="D3104" s="4108" t="inlineStr">
        <is>
          <t>202006</t>
        </is>
      </c>
      <c r="E3104" s="4108" t="inlineStr">
        <is>
          <t>0,000000000000</t>
        </is>
      </c>
    </row>
    <row outlineLevel="0" r="3105">
      <c r="A3105" s="4108" t="inlineStr">
        <is>
          <t>135792468202006233500</t>
        </is>
      </c>
      <c r="B3105" s="4108" t="inlineStr">
        <is>
          <t>233500</t>
        </is>
      </c>
      <c r="C3105" s="4108" t="inlineStr">
        <is>
          <t>135792468</t>
        </is>
      </c>
      <c r="D3105" s="4108" t="inlineStr">
        <is>
          <t>202006</t>
        </is>
      </c>
      <c r="E3105" s="4108" t="inlineStr">
        <is>
          <t>0,000000000000</t>
        </is>
      </c>
    </row>
    <row outlineLevel="0" r="3106">
      <c r="A3106" s="4108" t="inlineStr">
        <is>
          <t>135792468202006233501</t>
        </is>
      </c>
      <c r="B3106" s="4108" t="inlineStr">
        <is>
          <t>233501</t>
        </is>
      </c>
      <c r="C3106" s="4108" t="inlineStr">
        <is>
          <t>135792468</t>
        </is>
      </c>
      <c r="D3106" s="4108" t="inlineStr">
        <is>
          <t>202006</t>
        </is>
      </c>
      <c r="E3106" s="4108" t="inlineStr">
        <is>
          <t>0,000000000000</t>
        </is>
      </c>
    </row>
    <row outlineLevel="0" r="3107">
      <c r="A3107" s="4108" t="inlineStr">
        <is>
          <t>135792468202006234500</t>
        </is>
      </c>
      <c r="B3107" s="4108" t="inlineStr">
        <is>
          <t>234500</t>
        </is>
      </c>
      <c r="C3107" s="4108" t="inlineStr">
        <is>
          <t>135792468</t>
        </is>
      </c>
      <c r="D3107" s="4108" t="inlineStr">
        <is>
          <t>202006</t>
        </is>
      </c>
      <c r="E3107" s="4108" t="inlineStr">
        <is>
          <t>0,000000000000</t>
        </is>
      </c>
    </row>
    <row outlineLevel="0" r="3108">
      <c r="A3108" s="4108" t="inlineStr">
        <is>
          <t>135792468202006234501</t>
        </is>
      </c>
      <c r="B3108" s="4108" t="inlineStr">
        <is>
          <t>234501</t>
        </is>
      </c>
      <c r="C3108" s="4108" t="inlineStr">
        <is>
          <t>135792468</t>
        </is>
      </c>
      <c r="D3108" s="4108" t="inlineStr">
        <is>
          <t>202006</t>
        </is>
      </c>
      <c r="E3108" s="4108" t="inlineStr">
        <is>
          <t>0,000000000000</t>
        </is>
      </c>
    </row>
    <row outlineLevel="0" r="3109">
      <c r="A3109" s="4108" t="inlineStr">
        <is>
          <t>135792468202006235000</t>
        </is>
      </c>
      <c r="B3109" s="4108" t="inlineStr">
        <is>
          <t>235000</t>
        </is>
      </c>
      <c r="C3109" s="4108" t="inlineStr">
        <is>
          <t>135792468</t>
        </is>
      </c>
      <c r="D3109" s="4108" t="inlineStr">
        <is>
          <t>202006</t>
        </is>
      </c>
      <c r="E3109" s="4108" t="inlineStr">
        <is>
          <t>0,000000000000</t>
        </is>
      </c>
    </row>
    <row outlineLevel="0" r="3110">
      <c r="A3110" s="4108" t="inlineStr">
        <is>
          <t>135792468202006235001</t>
        </is>
      </c>
      <c r="B3110" s="4108" t="inlineStr">
        <is>
          <t>235001</t>
        </is>
      </c>
      <c r="C3110" s="4108" t="inlineStr">
        <is>
          <t>135792468</t>
        </is>
      </c>
      <c r="D3110" s="4108" t="inlineStr">
        <is>
          <t>202006</t>
        </is>
      </c>
      <c r="E3110" s="4108" t="inlineStr">
        <is>
          <t>0,000000000000</t>
        </is>
      </c>
    </row>
    <row outlineLevel="0" r="3111">
      <c r="A3111" s="4108" t="inlineStr">
        <is>
          <t>135792468202006235500</t>
        </is>
      </c>
      <c r="B3111" s="4108" t="inlineStr">
        <is>
          <t>235500</t>
        </is>
      </c>
      <c r="C3111" s="4108" t="inlineStr">
        <is>
          <t>135792468</t>
        </is>
      </c>
      <c r="D3111" s="4108" t="inlineStr">
        <is>
          <t>202006</t>
        </is>
      </c>
      <c r="E3111" s="4108" t="inlineStr">
        <is>
          <t>0,000000000000</t>
        </is>
      </c>
    </row>
    <row outlineLevel="0" r="3112">
      <c r="A3112" s="4108" t="inlineStr">
        <is>
          <t>135792468202006235501</t>
        </is>
      </c>
      <c r="B3112" s="4108" t="inlineStr">
        <is>
          <t>235501</t>
        </is>
      </c>
      <c r="C3112" s="4108" t="inlineStr">
        <is>
          <t>135792468</t>
        </is>
      </c>
      <c r="D3112" s="4108" t="inlineStr">
        <is>
          <t>202006</t>
        </is>
      </c>
      <c r="E3112" s="4108" t="inlineStr">
        <is>
          <t>0,000000000000</t>
        </is>
      </c>
    </row>
    <row outlineLevel="0" r="3113">
      <c r="A3113" s="4108" t="inlineStr">
        <is>
          <t>135792468202006236000</t>
        </is>
      </c>
      <c r="B3113" s="4108" t="inlineStr">
        <is>
          <t>236000</t>
        </is>
      </c>
      <c r="C3113" s="4108" t="inlineStr">
        <is>
          <t>135792468</t>
        </is>
      </c>
      <c r="D3113" s="4108" t="inlineStr">
        <is>
          <t>202006</t>
        </is>
      </c>
      <c r="E3113" s="4108" t="inlineStr">
        <is>
          <t>0,000000000000</t>
        </is>
      </c>
    </row>
    <row outlineLevel="0" r="3114">
      <c r="A3114" s="4108" t="inlineStr">
        <is>
          <t>135792468202006236001</t>
        </is>
      </c>
      <c r="B3114" s="4108" t="inlineStr">
        <is>
          <t>236001</t>
        </is>
      </c>
      <c r="C3114" s="4108" t="inlineStr">
        <is>
          <t>135792468</t>
        </is>
      </c>
      <c r="D3114" s="4108" t="inlineStr">
        <is>
          <t>202006</t>
        </is>
      </c>
      <c r="E3114" s="4108" t="inlineStr">
        <is>
          <t>0,000000000000</t>
        </is>
      </c>
    </row>
    <row outlineLevel="0" r="3115">
      <c r="A3115" s="4108" t="inlineStr">
        <is>
          <t>135792468202006236500</t>
        </is>
      </c>
      <c r="B3115" s="4108" t="inlineStr">
        <is>
          <t>236500</t>
        </is>
      </c>
      <c r="C3115" s="4108" t="inlineStr">
        <is>
          <t>135792468</t>
        </is>
      </c>
      <c r="D3115" s="4108" t="inlineStr">
        <is>
          <t>202006</t>
        </is>
      </c>
      <c r="E3115" s="4108" t="inlineStr">
        <is>
          <t>0,000000000000</t>
        </is>
      </c>
    </row>
    <row outlineLevel="0" r="3116">
      <c r="A3116" s="4108" t="inlineStr">
        <is>
          <t>135792468202006236501</t>
        </is>
      </c>
      <c r="B3116" s="4108" t="inlineStr">
        <is>
          <t>236501</t>
        </is>
      </c>
      <c r="C3116" s="4108" t="inlineStr">
        <is>
          <t>135792468</t>
        </is>
      </c>
      <c r="D3116" s="4108" t="inlineStr">
        <is>
          <t>202006</t>
        </is>
      </c>
      <c r="E3116" s="4108" t="inlineStr">
        <is>
          <t>0,000000000000</t>
        </is>
      </c>
    </row>
    <row outlineLevel="0" r="3117">
      <c r="A3117" s="4108" t="inlineStr">
        <is>
          <t>135792468202006236700</t>
        </is>
      </c>
      <c r="B3117" s="4108" t="inlineStr">
        <is>
          <t>236700</t>
        </is>
      </c>
      <c r="C3117" s="4108" t="inlineStr">
        <is>
          <t>135792468</t>
        </is>
      </c>
      <c r="D3117" s="4108" t="inlineStr">
        <is>
          <t>202006</t>
        </is>
      </c>
      <c r="E3117" s="4108" t="inlineStr">
        <is>
          <t>0,000000000000</t>
        </is>
      </c>
    </row>
    <row outlineLevel="0" r="3118">
      <c r="A3118" s="4108" t="inlineStr">
        <is>
          <t>135792468202006236701</t>
        </is>
      </c>
      <c r="B3118" s="4108" t="inlineStr">
        <is>
          <t>236701</t>
        </is>
      </c>
      <c r="C3118" s="4108" t="inlineStr">
        <is>
          <t>135792468</t>
        </is>
      </c>
      <c r="D3118" s="4108" t="inlineStr">
        <is>
          <t>202006</t>
        </is>
      </c>
      <c r="E3118" s="4108" t="inlineStr">
        <is>
          <t>0,000000000000</t>
        </is>
      </c>
    </row>
    <row outlineLevel="0" r="3119">
      <c r="A3119" s="4108" t="inlineStr">
        <is>
          <t>135792468202006236800</t>
        </is>
      </c>
      <c r="B3119" s="4108" t="inlineStr">
        <is>
          <t>236800</t>
        </is>
      </c>
      <c r="C3119" s="4108" t="inlineStr">
        <is>
          <t>135792468</t>
        </is>
      </c>
      <c r="D3119" s="4108" t="inlineStr">
        <is>
          <t>202006</t>
        </is>
      </c>
      <c r="E3119" s="4108" t="inlineStr">
        <is>
          <t>0,000000000000</t>
        </is>
      </c>
    </row>
    <row outlineLevel="0" r="3120">
      <c r="A3120" s="4108" t="inlineStr">
        <is>
          <t>135792468202006237000</t>
        </is>
      </c>
      <c r="B3120" s="4108" t="inlineStr">
        <is>
          <t>237000</t>
        </is>
      </c>
      <c r="C3120" s="4108" t="inlineStr">
        <is>
          <t>135792468</t>
        </is>
      </c>
      <c r="D3120" s="4108" t="inlineStr">
        <is>
          <t>202006</t>
        </is>
      </c>
      <c r="E3120" s="4108" t="inlineStr">
        <is>
          <t>0,000000000000</t>
        </is>
      </c>
    </row>
    <row outlineLevel="0" r="3121">
      <c r="A3121" s="4108" t="inlineStr">
        <is>
          <t>135792468202006237001</t>
        </is>
      </c>
      <c r="B3121" s="4108" t="inlineStr">
        <is>
          <t>237001</t>
        </is>
      </c>
      <c r="C3121" s="4108" t="inlineStr">
        <is>
          <t>135792468</t>
        </is>
      </c>
      <c r="D3121" s="4108" t="inlineStr">
        <is>
          <t>202006</t>
        </is>
      </c>
      <c r="E3121" s="4108" t="inlineStr">
        <is>
          <t>0,000000000000</t>
        </is>
      </c>
    </row>
    <row outlineLevel="0" r="3122">
      <c r="A3122" s="4108" t="inlineStr">
        <is>
          <t>135792468202006238000</t>
        </is>
      </c>
      <c r="B3122" s="4108" t="inlineStr">
        <is>
          <t>238000</t>
        </is>
      </c>
      <c r="C3122" s="4108" t="inlineStr">
        <is>
          <t>135792468</t>
        </is>
      </c>
      <c r="D3122" s="4108" t="inlineStr">
        <is>
          <t>202006</t>
        </is>
      </c>
      <c r="E3122" s="4108" t="inlineStr">
        <is>
          <t>0,000000000000</t>
        </is>
      </c>
    </row>
    <row outlineLevel="0" r="3123">
      <c r="A3123" s="4108" t="inlineStr">
        <is>
          <t>135792468202006238001</t>
        </is>
      </c>
      <c r="B3123" s="4108" t="inlineStr">
        <is>
          <t>238001</t>
        </is>
      </c>
      <c r="C3123" s="4108" t="inlineStr">
        <is>
          <t>135792468</t>
        </is>
      </c>
      <c r="D3123" s="4108" t="inlineStr">
        <is>
          <t>202006</t>
        </is>
      </c>
      <c r="E3123" s="4108" t="inlineStr">
        <is>
          <t>0,000000000000</t>
        </is>
      </c>
    </row>
    <row outlineLevel="0" r="3124">
      <c r="A3124" s="4108" t="inlineStr">
        <is>
          <t>135792468202006240001</t>
        </is>
      </c>
      <c r="B3124" s="4108" t="inlineStr">
        <is>
          <t>240001</t>
        </is>
      </c>
      <c r="C3124" s="4108" t="inlineStr">
        <is>
          <t>135792468</t>
        </is>
      </c>
      <c r="D3124" s="4108" t="inlineStr">
        <is>
          <t>202006</t>
        </is>
      </c>
      <c r="E3124" s="4108" t="inlineStr">
        <is>
          <t>0,000000000000</t>
        </is>
      </c>
    </row>
    <row outlineLevel="0" r="3125">
      <c r="A3125" s="4108" t="inlineStr">
        <is>
          <t>135792468202006240400</t>
        </is>
      </c>
      <c r="B3125" s="4108" t="inlineStr">
        <is>
          <t>240400</t>
        </is>
      </c>
      <c r="C3125" s="4108" t="inlineStr">
        <is>
          <t>135792468</t>
        </is>
      </c>
      <c r="D3125" s="4108" t="inlineStr">
        <is>
          <t>202006</t>
        </is>
      </c>
      <c r="E3125" s="4108" t="inlineStr">
        <is>
          <t>0,000000000000</t>
        </is>
      </c>
    </row>
    <row outlineLevel="0" r="3126">
      <c r="A3126" s="4108" t="inlineStr">
        <is>
          <t>135792468202006240401</t>
        </is>
      </c>
      <c r="B3126" s="4108" t="inlineStr">
        <is>
          <t>240401</t>
        </is>
      </c>
      <c r="C3126" s="4108" t="inlineStr">
        <is>
          <t>135792468</t>
        </is>
      </c>
      <c r="D3126" s="4108" t="inlineStr">
        <is>
          <t>202006</t>
        </is>
      </c>
      <c r="E3126" s="4108" t="inlineStr">
        <is>
          <t>0,000000000000</t>
        </is>
      </c>
    </row>
    <row outlineLevel="0" r="3127">
      <c r="A3127" s="4108" t="inlineStr">
        <is>
          <t>135792468202006240800</t>
        </is>
      </c>
      <c r="B3127" s="4108" t="inlineStr">
        <is>
          <t>240800</t>
        </is>
      </c>
      <c r="C3127" s="4108" t="inlineStr">
        <is>
          <t>135792468</t>
        </is>
      </c>
      <c r="D3127" s="4108" t="inlineStr">
        <is>
          <t>202006</t>
        </is>
      </c>
      <c r="E3127" s="4108" t="inlineStr">
        <is>
          <t>0,000000000000</t>
        </is>
      </c>
    </row>
    <row outlineLevel="0" r="3128">
      <c r="A3128" s="4108" t="inlineStr">
        <is>
          <t>135792468202006240801</t>
        </is>
      </c>
      <c r="B3128" s="4108" t="inlineStr">
        <is>
          <t>240801</t>
        </is>
      </c>
      <c r="C3128" s="4108" t="inlineStr">
        <is>
          <t>135792468</t>
        </is>
      </c>
      <c r="D3128" s="4108" t="inlineStr">
        <is>
          <t>202006</t>
        </is>
      </c>
      <c r="E3128" s="4108" t="inlineStr">
        <is>
          <t>0,000000000000</t>
        </is>
      </c>
    </row>
    <row outlineLevel="0" r="3129">
      <c r="A3129" s="4108" t="inlineStr">
        <is>
          <t>135792468202006241200</t>
        </is>
      </c>
      <c r="B3129" s="4108" t="inlineStr">
        <is>
          <t>241200</t>
        </is>
      </c>
      <c r="C3129" s="4108" t="inlineStr">
        <is>
          <t>135792468</t>
        </is>
      </c>
      <c r="D3129" s="4108" t="inlineStr">
        <is>
          <t>202006</t>
        </is>
      </c>
      <c r="E3129" s="4108" t="inlineStr">
        <is>
          <t>0,000000000000</t>
        </is>
      </c>
    </row>
    <row outlineLevel="0" r="3130">
      <c r="A3130" s="4108" t="inlineStr">
        <is>
          <t>135792468202006241201</t>
        </is>
      </c>
      <c r="B3130" s="4108" t="inlineStr">
        <is>
          <t>241201</t>
        </is>
      </c>
      <c r="C3130" s="4108" t="inlineStr">
        <is>
          <t>135792468</t>
        </is>
      </c>
      <c r="D3130" s="4108" t="inlineStr">
        <is>
          <t>202006</t>
        </is>
      </c>
      <c r="E3130" s="4108" t="inlineStr">
        <is>
          <t>0,000000000000</t>
        </is>
      </c>
    </row>
    <row outlineLevel="0" r="3131">
      <c r="A3131" s="4108" t="inlineStr">
        <is>
          <t>135792468202006249500</t>
        </is>
      </c>
      <c r="B3131" s="4108" t="inlineStr">
        <is>
          <t>249500</t>
        </is>
      </c>
      <c r="C3131" s="4108" t="inlineStr">
        <is>
          <t>135792468</t>
        </is>
      </c>
      <c r="D3131" s="4108" t="inlineStr">
        <is>
          <t>202006</t>
        </is>
      </c>
      <c r="E3131" s="4108" t="inlineStr">
        <is>
          <t>0,000000000000</t>
        </is>
      </c>
    </row>
    <row outlineLevel="0" r="3132">
      <c r="A3132" s="4108" t="inlineStr">
        <is>
          <t>135792468202006249501</t>
        </is>
      </c>
      <c r="B3132" s="4108" t="inlineStr">
        <is>
          <t>249501</t>
        </is>
      </c>
      <c r="C3132" s="4108" t="inlineStr">
        <is>
          <t>135792468</t>
        </is>
      </c>
      <c r="D3132" s="4108" t="inlineStr">
        <is>
          <t>202006</t>
        </is>
      </c>
      <c r="E3132" s="4108" t="inlineStr">
        <is>
          <t>0,000000000000</t>
        </is>
      </c>
    </row>
    <row outlineLevel="0" r="3133">
      <c r="A3133" s="4108" t="inlineStr">
        <is>
          <t>135792468202006250500</t>
        </is>
      </c>
      <c r="B3133" s="4108" t="inlineStr">
        <is>
          <t>250500</t>
        </is>
      </c>
      <c r="C3133" s="4108" t="inlineStr">
        <is>
          <t>135792468</t>
        </is>
      </c>
      <c r="D3133" s="4108" t="inlineStr">
        <is>
          <t>202006</t>
        </is>
      </c>
      <c r="E3133" s="4108" t="inlineStr">
        <is>
          <t>0,000000000000</t>
        </is>
      </c>
    </row>
    <row outlineLevel="0" r="3134">
      <c r="A3134" s="4108" t="inlineStr">
        <is>
          <t>135792468202006250501</t>
        </is>
      </c>
      <c r="B3134" s="4108" t="inlineStr">
        <is>
          <t>250501</t>
        </is>
      </c>
      <c r="C3134" s="4108" t="inlineStr">
        <is>
          <t>135792468</t>
        </is>
      </c>
      <c r="D3134" s="4108" t="inlineStr">
        <is>
          <t>202006</t>
        </is>
      </c>
      <c r="E3134" s="4108" t="inlineStr">
        <is>
          <t>0,000000000000</t>
        </is>
      </c>
    </row>
    <row outlineLevel="0" r="3135">
      <c r="A3135" s="4108" t="inlineStr">
        <is>
          <t>135792468202006251000</t>
        </is>
      </c>
      <c r="B3135" s="4108" t="inlineStr">
        <is>
          <t>251000</t>
        </is>
      </c>
      <c r="C3135" s="4108" t="inlineStr">
        <is>
          <t>135792468</t>
        </is>
      </c>
      <c r="D3135" s="4108" t="inlineStr">
        <is>
          <t>202006</t>
        </is>
      </c>
      <c r="E3135" s="4108" t="inlineStr">
        <is>
          <t>0,000000000000</t>
        </is>
      </c>
    </row>
    <row outlineLevel="0" r="3136">
      <c r="A3136" s="4108" t="inlineStr">
        <is>
          <t>135792468202006251001</t>
        </is>
      </c>
      <c r="B3136" s="4108" t="inlineStr">
        <is>
          <t>251001</t>
        </is>
      </c>
      <c r="C3136" s="4108" t="inlineStr">
        <is>
          <t>135792468</t>
        </is>
      </c>
      <c r="D3136" s="4108" t="inlineStr">
        <is>
          <t>202006</t>
        </is>
      </c>
      <c r="E3136" s="4108" t="inlineStr">
        <is>
          <t>0,000000000000</t>
        </is>
      </c>
    </row>
    <row outlineLevel="0" r="3137">
      <c r="A3137" s="4108" t="inlineStr">
        <is>
          <t>135792468202006251500</t>
        </is>
      </c>
      <c r="B3137" s="4108" t="inlineStr">
        <is>
          <t>251500</t>
        </is>
      </c>
      <c r="C3137" s="4108" t="inlineStr">
        <is>
          <t>135792468</t>
        </is>
      </c>
      <c r="D3137" s="4108" t="inlineStr">
        <is>
          <t>202006</t>
        </is>
      </c>
      <c r="E3137" s="4108" t="inlineStr">
        <is>
          <t>0,000000000000</t>
        </is>
      </c>
    </row>
    <row outlineLevel="0" r="3138">
      <c r="A3138" s="4108" t="inlineStr">
        <is>
          <t>135792468202006251501</t>
        </is>
      </c>
      <c r="B3138" s="4108" t="inlineStr">
        <is>
          <t>251501</t>
        </is>
      </c>
      <c r="C3138" s="4108" t="inlineStr">
        <is>
          <t>135792468</t>
        </is>
      </c>
      <c r="D3138" s="4108" t="inlineStr">
        <is>
          <t>202006</t>
        </is>
      </c>
      <c r="E3138" s="4108" t="inlineStr">
        <is>
          <t>0,000000000000</t>
        </is>
      </c>
    </row>
    <row outlineLevel="0" r="3139">
      <c r="A3139" s="4108" t="inlineStr">
        <is>
          <t>135792468202006252500</t>
        </is>
      </c>
      <c r="B3139" s="4108" t="inlineStr">
        <is>
          <t>252500</t>
        </is>
      </c>
      <c r="C3139" s="4108" t="inlineStr">
        <is>
          <t>135792468</t>
        </is>
      </c>
      <c r="D3139" s="4108" t="inlineStr">
        <is>
          <t>202006</t>
        </is>
      </c>
      <c r="E3139" s="4108" t="inlineStr">
        <is>
          <t>0,000000000000</t>
        </is>
      </c>
    </row>
    <row outlineLevel="0" r="3140">
      <c r="A3140" s="4108" t="inlineStr">
        <is>
          <t>135792468202006252501</t>
        </is>
      </c>
      <c r="B3140" s="4108" t="inlineStr">
        <is>
          <t>252501</t>
        </is>
      </c>
      <c r="C3140" s="4108" t="inlineStr">
        <is>
          <t>135792468</t>
        </is>
      </c>
      <c r="D3140" s="4108" t="inlineStr">
        <is>
          <t>202006</t>
        </is>
      </c>
      <c r="E3140" s="4108" t="inlineStr">
        <is>
          <t>0,000000000000</t>
        </is>
      </c>
    </row>
    <row outlineLevel="0" r="3141">
      <c r="A3141" s="4108" t="inlineStr">
        <is>
          <t>135792468202006253000</t>
        </is>
      </c>
      <c r="B3141" s="4108" t="inlineStr">
        <is>
          <t>253000</t>
        </is>
      </c>
      <c r="C3141" s="4108" t="inlineStr">
        <is>
          <t>135792468</t>
        </is>
      </c>
      <c r="D3141" s="4108" t="inlineStr">
        <is>
          <t>202006</t>
        </is>
      </c>
      <c r="E3141" s="4108" t="inlineStr">
        <is>
          <t>0,000000000000</t>
        </is>
      </c>
    </row>
    <row outlineLevel="0" r="3142">
      <c r="A3142" s="4108" t="inlineStr">
        <is>
          <t>135792468202006253001</t>
        </is>
      </c>
      <c r="B3142" s="4108" t="inlineStr">
        <is>
          <t>253001</t>
        </is>
      </c>
      <c r="C3142" s="4108" t="inlineStr">
        <is>
          <t>135792468</t>
        </is>
      </c>
      <c r="D3142" s="4108" t="inlineStr">
        <is>
          <t>202006</t>
        </is>
      </c>
      <c r="E3142" s="4108" t="inlineStr">
        <is>
          <t>0,000000000000</t>
        </is>
      </c>
    </row>
    <row outlineLevel="0" r="3143">
      <c r="A3143" s="4108" t="inlineStr">
        <is>
          <t>135792468202006259500</t>
        </is>
      </c>
      <c r="B3143" s="4108" t="inlineStr">
        <is>
          <t>259500</t>
        </is>
      </c>
      <c r="C3143" s="4108" t="inlineStr">
        <is>
          <t>135792468</t>
        </is>
      </c>
      <c r="D3143" s="4108" t="inlineStr">
        <is>
          <t>202006</t>
        </is>
      </c>
      <c r="E3143" s="4108" t="inlineStr">
        <is>
          <t>0,000000000000</t>
        </is>
      </c>
    </row>
    <row outlineLevel="0" r="3144">
      <c r="A3144" s="4108" t="inlineStr">
        <is>
          <t>135792468202006259501</t>
        </is>
      </c>
      <c r="B3144" s="4108" t="inlineStr">
        <is>
          <t>259501</t>
        </is>
      </c>
      <c r="C3144" s="4108" t="inlineStr">
        <is>
          <t>135792468</t>
        </is>
      </c>
      <c r="D3144" s="4108" t="inlineStr">
        <is>
          <t>202006</t>
        </is>
      </c>
      <c r="E3144" s="4108" t="inlineStr">
        <is>
          <t>0,000000000000</t>
        </is>
      </c>
    </row>
    <row outlineLevel="0" r="3145">
      <c r="A3145" s="4108" t="inlineStr">
        <is>
          <t>135792468202006260500</t>
        </is>
      </c>
      <c r="B3145" s="4108" t="inlineStr">
        <is>
          <t>260500</t>
        </is>
      </c>
      <c r="C3145" s="4108" t="inlineStr">
        <is>
          <t>135792468</t>
        </is>
      </c>
      <c r="D3145" s="4108" t="inlineStr">
        <is>
          <t>202006</t>
        </is>
      </c>
      <c r="E3145" s="4108" t="inlineStr">
        <is>
          <t>0,000000000000</t>
        </is>
      </c>
    </row>
    <row outlineLevel="0" r="3146">
      <c r="A3146" s="4108" t="inlineStr">
        <is>
          <t>135792468202006260501</t>
        </is>
      </c>
      <c r="B3146" s="4108" t="inlineStr">
        <is>
          <t>260501</t>
        </is>
      </c>
      <c r="C3146" s="4108" t="inlineStr">
        <is>
          <t>135792468</t>
        </is>
      </c>
      <c r="D3146" s="4108" t="inlineStr">
        <is>
          <t>202006</t>
        </is>
      </c>
      <c r="E3146" s="4108" t="inlineStr">
        <is>
          <t>200,000000000000</t>
        </is>
      </c>
    </row>
    <row outlineLevel="0" r="3147">
      <c r="A3147" s="4108" t="inlineStr">
        <is>
          <t>135792468202006261000</t>
        </is>
      </c>
      <c r="B3147" s="4108" t="inlineStr">
        <is>
          <t>261000</t>
        </is>
      </c>
      <c r="C3147" s="4108" t="inlineStr">
        <is>
          <t>135792468</t>
        </is>
      </c>
      <c r="D3147" s="4108" t="inlineStr">
        <is>
          <t>202006</t>
        </is>
      </c>
      <c r="E3147" s="4108" t="inlineStr">
        <is>
          <t>0,000000000000</t>
        </is>
      </c>
    </row>
    <row outlineLevel="0" r="3148">
      <c r="A3148" s="4108" t="inlineStr">
        <is>
          <t>135792468202006261001</t>
        </is>
      </c>
      <c r="B3148" s="4108" t="inlineStr">
        <is>
          <t>261001</t>
        </is>
      </c>
      <c r="C3148" s="4108" t="inlineStr">
        <is>
          <t>135792468</t>
        </is>
      </c>
      <c r="D3148" s="4108" t="inlineStr">
        <is>
          <t>202006</t>
        </is>
      </c>
      <c r="E3148" s="4108" t="inlineStr">
        <is>
          <t>0,000000000000</t>
        </is>
      </c>
    </row>
    <row outlineLevel="0" r="3149">
      <c r="A3149" s="4108" t="inlineStr">
        <is>
          <t>135792468202006261500</t>
        </is>
      </c>
      <c r="B3149" s="4108" t="inlineStr">
        <is>
          <t>261500</t>
        </is>
      </c>
      <c r="C3149" s="4108" t="inlineStr">
        <is>
          <t>135792468</t>
        </is>
      </c>
      <c r="D3149" s="4108" t="inlineStr">
        <is>
          <t>202006</t>
        </is>
      </c>
      <c r="E3149" s="4108" t="inlineStr">
        <is>
          <t>0,000000000000</t>
        </is>
      </c>
    </row>
    <row outlineLevel="0" r="3150">
      <c r="A3150" s="4108" t="inlineStr">
        <is>
          <t>135792468202006261501</t>
        </is>
      </c>
      <c r="B3150" s="4108" t="inlineStr">
        <is>
          <t>261501</t>
        </is>
      </c>
      <c r="C3150" s="4108" t="inlineStr">
        <is>
          <t>135792468</t>
        </is>
      </c>
      <c r="D3150" s="4108" t="inlineStr">
        <is>
          <t>202006</t>
        </is>
      </c>
      <c r="E3150" s="4108" t="inlineStr">
        <is>
          <t>0,000000000000</t>
        </is>
      </c>
    </row>
    <row outlineLevel="0" r="3151">
      <c r="A3151" s="4108" t="inlineStr">
        <is>
          <t>135792468202006262000</t>
        </is>
      </c>
      <c r="B3151" s="4108" t="inlineStr">
        <is>
          <t>262000</t>
        </is>
      </c>
      <c r="C3151" s="4108" t="inlineStr">
        <is>
          <t>135792468</t>
        </is>
      </c>
      <c r="D3151" s="4108" t="inlineStr">
        <is>
          <t>202006</t>
        </is>
      </c>
      <c r="E3151" s="4108" t="inlineStr">
        <is>
          <t>0,000000000000</t>
        </is>
      </c>
    </row>
    <row outlineLevel="0" r="3152">
      <c r="A3152" s="4108" t="inlineStr">
        <is>
          <t>135792468202006262001</t>
        </is>
      </c>
      <c r="B3152" s="4108" t="inlineStr">
        <is>
          <t>262001</t>
        </is>
      </c>
      <c r="C3152" s="4108" t="inlineStr">
        <is>
          <t>135792468</t>
        </is>
      </c>
      <c r="D3152" s="4108" t="inlineStr">
        <is>
          <t>202006</t>
        </is>
      </c>
      <c r="E3152" s="4108" t="inlineStr">
        <is>
          <t>0,000000000000</t>
        </is>
      </c>
    </row>
    <row outlineLevel="0" r="3153">
      <c r="A3153" s="4108" t="inlineStr">
        <is>
          <t>135792468202006262500</t>
        </is>
      </c>
      <c r="B3153" s="4108" t="inlineStr">
        <is>
          <t>262500</t>
        </is>
      </c>
      <c r="C3153" s="4108" t="inlineStr">
        <is>
          <t>135792468</t>
        </is>
      </c>
      <c r="D3153" s="4108" t="inlineStr">
        <is>
          <t>202006</t>
        </is>
      </c>
      <c r="E3153" s="4108" t="inlineStr">
        <is>
          <t>0,000000000000</t>
        </is>
      </c>
    </row>
    <row outlineLevel="0" r="3154">
      <c r="A3154" s="4108" t="inlineStr">
        <is>
          <t>135792468202006262501</t>
        </is>
      </c>
      <c r="B3154" s="4108" t="inlineStr">
        <is>
          <t>262501</t>
        </is>
      </c>
      <c r="C3154" s="4108" t="inlineStr">
        <is>
          <t>135792468</t>
        </is>
      </c>
      <c r="D3154" s="4108" t="inlineStr">
        <is>
          <t>202006</t>
        </is>
      </c>
      <c r="E3154" s="4108" t="inlineStr">
        <is>
          <t>0,000000000000</t>
        </is>
      </c>
    </row>
    <row outlineLevel="0" r="3155">
      <c r="A3155" s="4108" t="inlineStr">
        <is>
          <t>135792468202006263000</t>
        </is>
      </c>
      <c r="B3155" s="4108" t="inlineStr">
        <is>
          <t>263000</t>
        </is>
      </c>
      <c r="C3155" s="4108" t="inlineStr">
        <is>
          <t>135792468</t>
        </is>
      </c>
      <c r="D3155" s="4108" t="inlineStr">
        <is>
          <t>202006</t>
        </is>
      </c>
      <c r="E3155" s="4108" t="inlineStr">
        <is>
          <t>0,000000000000</t>
        </is>
      </c>
    </row>
    <row outlineLevel="0" r="3156">
      <c r="A3156" s="4108" t="inlineStr">
        <is>
          <t>135792468202006263001</t>
        </is>
      </c>
      <c r="B3156" s="4108" t="inlineStr">
        <is>
          <t>263001</t>
        </is>
      </c>
      <c r="C3156" s="4108" t="inlineStr">
        <is>
          <t>135792468</t>
        </is>
      </c>
      <c r="D3156" s="4108" t="inlineStr">
        <is>
          <t>202006</t>
        </is>
      </c>
      <c r="E3156" s="4108" t="inlineStr">
        <is>
          <t>0,000000000000</t>
        </is>
      </c>
    </row>
    <row outlineLevel="0" r="3157">
      <c r="A3157" s="4108" t="inlineStr">
        <is>
          <t>135792468202006263500</t>
        </is>
      </c>
      <c r="B3157" s="4108" t="inlineStr">
        <is>
          <t>263500</t>
        </is>
      </c>
      <c r="C3157" s="4108" t="inlineStr">
        <is>
          <t>135792468</t>
        </is>
      </c>
      <c r="D3157" s="4108" t="inlineStr">
        <is>
          <t>202006</t>
        </is>
      </c>
      <c r="E3157" s="4108" t="inlineStr">
        <is>
          <t>0,000000000000</t>
        </is>
      </c>
    </row>
    <row outlineLevel="0" r="3158">
      <c r="A3158" s="4108" t="inlineStr">
        <is>
          <t>135792468202006263501</t>
        </is>
      </c>
      <c r="B3158" s="4108" t="inlineStr">
        <is>
          <t>263501</t>
        </is>
      </c>
      <c r="C3158" s="4108" t="inlineStr">
        <is>
          <t>135792468</t>
        </is>
      </c>
      <c r="D3158" s="4108" t="inlineStr">
        <is>
          <t>202006</t>
        </is>
      </c>
      <c r="E3158" s="4108" t="inlineStr">
        <is>
          <t>0,000000000000</t>
        </is>
      </c>
    </row>
    <row outlineLevel="0" r="3159">
      <c r="A3159" s="4108" t="inlineStr">
        <is>
          <t>135792468202006264000</t>
        </is>
      </c>
      <c r="B3159" s="4108" t="inlineStr">
        <is>
          <t>264000</t>
        </is>
      </c>
      <c r="C3159" s="4108" t="inlineStr">
        <is>
          <t>135792468</t>
        </is>
      </c>
      <c r="D3159" s="4108" t="inlineStr">
        <is>
          <t>202006</t>
        </is>
      </c>
      <c r="E3159" s="4108" t="inlineStr">
        <is>
          <t>0,000000000000</t>
        </is>
      </c>
    </row>
    <row outlineLevel="0" r="3160">
      <c r="A3160" s="4108" t="inlineStr">
        <is>
          <t>135792468202006264001</t>
        </is>
      </c>
      <c r="B3160" s="4108" t="inlineStr">
        <is>
          <t>264001</t>
        </is>
      </c>
      <c r="C3160" s="4108" t="inlineStr">
        <is>
          <t>135792468</t>
        </is>
      </c>
      <c r="D3160" s="4108" t="inlineStr">
        <is>
          <t>202006</t>
        </is>
      </c>
      <c r="E3160" s="4108" t="inlineStr">
        <is>
          <t>0,000000000000</t>
        </is>
      </c>
    </row>
    <row outlineLevel="0" r="3161">
      <c r="A3161" s="4108" t="inlineStr">
        <is>
          <t>135792468202006269500</t>
        </is>
      </c>
      <c r="B3161" s="4108" t="inlineStr">
        <is>
          <t>269500</t>
        </is>
      </c>
      <c r="C3161" s="4108" t="inlineStr">
        <is>
          <t>135792468</t>
        </is>
      </c>
      <c r="D3161" s="4108" t="inlineStr">
        <is>
          <t>202006</t>
        </is>
      </c>
      <c r="E3161" s="4108" t="inlineStr">
        <is>
          <t>0,000000000000</t>
        </is>
      </c>
    </row>
    <row outlineLevel="0" r="3162">
      <c r="A3162" s="4108" t="inlineStr">
        <is>
          <t>135792468202006269501</t>
        </is>
      </c>
      <c r="B3162" s="4108" t="inlineStr">
        <is>
          <t>269501</t>
        </is>
      </c>
      <c r="C3162" s="4108" t="inlineStr">
        <is>
          <t>135792468</t>
        </is>
      </c>
      <c r="D3162" s="4108" t="inlineStr">
        <is>
          <t>202006</t>
        </is>
      </c>
      <c r="E3162" s="4108" t="inlineStr">
        <is>
          <t>0,000000000000</t>
        </is>
      </c>
    </row>
    <row outlineLevel="0" r="3163">
      <c r="A3163" s="4108" t="inlineStr">
        <is>
          <t>135792468202006270500</t>
        </is>
      </c>
      <c r="B3163" s="4108" t="inlineStr">
        <is>
          <t>270500</t>
        </is>
      </c>
      <c r="C3163" s="4108" t="inlineStr">
        <is>
          <t>135792468</t>
        </is>
      </c>
      <c r="D3163" s="4108" t="inlineStr">
        <is>
          <t>202006</t>
        </is>
      </c>
      <c r="E3163" s="4108" t="inlineStr">
        <is>
          <t>0,000000000000</t>
        </is>
      </c>
    </row>
    <row outlineLevel="0" r="3164">
      <c r="A3164" s="4108" t="inlineStr">
        <is>
          <t>135792468202006270501</t>
        </is>
      </c>
      <c r="B3164" s="4108" t="inlineStr">
        <is>
          <t>270501</t>
        </is>
      </c>
      <c r="C3164" s="4108" t="inlineStr">
        <is>
          <t>135792468</t>
        </is>
      </c>
      <c r="D3164" s="4108" t="inlineStr">
        <is>
          <t>202006</t>
        </is>
      </c>
      <c r="E3164" s="4108" t="inlineStr">
        <is>
          <t>0,000000000000</t>
        </is>
      </c>
    </row>
    <row outlineLevel="0" r="3165">
      <c r="A3165" s="4108" t="inlineStr">
        <is>
          <t>135792468202006271000</t>
        </is>
      </c>
      <c r="B3165" s="4108" t="inlineStr">
        <is>
          <t>271000</t>
        </is>
      </c>
      <c r="C3165" s="4108" t="inlineStr">
        <is>
          <t>135792468</t>
        </is>
      </c>
      <c r="D3165" s="4108" t="inlineStr">
        <is>
          <t>202006</t>
        </is>
      </c>
      <c r="E3165" s="4108" t="inlineStr">
        <is>
          <t>0,000000000000</t>
        </is>
      </c>
    </row>
    <row outlineLevel="0" r="3166">
      <c r="A3166" s="4108" t="inlineStr">
        <is>
          <t>135792468202006271001</t>
        </is>
      </c>
      <c r="B3166" s="4108" t="inlineStr">
        <is>
          <t>271001</t>
        </is>
      </c>
      <c r="C3166" s="4108" t="inlineStr">
        <is>
          <t>135792468</t>
        </is>
      </c>
      <c r="D3166" s="4108" t="inlineStr">
        <is>
          <t>202006</t>
        </is>
      </c>
      <c r="E3166" s="4108" t="inlineStr">
        <is>
          <t>0,000000000000</t>
        </is>
      </c>
    </row>
    <row outlineLevel="0" r="3167">
      <c r="A3167" s="4108" t="inlineStr">
        <is>
          <t>135792468202006272001</t>
        </is>
      </c>
      <c r="B3167" s="4108" t="inlineStr">
        <is>
          <t>272001</t>
        </is>
      </c>
      <c r="C3167" s="4108" t="inlineStr">
        <is>
          <t>135792468</t>
        </is>
      </c>
      <c r="D3167" s="4108" t="inlineStr">
        <is>
          <t>202006</t>
        </is>
      </c>
      <c r="E3167" s="4108" t="inlineStr">
        <is>
          <t>0,000000000000</t>
        </is>
      </c>
    </row>
    <row outlineLevel="0" r="3168">
      <c r="A3168" s="4108" t="inlineStr">
        <is>
          <t>135792468202006272500</t>
        </is>
      </c>
      <c r="B3168" s="4108" t="inlineStr">
        <is>
          <t>272500</t>
        </is>
      </c>
      <c r="C3168" s="4108" t="inlineStr">
        <is>
          <t>135792468</t>
        </is>
      </c>
      <c r="D3168" s="4108" t="inlineStr">
        <is>
          <t>202006</t>
        </is>
      </c>
      <c r="E3168" s="4108" t="inlineStr">
        <is>
          <t>0,000000000000</t>
        </is>
      </c>
    </row>
    <row outlineLevel="0" r="3169">
      <c r="A3169" s="4108" t="inlineStr">
        <is>
          <t>135792468202006272501</t>
        </is>
      </c>
      <c r="B3169" s="4108" t="inlineStr">
        <is>
          <t>272501</t>
        </is>
      </c>
      <c r="C3169" s="4108" t="inlineStr">
        <is>
          <t>135792468</t>
        </is>
      </c>
      <c r="D3169" s="4108" t="inlineStr">
        <is>
          <t>202006</t>
        </is>
      </c>
      <c r="E3169" s="4108" t="inlineStr">
        <is>
          <t>0,000000000000</t>
        </is>
      </c>
    </row>
    <row outlineLevel="0" r="3170">
      <c r="A3170" s="4108" t="inlineStr">
        <is>
          <t>135792468202006279500</t>
        </is>
      </c>
      <c r="B3170" s="4108" t="inlineStr">
        <is>
          <t>279500</t>
        </is>
      </c>
      <c r="C3170" s="4108" t="inlineStr">
        <is>
          <t>135792468</t>
        </is>
      </c>
      <c r="D3170" s="4108" t="inlineStr">
        <is>
          <t>202006</t>
        </is>
      </c>
      <c r="E3170" s="4108" t="inlineStr">
        <is>
          <t>0,000000000000</t>
        </is>
      </c>
    </row>
    <row outlineLevel="0" r="3171">
      <c r="A3171" s="4108" t="inlineStr">
        <is>
          <t>135792468202006279501</t>
        </is>
      </c>
      <c r="B3171" s="4108" t="inlineStr">
        <is>
          <t>279501</t>
        </is>
      </c>
      <c r="C3171" s="4108" t="inlineStr">
        <is>
          <t>135792468</t>
        </is>
      </c>
      <c r="D3171" s="4108" t="inlineStr">
        <is>
          <t>202006</t>
        </is>
      </c>
      <c r="E3171" s="4108" t="inlineStr">
        <is>
          <t>0,000000000000</t>
        </is>
      </c>
    </row>
    <row outlineLevel="0" r="3172">
      <c r="A3172" s="4108" t="inlineStr">
        <is>
          <t>135792468202006281000</t>
        </is>
      </c>
      <c r="B3172" s="4108" t="inlineStr">
        <is>
          <t>281000</t>
        </is>
      </c>
      <c r="C3172" s="4108" t="inlineStr">
        <is>
          <t>135792468</t>
        </is>
      </c>
      <c r="D3172" s="4108" t="inlineStr">
        <is>
          <t>202006</t>
        </is>
      </c>
      <c r="E3172" s="4108" t="inlineStr">
        <is>
          <t>0,000000000000</t>
        </is>
      </c>
    </row>
    <row outlineLevel="0" r="3173">
      <c r="A3173" s="4108" t="inlineStr">
        <is>
          <t>135792468202006282000</t>
        </is>
      </c>
      <c r="B3173" s="4108" t="inlineStr">
        <is>
          <t>282000</t>
        </is>
      </c>
      <c r="C3173" s="4108" t="inlineStr">
        <is>
          <t>135792468</t>
        </is>
      </c>
      <c r="D3173" s="4108" t="inlineStr">
        <is>
          <t>202006</t>
        </is>
      </c>
      <c r="E3173" s="4108" t="inlineStr">
        <is>
          <t>0,000000000000</t>
        </is>
      </c>
    </row>
    <row outlineLevel="0" r="3174">
      <c r="A3174" s="4108" t="inlineStr">
        <is>
          <t>135792468202006282500</t>
        </is>
      </c>
      <c r="B3174" s="4108" t="inlineStr">
        <is>
          <t>282500</t>
        </is>
      </c>
      <c r="C3174" s="4108" t="inlineStr">
        <is>
          <t>135792468</t>
        </is>
      </c>
      <c r="D3174" s="4108" t="inlineStr">
        <is>
          <t>202006</t>
        </is>
      </c>
      <c r="E3174" s="4108" t="inlineStr">
        <is>
          <t>0,000000000000</t>
        </is>
      </c>
    </row>
    <row outlineLevel="0" r="3175">
      <c r="A3175" s="4108" t="inlineStr">
        <is>
          <t>135792468202006284000</t>
        </is>
      </c>
      <c r="B3175" s="4108" t="inlineStr">
        <is>
          <t>284000</t>
        </is>
      </c>
      <c r="C3175" s="4108" t="inlineStr">
        <is>
          <t>135792468</t>
        </is>
      </c>
      <c r="D3175" s="4108" t="inlineStr">
        <is>
          <t>202006</t>
        </is>
      </c>
      <c r="E3175" s="4108" t="inlineStr">
        <is>
          <t>0,000000000000</t>
        </is>
      </c>
    </row>
    <row outlineLevel="0" r="3176">
      <c r="A3176" s="4108" t="inlineStr">
        <is>
          <t>135792468202006289500</t>
        </is>
      </c>
      <c r="B3176" s="4108" t="inlineStr">
        <is>
          <t>289500</t>
        </is>
      </c>
      <c r="C3176" s="4108" t="inlineStr">
        <is>
          <t>135792468</t>
        </is>
      </c>
      <c r="D3176" s="4108" t="inlineStr">
        <is>
          <t>202006</t>
        </is>
      </c>
      <c r="E3176" s="4108" t="inlineStr">
        <is>
          <t>0,000000000000</t>
        </is>
      </c>
    </row>
    <row outlineLevel="0" r="3177">
      <c r="A3177" s="4108" t="inlineStr">
        <is>
          <t>135792468202006290501</t>
        </is>
      </c>
      <c r="B3177" s="4108" t="inlineStr">
        <is>
          <t>290501</t>
        </is>
      </c>
      <c r="C3177" s="4108" t="inlineStr">
        <is>
          <t>135792468</t>
        </is>
      </c>
      <c r="D3177" s="4108" t="inlineStr">
        <is>
          <t>202006</t>
        </is>
      </c>
      <c r="E3177" s="4108" t="inlineStr">
        <is>
          <t>0,000000000000</t>
        </is>
      </c>
    </row>
    <row outlineLevel="0" r="3178">
      <c r="A3178" s="4108" t="inlineStr">
        <is>
          <t>135792468202006291000</t>
        </is>
      </c>
      <c r="B3178" s="4108" t="inlineStr">
        <is>
          <t>291000</t>
        </is>
      </c>
      <c r="C3178" s="4108" t="inlineStr">
        <is>
          <t>135792468</t>
        </is>
      </c>
      <c r="D3178" s="4108" t="inlineStr">
        <is>
          <t>202006</t>
        </is>
      </c>
      <c r="E3178" s="4108" t="inlineStr">
        <is>
          <t>0,000000000000</t>
        </is>
      </c>
    </row>
    <row outlineLevel="0" r="3179">
      <c r="A3179" s="4108" t="inlineStr">
        <is>
          <t>135792468202006291501</t>
        </is>
      </c>
      <c r="B3179" s="4108" t="inlineStr">
        <is>
          <t>291501</t>
        </is>
      </c>
      <c r="C3179" s="4108" t="inlineStr">
        <is>
          <t>135792468</t>
        </is>
      </c>
      <c r="D3179" s="4108" t="inlineStr">
        <is>
          <t>202006</t>
        </is>
      </c>
      <c r="E3179" s="4108" t="inlineStr">
        <is>
          <t>0,000000000000</t>
        </is>
      </c>
    </row>
    <row outlineLevel="0" r="3180">
      <c r="A3180" s="4108" t="inlineStr">
        <is>
          <t>135792468202006291991</t>
        </is>
      </c>
      <c r="B3180" s="4108" t="inlineStr">
        <is>
          <t>291991</t>
        </is>
      </c>
      <c r="C3180" s="4108" t="inlineStr">
        <is>
          <t>135792468</t>
        </is>
      </c>
      <c r="D3180" s="4108" t="inlineStr">
        <is>
          <t>202006</t>
        </is>
      </c>
      <c r="E3180" s="4108" t="inlineStr">
        <is>
          <t>0,000000000000</t>
        </is>
      </c>
    </row>
    <row outlineLevel="0" r="3181">
      <c r="A3181" s="4108" t="inlineStr">
        <is>
          <t>135792468202006292000</t>
        </is>
      </c>
      <c r="B3181" s="4108" t="inlineStr">
        <is>
          <t>292000</t>
        </is>
      </c>
      <c r="C3181" s="4108" t="inlineStr">
        <is>
          <t>135792468</t>
        </is>
      </c>
      <c r="D3181" s="4108" t="inlineStr">
        <is>
          <t>202006</t>
        </is>
      </c>
      <c r="E3181" s="4108" t="inlineStr">
        <is>
          <t>0,000000000000</t>
        </is>
      </c>
    </row>
    <row outlineLevel="0" r="3182">
      <c r="A3182" s="4108" t="inlineStr">
        <is>
          <t>135792468202006292001</t>
        </is>
      </c>
      <c r="B3182" s="4108" t="inlineStr">
        <is>
          <t>292001</t>
        </is>
      </c>
      <c r="C3182" s="4108" t="inlineStr">
        <is>
          <t>135792468</t>
        </is>
      </c>
      <c r="D3182" s="4108" t="inlineStr">
        <is>
          <t>202006</t>
        </is>
      </c>
      <c r="E3182" s="4108" t="inlineStr">
        <is>
          <t>0,000000000000</t>
        </is>
      </c>
    </row>
    <row outlineLevel="0" r="3183">
      <c r="A3183" s="4108" t="inlineStr">
        <is>
          <t>135792468202006293000</t>
        </is>
      </c>
      <c r="B3183" s="4108" t="inlineStr">
        <is>
          <t>293000</t>
        </is>
      </c>
      <c r="C3183" s="4108" t="inlineStr">
        <is>
          <t>135792468</t>
        </is>
      </c>
      <c r="D3183" s="4108" t="inlineStr">
        <is>
          <t>202006</t>
        </is>
      </c>
      <c r="E3183" s="4108" t="inlineStr">
        <is>
          <t>0,000000000000</t>
        </is>
      </c>
    </row>
    <row outlineLevel="0" r="3184">
      <c r="A3184" s="4108" t="inlineStr">
        <is>
          <t>135792468202006294000</t>
        </is>
      </c>
      <c r="B3184" s="4108" t="inlineStr">
        <is>
          <t>294000</t>
        </is>
      </c>
      <c r="C3184" s="4108" t="inlineStr">
        <is>
          <t>135792468</t>
        </is>
      </c>
      <c r="D3184" s="4108" t="inlineStr">
        <is>
          <t>202006</t>
        </is>
      </c>
      <c r="E3184" s="4108" t="inlineStr">
        <is>
          <t>0,000000000000</t>
        </is>
      </c>
    </row>
    <row outlineLevel="0" r="3185">
      <c r="A3185" s="4108" t="inlineStr">
        <is>
          <t>135792468202006299501</t>
        </is>
      </c>
      <c r="B3185" s="4108" t="inlineStr">
        <is>
          <t>299501</t>
        </is>
      </c>
      <c r="C3185" s="4108" t="inlineStr">
        <is>
          <t>135792468</t>
        </is>
      </c>
      <c r="D3185" s="4108" t="inlineStr">
        <is>
          <t>202006</t>
        </is>
      </c>
      <c r="E3185" s="4108" t="inlineStr">
        <is>
          <t>0,000000000000</t>
        </is>
      </c>
    </row>
    <row outlineLevel="0" r="3186">
      <c r="A3186" s="4108" t="inlineStr">
        <is>
          <t>135792468202006310500</t>
        </is>
      </c>
      <c r="B3186" s="4108" t="inlineStr">
        <is>
          <t>310500</t>
        </is>
      </c>
      <c r="C3186" s="4108" t="inlineStr">
        <is>
          <t>135792468</t>
        </is>
      </c>
      <c r="D3186" s="4108" t="inlineStr">
        <is>
          <t>202006</t>
        </is>
      </c>
      <c r="E3186" s="4108" t="inlineStr">
        <is>
          <t>961,000000000000</t>
        </is>
      </c>
    </row>
    <row outlineLevel="0" r="3187">
      <c r="A3187" s="4108" t="inlineStr">
        <is>
          <t>135792468202006311500</t>
        </is>
      </c>
      <c r="B3187" s="4108" t="inlineStr">
        <is>
          <t>311500</t>
        </is>
      </c>
      <c r="C3187" s="4108" t="inlineStr">
        <is>
          <t>135792468</t>
        </is>
      </c>
      <c r="D3187" s="4108" t="inlineStr">
        <is>
          <t>202006</t>
        </is>
      </c>
      <c r="E3187" s="4108" t="inlineStr">
        <is>
          <t>0,000000000000</t>
        </is>
      </c>
    </row>
    <row outlineLevel="0" r="3188">
      <c r="A3188" s="4108" t="inlineStr">
        <is>
          <t>135792468202006312000</t>
        </is>
      </c>
      <c r="B3188" s="4108" t="inlineStr">
        <is>
          <t>312000</t>
        </is>
      </c>
      <c r="C3188" s="4108" t="inlineStr">
        <is>
          <t>135792468</t>
        </is>
      </c>
      <c r="D3188" s="4108" t="inlineStr">
        <is>
          <t>202006</t>
        </is>
      </c>
      <c r="E3188" s="4108" t="inlineStr">
        <is>
          <t>0,000000000000</t>
        </is>
      </c>
    </row>
    <row outlineLevel="0" r="3189">
      <c r="A3189" s="4108" t="inlineStr">
        <is>
          <t>135792468202006312500</t>
        </is>
      </c>
      <c r="B3189" s="4108" t="inlineStr">
        <is>
          <t>312500</t>
        </is>
      </c>
      <c r="C3189" s="4108" t="inlineStr">
        <is>
          <t>135792468</t>
        </is>
      </c>
      <c r="D3189" s="4108" t="inlineStr">
        <is>
          <t>202006</t>
        </is>
      </c>
      <c r="E3189" s="4108" t="inlineStr">
        <is>
          <t>0,000000000000</t>
        </is>
      </c>
    </row>
    <row outlineLevel="0" r="3190">
      <c r="A3190" s="4108" t="inlineStr">
        <is>
          <t>135792468202006313000</t>
        </is>
      </c>
      <c r="B3190" s="4108" t="inlineStr">
        <is>
          <t>313000</t>
        </is>
      </c>
      <c r="C3190" s="4108" t="inlineStr">
        <is>
          <t>135792468</t>
        </is>
      </c>
      <c r="D3190" s="4108" t="inlineStr">
        <is>
          <t>202006</t>
        </is>
      </c>
      <c r="E3190" s="4108" t="inlineStr">
        <is>
          <t>0,000000000000</t>
        </is>
      </c>
    </row>
    <row outlineLevel="0" r="3191">
      <c r="A3191" s="4108" t="inlineStr">
        <is>
          <t>135792468202006313500</t>
        </is>
      </c>
      <c r="B3191" s="4108" t="inlineStr">
        <is>
          <t>313500</t>
        </is>
      </c>
      <c r="C3191" s="4108" t="inlineStr">
        <is>
          <t>135792468</t>
        </is>
      </c>
      <c r="D3191" s="4108" t="inlineStr">
        <is>
          <t>202006</t>
        </is>
      </c>
      <c r="E3191" s="4108" t="inlineStr">
        <is>
          <t>0,000000000000</t>
        </is>
      </c>
    </row>
    <row outlineLevel="0" r="3192">
      <c r="A3192" s="4108" t="inlineStr">
        <is>
          <t>135792468202006314000</t>
        </is>
      </c>
      <c r="B3192" s="4108" t="inlineStr">
        <is>
          <t>314000</t>
        </is>
      </c>
      <c r="C3192" s="4108" t="inlineStr">
        <is>
          <t>135792468</t>
        </is>
      </c>
      <c r="D3192" s="4108" t="inlineStr">
        <is>
          <t>202006</t>
        </is>
      </c>
      <c r="E3192" s="4108" t="inlineStr">
        <is>
          <t>0,000000000000</t>
        </is>
      </c>
    </row>
    <row outlineLevel="0" r="3193">
      <c r="A3193" s="4108" t="inlineStr">
        <is>
          <t>135792468202006320500</t>
        </is>
      </c>
      <c r="B3193" s="4108" t="inlineStr">
        <is>
          <t>320500</t>
        </is>
      </c>
      <c r="C3193" s="4108" t="inlineStr">
        <is>
          <t>135792468</t>
        </is>
      </c>
      <c r="D3193" s="4108" t="inlineStr">
        <is>
          <t>202006</t>
        </is>
      </c>
      <c r="E3193" s="4108" t="inlineStr">
        <is>
          <t>0,000000000000</t>
        </is>
      </c>
    </row>
    <row outlineLevel="0" r="3194">
      <c r="A3194" s="4108" t="inlineStr">
        <is>
          <t>135792468202006321000</t>
        </is>
      </c>
      <c r="B3194" s="4108" t="inlineStr">
        <is>
          <t>321000</t>
        </is>
      </c>
      <c r="C3194" s="4108" t="inlineStr">
        <is>
          <t>135792468</t>
        </is>
      </c>
      <c r="D3194" s="4108" t="inlineStr">
        <is>
          <t>202006</t>
        </is>
      </c>
      <c r="E3194" s="4108" t="inlineStr">
        <is>
          <t>0,000000000000</t>
        </is>
      </c>
    </row>
    <row outlineLevel="0" r="3195">
      <c r="A3195" s="4108" t="inlineStr">
        <is>
          <t>135792468202006321500</t>
        </is>
      </c>
      <c r="B3195" s="4108" t="inlineStr">
        <is>
          <t>321500</t>
        </is>
      </c>
      <c r="C3195" s="4108" t="inlineStr">
        <is>
          <t>135792468</t>
        </is>
      </c>
      <c r="D3195" s="4108" t="inlineStr">
        <is>
          <t>202006</t>
        </is>
      </c>
      <c r="E3195" s="4108" t="inlineStr">
        <is>
          <t>0,000000000000</t>
        </is>
      </c>
    </row>
    <row outlineLevel="0" r="3196">
      <c r="A3196" s="4108" t="inlineStr">
        <is>
          <t>135792468202006322000</t>
        </is>
      </c>
      <c r="B3196" s="4108" t="inlineStr">
        <is>
          <t>322000</t>
        </is>
      </c>
      <c r="C3196" s="4108" t="inlineStr">
        <is>
          <t>135792468</t>
        </is>
      </c>
      <c r="D3196" s="4108" t="inlineStr">
        <is>
          <t>202006</t>
        </is>
      </c>
      <c r="E3196" s="4108" t="inlineStr">
        <is>
          <t>0,000000000000</t>
        </is>
      </c>
    </row>
    <row outlineLevel="0" r="3197">
      <c r="A3197" s="4108" t="inlineStr">
        <is>
          <t>135792468202006322500</t>
        </is>
      </c>
      <c r="B3197" s="4108" t="inlineStr">
        <is>
          <t>322500</t>
        </is>
      </c>
      <c r="C3197" s="4108" t="inlineStr">
        <is>
          <t>135792468</t>
        </is>
      </c>
      <c r="D3197" s="4108" t="inlineStr">
        <is>
          <t>202006</t>
        </is>
      </c>
      <c r="E3197" s="4108" t="inlineStr">
        <is>
          <t>0,000000000000</t>
        </is>
      </c>
    </row>
    <row outlineLevel="0" r="3198">
      <c r="A3198" s="4108" t="inlineStr">
        <is>
          <t>135792468202006330500</t>
        </is>
      </c>
      <c r="B3198" s="4108" t="inlineStr">
        <is>
          <t>330500</t>
        </is>
      </c>
      <c r="C3198" s="4108" t="inlineStr">
        <is>
          <t>135792468</t>
        </is>
      </c>
      <c r="D3198" s="4108" t="inlineStr">
        <is>
          <t>202006</t>
        </is>
      </c>
      <c r="E3198" s="4108" t="inlineStr">
        <is>
          <t>0,000000000000</t>
        </is>
      </c>
    </row>
    <row outlineLevel="0" r="3199">
      <c r="A3199" s="4108" t="inlineStr">
        <is>
          <t>135792468202006331000</t>
        </is>
      </c>
      <c r="B3199" s="4108" t="inlineStr">
        <is>
          <t>331000</t>
        </is>
      </c>
      <c r="C3199" s="4108" t="inlineStr">
        <is>
          <t>135792468</t>
        </is>
      </c>
      <c r="D3199" s="4108" t="inlineStr">
        <is>
          <t>202006</t>
        </is>
      </c>
      <c r="E3199" s="4108" t="inlineStr">
        <is>
          <t>0,000000000000</t>
        </is>
      </c>
    </row>
    <row outlineLevel="0" r="3200">
      <c r="A3200" s="4108" t="inlineStr">
        <is>
          <t>135792468202006331500</t>
        </is>
      </c>
      <c r="B3200" s="4108" t="inlineStr">
        <is>
          <t>331500</t>
        </is>
      </c>
      <c r="C3200" s="4108" t="inlineStr">
        <is>
          <t>135792468</t>
        </is>
      </c>
      <c r="D3200" s="4108" t="inlineStr">
        <is>
          <t>202006</t>
        </is>
      </c>
      <c r="E3200" s="4108" t="inlineStr">
        <is>
          <t>0,000000000000</t>
        </is>
      </c>
    </row>
    <row outlineLevel="0" r="3201">
      <c r="A3201" s="4108" t="inlineStr">
        <is>
          <t>135792468202006340505</t>
        </is>
      </c>
      <c r="B3201" s="4108" t="inlineStr">
        <is>
          <t>340505</t>
        </is>
      </c>
      <c r="C3201" s="4108" t="inlineStr">
        <is>
          <t>135792468</t>
        </is>
      </c>
      <c r="D3201" s="4108" t="inlineStr">
        <is>
          <t>202006</t>
        </is>
      </c>
      <c r="E3201" s="4108" t="inlineStr">
        <is>
          <t>0,000000000000</t>
        </is>
      </c>
    </row>
    <row outlineLevel="0" r="3202">
      <c r="A3202" s="4108" t="inlineStr">
        <is>
          <t>135792468202006340515</t>
        </is>
      </c>
      <c r="B3202" s="4108" t="inlineStr">
        <is>
          <t>340515</t>
        </is>
      </c>
      <c r="C3202" s="4108" t="inlineStr">
        <is>
          <t>135792468</t>
        </is>
      </c>
      <c r="D3202" s="4108" t="inlineStr">
        <is>
          <t>202006</t>
        </is>
      </c>
      <c r="E3202" s="4108" t="inlineStr">
        <is>
          <t>0,000000000000</t>
        </is>
      </c>
    </row>
    <row outlineLevel="0" r="3203">
      <c r="A3203" s="4108" t="inlineStr">
        <is>
          <t>135792468202006349500</t>
        </is>
      </c>
      <c r="B3203" s="4108" t="inlineStr">
        <is>
          <t>349500</t>
        </is>
      </c>
      <c r="C3203" s="4108" t="inlineStr">
        <is>
          <t>135792468</t>
        </is>
      </c>
      <c r="D3203" s="4108" t="inlineStr">
        <is>
          <t>202006</t>
        </is>
      </c>
      <c r="E3203" s="4108" t="inlineStr">
        <is>
          <t>0,000000000000</t>
        </is>
      </c>
    </row>
    <row outlineLevel="0" r="3204">
      <c r="A3204" s="4108" t="inlineStr">
        <is>
          <t>135792468202006410500</t>
        </is>
      </c>
      <c r="B3204" s="4108" t="inlineStr">
        <is>
          <t>410500</t>
        </is>
      </c>
      <c r="C3204" s="4108" t="inlineStr">
        <is>
          <t>135792468</t>
        </is>
      </c>
      <c r="D3204" s="4108" t="inlineStr">
        <is>
          <t>202006</t>
        </is>
      </c>
      <c r="E3204" s="4108" t="inlineStr">
        <is>
          <t>400,000000000000</t>
        </is>
      </c>
    </row>
    <row outlineLevel="0" r="3205">
      <c r="A3205" s="4108" t="inlineStr">
        <is>
          <t>135792468202006411000</t>
        </is>
      </c>
      <c r="B3205" s="4108" t="inlineStr">
        <is>
          <t>411000</t>
        </is>
      </c>
      <c r="C3205" s="4108" t="inlineStr">
        <is>
          <t>135792468</t>
        </is>
      </c>
      <c r="D3205" s="4108" t="inlineStr">
        <is>
          <t>202006</t>
        </is>
      </c>
      <c r="E3205" s="4108" t="inlineStr">
        <is>
          <t>0,000000000000</t>
        </is>
      </c>
    </row>
    <row outlineLevel="0" r="3206">
      <c r="A3206" s="4108" t="inlineStr">
        <is>
          <t>135792468202006420500</t>
        </is>
      </c>
      <c r="B3206" s="4108" t="inlineStr">
        <is>
          <t>420500</t>
        </is>
      </c>
      <c r="C3206" s="4108" t="inlineStr">
        <is>
          <t>135792468</t>
        </is>
      </c>
      <c r="D3206" s="4108" t="inlineStr">
        <is>
          <t>202006</t>
        </is>
      </c>
      <c r="E3206" s="4108" t="inlineStr">
        <is>
          <t>0,000000000000</t>
        </is>
      </c>
    </row>
    <row outlineLevel="0" r="3207">
      <c r="A3207" s="4108" t="inlineStr">
        <is>
          <t>135792468202006421000</t>
        </is>
      </c>
      <c r="B3207" s="4108" t="inlineStr">
        <is>
          <t>421000</t>
        </is>
      </c>
      <c r="C3207" s="4108" t="inlineStr">
        <is>
          <t>135792468</t>
        </is>
      </c>
      <c r="D3207" s="4108" t="inlineStr">
        <is>
          <t>202006</t>
        </is>
      </c>
      <c r="E3207" s="4108" t="inlineStr">
        <is>
          <t>0,000000000000</t>
        </is>
      </c>
    </row>
    <row outlineLevel="0" r="3208">
      <c r="A3208" s="4108" t="inlineStr">
        <is>
          <t>135792468202006421020</t>
        </is>
      </c>
      <c r="B3208" s="4108" t="inlineStr">
        <is>
          <t>421020</t>
        </is>
      </c>
      <c r="C3208" s="4108" t="inlineStr">
        <is>
          <t>135792468</t>
        </is>
      </c>
      <c r="D3208" s="4108" t="inlineStr">
        <is>
          <t>202006</t>
        </is>
      </c>
      <c r="E3208" s="4108" t="inlineStr">
        <is>
          <t>0,000000000000</t>
        </is>
      </c>
    </row>
    <row outlineLevel="0" r="3209">
      <c r="A3209" s="4108" t="inlineStr">
        <is>
          <t>135792468202006421040</t>
        </is>
      </c>
      <c r="B3209" s="4108" t="inlineStr">
        <is>
          <t>421040</t>
        </is>
      </c>
      <c r="C3209" s="4108" t="inlineStr">
        <is>
          <t>135792468</t>
        </is>
      </c>
      <c r="D3209" s="4108" t="inlineStr">
        <is>
          <t>202006</t>
        </is>
      </c>
      <c r="E3209" s="4108" t="inlineStr">
        <is>
          <t>0,000000000000</t>
        </is>
      </c>
    </row>
    <row outlineLevel="0" r="3210">
      <c r="A3210" s="4108" t="inlineStr">
        <is>
          <t>135792468202006421500</t>
        </is>
      </c>
      <c r="B3210" s="4108" t="inlineStr">
        <is>
          <t>421500</t>
        </is>
      </c>
      <c r="C3210" s="4108" t="inlineStr">
        <is>
          <t>135792468</t>
        </is>
      </c>
      <c r="D3210" s="4108" t="inlineStr">
        <is>
          <t>202006</t>
        </is>
      </c>
      <c r="E3210" s="4108" t="inlineStr">
        <is>
          <t>0,000000000000</t>
        </is>
      </c>
    </row>
    <row outlineLevel="0" r="3211">
      <c r="A3211" s="4108" t="inlineStr">
        <is>
          <t>135792468202006422000</t>
        </is>
      </c>
      <c r="B3211" s="4108" t="inlineStr">
        <is>
          <t>422000</t>
        </is>
      </c>
      <c r="C3211" s="4108" t="inlineStr">
        <is>
          <t>135792468</t>
        </is>
      </c>
      <c r="D3211" s="4108" t="inlineStr">
        <is>
          <t>202006</t>
        </is>
      </c>
      <c r="E3211" s="4108" t="inlineStr">
        <is>
          <t>0,000000000000</t>
        </is>
      </c>
    </row>
    <row outlineLevel="0" r="3212">
      <c r="A3212" s="4108" t="inlineStr">
        <is>
          <t>135792468202006422500</t>
        </is>
      </c>
      <c r="B3212" s="4108" t="inlineStr">
        <is>
          <t>422500</t>
        </is>
      </c>
      <c r="C3212" s="4108" t="inlineStr">
        <is>
          <t>135792468</t>
        </is>
      </c>
      <c r="D3212" s="4108" t="inlineStr">
        <is>
          <t>202006</t>
        </is>
      </c>
      <c r="E3212" s="4108" t="inlineStr">
        <is>
          <t>0,000000000000</t>
        </is>
      </c>
    </row>
    <row outlineLevel="0" r="3213">
      <c r="A3213" s="4108" t="inlineStr">
        <is>
          <t>135792468202006423500</t>
        </is>
      </c>
      <c r="B3213" s="4108" t="inlineStr">
        <is>
          <t>423500</t>
        </is>
      </c>
      <c r="C3213" s="4108" t="inlineStr">
        <is>
          <t>135792468</t>
        </is>
      </c>
      <c r="D3213" s="4108" t="inlineStr">
        <is>
          <t>202006</t>
        </is>
      </c>
      <c r="E3213" s="4108" t="inlineStr">
        <is>
          <t>0,000000000000</t>
        </is>
      </c>
    </row>
    <row outlineLevel="0" r="3214">
      <c r="A3214" s="4108" t="inlineStr">
        <is>
          <t>135792468202006424000</t>
        </is>
      </c>
      <c r="B3214" s="4108" t="inlineStr">
        <is>
          <t>424000</t>
        </is>
      </c>
      <c r="C3214" s="4108" t="inlineStr">
        <is>
          <t>135792468</t>
        </is>
      </c>
      <c r="D3214" s="4108" t="inlineStr">
        <is>
          <t>202006</t>
        </is>
      </c>
      <c r="E3214" s="4108" t="inlineStr">
        <is>
          <t>0,000000000000</t>
        </is>
      </c>
    </row>
    <row outlineLevel="0" r="3215">
      <c r="A3215" s="4108" t="inlineStr">
        <is>
          <t>135792468202006425000</t>
        </is>
      </c>
      <c r="B3215" s="4108" t="inlineStr">
        <is>
          <t>425000</t>
        </is>
      </c>
      <c r="C3215" s="4108" t="inlineStr">
        <is>
          <t>135792468</t>
        </is>
      </c>
      <c r="D3215" s="4108" t="inlineStr">
        <is>
          <t>202006</t>
        </is>
      </c>
      <c r="E3215" s="4108" t="inlineStr">
        <is>
          <t>0,000000000000</t>
        </is>
      </c>
    </row>
    <row outlineLevel="0" r="3216">
      <c r="A3216" s="4108" t="inlineStr">
        <is>
          <t>135792468202006426500</t>
        </is>
      </c>
      <c r="B3216" s="4108" t="inlineStr">
        <is>
          <t>426500</t>
        </is>
      </c>
      <c r="C3216" s="4108" t="inlineStr">
        <is>
          <t>135792468</t>
        </is>
      </c>
      <c r="D3216" s="4108" t="inlineStr">
        <is>
          <t>202006</t>
        </is>
      </c>
      <c r="E3216" s="4108" t="inlineStr">
        <is>
          <t>0,000000000000</t>
        </is>
      </c>
    </row>
    <row outlineLevel="0" r="3217">
      <c r="A3217" s="4108" t="inlineStr">
        <is>
          <t>135792468202006429500</t>
        </is>
      </c>
      <c r="B3217" s="4108" t="inlineStr">
        <is>
          <t>429500</t>
        </is>
      </c>
      <c r="C3217" s="4108" t="inlineStr">
        <is>
          <t>135792468</t>
        </is>
      </c>
      <c r="D3217" s="4108" t="inlineStr">
        <is>
          <t>202006</t>
        </is>
      </c>
      <c r="E3217" s="4108" t="inlineStr">
        <is>
          <t>0,000000000000</t>
        </is>
      </c>
    </row>
    <row outlineLevel="0" r="3218">
      <c r="A3218" s="4108" t="inlineStr">
        <is>
          <t>135792468202006510500</t>
        </is>
      </c>
      <c r="B3218" s="4108" t="inlineStr">
        <is>
          <t>510500</t>
        </is>
      </c>
      <c r="C3218" s="4108" t="inlineStr">
        <is>
          <t>135792468</t>
        </is>
      </c>
      <c r="D3218" s="4108" t="inlineStr">
        <is>
          <t>202006</t>
        </is>
      </c>
      <c r="E3218" s="4108" t="inlineStr">
        <is>
          <t>0,000000000000</t>
        </is>
      </c>
    </row>
    <row outlineLevel="0" r="3219">
      <c r="A3219" s="4108" t="inlineStr">
        <is>
          <t>135792468202006511000</t>
        </is>
      </c>
      <c r="B3219" s="4108" t="inlineStr">
        <is>
          <t>511000</t>
        </is>
      </c>
      <c r="C3219" s="4108" t="inlineStr">
        <is>
          <t>135792468</t>
        </is>
      </c>
      <c r="D3219" s="4108" t="inlineStr">
        <is>
          <t>202006</t>
        </is>
      </c>
      <c r="E3219" s="4108" t="inlineStr">
        <is>
          <t>0,000000000000</t>
        </is>
      </c>
    </row>
    <row outlineLevel="0" r="3220">
      <c r="A3220" s="4108" t="inlineStr">
        <is>
          <t>135792468202006511500</t>
        </is>
      </c>
      <c r="B3220" s="4108" t="inlineStr">
        <is>
          <t>511500</t>
        </is>
      </c>
      <c r="C3220" s="4108" t="inlineStr">
        <is>
          <t>135792468</t>
        </is>
      </c>
      <c r="D3220" s="4108" t="inlineStr">
        <is>
          <t>202006</t>
        </is>
      </c>
      <c r="E3220" s="4108" t="inlineStr">
        <is>
          <t>0,000000000000</t>
        </is>
      </c>
    </row>
    <row outlineLevel="0" r="3221">
      <c r="A3221" s="4108" t="inlineStr">
        <is>
          <t>135792468202006512000</t>
        </is>
      </c>
      <c r="B3221" s="4108" t="inlineStr">
        <is>
          <t>512000</t>
        </is>
      </c>
      <c r="C3221" s="4108" t="inlineStr">
        <is>
          <t>135792468</t>
        </is>
      </c>
      <c r="D3221" s="4108" t="inlineStr">
        <is>
          <t>202006</t>
        </is>
      </c>
      <c r="E3221" s="4108" t="inlineStr">
        <is>
          <t>0,000000000000</t>
        </is>
      </c>
    </row>
    <row outlineLevel="0" r="3222">
      <c r="A3222" s="4108" t="inlineStr">
        <is>
          <t>135792468202006512500</t>
        </is>
      </c>
      <c r="B3222" s="4108" t="inlineStr">
        <is>
          <t>512500</t>
        </is>
      </c>
      <c r="C3222" s="4108" t="inlineStr">
        <is>
          <t>135792468</t>
        </is>
      </c>
      <c r="D3222" s="4108" t="inlineStr">
        <is>
          <t>202006</t>
        </is>
      </c>
      <c r="E3222" s="4108" t="inlineStr">
        <is>
          <t>0,000000000000</t>
        </is>
      </c>
    </row>
    <row outlineLevel="0" r="3223">
      <c r="A3223" s="4108" t="inlineStr">
        <is>
          <t>135792468202006513000</t>
        </is>
      </c>
      <c r="B3223" s="4108" t="inlineStr">
        <is>
          <t>513000</t>
        </is>
      </c>
      <c r="C3223" s="4108" t="inlineStr">
        <is>
          <t>135792468</t>
        </is>
      </c>
      <c r="D3223" s="4108" t="inlineStr">
        <is>
          <t>202006</t>
        </is>
      </c>
      <c r="E3223" s="4108" t="inlineStr">
        <is>
          <t>0,000000000000</t>
        </is>
      </c>
    </row>
    <row outlineLevel="0" r="3224">
      <c r="A3224" s="4108" t="inlineStr">
        <is>
          <t>135792468202006513500</t>
        </is>
      </c>
      <c r="B3224" s="4108" t="inlineStr">
        <is>
          <t>513500</t>
        </is>
      </c>
      <c r="C3224" s="4108" t="inlineStr">
        <is>
          <t>135792468</t>
        </is>
      </c>
      <c r="D3224" s="4108" t="inlineStr">
        <is>
          <t>202006</t>
        </is>
      </c>
      <c r="E3224" s="4108" t="inlineStr">
        <is>
          <t>0,000000000000</t>
        </is>
      </c>
    </row>
    <row outlineLevel="0" r="3225">
      <c r="A3225" s="4108" t="inlineStr">
        <is>
          <t>135792468202006514000</t>
        </is>
      </c>
      <c r="B3225" s="4108" t="inlineStr">
        <is>
          <t>514000</t>
        </is>
      </c>
      <c r="C3225" s="4108" t="inlineStr">
        <is>
          <t>135792468</t>
        </is>
      </c>
      <c r="D3225" s="4108" t="inlineStr">
        <is>
          <t>202006</t>
        </is>
      </c>
      <c r="E3225" s="4108" t="inlineStr">
        <is>
          <t>0,000000000000</t>
        </is>
      </c>
    </row>
    <row outlineLevel="0" r="3226">
      <c r="A3226" s="4108" t="inlineStr">
        <is>
          <t>135792468202006514500</t>
        </is>
      </c>
      <c r="B3226" s="4108" t="inlineStr">
        <is>
          <t>514500</t>
        </is>
      </c>
      <c r="C3226" s="4108" t="inlineStr">
        <is>
          <t>135792468</t>
        </is>
      </c>
      <c r="D3226" s="4108" t="inlineStr">
        <is>
          <t>202006</t>
        </is>
      </c>
      <c r="E3226" s="4108" t="inlineStr">
        <is>
          <t>0,000000000000</t>
        </is>
      </c>
    </row>
    <row outlineLevel="0" r="3227">
      <c r="A3227" s="4108" t="inlineStr">
        <is>
          <t>135792468202006515000</t>
        </is>
      </c>
      <c r="B3227" s="4108" t="inlineStr">
        <is>
          <t>515000</t>
        </is>
      </c>
      <c r="C3227" s="4108" t="inlineStr">
        <is>
          <t>135792468</t>
        </is>
      </c>
      <c r="D3227" s="4108" t="inlineStr">
        <is>
          <t>202006</t>
        </is>
      </c>
      <c r="E3227" s="4108" t="inlineStr">
        <is>
          <t>0,000000000000</t>
        </is>
      </c>
    </row>
    <row outlineLevel="0" r="3228">
      <c r="A3228" s="4108" t="inlineStr">
        <is>
          <t>135792468202006515500</t>
        </is>
      </c>
      <c r="B3228" s="4108" t="inlineStr">
        <is>
          <t>515500</t>
        </is>
      </c>
      <c r="C3228" s="4108" t="inlineStr">
        <is>
          <t>135792468</t>
        </is>
      </c>
      <c r="D3228" s="4108" t="inlineStr">
        <is>
          <t>202006</t>
        </is>
      </c>
      <c r="E3228" s="4108" t="inlineStr">
        <is>
          <t>0,000000000000</t>
        </is>
      </c>
    </row>
    <row outlineLevel="0" r="3229">
      <c r="A3229" s="4108" t="inlineStr">
        <is>
          <t>135792468202006516000</t>
        </is>
      </c>
      <c r="B3229" s="4108" t="inlineStr">
        <is>
          <t>516000</t>
        </is>
      </c>
      <c r="C3229" s="4108" t="inlineStr">
        <is>
          <t>135792468</t>
        </is>
      </c>
      <c r="D3229" s="4108" t="inlineStr">
        <is>
          <t>202006</t>
        </is>
      </c>
      <c r="E3229" s="4108" t="inlineStr">
        <is>
          <t>0,000000000000</t>
        </is>
      </c>
    </row>
    <row outlineLevel="0" r="3230">
      <c r="A3230" s="4108" t="inlineStr">
        <is>
          <t>135792468202006516500</t>
        </is>
      </c>
      <c r="B3230" s="4108" t="inlineStr">
        <is>
          <t>516500</t>
        </is>
      </c>
      <c r="C3230" s="4108" t="inlineStr">
        <is>
          <t>135792468</t>
        </is>
      </c>
      <c r="D3230" s="4108" t="inlineStr">
        <is>
          <t>202006</t>
        </is>
      </c>
      <c r="E3230" s="4108" t="inlineStr">
        <is>
          <t>0,000000000000</t>
        </is>
      </c>
    </row>
    <row outlineLevel="0" r="3231">
      <c r="A3231" s="4108" t="inlineStr">
        <is>
          <t>135792468202006519500</t>
        </is>
      </c>
      <c r="B3231" s="4108" t="inlineStr">
        <is>
          <t>519500</t>
        </is>
      </c>
      <c r="C3231" s="4108" t="inlineStr">
        <is>
          <t>135792468</t>
        </is>
      </c>
      <c r="D3231" s="4108" t="inlineStr">
        <is>
          <t>202006</t>
        </is>
      </c>
      <c r="E3231" s="4108" t="inlineStr">
        <is>
          <t>0,000000000000</t>
        </is>
      </c>
    </row>
    <row outlineLevel="0" r="3232">
      <c r="A3232" s="4108" t="inlineStr">
        <is>
          <t>135792468202006519900</t>
        </is>
      </c>
      <c r="B3232" s="4108" t="inlineStr">
        <is>
          <t>519900</t>
        </is>
      </c>
      <c r="C3232" s="4108" t="inlineStr">
        <is>
          <t>135792468</t>
        </is>
      </c>
      <c r="D3232" s="4108" t="inlineStr">
        <is>
          <t>202006</t>
        </is>
      </c>
      <c r="E3232" s="4108" t="inlineStr">
        <is>
          <t>0,000000000000</t>
        </is>
      </c>
    </row>
    <row outlineLevel="0" r="3233">
      <c r="A3233" s="4108" t="inlineStr">
        <is>
          <t>135792468202006520500</t>
        </is>
      </c>
      <c r="B3233" s="4108" t="inlineStr">
        <is>
          <t>520500</t>
        </is>
      </c>
      <c r="C3233" s="4108" t="inlineStr">
        <is>
          <t>135792468</t>
        </is>
      </c>
      <c r="D3233" s="4108" t="inlineStr">
        <is>
          <t>202006</t>
        </is>
      </c>
      <c r="E3233" s="4108" t="inlineStr">
        <is>
          <t>0,000000000000</t>
        </is>
      </c>
    </row>
    <row outlineLevel="0" r="3234">
      <c r="A3234" s="4108" t="inlineStr">
        <is>
          <t>135792468202006521000</t>
        </is>
      </c>
      <c r="B3234" s="4108" t="inlineStr">
        <is>
          <t>521000</t>
        </is>
      </c>
      <c r="C3234" s="4108" t="inlineStr">
        <is>
          <t>135792468</t>
        </is>
      </c>
      <c r="D3234" s="4108" t="inlineStr">
        <is>
          <t>202006</t>
        </is>
      </c>
      <c r="E3234" s="4108" t="inlineStr">
        <is>
          <t>0,000000000000</t>
        </is>
      </c>
    </row>
    <row outlineLevel="0" r="3235">
      <c r="A3235" s="4108" t="inlineStr">
        <is>
          <t>135792468202006521500</t>
        </is>
      </c>
      <c r="B3235" s="4108" t="inlineStr">
        <is>
          <t>521500</t>
        </is>
      </c>
      <c r="C3235" s="4108" t="inlineStr">
        <is>
          <t>135792468</t>
        </is>
      </c>
      <c r="D3235" s="4108" t="inlineStr">
        <is>
          <t>202006</t>
        </is>
      </c>
      <c r="E3235" s="4108" t="inlineStr">
        <is>
          <t>0,000000000000</t>
        </is>
      </c>
    </row>
    <row outlineLevel="0" r="3236">
      <c r="A3236" s="4108" t="inlineStr">
        <is>
          <t>135792468202006522000</t>
        </is>
      </c>
      <c r="B3236" s="4108" t="inlineStr">
        <is>
          <t>522000</t>
        </is>
      </c>
      <c r="C3236" s="4108" t="inlineStr">
        <is>
          <t>135792468</t>
        </is>
      </c>
      <c r="D3236" s="4108" t="inlineStr">
        <is>
          <t>202006</t>
        </is>
      </c>
      <c r="E3236" s="4108" t="inlineStr">
        <is>
          <t>0,000000000000</t>
        </is>
      </c>
    </row>
    <row outlineLevel="0" r="3237">
      <c r="A3237" s="4108" t="inlineStr">
        <is>
          <t>135792468202006522500</t>
        </is>
      </c>
      <c r="B3237" s="4108" t="inlineStr">
        <is>
          <t>522500</t>
        </is>
      </c>
      <c r="C3237" s="4108" t="inlineStr">
        <is>
          <t>135792468</t>
        </is>
      </c>
      <c r="D3237" s="4108" t="inlineStr">
        <is>
          <t>202006</t>
        </is>
      </c>
      <c r="E3237" s="4108" t="inlineStr">
        <is>
          <t>0,000000000000</t>
        </is>
      </c>
    </row>
    <row outlineLevel="0" r="3238">
      <c r="A3238" s="4108" t="inlineStr">
        <is>
          <t>135792468202006523000</t>
        </is>
      </c>
      <c r="B3238" s="4108" t="inlineStr">
        <is>
          <t>523000</t>
        </is>
      </c>
      <c r="C3238" s="4108" t="inlineStr">
        <is>
          <t>135792468</t>
        </is>
      </c>
      <c r="D3238" s="4108" t="inlineStr">
        <is>
          <t>202006</t>
        </is>
      </c>
      <c r="E3238" s="4108" t="inlineStr">
        <is>
          <t>0,000000000000</t>
        </is>
      </c>
    </row>
    <row outlineLevel="0" r="3239">
      <c r="A3239" s="4108" t="inlineStr">
        <is>
          <t>135792468202006523500</t>
        </is>
      </c>
      <c r="B3239" s="4108" t="inlineStr">
        <is>
          <t>523500</t>
        </is>
      </c>
      <c r="C3239" s="4108" t="inlineStr">
        <is>
          <t>135792468</t>
        </is>
      </c>
      <c r="D3239" s="4108" t="inlineStr">
        <is>
          <t>202006</t>
        </is>
      </c>
      <c r="E3239" s="4108" t="inlineStr">
        <is>
          <t>0,000000000000</t>
        </is>
      </c>
    </row>
    <row outlineLevel="0" r="3240">
      <c r="A3240" s="4108" t="inlineStr">
        <is>
          <t>135792468202006524000</t>
        </is>
      </c>
      <c r="B3240" s="4108" t="inlineStr">
        <is>
          <t>524000</t>
        </is>
      </c>
      <c r="C3240" s="4108" t="inlineStr">
        <is>
          <t>135792468</t>
        </is>
      </c>
      <c r="D3240" s="4108" t="inlineStr">
        <is>
          <t>202006</t>
        </is>
      </c>
      <c r="E3240" s="4108" t="inlineStr">
        <is>
          <t>0,000000000000</t>
        </is>
      </c>
    </row>
    <row outlineLevel="0" r="3241">
      <c r="A3241" s="4108" t="inlineStr">
        <is>
          <t>135792468202006524500</t>
        </is>
      </c>
      <c r="B3241" s="4108" t="inlineStr">
        <is>
          <t>524500</t>
        </is>
      </c>
      <c r="C3241" s="4108" t="inlineStr">
        <is>
          <t>135792468</t>
        </is>
      </c>
      <c r="D3241" s="4108" t="inlineStr">
        <is>
          <t>202006</t>
        </is>
      </c>
      <c r="E3241" s="4108" t="inlineStr">
        <is>
          <t>0,000000000000</t>
        </is>
      </c>
    </row>
    <row outlineLevel="0" r="3242">
      <c r="A3242" s="4108" t="inlineStr">
        <is>
          <t>135792468202006525000</t>
        </is>
      </c>
      <c r="B3242" s="4108" t="inlineStr">
        <is>
          <t>525000</t>
        </is>
      </c>
      <c r="C3242" s="4108" t="inlineStr">
        <is>
          <t>135792468</t>
        </is>
      </c>
      <c r="D3242" s="4108" t="inlineStr">
        <is>
          <t>202006</t>
        </is>
      </c>
      <c r="E3242" s="4108" t="inlineStr">
        <is>
          <t>0,000000000000</t>
        </is>
      </c>
    </row>
    <row outlineLevel="0" r="3243">
      <c r="A3243" s="4108" t="inlineStr">
        <is>
          <t>135792468202006525500</t>
        </is>
      </c>
      <c r="B3243" s="4108" t="inlineStr">
        <is>
          <t>525500</t>
        </is>
      </c>
      <c r="C3243" s="4108" t="inlineStr">
        <is>
          <t>135792468</t>
        </is>
      </c>
      <c r="D3243" s="4108" t="inlineStr">
        <is>
          <t>202006</t>
        </is>
      </c>
      <c r="E3243" s="4108" t="inlineStr">
        <is>
          <t>0,000000000000</t>
        </is>
      </c>
    </row>
    <row outlineLevel="0" r="3244">
      <c r="A3244" s="4108" t="inlineStr">
        <is>
          <t>135792468202006526000</t>
        </is>
      </c>
      <c r="B3244" s="4108" t="inlineStr">
        <is>
          <t>526000</t>
        </is>
      </c>
      <c r="C3244" s="4108" t="inlineStr">
        <is>
          <t>135792468</t>
        </is>
      </c>
      <c r="D3244" s="4108" t="inlineStr">
        <is>
          <t>202006</t>
        </is>
      </c>
      <c r="E3244" s="4108" t="inlineStr">
        <is>
          <t>0,000000000000</t>
        </is>
      </c>
    </row>
    <row outlineLevel="0" r="3245">
      <c r="A3245" s="4108" t="inlineStr">
        <is>
          <t>135792468202006526500</t>
        </is>
      </c>
      <c r="B3245" s="4108" t="inlineStr">
        <is>
          <t>526500</t>
        </is>
      </c>
      <c r="C3245" s="4108" t="inlineStr">
        <is>
          <t>135792468</t>
        </is>
      </c>
      <c r="D3245" s="4108" t="inlineStr">
        <is>
          <t>202006</t>
        </is>
      </c>
      <c r="E3245" s="4108" t="inlineStr">
        <is>
          <t>0,000000000000</t>
        </is>
      </c>
    </row>
    <row outlineLevel="0" r="3246">
      <c r="A3246" s="4108" t="inlineStr">
        <is>
          <t>135792468202006529500</t>
        </is>
      </c>
      <c r="B3246" s="4108" t="inlineStr">
        <is>
          <t>529500</t>
        </is>
      </c>
      <c r="C3246" s="4108" t="inlineStr">
        <is>
          <t>135792468</t>
        </is>
      </c>
      <c r="D3246" s="4108" t="inlineStr">
        <is>
          <t>202006</t>
        </is>
      </c>
      <c r="E3246" s="4108" t="inlineStr">
        <is>
          <t>0,000000000000</t>
        </is>
      </c>
    </row>
    <row outlineLevel="0" r="3247">
      <c r="A3247" s="4108" t="inlineStr">
        <is>
          <t>135792468202006529900</t>
        </is>
      </c>
      <c r="B3247" s="4108" t="inlineStr">
        <is>
          <t>529900</t>
        </is>
      </c>
      <c r="C3247" s="4108" t="inlineStr">
        <is>
          <t>135792468</t>
        </is>
      </c>
      <c r="D3247" s="4108" t="inlineStr">
        <is>
          <t>202006</t>
        </is>
      </c>
      <c r="E3247" s="4108" t="inlineStr">
        <is>
          <t>0,000000000000</t>
        </is>
      </c>
    </row>
    <row outlineLevel="0" r="3248">
      <c r="A3248" s="4108" t="inlineStr">
        <is>
          <t>135792468202006530505</t>
        </is>
      </c>
      <c r="B3248" s="4108" t="inlineStr">
        <is>
          <t>530505</t>
        </is>
      </c>
      <c r="C3248" s="4108" t="inlineStr">
        <is>
          <t>135792468</t>
        </is>
      </c>
      <c r="D3248" s="4108" t="inlineStr">
        <is>
          <t>202006</t>
        </is>
      </c>
      <c r="E3248" s="4108" t="inlineStr">
        <is>
          <t>0,000000000000</t>
        </is>
      </c>
    </row>
    <row outlineLevel="0" r="3249">
      <c r="A3249" s="4108" t="inlineStr">
        <is>
          <t>135792468202006530515</t>
        </is>
      </c>
      <c r="B3249" s="4108" t="inlineStr">
        <is>
          <t>530515</t>
        </is>
      </c>
      <c r="C3249" s="4108" t="inlineStr">
        <is>
          <t>135792468</t>
        </is>
      </c>
      <c r="D3249" s="4108" t="inlineStr">
        <is>
          <t>202006</t>
        </is>
      </c>
      <c r="E3249" s="4108" t="inlineStr">
        <is>
          <t>0,000000000000</t>
        </is>
      </c>
    </row>
    <row outlineLevel="0" r="3250">
      <c r="A3250" s="4108" t="inlineStr">
        <is>
          <t>135792468202006530525</t>
        </is>
      </c>
      <c r="B3250" s="4108" t="inlineStr">
        <is>
          <t>530525</t>
        </is>
      </c>
      <c r="C3250" s="4108" t="inlineStr">
        <is>
          <t>135792468</t>
        </is>
      </c>
      <c r="D3250" s="4108" t="inlineStr">
        <is>
          <t>202006</t>
        </is>
      </c>
      <c r="E3250" s="4108" t="inlineStr">
        <is>
          <t>0,000000000000</t>
        </is>
      </c>
    </row>
    <row outlineLevel="0" r="3251">
      <c r="A3251" s="4108" t="inlineStr">
        <is>
          <t>135792468202006530535</t>
        </is>
      </c>
      <c r="B3251" s="4108" t="inlineStr">
        <is>
          <t>530535</t>
        </is>
      </c>
      <c r="C3251" s="4108" t="inlineStr">
        <is>
          <t>135792468</t>
        </is>
      </c>
      <c r="D3251" s="4108" t="inlineStr">
        <is>
          <t>202006</t>
        </is>
      </c>
      <c r="E3251" s="4108" t="inlineStr">
        <is>
          <t>0,000000000000</t>
        </is>
      </c>
    </row>
    <row outlineLevel="0" r="3252">
      <c r="A3252" s="4108" t="inlineStr">
        <is>
          <t>135792468202006531000</t>
        </is>
      </c>
      <c r="B3252" s="4108" t="inlineStr">
        <is>
          <t>531000</t>
        </is>
      </c>
      <c r="C3252" s="4108" t="inlineStr">
        <is>
          <t>135792468</t>
        </is>
      </c>
      <c r="D3252" s="4108" t="inlineStr">
        <is>
          <t>202006</t>
        </is>
      </c>
      <c r="E3252" s="4108" t="inlineStr">
        <is>
          <t>0,000000000000</t>
        </is>
      </c>
    </row>
    <row outlineLevel="0" r="3253">
      <c r="A3253" s="4108" t="inlineStr">
        <is>
          <t>135792468202006531300</t>
        </is>
      </c>
      <c r="B3253" s="4108" t="inlineStr">
        <is>
          <t>531300</t>
        </is>
      </c>
      <c r="C3253" s="4108" t="inlineStr">
        <is>
          <t>135792468</t>
        </is>
      </c>
      <c r="D3253" s="4108" t="inlineStr">
        <is>
          <t>202006</t>
        </is>
      </c>
      <c r="E3253" s="4108" t="inlineStr">
        <is>
          <t>0,000000000000</t>
        </is>
      </c>
    </row>
    <row outlineLevel="0" r="3254">
      <c r="A3254" s="4108" t="inlineStr">
        <is>
          <t>135792468202006531500</t>
        </is>
      </c>
      <c r="B3254" s="4108" t="inlineStr">
        <is>
          <t>531500</t>
        </is>
      </c>
      <c r="C3254" s="4108" t="inlineStr">
        <is>
          <t>135792468</t>
        </is>
      </c>
      <c r="D3254" s="4108" t="inlineStr">
        <is>
          <t>202006</t>
        </is>
      </c>
      <c r="E3254" s="4108" t="inlineStr">
        <is>
          <t>0,000000000000</t>
        </is>
      </c>
    </row>
    <row outlineLevel="0" r="3255">
      <c r="A3255" s="4108" t="inlineStr">
        <is>
          <t>135792468202006531515</t>
        </is>
      </c>
      <c r="B3255" s="4108" t="inlineStr">
        <is>
          <t>531515</t>
        </is>
      </c>
      <c r="C3255" s="4108" t="inlineStr">
        <is>
          <t>135792468</t>
        </is>
      </c>
      <c r="D3255" s="4108" t="inlineStr">
        <is>
          <t>202006</t>
        </is>
      </c>
      <c r="E3255" s="4108" t="inlineStr">
        <is>
          <t>0,000000000000</t>
        </is>
      </c>
    </row>
    <row outlineLevel="0" r="3256">
      <c r="A3256" s="4108" t="inlineStr">
        <is>
          <t>135792468202006531520</t>
        </is>
      </c>
      <c r="B3256" s="4108" t="inlineStr">
        <is>
          <t>531520</t>
        </is>
      </c>
      <c r="C3256" s="4108" t="inlineStr">
        <is>
          <t>135792468</t>
        </is>
      </c>
      <c r="D3256" s="4108" t="inlineStr">
        <is>
          <t>202006</t>
        </is>
      </c>
      <c r="E3256" s="4108" t="inlineStr">
        <is>
          <t>0,000000000000</t>
        </is>
      </c>
    </row>
    <row outlineLevel="0" r="3257">
      <c r="A3257" s="4108" t="inlineStr">
        <is>
          <t>135792468202006539525</t>
        </is>
      </c>
      <c r="B3257" s="4108" t="inlineStr">
        <is>
          <t>539525</t>
        </is>
      </c>
      <c r="C3257" s="4108" t="inlineStr">
        <is>
          <t>135792468</t>
        </is>
      </c>
      <c r="D3257" s="4108" t="inlineStr">
        <is>
          <t>202006</t>
        </is>
      </c>
      <c r="E3257" s="4108" t="inlineStr">
        <is>
          <t>0,000000000000</t>
        </is>
      </c>
    </row>
    <row outlineLevel="0" r="3258">
      <c r="A3258" s="4108" t="inlineStr">
        <is>
          <t>135792468202006539595</t>
        </is>
      </c>
      <c r="B3258" s="4108" t="inlineStr">
        <is>
          <t>539595</t>
        </is>
      </c>
      <c r="C3258" s="4108" t="inlineStr">
        <is>
          <t>135792468</t>
        </is>
      </c>
      <c r="D3258" s="4108" t="inlineStr">
        <is>
          <t>202006</t>
        </is>
      </c>
      <c r="E3258" s="4108" t="inlineStr">
        <is>
          <t>0,000000000000</t>
        </is>
      </c>
    </row>
    <row outlineLevel="0" r="3259">
      <c r="A3259" s="4108" t="inlineStr">
        <is>
          <t>135792468202006606000</t>
        </is>
      </c>
      <c r="B3259" s="4108" t="inlineStr">
        <is>
          <t>606000</t>
        </is>
      </c>
      <c r="C3259" s="4108" t="inlineStr">
        <is>
          <t>135792468</t>
        </is>
      </c>
      <c r="D3259" s="4108" t="inlineStr">
        <is>
          <t>202006</t>
        </is>
      </c>
      <c r="E3259" s="4108" t="inlineStr">
        <is>
          <t>100,000000000000</t>
        </is>
      </c>
    </row>
    <row outlineLevel="0" r="3260">
      <c r="A3260" s="4108" t="inlineStr">
        <is>
          <t>135792468201906606000</t>
        </is>
      </c>
      <c r="B3260" s="4108" t="inlineStr">
        <is>
          <t>606000</t>
        </is>
      </c>
      <c r="C3260" s="4108" t="inlineStr">
        <is>
          <t>135792468</t>
        </is>
      </c>
      <c r="D3260" s="4108" t="inlineStr">
        <is>
          <t>201906</t>
        </is>
      </c>
      <c r="E3260" s="4108" t="inlineStr">
        <is>
          <t>100,000000000000</t>
        </is>
      </c>
    </row>
    <row outlineLevel="0" r="3261">
      <c r="A3261" s="4108" t="inlineStr">
        <is>
          <t>135792468201906539525</t>
        </is>
      </c>
      <c r="B3261" s="4108" t="inlineStr">
        <is>
          <t>539525</t>
        </is>
      </c>
      <c r="C3261" s="4108" t="inlineStr">
        <is>
          <t>135792468</t>
        </is>
      </c>
      <c r="D3261" s="4108" t="inlineStr">
        <is>
          <t>201906</t>
        </is>
      </c>
      <c r="E3261" s="4108" t="inlineStr">
        <is>
          <t>0,000000000000</t>
        </is>
      </c>
    </row>
    <row outlineLevel="0" r="3262">
      <c r="A3262" s="4108" t="inlineStr">
        <is>
          <t>135792468201906539595</t>
        </is>
      </c>
      <c r="B3262" s="4108" t="inlineStr">
        <is>
          <t>539595</t>
        </is>
      </c>
      <c r="C3262" s="4108" t="inlineStr">
        <is>
          <t>135792468</t>
        </is>
      </c>
      <c r="D3262" s="4108" t="inlineStr">
        <is>
          <t>201906</t>
        </is>
      </c>
      <c r="E3262" s="4108" t="inlineStr">
        <is>
          <t>0,000000000000</t>
        </is>
      </c>
    </row>
    <row outlineLevel="0" r="3263">
      <c r="A3263" s="4108" t="inlineStr">
        <is>
          <t>135792468201906531520</t>
        </is>
      </c>
      <c r="B3263" s="4108" t="inlineStr">
        <is>
          <t>531520</t>
        </is>
      </c>
      <c r="C3263" s="4108" t="inlineStr">
        <is>
          <t>135792468</t>
        </is>
      </c>
      <c r="D3263" s="4108" t="inlineStr">
        <is>
          <t>201906</t>
        </is>
      </c>
      <c r="E3263" s="4108" t="inlineStr">
        <is>
          <t>0,000000000000</t>
        </is>
      </c>
    </row>
    <row outlineLevel="0" r="3264">
      <c r="A3264" s="4108" t="inlineStr">
        <is>
          <t>135792468201906531515</t>
        </is>
      </c>
      <c r="B3264" s="4108" t="inlineStr">
        <is>
          <t>531515</t>
        </is>
      </c>
      <c r="C3264" s="4108" t="inlineStr">
        <is>
          <t>135792468</t>
        </is>
      </c>
      <c r="D3264" s="4108" t="inlineStr">
        <is>
          <t>201906</t>
        </is>
      </c>
      <c r="E3264" s="4108" t="inlineStr">
        <is>
          <t>0,000000000000</t>
        </is>
      </c>
    </row>
    <row outlineLevel="0" r="3265">
      <c r="A3265" s="4108" t="inlineStr">
        <is>
          <t>135792468201906531500</t>
        </is>
      </c>
      <c r="B3265" s="4108" t="inlineStr">
        <is>
          <t>531500</t>
        </is>
      </c>
      <c r="C3265" s="4108" t="inlineStr">
        <is>
          <t>135792468</t>
        </is>
      </c>
      <c r="D3265" s="4108" t="inlineStr">
        <is>
          <t>201906</t>
        </is>
      </c>
      <c r="E3265" s="4108" t="inlineStr">
        <is>
          <t>0,000000000000</t>
        </is>
      </c>
    </row>
    <row outlineLevel="0" r="3266">
      <c r="A3266" s="4108" t="inlineStr">
        <is>
          <t>135792468201906531300</t>
        </is>
      </c>
      <c r="B3266" s="4108" t="inlineStr">
        <is>
          <t>531300</t>
        </is>
      </c>
      <c r="C3266" s="4108" t="inlineStr">
        <is>
          <t>135792468</t>
        </is>
      </c>
      <c r="D3266" s="4108" t="inlineStr">
        <is>
          <t>201906</t>
        </is>
      </c>
      <c r="E3266" s="4108" t="inlineStr">
        <is>
          <t>0,000000000000</t>
        </is>
      </c>
    </row>
    <row outlineLevel="0" r="3267">
      <c r="A3267" s="4108" t="inlineStr">
        <is>
          <t>135792468201906531000</t>
        </is>
      </c>
      <c r="B3267" s="4108" t="inlineStr">
        <is>
          <t>531000</t>
        </is>
      </c>
      <c r="C3267" s="4108" t="inlineStr">
        <is>
          <t>135792468</t>
        </is>
      </c>
      <c r="D3267" s="4108" t="inlineStr">
        <is>
          <t>201906</t>
        </is>
      </c>
      <c r="E3267" s="4108" t="inlineStr">
        <is>
          <t>0,000000000000</t>
        </is>
      </c>
    </row>
    <row outlineLevel="0" r="3268">
      <c r="A3268" s="4108" t="inlineStr">
        <is>
          <t>135792468201906530535</t>
        </is>
      </c>
      <c r="B3268" s="4108" t="inlineStr">
        <is>
          <t>530535</t>
        </is>
      </c>
      <c r="C3268" s="4108" t="inlineStr">
        <is>
          <t>135792468</t>
        </is>
      </c>
      <c r="D3268" s="4108" t="inlineStr">
        <is>
          <t>201906</t>
        </is>
      </c>
      <c r="E3268" s="4108" t="inlineStr">
        <is>
          <t>0,000000000000</t>
        </is>
      </c>
    </row>
    <row outlineLevel="0" r="3269">
      <c r="A3269" s="4108" t="inlineStr">
        <is>
          <t>135792468201906530515</t>
        </is>
      </c>
      <c r="B3269" s="4108" t="inlineStr">
        <is>
          <t>530515</t>
        </is>
      </c>
      <c r="C3269" s="4108" t="inlineStr">
        <is>
          <t>135792468</t>
        </is>
      </c>
      <c r="D3269" s="4108" t="inlineStr">
        <is>
          <t>201906</t>
        </is>
      </c>
      <c r="E3269" s="4108" t="inlineStr">
        <is>
          <t>0,000000000000</t>
        </is>
      </c>
    </row>
    <row outlineLevel="0" r="3270">
      <c r="A3270" s="4108" t="inlineStr">
        <is>
          <t>135792468201906530525</t>
        </is>
      </c>
      <c r="B3270" s="4108" t="inlineStr">
        <is>
          <t>530525</t>
        </is>
      </c>
      <c r="C3270" s="4108" t="inlineStr">
        <is>
          <t>135792468</t>
        </is>
      </c>
      <c r="D3270" s="4108" t="inlineStr">
        <is>
          <t>201906</t>
        </is>
      </c>
      <c r="E3270" s="4108" t="inlineStr">
        <is>
          <t>0,000000000000</t>
        </is>
      </c>
    </row>
    <row outlineLevel="0" r="3271">
      <c r="A3271" s="4108" t="inlineStr">
        <is>
          <t>135792468201906530505</t>
        </is>
      </c>
      <c r="B3271" s="4108" t="inlineStr">
        <is>
          <t>530505</t>
        </is>
      </c>
      <c r="C3271" s="4108" t="inlineStr">
        <is>
          <t>135792468</t>
        </is>
      </c>
      <c r="D3271" s="4108" t="inlineStr">
        <is>
          <t>201906</t>
        </is>
      </c>
      <c r="E3271" s="4108" t="inlineStr">
        <is>
          <t>0,000000000000</t>
        </is>
      </c>
    </row>
    <row outlineLevel="0" r="3272">
      <c r="A3272" s="4108" t="inlineStr">
        <is>
          <t>135792468201906529900</t>
        </is>
      </c>
      <c r="B3272" s="4108" t="inlineStr">
        <is>
          <t>529900</t>
        </is>
      </c>
      <c r="C3272" s="4108" t="inlineStr">
        <is>
          <t>135792468</t>
        </is>
      </c>
      <c r="D3272" s="4108" t="inlineStr">
        <is>
          <t>201906</t>
        </is>
      </c>
      <c r="E3272" s="4108" t="inlineStr">
        <is>
          <t>0,000000000000</t>
        </is>
      </c>
    </row>
    <row outlineLevel="0" r="3273">
      <c r="A3273" s="4108" t="inlineStr">
        <is>
          <t>135792468201906529500</t>
        </is>
      </c>
      <c r="B3273" s="4108" t="inlineStr">
        <is>
          <t>529500</t>
        </is>
      </c>
      <c r="C3273" s="4108" t="inlineStr">
        <is>
          <t>135792468</t>
        </is>
      </c>
      <c r="D3273" s="4108" t="inlineStr">
        <is>
          <t>201906</t>
        </is>
      </c>
      <c r="E3273" s="4108" t="inlineStr">
        <is>
          <t>0,000000000000</t>
        </is>
      </c>
    </row>
    <row outlineLevel="0" r="3274">
      <c r="A3274" s="4108" t="inlineStr">
        <is>
          <t>135792468201906526500</t>
        </is>
      </c>
      <c r="B3274" s="4108" t="inlineStr">
        <is>
          <t>526500</t>
        </is>
      </c>
      <c r="C3274" s="4108" t="inlineStr">
        <is>
          <t>135792468</t>
        </is>
      </c>
      <c r="D3274" s="4108" t="inlineStr">
        <is>
          <t>201906</t>
        </is>
      </c>
      <c r="E3274" s="4108" t="inlineStr">
        <is>
          <t>0,000000000000</t>
        </is>
      </c>
    </row>
    <row outlineLevel="0" r="3275">
      <c r="A3275" s="4108" t="inlineStr">
        <is>
          <t>135792468201906526000</t>
        </is>
      </c>
      <c r="B3275" s="4108" t="inlineStr">
        <is>
          <t>526000</t>
        </is>
      </c>
      <c r="C3275" s="4108" t="inlineStr">
        <is>
          <t>135792468</t>
        </is>
      </c>
      <c r="D3275" s="4108" t="inlineStr">
        <is>
          <t>201906</t>
        </is>
      </c>
      <c r="E3275" s="4108" t="inlineStr">
        <is>
          <t>0,000000000000</t>
        </is>
      </c>
    </row>
    <row outlineLevel="0" r="3276">
      <c r="A3276" s="4108" t="inlineStr">
        <is>
          <t>135792468201906525500</t>
        </is>
      </c>
      <c r="B3276" s="4108" t="inlineStr">
        <is>
          <t>525500</t>
        </is>
      </c>
      <c r="C3276" s="4108" t="inlineStr">
        <is>
          <t>135792468</t>
        </is>
      </c>
      <c r="D3276" s="4108" t="inlineStr">
        <is>
          <t>201906</t>
        </is>
      </c>
      <c r="E3276" s="4108" t="inlineStr">
        <is>
          <t>0,000000000000</t>
        </is>
      </c>
    </row>
    <row outlineLevel="0" r="3277">
      <c r="A3277" s="4108" t="inlineStr">
        <is>
          <t>135792468201906524500</t>
        </is>
      </c>
      <c r="B3277" s="4108" t="inlineStr">
        <is>
          <t>524500</t>
        </is>
      </c>
      <c r="C3277" s="4108" t="inlineStr">
        <is>
          <t>135792468</t>
        </is>
      </c>
      <c r="D3277" s="4108" t="inlineStr">
        <is>
          <t>201906</t>
        </is>
      </c>
      <c r="E3277" s="4108" t="inlineStr">
        <is>
          <t>0,000000000000</t>
        </is>
      </c>
    </row>
    <row outlineLevel="0" r="3278">
      <c r="A3278" s="4108" t="inlineStr">
        <is>
          <t>135792468201906525000</t>
        </is>
      </c>
      <c r="B3278" s="4108" t="inlineStr">
        <is>
          <t>525000</t>
        </is>
      </c>
      <c r="C3278" s="4108" t="inlineStr">
        <is>
          <t>135792468</t>
        </is>
      </c>
      <c r="D3278" s="4108" t="inlineStr">
        <is>
          <t>201906</t>
        </is>
      </c>
      <c r="E3278" s="4108" t="inlineStr">
        <is>
          <t>0,000000000000</t>
        </is>
      </c>
    </row>
    <row outlineLevel="0" r="3279">
      <c r="A3279" s="4108" t="inlineStr">
        <is>
          <t>135792468201906524000</t>
        </is>
      </c>
      <c r="B3279" s="4108" t="inlineStr">
        <is>
          <t>524000</t>
        </is>
      </c>
      <c r="C3279" s="4108" t="inlineStr">
        <is>
          <t>135792468</t>
        </is>
      </c>
      <c r="D3279" s="4108" t="inlineStr">
        <is>
          <t>201906</t>
        </is>
      </c>
      <c r="E3279" s="4108" t="inlineStr">
        <is>
          <t>0,000000000000</t>
        </is>
      </c>
    </row>
    <row outlineLevel="0" r="3280">
      <c r="A3280" s="4108" t="inlineStr">
        <is>
          <t>135792468201906523500</t>
        </is>
      </c>
      <c r="B3280" s="4108" t="inlineStr">
        <is>
          <t>523500</t>
        </is>
      </c>
      <c r="C3280" s="4108" t="inlineStr">
        <is>
          <t>135792468</t>
        </is>
      </c>
      <c r="D3280" s="4108" t="inlineStr">
        <is>
          <t>201906</t>
        </is>
      </c>
      <c r="E3280" s="4108" t="inlineStr">
        <is>
          <t>0,000000000000</t>
        </is>
      </c>
    </row>
    <row outlineLevel="0" r="3281">
      <c r="A3281" s="4108" t="inlineStr">
        <is>
          <t>135792468201906523000</t>
        </is>
      </c>
      <c r="B3281" s="4108" t="inlineStr">
        <is>
          <t>523000</t>
        </is>
      </c>
      <c r="C3281" s="4108" t="inlineStr">
        <is>
          <t>135792468</t>
        </is>
      </c>
      <c r="D3281" s="4108" t="inlineStr">
        <is>
          <t>201906</t>
        </is>
      </c>
      <c r="E3281" s="4108" t="inlineStr">
        <is>
          <t>0,000000000000</t>
        </is>
      </c>
    </row>
    <row outlineLevel="0" r="3282">
      <c r="A3282" s="4108" t="inlineStr">
        <is>
          <t>135792468201906522500</t>
        </is>
      </c>
      <c r="B3282" s="4108" t="inlineStr">
        <is>
          <t>522500</t>
        </is>
      </c>
      <c r="C3282" s="4108" t="inlineStr">
        <is>
          <t>135792468</t>
        </is>
      </c>
      <c r="D3282" s="4108" t="inlineStr">
        <is>
          <t>201906</t>
        </is>
      </c>
      <c r="E3282" s="4108" t="inlineStr">
        <is>
          <t>0,000000000000</t>
        </is>
      </c>
    </row>
    <row outlineLevel="0" r="3283">
      <c r="A3283" s="4108" t="inlineStr">
        <is>
          <t>135792468201906522000</t>
        </is>
      </c>
      <c r="B3283" s="4108" t="inlineStr">
        <is>
          <t>522000</t>
        </is>
      </c>
      <c r="C3283" s="4108" t="inlineStr">
        <is>
          <t>135792468</t>
        </is>
      </c>
      <c r="D3283" s="4108" t="inlineStr">
        <is>
          <t>201906</t>
        </is>
      </c>
      <c r="E3283" s="4108" t="inlineStr">
        <is>
          <t>0,000000000000</t>
        </is>
      </c>
    </row>
    <row outlineLevel="0" r="3284">
      <c r="A3284" s="4108" t="inlineStr">
        <is>
          <t>135792468201906521500</t>
        </is>
      </c>
      <c r="B3284" s="4108" t="inlineStr">
        <is>
          <t>521500</t>
        </is>
      </c>
      <c r="C3284" s="4108" t="inlineStr">
        <is>
          <t>135792468</t>
        </is>
      </c>
      <c r="D3284" s="4108" t="inlineStr">
        <is>
          <t>201906</t>
        </is>
      </c>
      <c r="E3284" s="4108" t="inlineStr">
        <is>
          <t>0,000000000000</t>
        </is>
      </c>
    </row>
    <row outlineLevel="0" r="3285">
      <c r="A3285" s="4108" t="inlineStr">
        <is>
          <t>135792468201906520500</t>
        </is>
      </c>
      <c r="B3285" s="4108" t="inlineStr">
        <is>
          <t>520500</t>
        </is>
      </c>
      <c r="C3285" s="4108" t="inlineStr">
        <is>
          <t>135792468</t>
        </is>
      </c>
      <c r="D3285" s="4108" t="inlineStr">
        <is>
          <t>201906</t>
        </is>
      </c>
      <c r="E3285" s="4108" t="inlineStr">
        <is>
          <t>0,000000000000</t>
        </is>
      </c>
    </row>
    <row outlineLevel="0" r="3286">
      <c r="A3286" s="4108" t="inlineStr">
        <is>
          <t>135792468201906521000</t>
        </is>
      </c>
      <c r="B3286" s="4108" t="inlineStr">
        <is>
          <t>521000</t>
        </is>
      </c>
      <c r="C3286" s="4108" t="inlineStr">
        <is>
          <t>135792468</t>
        </is>
      </c>
      <c r="D3286" s="4108" t="inlineStr">
        <is>
          <t>201906</t>
        </is>
      </c>
      <c r="E3286" s="4108" t="inlineStr">
        <is>
          <t>0,000000000000</t>
        </is>
      </c>
    </row>
    <row outlineLevel="0" r="3287">
      <c r="A3287" s="4108" t="inlineStr">
        <is>
          <t>135792468201906519900</t>
        </is>
      </c>
      <c r="B3287" s="4108" t="inlineStr">
        <is>
          <t>519900</t>
        </is>
      </c>
      <c r="C3287" s="4108" t="inlineStr">
        <is>
          <t>135792468</t>
        </is>
      </c>
      <c r="D3287" s="4108" t="inlineStr">
        <is>
          <t>201906</t>
        </is>
      </c>
      <c r="E3287" s="4108" t="inlineStr">
        <is>
          <t>0,000000000000</t>
        </is>
      </c>
    </row>
    <row outlineLevel="0" r="3288">
      <c r="A3288" s="4108" t="inlineStr">
        <is>
          <t>135792468201906519500</t>
        </is>
      </c>
      <c r="B3288" s="4108" t="inlineStr">
        <is>
          <t>519500</t>
        </is>
      </c>
      <c r="C3288" s="4108" t="inlineStr">
        <is>
          <t>135792468</t>
        </is>
      </c>
      <c r="D3288" s="4108" t="inlineStr">
        <is>
          <t>201906</t>
        </is>
      </c>
      <c r="E3288" s="4108" t="inlineStr">
        <is>
          <t>0,000000000000</t>
        </is>
      </c>
    </row>
    <row outlineLevel="0" r="3289">
      <c r="A3289" s="4108" t="inlineStr">
        <is>
          <t>135792468201906516500</t>
        </is>
      </c>
      <c r="B3289" s="4108" t="inlineStr">
        <is>
          <t>516500</t>
        </is>
      </c>
      <c r="C3289" s="4108" t="inlineStr">
        <is>
          <t>135792468</t>
        </is>
      </c>
      <c r="D3289" s="4108" t="inlineStr">
        <is>
          <t>201906</t>
        </is>
      </c>
      <c r="E3289" s="4108" t="inlineStr">
        <is>
          <t>0,000000000000</t>
        </is>
      </c>
    </row>
    <row outlineLevel="0" r="3290">
      <c r="A3290" s="4108" t="inlineStr">
        <is>
          <t>135792468201906516000</t>
        </is>
      </c>
      <c r="B3290" s="4108" t="inlineStr">
        <is>
          <t>516000</t>
        </is>
      </c>
      <c r="C3290" s="4108" t="inlineStr">
        <is>
          <t>135792468</t>
        </is>
      </c>
      <c r="D3290" s="4108" t="inlineStr">
        <is>
          <t>201906</t>
        </is>
      </c>
      <c r="E3290" s="4108" t="inlineStr">
        <is>
          <t>0,000000000000</t>
        </is>
      </c>
    </row>
    <row outlineLevel="0" r="3291">
      <c r="A3291" s="4108" t="inlineStr">
        <is>
          <t>135792468201906515500</t>
        </is>
      </c>
      <c r="B3291" s="4108" t="inlineStr">
        <is>
          <t>515500</t>
        </is>
      </c>
      <c r="C3291" s="4108" t="inlineStr">
        <is>
          <t>135792468</t>
        </is>
      </c>
      <c r="D3291" s="4108" t="inlineStr">
        <is>
          <t>201906</t>
        </is>
      </c>
      <c r="E3291" s="4108" t="inlineStr">
        <is>
          <t>0,000000000000</t>
        </is>
      </c>
    </row>
    <row outlineLevel="0" r="3292">
      <c r="A3292" s="4108" t="inlineStr">
        <is>
          <t>135792468201906515000</t>
        </is>
      </c>
      <c r="B3292" s="4108" t="inlineStr">
        <is>
          <t>515000</t>
        </is>
      </c>
      <c r="C3292" s="4108" t="inlineStr">
        <is>
          <t>135792468</t>
        </is>
      </c>
      <c r="D3292" s="4108" t="inlineStr">
        <is>
          <t>201906</t>
        </is>
      </c>
      <c r="E3292" s="4108" t="inlineStr">
        <is>
          <t>0,000000000000</t>
        </is>
      </c>
    </row>
    <row outlineLevel="0" r="3293">
      <c r="A3293" s="4108" t="inlineStr">
        <is>
          <t>135792468201906514000</t>
        </is>
      </c>
      <c r="B3293" s="4108" t="inlineStr">
        <is>
          <t>514000</t>
        </is>
      </c>
      <c r="C3293" s="4108" t="inlineStr">
        <is>
          <t>135792468</t>
        </is>
      </c>
      <c r="D3293" s="4108" t="inlineStr">
        <is>
          <t>201906</t>
        </is>
      </c>
      <c r="E3293" s="4108" t="inlineStr">
        <is>
          <t>0,000000000000</t>
        </is>
      </c>
    </row>
    <row outlineLevel="0" r="3294">
      <c r="A3294" s="4108" t="inlineStr">
        <is>
          <t>135792468201906514500</t>
        </is>
      </c>
      <c r="B3294" s="4108" t="inlineStr">
        <is>
          <t>514500</t>
        </is>
      </c>
      <c r="C3294" s="4108" t="inlineStr">
        <is>
          <t>135792468</t>
        </is>
      </c>
      <c r="D3294" s="4108" t="inlineStr">
        <is>
          <t>201906</t>
        </is>
      </c>
      <c r="E3294" s="4108" t="inlineStr">
        <is>
          <t>0,000000000000</t>
        </is>
      </c>
    </row>
    <row outlineLevel="0" r="3295">
      <c r="A3295" s="4108" t="inlineStr">
        <is>
          <t>135792468201906513500</t>
        </is>
      </c>
      <c r="B3295" s="4108" t="inlineStr">
        <is>
          <t>513500</t>
        </is>
      </c>
      <c r="C3295" s="4108" t="inlineStr">
        <is>
          <t>135792468</t>
        </is>
      </c>
      <c r="D3295" s="4108" t="inlineStr">
        <is>
          <t>201906</t>
        </is>
      </c>
      <c r="E3295" s="4108" t="inlineStr">
        <is>
          <t>0,000000000000</t>
        </is>
      </c>
    </row>
    <row outlineLevel="0" r="3296">
      <c r="A3296" s="4108" t="inlineStr">
        <is>
          <t>135792468201906513000</t>
        </is>
      </c>
      <c r="B3296" s="4108" t="inlineStr">
        <is>
          <t>513000</t>
        </is>
      </c>
      <c r="C3296" s="4108" t="inlineStr">
        <is>
          <t>135792468</t>
        </is>
      </c>
      <c r="D3296" s="4108" t="inlineStr">
        <is>
          <t>201906</t>
        </is>
      </c>
      <c r="E3296" s="4108" t="inlineStr">
        <is>
          <t>0,000000000000</t>
        </is>
      </c>
    </row>
    <row outlineLevel="0" r="3297">
      <c r="A3297" s="4108" t="inlineStr">
        <is>
          <t>135792468201906512500</t>
        </is>
      </c>
      <c r="B3297" s="4108" t="inlineStr">
        <is>
          <t>512500</t>
        </is>
      </c>
      <c r="C3297" s="4108" t="inlineStr">
        <is>
          <t>135792468</t>
        </is>
      </c>
      <c r="D3297" s="4108" t="inlineStr">
        <is>
          <t>201906</t>
        </is>
      </c>
      <c r="E3297" s="4108" t="inlineStr">
        <is>
          <t>0,000000000000</t>
        </is>
      </c>
    </row>
    <row outlineLevel="0" r="3298">
      <c r="A3298" s="4108" t="inlineStr">
        <is>
          <t>135792468201906512000</t>
        </is>
      </c>
      <c r="B3298" s="4108" t="inlineStr">
        <is>
          <t>512000</t>
        </is>
      </c>
      <c r="C3298" s="4108" t="inlineStr">
        <is>
          <t>135792468</t>
        </is>
      </c>
      <c r="D3298" s="4108" t="inlineStr">
        <is>
          <t>201906</t>
        </is>
      </c>
      <c r="E3298" s="4108" t="inlineStr">
        <is>
          <t>0,000000000000</t>
        </is>
      </c>
    </row>
    <row outlineLevel="0" r="3299">
      <c r="A3299" s="4108" t="inlineStr">
        <is>
          <t>135792468201906511500</t>
        </is>
      </c>
      <c r="B3299" s="4108" t="inlineStr">
        <is>
          <t>511500</t>
        </is>
      </c>
      <c r="C3299" s="4108" t="inlineStr">
        <is>
          <t>135792468</t>
        </is>
      </c>
      <c r="D3299" s="4108" t="inlineStr">
        <is>
          <t>201906</t>
        </is>
      </c>
      <c r="E3299" s="4108" t="inlineStr">
        <is>
          <t>0,000000000000</t>
        </is>
      </c>
    </row>
    <row outlineLevel="0" r="3300">
      <c r="A3300" s="4108" t="inlineStr">
        <is>
          <t>135792468201906511000</t>
        </is>
      </c>
      <c r="B3300" s="4108" t="inlineStr">
        <is>
          <t>511000</t>
        </is>
      </c>
      <c r="C3300" s="4108" t="inlineStr">
        <is>
          <t>135792468</t>
        </is>
      </c>
      <c r="D3300" s="4108" t="inlineStr">
        <is>
          <t>201906</t>
        </is>
      </c>
      <c r="E3300" s="4108" t="inlineStr">
        <is>
          <t>0,000000000000</t>
        </is>
      </c>
    </row>
    <row outlineLevel="0" r="3301">
      <c r="A3301" s="4108" t="inlineStr">
        <is>
          <t>135792468201906429500</t>
        </is>
      </c>
      <c r="B3301" s="4108" t="inlineStr">
        <is>
          <t>429500</t>
        </is>
      </c>
      <c r="C3301" s="4108" t="inlineStr">
        <is>
          <t>135792468</t>
        </is>
      </c>
      <c r="D3301" s="4108" t="inlineStr">
        <is>
          <t>201906</t>
        </is>
      </c>
      <c r="E3301" s="4108" t="inlineStr">
        <is>
          <t>0,000000000000</t>
        </is>
      </c>
    </row>
    <row outlineLevel="0" r="3302">
      <c r="A3302" s="4108" t="inlineStr">
        <is>
          <t>135792468201906510500</t>
        </is>
      </c>
      <c r="B3302" s="4108" t="inlineStr">
        <is>
          <t>510500</t>
        </is>
      </c>
      <c r="C3302" s="4108" t="inlineStr">
        <is>
          <t>135792468</t>
        </is>
      </c>
      <c r="D3302" s="4108" t="inlineStr">
        <is>
          <t>201906</t>
        </is>
      </c>
      <c r="E3302" s="4108" t="inlineStr">
        <is>
          <t>0,000000000000</t>
        </is>
      </c>
    </row>
    <row outlineLevel="0" r="3303">
      <c r="A3303" s="4108" t="inlineStr">
        <is>
          <t>135792468201906426500</t>
        </is>
      </c>
      <c r="B3303" s="4108" t="inlineStr">
        <is>
          <t>426500</t>
        </is>
      </c>
      <c r="C3303" s="4108" t="inlineStr">
        <is>
          <t>135792468</t>
        </is>
      </c>
      <c r="D3303" s="4108" t="inlineStr">
        <is>
          <t>201906</t>
        </is>
      </c>
      <c r="E3303" s="4108" t="inlineStr">
        <is>
          <t>0,000000000000</t>
        </is>
      </c>
    </row>
    <row outlineLevel="0" r="3304">
      <c r="A3304" s="4108" t="inlineStr">
        <is>
          <t>135792468201906425000</t>
        </is>
      </c>
      <c r="B3304" s="4108" t="inlineStr">
        <is>
          <t>425000</t>
        </is>
      </c>
      <c r="C3304" s="4108" t="inlineStr">
        <is>
          <t>135792468</t>
        </is>
      </c>
      <c r="D3304" s="4108" t="inlineStr">
        <is>
          <t>201906</t>
        </is>
      </c>
      <c r="E3304" s="4108" t="inlineStr">
        <is>
          <t>0,000000000000</t>
        </is>
      </c>
    </row>
    <row outlineLevel="0" r="3305">
      <c r="A3305" s="4108" t="inlineStr">
        <is>
          <t>135792468201906424000</t>
        </is>
      </c>
      <c r="B3305" s="4108" t="inlineStr">
        <is>
          <t>424000</t>
        </is>
      </c>
      <c r="C3305" s="4108" t="inlineStr">
        <is>
          <t>135792468</t>
        </is>
      </c>
      <c r="D3305" s="4108" t="inlineStr">
        <is>
          <t>201906</t>
        </is>
      </c>
      <c r="E3305" s="4108" t="inlineStr">
        <is>
          <t>0,000000000000</t>
        </is>
      </c>
    </row>
    <row outlineLevel="0" r="3306">
      <c r="A3306" s="4108" t="inlineStr">
        <is>
          <t>135792468201906423500</t>
        </is>
      </c>
      <c r="B3306" s="4108" t="inlineStr">
        <is>
          <t>423500</t>
        </is>
      </c>
      <c r="C3306" s="4108" t="inlineStr">
        <is>
          <t>135792468</t>
        </is>
      </c>
      <c r="D3306" s="4108" t="inlineStr">
        <is>
          <t>201906</t>
        </is>
      </c>
      <c r="E3306" s="4108" t="inlineStr">
        <is>
          <t>0,000000000000</t>
        </is>
      </c>
    </row>
    <row outlineLevel="0" r="3307">
      <c r="A3307" s="4108" t="inlineStr">
        <is>
          <t>135792468201906422500</t>
        </is>
      </c>
      <c r="B3307" s="4108" t="inlineStr">
        <is>
          <t>422500</t>
        </is>
      </c>
      <c r="C3307" s="4108" t="inlineStr">
        <is>
          <t>135792468</t>
        </is>
      </c>
      <c r="D3307" s="4108" t="inlineStr">
        <is>
          <t>201906</t>
        </is>
      </c>
      <c r="E3307" s="4108" t="inlineStr">
        <is>
          <t>0,000000000000</t>
        </is>
      </c>
    </row>
    <row outlineLevel="0" r="3308">
      <c r="A3308" s="4108" t="inlineStr">
        <is>
          <t>135792468201906422000</t>
        </is>
      </c>
      <c r="B3308" s="4108" t="inlineStr">
        <is>
          <t>422000</t>
        </is>
      </c>
      <c r="C3308" s="4108" t="inlineStr">
        <is>
          <t>135792468</t>
        </is>
      </c>
      <c r="D3308" s="4108" t="inlineStr">
        <is>
          <t>201906</t>
        </is>
      </c>
      <c r="E3308" s="4108" t="inlineStr">
        <is>
          <t>0,000000000000</t>
        </is>
      </c>
    </row>
    <row outlineLevel="0" r="3309">
      <c r="A3309" s="4108" t="inlineStr">
        <is>
          <t>135792468201906421040</t>
        </is>
      </c>
      <c r="B3309" s="4108" t="inlineStr">
        <is>
          <t>421040</t>
        </is>
      </c>
      <c r="C3309" s="4108" t="inlineStr">
        <is>
          <t>135792468</t>
        </is>
      </c>
      <c r="D3309" s="4108" t="inlineStr">
        <is>
          <t>201906</t>
        </is>
      </c>
      <c r="E3309" s="4108" t="inlineStr">
        <is>
          <t>0,000000000000</t>
        </is>
      </c>
    </row>
    <row outlineLevel="0" r="3310">
      <c r="A3310" s="4108" t="inlineStr">
        <is>
          <t>135792468201906421500</t>
        </is>
      </c>
      <c r="B3310" s="4108" t="inlineStr">
        <is>
          <t>421500</t>
        </is>
      </c>
      <c r="C3310" s="4108" t="inlineStr">
        <is>
          <t>135792468</t>
        </is>
      </c>
      <c r="D3310" s="4108" t="inlineStr">
        <is>
          <t>201906</t>
        </is>
      </c>
      <c r="E3310" s="4108" t="inlineStr">
        <is>
          <t>0,000000000000</t>
        </is>
      </c>
    </row>
    <row outlineLevel="0" r="3311">
      <c r="A3311" s="4108" t="inlineStr">
        <is>
          <t>135792468201906421020</t>
        </is>
      </c>
      <c r="B3311" s="4108" t="inlineStr">
        <is>
          <t>421020</t>
        </is>
      </c>
      <c r="C3311" s="4108" t="inlineStr">
        <is>
          <t>135792468</t>
        </is>
      </c>
      <c r="D3311" s="4108" t="inlineStr">
        <is>
          <t>201906</t>
        </is>
      </c>
      <c r="E3311" s="4108" t="inlineStr">
        <is>
          <t>0,000000000000</t>
        </is>
      </c>
    </row>
    <row outlineLevel="0" r="3312">
      <c r="A3312" s="4108" t="inlineStr">
        <is>
          <t>135792468201906421000</t>
        </is>
      </c>
      <c r="B3312" s="4108" t="inlineStr">
        <is>
          <t>421000</t>
        </is>
      </c>
      <c r="C3312" s="4108" t="inlineStr">
        <is>
          <t>135792468</t>
        </is>
      </c>
      <c r="D3312" s="4108" t="inlineStr">
        <is>
          <t>201906</t>
        </is>
      </c>
      <c r="E3312" s="4108" t="inlineStr">
        <is>
          <t>0,000000000000</t>
        </is>
      </c>
    </row>
    <row outlineLevel="0" r="3313">
      <c r="A3313" s="4108" t="inlineStr">
        <is>
          <t>135792468201906420500</t>
        </is>
      </c>
      <c r="B3313" s="4108" t="inlineStr">
        <is>
          <t>420500</t>
        </is>
      </c>
      <c r="C3313" s="4108" t="inlineStr">
        <is>
          <t>135792468</t>
        </is>
      </c>
      <c r="D3313" s="4108" t="inlineStr">
        <is>
          <t>201906</t>
        </is>
      </c>
      <c r="E3313" s="4108" t="inlineStr">
        <is>
          <t>0,000000000000</t>
        </is>
      </c>
    </row>
    <row outlineLevel="0" r="3314">
      <c r="A3314" s="4108" t="inlineStr">
        <is>
          <t>135792468201906411000</t>
        </is>
      </c>
      <c r="B3314" s="4108" t="inlineStr">
        <is>
          <t>411000</t>
        </is>
      </c>
      <c r="C3314" s="4108" t="inlineStr">
        <is>
          <t>135792468</t>
        </is>
      </c>
      <c r="D3314" s="4108" t="inlineStr">
        <is>
          <t>201906</t>
        </is>
      </c>
      <c r="E3314" s="4108" t="inlineStr">
        <is>
          <t>0,000000000000</t>
        </is>
      </c>
    </row>
    <row outlineLevel="0" r="3315">
      <c r="A3315" s="4108" t="inlineStr">
        <is>
          <t>135792468201906410500</t>
        </is>
      </c>
      <c r="B3315" s="4108" t="inlineStr">
        <is>
          <t>410500</t>
        </is>
      </c>
      <c r="C3315" s="4108" t="inlineStr">
        <is>
          <t>135792468</t>
        </is>
      </c>
      <c r="D3315" s="4108" t="inlineStr">
        <is>
          <t>201906</t>
        </is>
      </c>
      <c r="E3315" s="4108" t="inlineStr">
        <is>
          <t>300,000000000000</t>
        </is>
      </c>
    </row>
    <row outlineLevel="0" r="3316">
      <c r="A3316" s="4108" t="inlineStr">
        <is>
          <t>135792468201906349500</t>
        </is>
      </c>
      <c r="B3316" s="4108" t="inlineStr">
        <is>
          <t>349500</t>
        </is>
      </c>
      <c r="C3316" s="4108" t="inlineStr">
        <is>
          <t>135792468</t>
        </is>
      </c>
      <c r="D3316" s="4108" t="inlineStr">
        <is>
          <t>201906</t>
        </is>
      </c>
      <c r="E3316" s="4108" t="inlineStr">
        <is>
          <t>0,000000000000</t>
        </is>
      </c>
    </row>
    <row outlineLevel="0" r="3317">
      <c r="A3317" s="4108" t="inlineStr">
        <is>
          <t>135792468201906340505</t>
        </is>
      </c>
      <c r="B3317" s="4108" t="inlineStr">
        <is>
          <t>340505</t>
        </is>
      </c>
      <c r="C3317" s="4108" t="inlineStr">
        <is>
          <t>135792468</t>
        </is>
      </c>
      <c r="D3317" s="4108" t="inlineStr">
        <is>
          <t>201906</t>
        </is>
      </c>
      <c r="E3317" s="4108" t="inlineStr">
        <is>
          <t>0,000000000000</t>
        </is>
      </c>
    </row>
    <row outlineLevel="0" r="3318">
      <c r="A3318" s="4108" t="inlineStr">
        <is>
          <t>135792468201906340515</t>
        </is>
      </c>
      <c r="B3318" s="4108" t="inlineStr">
        <is>
          <t>340515</t>
        </is>
      </c>
      <c r="C3318" s="4108" t="inlineStr">
        <is>
          <t>135792468</t>
        </is>
      </c>
      <c r="D3318" s="4108" t="inlineStr">
        <is>
          <t>201906</t>
        </is>
      </c>
      <c r="E3318" s="4108" t="inlineStr">
        <is>
          <t>0,000000000000</t>
        </is>
      </c>
    </row>
    <row outlineLevel="0" r="3319">
      <c r="A3319" s="4108" t="inlineStr">
        <is>
          <t>135792468201906331500</t>
        </is>
      </c>
      <c r="B3319" s="4108" t="inlineStr">
        <is>
          <t>331500</t>
        </is>
      </c>
      <c r="C3319" s="4108" t="inlineStr">
        <is>
          <t>135792468</t>
        </is>
      </c>
      <c r="D3319" s="4108" t="inlineStr">
        <is>
          <t>201906</t>
        </is>
      </c>
      <c r="E3319" s="4108" t="inlineStr">
        <is>
          <t>0,000000000000</t>
        </is>
      </c>
    </row>
    <row outlineLevel="0" r="3320">
      <c r="A3320" s="4108" t="inlineStr">
        <is>
          <t>135792468201906331000</t>
        </is>
      </c>
      <c r="B3320" s="4108" t="inlineStr">
        <is>
          <t>331000</t>
        </is>
      </c>
      <c r="C3320" s="4108" t="inlineStr">
        <is>
          <t>135792468</t>
        </is>
      </c>
      <c r="D3320" s="4108" t="inlineStr">
        <is>
          <t>201906</t>
        </is>
      </c>
      <c r="E3320" s="4108" t="inlineStr">
        <is>
          <t>0,000000000000</t>
        </is>
      </c>
    </row>
    <row outlineLevel="0" r="3321">
      <c r="A3321" s="4108" t="inlineStr">
        <is>
          <t>135792468201906330500</t>
        </is>
      </c>
      <c r="B3321" s="4108" t="inlineStr">
        <is>
          <t>330500</t>
        </is>
      </c>
      <c r="C3321" s="4108" t="inlineStr">
        <is>
          <t>135792468</t>
        </is>
      </c>
      <c r="D3321" s="4108" t="inlineStr">
        <is>
          <t>201906</t>
        </is>
      </c>
      <c r="E3321" s="4108" t="inlineStr">
        <is>
          <t>0,000000000000</t>
        </is>
      </c>
    </row>
    <row outlineLevel="0" r="3322">
      <c r="A3322" s="4108" t="inlineStr">
        <is>
          <t>135792468201906322500</t>
        </is>
      </c>
      <c r="B3322" s="4108" t="inlineStr">
        <is>
          <t>322500</t>
        </is>
      </c>
      <c r="C3322" s="4108" t="inlineStr">
        <is>
          <t>135792468</t>
        </is>
      </c>
      <c r="D3322" s="4108" t="inlineStr">
        <is>
          <t>201906</t>
        </is>
      </c>
      <c r="E3322" s="4108" t="inlineStr">
        <is>
          <t>0,000000000000</t>
        </is>
      </c>
    </row>
    <row outlineLevel="0" r="3323">
      <c r="A3323" s="4108" t="inlineStr">
        <is>
          <t>135792468201906322000</t>
        </is>
      </c>
      <c r="B3323" s="4108" t="inlineStr">
        <is>
          <t>322000</t>
        </is>
      </c>
      <c r="C3323" s="4108" t="inlineStr">
        <is>
          <t>135792468</t>
        </is>
      </c>
      <c r="D3323" s="4108" t="inlineStr">
        <is>
          <t>201906</t>
        </is>
      </c>
      <c r="E3323" s="4108" t="inlineStr">
        <is>
          <t>0,000000000000</t>
        </is>
      </c>
    </row>
    <row outlineLevel="0" r="3324">
      <c r="A3324" s="4108" t="inlineStr">
        <is>
          <t>135792468201906321500</t>
        </is>
      </c>
      <c r="B3324" s="4108" t="inlineStr">
        <is>
          <t>321500</t>
        </is>
      </c>
      <c r="C3324" s="4108" t="inlineStr">
        <is>
          <t>135792468</t>
        </is>
      </c>
      <c r="D3324" s="4108" t="inlineStr">
        <is>
          <t>201906</t>
        </is>
      </c>
      <c r="E3324" s="4108" t="inlineStr">
        <is>
          <t>0,000000000000</t>
        </is>
      </c>
    </row>
    <row outlineLevel="0" r="3325">
      <c r="A3325" s="4108" t="inlineStr">
        <is>
          <t>135792468201906320500</t>
        </is>
      </c>
      <c r="B3325" s="4108" t="inlineStr">
        <is>
          <t>320500</t>
        </is>
      </c>
      <c r="C3325" s="4108" t="inlineStr">
        <is>
          <t>135792468</t>
        </is>
      </c>
      <c r="D3325" s="4108" t="inlineStr">
        <is>
          <t>201906</t>
        </is>
      </c>
      <c r="E3325" s="4108" t="inlineStr">
        <is>
          <t>0,000000000000</t>
        </is>
      </c>
    </row>
    <row outlineLevel="0" r="3326">
      <c r="A3326" s="4108" t="inlineStr">
        <is>
          <t>135792468201906321000</t>
        </is>
      </c>
      <c r="B3326" s="4108" t="inlineStr">
        <is>
          <t>321000</t>
        </is>
      </c>
      <c r="C3326" s="4108" t="inlineStr">
        <is>
          <t>135792468</t>
        </is>
      </c>
      <c r="D3326" s="4108" t="inlineStr">
        <is>
          <t>201906</t>
        </is>
      </c>
      <c r="E3326" s="4108" t="inlineStr">
        <is>
          <t>0,000000000000</t>
        </is>
      </c>
    </row>
    <row outlineLevel="0" r="3327">
      <c r="A3327" s="4108" t="inlineStr">
        <is>
          <t>135792468201906314000</t>
        </is>
      </c>
      <c r="B3327" s="4108" t="inlineStr">
        <is>
          <t>314000</t>
        </is>
      </c>
      <c r="C3327" s="4108" t="inlineStr">
        <is>
          <t>135792468</t>
        </is>
      </c>
      <c r="D3327" s="4108" t="inlineStr">
        <is>
          <t>201906</t>
        </is>
      </c>
      <c r="E3327" s="4108" t="inlineStr">
        <is>
          <t>0,000000000000</t>
        </is>
      </c>
    </row>
    <row outlineLevel="0" r="3328">
      <c r="A3328" s="4108" t="inlineStr">
        <is>
          <t>135792468201906313500</t>
        </is>
      </c>
      <c r="B3328" s="4108" t="inlineStr">
        <is>
          <t>313500</t>
        </is>
      </c>
      <c r="C3328" s="4108" t="inlineStr">
        <is>
          <t>135792468</t>
        </is>
      </c>
      <c r="D3328" s="4108" t="inlineStr">
        <is>
          <t>201906</t>
        </is>
      </c>
      <c r="E3328" s="4108" t="inlineStr">
        <is>
          <t>0,000000000000</t>
        </is>
      </c>
    </row>
    <row outlineLevel="0" r="3329">
      <c r="A3329" s="4108" t="inlineStr">
        <is>
          <t>135792468201906313000</t>
        </is>
      </c>
      <c r="B3329" s="4108" t="inlineStr">
        <is>
          <t>313000</t>
        </is>
      </c>
      <c r="C3329" s="4108" t="inlineStr">
        <is>
          <t>135792468</t>
        </is>
      </c>
      <c r="D3329" s="4108" t="inlineStr">
        <is>
          <t>201906</t>
        </is>
      </c>
      <c r="E3329" s="4108" t="inlineStr">
        <is>
          <t>0,000000000000</t>
        </is>
      </c>
    </row>
    <row outlineLevel="0" r="3330">
      <c r="A3330" s="4108" t="inlineStr">
        <is>
          <t>135792468201906312500</t>
        </is>
      </c>
      <c r="B3330" s="4108" t="inlineStr">
        <is>
          <t>312500</t>
        </is>
      </c>
      <c r="C3330" s="4108" t="inlineStr">
        <is>
          <t>135792468</t>
        </is>
      </c>
      <c r="D3330" s="4108" t="inlineStr">
        <is>
          <t>201906</t>
        </is>
      </c>
      <c r="E3330" s="4108" t="inlineStr">
        <is>
          <t>0,000000000000</t>
        </is>
      </c>
    </row>
    <row outlineLevel="0" r="3331">
      <c r="A3331" s="4108" t="inlineStr">
        <is>
          <t>135792468201906312000</t>
        </is>
      </c>
      <c r="B3331" s="4108" t="inlineStr">
        <is>
          <t>312000</t>
        </is>
      </c>
      <c r="C3331" s="4108" t="inlineStr">
        <is>
          <t>135792468</t>
        </is>
      </c>
      <c r="D3331" s="4108" t="inlineStr">
        <is>
          <t>201906</t>
        </is>
      </c>
      <c r="E3331" s="4108" t="inlineStr">
        <is>
          <t>0,000000000000</t>
        </is>
      </c>
    </row>
    <row outlineLevel="0" r="3332">
      <c r="A3332" s="4108" t="inlineStr">
        <is>
          <t>135792468201906311500</t>
        </is>
      </c>
      <c r="B3332" s="4108" t="inlineStr">
        <is>
          <t>311500</t>
        </is>
      </c>
      <c r="C3332" s="4108" t="inlineStr">
        <is>
          <t>135792468</t>
        </is>
      </c>
      <c r="D3332" s="4108" t="inlineStr">
        <is>
          <t>201906</t>
        </is>
      </c>
      <c r="E3332" s="4108" t="inlineStr">
        <is>
          <t>0,000000000000</t>
        </is>
      </c>
    </row>
    <row outlineLevel="0" r="3333">
      <c r="A3333" s="4108" t="inlineStr">
        <is>
          <t>135792468201906299501</t>
        </is>
      </c>
      <c r="B3333" s="4108" t="inlineStr">
        <is>
          <t>299501</t>
        </is>
      </c>
      <c r="C3333" s="4108" t="inlineStr">
        <is>
          <t>135792468</t>
        </is>
      </c>
      <c r="D3333" s="4108" t="inlineStr">
        <is>
          <t>201906</t>
        </is>
      </c>
      <c r="E3333" s="4108" t="inlineStr">
        <is>
          <t>0,000000000000</t>
        </is>
      </c>
    </row>
    <row outlineLevel="0" r="3334">
      <c r="A3334" s="4108" t="inlineStr">
        <is>
          <t>135792468201906310500</t>
        </is>
      </c>
      <c r="B3334" s="4108" t="inlineStr">
        <is>
          <t>310500</t>
        </is>
      </c>
      <c r="C3334" s="4108" t="inlineStr">
        <is>
          <t>135792468</t>
        </is>
      </c>
      <c r="D3334" s="4108" t="inlineStr">
        <is>
          <t>201906</t>
        </is>
      </c>
      <c r="E3334" s="4108" t="inlineStr">
        <is>
          <t>961,000000000000</t>
        </is>
      </c>
    </row>
    <row outlineLevel="0" r="3335">
      <c r="A3335" s="4108" t="inlineStr">
        <is>
          <t>135792468201906294000</t>
        </is>
      </c>
      <c r="B3335" s="4108" t="inlineStr">
        <is>
          <t>294000</t>
        </is>
      </c>
      <c r="C3335" s="4108" t="inlineStr">
        <is>
          <t>135792468</t>
        </is>
      </c>
      <c r="D3335" s="4108" t="inlineStr">
        <is>
          <t>201906</t>
        </is>
      </c>
      <c r="E3335" s="4108" t="inlineStr">
        <is>
          <t>0,000000000000</t>
        </is>
      </c>
    </row>
    <row outlineLevel="0" r="3336">
      <c r="A3336" s="4108" t="inlineStr">
        <is>
          <t>135792468201906293000</t>
        </is>
      </c>
      <c r="B3336" s="4108" t="inlineStr">
        <is>
          <t>293000</t>
        </is>
      </c>
      <c r="C3336" s="4108" t="inlineStr">
        <is>
          <t>135792468</t>
        </is>
      </c>
      <c r="D3336" s="4108" t="inlineStr">
        <is>
          <t>201906</t>
        </is>
      </c>
      <c r="E3336" s="4108" t="inlineStr">
        <is>
          <t>0,000000000000</t>
        </is>
      </c>
    </row>
    <row outlineLevel="0" r="3337">
      <c r="A3337" s="4108" t="inlineStr">
        <is>
          <t>135792468201906292001</t>
        </is>
      </c>
      <c r="B3337" s="4108" t="inlineStr">
        <is>
          <t>292001</t>
        </is>
      </c>
      <c r="C3337" s="4108" t="inlineStr">
        <is>
          <t>135792468</t>
        </is>
      </c>
      <c r="D3337" s="4108" t="inlineStr">
        <is>
          <t>201906</t>
        </is>
      </c>
      <c r="E3337" s="4108" t="inlineStr">
        <is>
          <t>0,000000000000</t>
        </is>
      </c>
    </row>
    <row outlineLevel="0" r="3338">
      <c r="A3338" s="4108" t="inlineStr">
        <is>
          <t>135792468201906292000</t>
        </is>
      </c>
      <c r="B3338" s="4108" t="inlineStr">
        <is>
          <t>292000</t>
        </is>
      </c>
      <c r="C3338" s="4108" t="inlineStr">
        <is>
          <t>135792468</t>
        </is>
      </c>
      <c r="D3338" s="4108" t="inlineStr">
        <is>
          <t>201906</t>
        </is>
      </c>
      <c r="E3338" s="4108" t="inlineStr">
        <is>
          <t>0,000000000000</t>
        </is>
      </c>
    </row>
    <row outlineLevel="0" r="3339">
      <c r="A3339" s="4108" t="inlineStr">
        <is>
          <t>135792468201906291991</t>
        </is>
      </c>
      <c r="B3339" s="4108" t="inlineStr">
        <is>
          <t>291991</t>
        </is>
      </c>
      <c r="C3339" s="4108" t="inlineStr">
        <is>
          <t>135792468</t>
        </is>
      </c>
      <c r="D3339" s="4108" t="inlineStr">
        <is>
          <t>201906</t>
        </is>
      </c>
      <c r="E3339" s="4108" t="inlineStr">
        <is>
          <t>0,000000000000</t>
        </is>
      </c>
    </row>
    <row outlineLevel="0" r="3340">
      <c r="A3340" s="4108" t="inlineStr">
        <is>
          <t>135792468201906291501</t>
        </is>
      </c>
      <c r="B3340" s="4108" t="inlineStr">
        <is>
          <t>291501</t>
        </is>
      </c>
      <c r="C3340" s="4108" t="inlineStr">
        <is>
          <t>135792468</t>
        </is>
      </c>
      <c r="D3340" s="4108" t="inlineStr">
        <is>
          <t>201906</t>
        </is>
      </c>
      <c r="E3340" s="4108" t="inlineStr">
        <is>
          <t>0,000000000000</t>
        </is>
      </c>
    </row>
    <row outlineLevel="0" r="3341">
      <c r="A3341" s="4108" t="inlineStr">
        <is>
          <t>135792468201906290501</t>
        </is>
      </c>
      <c r="B3341" s="4108" t="inlineStr">
        <is>
          <t>290501</t>
        </is>
      </c>
      <c r="C3341" s="4108" t="inlineStr">
        <is>
          <t>135792468</t>
        </is>
      </c>
      <c r="D3341" s="4108" t="inlineStr">
        <is>
          <t>201906</t>
        </is>
      </c>
      <c r="E3341" s="4108" t="inlineStr">
        <is>
          <t>0,000000000000</t>
        </is>
      </c>
    </row>
    <row outlineLevel="0" r="3342">
      <c r="A3342" s="4108" t="inlineStr">
        <is>
          <t>135792468201906291000</t>
        </is>
      </c>
      <c r="B3342" s="4108" t="inlineStr">
        <is>
          <t>291000</t>
        </is>
      </c>
      <c r="C3342" s="4108" t="inlineStr">
        <is>
          <t>135792468</t>
        </is>
      </c>
      <c r="D3342" s="4108" t="inlineStr">
        <is>
          <t>201906</t>
        </is>
      </c>
      <c r="E3342" s="4108" t="inlineStr">
        <is>
          <t>0,000000000000</t>
        </is>
      </c>
    </row>
    <row outlineLevel="0" r="3343">
      <c r="A3343" s="4108" t="inlineStr">
        <is>
          <t>135792468201906289500</t>
        </is>
      </c>
      <c r="B3343" s="4108" t="inlineStr">
        <is>
          <t>289500</t>
        </is>
      </c>
      <c r="C3343" s="4108" t="inlineStr">
        <is>
          <t>135792468</t>
        </is>
      </c>
      <c r="D3343" s="4108" t="inlineStr">
        <is>
          <t>201906</t>
        </is>
      </c>
      <c r="E3343" s="4108" t="inlineStr">
        <is>
          <t>0,000000000000</t>
        </is>
      </c>
    </row>
    <row outlineLevel="0" r="3344">
      <c r="A3344" s="4108" t="inlineStr">
        <is>
          <t>135792468201906284000</t>
        </is>
      </c>
      <c r="B3344" s="4108" t="inlineStr">
        <is>
          <t>284000</t>
        </is>
      </c>
      <c r="C3344" s="4108" t="inlineStr">
        <is>
          <t>135792468</t>
        </is>
      </c>
      <c r="D3344" s="4108" t="inlineStr">
        <is>
          <t>201906</t>
        </is>
      </c>
      <c r="E3344" s="4108" t="inlineStr">
        <is>
          <t>0,000000000000</t>
        </is>
      </c>
    </row>
    <row outlineLevel="0" r="3345">
      <c r="A3345" s="4108" t="inlineStr">
        <is>
          <t>135792468201906282500</t>
        </is>
      </c>
      <c r="B3345" s="4108" t="inlineStr">
        <is>
          <t>282500</t>
        </is>
      </c>
      <c r="C3345" s="4108" t="inlineStr">
        <is>
          <t>135792468</t>
        </is>
      </c>
      <c r="D3345" s="4108" t="inlineStr">
        <is>
          <t>201906</t>
        </is>
      </c>
      <c r="E3345" s="4108" t="inlineStr">
        <is>
          <t>0,000000000000</t>
        </is>
      </c>
    </row>
    <row outlineLevel="0" r="3346">
      <c r="A3346" s="4108" t="inlineStr">
        <is>
          <t>135792468201906282000</t>
        </is>
      </c>
      <c r="B3346" s="4108" t="inlineStr">
        <is>
          <t>282000</t>
        </is>
      </c>
      <c r="C3346" s="4108" t="inlineStr">
        <is>
          <t>135792468</t>
        </is>
      </c>
      <c r="D3346" s="4108" t="inlineStr">
        <is>
          <t>201906</t>
        </is>
      </c>
      <c r="E3346" s="4108" t="inlineStr">
        <is>
          <t>0,000000000000</t>
        </is>
      </c>
    </row>
    <row outlineLevel="0" r="3347">
      <c r="A3347" s="4108" t="inlineStr">
        <is>
          <t>135792468201906281000</t>
        </is>
      </c>
      <c r="B3347" s="4108" t="inlineStr">
        <is>
          <t>281000</t>
        </is>
      </c>
      <c r="C3347" s="4108" t="inlineStr">
        <is>
          <t>135792468</t>
        </is>
      </c>
      <c r="D3347" s="4108" t="inlineStr">
        <is>
          <t>201906</t>
        </is>
      </c>
      <c r="E3347" s="4108" t="inlineStr">
        <is>
          <t>0,000000000000</t>
        </is>
      </c>
    </row>
    <row outlineLevel="0" r="3348">
      <c r="A3348" s="4108" t="inlineStr">
        <is>
          <t>135792468201906279501</t>
        </is>
      </c>
      <c r="B3348" s="4108" t="inlineStr">
        <is>
          <t>279501</t>
        </is>
      </c>
      <c r="C3348" s="4108" t="inlineStr">
        <is>
          <t>135792468</t>
        </is>
      </c>
      <c r="D3348" s="4108" t="inlineStr">
        <is>
          <t>201906</t>
        </is>
      </c>
      <c r="E3348" s="4108" t="inlineStr">
        <is>
          <t>0,000000000000</t>
        </is>
      </c>
    </row>
    <row outlineLevel="0" r="3349">
      <c r="A3349" s="4108" t="inlineStr">
        <is>
          <t>135792468201906272501</t>
        </is>
      </c>
      <c r="B3349" s="4108" t="inlineStr">
        <is>
          <t>272501</t>
        </is>
      </c>
      <c r="C3349" s="4108" t="inlineStr">
        <is>
          <t>135792468</t>
        </is>
      </c>
      <c r="D3349" s="4108" t="inlineStr">
        <is>
          <t>201906</t>
        </is>
      </c>
      <c r="E3349" s="4108" t="inlineStr">
        <is>
          <t>0,000000000000</t>
        </is>
      </c>
    </row>
    <row outlineLevel="0" r="3350">
      <c r="A3350" s="4108" t="inlineStr">
        <is>
          <t>135792468201906279500</t>
        </is>
      </c>
      <c r="B3350" s="4108" t="inlineStr">
        <is>
          <t>279500</t>
        </is>
      </c>
      <c r="C3350" s="4108" t="inlineStr">
        <is>
          <t>135792468</t>
        </is>
      </c>
      <c r="D3350" s="4108" t="inlineStr">
        <is>
          <t>201906</t>
        </is>
      </c>
      <c r="E3350" s="4108" t="inlineStr">
        <is>
          <t>0,000000000000</t>
        </is>
      </c>
    </row>
    <row outlineLevel="0" r="3351">
      <c r="A3351" s="4108" t="inlineStr">
        <is>
          <t>135792468201906272500</t>
        </is>
      </c>
      <c r="B3351" s="4108" t="inlineStr">
        <is>
          <t>272500</t>
        </is>
      </c>
      <c r="C3351" s="4108" t="inlineStr">
        <is>
          <t>135792468</t>
        </is>
      </c>
      <c r="D3351" s="4108" t="inlineStr">
        <is>
          <t>201906</t>
        </is>
      </c>
      <c r="E3351" s="4108" t="inlineStr">
        <is>
          <t>0,000000000000</t>
        </is>
      </c>
    </row>
    <row outlineLevel="0" r="3352">
      <c r="A3352" s="4108" t="inlineStr">
        <is>
          <t>135792468201906272001</t>
        </is>
      </c>
      <c r="B3352" s="4108" t="inlineStr">
        <is>
          <t>272001</t>
        </is>
      </c>
      <c r="C3352" s="4108" t="inlineStr">
        <is>
          <t>135792468</t>
        </is>
      </c>
      <c r="D3352" s="4108" t="inlineStr">
        <is>
          <t>201906</t>
        </is>
      </c>
      <c r="E3352" s="4108" t="inlineStr">
        <is>
          <t>0,000000000000</t>
        </is>
      </c>
    </row>
    <row outlineLevel="0" r="3353">
      <c r="A3353" s="4108" t="inlineStr">
        <is>
          <t>135792468201906271001</t>
        </is>
      </c>
      <c r="B3353" s="4108" t="inlineStr">
        <is>
          <t>271001</t>
        </is>
      </c>
      <c r="C3353" s="4108" t="inlineStr">
        <is>
          <t>135792468</t>
        </is>
      </c>
      <c r="D3353" s="4108" t="inlineStr">
        <is>
          <t>201906</t>
        </is>
      </c>
      <c r="E3353" s="4108" t="inlineStr">
        <is>
          <t>0,000000000000</t>
        </is>
      </c>
    </row>
    <row outlineLevel="0" r="3354">
      <c r="A3354" s="4108" t="inlineStr">
        <is>
          <t>135792468201906271000</t>
        </is>
      </c>
      <c r="B3354" s="4108" t="inlineStr">
        <is>
          <t>271000</t>
        </is>
      </c>
      <c r="C3354" s="4108" t="inlineStr">
        <is>
          <t>135792468</t>
        </is>
      </c>
      <c r="D3354" s="4108" t="inlineStr">
        <is>
          <t>201906</t>
        </is>
      </c>
      <c r="E3354" s="4108" t="inlineStr">
        <is>
          <t>0,000000000000</t>
        </is>
      </c>
    </row>
    <row outlineLevel="0" r="3355">
      <c r="A3355" s="4108" t="inlineStr">
        <is>
          <t>135792468201906270501</t>
        </is>
      </c>
      <c r="B3355" s="4108" t="inlineStr">
        <is>
          <t>270501</t>
        </is>
      </c>
      <c r="C3355" s="4108" t="inlineStr">
        <is>
          <t>135792468</t>
        </is>
      </c>
      <c r="D3355" s="4108" t="inlineStr">
        <is>
          <t>201906</t>
        </is>
      </c>
      <c r="E3355" s="4108" t="inlineStr">
        <is>
          <t>0,000000000000</t>
        </is>
      </c>
    </row>
    <row outlineLevel="0" r="3356">
      <c r="A3356" s="4108" t="inlineStr">
        <is>
          <t>135792468201906270500</t>
        </is>
      </c>
      <c r="B3356" s="4108" t="inlineStr">
        <is>
          <t>270500</t>
        </is>
      </c>
      <c r="C3356" s="4108" t="inlineStr">
        <is>
          <t>135792468</t>
        </is>
      </c>
      <c r="D3356" s="4108" t="inlineStr">
        <is>
          <t>201906</t>
        </is>
      </c>
      <c r="E3356" s="4108" t="inlineStr">
        <is>
          <t>0,000000000000</t>
        </is>
      </c>
    </row>
    <row outlineLevel="0" r="3357">
      <c r="A3357" s="4108" t="inlineStr">
        <is>
          <t>135792468201906269500</t>
        </is>
      </c>
      <c r="B3357" s="4108" t="inlineStr">
        <is>
          <t>269500</t>
        </is>
      </c>
      <c r="C3357" s="4108" t="inlineStr">
        <is>
          <t>135792468</t>
        </is>
      </c>
      <c r="D3357" s="4108" t="inlineStr">
        <is>
          <t>201906</t>
        </is>
      </c>
      <c r="E3357" s="4108" t="inlineStr">
        <is>
          <t>0,000000000000</t>
        </is>
      </c>
    </row>
    <row outlineLevel="0" r="3358">
      <c r="A3358" s="4108" t="inlineStr">
        <is>
          <t>135792468201906269501</t>
        </is>
      </c>
      <c r="B3358" s="4108" t="inlineStr">
        <is>
          <t>269501</t>
        </is>
      </c>
      <c r="C3358" s="4108" t="inlineStr">
        <is>
          <t>135792468</t>
        </is>
      </c>
      <c r="D3358" s="4108" t="inlineStr">
        <is>
          <t>201906</t>
        </is>
      </c>
      <c r="E3358" s="4108" t="inlineStr">
        <is>
          <t>0,000000000000</t>
        </is>
      </c>
    </row>
    <row outlineLevel="0" r="3359">
      <c r="A3359" s="4108" t="inlineStr">
        <is>
          <t>135792468201906264001</t>
        </is>
      </c>
      <c r="B3359" s="4108" t="inlineStr">
        <is>
          <t>264001</t>
        </is>
      </c>
      <c r="C3359" s="4108" t="inlineStr">
        <is>
          <t>135792468</t>
        </is>
      </c>
      <c r="D3359" s="4108" t="inlineStr">
        <is>
          <t>201906</t>
        </is>
      </c>
      <c r="E3359" s="4108" t="inlineStr">
        <is>
          <t>0,000000000000</t>
        </is>
      </c>
    </row>
    <row outlineLevel="0" r="3360">
      <c r="A3360" s="4108" t="inlineStr">
        <is>
          <t>135792468201906264000</t>
        </is>
      </c>
      <c r="B3360" s="4108" t="inlineStr">
        <is>
          <t>264000</t>
        </is>
      </c>
      <c r="C3360" s="4108" t="inlineStr">
        <is>
          <t>135792468</t>
        </is>
      </c>
      <c r="D3360" s="4108" t="inlineStr">
        <is>
          <t>201906</t>
        </is>
      </c>
      <c r="E3360" s="4108" t="inlineStr">
        <is>
          <t>0,000000000000</t>
        </is>
      </c>
    </row>
    <row outlineLevel="0" r="3361">
      <c r="A3361" s="4108" t="inlineStr">
        <is>
          <t>135792468201906263501</t>
        </is>
      </c>
      <c r="B3361" s="4108" t="inlineStr">
        <is>
          <t>263501</t>
        </is>
      </c>
      <c r="C3361" s="4108" t="inlineStr">
        <is>
          <t>135792468</t>
        </is>
      </c>
      <c r="D3361" s="4108" t="inlineStr">
        <is>
          <t>201906</t>
        </is>
      </c>
      <c r="E3361" s="4108" t="inlineStr">
        <is>
          <t>0,000000000000</t>
        </is>
      </c>
    </row>
    <row outlineLevel="0" r="3362">
      <c r="A3362" s="4108" t="inlineStr">
        <is>
          <t>135792468201906263500</t>
        </is>
      </c>
      <c r="B3362" s="4108" t="inlineStr">
        <is>
          <t>263500</t>
        </is>
      </c>
      <c r="C3362" s="4108" t="inlineStr">
        <is>
          <t>135792468</t>
        </is>
      </c>
      <c r="D3362" s="4108" t="inlineStr">
        <is>
          <t>201906</t>
        </is>
      </c>
      <c r="E3362" s="4108" t="inlineStr">
        <is>
          <t>0,000000000000</t>
        </is>
      </c>
    </row>
    <row outlineLevel="0" r="3363">
      <c r="A3363" s="4108" t="inlineStr">
        <is>
          <t>135792468201906263001</t>
        </is>
      </c>
      <c r="B3363" s="4108" t="inlineStr">
        <is>
          <t>263001</t>
        </is>
      </c>
      <c r="C3363" s="4108" t="inlineStr">
        <is>
          <t>135792468</t>
        </is>
      </c>
      <c r="D3363" s="4108" t="inlineStr">
        <is>
          <t>201906</t>
        </is>
      </c>
      <c r="E3363" s="4108" t="inlineStr">
        <is>
          <t>0,000000000000</t>
        </is>
      </c>
    </row>
    <row outlineLevel="0" r="3364">
      <c r="A3364" s="4108" t="inlineStr">
        <is>
          <t>135792468201906263000</t>
        </is>
      </c>
      <c r="B3364" s="4108" t="inlineStr">
        <is>
          <t>263000</t>
        </is>
      </c>
      <c r="C3364" s="4108" t="inlineStr">
        <is>
          <t>135792468</t>
        </is>
      </c>
      <c r="D3364" s="4108" t="inlineStr">
        <is>
          <t>201906</t>
        </is>
      </c>
      <c r="E3364" s="4108" t="inlineStr">
        <is>
          <t>0,000000000000</t>
        </is>
      </c>
    </row>
    <row outlineLevel="0" r="3365">
      <c r="A3365" s="4108" t="inlineStr">
        <is>
          <t>135792468201906262500</t>
        </is>
      </c>
      <c r="B3365" s="4108" t="inlineStr">
        <is>
          <t>262500</t>
        </is>
      </c>
      <c r="C3365" s="4108" t="inlineStr">
        <is>
          <t>135792468</t>
        </is>
      </c>
      <c r="D3365" s="4108" t="inlineStr">
        <is>
          <t>201906</t>
        </is>
      </c>
      <c r="E3365" s="4108" t="inlineStr">
        <is>
          <t>0,000000000000</t>
        </is>
      </c>
    </row>
    <row outlineLevel="0" r="3366">
      <c r="A3366" s="4108" t="inlineStr">
        <is>
          <t>135792468201906262501</t>
        </is>
      </c>
      <c r="B3366" s="4108" t="inlineStr">
        <is>
          <t>262501</t>
        </is>
      </c>
      <c r="C3366" s="4108" t="inlineStr">
        <is>
          <t>135792468</t>
        </is>
      </c>
      <c r="D3366" s="4108" t="inlineStr">
        <is>
          <t>201906</t>
        </is>
      </c>
      <c r="E3366" s="4108" t="inlineStr">
        <is>
          <t>0,000000000000</t>
        </is>
      </c>
    </row>
    <row outlineLevel="0" r="3367">
      <c r="A3367" s="4108" t="inlineStr">
        <is>
          <t>135792468201906262001</t>
        </is>
      </c>
      <c r="B3367" s="4108" t="inlineStr">
        <is>
          <t>262001</t>
        </is>
      </c>
      <c r="C3367" s="4108" t="inlineStr">
        <is>
          <t>135792468</t>
        </is>
      </c>
      <c r="D3367" s="4108" t="inlineStr">
        <is>
          <t>201906</t>
        </is>
      </c>
      <c r="E3367" s="4108" t="inlineStr">
        <is>
          <t>0,000000000000</t>
        </is>
      </c>
    </row>
    <row outlineLevel="0" r="3368">
      <c r="A3368" s="4108" t="inlineStr">
        <is>
          <t>135792468201906262000</t>
        </is>
      </c>
      <c r="B3368" s="4108" t="inlineStr">
        <is>
          <t>262000</t>
        </is>
      </c>
      <c r="C3368" s="4108" t="inlineStr">
        <is>
          <t>135792468</t>
        </is>
      </c>
      <c r="D3368" s="4108" t="inlineStr">
        <is>
          <t>201906</t>
        </is>
      </c>
      <c r="E3368" s="4108" t="inlineStr">
        <is>
          <t>0,000000000000</t>
        </is>
      </c>
    </row>
    <row outlineLevel="0" r="3369">
      <c r="A3369" s="4108" t="inlineStr">
        <is>
          <t>135792468201906261501</t>
        </is>
      </c>
      <c r="B3369" s="4108" t="inlineStr">
        <is>
          <t>261501</t>
        </is>
      </c>
      <c r="C3369" s="4108" t="inlineStr">
        <is>
          <t>135792468</t>
        </is>
      </c>
      <c r="D3369" s="4108" t="inlineStr">
        <is>
          <t>201906</t>
        </is>
      </c>
      <c r="E3369" s="4108" t="inlineStr">
        <is>
          <t>0,000000000000</t>
        </is>
      </c>
    </row>
    <row outlineLevel="0" r="3370">
      <c r="A3370" s="4108" t="inlineStr">
        <is>
          <t>135792468201906261500</t>
        </is>
      </c>
      <c r="B3370" s="4108" t="inlineStr">
        <is>
          <t>261500</t>
        </is>
      </c>
      <c r="C3370" s="4108" t="inlineStr">
        <is>
          <t>135792468</t>
        </is>
      </c>
      <c r="D3370" s="4108" t="inlineStr">
        <is>
          <t>201906</t>
        </is>
      </c>
      <c r="E3370" s="4108" t="inlineStr">
        <is>
          <t>0,000000000000</t>
        </is>
      </c>
    </row>
    <row outlineLevel="0" r="3371">
      <c r="A3371" s="4108" t="inlineStr">
        <is>
          <t>135792468201906261001</t>
        </is>
      </c>
      <c r="B3371" s="4108" t="inlineStr">
        <is>
          <t>261001</t>
        </is>
      </c>
      <c r="C3371" s="4108" t="inlineStr">
        <is>
          <t>135792468</t>
        </is>
      </c>
      <c r="D3371" s="4108" t="inlineStr">
        <is>
          <t>201906</t>
        </is>
      </c>
      <c r="E3371" s="4108" t="inlineStr">
        <is>
          <t>0,000000000000</t>
        </is>
      </c>
    </row>
    <row outlineLevel="0" r="3372">
      <c r="A3372" s="4108" t="inlineStr">
        <is>
          <t>135792468201906261000</t>
        </is>
      </c>
      <c r="B3372" s="4108" t="inlineStr">
        <is>
          <t>261000</t>
        </is>
      </c>
      <c r="C3372" s="4108" t="inlineStr">
        <is>
          <t>135792468</t>
        </is>
      </c>
      <c r="D3372" s="4108" t="inlineStr">
        <is>
          <t>201906</t>
        </is>
      </c>
      <c r="E3372" s="4108" t="inlineStr">
        <is>
          <t>0,000000000000</t>
        </is>
      </c>
    </row>
    <row outlineLevel="0" r="3373">
      <c r="A3373" s="4108" t="inlineStr">
        <is>
          <t>135792468201906260500</t>
        </is>
      </c>
      <c r="B3373" s="4108" t="inlineStr">
        <is>
          <t>260500</t>
        </is>
      </c>
      <c r="C3373" s="4108" t="inlineStr">
        <is>
          <t>135792468</t>
        </is>
      </c>
      <c r="D3373" s="4108" t="inlineStr">
        <is>
          <t>201906</t>
        </is>
      </c>
      <c r="E3373" s="4108" t="inlineStr">
        <is>
          <t>0,000000000000</t>
        </is>
      </c>
    </row>
    <row outlineLevel="0" r="3374">
      <c r="A3374" s="4108" t="inlineStr">
        <is>
          <t>135792468201906260501</t>
        </is>
      </c>
      <c r="B3374" s="4108" t="inlineStr">
        <is>
          <t>260501</t>
        </is>
      </c>
      <c r="C3374" s="4108" t="inlineStr">
        <is>
          <t>135792468</t>
        </is>
      </c>
      <c r="D3374" s="4108" t="inlineStr">
        <is>
          <t>201906</t>
        </is>
      </c>
      <c r="E3374" s="4108" t="inlineStr">
        <is>
          <t>10,000000000000</t>
        </is>
      </c>
    </row>
    <row outlineLevel="0" r="3375">
      <c r="A3375" s="4108" t="inlineStr">
        <is>
          <t>135792468201906259501</t>
        </is>
      </c>
      <c r="B3375" s="4108" t="inlineStr">
        <is>
          <t>259501</t>
        </is>
      </c>
      <c r="C3375" s="4108" t="inlineStr">
        <is>
          <t>135792468</t>
        </is>
      </c>
      <c r="D3375" s="4108" t="inlineStr">
        <is>
          <t>201906</t>
        </is>
      </c>
      <c r="E3375" s="4108" t="inlineStr">
        <is>
          <t>0,000000000000</t>
        </is>
      </c>
    </row>
    <row outlineLevel="0" r="3376">
      <c r="A3376" s="4108" t="inlineStr">
        <is>
          <t>135792468201906259500</t>
        </is>
      </c>
      <c r="B3376" s="4108" t="inlineStr">
        <is>
          <t>259500</t>
        </is>
      </c>
      <c r="C3376" s="4108" t="inlineStr">
        <is>
          <t>135792468</t>
        </is>
      </c>
      <c r="D3376" s="4108" t="inlineStr">
        <is>
          <t>201906</t>
        </is>
      </c>
      <c r="E3376" s="4108" t="inlineStr">
        <is>
          <t>0,000000000000</t>
        </is>
      </c>
    </row>
    <row outlineLevel="0" r="3377">
      <c r="A3377" s="4108" t="inlineStr">
        <is>
          <t>135792468201906253001</t>
        </is>
      </c>
      <c r="B3377" s="4108" t="inlineStr">
        <is>
          <t>253001</t>
        </is>
      </c>
      <c r="C3377" s="4108" t="inlineStr">
        <is>
          <t>135792468</t>
        </is>
      </c>
      <c r="D3377" s="4108" t="inlineStr">
        <is>
          <t>201906</t>
        </is>
      </c>
      <c r="E3377" s="4108" t="inlineStr">
        <is>
          <t>0,000000000000</t>
        </is>
      </c>
    </row>
    <row outlineLevel="0" r="3378">
      <c r="A3378" s="4108" t="inlineStr">
        <is>
          <t>135792468201906253000</t>
        </is>
      </c>
      <c r="B3378" s="4108" t="inlineStr">
        <is>
          <t>253000</t>
        </is>
      </c>
      <c r="C3378" s="4108" t="inlineStr">
        <is>
          <t>135792468</t>
        </is>
      </c>
      <c r="D3378" s="4108" t="inlineStr">
        <is>
          <t>201906</t>
        </is>
      </c>
      <c r="E3378" s="4108" t="inlineStr">
        <is>
          <t>0,000000000000</t>
        </is>
      </c>
    </row>
    <row outlineLevel="0" r="3379">
      <c r="A3379" s="4108" t="inlineStr">
        <is>
          <t>135792468201906252501</t>
        </is>
      </c>
      <c r="B3379" s="4108" t="inlineStr">
        <is>
          <t>252501</t>
        </is>
      </c>
      <c r="C3379" s="4108" t="inlineStr">
        <is>
          <t>135792468</t>
        </is>
      </c>
      <c r="D3379" s="4108" t="inlineStr">
        <is>
          <t>201906</t>
        </is>
      </c>
      <c r="E3379" s="4108" t="inlineStr">
        <is>
          <t>0,000000000000</t>
        </is>
      </c>
    </row>
    <row outlineLevel="0" r="3380">
      <c r="A3380" s="4108" t="inlineStr">
        <is>
          <t>135792468201906252500</t>
        </is>
      </c>
      <c r="B3380" s="4108" t="inlineStr">
        <is>
          <t>252500</t>
        </is>
      </c>
      <c r="C3380" s="4108" t="inlineStr">
        <is>
          <t>135792468</t>
        </is>
      </c>
      <c r="D3380" s="4108" t="inlineStr">
        <is>
          <t>201906</t>
        </is>
      </c>
      <c r="E3380" s="4108" t="inlineStr">
        <is>
          <t>0,000000000000</t>
        </is>
      </c>
    </row>
    <row outlineLevel="0" r="3381">
      <c r="A3381" s="4108" t="inlineStr">
        <is>
          <t>135792468201906251500</t>
        </is>
      </c>
      <c r="B3381" s="4108" t="inlineStr">
        <is>
          <t>251500</t>
        </is>
      </c>
      <c r="C3381" s="4108" t="inlineStr">
        <is>
          <t>135792468</t>
        </is>
      </c>
      <c r="D3381" s="4108" t="inlineStr">
        <is>
          <t>201906</t>
        </is>
      </c>
      <c r="E3381" s="4108" t="inlineStr">
        <is>
          <t>0,000000000000</t>
        </is>
      </c>
    </row>
    <row outlineLevel="0" r="3382">
      <c r="A3382" s="4108" t="inlineStr">
        <is>
          <t>135792468201906251501</t>
        </is>
      </c>
      <c r="B3382" s="4108" t="inlineStr">
        <is>
          <t>251501</t>
        </is>
      </c>
      <c r="C3382" s="4108" t="inlineStr">
        <is>
          <t>135792468</t>
        </is>
      </c>
      <c r="D3382" s="4108" t="inlineStr">
        <is>
          <t>201906</t>
        </is>
      </c>
      <c r="E3382" s="4108" t="inlineStr">
        <is>
          <t>0,000000000000</t>
        </is>
      </c>
    </row>
    <row outlineLevel="0" r="3383">
      <c r="A3383" s="4108" t="inlineStr">
        <is>
          <t>135792468201906251001</t>
        </is>
      </c>
      <c r="B3383" s="4108" t="inlineStr">
        <is>
          <t>251001</t>
        </is>
      </c>
      <c r="C3383" s="4108" t="inlineStr">
        <is>
          <t>135792468</t>
        </is>
      </c>
      <c r="D3383" s="4108" t="inlineStr">
        <is>
          <t>201906</t>
        </is>
      </c>
      <c r="E3383" s="4108" t="inlineStr">
        <is>
          <t>0,000000000000</t>
        </is>
      </c>
    </row>
    <row outlineLevel="0" r="3384">
      <c r="A3384" s="4108" t="inlineStr">
        <is>
          <t>135792468201906251000</t>
        </is>
      </c>
      <c r="B3384" s="4108" t="inlineStr">
        <is>
          <t>251000</t>
        </is>
      </c>
      <c r="C3384" s="4108" t="inlineStr">
        <is>
          <t>135792468</t>
        </is>
      </c>
      <c r="D3384" s="4108" t="inlineStr">
        <is>
          <t>201906</t>
        </is>
      </c>
      <c r="E3384" s="4108" t="inlineStr">
        <is>
          <t>0,000000000000</t>
        </is>
      </c>
    </row>
    <row outlineLevel="0" r="3385">
      <c r="A3385" s="4108" t="inlineStr">
        <is>
          <t>135792468201906250501</t>
        </is>
      </c>
      <c r="B3385" s="4108" t="inlineStr">
        <is>
          <t>250501</t>
        </is>
      </c>
      <c r="C3385" s="4108" t="inlineStr">
        <is>
          <t>135792468</t>
        </is>
      </c>
      <c r="D3385" s="4108" t="inlineStr">
        <is>
          <t>201906</t>
        </is>
      </c>
      <c r="E3385" s="4108" t="inlineStr">
        <is>
          <t>0,000000000000</t>
        </is>
      </c>
    </row>
    <row outlineLevel="0" r="3386">
      <c r="A3386" s="4108" t="inlineStr">
        <is>
          <t>135792468201906250500</t>
        </is>
      </c>
      <c r="B3386" s="4108" t="inlineStr">
        <is>
          <t>250500</t>
        </is>
      </c>
      <c r="C3386" s="4108" t="inlineStr">
        <is>
          <t>135792468</t>
        </is>
      </c>
      <c r="D3386" s="4108" t="inlineStr">
        <is>
          <t>201906</t>
        </is>
      </c>
      <c r="E3386" s="4108" t="inlineStr">
        <is>
          <t>0,000000000000</t>
        </is>
      </c>
    </row>
    <row outlineLevel="0" r="3387">
      <c r="A3387" s="4108" t="inlineStr">
        <is>
          <t>135792468201906249501</t>
        </is>
      </c>
      <c r="B3387" s="4108" t="inlineStr">
        <is>
          <t>249501</t>
        </is>
      </c>
      <c r="C3387" s="4108" t="inlineStr">
        <is>
          <t>135792468</t>
        </is>
      </c>
      <c r="D3387" s="4108" t="inlineStr">
        <is>
          <t>201906</t>
        </is>
      </c>
      <c r="E3387" s="4108" t="inlineStr">
        <is>
          <t>0,000000000000</t>
        </is>
      </c>
    </row>
    <row outlineLevel="0" r="3388">
      <c r="A3388" s="4108" t="inlineStr">
        <is>
          <t>135792468201906249500</t>
        </is>
      </c>
      <c r="B3388" s="4108" t="inlineStr">
        <is>
          <t>249500</t>
        </is>
      </c>
      <c r="C3388" s="4108" t="inlineStr">
        <is>
          <t>135792468</t>
        </is>
      </c>
      <c r="D3388" s="4108" t="inlineStr">
        <is>
          <t>201906</t>
        </is>
      </c>
      <c r="E3388" s="4108" t="inlineStr">
        <is>
          <t>0,000000000000</t>
        </is>
      </c>
    </row>
    <row outlineLevel="0" r="3389">
      <c r="A3389" s="4108" t="inlineStr">
        <is>
          <t>135792468201906241200</t>
        </is>
      </c>
      <c r="B3389" s="4108" t="inlineStr">
        <is>
          <t>241200</t>
        </is>
      </c>
      <c r="C3389" s="4108" t="inlineStr">
        <is>
          <t>135792468</t>
        </is>
      </c>
      <c r="D3389" s="4108" t="inlineStr">
        <is>
          <t>201906</t>
        </is>
      </c>
      <c r="E3389" s="4108" t="inlineStr">
        <is>
          <t>0,000000000000</t>
        </is>
      </c>
    </row>
    <row outlineLevel="0" r="3390">
      <c r="A3390" s="4108" t="inlineStr">
        <is>
          <t>135792468201906241201</t>
        </is>
      </c>
      <c r="B3390" s="4108" t="inlineStr">
        <is>
          <t>241201</t>
        </is>
      </c>
      <c r="C3390" s="4108" t="inlineStr">
        <is>
          <t>135792468</t>
        </is>
      </c>
      <c r="D3390" s="4108" t="inlineStr">
        <is>
          <t>201906</t>
        </is>
      </c>
      <c r="E3390" s="4108" t="inlineStr">
        <is>
          <t>0,000000000000</t>
        </is>
      </c>
    </row>
    <row outlineLevel="0" r="3391">
      <c r="A3391" s="4108" t="inlineStr">
        <is>
          <t>135792468201906240801</t>
        </is>
      </c>
      <c r="B3391" s="4108" t="inlineStr">
        <is>
          <t>240801</t>
        </is>
      </c>
      <c r="C3391" s="4108" t="inlineStr">
        <is>
          <t>135792468</t>
        </is>
      </c>
      <c r="D3391" s="4108" t="inlineStr">
        <is>
          <t>201906</t>
        </is>
      </c>
      <c r="E3391" s="4108" t="inlineStr">
        <is>
          <t>0,000000000000</t>
        </is>
      </c>
    </row>
    <row outlineLevel="0" r="3392">
      <c r="A3392" s="4108" t="inlineStr">
        <is>
          <t>135792468201906240800</t>
        </is>
      </c>
      <c r="B3392" s="4108" t="inlineStr">
        <is>
          <t>240800</t>
        </is>
      </c>
      <c r="C3392" s="4108" t="inlineStr">
        <is>
          <t>135792468</t>
        </is>
      </c>
      <c r="D3392" s="4108" t="inlineStr">
        <is>
          <t>201906</t>
        </is>
      </c>
      <c r="E3392" s="4108" t="inlineStr">
        <is>
          <t>0,000000000000</t>
        </is>
      </c>
    </row>
    <row outlineLevel="0" r="3393">
      <c r="A3393" s="4108" t="inlineStr">
        <is>
          <t>135792468201906240401</t>
        </is>
      </c>
      <c r="B3393" s="4108" t="inlineStr">
        <is>
          <t>240401</t>
        </is>
      </c>
      <c r="C3393" s="4108" t="inlineStr">
        <is>
          <t>135792468</t>
        </is>
      </c>
      <c r="D3393" s="4108" t="inlineStr">
        <is>
          <t>201906</t>
        </is>
      </c>
      <c r="E3393" s="4108" t="inlineStr">
        <is>
          <t>0,000000000000</t>
        </is>
      </c>
    </row>
    <row outlineLevel="0" r="3394">
      <c r="A3394" s="4108" t="inlineStr">
        <is>
          <t>135792468201906240400</t>
        </is>
      </c>
      <c r="B3394" s="4108" t="inlineStr">
        <is>
          <t>240400</t>
        </is>
      </c>
      <c r="C3394" s="4108" t="inlineStr">
        <is>
          <t>135792468</t>
        </is>
      </c>
      <c r="D3394" s="4108" t="inlineStr">
        <is>
          <t>201906</t>
        </is>
      </c>
      <c r="E3394" s="4108" t="inlineStr">
        <is>
          <t>0,000000000000</t>
        </is>
      </c>
    </row>
    <row outlineLevel="0" r="3395">
      <c r="A3395" s="4108" t="inlineStr">
        <is>
          <t>135792468201906240001</t>
        </is>
      </c>
      <c r="B3395" s="4108" t="inlineStr">
        <is>
          <t>240001</t>
        </is>
      </c>
      <c r="C3395" s="4108" t="inlineStr">
        <is>
          <t>135792468</t>
        </is>
      </c>
      <c r="D3395" s="4108" t="inlineStr">
        <is>
          <t>201906</t>
        </is>
      </c>
      <c r="E3395" s="4108" t="inlineStr">
        <is>
          <t>0,000000000000</t>
        </is>
      </c>
    </row>
    <row outlineLevel="0" r="3396">
      <c r="A3396" s="4108" t="inlineStr">
        <is>
          <t>135792468201906238001</t>
        </is>
      </c>
      <c r="B3396" s="4108" t="inlineStr">
        <is>
          <t>238001</t>
        </is>
      </c>
      <c r="C3396" s="4108" t="inlineStr">
        <is>
          <t>135792468</t>
        </is>
      </c>
      <c r="D3396" s="4108" t="inlineStr">
        <is>
          <t>201906</t>
        </is>
      </c>
      <c r="E3396" s="4108" t="inlineStr">
        <is>
          <t>0,000000000000</t>
        </is>
      </c>
    </row>
    <row outlineLevel="0" r="3397">
      <c r="A3397" s="4108" t="inlineStr">
        <is>
          <t>135792468201906237001</t>
        </is>
      </c>
      <c r="B3397" s="4108" t="inlineStr">
        <is>
          <t>237001</t>
        </is>
      </c>
      <c r="C3397" s="4108" t="inlineStr">
        <is>
          <t>135792468</t>
        </is>
      </c>
      <c r="D3397" s="4108" t="inlineStr">
        <is>
          <t>201906</t>
        </is>
      </c>
      <c r="E3397" s="4108" t="inlineStr">
        <is>
          <t>0,000000000000</t>
        </is>
      </c>
    </row>
    <row outlineLevel="0" r="3398">
      <c r="A3398" s="4108" t="inlineStr">
        <is>
          <t>135792468201906238000</t>
        </is>
      </c>
      <c r="B3398" s="4108" t="inlineStr">
        <is>
          <t>238000</t>
        </is>
      </c>
      <c r="C3398" s="4108" t="inlineStr">
        <is>
          <t>135792468</t>
        </is>
      </c>
      <c r="D3398" s="4108" t="inlineStr">
        <is>
          <t>201906</t>
        </is>
      </c>
      <c r="E3398" s="4108" t="inlineStr">
        <is>
          <t>0,000000000000</t>
        </is>
      </c>
    </row>
    <row outlineLevel="0" r="3399">
      <c r="A3399" s="4108" t="inlineStr">
        <is>
          <t>135792468201906237000</t>
        </is>
      </c>
      <c r="B3399" s="4108" t="inlineStr">
        <is>
          <t>237000</t>
        </is>
      </c>
      <c r="C3399" s="4108" t="inlineStr">
        <is>
          <t>135792468</t>
        </is>
      </c>
      <c r="D3399" s="4108" t="inlineStr">
        <is>
          <t>201906</t>
        </is>
      </c>
      <c r="E3399" s="4108" t="inlineStr">
        <is>
          <t>0,000000000000</t>
        </is>
      </c>
    </row>
    <row outlineLevel="0" r="3400">
      <c r="A3400" s="4108" t="inlineStr">
        <is>
          <t>135792468201906236800</t>
        </is>
      </c>
      <c r="B3400" s="4108" t="inlineStr">
        <is>
          <t>236800</t>
        </is>
      </c>
      <c r="C3400" s="4108" t="inlineStr">
        <is>
          <t>135792468</t>
        </is>
      </c>
      <c r="D3400" s="4108" t="inlineStr">
        <is>
          <t>201906</t>
        </is>
      </c>
      <c r="E3400" s="4108" t="inlineStr">
        <is>
          <t>0,000000000000</t>
        </is>
      </c>
    </row>
    <row outlineLevel="0" r="3401">
      <c r="A3401" s="4108" t="inlineStr">
        <is>
          <t>135792468201906236701</t>
        </is>
      </c>
      <c r="B3401" s="4108" t="inlineStr">
        <is>
          <t>236701</t>
        </is>
      </c>
      <c r="C3401" s="4108" t="inlineStr">
        <is>
          <t>135792468</t>
        </is>
      </c>
      <c r="D3401" s="4108" t="inlineStr">
        <is>
          <t>201906</t>
        </is>
      </c>
      <c r="E3401" s="4108" t="inlineStr">
        <is>
          <t>0,000000000000</t>
        </is>
      </c>
    </row>
    <row outlineLevel="0" r="3402">
      <c r="A3402" s="4108" t="inlineStr">
        <is>
          <t>135792468201906236700</t>
        </is>
      </c>
      <c r="B3402" s="4108" t="inlineStr">
        <is>
          <t>236700</t>
        </is>
      </c>
      <c r="C3402" s="4108" t="inlineStr">
        <is>
          <t>135792468</t>
        </is>
      </c>
      <c r="D3402" s="4108" t="inlineStr">
        <is>
          <t>201906</t>
        </is>
      </c>
      <c r="E3402" s="4108" t="inlineStr">
        <is>
          <t>0,000000000000</t>
        </is>
      </c>
    </row>
    <row outlineLevel="0" r="3403">
      <c r="A3403" s="4108" t="inlineStr">
        <is>
          <t>135792468201906236501</t>
        </is>
      </c>
      <c r="B3403" s="4108" t="inlineStr">
        <is>
          <t>236501</t>
        </is>
      </c>
      <c r="C3403" s="4108" t="inlineStr">
        <is>
          <t>135792468</t>
        </is>
      </c>
      <c r="D3403" s="4108" t="inlineStr">
        <is>
          <t>201906</t>
        </is>
      </c>
      <c r="E3403" s="4108" t="inlineStr">
        <is>
          <t>0,000000000000</t>
        </is>
      </c>
    </row>
    <row outlineLevel="0" r="3404">
      <c r="A3404" s="4108" t="inlineStr">
        <is>
          <t>135792468201906236500</t>
        </is>
      </c>
      <c r="B3404" s="4108" t="inlineStr">
        <is>
          <t>236500</t>
        </is>
      </c>
      <c r="C3404" s="4108" t="inlineStr">
        <is>
          <t>135792468</t>
        </is>
      </c>
      <c r="D3404" s="4108" t="inlineStr">
        <is>
          <t>201906</t>
        </is>
      </c>
      <c r="E3404" s="4108" t="inlineStr">
        <is>
          <t>0,000000000000</t>
        </is>
      </c>
    </row>
    <row outlineLevel="0" r="3405">
      <c r="A3405" s="4108" t="inlineStr">
        <is>
          <t>135792468201906236000</t>
        </is>
      </c>
      <c r="B3405" s="4108" t="inlineStr">
        <is>
          <t>236000</t>
        </is>
      </c>
      <c r="C3405" s="4108" t="inlineStr">
        <is>
          <t>135792468</t>
        </is>
      </c>
      <c r="D3405" s="4108" t="inlineStr">
        <is>
          <t>201906</t>
        </is>
      </c>
      <c r="E3405" s="4108" t="inlineStr">
        <is>
          <t>0,000000000000</t>
        </is>
      </c>
    </row>
    <row outlineLevel="0" r="3406">
      <c r="A3406" s="4108" t="inlineStr">
        <is>
          <t>135792468201906236001</t>
        </is>
      </c>
      <c r="B3406" s="4108" t="inlineStr">
        <is>
          <t>236001</t>
        </is>
      </c>
      <c r="C3406" s="4108" t="inlineStr">
        <is>
          <t>135792468</t>
        </is>
      </c>
      <c r="D3406" s="4108" t="inlineStr">
        <is>
          <t>201906</t>
        </is>
      </c>
      <c r="E3406" s="4108" t="inlineStr">
        <is>
          <t>0,000000000000</t>
        </is>
      </c>
    </row>
    <row outlineLevel="0" r="3407">
      <c r="A3407" s="4108" t="inlineStr">
        <is>
          <t>135792468201906235501</t>
        </is>
      </c>
      <c r="B3407" s="4108" t="inlineStr">
        <is>
          <t>235501</t>
        </is>
      </c>
      <c r="C3407" s="4108" t="inlineStr">
        <is>
          <t>135792468</t>
        </is>
      </c>
      <c r="D3407" s="4108" t="inlineStr">
        <is>
          <t>201906</t>
        </is>
      </c>
      <c r="E3407" s="4108" t="inlineStr">
        <is>
          <t>0,000000000000</t>
        </is>
      </c>
    </row>
    <row outlineLevel="0" r="3408">
      <c r="A3408" s="4108" t="inlineStr">
        <is>
          <t>135792468201906235500</t>
        </is>
      </c>
      <c r="B3408" s="4108" t="inlineStr">
        <is>
          <t>235500</t>
        </is>
      </c>
      <c r="C3408" s="4108" t="inlineStr">
        <is>
          <t>135792468</t>
        </is>
      </c>
      <c r="D3408" s="4108" t="inlineStr">
        <is>
          <t>201906</t>
        </is>
      </c>
      <c r="E3408" s="4108" t="inlineStr">
        <is>
          <t>0,000000000000</t>
        </is>
      </c>
    </row>
    <row outlineLevel="0" r="3409">
      <c r="A3409" s="4108" t="inlineStr">
        <is>
          <t>135792468201906235001</t>
        </is>
      </c>
      <c r="B3409" s="4108" t="inlineStr">
        <is>
          <t>235001</t>
        </is>
      </c>
      <c r="C3409" s="4108" t="inlineStr">
        <is>
          <t>135792468</t>
        </is>
      </c>
      <c r="D3409" s="4108" t="inlineStr">
        <is>
          <t>201906</t>
        </is>
      </c>
      <c r="E3409" s="4108" t="inlineStr">
        <is>
          <t>0,000000000000</t>
        </is>
      </c>
    </row>
    <row outlineLevel="0" r="3410">
      <c r="A3410" s="4108" t="inlineStr">
        <is>
          <t>135792468201906235000</t>
        </is>
      </c>
      <c r="B3410" s="4108" t="inlineStr">
        <is>
          <t>235000</t>
        </is>
      </c>
      <c r="C3410" s="4108" t="inlineStr">
        <is>
          <t>135792468</t>
        </is>
      </c>
      <c r="D3410" s="4108" t="inlineStr">
        <is>
          <t>201906</t>
        </is>
      </c>
      <c r="E3410" s="4108" t="inlineStr">
        <is>
          <t>0,000000000000</t>
        </is>
      </c>
    </row>
    <row outlineLevel="0" r="3411">
      <c r="A3411" s="4108" t="inlineStr">
        <is>
          <t>135792468201906234501</t>
        </is>
      </c>
      <c r="B3411" s="4108" t="inlineStr">
        <is>
          <t>234501</t>
        </is>
      </c>
      <c r="C3411" s="4108" t="inlineStr">
        <is>
          <t>135792468</t>
        </is>
      </c>
      <c r="D3411" s="4108" t="inlineStr">
        <is>
          <t>201906</t>
        </is>
      </c>
      <c r="E3411" s="4108" t="inlineStr">
        <is>
          <t>0,000000000000</t>
        </is>
      </c>
    </row>
    <row outlineLevel="0" r="3412">
      <c r="A3412" s="4108" t="inlineStr">
        <is>
          <t>135792468201906234500</t>
        </is>
      </c>
      <c r="B3412" s="4108" t="inlineStr">
        <is>
          <t>234500</t>
        </is>
      </c>
      <c r="C3412" s="4108" t="inlineStr">
        <is>
          <t>135792468</t>
        </is>
      </c>
      <c r="D3412" s="4108" t="inlineStr">
        <is>
          <t>201906</t>
        </is>
      </c>
      <c r="E3412" s="4108" t="inlineStr">
        <is>
          <t>0,000000000000</t>
        </is>
      </c>
    </row>
    <row outlineLevel="0" r="3413">
      <c r="A3413" s="4108" t="inlineStr">
        <is>
          <t>135792468201906233500</t>
        </is>
      </c>
      <c r="B3413" s="4108" t="inlineStr">
        <is>
          <t>233500</t>
        </is>
      </c>
      <c r="C3413" s="4108" t="inlineStr">
        <is>
          <t>135792468</t>
        </is>
      </c>
      <c r="D3413" s="4108" t="inlineStr">
        <is>
          <t>201906</t>
        </is>
      </c>
      <c r="E3413" s="4108" t="inlineStr">
        <is>
          <t>0,000000000000</t>
        </is>
      </c>
    </row>
    <row outlineLevel="0" r="3414">
      <c r="A3414" s="4108" t="inlineStr">
        <is>
          <t>135792468201906233501</t>
        </is>
      </c>
      <c r="B3414" s="4108" t="inlineStr">
        <is>
          <t>233501</t>
        </is>
      </c>
      <c r="C3414" s="4108" t="inlineStr">
        <is>
          <t>135792468</t>
        </is>
      </c>
      <c r="D3414" s="4108" t="inlineStr">
        <is>
          <t>201906</t>
        </is>
      </c>
      <c r="E3414" s="4108" t="inlineStr">
        <is>
          <t>0,000000000000</t>
        </is>
      </c>
    </row>
    <row outlineLevel="0" r="3415">
      <c r="A3415" s="4108" t="inlineStr">
        <is>
          <t>135792468201906232001</t>
        </is>
      </c>
      <c r="B3415" s="4108" t="inlineStr">
        <is>
          <t>232001</t>
        </is>
      </c>
      <c r="C3415" s="4108" t="inlineStr">
        <is>
          <t>135792468</t>
        </is>
      </c>
      <c r="D3415" s="4108" t="inlineStr">
        <is>
          <t>201906</t>
        </is>
      </c>
      <c r="E3415" s="4108" t="inlineStr">
        <is>
          <t>0,000000000000</t>
        </is>
      </c>
    </row>
    <row outlineLevel="0" r="3416">
      <c r="A3416" s="4108" t="inlineStr">
        <is>
          <t>135792468201906232000</t>
        </is>
      </c>
      <c r="B3416" s="4108" t="inlineStr">
        <is>
          <t>232000</t>
        </is>
      </c>
      <c r="C3416" s="4108" t="inlineStr">
        <is>
          <t>135792468</t>
        </is>
      </c>
      <c r="D3416" s="4108" t="inlineStr">
        <is>
          <t>201906</t>
        </is>
      </c>
      <c r="E3416" s="4108" t="inlineStr">
        <is>
          <t>0,000000000000</t>
        </is>
      </c>
    </row>
    <row outlineLevel="0" r="3417">
      <c r="A3417" s="4108" t="inlineStr">
        <is>
          <t>135792468201906231501</t>
        </is>
      </c>
      <c r="B3417" s="4108" t="inlineStr">
        <is>
          <t>231501</t>
        </is>
      </c>
      <c r="C3417" s="4108" t="inlineStr">
        <is>
          <t>135792468</t>
        </is>
      </c>
      <c r="D3417" s="4108" t="inlineStr">
        <is>
          <t>201906</t>
        </is>
      </c>
      <c r="E3417" s="4108" t="inlineStr">
        <is>
          <t>0,000000000000</t>
        </is>
      </c>
    </row>
    <row outlineLevel="0" r="3418">
      <c r="A3418" s="4108" t="inlineStr">
        <is>
          <t>135792468201906231500</t>
        </is>
      </c>
      <c r="B3418" s="4108" t="inlineStr">
        <is>
          <t>231500</t>
        </is>
      </c>
      <c r="C3418" s="4108" t="inlineStr">
        <is>
          <t>135792468</t>
        </is>
      </c>
      <c r="D3418" s="4108" t="inlineStr">
        <is>
          <t>201906</t>
        </is>
      </c>
      <c r="E3418" s="4108" t="inlineStr">
        <is>
          <t>0,000000000000</t>
        </is>
      </c>
    </row>
    <row outlineLevel="0" r="3419">
      <c r="A3419" s="4108" t="inlineStr">
        <is>
          <t>135792468201906231001</t>
        </is>
      </c>
      <c r="B3419" s="4108" t="inlineStr">
        <is>
          <t>231001</t>
        </is>
      </c>
      <c r="C3419" s="4108" t="inlineStr">
        <is>
          <t>135792468</t>
        </is>
      </c>
      <c r="D3419" s="4108" t="inlineStr">
        <is>
          <t>201906</t>
        </is>
      </c>
      <c r="E3419" s="4108" t="inlineStr">
        <is>
          <t>0,000000000000</t>
        </is>
      </c>
    </row>
    <row outlineLevel="0" r="3420">
      <c r="A3420" s="4108" t="inlineStr">
        <is>
          <t>135792468201906231000</t>
        </is>
      </c>
      <c r="B3420" s="4108" t="inlineStr">
        <is>
          <t>231000</t>
        </is>
      </c>
      <c r="C3420" s="4108" t="inlineStr">
        <is>
          <t>135792468</t>
        </is>
      </c>
      <c r="D3420" s="4108" t="inlineStr">
        <is>
          <t>201906</t>
        </is>
      </c>
      <c r="E3420" s="4108" t="inlineStr">
        <is>
          <t>0,000000000000</t>
        </is>
      </c>
    </row>
    <row outlineLevel="0" r="3421">
      <c r="A3421" s="4108" t="inlineStr">
        <is>
          <t>135792468201906230500</t>
        </is>
      </c>
      <c r="B3421" s="4108" t="inlineStr">
        <is>
          <t>230500</t>
        </is>
      </c>
      <c r="C3421" s="4108" t="inlineStr">
        <is>
          <t>135792468</t>
        </is>
      </c>
      <c r="D3421" s="4108" t="inlineStr">
        <is>
          <t>201906</t>
        </is>
      </c>
      <c r="E3421" s="4108" t="inlineStr">
        <is>
          <t>0,000000000000</t>
        </is>
      </c>
    </row>
    <row outlineLevel="0" r="3422">
      <c r="A3422" s="4108" t="inlineStr">
        <is>
          <t>135792468201906230501</t>
        </is>
      </c>
      <c r="B3422" s="4108" t="inlineStr">
        <is>
          <t>230501</t>
        </is>
      </c>
      <c r="C3422" s="4108" t="inlineStr">
        <is>
          <t>135792468</t>
        </is>
      </c>
      <c r="D3422" s="4108" t="inlineStr">
        <is>
          <t>201906</t>
        </is>
      </c>
      <c r="E3422" s="4108" t="inlineStr">
        <is>
          <t>0,000000000000</t>
        </is>
      </c>
    </row>
    <row outlineLevel="0" r="3423">
      <c r="A3423" s="4108" t="inlineStr">
        <is>
          <t>135792468201906221500</t>
        </is>
      </c>
      <c r="B3423" s="4108" t="inlineStr">
        <is>
          <t>221500</t>
        </is>
      </c>
      <c r="C3423" s="4108" t="inlineStr">
        <is>
          <t>135792468</t>
        </is>
      </c>
      <c r="D3423" s="4108" t="inlineStr">
        <is>
          <t>201906</t>
        </is>
      </c>
      <c r="E3423" s="4108" t="inlineStr">
        <is>
          <t>0,000000000000</t>
        </is>
      </c>
    </row>
    <row outlineLevel="0" r="3424">
      <c r="A3424" s="4108" t="inlineStr">
        <is>
          <t>135792468201906221001</t>
        </is>
      </c>
      <c r="B3424" s="4108" t="inlineStr">
        <is>
          <t>221001</t>
        </is>
      </c>
      <c r="C3424" s="4108" t="inlineStr">
        <is>
          <t>135792468</t>
        </is>
      </c>
      <c r="D3424" s="4108" t="inlineStr">
        <is>
          <t>201906</t>
        </is>
      </c>
      <c r="E3424" s="4108" t="inlineStr">
        <is>
          <t>0,000000000000</t>
        </is>
      </c>
    </row>
    <row outlineLevel="0" r="3425">
      <c r="A3425" s="4108" t="inlineStr">
        <is>
          <t>135792468201906221000</t>
        </is>
      </c>
      <c r="B3425" s="4108" t="inlineStr">
        <is>
          <t>221000</t>
        </is>
      </c>
      <c r="C3425" s="4108" t="inlineStr">
        <is>
          <t>135792468</t>
        </is>
      </c>
      <c r="D3425" s="4108" t="inlineStr">
        <is>
          <t>201906</t>
        </is>
      </c>
      <c r="E3425" s="4108" t="inlineStr">
        <is>
          <t>0,000000000000</t>
        </is>
      </c>
    </row>
    <row outlineLevel="0" r="3426">
      <c r="A3426" s="4108" t="inlineStr">
        <is>
          <t>135792468201906220501</t>
        </is>
      </c>
      <c r="B3426" s="4108" t="inlineStr">
        <is>
          <t>220501</t>
        </is>
      </c>
      <c r="C3426" s="4108" t="inlineStr">
        <is>
          <t>135792468</t>
        </is>
      </c>
      <c r="D3426" s="4108" t="inlineStr">
        <is>
          <t>201906</t>
        </is>
      </c>
      <c r="E3426" s="4108" t="inlineStr">
        <is>
          <t>0,000000000000</t>
        </is>
      </c>
    </row>
    <row outlineLevel="0" r="3427">
      <c r="A3427" s="4108" t="inlineStr">
        <is>
          <t>135792468201906220500</t>
        </is>
      </c>
      <c r="B3427" s="4108" t="inlineStr">
        <is>
          <t>220500</t>
        </is>
      </c>
      <c r="C3427" s="4108" t="inlineStr">
        <is>
          <t>135792468</t>
        </is>
      </c>
      <c r="D3427" s="4108" t="inlineStr">
        <is>
          <t>201906</t>
        </is>
      </c>
      <c r="E3427" s="4108" t="inlineStr">
        <is>
          <t>0,000000000000</t>
        </is>
      </c>
    </row>
    <row outlineLevel="0" r="3428">
      <c r="A3428" s="4108" t="inlineStr">
        <is>
          <t>135792468201906219500</t>
        </is>
      </c>
      <c r="B3428" s="4108" t="inlineStr">
        <is>
          <t>219500</t>
        </is>
      </c>
      <c r="C3428" s="4108" t="inlineStr">
        <is>
          <t>135792468</t>
        </is>
      </c>
      <c r="D3428" s="4108" t="inlineStr">
        <is>
          <t>201906</t>
        </is>
      </c>
      <c r="E3428" s="4108" t="inlineStr">
        <is>
          <t>0,000000000000</t>
        </is>
      </c>
    </row>
    <row outlineLevel="0" r="3429">
      <c r="A3429" s="4108" t="inlineStr">
        <is>
          <t>135792468201906211001</t>
        </is>
      </c>
      <c r="B3429" s="4108" t="inlineStr">
        <is>
          <t>211001</t>
        </is>
      </c>
      <c r="C3429" s="4108" t="inlineStr">
        <is>
          <t>135792468</t>
        </is>
      </c>
      <c r="D3429" s="4108" t="inlineStr">
        <is>
          <t>201906</t>
        </is>
      </c>
      <c r="E3429" s="4108" t="inlineStr">
        <is>
          <t>0,000000000000</t>
        </is>
      </c>
    </row>
    <row outlineLevel="0" r="3430">
      <c r="A3430" s="4108" t="inlineStr">
        <is>
          <t>135792468201906211500</t>
        </is>
      </c>
      <c r="B3430" s="4108" t="inlineStr">
        <is>
          <t>211500</t>
        </is>
      </c>
      <c r="C3430" s="4108" t="inlineStr">
        <is>
          <t>135792468</t>
        </is>
      </c>
      <c r="D3430" s="4108" t="inlineStr">
        <is>
          <t>201906</t>
        </is>
      </c>
      <c r="E3430" s="4108" t="inlineStr">
        <is>
          <t>0,000000000000</t>
        </is>
      </c>
    </row>
    <row outlineLevel="0" r="3431">
      <c r="A3431" s="4108" t="inlineStr">
        <is>
          <t>135792468201906210501</t>
        </is>
      </c>
      <c r="B3431" s="4108" t="inlineStr">
        <is>
          <t>210501</t>
        </is>
      </c>
      <c r="C3431" s="4108" t="inlineStr">
        <is>
          <t>135792468</t>
        </is>
      </c>
      <c r="D3431" s="4108" t="inlineStr">
        <is>
          <t>201906</t>
        </is>
      </c>
      <c r="E3431" s="4108" t="inlineStr">
        <is>
          <t>0,000000000000</t>
        </is>
      </c>
    </row>
    <row outlineLevel="0" r="3432">
      <c r="A3432" s="4108" t="inlineStr">
        <is>
          <t>135792468201906210500</t>
        </is>
      </c>
      <c r="B3432" s="4108" t="inlineStr">
        <is>
          <t>210500</t>
        </is>
      </c>
      <c r="C3432" s="4108" t="inlineStr">
        <is>
          <t>135792468</t>
        </is>
      </c>
      <c r="D3432" s="4108" t="inlineStr">
        <is>
          <t>201906</t>
        </is>
      </c>
      <c r="E3432" s="4108" t="inlineStr">
        <is>
          <t>0,000000000000</t>
        </is>
      </c>
    </row>
    <row outlineLevel="0" r="3433">
      <c r="A3433" s="4108" t="inlineStr">
        <is>
          <t>135792468201906199501</t>
        </is>
      </c>
      <c r="B3433" s="4108" t="inlineStr">
        <is>
          <t>199501</t>
        </is>
      </c>
      <c r="C3433" s="4108" t="inlineStr">
        <is>
          <t>135792468</t>
        </is>
      </c>
      <c r="D3433" s="4108" t="inlineStr">
        <is>
          <t>201906</t>
        </is>
      </c>
      <c r="E3433" s="4108" t="inlineStr">
        <is>
          <t>0,000000000000</t>
        </is>
      </c>
    </row>
    <row outlineLevel="0" r="3434">
      <c r="A3434" s="4108" t="inlineStr">
        <is>
          <t>135792468201906191001</t>
        </is>
      </c>
      <c r="B3434" s="4108" t="inlineStr">
        <is>
          <t>191001</t>
        </is>
      </c>
      <c r="C3434" s="4108" t="inlineStr">
        <is>
          <t>135792468</t>
        </is>
      </c>
      <c r="D3434" s="4108" t="inlineStr">
        <is>
          <t>201906</t>
        </is>
      </c>
      <c r="E3434" s="4108" t="inlineStr">
        <is>
          <t>0,000000000000</t>
        </is>
      </c>
    </row>
    <row outlineLevel="0" r="3435">
      <c r="A3435" s="4108" t="inlineStr">
        <is>
          <t>135792468201906190501</t>
        </is>
      </c>
      <c r="B3435" s="4108" t="inlineStr">
        <is>
          <t>190501</t>
        </is>
      </c>
      <c r="C3435" s="4108" t="inlineStr">
        <is>
          <t>135792468</t>
        </is>
      </c>
      <c r="D3435" s="4108" t="inlineStr">
        <is>
          <t>201906</t>
        </is>
      </c>
      <c r="E3435" s="4108" t="inlineStr">
        <is>
          <t>0,000000000000</t>
        </is>
      </c>
    </row>
    <row outlineLevel="0" r="3436">
      <c r="A3436" s="4108" t="inlineStr">
        <is>
          <t>135792468201906190000</t>
        </is>
      </c>
      <c r="B3436" s="4108" t="inlineStr">
        <is>
          <t>190000</t>
        </is>
      </c>
      <c r="C3436" s="4108" t="inlineStr">
        <is>
          <t>135792468</t>
        </is>
      </c>
      <c r="D3436" s="4108" t="inlineStr">
        <is>
          <t>201906</t>
        </is>
      </c>
      <c r="E3436" s="4108" t="inlineStr">
        <is>
          <t>0,000000000000</t>
        </is>
      </c>
    </row>
    <row outlineLevel="0" r="3437">
      <c r="A3437" s="4108" t="inlineStr">
        <is>
          <t>135792468201906189701</t>
        </is>
      </c>
      <c r="B3437" s="4108" t="inlineStr">
        <is>
          <t>189701</t>
        </is>
      </c>
      <c r="C3437" s="4108" t="inlineStr">
        <is>
          <t>135792468</t>
        </is>
      </c>
      <c r="D3437" s="4108" t="inlineStr">
        <is>
          <t>201906</t>
        </is>
      </c>
      <c r="E3437" s="4108" t="inlineStr">
        <is>
          <t>0,000000000000</t>
        </is>
      </c>
    </row>
    <row outlineLevel="0" r="3438">
      <c r="A3438" s="4108" t="inlineStr">
        <is>
          <t>135792468201906189901</t>
        </is>
      </c>
      <c r="B3438" s="4108" t="inlineStr">
        <is>
          <t>189901</t>
        </is>
      </c>
      <c r="C3438" s="4108" t="inlineStr">
        <is>
          <t>135792468</t>
        </is>
      </c>
      <c r="D3438" s="4108" t="inlineStr">
        <is>
          <t>201906</t>
        </is>
      </c>
      <c r="E3438" s="4108" t="inlineStr">
        <is>
          <t>0,000000000000</t>
        </is>
      </c>
    </row>
    <row outlineLevel="0" r="3439">
      <c r="A3439" s="4108" t="inlineStr">
        <is>
          <t>135792468201906189520</t>
        </is>
      </c>
      <c r="B3439" s="4108" t="inlineStr">
        <is>
          <t>189520</t>
        </is>
      </c>
      <c r="C3439" s="4108" t="inlineStr">
        <is>
          <t>135792468</t>
        </is>
      </c>
      <c r="D3439" s="4108" t="inlineStr">
        <is>
          <t>201906</t>
        </is>
      </c>
      <c r="E3439" s="4108" t="inlineStr">
        <is>
          <t>0,000000000000</t>
        </is>
      </c>
    </row>
    <row outlineLevel="0" r="3440">
      <c r="A3440" s="4108" t="inlineStr">
        <is>
          <t>135792468201906189501</t>
        </is>
      </c>
      <c r="B3440" s="4108" t="inlineStr">
        <is>
          <t>189501</t>
        </is>
      </c>
      <c r="C3440" s="4108" t="inlineStr">
        <is>
          <t>135792468</t>
        </is>
      </c>
      <c r="D3440" s="4108" t="inlineStr">
        <is>
          <t>201906</t>
        </is>
      </c>
      <c r="E3440" s="4108" t="inlineStr">
        <is>
          <t>0,000000000000</t>
        </is>
      </c>
    </row>
    <row outlineLevel="0" r="3441">
      <c r="A3441" s="4108" t="inlineStr">
        <is>
          <t>135792468201906189500</t>
        </is>
      </c>
      <c r="B3441" s="4108" t="inlineStr">
        <is>
          <t>189500</t>
        </is>
      </c>
      <c r="C3441" s="4108" t="inlineStr">
        <is>
          <t>135792468</t>
        </is>
      </c>
      <c r="D3441" s="4108" t="inlineStr">
        <is>
          <t>201906</t>
        </is>
      </c>
      <c r="E3441" s="4108" t="inlineStr">
        <is>
          <t>0,000000000000</t>
        </is>
      </c>
    </row>
    <row outlineLevel="0" r="3442">
      <c r="A3442" s="4108" t="inlineStr">
        <is>
          <t>135792468201906181000</t>
        </is>
      </c>
      <c r="B3442" s="4108" t="inlineStr">
        <is>
          <t>181000</t>
        </is>
      </c>
      <c r="C3442" s="4108" t="inlineStr">
        <is>
          <t>135792468</t>
        </is>
      </c>
      <c r="D3442" s="4108" t="inlineStr">
        <is>
          <t>201906</t>
        </is>
      </c>
      <c r="E3442" s="4108" t="inlineStr">
        <is>
          <t>0,000000000000</t>
        </is>
      </c>
    </row>
    <row outlineLevel="0" r="3443">
      <c r="A3443" s="4108" t="inlineStr">
        <is>
          <t>135792468201906180501</t>
        </is>
      </c>
      <c r="B3443" s="4108" t="inlineStr">
        <is>
          <t>180501</t>
        </is>
      </c>
      <c r="C3443" s="4108" t="inlineStr">
        <is>
          <t>135792468</t>
        </is>
      </c>
      <c r="D3443" s="4108" t="inlineStr">
        <is>
          <t>201906</t>
        </is>
      </c>
      <c r="E3443" s="4108" t="inlineStr">
        <is>
          <t>2,000000000000</t>
        </is>
      </c>
    </row>
    <row outlineLevel="0" r="3444">
      <c r="A3444" s="4108" t="inlineStr">
        <is>
          <t>135792468201906180000</t>
        </is>
      </c>
      <c r="B3444" s="4108" t="inlineStr">
        <is>
          <t>180000</t>
        </is>
      </c>
      <c r="C3444" s="4108" t="inlineStr">
        <is>
          <t>135792468</t>
        </is>
      </c>
      <c r="D3444" s="4108" t="inlineStr">
        <is>
          <t>201906</t>
        </is>
      </c>
      <c r="E3444" s="4108" t="inlineStr">
        <is>
          <t>0,000000000000</t>
        </is>
      </c>
    </row>
    <row outlineLevel="0" r="3445">
      <c r="A3445" s="4108" t="inlineStr">
        <is>
          <t>135792468201906179701</t>
        </is>
      </c>
      <c r="B3445" s="4108" t="inlineStr">
        <is>
          <t>179701</t>
        </is>
      </c>
      <c r="C3445" s="4108" t="inlineStr">
        <is>
          <t>135792468</t>
        </is>
      </c>
      <c r="D3445" s="4108" t="inlineStr">
        <is>
          <t>201906</t>
        </is>
      </c>
      <c r="E3445" s="4108" t="inlineStr">
        <is>
          <t>0,000000000000</t>
        </is>
      </c>
    </row>
    <row outlineLevel="0" r="3446">
      <c r="A3446" s="4108" t="inlineStr">
        <is>
          <t>135792468201906179801</t>
        </is>
      </c>
      <c r="B3446" s="4108" t="inlineStr">
        <is>
          <t>179801</t>
        </is>
      </c>
      <c r="C3446" s="4108" t="inlineStr">
        <is>
          <t>135792468</t>
        </is>
      </c>
      <c r="D3446" s="4108" t="inlineStr">
        <is>
          <t>201906</t>
        </is>
      </c>
      <c r="E3446" s="4108" t="inlineStr">
        <is>
          <t>0,000000000000</t>
        </is>
      </c>
    </row>
    <row outlineLevel="0" r="3447">
      <c r="A3447" s="4108" t="inlineStr">
        <is>
          <t>135792468201906179700</t>
        </is>
      </c>
      <c r="B3447" s="4108" t="inlineStr">
        <is>
          <t>179700</t>
        </is>
      </c>
      <c r="C3447" s="4108" t="inlineStr">
        <is>
          <t>135792468</t>
        </is>
      </c>
      <c r="D3447" s="4108" t="inlineStr">
        <is>
          <t>201906</t>
        </is>
      </c>
      <c r="E3447" s="4108" t="inlineStr">
        <is>
          <t>0,000000000000</t>
        </is>
      </c>
    </row>
    <row outlineLevel="0" r="3448">
      <c r="A3448" s="4108" t="inlineStr">
        <is>
          <t>135792468201906179500</t>
        </is>
      </c>
      <c r="B3448" s="4108" t="inlineStr">
        <is>
          <t>179500</t>
        </is>
      </c>
      <c r="C3448" s="4108" t="inlineStr">
        <is>
          <t>135792468</t>
        </is>
      </c>
      <c r="D3448" s="4108" t="inlineStr">
        <is>
          <t>201906</t>
        </is>
      </c>
      <c r="E3448" s="4108" t="inlineStr">
        <is>
          <t>0,000000000000</t>
        </is>
      </c>
    </row>
    <row outlineLevel="0" r="3449">
      <c r="A3449" s="4108" t="inlineStr">
        <is>
          <t>135792468201906173001</t>
        </is>
      </c>
      <c r="B3449" s="4108" t="inlineStr">
        <is>
          <t>173001</t>
        </is>
      </c>
      <c r="C3449" s="4108" t="inlineStr">
        <is>
          <t>135792468</t>
        </is>
      </c>
      <c r="D3449" s="4108" t="inlineStr">
        <is>
          <t>201906</t>
        </is>
      </c>
      <c r="E3449" s="4108" t="inlineStr">
        <is>
          <t>0,000000000000</t>
        </is>
      </c>
    </row>
    <row outlineLevel="0" r="3450">
      <c r="A3450" s="4108" t="inlineStr">
        <is>
          <t>135792468201906173000</t>
        </is>
      </c>
      <c r="B3450" s="4108" t="inlineStr">
        <is>
          <t>173000</t>
        </is>
      </c>
      <c r="C3450" s="4108" t="inlineStr">
        <is>
          <t>135792468</t>
        </is>
      </c>
      <c r="D3450" s="4108" t="inlineStr">
        <is>
          <t>201906</t>
        </is>
      </c>
      <c r="E3450" s="4108" t="inlineStr">
        <is>
          <t>0,000000000000</t>
        </is>
      </c>
    </row>
    <row outlineLevel="0" r="3451">
      <c r="A3451" s="4108" t="inlineStr">
        <is>
          <t>135792468201906171000</t>
        </is>
      </c>
      <c r="B3451" s="4108" t="inlineStr">
        <is>
          <t>171000</t>
        </is>
      </c>
      <c r="C3451" s="4108" t="inlineStr">
        <is>
          <t>135792468</t>
        </is>
      </c>
      <c r="D3451" s="4108" t="inlineStr">
        <is>
          <t>201906</t>
        </is>
      </c>
      <c r="E3451" s="4108" t="inlineStr">
        <is>
          <t>0,000000000000</t>
        </is>
      </c>
    </row>
    <row outlineLevel="0" r="3452">
      <c r="A3452" s="4108" t="inlineStr">
        <is>
          <t>135792468201906170500</t>
        </is>
      </c>
      <c r="B3452" s="4108" t="inlineStr">
        <is>
          <t>170500</t>
        </is>
      </c>
      <c r="C3452" s="4108" t="inlineStr">
        <is>
          <t>135792468</t>
        </is>
      </c>
      <c r="D3452" s="4108" t="inlineStr">
        <is>
          <t>201906</t>
        </is>
      </c>
      <c r="E3452" s="4108" t="inlineStr">
        <is>
          <t>0,000000000000</t>
        </is>
      </c>
    </row>
    <row outlineLevel="0" r="3453">
      <c r="A3453" s="4108" t="inlineStr">
        <is>
          <t>135792468201906169899</t>
        </is>
      </c>
      <c r="B3453" s="4108" t="inlineStr">
        <is>
          <t>169899</t>
        </is>
      </c>
      <c r="C3453" s="4108" t="inlineStr">
        <is>
          <t>135792468</t>
        </is>
      </c>
      <c r="D3453" s="4108" t="inlineStr">
        <is>
          <t>201906</t>
        </is>
      </c>
      <c r="E3453" s="4108" t="inlineStr">
        <is>
          <t>0,000000000000</t>
        </is>
      </c>
    </row>
    <row outlineLevel="0" r="3454">
      <c r="A3454" s="4108" t="inlineStr">
        <is>
          <t>135792468201906169901</t>
        </is>
      </c>
      <c r="B3454" s="4108" t="inlineStr">
        <is>
          <t>169901</t>
        </is>
      </c>
      <c r="C3454" s="4108" t="inlineStr">
        <is>
          <t>135792468</t>
        </is>
      </c>
      <c r="D3454" s="4108" t="inlineStr">
        <is>
          <t>201906</t>
        </is>
      </c>
      <c r="E3454" s="4108" t="inlineStr">
        <is>
          <t>0,000000000000</t>
        </is>
      </c>
    </row>
    <row outlineLevel="0" r="3455">
      <c r="A3455" s="4108" t="inlineStr">
        <is>
          <t>135792468201906164001</t>
        </is>
      </c>
      <c r="B3455" s="4108" t="inlineStr">
        <is>
          <t>164001</t>
        </is>
      </c>
      <c r="C3455" s="4108" t="inlineStr">
        <is>
          <t>135792468</t>
        </is>
      </c>
      <c r="D3455" s="4108" t="inlineStr">
        <is>
          <t>201906</t>
        </is>
      </c>
      <c r="E3455" s="4108" t="inlineStr">
        <is>
          <t>0,000000000000</t>
        </is>
      </c>
    </row>
    <row outlineLevel="0" r="3456">
      <c r="A3456" s="4108" t="inlineStr">
        <is>
          <t>135792468201906163001</t>
        </is>
      </c>
      <c r="B3456" s="4108" t="inlineStr">
        <is>
          <t>163001</t>
        </is>
      </c>
      <c r="C3456" s="4108" t="inlineStr">
        <is>
          <t>135792468</t>
        </is>
      </c>
      <c r="D3456" s="4108" t="inlineStr">
        <is>
          <t>201906</t>
        </is>
      </c>
      <c r="E3456" s="4108" t="inlineStr">
        <is>
          <t>0,000000000000</t>
        </is>
      </c>
    </row>
    <row outlineLevel="0" r="3457">
      <c r="A3457" s="4108" t="inlineStr">
        <is>
          <t>135792468201906161001</t>
        </is>
      </c>
      <c r="B3457" s="4108" t="inlineStr">
        <is>
          <t>161001</t>
        </is>
      </c>
      <c r="C3457" s="4108" t="inlineStr">
        <is>
          <t>135792468</t>
        </is>
      </c>
      <c r="D3457" s="4108" t="inlineStr">
        <is>
          <t>201906</t>
        </is>
      </c>
      <c r="E3457" s="4108" t="inlineStr">
        <is>
          <t>0,000000000000</t>
        </is>
      </c>
    </row>
    <row outlineLevel="0" r="3458">
      <c r="A3458" s="4108" t="inlineStr">
        <is>
          <t>135792468201906160501</t>
        </is>
      </c>
      <c r="B3458" s="4108" t="inlineStr">
        <is>
          <t>160501</t>
        </is>
      </c>
      <c r="C3458" s="4108" t="inlineStr">
        <is>
          <t>135792468</t>
        </is>
      </c>
      <c r="D3458" s="4108" t="inlineStr">
        <is>
          <t>201906</t>
        </is>
      </c>
      <c r="E3458" s="4108" t="inlineStr">
        <is>
          <t>0,000000000000</t>
        </is>
      </c>
    </row>
    <row outlineLevel="0" r="3459">
      <c r="A3459" s="4108" t="inlineStr">
        <is>
          <t>135792468201906159901</t>
        </is>
      </c>
      <c r="B3459" s="4108" t="inlineStr">
        <is>
          <t>159901</t>
        </is>
      </c>
      <c r="C3459" s="4108" t="inlineStr">
        <is>
          <t>135792468</t>
        </is>
      </c>
      <c r="D3459" s="4108" t="inlineStr">
        <is>
          <t>201906</t>
        </is>
      </c>
      <c r="E3459" s="4108" t="inlineStr">
        <is>
          <t>0,000000000000</t>
        </is>
      </c>
    </row>
    <row outlineLevel="0" r="3460">
      <c r="A3460" s="4108" t="inlineStr">
        <is>
          <t>135792468201906159899</t>
        </is>
      </c>
      <c r="B3460" s="4108" t="inlineStr">
        <is>
          <t>159899</t>
        </is>
      </c>
      <c r="C3460" s="4108" t="inlineStr">
        <is>
          <t>135792468</t>
        </is>
      </c>
      <c r="D3460" s="4108" t="inlineStr">
        <is>
          <t>201906</t>
        </is>
      </c>
      <c r="E3460" s="4108" t="inlineStr">
        <is>
          <t>0,000000000000</t>
        </is>
      </c>
    </row>
    <row outlineLevel="0" r="3461">
      <c r="A3461" s="4108" t="inlineStr">
        <is>
          <t>135792468201906158801</t>
        </is>
      </c>
      <c r="B3461" s="4108" t="inlineStr">
        <is>
          <t>158801</t>
        </is>
      </c>
      <c r="C3461" s="4108" t="inlineStr">
        <is>
          <t>135792468</t>
        </is>
      </c>
      <c r="D3461" s="4108" t="inlineStr">
        <is>
          <t>201906</t>
        </is>
      </c>
      <c r="E3461" s="4108" t="inlineStr">
        <is>
          <t>0,000000000000</t>
        </is>
      </c>
    </row>
    <row outlineLevel="0" r="3462">
      <c r="A3462" s="4108" t="inlineStr">
        <is>
          <t>135792468201906159701</t>
        </is>
      </c>
      <c r="B3462" s="4108" t="inlineStr">
        <is>
          <t>159701</t>
        </is>
      </c>
      <c r="C3462" s="4108" t="inlineStr">
        <is>
          <t>135792468</t>
        </is>
      </c>
      <c r="D3462" s="4108" t="inlineStr">
        <is>
          <t>201906</t>
        </is>
      </c>
      <c r="E3462" s="4108" t="inlineStr">
        <is>
          <t>0,000000000000</t>
        </is>
      </c>
    </row>
    <row outlineLevel="0" r="3463">
      <c r="A3463" s="4108" t="inlineStr">
        <is>
          <t>135792468201906158401</t>
        </is>
      </c>
      <c r="B3463" s="4108" t="inlineStr">
        <is>
          <t>158401</t>
        </is>
      </c>
      <c r="C3463" s="4108" t="inlineStr">
        <is>
          <t>135792468</t>
        </is>
      </c>
      <c r="D3463" s="4108" t="inlineStr">
        <is>
          <t>201906</t>
        </is>
      </c>
      <c r="E3463" s="4108" t="inlineStr">
        <is>
          <t>0,000000000000</t>
        </is>
      </c>
    </row>
    <row outlineLevel="0" r="3464">
      <c r="A3464" s="4108" t="inlineStr">
        <is>
          <t>135792468201906157601</t>
        </is>
      </c>
      <c r="B3464" s="4108" t="inlineStr">
        <is>
          <t>157601</t>
        </is>
      </c>
      <c r="C3464" s="4108" t="inlineStr">
        <is>
          <t>135792468</t>
        </is>
      </c>
      <c r="D3464" s="4108" t="inlineStr">
        <is>
          <t>201906</t>
        </is>
      </c>
      <c r="E3464" s="4108" t="inlineStr">
        <is>
          <t>0,000000000000</t>
        </is>
      </c>
    </row>
    <row outlineLevel="0" r="3465">
      <c r="A3465" s="4108" t="inlineStr">
        <is>
          <t>135792468201906157201</t>
        </is>
      </c>
      <c r="B3465" s="4108" t="inlineStr">
        <is>
          <t>157201</t>
        </is>
      </c>
      <c r="C3465" s="4108" t="inlineStr">
        <is>
          <t>135792468</t>
        </is>
      </c>
      <c r="D3465" s="4108" t="inlineStr">
        <is>
          <t>201906</t>
        </is>
      </c>
      <c r="E3465" s="4108" t="inlineStr">
        <is>
          <t>0,000000000000</t>
        </is>
      </c>
    </row>
    <row outlineLevel="0" r="3466">
      <c r="A3466" s="4108" t="inlineStr">
        <is>
          <t>135792468201906156401</t>
        </is>
      </c>
      <c r="B3466" s="4108" t="inlineStr">
        <is>
          <t>156401</t>
        </is>
      </c>
      <c r="C3466" s="4108" t="inlineStr">
        <is>
          <t>135792468</t>
        </is>
      </c>
      <c r="D3466" s="4108" t="inlineStr">
        <is>
          <t>201906</t>
        </is>
      </c>
      <c r="E3466" s="4108" t="inlineStr">
        <is>
          <t>0,000000000000</t>
        </is>
      </c>
    </row>
    <row outlineLevel="0" r="3467">
      <c r="A3467" s="4108" t="inlineStr">
        <is>
          <t>135792468201906156001</t>
        </is>
      </c>
      <c r="B3467" s="4108" t="inlineStr">
        <is>
          <t>156001</t>
        </is>
      </c>
      <c r="C3467" s="4108" t="inlineStr">
        <is>
          <t>135792468</t>
        </is>
      </c>
      <c r="D3467" s="4108" t="inlineStr">
        <is>
          <t>201906</t>
        </is>
      </c>
      <c r="E3467" s="4108" t="inlineStr">
        <is>
          <t>0,000000000000</t>
        </is>
      </c>
    </row>
    <row outlineLevel="0" r="3468">
      <c r="A3468" s="4108" t="inlineStr">
        <is>
          <t>135792468201906155601</t>
        </is>
      </c>
      <c r="B3468" s="4108" t="inlineStr">
        <is>
          <t>155601</t>
        </is>
      </c>
      <c r="C3468" s="4108" t="inlineStr">
        <is>
          <t>135792468</t>
        </is>
      </c>
      <c r="D3468" s="4108" t="inlineStr">
        <is>
          <t>201906</t>
        </is>
      </c>
      <c r="E3468" s="4108" t="inlineStr">
        <is>
          <t>0,000000000000</t>
        </is>
      </c>
    </row>
    <row outlineLevel="0" r="3469">
      <c r="A3469" s="4108" t="inlineStr">
        <is>
          <t>135792468201906149910</t>
        </is>
      </c>
      <c r="B3469" s="4108" t="inlineStr">
        <is>
          <t>149910</t>
        </is>
      </c>
      <c r="C3469" s="4108" t="inlineStr">
        <is>
          <t>135792468</t>
        </is>
      </c>
      <c r="D3469" s="4108" t="inlineStr">
        <is>
          <t>201906</t>
        </is>
      </c>
      <c r="E3469" s="4108" t="inlineStr">
        <is>
          <t>0,000000000000</t>
        </is>
      </c>
    </row>
    <row outlineLevel="0" r="3470">
      <c r="A3470" s="4108" t="inlineStr">
        <is>
          <t>135792468201906151201</t>
        </is>
      </c>
      <c r="B3470" s="4108" t="inlineStr">
        <is>
          <t>151201</t>
        </is>
      </c>
      <c r="C3470" s="4108" t="inlineStr">
        <is>
          <t>135792468</t>
        </is>
      </c>
      <c r="D3470" s="4108" t="inlineStr">
        <is>
          <t>201906</t>
        </is>
      </c>
      <c r="E3470" s="4108" t="inlineStr">
        <is>
          <t>0,000000000000</t>
        </is>
      </c>
    </row>
    <row outlineLevel="0" r="3471">
      <c r="A3471" s="4108" t="inlineStr">
        <is>
          <t>135792468201906149902</t>
        </is>
      </c>
      <c r="B3471" s="4108" t="inlineStr">
        <is>
          <t>149902</t>
        </is>
      </c>
      <c r="C3471" s="4108" t="inlineStr">
        <is>
          <t>135792468</t>
        </is>
      </c>
      <c r="D3471" s="4108" t="inlineStr">
        <is>
          <t>201906</t>
        </is>
      </c>
      <c r="E3471" s="4108" t="inlineStr">
        <is>
          <t>0,000000000000</t>
        </is>
      </c>
    </row>
    <row outlineLevel="0" r="3472">
      <c r="A3472" s="4108" t="inlineStr">
        <is>
          <t>135792468201906149901</t>
        </is>
      </c>
      <c r="B3472" s="4108" t="inlineStr">
        <is>
          <t>149901</t>
        </is>
      </c>
      <c r="C3472" s="4108" t="inlineStr">
        <is>
          <t>135792468</t>
        </is>
      </c>
      <c r="D3472" s="4108" t="inlineStr">
        <is>
          <t>201906</t>
        </is>
      </c>
      <c r="E3472" s="4108" t="inlineStr">
        <is>
          <t>0,000000000000</t>
        </is>
      </c>
    </row>
    <row outlineLevel="0" r="3473">
      <c r="A3473" s="4108" t="inlineStr">
        <is>
          <t>135792468201906149900</t>
        </is>
      </c>
      <c r="B3473" s="4108" t="inlineStr">
        <is>
          <t>149900</t>
        </is>
      </c>
      <c r="C3473" s="4108" t="inlineStr">
        <is>
          <t>135792468</t>
        </is>
      </c>
      <c r="D3473" s="4108" t="inlineStr">
        <is>
          <t>201906</t>
        </is>
      </c>
      <c r="E3473" s="4108" t="inlineStr">
        <is>
          <t>0,000000000000</t>
        </is>
      </c>
    </row>
    <row outlineLevel="0" r="3474">
      <c r="A3474" s="4108" t="inlineStr">
        <is>
          <t>135792468201906149510</t>
        </is>
      </c>
      <c r="B3474" s="4108" t="inlineStr">
        <is>
          <t>149510</t>
        </is>
      </c>
      <c r="C3474" s="4108" t="inlineStr">
        <is>
          <t>135792468</t>
        </is>
      </c>
      <c r="D3474" s="4108" t="inlineStr">
        <is>
          <t>201906</t>
        </is>
      </c>
      <c r="E3474" s="4108" t="inlineStr">
        <is>
          <t>0,000000000000</t>
        </is>
      </c>
    </row>
    <row outlineLevel="0" r="3475">
      <c r="A3475" s="4108" t="inlineStr">
        <is>
          <t>135792468201906146000</t>
        </is>
      </c>
      <c r="B3475" s="4108" t="inlineStr">
        <is>
          <t>146000</t>
        </is>
      </c>
      <c r="C3475" s="4108" t="inlineStr">
        <is>
          <t>135792468</t>
        </is>
      </c>
      <c r="D3475" s="4108" t="inlineStr">
        <is>
          <t>201906</t>
        </is>
      </c>
      <c r="E3475" s="4108" t="inlineStr">
        <is>
          <t>0,000000000000</t>
        </is>
      </c>
    </row>
    <row outlineLevel="0" r="3476">
      <c r="A3476" s="4108" t="inlineStr">
        <is>
          <t>135792468201906145500</t>
        </is>
      </c>
      <c r="B3476" s="4108" t="inlineStr">
        <is>
          <t>145500</t>
        </is>
      </c>
      <c r="C3476" s="4108" t="inlineStr">
        <is>
          <t>135792468</t>
        </is>
      </c>
      <c r="D3476" s="4108" t="inlineStr">
        <is>
          <t>201906</t>
        </is>
      </c>
      <c r="E3476" s="4108" t="inlineStr">
        <is>
          <t>0,000000000000</t>
        </is>
      </c>
    </row>
    <row outlineLevel="0" r="3477">
      <c r="A3477" s="4108" t="inlineStr">
        <is>
          <t>135792468201906142500</t>
        </is>
      </c>
      <c r="B3477" s="4108" t="inlineStr">
        <is>
          <t>142500</t>
        </is>
      </c>
      <c r="C3477" s="4108" t="inlineStr">
        <is>
          <t>135792468</t>
        </is>
      </c>
      <c r="D3477" s="4108" t="inlineStr">
        <is>
          <t>201906</t>
        </is>
      </c>
      <c r="E3477" s="4108" t="inlineStr">
        <is>
          <t>0,000000000000</t>
        </is>
      </c>
    </row>
    <row outlineLevel="0" r="3478">
      <c r="A3478" s="4108" t="inlineStr">
        <is>
          <t>135792468201906143500</t>
        </is>
      </c>
      <c r="B3478" s="4108" t="inlineStr">
        <is>
          <t>143500</t>
        </is>
      </c>
      <c r="C3478" s="4108" t="inlineStr">
        <is>
          <t>135792468</t>
        </is>
      </c>
      <c r="D3478" s="4108" t="inlineStr">
        <is>
          <t>201906</t>
        </is>
      </c>
      <c r="E3478" s="4108" t="inlineStr">
        <is>
          <t>0,000000000000</t>
        </is>
      </c>
    </row>
    <row outlineLevel="0" r="3479">
      <c r="A3479" s="4108" t="inlineStr">
        <is>
          <t>135792468201906140010</t>
        </is>
      </c>
      <c r="B3479" s="4108" t="inlineStr">
        <is>
          <t>140010</t>
        </is>
      </c>
      <c r="C3479" s="4108" t="inlineStr">
        <is>
          <t>135792468</t>
        </is>
      </c>
      <c r="D3479" s="4108" t="inlineStr">
        <is>
          <t>201906</t>
        </is>
      </c>
      <c r="E3479" s="4108" t="inlineStr">
        <is>
          <t>0,000000000000</t>
        </is>
      </c>
    </row>
    <row outlineLevel="0" r="3480">
      <c r="A3480" s="4108" t="inlineStr">
        <is>
          <t>135792468201906140005</t>
        </is>
      </c>
      <c r="B3480" s="4108" t="inlineStr">
        <is>
          <t>140005</t>
        </is>
      </c>
      <c r="C3480" s="4108" t="inlineStr">
        <is>
          <t>135792468</t>
        </is>
      </c>
      <c r="D3480" s="4108" t="inlineStr">
        <is>
          <t>201906</t>
        </is>
      </c>
      <c r="E3480" s="4108" t="inlineStr">
        <is>
          <t>0,000000000000</t>
        </is>
      </c>
    </row>
    <row outlineLevel="0" r="3481">
      <c r="A3481" s="4108" t="inlineStr">
        <is>
          <t>135792468201906139905</t>
        </is>
      </c>
      <c r="B3481" s="4108" t="inlineStr">
        <is>
          <t>139905</t>
        </is>
      </c>
      <c r="C3481" s="4108" t="inlineStr">
        <is>
          <t>135792468</t>
        </is>
      </c>
      <c r="D3481" s="4108" t="inlineStr">
        <is>
          <t>201906</t>
        </is>
      </c>
      <c r="E3481" s="4108" t="inlineStr">
        <is>
          <t>0,000000000000</t>
        </is>
      </c>
    </row>
    <row outlineLevel="0" r="3482">
      <c r="A3482" s="4108" t="inlineStr">
        <is>
          <t>135792468201906139901</t>
        </is>
      </c>
      <c r="B3482" s="4108" t="inlineStr">
        <is>
          <t>139901</t>
        </is>
      </c>
      <c r="C3482" s="4108" t="inlineStr">
        <is>
          <t>135792468</t>
        </is>
      </c>
      <c r="D3482" s="4108" t="inlineStr">
        <is>
          <t>201906</t>
        </is>
      </c>
      <c r="E3482" s="4108" t="inlineStr">
        <is>
          <t>0,000000000000</t>
        </is>
      </c>
    </row>
    <row outlineLevel="0" r="3483">
      <c r="A3483" s="4108" t="inlineStr">
        <is>
          <t>135792468201906139500</t>
        </is>
      </c>
      <c r="B3483" s="4108" t="inlineStr">
        <is>
          <t>139500</t>
        </is>
      </c>
      <c r="C3483" s="4108" t="inlineStr">
        <is>
          <t>135792468</t>
        </is>
      </c>
      <c r="D3483" s="4108" t="inlineStr">
        <is>
          <t>201906</t>
        </is>
      </c>
      <c r="E3483" s="4108" t="inlineStr">
        <is>
          <t>0,000000000000</t>
        </is>
      </c>
    </row>
    <row outlineLevel="0" r="3484">
      <c r="A3484" s="4108" t="inlineStr">
        <is>
          <t>135792468201906139001</t>
        </is>
      </c>
      <c r="B3484" s="4108" t="inlineStr">
        <is>
          <t>139001</t>
        </is>
      </c>
      <c r="C3484" s="4108" t="inlineStr">
        <is>
          <t>135792468</t>
        </is>
      </c>
      <c r="D3484" s="4108" t="inlineStr">
        <is>
          <t>201906</t>
        </is>
      </c>
      <c r="E3484" s="4108" t="inlineStr">
        <is>
          <t>0,000000000000</t>
        </is>
      </c>
    </row>
    <row outlineLevel="0" r="3485">
      <c r="A3485" s="4108" t="inlineStr">
        <is>
          <t>135792468201906138501</t>
        </is>
      </c>
      <c r="B3485" s="4108" t="inlineStr">
        <is>
          <t>138501</t>
        </is>
      </c>
      <c r="C3485" s="4108" t="inlineStr">
        <is>
          <t>135792468</t>
        </is>
      </c>
      <c r="D3485" s="4108" t="inlineStr">
        <is>
          <t>201906</t>
        </is>
      </c>
      <c r="E3485" s="4108" t="inlineStr">
        <is>
          <t>0,000000000000</t>
        </is>
      </c>
    </row>
    <row outlineLevel="0" r="3486">
      <c r="A3486" s="4108" t="inlineStr">
        <is>
          <t>135792468201906139000</t>
        </is>
      </c>
      <c r="B3486" s="4108" t="inlineStr">
        <is>
          <t>139000</t>
        </is>
      </c>
      <c r="C3486" s="4108" t="inlineStr">
        <is>
          <t>135792468</t>
        </is>
      </c>
      <c r="D3486" s="4108" t="inlineStr">
        <is>
          <t>201906</t>
        </is>
      </c>
      <c r="E3486" s="4108" t="inlineStr">
        <is>
          <t>0,000000000000</t>
        </is>
      </c>
    </row>
    <row outlineLevel="0" r="3487">
      <c r="A3487" s="4108" t="inlineStr">
        <is>
          <t>135792468201906138001</t>
        </is>
      </c>
      <c r="B3487" s="4108" t="inlineStr">
        <is>
          <t>138001</t>
        </is>
      </c>
      <c r="C3487" s="4108" t="inlineStr">
        <is>
          <t>135792468</t>
        </is>
      </c>
      <c r="D3487" s="4108" t="inlineStr">
        <is>
          <t>201906</t>
        </is>
      </c>
      <c r="E3487" s="4108" t="inlineStr">
        <is>
          <t>0,000000000000</t>
        </is>
      </c>
    </row>
    <row outlineLevel="0" r="3488">
      <c r="A3488" s="4108" t="inlineStr">
        <is>
          <t>135792468201906137001</t>
        </is>
      </c>
      <c r="B3488" s="4108" t="inlineStr">
        <is>
          <t>137001</t>
        </is>
      </c>
      <c r="C3488" s="4108" t="inlineStr">
        <is>
          <t>135792468</t>
        </is>
      </c>
      <c r="D3488" s="4108" t="inlineStr">
        <is>
          <t>201906</t>
        </is>
      </c>
      <c r="E3488" s="4108" t="inlineStr">
        <is>
          <t>0,000000000000</t>
        </is>
      </c>
    </row>
    <row outlineLevel="0" r="3489">
      <c r="A3489" s="4108" t="inlineStr">
        <is>
          <t>135792468201906137000</t>
        </is>
      </c>
      <c r="B3489" s="4108" t="inlineStr">
        <is>
          <t>137000</t>
        </is>
      </c>
      <c r="C3489" s="4108" t="inlineStr">
        <is>
          <t>135792468</t>
        </is>
      </c>
      <c r="D3489" s="4108" t="inlineStr">
        <is>
          <t>201906</t>
        </is>
      </c>
      <c r="E3489" s="4108" t="inlineStr">
        <is>
          <t>0,000000000000</t>
        </is>
      </c>
    </row>
    <row outlineLevel="0" r="3490">
      <c r="A3490" s="4108" t="inlineStr">
        <is>
          <t>135792468201906136501</t>
        </is>
      </c>
      <c r="B3490" s="4108" t="inlineStr">
        <is>
          <t>136501</t>
        </is>
      </c>
      <c r="C3490" s="4108" t="inlineStr">
        <is>
          <t>135792468</t>
        </is>
      </c>
      <c r="D3490" s="4108" t="inlineStr">
        <is>
          <t>201906</t>
        </is>
      </c>
      <c r="E3490" s="4108" t="inlineStr">
        <is>
          <t>0,000000000000</t>
        </is>
      </c>
    </row>
    <row outlineLevel="0" r="3491">
      <c r="A3491" s="4108" t="inlineStr">
        <is>
          <t>135792468201906136500</t>
        </is>
      </c>
      <c r="B3491" s="4108" t="inlineStr">
        <is>
          <t>136500</t>
        </is>
      </c>
      <c r="C3491" s="4108" t="inlineStr">
        <is>
          <t>135792468</t>
        </is>
      </c>
      <c r="D3491" s="4108" t="inlineStr">
        <is>
          <t>201906</t>
        </is>
      </c>
      <c r="E3491" s="4108" t="inlineStr">
        <is>
          <t>0,000000000000</t>
        </is>
      </c>
    </row>
    <row outlineLevel="0" r="3492">
      <c r="A3492" s="4108" t="inlineStr">
        <is>
          <t>135792468201906136001</t>
        </is>
      </c>
      <c r="B3492" s="4108" t="inlineStr">
        <is>
          <t>136001</t>
        </is>
      </c>
      <c r="C3492" s="4108" t="inlineStr">
        <is>
          <t>135792468</t>
        </is>
      </c>
      <c r="D3492" s="4108" t="inlineStr">
        <is>
          <t>201906</t>
        </is>
      </c>
      <c r="E3492" s="4108" t="inlineStr">
        <is>
          <t>0,000000000000</t>
        </is>
      </c>
    </row>
    <row outlineLevel="0" r="3493">
      <c r="A3493" s="4108" t="inlineStr">
        <is>
          <t>135792468201906135501</t>
        </is>
      </c>
      <c r="B3493" s="4108" t="inlineStr">
        <is>
          <t>135501</t>
        </is>
      </c>
      <c r="C3493" s="4108" t="inlineStr">
        <is>
          <t>135792468</t>
        </is>
      </c>
      <c r="D3493" s="4108" t="inlineStr">
        <is>
          <t>201906</t>
        </is>
      </c>
      <c r="E3493" s="4108" t="inlineStr">
        <is>
          <t>0,000000000000</t>
        </is>
      </c>
    </row>
    <row outlineLevel="0" r="3494">
      <c r="A3494" s="4108" t="inlineStr">
        <is>
          <t>135792468201906136000</t>
        </is>
      </c>
      <c r="B3494" s="4108" t="inlineStr">
        <is>
          <t>136000</t>
        </is>
      </c>
      <c r="C3494" s="4108" t="inlineStr">
        <is>
          <t>135792468</t>
        </is>
      </c>
      <c r="D3494" s="4108" t="inlineStr">
        <is>
          <t>201906</t>
        </is>
      </c>
      <c r="E3494" s="4108" t="inlineStr">
        <is>
          <t>0,000000000000</t>
        </is>
      </c>
    </row>
    <row outlineLevel="0" r="3495">
      <c r="A3495" s="4108" t="inlineStr">
        <is>
          <t>135792468201906135500</t>
        </is>
      </c>
      <c r="B3495" s="4108" t="inlineStr">
        <is>
          <t>135500</t>
        </is>
      </c>
      <c r="C3495" s="4108" t="inlineStr">
        <is>
          <t>135792468</t>
        </is>
      </c>
      <c r="D3495" s="4108" t="inlineStr">
        <is>
          <t>201906</t>
        </is>
      </c>
      <c r="E3495" s="4108" t="inlineStr">
        <is>
          <t>0,000000000000</t>
        </is>
      </c>
    </row>
    <row outlineLevel="0" r="3496">
      <c r="A3496" s="4108" t="inlineStr">
        <is>
          <t>135792468201906135001</t>
        </is>
      </c>
      <c r="B3496" s="4108" t="inlineStr">
        <is>
          <t>135001</t>
        </is>
      </c>
      <c r="C3496" s="4108" t="inlineStr">
        <is>
          <t>135792468</t>
        </is>
      </c>
      <c r="D3496" s="4108" t="inlineStr">
        <is>
          <t>201906</t>
        </is>
      </c>
      <c r="E3496" s="4108" t="inlineStr">
        <is>
          <t>0,000000000000</t>
        </is>
      </c>
    </row>
    <row outlineLevel="0" r="3497">
      <c r="A3497" s="4108" t="inlineStr">
        <is>
          <t>135792468201906135000</t>
        </is>
      </c>
      <c r="B3497" s="4108" t="inlineStr">
        <is>
          <t>135000</t>
        </is>
      </c>
      <c r="C3497" s="4108" t="inlineStr">
        <is>
          <t>135792468</t>
        </is>
      </c>
      <c r="D3497" s="4108" t="inlineStr">
        <is>
          <t>201906</t>
        </is>
      </c>
      <c r="E3497" s="4108" t="inlineStr">
        <is>
          <t>0,000000000000</t>
        </is>
      </c>
    </row>
    <row outlineLevel="0" r="3498">
      <c r="A3498" s="4108" t="inlineStr">
        <is>
          <t>135792468201906134501</t>
        </is>
      </c>
      <c r="B3498" s="4108" t="inlineStr">
        <is>
          <t>134501</t>
        </is>
      </c>
      <c r="C3498" s="4108" t="inlineStr">
        <is>
          <t>135792468</t>
        </is>
      </c>
      <c r="D3498" s="4108" t="inlineStr">
        <is>
          <t>201906</t>
        </is>
      </c>
      <c r="E3498" s="4108" t="inlineStr">
        <is>
          <t>0,000000000000</t>
        </is>
      </c>
    </row>
    <row outlineLevel="0" r="3499">
      <c r="A3499" s="4108" t="inlineStr">
        <is>
          <t>135792468201906134500</t>
        </is>
      </c>
      <c r="B3499" s="4108" t="inlineStr">
        <is>
          <t>134500</t>
        </is>
      </c>
      <c r="C3499" s="4108" t="inlineStr">
        <is>
          <t>135792468</t>
        </is>
      </c>
      <c r="D3499" s="4108" t="inlineStr">
        <is>
          <t>201906</t>
        </is>
      </c>
      <c r="E3499" s="4108" t="inlineStr">
        <is>
          <t>0,000000000000</t>
        </is>
      </c>
    </row>
    <row outlineLevel="0" r="3500">
      <c r="A3500" s="4108" t="inlineStr">
        <is>
          <t>135792468201906134001</t>
        </is>
      </c>
      <c r="B3500" s="4108" t="inlineStr">
        <is>
          <t>134001</t>
        </is>
      </c>
      <c r="C3500" s="4108" t="inlineStr">
        <is>
          <t>135792468</t>
        </is>
      </c>
      <c r="D3500" s="4108" t="inlineStr">
        <is>
          <t>201906</t>
        </is>
      </c>
      <c r="E3500" s="4108" t="inlineStr">
        <is>
          <t>0,000000000000</t>
        </is>
      </c>
    </row>
    <row outlineLevel="0" r="3501">
      <c r="A3501" s="4108" t="inlineStr">
        <is>
          <t>135792468201906133501</t>
        </is>
      </c>
      <c r="B3501" s="4108" t="inlineStr">
        <is>
          <t>133501</t>
        </is>
      </c>
      <c r="C3501" s="4108" t="inlineStr">
        <is>
          <t>135792468</t>
        </is>
      </c>
      <c r="D3501" s="4108" t="inlineStr">
        <is>
          <t>201906</t>
        </is>
      </c>
      <c r="E3501" s="4108" t="inlineStr">
        <is>
          <t>0,000000000000</t>
        </is>
      </c>
    </row>
    <row outlineLevel="0" r="3502">
      <c r="A3502" s="4108" t="inlineStr">
        <is>
          <t>135792468201906134000</t>
        </is>
      </c>
      <c r="B3502" s="4108" t="inlineStr">
        <is>
          <t>134000</t>
        </is>
      </c>
      <c r="C3502" s="4108" t="inlineStr">
        <is>
          <t>135792468</t>
        </is>
      </c>
      <c r="D3502" s="4108" t="inlineStr">
        <is>
          <t>201906</t>
        </is>
      </c>
      <c r="E3502" s="4108" t="inlineStr">
        <is>
          <t>6,000000000000</t>
        </is>
      </c>
    </row>
    <row outlineLevel="0" r="3503">
      <c r="A3503" s="4108" t="inlineStr">
        <is>
          <t>135792468201906133500</t>
        </is>
      </c>
      <c r="B3503" s="4108" t="inlineStr">
        <is>
          <t>133500</t>
        </is>
      </c>
      <c r="C3503" s="4108" t="inlineStr">
        <is>
          <t>135792468</t>
        </is>
      </c>
      <c r="D3503" s="4108" t="inlineStr">
        <is>
          <t>201906</t>
        </is>
      </c>
      <c r="E3503" s="4108" t="inlineStr">
        <is>
          <t>0,000000000000</t>
        </is>
      </c>
    </row>
    <row outlineLevel="0" r="3504">
      <c r="A3504" s="4108" t="inlineStr">
        <is>
          <t>135792468201906133001</t>
        </is>
      </c>
      <c r="B3504" s="4108" t="inlineStr">
        <is>
          <t>133001</t>
        </is>
      </c>
      <c r="C3504" s="4108" t="inlineStr">
        <is>
          <t>135792468</t>
        </is>
      </c>
      <c r="D3504" s="4108" t="inlineStr">
        <is>
          <t>201906</t>
        </is>
      </c>
      <c r="E3504" s="4108" t="inlineStr">
        <is>
          <t>0,000000000000</t>
        </is>
      </c>
    </row>
    <row outlineLevel="0" r="3505">
      <c r="A3505" s="4108" t="inlineStr">
        <is>
          <t>135792468201906133000</t>
        </is>
      </c>
      <c r="B3505" s="4108" t="inlineStr">
        <is>
          <t>133000</t>
        </is>
      </c>
      <c r="C3505" s="4108" t="inlineStr">
        <is>
          <t>135792468</t>
        </is>
      </c>
      <c r="D3505" s="4108" t="inlineStr">
        <is>
          <t>201906</t>
        </is>
      </c>
      <c r="E3505" s="4108" t="inlineStr">
        <is>
          <t>0,000000000000</t>
        </is>
      </c>
    </row>
    <row outlineLevel="0" r="3506">
      <c r="A3506" s="4108" t="inlineStr">
        <is>
          <t>135792468201906132501</t>
        </is>
      </c>
      <c r="B3506" s="4108" t="inlineStr">
        <is>
          <t>132501</t>
        </is>
      </c>
      <c r="C3506" s="4108" t="inlineStr">
        <is>
          <t>135792468</t>
        </is>
      </c>
      <c r="D3506" s="4108" t="inlineStr">
        <is>
          <t>201906</t>
        </is>
      </c>
      <c r="E3506" s="4108" t="inlineStr">
        <is>
          <t>0,000000000000</t>
        </is>
      </c>
    </row>
    <row outlineLevel="0" r="3507">
      <c r="A3507" s="4108" t="inlineStr">
        <is>
          <t>135792468201906132500</t>
        </is>
      </c>
      <c r="B3507" s="4108" t="inlineStr">
        <is>
          <t>132500</t>
        </is>
      </c>
      <c r="C3507" s="4108" t="inlineStr">
        <is>
          <t>135792468</t>
        </is>
      </c>
      <c r="D3507" s="4108" t="inlineStr">
        <is>
          <t>201906</t>
        </is>
      </c>
      <c r="E3507" s="4108" t="inlineStr">
        <is>
          <t>0,000000000000</t>
        </is>
      </c>
    </row>
    <row outlineLevel="0" r="3508">
      <c r="A3508" s="4108" t="inlineStr">
        <is>
          <t>135792468201906132001</t>
        </is>
      </c>
      <c r="B3508" s="4108" t="inlineStr">
        <is>
          <t>132001</t>
        </is>
      </c>
      <c r="C3508" s="4108" t="inlineStr">
        <is>
          <t>135792468</t>
        </is>
      </c>
      <c r="D3508" s="4108" t="inlineStr">
        <is>
          <t>201906</t>
        </is>
      </c>
      <c r="E3508" s="4108" t="inlineStr">
        <is>
          <t>0,000000000000</t>
        </is>
      </c>
    </row>
    <row outlineLevel="0" r="3509">
      <c r="A3509" s="4108" t="inlineStr">
        <is>
          <t>135792468201906131501</t>
        </is>
      </c>
      <c r="B3509" s="4108" t="inlineStr">
        <is>
          <t>131501</t>
        </is>
      </c>
      <c r="C3509" s="4108" t="inlineStr">
        <is>
          <t>135792468</t>
        </is>
      </c>
      <c r="D3509" s="4108" t="inlineStr">
        <is>
          <t>201906</t>
        </is>
      </c>
      <c r="E3509" s="4108" t="inlineStr">
        <is>
          <t>0,000000000000</t>
        </is>
      </c>
    </row>
    <row outlineLevel="0" r="3510">
      <c r="A3510" s="4108" t="inlineStr">
        <is>
          <t>135792468201906132000</t>
        </is>
      </c>
      <c r="B3510" s="4108" t="inlineStr">
        <is>
          <t>132000</t>
        </is>
      </c>
      <c r="C3510" s="4108" t="inlineStr">
        <is>
          <t>135792468</t>
        </is>
      </c>
      <c r="D3510" s="4108" t="inlineStr">
        <is>
          <t>201906</t>
        </is>
      </c>
      <c r="E3510" s="4108" t="inlineStr">
        <is>
          <t>0,000000000000</t>
        </is>
      </c>
    </row>
    <row outlineLevel="0" r="3511">
      <c r="A3511" s="4108" t="inlineStr">
        <is>
          <t>135792468201906131001</t>
        </is>
      </c>
      <c r="B3511" s="4108" t="inlineStr">
        <is>
          <t>131001</t>
        </is>
      </c>
      <c r="C3511" s="4108" t="inlineStr">
        <is>
          <t>135792468</t>
        </is>
      </c>
      <c r="D3511" s="4108" t="inlineStr">
        <is>
          <t>201906</t>
        </is>
      </c>
      <c r="E3511" s="4108" t="inlineStr">
        <is>
          <t>0,000000000000</t>
        </is>
      </c>
    </row>
    <row outlineLevel="0" r="3512">
      <c r="A3512" s="4108" t="inlineStr">
        <is>
          <t>135792468201906131000</t>
        </is>
      </c>
      <c r="B3512" s="4108" t="inlineStr">
        <is>
          <t>131000</t>
        </is>
      </c>
      <c r="C3512" s="4108" t="inlineStr">
        <is>
          <t>135792468</t>
        </is>
      </c>
      <c r="D3512" s="4108" t="inlineStr">
        <is>
          <t>201906</t>
        </is>
      </c>
      <c r="E3512" s="4108" t="inlineStr">
        <is>
          <t>0,000000000000</t>
        </is>
      </c>
    </row>
    <row outlineLevel="0" r="3513">
      <c r="A3513" s="4108" t="inlineStr">
        <is>
          <t>135792468201906130511</t>
        </is>
      </c>
      <c r="B3513" s="4108" t="inlineStr">
        <is>
          <t>130511</t>
        </is>
      </c>
      <c r="C3513" s="4108" t="inlineStr">
        <is>
          <t>135792468</t>
        </is>
      </c>
      <c r="D3513" s="4108" t="inlineStr">
        <is>
          <t>201906</t>
        </is>
      </c>
      <c r="E3513" s="4108" t="inlineStr">
        <is>
          <t>0,000000000000</t>
        </is>
      </c>
    </row>
    <row outlineLevel="0" r="3514">
      <c r="A3514" s="4108" t="inlineStr">
        <is>
          <t>135792468201906130510</t>
        </is>
      </c>
      <c r="B3514" s="4108" t="inlineStr">
        <is>
          <t>130510</t>
        </is>
      </c>
      <c r="C3514" s="4108" t="inlineStr">
        <is>
          <t>135792468</t>
        </is>
      </c>
      <c r="D3514" s="4108" t="inlineStr">
        <is>
          <t>201906</t>
        </is>
      </c>
      <c r="E3514" s="4108" t="inlineStr">
        <is>
          <t>0,000000000000</t>
        </is>
      </c>
    </row>
    <row outlineLevel="0" r="3515">
      <c r="A3515" s="4108" t="inlineStr">
        <is>
          <t>135792468201906130506</t>
        </is>
      </c>
      <c r="B3515" s="4108" t="inlineStr">
        <is>
          <t>130506</t>
        </is>
      </c>
      <c r="C3515" s="4108" t="inlineStr">
        <is>
          <t>135792468</t>
        </is>
      </c>
      <c r="D3515" s="4108" t="inlineStr">
        <is>
          <t>201906</t>
        </is>
      </c>
      <c r="E3515" s="4108" t="inlineStr">
        <is>
          <t>0,000000000000</t>
        </is>
      </c>
    </row>
    <row outlineLevel="0" r="3516">
      <c r="A3516" s="4108" t="inlineStr">
        <is>
          <t>135792468201906129901</t>
        </is>
      </c>
      <c r="B3516" s="4108" t="inlineStr">
        <is>
          <t>129901</t>
        </is>
      </c>
      <c r="C3516" s="4108" t="inlineStr">
        <is>
          <t>135792468</t>
        </is>
      </c>
      <c r="D3516" s="4108" t="inlineStr">
        <is>
          <t>201906</t>
        </is>
      </c>
      <c r="E3516" s="4108" t="inlineStr">
        <is>
          <t>0,000000000000</t>
        </is>
      </c>
    </row>
    <row outlineLevel="0" r="3517">
      <c r="A3517" s="4108" t="inlineStr">
        <is>
          <t>135792468201906129700</t>
        </is>
      </c>
      <c r="B3517" s="4108" t="inlineStr">
        <is>
          <t>129700</t>
        </is>
      </c>
      <c r="C3517" s="4108" t="inlineStr">
        <is>
          <t>135792468</t>
        </is>
      </c>
      <c r="D3517" s="4108" t="inlineStr">
        <is>
          <t>201906</t>
        </is>
      </c>
      <c r="E3517" s="4108" t="inlineStr">
        <is>
          <t>0,000000000000</t>
        </is>
      </c>
    </row>
    <row outlineLevel="0" r="3518">
      <c r="A3518" s="4108" t="inlineStr">
        <is>
          <t>135792468201906129701</t>
        </is>
      </c>
      <c r="B3518" s="4108" t="inlineStr">
        <is>
          <t>129701</t>
        </is>
      </c>
      <c r="C3518" s="4108" t="inlineStr">
        <is>
          <t>135792468</t>
        </is>
      </c>
      <c r="D3518" s="4108" t="inlineStr">
        <is>
          <t>201906</t>
        </is>
      </c>
      <c r="E3518" s="4108" t="inlineStr">
        <is>
          <t>0,000000000000</t>
        </is>
      </c>
    </row>
    <row outlineLevel="0" r="3519">
      <c r="A3519" s="4108" t="inlineStr">
        <is>
          <t>135792468201906129501</t>
        </is>
      </c>
      <c r="B3519" s="4108" t="inlineStr">
        <is>
          <t>129501</t>
        </is>
      </c>
      <c r="C3519" s="4108" t="inlineStr">
        <is>
          <t>135792468</t>
        </is>
      </c>
      <c r="D3519" s="4108" t="inlineStr">
        <is>
          <t>201906</t>
        </is>
      </c>
      <c r="E3519" s="4108" t="inlineStr">
        <is>
          <t>0,000000000000</t>
        </is>
      </c>
    </row>
    <row outlineLevel="0" r="3520">
      <c r="A3520" s="4108" t="inlineStr">
        <is>
          <t>135792468201906126001</t>
        </is>
      </c>
      <c r="B3520" s="4108" t="inlineStr">
        <is>
          <t>126001</t>
        </is>
      </c>
      <c r="C3520" s="4108" t="inlineStr">
        <is>
          <t>135792468</t>
        </is>
      </c>
      <c r="D3520" s="4108" t="inlineStr">
        <is>
          <t>201906</t>
        </is>
      </c>
      <c r="E3520" s="4108" t="inlineStr">
        <is>
          <t>0,000000000000</t>
        </is>
      </c>
    </row>
    <row outlineLevel="0" r="3521">
      <c r="A3521" s="4108" t="inlineStr">
        <is>
          <t>135792468201906125501</t>
        </is>
      </c>
      <c r="B3521" s="4108" t="inlineStr">
        <is>
          <t>125501</t>
        </is>
      </c>
      <c r="C3521" s="4108" t="inlineStr">
        <is>
          <t>135792468</t>
        </is>
      </c>
      <c r="D3521" s="4108" t="inlineStr">
        <is>
          <t>201906</t>
        </is>
      </c>
      <c r="E3521" s="4108" t="inlineStr">
        <is>
          <t>0,000000000000</t>
        </is>
      </c>
    </row>
    <row outlineLevel="0" r="3522">
      <c r="A3522" s="4108" t="inlineStr">
        <is>
          <t>135792468201906123501</t>
        </is>
      </c>
      <c r="B3522" s="4108" t="inlineStr">
        <is>
          <t>123501</t>
        </is>
      </c>
      <c r="C3522" s="4108" t="inlineStr">
        <is>
          <t>135792468</t>
        </is>
      </c>
      <c r="D3522" s="4108" t="inlineStr">
        <is>
          <t>201906</t>
        </is>
      </c>
      <c r="E3522" s="4108" t="inlineStr">
        <is>
          <t>0,000000000000</t>
        </is>
      </c>
    </row>
    <row outlineLevel="0" r="3523">
      <c r="A3523" s="4108" t="inlineStr">
        <is>
          <t>135792468201906121501</t>
        </is>
      </c>
      <c r="B3523" s="4108" t="inlineStr">
        <is>
          <t>121501</t>
        </is>
      </c>
      <c r="C3523" s="4108" t="inlineStr">
        <is>
          <t>135792468</t>
        </is>
      </c>
      <c r="D3523" s="4108" t="inlineStr">
        <is>
          <t>201906</t>
        </is>
      </c>
      <c r="E3523" s="4108" t="inlineStr">
        <is>
          <t>0,000000000000</t>
        </is>
      </c>
    </row>
    <row outlineLevel="0" r="3524">
      <c r="A3524" s="4108" t="inlineStr">
        <is>
          <t>135792468201906121001</t>
        </is>
      </c>
      <c r="B3524" s="4108" t="inlineStr">
        <is>
          <t>121001</t>
        </is>
      </c>
      <c r="C3524" s="4108" t="inlineStr">
        <is>
          <t>135792468</t>
        </is>
      </c>
      <c r="D3524" s="4108" t="inlineStr">
        <is>
          <t>201906</t>
        </is>
      </c>
      <c r="E3524" s="4108" t="inlineStr">
        <is>
          <t>0,000000000000</t>
        </is>
      </c>
    </row>
    <row outlineLevel="0" r="3525">
      <c r="A3525" s="4108" t="inlineStr">
        <is>
          <t>135792468201906120615</t>
        </is>
      </c>
      <c r="B3525" s="4108" t="inlineStr">
        <is>
          <t>120615</t>
        </is>
      </c>
      <c r="C3525" s="4108" t="inlineStr">
        <is>
          <t>135792468</t>
        </is>
      </c>
      <c r="D3525" s="4108" t="inlineStr">
        <is>
          <t>201906</t>
        </is>
      </c>
      <c r="E3525" s="4108" t="inlineStr">
        <is>
          <t>0,000000000000</t>
        </is>
      </c>
    </row>
    <row outlineLevel="0" r="3526">
      <c r="A3526" s="4108" t="inlineStr">
        <is>
          <t>135792468201906120620</t>
        </is>
      </c>
      <c r="B3526" s="4108" t="inlineStr">
        <is>
          <t>120620</t>
        </is>
      </c>
      <c r="C3526" s="4108" t="inlineStr">
        <is>
          <t>135792468</t>
        </is>
      </c>
      <c r="D3526" s="4108" t="inlineStr">
        <is>
          <t>201906</t>
        </is>
      </c>
      <c r="E3526" s="4108" t="inlineStr">
        <is>
          <t>0,000000000000</t>
        </is>
      </c>
    </row>
    <row outlineLevel="0" r="3527">
      <c r="A3527" s="4108" t="inlineStr">
        <is>
          <t>135792468201906120610</t>
        </is>
      </c>
      <c r="B3527" s="4108" t="inlineStr">
        <is>
          <t>120610</t>
        </is>
      </c>
      <c r="C3527" s="4108" t="inlineStr">
        <is>
          <t>135792468</t>
        </is>
      </c>
      <c r="D3527" s="4108" t="inlineStr">
        <is>
          <t>201906</t>
        </is>
      </c>
      <c r="E3527" s="4108" t="inlineStr">
        <is>
          <t>0,000000000000</t>
        </is>
      </c>
    </row>
    <row outlineLevel="0" r="3528">
      <c r="A3528" s="4108" t="inlineStr">
        <is>
          <t>135792468201906120501</t>
        </is>
      </c>
      <c r="B3528" s="4108" t="inlineStr">
        <is>
          <t>120501</t>
        </is>
      </c>
      <c r="C3528" s="4108" t="inlineStr">
        <is>
          <t>135792468</t>
        </is>
      </c>
      <c r="D3528" s="4108" t="inlineStr">
        <is>
          <t>201906</t>
        </is>
      </c>
      <c r="E3528" s="4108" t="inlineStr">
        <is>
          <t>0,000000000000</t>
        </is>
      </c>
    </row>
    <row outlineLevel="0" r="3529">
      <c r="A3529" s="4108" t="inlineStr">
        <is>
          <t>135792468201906120195</t>
        </is>
      </c>
      <c r="B3529" s="4108" t="inlineStr">
        <is>
          <t>120195</t>
        </is>
      </c>
      <c r="C3529" s="4108" t="inlineStr">
        <is>
          <t>135792468</t>
        </is>
      </c>
      <c r="D3529" s="4108" t="inlineStr">
        <is>
          <t>201906</t>
        </is>
      </c>
      <c r="E3529" s="4108" t="inlineStr">
        <is>
          <t>0,000000000000</t>
        </is>
      </c>
    </row>
    <row outlineLevel="0" r="3530">
      <c r="A3530" s="4108" t="inlineStr">
        <is>
          <t>135792468201906120145</t>
        </is>
      </c>
      <c r="B3530" s="4108" t="inlineStr">
        <is>
          <t>120145</t>
        </is>
      </c>
      <c r="C3530" s="4108" t="inlineStr">
        <is>
          <t>135792468</t>
        </is>
      </c>
      <c r="D3530" s="4108" t="inlineStr">
        <is>
          <t>201906</t>
        </is>
      </c>
      <c r="E3530" s="4108" t="inlineStr">
        <is>
          <t>0,000000000000</t>
        </is>
      </c>
    </row>
    <row outlineLevel="0" r="3531">
      <c r="A3531" s="4108" t="inlineStr">
        <is>
          <t>135792468201906120140</t>
        </is>
      </c>
      <c r="B3531" s="4108" t="inlineStr">
        <is>
          <t>120140</t>
        </is>
      </c>
      <c r="C3531" s="4108" t="inlineStr">
        <is>
          <t>135792468</t>
        </is>
      </c>
      <c r="D3531" s="4108" t="inlineStr">
        <is>
          <t>201906</t>
        </is>
      </c>
      <c r="E3531" s="4108" t="inlineStr">
        <is>
          <t>0,000000000000</t>
        </is>
      </c>
    </row>
    <row outlineLevel="0" r="3532">
      <c r="A3532" s="4108" t="inlineStr">
        <is>
          <t>135792468201906120128</t>
        </is>
      </c>
      <c r="B3532" s="4108" t="inlineStr">
        <is>
          <t>120128</t>
        </is>
      </c>
      <c r="C3532" s="4108" t="inlineStr">
        <is>
          <t>135792468</t>
        </is>
      </c>
      <c r="D3532" s="4108" t="inlineStr">
        <is>
          <t>201906</t>
        </is>
      </c>
      <c r="E3532" s="4108" t="inlineStr">
        <is>
          <t>0,000000000000</t>
        </is>
      </c>
    </row>
    <row outlineLevel="0" r="3533">
      <c r="A3533" s="4108" t="inlineStr">
        <is>
          <t>135792468201906120120</t>
        </is>
      </c>
      <c r="B3533" s="4108" t="inlineStr">
        <is>
          <t>120120</t>
        </is>
      </c>
      <c r="C3533" s="4108" t="inlineStr">
        <is>
          <t>135792468</t>
        </is>
      </c>
      <c r="D3533" s="4108" t="inlineStr">
        <is>
          <t>201906</t>
        </is>
      </c>
      <c r="E3533" s="4108" t="inlineStr">
        <is>
          <t>0,000000000000</t>
        </is>
      </c>
    </row>
    <row outlineLevel="0" r="3534">
      <c r="A3534" s="4108" t="inlineStr">
        <is>
          <t>135792468201906120124</t>
        </is>
      </c>
      <c r="B3534" s="4108" t="inlineStr">
        <is>
          <t>120124</t>
        </is>
      </c>
      <c r="C3534" s="4108" t="inlineStr">
        <is>
          <t>135792468</t>
        </is>
      </c>
      <c r="D3534" s="4108" t="inlineStr">
        <is>
          <t>201906</t>
        </is>
      </c>
      <c r="E3534" s="4108" t="inlineStr">
        <is>
          <t>0,000000000000</t>
        </is>
      </c>
    </row>
    <row outlineLevel="0" r="3535">
      <c r="A3535" s="4108" t="inlineStr">
        <is>
          <t>135792468201906120116</t>
        </is>
      </c>
      <c r="B3535" s="4108" t="inlineStr">
        <is>
          <t>120116</t>
        </is>
      </c>
      <c r="C3535" s="4108" t="inlineStr">
        <is>
          <t>135792468</t>
        </is>
      </c>
      <c r="D3535" s="4108" t="inlineStr">
        <is>
          <t>201906</t>
        </is>
      </c>
      <c r="E3535" s="4108" t="inlineStr">
        <is>
          <t>0,000000000000</t>
        </is>
      </c>
    </row>
    <row outlineLevel="0" r="3536">
      <c r="A3536" s="4108" t="inlineStr">
        <is>
          <t>135792468201906120108</t>
        </is>
      </c>
      <c r="B3536" s="4108" t="inlineStr">
        <is>
          <t>120108</t>
        </is>
      </c>
      <c r="C3536" s="4108" t="inlineStr">
        <is>
          <t>135792468</t>
        </is>
      </c>
      <c r="D3536" s="4108" t="inlineStr">
        <is>
          <t>201906</t>
        </is>
      </c>
      <c r="E3536" s="4108" t="inlineStr">
        <is>
          <t>0,000000000000</t>
        </is>
      </c>
    </row>
    <row outlineLevel="0" r="3537">
      <c r="A3537" s="4108" t="inlineStr">
        <is>
          <t>135792468201906120104</t>
        </is>
      </c>
      <c r="B3537" s="4108" t="inlineStr">
        <is>
          <t>120104</t>
        </is>
      </c>
      <c r="C3537" s="4108" t="inlineStr">
        <is>
          <t>135792468</t>
        </is>
      </c>
      <c r="D3537" s="4108" t="inlineStr">
        <is>
          <t>201906</t>
        </is>
      </c>
      <c r="E3537" s="4108" t="inlineStr">
        <is>
          <t>0,000000000000</t>
        </is>
      </c>
    </row>
    <row outlineLevel="0" r="3538">
      <c r="A3538" s="4108" t="inlineStr">
        <is>
          <t>135792468201906111010</t>
        </is>
      </c>
      <c r="B3538" s="4108" t="inlineStr">
        <is>
          <t>111010</t>
        </is>
      </c>
      <c r="C3538" s="4108" t="inlineStr">
        <is>
          <t>135792468</t>
        </is>
      </c>
      <c r="D3538" s="4108" t="inlineStr">
        <is>
          <t>201906</t>
        </is>
      </c>
      <c r="E3538" s="4108" t="inlineStr">
        <is>
          <t>0,000000000000</t>
        </is>
      </c>
    </row>
    <row outlineLevel="0" r="3539">
      <c r="A3539" s="4108" t="inlineStr">
        <is>
          <t>135792468201906110495</t>
        </is>
      </c>
      <c r="B3539" s="4108" t="inlineStr">
        <is>
          <t>110495</t>
        </is>
      </c>
      <c r="C3539" s="4108" t="inlineStr">
        <is>
          <t>135792468</t>
        </is>
      </c>
      <c r="D3539" s="4108" t="inlineStr">
        <is>
          <t>201906</t>
        </is>
      </c>
      <c r="E3539" s="4108" t="inlineStr">
        <is>
          <t>0,000000000000</t>
        </is>
      </c>
    </row>
    <row outlineLevel="0" r="3540">
      <c r="A3540" s="4108" t="inlineStr">
        <is>
          <t>135792468201906110491</t>
        </is>
      </c>
      <c r="B3540" s="4108" t="inlineStr">
        <is>
          <t>110491</t>
        </is>
      </c>
      <c r="C3540" s="4108" t="inlineStr">
        <is>
          <t>135792468</t>
        </is>
      </c>
      <c r="D3540" s="4108" t="inlineStr">
        <is>
          <t>201906</t>
        </is>
      </c>
      <c r="E3540" s="4108" t="inlineStr">
        <is>
          <t>0,000000000000</t>
        </is>
      </c>
    </row>
    <row outlineLevel="0" r="3541">
      <c r="A3541" s="4108" t="inlineStr">
        <is>
          <t>135792468201906110420</t>
        </is>
      </c>
      <c r="B3541" s="4108" t="inlineStr">
        <is>
          <t>110420</t>
        </is>
      </c>
      <c r="C3541" s="4108" t="inlineStr">
        <is>
          <t>135792468</t>
        </is>
      </c>
      <c r="D3541" s="4108" t="inlineStr">
        <is>
          <t>201906</t>
        </is>
      </c>
      <c r="E3541" s="4108" t="inlineStr">
        <is>
          <t>0,000000000000</t>
        </is>
      </c>
    </row>
    <row outlineLevel="0" r="3542">
      <c r="A3542" s="4108" t="inlineStr">
        <is>
          <t>135792468201906110490</t>
        </is>
      </c>
      <c r="B3542" s="4108" t="inlineStr">
        <is>
          <t>110490</t>
        </is>
      </c>
      <c r="C3542" s="4108" t="inlineStr">
        <is>
          <t>135792468</t>
        </is>
      </c>
      <c r="D3542" s="4108" t="inlineStr">
        <is>
          <t>201906</t>
        </is>
      </c>
      <c r="E3542" s="4108" t="inlineStr">
        <is>
          <t>0,000000000000</t>
        </is>
      </c>
    </row>
    <row outlineLevel="0" r="3543">
      <c r="A3543" s="4108" t="inlineStr">
        <is>
          <t>135792468201906110415</t>
        </is>
      </c>
      <c r="B3543" s="4108" t="inlineStr">
        <is>
          <t>110415</t>
        </is>
      </c>
      <c r="C3543" s="4108" t="inlineStr">
        <is>
          <t>135792468</t>
        </is>
      </c>
      <c r="D3543" s="4108" t="inlineStr">
        <is>
          <t>201906</t>
        </is>
      </c>
      <c r="E3543" s="4108" t="inlineStr">
        <is>
          <t>0,000000000000</t>
        </is>
      </c>
    </row>
    <row outlineLevel="0" r="3544">
      <c r="A3544" s="4108" t="inlineStr">
        <is>
          <t>135792468201906110410</t>
        </is>
      </c>
      <c r="B3544" s="4108" t="inlineStr">
        <is>
          <t>110410</t>
        </is>
      </c>
      <c r="C3544" s="4108" t="inlineStr">
        <is>
          <t>135792468</t>
        </is>
      </c>
      <c r="D3544" s="4108" t="inlineStr">
        <is>
          <t>201906</t>
        </is>
      </c>
      <c r="E3544" s="4108" t="inlineStr">
        <is>
          <t>0,000000000000</t>
        </is>
      </c>
    </row>
    <row outlineLevel="0" r="3545">
      <c r="A3545" s="4108" t="inlineStr">
        <is>
          <t>135792468201906110405</t>
        </is>
      </c>
      <c r="B3545" s="4108" t="inlineStr">
        <is>
          <t>110405</t>
        </is>
      </c>
      <c r="C3545" s="4108" t="inlineStr">
        <is>
          <t>135792468</t>
        </is>
      </c>
      <c r="D3545" s="4108" t="inlineStr">
        <is>
          <t>201906</t>
        </is>
      </c>
      <c r="E3545" s="4108" t="inlineStr">
        <is>
          <t>0,000000000000</t>
        </is>
      </c>
    </row>
    <row outlineLevel="0" r="3546">
      <c r="A3546" s="4108" t="inlineStr">
        <is>
          <t>135792468201906110395</t>
        </is>
      </c>
      <c r="B3546" s="4108" t="inlineStr">
        <is>
          <t>110395</t>
        </is>
      </c>
      <c r="C3546" s="4108" t="inlineStr">
        <is>
          <t>135792468</t>
        </is>
      </c>
      <c r="D3546" s="4108" t="inlineStr">
        <is>
          <t>201906</t>
        </is>
      </c>
      <c r="E3546" s="4108" t="inlineStr">
        <is>
          <t>0,000000000000</t>
        </is>
      </c>
    </row>
    <row outlineLevel="0" r="3547">
      <c r="A3547" s="4108" t="inlineStr">
        <is>
          <t>135792468201906110390</t>
        </is>
      </c>
      <c r="B3547" s="4108" t="inlineStr">
        <is>
          <t>110390</t>
        </is>
      </c>
      <c r="C3547" s="4108" t="inlineStr">
        <is>
          <t>135792468</t>
        </is>
      </c>
      <c r="D3547" s="4108" t="inlineStr">
        <is>
          <t>201906</t>
        </is>
      </c>
      <c r="E3547" s="4108" t="inlineStr">
        <is>
          <t>0,000000000000</t>
        </is>
      </c>
    </row>
    <row outlineLevel="0" r="3548">
      <c r="A3548" s="4108" t="inlineStr">
        <is>
          <t>135792468201906110305</t>
        </is>
      </c>
      <c r="B3548" s="4108" t="inlineStr">
        <is>
          <t>110305</t>
        </is>
      </c>
      <c r="C3548" s="4108" t="inlineStr">
        <is>
          <t>135792468</t>
        </is>
      </c>
      <c r="D3548" s="4108" t="inlineStr">
        <is>
          <t>201906</t>
        </is>
      </c>
      <c r="E3548" s="4108" t="inlineStr">
        <is>
          <t>0,000000000000</t>
        </is>
      </c>
    </row>
    <row outlineLevel="0" r="3549">
      <c r="A3549" s="4108" t="inlineStr">
        <is>
          <t>135792468201906110255</t>
        </is>
      </c>
      <c r="B3549" s="4108" t="inlineStr">
        <is>
          <t>110255</t>
        </is>
      </c>
      <c r="C3549" s="4108" t="inlineStr">
        <is>
          <t>135792468</t>
        </is>
      </c>
      <c r="D3549" s="4108" t="inlineStr">
        <is>
          <t>201906</t>
        </is>
      </c>
      <c r="E3549" s="4108" t="inlineStr">
        <is>
          <t>0,000000000000</t>
        </is>
      </c>
    </row>
    <row outlineLevel="0" r="3550">
      <c r="A3550" s="4108" t="inlineStr">
        <is>
          <t>135792468201906110260</t>
        </is>
      </c>
      <c r="B3550" s="4108" t="inlineStr">
        <is>
          <t>110260</t>
        </is>
      </c>
      <c r="C3550" s="4108" t="inlineStr">
        <is>
          <t>135792468</t>
        </is>
      </c>
      <c r="D3550" s="4108" t="inlineStr">
        <is>
          <t>201906</t>
        </is>
      </c>
      <c r="E3550" s="4108" t="inlineStr">
        <is>
          <t>0,000000000000</t>
        </is>
      </c>
    </row>
    <row outlineLevel="0" r="3551">
      <c r="A3551" s="4108" t="inlineStr">
        <is>
          <t>135792468201906110235</t>
        </is>
      </c>
      <c r="B3551" s="4108" t="inlineStr">
        <is>
          <t>110235</t>
        </is>
      </c>
      <c r="C3551" s="4108" t="inlineStr">
        <is>
          <t>135792468</t>
        </is>
      </c>
      <c r="D3551" s="4108" t="inlineStr">
        <is>
          <t>201906</t>
        </is>
      </c>
      <c r="E3551" s="4108" t="inlineStr">
        <is>
          <t>0,000000000000</t>
        </is>
      </c>
    </row>
    <row outlineLevel="0" r="3552">
      <c r="A3552" s="4108" t="inlineStr">
        <is>
          <t>135792468201906110225</t>
        </is>
      </c>
      <c r="B3552" s="4108" t="inlineStr">
        <is>
          <t>110225</t>
        </is>
      </c>
      <c r="C3552" s="4108" t="inlineStr">
        <is>
          <t>135792468</t>
        </is>
      </c>
      <c r="D3552" s="4108" t="inlineStr">
        <is>
          <t>201906</t>
        </is>
      </c>
      <c r="E3552" s="4108" t="inlineStr">
        <is>
          <t>0,000000000000</t>
        </is>
      </c>
    </row>
    <row outlineLevel="0" r="3553">
      <c r="A3553" s="4108" t="inlineStr">
        <is>
          <t>135792468201906110215</t>
        </is>
      </c>
      <c r="B3553" s="4108" t="inlineStr">
        <is>
          <t>110215</t>
        </is>
      </c>
      <c r="C3553" s="4108" t="inlineStr">
        <is>
          <t>135792468</t>
        </is>
      </c>
      <c r="D3553" s="4108" t="inlineStr">
        <is>
          <t>201906</t>
        </is>
      </c>
      <c r="E3553" s="4108" t="inlineStr">
        <is>
          <t>0,000000000000</t>
        </is>
      </c>
    </row>
    <row outlineLevel="0" r="3554">
      <c r="A3554" s="4108" t="inlineStr">
        <is>
          <t>135792468201906110210</t>
        </is>
      </c>
      <c r="B3554" s="4108" t="inlineStr">
        <is>
          <t>110210</t>
        </is>
      </c>
      <c r="C3554" s="4108" t="inlineStr">
        <is>
          <t>135792468</t>
        </is>
      </c>
      <c r="D3554" s="4108" t="inlineStr">
        <is>
          <t>201906</t>
        </is>
      </c>
      <c r="E3554" s="4108" t="inlineStr">
        <is>
          <t>0,000000000000</t>
        </is>
      </c>
    </row>
    <row outlineLevel="0" r="3555">
      <c r="A3555" s="4108" t="inlineStr">
        <is>
          <t>135792468201906110205</t>
        </is>
      </c>
      <c r="B3555" s="4108" t="inlineStr">
        <is>
          <t>110205</t>
        </is>
      </c>
      <c r="C3555" s="4108" t="inlineStr">
        <is>
          <t>135792468</t>
        </is>
      </c>
      <c r="D3555" s="4108" t="inlineStr">
        <is>
          <t>201906</t>
        </is>
      </c>
      <c r="E3555" s="4108" t="inlineStr">
        <is>
          <t>0,000000000000</t>
        </is>
      </c>
    </row>
    <row outlineLevel="0" r="3556">
      <c r="A3556" s="4108" t="inlineStr">
        <is>
          <t>135792468201906110130</t>
        </is>
      </c>
      <c r="B3556" s="4108" t="inlineStr">
        <is>
          <t>110130</t>
        </is>
      </c>
      <c r="C3556" s="4108" t="inlineStr">
        <is>
          <t>135792468</t>
        </is>
      </c>
      <c r="D3556" s="4108" t="inlineStr">
        <is>
          <t>201906</t>
        </is>
      </c>
      <c r="E3556" s="4108" t="inlineStr">
        <is>
          <t>0,000000000000</t>
        </is>
      </c>
    </row>
    <row outlineLevel="0" r="3557">
      <c r="A3557" s="4108" t="inlineStr">
        <is>
          <t>135792468201906110110</t>
        </is>
      </c>
      <c r="B3557" s="4108" t="inlineStr">
        <is>
          <t>110110</t>
        </is>
      </c>
      <c r="C3557" s="4108" t="inlineStr">
        <is>
          <t>135792468</t>
        </is>
      </c>
      <c r="D3557" s="4108" t="inlineStr">
        <is>
          <t>201906</t>
        </is>
      </c>
      <c r="E3557" s="4108" t="inlineStr">
        <is>
          <t>0,000000000000</t>
        </is>
      </c>
    </row>
    <row outlineLevel="0" r="3558">
      <c r="A3558" s="4108" t="inlineStr">
        <is>
          <t>135792468201906110125</t>
        </is>
      </c>
      <c r="B3558" s="4108" t="inlineStr">
        <is>
          <t>110125</t>
        </is>
      </c>
      <c r="C3558" s="4108" t="inlineStr">
        <is>
          <t>135792468</t>
        </is>
      </c>
      <c r="D3558" s="4108" t="inlineStr">
        <is>
          <t>201906</t>
        </is>
      </c>
      <c r="E3558" s="4108" t="inlineStr">
        <is>
          <t>0,000000000000</t>
        </is>
      </c>
    </row>
    <row outlineLevel="0" r="3559">
      <c r="A3559" s="4108" t="inlineStr">
        <is>
          <t>135792468201906110105</t>
        </is>
      </c>
      <c r="B3559" s="4108" t="inlineStr">
        <is>
          <t>110105</t>
        </is>
      </c>
      <c r="C3559" s="4108" t="inlineStr">
        <is>
          <t>135792468</t>
        </is>
      </c>
      <c r="D3559" s="4108" t="inlineStr">
        <is>
          <t>201906</t>
        </is>
      </c>
      <c r="E3559" s="4108" t="inlineStr">
        <is>
          <t>3,000000000000</t>
        </is>
      </c>
    </row>
    <row outlineLevel="0" r="3560">
      <c r="A3560" s="4108" t="inlineStr">
        <is>
          <t>135792468201906109801</t>
        </is>
      </c>
      <c r="B3560" s="4108" t="inlineStr">
        <is>
          <t>109801</t>
        </is>
      </c>
      <c r="C3560" s="4108" t="inlineStr">
        <is>
          <t>135792468</t>
        </is>
      </c>
      <c r="D3560" s="4108" t="inlineStr">
        <is>
          <t>201906</t>
        </is>
      </c>
      <c r="E3560" s="4108" t="inlineStr">
        <is>
          <t>0,000000000000</t>
        </is>
      </c>
    </row>
    <row outlineLevel="0" r="3561">
      <c r="A3561" s="4108" t="inlineStr">
        <is>
          <t>135792468201906108400</t>
        </is>
      </c>
      <c r="B3561" s="4108" t="inlineStr">
        <is>
          <t>108400</t>
        </is>
      </c>
      <c r="C3561" s="4108" t="inlineStr">
        <is>
          <t>135792468</t>
        </is>
      </c>
      <c r="D3561" s="4108" t="inlineStr">
        <is>
          <t>201906</t>
        </is>
      </c>
      <c r="E3561" s="4108" t="inlineStr">
        <is>
          <t>0,000000000000</t>
        </is>
      </c>
    </row>
    <row outlineLevel="0" r="3562">
      <c r="A3562" s="4108" t="inlineStr">
        <is>
          <t>135792468201906108300</t>
        </is>
      </c>
      <c r="B3562" s="4108" t="inlineStr">
        <is>
          <t>108300</t>
        </is>
      </c>
      <c r="C3562" s="4108" t="inlineStr">
        <is>
          <t>135792468</t>
        </is>
      </c>
      <c r="D3562" s="4108" t="inlineStr">
        <is>
          <t>201906</t>
        </is>
      </c>
      <c r="E3562" s="4108" t="inlineStr">
        <is>
          <t>0,000000000000</t>
        </is>
      </c>
    </row>
    <row outlineLevel="0" r="3563">
      <c r="A3563" s="4108" t="inlineStr">
        <is>
          <t>135792468201906108200</t>
        </is>
      </c>
      <c r="B3563" s="4108" t="inlineStr">
        <is>
          <t>108200</t>
        </is>
      </c>
      <c r="C3563" s="4108" t="inlineStr">
        <is>
          <t>135792468</t>
        </is>
      </c>
      <c r="D3563" s="4108" t="inlineStr">
        <is>
          <t>201906</t>
        </is>
      </c>
      <c r="E3563" s="4108" t="inlineStr">
        <is>
          <t>0,000000000000</t>
        </is>
      </c>
    </row>
    <row outlineLevel="0" r="3564">
      <c r="A3564" s="4108" t="inlineStr">
        <is>
          <t>135792468201906108100</t>
        </is>
      </c>
      <c r="B3564" s="4108" t="inlineStr">
        <is>
          <t>108100</t>
        </is>
      </c>
      <c r="C3564" s="4108" t="inlineStr">
        <is>
          <t>135792468</t>
        </is>
      </c>
      <c r="D3564" s="4108" t="inlineStr">
        <is>
          <t>201906</t>
        </is>
      </c>
      <c r="E3564" s="4108" t="inlineStr">
        <is>
          <t>4,000000000000</t>
        </is>
      </c>
    </row>
    <row outlineLevel="0" r="3565">
      <c r="A3565" s="4108" t="inlineStr">
        <is>
          <t>1357924682019065301</t>
        </is>
      </c>
      <c r="B3565" s="4108" t="inlineStr">
        <is>
          <t>5301</t>
        </is>
      </c>
      <c r="C3565" s="4108" t="inlineStr">
        <is>
          <t>135792468</t>
        </is>
      </c>
      <c r="D3565" s="4108" t="inlineStr">
        <is>
          <t>201906</t>
        </is>
      </c>
      <c r="E3565" s="4108" t="inlineStr">
        <is>
          <t>0,000000000000</t>
        </is>
      </c>
    </row>
    <row outlineLevel="0" r="3566">
      <c r="A3566" s="4108" t="inlineStr">
        <is>
          <t>135792468201906108000</t>
        </is>
      </c>
      <c r="B3566" s="4108" t="inlineStr">
        <is>
          <t>108000</t>
        </is>
      </c>
      <c r="C3566" s="4108" t="inlineStr">
        <is>
          <t>135792468</t>
        </is>
      </c>
      <c r="D3566" s="4108" t="inlineStr">
        <is>
          <t>201906</t>
        </is>
      </c>
      <c r="E3566" s="4108" t="inlineStr">
        <is>
          <t>4,000000000000</t>
        </is>
      </c>
    </row>
    <row outlineLevel="0" r="3567">
      <c r="A3567" s="4108" t="inlineStr">
        <is>
          <t>1357924682019062209</t>
        </is>
      </c>
      <c r="B3567" s="4108" t="inlineStr">
        <is>
          <t>2209</t>
        </is>
      </c>
      <c r="C3567" s="4108" t="inlineStr">
        <is>
          <t>135792468</t>
        </is>
      </c>
      <c r="D3567" s="4108" t="inlineStr">
        <is>
          <t>201906</t>
        </is>
      </c>
      <c r="E3567" s="4108" t="inlineStr">
        <is>
          <t>0,000000000000</t>
        </is>
      </c>
    </row>
    <row outlineLevel="0" r="3568">
      <c r="A3568" s="4108" t="inlineStr">
        <is>
          <t>1357924682019062207</t>
        </is>
      </c>
      <c r="B3568" s="4108" t="inlineStr">
        <is>
          <t>2207</t>
        </is>
      </c>
      <c r="C3568" s="4108" t="inlineStr">
        <is>
          <t>135792468</t>
        </is>
      </c>
      <c r="D3568" s="4108" t="inlineStr">
        <is>
          <t>201906</t>
        </is>
      </c>
      <c r="E3568" s="4108" t="inlineStr">
        <is>
          <t>0,000000000000</t>
        </is>
      </c>
    </row>
    <row outlineLevel="0" r="3569">
      <c r="A3569" s="4108" t="inlineStr">
        <is>
          <t>1357924682019062206</t>
        </is>
      </c>
      <c r="B3569" s="4108" t="inlineStr">
        <is>
          <t>2206</t>
        </is>
      </c>
      <c r="C3569" s="4108" t="inlineStr">
        <is>
          <t>135792468</t>
        </is>
      </c>
      <c r="D3569" s="4108" t="inlineStr">
        <is>
          <t>201906</t>
        </is>
      </c>
      <c r="E3569" s="4108" t="inlineStr">
        <is>
          <t>10,000000000000</t>
        </is>
      </c>
    </row>
    <row outlineLevel="0" r="3570">
      <c r="A3570" s="4108" t="inlineStr">
        <is>
          <t>1357924682019062204</t>
        </is>
      </c>
      <c r="B3570" s="4108" t="inlineStr">
        <is>
          <t>2204</t>
        </is>
      </c>
      <c r="C3570" s="4108" t="inlineStr">
        <is>
          <t>135792468</t>
        </is>
      </c>
      <c r="D3570" s="4108" t="inlineStr">
        <is>
          <t>201906</t>
        </is>
      </c>
      <c r="E3570" s="4108" t="inlineStr">
        <is>
          <t>0,000000000000</t>
        </is>
      </c>
    </row>
    <row outlineLevel="0" r="3571">
      <c r="A3571" s="4108" t="inlineStr">
        <is>
          <t>1357924682019062203</t>
        </is>
      </c>
      <c r="B3571" s="4108" t="inlineStr">
        <is>
          <t>2203</t>
        </is>
      </c>
      <c r="C3571" s="4108" t="inlineStr">
        <is>
          <t>135792468</t>
        </is>
      </c>
      <c r="D3571" s="4108" t="inlineStr">
        <is>
          <t>201906</t>
        </is>
      </c>
      <c r="E3571" s="4108" t="inlineStr">
        <is>
          <t>0,000000000000</t>
        </is>
      </c>
    </row>
    <row outlineLevel="0" r="3572">
      <c r="A3572" s="4108" t="inlineStr">
        <is>
          <t>1357924682019062201</t>
        </is>
      </c>
      <c r="B3572" s="4108" t="inlineStr">
        <is>
          <t>2201</t>
        </is>
      </c>
      <c r="C3572" s="4108" t="inlineStr">
        <is>
          <t>135792468</t>
        </is>
      </c>
      <c r="D3572" s="4108" t="inlineStr">
        <is>
          <t>201906</t>
        </is>
      </c>
      <c r="E3572" s="4108" t="inlineStr">
        <is>
          <t>0,000000000000</t>
        </is>
      </c>
    </row>
    <row outlineLevel="0" r="3573">
      <c r="A3573" s="4108" t="inlineStr">
        <is>
          <t>1357924682019062107</t>
        </is>
      </c>
      <c r="B3573" s="4108" t="inlineStr">
        <is>
          <t>2107</t>
        </is>
      </c>
      <c r="C3573" s="4108" t="inlineStr">
        <is>
          <t>135792468</t>
        </is>
      </c>
      <c r="D3573" s="4108" t="inlineStr">
        <is>
          <t>201906</t>
        </is>
      </c>
      <c r="E3573" s="4108" t="inlineStr">
        <is>
          <t>0,000000000000</t>
        </is>
      </c>
    </row>
    <row outlineLevel="0" r="3574">
      <c r="A3574" s="4108" t="inlineStr">
        <is>
          <t>1357924682019062109</t>
        </is>
      </c>
      <c r="B3574" s="4108" t="inlineStr">
        <is>
          <t>2109</t>
        </is>
      </c>
      <c r="C3574" s="4108" t="inlineStr">
        <is>
          <t>135792468</t>
        </is>
      </c>
      <c r="D3574" s="4108" t="inlineStr">
        <is>
          <t>201906</t>
        </is>
      </c>
      <c r="E3574" s="4108" t="inlineStr">
        <is>
          <t>0,000000000000</t>
        </is>
      </c>
    </row>
    <row outlineLevel="0" r="3575">
      <c r="A3575" s="4108" t="inlineStr">
        <is>
          <t>1357924682019062106</t>
        </is>
      </c>
      <c r="B3575" s="4108" t="inlineStr">
        <is>
          <t>2106</t>
        </is>
      </c>
      <c r="C3575" s="4108" t="inlineStr">
        <is>
          <t>135792468</t>
        </is>
      </c>
      <c r="D3575" s="4108" t="inlineStr">
        <is>
          <t>201906</t>
        </is>
      </c>
      <c r="E3575" s="4108" t="inlineStr">
        <is>
          <t>0,000000000000</t>
        </is>
      </c>
    </row>
    <row outlineLevel="0" r="3576">
      <c r="A3576" s="4108" t="inlineStr">
        <is>
          <t>1357924682019062105</t>
        </is>
      </c>
      <c r="B3576" s="4108" t="inlineStr">
        <is>
          <t>2105</t>
        </is>
      </c>
      <c r="C3576" s="4108" t="inlineStr">
        <is>
          <t>135792468</t>
        </is>
      </c>
      <c r="D3576" s="4108" t="inlineStr">
        <is>
          <t>201906</t>
        </is>
      </c>
      <c r="E3576" s="4108" t="inlineStr">
        <is>
          <t>0,000000000000</t>
        </is>
      </c>
    </row>
    <row outlineLevel="0" r="3577">
      <c r="A3577" s="4108" t="inlineStr">
        <is>
          <t>1357924682019062104</t>
        </is>
      </c>
      <c r="B3577" s="4108" t="inlineStr">
        <is>
          <t>2104</t>
        </is>
      </c>
      <c r="C3577" s="4108" t="inlineStr">
        <is>
          <t>135792468</t>
        </is>
      </c>
      <c r="D3577" s="4108" t="inlineStr">
        <is>
          <t>201906</t>
        </is>
      </c>
      <c r="E3577" s="4108" t="inlineStr">
        <is>
          <t>0,000000000000</t>
        </is>
      </c>
    </row>
    <row outlineLevel="0" r="3578">
      <c r="A3578" s="4108" t="inlineStr">
        <is>
          <t>1357924682019062103</t>
        </is>
      </c>
      <c r="B3578" s="4108" t="inlineStr">
        <is>
          <t>2103</t>
        </is>
      </c>
      <c r="C3578" s="4108" t="inlineStr">
        <is>
          <t>135792468</t>
        </is>
      </c>
      <c r="D3578" s="4108" t="inlineStr">
        <is>
          <t>201906</t>
        </is>
      </c>
      <c r="E3578" s="4108" t="inlineStr">
        <is>
          <t>0,000000000000</t>
        </is>
      </c>
    </row>
    <row outlineLevel="0" r="3579">
      <c r="A3579" s="4108" t="inlineStr">
        <is>
          <t>1357924682019062102</t>
        </is>
      </c>
      <c r="B3579" s="4108" t="inlineStr">
        <is>
          <t>2102</t>
        </is>
      </c>
      <c r="C3579" s="4108" t="inlineStr">
        <is>
          <t>135792468</t>
        </is>
      </c>
      <c r="D3579" s="4108" t="inlineStr">
        <is>
          <t>201906</t>
        </is>
      </c>
      <c r="E3579" s="4108" t="inlineStr">
        <is>
          <t>0,000000000000</t>
        </is>
      </c>
    </row>
    <row outlineLevel="0" r="3580">
      <c r="A3580" s="4108" t="inlineStr">
        <is>
          <t>1357924682019062101</t>
        </is>
      </c>
      <c r="B3580" s="4108" t="inlineStr">
        <is>
          <t>2101</t>
        </is>
      </c>
      <c r="C3580" s="4108" t="inlineStr">
        <is>
          <t>135792468</t>
        </is>
      </c>
      <c r="D3580" s="4108" t="inlineStr">
        <is>
          <t>201906</t>
        </is>
      </c>
      <c r="E3580" s="4108" t="inlineStr">
        <is>
          <t>0,000000000000</t>
        </is>
      </c>
    </row>
    <row outlineLevel="0" r="3581">
      <c r="A3581" s="4108" t="inlineStr">
        <is>
          <t>1357924682019061207</t>
        </is>
      </c>
      <c r="B3581" s="4108" t="inlineStr">
        <is>
          <t>1207</t>
        </is>
      </c>
      <c r="C3581" s="4108" t="inlineStr">
        <is>
          <t>135792468</t>
        </is>
      </c>
      <c r="D3581" s="4108" t="inlineStr">
        <is>
          <t>201906</t>
        </is>
      </c>
      <c r="E3581" s="4108" t="inlineStr">
        <is>
          <t>2,000000000000</t>
        </is>
      </c>
    </row>
    <row outlineLevel="0" r="3582">
      <c r="A3582" s="4108" t="inlineStr">
        <is>
          <t>1357924682019061208</t>
        </is>
      </c>
      <c r="B3582" s="4108" t="inlineStr">
        <is>
          <t>1208</t>
        </is>
      </c>
      <c r="C3582" s="4108" t="inlineStr">
        <is>
          <t>135792468</t>
        </is>
      </c>
      <c r="D3582" s="4108" t="inlineStr">
        <is>
          <t>201906</t>
        </is>
      </c>
      <c r="E3582" s="4108" t="inlineStr">
        <is>
          <t>0,000000000000</t>
        </is>
      </c>
    </row>
    <row outlineLevel="0" r="3583">
      <c r="A3583" s="4108" t="inlineStr">
        <is>
          <t>1357924682019061206</t>
        </is>
      </c>
      <c r="B3583" s="4108" t="inlineStr">
        <is>
          <t>1206</t>
        </is>
      </c>
      <c r="C3583" s="4108" t="inlineStr">
        <is>
          <t>135792468</t>
        </is>
      </c>
      <c r="D3583" s="4108" t="inlineStr">
        <is>
          <t>201906</t>
        </is>
      </c>
      <c r="E3583" s="4108" t="inlineStr">
        <is>
          <t>0,000000000000</t>
        </is>
      </c>
    </row>
    <row outlineLevel="0" r="3584">
      <c r="A3584" s="4108" t="inlineStr">
        <is>
          <t>1357924682019061205</t>
        </is>
      </c>
      <c r="B3584" s="4108" t="inlineStr">
        <is>
          <t>1205</t>
        </is>
      </c>
      <c r="C3584" s="4108" t="inlineStr">
        <is>
          <t>135792468</t>
        </is>
      </c>
      <c r="D3584" s="4108" t="inlineStr">
        <is>
          <t>201906</t>
        </is>
      </c>
      <c r="E3584" s="4108" t="inlineStr">
        <is>
          <t>0,000000000000</t>
        </is>
      </c>
    </row>
    <row outlineLevel="0" r="3585">
      <c r="A3585" s="4108" t="inlineStr">
        <is>
          <t>1357924682019061203</t>
        </is>
      </c>
      <c r="B3585" s="4108" t="inlineStr">
        <is>
          <t>1203</t>
        </is>
      </c>
      <c r="C3585" s="4108" t="inlineStr">
        <is>
          <t>135792468</t>
        </is>
      </c>
      <c r="D3585" s="4108" t="inlineStr">
        <is>
          <t>201906</t>
        </is>
      </c>
      <c r="E3585" s="4108" t="inlineStr">
        <is>
          <t>0,000000000000</t>
        </is>
      </c>
    </row>
    <row outlineLevel="0" r="3586">
      <c r="A3586" s="4108" t="inlineStr">
        <is>
          <t>1357924682019061202</t>
        </is>
      </c>
      <c r="B3586" s="4108" t="inlineStr">
        <is>
          <t>1202</t>
        </is>
      </c>
      <c r="C3586" s="4108" t="inlineStr">
        <is>
          <t>135792468</t>
        </is>
      </c>
      <c r="D3586" s="4108" t="inlineStr">
        <is>
          <t>201906</t>
        </is>
      </c>
      <c r="E3586" s="4108" t="inlineStr">
        <is>
          <t>0,000000000000</t>
        </is>
      </c>
    </row>
    <row outlineLevel="0" r="3587">
      <c r="A3587" s="4108" t="inlineStr">
        <is>
          <t>1357924682019061201</t>
        </is>
      </c>
      <c r="B3587" s="4108" t="inlineStr">
        <is>
          <t>1201</t>
        </is>
      </c>
      <c r="C3587" s="4108" t="inlineStr">
        <is>
          <t>135792468</t>
        </is>
      </c>
      <c r="D3587" s="4108" t="inlineStr">
        <is>
          <t>201906</t>
        </is>
      </c>
      <c r="E3587" s="4108" t="inlineStr">
        <is>
          <t>0,000000000000</t>
        </is>
      </c>
    </row>
    <row outlineLevel="0" r="3588">
      <c r="A3588" s="4108" t="inlineStr">
        <is>
          <t>1357924682019061107</t>
        </is>
      </c>
      <c r="B3588" s="4108" t="inlineStr">
        <is>
          <t>1107</t>
        </is>
      </c>
      <c r="C3588" s="4108" t="inlineStr">
        <is>
          <t>135792468</t>
        </is>
      </c>
      <c r="D3588" s="4108" t="inlineStr">
        <is>
          <t>201906</t>
        </is>
      </c>
      <c r="E3588" s="4108" t="inlineStr">
        <is>
          <t>0,000000000000</t>
        </is>
      </c>
    </row>
    <row outlineLevel="0" r="3589">
      <c r="A3589" s="4108" t="inlineStr">
        <is>
          <t>1357924682019061104</t>
        </is>
      </c>
      <c r="B3589" s="4108" t="inlineStr">
        <is>
          <t>1104</t>
        </is>
      </c>
      <c r="C3589" s="4108" t="inlineStr">
        <is>
          <t>135792468</t>
        </is>
      </c>
      <c r="D3589" s="4108" t="inlineStr">
        <is>
          <t>201906</t>
        </is>
      </c>
      <c r="E3589" s="4108" t="inlineStr">
        <is>
          <t>0,000000000000</t>
        </is>
      </c>
    </row>
    <row outlineLevel="0" r="3590">
      <c r="A3590" s="4108" t="inlineStr">
        <is>
          <t>1357924682019061106</t>
        </is>
      </c>
      <c r="B3590" s="4108" t="inlineStr">
        <is>
          <t>1106</t>
        </is>
      </c>
      <c r="C3590" s="4108" t="inlineStr">
        <is>
          <t>135792468</t>
        </is>
      </c>
      <c r="D3590" s="4108" t="inlineStr">
        <is>
          <t>201906</t>
        </is>
      </c>
      <c r="E3590" s="4108" t="inlineStr">
        <is>
          <t>6,000000000000</t>
        </is>
      </c>
    </row>
    <row outlineLevel="0" r="3591">
      <c r="A3591" s="4108" t="inlineStr">
        <is>
          <t>1357924682019061103</t>
        </is>
      </c>
      <c r="B3591" s="4108" t="inlineStr">
        <is>
          <t>1103</t>
        </is>
      </c>
      <c r="C3591" s="4108" t="inlineStr">
        <is>
          <t>135792468</t>
        </is>
      </c>
      <c r="D3591" s="4108" t="inlineStr">
        <is>
          <t>201906</t>
        </is>
      </c>
      <c r="E3591" s="4108" t="inlineStr">
        <is>
          <t>0,000000000000</t>
        </is>
      </c>
    </row>
    <row outlineLevel="0" r="3592">
      <c r="A3592" s="4108" t="inlineStr">
        <is>
          <t>1357924682019061102</t>
        </is>
      </c>
      <c r="B3592" s="4108" t="inlineStr">
        <is>
          <t>1102</t>
        </is>
      </c>
      <c r="C3592" s="4108" t="inlineStr">
        <is>
          <t>135792468</t>
        </is>
      </c>
      <c r="D3592" s="4108" t="inlineStr">
        <is>
          <t>201906</t>
        </is>
      </c>
      <c r="E3592" s="4108" t="inlineStr">
        <is>
          <t>0,000000000000</t>
        </is>
      </c>
    </row>
    <row outlineLevel="0" r="3593">
      <c r="A3593" s="4108" t="inlineStr">
        <is>
          <t>1357924682019061101</t>
        </is>
      </c>
      <c r="B3593" s="4108" t="inlineStr">
        <is>
          <t>1101</t>
        </is>
      </c>
      <c r="C3593" s="4108" t="inlineStr">
        <is>
          <t>135792468</t>
        </is>
      </c>
      <c r="D3593" s="4108" t="inlineStr">
        <is>
          <t>201906</t>
        </is>
      </c>
      <c r="E3593" s="4108" t="inlineStr">
        <is>
          <t>3,000000000000</t>
        </is>
      </c>
    </row>
    <row outlineLevel="0" r="3594">
      <c r="A3594" s="4108" t="inlineStr">
        <is>
          <t>13579246820190699</t>
        </is>
      </c>
      <c r="B3594" s="4108" t="inlineStr">
        <is>
          <t>99</t>
        </is>
      </c>
      <c r="C3594" s="4108" t="inlineStr">
        <is>
          <t>135792468</t>
        </is>
      </c>
      <c r="D3594" s="4108" t="inlineStr">
        <is>
          <t>201906</t>
        </is>
      </c>
      <c r="E3594" s="4108" t="inlineStr">
        <is>
          <t>-960,000000000000</t>
        </is>
      </c>
    </row>
    <row outlineLevel="0" r="3595">
      <c r="A3595" s="4108" t="inlineStr">
        <is>
          <t>13579246820190698</t>
        </is>
      </c>
      <c r="B3595" s="4108" t="inlineStr">
        <is>
          <t>98</t>
        </is>
      </c>
      <c r="C3595" s="4108" t="inlineStr">
        <is>
          <t>135792468</t>
        </is>
      </c>
      <c r="D3595" s="4108" t="inlineStr">
        <is>
          <t>201906</t>
        </is>
      </c>
      <c r="E3595" s="4108" t="inlineStr">
        <is>
          <t>0,000000000000</t>
        </is>
      </c>
    </row>
    <row outlineLevel="0" r="3596">
      <c r="A3596" s="4108" t="inlineStr">
        <is>
          <t>13579246820190697</t>
        </is>
      </c>
      <c r="B3596" s="4108" t="inlineStr">
        <is>
          <t>97</t>
        </is>
      </c>
      <c r="C3596" s="4108" t="inlineStr">
        <is>
          <t>135792468</t>
        </is>
      </c>
      <c r="D3596" s="4108" t="inlineStr">
        <is>
          <t>201906</t>
        </is>
      </c>
      <c r="E3596" s="4108" t="inlineStr">
        <is>
          <t>-960,000000000000</t>
        </is>
      </c>
    </row>
    <row outlineLevel="0" r="3597">
      <c r="A3597" s="4108" t="inlineStr">
        <is>
          <t>13579246820190695</t>
        </is>
      </c>
      <c r="B3597" s="4108" t="inlineStr">
        <is>
          <t>95</t>
        </is>
      </c>
      <c r="C3597" s="4108" t="inlineStr">
        <is>
          <t>135792468</t>
        </is>
      </c>
      <c r="D3597" s="4108" t="inlineStr">
        <is>
          <t>201906</t>
        </is>
      </c>
      <c r="E3597" s="4108" t="inlineStr">
        <is>
          <t>-960,000000000000</t>
        </is>
      </c>
    </row>
    <row outlineLevel="0" r="3598">
      <c r="A3598" s="4108" t="inlineStr">
        <is>
          <t>13579246820190696</t>
        </is>
      </c>
      <c r="B3598" s="4108" t="inlineStr">
        <is>
          <t>96</t>
        </is>
      </c>
      <c r="C3598" s="4108" t="inlineStr">
        <is>
          <t>135792468</t>
        </is>
      </c>
      <c r="D3598" s="4108" t="inlineStr">
        <is>
          <t>201906</t>
        </is>
      </c>
      <c r="E3598" s="4108" t="inlineStr">
        <is>
          <t>-960,000000000000</t>
        </is>
      </c>
    </row>
    <row outlineLevel="0" r="3599">
      <c r="A3599" s="4108" t="inlineStr">
        <is>
          <t>13579246820190661</t>
        </is>
      </c>
      <c r="B3599" s="4108" t="inlineStr">
        <is>
          <t>61</t>
        </is>
      </c>
      <c r="C3599" s="4108" t="inlineStr">
        <is>
          <t>135792468</t>
        </is>
      </c>
      <c r="D3599" s="4108" t="inlineStr">
        <is>
          <t>201906</t>
        </is>
      </c>
      <c r="E3599" s="4108" t="inlineStr">
        <is>
          <t>1260,000000000000</t>
        </is>
      </c>
    </row>
    <row outlineLevel="0" r="3600">
      <c r="A3600" s="4108" t="inlineStr">
        <is>
          <t>13579246820190654</t>
        </is>
      </c>
      <c r="B3600" s="4108" t="inlineStr">
        <is>
          <t>54</t>
        </is>
      </c>
      <c r="C3600" s="4108" t="inlineStr">
        <is>
          <t>135792468</t>
        </is>
      </c>
      <c r="D3600" s="4108" t="inlineStr">
        <is>
          <t>201906</t>
        </is>
      </c>
      <c r="E3600" s="4108" t="inlineStr">
        <is>
          <t>0,000000000000</t>
        </is>
      </c>
    </row>
    <row outlineLevel="0" r="3601">
      <c r="A3601" s="4108" t="inlineStr">
        <is>
          <t>13579246820190653</t>
        </is>
      </c>
      <c r="B3601" s="4108" t="inlineStr">
        <is>
          <t>53</t>
        </is>
      </c>
      <c r="C3601" s="4108" t="inlineStr">
        <is>
          <t>135792468</t>
        </is>
      </c>
      <c r="D3601" s="4108" t="inlineStr">
        <is>
          <t>201906</t>
        </is>
      </c>
      <c r="E3601" s="4108" t="inlineStr">
        <is>
          <t>0,000000000000</t>
        </is>
      </c>
    </row>
    <row outlineLevel="0" r="3602">
      <c r="A3602" s="4108" t="inlineStr">
        <is>
          <t>13579246820190652</t>
        </is>
      </c>
      <c r="B3602" s="4108" t="inlineStr">
        <is>
          <t>52</t>
        </is>
      </c>
      <c r="C3602" s="4108" t="inlineStr">
        <is>
          <t>135792468</t>
        </is>
      </c>
      <c r="D3602" s="4108" t="inlineStr">
        <is>
          <t>201906</t>
        </is>
      </c>
      <c r="E3602" s="4108" t="inlineStr">
        <is>
          <t>0,000000000000</t>
        </is>
      </c>
    </row>
    <row outlineLevel="0" r="3603">
      <c r="A3603" s="4108" t="inlineStr">
        <is>
          <t>13579246820190651</t>
        </is>
      </c>
      <c r="B3603" s="4108" t="inlineStr">
        <is>
          <t>51</t>
        </is>
      </c>
      <c r="C3603" s="4108" t="inlineStr">
        <is>
          <t>135792468</t>
        </is>
      </c>
      <c r="D3603" s="4108" t="inlineStr">
        <is>
          <t>201906</t>
        </is>
      </c>
      <c r="E3603" s="4108" t="inlineStr">
        <is>
          <t>0,000000000000</t>
        </is>
      </c>
    </row>
    <row outlineLevel="0" r="3604">
      <c r="A3604" s="4108" t="inlineStr">
        <is>
          <t>13579246820190642</t>
        </is>
      </c>
      <c r="B3604" s="4108" t="inlineStr">
        <is>
          <t>42</t>
        </is>
      </c>
      <c r="C3604" s="4108" t="inlineStr">
        <is>
          <t>135792468</t>
        </is>
      </c>
      <c r="D3604" s="4108" t="inlineStr">
        <is>
          <t>201906</t>
        </is>
      </c>
      <c r="E3604" s="4108" t="inlineStr">
        <is>
          <t>0,000000000000</t>
        </is>
      </c>
    </row>
    <row outlineLevel="0" r="3605">
      <c r="A3605" s="4108" t="inlineStr">
        <is>
          <t>13579246820190638</t>
        </is>
      </c>
      <c r="B3605" s="4108" t="inlineStr">
        <is>
          <t>38</t>
        </is>
      </c>
      <c r="C3605" s="4108" t="inlineStr">
        <is>
          <t>135792468</t>
        </is>
      </c>
      <c r="D3605" s="4108" t="inlineStr">
        <is>
          <t>201906</t>
        </is>
      </c>
      <c r="E3605" s="4108" t="inlineStr">
        <is>
          <t>0,000000000000</t>
        </is>
      </c>
    </row>
    <row outlineLevel="0" r="3606">
      <c r="A3606" s="4108" t="inlineStr">
        <is>
          <t>13579246820190641</t>
        </is>
      </c>
      <c r="B3606" s="4108" t="inlineStr">
        <is>
          <t>41</t>
        </is>
      </c>
      <c r="C3606" s="4108" t="inlineStr">
        <is>
          <t>135792468</t>
        </is>
      </c>
      <c r="D3606" s="4108" t="inlineStr">
        <is>
          <t>201906</t>
        </is>
      </c>
      <c r="E3606" s="4108" t="inlineStr">
        <is>
          <t>300,000000000000</t>
        </is>
      </c>
    </row>
    <row outlineLevel="0" r="3607">
      <c r="A3607" s="4108" t="inlineStr">
        <is>
          <t>13579246820190637</t>
        </is>
      </c>
      <c r="B3607" s="4108" t="inlineStr">
        <is>
          <t>37</t>
        </is>
      </c>
      <c r="C3607" s="4108" t="inlineStr">
        <is>
          <t>135792468</t>
        </is>
      </c>
      <c r="D3607" s="4108" t="inlineStr">
        <is>
          <t>201906</t>
        </is>
      </c>
      <c r="E3607" s="4108" t="inlineStr">
        <is>
          <t>0,000000000000</t>
        </is>
      </c>
    </row>
    <row outlineLevel="0" r="3608">
      <c r="A3608" s="4108" t="inlineStr">
        <is>
          <t>13579246820190636</t>
        </is>
      </c>
      <c r="B3608" s="4108" t="inlineStr">
        <is>
          <t>36</t>
        </is>
      </c>
      <c r="C3608" s="4108" t="inlineStr">
        <is>
          <t>135792468</t>
        </is>
      </c>
      <c r="D3608" s="4108" t="inlineStr">
        <is>
          <t>201906</t>
        </is>
      </c>
      <c r="E3608" s="4108" t="inlineStr">
        <is>
          <t>-960,000000000000</t>
        </is>
      </c>
    </row>
    <row outlineLevel="0" r="3609">
      <c r="A3609" s="4108" t="inlineStr">
        <is>
          <t>13579246820190635</t>
        </is>
      </c>
      <c r="B3609" s="4108" t="inlineStr">
        <is>
          <t>35</t>
        </is>
      </c>
      <c r="C3609" s="4108" t="inlineStr">
        <is>
          <t>135792468</t>
        </is>
      </c>
      <c r="D3609" s="4108" t="inlineStr">
        <is>
          <t>201906</t>
        </is>
      </c>
      <c r="E3609" s="4108" t="inlineStr">
        <is>
          <t>0,000000000000</t>
        </is>
      </c>
    </row>
    <row outlineLevel="0" r="3610">
      <c r="A3610" s="4108" t="inlineStr">
        <is>
          <t>13579246820190634</t>
        </is>
      </c>
      <c r="B3610" s="4108" t="inlineStr">
        <is>
          <t>34</t>
        </is>
      </c>
      <c r="C3610" s="4108" t="inlineStr">
        <is>
          <t>135792468</t>
        </is>
      </c>
      <c r="D3610" s="4108" t="inlineStr">
        <is>
          <t>201906</t>
        </is>
      </c>
      <c r="E3610" s="4108" t="inlineStr">
        <is>
          <t>0,000000000000</t>
        </is>
      </c>
    </row>
    <row outlineLevel="0" r="3611">
      <c r="A3611" s="4108" t="inlineStr">
        <is>
          <t>13579246820190633</t>
        </is>
      </c>
      <c r="B3611" s="4108" t="inlineStr">
        <is>
          <t>33</t>
        </is>
      </c>
      <c r="C3611" s="4108" t="inlineStr">
        <is>
          <t>135792468</t>
        </is>
      </c>
      <c r="D3611" s="4108" t="inlineStr">
        <is>
          <t>201906</t>
        </is>
      </c>
      <c r="E3611" s="4108" t="inlineStr">
        <is>
          <t>0,000000000000</t>
        </is>
      </c>
    </row>
    <row outlineLevel="0" r="3612">
      <c r="A3612" s="4108" t="inlineStr">
        <is>
          <t>13579246820190632</t>
        </is>
      </c>
      <c r="B3612" s="4108" t="inlineStr">
        <is>
          <t>32</t>
        </is>
      </c>
      <c r="C3612" s="4108" t="inlineStr">
        <is>
          <t>135792468</t>
        </is>
      </c>
      <c r="D3612" s="4108" t="inlineStr">
        <is>
          <t>201906</t>
        </is>
      </c>
      <c r="E3612" s="4108" t="inlineStr">
        <is>
          <t>0,000000000000</t>
        </is>
      </c>
    </row>
    <row outlineLevel="0" r="3613">
      <c r="A3613" s="4108" t="inlineStr">
        <is>
          <t>13579246820190622</t>
        </is>
      </c>
      <c r="B3613" s="4108" t="inlineStr">
        <is>
          <t>22</t>
        </is>
      </c>
      <c r="C3613" s="4108" t="inlineStr">
        <is>
          <t>135792468</t>
        </is>
      </c>
      <c r="D3613" s="4108" t="inlineStr">
        <is>
          <t>201906</t>
        </is>
      </c>
      <c r="E3613" s="4108" t="inlineStr">
        <is>
          <t>10,000000000000</t>
        </is>
      </c>
    </row>
    <row outlineLevel="0" r="3614">
      <c r="A3614" s="4108" t="inlineStr">
        <is>
          <t>13579246820190631</t>
        </is>
      </c>
      <c r="B3614" s="4108" t="inlineStr">
        <is>
          <t>31</t>
        </is>
      </c>
      <c r="C3614" s="4108" t="inlineStr">
        <is>
          <t>135792468</t>
        </is>
      </c>
      <c r="D3614" s="4108" t="inlineStr">
        <is>
          <t>201906</t>
        </is>
      </c>
      <c r="E3614" s="4108" t="inlineStr">
        <is>
          <t>961,000000000000</t>
        </is>
      </c>
    </row>
    <row outlineLevel="0" r="3615">
      <c r="A3615" s="4108" t="inlineStr">
        <is>
          <t>13579246820190621</t>
        </is>
      </c>
      <c r="B3615" s="4108" t="inlineStr">
        <is>
          <t>21</t>
        </is>
      </c>
      <c r="C3615" s="4108" t="inlineStr">
        <is>
          <t>135792468</t>
        </is>
      </c>
      <c r="D3615" s="4108" t="inlineStr">
        <is>
          <t>201906</t>
        </is>
      </c>
      <c r="E3615" s="4108" t="inlineStr">
        <is>
          <t>0,000000000000</t>
        </is>
      </c>
    </row>
    <row outlineLevel="0" r="3616">
      <c r="A3616" s="4108" t="inlineStr">
        <is>
          <t>13579246820190612</t>
        </is>
      </c>
      <c r="B3616" s="4108" t="inlineStr">
        <is>
          <t>12</t>
        </is>
      </c>
      <c r="C3616" s="4108" t="inlineStr">
        <is>
          <t>135792468</t>
        </is>
      </c>
      <c r="D3616" s="4108" t="inlineStr">
        <is>
          <t>201906</t>
        </is>
      </c>
      <c r="E3616" s="4108" t="inlineStr">
        <is>
          <t>2,000000000000</t>
        </is>
      </c>
    </row>
    <row outlineLevel="0" r="3617">
      <c r="A3617" s="4108" t="inlineStr">
        <is>
          <t>13579246820190611</t>
        </is>
      </c>
      <c r="B3617" s="4108" t="inlineStr">
        <is>
          <t>11</t>
        </is>
      </c>
      <c r="C3617" s="4108" t="inlineStr">
        <is>
          <t>135792468</t>
        </is>
      </c>
      <c r="D3617" s="4108" t="inlineStr">
        <is>
          <t>201906</t>
        </is>
      </c>
      <c r="E3617" s="4108" t="inlineStr">
        <is>
          <t>9,000000000000</t>
        </is>
      </c>
    </row>
    <row outlineLevel="0" r="3618">
      <c r="A3618" s="4108" t="inlineStr">
        <is>
          <t>1357924682019063</t>
        </is>
      </c>
      <c r="B3618" s="4108" t="inlineStr">
        <is>
          <t>3</t>
        </is>
      </c>
      <c r="C3618" s="4108" t="inlineStr">
        <is>
          <t>135792468</t>
        </is>
      </c>
      <c r="D3618" s="4108" t="inlineStr">
        <is>
          <t>201906</t>
        </is>
      </c>
      <c r="E3618" s="4108" t="inlineStr">
        <is>
          <t>1,000000000000</t>
        </is>
      </c>
    </row>
    <row outlineLevel="0" r="3619">
      <c r="A3619" s="4108" t="inlineStr">
        <is>
          <t>1357924682019062</t>
        </is>
      </c>
      <c r="B3619" s="4108" t="inlineStr">
        <is>
          <t>2</t>
        </is>
      </c>
      <c r="C3619" s="4108" t="inlineStr">
        <is>
          <t>135792468</t>
        </is>
      </c>
      <c r="D3619" s="4108" t="inlineStr">
        <is>
          <t>201906</t>
        </is>
      </c>
      <c r="E3619" s="4108" t="inlineStr">
        <is>
          <t>10,000000000000</t>
        </is>
      </c>
    </row>
    <row outlineLevel="0" r="3620">
      <c r="A3620" s="4108" t="inlineStr">
        <is>
          <t>1357924682019061</t>
        </is>
      </c>
      <c r="B3620" s="4108" t="inlineStr">
        <is>
          <t>1</t>
        </is>
      </c>
      <c r="C3620" s="4108" t="inlineStr">
        <is>
          <t>135792468</t>
        </is>
      </c>
      <c r="D3620" s="4108" t="inlineStr">
        <is>
          <t>201906</t>
        </is>
      </c>
      <c r="E3620" s="4108" t="inlineStr">
        <is>
          <t>11,000000000000</t>
        </is>
      </c>
    </row>
    <row outlineLevel="0" r="3621">
      <c r="A3621" s="4108" t="inlineStr">
        <is>
          <t>1357924682019060</t>
        </is>
      </c>
      <c r="B3621" s="4108" t="inlineStr">
        <is>
          <t>0</t>
        </is>
      </c>
      <c r="C3621" s="4108" t="inlineStr">
        <is>
          <t>135792468</t>
        </is>
      </c>
      <c r="D3621" s="4108" t="inlineStr">
        <is>
          <t>201906</t>
        </is>
      </c>
      <c r="E3621" s="4108" t="inlineStr">
        <is>
          <t>11,000000000000</t>
        </is>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3"/>
  <dimension ref="A1:AQ3"/>
  <sheetViews>
    <sheetView workbookViewId="0" rightToLeft="false">
      <selection activeCell="A3" sqref="A3"/>
    </sheetView>
  </sheetViews>
  <sheetFormatPr baseColWidth="10" defaultRowHeight="14.5"/>
  <sheetData>
    <row spans="1:43" outlineLevel="0" r="1">
      <c r="A1" t="s">
        <v>0</v>
      </c>
      <c r="B1" t="s">
        <v>1</v>
      </c>
      <c r="C1" t="s">
        <v>2</v>
      </c>
      <c r="D1" t="s">
        <v>3</v>
      </c>
      <c r="E1" t="s">
        <v>123</v>
      </c>
      <c r="F1" t="s">
        <v>4</v>
      </c>
      <c r="G1" t="s">
        <v>5</v>
      </c>
      <c r="H1" t="s">
        <v>6</v>
      </c>
      <c r="I1" t="s">
        <v>7</v>
      </c>
      <c r="J1" t="s">
        <v>8</v>
      </c>
      <c r="K1" t="s">
        <v>9</v>
      </c>
      <c r="L1" t="s">
        <v>66</v>
      </c>
      <c r="M1" t="s">
        <v>10</v>
      </c>
      <c r="N1" t="s">
        <v>11</v>
      </c>
      <c r="O1" t="s">
        <v>12</v>
      </c>
      <c r="P1" t="s">
        <v>13</v>
      </c>
      <c r="Q1" t="s">
        <v>14</v>
      </c>
      <c r="R1" t="s">
        <v>15</v>
      </c>
      <c r="S1" t="s">
        <v>16</v>
      </c>
      <c r="T1" t="s">
        <v>17</v>
      </c>
      <c r="U1" t="s">
        <v>18</v>
      </c>
      <c r="V1" t="s">
        <v>19</v>
      </c>
      <c r="W1" t="s">
        <v>20</v>
      </c>
      <c r="X1" t="s">
        <v>21</v>
      </c>
      <c r="Y1" t="s">
        <v>22</v>
      </c>
      <c r="Z1" t="s">
        <v>124</v>
      </c>
      <c r="AA1" t="s">
        <v>125</v>
      </c>
      <c r="AB1" t="s">
        <v>126</v>
      </c>
      <c r="AC1" t="s">
        <v>127</v>
      </c>
      <c r="AD1" t="s">
        <v>128</v>
      </c>
      <c r="AE1" t="s">
        <v>129</v>
      </c>
      <c r="AF1" t="s">
        <v>130</v>
      </c>
      <c r="AG1" t="s">
        <v>131</v>
      </c>
      <c r="AH1" t="s">
        <v>132</v>
      </c>
      <c r="AI1" t="s">
        <v>133</v>
      </c>
      <c r="AJ1" t="s">
        <v>134</v>
      </c>
      <c r="AK1" t="s">
        <v>23</v>
      </c>
      <c r="AL1" t="s">
        <v>135</v>
      </c>
      <c r="AM1" t="s">
        <v>25</v>
      </c>
      <c r="AN1" t="s">
        <v>26</v>
      </c>
      <c r="AO1" t="s">
        <v>27</v>
      </c>
      <c r="AP1" t="s">
        <v>28</v>
      </c>
      <c r="AQ1" t="s">
        <v>2175</v>
      </c>
    </row>
    <row spans="1:43" outlineLevel="0" r="2">
      <c r="A2" t="s">
        <v>136</v>
      </c>
      <c r="B2" t="s">
        <v>136</v>
      </c>
      <c r="C2" t="s">
        <v>136</v>
      </c>
      <c r="D2" t="s">
        <v>136</v>
      </c>
      <c r="E2" t="s">
        <v>136</v>
      </c>
      <c r="F2" t="s">
        <v>136</v>
      </c>
      <c r="G2" t="s">
        <v>136</v>
      </c>
      <c r="H2" t="s">
        <v>136</v>
      </c>
      <c r="I2" t="s">
        <v>136</v>
      </c>
      <c r="J2" t="s">
        <v>136</v>
      </c>
      <c r="K2" t="s">
        <v>136</v>
      </c>
      <c r="L2" t="s">
        <v>136</v>
      </c>
      <c r="M2" t="s">
        <v>136</v>
      </c>
      <c r="N2" t="s">
        <v>136</v>
      </c>
      <c r="O2" t="s">
        <v>136</v>
      </c>
      <c r="P2" t="s">
        <v>136</v>
      </c>
      <c r="Q2" t="s">
        <v>136</v>
      </c>
      <c r="R2" t="s">
        <v>136</v>
      </c>
      <c r="S2" t="s">
        <v>136</v>
      </c>
      <c r="T2" t="s">
        <v>136</v>
      </c>
      <c r="U2" t="s">
        <v>136</v>
      </c>
      <c r="V2" t="s">
        <v>136</v>
      </c>
      <c r="W2" t="s">
        <v>136</v>
      </c>
      <c r="X2" t="s">
        <v>136</v>
      </c>
      <c r="Y2" t="s">
        <v>136</v>
      </c>
      <c r="Z2" t="s">
        <v>136</v>
      </c>
      <c r="AA2" t="s">
        <v>136</v>
      </c>
      <c r="AB2" t="s">
        <v>136</v>
      </c>
      <c r="AC2" t="s">
        <v>136</v>
      </c>
      <c r="AD2" t="s">
        <v>136</v>
      </c>
      <c r="AE2" t="s">
        <v>136</v>
      </c>
      <c r="AF2" t="s">
        <v>136</v>
      </c>
      <c r="AG2" t="s">
        <v>136</v>
      </c>
      <c r="AH2" t="s">
        <v>136</v>
      </c>
      <c r="AI2" t="s">
        <v>136</v>
      </c>
      <c r="AJ2" t="s">
        <v>136</v>
      </c>
      <c r="AK2" t="s">
        <v>136</v>
      </c>
      <c r="AL2" t="s">
        <v>136</v>
      </c>
      <c r="AM2" t="s">
        <v>136</v>
      </c>
      <c r="AN2" t="s">
        <v>136</v>
      </c>
      <c r="AO2" t="s">
        <v>136</v>
      </c>
      <c r="AP2" t="s">
        <v>136</v>
      </c>
      <c r="AQ2" t="s">
        <v>136</v>
      </c>
    </row>
    <row outlineLevel="0" r="3">
      <c r="A3" s="4108" t="inlineStr">
        <is>
          <t>135792468</t>
        </is>
      </c>
      <c r="B3" s="4108" t="inlineStr">
        <is>
          <t>Los Repuestos De El Salvador</t>
        </is>
      </c>
      <c r="D3" s="4108" t="inlineStr">
        <is>
          <t>2</t>
        </is>
      </c>
      <c r="E3" s="4108" t="inlineStr">
        <is>
          <t>CR - Asociación Solidarista</t>
        </is>
      </c>
      <c r="F3" s="4108" t="inlineStr">
        <is>
          <t>Venta De Repuestos De Vehiculos</t>
        </is>
      </c>
      <c r="G3" s="4108" t="inlineStr">
        <is>
          <t>Venta De Repuestos De Vehiculos</t>
        </is>
      </c>
      <c r="H3" s="4108" t="inlineStr">
        <is>
          <t>0</t>
        </is>
      </c>
      <c r="I3" s="4108" t="inlineStr">
        <is>
          <t>2155</t>
        </is>
      </c>
      <c r="J3" s="4108" t="inlineStr">
        <is>
          <t>CALLE VELASCO #30</t>
        </is>
      </c>
      <c r="K3" s="4108" t="inlineStr">
        <is>
          <t>23196999</t>
        </is>
      </c>
      <c r="L3" s="4108" t="inlineStr">
        <is>
          <t>GUACOTECTI - CABANAS</t>
        </is>
      </c>
      <c r="M3" s="4108" t="inlineStr">
        <is>
          <t>0</t>
        </is>
      </c>
      <c r="N3" s="4108" t="inlineStr">
        <is>
          <t>0</t>
        </is>
      </c>
      <c r="O3" s="4108" t="inlineStr">
        <is>
          <t>N/D</t>
        </is>
      </c>
      <c r="P3" s="4108" t="inlineStr">
        <is>
          <t>n/d</t>
        </is>
      </c>
      <c r="Q3" s="4108" t="inlineStr">
        <is>
          <t>n/d</t>
        </is>
      </c>
      <c r="R3" s="4108" t="inlineStr">
        <is>
          <t>1900/01/01</t>
        </is>
      </c>
      <c r="S3" s="4108" t="inlineStr">
        <is>
          <t>1</t>
        </is>
      </c>
      <c r="T3" s="4108" t="inlineStr">
        <is>
          <t>False</t>
        </is>
      </c>
      <c r="U3" s="4108" t="inlineStr">
        <is>
          <t>493110</t>
        </is>
      </c>
      <c r="V3" s="4108" t="inlineStr">
        <is>
          <t>False</t>
        </is>
      </c>
      <c r="W3" s="4108" t="inlineStr">
        <is>
          <t>False</t>
        </is>
      </c>
      <c r="Y3" s="4108" t="inlineStr">
        <is>
          <t>100</t>
        </is>
      </c>
      <c r="Z3" s="4108" t="inlineStr">
        <is>
          <t>Davivienda</t>
        </is>
      </c>
      <c r="AA3" s="4108" t="inlineStr">
        <is>
          <t>Vigente</t>
        </is>
      </c>
      <c r="AF3" s="4108" t="inlineStr">
        <is>
          <t>0</t>
        </is>
      </c>
      <c r="AG3" s="4108" t="inlineStr">
        <is>
          <t>True</t>
        </is>
      </c>
      <c r="AI3" s="4108" t="inlineStr">
        <is>
          <t>123</t>
        </is>
      </c>
      <c r="AJ3" s="4108" t="inlineStr">
        <is>
          <t>3</t>
        </is>
      </c>
      <c r="AK3" s="4108" t="inlineStr">
        <is>
          <t>Transporte / Transporte / Terrestre de Pasajeros</t>
        </is>
      </c>
      <c r="AM3" s="4108" t="inlineStr">
        <is>
          <t>2</t>
        </is>
      </c>
      <c r="AN3" s="4108" t="inlineStr">
        <is>
          <t>Dolar USD</t>
        </is>
      </c>
      <c r="AO3" s="4108" t="inlineStr">
        <is>
          <t>1</t>
        </is>
      </c>
      <c r="AP3" s="4108" t="inlineStr">
        <is>
          <t>El Salvador</t>
        </is>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4"/>
  <dimension ref="A1:K12"/>
  <sheetViews>
    <sheetView workbookViewId="0" rightToLeft="false">
      <selection activeCell="K1" sqref="K1"/>
    </sheetView>
  </sheetViews>
  <sheetFormatPr baseColWidth="10" defaultRowHeight="14.5"/>
  <cols>
    <col min="1" max="1" width="5" bestFit="1" customWidth="1"/>
    <col min="2" max="2" width="3.1796875" bestFit="1" customWidth="1"/>
    <col min="3" max="3" width="4.6328125" bestFit="1" customWidth="1"/>
    <col min="4" max="4" width="3.6328125" bestFit="1" customWidth="1"/>
    <col min="5" max="5" width="6.26953125" bestFit="1" customWidth="1"/>
    <col min="6" max="6" width="6.1796875" bestFit="1" customWidth="1"/>
    <col min="7" max="7" width="7.81640625" bestFit="1" customWidth="1"/>
    <col min="8" max="8" width="14.6328125" bestFit="1" customWidth="1"/>
    <col min="9" max="9" width="8.453125" bestFit="1" customWidth="1"/>
    <col min="10" max="10" width="15.08984375" bestFit="1" customWidth="1"/>
  </cols>
  <sheetData>
    <row spans="1:11" outlineLevel="0" r="1">
      <c r="A1" t="s">
        <v>122</v>
      </c>
      <c r="B1" t="s">
        <v>33</v>
      </c>
      <c r="C1" t="s">
        <v>39</v>
      </c>
      <c r="D1" t="s">
        <v>43</v>
      </c>
      <c r="E1" t="s">
        <v>44</v>
      </c>
      <c r="F1" t="s">
        <v>45</v>
      </c>
      <c r="G1" t="s">
        <v>25</v>
      </c>
      <c r="H1" t="s">
        <v>26</v>
      </c>
      <c r="I1" t="s">
        <v>2166</v>
      </c>
      <c r="J1" t="s">
        <v>2171</v>
      </c>
      <c r="K1" s="3460" t="s">
        <v>2176</v>
      </c>
    </row>
    <row outlineLevel="0" r="2">
      <c r="A2" s="4108" t="inlineStr">
        <is>
          <t>135792468202212</t>
        </is>
      </c>
      <c r="B2" s="4108" t="inlineStr">
        <is>
          <t>135792468</t>
        </is>
      </c>
      <c r="C2" s="4108" t="inlineStr">
        <is>
          <t>202212</t>
        </is>
      </c>
      <c r="D2" s="4108" t="inlineStr">
        <is>
          <t>False</t>
        </is>
      </c>
      <c r="E2" s="4108" t="inlineStr">
        <is>
          <t>False</t>
        </is>
      </c>
      <c r="F2" s="4108" t="inlineStr">
        <is>
          <t>6</t>
        </is>
      </c>
      <c r="I2" s="4108" t="inlineStr">
        <is>
          <t>No Auditados</t>
        </is>
      </c>
      <c r="J2" s="4108" t="inlineStr">
        <is>
          <t>1000,00000000</t>
        </is>
      </c>
      <c r="K2" s="4108" t="inlineStr">
        <is>
          <t>3</t>
        </is>
      </c>
    </row>
    <row outlineLevel="0" r="3">
      <c r="A3" s="4108" t="inlineStr">
        <is>
          <t>135792468202112</t>
        </is>
      </c>
      <c r="B3" s="4108" t="inlineStr">
        <is>
          <t>135792468</t>
        </is>
      </c>
      <c r="C3" s="4108" t="inlineStr">
        <is>
          <t>202112</t>
        </is>
      </c>
      <c r="D3" s="4108" t="inlineStr">
        <is>
          <t>False</t>
        </is>
      </c>
      <c r="E3" s="4108" t="inlineStr">
        <is>
          <t>False</t>
        </is>
      </c>
      <c r="F3" s="4108" t="inlineStr">
        <is>
          <t>12</t>
        </is>
      </c>
      <c r="I3" s="4108" t="inlineStr">
        <is>
          <t>No Auditados</t>
        </is>
      </c>
      <c r="J3" s="4108" t="inlineStr">
        <is>
          <t>1,00000000</t>
        </is>
      </c>
      <c r="K3" s="4108" t="inlineStr">
        <is>
          <t>3</t>
        </is>
      </c>
    </row>
    <row outlineLevel="0" r="4">
      <c r="A4" s="4108" t="inlineStr">
        <is>
          <t>135792468202012</t>
        </is>
      </c>
      <c r="B4" s="4108" t="inlineStr">
        <is>
          <t>135792468</t>
        </is>
      </c>
      <c r="C4" s="4108" t="inlineStr">
        <is>
          <t>202012</t>
        </is>
      </c>
      <c r="D4" s="4108" t="inlineStr">
        <is>
          <t>False</t>
        </is>
      </c>
      <c r="E4" s="4108" t="inlineStr">
        <is>
          <t>False</t>
        </is>
      </c>
      <c r="F4" s="4108" t="inlineStr">
        <is>
          <t>12</t>
        </is>
      </c>
      <c r="I4" s="4108" t="inlineStr">
        <is>
          <t>Auditados Sin Salvedades</t>
        </is>
      </c>
      <c r="J4" s="4108" t="inlineStr">
        <is>
          <t>1,00000000</t>
        </is>
      </c>
      <c r="K4" s="4108" t="inlineStr">
        <is>
          <t>2</t>
        </is>
      </c>
    </row>
    <row outlineLevel="0" r="5">
      <c r="A5" s="4108" t="inlineStr">
        <is>
          <t>135792468202211</t>
        </is>
      </c>
      <c r="B5" s="4108" t="inlineStr">
        <is>
          <t>135792468</t>
        </is>
      </c>
      <c r="C5" s="4108" t="inlineStr">
        <is>
          <t>202211</t>
        </is>
      </c>
      <c r="D5" s="4108" t="inlineStr">
        <is>
          <t>False</t>
        </is>
      </c>
      <c r="E5" s="4108" t="inlineStr">
        <is>
          <t>True</t>
        </is>
      </c>
      <c r="F5" s="4108" t="inlineStr">
        <is>
          <t>7</t>
        </is>
      </c>
      <c r="I5" s="4108" t="inlineStr">
        <is>
          <t>No Auditados</t>
        </is>
      </c>
      <c r="J5" s="4108" t="inlineStr">
        <is>
          <t>1000,00000000</t>
        </is>
      </c>
      <c r="K5" s="4108" t="inlineStr">
        <is>
          <t>3</t>
        </is>
      </c>
    </row>
    <row outlineLevel="0" r="6">
      <c r="A6" s="4108" t="inlineStr">
        <is>
          <t>135792468202210</t>
        </is>
      </c>
      <c r="B6" s="4108" t="inlineStr">
        <is>
          <t>135792468</t>
        </is>
      </c>
      <c r="C6" s="4108" t="inlineStr">
        <is>
          <t>202210</t>
        </is>
      </c>
      <c r="D6" s="4108" t="inlineStr">
        <is>
          <t>False</t>
        </is>
      </c>
      <c r="E6" s="4108" t="inlineStr">
        <is>
          <t>True</t>
        </is>
      </c>
      <c r="F6" s="4108" t="inlineStr">
        <is>
          <t>9</t>
        </is>
      </c>
      <c r="I6" s="4108" t="inlineStr">
        <is>
          <t>No Auditados</t>
        </is>
      </c>
      <c r="J6" s="4108" t="inlineStr">
        <is>
          <t>1000,00000000</t>
        </is>
      </c>
      <c r="K6" s="4108" t="inlineStr">
        <is>
          <t>3</t>
        </is>
      </c>
    </row>
    <row outlineLevel="0" r="7">
      <c r="A7" s="4108" t="inlineStr">
        <is>
          <t>135792468202209</t>
        </is>
      </c>
      <c r="B7" s="4108" t="inlineStr">
        <is>
          <t>135792468</t>
        </is>
      </c>
      <c r="C7" s="4108" t="inlineStr">
        <is>
          <t>202209</t>
        </is>
      </c>
      <c r="D7" s="4108" t="inlineStr">
        <is>
          <t>False</t>
        </is>
      </c>
      <c r="E7" s="4108" t="inlineStr">
        <is>
          <t>True</t>
        </is>
      </c>
      <c r="F7" s="4108" t="inlineStr">
        <is>
          <t>7</t>
        </is>
      </c>
      <c r="I7" s="4108" t="inlineStr">
        <is>
          <t>No Auditados</t>
        </is>
      </c>
      <c r="J7" s="4108" t="inlineStr">
        <is>
          <t>1000,00000000</t>
        </is>
      </c>
      <c r="K7" s="4108" t="inlineStr">
        <is>
          <t>3</t>
        </is>
      </c>
    </row>
    <row outlineLevel="0" r="8">
      <c r="A8" s="4108" t="inlineStr">
        <is>
          <t>135792468202207</t>
        </is>
      </c>
      <c r="B8" s="4108" t="inlineStr">
        <is>
          <t>135792468</t>
        </is>
      </c>
      <c r="C8" s="4108" t="inlineStr">
        <is>
          <t>202207</t>
        </is>
      </c>
      <c r="D8" s="4108" t="inlineStr">
        <is>
          <t>False</t>
        </is>
      </c>
      <c r="E8" s="4108" t="inlineStr">
        <is>
          <t>True</t>
        </is>
      </c>
      <c r="F8" s="4108" t="inlineStr">
        <is>
          <t>9</t>
        </is>
      </c>
      <c r="I8" s="4108" t="inlineStr">
        <is>
          <t>No Auditados</t>
        </is>
      </c>
      <c r="J8" s="4108" t="inlineStr">
        <is>
          <t>1000,00000000</t>
        </is>
      </c>
      <c r="K8" s="4108" t="inlineStr">
        <is>
          <t>3</t>
        </is>
      </c>
    </row>
    <row outlineLevel="0" r="9">
      <c r="A9" s="4108" t="inlineStr">
        <is>
          <t>135792468202107</t>
        </is>
      </c>
      <c r="B9" s="4108" t="inlineStr">
        <is>
          <t>135792468</t>
        </is>
      </c>
      <c r="C9" s="4108" t="inlineStr">
        <is>
          <t>202107</t>
        </is>
      </c>
      <c r="D9" s="4108" t="inlineStr">
        <is>
          <t>False</t>
        </is>
      </c>
      <c r="E9" s="4108" t="inlineStr">
        <is>
          <t>True</t>
        </is>
      </c>
      <c r="F9" s="4108" t="inlineStr">
        <is>
          <t>7</t>
        </is>
      </c>
      <c r="I9" s="4108" t="inlineStr">
        <is>
          <t>No Auditados</t>
        </is>
      </c>
      <c r="J9" s="4108" t="inlineStr">
        <is>
          <t>1,00000000</t>
        </is>
      </c>
      <c r="K9" s="4108" t="inlineStr">
        <is>
          <t>3</t>
        </is>
      </c>
    </row>
    <row outlineLevel="0" r="10">
      <c r="A10" s="4108" t="inlineStr">
        <is>
          <t>135792468202007</t>
        </is>
      </c>
      <c r="B10" s="4108" t="inlineStr">
        <is>
          <t>135792468</t>
        </is>
      </c>
      <c r="C10" s="4108" t="inlineStr">
        <is>
          <t>202007</t>
        </is>
      </c>
      <c r="D10" s="4108" t="inlineStr">
        <is>
          <t>False</t>
        </is>
      </c>
      <c r="E10" s="4108" t="inlineStr">
        <is>
          <t>True</t>
        </is>
      </c>
      <c r="F10" s="4108" t="inlineStr">
        <is>
          <t>7</t>
        </is>
      </c>
      <c r="I10" s="4108" t="inlineStr">
        <is>
          <t>No Auditados</t>
        </is>
      </c>
      <c r="J10" s="4108" t="inlineStr">
        <is>
          <t>1,00000000</t>
        </is>
      </c>
      <c r="K10" s="4108" t="inlineStr">
        <is>
          <t>3</t>
        </is>
      </c>
    </row>
    <row outlineLevel="0" r="11">
      <c r="A11" s="4108" t="inlineStr">
        <is>
          <t>135792468202006</t>
        </is>
      </c>
      <c r="B11" s="4108" t="inlineStr">
        <is>
          <t>135792468</t>
        </is>
      </c>
      <c r="C11" s="4108" t="inlineStr">
        <is>
          <t>202006</t>
        </is>
      </c>
      <c r="D11" s="4108" t="inlineStr">
        <is>
          <t>False</t>
        </is>
      </c>
      <c r="E11" s="4108" t="inlineStr">
        <is>
          <t>True</t>
        </is>
      </c>
      <c r="F11" s="4108" t="inlineStr">
        <is>
          <t>6</t>
        </is>
      </c>
      <c r="I11" s="4108" t="inlineStr">
        <is>
          <t>No Auditados</t>
        </is>
      </c>
      <c r="J11" s="4108" t="inlineStr">
        <is>
          <t>1,00000000</t>
        </is>
      </c>
      <c r="K11" s="4108" t="inlineStr">
        <is>
          <t>3</t>
        </is>
      </c>
    </row>
    <row outlineLevel="0" r="12">
      <c r="A12" s="4108" t="inlineStr">
        <is>
          <t>135792468201906</t>
        </is>
      </c>
      <c r="B12" s="4108" t="inlineStr">
        <is>
          <t>135792468</t>
        </is>
      </c>
      <c r="C12" s="4108" t="inlineStr">
        <is>
          <t>201906</t>
        </is>
      </c>
      <c r="D12" s="4108" t="inlineStr">
        <is>
          <t>False</t>
        </is>
      </c>
      <c r="E12" s="4108" t="inlineStr">
        <is>
          <t>True</t>
        </is>
      </c>
      <c r="F12" s="4108" t="inlineStr">
        <is>
          <t>6</t>
        </is>
      </c>
      <c r="I12" s="4108" t="inlineStr">
        <is>
          <t>No Auditados</t>
        </is>
      </c>
      <c r="J12" s="4108" t="inlineStr">
        <is>
          <t>1,00000000</t>
        </is>
      </c>
      <c r="K12" s="4108" t="inlineStr">
        <is>
          <t>3</t>
        </is>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5"/>
  <dimension ref="A1:G4"/>
  <sheetViews>
    <sheetView workbookViewId="0" rightToLeft="false">
      <selection sqref="A1:XFD1"/>
    </sheetView>
  </sheetViews>
  <sheetFormatPr baseColWidth="10" defaultRowHeight="14.5"/>
  <sheetData>
    <row spans="1:7" outlineLevel="0" r="1">
      <c r="A1" t="s">
        <v>122</v>
      </c>
      <c r="B1" t="s">
        <v>33</v>
      </c>
      <c r="C1" t="s">
        <v>137</v>
      </c>
      <c r="D1" t="s">
        <v>138</v>
      </c>
      <c r="E1" t="s">
        <v>6</v>
      </c>
      <c r="F1" t="s">
        <v>37</v>
      </c>
      <c r="G1" t="s">
        <v>139</v>
      </c>
    </row>
    <row outlineLevel="0" r="2">
      <c r="B2" s="4108" t="inlineStr">
        <is>
          <t>135792468</t>
        </is>
      </c>
      <c r="C2" s="4108" t="inlineStr">
        <is>
          <t>0614-080990-106-1</t>
        </is>
      </c>
      <c r="D2" s="4108" t="inlineStr">
        <is>
          <t>Judith Elena Velasco</t>
        </is>
      </c>
      <c r="E2" s="4108" t="inlineStr">
        <is>
          <t>Miembro Principal de Junta</t>
        </is>
      </c>
      <c r="F2" s="4108" t="inlineStr">
        <is>
          <t>6</t>
        </is>
      </c>
      <c r="G2" s="4108" t="inlineStr">
        <is>
          <t>Miembro Principal de Junta</t>
        </is>
      </c>
    </row>
    <row outlineLevel="0" r="3">
      <c r="B3" s="4108" t="inlineStr">
        <is>
          <t>135792468</t>
        </is>
      </c>
      <c r="C3" s="4108" t="inlineStr">
        <is>
          <t>0614-080990-106-2</t>
        </is>
      </c>
      <c r="D3" s="4108" t="inlineStr">
        <is>
          <t>Zoraya Liseth Rodriguez</t>
        </is>
      </c>
      <c r="E3" s="4108" t="inlineStr">
        <is>
          <t>Miembro Suplente de Junta</t>
        </is>
      </c>
      <c r="F3" s="4108" t="inlineStr">
        <is>
          <t>7</t>
        </is>
      </c>
      <c r="G3" s="4108" t="inlineStr">
        <is>
          <t>Miembro Suplente de Junta</t>
        </is>
      </c>
    </row>
    <row outlineLevel="0" r="4">
      <c r="B4" s="4108" t="inlineStr">
        <is>
          <t>135792468</t>
        </is>
      </c>
      <c r="C4" s="4108" t="inlineStr">
        <is>
          <t>0614-080990-106-3</t>
        </is>
      </c>
      <c r="D4" s="4108" t="inlineStr">
        <is>
          <t>Dora Lidian de Rodriguez</t>
        </is>
      </c>
      <c r="E4" s="4108" t="inlineStr">
        <is>
          <t>Miembro Suplente de Junta</t>
        </is>
      </c>
      <c r="F4" s="4108" t="inlineStr">
        <is>
          <t>7</t>
        </is>
      </c>
      <c r="G4" s="4108" t="inlineStr">
        <is>
          <t>Miembro Suplente de Junta</t>
        </is>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6"/>
  <dimension ref="A1:F4"/>
  <sheetViews>
    <sheetView workbookViewId="0" rightToLeft="false">
      <selection sqref="A1:XFD1"/>
    </sheetView>
  </sheetViews>
  <sheetFormatPr baseColWidth="10" defaultRowHeight="14.5"/>
  <sheetData>
    <row spans="1:6" outlineLevel="0" r="1">
      <c r="A1" t="s">
        <v>122</v>
      </c>
      <c r="B1" t="s">
        <v>0</v>
      </c>
      <c r="C1" t="s">
        <v>140</v>
      </c>
      <c r="D1" t="s">
        <v>141</v>
      </c>
      <c r="E1" t="s">
        <v>111</v>
      </c>
      <c r="F1" t="s">
        <v>32</v>
      </c>
    </row>
    <row outlineLevel="0" r="2">
      <c r="B2" s="4108" t="inlineStr">
        <is>
          <t>135792468</t>
        </is>
      </c>
      <c r="C2" s="4108" t="inlineStr">
        <is>
          <t>135792468</t>
        </is>
      </c>
      <c r="D2" s="4108" t="inlineStr">
        <is>
          <t>Dora Lidian de Rodriguez</t>
        </is>
      </c>
      <c r="E2" s="4108" t="inlineStr">
        <is>
          <t>40,00</t>
        </is>
      </c>
      <c r="F2" s="4108" t="inlineStr">
        <is>
          <t>2</t>
        </is>
      </c>
    </row>
    <row outlineLevel="0" r="3">
      <c r="B3" s="4108" t="inlineStr">
        <is>
          <t>135792468</t>
        </is>
      </c>
      <c r="C3" s="4108" t="inlineStr">
        <is>
          <t>135792468</t>
        </is>
      </c>
      <c r="D3" s="4108" t="inlineStr">
        <is>
          <t>Judith Elena Velasco</t>
        </is>
      </c>
      <c r="E3" s="4108" t="inlineStr">
        <is>
          <t>30,00</t>
        </is>
      </c>
      <c r="F3" s="4108" t="inlineStr">
        <is>
          <t>2</t>
        </is>
      </c>
    </row>
    <row outlineLevel="0" r="4">
      <c r="B4" s="4108" t="inlineStr">
        <is>
          <t>135792468</t>
        </is>
      </c>
      <c r="C4" s="4108" t="inlineStr">
        <is>
          <t>135792468</t>
        </is>
      </c>
      <c r="D4" s="4108" t="inlineStr">
        <is>
          <t>Zoraya Liseth Rodriguez</t>
        </is>
      </c>
      <c r="E4" s="4108" t="inlineStr">
        <is>
          <t>30,00</t>
        </is>
      </c>
      <c r="F4" s="4108" t="inlineStr">
        <is>
          <t>2</t>
        </is>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17"/>
  <dimension ref="A1:F2"/>
  <sheetViews>
    <sheetView workbookViewId="0">
      <selection sqref="A1:XFD2"/>
    </sheetView>
  </sheetViews>
  <sheetFormatPr baseColWidth="10" defaultRowHeight="14.5"/>
  <sheetData>
    <row r="1" spans="1:6">
      <c r="A1" t="s">
        <v>142</v>
      </c>
      <c r="B1" t="s">
        <v>143</v>
      </c>
      <c r="C1" t="s">
        <v>144</v>
      </c>
      <c r="D1" t="s">
        <v>145</v>
      </c>
      <c r="E1" t="s">
        <v>146</v>
      </c>
      <c r="F1" t="s">
        <v>147</v>
      </c>
    </row>
    <row r="2" spans="1:6">
      <c r="A2" t="s">
        <v>148</v>
      </c>
      <c r="B2" t="s">
        <v>148</v>
      </c>
      <c r="C2" t="s">
        <v>148</v>
      </c>
      <c r="D2" t="s">
        <v>148</v>
      </c>
      <c r="E2" t="s">
        <v>148</v>
      </c>
      <c r="F2" t="s">
        <v>148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18"/>
  <dimension ref="A1:K1"/>
  <sheetViews>
    <sheetView workbookViewId="0">
      <selection sqref="A1:XFD1"/>
    </sheetView>
  </sheetViews>
  <sheetFormatPr baseColWidth="10" defaultRowHeight="14.5"/>
  <sheetData>
    <row r="1" spans="1:11">
      <c r="A1" t="s">
        <v>149</v>
      </c>
      <c r="B1" t="s">
        <v>150</v>
      </c>
      <c r="C1" t="s">
        <v>151</v>
      </c>
      <c r="D1" t="s">
        <v>152</v>
      </c>
      <c r="E1" t="s">
        <v>153</v>
      </c>
      <c r="F1" t="s">
        <v>154</v>
      </c>
      <c r="G1" t="s">
        <v>155</v>
      </c>
      <c r="H1" t="s">
        <v>156</v>
      </c>
      <c r="I1" t="s">
        <v>157</v>
      </c>
      <c r="J1" t="s">
        <v>158</v>
      </c>
      <c r="K1" t="s">
        <v>159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9"/>
  <dimension ref="A1"/>
  <sheetViews>
    <sheetView workbookViewId="0">
      <selection sqref="A1:XFD1"/>
    </sheetView>
  </sheetViews>
  <sheetFormatPr baseColWidth="10" defaultRowHeight="14.5"/>
  <sheetData>
    <row r="1" spans="1:1">
      <c r="A1" t="s">
        <v>156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20"/>
  <dimension ref="A1:K2"/>
  <sheetViews>
    <sheetView workbookViewId="0">
      <selection activeCell="E18" sqref="E18"/>
    </sheetView>
  </sheetViews>
  <sheetFormatPr baseColWidth="10" defaultRowHeight="14.5"/>
  <sheetData>
    <row r="1" spans="1:11">
      <c r="A1" t="s">
        <v>142</v>
      </c>
      <c r="B1" t="s">
        <v>147</v>
      </c>
      <c r="C1" t="s">
        <v>160</v>
      </c>
      <c r="D1" t="s">
        <v>161</v>
      </c>
      <c r="E1" t="s">
        <v>162</v>
      </c>
      <c r="F1" t="s">
        <v>163</v>
      </c>
      <c r="G1" t="s">
        <v>164</v>
      </c>
      <c r="H1" t="s">
        <v>165</v>
      </c>
      <c r="I1" t="s">
        <v>166</v>
      </c>
      <c r="J1" t="s">
        <v>167</v>
      </c>
      <c r="K1" t="s">
        <v>168</v>
      </c>
    </row>
    <row r="2" spans="1:11">
      <c r="A2" t="s">
        <v>169</v>
      </c>
      <c r="B2" t="s">
        <v>170</v>
      </c>
      <c r="C2" t="s">
        <v>170</v>
      </c>
      <c r="D2" t="s">
        <v>170</v>
      </c>
      <c r="E2" t="s">
        <v>170</v>
      </c>
      <c r="F2" t="s">
        <v>170</v>
      </c>
      <c r="G2" t="s">
        <v>170</v>
      </c>
      <c r="H2" t="s">
        <v>170</v>
      </c>
      <c r="I2" t="s">
        <v>170</v>
      </c>
      <c r="J2" t="s">
        <v>170</v>
      </c>
      <c r="K2" t="s">
        <v>170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21"/>
  <dimension ref="A1:K2"/>
  <sheetViews>
    <sheetView workbookViewId="0">
      <selection activeCell="F17" sqref="F17"/>
    </sheetView>
  </sheetViews>
  <sheetFormatPr baseColWidth="10" defaultRowHeight="14.5"/>
  <sheetData>
    <row r="1" spans="1:11">
      <c r="A1" t="s">
        <v>171</v>
      </c>
      <c r="B1" t="s">
        <v>172</v>
      </c>
      <c r="C1" t="s">
        <v>173</v>
      </c>
      <c r="D1" t="s">
        <v>98</v>
      </c>
      <c r="E1" t="s">
        <v>96</v>
      </c>
      <c r="F1" t="s">
        <v>174</v>
      </c>
      <c r="G1" t="s">
        <v>175</v>
      </c>
      <c r="H1" t="s">
        <v>176</v>
      </c>
      <c r="I1" t="s">
        <v>177</v>
      </c>
      <c r="J1" t="s">
        <v>33</v>
      </c>
      <c r="K1" t="s">
        <v>147</v>
      </c>
    </row>
    <row r="2" spans="1:11">
      <c r="A2" t="s">
        <v>169</v>
      </c>
      <c r="B2" t="s">
        <v>169</v>
      </c>
      <c r="C2" t="s">
        <v>169</v>
      </c>
      <c r="D2" t="s">
        <v>169</v>
      </c>
      <c r="E2" t="s">
        <v>169</v>
      </c>
      <c r="F2" t="s">
        <v>169</v>
      </c>
      <c r="G2" t="s">
        <v>169</v>
      </c>
      <c r="H2" t="s">
        <v>169</v>
      </c>
      <c r="I2" t="s">
        <v>169</v>
      </c>
      <c r="J2" t="s">
        <v>169</v>
      </c>
      <c r="K2" t="s">
        <v>169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2"/>
  <dimension ref="A1:F2"/>
  <sheetViews>
    <sheetView workbookViewId="0"/>
  </sheetViews>
  <sheetFormatPr baseColWidth="10" defaultRowHeight="14.5"/>
  <sheetData>
    <row r="1" spans="1:6">
      <c r="A1" t="s">
        <v>178</v>
      </c>
      <c r="B1" t="s">
        <v>179</v>
      </c>
      <c r="C1" t="s">
        <v>180</v>
      </c>
      <c r="D1" t="s">
        <v>181</v>
      </c>
      <c r="E1" t="s">
        <v>33</v>
      </c>
      <c r="F1" t="s">
        <v>147</v>
      </c>
    </row>
    <row r="2" spans="1:6">
      <c r="A2" t="s">
        <v>169</v>
      </c>
      <c r="B2" t="s">
        <v>169</v>
      </c>
      <c r="C2" t="s">
        <v>169</v>
      </c>
      <c r="D2" t="s">
        <v>169</v>
      </c>
      <c r="E2" t="s">
        <v>169</v>
      </c>
      <c r="F2" t="s">
        <v>169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3"/>
  <dimension ref="A1:F2"/>
  <sheetViews>
    <sheetView workbookViewId="0"/>
  </sheetViews>
  <sheetFormatPr baseColWidth="10" defaultRowHeight="14.5"/>
  <sheetData>
    <row r="1" spans="1:6">
      <c r="A1" t="s">
        <v>182</v>
      </c>
      <c r="B1" t="s">
        <v>33</v>
      </c>
      <c r="C1" t="s">
        <v>147</v>
      </c>
      <c r="D1" t="s">
        <v>121</v>
      </c>
      <c r="E1" t="s">
        <v>110</v>
      </c>
      <c r="F1" t="s">
        <v>113</v>
      </c>
    </row>
    <row r="2" spans="1:6">
      <c r="A2" t="s">
        <v>169</v>
      </c>
      <c r="B2" t="s">
        <v>169</v>
      </c>
      <c r="C2" t="s">
        <v>169</v>
      </c>
      <c r="D2" t="s">
        <v>169</v>
      </c>
      <c r="E2" t="s">
        <v>169</v>
      </c>
      <c r="F2" t="s">
        <v>169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24"/>
  <dimension ref="A1:G2"/>
  <sheetViews>
    <sheetView workbookViewId="0"/>
  </sheetViews>
  <sheetFormatPr baseColWidth="10" defaultRowHeight="14.5"/>
  <sheetData>
    <row r="1" spans="1:7">
      <c r="A1" t="s">
        <v>33</v>
      </c>
      <c r="B1" t="s">
        <v>183</v>
      </c>
      <c r="C1" t="s">
        <v>147</v>
      </c>
      <c r="D1" t="s">
        <v>114</v>
      </c>
      <c r="E1" t="s">
        <v>184</v>
      </c>
      <c r="F1" t="s">
        <v>28</v>
      </c>
      <c r="G1" t="s">
        <v>113</v>
      </c>
    </row>
    <row r="2" spans="1:7">
      <c r="A2" t="s">
        <v>169</v>
      </c>
      <c r="B2" t="s">
        <v>169</v>
      </c>
      <c r="C2" t="s">
        <v>169</v>
      </c>
      <c r="D2" t="s">
        <v>169</v>
      </c>
      <c r="E2" t="s">
        <v>169</v>
      </c>
      <c r="F2" t="s">
        <v>169</v>
      </c>
      <c r="G2" t="s">
        <v>169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Hoja25"/>
  <dimension ref="A1:F2"/>
  <sheetViews>
    <sheetView workbookViewId="0"/>
  </sheetViews>
  <sheetFormatPr baseColWidth="10" defaultRowHeight="14.5"/>
  <sheetData>
    <row r="1" spans="1:6">
      <c r="A1" t="s">
        <v>33</v>
      </c>
      <c r="B1" t="s">
        <v>185</v>
      </c>
      <c r="C1" t="s">
        <v>147</v>
      </c>
      <c r="D1" t="s">
        <v>112</v>
      </c>
      <c r="E1" t="s">
        <v>113</v>
      </c>
      <c r="F1" t="s">
        <v>28</v>
      </c>
    </row>
    <row r="2" spans="1:6">
      <c r="A2" t="s">
        <v>169</v>
      </c>
      <c r="B2" t="s">
        <v>169</v>
      </c>
      <c r="C2" t="s">
        <v>169</v>
      </c>
      <c r="D2" t="s">
        <v>169</v>
      </c>
      <c r="E2" t="s">
        <v>169</v>
      </c>
      <c r="F2" t="s">
        <v>169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Hoja26"/>
  <dimension ref="A1:F2"/>
  <sheetViews>
    <sheetView workbookViewId="0"/>
  </sheetViews>
  <sheetFormatPr baseColWidth="10" defaultRowHeight="14.5"/>
  <sheetData>
    <row r="1" spans="1:6">
      <c r="A1" t="s">
        <v>33</v>
      </c>
      <c r="B1" t="s">
        <v>186</v>
      </c>
      <c r="C1" t="s">
        <v>147</v>
      </c>
      <c r="D1" t="s">
        <v>110</v>
      </c>
      <c r="E1" t="s">
        <v>111</v>
      </c>
      <c r="F1" t="s">
        <v>187</v>
      </c>
    </row>
    <row r="2" spans="1:6">
      <c r="A2" t="s">
        <v>169</v>
      </c>
      <c r="B2" t="s">
        <v>169</v>
      </c>
      <c r="C2" t="s">
        <v>169</v>
      </c>
      <c r="D2" t="s">
        <v>169</v>
      </c>
      <c r="E2" t="s">
        <v>169</v>
      </c>
      <c r="F2" t="s">
        <v>169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27"/>
  <dimension ref="A1:O2"/>
  <sheetViews>
    <sheetView workbookViewId="0"/>
  </sheetViews>
  <sheetFormatPr baseColWidth="10" defaultRowHeight="14.5"/>
  <sheetData>
    <row r="1" spans="1:15">
      <c r="A1" t="s">
        <v>142</v>
      </c>
      <c r="B1" t="s">
        <v>147</v>
      </c>
      <c r="C1" t="s">
        <v>188</v>
      </c>
      <c r="D1" t="s">
        <v>189</v>
      </c>
      <c r="E1" t="s">
        <v>190</v>
      </c>
      <c r="F1" t="s">
        <v>28</v>
      </c>
      <c r="G1" t="s">
        <v>66</v>
      </c>
      <c r="H1" t="s">
        <v>92</v>
      </c>
      <c r="I1" t="s">
        <v>191</v>
      </c>
      <c r="J1" t="s">
        <v>192</v>
      </c>
      <c r="K1" t="s">
        <v>193</v>
      </c>
      <c r="L1" t="s">
        <v>194</v>
      </c>
      <c r="M1" t="s">
        <v>195</v>
      </c>
      <c r="N1" t="s">
        <v>196</v>
      </c>
      <c r="O1" t="s">
        <v>197</v>
      </c>
    </row>
    <row r="2" spans="1:15">
      <c r="A2" t="s">
        <v>198</v>
      </c>
      <c r="B2" t="s">
        <v>198</v>
      </c>
      <c r="C2" t="s">
        <v>198</v>
      </c>
      <c r="D2" t="s">
        <v>198</v>
      </c>
      <c r="E2" t="s">
        <v>198</v>
      </c>
      <c r="F2" t="s">
        <v>198</v>
      </c>
      <c r="G2" t="s">
        <v>198</v>
      </c>
      <c r="H2" t="s">
        <v>198</v>
      </c>
      <c r="I2" t="s">
        <v>198</v>
      </c>
      <c r="J2" t="s">
        <v>198</v>
      </c>
      <c r="K2" t="s">
        <v>198</v>
      </c>
      <c r="L2" t="s">
        <v>198</v>
      </c>
      <c r="M2" t="s">
        <v>198</v>
      </c>
      <c r="N2" t="s">
        <v>198</v>
      </c>
      <c r="O2" t="s">
        <v>198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28"/>
  <dimension ref="A1:E1"/>
  <sheetViews>
    <sheetView workbookViewId="0"/>
  </sheetViews>
  <sheetFormatPr baseColWidth="10" defaultRowHeight="14.5"/>
  <sheetData>
    <row r="1" spans="1:5">
      <c r="A1" t="s">
        <v>122</v>
      </c>
      <c r="B1" t="s">
        <v>38</v>
      </c>
      <c r="C1" t="s">
        <v>0</v>
      </c>
      <c r="D1" t="s">
        <v>39</v>
      </c>
      <c r="E1" t="s">
        <v>42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sheetPr codeName="Hoja29"/>
  <dimension ref="A1:K1"/>
  <sheetViews>
    <sheetView workbookViewId="0"/>
  </sheetViews>
  <sheetFormatPr baseColWidth="10" defaultRowHeight="14.5"/>
  <sheetData>
    <row r="1" spans="1:11">
      <c r="A1" t="s">
        <v>142</v>
      </c>
      <c r="B1" t="s">
        <v>147</v>
      </c>
      <c r="C1" t="s">
        <v>160</v>
      </c>
      <c r="D1" t="s">
        <v>161</v>
      </c>
      <c r="E1" t="s">
        <v>162</v>
      </c>
      <c r="F1" t="s">
        <v>163</v>
      </c>
      <c r="G1" t="s">
        <v>164</v>
      </c>
      <c r="H1" t="s">
        <v>165</v>
      </c>
      <c r="I1" t="s">
        <v>166</v>
      </c>
      <c r="J1" t="s">
        <v>167</v>
      </c>
      <c r="K1" t="s">
        <v>168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sheetPr codeName="Hoja30"/>
  <dimension ref="A1:F1"/>
  <sheetViews>
    <sheetView workbookViewId="0"/>
  </sheetViews>
  <sheetFormatPr baseColWidth="10" defaultRowHeight="14.5"/>
  <sheetData>
    <row r="1" spans="1:6">
      <c r="A1" t="s">
        <v>33</v>
      </c>
      <c r="B1" t="s">
        <v>199</v>
      </c>
      <c r="C1" t="s">
        <v>200</v>
      </c>
      <c r="D1" t="s">
        <v>201</v>
      </c>
      <c r="E1" t="s">
        <v>202</v>
      </c>
      <c r="F1" t="s">
        <v>203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sheetPr codeName="Hoja31"/>
  <dimension ref="A1:D1"/>
  <sheetViews>
    <sheetView workbookViewId="0"/>
  </sheetViews>
  <sheetFormatPr baseColWidth="10" defaultRowHeight="14.5"/>
  <sheetData>
    <row r="1" spans="1:4">
      <c r="A1" t="s">
        <v>33</v>
      </c>
      <c r="B1" t="s">
        <v>143</v>
      </c>
      <c r="C1" t="s">
        <v>147</v>
      </c>
      <c r="D1" t="s">
        <v>204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sheetPr codeName="Hoja32"/>
  <dimension ref="A1:G1"/>
  <sheetViews>
    <sheetView workbookViewId="0"/>
  </sheetViews>
  <sheetFormatPr baseColWidth="10" defaultRowHeight="14.5"/>
  <sheetData>
    <row r="1" spans="1:7">
      <c r="A1" t="s">
        <v>142</v>
      </c>
      <c r="B1" t="s">
        <v>143</v>
      </c>
      <c r="C1" t="s">
        <v>144</v>
      </c>
      <c r="D1" t="s">
        <v>145</v>
      </c>
      <c r="E1" t="s">
        <v>146</v>
      </c>
      <c r="F1" t="s">
        <v>147</v>
      </c>
      <c r="G1" t="s">
        <v>205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sheetPr codeName="Hoja33"/>
  <dimension ref="A1"/>
  <sheetViews>
    <sheetView workbookViewId="0"/>
  </sheetViews>
  <sheetFormatPr baseColWidth="10" defaultRowHeight="14.5"/>
  <sheetData/>
  <pageMargins left="0.7" right="0.7" top="0.75" bottom="0.75" header="0.3" footer="0.3"/>
</worksheet>
</file>

<file path=xl/worksheets/sheet34.xml><?xml version="1.0" encoding="utf-8"?>
<worksheet xmlns="http://schemas.openxmlformats.org/spreadsheetml/2006/main" xmlns:r="http://schemas.openxmlformats.org/officeDocument/2006/relationships">
  <sheetPr codeName="Hoja34"/>
  <dimension ref="A1:N56"/>
  <sheetViews>
    <sheetView showGridLines="0" showRowColHeaders="0" tabSelected="1" workbookViewId="0"/>
  </sheetViews>
  <sheetFormatPr baseColWidth="10" defaultColWidth="11.453125" defaultRowHeight="14.5"/>
  <cols>
    <col min="1" max="1" width="5.7265625" customWidth="1"/>
    <col min="2" max="2" width="6.1796875" customWidth="1"/>
    <col min="3" max="3" width="31.81640625" customWidth="1"/>
    <col min="4" max="4" width="61.7265625" customWidth="1"/>
    <col min="5" max="6" width="11.453125" style="5"/>
    <col min="7" max="8" width="11.453125" style="4"/>
    <col min="9" max="10" width="0" style="4" hidden="1" customWidth="1"/>
    <col min="11" max="14" width="11.453125" style="4"/>
    <col min="15" max="16384" width="11.453125" style="5"/>
  </cols>
  <sheetData>
    <row r="1" spans="1:12" ht="4.5" customHeight="1">
      <c r="A1" s="2"/>
      <c r="B1" s="2"/>
      <c r="C1" s="2"/>
      <c r="D1" s="2"/>
      <c r="E1" s="3"/>
      <c r="F1" s="3"/>
    </row>
    <row r="2" spans="1:12" ht="4.5" customHeight="1">
      <c r="A2" s="2"/>
      <c r="B2" s="2"/>
      <c r="C2" s="2"/>
      <c r="D2" s="2"/>
      <c r="E2" s="3"/>
      <c r="F2" s="3"/>
      <c r="L2" s="4">
        <f>IFERROR(VLOOKUP(D6,I4:J53,2,0),0)</f>
        <v>0</v>
      </c>
    </row>
    <row r="3" spans="1:12">
      <c r="A3" s="2"/>
      <c r="B3" s="3969" t="s">
        <v>206</v>
      </c>
      <c r="C3" s="3969"/>
      <c r="D3" s="3969"/>
      <c r="E3" s="3"/>
      <c r="F3" s="3"/>
    </row>
    <row r="4" spans="1:12">
      <c r="A4" s="2"/>
      <c r="B4" s="3970" t="s">
        <v>2676</v>
      </c>
      <c r="C4" s="3970"/>
      <c r="D4" s="3970"/>
      <c r="E4" s="3"/>
      <c r="F4" s="3"/>
    </row>
    <row r="5" spans="1:12" ht="4.5" customHeight="1" thickBot="1">
      <c r="A5" s="2"/>
      <c r="E5" s="3"/>
      <c r="F5" s="3"/>
    </row>
    <row r="6" spans="1:12" ht="15.5">
      <c r="A6" s="5"/>
      <c r="B6" s="3971" t="s">
        <v>207</v>
      </c>
      <c r="C6" s="3972"/>
      <c r="D6" s="6">
        <f>G6</f>
        <v>0</v>
      </c>
      <c r="E6" s="3"/>
      <c r="F6" s="3"/>
      <c r="G6" s="7">
        <f>Caratula1!A3</f>
        <v>0</v>
      </c>
    </row>
    <row r="7" spans="1:12" ht="15.5">
      <c r="A7" s="5"/>
      <c r="B7" s="3973" t="s">
        <v>208</v>
      </c>
      <c r="C7" s="3974"/>
      <c r="D7" s="8" t="str">
        <f>Fortalezas!AC4</f>
        <v/>
      </c>
      <c r="E7" s="3"/>
      <c r="F7" s="3"/>
      <c r="G7" s="7" t="str">
        <f>IF(Caratula1!A4=0,"",Caratula1!A4)</f>
        <v/>
      </c>
    </row>
    <row r="8" spans="1:12">
      <c r="A8" s="5"/>
      <c r="B8" s="3975" t="s">
        <v>48</v>
      </c>
      <c r="C8" s="3976"/>
      <c r="D8" s="9" t="str">
        <f>Fortalezas!AC17</f>
        <v/>
      </c>
      <c r="E8" s="3"/>
      <c r="F8" s="3"/>
      <c r="G8" s="7" t="str">
        <f>IF(Caratula1!A5=0,"",Caratula1!A5)</f>
        <v/>
      </c>
    </row>
    <row r="9" spans="1:12">
      <c r="B9" s="3975" t="s">
        <v>18</v>
      </c>
      <c r="C9" s="3976"/>
      <c r="D9" s="10" t="str">
        <f>Fortalezas!AC18</f>
        <v/>
      </c>
      <c r="E9" s="3"/>
      <c r="F9" s="3"/>
      <c r="G9" s="7" t="str">
        <f>IF(Caratula1!A6=0,"",Caratula1!A6)</f>
        <v/>
      </c>
    </row>
    <row r="10" spans="1:12" ht="15" thickBot="1">
      <c r="B10" s="3977" t="s">
        <v>209</v>
      </c>
      <c r="C10" s="3978"/>
      <c r="D10" s="11" t="str">
        <f>Fortalezas!AC7</f>
        <v/>
      </c>
      <c r="E10" s="3"/>
      <c r="F10" s="3"/>
      <c r="G10" s="7" t="str">
        <f>IF(Caratula1!A7=0,"",Caratula1!A7)</f>
        <v/>
      </c>
    </row>
    <row r="11" spans="1:12" ht="5.25" customHeight="1">
      <c r="A11" s="5"/>
      <c r="B11" s="5"/>
      <c r="C11" s="5"/>
      <c r="D11" s="5"/>
      <c r="E11" s="3"/>
      <c r="F11" s="3"/>
      <c r="G11" s="7" t="str">
        <f>IF(Caratula1!A8=0,"",Caratula1!A8)</f>
        <v/>
      </c>
    </row>
    <row r="12" spans="1:12">
      <c r="A12" s="12"/>
      <c r="B12" s="13">
        <f t="shared" ref="B12:B20" si="0">IF(C12&lt;&gt;"",1,0)</f>
        <v>1</v>
      </c>
      <c r="C12" s="3979" t="str">
        <f>IF(OR(D6="",D6=0),"Debe ingresar el NIT de la Compañía, de lo contrario no se actualizará la información que Digite",IF(OR(D7="",D7=0),"Debe ingresar el Nombre de la Compañía, de lo contrario no se actualizará la información que Digite",""))</f>
        <v>Debe ingresar el NIT de la Compañía, de lo contrario no se actualizará la información que Digite</v>
      </c>
      <c r="D12" s="3980"/>
      <c r="G12" s="7" t="str">
        <f>IF(Caratula1!A9=0,"",Caratula1!A9)</f>
        <v/>
      </c>
    </row>
    <row r="13" spans="1:12">
      <c r="A13" s="12"/>
      <c r="B13" s="13">
        <f t="shared" si="0"/>
        <v>0</v>
      </c>
      <c r="C13" s="3981" t="str">
        <f>IF(L2=1,"Empresa ya analizada. No se permitirá trabajar  nuevamente","")</f>
        <v/>
      </c>
      <c r="D13" s="3982"/>
      <c r="G13" s="7" t="str">
        <f>IF(Caratula1!A10=0,"",Caratula1!A10)</f>
        <v/>
      </c>
    </row>
    <row r="14" spans="1:12">
      <c r="A14" s="5"/>
      <c r="B14" s="13">
        <f t="shared" si="0"/>
        <v>0</v>
      </c>
      <c r="C14" s="3967" t="str">
        <f>'Estados Financieros'!E464</f>
        <v/>
      </c>
      <c r="D14" s="3968"/>
      <c r="G14" s="7" t="str">
        <f>IF(Caratula1!A11=0,"",Caratula1!A11)</f>
        <v/>
      </c>
    </row>
    <row r="15" spans="1:12">
      <c r="A15" s="5"/>
      <c r="B15" s="13">
        <f t="shared" si="0"/>
        <v>0</v>
      </c>
      <c r="C15" s="3967" t="str">
        <f>'Estados Financieros'!E470</f>
        <v/>
      </c>
      <c r="D15" s="3968"/>
      <c r="G15" s="7" t="str">
        <f>IF(Caratula1!A12=0,"",Caratula1!A12)</f>
        <v/>
      </c>
    </row>
    <row r="16" spans="1:12">
      <c r="A16" s="5"/>
      <c r="B16" s="13">
        <f t="shared" si="0"/>
        <v>0</v>
      </c>
      <c r="C16" s="3967" t="str">
        <f>'Estados Financieros'!E472</f>
        <v/>
      </c>
      <c r="D16" s="3968"/>
      <c r="G16" s="7" t="str">
        <f>IF(Caratula1!A13=0,"",Caratula1!A13)</f>
        <v/>
      </c>
    </row>
    <row r="17" spans="1:7">
      <c r="A17" s="12"/>
      <c r="B17" s="13">
        <f t="shared" si="0"/>
        <v>0</v>
      </c>
      <c r="C17" s="3967" t="str">
        <f>IF(AND('Estados Financieros'!F466="",'Estados Financieros'!G466="",'Estados Financieros'!H466="",'Estados Financieros'!I466=""),"","Desglose la cuenta - Gastos Financieros - Intereses -, ya que existen Pasivos Financieros CP o LP, para los años"&amp;'Estados Financieros'!F466&amp;'Estados Financieros'!G466&amp;'Estados Financieros'!H466&amp;'Estados Financieros'!I466&amp;" - ")</f>
        <v/>
      </c>
      <c r="D17" s="3968"/>
      <c r="G17" s="7" t="str">
        <f>IF(Caratula1!A14=0,"",Caratula1!A14)</f>
        <v/>
      </c>
    </row>
    <row r="18" spans="1:7">
      <c r="A18" s="12"/>
      <c r="B18" s="13">
        <f t="shared" si="0"/>
        <v>0</v>
      </c>
      <c r="C18" s="3967"/>
      <c r="D18" s="3968"/>
      <c r="G18" s="7" t="str">
        <f>IF(Caratula1!A15=0,"",Caratula1!A15)</f>
        <v/>
      </c>
    </row>
    <row r="19" spans="1:7">
      <c r="A19" s="12"/>
      <c r="B19" s="13">
        <f t="shared" si="0"/>
        <v>0</v>
      </c>
      <c r="C19" s="3967" t="str">
        <f>IF(D9&lt;90,"No se permitirá ingresar la empresa, hasta no tener el código Ciiu - ","")</f>
        <v/>
      </c>
      <c r="D19" s="3968"/>
      <c r="G19" s="7" t="str">
        <f>IF(Caratula1!A16=0,"",Caratula1!A16)</f>
        <v/>
      </c>
    </row>
    <row r="20" spans="1:7">
      <c r="A20" s="12"/>
      <c r="B20" s="13">
        <f t="shared" si="0"/>
        <v>1</v>
      </c>
      <c r="C20" s="3967" t="str">
        <f>IF(D10="","No se permitirá ingresar la empresa, hasta no tener la actividad Económica - ","")</f>
        <v xml:space="preserve">No se permitirá ingresar la empresa, hasta no tener la actividad Económica - </v>
      </c>
      <c r="D20" s="3968"/>
      <c r="G20" s="7" t="str">
        <f>IF(Caratula1!A17=0,"",Caratula1!A17)</f>
        <v/>
      </c>
    </row>
    <row r="21" spans="1:7">
      <c r="A21" s="12"/>
      <c r="B21" s="13">
        <f>SUM(B12:B20)</f>
        <v>2</v>
      </c>
      <c r="C21" s="3967" t="str">
        <f>IF(AND('Estados Financieros'!F465="",'Estados Financieros'!G465="",'Estados Financieros'!H465="",'Estados Financieros'!I465=""),"","Es necesario validar las variaciones de las depreciaciones del Periodo "&amp;'Estados Financieros'!F465&amp;'Estados Financieros'!G465&amp;'Estados Financieros'!H465&amp;'Estados Financieros'!I465&amp;" - ")</f>
        <v/>
      </c>
      <c r="D21" s="3968"/>
      <c r="G21" s="7" t="str">
        <f>IF(Caratula1!A18=0,"",Caratula1!A18)</f>
        <v/>
      </c>
    </row>
    <row r="22" spans="1:7">
      <c r="A22" s="14"/>
      <c r="B22" s="4"/>
      <c r="C22" s="3967" t="str">
        <f>IF(AND('Estados Financieros'!F467="",'Estados Financieros'!G467="",'Estados Financieros'!H467="",'Estados Financieros'!I467=""),"","Es necesario validar las variaciones de los Ingresos Operacionales para los años: "&amp;'Estados Financieros'!F467&amp;'Estados Financieros'!G467&amp;'Estados Financieros'!H467&amp;'Estados Financieros'!I467&amp;" - ")</f>
        <v/>
      </c>
      <c r="D22" s="3968"/>
      <c r="G22" s="7" t="str">
        <f>IF(Caratula1!A19=0,"",Caratula1!A19)</f>
        <v/>
      </c>
    </row>
    <row r="23" spans="1:7">
      <c r="A23" s="14"/>
      <c r="B23" s="14"/>
      <c r="C23" s="1" t="str">
        <f>IF(AND('Estados Financieros'!F468="",'Estados Financieros'!G468="",'Estados Financieros'!H468="",'Estados Financieros'!I468=""),"","Es necesario validar las variaciones del Patrimonio para los años "&amp;'Estados Financieros'!F468&amp;'Estados Financieros'!G468&amp;'Estados Financieros'!H468&amp;'Estados Financieros'!I468&amp;" - ")</f>
        <v/>
      </c>
      <c r="D23" s="3966"/>
      <c r="G23" s="7" t="str">
        <f>IF(Caratula1!A20=0,"",Caratula1!A20)</f>
        <v/>
      </c>
    </row>
    <row r="24" spans="1:7">
      <c r="A24" s="14"/>
      <c r="B24" s="14"/>
      <c r="C24" s="15"/>
      <c r="D24" s="15"/>
      <c r="G24" s="7" t="str">
        <f>IF(Caratula1!A21=0,"",Caratula1!A21)</f>
        <v/>
      </c>
    </row>
    <row r="25" spans="1:7">
      <c r="A25" s="14"/>
      <c r="B25" s="14"/>
      <c r="G25" s="7" t="str">
        <f>IF(Caratula1!A22=0,"",Caratula1!A22)</f>
        <v/>
      </c>
    </row>
    <row r="26" spans="1:7">
      <c r="A26" s="14"/>
      <c r="B26" s="14"/>
      <c r="G26" s="7" t="str">
        <f>IF(Caratula1!A23=0,"",Caratula1!A23)</f>
        <v/>
      </c>
    </row>
    <row r="27" spans="1:7">
      <c r="A27" s="14"/>
      <c r="B27" s="14"/>
      <c r="G27" s="7" t="str">
        <f>IF(Caratula1!A24=0,"",Caratula1!A24)</f>
        <v/>
      </c>
    </row>
    <row r="28" spans="1:7">
      <c r="A28" s="14"/>
      <c r="G28" s="7" t="str">
        <f>IF(Caratula1!A25=0,"",Caratula1!A25)</f>
        <v/>
      </c>
    </row>
    <row r="29" spans="1:7">
      <c r="A29" s="14"/>
      <c r="G29" s="7" t="str">
        <f>IF(Caratula1!A26=0,"",Caratula1!A26)</f>
        <v/>
      </c>
    </row>
    <row r="30" spans="1:7">
      <c r="G30" s="7" t="str">
        <f>IF(Caratula1!A27=0,"",Caratula1!A27)</f>
        <v/>
      </c>
    </row>
    <row r="31" spans="1:7">
      <c r="G31" s="7" t="str">
        <f>IF(Caratula1!A28=0,"",Caratula1!A28)</f>
        <v/>
      </c>
    </row>
    <row r="32" spans="1:7">
      <c r="G32" s="7" t="str">
        <f>IF(Caratula1!A29=0,"",Caratula1!A29)</f>
        <v/>
      </c>
    </row>
    <row r="33" spans="7:7">
      <c r="G33" s="7" t="str">
        <f>IF(Caratula1!A30=0,"",Caratula1!A30)</f>
        <v/>
      </c>
    </row>
    <row r="34" spans="7:7">
      <c r="G34" s="7" t="str">
        <f>IF(Caratula1!A31=0,"",Caratula1!A31)</f>
        <v/>
      </c>
    </row>
    <row r="35" spans="7:7">
      <c r="G35" s="7" t="str">
        <f>IF(Caratula1!A32=0,"",Caratula1!A32)</f>
        <v/>
      </c>
    </row>
    <row r="36" spans="7:7">
      <c r="G36" s="7" t="str">
        <f>IF(Caratula1!A33=0,"",Caratula1!A33)</f>
        <v/>
      </c>
    </row>
    <row r="37" spans="7:7">
      <c r="G37" s="7" t="str">
        <f>IF(Caratula1!A34=0,"",Caratula1!A34)</f>
        <v/>
      </c>
    </row>
    <row r="38" spans="7:7">
      <c r="G38" s="7" t="str">
        <f>IF(Caratula1!A35=0,"",Caratula1!A35)</f>
        <v/>
      </c>
    </row>
    <row r="39" spans="7:7">
      <c r="G39" s="7" t="str">
        <f>IF(Caratula1!A36=0,"",Caratula1!A36)</f>
        <v/>
      </c>
    </row>
    <row r="40" spans="7:7">
      <c r="G40" s="7" t="str">
        <f>IF(Caratula1!A37=0,"",Caratula1!A37)</f>
        <v/>
      </c>
    </row>
    <row r="41" spans="7:7">
      <c r="G41" s="7" t="str">
        <f>IF(Caratula1!A38=0,"",Caratula1!A38)</f>
        <v/>
      </c>
    </row>
    <row r="42" spans="7:7">
      <c r="G42" s="7" t="str">
        <f>IF(Caratula1!A39=0,"",Caratula1!A39)</f>
        <v/>
      </c>
    </row>
    <row r="43" spans="7:7">
      <c r="G43" s="7" t="str">
        <f>IF(Caratula1!A40=0,"",Caratula1!A40)</f>
        <v/>
      </c>
    </row>
    <row r="44" spans="7:7">
      <c r="G44" s="7" t="str">
        <f>IF(Caratula1!A41=0,"",Caratula1!A41)</f>
        <v/>
      </c>
    </row>
    <row r="45" spans="7:7">
      <c r="G45" s="7" t="str">
        <f>IF(Caratula1!A42=0,"",Caratula1!A42)</f>
        <v/>
      </c>
    </row>
    <row r="46" spans="7:7">
      <c r="G46" s="7" t="str">
        <f>IF(Caratula1!A43=0,"",Caratula1!A43)</f>
        <v/>
      </c>
    </row>
    <row r="47" spans="7:7">
      <c r="G47" s="7" t="str">
        <f>IF(Caratula1!A44=0,"",Caratula1!A44)</f>
        <v/>
      </c>
    </row>
    <row r="48" spans="7:7">
      <c r="G48" s="7" t="str">
        <f>IF(Caratula1!A45=0,"",Caratula1!A45)</f>
        <v/>
      </c>
    </row>
    <row r="49" spans="7:7">
      <c r="G49" s="7" t="str">
        <f>IF(Caratula1!A46=0,"",Caratula1!A46)</f>
        <v/>
      </c>
    </row>
    <row r="50" spans="7:7">
      <c r="G50" s="7" t="str">
        <f>IF(Caratula1!A47=0,"",Caratula1!A47)</f>
        <v/>
      </c>
    </row>
    <row r="51" spans="7:7">
      <c r="G51" s="7" t="str">
        <f>IF(Caratula1!A48=0,"",Caratula1!A48)</f>
        <v/>
      </c>
    </row>
    <row r="52" spans="7:7">
      <c r="G52" s="7" t="str">
        <f>IF(Caratula1!A49=0,"",Caratula1!A49)</f>
        <v/>
      </c>
    </row>
    <row r="53" spans="7:7">
      <c r="G53" s="7" t="str">
        <f>IF(Caratula1!A50=0,"",Caratula1!A50)</f>
        <v/>
      </c>
    </row>
    <row r="54" spans="7:7">
      <c r="G54" s="7" t="str">
        <f>IF(Caratula1!A51=0,"",Caratula1!A51)</f>
        <v/>
      </c>
    </row>
    <row r="55" spans="7:7">
      <c r="G55" s="7" t="str">
        <f>IF(Caratula1!A52=0,"",Caratula1!A52)</f>
        <v/>
      </c>
    </row>
    <row r="56" spans="7:7">
      <c r="G56" s="7" t="str">
        <f>IF(Caratula1!A53=0,"",Caratula1!A53)</f>
        <v/>
      </c>
    </row>
  </sheetData>
  <sheetProtection password="90D5" sheet="1" objects="1" scenarios="1"/>
  <mergeCells count="19">
    <mergeCell ref="C16:D16"/>
    <mergeCell ref="B3:D3"/>
    <mergeCell ref="B4:D4"/>
    <mergeCell ref="B6:C6"/>
    <mergeCell ref="B7:C7"/>
    <mergeCell ref="B8:C8"/>
    <mergeCell ref="B9:C9"/>
    <mergeCell ref="B10:C10"/>
    <mergeCell ref="C12:D12"/>
    <mergeCell ref="C13:D13"/>
    <mergeCell ref="C14:D14"/>
    <mergeCell ref="C15:D15"/>
    <mergeCell ref="C23:D23"/>
    <mergeCell ref="C17:D17"/>
    <mergeCell ref="C18:D18"/>
    <mergeCell ref="C19:D19"/>
    <mergeCell ref="C20:D20"/>
    <mergeCell ref="C21:D21"/>
    <mergeCell ref="C22:D22"/>
  </mergeCells>
  <conditionalFormatting sqref="C12:C13 D12">
    <cfRule type="cellIs" dxfId="100" priority="16" operator="notEqual">
      <formula>""</formula>
    </cfRule>
  </conditionalFormatting>
  <conditionalFormatting sqref="C14:D14">
    <cfRule type="cellIs" dxfId="99" priority="15" operator="notEqual">
      <formula>""</formula>
    </cfRule>
  </conditionalFormatting>
  <conditionalFormatting sqref="C15:D15">
    <cfRule type="cellIs" dxfId="98" priority="14" operator="notEqual">
      <formula>""</formula>
    </cfRule>
  </conditionalFormatting>
  <conditionalFormatting sqref="C12:C15 D12 D14:D15">
    <cfRule type="cellIs" dxfId="97" priority="13" operator="notEqual">
      <formula>""</formula>
    </cfRule>
  </conditionalFormatting>
  <conditionalFormatting sqref="C16:D19">
    <cfRule type="cellIs" dxfId="96" priority="12" operator="notEqual">
      <formula>""</formula>
    </cfRule>
  </conditionalFormatting>
  <conditionalFormatting sqref="C21">
    <cfRule type="cellIs" dxfId="95" priority="11" operator="notEqual">
      <formula>""</formula>
    </cfRule>
  </conditionalFormatting>
  <conditionalFormatting sqref="C12:C13 D12">
    <cfRule type="cellIs" dxfId="94" priority="10" operator="notEqual">
      <formula>""</formula>
    </cfRule>
  </conditionalFormatting>
  <conditionalFormatting sqref="C14:D14">
    <cfRule type="cellIs" dxfId="93" priority="9" operator="notEqual">
      <formula>""</formula>
    </cfRule>
  </conditionalFormatting>
  <conditionalFormatting sqref="C15:D15">
    <cfRule type="cellIs" dxfId="92" priority="8" operator="notEqual">
      <formula>""</formula>
    </cfRule>
  </conditionalFormatting>
  <conditionalFormatting sqref="C16:D16">
    <cfRule type="cellIs" dxfId="91" priority="7" operator="notEqual">
      <formula>""</formula>
    </cfRule>
  </conditionalFormatting>
  <conditionalFormatting sqref="C17:D17">
    <cfRule type="cellIs" dxfId="90" priority="6" operator="notEqual">
      <formula>""</formula>
    </cfRule>
  </conditionalFormatting>
  <conditionalFormatting sqref="C18:D18">
    <cfRule type="cellIs" dxfId="89" priority="5" operator="notEqual">
      <formula>""</formula>
    </cfRule>
  </conditionalFormatting>
  <conditionalFormatting sqref="C19:D19">
    <cfRule type="cellIs" dxfId="88" priority="4" operator="notEqual">
      <formula>""</formula>
    </cfRule>
  </conditionalFormatting>
  <conditionalFormatting sqref="C20:D20">
    <cfRule type="cellIs" dxfId="87" priority="3" operator="notEqual">
      <formula>""</formula>
    </cfRule>
  </conditionalFormatting>
  <conditionalFormatting sqref="C22:D22">
    <cfRule type="cellIs" dxfId="86" priority="2" operator="notEqual">
      <formula>""</formula>
    </cfRule>
  </conditionalFormatting>
  <conditionalFormatting sqref="C23:D23">
    <cfRule type="cellIs" dxfId="85" priority="1" operator="notEqual">
      <formula>""</formula>
    </cfRule>
  </conditionalFormatting>
  <dataValidations disablePrompts="1" count="2">
    <dataValidation operator="greaterThan" allowBlank="1" showInputMessage="1" showErrorMessage="1" errorTitle="Digitación Errada" error="El Nit es un número entero, sin decimales, mayor a Cero, sin Dígito de Verificación, sin rayas o puntos." sqref="D6"/>
    <dataValidation type="date" operator="greaterThanOrEqual" allowBlank="1" showInputMessage="1" showErrorMessage="1" errorTitle="Campo No Valido" error="Debe Ser Una Fecha Valida" sqref="D8">
      <formula1>18264</formula1>
    </dataValidation>
  </dataValidation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sheetPr codeName="Hoja35">
    <pageSetUpPr fitToPage="1"/>
  </sheetPr>
  <dimension ref="A1:AL278"/>
  <sheetViews>
    <sheetView showGridLines="0" showRowColHeaders="0" zoomScale="50" zoomScaleNormal="50" workbookViewId="0">
      <selection activeCell="B3" sqref="B3"/>
    </sheetView>
  </sheetViews>
  <sheetFormatPr baseColWidth="10" defaultColWidth="11.453125" defaultRowHeight="32.5" customHeight="1"/>
  <cols>
    <col min="1" max="1" width="60.6328125" style="3475" customWidth="1"/>
    <col min="2" max="2" width="33.1796875" style="3475" customWidth="1"/>
    <col min="3" max="3" width="8.26953125" style="3475" customWidth="1"/>
    <col min="4" max="4" width="33.1796875" style="3475" customWidth="1"/>
    <col min="5" max="5" width="8.08984375" style="3475" customWidth="1"/>
    <col min="6" max="6" width="36" style="3475" bestFit="1" customWidth="1"/>
    <col min="7" max="7" width="7.54296875" style="3475" customWidth="1"/>
    <col min="8" max="8" width="37.26953125" style="3475" customWidth="1"/>
    <col min="9" max="9" width="7.54296875" style="3475" customWidth="1"/>
    <col min="10" max="10" width="33.7265625" style="3475" customWidth="1"/>
    <col min="11" max="11" width="7.54296875" style="3475" customWidth="1"/>
    <col min="12" max="13" width="38.453125" style="3475" customWidth="1"/>
    <col min="14" max="14" width="32.26953125" style="3476" bestFit="1" customWidth="1"/>
    <col min="15" max="15" width="5.54296875" style="3477" customWidth="1"/>
    <col min="16" max="16" width="5.81640625" style="3477" customWidth="1"/>
    <col min="17" max="17" width="11.7265625" style="3477" customWidth="1"/>
    <col min="18" max="18" width="26.90625" style="3462" bestFit="1" customWidth="1"/>
    <col min="19" max="20" width="11.7265625" style="3477" customWidth="1"/>
    <col min="21" max="21" width="11.453125" style="3477" customWidth="1"/>
    <col min="22" max="22" width="49.7265625" style="3477" customWidth="1"/>
    <col min="23" max="23" width="4.26953125" style="3477" customWidth="1"/>
    <col min="24" max="24" width="24.26953125" style="3477" customWidth="1"/>
    <col min="25" max="25" width="8.1796875" style="3477" customWidth="1"/>
    <col min="26" max="26" width="24.26953125" style="3477" customWidth="1"/>
    <col min="27" max="27" width="9.1796875" style="3477" customWidth="1"/>
    <col min="28" max="28" width="29" style="3477" customWidth="1"/>
    <col min="29" max="29" width="6.81640625" style="3476" customWidth="1"/>
    <col min="30" max="30" width="24.26953125" style="3476" customWidth="1"/>
    <col min="31" max="31" width="45.453125" style="3476" customWidth="1"/>
    <col min="32" max="32" width="35" style="3476" customWidth="1"/>
    <col min="33" max="33" width="45.453125" style="3476" customWidth="1"/>
    <col min="34" max="34" width="35" style="3476" customWidth="1"/>
    <col min="35" max="35" width="11.7265625" style="3476" customWidth="1"/>
    <col min="36" max="39" width="11.453125" style="3476" customWidth="1"/>
    <col min="40" max="16384" width="11.453125" style="3476"/>
  </cols>
  <sheetData>
    <row r="1" spans="1:38" ht="32.5" customHeight="1">
      <c r="A1" s="3474"/>
      <c r="M1" s="3476"/>
      <c r="AL1" s="3478"/>
    </row>
    <row r="2" spans="1:38" ht="32.5" customHeight="1">
      <c r="M2" s="3476"/>
    </row>
    <row r="3" spans="1:38" s="3488" customFormat="1" ht="32.5" customHeight="1">
      <c r="A3" s="3479" t="s">
        <v>210</v>
      </c>
      <c r="B3" s="3480">
        <f>Caratula1!AQ3</f>
        <v>0</v>
      </c>
      <c r="C3" s="3481"/>
      <c r="D3" s="3482" t="s">
        <v>211</v>
      </c>
      <c r="E3" s="4031"/>
      <c r="F3" s="4031"/>
      <c r="G3" s="3483"/>
      <c r="H3" s="3482" t="s">
        <v>212</v>
      </c>
      <c r="I3" s="4031"/>
      <c r="J3" s="4031"/>
      <c r="K3" s="3484"/>
      <c r="L3" s="3485"/>
      <c r="M3" s="3485"/>
      <c r="N3" s="3486"/>
      <c r="O3" s="3487"/>
      <c r="P3" s="3477"/>
      <c r="Q3" s="3477"/>
      <c r="R3" s="3462"/>
      <c r="S3" s="3477"/>
      <c r="T3" s="3477"/>
      <c r="U3" s="3477"/>
      <c r="V3" s="3477"/>
      <c r="W3" s="3477"/>
      <c r="X3" s="3477"/>
      <c r="Y3" s="3477"/>
      <c r="Z3" s="3477"/>
      <c r="AA3" s="3477"/>
      <c r="AB3" s="3477"/>
      <c r="AC3" s="3476"/>
      <c r="AD3" s="3476"/>
      <c r="AE3" s="3476"/>
      <c r="AF3" s="3476"/>
      <c r="AG3" s="3476"/>
      <c r="AH3" s="3476"/>
    </row>
    <row r="4" spans="1:38" s="3488" customFormat="1" ht="32.5" customHeight="1">
      <c r="A4" s="3489" t="s">
        <v>213</v>
      </c>
      <c r="B4" s="3490">
        <f>Caratula1!AP3</f>
        <v>0</v>
      </c>
      <c r="C4" s="3491"/>
      <c r="D4" s="3492" t="s">
        <v>214</v>
      </c>
      <c r="E4" s="4026"/>
      <c r="F4" s="4026"/>
      <c r="G4" s="3475"/>
      <c r="H4" s="3492" t="s">
        <v>215</v>
      </c>
      <c r="I4" s="4013"/>
      <c r="J4" s="4013"/>
      <c r="K4" s="3493"/>
      <c r="L4" s="3494"/>
      <c r="M4" s="3494"/>
      <c r="N4" s="3495"/>
      <c r="O4" s="3487"/>
      <c r="P4" s="3477"/>
      <c r="Q4" s="3477"/>
      <c r="R4" s="3462"/>
      <c r="S4" s="3477"/>
      <c r="T4" s="3477"/>
      <c r="U4" s="3477"/>
      <c r="V4" s="3477"/>
      <c r="W4" s="3477"/>
      <c r="X4" s="3477"/>
      <c r="Y4" s="3477"/>
      <c r="Z4" s="3477"/>
      <c r="AA4" s="3477"/>
      <c r="AB4" s="3477"/>
      <c r="AC4" s="3476"/>
      <c r="AD4" s="3476"/>
      <c r="AE4" s="3476"/>
      <c r="AF4" s="3476"/>
      <c r="AG4" s="3476"/>
      <c r="AH4" s="3476"/>
    </row>
    <row r="5" spans="1:38" s="3488" customFormat="1" ht="32.5" customHeight="1">
      <c r="A5" s="4032" t="str">
        <f>'RC'!D7</f>
        <v/>
      </c>
      <c r="B5" s="4033"/>
      <c r="C5" s="3475"/>
      <c r="D5" s="3496" t="s">
        <v>216</v>
      </c>
      <c r="E5" s="4034"/>
      <c r="F5" s="4034"/>
      <c r="G5" s="3475"/>
      <c r="H5" s="3492" t="s">
        <v>217</v>
      </c>
      <c r="I5" s="4026"/>
      <c r="J5" s="4026"/>
      <c r="K5" s="3493"/>
      <c r="L5" s="3492" t="s">
        <v>218</v>
      </c>
      <c r="M5" s="4026"/>
      <c r="N5" s="4027"/>
      <c r="O5" s="3487"/>
      <c r="P5" s="3477"/>
      <c r="Q5" s="3477"/>
      <c r="R5" s="3462" t="s">
        <v>2168</v>
      </c>
      <c r="S5" s="3477"/>
      <c r="T5" s="3477"/>
      <c r="U5" s="3477"/>
      <c r="V5" s="3477"/>
      <c r="W5" s="3477"/>
      <c r="X5" s="3477"/>
      <c r="Y5" s="3477"/>
      <c r="Z5" s="3477"/>
      <c r="AA5" s="3477"/>
      <c r="AB5" s="3477"/>
      <c r="AC5" s="3476"/>
      <c r="AD5" s="3476"/>
      <c r="AE5" s="3476"/>
      <c r="AF5" s="3476"/>
      <c r="AG5" s="3476"/>
      <c r="AH5" s="3476"/>
    </row>
    <row r="6" spans="1:38" s="3494" customFormat="1" ht="32.5" customHeight="1">
      <c r="A6" s="3497" t="str">
        <f>"Documento No. "&amp;'RC'!D6</f>
        <v>Documento No. 0</v>
      </c>
      <c r="B6" s="3483"/>
      <c r="C6" s="3483"/>
      <c r="D6" s="3483"/>
      <c r="E6" s="3483"/>
      <c r="F6" s="3483"/>
      <c r="G6" s="3483"/>
      <c r="H6" s="3483"/>
      <c r="I6" s="3485"/>
      <c r="J6" s="3485"/>
      <c r="K6" s="3485"/>
      <c r="L6" s="3498"/>
      <c r="M6" s="3499" t="s">
        <v>219</v>
      </c>
      <c r="N6" s="3500"/>
      <c r="O6" s="3501"/>
      <c r="P6" s="3477"/>
      <c r="Q6" s="3477"/>
      <c r="R6" s="3462" t="s">
        <v>2169</v>
      </c>
      <c r="S6" s="3477"/>
      <c r="T6" s="3477"/>
      <c r="U6" s="3477"/>
      <c r="V6" s="3477"/>
      <c r="W6" s="3477"/>
      <c r="X6" s="3477"/>
      <c r="Y6" s="3477"/>
      <c r="Z6" s="3477"/>
      <c r="AA6" s="3477"/>
      <c r="AB6" s="3477"/>
      <c r="AC6" s="3476"/>
      <c r="AD6" s="3476"/>
      <c r="AE6" s="3476"/>
      <c r="AF6" s="3476"/>
      <c r="AG6" s="3476"/>
      <c r="AH6" s="3476"/>
    </row>
    <row r="7" spans="1:38" s="3494" customFormat="1" ht="32.5" customHeight="1">
      <c r="A7" s="3502" t="s">
        <v>220</v>
      </c>
      <c r="B7" s="3503" t="s">
        <v>221</v>
      </c>
      <c r="C7" s="3504"/>
      <c r="D7" s="3503" t="s">
        <v>222</v>
      </c>
      <c r="E7" s="3505"/>
      <c r="F7" s="3503" t="s">
        <v>223</v>
      </c>
      <c r="H7" s="3503" t="s">
        <v>224</v>
      </c>
      <c r="J7" s="3503" t="s">
        <v>225</v>
      </c>
      <c r="L7" s="3506" t="s">
        <v>226</v>
      </c>
      <c r="M7" s="3507" t="s">
        <v>138</v>
      </c>
      <c r="N7" s="3508" t="s">
        <v>227</v>
      </c>
      <c r="O7" s="3501"/>
      <c r="P7" s="3477"/>
      <c r="Q7" s="3477"/>
      <c r="R7" s="3462" t="s">
        <v>2170</v>
      </c>
      <c r="S7" s="3477"/>
      <c r="T7" s="3477"/>
      <c r="U7" s="3477"/>
      <c r="V7" s="3477"/>
      <c r="W7" s="3477"/>
      <c r="X7" s="3477"/>
      <c r="Y7" s="3477"/>
      <c r="Z7" s="3477"/>
      <c r="AA7" s="3477"/>
      <c r="AB7" s="3477"/>
      <c r="AC7" s="3476"/>
      <c r="AD7" s="3476"/>
      <c r="AE7" s="3476"/>
      <c r="AF7" s="3476"/>
      <c r="AG7" s="3476"/>
      <c r="AH7" s="3476"/>
    </row>
    <row r="8" spans="1:38" s="3494" customFormat="1" ht="32.5" customHeight="1">
      <c r="A8" s="3509"/>
      <c r="B8" s="3510"/>
      <c r="C8" s="3511"/>
      <c r="D8" s="3512"/>
      <c r="E8" s="3511"/>
      <c r="F8" s="3512"/>
      <c r="G8" s="3511"/>
      <c r="H8" s="3512"/>
      <c r="J8" s="3513"/>
      <c r="L8" s="3513"/>
      <c r="M8" s="3514" t="str">
        <f>IF('Accionistas y Juntas'!B5=0,"",'Accionistas y Juntas'!C5)</f>
        <v/>
      </c>
      <c r="N8" s="3515" t="str">
        <f>IF('Accionistas y Juntas'!B5="","",'Accionistas y Juntas'!D5/100)</f>
        <v/>
      </c>
      <c r="O8" s="3501"/>
      <c r="P8" s="3477"/>
      <c r="Q8" s="3477"/>
      <c r="R8" s="3462" t="s">
        <v>230</v>
      </c>
      <c r="S8" s="3477"/>
      <c r="T8" s="3477"/>
      <c r="U8" s="3477"/>
      <c r="V8" s="3477"/>
      <c r="W8" s="3477"/>
      <c r="X8" s="3477"/>
      <c r="Y8" s="3477"/>
      <c r="Z8" s="3477"/>
      <c r="AA8" s="3477"/>
      <c r="AB8" s="3477"/>
      <c r="AC8" s="3476"/>
      <c r="AD8" s="3476"/>
      <c r="AE8" s="3476"/>
      <c r="AF8" s="3476"/>
      <c r="AG8" s="3476"/>
      <c r="AH8" s="3476"/>
    </row>
    <row r="9" spans="1:38" s="3494" customFormat="1" ht="32.5" customHeight="1">
      <c r="A9" s="3509"/>
      <c r="B9" s="3510"/>
      <c r="C9" s="3511"/>
      <c r="D9" s="3512"/>
      <c r="E9" s="3511"/>
      <c r="F9" s="3512"/>
      <c r="G9" s="3511"/>
      <c r="H9" s="3512"/>
      <c r="J9" s="3513"/>
      <c r="L9" s="3513"/>
      <c r="M9" s="3516" t="str">
        <f>IF('Accionistas y Juntas'!B6=0,"",'Accionistas y Juntas'!C6)</f>
        <v/>
      </c>
      <c r="N9" s="3517" t="str">
        <f>IF('Accionistas y Juntas'!B6="","",'Accionistas y Juntas'!D6/100)</f>
        <v/>
      </c>
      <c r="O9" s="3501"/>
      <c r="P9" s="3477"/>
      <c r="Q9" s="3477"/>
      <c r="R9" s="3462"/>
      <c r="S9" s="3477"/>
      <c r="T9" s="3477"/>
      <c r="U9" s="3477"/>
      <c r="V9" s="3477"/>
      <c r="W9" s="3477"/>
      <c r="X9" s="3477"/>
      <c r="Y9" s="3477"/>
      <c r="Z9" s="3477"/>
      <c r="AA9" s="3477"/>
      <c r="AB9" s="3477"/>
      <c r="AC9" s="3476"/>
      <c r="AD9" s="3476"/>
      <c r="AE9" s="3476"/>
      <c r="AF9" s="3476"/>
      <c r="AG9" s="3476"/>
      <c r="AH9" s="3476"/>
    </row>
    <row r="10" spans="1:38" s="3494" customFormat="1" ht="32.5" customHeight="1">
      <c r="A10" s="3509"/>
      <c r="B10" s="3510"/>
      <c r="C10" s="3511"/>
      <c r="D10" s="3512"/>
      <c r="E10" s="3511"/>
      <c r="F10" s="3512"/>
      <c r="G10" s="3511"/>
      <c r="H10" s="3512"/>
      <c r="J10" s="3513"/>
      <c r="L10" s="3513"/>
      <c r="M10" s="3516" t="str">
        <f>IF('Accionistas y Juntas'!B7=0,"",'Accionistas y Juntas'!C7)</f>
        <v/>
      </c>
      <c r="N10" s="3517" t="str">
        <f>IF('Accionistas y Juntas'!B7="","",'Accionistas y Juntas'!D7/100)</f>
        <v/>
      </c>
      <c r="O10" s="3501"/>
      <c r="P10" s="3477"/>
      <c r="Q10" s="3477"/>
      <c r="R10" s="3462"/>
      <c r="S10" s="3477"/>
      <c r="T10" s="3477"/>
      <c r="U10" s="3477"/>
      <c r="V10" s="3477"/>
      <c r="W10" s="3477"/>
      <c r="X10" s="3477"/>
      <c r="Y10" s="3477"/>
      <c r="Z10" s="3477"/>
      <c r="AA10" s="3477"/>
      <c r="AB10" s="3477"/>
      <c r="AC10" s="3476"/>
      <c r="AD10" s="3476"/>
      <c r="AE10" s="3476"/>
      <c r="AF10" s="3476"/>
      <c r="AG10" s="3476"/>
      <c r="AH10" s="3476"/>
    </row>
    <row r="11" spans="1:38" s="3494" customFormat="1" ht="32.5" customHeight="1">
      <c r="A11" s="3509"/>
      <c r="B11" s="3510"/>
      <c r="C11" s="3511"/>
      <c r="D11" s="3512"/>
      <c r="E11" s="3511"/>
      <c r="F11" s="3512"/>
      <c r="G11" s="3511"/>
      <c r="H11" s="3512"/>
      <c r="J11" s="3513"/>
      <c r="L11" s="3513"/>
      <c r="M11" s="3516" t="str">
        <f>IF('Accionistas y Juntas'!B8=0,"",'Accionistas y Juntas'!C8)</f>
        <v/>
      </c>
      <c r="N11" s="3517" t="str">
        <f>IF('Accionistas y Juntas'!B8="","",'Accionistas y Juntas'!D8/100)</f>
        <v/>
      </c>
      <c r="O11" s="3501"/>
      <c r="P11" s="3477"/>
      <c r="Q11" s="3477"/>
      <c r="R11" s="3462"/>
      <c r="S11" s="3477"/>
      <c r="T11" s="3477"/>
      <c r="U11" s="3477"/>
      <c r="V11" s="3477"/>
      <c r="W11" s="3477"/>
      <c r="X11" s="3477"/>
      <c r="Y11" s="3477"/>
      <c r="Z11" s="3477"/>
      <c r="AA11" s="3477"/>
      <c r="AB11" s="3477"/>
      <c r="AC11" s="3476"/>
      <c r="AD11" s="3476"/>
      <c r="AE11" s="3476"/>
      <c r="AF11" s="3476"/>
      <c r="AG11" s="3476"/>
      <c r="AH11" s="3476"/>
    </row>
    <row r="12" spans="1:38" s="3494" customFormat="1" ht="32.5" customHeight="1">
      <c r="A12" s="3509"/>
      <c r="B12" s="3510"/>
      <c r="C12" s="3511"/>
      <c r="D12" s="3512"/>
      <c r="E12" s="3511"/>
      <c r="F12" s="3512"/>
      <c r="G12" s="3511"/>
      <c r="H12" s="3512"/>
      <c r="J12" s="3513"/>
      <c r="L12" s="3513"/>
      <c r="M12" s="3516" t="str">
        <f>IF('Accionistas y Juntas'!B9=0,"",'Accionistas y Juntas'!C9)</f>
        <v/>
      </c>
      <c r="N12" s="3517" t="str">
        <f>IF('Accionistas y Juntas'!B9="","",'Accionistas y Juntas'!D9/100)</f>
        <v/>
      </c>
      <c r="O12" s="3501"/>
      <c r="P12" s="3477"/>
      <c r="Q12" s="3477"/>
      <c r="R12" s="3462"/>
      <c r="S12" s="3477"/>
      <c r="T12" s="3477"/>
      <c r="U12" s="3477"/>
      <c r="V12" s="3477"/>
      <c r="W12" s="3477"/>
      <c r="X12" s="3477"/>
      <c r="Y12" s="3477"/>
      <c r="Z12" s="3477"/>
      <c r="AA12" s="3477"/>
      <c r="AB12" s="3477"/>
      <c r="AC12" s="3476"/>
      <c r="AD12" s="3476"/>
      <c r="AE12" s="3476"/>
      <c r="AF12" s="3476"/>
      <c r="AG12" s="3476"/>
      <c r="AH12" s="3476"/>
    </row>
    <row r="13" spans="1:38" s="3494" customFormat="1" ht="32.5" customHeight="1">
      <c r="A13" s="3509"/>
      <c r="B13" s="3510"/>
      <c r="C13" s="3511"/>
      <c r="D13" s="3512"/>
      <c r="E13" s="3511"/>
      <c r="F13" s="3512"/>
      <c r="G13" s="3511"/>
      <c r="H13" s="3512"/>
      <c r="J13" s="3513"/>
      <c r="L13" s="3513"/>
      <c r="M13" s="3516" t="str">
        <f>IF('Accionistas y Juntas'!B10=0,"",'Accionistas y Juntas'!C10)</f>
        <v/>
      </c>
      <c r="N13" s="3517" t="str">
        <f>IF('Accionistas y Juntas'!B10="","",'Accionistas y Juntas'!D10/100)</f>
        <v/>
      </c>
      <c r="O13" s="3501"/>
      <c r="P13" s="3477"/>
      <c r="Q13" s="3477"/>
      <c r="R13" s="3462"/>
      <c r="S13" s="3477"/>
      <c r="T13" s="3477"/>
      <c r="U13" s="3477"/>
      <c r="V13" s="3477"/>
      <c r="W13" s="3477"/>
      <c r="X13" s="3477"/>
      <c r="Y13" s="3477"/>
      <c r="Z13" s="3477"/>
      <c r="AA13" s="3477"/>
      <c r="AB13" s="3477"/>
      <c r="AC13" s="3476"/>
      <c r="AD13" s="3476"/>
      <c r="AE13" s="3476"/>
      <c r="AF13" s="3476"/>
      <c r="AG13" s="3476"/>
      <c r="AH13" s="3476"/>
    </row>
    <row r="14" spans="1:38" s="3494" customFormat="1" ht="32.5" customHeight="1">
      <c r="A14" s="3509"/>
      <c r="B14" s="3510"/>
      <c r="C14" s="3511"/>
      <c r="D14" s="3512"/>
      <c r="E14" s="3511"/>
      <c r="F14" s="3512"/>
      <c r="G14" s="3511"/>
      <c r="H14" s="3512"/>
      <c r="J14" s="3513"/>
      <c r="L14" s="3513"/>
      <c r="M14" s="3516" t="str">
        <f>IF('Accionistas y Juntas'!B11=0,"",'Accionistas y Juntas'!C11)</f>
        <v/>
      </c>
      <c r="N14" s="3517" t="str">
        <f>IF('Accionistas y Juntas'!B11="","",'Accionistas y Juntas'!D11/100)</f>
        <v/>
      </c>
      <c r="O14" s="3501"/>
      <c r="P14" s="3477"/>
      <c r="Q14" s="3477"/>
      <c r="R14" s="3462"/>
      <c r="S14" s="3477"/>
      <c r="T14" s="3477"/>
      <c r="U14" s="3477"/>
      <c r="V14" s="3477"/>
      <c r="W14" s="3477"/>
      <c r="X14" s="3477"/>
      <c r="Y14" s="3477"/>
      <c r="Z14" s="3477"/>
      <c r="AA14" s="3477"/>
      <c r="AB14" s="3477"/>
      <c r="AC14" s="3476"/>
      <c r="AD14" s="3476"/>
      <c r="AE14" s="3476"/>
      <c r="AF14" s="3476"/>
      <c r="AG14" s="3476"/>
      <c r="AH14" s="3476"/>
    </row>
    <row r="15" spans="1:38" s="3494" customFormat="1" ht="32.5" customHeight="1">
      <c r="A15" s="3509"/>
      <c r="B15" s="3510"/>
      <c r="C15" s="3511"/>
      <c r="D15" s="3512"/>
      <c r="E15" s="3511"/>
      <c r="F15" s="3512"/>
      <c r="G15" s="3511"/>
      <c r="H15" s="3512"/>
      <c r="J15" s="3513"/>
      <c r="L15" s="3513"/>
      <c r="M15" s="3516" t="str">
        <f>IF('Accionistas y Juntas'!B12=0,"",'Accionistas y Juntas'!C12)</f>
        <v/>
      </c>
      <c r="N15" s="3517" t="str">
        <f>IF('Accionistas y Juntas'!B12="","",'Accionistas y Juntas'!D12/100)</f>
        <v/>
      </c>
      <c r="O15" s="3501"/>
      <c r="P15" s="3477"/>
      <c r="Q15" s="3477"/>
      <c r="R15" s="3462"/>
      <c r="S15" s="3477"/>
      <c r="T15" s="3477"/>
      <c r="U15" s="3477"/>
      <c r="V15" s="3477"/>
      <c r="W15" s="3477"/>
      <c r="X15" s="3477"/>
      <c r="Y15" s="3477"/>
      <c r="Z15" s="3477"/>
      <c r="AA15" s="3477"/>
      <c r="AB15" s="3477"/>
      <c r="AC15" s="3476"/>
      <c r="AD15" s="3476"/>
      <c r="AE15" s="3476"/>
      <c r="AF15" s="3476"/>
      <c r="AG15" s="3476"/>
      <c r="AH15" s="3476"/>
    </row>
    <row r="16" spans="1:38" s="3494" customFormat="1" ht="32.5" customHeight="1">
      <c r="A16" s="3509"/>
      <c r="B16" s="3510"/>
      <c r="C16" s="3511"/>
      <c r="D16" s="3512"/>
      <c r="E16" s="3511"/>
      <c r="F16" s="3512"/>
      <c r="G16" s="3511"/>
      <c r="H16" s="3512"/>
      <c r="J16" s="3513"/>
      <c r="L16" s="3513"/>
      <c r="M16" s="3516" t="str">
        <f>IF('Accionistas y Juntas'!B13=0,"",'Accionistas y Juntas'!C13)</f>
        <v/>
      </c>
      <c r="N16" s="3517" t="str">
        <f>IF('Accionistas y Juntas'!B13="","",'Accionistas y Juntas'!D13/100)</f>
        <v/>
      </c>
      <c r="O16" s="3501"/>
      <c r="P16" s="3477"/>
      <c r="Q16" s="3477"/>
      <c r="R16" s="3462"/>
      <c r="S16" s="3477"/>
      <c r="T16" s="3477"/>
      <c r="U16" s="3477"/>
      <c r="V16" s="3477"/>
      <c r="W16" s="3477"/>
      <c r="X16" s="3477"/>
      <c r="Y16" s="3477"/>
      <c r="Z16" s="3477"/>
      <c r="AA16" s="3477"/>
      <c r="AB16" s="3477"/>
      <c r="AC16" s="3476"/>
      <c r="AD16" s="3476"/>
      <c r="AE16" s="3476"/>
      <c r="AF16" s="3476"/>
      <c r="AG16" s="3476"/>
      <c r="AH16" s="3476"/>
    </row>
    <row r="17" spans="1:34" s="3494" customFormat="1" ht="32.5" customHeight="1">
      <c r="A17" s="3509"/>
      <c r="B17" s="3510"/>
      <c r="C17" s="3511"/>
      <c r="D17" s="3512"/>
      <c r="E17" s="3511"/>
      <c r="F17" s="3512"/>
      <c r="G17" s="3511"/>
      <c r="H17" s="3512"/>
      <c r="J17" s="3513"/>
      <c r="L17" s="3513"/>
      <c r="M17" s="3516" t="str">
        <f>IF('Accionistas y Juntas'!B14=0,"",'Accionistas y Juntas'!C14)</f>
        <v/>
      </c>
      <c r="N17" s="3517" t="str">
        <f>IF('Accionistas y Juntas'!B14="","",'Accionistas y Juntas'!D14/100)</f>
        <v/>
      </c>
      <c r="O17" s="3501"/>
      <c r="P17" s="3477"/>
      <c r="Q17" s="3477"/>
      <c r="R17" s="3462"/>
      <c r="S17" s="3477"/>
      <c r="T17" s="3477"/>
      <c r="U17" s="3477"/>
      <c r="V17" s="3477"/>
      <c r="W17" s="3477"/>
      <c r="X17" s="3477"/>
      <c r="Y17" s="3477"/>
      <c r="Z17" s="3477"/>
      <c r="AA17" s="3477"/>
      <c r="AB17" s="3477"/>
      <c r="AC17" s="3476"/>
      <c r="AD17" s="3476"/>
      <c r="AE17" s="3476"/>
      <c r="AF17" s="3476"/>
      <c r="AG17" s="3476"/>
      <c r="AH17" s="3476"/>
    </row>
    <row r="18" spans="1:34" s="3494" customFormat="1" ht="32.5" customHeight="1">
      <c r="A18" s="3509"/>
      <c r="B18" s="3510"/>
      <c r="C18" s="3511"/>
      <c r="D18" s="3512"/>
      <c r="E18" s="3511"/>
      <c r="F18" s="3512"/>
      <c r="G18" s="3511"/>
      <c r="H18" s="3512"/>
      <c r="J18" s="3513"/>
      <c r="L18" s="3513"/>
      <c r="M18" s="3518" t="s">
        <v>228</v>
      </c>
      <c r="N18" s="3519">
        <f>SUM(N8:N17)</f>
        <v>0</v>
      </c>
      <c r="O18" s="3501"/>
      <c r="P18" s="3477"/>
      <c r="Q18" s="3477"/>
      <c r="R18" s="3462"/>
      <c r="S18" s="3477"/>
      <c r="T18" s="3477"/>
      <c r="U18" s="3477"/>
      <c r="V18" s="3477"/>
      <c r="W18" s="3477"/>
      <c r="X18" s="3477"/>
      <c r="Y18" s="3477"/>
      <c r="Z18" s="3477"/>
      <c r="AA18" s="3477"/>
      <c r="AB18" s="3477"/>
      <c r="AC18" s="3476"/>
      <c r="AD18" s="3476"/>
      <c r="AE18" s="3476"/>
      <c r="AF18" s="3476"/>
      <c r="AG18" s="3476"/>
      <c r="AH18" s="3476"/>
    </row>
    <row r="19" spans="1:34" s="3494" customFormat="1" ht="32.5" customHeight="1">
      <c r="A19" s="3502" t="s">
        <v>229</v>
      </c>
      <c r="B19" s="3520">
        <f>SUM(B8:B18)</f>
        <v>0</v>
      </c>
      <c r="C19" s="3521"/>
      <c r="D19" s="3520">
        <f>SUM(D8:D18)</f>
        <v>0</v>
      </c>
      <c r="E19" s="3522"/>
      <c r="F19" s="3520">
        <f>SUM(F8:F18)</f>
        <v>0</v>
      </c>
      <c r="G19" s="3522"/>
      <c r="H19" s="3520"/>
      <c r="I19" s="3523"/>
      <c r="J19" s="3523"/>
      <c r="K19" s="3523"/>
      <c r="L19" s="3524"/>
      <c r="M19" s="3499" t="s">
        <v>230</v>
      </c>
      <c r="N19" s="3525"/>
      <c r="O19" s="3501"/>
      <c r="P19" s="3477"/>
      <c r="Q19" s="3477"/>
      <c r="R19" s="3462"/>
      <c r="S19" s="3477"/>
      <c r="T19" s="3477"/>
      <c r="U19" s="3477"/>
      <c r="V19" s="3477"/>
      <c r="W19" s="3477"/>
      <c r="X19" s="3477"/>
      <c r="Y19" s="3477"/>
      <c r="Z19" s="3477"/>
      <c r="AA19" s="3477"/>
      <c r="AB19" s="3477"/>
      <c r="AC19" s="3476"/>
      <c r="AD19" s="3476"/>
      <c r="AE19" s="3476"/>
      <c r="AF19" s="3476"/>
      <c r="AG19" s="3476"/>
      <c r="AH19" s="3476"/>
    </row>
    <row r="20" spans="1:34" s="3494" customFormat="1" ht="32.5" customHeight="1">
      <c r="A20" s="3526" t="s">
        <v>231</v>
      </c>
      <c r="B20" s="4028"/>
      <c r="C20" s="4028"/>
      <c r="D20" s="4028"/>
      <c r="E20" s="4028"/>
      <c r="F20" s="3527" t="s">
        <v>232</v>
      </c>
      <c r="G20" s="4029">
        <f>Caratula1!AK3</f>
        <v>0</v>
      </c>
      <c r="H20" s="4029"/>
      <c r="I20" s="4029"/>
      <c r="J20" s="4029"/>
      <c r="K20" s="4029"/>
      <c r="L20" s="4030"/>
      <c r="M20" s="3528" t="s">
        <v>138</v>
      </c>
      <c r="N20" s="3529" t="s">
        <v>6</v>
      </c>
      <c r="O20" s="3501"/>
      <c r="P20" s="3477"/>
      <c r="Q20" s="3477"/>
      <c r="R20" s="3462"/>
      <c r="S20" s="3477"/>
      <c r="T20" s="3477"/>
      <c r="U20" s="3477"/>
      <c r="V20" s="3477"/>
      <c r="W20" s="3477"/>
      <c r="X20" s="3477"/>
      <c r="Y20" s="3477"/>
      <c r="Z20" s="3477"/>
      <c r="AA20" s="3477"/>
      <c r="AB20" s="3477"/>
      <c r="AC20" s="3476"/>
      <c r="AD20" s="3476"/>
      <c r="AE20" s="3476"/>
      <c r="AF20" s="3476"/>
      <c r="AG20" s="3476"/>
      <c r="AH20" s="3476"/>
    </row>
    <row r="21" spans="1:34" s="3494" customFormat="1" ht="32.5" customHeight="1">
      <c r="A21" s="3530" t="s">
        <v>233</v>
      </c>
      <c r="B21" s="3513"/>
      <c r="F21" s="3531" t="s">
        <v>234</v>
      </c>
      <c r="G21" s="4022" t="str">
        <f>IFERROR(VLOOKUP($G$20,$A$168:$E$278,3,0),"")</f>
        <v/>
      </c>
      <c r="H21" s="4022"/>
      <c r="I21" s="4022"/>
      <c r="J21" s="4022"/>
      <c r="M21" s="3514" t="str">
        <f>IF('Accionistas y Juntas'!G5=0,"",'Accionistas y Juntas'!G5)</f>
        <v/>
      </c>
      <c r="N21" s="3532" t="str">
        <f>IF('Accionistas y Juntas'!H5=0,"",'Accionistas y Juntas'!H5)</f>
        <v/>
      </c>
      <c r="O21" s="3501"/>
      <c r="P21" s="3477"/>
      <c r="Q21" s="3477"/>
      <c r="R21" s="3462"/>
      <c r="S21" s="3477"/>
      <c r="T21" s="3477"/>
      <c r="U21" s="3477"/>
      <c r="V21" s="3477"/>
      <c r="W21" s="3477"/>
      <c r="X21" s="3477"/>
      <c r="Y21" s="3477"/>
      <c r="Z21" s="3477"/>
      <c r="AA21" s="3477"/>
      <c r="AB21" s="3477"/>
      <c r="AC21" s="3476"/>
      <c r="AD21" s="3476"/>
      <c r="AE21" s="3476"/>
      <c r="AF21" s="3476"/>
      <c r="AG21" s="3476"/>
      <c r="AH21" s="3476"/>
    </row>
    <row r="22" spans="1:34" s="3494" customFormat="1" ht="32.5" customHeight="1">
      <c r="A22" s="3530" t="s">
        <v>235</v>
      </c>
      <c r="B22" s="4025"/>
      <c r="C22" s="4025"/>
      <c r="D22" s="4025"/>
      <c r="E22" s="4025"/>
      <c r="F22" s="3531" t="s">
        <v>236</v>
      </c>
      <c r="G22" s="4022" t="str">
        <f>IFERROR(VLOOKUP($G$20,$A$168:$E$278,4,0),"")</f>
        <v/>
      </c>
      <c r="H22" s="4022"/>
      <c r="I22" s="4022"/>
      <c r="J22" s="4022"/>
      <c r="M22" s="3516" t="str">
        <f>IF('Accionistas y Juntas'!G6=0,"",'Accionistas y Juntas'!G6)</f>
        <v/>
      </c>
      <c r="N22" s="3533" t="str">
        <f>IF('Accionistas y Juntas'!H6=0,"",'Accionistas y Juntas'!H6)</f>
        <v/>
      </c>
      <c r="O22" s="3501"/>
      <c r="P22" s="3477"/>
      <c r="Q22" s="3477"/>
      <c r="R22" s="3462"/>
      <c r="S22" s="3477"/>
      <c r="T22" s="3477"/>
      <c r="U22" s="3477"/>
      <c r="V22" s="3477"/>
      <c r="W22" s="3477"/>
      <c r="X22" s="3477"/>
      <c r="Y22" s="3477"/>
      <c r="Z22" s="3477"/>
      <c r="AA22" s="3477"/>
      <c r="AB22" s="3477"/>
      <c r="AC22" s="3476"/>
      <c r="AD22" s="3476"/>
      <c r="AE22" s="3476"/>
      <c r="AF22" s="3476"/>
      <c r="AG22" s="3476"/>
      <c r="AH22" s="3476"/>
    </row>
    <row r="23" spans="1:34" s="3494" customFormat="1" ht="32.5" customHeight="1">
      <c r="A23" s="3530" t="s">
        <v>237</v>
      </c>
      <c r="F23" s="3531" t="s">
        <v>238</v>
      </c>
      <c r="G23" s="4022" t="str">
        <f>IFERROR(VLOOKUP($G$20,$A$168:$E$278,5,0),"")</f>
        <v/>
      </c>
      <c r="H23" s="4022"/>
      <c r="I23" s="4022"/>
      <c r="J23" s="4022"/>
      <c r="M23" s="3516" t="str">
        <f>IF('Accionistas y Juntas'!G7=0,"",'Accionistas y Juntas'!G7)</f>
        <v/>
      </c>
      <c r="N23" s="3533" t="str">
        <f>IF('Accionistas y Juntas'!H7=0,"",'Accionistas y Juntas'!H7)</f>
        <v/>
      </c>
      <c r="O23" s="3501"/>
      <c r="P23" s="3477"/>
      <c r="Q23" s="3477"/>
      <c r="R23" s="3462"/>
      <c r="S23" s="3477"/>
      <c r="T23" s="3477"/>
      <c r="U23" s="3477"/>
      <c r="V23" s="3477"/>
      <c r="W23" s="3477"/>
      <c r="X23" s="3477"/>
      <c r="Y23" s="3477"/>
      <c r="Z23" s="3477"/>
      <c r="AA23" s="3477"/>
      <c r="AB23" s="3477"/>
      <c r="AC23" s="3476"/>
      <c r="AD23" s="3476"/>
      <c r="AE23" s="3476"/>
      <c r="AF23" s="3476"/>
      <c r="AG23" s="3476"/>
      <c r="AH23" s="3476"/>
    </row>
    <row r="24" spans="1:34" s="3494" customFormat="1" ht="32.5" customHeight="1">
      <c r="A24" s="4008" t="s">
        <v>239</v>
      </c>
      <c r="B24" s="4009"/>
      <c r="C24" s="4009"/>
      <c r="D24" s="4009"/>
      <c r="E24" s="4009"/>
      <c r="F24" s="3531" t="s">
        <v>240</v>
      </c>
      <c r="G24" s="4023" t="str">
        <f>'RC'!D8</f>
        <v/>
      </c>
      <c r="H24" s="4023"/>
      <c r="I24" s="4023"/>
      <c r="J24" s="4023"/>
      <c r="M24" s="3516" t="str">
        <f>IF('Accionistas y Juntas'!G8=0,"",'Accionistas y Juntas'!G8)</f>
        <v/>
      </c>
      <c r="N24" s="3533" t="str">
        <f>IF('Accionistas y Juntas'!H8=0,"",'Accionistas y Juntas'!H8)</f>
        <v/>
      </c>
      <c r="O24" s="3501"/>
      <c r="P24" s="3477"/>
      <c r="Q24" s="3477"/>
      <c r="R24" s="3462"/>
      <c r="S24" s="3477"/>
      <c r="T24" s="3477"/>
      <c r="U24" s="3477"/>
      <c r="V24" s="3477"/>
      <c r="W24" s="3477"/>
      <c r="X24" s="3477"/>
      <c r="Y24" s="3477"/>
      <c r="Z24" s="3477"/>
      <c r="AA24" s="3477"/>
      <c r="AB24" s="3477"/>
      <c r="AC24" s="3476"/>
      <c r="AD24" s="3476"/>
      <c r="AE24" s="3476"/>
      <c r="AF24" s="3476"/>
      <c r="AG24" s="3476"/>
      <c r="AH24" s="3476"/>
    </row>
    <row r="25" spans="1:34" s="3494" customFormat="1" ht="32.5" customHeight="1">
      <c r="A25" s="4008"/>
      <c r="B25" s="4009"/>
      <c r="C25" s="4009"/>
      <c r="D25" s="4009"/>
      <c r="E25" s="4009"/>
      <c r="F25" s="3531" t="s">
        <v>241</v>
      </c>
      <c r="G25" s="4024" t="str">
        <f>IF(Caratula1!F3=0,"",Caratula1!F3)</f>
        <v/>
      </c>
      <c r="H25" s="4024"/>
      <c r="I25" s="4024"/>
      <c r="J25" s="4024"/>
      <c r="M25" s="3516" t="str">
        <f>IF('Accionistas y Juntas'!G9=0,"",'Accionistas y Juntas'!G9)</f>
        <v/>
      </c>
      <c r="N25" s="3533" t="str">
        <f>IF('Accionistas y Juntas'!H9=0,"",'Accionistas y Juntas'!H9)</f>
        <v/>
      </c>
      <c r="O25" s="3501"/>
      <c r="P25" s="3477"/>
      <c r="Q25" s="3477"/>
      <c r="R25" s="3462"/>
      <c r="S25" s="3477"/>
      <c r="T25" s="3477"/>
      <c r="U25" s="3477"/>
      <c r="V25" s="3477"/>
      <c r="W25" s="3477"/>
      <c r="X25" s="3477"/>
      <c r="Y25" s="3477"/>
      <c r="Z25" s="3477"/>
      <c r="AA25" s="3477"/>
      <c r="AB25" s="3477"/>
      <c r="AC25" s="3476"/>
      <c r="AD25" s="3476"/>
      <c r="AE25" s="3476"/>
      <c r="AF25" s="3476"/>
      <c r="AG25" s="3476"/>
      <c r="AH25" s="3476"/>
    </row>
    <row r="26" spans="1:34" s="3494" customFormat="1" ht="32.5" customHeight="1">
      <c r="A26" s="4008"/>
      <c r="B26" s="4009"/>
      <c r="C26" s="4009"/>
      <c r="D26" s="4009"/>
      <c r="E26" s="4009"/>
      <c r="F26" s="3531" t="s">
        <v>242</v>
      </c>
      <c r="G26" s="4025"/>
      <c r="H26" s="4025"/>
      <c r="I26" s="4025"/>
      <c r="J26" s="4025"/>
      <c r="M26" s="3516" t="str">
        <f>IF('Accionistas y Juntas'!G10=0,"",'Accionistas y Juntas'!G10)</f>
        <v/>
      </c>
      <c r="N26" s="3533" t="str">
        <f>IF('Accionistas y Juntas'!H10=0,"",'Accionistas y Juntas'!H10)</f>
        <v/>
      </c>
      <c r="O26" s="3501"/>
      <c r="P26" s="3477"/>
      <c r="Q26" s="3477"/>
      <c r="R26" s="3462"/>
      <c r="S26" s="3477"/>
      <c r="T26" s="3477"/>
      <c r="U26" s="3477"/>
      <c r="V26" s="3477"/>
      <c r="W26" s="3477"/>
      <c r="X26" s="3477"/>
      <c r="Y26" s="3477"/>
      <c r="Z26" s="3477"/>
      <c r="AA26" s="3477"/>
      <c r="AB26" s="3477"/>
      <c r="AC26" s="3476"/>
      <c r="AD26" s="3476"/>
      <c r="AE26" s="3476"/>
      <c r="AF26" s="3476"/>
      <c r="AG26" s="3476"/>
      <c r="AH26" s="3476"/>
    </row>
    <row r="27" spans="1:34" s="3494" customFormat="1" ht="32.5" customHeight="1">
      <c r="A27" s="3530" t="s">
        <v>243</v>
      </c>
      <c r="H27" s="4018" t="s">
        <v>244</v>
      </c>
      <c r="I27" s="4021" t="s">
        <v>245</v>
      </c>
      <c r="J27" s="4021"/>
      <c r="K27" s="4006"/>
      <c r="L27" s="4007"/>
      <c r="M27" s="3516" t="str">
        <f>IF('Accionistas y Juntas'!G11=0,"",'Accionistas y Juntas'!G11)</f>
        <v/>
      </c>
      <c r="N27" s="3533" t="str">
        <f>IF('Accionistas y Juntas'!H11=0,"",'Accionistas y Juntas'!H11)</f>
        <v/>
      </c>
      <c r="O27" s="3501"/>
      <c r="P27" s="3477"/>
      <c r="Q27" s="3477"/>
      <c r="R27" s="3462"/>
      <c r="S27" s="3477"/>
      <c r="T27" s="3477"/>
      <c r="U27" s="3477"/>
      <c r="V27" s="3477"/>
      <c r="W27" s="3477"/>
      <c r="X27" s="3477"/>
      <c r="Y27" s="3477"/>
      <c r="Z27" s="3477"/>
      <c r="AA27" s="3477"/>
      <c r="AB27" s="3477"/>
      <c r="AC27" s="3476"/>
      <c r="AD27" s="3476"/>
      <c r="AE27" s="3476"/>
      <c r="AF27" s="3476"/>
      <c r="AG27" s="3476"/>
      <c r="AH27" s="3476"/>
    </row>
    <row r="28" spans="1:34" s="3494" customFormat="1" ht="32.5" customHeight="1">
      <c r="A28" s="4008" t="s">
        <v>239</v>
      </c>
      <c r="B28" s="4009"/>
      <c r="C28" s="4009"/>
      <c r="D28" s="4009"/>
      <c r="E28" s="4009"/>
      <c r="H28" s="4019"/>
      <c r="I28" s="4012" t="s">
        <v>246</v>
      </c>
      <c r="J28" s="4012"/>
      <c r="K28" s="4013"/>
      <c r="L28" s="4014"/>
      <c r="M28" s="3516" t="str">
        <f>IF('Accionistas y Juntas'!G12=0,"",'Accionistas y Juntas'!G12)</f>
        <v/>
      </c>
      <c r="N28" s="3533" t="str">
        <f>IF('Accionistas y Juntas'!H12=0,"",'Accionistas y Juntas'!H12)</f>
        <v/>
      </c>
      <c r="O28" s="3501"/>
      <c r="P28" s="3477"/>
      <c r="Q28" s="3477"/>
      <c r="R28" s="3462"/>
      <c r="S28" s="3477"/>
      <c r="T28" s="3477"/>
      <c r="U28" s="3477"/>
      <c r="V28" s="3477"/>
      <c r="W28" s="3477"/>
      <c r="X28" s="3477"/>
      <c r="Y28" s="3477"/>
      <c r="Z28" s="3477"/>
      <c r="AA28" s="3477"/>
      <c r="AB28" s="3477"/>
      <c r="AC28" s="3476"/>
      <c r="AD28" s="3476"/>
      <c r="AE28" s="3476"/>
      <c r="AF28" s="3476"/>
      <c r="AG28" s="3476"/>
      <c r="AH28" s="3476"/>
    </row>
    <row r="29" spans="1:34" s="3494" customFormat="1" ht="32.5" customHeight="1">
      <c r="A29" s="4008"/>
      <c r="B29" s="4009"/>
      <c r="C29" s="4009"/>
      <c r="D29" s="4009"/>
      <c r="E29" s="4009"/>
      <c r="H29" s="4019"/>
      <c r="I29" s="4012" t="s">
        <v>247</v>
      </c>
      <c r="J29" s="4012"/>
      <c r="K29" s="4013"/>
      <c r="L29" s="4014"/>
      <c r="M29" s="3516" t="str">
        <f>IF('Accionistas y Juntas'!G13=0,"",'Accionistas y Juntas'!G13)</f>
        <v/>
      </c>
      <c r="N29" s="3533" t="str">
        <f>IF('Accionistas y Juntas'!H13=0,"",'Accionistas y Juntas'!H13)</f>
        <v/>
      </c>
      <c r="O29" s="3501"/>
      <c r="P29" s="3477"/>
      <c r="Q29" s="3477"/>
      <c r="R29" s="3462"/>
      <c r="S29" s="3477"/>
      <c r="T29" s="3477"/>
      <c r="U29" s="3477"/>
      <c r="V29" s="3477"/>
      <c r="W29" s="3477"/>
      <c r="X29" s="3477"/>
      <c r="Y29" s="3477"/>
      <c r="Z29" s="3477"/>
      <c r="AA29" s="3477"/>
      <c r="AB29" s="3477"/>
      <c r="AC29" s="3476"/>
      <c r="AD29" s="3476"/>
      <c r="AE29" s="3476"/>
      <c r="AF29" s="3476"/>
      <c r="AG29" s="3476"/>
      <c r="AH29" s="3476"/>
    </row>
    <row r="30" spans="1:34" s="3494" customFormat="1" ht="32.5" customHeight="1">
      <c r="A30" s="4010"/>
      <c r="B30" s="4011"/>
      <c r="C30" s="4011"/>
      <c r="D30" s="4011"/>
      <c r="E30" s="4011"/>
      <c r="F30" s="3534"/>
      <c r="G30" s="3534"/>
      <c r="H30" s="4020"/>
      <c r="I30" s="4015" t="s">
        <v>248</v>
      </c>
      <c r="J30" s="4015"/>
      <c r="K30" s="4016">
        <f>SUM(K27:L29)</f>
        <v>0</v>
      </c>
      <c r="L30" s="4017"/>
      <c r="M30" s="3535" t="str">
        <f>IF('Accionistas y Juntas'!G14=0,"",'Accionistas y Juntas'!G14)</f>
        <v/>
      </c>
      <c r="N30" s="3536" t="str">
        <f>IF('Accionistas y Juntas'!H14=0,"",'Accionistas y Juntas'!H14)</f>
        <v/>
      </c>
      <c r="O30" s="3501"/>
      <c r="P30" s="3477"/>
      <c r="Q30" s="3477"/>
      <c r="R30" s="3462"/>
      <c r="S30" s="3477"/>
      <c r="T30" s="3477"/>
      <c r="U30" s="3477"/>
      <c r="V30" s="3477"/>
      <c r="W30" s="3477"/>
      <c r="X30" s="3477"/>
      <c r="Y30" s="3477"/>
      <c r="Z30" s="3477"/>
      <c r="AA30" s="3477"/>
      <c r="AB30" s="3477"/>
      <c r="AC30" s="3476"/>
      <c r="AD30" s="3476"/>
      <c r="AE30" s="3476"/>
      <c r="AF30" s="3476"/>
      <c r="AG30" s="3476"/>
      <c r="AH30" s="3476"/>
    </row>
    <row r="31" spans="1:34" s="3540" customFormat="1" ht="32.5" customHeight="1">
      <c r="A31" s="3983" t="s">
        <v>237</v>
      </c>
      <c r="B31" s="3984"/>
      <c r="C31" s="3984"/>
      <c r="D31" s="3984"/>
      <c r="E31" s="3984"/>
      <c r="F31" s="3984"/>
      <c r="G31" s="3984"/>
      <c r="H31" s="3984"/>
      <c r="I31" s="3984"/>
      <c r="J31" s="3984"/>
      <c r="K31" s="3985"/>
      <c r="L31" s="3537"/>
      <c r="M31" s="3537" t="s">
        <v>249</v>
      </c>
      <c r="N31" s="3538"/>
      <c r="O31" s="3539"/>
      <c r="P31" s="3539"/>
      <c r="Q31" s="3539"/>
      <c r="R31" s="3463"/>
      <c r="S31" s="3539"/>
      <c r="T31" s="3539"/>
      <c r="U31" s="3539"/>
      <c r="V31" s="3539"/>
      <c r="W31" s="3539"/>
      <c r="X31" s="3539"/>
      <c r="Y31" s="3539"/>
      <c r="Z31" s="3539"/>
      <c r="AA31" s="3539"/>
      <c r="AB31" s="3539"/>
    </row>
    <row r="32" spans="1:34" s="3540" customFormat="1" ht="32.5" customHeight="1">
      <c r="A32" s="3986" t="s">
        <v>250</v>
      </c>
      <c r="B32" s="3541"/>
      <c r="C32" s="3542"/>
      <c r="D32" s="3541"/>
      <c r="E32" s="3543"/>
      <c r="F32" s="3988" t="s">
        <v>251</v>
      </c>
      <c r="G32" s="3989"/>
      <c r="H32" s="3541"/>
      <c r="I32" s="3542"/>
      <c r="J32" s="3541"/>
      <c r="K32" s="3543"/>
      <c r="L32" s="3992"/>
      <c r="M32" s="3992"/>
      <c r="N32" s="3993"/>
      <c r="O32" s="3539"/>
      <c r="P32" s="3539"/>
      <c r="Q32" s="3539"/>
      <c r="R32" s="3463"/>
      <c r="S32" s="3539"/>
      <c r="T32" s="3539"/>
      <c r="U32" s="3539"/>
      <c r="V32" s="3539"/>
      <c r="W32" s="3539"/>
      <c r="X32" s="3539"/>
      <c r="Y32" s="3539"/>
      <c r="Z32" s="3539"/>
      <c r="AA32" s="3539"/>
      <c r="AB32" s="3539"/>
    </row>
    <row r="33" spans="1:28" s="3540" customFormat="1" ht="32.5" customHeight="1">
      <c r="A33" s="3987"/>
      <c r="B33" s="3544"/>
      <c r="C33" s="3545"/>
      <c r="D33" s="3544"/>
      <c r="E33" s="3546"/>
      <c r="F33" s="3990"/>
      <c r="G33" s="3991"/>
      <c r="H33" s="3544"/>
      <c r="I33" s="3545"/>
      <c r="J33" s="3544"/>
      <c r="K33" s="3546"/>
      <c r="L33" s="3994"/>
      <c r="M33" s="3994"/>
      <c r="N33" s="3995"/>
      <c r="O33" s="3539"/>
      <c r="P33" s="3539"/>
      <c r="Q33" s="3539"/>
      <c r="R33" s="3463"/>
      <c r="S33" s="3539"/>
      <c r="T33" s="3539"/>
      <c r="U33" s="3539"/>
      <c r="V33" s="3539"/>
      <c r="W33" s="3539"/>
      <c r="X33" s="3539"/>
      <c r="Y33" s="3539"/>
      <c r="Z33" s="3539"/>
      <c r="AA33" s="3539"/>
      <c r="AB33" s="3539"/>
    </row>
    <row r="34" spans="1:28" s="3540" customFormat="1" ht="32.5" customHeight="1">
      <c r="A34" s="4000" t="s">
        <v>252</v>
      </c>
      <c r="B34" s="3541"/>
      <c r="C34" s="3542"/>
      <c r="D34" s="3541"/>
      <c r="E34" s="3543"/>
      <c r="F34" s="4002" t="s">
        <v>253</v>
      </c>
      <c r="G34" s="4003"/>
      <c r="H34" s="3541"/>
      <c r="I34" s="3542"/>
      <c r="J34" s="3541"/>
      <c r="K34" s="3543"/>
      <c r="L34" s="3996"/>
      <c r="M34" s="3994"/>
      <c r="N34" s="3995"/>
      <c r="O34" s="3539"/>
      <c r="P34" s="3539"/>
      <c r="Q34" s="3539"/>
      <c r="R34" s="3463"/>
      <c r="S34" s="3539"/>
      <c r="T34" s="3539"/>
      <c r="U34" s="3539"/>
      <c r="V34" s="3539"/>
      <c r="W34" s="3539"/>
      <c r="X34" s="3539"/>
      <c r="Y34" s="3539"/>
      <c r="Z34" s="3539"/>
      <c r="AA34" s="3539"/>
      <c r="AB34" s="3539"/>
    </row>
    <row r="35" spans="1:28" s="3540" customFormat="1" ht="32.5" customHeight="1">
      <c r="A35" s="4001"/>
      <c r="B35" s="3544"/>
      <c r="C35" s="3545"/>
      <c r="D35" s="3544"/>
      <c r="E35" s="3546"/>
      <c r="F35" s="4004"/>
      <c r="G35" s="4005"/>
      <c r="H35" s="3544"/>
      <c r="I35" s="3545"/>
      <c r="J35" s="3544"/>
      <c r="K35" s="3546"/>
      <c r="L35" s="3997"/>
      <c r="M35" s="3998"/>
      <c r="N35" s="3999"/>
      <c r="O35" s="3539"/>
      <c r="P35" s="3539"/>
      <c r="Q35" s="3539"/>
      <c r="R35" s="3463"/>
      <c r="S35" s="3539"/>
      <c r="T35" s="3539"/>
      <c r="U35" s="3539"/>
      <c r="V35" s="3539"/>
      <c r="W35" s="3539"/>
      <c r="X35" s="3539"/>
      <c r="Y35" s="3539"/>
      <c r="Z35" s="3539"/>
      <c r="AA35" s="3539"/>
      <c r="AB35" s="3539"/>
    </row>
    <row r="36" spans="1:28" s="3540" customFormat="1" ht="32.5" customHeight="1">
      <c r="A36" s="3539"/>
      <c r="B36" s="3539"/>
      <c r="C36" s="3539"/>
      <c r="D36" s="3539"/>
      <c r="E36" s="3539"/>
      <c r="F36" s="3539"/>
      <c r="G36" s="3539"/>
      <c r="H36" s="3539"/>
      <c r="I36" s="3539"/>
      <c r="J36" s="3539"/>
      <c r="K36" s="3539"/>
      <c r="L36" s="3539"/>
      <c r="M36" s="3539"/>
      <c r="N36" s="3539"/>
      <c r="O36" s="3539"/>
      <c r="P36" s="3539"/>
      <c r="Q36" s="3539"/>
      <c r="R36" s="3463"/>
      <c r="S36" s="3539"/>
      <c r="T36" s="3539"/>
      <c r="U36" s="3539"/>
      <c r="V36" s="3539"/>
      <c r="W36" s="3539"/>
      <c r="X36" s="3539"/>
      <c r="Y36" s="3539"/>
      <c r="Z36" s="3539"/>
      <c r="AA36" s="3539"/>
      <c r="AB36" s="3539"/>
    </row>
    <row r="37" spans="1:28" ht="32.5" customHeight="1">
      <c r="M37" s="3476"/>
      <c r="N37" s="3547"/>
    </row>
    <row r="38" spans="1:28" ht="32.5" customHeight="1">
      <c r="M38" s="3476"/>
      <c r="N38" s="3547"/>
    </row>
    <row r="39" spans="1:28" ht="32.5" customHeight="1">
      <c r="M39" s="3476"/>
      <c r="N39" s="3547"/>
    </row>
    <row r="40" spans="1:28" ht="32.5" customHeight="1">
      <c r="M40" s="3476"/>
      <c r="N40" s="3547"/>
    </row>
    <row r="41" spans="1:28" ht="32.5" customHeight="1">
      <c r="M41" s="3476"/>
      <c r="N41" s="3547"/>
    </row>
    <row r="42" spans="1:28" ht="32.5" customHeight="1">
      <c r="M42" s="3476"/>
      <c r="N42" s="3547"/>
    </row>
    <row r="43" spans="1:28" ht="32.5" customHeight="1">
      <c r="M43" s="3476"/>
      <c r="N43" s="3547"/>
    </row>
    <row r="44" spans="1:28" ht="32.5" customHeight="1">
      <c r="M44" s="3476"/>
      <c r="N44" s="3547"/>
    </row>
    <row r="45" spans="1:28" ht="32.5" customHeight="1">
      <c r="M45" s="3476"/>
      <c r="N45" s="3547"/>
    </row>
    <row r="46" spans="1:28" ht="32.5" customHeight="1">
      <c r="M46" s="3476"/>
      <c r="N46" s="3547"/>
    </row>
    <row r="47" spans="1:28" ht="32.5" customHeight="1">
      <c r="M47" s="3476"/>
      <c r="N47" s="3547"/>
    </row>
    <row r="48" spans="1:28" ht="32.5" customHeight="1">
      <c r="M48" s="3476"/>
      <c r="N48" s="3547"/>
    </row>
    <row r="49" spans="13:14" ht="32.5" customHeight="1">
      <c r="M49" s="3476"/>
      <c r="N49" s="3547"/>
    </row>
    <row r="50" spans="13:14" ht="32.5" customHeight="1">
      <c r="M50" s="3476"/>
      <c r="N50" s="3547"/>
    </row>
    <row r="51" spans="13:14" ht="32.5" customHeight="1">
      <c r="M51" s="3476"/>
      <c r="N51" s="3547"/>
    </row>
    <row r="52" spans="13:14" ht="32.5" customHeight="1">
      <c r="M52" s="3476"/>
      <c r="N52" s="3547"/>
    </row>
    <row r="53" spans="13:14" ht="32.5" customHeight="1">
      <c r="M53" s="3476"/>
      <c r="N53" s="3547"/>
    </row>
    <row r="54" spans="13:14" ht="32.5" customHeight="1">
      <c r="M54" s="3476"/>
      <c r="N54" s="3547"/>
    </row>
    <row r="55" spans="13:14" ht="32.5" customHeight="1">
      <c r="M55" s="3476"/>
      <c r="N55" s="3547"/>
    </row>
    <row r="56" spans="13:14" ht="32.5" customHeight="1">
      <c r="M56" s="3476"/>
      <c r="N56" s="3547"/>
    </row>
    <row r="57" spans="13:14" ht="32.5" customHeight="1">
      <c r="M57" s="3476"/>
      <c r="N57" s="3547"/>
    </row>
    <row r="58" spans="13:14" ht="32.5" customHeight="1">
      <c r="M58" s="3476"/>
      <c r="N58" s="3547"/>
    </row>
    <row r="59" spans="13:14" ht="32.5" customHeight="1">
      <c r="M59" s="3476"/>
      <c r="N59" s="3547"/>
    </row>
    <row r="60" spans="13:14" ht="32.5" customHeight="1">
      <c r="M60" s="3476"/>
      <c r="N60" s="3547"/>
    </row>
    <row r="61" spans="13:14" ht="32.5" customHeight="1">
      <c r="M61" s="3476"/>
      <c r="N61" s="3547"/>
    </row>
    <row r="62" spans="13:14" ht="32.5" customHeight="1">
      <c r="M62" s="3476"/>
      <c r="N62" s="3547"/>
    </row>
    <row r="63" spans="13:14" ht="32.5" customHeight="1">
      <c r="M63" s="3476"/>
      <c r="N63" s="3547"/>
    </row>
    <row r="64" spans="13:14" ht="32.5" customHeight="1">
      <c r="M64" s="3476"/>
      <c r="N64" s="3547"/>
    </row>
    <row r="65" spans="13:14" ht="32.5" customHeight="1">
      <c r="M65" s="3476"/>
      <c r="N65" s="3547"/>
    </row>
    <row r="66" spans="13:14" ht="32.5" customHeight="1">
      <c r="M66" s="3476"/>
      <c r="N66" s="3547"/>
    </row>
    <row r="67" spans="13:14" ht="32.5" customHeight="1">
      <c r="M67" s="3476"/>
      <c r="N67" s="3547"/>
    </row>
    <row r="68" spans="13:14" ht="32.5" customHeight="1">
      <c r="M68" s="3476"/>
      <c r="N68" s="3547"/>
    </row>
    <row r="69" spans="13:14" ht="32.5" customHeight="1">
      <c r="M69" s="3476"/>
      <c r="N69" s="3547"/>
    </row>
    <row r="70" spans="13:14" ht="32.5" customHeight="1">
      <c r="M70" s="3476"/>
      <c r="N70" s="3547"/>
    </row>
    <row r="71" spans="13:14" ht="32.5" customHeight="1">
      <c r="M71" s="3476"/>
      <c r="N71" s="3547"/>
    </row>
    <row r="72" spans="13:14" ht="32.5" customHeight="1">
      <c r="M72" s="3476"/>
      <c r="N72" s="3547"/>
    </row>
    <row r="73" spans="13:14" ht="32.5" customHeight="1">
      <c r="M73" s="3476"/>
      <c r="N73" s="3547"/>
    </row>
    <row r="74" spans="13:14" ht="32.5" customHeight="1">
      <c r="M74" s="3476"/>
      <c r="N74" s="3547"/>
    </row>
    <row r="75" spans="13:14" ht="32.5" customHeight="1">
      <c r="M75" s="3476"/>
      <c r="N75" s="3547"/>
    </row>
    <row r="76" spans="13:14" ht="32.5" customHeight="1">
      <c r="M76" s="3476"/>
      <c r="N76" s="3547"/>
    </row>
    <row r="77" spans="13:14" ht="32.5" customHeight="1">
      <c r="M77" s="3476"/>
      <c r="N77" s="3547"/>
    </row>
    <row r="78" spans="13:14" ht="32.5" customHeight="1">
      <c r="M78" s="3476"/>
      <c r="N78" s="3547"/>
    </row>
    <row r="79" spans="13:14" ht="32.5" customHeight="1">
      <c r="M79" s="3476"/>
      <c r="N79" s="3547"/>
    </row>
    <row r="80" spans="13:14" ht="32.5" customHeight="1">
      <c r="M80" s="3476"/>
      <c r="N80" s="3547"/>
    </row>
    <row r="81" spans="13:14" ht="32.5" customHeight="1">
      <c r="M81" s="3476"/>
      <c r="N81" s="3547"/>
    </row>
    <row r="82" spans="13:14" ht="32.5" customHeight="1">
      <c r="M82" s="3476"/>
      <c r="N82" s="3547"/>
    </row>
    <row r="83" spans="13:14" ht="32.5" customHeight="1">
      <c r="M83" s="3476"/>
      <c r="N83" s="3547"/>
    </row>
    <row r="84" spans="13:14" ht="32.5" customHeight="1">
      <c r="M84" s="3476"/>
      <c r="N84" s="3547"/>
    </row>
    <row r="85" spans="13:14" ht="32.5" customHeight="1">
      <c r="M85" s="3476"/>
      <c r="N85" s="3547"/>
    </row>
    <row r="86" spans="13:14" ht="32.5" customHeight="1">
      <c r="M86" s="3476"/>
      <c r="N86" s="3547"/>
    </row>
    <row r="87" spans="13:14" ht="32.5" customHeight="1">
      <c r="M87" s="3476"/>
      <c r="N87" s="3547"/>
    </row>
    <row r="88" spans="13:14" ht="32.5" customHeight="1">
      <c r="M88" s="3476"/>
      <c r="N88" s="3547"/>
    </row>
    <row r="89" spans="13:14" ht="32.5" customHeight="1">
      <c r="M89" s="3476"/>
      <c r="N89" s="3547"/>
    </row>
    <row r="90" spans="13:14" ht="32.5" customHeight="1">
      <c r="M90" s="3476"/>
      <c r="N90" s="3547"/>
    </row>
    <row r="91" spans="13:14" ht="32.5" customHeight="1">
      <c r="M91" s="3476"/>
      <c r="N91" s="3547"/>
    </row>
    <row r="92" spans="13:14" ht="32.5" customHeight="1">
      <c r="M92" s="3476"/>
      <c r="N92" s="3547"/>
    </row>
    <row r="93" spans="13:14" ht="32.5" customHeight="1">
      <c r="M93" s="3476"/>
      <c r="N93" s="3547"/>
    </row>
    <row r="94" spans="13:14" ht="32.5" customHeight="1">
      <c r="M94" s="3476"/>
      <c r="N94" s="3547"/>
    </row>
    <row r="95" spans="13:14" ht="32.5" customHeight="1">
      <c r="M95" s="3476"/>
      <c r="N95" s="3547"/>
    </row>
    <row r="96" spans="13:14" ht="32.5" customHeight="1">
      <c r="M96" s="3476"/>
      <c r="N96" s="3547"/>
    </row>
    <row r="97" spans="13:14" ht="32.5" customHeight="1">
      <c r="M97" s="3476"/>
      <c r="N97" s="3547"/>
    </row>
    <row r="98" spans="13:14" ht="32.5" customHeight="1">
      <c r="M98" s="3476"/>
      <c r="N98" s="3547"/>
    </row>
    <row r="99" spans="13:14" ht="32.5" customHeight="1">
      <c r="M99" s="3476"/>
      <c r="N99" s="3547"/>
    </row>
    <row r="100" spans="13:14" ht="32.5" customHeight="1">
      <c r="M100" s="3476"/>
      <c r="N100" s="3547"/>
    </row>
    <row r="101" spans="13:14" ht="32.5" customHeight="1">
      <c r="M101" s="3476"/>
      <c r="N101" s="3547"/>
    </row>
    <row r="102" spans="13:14" ht="32.5" customHeight="1">
      <c r="M102" s="3476"/>
      <c r="N102" s="3547"/>
    </row>
    <row r="103" spans="13:14" ht="32.5" customHeight="1">
      <c r="M103" s="3476"/>
      <c r="N103" s="3547"/>
    </row>
    <row r="104" spans="13:14" ht="32.5" customHeight="1">
      <c r="M104" s="3476"/>
      <c r="N104" s="3547"/>
    </row>
    <row r="105" spans="13:14" ht="32.5" customHeight="1">
      <c r="M105" s="3476"/>
      <c r="N105" s="3547"/>
    </row>
    <row r="106" spans="13:14" ht="32.5" customHeight="1">
      <c r="M106" s="3476"/>
      <c r="N106" s="3547"/>
    </row>
    <row r="107" spans="13:14" ht="32.5" customHeight="1">
      <c r="M107" s="3476"/>
      <c r="N107" s="3547"/>
    </row>
    <row r="108" spans="13:14" ht="32.5" customHeight="1">
      <c r="M108" s="3476"/>
      <c r="N108" s="3547"/>
    </row>
    <row r="109" spans="13:14" ht="32.5" customHeight="1">
      <c r="M109" s="3476"/>
      <c r="N109" s="3547"/>
    </row>
    <row r="110" spans="13:14" ht="32.5" customHeight="1">
      <c r="M110" s="3476"/>
      <c r="N110" s="3547"/>
    </row>
    <row r="111" spans="13:14" ht="32.5" customHeight="1">
      <c r="M111" s="3476"/>
      <c r="N111" s="3547"/>
    </row>
    <row r="112" spans="13:14" ht="32.5" customHeight="1">
      <c r="M112" s="3476"/>
      <c r="N112" s="3547"/>
    </row>
    <row r="113" spans="1:24" ht="32.5" customHeight="1">
      <c r="M113" s="3476"/>
      <c r="N113" s="3547"/>
    </row>
    <row r="114" spans="1:24" ht="32.5" customHeight="1">
      <c r="M114" s="3476"/>
      <c r="N114" s="3547"/>
    </row>
    <row r="115" spans="1:24" ht="32.5" customHeight="1">
      <c r="M115" s="3476"/>
      <c r="N115" s="3547"/>
    </row>
    <row r="116" spans="1:24" ht="32.5" customHeight="1">
      <c r="M116" s="3476"/>
      <c r="N116" s="3547"/>
    </row>
    <row r="117" spans="1:24" ht="32.5" customHeight="1">
      <c r="N117" s="3547"/>
    </row>
    <row r="118" spans="1:24" ht="32.5" customHeight="1">
      <c r="A118" s="3476"/>
      <c r="B118" s="3476"/>
      <c r="C118" s="3476"/>
      <c r="D118" s="3476"/>
      <c r="E118" s="3476"/>
      <c r="F118" s="3476"/>
      <c r="G118" s="3476"/>
      <c r="H118" s="3476"/>
      <c r="I118" s="3476"/>
      <c r="J118" s="3476"/>
      <c r="K118" s="3476"/>
      <c r="L118" s="3476"/>
      <c r="M118" s="3476"/>
    </row>
    <row r="119" spans="1:24" ht="32.5" customHeight="1">
      <c r="A119" s="3476"/>
      <c r="B119" s="3476"/>
      <c r="C119" s="3476"/>
      <c r="D119" s="3476"/>
      <c r="E119" s="3476"/>
      <c r="F119" s="3476"/>
      <c r="G119" s="3476"/>
      <c r="H119" s="3476"/>
      <c r="I119" s="3476"/>
      <c r="J119" s="3476"/>
      <c r="K119" s="3476"/>
      <c r="L119" s="3476"/>
      <c r="M119" s="3476"/>
    </row>
    <row r="120" spans="1:24" ht="32.5" customHeight="1">
      <c r="A120" s="3476"/>
      <c r="B120" s="3476"/>
      <c r="C120" s="3476"/>
      <c r="D120" s="3476"/>
      <c r="E120" s="3476"/>
      <c r="F120" s="3476"/>
      <c r="G120" s="3476"/>
      <c r="H120" s="3476"/>
      <c r="I120" s="3476"/>
      <c r="J120" s="3476"/>
      <c r="K120" s="3476"/>
      <c r="L120" s="3476"/>
      <c r="M120" s="3476"/>
    </row>
    <row r="121" spans="1:24" ht="32.5" customHeight="1">
      <c r="A121" s="3476"/>
      <c r="B121" s="3476"/>
      <c r="C121" s="3476"/>
      <c r="D121" s="3476"/>
      <c r="E121" s="3476"/>
      <c r="F121" s="3476"/>
      <c r="G121" s="3476"/>
      <c r="H121" s="3476"/>
      <c r="I121" s="3476"/>
      <c r="J121" s="3476"/>
      <c r="K121" s="3476"/>
      <c r="L121" s="3476"/>
      <c r="M121" s="3476"/>
    </row>
    <row r="122" spans="1:24" ht="32.5" customHeight="1">
      <c r="A122" s="3476"/>
      <c r="B122" s="3476"/>
      <c r="C122" s="3476"/>
      <c r="D122" s="3476"/>
      <c r="E122" s="3476"/>
      <c r="F122" s="3476"/>
      <c r="G122" s="3476"/>
      <c r="H122" s="3476"/>
      <c r="I122" s="3476"/>
      <c r="J122" s="3476"/>
      <c r="K122" s="3476"/>
      <c r="L122" s="3476"/>
      <c r="M122" s="3476"/>
    </row>
    <row r="123" spans="1:24" ht="32.5" customHeight="1">
      <c r="A123" s="3476"/>
      <c r="B123" s="3476"/>
      <c r="C123" s="3476"/>
      <c r="D123" s="3476"/>
      <c r="E123" s="3476"/>
      <c r="F123" s="3476"/>
      <c r="G123" s="3476"/>
      <c r="H123" s="3476"/>
      <c r="I123" s="3476"/>
      <c r="J123" s="3476"/>
      <c r="K123" s="3476"/>
      <c r="L123" s="3476"/>
      <c r="M123" s="3476"/>
    </row>
    <row r="124" spans="1:24" ht="32.5" customHeight="1">
      <c r="A124" s="3476"/>
      <c r="B124" s="3476"/>
      <c r="C124" s="3548"/>
      <c r="D124" s="3548"/>
      <c r="E124" s="3548"/>
      <c r="F124" s="3548"/>
      <c r="G124" s="3548"/>
      <c r="H124" s="3548"/>
      <c r="I124" s="3548"/>
      <c r="J124" s="3548"/>
      <c r="K124" s="3548"/>
      <c r="L124" s="3548"/>
      <c r="M124" s="3548"/>
      <c r="N124" s="3548"/>
      <c r="O124" s="3548"/>
      <c r="P124" s="3548"/>
      <c r="Q124" s="3548"/>
      <c r="R124" s="3464"/>
      <c r="S124" s="3548"/>
      <c r="T124" s="3548"/>
      <c r="U124" s="3548"/>
      <c r="V124" s="3548"/>
      <c r="W124" s="3548"/>
      <c r="X124" s="3548"/>
    </row>
    <row r="125" spans="1:24" ht="32.5" customHeight="1">
      <c r="A125" s="3476"/>
      <c r="B125" s="3476"/>
      <c r="C125" s="3548"/>
      <c r="D125" s="3548"/>
      <c r="E125" s="3548"/>
      <c r="F125" s="3548"/>
      <c r="G125" s="3548"/>
      <c r="H125" s="3548"/>
      <c r="I125" s="3548"/>
      <c r="J125" s="3548"/>
      <c r="K125" s="3548"/>
      <c r="L125" s="3548"/>
      <c r="M125" s="3548"/>
      <c r="N125" s="3548"/>
      <c r="O125" s="3548"/>
      <c r="P125" s="3548"/>
      <c r="Q125" s="3548"/>
      <c r="R125" s="3464"/>
      <c r="S125" s="3548"/>
      <c r="T125" s="3548"/>
      <c r="U125" s="3548"/>
      <c r="V125" s="3548"/>
      <c r="W125" s="3548"/>
      <c r="X125" s="3548"/>
    </row>
    <row r="126" spans="1:24" ht="32.5" customHeight="1">
      <c r="A126" s="3476"/>
      <c r="B126" s="3476"/>
      <c r="C126" s="3548"/>
      <c r="D126" s="3548"/>
      <c r="E126" s="3548"/>
      <c r="F126" s="3548"/>
      <c r="G126" s="3548"/>
      <c r="H126" s="3548"/>
      <c r="I126" s="3548"/>
      <c r="J126" s="3548"/>
      <c r="K126" s="3548"/>
      <c r="L126" s="3548"/>
      <c r="M126" s="3548"/>
      <c r="N126" s="3548"/>
      <c r="O126" s="3548"/>
      <c r="P126" s="3548"/>
      <c r="Q126" s="3548"/>
      <c r="R126" s="3464"/>
      <c r="S126" s="3548"/>
      <c r="T126" s="3548"/>
      <c r="U126" s="3548"/>
      <c r="V126" s="3548"/>
      <c r="W126" s="3548"/>
      <c r="X126" s="3548"/>
    </row>
    <row r="127" spans="1:24" ht="32.5" customHeight="1">
      <c r="A127" s="3476"/>
      <c r="B127" s="3476"/>
      <c r="C127" s="3548"/>
      <c r="D127" s="3548"/>
      <c r="E127" s="3548"/>
      <c r="F127" s="3548"/>
      <c r="G127" s="3548"/>
      <c r="H127" s="3548"/>
      <c r="I127" s="3548"/>
      <c r="J127" s="3548"/>
      <c r="K127" s="3548"/>
      <c r="L127" s="3548"/>
      <c r="M127" s="3548"/>
      <c r="N127" s="3548"/>
      <c r="O127" s="3548"/>
      <c r="P127" s="3548"/>
      <c r="Q127" s="3548"/>
      <c r="R127" s="3464"/>
      <c r="S127" s="3548"/>
      <c r="T127" s="3548"/>
      <c r="U127" s="3548"/>
      <c r="V127" s="3548"/>
      <c r="W127" s="3548"/>
      <c r="X127" s="3548"/>
    </row>
    <row r="128" spans="1:24" ht="32.5" customHeight="1">
      <c r="A128" s="3476"/>
      <c r="B128" s="3476"/>
      <c r="C128" s="3548"/>
      <c r="D128" s="3548"/>
      <c r="E128" s="3548"/>
      <c r="F128" s="3548"/>
      <c r="G128" s="3548"/>
      <c r="H128" s="3548"/>
      <c r="I128" s="3548"/>
      <c r="J128" s="3548"/>
      <c r="K128" s="3548"/>
      <c r="L128" s="3548"/>
      <c r="M128" s="3548"/>
      <c r="N128" s="3548"/>
      <c r="O128" s="3548"/>
      <c r="P128" s="3548"/>
      <c r="Q128" s="3548"/>
      <c r="R128" s="3464"/>
      <c r="S128" s="3548"/>
      <c r="T128" s="3548"/>
      <c r="U128" s="3548"/>
      <c r="V128" s="3548"/>
      <c r="W128" s="3548"/>
      <c r="X128" s="3548"/>
    </row>
    <row r="129" spans="1:24" ht="32.5" customHeight="1">
      <c r="A129" s="3476"/>
      <c r="B129" s="3476"/>
      <c r="C129" s="3548"/>
      <c r="D129" s="3548"/>
      <c r="E129" s="3548"/>
      <c r="F129" s="3548"/>
      <c r="G129" s="3548"/>
      <c r="H129" s="3548"/>
      <c r="I129" s="3548"/>
      <c r="J129" s="3548"/>
      <c r="K129" s="3548"/>
      <c r="L129" s="3548"/>
      <c r="M129" s="3548"/>
      <c r="N129" s="3548"/>
      <c r="O129" s="3548"/>
      <c r="P129" s="3548"/>
      <c r="Q129" s="3548"/>
      <c r="R129" s="3464"/>
      <c r="S129" s="3548"/>
      <c r="T129" s="3548"/>
      <c r="U129" s="3548"/>
      <c r="V129" s="3548"/>
      <c r="W129" s="3548"/>
      <c r="X129" s="3548"/>
    </row>
    <row r="130" spans="1:24" ht="32.5" customHeight="1">
      <c r="C130" s="3548"/>
      <c r="D130" s="3548"/>
      <c r="E130" s="3548"/>
      <c r="F130" s="3548"/>
      <c r="G130" s="3548"/>
      <c r="H130" s="3548"/>
      <c r="I130" s="3548"/>
      <c r="J130" s="3548"/>
      <c r="K130" s="3548"/>
      <c r="L130" s="3548"/>
      <c r="M130" s="3548"/>
      <c r="N130" s="3548"/>
      <c r="O130" s="3548"/>
      <c r="P130" s="3548"/>
      <c r="Q130" s="3548"/>
      <c r="R130" s="3464"/>
      <c r="S130" s="3548"/>
      <c r="T130" s="3548"/>
      <c r="U130" s="3548"/>
      <c r="V130" s="3548"/>
      <c r="W130" s="3548"/>
      <c r="X130" s="3548"/>
    </row>
    <row r="131" spans="1:24" ht="32.5" customHeight="1">
      <c r="C131" s="3548"/>
      <c r="D131" s="3548"/>
      <c r="E131" s="3548"/>
      <c r="F131" s="3548"/>
      <c r="G131" s="3548"/>
      <c r="H131" s="3548"/>
      <c r="I131" s="3548"/>
      <c r="J131" s="3548"/>
      <c r="K131" s="3548"/>
      <c r="L131" s="3548"/>
      <c r="M131" s="3548"/>
      <c r="N131" s="3548"/>
      <c r="O131" s="3548"/>
      <c r="P131" s="3548"/>
      <c r="Q131" s="3548"/>
      <c r="R131" s="3464"/>
      <c r="S131" s="3548"/>
      <c r="T131" s="3548"/>
      <c r="U131" s="3548"/>
      <c r="V131" s="3548"/>
      <c r="W131" s="3548"/>
      <c r="X131" s="3548"/>
    </row>
    <row r="132" spans="1:24" ht="32.5" customHeight="1">
      <c r="C132" s="3548"/>
      <c r="D132" s="3548"/>
      <c r="E132" s="3548"/>
      <c r="F132" s="3548"/>
      <c r="G132" s="3548"/>
      <c r="H132" s="3548"/>
      <c r="I132" s="3548"/>
      <c r="J132" s="3548"/>
      <c r="K132" s="3548"/>
      <c r="L132" s="3548"/>
      <c r="M132" s="3548"/>
      <c r="N132" s="3548"/>
      <c r="O132" s="3548"/>
      <c r="P132" s="3548"/>
      <c r="Q132" s="3548"/>
      <c r="R132" s="3464"/>
      <c r="S132" s="3548"/>
      <c r="T132" s="3548"/>
      <c r="U132" s="3548"/>
      <c r="V132" s="3548"/>
      <c r="W132" s="3548"/>
      <c r="X132" s="3548"/>
    </row>
    <row r="133" spans="1:24" ht="32.5" customHeight="1">
      <c r="C133" s="3548"/>
      <c r="D133" s="3548"/>
      <c r="E133" s="3548"/>
      <c r="F133" s="3548"/>
      <c r="G133" s="3548"/>
      <c r="H133" s="3548"/>
      <c r="I133" s="3548"/>
      <c r="J133" s="3548"/>
      <c r="K133" s="3548"/>
      <c r="L133" s="3548"/>
      <c r="M133" s="3548"/>
      <c r="N133" s="3548"/>
      <c r="O133" s="3548"/>
      <c r="P133" s="3548"/>
      <c r="Q133" s="3548"/>
      <c r="R133" s="3464"/>
      <c r="S133" s="3548"/>
      <c r="T133" s="3548"/>
      <c r="U133" s="3548"/>
      <c r="V133" s="3548"/>
      <c r="W133" s="3548"/>
      <c r="X133" s="3548"/>
    </row>
    <row r="134" spans="1:24" ht="32.5" customHeight="1">
      <c r="C134" s="3548"/>
      <c r="D134" s="3548"/>
      <c r="E134" s="3548"/>
      <c r="F134" s="3548"/>
      <c r="G134" s="3548"/>
      <c r="H134" s="3548"/>
      <c r="I134" s="3548"/>
      <c r="J134" s="3548"/>
      <c r="K134" s="3548"/>
      <c r="L134" s="3548"/>
      <c r="M134" s="3548"/>
      <c r="N134" s="3548"/>
      <c r="O134" s="3548"/>
      <c r="P134" s="3548"/>
      <c r="Q134" s="3548"/>
      <c r="R134" s="3464"/>
      <c r="S134" s="3548"/>
      <c r="T134" s="3548"/>
      <c r="U134" s="3548"/>
      <c r="V134" s="3548"/>
      <c r="W134" s="3548"/>
      <c r="X134" s="3548"/>
    </row>
    <row r="135" spans="1:24" ht="32.5" customHeight="1">
      <c r="C135" s="3548"/>
      <c r="D135" s="3548"/>
      <c r="E135" s="3548"/>
      <c r="F135" s="3548"/>
      <c r="G135" s="3548"/>
      <c r="H135" s="3548"/>
      <c r="I135" s="3548"/>
      <c r="J135" s="3548"/>
      <c r="K135" s="3548"/>
      <c r="L135" s="3548"/>
      <c r="M135" s="3548"/>
      <c r="N135" s="3548"/>
      <c r="O135" s="3548"/>
      <c r="P135" s="3548"/>
      <c r="Q135" s="3548"/>
      <c r="R135" s="3464"/>
      <c r="S135" s="3548"/>
      <c r="T135" s="3548"/>
      <c r="U135" s="3548"/>
      <c r="V135" s="3548"/>
      <c r="W135" s="3548"/>
      <c r="X135" s="3548"/>
    </row>
    <row r="136" spans="1:24" ht="32.5" customHeight="1">
      <c r="C136" s="3548"/>
      <c r="D136" s="3548"/>
      <c r="E136" s="3548"/>
      <c r="F136" s="3548"/>
      <c r="G136" s="3548"/>
      <c r="H136" s="3548"/>
      <c r="I136" s="3548"/>
      <c r="J136" s="3548"/>
      <c r="K136" s="3548"/>
      <c r="L136" s="3548"/>
      <c r="M136" s="3548"/>
      <c r="N136" s="3548"/>
      <c r="O136" s="3548"/>
      <c r="P136" s="3548"/>
      <c r="Q136" s="3548"/>
      <c r="R136" s="3464"/>
      <c r="S136" s="3548"/>
      <c r="T136" s="3548"/>
      <c r="U136" s="3548"/>
      <c r="V136" s="3548"/>
      <c r="W136" s="3548"/>
      <c r="X136" s="3548"/>
    </row>
    <row r="137" spans="1:24" ht="32.5" customHeight="1">
      <c r="C137" s="3548"/>
      <c r="D137" s="3548"/>
      <c r="E137" s="3548"/>
      <c r="F137" s="3548"/>
      <c r="G137" s="3548"/>
      <c r="H137" s="3548"/>
      <c r="I137" s="3548"/>
      <c r="J137" s="3548"/>
      <c r="K137" s="3548"/>
      <c r="L137" s="3548"/>
      <c r="M137" s="3548"/>
      <c r="N137" s="3548"/>
      <c r="O137" s="3548"/>
      <c r="P137" s="3548"/>
      <c r="Q137" s="3548"/>
      <c r="R137" s="3464"/>
      <c r="S137" s="3548"/>
      <c r="T137" s="3548"/>
      <c r="U137" s="3548"/>
      <c r="V137" s="3548"/>
      <c r="W137" s="3548"/>
      <c r="X137" s="3548"/>
    </row>
    <row r="138" spans="1:24" ht="32.5" customHeight="1">
      <c r="C138" s="3548"/>
      <c r="D138" s="3548"/>
      <c r="E138" s="3548"/>
      <c r="F138" s="3548"/>
      <c r="G138" s="3548"/>
      <c r="H138" s="3548"/>
      <c r="I138" s="3548"/>
      <c r="J138" s="3548"/>
      <c r="K138" s="3548"/>
      <c r="L138" s="3548"/>
      <c r="M138" s="3548"/>
      <c r="N138" s="3548"/>
      <c r="O138" s="3548"/>
      <c r="P138" s="3548"/>
      <c r="Q138" s="3548"/>
      <c r="R138" s="3464"/>
      <c r="S138" s="3548"/>
      <c r="T138" s="3548"/>
      <c r="U138" s="3548"/>
      <c r="V138" s="3548"/>
      <c r="W138" s="3548"/>
      <c r="X138" s="3548"/>
    </row>
    <row r="139" spans="1:24" ht="32.5" customHeight="1">
      <c r="C139" s="3548"/>
      <c r="D139" s="3548"/>
      <c r="E139" s="3548"/>
      <c r="F139" s="3548"/>
      <c r="G139" s="3548"/>
      <c r="H139" s="3548"/>
      <c r="I139" s="3548"/>
      <c r="J139" s="3548"/>
      <c r="K139" s="3548"/>
      <c r="L139" s="3548"/>
      <c r="M139" s="3548"/>
      <c r="N139" s="3548"/>
      <c r="O139" s="3548"/>
      <c r="P139" s="3548"/>
      <c r="Q139" s="3548"/>
      <c r="R139" s="3464"/>
      <c r="S139" s="3548"/>
      <c r="T139" s="3548"/>
      <c r="U139" s="3548"/>
      <c r="V139" s="3548"/>
      <c r="W139" s="3548"/>
      <c r="X139" s="3548"/>
    </row>
    <row r="140" spans="1:24" ht="32.5" customHeight="1">
      <c r="C140" s="3548"/>
      <c r="D140" s="3548"/>
      <c r="E140" s="3548"/>
      <c r="F140" s="3548"/>
      <c r="G140" s="3548"/>
      <c r="H140" s="3548"/>
      <c r="I140" s="3548"/>
      <c r="J140" s="3548"/>
      <c r="K140" s="3548"/>
      <c r="L140" s="3548"/>
      <c r="M140" s="3548"/>
      <c r="N140" s="3548"/>
      <c r="O140" s="3548"/>
      <c r="P140" s="3548"/>
      <c r="Q140" s="3548"/>
      <c r="R140" s="3464"/>
      <c r="S140" s="3548"/>
      <c r="T140" s="3548"/>
      <c r="U140" s="3548"/>
      <c r="V140" s="3548"/>
      <c r="W140" s="3548"/>
      <c r="X140" s="3548"/>
    </row>
    <row r="141" spans="1:24" ht="32.5" customHeight="1">
      <c r="C141" s="3548"/>
      <c r="D141" s="3548"/>
      <c r="E141" s="3548"/>
      <c r="F141" s="3548"/>
      <c r="G141" s="3548"/>
      <c r="H141" s="3548"/>
      <c r="I141" s="3548"/>
      <c r="J141" s="3548"/>
      <c r="K141" s="3548"/>
      <c r="L141" s="3548"/>
      <c r="M141" s="3548"/>
      <c r="N141" s="3548"/>
      <c r="O141" s="3548"/>
      <c r="P141" s="3548"/>
      <c r="Q141" s="3548"/>
      <c r="R141" s="3464"/>
      <c r="S141" s="3548"/>
      <c r="T141" s="3548"/>
      <c r="U141" s="3548"/>
      <c r="V141" s="3548"/>
      <c r="W141" s="3548"/>
      <c r="X141" s="3548"/>
    </row>
    <row r="142" spans="1:24" ht="32.5" customHeight="1">
      <c r="C142" s="3548"/>
      <c r="D142" s="3548"/>
      <c r="E142" s="3548"/>
      <c r="F142" s="3548"/>
      <c r="G142" s="3548"/>
      <c r="H142" s="3548"/>
      <c r="I142" s="3548"/>
      <c r="J142" s="3548"/>
      <c r="K142" s="3548"/>
      <c r="L142" s="3548"/>
      <c r="M142" s="3548"/>
      <c r="N142" s="3548"/>
      <c r="O142" s="3548"/>
      <c r="P142" s="3548"/>
      <c r="Q142" s="3548"/>
      <c r="R142" s="3464"/>
      <c r="S142" s="3548"/>
      <c r="T142" s="3548"/>
      <c r="U142" s="3548"/>
      <c r="V142" s="3548"/>
      <c r="W142" s="3548"/>
      <c r="X142" s="3548"/>
    </row>
    <row r="143" spans="1:24" ht="32.5" customHeight="1">
      <c r="C143" s="3548"/>
      <c r="D143" s="3548"/>
      <c r="E143" s="3548"/>
      <c r="F143" s="3548"/>
      <c r="G143" s="3548"/>
      <c r="H143" s="3548"/>
      <c r="I143" s="3548"/>
      <c r="J143" s="3548"/>
      <c r="K143" s="3548"/>
      <c r="L143" s="3548"/>
      <c r="M143" s="3548"/>
      <c r="N143" s="3548"/>
      <c r="O143" s="3548"/>
      <c r="P143" s="3548"/>
      <c r="Q143" s="3548"/>
      <c r="R143" s="3464"/>
      <c r="S143" s="3548"/>
      <c r="T143" s="3548"/>
      <c r="U143" s="3548"/>
      <c r="V143" s="3548"/>
      <c r="W143" s="3548"/>
      <c r="X143" s="3548"/>
    </row>
    <row r="144" spans="1:24" ht="32.5" customHeight="1">
      <c r="C144" s="3548"/>
      <c r="D144" s="3548"/>
      <c r="E144" s="3548"/>
      <c r="F144" s="3548"/>
      <c r="G144" s="3548"/>
      <c r="H144" s="3548"/>
      <c r="I144" s="3548"/>
      <c r="J144" s="3548"/>
      <c r="K144" s="3548"/>
      <c r="L144" s="3548"/>
      <c r="M144" s="3548"/>
      <c r="N144" s="3548"/>
      <c r="O144" s="3548"/>
      <c r="P144" s="3548"/>
      <c r="Q144" s="3548"/>
      <c r="R144" s="3464"/>
      <c r="S144" s="3548"/>
      <c r="T144" s="3548"/>
      <c r="U144" s="3548"/>
      <c r="V144" s="3548"/>
      <c r="W144" s="3548"/>
      <c r="X144" s="3548"/>
    </row>
    <row r="145" spans="1:24" ht="32.5" customHeight="1">
      <c r="C145" s="3548"/>
      <c r="D145" s="3548"/>
      <c r="E145" s="3548"/>
      <c r="F145" s="3548"/>
      <c r="G145" s="3548"/>
      <c r="H145" s="3548"/>
      <c r="I145" s="3548"/>
      <c r="J145" s="3548"/>
      <c r="K145" s="3548"/>
      <c r="L145" s="3548"/>
      <c r="M145" s="3548"/>
      <c r="N145" s="3548"/>
      <c r="O145" s="3548"/>
      <c r="P145" s="3548"/>
      <c r="Q145" s="3548"/>
      <c r="R145" s="3464"/>
      <c r="S145" s="3548"/>
      <c r="T145" s="3548"/>
      <c r="U145" s="3548"/>
      <c r="V145" s="3548"/>
      <c r="W145" s="3548"/>
      <c r="X145" s="3548"/>
    </row>
    <row r="146" spans="1:24" ht="32.5" customHeight="1">
      <c r="C146" s="3548"/>
      <c r="D146" s="3548"/>
      <c r="E146" s="3548"/>
      <c r="F146" s="3548"/>
      <c r="G146" s="3548"/>
      <c r="H146" s="3548"/>
      <c r="I146" s="3548"/>
      <c r="J146" s="3548"/>
      <c r="K146" s="3548"/>
      <c r="L146" s="3548"/>
      <c r="M146" s="3548"/>
      <c r="N146" s="3548"/>
      <c r="O146" s="3548"/>
      <c r="P146" s="3548"/>
      <c r="Q146" s="3548"/>
      <c r="R146" s="3464"/>
      <c r="S146" s="3548"/>
      <c r="T146" s="3548"/>
      <c r="U146" s="3548"/>
      <c r="V146" s="3548"/>
      <c r="W146" s="3548"/>
      <c r="X146" s="3548"/>
    </row>
    <row r="147" spans="1:24" ht="32.5" customHeight="1">
      <c r="C147" s="3548"/>
      <c r="D147" s="3548"/>
      <c r="E147" s="3548"/>
      <c r="F147" s="3548"/>
      <c r="G147" s="3548"/>
      <c r="H147" s="3548"/>
      <c r="I147" s="3548"/>
      <c r="J147" s="3548"/>
      <c r="K147" s="3548"/>
      <c r="L147" s="3548"/>
      <c r="M147" s="3548"/>
      <c r="N147" s="3548"/>
      <c r="O147" s="3548"/>
      <c r="P147" s="3548"/>
      <c r="Q147" s="3548"/>
      <c r="R147" s="3464"/>
      <c r="S147" s="3548"/>
      <c r="T147" s="3548"/>
      <c r="U147" s="3548"/>
      <c r="V147" s="3548"/>
      <c r="W147" s="3548"/>
      <c r="X147" s="3548"/>
    </row>
    <row r="148" spans="1:24" ht="32.5" customHeight="1">
      <c r="C148" s="3548"/>
      <c r="D148" s="3548"/>
      <c r="E148" s="3548"/>
      <c r="F148" s="3548"/>
      <c r="G148" s="3548"/>
      <c r="H148" s="3548"/>
      <c r="I148" s="3548"/>
      <c r="J148" s="3548"/>
      <c r="K148" s="3548"/>
      <c r="L148" s="3548"/>
      <c r="M148" s="3548"/>
      <c r="N148" s="3548"/>
      <c r="O148" s="3548"/>
      <c r="P148" s="3548"/>
      <c r="Q148" s="3548"/>
      <c r="R148" s="3464"/>
      <c r="S148" s="3548"/>
      <c r="T148" s="3548"/>
      <c r="U148" s="3548"/>
      <c r="V148" s="3548"/>
      <c r="W148" s="3548"/>
      <c r="X148" s="3548"/>
    </row>
    <row r="149" spans="1:24" ht="32.5" customHeight="1">
      <c r="C149" s="3548"/>
      <c r="D149" s="3548"/>
      <c r="E149" s="3548"/>
      <c r="F149" s="3548"/>
      <c r="G149" s="3548"/>
      <c r="H149" s="3548"/>
      <c r="I149" s="3548"/>
      <c r="J149" s="3548"/>
      <c r="K149" s="3548"/>
      <c r="L149" s="3548"/>
      <c r="M149" s="3548"/>
      <c r="N149" s="3548"/>
      <c r="O149" s="3548"/>
      <c r="P149" s="3548"/>
      <c r="Q149" s="3548"/>
      <c r="R149" s="3464"/>
      <c r="S149" s="3548"/>
      <c r="T149" s="3548"/>
      <c r="U149" s="3548"/>
      <c r="V149" s="3548"/>
      <c r="W149" s="3548"/>
      <c r="X149" s="3548"/>
    </row>
    <row r="150" spans="1:24" ht="32.5" customHeight="1">
      <c r="C150" s="3548"/>
      <c r="D150" s="3548"/>
      <c r="E150" s="3548"/>
      <c r="F150" s="3548"/>
      <c r="G150" s="3548"/>
      <c r="H150" s="3548"/>
      <c r="I150" s="3548"/>
      <c r="J150" s="3548"/>
      <c r="K150" s="3548"/>
      <c r="L150" s="3548"/>
      <c r="M150" s="3548"/>
      <c r="N150" s="3548"/>
      <c r="O150" s="3548"/>
      <c r="P150" s="3548"/>
      <c r="Q150" s="3548"/>
      <c r="R150" s="3464"/>
      <c r="S150" s="3548"/>
      <c r="T150" s="3548"/>
      <c r="U150" s="3548"/>
      <c r="V150" s="3548"/>
      <c r="W150" s="3548"/>
      <c r="X150" s="3548"/>
    </row>
    <row r="151" spans="1:24" ht="32.5" customHeight="1">
      <c r="C151" s="3548"/>
      <c r="D151" s="3548"/>
      <c r="E151" s="3548"/>
      <c r="F151" s="3548"/>
      <c r="G151" s="3548"/>
      <c r="H151" s="3548"/>
      <c r="I151" s="3548"/>
      <c r="J151" s="3548"/>
      <c r="K151" s="3548"/>
      <c r="L151" s="3548"/>
      <c r="M151" s="3548"/>
      <c r="N151" s="3548"/>
      <c r="O151" s="3548"/>
      <c r="P151" s="3548"/>
      <c r="Q151" s="3548"/>
      <c r="R151" s="3464"/>
      <c r="S151" s="3548"/>
      <c r="T151" s="3548"/>
      <c r="U151" s="3548"/>
      <c r="V151" s="3548"/>
      <c r="W151" s="3548"/>
      <c r="X151" s="3548"/>
    </row>
    <row r="152" spans="1:24" ht="32.5" customHeight="1">
      <c r="A152" s="3475" t="s">
        <v>254</v>
      </c>
      <c r="C152" s="3548"/>
      <c r="D152" s="3548"/>
      <c r="E152" s="3548"/>
      <c r="F152" s="3548"/>
      <c r="G152" s="3548"/>
      <c r="H152" s="3548"/>
      <c r="I152" s="3548"/>
      <c r="J152" s="3548"/>
      <c r="K152" s="3548"/>
      <c r="L152" s="3548"/>
      <c r="M152" s="3548"/>
      <c r="N152" s="3548"/>
      <c r="O152" s="3548"/>
      <c r="P152" s="3548"/>
      <c r="Q152" s="3548"/>
      <c r="R152" s="3464"/>
      <c r="S152" s="3548"/>
      <c r="T152" s="3548"/>
      <c r="U152" s="3548"/>
      <c r="V152" s="3548"/>
      <c r="W152" s="3548"/>
      <c r="X152" s="3548"/>
    </row>
    <row r="153" spans="1:24" ht="32.5" customHeight="1">
      <c r="A153" s="3475" t="s">
        <v>255</v>
      </c>
      <c r="C153" s="3548"/>
      <c r="D153" s="3548"/>
      <c r="E153" s="3548"/>
      <c r="F153" s="3548"/>
      <c r="G153" s="3548"/>
      <c r="H153" s="3548"/>
      <c r="I153" s="3548"/>
      <c r="J153" s="3548"/>
      <c r="K153" s="3548"/>
      <c r="L153" s="3548"/>
      <c r="M153" s="3548"/>
      <c r="N153" s="3548"/>
      <c r="O153" s="3548"/>
      <c r="P153" s="3548"/>
      <c r="Q153" s="3548"/>
      <c r="R153" s="3464"/>
      <c r="S153" s="3548"/>
      <c r="T153" s="3548"/>
      <c r="U153" s="3548"/>
      <c r="V153" s="3548"/>
      <c r="W153" s="3548"/>
      <c r="X153" s="3548"/>
    </row>
    <row r="154" spans="1:24" ht="32.5" customHeight="1">
      <c r="A154" s="3475" t="s">
        <v>256</v>
      </c>
      <c r="C154" s="3548"/>
      <c r="D154" s="3548"/>
      <c r="E154" s="3548"/>
      <c r="F154" s="3548"/>
      <c r="G154" s="3548"/>
      <c r="H154" s="3548"/>
      <c r="I154" s="3548"/>
      <c r="J154" s="3548"/>
      <c r="K154" s="3548"/>
      <c r="L154" s="3548"/>
      <c r="M154" s="3548"/>
      <c r="N154" s="3548"/>
      <c r="O154" s="3548"/>
      <c r="P154" s="3548"/>
      <c r="Q154" s="3548"/>
      <c r="R154" s="3464"/>
      <c r="S154" s="3548"/>
      <c r="T154" s="3548"/>
      <c r="U154" s="3548"/>
      <c r="V154" s="3548"/>
      <c r="W154" s="3548"/>
      <c r="X154" s="3548"/>
    </row>
    <row r="155" spans="1:24" ht="32.5" customHeight="1">
      <c r="A155" s="3475" t="s">
        <v>257</v>
      </c>
      <c r="C155" s="3548"/>
      <c r="D155" s="3548"/>
      <c r="E155" s="3548"/>
      <c r="F155" s="3548"/>
      <c r="G155" s="3548"/>
      <c r="H155" s="3548"/>
      <c r="I155" s="3548"/>
      <c r="J155" s="3548"/>
      <c r="K155" s="3548"/>
      <c r="L155" s="3548"/>
      <c r="M155" s="3548"/>
      <c r="N155" s="3548"/>
      <c r="O155" s="3548"/>
      <c r="P155" s="3548"/>
      <c r="Q155" s="3548"/>
      <c r="R155" s="3464"/>
      <c r="S155" s="3548"/>
      <c r="T155" s="3548"/>
      <c r="U155" s="3548"/>
      <c r="V155" s="3548"/>
      <c r="W155" s="3548"/>
      <c r="X155" s="3548"/>
    </row>
    <row r="156" spans="1:24" ht="32.5" customHeight="1">
      <c r="A156" s="3475" t="s">
        <v>258</v>
      </c>
      <c r="C156" s="3548"/>
      <c r="D156" s="3548"/>
      <c r="E156" s="3548"/>
      <c r="F156" s="3548"/>
      <c r="G156" s="3548"/>
      <c r="H156" s="3548"/>
      <c r="I156" s="3548"/>
      <c r="J156" s="3548"/>
      <c r="K156" s="3548"/>
      <c r="L156" s="3548"/>
      <c r="M156" s="3548"/>
      <c r="N156" s="3548"/>
      <c r="O156" s="3548"/>
      <c r="P156" s="3548"/>
      <c r="Q156" s="3548"/>
      <c r="R156" s="3464"/>
      <c r="S156" s="3548"/>
      <c r="T156" s="3548"/>
      <c r="U156" s="3548"/>
      <c r="V156" s="3548"/>
      <c r="W156" s="3548"/>
      <c r="X156" s="3548"/>
    </row>
    <row r="157" spans="1:24" ht="32.5" customHeight="1">
      <c r="A157" s="3475" t="s">
        <v>259</v>
      </c>
      <c r="C157" s="3548"/>
      <c r="D157" s="3548"/>
      <c r="E157" s="3548"/>
      <c r="F157" s="3548"/>
      <c r="G157" s="3548"/>
      <c r="H157" s="3548"/>
      <c r="I157" s="3548"/>
      <c r="J157" s="3548"/>
      <c r="K157" s="3548"/>
      <c r="L157" s="3548"/>
      <c r="M157" s="3548"/>
      <c r="N157" s="3548"/>
      <c r="O157" s="3548"/>
      <c r="P157" s="3548"/>
      <c r="Q157" s="3548"/>
      <c r="R157" s="3464"/>
      <c r="S157" s="3548"/>
      <c r="T157" s="3548"/>
      <c r="U157" s="3548"/>
      <c r="V157" s="3548"/>
      <c r="W157" s="3548"/>
      <c r="X157" s="3548"/>
    </row>
    <row r="158" spans="1:24" ht="32.5" customHeight="1">
      <c r="A158" s="3475" t="s">
        <v>260</v>
      </c>
      <c r="C158" s="3548"/>
      <c r="D158" s="3548"/>
      <c r="E158" s="3548"/>
      <c r="F158" s="3548"/>
      <c r="G158" s="3548"/>
      <c r="H158" s="3548"/>
      <c r="I158" s="3548"/>
      <c r="J158" s="3548"/>
      <c r="K158" s="3548"/>
      <c r="L158" s="3548"/>
      <c r="M158" s="3548"/>
      <c r="N158" s="3548"/>
      <c r="O158" s="3548"/>
      <c r="P158" s="3548"/>
      <c r="Q158" s="3548"/>
      <c r="R158" s="3464"/>
      <c r="S158" s="3548"/>
      <c r="T158" s="3548"/>
      <c r="U158" s="3548"/>
      <c r="V158" s="3548"/>
      <c r="W158" s="3548"/>
      <c r="X158" s="3548"/>
    </row>
    <row r="159" spans="1:24" ht="32.5" customHeight="1">
      <c r="A159" s="3475" t="s">
        <v>261</v>
      </c>
      <c r="C159" s="3548"/>
      <c r="D159" s="3548"/>
      <c r="E159" s="3548"/>
      <c r="F159" s="3548"/>
      <c r="G159" s="3548"/>
      <c r="H159" s="3548"/>
      <c r="I159" s="3548"/>
      <c r="J159" s="3548"/>
      <c r="K159" s="3548"/>
      <c r="L159" s="3548"/>
      <c r="M159" s="3548"/>
      <c r="N159" s="3548"/>
      <c r="O159" s="3548"/>
      <c r="P159" s="3548"/>
      <c r="Q159" s="3548"/>
      <c r="R159" s="3464"/>
      <c r="S159" s="3548"/>
      <c r="T159" s="3548"/>
      <c r="U159" s="3548"/>
      <c r="V159" s="3548"/>
      <c r="W159" s="3548"/>
      <c r="X159" s="3548"/>
    </row>
    <row r="160" spans="1:24" ht="32.5" customHeight="1">
      <c r="A160" s="3475" t="s">
        <v>262</v>
      </c>
      <c r="C160" s="3548"/>
      <c r="D160" s="3548"/>
      <c r="E160" s="3548"/>
      <c r="F160" s="3548"/>
      <c r="G160" s="3548"/>
      <c r="H160" s="3548"/>
      <c r="I160" s="3548"/>
      <c r="J160" s="3548"/>
      <c r="K160" s="3548"/>
      <c r="L160" s="3548"/>
      <c r="M160" s="3548"/>
      <c r="N160" s="3548"/>
      <c r="O160" s="3548"/>
      <c r="P160" s="3548"/>
      <c r="Q160" s="3548"/>
      <c r="R160" s="3464"/>
      <c r="S160" s="3548"/>
      <c r="T160" s="3548"/>
      <c r="U160" s="3548"/>
      <c r="V160" s="3548"/>
      <c r="W160" s="3548"/>
      <c r="X160" s="3548"/>
    </row>
    <row r="161" spans="1:24" ht="32.5" customHeight="1">
      <c r="A161" s="3475" t="s">
        <v>263</v>
      </c>
      <c r="C161" s="3548"/>
      <c r="D161" s="3548"/>
      <c r="E161" s="3548"/>
      <c r="F161" s="3548"/>
      <c r="G161" s="3548"/>
      <c r="H161" s="3548"/>
      <c r="I161" s="3548"/>
      <c r="J161" s="3548"/>
      <c r="K161" s="3548"/>
      <c r="L161" s="3548"/>
      <c r="M161" s="3548"/>
      <c r="N161" s="3548"/>
      <c r="O161" s="3548"/>
      <c r="P161" s="3548"/>
      <c r="Q161" s="3548"/>
      <c r="R161" s="3464"/>
      <c r="S161" s="3548"/>
      <c r="T161" s="3548"/>
      <c r="U161" s="3548"/>
      <c r="V161" s="3548"/>
      <c r="W161" s="3548"/>
      <c r="X161" s="3548"/>
    </row>
    <row r="162" spans="1:24" ht="32.5" customHeight="1">
      <c r="A162" s="3475" t="s">
        <v>264</v>
      </c>
      <c r="C162" s="3548"/>
      <c r="D162" s="3548"/>
      <c r="E162" s="3548"/>
      <c r="F162" s="3548"/>
      <c r="G162" s="3548"/>
      <c r="H162" s="3548"/>
      <c r="I162" s="3548"/>
      <c r="J162" s="3548"/>
      <c r="K162" s="3548"/>
      <c r="L162" s="3548"/>
      <c r="M162" s="3548"/>
      <c r="N162" s="3548"/>
      <c r="O162" s="3548"/>
      <c r="P162" s="3548"/>
      <c r="Q162" s="3548"/>
      <c r="R162" s="3464"/>
      <c r="S162" s="3548"/>
      <c r="T162" s="3548"/>
      <c r="U162" s="3548"/>
      <c r="V162" s="3548"/>
      <c r="W162" s="3548"/>
      <c r="X162" s="3548"/>
    </row>
    <row r="163" spans="1:24" ht="32.5" customHeight="1">
      <c r="A163" s="3475" t="s">
        <v>265</v>
      </c>
      <c r="C163" s="3548"/>
      <c r="D163" s="3548"/>
      <c r="E163" s="3548"/>
      <c r="F163" s="3548"/>
      <c r="G163" s="3548"/>
      <c r="H163" s="3548"/>
      <c r="I163" s="3548"/>
      <c r="J163" s="3548"/>
      <c r="K163" s="3548"/>
      <c r="L163" s="3548"/>
      <c r="M163" s="3548"/>
      <c r="N163" s="3548"/>
      <c r="O163" s="3548"/>
      <c r="P163" s="3548"/>
      <c r="Q163" s="3548"/>
      <c r="R163" s="3464"/>
      <c r="S163" s="3548"/>
      <c r="T163" s="3548"/>
      <c r="U163" s="3548"/>
      <c r="V163" s="3548"/>
      <c r="W163" s="3548"/>
      <c r="X163" s="3548"/>
    </row>
    <row r="164" spans="1:24" ht="32.5" customHeight="1">
      <c r="A164" s="3475" t="s">
        <v>266</v>
      </c>
      <c r="C164" s="3548"/>
      <c r="D164" s="3548"/>
      <c r="E164" s="3548"/>
      <c r="F164" s="3548"/>
      <c r="G164" s="3548"/>
      <c r="H164" s="3548"/>
      <c r="I164" s="3548"/>
      <c r="J164" s="3548"/>
      <c r="K164" s="3548"/>
      <c r="L164" s="3548"/>
      <c r="M164" s="3548"/>
      <c r="N164" s="3548"/>
      <c r="O164" s="3548"/>
      <c r="P164" s="3548"/>
      <c r="Q164" s="3548"/>
      <c r="R164" s="3464"/>
      <c r="S164" s="3548"/>
      <c r="T164" s="3548"/>
      <c r="U164" s="3548"/>
      <c r="V164" s="3548"/>
      <c r="W164" s="3548"/>
      <c r="X164" s="3548"/>
    </row>
    <row r="167" spans="1:24" s="3540" customFormat="1" ht="32.5" customHeight="1">
      <c r="A167" s="3548" t="s">
        <v>23</v>
      </c>
      <c r="B167" s="3548" t="s">
        <v>133</v>
      </c>
      <c r="C167" s="3549" t="s">
        <v>267</v>
      </c>
      <c r="D167" s="3549" t="s">
        <v>268</v>
      </c>
      <c r="E167" s="3549" t="s">
        <v>23</v>
      </c>
      <c r="R167" s="3465"/>
    </row>
    <row r="168" spans="1:24" s="3540" customFormat="1" ht="32.5" customHeight="1">
      <c r="A168" s="3548" t="s">
        <v>269</v>
      </c>
      <c r="B168" s="3548">
        <v>4</v>
      </c>
      <c r="C168" s="3550" t="s">
        <v>270</v>
      </c>
      <c r="D168" s="3550" t="s">
        <v>271</v>
      </c>
      <c r="E168" s="3550" t="s">
        <v>272</v>
      </c>
      <c r="R168" s="3465"/>
    </row>
    <row r="169" spans="1:24" s="3540" customFormat="1" ht="32.5" customHeight="1">
      <c r="A169" s="3548" t="s">
        <v>273</v>
      </c>
      <c r="B169" s="3548">
        <v>11</v>
      </c>
      <c r="C169" s="3550" t="s">
        <v>270</v>
      </c>
      <c r="D169" s="3550" t="s">
        <v>271</v>
      </c>
      <c r="E169" s="3550" t="s">
        <v>274</v>
      </c>
      <c r="R169" s="3465"/>
    </row>
    <row r="170" spans="1:24" s="3540" customFormat="1" ht="32.5" customHeight="1">
      <c r="A170" s="3548" t="s">
        <v>275</v>
      </c>
      <c r="B170" s="3548">
        <v>13</v>
      </c>
      <c r="C170" s="3550" t="s">
        <v>270</v>
      </c>
      <c r="D170" s="3550" t="s">
        <v>271</v>
      </c>
      <c r="E170" s="3550" t="s">
        <v>276</v>
      </c>
      <c r="R170" s="3465"/>
    </row>
    <row r="171" spans="1:24" s="3540" customFormat="1" ht="32.5" customHeight="1">
      <c r="A171" s="3548" t="s">
        <v>277</v>
      </c>
      <c r="B171" s="3548">
        <v>152</v>
      </c>
      <c r="C171" s="3550" t="s">
        <v>270</v>
      </c>
      <c r="D171" s="3550" t="s">
        <v>271</v>
      </c>
      <c r="E171" s="3550" t="s">
        <v>278</v>
      </c>
      <c r="R171" s="3465"/>
    </row>
    <row r="172" spans="1:24" s="3540" customFormat="1" ht="32.5" customHeight="1">
      <c r="A172" s="3548" t="s">
        <v>279</v>
      </c>
      <c r="B172" s="3548">
        <v>151</v>
      </c>
      <c r="C172" s="3550" t="s">
        <v>270</v>
      </c>
      <c r="D172" s="3550" t="s">
        <v>271</v>
      </c>
      <c r="E172" s="3550" t="s">
        <v>280</v>
      </c>
      <c r="R172" s="3465"/>
    </row>
    <row r="173" spans="1:24" s="3540" customFormat="1" ht="32.5" customHeight="1">
      <c r="A173" s="3548" t="s">
        <v>281</v>
      </c>
      <c r="B173" s="3548">
        <v>18</v>
      </c>
      <c r="C173" s="3550" t="s">
        <v>270</v>
      </c>
      <c r="D173" s="3550" t="s">
        <v>271</v>
      </c>
      <c r="E173" s="3550" t="s">
        <v>282</v>
      </c>
      <c r="R173" s="3465"/>
    </row>
    <row r="174" spans="1:24" s="3540" customFormat="1" ht="32.5" customHeight="1">
      <c r="A174" s="3548" t="s">
        <v>283</v>
      </c>
      <c r="B174" s="3548">
        <v>153</v>
      </c>
      <c r="C174" s="3550" t="s">
        <v>270</v>
      </c>
      <c r="D174" s="3550" t="s">
        <v>284</v>
      </c>
      <c r="E174" s="3550" t="s">
        <v>285</v>
      </c>
      <c r="R174" s="3465"/>
    </row>
    <row r="175" spans="1:24" s="3540" customFormat="1" ht="32.5" customHeight="1">
      <c r="A175" s="3548" t="s">
        <v>286</v>
      </c>
      <c r="B175" s="3548">
        <v>9</v>
      </c>
      <c r="C175" s="3550" t="s">
        <v>270</v>
      </c>
      <c r="D175" s="3550" t="s">
        <v>287</v>
      </c>
      <c r="E175" s="3550" t="s">
        <v>288</v>
      </c>
      <c r="R175" s="3465"/>
    </row>
    <row r="176" spans="1:24" s="3540" customFormat="1" ht="32.5" customHeight="1">
      <c r="A176" s="3548" t="s">
        <v>289</v>
      </c>
      <c r="B176" s="3548">
        <v>10</v>
      </c>
      <c r="C176" s="3550" t="s">
        <v>270</v>
      </c>
      <c r="D176" s="3550" t="s">
        <v>287</v>
      </c>
      <c r="E176" s="3550" t="s">
        <v>290</v>
      </c>
      <c r="R176" s="3465"/>
    </row>
    <row r="177" spans="1:18" s="3540" customFormat="1" ht="32.5" customHeight="1">
      <c r="A177" s="3548" t="s">
        <v>291</v>
      </c>
      <c r="B177" s="3548">
        <v>12</v>
      </c>
      <c r="C177" s="3550" t="s">
        <v>270</v>
      </c>
      <c r="D177" s="3550" t="s">
        <v>292</v>
      </c>
      <c r="E177" s="3550" t="s">
        <v>292</v>
      </c>
      <c r="R177" s="3465"/>
    </row>
    <row r="178" spans="1:18" s="3540" customFormat="1" ht="32.5" customHeight="1">
      <c r="A178" s="3548" t="s">
        <v>293</v>
      </c>
      <c r="B178" s="3548">
        <v>7</v>
      </c>
      <c r="C178" s="3550" t="s">
        <v>270</v>
      </c>
      <c r="D178" s="3550" t="s">
        <v>294</v>
      </c>
      <c r="E178" s="3550" t="s">
        <v>295</v>
      </c>
      <c r="R178" s="3465"/>
    </row>
    <row r="179" spans="1:18" s="3540" customFormat="1" ht="32.5" customHeight="1">
      <c r="A179" s="3548" t="s">
        <v>296</v>
      </c>
      <c r="B179" s="3548">
        <v>150</v>
      </c>
      <c r="C179" s="3550" t="s">
        <v>270</v>
      </c>
      <c r="D179" s="3550" t="s">
        <v>294</v>
      </c>
      <c r="E179" s="3550" t="s">
        <v>297</v>
      </c>
      <c r="R179" s="3465"/>
    </row>
    <row r="180" spans="1:18" s="3540" customFormat="1" ht="32.5" customHeight="1">
      <c r="A180" s="3548" t="s">
        <v>298</v>
      </c>
      <c r="B180" s="3548">
        <v>14</v>
      </c>
      <c r="C180" s="3550" t="s">
        <v>270</v>
      </c>
      <c r="D180" s="3550" t="s">
        <v>299</v>
      </c>
      <c r="E180" s="3550" t="s">
        <v>300</v>
      </c>
      <c r="R180" s="3465"/>
    </row>
    <row r="181" spans="1:18" s="3540" customFormat="1" ht="32.5" customHeight="1">
      <c r="A181" s="3548" t="s">
        <v>301</v>
      </c>
      <c r="B181" s="3548">
        <v>140</v>
      </c>
      <c r="C181" s="3550" t="s">
        <v>270</v>
      </c>
      <c r="D181" s="3550" t="s">
        <v>302</v>
      </c>
      <c r="E181" s="3550" t="s">
        <v>303</v>
      </c>
      <c r="R181" s="3465"/>
    </row>
    <row r="182" spans="1:18" s="3540" customFormat="1" ht="32.5" customHeight="1">
      <c r="A182" s="3548" t="s">
        <v>304</v>
      </c>
      <c r="B182" s="3548">
        <v>15</v>
      </c>
      <c r="C182" s="3550" t="s">
        <v>305</v>
      </c>
      <c r="D182" s="3550" t="s">
        <v>299</v>
      </c>
      <c r="E182" s="3550" t="s">
        <v>306</v>
      </c>
      <c r="R182" s="3465"/>
    </row>
    <row r="183" spans="1:18" s="3540" customFormat="1" ht="32.5" customHeight="1">
      <c r="A183" s="3548" t="s">
        <v>307</v>
      </c>
      <c r="B183" s="3548">
        <v>130</v>
      </c>
      <c r="C183" s="3550" t="s">
        <v>305</v>
      </c>
      <c r="D183" s="3550" t="s">
        <v>299</v>
      </c>
      <c r="E183" s="3550" t="s">
        <v>308</v>
      </c>
      <c r="R183" s="3465"/>
    </row>
    <row r="184" spans="1:18" s="3540" customFormat="1" ht="32.5" customHeight="1">
      <c r="A184" s="3548" t="s">
        <v>309</v>
      </c>
      <c r="B184" s="3548">
        <v>3</v>
      </c>
      <c r="C184" s="3550" t="s">
        <v>305</v>
      </c>
      <c r="D184" s="3550" t="s">
        <v>302</v>
      </c>
      <c r="E184" s="3550" t="s">
        <v>310</v>
      </c>
      <c r="R184" s="3465"/>
    </row>
    <row r="185" spans="1:18" s="3540" customFormat="1" ht="32.5" customHeight="1">
      <c r="A185" s="3548" t="s">
        <v>311</v>
      </c>
      <c r="B185" s="3548">
        <v>31</v>
      </c>
      <c r="C185" s="3550" t="s">
        <v>312</v>
      </c>
      <c r="D185" s="3550" t="s">
        <v>313</v>
      </c>
      <c r="E185" s="3550" t="s">
        <v>314</v>
      </c>
      <c r="R185" s="3465"/>
    </row>
    <row r="186" spans="1:18" s="3540" customFormat="1" ht="32.5" customHeight="1">
      <c r="A186" s="3548" t="s">
        <v>315</v>
      </c>
      <c r="B186" s="3548">
        <v>22</v>
      </c>
      <c r="C186" s="3550" t="s">
        <v>312</v>
      </c>
      <c r="D186" s="3550" t="s">
        <v>292</v>
      </c>
      <c r="E186" s="3550" t="s">
        <v>316</v>
      </c>
      <c r="R186" s="3465"/>
    </row>
    <row r="187" spans="1:18" s="3540" customFormat="1" ht="32.5" customHeight="1">
      <c r="A187" s="3548" t="s">
        <v>317</v>
      </c>
      <c r="B187" s="3548">
        <v>40</v>
      </c>
      <c r="C187" s="3550" t="s">
        <v>312</v>
      </c>
      <c r="D187" s="3550" t="s">
        <v>318</v>
      </c>
      <c r="E187" s="3550" t="s">
        <v>318</v>
      </c>
      <c r="R187" s="3465"/>
    </row>
    <row r="188" spans="1:18" s="3540" customFormat="1" ht="32.5" customHeight="1">
      <c r="A188" s="3548" t="s">
        <v>319</v>
      </c>
      <c r="B188" s="3548">
        <v>35</v>
      </c>
      <c r="C188" s="3550" t="s">
        <v>312</v>
      </c>
      <c r="D188" s="3550" t="s">
        <v>312</v>
      </c>
      <c r="E188" s="3550" t="s">
        <v>320</v>
      </c>
      <c r="R188" s="3465"/>
    </row>
    <row r="189" spans="1:18" s="3540" customFormat="1" ht="32.5" customHeight="1">
      <c r="A189" s="3548" t="s">
        <v>321</v>
      </c>
      <c r="B189" s="3548">
        <v>28</v>
      </c>
      <c r="C189" s="3550" t="s">
        <v>312</v>
      </c>
      <c r="D189" s="3550" t="s">
        <v>312</v>
      </c>
      <c r="E189" s="3550" t="s">
        <v>322</v>
      </c>
      <c r="R189" s="3465"/>
    </row>
    <row r="190" spans="1:18" s="3540" customFormat="1" ht="32.5" customHeight="1">
      <c r="A190" s="3548" t="s">
        <v>323</v>
      </c>
      <c r="B190" s="3548">
        <v>26</v>
      </c>
      <c r="C190" s="3550" t="s">
        <v>312</v>
      </c>
      <c r="D190" s="3549" t="s">
        <v>312</v>
      </c>
      <c r="E190" s="3550" t="s">
        <v>324</v>
      </c>
      <c r="R190" s="3465"/>
    </row>
    <row r="191" spans="1:18" s="3540" customFormat="1" ht="32.5" customHeight="1">
      <c r="A191" s="3548" t="s">
        <v>325</v>
      </c>
      <c r="B191" s="3548">
        <v>41</v>
      </c>
      <c r="C191" s="3550" t="s">
        <v>312</v>
      </c>
      <c r="D191" s="3550" t="s">
        <v>312</v>
      </c>
      <c r="E191" s="3550" t="s">
        <v>326</v>
      </c>
      <c r="R191" s="3465"/>
    </row>
    <row r="192" spans="1:18" s="3540" customFormat="1" ht="32.5" customHeight="1">
      <c r="A192" s="3548" t="s">
        <v>327</v>
      </c>
      <c r="B192" s="3548">
        <v>132</v>
      </c>
      <c r="C192" s="3550" t="s">
        <v>312</v>
      </c>
      <c r="D192" s="3550" t="s">
        <v>312</v>
      </c>
      <c r="E192" s="3550" t="s">
        <v>328</v>
      </c>
      <c r="R192" s="3465"/>
    </row>
    <row r="193" spans="1:18" s="3540" customFormat="1" ht="32.5" customHeight="1">
      <c r="A193" s="3548" t="s">
        <v>329</v>
      </c>
      <c r="B193" s="3548">
        <v>29</v>
      </c>
      <c r="C193" s="3550" t="s">
        <v>312</v>
      </c>
      <c r="D193" s="3550" t="s">
        <v>312</v>
      </c>
      <c r="E193" s="3550" t="s">
        <v>330</v>
      </c>
      <c r="R193" s="3465"/>
    </row>
    <row r="194" spans="1:18" s="3540" customFormat="1" ht="32.5" customHeight="1">
      <c r="A194" s="3548" t="s">
        <v>331</v>
      </c>
      <c r="B194" s="3548">
        <v>42</v>
      </c>
      <c r="C194" s="3550" t="s">
        <v>312</v>
      </c>
      <c r="D194" s="3550" t="s">
        <v>312</v>
      </c>
      <c r="E194" s="3550" t="s">
        <v>332</v>
      </c>
      <c r="R194" s="3465"/>
    </row>
    <row r="195" spans="1:18" s="3540" customFormat="1" ht="32.5" customHeight="1">
      <c r="A195" s="3548" t="s">
        <v>333</v>
      </c>
      <c r="B195" s="3548">
        <v>30</v>
      </c>
      <c r="C195" s="3550" t="s">
        <v>312</v>
      </c>
      <c r="D195" s="3550" t="s">
        <v>312</v>
      </c>
      <c r="E195" s="3550" t="s">
        <v>334</v>
      </c>
      <c r="R195" s="3465"/>
    </row>
    <row r="196" spans="1:18" s="3540" customFormat="1" ht="32.5" customHeight="1">
      <c r="A196" s="3548" t="s">
        <v>335</v>
      </c>
      <c r="B196" s="3548">
        <v>101</v>
      </c>
      <c r="C196" s="3550" t="s">
        <v>312</v>
      </c>
      <c r="D196" s="3550" t="s">
        <v>312</v>
      </c>
      <c r="E196" s="3551" t="s">
        <v>336</v>
      </c>
      <c r="R196" s="3465"/>
    </row>
    <row r="197" spans="1:18" s="3540" customFormat="1" ht="32.5" customHeight="1">
      <c r="A197" s="3548" t="s">
        <v>337</v>
      </c>
      <c r="B197" s="3548">
        <v>154</v>
      </c>
      <c r="C197" s="3550" t="s">
        <v>312</v>
      </c>
      <c r="D197" s="3550" t="s">
        <v>338</v>
      </c>
      <c r="E197" s="3550" t="s">
        <v>339</v>
      </c>
      <c r="R197" s="3465"/>
    </row>
    <row r="198" spans="1:18" s="3540" customFormat="1" ht="32.5" customHeight="1">
      <c r="A198" s="3548" t="s">
        <v>340</v>
      </c>
      <c r="B198" s="3548">
        <v>39</v>
      </c>
      <c r="C198" s="3550" t="s">
        <v>312</v>
      </c>
      <c r="D198" s="3550" t="s">
        <v>341</v>
      </c>
      <c r="E198" s="3550" t="s">
        <v>342</v>
      </c>
      <c r="R198" s="3465"/>
    </row>
    <row r="199" spans="1:18" s="3540" customFormat="1" ht="32.5" customHeight="1">
      <c r="A199" s="3548" t="s">
        <v>343</v>
      </c>
      <c r="B199" s="3548">
        <v>32</v>
      </c>
      <c r="C199" s="3550" t="s">
        <v>312</v>
      </c>
      <c r="D199" s="3550" t="s">
        <v>344</v>
      </c>
      <c r="E199" s="3550" t="s">
        <v>345</v>
      </c>
      <c r="R199" s="3465"/>
    </row>
    <row r="200" spans="1:18" s="3540" customFormat="1" ht="32.5" customHeight="1">
      <c r="A200" s="3548" t="s">
        <v>346</v>
      </c>
      <c r="B200" s="3548">
        <v>27</v>
      </c>
      <c r="C200" s="3550" t="s">
        <v>312</v>
      </c>
      <c r="D200" s="3550" t="s">
        <v>347</v>
      </c>
      <c r="E200" s="3550" t="s">
        <v>348</v>
      </c>
      <c r="R200" s="3465"/>
    </row>
    <row r="201" spans="1:18" s="3540" customFormat="1" ht="32.5" customHeight="1">
      <c r="A201" s="3548" t="s">
        <v>349</v>
      </c>
      <c r="B201" s="3548">
        <v>23</v>
      </c>
      <c r="C201" s="3550" t="s">
        <v>312</v>
      </c>
      <c r="D201" s="3550" t="s">
        <v>350</v>
      </c>
      <c r="E201" s="3550" t="s">
        <v>351</v>
      </c>
      <c r="R201" s="3465"/>
    </row>
    <row r="202" spans="1:18" s="3540" customFormat="1" ht="32.5" customHeight="1">
      <c r="A202" s="3548" t="s">
        <v>352</v>
      </c>
      <c r="B202" s="3548">
        <v>34</v>
      </c>
      <c r="C202" s="3550" t="s">
        <v>312</v>
      </c>
      <c r="D202" s="3550" t="s">
        <v>350</v>
      </c>
      <c r="E202" s="3550" t="s">
        <v>353</v>
      </c>
      <c r="R202" s="3465"/>
    </row>
    <row r="203" spans="1:18" s="3540" customFormat="1" ht="32.5" customHeight="1">
      <c r="A203" s="3548" t="s">
        <v>354</v>
      </c>
      <c r="B203" s="3548">
        <v>146</v>
      </c>
      <c r="C203" s="3550" t="s">
        <v>312</v>
      </c>
      <c r="D203" s="3550" t="s">
        <v>350</v>
      </c>
      <c r="E203" s="3551" t="s">
        <v>355</v>
      </c>
      <c r="R203" s="3465"/>
    </row>
    <row r="204" spans="1:18" s="3540" customFormat="1" ht="32.5" customHeight="1">
      <c r="A204" s="3548" t="s">
        <v>356</v>
      </c>
      <c r="B204" s="3548">
        <v>38</v>
      </c>
      <c r="C204" s="3550" t="s">
        <v>312</v>
      </c>
      <c r="D204" s="3550" t="s">
        <v>357</v>
      </c>
      <c r="E204" s="3550" t="s">
        <v>358</v>
      </c>
      <c r="R204" s="3465"/>
    </row>
    <row r="205" spans="1:18" s="3540" customFormat="1" ht="32.5" customHeight="1">
      <c r="A205" s="3548" t="s">
        <v>359</v>
      </c>
      <c r="B205" s="3548">
        <v>43</v>
      </c>
      <c r="C205" s="3550" t="s">
        <v>312</v>
      </c>
      <c r="D205" s="3550" t="s">
        <v>357</v>
      </c>
      <c r="E205" s="3550" t="s">
        <v>357</v>
      </c>
      <c r="R205" s="3465"/>
    </row>
    <row r="206" spans="1:18" s="3540" customFormat="1" ht="32.5" customHeight="1">
      <c r="A206" s="3548" t="s">
        <v>360</v>
      </c>
      <c r="B206" s="3548">
        <v>51</v>
      </c>
      <c r="C206" s="3550" t="s">
        <v>361</v>
      </c>
      <c r="D206" s="3550" t="s">
        <v>362</v>
      </c>
      <c r="E206" s="3550" t="s">
        <v>362</v>
      </c>
      <c r="R206" s="3465"/>
    </row>
    <row r="207" spans="1:18" s="3540" customFormat="1" ht="32.5" customHeight="1">
      <c r="A207" s="3548" t="s">
        <v>363</v>
      </c>
      <c r="B207" s="3548">
        <v>155</v>
      </c>
      <c r="C207" s="3550" t="s">
        <v>364</v>
      </c>
      <c r="D207" s="3550" t="s">
        <v>365</v>
      </c>
      <c r="E207" s="3550" t="s">
        <v>366</v>
      </c>
      <c r="R207" s="3465"/>
    </row>
    <row r="208" spans="1:18" s="3540" customFormat="1" ht="32.5" customHeight="1">
      <c r="A208" s="3548" t="s">
        <v>367</v>
      </c>
      <c r="B208" s="3548">
        <v>156</v>
      </c>
      <c r="C208" s="3550" t="s">
        <v>364</v>
      </c>
      <c r="D208" s="3550" t="s">
        <v>365</v>
      </c>
      <c r="E208" s="3550" t="s">
        <v>368</v>
      </c>
      <c r="R208" s="3465"/>
    </row>
    <row r="209" spans="1:18" s="3540" customFormat="1" ht="32.5" customHeight="1">
      <c r="A209" s="3548" t="s">
        <v>369</v>
      </c>
      <c r="B209" s="3548">
        <v>158</v>
      </c>
      <c r="C209" s="3550" t="s">
        <v>364</v>
      </c>
      <c r="D209" s="3550" t="s">
        <v>365</v>
      </c>
      <c r="E209" s="3550" t="s">
        <v>370</v>
      </c>
      <c r="R209" s="3465"/>
    </row>
    <row r="210" spans="1:18" s="3540" customFormat="1" ht="32.5" customHeight="1">
      <c r="A210" s="3548" t="s">
        <v>371</v>
      </c>
      <c r="B210" s="3548">
        <v>55</v>
      </c>
      <c r="C210" s="3550" t="s">
        <v>372</v>
      </c>
      <c r="D210" s="3550" t="s">
        <v>373</v>
      </c>
      <c r="E210" s="3550" t="s">
        <v>374</v>
      </c>
      <c r="R210" s="3465"/>
    </row>
    <row r="211" spans="1:18" s="3540" customFormat="1" ht="32.5" customHeight="1">
      <c r="A211" s="3548" t="s">
        <v>375</v>
      </c>
      <c r="B211" s="3548">
        <v>56</v>
      </c>
      <c r="C211" s="3550" t="s">
        <v>372</v>
      </c>
      <c r="D211" s="3550" t="s">
        <v>373</v>
      </c>
      <c r="E211" s="3550" t="s">
        <v>376</v>
      </c>
      <c r="R211" s="3465"/>
    </row>
    <row r="212" spans="1:18" s="3540" customFormat="1" ht="32.5" customHeight="1">
      <c r="A212" s="3548" t="s">
        <v>377</v>
      </c>
      <c r="B212" s="3548">
        <v>114</v>
      </c>
      <c r="C212" s="3550" t="s">
        <v>372</v>
      </c>
      <c r="D212" s="3550" t="s">
        <v>373</v>
      </c>
      <c r="E212" s="3550" t="s">
        <v>378</v>
      </c>
      <c r="R212" s="3465"/>
    </row>
    <row r="213" spans="1:18" s="3540" customFormat="1" ht="32.5" customHeight="1">
      <c r="A213" s="3548" t="s">
        <v>379</v>
      </c>
      <c r="B213" s="3548">
        <v>117</v>
      </c>
      <c r="C213" s="3550" t="s">
        <v>372</v>
      </c>
      <c r="D213" s="3550" t="s">
        <v>373</v>
      </c>
      <c r="E213" s="3550" t="s">
        <v>380</v>
      </c>
      <c r="R213" s="3465"/>
    </row>
    <row r="214" spans="1:18" s="3540" customFormat="1" ht="32.5" customHeight="1">
      <c r="A214" s="3548" t="s">
        <v>381</v>
      </c>
      <c r="B214" s="3548">
        <v>116</v>
      </c>
      <c r="C214" s="3550" t="s">
        <v>372</v>
      </c>
      <c r="D214" s="3550" t="s">
        <v>373</v>
      </c>
      <c r="E214" s="3550" t="s">
        <v>373</v>
      </c>
      <c r="R214" s="3465"/>
    </row>
    <row r="215" spans="1:18" s="3540" customFormat="1" ht="32.5" customHeight="1">
      <c r="A215" s="3548" t="s">
        <v>382</v>
      </c>
      <c r="B215" s="3548">
        <v>70</v>
      </c>
      <c r="C215" s="3550" t="s">
        <v>383</v>
      </c>
      <c r="D215" s="3550" t="s">
        <v>313</v>
      </c>
      <c r="E215" s="3550" t="s">
        <v>384</v>
      </c>
      <c r="R215" s="3465"/>
    </row>
    <row r="216" spans="1:18" s="3540" customFormat="1" ht="32.5" customHeight="1">
      <c r="A216" s="3548" t="s">
        <v>385</v>
      </c>
      <c r="B216" s="3548">
        <v>69</v>
      </c>
      <c r="C216" s="3550" t="s">
        <v>383</v>
      </c>
      <c r="D216" s="3550" t="s">
        <v>313</v>
      </c>
      <c r="E216" s="3550" t="s">
        <v>386</v>
      </c>
      <c r="R216" s="3465"/>
    </row>
    <row r="217" spans="1:18" s="3540" customFormat="1" ht="32.5" customHeight="1">
      <c r="A217" s="3548" t="s">
        <v>387</v>
      </c>
      <c r="B217" s="3548">
        <v>17</v>
      </c>
      <c r="C217" s="3550" t="s">
        <v>383</v>
      </c>
      <c r="D217" s="3550" t="s">
        <v>284</v>
      </c>
      <c r="E217" s="3550" t="s">
        <v>388</v>
      </c>
      <c r="R217" s="3465"/>
    </row>
    <row r="218" spans="1:18" s="3540" customFormat="1" ht="32.5" customHeight="1">
      <c r="A218" s="3548" t="s">
        <v>389</v>
      </c>
      <c r="B218" s="3548">
        <v>8</v>
      </c>
      <c r="C218" s="3550" t="s">
        <v>383</v>
      </c>
      <c r="D218" s="3550" t="s">
        <v>287</v>
      </c>
      <c r="E218" s="3550" t="s">
        <v>390</v>
      </c>
      <c r="R218" s="3465"/>
    </row>
    <row r="219" spans="1:18" s="3540" customFormat="1" ht="32.5" customHeight="1">
      <c r="A219" s="3548" t="s">
        <v>391</v>
      </c>
      <c r="B219" s="3548">
        <v>50</v>
      </c>
      <c r="C219" s="3550" t="s">
        <v>383</v>
      </c>
      <c r="D219" s="3550" t="s">
        <v>392</v>
      </c>
      <c r="E219" s="3550" t="s">
        <v>392</v>
      </c>
      <c r="R219" s="3465"/>
    </row>
    <row r="220" spans="1:18" s="3540" customFormat="1" ht="32.5" customHeight="1">
      <c r="A220" s="3548" t="s">
        <v>393</v>
      </c>
      <c r="B220" s="3548">
        <v>5</v>
      </c>
      <c r="C220" s="3550" t="s">
        <v>383</v>
      </c>
      <c r="D220" s="3550" t="s">
        <v>294</v>
      </c>
      <c r="E220" s="3550" t="s">
        <v>394</v>
      </c>
      <c r="R220" s="3465"/>
    </row>
    <row r="221" spans="1:18" s="3540" customFormat="1" ht="32.5" customHeight="1">
      <c r="A221" s="3548" t="s">
        <v>395</v>
      </c>
      <c r="B221" s="3548">
        <v>85</v>
      </c>
      <c r="C221" s="3550" t="s">
        <v>383</v>
      </c>
      <c r="D221" s="3550" t="s">
        <v>338</v>
      </c>
      <c r="E221" s="3550" t="s">
        <v>396</v>
      </c>
      <c r="R221" s="3465"/>
    </row>
    <row r="222" spans="1:18" s="3540" customFormat="1" ht="32.5" customHeight="1">
      <c r="A222" s="3548" t="s">
        <v>397</v>
      </c>
      <c r="B222" s="3548">
        <v>81</v>
      </c>
      <c r="C222" s="3550" t="s">
        <v>383</v>
      </c>
      <c r="D222" s="3550" t="s">
        <v>338</v>
      </c>
      <c r="E222" s="3550" t="s">
        <v>398</v>
      </c>
      <c r="R222" s="3465"/>
    </row>
    <row r="223" spans="1:18" s="3540" customFormat="1" ht="32.5" customHeight="1">
      <c r="A223" s="3548" t="s">
        <v>399</v>
      </c>
      <c r="B223" s="3548">
        <v>73</v>
      </c>
      <c r="C223" s="3550" t="s">
        <v>383</v>
      </c>
      <c r="D223" s="3550" t="s">
        <v>400</v>
      </c>
      <c r="E223" s="3550" t="s">
        <v>401</v>
      </c>
      <c r="R223" s="3465"/>
    </row>
    <row r="224" spans="1:18" s="3540" customFormat="1" ht="32.5" customHeight="1">
      <c r="A224" s="3548" t="s">
        <v>402</v>
      </c>
      <c r="B224" s="3548">
        <v>78</v>
      </c>
      <c r="C224" s="3550" t="s">
        <v>383</v>
      </c>
      <c r="D224" s="3550" t="s">
        <v>400</v>
      </c>
      <c r="E224" s="3550" t="s">
        <v>403</v>
      </c>
      <c r="R224" s="3465"/>
    </row>
    <row r="225" spans="1:18" s="3540" customFormat="1" ht="32.5" customHeight="1">
      <c r="A225" s="3548" t="s">
        <v>404</v>
      </c>
      <c r="B225" s="3548">
        <v>80</v>
      </c>
      <c r="C225" s="3550" t="s">
        <v>383</v>
      </c>
      <c r="D225" s="3550" t="s">
        <v>400</v>
      </c>
      <c r="E225" s="3550" t="s">
        <v>405</v>
      </c>
      <c r="R225" s="3465"/>
    </row>
    <row r="226" spans="1:18" s="3540" customFormat="1" ht="32.5" customHeight="1">
      <c r="A226" s="3548" t="s">
        <v>406</v>
      </c>
      <c r="B226" s="3548">
        <v>84</v>
      </c>
      <c r="C226" s="3550" t="s">
        <v>383</v>
      </c>
      <c r="D226" s="3550" t="s">
        <v>400</v>
      </c>
      <c r="E226" s="3550" t="s">
        <v>400</v>
      </c>
      <c r="R226" s="3465"/>
    </row>
    <row r="227" spans="1:18" s="3540" customFormat="1" ht="32.5" customHeight="1">
      <c r="A227" s="3548" t="s">
        <v>407</v>
      </c>
      <c r="B227" s="3548">
        <v>144</v>
      </c>
      <c r="C227" s="3550" t="s">
        <v>383</v>
      </c>
      <c r="D227" s="3550" t="s">
        <v>400</v>
      </c>
      <c r="E227" s="3550" t="s">
        <v>408</v>
      </c>
      <c r="R227" s="3465"/>
    </row>
    <row r="228" spans="1:18" s="3540" customFormat="1" ht="32.5" customHeight="1">
      <c r="A228" s="3548" t="s">
        <v>409</v>
      </c>
      <c r="B228" s="3548">
        <v>93</v>
      </c>
      <c r="C228" s="3550" t="s">
        <v>383</v>
      </c>
      <c r="D228" s="3550" t="s">
        <v>400</v>
      </c>
      <c r="E228" s="3550" t="s">
        <v>410</v>
      </c>
      <c r="R228" s="3465"/>
    </row>
    <row r="229" spans="1:18" s="3540" customFormat="1" ht="32.5" customHeight="1">
      <c r="A229" s="3548" t="s">
        <v>411</v>
      </c>
      <c r="B229" s="3548">
        <v>94</v>
      </c>
      <c r="C229" s="3550" t="s">
        <v>383</v>
      </c>
      <c r="D229" s="3550" t="s">
        <v>400</v>
      </c>
      <c r="E229" s="3550" t="s">
        <v>412</v>
      </c>
      <c r="R229" s="3465"/>
    </row>
    <row r="230" spans="1:18" s="3540" customFormat="1" ht="32.5" customHeight="1">
      <c r="A230" s="3548" t="s">
        <v>413</v>
      </c>
      <c r="B230" s="3548">
        <v>98</v>
      </c>
      <c r="C230" s="3550" t="s">
        <v>383</v>
      </c>
      <c r="D230" s="3550" t="s">
        <v>400</v>
      </c>
      <c r="E230" s="3550" t="s">
        <v>414</v>
      </c>
      <c r="R230" s="3465"/>
    </row>
    <row r="231" spans="1:18" s="3540" customFormat="1" ht="32.5" customHeight="1">
      <c r="A231" s="3548" t="s">
        <v>415</v>
      </c>
      <c r="B231" s="3548">
        <v>75</v>
      </c>
      <c r="C231" s="3550" t="s">
        <v>383</v>
      </c>
      <c r="D231" s="3550" t="s">
        <v>341</v>
      </c>
      <c r="E231" s="3550" t="s">
        <v>416</v>
      </c>
      <c r="R231" s="3465"/>
    </row>
    <row r="232" spans="1:18" s="3540" customFormat="1" ht="32.5" customHeight="1">
      <c r="A232" s="3548" t="s">
        <v>417</v>
      </c>
      <c r="B232" s="3548">
        <v>76</v>
      </c>
      <c r="C232" s="3550" t="s">
        <v>383</v>
      </c>
      <c r="D232" s="3550" t="s">
        <v>341</v>
      </c>
      <c r="E232" s="3550" t="s">
        <v>418</v>
      </c>
      <c r="R232" s="3465"/>
    </row>
    <row r="233" spans="1:18" s="3540" customFormat="1" ht="32.5" customHeight="1">
      <c r="A233" s="3548" t="s">
        <v>419</v>
      </c>
      <c r="B233" s="3548">
        <v>86</v>
      </c>
      <c r="C233" s="3550" t="s">
        <v>383</v>
      </c>
      <c r="D233" s="3550" t="s">
        <v>420</v>
      </c>
      <c r="E233" s="3550" t="s">
        <v>421</v>
      </c>
      <c r="R233" s="3465"/>
    </row>
    <row r="234" spans="1:18" s="3540" customFormat="1" ht="32.5" customHeight="1">
      <c r="A234" s="3548" t="s">
        <v>422</v>
      </c>
      <c r="B234" s="3548">
        <v>87</v>
      </c>
      <c r="C234" s="3550" t="s">
        <v>383</v>
      </c>
      <c r="D234" s="3550" t="s">
        <v>423</v>
      </c>
      <c r="E234" s="3550" t="s">
        <v>423</v>
      </c>
      <c r="R234" s="3465"/>
    </row>
    <row r="235" spans="1:18" s="3540" customFormat="1" ht="32.5" customHeight="1">
      <c r="A235" s="3548" t="s">
        <v>424</v>
      </c>
      <c r="B235" s="3548">
        <v>89</v>
      </c>
      <c r="C235" s="3550" t="s">
        <v>383</v>
      </c>
      <c r="D235" s="3550" t="s">
        <v>344</v>
      </c>
      <c r="E235" s="3550" t="s">
        <v>425</v>
      </c>
      <c r="R235" s="3465"/>
    </row>
    <row r="236" spans="1:18" s="3540" customFormat="1" ht="32.5" customHeight="1">
      <c r="A236" s="3548" t="s">
        <v>426</v>
      </c>
      <c r="B236" s="3548">
        <v>91</v>
      </c>
      <c r="C236" s="3550" t="s">
        <v>383</v>
      </c>
      <c r="D236" s="3550" t="s">
        <v>344</v>
      </c>
      <c r="E236" s="3550" t="s">
        <v>427</v>
      </c>
      <c r="R236" s="3465"/>
    </row>
    <row r="237" spans="1:18" s="3540" customFormat="1" ht="32.5" customHeight="1">
      <c r="A237" s="3548" t="s">
        <v>428</v>
      </c>
      <c r="B237" s="3548">
        <v>92</v>
      </c>
      <c r="C237" s="3550" t="s">
        <v>383</v>
      </c>
      <c r="D237" s="3550" t="s">
        <v>344</v>
      </c>
      <c r="E237" s="3550" t="s">
        <v>429</v>
      </c>
      <c r="R237" s="3465"/>
    </row>
    <row r="238" spans="1:18" s="3540" customFormat="1" ht="32.5" customHeight="1">
      <c r="A238" s="3548" t="s">
        <v>430</v>
      </c>
      <c r="B238" s="3548">
        <v>88</v>
      </c>
      <c r="C238" s="3550" t="s">
        <v>383</v>
      </c>
      <c r="D238" s="3550" t="s">
        <v>347</v>
      </c>
      <c r="E238" s="3550" t="s">
        <v>431</v>
      </c>
      <c r="H238" s="3550"/>
      <c r="R238" s="3465"/>
    </row>
    <row r="239" spans="1:18" s="3540" customFormat="1" ht="32.5" customHeight="1">
      <c r="A239" s="3548" t="s">
        <v>432</v>
      </c>
      <c r="B239" s="3548">
        <v>136</v>
      </c>
      <c r="C239" s="3550" t="s">
        <v>383</v>
      </c>
      <c r="D239" s="3550" t="s">
        <v>357</v>
      </c>
      <c r="E239" s="3550" t="s">
        <v>433</v>
      </c>
      <c r="H239" s="3550"/>
      <c r="R239" s="3465"/>
    </row>
    <row r="240" spans="1:18" s="3540" customFormat="1" ht="32.5" customHeight="1">
      <c r="A240" s="3548" t="s">
        <v>434</v>
      </c>
      <c r="B240" s="3548">
        <v>79</v>
      </c>
      <c r="C240" s="3550" t="s">
        <v>383</v>
      </c>
      <c r="D240" s="3550" t="s">
        <v>357</v>
      </c>
      <c r="E240" s="3550" t="s">
        <v>435</v>
      </c>
      <c r="H240" s="3550"/>
      <c r="R240" s="3465"/>
    </row>
    <row r="241" spans="1:18" s="3540" customFormat="1" ht="32.5" customHeight="1">
      <c r="A241" s="3548" t="s">
        <v>436</v>
      </c>
      <c r="B241" s="3548">
        <v>52</v>
      </c>
      <c r="C241" s="3550" t="s">
        <v>437</v>
      </c>
      <c r="D241" s="3550" t="s">
        <v>438</v>
      </c>
      <c r="E241" s="3550" t="s">
        <v>438</v>
      </c>
      <c r="H241" s="3550"/>
      <c r="R241" s="3465"/>
    </row>
    <row r="242" spans="1:18" s="3540" customFormat="1" ht="32.5" customHeight="1">
      <c r="A242" s="3548" t="s">
        <v>439</v>
      </c>
      <c r="B242" s="3548">
        <v>137</v>
      </c>
      <c r="C242" s="3550" t="s">
        <v>440</v>
      </c>
      <c r="D242" s="3550" t="s">
        <v>373</v>
      </c>
      <c r="E242" s="3550" t="s">
        <v>440</v>
      </c>
      <c r="H242" s="3550"/>
      <c r="R242" s="3465"/>
    </row>
    <row r="243" spans="1:18" s="3540" customFormat="1" ht="32.5" customHeight="1">
      <c r="A243" s="3548" t="s">
        <v>441</v>
      </c>
      <c r="B243" s="3548">
        <v>159</v>
      </c>
      <c r="C243" s="3550" t="s">
        <v>442</v>
      </c>
      <c r="D243" s="3550" t="s">
        <v>400</v>
      </c>
      <c r="E243" s="3550" t="s">
        <v>443</v>
      </c>
      <c r="R243" s="3465"/>
    </row>
    <row r="244" spans="1:18" s="3540" customFormat="1" ht="32.5" customHeight="1">
      <c r="A244" s="3548" t="s">
        <v>444</v>
      </c>
      <c r="B244" s="3548">
        <v>71</v>
      </c>
      <c r="C244" s="3550" t="s">
        <v>442</v>
      </c>
      <c r="D244" s="3550" t="s">
        <v>350</v>
      </c>
      <c r="E244" s="3550" t="s">
        <v>445</v>
      </c>
      <c r="R244" s="3465"/>
    </row>
    <row r="245" spans="1:18" s="3540" customFormat="1" ht="32.5" customHeight="1">
      <c r="A245" s="3548" t="s">
        <v>446</v>
      </c>
      <c r="B245" s="3548">
        <v>95</v>
      </c>
      <c r="C245" s="3550" t="s">
        <v>442</v>
      </c>
      <c r="D245" s="3550" t="s">
        <v>350</v>
      </c>
      <c r="E245" s="3550" t="s">
        <v>447</v>
      </c>
      <c r="R245" s="3465"/>
    </row>
    <row r="246" spans="1:18" s="3540" customFormat="1" ht="32.5" customHeight="1">
      <c r="A246" s="3548" t="s">
        <v>448</v>
      </c>
      <c r="B246" s="3548">
        <v>74</v>
      </c>
      <c r="C246" s="3550" t="s">
        <v>442</v>
      </c>
      <c r="D246" s="3550" t="s">
        <v>350</v>
      </c>
      <c r="E246" s="3550" t="s">
        <v>449</v>
      </c>
      <c r="R246" s="3465"/>
    </row>
    <row r="247" spans="1:18" s="3540" customFormat="1" ht="32.5" customHeight="1">
      <c r="A247" s="3548" t="s">
        <v>450</v>
      </c>
      <c r="B247" s="3548">
        <v>97</v>
      </c>
      <c r="C247" s="3550" t="s">
        <v>442</v>
      </c>
      <c r="D247" s="3550" t="s">
        <v>350</v>
      </c>
      <c r="E247" s="3550" t="s">
        <v>451</v>
      </c>
      <c r="R247" s="3465"/>
    </row>
    <row r="248" spans="1:18" s="3540" customFormat="1" ht="32.5" customHeight="1">
      <c r="A248" s="3548" t="s">
        <v>452</v>
      </c>
      <c r="B248" s="3548">
        <v>133</v>
      </c>
      <c r="C248" s="3550" t="s">
        <v>453</v>
      </c>
      <c r="D248" s="3550" t="s">
        <v>454</v>
      </c>
      <c r="E248" s="3550" t="s">
        <v>455</v>
      </c>
      <c r="R248" s="3465"/>
    </row>
    <row r="249" spans="1:18" s="3540" customFormat="1" ht="32.5" customHeight="1">
      <c r="A249" s="3548" t="s">
        <v>456</v>
      </c>
      <c r="B249" s="3548">
        <v>60</v>
      </c>
      <c r="C249" s="3550" t="s">
        <v>457</v>
      </c>
      <c r="D249" s="3550" t="s">
        <v>458</v>
      </c>
      <c r="E249" s="3550" t="s">
        <v>459</v>
      </c>
      <c r="R249" s="3465"/>
    </row>
    <row r="250" spans="1:18" s="3540" customFormat="1" ht="32.5" customHeight="1">
      <c r="A250" s="3548" t="s">
        <v>460</v>
      </c>
      <c r="B250" s="3548">
        <v>61</v>
      </c>
      <c r="C250" s="3550" t="s">
        <v>457</v>
      </c>
      <c r="D250" s="3550" t="s">
        <v>461</v>
      </c>
      <c r="E250" s="3550" t="s">
        <v>462</v>
      </c>
      <c r="R250" s="3465"/>
    </row>
    <row r="251" spans="1:18" s="3540" customFormat="1" ht="32.5" customHeight="1">
      <c r="A251" s="3548" t="s">
        <v>463</v>
      </c>
      <c r="B251" s="3548">
        <v>62</v>
      </c>
      <c r="C251" s="3550" t="s">
        <v>457</v>
      </c>
      <c r="D251" s="3550" t="s">
        <v>461</v>
      </c>
      <c r="E251" s="3550" t="s">
        <v>464</v>
      </c>
      <c r="R251" s="3465"/>
    </row>
    <row r="252" spans="1:18" s="3540" customFormat="1" ht="32.5" customHeight="1">
      <c r="A252" s="3548" t="s">
        <v>465</v>
      </c>
      <c r="B252" s="3548">
        <v>58</v>
      </c>
      <c r="C252" s="3550" t="s">
        <v>457</v>
      </c>
      <c r="D252" s="3550" t="s">
        <v>466</v>
      </c>
      <c r="E252" s="3550" t="s">
        <v>467</v>
      </c>
      <c r="R252" s="3465"/>
    </row>
    <row r="253" spans="1:18" s="3540" customFormat="1" ht="32.5" customHeight="1">
      <c r="A253" s="3548" t="s">
        <v>468</v>
      </c>
      <c r="B253" s="3548">
        <v>104</v>
      </c>
      <c r="C253" s="3550" t="s">
        <v>469</v>
      </c>
      <c r="D253" s="3550" t="s">
        <v>470</v>
      </c>
      <c r="E253" s="3550" t="s">
        <v>471</v>
      </c>
      <c r="R253" s="3465"/>
    </row>
    <row r="254" spans="1:18" s="3540" customFormat="1" ht="32.5" customHeight="1">
      <c r="A254" s="3548" t="s">
        <v>472</v>
      </c>
      <c r="B254" s="3548">
        <v>164</v>
      </c>
      <c r="C254" s="3550" t="s">
        <v>469</v>
      </c>
      <c r="D254" s="3550" t="s">
        <v>470</v>
      </c>
      <c r="E254" s="3550" t="s">
        <v>473</v>
      </c>
      <c r="R254" s="3465"/>
    </row>
    <row r="255" spans="1:18" s="3540" customFormat="1" ht="32.5" customHeight="1">
      <c r="A255" s="3548" t="s">
        <v>474</v>
      </c>
      <c r="B255" s="3548">
        <v>46</v>
      </c>
      <c r="C255" s="3550" t="s">
        <v>469</v>
      </c>
      <c r="D255" s="3550" t="s">
        <v>475</v>
      </c>
      <c r="E255" s="3550" t="s">
        <v>476</v>
      </c>
      <c r="R255" s="3465"/>
    </row>
    <row r="256" spans="1:18" s="3540" customFormat="1" ht="32.5" customHeight="1">
      <c r="A256" s="3548" t="s">
        <v>477</v>
      </c>
      <c r="B256" s="3548">
        <v>33</v>
      </c>
      <c r="C256" s="3550" t="s">
        <v>469</v>
      </c>
      <c r="D256" s="3550" t="s">
        <v>475</v>
      </c>
      <c r="E256" s="3550" t="s">
        <v>478</v>
      </c>
      <c r="R256" s="3465"/>
    </row>
    <row r="257" spans="1:18" s="3540" customFormat="1" ht="32.5" customHeight="1">
      <c r="A257" s="3548" t="s">
        <v>479</v>
      </c>
      <c r="B257" s="3548">
        <v>106</v>
      </c>
      <c r="C257" s="3550" t="s">
        <v>469</v>
      </c>
      <c r="D257" s="3550" t="s">
        <v>480</v>
      </c>
      <c r="E257" s="3550" t="s">
        <v>480</v>
      </c>
      <c r="R257" s="3465"/>
    </row>
    <row r="258" spans="1:18" s="3540" customFormat="1" ht="32.5" customHeight="1">
      <c r="A258" s="3548" t="s">
        <v>481</v>
      </c>
      <c r="B258" s="3548">
        <v>109</v>
      </c>
      <c r="C258" s="3550" t="s">
        <v>469</v>
      </c>
      <c r="D258" s="3550" t="s">
        <v>482</v>
      </c>
      <c r="E258" s="3550" t="s">
        <v>482</v>
      </c>
      <c r="R258" s="3465"/>
    </row>
    <row r="259" spans="1:18" s="3540" customFormat="1" ht="32.5" customHeight="1">
      <c r="A259" s="3548" t="s">
        <v>483</v>
      </c>
      <c r="B259" s="3548">
        <v>100</v>
      </c>
      <c r="C259" s="3550" t="s">
        <v>469</v>
      </c>
      <c r="D259" s="3550" t="s">
        <v>484</v>
      </c>
      <c r="E259" s="3550" t="s">
        <v>484</v>
      </c>
      <c r="R259" s="3465"/>
    </row>
    <row r="260" spans="1:18" s="3540" customFormat="1" ht="32.5" customHeight="1">
      <c r="A260" s="3548" t="s">
        <v>485</v>
      </c>
      <c r="B260" s="3548">
        <v>45</v>
      </c>
      <c r="C260" s="3550" t="s">
        <v>469</v>
      </c>
      <c r="D260" s="3550" t="s">
        <v>341</v>
      </c>
      <c r="E260" s="3550" t="s">
        <v>486</v>
      </c>
      <c r="R260" s="3465"/>
    </row>
    <row r="261" spans="1:18" s="3540" customFormat="1" ht="32.5" customHeight="1">
      <c r="A261" s="3548" t="s">
        <v>487</v>
      </c>
      <c r="B261" s="3548">
        <v>145</v>
      </c>
      <c r="C261" s="3550" t="s">
        <v>469</v>
      </c>
      <c r="D261" s="3550" t="s">
        <v>466</v>
      </c>
      <c r="E261" s="3550" t="s">
        <v>488</v>
      </c>
      <c r="R261" s="3465"/>
    </row>
    <row r="262" spans="1:18" s="3540" customFormat="1" ht="32.5" customHeight="1">
      <c r="A262" s="3548" t="s">
        <v>489</v>
      </c>
      <c r="B262" s="3548">
        <v>160</v>
      </c>
      <c r="C262" s="3550" t="s">
        <v>469</v>
      </c>
      <c r="D262" s="3550" t="s">
        <v>347</v>
      </c>
      <c r="E262" s="3550" t="s">
        <v>347</v>
      </c>
      <c r="R262" s="3465"/>
    </row>
    <row r="263" spans="1:18" s="3540" customFormat="1" ht="32.5" customHeight="1">
      <c r="A263" s="3548" t="s">
        <v>490</v>
      </c>
      <c r="B263" s="3548">
        <v>103</v>
      </c>
      <c r="C263" s="3550" t="s">
        <v>469</v>
      </c>
      <c r="D263" s="3550" t="s">
        <v>469</v>
      </c>
      <c r="E263" s="3550" t="s">
        <v>491</v>
      </c>
      <c r="R263" s="3465"/>
    </row>
    <row r="264" spans="1:18" s="3540" customFormat="1" ht="32.5" customHeight="1">
      <c r="A264" s="3548" t="s">
        <v>492</v>
      </c>
      <c r="B264" s="3548">
        <v>105</v>
      </c>
      <c r="C264" s="3550" t="s">
        <v>469</v>
      </c>
      <c r="D264" s="3550" t="s">
        <v>469</v>
      </c>
      <c r="E264" s="3550" t="s">
        <v>493</v>
      </c>
      <c r="R264" s="3465"/>
    </row>
    <row r="265" spans="1:18" s="3540" customFormat="1" ht="32.5" customHeight="1">
      <c r="A265" s="3548" t="s">
        <v>494</v>
      </c>
      <c r="B265" s="3548">
        <v>36</v>
      </c>
      <c r="C265" s="3550" t="s">
        <v>469</v>
      </c>
      <c r="D265" s="3550" t="s">
        <v>469</v>
      </c>
      <c r="E265" s="3550" t="s">
        <v>495</v>
      </c>
      <c r="R265" s="3465"/>
    </row>
    <row r="266" spans="1:18" s="3540" customFormat="1" ht="32.5" customHeight="1">
      <c r="A266" s="3548" t="s">
        <v>496</v>
      </c>
      <c r="B266" s="3548">
        <v>143</v>
      </c>
      <c r="C266" s="3550" t="s">
        <v>469</v>
      </c>
      <c r="D266" s="3550" t="s">
        <v>469</v>
      </c>
      <c r="E266" s="3550" t="s">
        <v>497</v>
      </c>
      <c r="R266" s="3465"/>
    </row>
    <row r="267" spans="1:18" s="3540" customFormat="1" ht="32.5" customHeight="1">
      <c r="A267" s="3548" t="s">
        <v>498</v>
      </c>
      <c r="B267" s="3548">
        <v>107</v>
      </c>
      <c r="C267" s="3550" t="s">
        <v>469</v>
      </c>
      <c r="D267" s="3550" t="s">
        <v>469</v>
      </c>
      <c r="E267" s="3550" t="s">
        <v>499</v>
      </c>
      <c r="R267" s="3465"/>
    </row>
    <row r="268" spans="1:18" s="3540" customFormat="1" ht="32.5" customHeight="1">
      <c r="A268" s="3548" t="s">
        <v>500</v>
      </c>
      <c r="B268" s="3548">
        <v>142</v>
      </c>
      <c r="C268" s="3550" t="s">
        <v>469</v>
      </c>
      <c r="D268" s="3550" t="s">
        <v>469</v>
      </c>
      <c r="E268" s="3550" t="s">
        <v>501</v>
      </c>
      <c r="R268" s="3465"/>
    </row>
    <row r="269" spans="1:18" s="3540" customFormat="1" ht="32.5" customHeight="1">
      <c r="A269" s="3548" t="s">
        <v>502</v>
      </c>
      <c r="B269" s="3548">
        <v>108</v>
      </c>
      <c r="C269" s="3550" t="s">
        <v>469</v>
      </c>
      <c r="D269" s="3550" t="s">
        <v>469</v>
      </c>
      <c r="E269" s="3550" t="s">
        <v>503</v>
      </c>
      <c r="R269" s="3465"/>
    </row>
    <row r="270" spans="1:18" s="3540" customFormat="1" ht="32.5" customHeight="1">
      <c r="A270" s="3548" t="s">
        <v>504</v>
      </c>
      <c r="B270" s="3548">
        <v>110</v>
      </c>
      <c r="C270" s="3550" t="s">
        <v>469</v>
      </c>
      <c r="D270" s="3550" t="s">
        <v>469</v>
      </c>
      <c r="E270" s="3550" t="s">
        <v>505</v>
      </c>
      <c r="R270" s="3465"/>
    </row>
    <row r="271" spans="1:18" s="3540" customFormat="1" ht="32.5" customHeight="1">
      <c r="A271" s="3548" t="s">
        <v>506</v>
      </c>
      <c r="B271" s="3548">
        <v>111</v>
      </c>
      <c r="C271" s="3550" t="s">
        <v>469</v>
      </c>
      <c r="D271" s="3550" t="s">
        <v>469</v>
      </c>
      <c r="E271" s="3550" t="s">
        <v>507</v>
      </c>
      <c r="R271" s="3465"/>
    </row>
    <row r="272" spans="1:18" s="3540" customFormat="1" ht="32.5" customHeight="1">
      <c r="A272" s="3548" t="s">
        <v>508</v>
      </c>
      <c r="B272" s="3548">
        <v>113</v>
      </c>
      <c r="C272" s="3550" t="s">
        <v>469</v>
      </c>
      <c r="D272" s="3550" t="s">
        <v>469</v>
      </c>
      <c r="E272" s="3550" t="s">
        <v>509</v>
      </c>
      <c r="R272" s="3465"/>
    </row>
    <row r="273" spans="1:18" s="3540" customFormat="1" ht="32.5" customHeight="1">
      <c r="A273" s="3548" t="s">
        <v>510</v>
      </c>
      <c r="B273" s="3548">
        <v>115</v>
      </c>
      <c r="C273" s="3550" t="s">
        <v>469</v>
      </c>
      <c r="D273" s="3550" t="s">
        <v>469</v>
      </c>
      <c r="E273" s="3550" t="s">
        <v>511</v>
      </c>
      <c r="R273" s="3465"/>
    </row>
    <row r="274" spans="1:18" s="3540" customFormat="1" ht="32.5" customHeight="1">
      <c r="A274" s="3548" t="s">
        <v>512</v>
      </c>
      <c r="B274" s="3548">
        <v>72</v>
      </c>
      <c r="C274" s="3550" t="s">
        <v>469</v>
      </c>
      <c r="D274" s="3550" t="s">
        <v>469</v>
      </c>
      <c r="E274" s="3550" t="s">
        <v>513</v>
      </c>
      <c r="R274" s="3465"/>
    </row>
    <row r="275" spans="1:18" s="3540" customFormat="1" ht="32.5" customHeight="1">
      <c r="A275" s="3548" t="s">
        <v>514</v>
      </c>
      <c r="B275" s="3548">
        <v>118</v>
      </c>
      <c r="C275" s="3550" t="s">
        <v>469</v>
      </c>
      <c r="D275" s="3550" t="s">
        <v>469</v>
      </c>
      <c r="E275" s="3550" t="s">
        <v>515</v>
      </c>
      <c r="R275" s="3465"/>
    </row>
    <row r="276" spans="1:18" s="3540" customFormat="1" ht="32.5" customHeight="1">
      <c r="A276" s="3548" t="s">
        <v>516</v>
      </c>
      <c r="B276" s="3548">
        <v>122</v>
      </c>
      <c r="C276" s="3550" t="s">
        <v>517</v>
      </c>
      <c r="D276" s="3550" t="s">
        <v>470</v>
      </c>
      <c r="E276" s="3550" t="s">
        <v>518</v>
      </c>
      <c r="R276" s="3465"/>
    </row>
    <row r="277" spans="1:18" s="3540" customFormat="1" ht="32.5" customHeight="1">
      <c r="A277" s="3548" t="s">
        <v>519</v>
      </c>
      <c r="B277" s="3548">
        <v>120</v>
      </c>
      <c r="C277" s="3550" t="s">
        <v>517</v>
      </c>
      <c r="D277" s="3550" t="s">
        <v>517</v>
      </c>
      <c r="E277" s="3550" t="s">
        <v>520</v>
      </c>
      <c r="R277" s="3465"/>
    </row>
    <row r="278" spans="1:18" s="3540" customFormat="1" ht="32.5" customHeight="1">
      <c r="A278" s="3548" t="s">
        <v>521</v>
      </c>
      <c r="B278" s="3548">
        <v>123</v>
      </c>
      <c r="C278" s="3550" t="s">
        <v>517</v>
      </c>
      <c r="D278" s="3550" t="s">
        <v>517</v>
      </c>
      <c r="E278" s="3550" t="s">
        <v>522</v>
      </c>
      <c r="R278" s="3465"/>
    </row>
  </sheetData>
  <sheetProtection password="90D5" sheet="1" objects="1" scenarios="1"/>
  <mergeCells count="34">
    <mergeCell ref="E3:F3"/>
    <mergeCell ref="I3:J3"/>
    <mergeCell ref="E4:F4"/>
    <mergeCell ref="I4:J4"/>
    <mergeCell ref="A5:B5"/>
    <mergeCell ref="E5:F5"/>
    <mergeCell ref="I5:J5"/>
    <mergeCell ref="M5:N5"/>
    <mergeCell ref="B20:E20"/>
    <mergeCell ref="G20:L20"/>
    <mergeCell ref="G21:J21"/>
    <mergeCell ref="B22:E22"/>
    <mergeCell ref="G22:J22"/>
    <mergeCell ref="G23:J23"/>
    <mergeCell ref="A24:E26"/>
    <mergeCell ref="G24:J24"/>
    <mergeCell ref="G25:J25"/>
    <mergeCell ref="G26:J26"/>
    <mergeCell ref="K27:L27"/>
    <mergeCell ref="A28:E30"/>
    <mergeCell ref="I28:J28"/>
    <mergeCell ref="K28:L28"/>
    <mergeCell ref="I29:J29"/>
    <mergeCell ref="K29:L29"/>
    <mergeCell ref="I30:J30"/>
    <mergeCell ref="K30:L30"/>
    <mergeCell ref="H27:H30"/>
    <mergeCell ref="I27:J27"/>
    <mergeCell ref="A31:K31"/>
    <mergeCell ref="A32:A33"/>
    <mergeCell ref="F32:G33"/>
    <mergeCell ref="L32:N35"/>
    <mergeCell ref="A34:A35"/>
    <mergeCell ref="F34:G35"/>
  </mergeCells>
  <dataValidations disablePrompts="1" count="2">
    <dataValidation type="list" allowBlank="1" showInputMessage="1" showErrorMessage="1" sqref="A8:A18">
      <formula1>$A$152:$A$164</formula1>
    </dataValidation>
    <dataValidation type="list" allowBlank="1" showInputMessage="1" showErrorMessage="1" sqref="I5:J5">
      <formula1>$R$5:$R$8</formula1>
    </dataValidation>
  </dataValidations>
  <pageMargins left="0.22" right="0.23" top="0.74803149606299213" bottom="0.74803149606299213" header="0.31496062992125984" footer="0.31496062992125984"/>
  <pageSetup scale="35" orientation="landscape" horizontalDpi="0" verticalDpi="0" r:id="rId1"/>
  <drawing r:id="rId2"/>
</worksheet>
</file>

<file path=xl/worksheets/sheet36.xml><?xml version="1.0" encoding="utf-8"?>
<worksheet xmlns="http://schemas.openxmlformats.org/spreadsheetml/2006/main" xmlns:r="http://schemas.openxmlformats.org/officeDocument/2006/relationships">
  <sheetPr codeName="Hoja36"/>
  <dimension ref="A2:O22"/>
  <sheetViews>
    <sheetView showGridLines="0" showRowColHeaders="0" zoomScale="80" zoomScaleNormal="80" workbookViewId="0"/>
  </sheetViews>
  <sheetFormatPr baseColWidth="10" defaultRowHeight="14.5"/>
  <cols>
    <col min="1" max="1" width="3.453125" style="4" customWidth="1"/>
    <col min="2" max="2" width="20.90625" style="5" customWidth="1"/>
    <col min="3" max="3" width="45.7265625" style="5" customWidth="1"/>
    <col min="4" max="4" width="11.6328125" style="5" bestFit="1" customWidth="1"/>
    <col min="5" max="5" width="3.26953125" style="5" customWidth="1"/>
    <col min="6" max="6" width="20.90625" style="5" customWidth="1"/>
    <col min="7" max="7" width="45.7265625" style="5" customWidth="1"/>
    <col min="8" max="8" width="26.36328125" style="5" customWidth="1"/>
    <col min="9" max="10" width="10.90625" style="5"/>
    <col min="11" max="15" width="10.90625" style="4"/>
    <col min="16" max="16384" width="10.90625" style="5"/>
  </cols>
  <sheetData>
    <row r="2" spans="1:14" ht="29" customHeight="1"/>
    <row r="3" spans="1:14" ht="21">
      <c r="B3" s="4035" t="s">
        <v>50</v>
      </c>
      <c r="C3" s="4035"/>
      <c r="D3" s="4035"/>
      <c r="F3" s="4035" t="s">
        <v>523</v>
      </c>
      <c r="G3" s="4035"/>
      <c r="H3" s="4035"/>
      <c r="M3" s="4" t="s">
        <v>524</v>
      </c>
      <c r="N3" s="4">
        <v>6</v>
      </c>
    </row>
    <row r="4" spans="1:14">
      <c r="B4" s="16" t="s">
        <v>137</v>
      </c>
      <c r="C4" s="16" t="s">
        <v>525</v>
      </c>
      <c r="D4" s="16" t="s">
        <v>227</v>
      </c>
      <c r="F4" s="16" t="s">
        <v>137</v>
      </c>
      <c r="G4" s="16" t="s">
        <v>525</v>
      </c>
      <c r="H4" s="16" t="s">
        <v>526</v>
      </c>
      <c r="M4" s="4" t="s">
        <v>527</v>
      </c>
      <c r="N4" s="4">
        <v>7</v>
      </c>
    </row>
    <row r="5" spans="1:14">
      <c r="A5" s="4" t="str">
        <f>IF(B5="","",1)</f>
        <v/>
      </c>
      <c r="B5" s="17" t="str">
        <f>IF(C5="","",Fortalezas!AF5)</f>
        <v/>
      </c>
      <c r="C5" s="18" t="str">
        <f>IF(Fortalezas!AG5=0,"",Fortalezas!AG5)</f>
        <v/>
      </c>
      <c r="D5" s="19" t="str">
        <f>IF(C5="","",Fortalezas!AH5+0)</f>
        <v/>
      </c>
      <c r="E5" s="4" t="str">
        <f t="shared" ref="E5:E14" si="0">IF(AND(C5&lt;&gt;"",B5=""),1,"")</f>
        <v/>
      </c>
      <c r="F5" s="17" t="str">
        <f>IF(G5="","",Fortalezas!AL18)</f>
        <v/>
      </c>
      <c r="G5" s="18" t="str">
        <f>IF(Fortalezas!AM18=0,"",Fortalezas!AM18)</f>
        <v/>
      </c>
      <c r="H5" s="20" t="str">
        <f>IF(G5="","",Fortalezas!AN18)</f>
        <v/>
      </c>
      <c r="I5" s="3"/>
      <c r="L5" s="4">
        <f t="shared" ref="L5:L14" si="1">IFERROR(IF(AND(F5&lt;&gt;"",G5&lt;&gt;""),VLOOKUP(H5,$M$3:$N$4,2,0),1),1)</f>
        <v>1</v>
      </c>
    </row>
    <row r="6" spans="1:14">
      <c r="A6" s="4" t="str">
        <f t="shared" ref="A6:A14" si="2">IF(B6="","",A5+1)</f>
        <v/>
      </c>
      <c r="B6" s="17" t="str">
        <f>IF(C6="","",Fortalezas!AF6)</f>
        <v/>
      </c>
      <c r="C6" s="18" t="str">
        <f>IF(Fortalezas!AG6=0,"",Fortalezas!AG6)</f>
        <v/>
      </c>
      <c r="D6" s="19" t="str">
        <f>IF(C6="","",Fortalezas!AH6+0)</f>
        <v/>
      </c>
      <c r="E6" s="4" t="str">
        <f t="shared" si="0"/>
        <v/>
      </c>
      <c r="F6" s="17" t="str">
        <f>IF(G6="","",Fortalezas!AL19)</f>
        <v/>
      </c>
      <c r="G6" s="18" t="str">
        <f>IF(Fortalezas!AM19=0,"",Fortalezas!AM19)</f>
        <v/>
      </c>
      <c r="H6" s="20" t="str">
        <f>IF(G6="","",Fortalezas!AN19)</f>
        <v/>
      </c>
      <c r="I6" s="3"/>
      <c r="L6" s="4">
        <f t="shared" si="1"/>
        <v>1</v>
      </c>
    </row>
    <row r="7" spans="1:14">
      <c r="A7" s="4" t="str">
        <f t="shared" si="2"/>
        <v/>
      </c>
      <c r="B7" s="17" t="str">
        <f>IF(C7="","",Fortalezas!AF7)</f>
        <v/>
      </c>
      <c r="C7" s="18" t="str">
        <f>IF(Fortalezas!AG7=0,"",Fortalezas!AG7)</f>
        <v/>
      </c>
      <c r="D7" s="19" t="str">
        <f>IF(C7="","",Fortalezas!AH7+0)</f>
        <v/>
      </c>
      <c r="E7" s="4" t="str">
        <f t="shared" si="0"/>
        <v/>
      </c>
      <c r="F7" s="17" t="str">
        <f>IF(G7="","",Fortalezas!AL20)</f>
        <v/>
      </c>
      <c r="G7" s="18" t="str">
        <f>IF(Fortalezas!AM20=0,"",Fortalezas!AM20)</f>
        <v/>
      </c>
      <c r="H7" s="20" t="str">
        <f>IF(G7="","",Fortalezas!AN20)</f>
        <v/>
      </c>
      <c r="I7" s="3"/>
      <c r="L7" s="4">
        <f t="shared" si="1"/>
        <v>1</v>
      </c>
    </row>
    <row r="8" spans="1:14">
      <c r="A8" s="4" t="str">
        <f t="shared" si="2"/>
        <v/>
      </c>
      <c r="B8" s="17" t="str">
        <f>IF(C8="","",Fortalezas!AF8)</f>
        <v/>
      </c>
      <c r="C8" s="18" t="str">
        <f>IF(Fortalezas!AG8=0,"",Fortalezas!AG8)</f>
        <v/>
      </c>
      <c r="D8" s="19" t="str">
        <f>IF(C8="","",Fortalezas!AH8+0)</f>
        <v/>
      </c>
      <c r="E8" s="4" t="str">
        <f t="shared" si="0"/>
        <v/>
      </c>
      <c r="F8" s="17" t="str">
        <f>IF(G8="","",Fortalezas!AL21)</f>
        <v/>
      </c>
      <c r="G8" s="18" t="str">
        <f>IF(Fortalezas!AM21=0,"",Fortalezas!AM21)</f>
        <v/>
      </c>
      <c r="H8" s="20" t="str">
        <f>IF(G8="","",Fortalezas!AN21)</f>
        <v/>
      </c>
      <c r="I8" s="3"/>
      <c r="L8" s="4">
        <f t="shared" si="1"/>
        <v>1</v>
      </c>
    </row>
    <row r="9" spans="1:14">
      <c r="A9" s="4" t="str">
        <f t="shared" si="2"/>
        <v/>
      </c>
      <c r="B9" s="17" t="str">
        <f>IF(C9="","",Fortalezas!AF9)</f>
        <v/>
      </c>
      <c r="C9" s="18" t="str">
        <f>IF(Fortalezas!AG9=0,"",Fortalezas!AG9)</f>
        <v/>
      </c>
      <c r="D9" s="19" t="str">
        <f>IF(C9="","",Fortalezas!AH9+0)</f>
        <v/>
      </c>
      <c r="E9" s="4" t="str">
        <f t="shared" si="0"/>
        <v/>
      </c>
      <c r="F9" s="17" t="str">
        <f>IF(G9="","",Fortalezas!AL22)</f>
        <v/>
      </c>
      <c r="G9" s="18" t="str">
        <f>IF(Fortalezas!AM22=0,"",Fortalezas!AM22)</f>
        <v/>
      </c>
      <c r="H9" s="20" t="str">
        <f>IF(G9="","",Fortalezas!AN22)</f>
        <v/>
      </c>
      <c r="I9" s="3"/>
      <c r="L9" s="4">
        <f t="shared" si="1"/>
        <v>1</v>
      </c>
    </row>
    <row r="10" spans="1:14">
      <c r="A10" s="4" t="str">
        <f t="shared" si="2"/>
        <v/>
      </c>
      <c r="B10" s="17" t="str">
        <f>IF(C10="","",Fortalezas!AF10)</f>
        <v/>
      </c>
      <c r="C10" s="18" t="str">
        <f>IF(Fortalezas!AG10=0,"",Fortalezas!AG10)</f>
        <v/>
      </c>
      <c r="D10" s="19" t="str">
        <f>IF(C10="","",Fortalezas!AH10+0)</f>
        <v/>
      </c>
      <c r="E10" s="4" t="str">
        <f t="shared" si="0"/>
        <v/>
      </c>
      <c r="F10" s="17" t="str">
        <f>IF(G10="","",Fortalezas!AL23)</f>
        <v/>
      </c>
      <c r="G10" s="18" t="str">
        <f>IF(Fortalezas!AM23=0,"",Fortalezas!AM23)</f>
        <v/>
      </c>
      <c r="H10" s="20" t="str">
        <f>IF(G10="","",Fortalezas!AN23)</f>
        <v/>
      </c>
      <c r="I10" s="3"/>
      <c r="L10" s="4">
        <f t="shared" si="1"/>
        <v>1</v>
      </c>
    </row>
    <row r="11" spans="1:14">
      <c r="A11" s="4" t="str">
        <f t="shared" si="2"/>
        <v/>
      </c>
      <c r="B11" s="17" t="str">
        <f>IF(C11="","",Fortalezas!AF11)</f>
        <v/>
      </c>
      <c r="C11" s="18" t="str">
        <f>IF(Fortalezas!AG11=0,"",Fortalezas!AG11)</f>
        <v/>
      </c>
      <c r="D11" s="19" t="str">
        <f>IF(C11="","",Fortalezas!AH11+0)</f>
        <v/>
      </c>
      <c r="E11" s="4" t="str">
        <f t="shared" si="0"/>
        <v/>
      </c>
      <c r="F11" s="17" t="str">
        <f>IF(G11="","",Fortalezas!AL24)</f>
        <v/>
      </c>
      <c r="G11" s="18" t="str">
        <f>IF(Fortalezas!AM24=0,"",Fortalezas!AM24)</f>
        <v/>
      </c>
      <c r="H11" s="20" t="str">
        <f>IF(G11="","",Fortalezas!AN24)</f>
        <v/>
      </c>
      <c r="I11" s="3"/>
      <c r="L11" s="4">
        <f t="shared" si="1"/>
        <v>1</v>
      </c>
    </row>
    <row r="12" spans="1:14">
      <c r="A12" s="4" t="str">
        <f t="shared" si="2"/>
        <v/>
      </c>
      <c r="B12" s="17" t="str">
        <f>IF(C12="","",Fortalezas!AF12)</f>
        <v/>
      </c>
      <c r="C12" s="18" t="str">
        <f>IF(Fortalezas!AG12=0,"",Fortalezas!AG12)</f>
        <v/>
      </c>
      <c r="D12" s="19" t="str">
        <f>IF(C12="","",Fortalezas!AH12+0)</f>
        <v/>
      </c>
      <c r="E12" s="4" t="str">
        <f t="shared" si="0"/>
        <v/>
      </c>
      <c r="F12" s="17" t="str">
        <f>IF(G12="","",Fortalezas!AL25)</f>
        <v/>
      </c>
      <c r="G12" s="18" t="str">
        <f>IF(Fortalezas!AM25=0,"",Fortalezas!AM25)</f>
        <v/>
      </c>
      <c r="H12" s="20" t="str">
        <f>IF(G12="","",Fortalezas!AN25)</f>
        <v/>
      </c>
      <c r="I12" s="3"/>
      <c r="L12" s="4">
        <f t="shared" si="1"/>
        <v>1</v>
      </c>
    </row>
    <row r="13" spans="1:14">
      <c r="A13" s="4" t="str">
        <f t="shared" si="2"/>
        <v/>
      </c>
      <c r="B13" s="17" t="str">
        <f>IF(C13="","",Fortalezas!AF13)</f>
        <v/>
      </c>
      <c r="C13" s="18" t="str">
        <f>IF(Fortalezas!AG13=0,"",Fortalezas!AG13)</f>
        <v/>
      </c>
      <c r="D13" s="19" t="str">
        <f>IF(C13="","",Fortalezas!AH13+0)</f>
        <v/>
      </c>
      <c r="E13" s="4" t="str">
        <f t="shared" si="0"/>
        <v/>
      </c>
      <c r="F13" s="17" t="str">
        <f>IF(G13="","",Fortalezas!AL26)</f>
        <v/>
      </c>
      <c r="G13" s="18" t="str">
        <f>IF(Fortalezas!AM26=0,"",Fortalezas!AM26)</f>
        <v/>
      </c>
      <c r="H13" s="20" t="str">
        <f>IF(G13="","",Fortalezas!AN26)</f>
        <v/>
      </c>
      <c r="I13" s="3"/>
      <c r="L13" s="4">
        <f t="shared" si="1"/>
        <v>1</v>
      </c>
    </row>
    <row r="14" spans="1:14">
      <c r="A14" s="4" t="str">
        <f t="shared" si="2"/>
        <v/>
      </c>
      <c r="B14" s="17" t="str">
        <f>IF(C14="","",Fortalezas!AF14)</f>
        <v/>
      </c>
      <c r="C14" s="18" t="str">
        <f>IF(Fortalezas!AG14=0,"",Fortalezas!AG14)</f>
        <v/>
      </c>
      <c r="D14" s="19" t="str">
        <f>IF(C14="","",Fortalezas!AH14+0)</f>
        <v/>
      </c>
      <c r="E14" s="4" t="str">
        <f t="shared" si="0"/>
        <v/>
      </c>
      <c r="F14" s="17" t="str">
        <f>IF(G14="","",Fortalezas!AL27)</f>
        <v/>
      </c>
      <c r="G14" s="18" t="str">
        <f>IF(Fortalezas!AM27=0,"",Fortalezas!AM27)</f>
        <v/>
      </c>
      <c r="H14" s="20" t="str">
        <f>IF(G14="","",Fortalezas!AN27)</f>
        <v/>
      </c>
      <c r="I14" s="3"/>
      <c r="L14" s="4">
        <f t="shared" si="1"/>
        <v>1</v>
      </c>
    </row>
    <row r="15" spans="1:14">
      <c r="B15" s="21"/>
      <c r="C15" s="22" t="s">
        <v>228</v>
      </c>
      <c r="D15" s="23">
        <f>SUM(D5:D14)</f>
        <v>0</v>
      </c>
      <c r="E15" s="4"/>
    </row>
    <row r="16" spans="1:14">
      <c r="B16" s="4036" t="str">
        <f>IF(A13&lt;&gt;"","En caso de tener más de 9 accionistas, relacione los 9 primeros y en el campo 10, incluye Otros Accionistas y la participación restante.","")</f>
        <v/>
      </c>
      <c r="C16" s="4036"/>
      <c r="D16" s="4036"/>
    </row>
    <row r="17" spans="2:4">
      <c r="B17" s="4036"/>
      <c r="C17" s="4036"/>
      <c r="D17" s="4036"/>
    </row>
    <row r="18" spans="2:4">
      <c r="B18" s="4036"/>
      <c r="C18" s="4036"/>
      <c r="D18" s="4036"/>
    </row>
    <row r="19" spans="2:4">
      <c r="B19" s="4037" t="str">
        <f>IF(D15&gt;100,"La información no será cargada, ya que la participación de los accionistas no puede superar en total el 100%",IF(D15&lt;95,"Es necesario incluir la mayoria de accionistas para tener más del 95% de la participación por Empresa",""))</f>
        <v>Es necesario incluir la mayoria de accionistas para tener más del 95% de la participación por Empresa</v>
      </c>
      <c r="C19" s="4037"/>
      <c r="D19" s="4037"/>
    </row>
    <row r="20" spans="2:4">
      <c r="B20" s="4037"/>
      <c r="C20" s="4037"/>
      <c r="D20" s="4037"/>
    </row>
    <row r="21" spans="2:4">
      <c r="B21" s="4037"/>
      <c r="C21" s="4037"/>
      <c r="D21" s="4037"/>
    </row>
    <row r="22" spans="2:4">
      <c r="B22" s="4038" t="str">
        <f>IF(SUM(E5:E14)&lt;&gt;0,"Debe ingresar documento del Accionista","")</f>
        <v/>
      </c>
      <c r="C22" s="4038"/>
      <c r="D22" s="4038"/>
    </row>
  </sheetData>
  <sheetProtection password="D5B5" sheet="1" objects="1" scenarios="1"/>
  <mergeCells count="5">
    <mergeCell ref="B3:D3"/>
    <mergeCell ref="F3:H3"/>
    <mergeCell ref="B16:D18"/>
    <mergeCell ref="B19:D21"/>
    <mergeCell ref="B22:D22"/>
  </mergeCells>
  <dataValidations disablePrompts="1" count="2">
    <dataValidation type="list" allowBlank="1" showInputMessage="1" showErrorMessage="1" errorTitle="Error en la Participación" error="Debe ingresar una participación correcta" sqref="H5:H14">
      <formula1>$M$3:$M$4</formula1>
    </dataValidation>
    <dataValidation type="decimal" allowBlank="1" showInputMessage="1" showErrorMessage="1" errorTitle="Error en la Participación" error="Debe ingresar una participación correcta" sqref="D5:D14 D1048576">
      <formula1>1</formula1>
      <formula2>100</formula2>
    </dataValidation>
  </dataValidations>
  <pageMargins left="0.7" right="0.7" top="0.75" bottom="0.75" header="0.3" footer="0.3"/>
  <pageSetup orientation="portrait" horizontalDpi="0" verticalDpi="0" r:id="rId1"/>
  <drawing r:id="rId2"/>
</worksheet>
</file>

<file path=xl/worksheets/sheet37.xml><?xml version="1.0" encoding="utf-8"?>
<worksheet xmlns="http://schemas.openxmlformats.org/spreadsheetml/2006/main" xmlns:r="http://schemas.openxmlformats.org/officeDocument/2006/relationships">
  <sheetPr codeName="Hoja38">
    <pageSetUpPr fitToPage="1"/>
  </sheetPr>
  <dimension ref="A1:AM511"/>
  <sheetViews>
    <sheetView showGridLines="0" showRowColHeaders="0" zoomScale="70" zoomScaleNormal="70" workbookViewId="0">
      <pane ySplit="15" topLeftCell="A16" activePane="bottomLeft" state="frozen"/>
      <selection pane="bottomLeft" activeCell="D11" sqref="D11"/>
    </sheetView>
  </sheetViews>
  <sheetFormatPr baseColWidth="10" defaultRowHeight="14.5"/>
  <cols>
    <col min="1" max="1" width="2.54296875" style="166" customWidth="1"/>
    <col min="2" max="3" width="4" style="166" customWidth="1"/>
    <col min="4" max="4" width="75.7265625" bestFit="1" customWidth="1"/>
    <col min="5" max="8" width="29.453125" customWidth="1"/>
    <col min="9" max="9" width="29.453125" style="70" customWidth="1"/>
    <col min="10" max="19" width="11" style="4" hidden="1" customWidth="1"/>
    <col min="20" max="25" width="11.453125" style="4" hidden="1" customWidth="1"/>
    <col min="26" max="33" width="11.453125" style="3559" hidden="1" customWidth="1"/>
    <col min="34" max="34" width="9.453125" style="3559" hidden="1" customWidth="1"/>
    <col min="35" max="36" width="11.453125" style="70" customWidth="1"/>
    <col min="37" max="38" width="11.453125" style="14" customWidth="1"/>
    <col min="39" max="39" width="10.90625" style="14"/>
  </cols>
  <sheetData>
    <row r="1" spans="1:39" s="5" customFormat="1" ht="28.5" customHeight="1">
      <c r="A1" s="27"/>
      <c r="B1" s="27"/>
      <c r="C1" s="27"/>
      <c r="D1"/>
      <c r="E1"/>
      <c r="F1"/>
      <c r="G1"/>
      <c r="H1"/>
      <c r="I1" s="28">
        <f>L3</f>
        <v>0</v>
      </c>
      <c r="J1" s="4"/>
      <c r="K1" s="4"/>
      <c r="L1" s="4"/>
      <c r="M1" s="4"/>
      <c r="N1" s="4"/>
      <c r="O1" s="4"/>
      <c r="P1" s="4"/>
      <c r="Q1" s="4"/>
      <c r="R1" s="4"/>
      <c r="S1" s="4"/>
      <c r="T1" s="4"/>
      <c r="U1" s="4"/>
      <c r="V1" s="4"/>
      <c r="W1" s="4"/>
      <c r="X1" s="4"/>
      <c r="Y1" s="4"/>
      <c r="Z1" s="4"/>
      <c r="AA1" s="4"/>
      <c r="AB1" s="4"/>
      <c r="AC1" s="4"/>
      <c r="AD1" s="4"/>
      <c r="AE1" s="4"/>
      <c r="AF1" s="4"/>
      <c r="AG1" s="4"/>
      <c r="AH1" s="4"/>
      <c r="AI1" s="29"/>
      <c r="AJ1" s="29"/>
      <c r="AK1" s="12"/>
      <c r="AL1" s="12"/>
      <c r="AM1" s="12"/>
    </row>
    <row r="2" spans="1:39" s="5" customFormat="1" ht="28.5" customHeight="1" thickBot="1">
      <c r="A2" s="27"/>
      <c r="B2" s="27"/>
      <c r="C2" s="27"/>
      <c r="D2" s="4041" t="str">
        <f>TEXT('RC'!D6,"0.000")&amp;" "&amp;'RC'!D7</f>
        <v xml:space="preserve">0.000 </v>
      </c>
      <c r="E2" s="4041"/>
      <c r="F2" s="4041"/>
      <c r="G2" s="4041"/>
      <c r="H2" s="30"/>
      <c r="I2" s="31"/>
      <c r="J2" s="4"/>
      <c r="K2" s="4"/>
      <c r="L2" s="4"/>
      <c r="M2" s="4"/>
      <c r="N2" s="4"/>
      <c r="O2" s="4"/>
      <c r="P2" s="4"/>
      <c r="Q2" s="4"/>
      <c r="R2" s="4"/>
      <c r="S2" s="4"/>
      <c r="T2" s="4"/>
      <c r="U2" s="4"/>
      <c r="V2" s="4"/>
      <c r="W2" s="4"/>
      <c r="X2" s="4"/>
      <c r="Y2" s="4"/>
      <c r="Z2" s="4"/>
      <c r="AA2" s="4"/>
      <c r="AB2" s="4"/>
      <c r="AC2" s="4"/>
      <c r="AD2" s="4"/>
      <c r="AE2" s="4"/>
      <c r="AF2" s="4"/>
      <c r="AG2" s="4"/>
      <c r="AH2" s="4"/>
      <c r="AI2" s="29"/>
      <c r="AJ2" s="29"/>
      <c r="AK2" s="12"/>
      <c r="AL2" s="12"/>
      <c r="AM2" s="12"/>
    </row>
    <row r="3" spans="1:39" s="5" customFormat="1" ht="16.5" customHeight="1" thickBot="1">
      <c r="A3" s="27"/>
      <c r="B3" s="27"/>
      <c r="C3" s="27"/>
      <c r="D3" s="32" t="str">
        <f>"Las cifras se deben digitar en Miles de: "&amp; Caratula1!AN3</f>
        <v xml:space="preserve">Las cifras se deben digitar en Miles de: </v>
      </c>
      <c r="E3" s="33" t="s">
        <v>533</v>
      </c>
      <c r="F3" s="34" t="s">
        <v>533</v>
      </c>
      <c r="G3" s="34" t="s">
        <v>533</v>
      </c>
      <c r="H3" s="34" t="s">
        <v>534</v>
      </c>
      <c r="I3" s="35" t="s">
        <v>535</v>
      </c>
      <c r="J3" s="4"/>
      <c r="K3" s="4"/>
      <c r="L3" s="4"/>
      <c r="M3" s="4"/>
      <c r="N3" s="4"/>
      <c r="O3" s="4"/>
      <c r="P3" s="4"/>
      <c r="Q3" s="4"/>
      <c r="R3" s="4"/>
      <c r="S3" s="4"/>
      <c r="T3" s="4"/>
      <c r="U3" s="4"/>
      <c r="V3" s="4"/>
      <c r="W3" s="4"/>
      <c r="X3" s="4"/>
      <c r="Y3" s="4"/>
      <c r="Z3" s="4"/>
      <c r="AA3" s="4"/>
      <c r="AB3" s="4"/>
      <c r="AC3" s="4"/>
      <c r="AD3" s="4"/>
      <c r="AE3" s="4"/>
      <c r="AF3" s="4"/>
      <c r="AG3" s="4"/>
      <c r="AH3" s="4"/>
      <c r="AI3" s="29"/>
      <c r="AJ3" s="29"/>
      <c r="AK3" s="12"/>
      <c r="AL3" s="12"/>
      <c r="AM3" s="12"/>
    </row>
    <row r="4" spans="1:39" s="5" customFormat="1" ht="20.5" customHeight="1">
      <c r="A4" s="27"/>
      <c r="B4" s="27"/>
      <c r="C4" s="27"/>
      <c r="D4" s="36" t="s">
        <v>536</v>
      </c>
      <c r="E4" s="37">
        <f>+F4-1</f>
        <v>2017</v>
      </c>
      <c r="F4" s="38">
        <f>+G4-1</f>
        <v>2018</v>
      </c>
      <c r="G4" s="39">
        <f>MID(Fortalezas!F2,1,4)+0</f>
        <v>2019</v>
      </c>
      <c r="H4" s="39" t="str">
        <f>Fortalezas!J2</f>
        <v>2020</v>
      </c>
      <c r="I4" s="4198">
        <f>+H4-1</f>
        <v>2019</v>
      </c>
      <c r="J4" s="4"/>
      <c r="K4" s="4" t="str">
        <f>IFERROR(E4&amp;VLOOKUP(E8,$O$20:$P$31,2,0),1900)</f>
        <v>201712</v>
      </c>
      <c r="L4" s="4" t="str">
        <f>IFERROR(F4&amp;VLOOKUP(F8,$O$20:$P$31,2,0),1900)</f>
        <v>201812</v>
      </c>
      <c r="M4" s="4" t="str">
        <f>IFERROR(G4&amp;VLOOKUP(G8,$O$20:$P$31,2,0),1900)</f>
        <v>201912</v>
      </c>
      <c r="N4" s="4" t="str">
        <f>IFERROR(IF(H4&lt;M20,1900,H4&amp;VLOOKUP(H8,$O$20:$P$31,2,0)),1900)</f>
        <v>202006</v>
      </c>
      <c r="O4" s="4" t="str">
        <f>IFERROR(IF(I4&lt;N20,1900,I4&amp;VLOOKUP(I8,$O$20:$P$31,2,0)),1900)</f>
        <v>201906</v>
      </c>
      <c r="P4" s="4"/>
      <c r="Q4" s="4"/>
      <c r="R4" s="4"/>
      <c r="S4" s="4"/>
      <c r="T4" s="4"/>
      <c r="U4" s="4"/>
      <c r="V4" s="4"/>
      <c r="W4" s="4"/>
      <c r="X4" s="4"/>
      <c r="Y4" s="4"/>
      <c r="Z4" s="4"/>
      <c r="AA4" s="4"/>
      <c r="AB4" s="4"/>
      <c r="AC4" s="4"/>
      <c r="AD4" s="4"/>
      <c r="AE4" s="4"/>
      <c r="AF4" s="4"/>
      <c r="AG4" s="4"/>
      <c r="AH4" s="4"/>
      <c r="AI4" s="29"/>
      <c r="AJ4" s="29"/>
      <c r="AK4" s="12"/>
      <c r="AL4" s="12"/>
      <c r="AM4" s="12"/>
    </row>
    <row r="5" spans="1:39" s="5" customFormat="1" ht="20.5" customHeight="1">
      <c r="A5" s="27"/>
      <c r="B5" s="27"/>
      <c r="C5" s="27"/>
      <c r="D5" s="3457" t="s">
        <v>2166</v>
      </c>
      <c r="E5" s="3459" t="str">
        <f>IF(Fortalezas!D1="False","No Auditados",Fortalezas!D1)</f>
        <v>No Auditados</v>
      </c>
      <c r="F5" s="3459" t="str">
        <f>IF(Fortalezas!E1="False","No Auditados",Fortalezas!E1)</f>
        <v>No Auditados</v>
      </c>
      <c r="G5" s="3459" t="str">
        <f>IF(Fortalezas!F1="False","No Auditados",Fortalezas!F1)</f>
        <v>No Auditados</v>
      </c>
      <c r="H5" s="37" t="str">
        <f>IF(Fortalezas!G1="False","No Auditados",Fortalezas!G1)</f>
        <v>No Auditados</v>
      </c>
      <c r="I5" s="4199" t="str">
        <f>IF(Fortalezas!H1="False","No Auditados",Fortalezas!H1)</f>
        <v>No Auditados</v>
      </c>
      <c r="J5" s="4"/>
      <c r="K5" s="4"/>
      <c r="L5" s="4"/>
      <c r="M5" s="4"/>
      <c r="N5" s="4"/>
      <c r="O5" s="4"/>
      <c r="P5" s="4"/>
      <c r="Q5" s="4"/>
      <c r="R5" s="4"/>
      <c r="S5" s="4"/>
      <c r="T5" s="4"/>
      <c r="U5" s="4"/>
      <c r="V5" s="4"/>
      <c r="W5" s="4"/>
      <c r="X5" s="4"/>
      <c r="Y5" s="4"/>
      <c r="Z5" s="4"/>
      <c r="AA5" s="4"/>
      <c r="AB5" s="4"/>
      <c r="AC5" s="4"/>
      <c r="AD5" s="4"/>
      <c r="AE5" s="4"/>
      <c r="AF5" s="4"/>
      <c r="AG5" s="4"/>
      <c r="AH5" s="4"/>
      <c r="AI5" s="29"/>
      <c r="AJ5" s="29"/>
      <c r="AK5" s="12"/>
      <c r="AL5" s="12"/>
      <c r="AM5" s="12"/>
    </row>
    <row r="6" spans="1:39" s="5" customFormat="1" ht="21">
      <c r="A6" s="27" t="s">
        <v>537</v>
      </c>
      <c r="B6" s="27"/>
      <c r="C6" s="27"/>
      <c r="D6" s="40" t="s">
        <v>538</v>
      </c>
      <c r="E6" s="3471" t="str">
        <f>Fortalezas!J1</f>
        <v>12</v>
      </c>
      <c r="F6" s="3471" t="str">
        <f>Fortalezas!K1</f>
        <v>12</v>
      </c>
      <c r="G6" s="3471" t="str">
        <f>Fortalezas!L1</f>
        <v>12</v>
      </c>
      <c r="H6" s="42" t="str">
        <f>Fortalezas!M1</f>
        <v>06</v>
      </c>
      <c r="I6" s="4200" t="str">
        <f>H6</f>
        <v>06</v>
      </c>
      <c r="J6" s="4"/>
      <c r="K6" s="4"/>
      <c r="L6" s="4"/>
      <c r="M6" s="4"/>
      <c r="N6" s="4" t="s">
        <v>2177</v>
      </c>
      <c r="O6" s="4">
        <v>1</v>
      </c>
      <c r="P6" s="4"/>
      <c r="Q6" s="4"/>
      <c r="R6" s="4"/>
      <c r="S6" s="4"/>
      <c r="T6" s="4"/>
      <c r="U6" s="4"/>
      <c r="V6" s="4"/>
      <c r="W6" s="4"/>
      <c r="X6" s="4"/>
      <c r="Y6" s="4"/>
      <c r="Z6" s="4"/>
      <c r="AA6" s="4"/>
      <c r="AB6" s="4"/>
      <c r="AC6" s="4"/>
      <c r="AD6" s="4"/>
      <c r="AE6" s="4"/>
      <c r="AF6" s="4"/>
      <c r="AG6" s="4"/>
      <c r="AH6" s="4"/>
      <c r="AI6" s="29"/>
      <c r="AJ6" s="29"/>
      <c r="AK6" s="12"/>
      <c r="AL6" s="12"/>
      <c r="AM6" s="12"/>
    </row>
    <row r="7" spans="1:39" s="5" customFormat="1" ht="21">
      <c r="A7" s="27"/>
      <c r="B7" s="27"/>
      <c r="C7" s="27"/>
      <c r="D7" s="40" t="s">
        <v>539</v>
      </c>
      <c r="E7" s="41">
        <f>+E6*30</f>
        <v>360</v>
      </c>
      <c r="F7" s="41">
        <f>+F6*30</f>
        <v>360</v>
      </c>
      <c r="G7" s="41">
        <f>+G6*30</f>
        <v>360</v>
      </c>
      <c r="H7" s="41">
        <f>+H6*30</f>
        <v>180</v>
      </c>
      <c r="I7" s="4201">
        <f>+I6*30</f>
        <v>180</v>
      </c>
      <c r="J7" s="4"/>
      <c r="K7" s="4"/>
      <c r="L7" s="4"/>
      <c r="M7" s="4"/>
      <c r="N7" s="4" t="s">
        <v>2178</v>
      </c>
      <c r="O7" s="4">
        <v>2</v>
      </c>
      <c r="P7" s="4"/>
      <c r="Q7" s="4"/>
      <c r="R7" s="4"/>
      <c r="S7" s="4"/>
      <c r="T7" s="4"/>
      <c r="U7" s="4"/>
      <c r="V7" s="4"/>
      <c r="W7" s="4"/>
      <c r="X7" s="4"/>
      <c r="Y7" s="4"/>
      <c r="Z7" s="4"/>
      <c r="AA7" s="4"/>
      <c r="AB7" s="4"/>
      <c r="AC7" s="4"/>
      <c r="AD7" s="4"/>
      <c r="AE7" s="4"/>
      <c r="AF7" s="4"/>
      <c r="AG7" s="4"/>
      <c r="AH7" s="4"/>
      <c r="AI7" s="29"/>
      <c r="AJ7" s="29"/>
      <c r="AK7" s="12"/>
      <c r="AL7" s="12"/>
      <c r="AM7" s="12"/>
    </row>
    <row r="8" spans="1:39" s="5" customFormat="1" ht="16.5" customHeight="1" thickBot="1">
      <c r="A8" s="27"/>
      <c r="B8" s="27"/>
      <c r="C8" s="27"/>
      <c r="D8" s="43" t="s">
        <v>540</v>
      </c>
      <c r="E8" s="44" t="str">
        <f>Fortalezas!D3</f>
        <v>Diciembre</v>
      </c>
      <c r="F8" s="44" t="str">
        <f>Fortalezas!E3</f>
        <v>Diciembre</v>
      </c>
      <c r="G8" s="44" t="str">
        <f>Fortalezas!F3</f>
        <v>Diciembre</v>
      </c>
      <c r="H8" s="44" t="str">
        <f>Fortalezas!G3</f>
        <v>Junio</v>
      </c>
      <c r="I8" s="4202" t="str">
        <f>H8</f>
        <v>Junio</v>
      </c>
      <c r="J8" s="4"/>
      <c r="K8" s="4"/>
      <c r="L8" s="3553"/>
      <c r="M8" s="3553"/>
      <c r="N8" s="4" t="s">
        <v>2179</v>
      </c>
      <c r="O8" s="4">
        <v>3</v>
      </c>
      <c r="P8" s="4"/>
      <c r="Q8" s="4"/>
      <c r="R8" s="4"/>
      <c r="S8" s="4"/>
      <c r="T8" s="4"/>
      <c r="U8" s="4"/>
      <c r="V8" s="4"/>
      <c r="W8" s="4"/>
      <c r="X8" s="4"/>
      <c r="Y8" s="4"/>
      <c r="Z8" s="4"/>
      <c r="AA8" s="4"/>
      <c r="AB8" s="4"/>
      <c r="AC8" s="4"/>
      <c r="AD8" s="4"/>
      <c r="AE8" s="4"/>
      <c r="AF8" s="4"/>
      <c r="AG8" s="4"/>
      <c r="AH8" s="4"/>
      <c r="AI8" s="29"/>
      <c r="AJ8" s="29"/>
      <c r="AK8" s="12"/>
      <c r="AL8" s="12"/>
      <c r="AM8" s="12"/>
    </row>
    <row r="9" spans="1:39" s="52" customFormat="1" ht="16.5" customHeight="1">
      <c r="A9" s="45"/>
      <c r="C9" s="46"/>
      <c r="D9" s="46"/>
      <c r="E9" s="3466" t="str">
        <f>"Tasas: "&amp;NitAnioNIIF1!C4&amp;" = "&amp;TEXT(NitAnioNIIF1!J4,"0###,#######")&amp;" - "&amp;NitAnioNIIF1!C3&amp;" = "&amp;TEXT(NitAnioNIIF1!J3,"0###,#######")&amp;" - "&amp;NitAnioNIIF1!C2&amp;" = "&amp;TEXT(NitAnioNIIF1!J2,"0###,#######")</f>
        <v>Tasas:  = 0, -  = 0, -  = 0,</v>
      </c>
      <c r="F9" s="47"/>
      <c r="G9" s="48"/>
      <c r="H9" s="49" t="s">
        <v>532</v>
      </c>
      <c r="I9" s="4203" t="s">
        <v>532</v>
      </c>
      <c r="J9" s="4"/>
      <c r="K9" s="7"/>
      <c r="L9" s="3554"/>
      <c r="M9" s="3554"/>
      <c r="N9" s="7"/>
      <c r="O9" s="7"/>
      <c r="P9" s="7"/>
      <c r="Q9" s="7"/>
      <c r="R9" s="7"/>
      <c r="S9" s="7"/>
      <c r="T9" s="7">
        <v>0</v>
      </c>
      <c r="U9" s="7"/>
      <c r="V9" s="7"/>
      <c r="W9" s="7"/>
      <c r="X9" s="7"/>
      <c r="Y9" s="7"/>
      <c r="Z9" s="7"/>
      <c r="AA9" s="7"/>
      <c r="AB9" s="7"/>
      <c r="AC9" s="7"/>
      <c r="AD9" s="7"/>
      <c r="AE9" s="7"/>
      <c r="AF9" s="7"/>
      <c r="AG9" s="7"/>
      <c r="AH9" s="7"/>
      <c r="AI9" s="51"/>
      <c r="AJ9" s="51"/>
    </row>
    <row r="10" spans="1:39" s="64" customFormat="1">
      <c r="A10" s="27"/>
      <c r="B10" s="27"/>
      <c r="C10" s="27"/>
      <c r="D10" s="118" t="s">
        <v>799</v>
      </c>
      <c r="E10" s="119" t="str">
        <f>IF(AND(E11&lt;2,E11&gt;-2),"OK","DESCUADRADO")</f>
        <v>OK</v>
      </c>
      <c r="F10" s="119" t="str">
        <f>IF(AND(F11&lt;2,F11&gt;-2),"OK","DESCUADRADO")</f>
        <v>OK</v>
      </c>
      <c r="G10" s="119" t="str">
        <f>IF(AND(G11&lt;2,G11&gt;-2),"OK","DESCUADRADO")</f>
        <v>OK</v>
      </c>
      <c r="H10" s="119" t="str">
        <f>IF(AND(H11&lt;2,H11&gt;-2),"OK","DESCUADRADO")</f>
        <v>OK</v>
      </c>
      <c r="I10" s="120" t="str">
        <f>IF(AND(I11&lt;2,I11&gt;-2),"OK","DESCUADRADO")</f>
        <v>OK</v>
      </c>
      <c r="J10" s="4"/>
      <c r="K10" s="4"/>
      <c r="L10" s="3555"/>
      <c r="M10" s="3555"/>
      <c r="N10" s="3555"/>
      <c r="O10" s="3555"/>
      <c r="P10" s="3555"/>
      <c r="Q10" s="3555"/>
      <c r="R10" s="3555"/>
      <c r="S10" s="3556">
        <v>0</v>
      </c>
      <c r="T10" s="3555"/>
      <c r="U10" s="3557">
        <v>1</v>
      </c>
      <c r="V10" s="3555"/>
      <c r="W10" s="3555"/>
      <c r="X10" s="3555"/>
      <c r="Y10" s="3555"/>
      <c r="Z10" s="3555"/>
      <c r="AA10" s="3555"/>
      <c r="AB10" s="3555"/>
      <c r="AC10" s="3555"/>
      <c r="AD10" s="3555"/>
      <c r="AE10" s="3555"/>
      <c r="AF10" s="3555"/>
      <c r="AG10" s="3555"/>
      <c r="AH10" s="3555"/>
      <c r="AI10" s="63"/>
      <c r="AJ10" s="63"/>
      <c r="AK10" s="63"/>
      <c r="AL10" s="63"/>
      <c r="AM10" s="63"/>
    </row>
    <row r="11" spans="1:39" s="64" customFormat="1">
      <c r="A11" s="27"/>
      <c r="B11" s="27"/>
      <c r="C11" s="27"/>
      <c r="D11" s="121" t="s">
        <v>800</v>
      </c>
      <c r="E11" s="122">
        <f>+E185-E374</f>
        <v>0</v>
      </c>
      <c r="F11" s="122">
        <f>+F185-F374</f>
        <v>0</v>
      </c>
      <c r="G11" s="122">
        <f>+G185-G374</f>
        <v>0</v>
      </c>
      <c r="H11" s="122">
        <f>+H185-H374</f>
        <v>0</v>
      </c>
      <c r="I11" s="123">
        <f>+I185-I374</f>
        <v>0</v>
      </c>
      <c r="J11" s="4"/>
      <c r="K11" s="4"/>
      <c r="L11" s="3555"/>
      <c r="M11" s="4"/>
      <c r="N11" s="4"/>
      <c r="O11" s="4"/>
      <c r="P11" s="3558"/>
      <c r="Q11" s="3555"/>
      <c r="R11" s="3555"/>
      <c r="S11" s="3556">
        <v>0</v>
      </c>
      <c r="T11" s="3555"/>
      <c r="U11" s="3557">
        <v>1</v>
      </c>
      <c r="V11" s="3555"/>
      <c r="W11" s="3555"/>
      <c r="X11" s="3555"/>
      <c r="Y11" s="3555"/>
      <c r="Z11" s="3555"/>
      <c r="AA11" s="3555"/>
      <c r="AB11" s="3555"/>
      <c r="AC11" s="3555"/>
      <c r="AD11" s="3555"/>
      <c r="AE11" s="3555"/>
      <c r="AF11" s="3555"/>
      <c r="AG11" s="3555"/>
      <c r="AH11" s="3555"/>
      <c r="AI11" s="63"/>
      <c r="AJ11" s="63"/>
      <c r="AK11" s="63"/>
      <c r="AL11" s="63"/>
      <c r="AM11" s="63"/>
    </row>
    <row r="12" spans="1:39" s="64" customFormat="1">
      <c r="A12" s="27"/>
      <c r="B12" s="27"/>
      <c r="C12" s="27"/>
      <c r="D12" s="148" t="s">
        <v>853</v>
      </c>
      <c r="E12" s="149" t="str">
        <f>IF(E71+E83+E204&gt;0,IF(E387&gt;0,"OK","Debe ingresar Costo Vtas"),"OK")</f>
        <v>OK</v>
      </c>
      <c r="F12" s="149" t="str">
        <f>IF(F71+F83+F204&gt;0,IF(F387&gt;0,"OK","Debe ingresar Costo Vtas"),"OK")</f>
        <v>OK</v>
      </c>
      <c r="G12" s="149" t="str">
        <f>IF(G71+G83+G204&gt;0,IF(G387&gt;0,"OK","Debe ingresar Costo Vtas"),"OK")</f>
        <v>OK</v>
      </c>
      <c r="H12" s="149" t="str">
        <f>IF(H71+H83+H204&gt;0,IF(H387&gt;0,"OK","Debe ingresar Costo Vtas"),"OK")</f>
        <v>OK</v>
      </c>
      <c r="I12" s="150" t="str">
        <f>IF(I71+I83+I204&gt;0,IF(I387&gt;0,"OK","Debe ingresar Costo Vtas"),"OK")</f>
        <v>OK</v>
      </c>
      <c r="J12" s="4"/>
      <c r="K12" s="4"/>
      <c r="L12" s="3555"/>
      <c r="M12" s="3555"/>
      <c r="N12" s="3555"/>
      <c r="O12" s="3555"/>
      <c r="P12" s="3555"/>
      <c r="Q12" s="3555"/>
      <c r="R12" s="3555"/>
      <c r="S12" s="3555"/>
      <c r="T12" s="3555"/>
      <c r="U12" s="3555"/>
      <c r="V12" s="3555"/>
      <c r="W12" s="3555"/>
      <c r="X12" s="3555"/>
      <c r="Y12" s="3555"/>
      <c r="Z12" s="3555"/>
      <c r="AA12" s="3555"/>
      <c r="AB12" s="3555"/>
      <c r="AC12" s="3555"/>
      <c r="AD12" s="3555"/>
      <c r="AE12" s="3555"/>
      <c r="AF12" s="3555"/>
      <c r="AG12" s="3555"/>
      <c r="AH12" s="3555"/>
      <c r="AI12" s="63"/>
      <c r="AJ12" s="63"/>
      <c r="AK12" s="63"/>
      <c r="AL12" s="63"/>
      <c r="AM12" s="63"/>
    </row>
    <row r="13" spans="1:39" s="64" customFormat="1">
      <c r="A13" s="27"/>
      <c r="B13" s="27"/>
      <c r="C13" s="27"/>
      <c r="D13" s="151"/>
      <c r="E13" s="152"/>
      <c r="F13" s="152"/>
      <c r="G13" s="152"/>
      <c r="H13" s="152"/>
      <c r="I13" s="153"/>
      <c r="J13" s="4"/>
      <c r="K13" s="4"/>
      <c r="L13" s="3555"/>
      <c r="M13" s="3555"/>
      <c r="N13" s="3555"/>
      <c r="O13" s="3555"/>
      <c r="P13" s="3555"/>
      <c r="Q13" s="3555"/>
      <c r="R13" s="3555"/>
      <c r="S13" s="3555"/>
      <c r="T13" s="3555"/>
      <c r="U13" s="3555"/>
      <c r="V13" s="3555"/>
      <c r="W13" s="3555"/>
      <c r="X13" s="3555"/>
      <c r="Y13" s="3555"/>
      <c r="Z13" s="3555"/>
      <c r="AA13" s="3555"/>
      <c r="AB13" s="3555"/>
      <c r="AC13" s="3555"/>
      <c r="AD13" s="3555"/>
      <c r="AE13" s="3555"/>
      <c r="AF13" s="3555"/>
      <c r="AG13" s="3555"/>
      <c r="AH13" s="3555"/>
      <c r="AI13" s="63"/>
      <c r="AJ13" s="63"/>
      <c r="AK13" s="63"/>
      <c r="AL13" s="63"/>
      <c r="AM13" s="63"/>
    </row>
    <row r="14" spans="1:39" s="64" customFormat="1">
      <c r="A14" s="27"/>
      <c r="B14" s="27"/>
      <c r="C14" s="27"/>
      <c r="D14" s="148" t="s">
        <v>857</v>
      </c>
      <c r="E14" s="155" t="str">
        <f>IF(AND(E15&lt;2,E15&gt;-2),"OK","DESCUADRADO")</f>
        <v>OK</v>
      </c>
      <c r="F14" s="155" t="str">
        <f>IF(AND(F15&lt;2,F15&gt;-2),"OK","DESCUADRADO")</f>
        <v>OK</v>
      </c>
      <c r="G14" s="155" t="str">
        <f>IF(AND(G15&lt;2,G15&gt;-2),"OK","DESCUADRADO")</f>
        <v>OK</v>
      </c>
      <c r="H14" s="155" t="str">
        <f>IF(AND(H15&lt;2,H15&gt;-2),"OK","DESCUADRADO")</f>
        <v>OK</v>
      </c>
      <c r="I14" s="156" t="str">
        <f>IF(AND(I15&lt;2,I15&gt;-2),"OK","DESCUADRADO")</f>
        <v>OK</v>
      </c>
      <c r="J14" s="4"/>
      <c r="K14" s="4"/>
      <c r="L14" s="3555"/>
      <c r="M14" s="3555"/>
      <c r="N14" s="3555"/>
      <c r="O14" s="3555"/>
      <c r="P14" s="3555"/>
      <c r="Q14" s="3555"/>
      <c r="R14" s="3555"/>
      <c r="S14" s="3555"/>
      <c r="T14" s="3555"/>
      <c r="U14" s="3555"/>
      <c r="V14" s="3555"/>
      <c r="W14" s="3555"/>
      <c r="X14" s="3555"/>
      <c r="Y14" s="3555"/>
      <c r="Z14" s="3555"/>
      <c r="AA14" s="3555"/>
      <c r="AB14" s="3555"/>
      <c r="AC14" s="3555"/>
      <c r="AD14" s="3555"/>
      <c r="AE14" s="3555"/>
      <c r="AF14" s="3555"/>
      <c r="AG14" s="3555"/>
      <c r="AH14" s="3555"/>
      <c r="AI14" s="63"/>
      <c r="AJ14" s="63"/>
      <c r="AK14" s="63"/>
      <c r="AL14" s="63"/>
      <c r="AM14" s="63"/>
    </row>
    <row r="15" spans="1:39" s="64" customFormat="1">
      <c r="A15" s="27"/>
      <c r="B15" s="27"/>
      <c r="C15" s="27"/>
      <c r="D15" s="151" t="s">
        <v>858</v>
      </c>
      <c r="E15" s="157">
        <f>E370-E456</f>
        <v>0</v>
      </c>
      <c r="F15" s="157">
        <f>F370-F456</f>
        <v>0</v>
      </c>
      <c r="G15" s="157">
        <f>G370-G456</f>
        <v>0</v>
      </c>
      <c r="H15" s="157">
        <f>H370-H456</f>
        <v>0</v>
      </c>
      <c r="I15" s="158">
        <f>I370-I456</f>
        <v>0</v>
      </c>
      <c r="J15" s="4"/>
      <c r="K15" s="4"/>
      <c r="L15" s="3555"/>
      <c r="M15" s="3555"/>
      <c r="N15" s="3555"/>
      <c r="O15" s="3555"/>
      <c r="P15" s="3555"/>
      <c r="Q15" s="3555"/>
      <c r="R15" s="3555"/>
      <c r="S15" s="3555"/>
      <c r="T15" s="3555"/>
      <c r="U15" s="3555"/>
      <c r="V15" s="3555"/>
      <c r="W15" s="3555"/>
      <c r="X15" s="3555"/>
      <c r="Y15" s="3555"/>
      <c r="Z15" s="3555"/>
      <c r="AA15" s="3555"/>
      <c r="AB15" s="3555"/>
      <c r="AC15" s="3555"/>
      <c r="AD15" s="3555"/>
      <c r="AE15" s="3555"/>
      <c r="AF15" s="3555"/>
      <c r="AG15" s="3555"/>
      <c r="AH15" s="3555"/>
      <c r="AI15" s="63"/>
      <c r="AJ15" s="63"/>
      <c r="AK15" s="63"/>
      <c r="AL15" s="63"/>
      <c r="AM15" s="63"/>
    </row>
    <row r="16" spans="1:39" s="52" customFormat="1" ht="16.5" customHeight="1">
      <c r="A16" s="45"/>
      <c r="B16" s="46" t="s">
        <v>541</v>
      </c>
      <c r="C16" s="46"/>
      <c r="D16" s="46"/>
      <c r="E16" s="3466"/>
      <c r="F16" s="47"/>
      <c r="G16" s="47"/>
      <c r="H16" s="47"/>
      <c r="I16" s="104"/>
      <c r="J16" s="4205"/>
      <c r="K16" s="4205"/>
      <c r="L16" s="4205"/>
      <c r="M16" s="4205"/>
      <c r="N16" s="4205"/>
      <c r="O16" s="4205"/>
      <c r="P16" s="4205"/>
      <c r="Q16" s="4205"/>
      <c r="R16" s="4205"/>
      <c r="S16" s="4205"/>
      <c r="T16" s="4205"/>
      <c r="U16" s="4205"/>
      <c r="V16" s="4205"/>
      <c r="W16" s="4205"/>
      <c r="X16" s="4205"/>
      <c r="Y16" s="4205"/>
      <c r="Z16" s="4205"/>
      <c r="AA16" s="4205"/>
      <c r="AB16" s="4205"/>
      <c r="AC16" s="4205"/>
      <c r="AD16" s="4205"/>
      <c r="AE16" s="4205"/>
      <c r="AF16" s="4205"/>
      <c r="AG16" s="4205"/>
      <c r="AH16" s="4205"/>
      <c r="AI16" s="104"/>
      <c r="AJ16" s="104"/>
      <c r="AK16" s="47"/>
    </row>
    <row r="17" spans="1:39" s="52" customFormat="1" ht="16.5" customHeight="1">
      <c r="A17" s="45"/>
      <c r="B17" s="53" t="str">
        <f>IF(SUM(E23:I23)&lt;&gt;0,"V","")</f>
        <v/>
      </c>
      <c r="C17" s="54" t="s">
        <v>542</v>
      </c>
      <c r="D17" s="55"/>
      <c r="E17" s="56"/>
      <c r="F17" s="56"/>
      <c r="G17" s="56"/>
      <c r="H17" s="56"/>
      <c r="I17" s="57"/>
      <c r="J17" s="4"/>
      <c r="K17" s="7"/>
      <c r="L17" s="3554"/>
      <c r="M17" s="7"/>
      <c r="N17" s="7"/>
      <c r="O17" s="7"/>
      <c r="P17" s="7"/>
      <c r="Q17" s="7"/>
      <c r="R17" s="7"/>
      <c r="S17" s="7" t="s">
        <v>2172</v>
      </c>
      <c r="T17" s="7" t="s">
        <v>2172</v>
      </c>
      <c r="U17" s="7" t="s">
        <v>2173</v>
      </c>
      <c r="V17" s="7" t="s">
        <v>2173</v>
      </c>
      <c r="W17" s="7"/>
      <c r="X17" s="7"/>
      <c r="Y17" s="7"/>
      <c r="Z17" s="7"/>
      <c r="AA17" s="7"/>
      <c r="AB17" s="7"/>
      <c r="AC17" s="7"/>
      <c r="AD17" s="7"/>
      <c r="AE17" s="7"/>
      <c r="AF17" s="7"/>
      <c r="AG17" s="7"/>
      <c r="AH17" s="7"/>
      <c r="AI17" s="51"/>
      <c r="AJ17" s="51"/>
    </row>
    <row r="18" spans="1:39" s="64" customFormat="1" ht="15.75" customHeight="1">
      <c r="A18" s="58">
        <v>110105</v>
      </c>
      <c r="B18" s="59"/>
      <c r="C18" s="47"/>
      <c r="D18" s="60" t="s">
        <v>543</v>
      </c>
      <c r="E18" s="61">
        <f>Fortalezas!D6</f>
        <v>0</v>
      </c>
      <c r="F18" s="61">
        <f>Fortalezas!E6</f>
        <v>0</v>
      </c>
      <c r="G18" s="61">
        <f>Fortalezas!F6</f>
        <v>0</v>
      </c>
      <c r="H18" s="61">
        <f>Fortalezas!G6</f>
        <v>0</v>
      </c>
      <c r="I18" s="62">
        <f>Fortalezas!H6</f>
        <v>0</v>
      </c>
      <c r="J18" s="4"/>
      <c r="K18" s="7"/>
      <c r="L18" s="3555"/>
      <c r="M18" s="4"/>
      <c r="N18" s="4" t="s">
        <v>544</v>
      </c>
      <c r="O18" s="4"/>
      <c r="P18" s="4"/>
      <c r="Q18" s="3555"/>
      <c r="R18" s="3555"/>
      <c r="S18" s="3556">
        <v>0</v>
      </c>
      <c r="T18" s="3556">
        <v>0</v>
      </c>
      <c r="U18" s="3557">
        <f t="shared" ref="U18:U23" si="0">SUM(E18:I18)</f>
        <v>0</v>
      </c>
      <c r="V18" s="3556" t="s">
        <v>2174</v>
      </c>
      <c r="W18" s="3555"/>
      <c r="X18" s="3555"/>
      <c r="Y18" s="3555"/>
      <c r="Z18" s="3555"/>
      <c r="AA18" s="3555"/>
      <c r="AB18" s="3555"/>
      <c r="AC18" s="3555"/>
      <c r="AD18" s="3555"/>
      <c r="AE18" s="3555"/>
      <c r="AF18" s="3555"/>
      <c r="AG18" s="3555"/>
      <c r="AH18" s="3555"/>
      <c r="AI18" s="63"/>
      <c r="AJ18" s="63"/>
      <c r="AK18" s="63"/>
      <c r="AL18" s="63"/>
      <c r="AM18" s="63"/>
    </row>
    <row r="19" spans="1:39" s="64" customFormat="1" ht="15.75" customHeight="1">
      <c r="A19" s="58">
        <v>110110</v>
      </c>
      <c r="B19" s="59"/>
      <c r="C19" s="47"/>
      <c r="D19" s="65" t="s">
        <v>545</v>
      </c>
      <c r="E19" s="61">
        <f>Fortalezas!D7</f>
        <v>0</v>
      </c>
      <c r="F19" s="61">
        <f>Fortalezas!E7</f>
        <v>0</v>
      </c>
      <c r="G19" s="61">
        <f>Fortalezas!F7</f>
        <v>0</v>
      </c>
      <c r="H19" s="61">
        <f>Fortalezas!G7</f>
        <v>0</v>
      </c>
      <c r="I19" s="62">
        <f>Fortalezas!H7</f>
        <v>0</v>
      </c>
      <c r="J19" s="4"/>
      <c r="K19" s="4"/>
      <c r="L19" s="3555"/>
      <c r="M19" s="4" t="s">
        <v>546</v>
      </c>
      <c r="N19" s="4" t="s">
        <v>547</v>
      </c>
      <c r="O19" s="4"/>
      <c r="P19" s="3558" t="s">
        <v>548</v>
      </c>
      <c r="Q19" s="3558" t="s">
        <v>548</v>
      </c>
      <c r="R19" s="3555"/>
      <c r="S19" s="3556">
        <v>0</v>
      </c>
      <c r="T19" s="3555"/>
      <c r="U19" s="3557">
        <f t="shared" si="0"/>
        <v>0</v>
      </c>
      <c r="V19" s="3555"/>
      <c r="W19" s="3555"/>
      <c r="X19" s="3555"/>
      <c r="Y19" s="3555"/>
      <c r="Z19" s="3555"/>
      <c r="AA19" s="3555"/>
      <c r="AB19" s="3555"/>
      <c r="AC19" s="3555"/>
      <c r="AD19" s="3555"/>
      <c r="AE19" s="3555"/>
      <c r="AF19" s="3555"/>
      <c r="AG19" s="3555"/>
      <c r="AH19" s="3555"/>
      <c r="AI19" s="63"/>
      <c r="AJ19" s="63"/>
      <c r="AK19" s="63"/>
      <c r="AL19" s="63"/>
      <c r="AM19" s="63"/>
    </row>
    <row r="20" spans="1:39" s="64" customFormat="1" ht="19">
      <c r="A20" s="58">
        <v>111010</v>
      </c>
      <c r="B20" s="59"/>
      <c r="C20" s="47"/>
      <c r="D20" s="65" t="s">
        <v>549</v>
      </c>
      <c r="E20" s="61">
        <f>Fortalezas!D8</f>
        <v>0</v>
      </c>
      <c r="F20" s="61">
        <f>Fortalezas!E8</f>
        <v>0</v>
      </c>
      <c r="G20" s="61">
        <f>Fortalezas!F8</f>
        <v>0</v>
      </c>
      <c r="H20" s="61">
        <f>Fortalezas!G8</f>
        <v>0</v>
      </c>
      <c r="I20" s="62">
        <f>Fortalezas!H8</f>
        <v>0</v>
      </c>
      <c r="J20" s="4"/>
      <c r="K20" s="4"/>
      <c r="L20" s="3555"/>
      <c r="M20" s="4">
        <f>+M21-1</f>
        <v>2017</v>
      </c>
      <c r="N20" s="4">
        <v>30</v>
      </c>
      <c r="O20" s="4" t="s">
        <v>60</v>
      </c>
      <c r="P20" s="3558" t="s">
        <v>59</v>
      </c>
      <c r="Q20" s="3558" t="s">
        <v>59</v>
      </c>
      <c r="R20" s="3555"/>
      <c r="S20" s="3556">
        <v>0</v>
      </c>
      <c r="T20" s="3555"/>
      <c r="U20" s="3557">
        <f t="shared" si="0"/>
        <v>0</v>
      </c>
      <c r="V20" s="3555"/>
      <c r="W20" s="3555"/>
      <c r="X20" s="3555"/>
      <c r="Y20" s="3555"/>
      <c r="Z20" s="3555"/>
      <c r="AA20" s="3555"/>
      <c r="AB20" s="3555"/>
      <c r="AC20" s="3555"/>
      <c r="AD20" s="3555"/>
      <c r="AE20" s="3555"/>
      <c r="AF20" s="3555"/>
      <c r="AG20" s="3555"/>
      <c r="AH20" s="3555"/>
      <c r="AI20" s="63"/>
      <c r="AJ20" s="63"/>
      <c r="AK20" s="63"/>
      <c r="AL20" s="63"/>
      <c r="AM20" s="63"/>
    </row>
    <row r="21" spans="1:39" s="64" customFormat="1" ht="19">
      <c r="A21" s="58">
        <v>110130</v>
      </c>
      <c r="B21" s="59"/>
      <c r="C21" s="47"/>
      <c r="D21" s="65" t="s">
        <v>550</v>
      </c>
      <c r="E21" s="61">
        <f>Fortalezas!D9</f>
        <v>0</v>
      </c>
      <c r="F21" s="61">
        <f>Fortalezas!E9</f>
        <v>0</v>
      </c>
      <c r="G21" s="61">
        <f>Fortalezas!F9</f>
        <v>0</v>
      </c>
      <c r="H21" s="61">
        <f>Fortalezas!G9</f>
        <v>0</v>
      </c>
      <c r="I21" s="62">
        <f>Fortalezas!H9</f>
        <v>0</v>
      </c>
      <c r="J21" s="4"/>
      <c r="K21" s="4"/>
      <c r="L21" s="3555"/>
      <c r="M21" s="4">
        <f>+M22-1</f>
        <v>2018</v>
      </c>
      <c r="N21" s="4">
        <v>60</v>
      </c>
      <c r="O21" s="4" t="s">
        <v>63</v>
      </c>
      <c r="P21" s="3558" t="s">
        <v>62</v>
      </c>
      <c r="Q21" s="3558" t="s">
        <v>62</v>
      </c>
      <c r="R21" s="3555"/>
      <c r="S21" s="3556">
        <v>0</v>
      </c>
      <c r="T21" s="3555"/>
      <c r="U21" s="3557">
        <f t="shared" si="0"/>
        <v>0</v>
      </c>
      <c r="V21" s="3555"/>
      <c r="W21" s="3555"/>
      <c r="X21" s="3555"/>
      <c r="Y21" s="3555"/>
      <c r="Z21" s="3555"/>
      <c r="AA21" s="3555"/>
      <c r="AB21" s="3555"/>
      <c r="AC21" s="3555"/>
      <c r="AD21" s="3555"/>
      <c r="AE21" s="3555"/>
      <c r="AF21" s="3555"/>
      <c r="AG21" s="3555"/>
      <c r="AH21" s="3555"/>
      <c r="AI21" s="63"/>
      <c r="AJ21" s="63"/>
      <c r="AK21" s="63"/>
      <c r="AL21" s="63"/>
      <c r="AM21" s="63"/>
    </row>
    <row r="22" spans="1:39" s="64" customFormat="1" ht="19">
      <c r="A22" s="58">
        <v>110125</v>
      </c>
      <c r="B22" s="59"/>
      <c r="C22" s="47"/>
      <c r="D22" s="65" t="s">
        <v>551</v>
      </c>
      <c r="E22" s="61">
        <f>Fortalezas!D10</f>
        <v>0</v>
      </c>
      <c r="F22" s="61">
        <f>Fortalezas!E10</f>
        <v>0</v>
      </c>
      <c r="G22" s="61">
        <f>Fortalezas!F10</f>
        <v>0</v>
      </c>
      <c r="H22" s="61">
        <f>Fortalezas!G10</f>
        <v>0</v>
      </c>
      <c r="I22" s="62">
        <f>Fortalezas!H10</f>
        <v>0</v>
      </c>
      <c r="J22" s="4"/>
      <c r="K22" s="4"/>
      <c r="L22" s="3555"/>
      <c r="M22" s="4">
        <f>+M23-1</f>
        <v>2019</v>
      </c>
      <c r="N22" s="4">
        <v>90</v>
      </c>
      <c r="O22" s="4" t="s">
        <v>65</v>
      </c>
      <c r="P22" s="3558" t="s">
        <v>64</v>
      </c>
      <c r="Q22" s="3558" t="s">
        <v>64</v>
      </c>
      <c r="R22" s="3555"/>
      <c r="S22" s="3556">
        <v>0</v>
      </c>
      <c r="T22" s="3555"/>
      <c r="U22" s="3557">
        <f t="shared" si="0"/>
        <v>0</v>
      </c>
      <c r="V22" s="3555"/>
      <c r="W22" s="3555"/>
      <c r="X22" s="3555"/>
      <c r="Y22" s="3555"/>
      <c r="Z22" s="3555"/>
      <c r="AA22" s="3555"/>
      <c r="AB22" s="3555"/>
      <c r="AC22" s="3555"/>
      <c r="AD22" s="3555"/>
      <c r="AE22" s="3555"/>
      <c r="AF22" s="3555"/>
      <c r="AG22" s="3555"/>
      <c r="AH22" s="3555"/>
      <c r="AI22" s="63"/>
      <c r="AJ22" s="63"/>
      <c r="AK22" s="63"/>
      <c r="AL22" s="63"/>
      <c r="AM22" s="63"/>
    </row>
    <row r="23" spans="1:39" s="64" customFormat="1" ht="19">
      <c r="A23" s="58">
        <v>1101</v>
      </c>
      <c r="B23" s="59"/>
      <c r="C23" s="66" t="s">
        <v>552</v>
      </c>
      <c r="D23" s="67"/>
      <c r="E23" s="68">
        <f>SUM(E18:E22)</f>
        <v>0</v>
      </c>
      <c r="F23" s="68">
        <f>SUM(F18:F22)</f>
        <v>0</v>
      </c>
      <c r="G23" s="68">
        <f>SUM(G18:G22)</f>
        <v>0</v>
      </c>
      <c r="H23" s="68">
        <f>SUM(H18:H22)</f>
        <v>0</v>
      </c>
      <c r="I23" s="69">
        <f>SUM(I18:I22)</f>
        <v>0</v>
      </c>
      <c r="J23" s="4"/>
      <c r="K23" s="4"/>
      <c r="L23" s="3555"/>
      <c r="M23" s="4">
        <f>+M24-1</f>
        <v>2020</v>
      </c>
      <c r="N23" s="4">
        <v>120</v>
      </c>
      <c r="O23" s="4" t="s">
        <v>68</v>
      </c>
      <c r="P23" s="3558" t="s">
        <v>67</v>
      </c>
      <c r="Q23" s="3558" t="s">
        <v>67</v>
      </c>
      <c r="R23" s="3555"/>
      <c r="S23" s="3556">
        <v>0</v>
      </c>
      <c r="T23" s="3555"/>
      <c r="U23" s="3557">
        <f t="shared" si="0"/>
        <v>0</v>
      </c>
      <c r="V23" s="3555"/>
      <c r="W23" s="3555"/>
      <c r="X23" s="3555"/>
      <c r="Y23" s="3555"/>
      <c r="Z23" s="3555"/>
      <c r="AA23" s="3555"/>
      <c r="AB23" s="3555"/>
      <c r="AC23" s="3555"/>
      <c r="AD23" s="3559"/>
      <c r="AE23" s="3555"/>
      <c r="AF23" s="3555"/>
      <c r="AG23" s="3555"/>
      <c r="AH23" s="3555"/>
      <c r="AI23" s="63"/>
      <c r="AJ23" s="63"/>
      <c r="AK23" s="63"/>
      <c r="AL23" s="63"/>
      <c r="AM23" s="63"/>
    </row>
    <row r="24" spans="1:39" s="64" customFormat="1" ht="19">
      <c r="A24" s="58"/>
      <c r="B24" s="53"/>
      <c r="C24" s="54" t="s">
        <v>553</v>
      </c>
      <c r="D24" s="71"/>
      <c r="E24" s="72"/>
      <c r="F24" s="72"/>
      <c r="G24" s="72"/>
      <c r="H24" s="72"/>
      <c r="I24" s="73"/>
      <c r="J24" s="4"/>
      <c r="K24" s="4"/>
      <c r="L24" s="3555"/>
      <c r="M24" s="4">
        <f>H4+1</f>
        <v>2021</v>
      </c>
      <c r="N24" s="4">
        <v>150</v>
      </c>
      <c r="O24" s="4" t="s">
        <v>70</v>
      </c>
      <c r="P24" s="3558" t="s">
        <v>69</v>
      </c>
      <c r="Q24" s="3558" t="s">
        <v>69</v>
      </c>
      <c r="R24" s="3555"/>
      <c r="S24" s="3556">
        <v>0</v>
      </c>
      <c r="T24" s="3555"/>
      <c r="U24" s="3557">
        <f>U33</f>
        <v>0</v>
      </c>
      <c r="V24" s="3555"/>
      <c r="W24" s="3555"/>
      <c r="X24" s="3555"/>
      <c r="Y24" s="3555"/>
      <c r="Z24" s="3555"/>
      <c r="AA24" s="3555"/>
      <c r="AB24" s="3555"/>
      <c r="AC24" s="3555"/>
      <c r="AD24" s="3559"/>
      <c r="AE24" s="3555"/>
      <c r="AF24" s="3555"/>
      <c r="AG24" s="3555"/>
      <c r="AH24" s="3555"/>
      <c r="AI24" s="63"/>
      <c r="AJ24" s="63"/>
      <c r="AK24" s="63"/>
      <c r="AL24" s="63"/>
      <c r="AM24" s="63"/>
    </row>
    <row r="25" spans="1:39" s="64" customFormat="1" ht="19">
      <c r="A25" s="58">
        <v>110205</v>
      </c>
      <c r="B25" s="59"/>
      <c r="C25" s="47"/>
      <c r="D25" s="60" t="s">
        <v>554</v>
      </c>
      <c r="E25" s="61">
        <f>Fortalezas!D12</f>
        <v>0</v>
      </c>
      <c r="F25" s="61">
        <f>Fortalezas!E12</f>
        <v>0</v>
      </c>
      <c r="G25" s="61">
        <f>Fortalezas!F12</f>
        <v>0</v>
      </c>
      <c r="H25" s="61">
        <f>Fortalezas!G12</f>
        <v>0</v>
      </c>
      <c r="I25" s="62">
        <f>Fortalezas!H12</f>
        <v>0</v>
      </c>
      <c r="J25" s="4"/>
      <c r="K25" s="4"/>
      <c r="L25" s="3555"/>
      <c r="M25" s="4"/>
      <c r="N25" s="4">
        <v>180</v>
      </c>
      <c r="O25" s="4" t="s">
        <v>72</v>
      </c>
      <c r="P25" s="3558" t="s">
        <v>71</v>
      </c>
      <c r="Q25" s="3558" t="s">
        <v>71</v>
      </c>
      <c r="R25" s="3555"/>
      <c r="S25" s="3556">
        <v>0</v>
      </c>
      <c r="T25" s="3555"/>
      <c r="U25" s="3557">
        <f t="shared" ref="U25:U33" si="1">SUM(E25:I25)</f>
        <v>0</v>
      </c>
      <c r="V25" s="3555"/>
      <c r="W25" s="3555"/>
      <c r="X25" s="3555"/>
      <c r="Y25" s="3555"/>
      <c r="Z25" s="3555"/>
      <c r="AA25" s="3555"/>
      <c r="AB25" s="3555"/>
      <c r="AC25" s="3555"/>
      <c r="AD25" s="3559"/>
      <c r="AE25" s="3555"/>
      <c r="AF25" s="3555"/>
      <c r="AG25" s="3555"/>
      <c r="AH25" s="3555"/>
      <c r="AI25" s="63"/>
      <c r="AJ25" s="63"/>
      <c r="AK25" s="63"/>
      <c r="AL25" s="63"/>
      <c r="AM25" s="63"/>
    </row>
    <row r="26" spans="1:39" s="64" customFormat="1" ht="19">
      <c r="A26" s="58">
        <v>110210</v>
      </c>
      <c r="B26" s="59"/>
      <c r="C26" s="47"/>
      <c r="D26" s="65" t="s">
        <v>555</v>
      </c>
      <c r="E26" s="61">
        <f>Fortalezas!D13</f>
        <v>0</v>
      </c>
      <c r="F26" s="61">
        <f>Fortalezas!E13</f>
        <v>0</v>
      </c>
      <c r="G26" s="61">
        <f>Fortalezas!F13</f>
        <v>0</v>
      </c>
      <c r="H26" s="61">
        <f>Fortalezas!G13</f>
        <v>0</v>
      </c>
      <c r="I26" s="62">
        <f>Fortalezas!H13</f>
        <v>0</v>
      </c>
      <c r="J26" s="4"/>
      <c r="K26" s="4"/>
      <c r="L26" s="3555"/>
      <c r="M26" s="4"/>
      <c r="N26" s="4">
        <v>210</v>
      </c>
      <c r="O26" s="4" t="s">
        <v>74</v>
      </c>
      <c r="P26" s="3558" t="s">
        <v>73</v>
      </c>
      <c r="Q26" s="3558" t="s">
        <v>73</v>
      </c>
      <c r="R26" s="3555"/>
      <c r="S26" s="3556">
        <v>0</v>
      </c>
      <c r="T26" s="3555"/>
      <c r="U26" s="3557">
        <f t="shared" si="1"/>
        <v>0</v>
      </c>
      <c r="V26" s="3555"/>
      <c r="W26" s="3555"/>
      <c r="X26" s="3555"/>
      <c r="Y26" s="3555"/>
      <c r="Z26" s="3555"/>
      <c r="AA26" s="3555"/>
      <c r="AB26" s="3555"/>
      <c r="AC26" s="3555"/>
      <c r="AD26" s="3559"/>
      <c r="AE26" s="3555"/>
      <c r="AF26" s="3555"/>
      <c r="AG26" s="3555"/>
      <c r="AH26" s="3555"/>
      <c r="AI26" s="63"/>
      <c r="AJ26" s="63"/>
      <c r="AK26" s="63"/>
      <c r="AL26" s="63"/>
      <c r="AM26" s="63"/>
    </row>
    <row r="27" spans="1:39" s="64" customFormat="1" ht="19">
      <c r="A27" s="58">
        <v>110215</v>
      </c>
      <c r="B27" s="59"/>
      <c r="C27" s="47"/>
      <c r="D27" s="65" t="s">
        <v>556</v>
      </c>
      <c r="E27" s="61">
        <f>Fortalezas!D14</f>
        <v>0</v>
      </c>
      <c r="F27" s="61">
        <f>Fortalezas!E14</f>
        <v>0</v>
      </c>
      <c r="G27" s="61">
        <f>Fortalezas!F14</f>
        <v>0</v>
      </c>
      <c r="H27" s="61">
        <f>Fortalezas!G14</f>
        <v>0</v>
      </c>
      <c r="I27" s="62">
        <f>Fortalezas!H14</f>
        <v>0</v>
      </c>
      <c r="J27" s="4"/>
      <c r="K27" s="4"/>
      <c r="L27" s="3555"/>
      <c r="M27" s="4"/>
      <c r="N27" s="4">
        <v>240</v>
      </c>
      <c r="O27" s="4" t="s">
        <v>77</v>
      </c>
      <c r="P27" s="3558" t="s">
        <v>76</v>
      </c>
      <c r="Q27" s="3558" t="s">
        <v>76</v>
      </c>
      <c r="R27" s="3555"/>
      <c r="S27" s="3556">
        <v>0</v>
      </c>
      <c r="T27" s="3555"/>
      <c r="U27" s="3557">
        <f t="shared" si="1"/>
        <v>0</v>
      </c>
      <c r="V27" s="3555"/>
      <c r="W27" s="3555"/>
      <c r="X27" s="3555"/>
      <c r="Y27" s="3555"/>
      <c r="Z27" s="3555"/>
      <c r="AA27" s="3555"/>
      <c r="AB27" s="3555"/>
      <c r="AC27" s="3555"/>
      <c r="AD27" s="3559"/>
      <c r="AE27" s="3555"/>
      <c r="AF27" s="3555"/>
      <c r="AG27" s="3555"/>
      <c r="AH27" s="3555"/>
      <c r="AI27" s="63"/>
      <c r="AJ27" s="63"/>
      <c r="AK27" s="63"/>
      <c r="AL27" s="63"/>
      <c r="AM27" s="63"/>
    </row>
    <row r="28" spans="1:39" s="64" customFormat="1" ht="19">
      <c r="A28" s="58">
        <v>110225</v>
      </c>
      <c r="B28" s="59"/>
      <c r="C28" s="47"/>
      <c r="D28" s="65" t="s">
        <v>557</v>
      </c>
      <c r="E28" s="61">
        <f>Fortalezas!D15</f>
        <v>0</v>
      </c>
      <c r="F28" s="61">
        <f>Fortalezas!E15</f>
        <v>0</v>
      </c>
      <c r="G28" s="61">
        <f>Fortalezas!F15</f>
        <v>0</v>
      </c>
      <c r="H28" s="61">
        <f>Fortalezas!G15</f>
        <v>0</v>
      </c>
      <c r="I28" s="62">
        <f>Fortalezas!H15</f>
        <v>0</v>
      </c>
      <c r="J28" s="4"/>
      <c r="K28" s="4"/>
      <c r="L28" s="3555"/>
      <c r="M28" s="4"/>
      <c r="N28" s="4">
        <v>270</v>
      </c>
      <c r="O28" s="4" t="s">
        <v>79</v>
      </c>
      <c r="P28" s="3558" t="s">
        <v>78</v>
      </c>
      <c r="Q28" s="3558" t="s">
        <v>78</v>
      </c>
      <c r="R28" s="3555"/>
      <c r="S28" s="3556">
        <v>0</v>
      </c>
      <c r="T28" s="3555"/>
      <c r="U28" s="3557">
        <f t="shared" si="1"/>
        <v>0</v>
      </c>
      <c r="V28" s="3555"/>
      <c r="W28" s="3555"/>
      <c r="X28" s="3555"/>
      <c r="Y28" s="3555"/>
      <c r="Z28" s="3555"/>
      <c r="AA28" s="3555"/>
      <c r="AB28" s="3555"/>
      <c r="AC28" s="3555"/>
      <c r="AD28" s="3559"/>
      <c r="AE28" s="3555"/>
      <c r="AF28" s="3555"/>
      <c r="AG28" s="3555"/>
      <c r="AH28" s="3555"/>
      <c r="AI28" s="63"/>
      <c r="AJ28" s="63"/>
      <c r="AK28" s="63"/>
      <c r="AL28" s="63"/>
      <c r="AM28" s="63"/>
    </row>
    <row r="29" spans="1:39" s="64" customFormat="1" ht="19">
      <c r="A29" s="58">
        <v>110235</v>
      </c>
      <c r="B29" s="59"/>
      <c r="C29" s="47"/>
      <c r="D29" s="65" t="s">
        <v>558</v>
      </c>
      <c r="E29" s="61">
        <f>Fortalezas!D16</f>
        <v>0</v>
      </c>
      <c r="F29" s="61">
        <f>Fortalezas!E16</f>
        <v>0</v>
      </c>
      <c r="G29" s="61">
        <f>Fortalezas!F16</f>
        <v>0</v>
      </c>
      <c r="H29" s="61">
        <f>Fortalezas!G16</f>
        <v>0</v>
      </c>
      <c r="I29" s="62">
        <f>Fortalezas!H16</f>
        <v>0</v>
      </c>
      <c r="J29" s="4"/>
      <c r="K29" s="4"/>
      <c r="L29" s="3555"/>
      <c r="M29" s="4"/>
      <c r="N29" s="4">
        <v>300</v>
      </c>
      <c r="O29" s="4" t="s">
        <v>81</v>
      </c>
      <c r="P29" s="3558" t="s">
        <v>80</v>
      </c>
      <c r="Q29" s="3558" t="s">
        <v>80</v>
      </c>
      <c r="R29" s="3555"/>
      <c r="S29" s="3556">
        <v>0</v>
      </c>
      <c r="T29" s="3555"/>
      <c r="U29" s="3557">
        <f t="shared" si="1"/>
        <v>0</v>
      </c>
      <c r="V29" s="3555"/>
      <c r="W29" s="3555"/>
      <c r="X29" s="3555"/>
      <c r="Y29" s="3555"/>
      <c r="Z29" s="3555"/>
      <c r="AA29" s="3555"/>
      <c r="AB29" s="3555"/>
      <c r="AC29" s="3555"/>
      <c r="AD29" s="3559"/>
      <c r="AE29" s="3555"/>
      <c r="AF29" s="3555"/>
      <c r="AG29" s="3555"/>
      <c r="AH29" s="3555"/>
      <c r="AI29" s="63"/>
      <c r="AJ29" s="63"/>
      <c r="AK29" s="63"/>
      <c r="AL29" s="63"/>
      <c r="AM29" s="63"/>
    </row>
    <row r="30" spans="1:39" s="64" customFormat="1" ht="19">
      <c r="A30" s="58">
        <v>110255</v>
      </c>
      <c r="B30" s="59"/>
      <c r="C30" s="47"/>
      <c r="D30" s="65" t="s">
        <v>559</v>
      </c>
      <c r="E30" s="61">
        <f>Fortalezas!D17</f>
        <v>0</v>
      </c>
      <c r="F30" s="61">
        <f>Fortalezas!E17</f>
        <v>0</v>
      </c>
      <c r="G30" s="61">
        <f>Fortalezas!F17</f>
        <v>0</v>
      </c>
      <c r="H30" s="61">
        <f>Fortalezas!G17</f>
        <v>0</v>
      </c>
      <c r="I30" s="62">
        <f>Fortalezas!H17</f>
        <v>0</v>
      </c>
      <c r="J30" s="4"/>
      <c r="K30" s="4"/>
      <c r="L30" s="3555"/>
      <c r="M30" s="4"/>
      <c r="N30" s="4">
        <v>330</v>
      </c>
      <c r="O30" s="4" t="s">
        <v>83</v>
      </c>
      <c r="P30" s="3558" t="s">
        <v>82</v>
      </c>
      <c r="Q30" s="3558" t="s">
        <v>82</v>
      </c>
      <c r="R30" s="3555"/>
      <c r="S30" s="3556">
        <v>0</v>
      </c>
      <c r="T30" s="3555"/>
      <c r="U30" s="3557">
        <f t="shared" si="1"/>
        <v>0</v>
      </c>
      <c r="V30" s="3555"/>
      <c r="W30" s="3555"/>
      <c r="X30" s="3555"/>
      <c r="Y30" s="3555"/>
      <c r="Z30" s="3555"/>
      <c r="AA30" s="3555"/>
      <c r="AB30" s="3555"/>
      <c r="AC30" s="3555"/>
      <c r="AD30" s="3559"/>
      <c r="AE30" s="3555"/>
      <c r="AF30" s="3555"/>
      <c r="AG30" s="3555"/>
      <c r="AH30" s="3555"/>
      <c r="AI30" s="63"/>
      <c r="AJ30" s="63"/>
      <c r="AK30" s="63"/>
      <c r="AL30" s="63"/>
      <c r="AM30" s="63"/>
    </row>
    <row r="31" spans="1:39" s="64" customFormat="1" ht="19">
      <c r="A31" s="58">
        <v>129700</v>
      </c>
      <c r="B31" s="59"/>
      <c r="C31" s="47"/>
      <c r="D31" s="65" t="s">
        <v>560</v>
      </c>
      <c r="E31" s="61">
        <f>Fortalezas!D18</f>
        <v>0</v>
      </c>
      <c r="F31" s="61">
        <f>Fortalezas!E18</f>
        <v>0</v>
      </c>
      <c r="G31" s="61">
        <f>Fortalezas!F18</f>
        <v>0</v>
      </c>
      <c r="H31" s="61">
        <f>Fortalezas!G18</f>
        <v>0</v>
      </c>
      <c r="I31" s="62">
        <f>Fortalezas!H18</f>
        <v>0</v>
      </c>
      <c r="J31" s="4"/>
      <c r="K31" s="4"/>
      <c r="L31" s="3555"/>
      <c r="M31" s="4"/>
      <c r="N31" s="4"/>
      <c r="O31" s="4" t="s">
        <v>85</v>
      </c>
      <c r="P31" s="3558" t="s">
        <v>84</v>
      </c>
      <c r="Q31" s="3555"/>
      <c r="R31" s="3555"/>
      <c r="S31" s="3556">
        <v>0</v>
      </c>
      <c r="T31" s="3555"/>
      <c r="U31" s="3557">
        <f t="shared" si="1"/>
        <v>0</v>
      </c>
      <c r="V31" s="3555"/>
      <c r="W31" s="3555"/>
      <c r="X31" s="3555"/>
      <c r="Y31" s="3555"/>
      <c r="Z31" s="3555"/>
      <c r="AA31" s="3555"/>
      <c r="AB31" s="3555"/>
      <c r="AC31" s="3555"/>
      <c r="AD31" s="3559"/>
      <c r="AE31" s="3555"/>
      <c r="AF31" s="3555"/>
      <c r="AG31" s="3555"/>
      <c r="AH31" s="3555"/>
      <c r="AI31" s="63"/>
      <c r="AJ31" s="63"/>
      <c r="AK31" s="63"/>
      <c r="AL31" s="63"/>
      <c r="AM31" s="63"/>
    </row>
    <row r="32" spans="1:39" s="64" customFormat="1" ht="19">
      <c r="A32" s="58">
        <v>110260</v>
      </c>
      <c r="B32" s="59"/>
      <c r="C32" s="47"/>
      <c r="D32" s="65" t="s">
        <v>561</v>
      </c>
      <c r="E32" s="61">
        <f>Fortalezas!D19</f>
        <v>0</v>
      </c>
      <c r="F32" s="61">
        <f>Fortalezas!E19</f>
        <v>0</v>
      </c>
      <c r="G32" s="61">
        <f>Fortalezas!F19</f>
        <v>0</v>
      </c>
      <c r="H32" s="61">
        <f>Fortalezas!G19</f>
        <v>0</v>
      </c>
      <c r="I32" s="62">
        <f>Fortalezas!H19</f>
        <v>0</v>
      </c>
      <c r="J32" s="4"/>
      <c r="K32" s="4"/>
      <c r="L32" s="3555"/>
      <c r="M32" s="4"/>
      <c r="N32" s="4"/>
      <c r="O32" s="4"/>
      <c r="P32" s="3558" t="s">
        <v>562</v>
      </c>
      <c r="Q32" s="3555"/>
      <c r="R32" s="3555"/>
      <c r="S32" s="3556">
        <v>0</v>
      </c>
      <c r="T32" s="3555"/>
      <c r="U32" s="3557">
        <f t="shared" si="1"/>
        <v>0</v>
      </c>
      <c r="V32" s="3555"/>
      <c r="W32" s="3555"/>
      <c r="X32" s="3555"/>
      <c r="Y32" s="3555"/>
      <c r="Z32" s="3555"/>
      <c r="AA32" s="3555"/>
      <c r="AB32" s="3555"/>
      <c r="AC32" s="3555"/>
      <c r="AD32" s="3559"/>
      <c r="AE32" s="3555"/>
      <c r="AF32" s="3555"/>
      <c r="AG32" s="3555"/>
      <c r="AH32" s="3555"/>
      <c r="AI32" s="63"/>
      <c r="AJ32" s="63"/>
      <c r="AK32" s="63"/>
      <c r="AL32" s="63"/>
      <c r="AM32" s="63"/>
    </row>
    <row r="33" spans="1:39" s="64" customFormat="1" ht="19">
      <c r="A33" s="58">
        <v>1102</v>
      </c>
      <c r="B33" s="59"/>
      <c r="C33" s="66" t="s">
        <v>563</v>
      </c>
      <c r="D33" s="67"/>
      <c r="E33" s="68">
        <f>SUM(E25:E32)</f>
        <v>0</v>
      </c>
      <c r="F33" s="68">
        <f>SUM(F25:F32)</f>
        <v>0</v>
      </c>
      <c r="G33" s="68">
        <f>SUM(G25:G32)</f>
        <v>0</v>
      </c>
      <c r="H33" s="68">
        <f>SUM(H25:H32)</f>
        <v>0</v>
      </c>
      <c r="I33" s="69">
        <f>SUM(I25:I32)</f>
        <v>0</v>
      </c>
      <c r="J33" s="4"/>
      <c r="K33" s="4"/>
      <c r="L33" s="3555"/>
      <c r="M33" s="4"/>
      <c r="N33" s="4"/>
      <c r="O33" s="4"/>
      <c r="P33" s="3558" t="s">
        <v>564</v>
      </c>
      <c r="Q33" s="3555"/>
      <c r="R33" s="3555"/>
      <c r="S33" s="3556">
        <v>0</v>
      </c>
      <c r="T33" s="3555"/>
      <c r="U33" s="3557">
        <f t="shared" si="1"/>
        <v>0</v>
      </c>
      <c r="V33" s="3555"/>
      <c r="W33" s="3555"/>
      <c r="X33" s="3555"/>
      <c r="Y33" s="3555"/>
      <c r="Z33" s="3555"/>
      <c r="AA33" s="3555"/>
      <c r="AB33" s="3555"/>
      <c r="AC33" s="3555"/>
      <c r="AD33" s="3559"/>
      <c r="AE33" s="3555"/>
      <c r="AF33" s="3555"/>
      <c r="AG33" s="3555"/>
      <c r="AH33" s="3555"/>
      <c r="AI33" s="63"/>
      <c r="AJ33" s="63"/>
      <c r="AK33" s="63"/>
      <c r="AL33" s="63"/>
      <c r="AM33" s="63"/>
    </row>
    <row r="34" spans="1:39" s="64" customFormat="1" ht="19">
      <c r="A34" s="58"/>
      <c r="B34" s="53"/>
      <c r="C34" s="54" t="s">
        <v>565</v>
      </c>
      <c r="D34" s="71"/>
      <c r="E34" s="72"/>
      <c r="F34" s="72"/>
      <c r="G34" s="72"/>
      <c r="H34" s="72"/>
      <c r="I34" s="73"/>
      <c r="J34" s="4"/>
      <c r="K34" s="4"/>
      <c r="L34" s="3555"/>
      <c r="M34" s="4"/>
      <c r="N34" s="4"/>
      <c r="O34" s="4"/>
      <c r="P34" s="3558" t="s">
        <v>566</v>
      </c>
      <c r="Q34" s="3555"/>
      <c r="R34" s="3555"/>
      <c r="S34" s="3556">
        <v>0</v>
      </c>
      <c r="T34" s="3555"/>
      <c r="U34" s="3557">
        <f>U40</f>
        <v>0</v>
      </c>
      <c r="V34" s="3555"/>
      <c r="W34" s="3555"/>
      <c r="X34" s="3555"/>
      <c r="Y34" s="3555"/>
      <c r="Z34" s="3555"/>
      <c r="AA34" s="3555"/>
      <c r="AB34" s="3555"/>
      <c r="AC34" s="3555"/>
      <c r="AD34" s="3559"/>
      <c r="AE34" s="3555"/>
      <c r="AF34" s="3555"/>
      <c r="AG34" s="3555"/>
      <c r="AH34" s="3555"/>
      <c r="AI34" s="63"/>
      <c r="AJ34" s="63"/>
      <c r="AK34" s="63"/>
      <c r="AL34" s="63"/>
      <c r="AM34" s="63"/>
    </row>
    <row r="35" spans="1:39" s="64" customFormat="1" ht="19">
      <c r="A35" s="58">
        <v>110305</v>
      </c>
      <c r="B35" s="59"/>
      <c r="C35" s="47"/>
      <c r="D35" s="60" t="s">
        <v>567</v>
      </c>
      <c r="E35" s="61">
        <f>Fortalezas!D21</f>
        <v>0</v>
      </c>
      <c r="F35" s="61">
        <f>Fortalezas!E21</f>
        <v>0</v>
      </c>
      <c r="G35" s="61">
        <f>Fortalezas!F21</f>
        <v>0</v>
      </c>
      <c r="H35" s="61">
        <f>Fortalezas!G21</f>
        <v>0</v>
      </c>
      <c r="I35" s="62">
        <f>Fortalezas!H21</f>
        <v>0</v>
      </c>
      <c r="J35" s="4"/>
      <c r="K35" s="4"/>
      <c r="L35" s="3555"/>
      <c r="M35" s="4"/>
      <c r="N35" s="4"/>
      <c r="O35" s="4"/>
      <c r="P35" s="3558" t="s">
        <v>568</v>
      </c>
      <c r="Q35" s="3555"/>
      <c r="R35" s="3555"/>
      <c r="S35" s="3556">
        <v>0</v>
      </c>
      <c r="T35" s="3555"/>
      <c r="U35" s="3557">
        <f t="shared" ref="U35:U40" si="2">SUM(E35:I35)</f>
        <v>0</v>
      </c>
      <c r="V35" s="3555"/>
      <c r="W35" s="3555"/>
      <c r="X35" s="3555"/>
      <c r="Y35" s="3555"/>
      <c r="Z35" s="3555"/>
      <c r="AA35" s="3555"/>
      <c r="AB35" s="3555"/>
      <c r="AC35" s="3555"/>
      <c r="AD35" s="3559"/>
      <c r="AE35" s="3555"/>
      <c r="AF35" s="3555"/>
      <c r="AG35" s="3555"/>
      <c r="AH35" s="3555"/>
      <c r="AI35" s="63"/>
      <c r="AJ35" s="63"/>
      <c r="AK35" s="63"/>
      <c r="AL35" s="63"/>
      <c r="AM35" s="63"/>
    </row>
    <row r="36" spans="1:39" s="64" customFormat="1" ht="19">
      <c r="A36" s="58">
        <v>130510</v>
      </c>
      <c r="B36" s="59"/>
      <c r="C36" s="47"/>
      <c r="D36" s="65" t="s">
        <v>569</v>
      </c>
      <c r="E36" s="61">
        <f>Fortalezas!D22</f>
        <v>0</v>
      </c>
      <c r="F36" s="61">
        <f>Fortalezas!E22</f>
        <v>0</v>
      </c>
      <c r="G36" s="61">
        <f>Fortalezas!F22</f>
        <v>0</v>
      </c>
      <c r="H36" s="61">
        <f>Fortalezas!G22</f>
        <v>0</v>
      </c>
      <c r="I36" s="62">
        <f>Fortalezas!H22</f>
        <v>0</v>
      </c>
      <c r="J36" s="4"/>
      <c r="K36" s="4"/>
      <c r="L36" s="3555"/>
      <c r="M36" s="4"/>
      <c r="N36" s="4"/>
      <c r="O36" s="4"/>
      <c r="P36" s="3558" t="s">
        <v>570</v>
      </c>
      <c r="Q36" s="3555"/>
      <c r="R36" s="3555"/>
      <c r="S36" s="3556">
        <v>0</v>
      </c>
      <c r="T36" s="3555"/>
      <c r="U36" s="3557">
        <f t="shared" si="2"/>
        <v>0</v>
      </c>
      <c r="V36" s="3555"/>
      <c r="W36" s="3555"/>
      <c r="X36" s="3555"/>
      <c r="Y36" s="3555"/>
      <c r="Z36" s="3555"/>
      <c r="AA36" s="3555"/>
      <c r="AB36" s="3555"/>
      <c r="AC36" s="3555"/>
      <c r="AD36" s="3559"/>
      <c r="AE36" s="3555"/>
      <c r="AF36" s="3555"/>
      <c r="AG36" s="3555"/>
      <c r="AH36" s="3555"/>
      <c r="AI36" s="63"/>
      <c r="AJ36" s="63"/>
      <c r="AK36" s="63"/>
      <c r="AL36" s="63"/>
      <c r="AM36" s="63"/>
    </row>
    <row r="37" spans="1:39" s="64" customFormat="1" ht="19">
      <c r="A37" s="58">
        <v>131000</v>
      </c>
      <c r="B37" s="59"/>
      <c r="C37" s="47"/>
      <c r="D37" s="65" t="s">
        <v>571</v>
      </c>
      <c r="E37" s="61">
        <f>Fortalezas!D23</f>
        <v>0</v>
      </c>
      <c r="F37" s="61">
        <f>Fortalezas!E23</f>
        <v>0</v>
      </c>
      <c r="G37" s="61">
        <f>Fortalezas!F23</f>
        <v>0</v>
      </c>
      <c r="H37" s="61">
        <f>Fortalezas!G23</f>
        <v>0</v>
      </c>
      <c r="I37" s="62">
        <f>Fortalezas!H23</f>
        <v>0</v>
      </c>
      <c r="J37" s="4"/>
      <c r="K37" s="4"/>
      <c r="L37" s="3555"/>
      <c r="M37" s="4"/>
      <c r="N37" s="4"/>
      <c r="O37" s="4"/>
      <c r="P37" s="3558" t="s">
        <v>572</v>
      </c>
      <c r="Q37" s="3555"/>
      <c r="R37" s="3555"/>
      <c r="S37" s="3556">
        <v>0</v>
      </c>
      <c r="T37" s="3555"/>
      <c r="U37" s="3557">
        <f t="shared" si="2"/>
        <v>0</v>
      </c>
      <c r="V37" s="3555"/>
      <c r="W37" s="3555"/>
      <c r="X37" s="3555"/>
      <c r="Y37" s="3555"/>
      <c r="Z37" s="3555"/>
      <c r="AA37" s="3555"/>
      <c r="AB37" s="3555"/>
      <c r="AC37" s="3555"/>
      <c r="AD37" s="3559"/>
      <c r="AE37" s="3555"/>
      <c r="AF37" s="3555"/>
      <c r="AG37" s="3555"/>
      <c r="AH37" s="3555"/>
      <c r="AI37" s="63"/>
      <c r="AJ37" s="63"/>
      <c r="AK37" s="63"/>
      <c r="AL37" s="63"/>
      <c r="AM37" s="63"/>
    </row>
    <row r="38" spans="1:39" s="64" customFormat="1" ht="19">
      <c r="A38" s="58">
        <v>110390</v>
      </c>
      <c r="B38" s="59"/>
      <c r="C38" s="47"/>
      <c r="D38" s="65" t="s">
        <v>573</v>
      </c>
      <c r="E38" s="61">
        <f>Fortalezas!D24</f>
        <v>0</v>
      </c>
      <c r="F38" s="61">
        <f>Fortalezas!E24</f>
        <v>0</v>
      </c>
      <c r="G38" s="61">
        <f>Fortalezas!F24</f>
        <v>0</v>
      </c>
      <c r="H38" s="61">
        <f>Fortalezas!G24</f>
        <v>0</v>
      </c>
      <c r="I38" s="62">
        <f>Fortalezas!H24</f>
        <v>0</v>
      </c>
      <c r="J38" s="4"/>
      <c r="K38" s="4"/>
      <c r="L38" s="3555"/>
      <c r="M38" s="4"/>
      <c r="N38" s="4"/>
      <c r="O38" s="4"/>
      <c r="P38" s="3558"/>
      <c r="Q38" s="3555"/>
      <c r="R38" s="3555"/>
      <c r="S38" s="3556">
        <v>0</v>
      </c>
      <c r="T38" s="3555"/>
      <c r="U38" s="3557">
        <f t="shared" si="2"/>
        <v>0</v>
      </c>
      <c r="V38" s="3555"/>
      <c r="W38" s="3555"/>
      <c r="X38" s="3555"/>
      <c r="Y38" s="3555"/>
      <c r="Z38" s="3555"/>
      <c r="AA38" s="3555"/>
      <c r="AB38" s="3555"/>
      <c r="AC38" s="3555"/>
      <c r="AD38" s="3559"/>
      <c r="AE38" s="3555"/>
      <c r="AF38" s="3555"/>
      <c r="AG38" s="3555"/>
      <c r="AH38" s="3555"/>
      <c r="AI38" s="63"/>
      <c r="AJ38" s="63"/>
      <c r="AK38" s="63"/>
      <c r="AL38" s="63"/>
      <c r="AM38" s="63"/>
    </row>
    <row r="39" spans="1:39" s="64" customFormat="1" ht="19">
      <c r="A39" s="58">
        <v>110395</v>
      </c>
      <c r="B39" s="59"/>
      <c r="C39" s="47"/>
      <c r="D39" s="74" t="s">
        <v>574</v>
      </c>
      <c r="E39" s="61">
        <f>Fortalezas!D25</f>
        <v>0</v>
      </c>
      <c r="F39" s="61">
        <f>Fortalezas!E25</f>
        <v>0</v>
      </c>
      <c r="G39" s="61">
        <f>Fortalezas!F25</f>
        <v>0</v>
      </c>
      <c r="H39" s="61">
        <f>Fortalezas!G25</f>
        <v>0</v>
      </c>
      <c r="I39" s="62">
        <f>Fortalezas!H25</f>
        <v>0</v>
      </c>
      <c r="J39" s="4"/>
      <c r="K39" s="4"/>
      <c r="L39" s="3555"/>
      <c r="M39" s="4"/>
      <c r="N39" s="4"/>
      <c r="O39" s="4"/>
      <c r="P39" s="3558"/>
      <c r="Q39" s="3555"/>
      <c r="R39" s="3555"/>
      <c r="S39" s="3556">
        <v>0</v>
      </c>
      <c r="T39" s="3555"/>
      <c r="U39" s="3557">
        <f t="shared" si="2"/>
        <v>0</v>
      </c>
      <c r="V39" s="3555"/>
      <c r="W39" s="3555"/>
      <c r="X39" s="3555"/>
      <c r="Y39" s="3555"/>
      <c r="Z39" s="3555"/>
      <c r="AA39" s="3555"/>
      <c r="AB39" s="3555"/>
      <c r="AC39" s="3555"/>
      <c r="AD39" s="3559"/>
      <c r="AE39" s="3555"/>
      <c r="AF39" s="3555"/>
      <c r="AG39" s="3555"/>
      <c r="AH39" s="3555"/>
      <c r="AI39" s="63"/>
      <c r="AJ39" s="63"/>
      <c r="AK39" s="63"/>
      <c r="AL39" s="63"/>
      <c r="AM39" s="63"/>
    </row>
    <row r="40" spans="1:39" s="64" customFormat="1" ht="19">
      <c r="A40" s="58">
        <v>1103</v>
      </c>
      <c r="B40" s="59"/>
      <c r="C40" s="66" t="s">
        <v>575</v>
      </c>
      <c r="D40" s="67"/>
      <c r="E40" s="68">
        <f>SUM(E35:E38)-E39</f>
        <v>0</v>
      </c>
      <c r="F40" s="68">
        <f>SUM(F35:F38)-F39</f>
        <v>0</v>
      </c>
      <c r="G40" s="68">
        <f>SUM(G35:G38)-G39</f>
        <v>0</v>
      </c>
      <c r="H40" s="68">
        <f>SUM(H35:H38)-H39</f>
        <v>0</v>
      </c>
      <c r="I40" s="69">
        <f>SUM(I35:I38)-I39</f>
        <v>0</v>
      </c>
      <c r="J40" s="4"/>
      <c r="K40" s="4"/>
      <c r="L40" s="3555"/>
      <c r="M40" s="4"/>
      <c r="N40" s="4"/>
      <c r="O40" s="4"/>
      <c r="P40" s="3558"/>
      <c r="Q40" s="3555"/>
      <c r="R40" s="3555"/>
      <c r="S40" s="3556">
        <v>0</v>
      </c>
      <c r="T40" s="3555"/>
      <c r="U40" s="3557">
        <f t="shared" si="2"/>
        <v>0</v>
      </c>
      <c r="V40" s="3555"/>
      <c r="W40" s="3555"/>
      <c r="X40" s="3555"/>
      <c r="Y40" s="3555"/>
      <c r="Z40" s="3555"/>
      <c r="AA40" s="3555"/>
      <c r="AB40" s="3555"/>
      <c r="AC40" s="3555"/>
      <c r="AD40" s="3559"/>
      <c r="AE40" s="3555"/>
      <c r="AF40" s="3555"/>
      <c r="AG40" s="3555"/>
      <c r="AH40" s="3555"/>
      <c r="AI40" s="63"/>
      <c r="AJ40" s="63"/>
      <c r="AK40" s="63"/>
      <c r="AL40" s="63"/>
      <c r="AM40" s="63"/>
    </row>
    <row r="41" spans="1:39" s="64" customFormat="1" ht="19">
      <c r="A41" s="58"/>
      <c r="B41" s="53"/>
      <c r="C41" s="54" t="s">
        <v>576</v>
      </c>
      <c r="D41" s="71"/>
      <c r="E41" s="72"/>
      <c r="F41" s="72"/>
      <c r="G41" s="72"/>
      <c r="H41" s="72"/>
      <c r="I41" s="73"/>
      <c r="J41" s="4"/>
      <c r="K41" s="4"/>
      <c r="L41" s="3555"/>
      <c r="M41" s="4"/>
      <c r="N41" s="4"/>
      <c r="O41" s="4"/>
      <c r="P41" s="3558"/>
      <c r="Q41" s="3555"/>
      <c r="R41" s="3555"/>
      <c r="S41" s="3556">
        <v>0</v>
      </c>
      <c r="T41" s="3555"/>
      <c r="U41" s="3557">
        <f>U56</f>
        <v>0</v>
      </c>
      <c r="V41" s="3555"/>
      <c r="W41" s="3555"/>
      <c r="X41" s="3555"/>
      <c r="Y41" s="3555"/>
      <c r="Z41" s="3555"/>
      <c r="AA41" s="3555"/>
      <c r="AB41" s="3555"/>
      <c r="AC41" s="3555"/>
      <c r="AD41" s="3559"/>
      <c r="AE41" s="3555"/>
      <c r="AF41" s="3555"/>
      <c r="AG41" s="3555"/>
      <c r="AH41" s="3555"/>
      <c r="AI41" s="63"/>
      <c r="AJ41" s="63"/>
      <c r="AK41" s="63"/>
      <c r="AL41" s="63"/>
      <c r="AM41" s="63"/>
    </row>
    <row r="42" spans="1:39" s="64" customFormat="1" ht="19">
      <c r="A42" s="58">
        <v>132000</v>
      </c>
      <c r="B42" s="59"/>
      <c r="C42" s="47"/>
      <c r="D42" s="60" t="s">
        <v>577</v>
      </c>
      <c r="E42" s="61">
        <f>Fortalezas!D27</f>
        <v>0</v>
      </c>
      <c r="F42" s="61">
        <f>Fortalezas!E27</f>
        <v>0</v>
      </c>
      <c r="G42" s="61">
        <f>Fortalezas!F27</f>
        <v>0</v>
      </c>
      <c r="H42" s="61">
        <f>Fortalezas!G27</f>
        <v>0</v>
      </c>
      <c r="I42" s="62">
        <f>Fortalezas!H27</f>
        <v>0</v>
      </c>
      <c r="J42" s="4"/>
      <c r="K42" s="4"/>
      <c r="L42" s="3555"/>
      <c r="M42" s="4"/>
      <c r="N42" s="4"/>
      <c r="O42" s="4"/>
      <c r="P42" s="3558"/>
      <c r="Q42" s="3555"/>
      <c r="R42" s="3555"/>
      <c r="S42" s="3556">
        <v>0</v>
      </c>
      <c r="T42" s="3555"/>
      <c r="U42" s="3557">
        <f t="shared" ref="U42:U56" si="3">SUM(E42:I42)</f>
        <v>0</v>
      </c>
      <c r="V42" s="3555"/>
      <c r="W42" s="3555"/>
      <c r="X42" s="3555"/>
      <c r="Y42" s="3555"/>
      <c r="Z42" s="3555"/>
      <c r="AA42" s="3555"/>
      <c r="AB42" s="3555"/>
      <c r="AC42" s="3555"/>
      <c r="AD42" s="3559"/>
      <c r="AE42" s="3555"/>
      <c r="AF42" s="3555"/>
      <c r="AG42" s="3555"/>
      <c r="AH42" s="3555"/>
      <c r="AI42" s="63"/>
      <c r="AJ42" s="63"/>
      <c r="AK42" s="63"/>
      <c r="AL42" s="63"/>
      <c r="AM42" s="63"/>
    </row>
    <row r="43" spans="1:39" s="64" customFormat="1" ht="19">
      <c r="A43" s="58">
        <v>132500</v>
      </c>
      <c r="B43" s="59"/>
      <c r="C43" s="47"/>
      <c r="D43" s="65" t="s">
        <v>578</v>
      </c>
      <c r="E43" s="75">
        <f>Fortalezas!D28</f>
        <v>0</v>
      </c>
      <c r="F43" s="75">
        <f>Fortalezas!E28</f>
        <v>0</v>
      </c>
      <c r="G43" s="75">
        <f>Fortalezas!F28</f>
        <v>0</v>
      </c>
      <c r="H43" s="75">
        <f>Fortalezas!G28</f>
        <v>0</v>
      </c>
      <c r="I43" s="76">
        <f>Fortalezas!H28</f>
        <v>0</v>
      </c>
      <c r="J43" s="4"/>
      <c r="K43" s="4"/>
      <c r="L43" s="3555"/>
      <c r="M43" s="4"/>
      <c r="N43" s="4"/>
      <c r="O43" s="4"/>
      <c r="P43" s="3558"/>
      <c r="Q43" s="3555"/>
      <c r="R43" s="3555"/>
      <c r="S43" s="3556">
        <v>0</v>
      </c>
      <c r="T43" s="3555"/>
      <c r="U43" s="3557">
        <f t="shared" si="3"/>
        <v>0</v>
      </c>
      <c r="V43" s="3555"/>
      <c r="W43" s="3555"/>
      <c r="X43" s="3555"/>
      <c r="Y43" s="3555"/>
      <c r="Z43" s="3555"/>
      <c r="AA43" s="3555"/>
      <c r="AB43" s="3555"/>
      <c r="AC43" s="3555"/>
      <c r="AD43" s="3559"/>
      <c r="AE43" s="3555"/>
      <c r="AF43" s="3555"/>
      <c r="AG43" s="3555"/>
      <c r="AH43" s="3555"/>
      <c r="AI43" s="63"/>
      <c r="AJ43" s="63"/>
      <c r="AK43" s="63"/>
      <c r="AL43" s="63"/>
      <c r="AM43" s="63"/>
    </row>
    <row r="44" spans="1:39" s="64" customFormat="1" ht="19">
      <c r="A44" s="58">
        <v>133000</v>
      </c>
      <c r="B44" s="59"/>
      <c r="C44" s="47"/>
      <c r="D44" s="65" t="s">
        <v>579</v>
      </c>
      <c r="E44" s="75">
        <f>Fortalezas!D29</f>
        <v>0</v>
      </c>
      <c r="F44" s="75">
        <f>Fortalezas!E29</f>
        <v>0</v>
      </c>
      <c r="G44" s="75">
        <f>Fortalezas!F29</f>
        <v>0</v>
      </c>
      <c r="H44" s="75">
        <f>Fortalezas!G29</f>
        <v>0</v>
      </c>
      <c r="I44" s="76">
        <f>Fortalezas!H29</f>
        <v>0</v>
      </c>
      <c r="J44" s="4"/>
      <c r="K44" s="4"/>
      <c r="L44" s="3555"/>
      <c r="M44" s="4"/>
      <c r="N44" s="4"/>
      <c r="O44" s="4"/>
      <c r="P44" s="3558"/>
      <c r="Q44" s="3555"/>
      <c r="R44" s="3555"/>
      <c r="S44" s="3556">
        <v>0</v>
      </c>
      <c r="T44" s="3555"/>
      <c r="U44" s="3557">
        <f t="shared" si="3"/>
        <v>0</v>
      </c>
      <c r="V44" s="3555"/>
      <c r="W44" s="3555"/>
      <c r="X44" s="3555"/>
      <c r="Y44" s="3555"/>
      <c r="Z44" s="3555"/>
      <c r="AA44" s="3555"/>
      <c r="AB44" s="3555"/>
      <c r="AC44" s="3555"/>
      <c r="AD44" s="3559"/>
      <c r="AE44" s="3555"/>
      <c r="AF44" s="3555"/>
      <c r="AG44" s="3555"/>
      <c r="AH44" s="3555"/>
      <c r="AI44" s="63"/>
      <c r="AJ44" s="63"/>
      <c r="AK44" s="63"/>
      <c r="AL44" s="63"/>
      <c r="AM44" s="63"/>
    </row>
    <row r="45" spans="1:39" s="64" customFormat="1" ht="19">
      <c r="A45" s="58">
        <v>133500</v>
      </c>
      <c r="B45" s="59"/>
      <c r="C45" s="47"/>
      <c r="D45" s="65" t="s">
        <v>580</v>
      </c>
      <c r="E45" s="75">
        <f>Fortalezas!D30</f>
        <v>0</v>
      </c>
      <c r="F45" s="75">
        <f>Fortalezas!E30</f>
        <v>0</v>
      </c>
      <c r="G45" s="75">
        <f>Fortalezas!F30</f>
        <v>0</v>
      </c>
      <c r="H45" s="75">
        <f>Fortalezas!G30</f>
        <v>0</v>
      </c>
      <c r="I45" s="76">
        <f>Fortalezas!H30</f>
        <v>0</v>
      </c>
      <c r="J45" s="4"/>
      <c r="K45" s="4"/>
      <c r="L45" s="3555"/>
      <c r="M45" s="4"/>
      <c r="N45" s="4"/>
      <c r="O45" s="4"/>
      <c r="P45" s="3558"/>
      <c r="Q45" s="3555"/>
      <c r="R45" s="3555"/>
      <c r="S45" s="3556">
        <v>0</v>
      </c>
      <c r="T45" s="3555"/>
      <c r="U45" s="3557">
        <f t="shared" si="3"/>
        <v>0</v>
      </c>
      <c r="V45" s="3555"/>
      <c r="W45" s="3555"/>
      <c r="X45" s="3555"/>
      <c r="Y45" s="3555"/>
      <c r="Z45" s="3555"/>
      <c r="AA45" s="3555"/>
      <c r="AB45" s="3555"/>
      <c r="AC45" s="3555"/>
      <c r="AD45" s="3559"/>
      <c r="AE45" s="3555"/>
      <c r="AF45" s="3555"/>
      <c r="AG45" s="3555"/>
      <c r="AH45" s="3555"/>
      <c r="AI45" s="63"/>
      <c r="AJ45" s="63"/>
      <c r="AK45" s="63"/>
      <c r="AL45" s="63"/>
      <c r="AM45" s="63"/>
    </row>
    <row r="46" spans="1:39" s="64" customFormat="1" ht="19">
      <c r="A46" s="58">
        <v>134000</v>
      </c>
      <c r="B46" s="59"/>
      <c r="C46" s="47"/>
      <c r="D46" s="65" t="s">
        <v>581</v>
      </c>
      <c r="E46" s="75">
        <f>Fortalezas!D31</f>
        <v>0</v>
      </c>
      <c r="F46" s="75">
        <f>Fortalezas!E31</f>
        <v>0</v>
      </c>
      <c r="G46" s="75">
        <f>Fortalezas!F31</f>
        <v>0</v>
      </c>
      <c r="H46" s="75">
        <f>Fortalezas!G31</f>
        <v>0</v>
      </c>
      <c r="I46" s="76">
        <f>Fortalezas!H31</f>
        <v>0</v>
      </c>
      <c r="J46" s="4"/>
      <c r="K46" s="4"/>
      <c r="L46" s="3555"/>
      <c r="M46" s="4"/>
      <c r="N46" s="4"/>
      <c r="O46" s="4"/>
      <c r="P46" s="3558"/>
      <c r="Q46" s="3555"/>
      <c r="R46" s="3555"/>
      <c r="S46" s="3556">
        <v>0</v>
      </c>
      <c r="T46" s="3555"/>
      <c r="U46" s="3557">
        <f t="shared" si="3"/>
        <v>0</v>
      </c>
      <c r="V46" s="3555"/>
      <c r="W46" s="3555"/>
      <c r="X46" s="3555"/>
      <c r="Y46" s="3555"/>
      <c r="Z46" s="3555"/>
      <c r="AA46" s="3555"/>
      <c r="AB46" s="3555"/>
      <c r="AC46" s="3555"/>
      <c r="AD46" s="3559"/>
      <c r="AE46" s="3555"/>
      <c r="AF46" s="3555"/>
      <c r="AG46" s="3555"/>
      <c r="AH46" s="3555"/>
      <c r="AI46" s="63"/>
      <c r="AJ46" s="63"/>
      <c r="AK46" s="63"/>
      <c r="AL46" s="63"/>
      <c r="AM46" s="63"/>
    </row>
    <row r="47" spans="1:39" s="64" customFormat="1" ht="19">
      <c r="A47" s="58">
        <v>134500</v>
      </c>
      <c r="B47" s="59"/>
      <c r="C47" s="47"/>
      <c r="D47" s="65" t="s">
        <v>582</v>
      </c>
      <c r="E47" s="75">
        <f>Fortalezas!D32</f>
        <v>0</v>
      </c>
      <c r="F47" s="75">
        <f>Fortalezas!E32</f>
        <v>0</v>
      </c>
      <c r="G47" s="75">
        <f>Fortalezas!F32</f>
        <v>0</v>
      </c>
      <c r="H47" s="75">
        <f>Fortalezas!G32</f>
        <v>0</v>
      </c>
      <c r="I47" s="76">
        <f>Fortalezas!H32</f>
        <v>0</v>
      </c>
      <c r="J47" s="4"/>
      <c r="K47" s="4"/>
      <c r="L47" s="3555"/>
      <c r="M47" s="4"/>
      <c r="N47" s="4"/>
      <c r="O47" s="4"/>
      <c r="P47" s="3558"/>
      <c r="Q47" s="3555"/>
      <c r="R47" s="3555"/>
      <c r="S47" s="3556">
        <v>0</v>
      </c>
      <c r="T47" s="3555"/>
      <c r="U47" s="3557">
        <f t="shared" si="3"/>
        <v>0</v>
      </c>
      <c r="V47" s="3555"/>
      <c r="W47" s="3555"/>
      <c r="X47" s="3555"/>
      <c r="Y47" s="3555"/>
      <c r="Z47" s="3555"/>
      <c r="AA47" s="3555"/>
      <c r="AB47" s="3555"/>
      <c r="AC47" s="3555"/>
      <c r="AD47" s="3559"/>
      <c r="AE47" s="3555"/>
      <c r="AF47" s="3555"/>
      <c r="AG47" s="3555"/>
      <c r="AH47" s="3555"/>
      <c r="AI47" s="63"/>
      <c r="AJ47" s="63"/>
      <c r="AK47" s="63"/>
      <c r="AL47" s="63"/>
      <c r="AM47" s="63"/>
    </row>
    <row r="48" spans="1:39" s="64" customFormat="1" ht="19">
      <c r="A48" s="58">
        <v>135000</v>
      </c>
      <c r="B48" s="59"/>
      <c r="C48" s="47"/>
      <c r="D48" s="65" t="s">
        <v>583</v>
      </c>
      <c r="E48" s="75">
        <f>Fortalezas!D33</f>
        <v>0</v>
      </c>
      <c r="F48" s="75">
        <f>Fortalezas!E33</f>
        <v>0</v>
      </c>
      <c r="G48" s="75">
        <f>Fortalezas!F33</f>
        <v>0</v>
      </c>
      <c r="H48" s="75">
        <f>Fortalezas!G33</f>
        <v>0</v>
      </c>
      <c r="I48" s="76">
        <f>Fortalezas!H33</f>
        <v>0</v>
      </c>
      <c r="J48" s="4"/>
      <c r="K48" s="4"/>
      <c r="L48" s="3555"/>
      <c r="M48" s="4"/>
      <c r="N48" s="4"/>
      <c r="O48" s="4"/>
      <c r="P48" s="3558"/>
      <c r="Q48" s="3555"/>
      <c r="R48" s="3555"/>
      <c r="S48" s="3556">
        <v>0</v>
      </c>
      <c r="T48" s="3555"/>
      <c r="U48" s="3557">
        <f t="shared" si="3"/>
        <v>0</v>
      </c>
      <c r="V48" s="3555"/>
      <c r="W48" s="3555"/>
      <c r="X48" s="3555"/>
      <c r="Y48" s="3555"/>
      <c r="Z48" s="3555"/>
      <c r="AA48" s="3555"/>
      <c r="AB48" s="3555"/>
      <c r="AC48" s="3555"/>
      <c r="AD48" s="3559"/>
      <c r="AE48" s="3555"/>
      <c r="AF48" s="3555"/>
      <c r="AG48" s="3555"/>
      <c r="AH48" s="3555"/>
      <c r="AI48" s="63"/>
      <c r="AJ48" s="63"/>
      <c r="AK48" s="63"/>
      <c r="AL48" s="63"/>
      <c r="AM48" s="63"/>
    </row>
    <row r="49" spans="1:39" s="64" customFormat="1" ht="19">
      <c r="A49" s="58">
        <v>135500</v>
      </c>
      <c r="B49" s="59"/>
      <c r="C49" s="47"/>
      <c r="D49" s="65" t="s">
        <v>584</v>
      </c>
      <c r="E49" s="75">
        <f>Fortalezas!D34</f>
        <v>0</v>
      </c>
      <c r="F49" s="75">
        <f>Fortalezas!E34</f>
        <v>0</v>
      </c>
      <c r="G49" s="75">
        <f>Fortalezas!F34</f>
        <v>0</v>
      </c>
      <c r="H49" s="75">
        <f>Fortalezas!G34</f>
        <v>0</v>
      </c>
      <c r="I49" s="76">
        <f>Fortalezas!H34</f>
        <v>0</v>
      </c>
      <c r="J49" s="4"/>
      <c r="K49" s="4"/>
      <c r="L49" s="3555"/>
      <c r="M49" s="4"/>
      <c r="N49" s="4"/>
      <c r="O49" s="4"/>
      <c r="P49" s="3558"/>
      <c r="Q49" s="3555"/>
      <c r="R49" s="3555"/>
      <c r="S49" s="3556">
        <v>0</v>
      </c>
      <c r="T49" s="3555"/>
      <c r="U49" s="3557">
        <f t="shared" si="3"/>
        <v>0</v>
      </c>
      <c r="V49" s="3555"/>
      <c r="W49" s="3555"/>
      <c r="X49" s="3555"/>
      <c r="Y49" s="3555"/>
      <c r="Z49" s="3555"/>
      <c r="AA49" s="3555"/>
      <c r="AB49" s="3555"/>
      <c r="AC49" s="3555"/>
      <c r="AD49" s="3559"/>
      <c r="AE49" s="3555"/>
      <c r="AF49" s="3555"/>
      <c r="AG49" s="3555"/>
      <c r="AH49" s="3555"/>
      <c r="AI49" s="63"/>
      <c r="AJ49" s="63"/>
      <c r="AK49" s="63"/>
      <c r="AL49" s="63"/>
      <c r="AM49" s="63"/>
    </row>
    <row r="50" spans="1:39" s="64" customFormat="1" ht="19">
      <c r="A50" s="58">
        <v>136000</v>
      </c>
      <c r="B50" s="59"/>
      <c r="C50" s="47"/>
      <c r="D50" s="65" t="s">
        <v>585</v>
      </c>
      <c r="E50" s="75">
        <f>Fortalezas!D35</f>
        <v>0</v>
      </c>
      <c r="F50" s="75">
        <f>Fortalezas!E35</f>
        <v>0</v>
      </c>
      <c r="G50" s="75">
        <f>Fortalezas!F35</f>
        <v>0</v>
      </c>
      <c r="H50" s="75">
        <f>Fortalezas!G35</f>
        <v>0</v>
      </c>
      <c r="I50" s="76">
        <f>Fortalezas!H35</f>
        <v>0</v>
      </c>
      <c r="J50" s="4"/>
      <c r="K50" s="4"/>
      <c r="L50" s="3555"/>
      <c r="M50" s="4"/>
      <c r="N50" s="4"/>
      <c r="O50" s="4"/>
      <c r="P50" s="3558"/>
      <c r="Q50" s="3555"/>
      <c r="R50" s="3555"/>
      <c r="S50" s="3556">
        <v>0</v>
      </c>
      <c r="T50" s="3555"/>
      <c r="U50" s="3557">
        <f t="shared" si="3"/>
        <v>0</v>
      </c>
      <c r="V50" s="3555"/>
      <c r="W50" s="3555"/>
      <c r="X50" s="3555"/>
      <c r="Y50" s="3555"/>
      <c r="Z50" s="3555"/>
      <c r="AA50" s="3555"/>
      <c r="AB50" s="3555"/>
      <c r="AC50" s="3555"/>
      <c r="AD50" s="3555"/>
      <c r="AE50" s="3555"/>
      <c r="AF50" s="3555"/>
      <c r="AG50" s="3555"/>
      <c r="AH50" s="3555"/>
      <c r="AI50" s="63"/>
      <c r="AJ50" s="63"/>
      <c r="AK50" s="63"/>
      <c r="AL50" s="63"/>
      <c r="AM50" s="63"/>
    </row>
    <row r="51" spans="1:39" s="64" customFormat="1" ht="19">
      <c r="A51" s="58">
        <v>136500</v>
      </c>
      <c r="B51" s="59"/>
      <c r="C51" s="47"/>
      <c r="D51" s="65" t="s">
        <v>586</v>
      </c>
      <c r="E51" s="75">
        <f>Fortalezas!D36</f>
        <v>0</v>
      </c>
      <c r="F51" s="75">
        <f>Fortalezas!E36</f>
        <v>0</v>
      </c>
      <c r="G51" s="75">
        <f>Fortalezas!F36</f>
        <v>0</v>
      </c>
      <c r="H51" s="75">
        <f>Fortalezas!G36</f>
        <v>0</v>
      </c>
      <c r="I51" s="76">
        <f>Fortalezas!H36</f>
        <v>0</v>
      </c>
      <c r="J51" s="4"/>
      <c r="K51" s="4"/>
      <c r="L51" s="3555"/>
      <c r="M51" s="4"/>
      <c r="N51" s="4"/>
      <c r="O51" s="4"/>
      <c r="P51" s="3558"/>
      <c r="Q51" s="3555"/>
      <c r="R51" s="3555"/>
      <c r="S51" s="3556">
        <v>0</v>
      </c>
      <c r="T51" s="3555"/>
      <c r="U51" s="3557">
        <f t="shared" si="3"/>
        <v>0</v>
      </c>
      <c r="V51" s="3555"/>
      <c r="W51" s="3555"/>
      <c r="X51" s="3555"/>
      <c r="Y51" s="3555"/>
      <c r="Z51" s="3555"/>
      <c r="AA51" s="3555"/>
      <c r="AB51" s="3555"/>
      <c r="AC51" s="3555"/>
      <c r="AD51" s="3555"/>
      <c r="AE51" s="3555"/>
      <c r="AF51" s="3555"/>
      <c r="AG51" s="3555"/>
      <c r="AH51" s="3555"/>
      <c r="AI51" s="63"/>
      <c r="AJ51" s="63"/>
      <c r="AK51" s="63"/>
      <c r="AL51" s="63"/>
      <c r="AM51" s="63"/>
    </row>
    <row r="52" spans="1:39" s="64" customFormat="1" ht="19">
      <c r="A52" s="58">
        <v>137000</v>
      </c>
      <c r="B52" s="59"/>
      <c r="C52" s="47"/>
      <c r="D52" s="65" t="s">
        <v>587</v>
      </c>
      <c r="E52" s="75">
        <f>Fortalezas!D37</f>
        <v>0</v>
      </c>
      <c r="F52" s="75">
        <f>Fortalezas!E37</f>
        <v>0</v>
      </c>
      <c r="G52" s="75">
        <f>Fortalezas!F37</f>
        <v>0</v>
      </c>
      <c r="H52" s="75">
        <f>Fortalezas!G37</f>
        <v>0</v>
      </c>
      <c r="I52" s="76">
        <f>Fortalezas!H37</f>
        <v>0</v>
      </c>
      <c r="J52" s="4"/>
      <c r="K52" s="4"/>
      <c r="L52" s="3555"/>
      <c r="M52" s="4"/>
      <c r="N52" s="4"/>
      <c r="O52" s="4"/>
      <c r="P52" s="3558"/>
      <c r="Q52" s="3555"/>
      <c r="R52" s="3555"/>
      <c r="S52" s="3556">
        <v>0</v>
      </c>
      <c r="T52" s="3555"/>
      <c r="U52" s="3557">
        <f t="shared" si="3"/>
        <v>0</v>
      </c>
      <c r="V52" s="3555"/>
      <c r="W52" s="3555"/>
      <c r="X52" s="3555"/>
      <c r="Y52" s="3555"/>
      <c r="Z52" s="3555"/>
      <c r="AA52" s="3555"/>
      <c r="AB52" s="3555"/>
      <c r="AC52" s="3555"/>
      <c r="AD52" s="3555"/>
      <c r="AE52" s="3555"/>
      <c r="AF52" s="3555"/>
      <c r="AG52" s="3555"/>
      <c r="AH52" s="3555"/>
      <c r="AI52" s="63"/>
      <c r="AJ52" s="63"/>
      <c r="AK52" s="63"/>
      <c r="AL52" s="63"/>
      <c r="AM52" s="63"/>
    </row>
    <row r="53" spans="1:39" s="64" customFormat="1" ht="19">
      <c r="A53" s="58">
        <v>139000</v>
      </c>
      <c r="B53" s="59"/>
      <c r="C53" s="47"/>
      <c r="D53" s="65" t="s">
        <v>588</v>
      </c>
      <c r="E53" s="75">
        <f>Fortalezas!D38</f>
        <v>0</v>
      </c>
      <c r="F53" s="75">
        <f>Fortalezas!E38</f>
        <v>0</v>
      </c>
      <c r="G53" s="75">
        <f>Fortalezas!F38</f>
        <v>0</v>
      </c>
      <c r="H53" s="75">
        <f>Fortalezas!G38</f>
        <v>0</v>
      </c>
      <c r="I53" s="76">
        <f>Fortalezas!H38</f>
        <v>0</v>
      </c>
      <c r="J53" s="4"/>
      <c r="K53" s="4"/>
      <c r="L53" s="3555"/>
      <c r="M53" s="4"/>
      <c r="N53" s="4"/>
      <c r="O53" s="4"/>
      <c r="P53" s="3558"/>
      <c r="Q53" s="3555"/>
      <c r="R53" s="3555"/>
      <c r="S53" s="3556">
        <v>0</v>
      </c>
      <c r="T53" s="3555"/>
      <c r="U53" s="3557">
        <f t="shared" si="3"/>
        <v>0</v>
      </c>
      <c r="V53" s="3555"/>
      <c r="W53" s="3555"/>
      <c r="X53" s="3555"/>
      <c r="Y53" s="3555"/>
      <c r="Z53" s="3555"/>
      <c r="AA53" s="3555"/>
      <c r="AB53" s="3555"/>
      <c r="AC53" s="3555"/>
      <c r="AD53" s="3555"/>
      <c r="AE53" s="3555"/>
      <c r="AF53" s="3555"/>
      <c r="AG53" s="3555"/>
      <c r="AH53" s="3555"/>
      <c r="AI53" s="63"/>
      <c r="AJ53" s="63"/>
      <c r="AK53" s="63"/>
      <c r="AL53" s="63"/>
      <c r="AM53" s="63"/>
    </row>
    <row r="54" spans="1:39" s="64" customFormat="1" ht="19">
      <c r="A54" s="58">
        <v>139500</v>
      </c>
      <c r="B54" s="59"/>
      <c r="C54" s="47"/>
      <c r="D54" s="65" t="s">
        <v>589</v>
      </c>
      <c r="E54" s="75">
        <f>Fortalezas!D39</f>
        <v>0</v>
      </c>
      <c r="F54" s="75">
        <f>Fortalezas!E39</f>
        <v>0</v>
      </c>
      <c r="G54" s="75">
        <f>Fortalezas!F39</f>
        <v>0</v>
      </c>
      <c r="H54" s="75">
        <f>Fortalezas!G39</f>
        <v>0</v>
      </c>
      <c r="I54" s="76">
        <f>Fortalezas!H39</f>
        <v>0</v>
      </c>
      <c r="J54" s="4"/>
      <c r="K54" s="4"/>
      <c r="L54" s="3555"/>
      <c r="M54" s="4"/>
      <c r="N54" s="4"/>
      <c r="O54" s="4"/>
      <c r="P54" s="3558"/>
      <c r="Q54" s="3555"/>
      <c r="R54" s="3555"/>
      <c r="S54" s="3556">
        <v>0</v>
      </c>
      <c r="T54" s="3555"/>
      <c r="U54" s="3557">
        <f t="shared" si="3"/>
        <v>0</v>
      </c>
      <c r="V54" s="3555"/>
      <c r="W54" s="3555"/>
      <c r="X54" s="3555"/>
      <c r="Y54" s="3555"/>
      <c r="Z54" s="3555"/>
      <c r="AA54" s="3555"/>
      <c r="AB54" s="3555"/>
      <c r="AC54" s="3555"/>
      <c r="AD54" s="3555"/>
      <c r="AE54" s="3555"/>
      <c r="AF54" s="3555"/>
      <c r="AG54" s="3555"/>
      <c r="AH54" s="3555"/>
      <c r="AI54" s="63"/>
      <c r="AJ54" s="63"/>
      <c r="AK54" s="63"/>
      <c r="AL54" s="63"/>
      <c r="AM54" s="63"/>
    </row>
    <row r="55" spans="1:39" s="64" customFormat="1" ht="19">
      <c r="A55" s="58">
        <v>139905</v>
      </c>
      <c r="B55" s="59"/>
      <c r="C55" s="47"/>
      <c r="D55" s="65" t="s">
        <v>574</v>
      </c>
      <c r="E55" s="75">
        <f>Fortalezas!D40</f>
        <v>0</v>
      </c>
      <c r="F55" s="75">
        <f>Fortalezas!E40</f>
        <v>0</v>
      </c>
      <c r="G55" s="75">
        <f>Fortalezas!F40</f>
        <v>0</v>
      </c>
      <c r="H55" s="75">
        <f>Fortalezas!G40</f>
        <v>0</v>
      </c>
      <c r="I55" s="76">
        <f>Fortalezas!H40</f>
        <v>0</v>
      </c>
      <c r="J55" s="4"/>
      <c r="K55" s="4"/>
      <c r="L55" s="3555"/>
      <c r="M55" s="4"/>
      <c r="N55" s="4"/>
      <c r="O55" s="4"/>
      <c r="P55" s="3558"/>
      <c r="Q55" s="3555"/>
      <c r="R55" s="3555"/>
      <c r="S55" s="3556">
        <v>0</v>
      </c>
      <c r="T55" s="3555"/>
      <c r="U55" s="3557">
        <f t="shared" si="3"/>
        <v>0</v>
      </c>
      <c r="V55" s="3555"/>
      <c r="W55" s="3555"/>
      <c r="X55" s="3555"/>
      <c r="Y55" s="3555"/>
      <c r="Z55" s="3555"/>
      <c r="AA55" s="3555"/>
      <c r="AB55" s="3555"/>
      <c r="AC55" s="3555"/>
      <c r="AD55" s="3555"/>
      <c r="AE55" s="3555"/>
      <c r="AF55" s="3555"/>
      <c r="AG55" s="3555"/>
      <c r="AH55" s="3555"/>
      <c r="AI55" s="63"/>
      <c r="AJ55" s="63"/>
      <c r="AK55" s="63"/>
      <c r="AL55" s="63"/>
      <c r="AM55" s="63"/>
    </row>
    <row r="56" spans="1:39" s="64" customFormat="1" ht="19">
      <c r="A56" s="58">
        <v>1106</v>
      </c>
      <c r="B56" s="59"/>
      <c r="C56" s="66" t="s">
        <v>590</v>
      </c>
      <c r="D56" s="67"/>
      <c r="E56" s="68">
        <f>SUM(E42:E55)</f>
        <v>0</v>
      </c>
      <c r="F56" s="68">
        <f>SUM(F42:F55)</f>
        <v>0</v>
      </c>
      <c r="G56" s="68">
        <f>SUM(G42:G55)</f>
        <v>0</v>
      </c>
      <c r="H56" s="68">
        <f>SUM(H42:H55)</f>
        <v>0</v>
      </c>
      <c r="I56" s="69">
        <f>SUM(I42:I55)</f>
        <v>0</v>
      </c>
      <c r="J56" s="4"/>
      <c r="K56" s="4"/>
      <c r="L56" s="3555"/>
      <c r="M56" s="4"/>
      <c r="N56" s="4"/>
      <c r="O56" s="4"/>
      <c r="P56" s="3558"/>
      <c r="Q56" s="3555"/>
      <c r="R56" s="3555"/>
      <c r="S56" s="3556">
        <v>0</v>
      </c>
      <c r="T56" s="3555"/>
      <c r="U56" s="3557">
        <f t="shared" si="3"/>
        <v>0</v>
      </c>
      <c r="V56" s="3555"/>
      <c r="W56" s="3555"/>
      <c r="X56" s="3555"/>
      <c r="Y56" s="3555"/>
      <c r="Z56" s="3555"/>
      <c r="AA56" s="3555"/>
      <c r="AB56" s="3555"/>
      <c r="AC56" s="3555"/>
      <c r="AD56" s="3555"/>
      <c r="AE56" s="3555"/>
      <c r="AF56" s="3555"/>
      <c r="AG56" s="3555"/>
      <c r="AH56" s="3555"/>
      <c r="AI56" s="63"/>
      <c r="AJ56" s="63"/>
      <c r="AK56" s="63"/>
      <c r="AL56" s="63"/>
      <c r="AM56" s="63"/>
    </row>
    <row r="57" spans="1:39" s="64" customFormat="1" ht="19">
      <c r="A57" s="58"/>
      <c r="B57" s="53"/>
      <c r="C57" s="54" t="s">
        <v>591</v>
      </c>
      <c r="D57" s="71"/>
      <c r="E57" s="72"/>
      <c r="F57" s="72"/>
      <c r="G57" s="72"/>
      <c r="H57" s="72"/>
      <c r="I57" s="73"/>
      <c r="J57" s="4"/>
      <c r="K57" s="4"/>
      <c r="L57" s="3555"/>
      <c r="M57" s="4"/>
      <c r="N57" s="4"/>
      <c r="O57" s="4"/>
      <c r="P57" s="3558"/>
      <c r="Q57" s="3555"/>
      <c r="R57" s="3555"/>
      <c r="S57" s="3556">
        <v>0</v>
      </c>
      <c r="T57" s="3555"/>
      <c r="U57" s="3557">
        <f>U71</f>
        <v>0</v>
      </c>
      <c r="V57" s="3555"/>
      <c r="W57" s="3555"/>
      <c r="X57" s="3555"/>
      <c r="Y57" s="3555"/>
      <c r="Z57" s="3555"/>
      <c r="AA57" s="3555"/>
      <c r="AB57" s="3555"/>
      <c r="AC57" s="3555"/>
      <c r="AD57" s="3555"/>
      <c r="AE57" s="3555"/>
      <c r="AF57" s="3555"/>
      <c r="AG57" s="3555"/>
      <c r="AH57" s="3555"/>
      <c r="AI57" s="63"/>
      <c r="AJ57" s="63"/>
      <c r="AK57" s="63"/>
      <c r="AL57" s="63"/>
      <c r="AM57" s="63"/>
    </row>
    <row r="58" spans="1:39" s="64" customFormat="1" ht="19">
      <c r="A58" s="58">
        <v>110405</v>
      </c>
      <c r="B58" s="59"/>
      <c r="C58" s="47"/>
      <c r="D58" s="60" t="s">
        <v>592</v>
      </c>
      <c r="E58" s="61">
        <f>Fortalezas!D42</f>
        <v>0</v>
      </c>
      <c r="F58" s="61">
        <f>Fortalezas!E42</f>
        <v>0</v>
      </c>
      <c r="G58" s="61">
        <f>Fortalezas!F42</f>
        <v>0</v>
      </c>
      <c r="H58" s="61">
        <f>Fortalezas!G42</f>
        <v>0</v>
      </c>
      <c r="I58" s="62">
        <f>Fortalezas!H42</f>
        <v>0</v>
      </c>
      <c r="J58" s="4"/>
      <c r="K58" s="4"/>
      <c r="L58" s="3555"/>
      <c r="M58" s="4"/>
      <c r="N58" s="4"/>
      <c r="O58" s="4"/>
      <c r="P58" s="3558"/>
      <c r="Q58" s="3555"/>
      <c r="R58" s="3555"/>
      <c r="S58" s="3556">
        <v>0</v>
      </c>
      <c r="T58" s="3555"/>
      <c r="U58" s="3557">
        <f t="shared" ref="U58:U71" si="4">SUM(E58:I58)</f>
        <v>0</v>
      </c>
      <c r="V58" s="3555"/>
      <c r="W58" s="3555"/>
      <c r="X58" s="3555"/>
      <c r="Y58" s="3555"/>
      <c r="Z58" s="3555"/>
      <c r="AA58" s="3555"/>
      <c r="AB58" s="3555"/>
      <c r="AC58" s="3555"/>
      <c r="AD58" s="3555"/>
      <c r="AE58" s="3555"/>
      <c r="AF58" s="3555"/>
      <c r="AG58" s="3555"/>
      <c r="AH58" s="3555"/>
      <c r="AI58" s="63"/>
      <c r="AJ58" s="63"/>
      <c r="AK58" s="63"/>
      <c r="AL58" s="63"/>
      <c r="AM58" s="63"/>
    </row>
    <row r="59" spans="1:39" s="64" customFormat="1" ht="19">
      <c r="A59" s="58">
        <v>110410</v>
      </c>
      <c r="B59" s="59"/>
      <c r="C59" s="47"/>
      <c r="D59" s="65" t="s">
        <v>593</v>
      </c>
      <c r="E59" s="75">
        <f>Fortalezas!D43</f>
        <v>0</v>
      </c>
      <c r="F59" s="75">
        <f>Fortalezas!E43</f>
        <v>0</v>
      </c>
      <c r="G59" s="75">
        <f>Fortalezas!F43</f>
        <v>0</v>
      </c>
      <c r="H59" s="75">
        <f>Fortalezas!G43</f>
        <v>0</v>
      </c>
      <c r="I59" s="76">
        <f>Fortalezas!H43</f>
        <v>0</v>
      </c>
      <c r="J59" s="4"/>
      <c r="K59" s="4"/>
      <c r="L59" s="3555"/>
      <c r="M59" s="4"/>
      <c r="N59" s="4"/>
      <c r="O59" s="4"/>
      <c r="P59" s="3558"/>
      <c r="Q59" s="3555"/>
      <c r="R59" s="3555"/>
      <c r="S59" s="3556">
        <v>0</v>
      </c>
      <c r="T59" s="3555"/>
      <c r="U59" s="3557">
        <f t="shared" si="4"/>
        <v>0</v>
      </c>
      <c r="V59" s="3555"/>
      <c r="W59" s="3555"/>
      <c r="X59" s="3555"/>
      <c r="Y59" s="3555"/>
      <c r="Z59" s="3555"/>
      <c r="AA59" s="3555"/>
      <c r="AB59" s="3555"/>
      <c r="AC59" s="3555"/>
      <c r="AD59" s="3555"/>
      <c r="AE59" s="3555"/>
      <c r="AF59" s="3555"/>
      <c r="AG59" s="3555"/>
      <c r="AH59" s="3555"/>
      <c r="AI59" s="63"/>
      <c r="AJ59" s="63"/>
      <c r="AK59" s="63"/>
      <c r="AL59" s="63"/>
      <c r="AM59" s="63"/>
    </row>
    <row r="60" spans="1:39" s="64" customFormat="1" ht="19">
      <c r="A60" s="58">
        <v>142500</v>
      </c>
      <c r="B60" s="59"/>
      <c r="C60" s="47"/>
      <c r="D60" s="65" t="s">
        <v>594</v>
      </c>
      <c r="E60" s="75">
        <f>Fortalezas!D44</f>
        <v>0</v>
      </c>
      <c r="F60" s="75">
        <f>Fortalezas!E44</f>
        <v>0</v>
      </c>
      <c r="G60" s="75">
        <f>Fortalezas!F44</f>
        <v>0</v>
      </c>
      <c r="H60" s="75">
        <f>Fortalezas!G44</f>
        <v>0</v>
      </c>
      <c r="I60" s="76">
        <f>Fortalezas!H44</f>
        <v>0</v>
      </c>
      <c r="J60" s="4"/>
      <c r="K60" s="4"/>
      <c r="L60" s="3555"/>
      <c r="M60" s="4"/>
      <c r="N60" s="4"/>
      <c r="O60" s="4"/>
      <c r="P60" s="3558"/>
      <c r="Q60" s="3555"/>
      <c r="R60" s="3555"/>
      <c r="S60" s="3556">
        <v>0</v>
      </c>
      <c r="T60" s="3555"/>
      <c r="U60" s="3557">
        <f t="shared" si="4"/>
        <v>0</v>
      </c>
      <c r="V60" s="3555"/>
      <c r="W60" s="3555"/>
      <c r="X60" s="3555"/>
      <c r="Y60" s="3555"/>
      <c r="Z60" s="3555"/>
      <c r="AA60" s="3555"/>
      <c r="AB60" s="3555"/>
      <c r="AC60" s="3555"/>
      <c r="AD60" s="3555"/>
      <c r="AE60" s="3555"/>
      <c r="AF60" s="3555"/>
      <c r="AG60" s="3555"/>
      <c r="AH60" s="3555"/>
      <c r="AI60" s="63"/>
      <c r="AJ60" s="63"/>
      <c r="AK60" s="63"/>
      <c r="AL60" s="63"/>
      <c r="AM60" s="63"/>
    </row>
    <row r="61" spans="1:39" s="64" customFormat="1" ht="19">
      <c r="A61" s="58">
        <v>110415</v>
      </c>
      <c r="B61" s="59"/>
      <c r="C61" s="47"/>
      <c r="D61" s="65" t="s">
        <v>595</v>
      </c>
      <c r="E61" s="75">
        <f>Fortalezas!D45</f>
        <v>0</v>
      </c>
      <c r="F61" s="75">
        <f>Fortalezas!E45</f>
        <v>0</v>
      </c>
      <c r="G61" s="75">
        <f>Fortalezas!F45</f>
        <v>0</v>
      </c>
      <c r="H61" s="75">
        <f>Fortalezas!G45</f>
        <v>0</v>
      </c>
      <c r="I61" s="76">
        <f>Fortalezas!H45</f>
        <v>0</v>
      </c>
      <c r="J61" s="4"/>
      <c r="K61" s="4"/>
      <c r="L61" s="3555"/>
      <c r="M61" s="4"/>
      <c r="N61" s="4"/>
      <c r="O61" s="4"/>
      <c r="P61" s="3558"/>
      <c r="Q61" s="3555"/>
      <c r="R61" s="3555"/>
      <c r="S61" s="3556">
        <v>0</v>
      </c>
      <c r="T61" s="3555"/>
      <c r="U61" s="3557">
        <f t="shared" si="4"/>
        <v>0</v>
      </c>
      <c r="V61" s="3555"/>
      <c r="W61" s="3555"/>
      <c r="X61" s="3555"/>
      <c r="Y61" s="3555"/>
      <c r="Z61" s="3555"/>
      <c r="AA61" s="3555"/>
      <c r="AB61" s="3555"/>
      <c r="AC61" s="3555"/>
      <c r="AD61" s="3555"/>
      <c r="AE61" s="3555"/>
      <c r="AF61" s="3555"/>
      <c r="AG61" s="3555"/>
      <c r="AH61" s="3555"/>
      <c r="AI61" s="63"/>
      <c r="AJ61" s="63"/>
      <c r="AK61" s="63"/>
      <c r="AL61" s="63"/>
      <c r="AM61" s="63"/>
    </row>
    <row r="62" spans="1:39" s="64" customFormat="1" ht="19">
      <c r="A62" s="58">
        <v>143500</v>
      </c>
      <c r="B62" s="59"/>
      <c r="C62" s="47"/>
      <c r="D62" s="65" t="s">
        <v>596</v>
      </c>
      <c r="E62" s="75">
        <f>Fortalezas!D46</f>
        <v>0</v>
      </c>
      <c r="F62" s="75">
        <f>Fortalezas!E46</f>
        <v>0</v>
      </c>
      <c r="G62" s="75">
        <f>Fortalezas!F46</f>
        <v>0</v>
      </c>
      <c r="H62" s="75">
        <f>Fortalezas!G46</f>
        <v>0</v>
      </c>
      <c r="I62" s="76">
        <f>Fortalezas!H46</f>
        <v>0</v>
      </c>
      <c r="J62" s="4"/>
      <c r="K62" s="4"/>
      <c r="L62" s="3555"/>
      <c r="M62" s="4"/>
      <c r="N62" s="4"/>
      <c r="O62" s="4"/>
      <c r="P62" s="3558"/>
      <c r="Q62" s="3555"/>
      <c r="R62" s="3555"/>
      <c r="S62" s="3556">
        <v>0</v>
      </c>
      <c r="T62" s="3555"/>
      <c r="U62" s="3557">
        <f t="shared" si="4"/>
        <v>0</v>
      </c>
      <c r="V62" s="3555"/>
      <c r="W62" s="3555"/>
      <c r="X62" s="3555"/>
      <c r="Y62" s="3555"/>
      <c r="Z62" s="3555"/>
      <c r="AA62" s="3555"/>
      <c r="AB62" s="3555"/>
      <c r="AC62" s="3555"/>
      <c r="AD62" s="3555"/>
      <c r="AE62" s="3555"/>
      <c r="AF62" s="3555"/>
      <c r="AG62" s="3555"/>
      <c r="AH62" s="3555"/>
      <c r="AI62" s="63"/>
      <c r="AJ62" s="63"/>
      <c r="AK62" s="63"/>
      <c r="AL62" s="63"/>
      <c r="AM62" s="63"/>
    </row>
    <row r="63" spans="1:39" s="64" customFormat="1" ht="19">
      <c r="A63" s="58">
        <v>110420</v>
      </c>
      <c r="B63" s="59"/>
      <c r="C63" s="47"/>
      <c r="D63" s="65" t="s">
        <v>597</v>
      </c>
      <c r="E63" s="75">
        <f>Fortalezas!D47</f>
        <v>0</v>
      </c>
      <c r="F63" s="75">
        <f>Fortalezas!E47</f>
        <v>0</v>
      </c>
      <c r="G63" s="75">
        <f>Fortalezas!F47</f>
        <v>0</v>
      </c>
      <c r="H63" s="75">
        <f>Fortalezas!G47</f>
        <v>0</v>
      </c>
      <c r="I63" s="76">
        <f>Fortalezas!H47</f>
        <v>0</v>
      </c>
      <c r="J63" s="4"/>
      <c r="K63" s="4"/>
      <c r="L63" s="3555"/>
      <c r="M63" s="4"/>
      <c r="N63" s="4"/>
      <c r="O63" s="4"/>
      <c r="P63" s="3558"/>
      <c r="Q63" s="3555"/>
      <c r="R63" s="3555"/>
      <c r="S63" s="3556">
        <v>0</v>
      </c>
      <c r="T63" s="3555"/>
      <c r="U63" s="3557">
        <f t="shared" si="4"/>
        <v>0</v>
      </c>
      <c r="V63" s="3555"/>
      <c r="W63" s="3555"/>
      <c r="X63" s="3555"/>
      <c r="Y63" s="3555"/>
      <c r="Z63" s="3555"/>
      <c r="AA63" s="3555"/>
      <c r="AB63" s="3555"/>
      <c r="AC63" s="3555"/>
      <c r="AD63" s="3555"/>
      <c r="AE63" s="3555"/>
      <c r="AF63" s="3555"/>
      <c r="AG63" s="3555"/>
      <c r="AH63" s="3555"/>
      <c r="AI63" s="63"/>
      <c r="AJ63" s="63"/>
      <c r="AK63" s="63"/>
      <c r="AL63" s="63"/>
      <c r="AM63" s="63"/>
    </row>
    <row r="64" spans="1:39" s="64" customFormat="1" ht="19">
      <c r="A64" s="58">
        <v>110495</v>
      </c>
      <c r="B64" s="59"/>
      <c r="C64" s="47"/>
      <c r="D64" s="65" t="s">
        <v>453</v>
      </c>
      <c r="E64" s="75">
        <f>Fortalezas!D48</f>
        <v>0</v>
      </c>
      <c r="F64" s="75">
        <f>Fortalezas!E48</f>
        <v>0</v>
      </c>
      <c r="G64" s="75">
        <f>Fortalezas!F48</f>
        <v>0</v>
      </c>
      <c r="H64" s="75">
        <f>Fortalezas!G48</f>
        <v>0</v>
      </c>
      <c r="I64" s="76">
        <f>Fortalezas!H48</f>
        <v>0</v>
      </c>
      <c r="J64" s="4"/>
      <c r="K64" s="4"/>
      <c r="L64" s="3555"/>
      <c r="M64" s="4"/>
      <c r="N64" s="4"/>
      <c r="O64" s="4"/>
      <c r="P64" s="3558"/>
      <c r="Q64" s="3555"/>
      <c r="R64" s="3555"/>
      <c r="S64" s="3556">
        <v>0</v>
      </c>
      <c r="T64" s="3555"/>
      <c r="U64" s="3557">
        <f t="shared" si="4"/>
        <v>0</v>
      </c>
      <c r="V64" s="3555"/>
      <c r="W64" s="3555"/>
      <c r="X64" s="3555"/>
      <c r="Y64" s="3555"/>
      <c r="Z64" s="3555"/>
      <c r="AA64" s="3555"/>
      <c r="AB64" s="3555"/>
      <c r="AC64" s="3555"/>
      <c r="AD64" s="3555"/>
      <c r="AE64" s="3555"/>
      <c r="AF64" s="3555"/>
      <c r="AG64" s="3555"/>
      <c r="AH64" s="3555"/>
      <c r="AI64" s="63"/>
      <c r="AJ64" s="63"/>
      <c r="AK64" s="63"/>
      <c r="AL64" s="63"/>
      <c r="AM64" s="63"/>
    </row>
    <row r="65" spans="1:39" s="64" customFormat="1" ht="19" hidden="1" customHeight="1">
      <c r="A65" s="58"/>
      <c r="B65" s="59"/>
      <c r="C65" s="47"/>
      <c r="D65" s="65"/>
      <c r="E65" s="75"/>
      <c r="F65" s="75"/>
      <c r="G65" s="75"/>
      <c r="H65" s="75"/>
      <c r="I65" s="76"/>
      <c r="J65" s="4"/>
      <c r="K65" s="4"/>
      <c r="L65" s="3555"/>
      <c r="M65" s="4"/>
      <c r="N65" s="4"/>
      <c r="O65" s="4"/>
      <c r="P65" s="3558"/>
      <c r="Q65" s="3555"/>
      <c r="R65" s="3555"/>
      <c r="S65" s="3556">
        <v>1</v>
      </c>
      <c r="T65" s="3555"/>
      <c r="U65" s="3557">
        <f t="shared" si="4"/>
        <v>0</v>
      </c>
      <c r="V65" s="3555"/>
      <c r="W65" s="3555"/>
      <c r="X65" s="3555"/>
      <c r="Y65" s="3555"/>
      <c r="Z65" s="3555"/>
      <c r="AA65" s="3555"/>
      <c r="AB65" s="3555"/>
      <c r="AC65" s="3555"/>
      <c r="AD65" s="3555"/>
      <c r="AE65" s="3555"/>
      <c r="AF65" s="3555"/>
      <c r="AG65" s="3555"/>
      <c r="AH65" s="3555"/>
      <c r="AI65" s="63"/>
      <c r="AJ65" s="63"/>
      <c r="AK65" s="63"/>
      <c r="AL65" s="63"/>
      <c r="AM65" s="63"/>
    </row>
    <row r="66" spans="1:39" s="64" customFormat="1" ht="19" hidden="1" customHeight="1">
      <c r="A66" s="58"/>
      <c r="B66" s="59"/>
      <c r="C66" s="47"/>
      <c r="D66" s="65"/>
      <c r="E66" s="75"/>
      <c r="F66" s="75"/>
      <c r="G66" s="75"/>
      <c r="H66" s="75"/>
      <c r="I66" s="76"/>
      <c r="J66" s="4"/>
      <c r="K66" s="4"/>
      <c r="L66" s="3555"/>
      <c r="M66" s="4"/>
      <c r="N66" s="4"/>
      <c r="O66" s="4"/>
      <c r="P66" s="3558"/>
      <c r="Q66" s="3555"/>
      <c r="R66" s="3555"/>
      <c r="S66" s="3556">
        <v>1</v>
      </c>
      <c r="T66" s="3555"/>
      <c r="U66" s="3557">
        <f t="shared" si="4"/>
        <v>0</v>
      </c>
      <c r="V66" s="3555"/>
      <c r="W66" s="3555"/>
      <c r="X66" s="3555"/>
      <c r="Y66" s="3555"/>
      <c r="Z66" s="3555"/>
      <c r="AA66" s="3555"/>
      <c r="AB66" s="3555"/>
      <c r="AC66" s="3555"/>
      <c r="AD66" s="3555"/>
      <c r="AE66" s="3555"/>
      <c r="AF66" s="3555"/>
      <c r="AG66" s="3555"/>
      <c r="AH66" s="3555"/>
      <c r="AI66" s="63"/>
      <c r="AJ66" s="63"/>
      <c r="AK66" s="63"/>
      <c r="AL66" s="63"/>
      <c r="AM66" s="63"/>
    </row>
    <row r="67" spans="1:39" s="64" customFormat="1" ht="19" hidden="1" customHeight="1">
      <c r="A67" s="58"/>
      <c r="B67" s="59"/>
      <c r="C67" s="47"/>
      <c r="D67" s="65"/>
      <c r="E67" s="75"/>
      <c r="F67" s="75"/>
      <c r="G67" s="75"/>
      <c r="H67" s="75"/>
      <c r="I67" s="76"/>
      <c r="J67" s="4"/>
      <c r="K67" s="4"/>
      <c r="L67" s="3555"/>
      <c r="M67" s="4"/>
      <c r="N67" s="4"/>
      <c r="O67" s="4"/>
      <c r="P67" s="3558"/>
      <c r="Q67" s="3555"/>
      <c r="R67" s="3555"/>
      <c r="S67" s="3556">
        <v>1</v>
      </c>
      <c r="T67" s="3555"/>
      <c r="U67" s="3557">
        <f t="shared" si="4"/>
        <v>0</v>
      </c>
      <c r="V67" s="3555"/>
      <c r="W67" s="3555"/>
      <c r="X67" s="3555"/>
      <c r="Y67" s="3555"/>
      <c r="Z67" s="3555"/>
      <c r="AA67" s="3555"/>
      <c r="AB67" s="3555"/>
      <c r="AC67" s="3555"/>
      <c r="AD67" s="3555"/>
      <c r="AE67" s="3555"/>
      <c r="AF67" s="3555"/>
      <c r="AG67" s="3555"/>
      <c r="AH67" s="3555"/>
      <c r="AI67" s="63"/>
      <c r="AJ67" s="63"/>
      <c r="AK67" s="63"/>
      <c r="AL67" s="63"/>
      <c r="AM67" s="63"/>
    </row>
    <row r="68" spans="1:39" s="64" customFormat="1" ht="19">
      <c r="A68" s="58">
        <v>110490</v>
      </c>
      <c r="B68" s="59"/>
      <c r="C68" s="47"/>
      <c r="D68" s="65" t="s">
        <v>598</v>
      </c>
      <c r="E68" s="75">
        <f>Fortalezas!D49</f>
        <v>0</v>
      </c>
      <c r="F68" s="75">
        <f>Fortalezas!E49</f>
        <v>0</v>
      </c>
      <c r="G68" s="75">
        <f>Fortalezas!F49</f>
        <v>0</v>
      </c>
      <c r="H68" s="75">
        <f>Fortalezas!G49</f>
        <v>0</v>
      </c>
      <c r="I68" s="76">
        <f>Fortalezas!H49</f>
        <v>0</v>
      </c>
      <c r="J68" s="4"/>
      <c r="K68" s="4"/>
      <c r="L68" s="3555"/>
      <c r="M68" s="4"/>
      <c r="N68" s="4"/>
      <c r="O68" s="4"/>
      <c r="P68" s="3558"/>
      <c r="Q68" s="3555"/>
      <c r="R68" s="3555"/>
      <c r="S68" s="3556">
        <v>0</v>
      </c>
      <c r="T68" s="3555"/>
      <c r="U68" s="3557">
        <f t="shared" si="4"/>
        <v>0</v>
      </c>
      <c r="V68" s="3555"/>
      <c r="W68" s="3555"/>
      <c r="X68" s="3555"/>
      <c r="Y68" s="3555"/>
      <c r="Z68" s="3555"/>
      <c r="AA68" s="3555"/>
      <c r="AB68" s="3555"/>
      <c r="AC68" s="3555"/>
      <c r="AD68" s="3555"/>
      <c r="AE68" s="3555"/>
      <c r="AF68" s="3555"/>
      <c r="AG68" s="3555"/>
      <c r="AH68" s="3555"/>
      <c r="AI68" s="63"/>
      <c r="AJ68" s="63"/>
      <c r="AK68" s="63"/>
      <c r="AL68" s="63"/>
      <c r="AM68" s="63"/>
    </row>
    <row r="69" spans="1:39" s="64" customFormat="1" ht="19">
      <c r="A69" s="58">
        <v>110491</v>
      </c>
      <c r="B69" s="59"/>
      <c r="C69" s="47"/>
      <c r="D69" s="65" t="s">
        <v>560</v>
      </c>
      <c r="E69" s="75">
        <f>Fortalezas!D50</f>
        <v>0</v>
      </c>
      <c r="F69" s="75">
        <f>Fortalezas!E50</f>
        <v>0</v>
      </c>
      <c r="G69" s="75">
        <f>Fortalezas!F50</f>
        <v>0</v>
      </c>
      <c r="H69" s="75">
        <f>Fortalezas!G50</f>
        <v>0</v>
      </c>
      <c r="I69" s="76">
        <f>Fortalezas!H50</f>
        <v>0</v>
      </c>
      <c r="J69" s="4"/>
      <c r="K69" s="4"/>
      <c r="L69" s="3555"/>
      <c r="M69" s="4"/>
      <c r="N69" s="4"/>
      <c r="O69" s="4"/>
      <c r="P69" s="3558"/>
      <c r="Q69" s="3555"/>
      <c r="R69" s="3555"/>
      <c r="S69" s="3556">
        <v>0</v>
      </c>
      <c r="T69" s="3555"/>
      <c r="U69" s="3557">
        <f t="shared" si="4"/>
        <v>0</v>
      </c>
      <c r="V69" s="3555"/>
      <c r="W69" s="3555"/>
      <c r="X69" s="3555"/>
      <c r="Y69" s="3555"/>
      <c r="Z69" s="3555"/>
      <c r="AA69" s="3555"/>
      <c r="AB69" s="3555"/>
      <c r="AC69" s="3555"/>
      <c r="AD69" s="3555"/>
      <c r="AE69" s="3555"/>
      <c r="AF69" s="3555"/>
      <c r="AG69" s="3555"/>
      <c r="AH69" s="3555"/>
      <c r="AI69" s="63"/>
      <c r="AJ69" s="63"/>
      <c r="AK69" s="63"/>
      <c r="AL69" s="63"/>
      <c r="AM69" s="63"/>
    </row>
    <row r="70" spans="1:39" s="64" customFormat="1" ht="19">
      <c r="A70" s="58">
        <v>149900</v>
      </c>
      <c r="B70" s="59"/>
      <c r="C70" s="47"/>
      <c r="D70" s="74" t="s">
        <v>574</v>
      </c>
      <c r="E70" s="75">
        <f>Fortalezas!D51</f>
        <v>0</v>
      </c>
      <c r="F70" s="75">
        <f>Fortalezas!E51</f>
        <v>0</v>
      </c>
      <c r="G70" s="75">
        <f>Fortalezas!F51</f>
        <v>0</v>
      </c>
      <c r="H70" s="75">
        <f>Fortalezas!G51</f>
        <v>0</v>
      </c>
      <c r="I70" s="76">
        <f>Fortalezas!H51</f>
        <v>0</v>
      </c>
      <c r="J70" s="4"/>
      <c r="K70" s="4"/>
      <c r="L70" s="3555"/>
      <c r="M70" s="4"/>
      <c r="N70" s="4"/>
      <c r="O70" s="4"/>
      <c r="P70" s="3558"/>
      <c r="Q70" s="3555"/>
      <c r="R70" s="3555"/>
      <c r="S70" s="3556">
        <v>0</v>
      </c>
      <c r="T70" s="3555"/>
      <c r="U70" s="3557">
        <f t="shared" si="4"/>
        <v>0</v>
      </c>
      <c r="V70" s="3555"/>
      <c r="W70" s="3555"/>
      <c r="X70" s="3555"/>
      <c r="Y70" s="3555"/>
      <c r="Z70" s="3555"/>
      <c r="AA70" s="3555"/>
      <c r="AB70" s="3555"/>
      <c r="AC70" s="3555"/>
      <c r="AD70" s="3555"/>
      <c r="AE70" s="3555"/>
      <c r="AF70" s="3555"/>
      <c r="AG70" s="3555"/>
      <c r="AH70" s="3555"/>
      <c r="AI70" s="63"/>
      <c r="AJ70" s="63"/>
      <c r="AK70" s="63"/>
      <c r="AL70" s="63"/>
      <c r="AM70" s="63"/>
    </row>
    <row r="71" spans="1:39" s="64" customFormat="1" ht="19">
      <c r="A71" s="58">
        <v>140005</v>
      </c>
      <c r="B71" s="59"/>
      <c r="C71" s="66" t="s">
        <v>599</v>
      </c>
      <c r="D71" s="67"/>
      <c r="E71" s="68">
        <f>SUM(E58:E70)</f>
        <v>0</v>
      </c>
      <c r="F71" s="68">
        <f>SUM(F58:F70)</f>
        <v>0</v>
      </c>
      <c r="G71" s="68">
        <f>SUM(G58:G70)</f>
        <v>0</v>
      </c>
      <c r="H71" s="68">
        <f>SUM(H58:H70)</f>
        <v>0</v>
      </c>
      <c r="I71" s="69">
        <f>SUM(I58:I70)</f>
        <v>0</v>
      </c>
      <c r="J71" s="4"/>
      <c r="K71" s="4"/>
      <c r="L71" s="3555"/>
      <c r="M71" s="4"/>
      <c r="N71" s="4"/>
      <c r="O71" s="4"/>
      <c r="P71" s="3558"/>
      <c r="Q71" s="3555"/>
      <c r="R71" s="3555"/>
      <c r="S71" s="3556">
        <v>0</v>
      </c>
      <c r="T71" s="3555"/>
      <c r="U71" s="3557">
        <f t="shared" si="4"/>
        <v>0</v>
      </c>
      <c r="V71" s="3555"/>
      <c r="W71" s="3555"/>
      <c r="X71" s="3555"/>
      <c r="Y71" s="3555"/>
      <c r="Z71" s="3555"/>
      <c r="AA71" s="4"/>
      <c r="AB71" s="3555"/>
      <c r="AC71" s="3555"/>
      <c r="AD71" s="3555"/>
      <c r="AE71" s="3555"/>
      <c r="AF71" s="3555"/>
      <c r="AG71" s="3555"/>
      <c r="AH71" s="3555"/>
      <c r="AI71" s="63"/>
      <c r="AJ71" s="63"/>
      <c r="AK71" s="63"/>
      <c r="AL71" s="63"/>
      <c r="AM71" s="63"/>
    </row>
    <row r="72" spans="1:39" s="64" customFormat="1" ht="19">
      <c r="A72" s="58"/>
      <c r="B72" s="53"/>
      <c r="C72" s="54" t="s">
        <v>600</v>
      </c>
      <c r="D72" s="71"/>
      <c r="E72" s="72"/>
      <c r="F72" s="72"/>
      <c r="G72" s="72"/>
      <c r="H72" s="72"/>
      <c r="I72" s="73"/>
      <c r="J72" s="4"/>
      <c r="K72" s="4"/>
      <c r="L72" s="3555"/>
      <c r="M72" s="4"/>
      <c r="N72" s="4"/>
      <c r="O72" s="4"/>
      <c r="P72" s="3558"/>
      <c r="Q72" s="3555"/>
      <c r="R72" s="3555"/>
      <c r="S72" s="3556">
        <v>0</v>
      </c>
      <c r="T72" s="3555"/>
      <c r="U72" s="3557">
        <f>U83</f>
        <v>0</v>
      </c>
      <c r="V72" s="3555"/>
      <c r="W72" s="3555"/>
      <c r="X72" s="3555"/>
      <c r="Y72" s="3555"/>
      <c r="Z72" s="3555"/>
      <c r="AA72" s="4"/>
      <c r="AB72" s="3555"/>
      <c r="AC72" s="3555"/>
      <c r="AD72" s="3555"/>
      <c r="AE72" s="3555"/>
      <c r="AF72" s="3555"/>
      <c r="AG72" s="3555"/>
      <c r="AH72" s="3555"/>
      <c r="AI72" s="63"/>
      <c r="AJ72" s="63"/>
      <c r="AK72" s="63"/>
      <c r="AL72" s="63"/>
      <c r="AM72" s="63"/>
    </row>
    <row r="73" spans="1:39" s="64" customFormat="1" ht="19">
      <c r="A73" s="58">
        <v>145500</v>
      </c>
      <c r="B73" s="59"/>
      <c r="C73" s="77"/>
      <c r="D73" s="60" t="s">
        <v>601</v>
      </c>
      <c r="E73" s="61">
        <f>Fortalezas!D53</f>
        <v>0</v>
      </c>
      <c r="F73" s="61">
        <f>Fortalezas!E53</f>
        <v>0</v>
      </c>
      <c r="G73" s="61">
        <f>Fortalezas!F53</f>
        <v>0</v>
      </c>
      <c r="H73" s="61">
        <f>Fortalezas!G53</f>
        <v>0</v>
      </c>
      <c r="I73" s="62">
        <f>Fortalezas!H53</f>
        <v>0</v>
      </c>
      <c r="J73" s="4"/>
      <c r="K73" s="4"/>
      <c r="L73" s="3555"/>
      <c r="M73" s="4"/>
      <c r="N73" s="4"/>
      <c r="O73" s="4"/>
      <c r="P73" s="3558"/>
      <c r="Q73" s="3555"/>
      <c r="R73" s="3555"/>
      <c r="S73" s="3556">
        <v>0</v>
      </c>
      <c r="T73" s="3555"/>
      <c r="U73" s="3557">
        <f t="shared" ref="U73:U83" si="5">SUM(E73:I73)</f>
        <v>0</v>
      </c>
      <c r="V73" s="3555"/>
      <c r="W73" s="3555"/>
      <c r="X73" s="3555"/>
      <c r="Y73" s="3555"/>
      <c r="Z73" s="3555"/>
      <c r="AA73" s="4"/>
      <c r="AB73" s="3555"/>
      <c r="AC73" s="3555"/>
      <c r="AD73" s="3555"/>
      <c r="AE73" s="3555"/>
      <c r="AF73" s="3555"/>
      <c r="AG73" s="3555"/>
      <c r="AH73" s="3555"/>
      <c r="AI73" s="63"/>
      <c r="AJ73" s="63"/>
      <c r="AK73" s="63"/>
      <c r="AL73" s="63"/>
      <c r="AM73" s="63"/>
    </row>
    <row r="74" spans="1:39" s="64" customFormat="1" ht="19">
      <c r="A74" s="58">
        <v>146000</v>
      </c>
      <c r="B74" s="59"/>
      <c r="C74" s="47"/>
      <c r="D74" s="65" t="s">
        <v>602</v>
      </c>
      <c r="E74" s="75">
        <f>Fortalezas!D54</f>
        <v>0</v>
      </c>
      <c r="F74" s="75">
        <f>Fortalezas!E54</f>
        <v>0</v>
      </c>
      <c r="G74" s="75">
        <f>Fortalezas!F54</f>
        <v>0</v>
      </c>
      <c r="H74" s="75">
        <f>Fortalezas!G54</f>
        <v>0</v>
      </c>
      <c r="I74" s="76">
        <f>Fortalezas!H54</f>
        <v>0</v>
      </c>
      <c r="J74" s="4"/>
      <c r="K74" s="4"/>
      <c r="L74" s="3555"/>
      <c r="M74" s="4"/>
      <c r="N74" s="4"/>
      <c r="O74" s="4"/>
      <c r="P74" s="3558"/>
      <c r="Q74" s="3555"/>
      <c r="R74" s="3555"/>
      <c r="S74" s="3556">
        <v>0</v>
      </c>
      <c r="T74" s="3555"/>
      <c r="U74" s="3557">
        <f t="shared" si="5"/>
        <v>0</v>
      </c>
      <c r="V74" s="3555"/>
      <c r="W74" s="3555"/>
      <c r="X74" s="3555"/>
      <c r="Y74" s="3555"/>
      <c r="Z74" s="3555"/>
      <c r="AA74" s="4"/>
      <c r="AB74" s="3555"/>
      <c r="AC74" s="3555"/>
      <c r="AD74" s="3555"/>
      <c r="AE74" s="3555"/>
      <c r="AF74" s="3555"/>
      <c r="AG74" s="3555"/>
      <c r="AH74" s="3555"/>
      <c r="AI74" s="63"/>
      <c r="AJ74" s="63"/>
      <c r="AK74" s="63"/>
      <c r="AL74" s="63"/>
      <c r="AM74" s="63"/>
    </row>
    <row r="75" spans="1:39" s="64" customFormat="1" ht="19" hidden="1" customHeight="1">
      <c r="A75" s="58"/>
      <c r="B75" s="59"/>
      <c r="C75" s="47"/>
      <c r="D75" s="65"/>
      <c r="E75" s="75"/>
      <c r="F75" s="75"/>
      <c r="G75" s="75"/>
      <c r="H75" s="75"/>
      <c r="I75" s="76"/>
      <c r="J75" s="4"/>
      <c r="K75" s="4"/>
      <c r="L75" s="3555"/>
      <c r="M75" s="4"/>
      <c r="N75" s="4"/>
      <c r="O75" s="4"/>
      <c r="P75" s="3558"/>
      <c r="Q75" s="3555"/>
      <c r="R75" s="3555"/>
      <c r="S75" s="3556">
        <v>1</v>
      </c>
      <c r="T75" s="3555"/>
      <c r="U75" s="3557">
        <f t="shared" si="5"/>
        <v>0</v>
      </c>
      <c r="V75" s="3555"/>
      <c r="W75" s="3555"/>
      <c r="X75" s="3555"/>
      <c r="Y75" s="3555"/>
      <c r="Z75" s="3555"/>
      <c r="AA75" s="4"/>
      <c r="AB75" s="3555"/>
      <c r="AC75" s="3555"/>
      <c r="AD75" s="3555"/>
      <c r="AE75" s="3555"/>
      <c r="AF75" s="3555"/>
      <c r="AG75" s="3555"/>
      <c r="AH75" s="3555"/>
      <c r="AI75" s="63"/>
      <c r="AJ75" s="63"/>
      <c r="AK75" s="63"/>
      <c r="AL75" s="63"/>
      <c r="AM75" s="63"/>
    </row>
    <row r="76" spans="1:39" s="64" customFormat="1" ht="19">
      <c r="A76" s="58">
        <v>149510</v>
      </c>
      <c r="B76" s="59"/>
      <c r="C76" s="47"/>
      <c r="D76" s="65" t="s">
        <v>453</v>
      </c>
      <c r="E76" s="75">
        <f>Fortalezas!D55</f>
        <v>0</v>
      </c>
      <c r="F76" s="75">
        <f>Fortalezas!E55</f>
        <v>0</v>
      </c>
      <c r="G76" s="75">
        <f>Fortalezas!F55</f>
        <v>0</v>
      </c>
      <c r="H76" s="75">
        <f>Fortalezas!G55</f>
        <v>0</v>
      </c>
      <c r="I76" s="76">
        <f>Fortalezas!H55</f>
        <v>0</v>
      </c>
      <c r="J76" s="4"/>
      <c r="K76" s="4"/>
      <c r="L76" s="3555"/>
      <c r="M76" s="4"/>
      <c r="N76" s="4"/>
      <c r="O76" s="4"/>
      <c r="P76" s="3558"/>
      <c r="Q76" s="3555"/>
      <c r="R76" s="3555"/>
      <c r="S76" s="3556">
        <v>0</v>
      </c>
      <c r="T76" s="3555"/>
      <c r="U76" s="3557">
        <f t="shared" si="5"/>
        <v>0</v>
      </c>
      <c r="V76" s="3555"/>
      <c r="W76" s="3555"/>
      <c r="X76" s="3555"/>
      <c r="Y76" s="3555"/>
      <c r="Z76" s="3555"/>
      <c r="AA76" s="4"/>
      <c r="AB76" s="3555"/>
      <c r="AC76" s="3555"/>
      <c r="AD76" s="3555"/>
      <c r="AE76" s="3555"/>
      <c r="AF76" s="3555"/>
      <c r="AG76" s="3555"/>
      <c r="AH76" s="3555"/>
      <c r="AI76" s="63"/>
      <c r="AJ76" s="63"/>
      <c r="AK76" s="63"/>
      <c r="AL76" s="63"/>
      <c r="AM76" s="63"/>
    </row>
    <row r="77" spans="1:39" s="64" customFormat="1" ht="19" hidden="1" customHeight="1">
      <c r="A77" s="58"/>
      <c r="B77" s="59"/>
      <c r="C77" s="47"/>
      <c r="D77" s="65"/>
      <c r="E77" s="75"/>
      <c r="F77" s="75"/>
      <c r="G77" s="75"/>
      <c r="H77" s="75"/>
      <c r="I77" s="76"/>
      <c r="J77" s="4"/>
      <c r="K77" s="4"/>
      <c r="L77" s="3555"/>
      <c r="M77" s="4"/>
      <c r="N77" s="4"/>
      <c r="O77" s="4"/>
      <c r="P77" s="3558"/>
      <c r="Q77" s="3555"/>
      <c r="R77" s="3555"/>
      <c r="S77" s="3556">
        <v>1</v>
      </c>
      <c r="T77" s="3555"/>
      <c r="U77" s="3557">
        <f t="shared" si="5"/>
        <v>0</v>
      </c>
      <c r="V77" s="3555"/>
      <c r="W77" s="3555"/>
      <c r="X77" s="3555"/>
      <c r="Y77" s="3555"/>
      <c r="Z77" s="3555"/>
      <c r="AA77" s="4"/>
      <c r="AB77" s="3555"/>
      <c r="AC77" s="3555"/>
      <c r="AD77" s="3555"/>
      <c r="AE77" s="3555"/>
      <c r="AF77" s="3555"/>
      <c r="AG77" s="3555"/>
      <c r="AH77" s="3555"/>
      <c r="AI77" s="63"/>
      <c r="AJ77" s="63"/>
      <c r="AK77" s="63"/>
      <c r="AL77" s="63"/>
      <c r="AM77" s="63"/>
    </row>
    <row r="78" spans="1:39" s="64" customFormat="1" ht="19" hidden="1" customHeight="1">
      <c r="A78" s="58"/>
      <c r="B78" s="59"/>
      <c r="C78" s="47"/>
      <c r="D78" s="65"/>
      <c r="E78" s="75"/>
      <c r="F78" s="75"/>
      <c r="G78" s="75"/>
      <c r="H78" s="75"/>
      <c r="I78" s="76"/>
      <c r="J78" s="4"/>
      <c r="K78" s="4"/>
      <c r="L78" s="3555"/>
      <c r="M78" s="4"/>
      <c r="N78" s="4"/>
      <c r="O78" s="4"/>
      <c r="P78" s="3558"/>
      <c r="Q78" s="3555"/>
      <c r="R78" s="3555"/>
      <c r="S78" s="3556">
        <v>1</v>
      </c>
      <c r="T78" s="3555"/>
      <c r="U78" s="3557">
        <f t="shared" si="5"/>
        <v>0</v>
      </c>
      <c r="V78" s="3555"/>
      <c r="W78" s="3555"/>
      <c r="X78" s="3555"/>
      <c r="Y78" s="3555"/>
      <c r="Z78" s="3555"/>
      <c r="AA78" s="4"/>
      <c r="AB78" s="3555"/>
      <c r="AC78" s="3555"/>
      <c r="AD78" s="3555"/>
      <c r="AE78" s="3555"/>
      <c r="AF78" s="3555"/>
      <c r="AG78" s="3555"/>
      <c r="AH78" s="3555"/>
      <c r="AI78" s="63"/>
      <c r="AJ78" s="63"/>
      <c r="AK78" s="63"/>
      <c r="AL78" s="63"/>
      <c r="AM78" s="63"/>
    </row>
    <row r="79" spans="1:39" s="64" customFormat="1" ht="19" hidden="1" customHeight="1">
      <c r="A79" s="58"/>
      <c r="B79" s="59"/>
      <c r="C79" s="47"/>
      <c r="D79" s="65"/>
      <c r="E79" s="75"/>
      <c r="F79" s="75"/>
      <c r="G79" s="75"/>
      <c r="H79" s="75"/>
      <c r="I79" s="76"/>
      <c r="J79" s="4"/>
      <c r="K79" s="4"/>
      <c r="L79" s="3555"/>
      <c r="M79" s="4"/>
      <c r="N79" s="4"/>
      <c r="O79" s="4"/>
      <c r="P79" s="3558"/>
      <c r="Q79" s="3555"/>
      <c r="R79" s="3555"/>
      <c r="S79" s="3556">
        <v>1</v>
      </c>
      <c r="T79" s="3555"/>
      <c r="U79" s="3557">
        <f t="shared" si="5"/>
        <v>0</v>
      </c>
      <c r="V79" s="3555"/>
      <c r="W79" s="3555"/>
      <c r="X79" s="3555"/>
      <c r="Y79" s="3555"/>
      <c r="Z79" s="3555"/>
      <c r="AA79" s="4"/>
      <c r="AB79" s="3555"/>
      <c r="AC79" s="3555"/>
      <c r="AD79" s="3555"/>
      <c r="AE79" s="3555"/>
      <c r="AF79" s="3555"/>
      <c r="AG79" s="3555"/>
      <c r="AH79" s="3555"/>
      <c r="AI79" s="63"/>
      <c r="AJ79" s="63"/>
      <c r="AK79" s="63"/>
      <c r="AL79" s="63"/>
      <c r="AM79" s="63"/>
    </row>
    <row r="80" spans="1:39" s="64" customFormat="1" ht="19">
      <c r="A80" s="58">
        <v>149901</v>
      </c>
      <c r="B80" s="59"/>
      <c r="C80" s="47"/>
      <c r="D80" s="65" t="s">
        <v>598</v>
      </c>
      <c r="E80" s="75">
        <f>Fortalezas!D56</f>
        <v>0</v>
      </c>
      <c r="F80" s="75">
        <f>Fortalezas!E56</f>
        <v>0</v>
      </c>
      <c r="G80" s="75">
        <f>Fortalezas!F56</f>
        <v>0</v>
      </c>
      <c r="H80" s="75">
        <f>Fortalezas!G56</f>
        <v>0</v>
      </c>
      <c r="I80" s="76">
        <f>Fortalezas!H56</f>
        <v>0</v>
      </c>
      <c r="J80" s="4"/>
      <c r="K80" s="4"/>
      <c r="L80" s="3555"/>
      <c r="M80" s="4"/>
      <c r="N80" s="4"/>
      <c r="O80" s="4"/>
      <c r="P80" s="3558"/>
      <c r="Q80" s="3555"/>
      <c r="R80" s="3555"/>
      <c r="S80" s="3556">
        <v>0</v>
      </c>
      <c r="T80" s="3555"/>
      <c r="U80" s="3557">
        <f t="shared" si="5"/>
        <v>0</v>
      </c>
      <c r="V80" s="3555"/>
      <c r="W80" s="3555"/>
      <c r="X80" s="3555"/>
      <c r="Y80" s="3555"/>
      <c r="Z80" s="3555"/>
      <c r="AA80" s="4"/>
      <c r="AB80" s="3555"/>
      <c r="AC80" s="3555"/>
      <c r="AD80" s="3555"/>
      <c r="AE80" s="3555"/>
      <c r="AF80" s="3555"/>
      <c r="AG80" s="3555"/>
      <c r="AH80" s="3555"/>
      <c r="AI80" s="63"/>
      <c r="AJ80" s="63"/>
      <c r="AK80" s="63"/>
      <c r="AL80" s="63"/>
      <c r="AM80" s="63"/>
    </row>
    <row r="81" spans="1:39" s="64" customFormat="1" ht="19">
      <c r="A81" s="58">
        <v>149902</v>
      </c>
      <c r="B81" s="59"/>
      <c r="C81" s="47"/>
      <c r="D81" s="65" t="s">
        <v>560</v>
      </c>
      <c r="E81" s="75">
        <f>Fortalezas!D57</f>
        <v>0</v>
      </c>
      <c r="F81" s="75">
        <f>Fortalezas!E57</f>
        <v>0</v>
      </c>
      <c r="G81" s="75">
        <f>Fortalezas!F57</f>
        <v>0</v>
      </c>
      <c r="H81" s="75">
        <f>Fortalezas!G57</f>
        <v>0</v>
      </c>
      <c r="I81" s="76">
        <f>Fortalezas!H57</f>
        <v>0</v>
      </c>
      <c r="J81" s="4"/>
      <c r="K81" s="4"/>
      <c r="L81" s="3555"/>
      <c r="M81" s="4"/>
      <c r="N81" s="4"/>
      <c r="O81" s="4"/>
      <c r="P81" s="3558"/>
      <c r="Q81" s="3555"/>
      <c r="R81" s="3555"/>
      <c r="S81" s="3556">
        <v>0</v>
      </c>
      <c r="T81" s="3555"/>
      <c r="U81" s="3557">
        <f t="shared" si="5"/>
        <v>0</v>
      </c>
      <c r="V81" s="3555"/>
      <c r="W81" s="3555"/>
      <c r="X81" s="3555"/>
      <c r="Y81" s="3555"/>
      <c r="Z81" s="3555"/>
      <c r="AA81" s="4"/>
      <c r="AB81" s="3555"/>
      <c r="AC81" s="3555"/>
      <c r="AD81" s="3555"/>
      <c r="AE81" s="3555"/>
      <c r="AF81" s="3555"/>
      <c r="AG81" s="3555"/>
      <c r="AH81" s="3555"/>
      <c r="AI81" s="63"/>
      <c r="AJ81" s="63"/>
      <c r="AK81" s="63"/>
      <c r="AL81" s="63"/>
      <c r="AM81" s="63"/>
    </row>
    <row r="82" spans="1:39" s="64" customFormat="1" ht="19">
      <c r="A82" s="58">
        <v>149910</v>
      </c>
      <c r="B82" s="59"/>
      <c r="C82" s="47"/>
      <c r="D82" s="65" t="s">
        <v>603</v>
      </c>
      <c r="E82" s="75">
        <f>Fortalezas!D58</f>
        <v>0</v>
      </c>
      <c r="F82" s="75">
        <f>Fortalezas!E58</f>
        <v>0</v>
      </c>
      <c r="G82" s="75">
        <f>Fortalezas!F58</f>
        <v>0</v>
      </c>
      <c r="H82" s="75">
        <f>Fortalezas!G58</f>
        <v>0</v>
      </c>
      <c r="I82" s="76">
        <f>Fortalezas!H58</f>
        <v>0</v>
      </c>
      <c r="J82" s="4"/>
      <c r="K82" s="4"/>
      <c r="L82" s="3555"/>
      <c r="M82" s="4"/>
      <c r="N82" s="4"/>
      <c r="O82" s="4"/>
      <c r="P82" s="3558"/>
      <c r="Q82" s="3555"/>
      <c r="R82" s="3555"/>
      <c r="S82" s="3556">
        <v>0</v>
      </c>
      <c r="T82" s="3555"/>
      <c r="U82" s="3557">
        <f t="shared" si="5"/>
        <v>0</v>
      </c>
      <c r="V82" s="3555"/>
      <c r="W82" s="3555"/>
      <c r="X82" s="3555"/>
      <c r="Y82" s="3555"/>
      <c r="Z82" s="3555"/>
      <c r="AA82" s="4"/>
      <c r="AB82" s="3555"/>
      <c r="AC82" s="3555"/>
      <c r="AD82" s="3555"/>
      <c r="AE82" s="3555"/>
      <c r="AF82" s="3555"/>
      <c r="AG82" s="3555"/>
      <c r="AH82" s="3555"/>
      <c r="AI82" s="63"/>
      <c r="AJ82" s="63"/>
      <c r="AK82" s="63"/>
      <c r="AL82" s="63"/>
      <c r="AM82" s="63"/>
    </row>
    <row r="83" spans="1:39" s="64" customFormat="1" ht="19">
      <c r="A83" s="58">
        <v>140010</v>
      </c>
      <c r="B83" s="59"/>
      <c r="C83" s="66" t="s">
        <v>604</v>
      </c>
      <c r="D83" s="67"/>
      <c r="E83" s="68">
        <f>SUM(E73:E82)</f>
        <v>0</v>
      </c>
      <c r="F83" s="68">
        <f>SUM(F73:F82)</f>
        <v>0</v>
      </c>
      <c r="G83" s="68">
        <f>SUM(G73:G82)</f>
        <v>0</v>
      </c>
      <c r="H83" s="68">
        <f>SUM(H73:H82)</f>
        <v>0</v>
      </c>
      <c r="I83" s="69">
        <f>SUM(I73:I82)</f>
        <v>0</v>
      </c>
      <c r="J83" s="4"/>
      <c r="K83" s="4"/>
      <c r="L83" s="3555"/>
      <c r="M83" s="4"/>
      <c r="N83" s="4"/>
      <c r="O83" s="4"/>
      <c r="P83" s="3558"/>
      <c r="Q83" s="3555"/>
      <c r="R83" s="3555"/>
      <c r="S83" s="3556">
        <v>0</v>
      </c>
      <c r="T83" s="3555"/>
      <c r="U83" s="3557">
        <f t="shared" si="5"/>
        <v>0</v>
      </c>
      <c r="V83" s="3555"/>
      <c r="W83" s="3555"/>
      <c r="X83" s="3555"/>
      <c r="Y83" s="3555"/>
      <c r="Z83" s="3555"/>
      <c r="AA83" s="4"/>
      <c r="AB83" s="3555"/>
      <c r="AC83" s="3555"/>
      <c r="AD83" s="3555"/>
      <c r="AE83" s="3555"/>
      <c r="AF83" s="3555"/>
      <c r="AG83" s="3555"/>
      <c r="AH83" s="3555"/>
      <c r="AI83" s="63"/>
      <c r="AJ83" s="63"/>
      <c r="AK83" s="63"/>
      <c r="AL83" s="63"/>
      <c r="AM83" s="63"/>
    </row>
    <row r="84" spans="1:39" s="64" customFormat="1" ht="19">
      <c r="A84" s="58"/>
      <c r="B84" s="53"/>
      <c r="C84" s="54" t="s">
        <v>605</v>
      </c>
      <c r="D84" s="71"/>
      <c r="E84" s="72"/>
      <c r="F84" s="72"/>
      <c r="G84" s="72"/>
      <c r="H84" s="72"/>
      <c r="I84" s="73"/>
      <c r="J84" s="4"/>
      <c r="K84" s="4"/>
      <c r="L84" s="3555"/>
      <c r="M84" s="4"/>
      <c r="N84" s="4"/>
      <c r="O84" s="4"/>
      <c r="P84" s="3558"/>
      <c r="Q84" s="3555"/>
      <c r="R84" s="3555"/>
      <c r="S84" s="3556">
        <v>0</v>
      </c>
      <c r="T84" s="3555"/>
      <c r="U84" s="3557">
        <f>U91</f>
        <v>0</v>
      </c>
      <c r="V84" s="3555"/>
      <c r="W84" s="3555"/>
      <c r="X84" s="3555"/>
      <c r="Y84" s="3555"/>
      <c r="Z84" s="3555"/>
      <c r="AA84" s="4"/>
      <c r="AB84" s="3555"/>
      <c r="AC84" s="3555"/>
      <c r="AD84" s="3555"/>
      <c r="AE84" s="3555"/>
      <c r="AF84" s="3555"/>
      <c r="AG84" s="3555"/>
      <c r="AH84" s="3555"/>
      <c r="AI84" s="63"/>
      <c r="AJ84" s="63"/>
      <c r="AK84" s="63"/>
      <c r="AL84" s="63"/>
      <c r="AM84" s="63"/>
    </row>
    <row r="85" spans="1:39" s="64" customFormat="1" ht="19">
      <c r="A85" s="58">
        <v>170500</v>
      </c>
      <c r="B85" s="59"/>
      <c r="C85" s="47"/>
      <c r="D85" s="60" t="s">
        <v>606</v>
      </c>
      <c r="E85" s="61">
        <f>Fortalezas!D60</f>
        <v>0</v>
      </c>
      <c r="F85" s="61">
        <f>Fortalezas!E60</f>
        <v>0</v>
      </c>
      <c r="G85" s="61">
        <f>Fortalezas!F60</f>
        <v>0</v>
      </c>
      <c r="H85" s="61">
        <f>Fortalezas!G60</f>
        <v>0</v>
      </c>
      <c r="I85" s="62">
        <f>Fortalezas!H60</f>
        <v>0</v>
      </c>
      <c r="J85" s="4"/>
      <c r="K85" s="4"/>
      <c r="L85" s="3555"/>
      <c r="M85" s="4"/>
      <c r="N85" s="4"/>
      <c r="O85" s="4"/>
      <c r="P85" s="3558"/>
      <c r="Q85" s="3555"/>
      <c r="R85" s="3555"/>
      <c r="S85" s="3556">
        <v>0</v>
      </c>
      <c r="T85" s="3555"/>
      <c r="U85" s="3557">
        <f t="shared" ref="U85:U91" si="6">SUM(E85:I85)</f>
        <v>0</v>
      </c>
      <c r="V85" s="3555"/>
      <c r="W85" s="3555"/>
      <c r="X85" s="3555"/>
      <c r="Y85" s="3555"/>
      <c r="Z85" s="3555"/>
      <c r="AA85" s="4"/>
      <c r="AB85" s="3555"/>
      <c r="AC85" s="3555"/>
      <c r="AD85" s="3555"/>
      <c r="AE85" s="3555"/>
      <c r="AF85" s="3555"/>
      <c r="AG85" s="3555"/>
      <c r="AH85" s="3555"/>
      <c r="AI85" s="63"/>
      <c r="AJ85" s="63"/>
      <c r="AK85" s="63"/>
      <c r="AL85" s="63"/>
      <c r="AM85" s="63"/>
    </row>
    <row r="86" spans="1:39" s="64" customFormat="1" ht="19">
      <c r="A86" s="58">
        <v>171000</v>
      </c>
      <c r="B86" s="59"/>
      <c r="C86" s="47"/>
      <c r="D86" s="65" t="s">
        <v>607</v>
      </c>
      <c r="E86" s="75">
        <f>Fortalezas!D61</f>
        <v>0</v>
      </c>
      <c r="F86" s="75">
        <f>Fortalezas!E61</f>
        <v>0</v>
      </c>
      <c r="G86" s="75">
        <f>Fortalezas!F61</f>
        <v>0</v>
      </c>
      <c r="H86" s="75">
        <f>Fortalezas!G61</f>
        <v>0</v>
      </c>
      <c r="I86" s="76">
        <f>Fortalezas!H61</f>
        <v>0</v>
      </c>
      <c r="J86" s="4"/>
      <c r="K86" s="4"/>
      <c r="L86" s="3555"/>
      <c r="M86" s="4"/>
      <c r="N86" s="4"/>
      <c r="O86" s="4"/>
      <c r="P86" s="3558"/>
      <c r="Q86" s="3555"/>
      <c r="R86" s="3555"/>
      <c r="S86" s="3556">
        <v>0</v>
      </c>
      <c r="T86" s="3555"/>
      <c r="U86" s="3557">
        <f t="shared" si="6"/>
        <v>0</v>
      </c>
      <c r="V86" s="3555"/>
      <c r="W86" s="3555"/>
      <c r="X86" s="3555"/>
      <c r="Y86" s="3555"/>
      <c r="Z86" s="3555"/>
      <c r="AA86" s="4"/>
      <c r="AB86" s="3555"/>
      <c r="AC86" s="3555"/>
      <c r="AD86" s="3555"/>
      <c r="AE86" s="3555"/>
      <c r="AF86" s="3555"/>
      <c r="AG86" s="3555"/>
      <c r="AH86" s="3555"/>
      <c r="AI86" s="63"/>
      <c r="AJ86" s="63"/>
      <c r="AK86" s="63"/>
      <c r="AL86" s="63"/>
      <c r="AM86" s="63"/>
    </row>
    <row r="87" spans="1:39" s="64" customFormat="1" ht="19">
      <c r="A87" s="58">
        <v>173000</v>
      </c>
      <c r="B87" s="59"/>
      <c r="C87" s="47"/>
      <c r="D87" s="65" t="s">
        <v>608</v>
      </c>
      <c r="E87" s="75">
        <f>Fortalezas!D62</f>
        <v>0</v>
      </c>
      <c r="F87" s="75">
        <f>Fortalezas!E62</f>
        <v>0</v>
      </c>
      <c r="G87" s="75">
        <f>Fortalezas!F62</f>
        <v>0</v>
      </c>
      <c r="H87" s="75">
        <f>Fortalezas!G62</f>
        <v>0</v>
      </c>
      <c r="I87" s="76">
        <f>Fortalezas!H62</f>
        <v>0</v>
      </c>
      <c r="J87" s="4"/>
      <c r="K87" s="4"/>
      <c r="L87" s="3555"/>
      <c r="M87" s="4"/>
      <c r="N87" s="4"/>
      <c r="O87" s="4"/>
      <c r="P87" s="3558"/>
      <c r="Q87" s="3555"/>
      <c r="R87" s="3555"/>
      <c r="S87" s="3556">
        <v>0</v>
      </c>
      <c r="T87" s="3555"/>
      <c r="U87" s="3557">
        <f t="shared" si="6"/>
        <v>0</v>
      </c>
      <c r="V87" s="3555"/>
      <c r="W87" s="3555"/>
      <c r="X87" s="3555"/>
      <c r="Y87" s="3555"/>
      <c r="Z87" s="3555"/>
      <c r="AA87" s="4"/>
      <c r="AB87" s="3555"/>
      <c r="AC87" s="3555"/>
      <c r="AD87" s="3555"/>
      <c r="AE87" s="3555"/>
      <c r="AF87" s="3555"/>
      <c r="AG87" s="3555"/>
      <c r="AH87" s="3555"/>
      <c r="AI87" s="63"/>
      <c r="AJ87" s="63"/>
      <c r="AK87" s="63"/>
      <c r="AL87" s="63"/>
      <c r="AM87" s="63"/>
    </row>
    <row r="88" spans="1:39" s="64" customFormat="1" ht="19">
      <c r="A88" s="58">
        <v>179500</v>
      </c>
      <c r="B88" s="59"/>
      <c r="C88" s="47"/>
      <c r="D88" s="65" t="s">
        <v>609</v>
      </c>
      <c r="E88" s="75">
        <f>Fortalezas!D63</f>
        <v>0</v>
      </c>
      <c r="F88" s="75">
        <f>Fortalezas!E63</f>
        <v>0</v>
      </c>
      <c r="G88" s="75">
        <f>Fortalezas!F63</f>
        <v>0</v>
      </c>
      <c r="H88" s="75">
        <f>Fortalezas!G63</f>
        <v>0</v>
      </c>
      <c r="I88" s="76">
        <f>Fortalezas!H63</f>
        <v>0</v>
      </c>
      <c r="J88" s="4"/>
      <c r="K88" s="4"/>
      <c r="L88" s="3555"/>
      <c r="M88" s="4"/>
      <c r="N88" s="4"/>
      <c r="O88" s="4"/>
      <c r="P88" s="3558"/>
      <c r="Q88" s="3555"/>
      <c r="R88" s="3555"/>
      <c r="S88" s="3556">
        <v>0</v>
      </c>
      <c r="T88" s="3555"/>
      <c r="U88" s="3557">
        <f t="shared" si="6"/>
        <v>0</v>
      </c>
      <c r="V88" s="3555"/>
      <c r="W88" s="3555"/>
      <c r="X88" s="3555"/>
      <c r="Y88" s="3555"/>
      <c r="Z88" s="3555"/>
      <c r="AA88" s="4"/>
      <c r="AB88" s="3555"/>
      <c r="AC88" s="3555"/>
      <c r="AD88" s="3555"/>
      <c r="AE88" s="3555"/>
      <c r="AF88" s="3555"/>
      <c r="AG88" s="3555"/>
      <c r="AH88" s="3555"/>
      <c r="AI88" s="63"/>
      <c r="AJ88" s="63"/>
      <c r="AK88" s="63"/>
      <c r="AL88" s="63"/>
      <c r="AM88" s="63"/>
    </row>
    <row r="89" spans="1:39" s="64" customFormat="1" ht="19" hidden="1" customHeight="1">
      <c r="A89" s="58"/>
      <c r="B89" s="59"/>
      <c r="C89" s="47"/>
      <c r="D89" s="65"/>
      <c r="E89" s="75"/>
      <c r="F89" s="75"/>
      <c r="G89" s="75"/>
      <c r="H89" s="75"/>
      <c r="I89" s="76"/>
      <c r="J89" s="4"/>
      <c r="K89" s="4"/>
      <c r="L89" s="3555"/>
      <c r="M89" s="4"/>
      <c r="N89" s="4"/>
      <c r="O89" s="4"/>
      <c r="P89" s="3558"/>
      <c r="Q89" s="3555"/>
      <c r="R89" s="3555"/>
      <c r="S89" s="3556">
        <v>1</v>
      </c>
      <c r="T89" s="3555"/>
      <c r="U89" s="3557">
        <f t="shared" si="6"/>
        <v>0</v>
      </c>
      <c r="V89" s="3555"/>
      <c r="W89" s="3555"/>
      <c r="X89" s="3555"/>
      <c r="Y89" s="3555"/>
      <c r="Z89" s="3555"/>
      <c r="AA89" s="4"/>
      <c r="AB89" s="3555"/>
      <c r="AC89" s="3555"/>
      <c r="AD89" s="3555"/>
      <c r="AE89" s="3555"/>
      <c r="AF89" s="3555"/>
      <c r="AG89" s="3555"/>
      <c r="AH89" s="3555"/>
      <c r="AI89" s="63"/>
      <c r="AJ89" s="63"/>
      <c r="AK89" s="63"/>
      <c r="AL89" s="63"/>
      <c r="AM89" s="63"/>
    </row>
    <row r="90" spans="1:39" s="64" customFormat="1" ht="19">
      <c r="A90" s="58">
        <v>179700</v>
      </c>
      <c r="B90" s="59"/>
      <c r="C90" s="47"/>
      <c r="D90" s="65" t="s">
        <v>560</v>
      </c>
      <c r="E90" s="75">
        <f>Fortalezas!D64</f>
        <v>0</v>
      </c>
      <c r="F90" s="75">
        <f>Fortalezas!E64</f>
        <v>0</v>
      </c>
      <c r="G90" s="75">
        <f>Fortalezas!F64</f>
        <v>0</v>
      </c>
      <c r="H90" s="75">
        <f>Fortalezas!G64</f>
        <v>0</v>
      </c>
      <c r="I90" s="76">
        <f>Fortalezas!H64</f>
        <v>0</v>
      </c>
      <c r="J90" s="4"/>
      <c r="K90" s="4"/>
      <c r="L90" s="3555"/>
      <c r="M90" s="4"/>
      <c r="N90" s="4"/>
      <c r="O90" s="4"/>
      <c r="P90" s="3558"/>
      <c r="Q90" s="3555"/>
      <c r="R90" s="3555"/>
      <c r="S90" s="3556">
        <v>0</v>
      </c>
      <c r="T90" s="3555"/>
      <c r="U90" s="3557">
        <f t="shared" si="6"/>
        <v>0</v>
      </c>
      <c r="V90" s="3555"/>
      <c r="W90" s="3555"/>
      <c r="X90" s="3555"/>
      <c r="Y90" s="3555"/>
      <c r="Z90" s="3555"/>
      <c r="AA90" s="4"/>
      <c r="AB90" s="3555"/>
      <c r="AC90" s="3555"/>
      <c r="AD90" s="3555"/>
      <c r="AE90" s="3555"/>
      <c r="AF90" s="3555"/>
      <c r="AG90" s="3555"/>
      <c r="AH90" s="3555"/>
      <c r="AI90" s="63"/>
      <c r="AJ90" s="63"/>
      <c r="AK90" s="63"/>
      <c r="AL90" s="63"/>
      <c r="AM90" s="63"/>
    </row>
    <row r="91" spans="1:39" s="64" customFormat="1" ht="19">
      <c r="A91" s="58">
        <v>1107</v>
      </c>
      <c r="B91" s="59"/>
      <c r="C91" s="66" t="s">
        <v>610</v>
      </c>
      <c r="D91" s="67"/>
      <c r="E91" s="68">
        <f>SUM(E85:E90)</f>
        <v>0</v>
      </c>
      <c r="F91" s="68">
        <f>SUM(F85:F90)</f>
        <v>0</v>
      </c>
      <c r="G91" s="68">
        <f>SUM(G85:G90)</f>
        <v>0</v>
      </c>
      <c r="H91" s="68">
        <f>SUM(H85:H90)</f>
        <v>0</v>
      </c>
      <c r="I91" s="69">
        <f>SUM(I85:I90)</f>
        <v>0</v>
      </c>
      <c r="J91" s="4"/>
      <c r="K91" s="4"/>
      <c r="L91" s="3555"/>
      <c r="M91" s="4"/>
      <c r="N91" s="4"/>
      <c r="O91" s="4"/>
      <c r="P91" s="3558"/>
      <c r="Q91" s="3555"/>
      <c r="R91" s="3555"/>
      <c r="S91" s="3556">
        <v>0</v>
      </c>
      <c r="T91" s="3555"/>
      <c r="U91" s="3557">
        <f t="shared" si="6"/>
        <v>0</v>
      </c>
      <c r="V91" s="3555"/>
      <c r="W91" s="3555"/>
      <c r="X91" s="3555"/>
      <c r="Y91" s="3555"/>
      <c r="Z91" s="3555"/>
      <c r="AA91" s="4"/>
      <c r="AB91" s="3555"/>
      <c r="AC91" s="3555"/>
      <c r="AD91" s="3555"/>
      <c r="AE91" s="3555"/>
      <c r="AF91" s="3555"/>
      <c r="AG91" s="3555"/>
      <c r="AH91" s="3555"/>
      <c r="AI91" s="63"/>
      <c r="AJ91" s="63"/>
      <c r="AK91" s="63"/>
      <c r="AL91" s="63"/>
      <c r="AM91" s="63"/>
    </row>
    <row r="92" spans="1:39" s="64" customFormat="1" ht="19">
      <c r="A92" s="58"/>
      <c r="B92" s="53"/>
      <c r="C92" s="54" t="s">
        <v>611</v>
      </c>
      <c r="D92" s="71"/>
      <c r="E92" s="72"/>
      <c r="F92" s="72"/>
      <c r="G92" s="72"/>
      <c r="H92" s="72"/>
      <c r="I92" s="73"/>
      <c r="J92" s="4"/>
      <c r="K92" s="4"/>
      <c r="L92" s="3555"/>
      <c r="M92" s="4"/>
      <c r="N92" s="4"/>
      <c r="O92" s="4"/>
      <c r="P92" s="3558"/>
      <c r="Q92" s="3555"/>
      <c r="R92" s="3555"/>
      <c r="S92" s="3556">
        <v>0</v>
      </c>
      <c r="T92" s="3555"/>
      <c r="U92" s="3557">
        <f>U97</f>
        <v>0</v>
      </c>
      <c r="V92" s="3555"/>
      <c r="W92" s="3555"/>
      <c r="X92" s="3555"/>
      <c r="Y92" s="3555"/>
      <c r="Z92" s="3555"/>
      <c r="AA92" s="4"/>
      <c r="AB92" s="3555"/>
      <c r="AC92" s="3555"/>
      <c r="AD92" s="3555"/>
      <c r="AE92" s="3555"/>
      <c r="AF92" s="3555"/>
      <c r="AG92" s="3555"/>
      <c r="AH92" s="3555"/>
      <c r="AI92" s="63"/>
      <c r="AJ92" s="63"/>
      <c r="AK92" s="63"/>
      <c r="AL92" s="63"/>
      <c r="AM92" s="63"/>
    </row>
    <row r="93" spans="1:39" s="64" customFormat="1" ht="19">
      <c r="A93" s="58">
        <v>189500</v>
      </c>
      <c r="B93" s="59"/>
      <c r="C93" s="47"/>
      <c r="D93" s="74" t="s">
        <v>612</v>
      </c>
      <c r="E93" s="61">
        <f>Fortalezas!D66</f>
        <v>0</v>
      </c>
      <c r="F93" s="61">
        <f>Fortalezas!E66</f>
        <v>0</v>
      </c>
      <c r="G93" s="61">
        <f>Fortalezas!F66</f>
        <v>0</v>
      </c>
      <c r="H93" s="61">
        <f>Fortalezas!G66</f>
        <v>0</v>
      </c>
      <c r="I93" s="62">
        <f>Fortalezas!H66</f>
        <v>0</v>
      </c>
      <c r="J93" s="4"/>
      <c r="K93" s="4"/>
      <c r="L93" s="3555"/>
      <c r="M93" s="4"/>
      <c r="N93" s="4"/>
      <c r="O93" s="4"/>
      <c r="P93" s="3558"/>
      <c r="Q93" s="3555"/>
      <c r="R93" s="3555"/>
      <c r="S93" s="3556">
        <v>0</v>
      </c>
      <c r="T93" s="3555"/>
      <c r="U93" s="3557">
        <f t="shared" ref="U93:U98" si="7">SUM(E93:I93)</f>
        <v>0</v>
      </c>
      <c r="V93" s="3555"/>
      <c r="W93" s="3555"/>
      <c r="X93" s="3555"/>
      <c r="Y93" s="3555"/>
      <c r="Z93" s="3555"/>
      <c r="AA93" s="4"/>
      <c r="AB93" s="3555"/>
      <c r="AC93" s="3555"/>
      <c r="AD93" s="3555"/>
      <c r="AE93" s="3555"/>
      <c r="AF93" s="3555"/>
      <c r="AG93" s="3555"/>
      <c r="AH93" s="3555"/>
      <c r="AI93" s="63"/>
      <c r="AJ93" s="63"/>
      <c r="AK93" s="63"/>
      <c r="AL93" s="63"/>
      <c r="AM93" s="63"/>
    </row>
    <row r="94" spans="1:39" s="64" customFormat="1" ht="19" hidden="1" customHeight="1">
      <c r="A94" s="58"/>
      <c r="B94" s="59"/>
      <c r="C94" s="47"/>
      <c r="D94" s="65"/>
      <c r="E94" s="75"/>
      <c r="F94" s="75"/>
      <c r="G94" s="75"/>
      <c r="H94" s="75"/>
      <c r="I94" s="76"/>
      <c r="J94" s="4"/>
      <c r="K94" s="4"/>
      <c r="L94" s="3555"/>
      <c r="M94" s="4"/>
      <c r="N94" s="4"/>
      <c r="O94" s="4"/>
      <c r="P94" s="3558"/>
      <c r="Q94" s="3555"/>
      <c r="R94" s="3555"/>
      <c r="S94" s="3556">
        <v>1</v>
      </c>
      <c r="T94" s="3555"/>
      <c r="U94" s="3557">
        <f t="shared" si="7"/>
        <v>0</v>
      </c>
      <c r="V94" s="3555"/>
      <c r="W94" s="3555"/>
      <c r="X94" s="3555"/>
      <c r="Y94" s="3555"/>
      <c r="Z94" s="3555"/>
      <c r="AA94" s="4"/>
      <c r="AB94" s="3555"/>
      <c r="AC94" s="3555"/>
      <c r="AD94" s="3555"/>
      <c r="AE94" s="3555"/>
      <c r="AF94" s="3555"/>
      <c r="AG94" s="3555"/>
      <c r="AH94" s="3555"/>
      <c r="AI94" s="63"/>
      <c r="AJ94" s="63"/>
      <c r="AK94" s="63"/>
      <c r="AL94" s="63"/>
      <c r="AM94" s="63"/>
    </row>
    <row r="95" spans="1:39" s="64" customFormat="1" ht="19">
      <c r="A95" s="58">
        <v>181000</v>
      </c>
      <c r="B95" s="59"/>
      <c r="C95" s="47"/>
      <c r="D95" s="74" t="s">
        <v>613</v>
      </c>
      <c r="E95" s="75">
        <f>Fortalezas!D67+Fortalezas!D374</f>
        <v>0</v>
      </c>
      <c r="F95" s="75">
        <f>Fortalezas!E67+Fortalezas!E374</f>
        <v>0</v>
      </c>
      <c r="G95" s="75">
        <f>Fortalezas!F67+Fortalezas!F374</f>
        <v>0</v>
      </c>
      <c r="H95" s="75">
        <f>Fortalezas!G67+Fortalezas!G374</f>
        <v>0</v>
      </c>
      <c r="I95" s="76">
        <f>Fortalezas!H67+Fortalezas!H374</f>
        <v>0</v>
      </c>
      <c r="J95" s="4"/>
      <c r="K95" s="4"/>
      <c r="L95" s="3555"/>
      <c r="M95" s="4"/>
      <c r="N95" s="4"/>
      <c r="O95" s="4"/>
      <c r="P95" s="3558"/>
      <c r="Q95" s="3555"/>
      <c r="R95" s="3555"/>
      <c r="S95" s="3556">
        <v>0</v>
      </c>
      <c r="T95" s="3555"/>
      <c r="U95" s="3557">
        <f t="shared" si="7"/>
        <v>0</v>
      </c>
      <c r="V95" s="3555"/>
      <c r="W95" s="3555"/>
      <c r="X95" s="3555"/>
      <c r="Y95" s="3555"/>
      <c r="Z95" s="3555"/>
      <c r="AA95" s="4"/>
      <c r="AB95" s="3555"/>
      <c r="AC95" s="3555"/>
      <c r="AD95" s="3555"/>
      <c r="AE95" s="3555"/>
      <c r="AF95" s="3555"/>
      <c r="AG95" s="3555"/>
      <c r="AH95" s="3555"/>
      <c r="AI95" s="63"/>
      <c r="AJ95" s="63"/>
      <c r="AK95" s="63"/>
      <c r="AL95" s="63"/>
      <c r="AM95" s="63"/>
    </row>
    <row r="96" spans="1:39" s="64" customFormat="1" ht="19" hidden="1" customHeight="1">
      <c r="A96" s="58"/>
      <c r="B96" s="59"/>
      <c r="C96" s="47"/>
      <c r="D96" s="65"/>
      <c r="E96" s="75"/>
      <c r="F96" s="75"/>
      <c r="G96" s="78"/>
      <c r="H96" s="78"/>
      <c r="I96" s="79"/>
      <c r="J96" s="4"/>
      <c r="K96" s="4"/>
      <c r="L96" s="3555"/>
      <c r="M96" s="4"/>
      <c r="N96" s="4"/>
      <c r="O96" s="4"/>
      <c r="P96" s="3558"/>
      <c r="Q96" s="3555"/>
      <c r="R96" s="3555"/>
      <c r="S96" s="3556">
        <v>1</v>
      </c>
      <c r="T96" s="3555"/>
      <c r="U96" s="3557">
        <f t="shared" si="7"/>
        <v>0</v>
      </c>
      <c r="V96" s="3555"/>
      <c r="W96" s="3555"/>
      <c r="X96" s="3555"/>
      <c r="Y96" s="3555"/>
      <c r="Z96" s="3555"/>
      <c r="AA96" s="4"/>
      <c r="AB96" s="3555"/>
      <c r="AC96" s="3555"/>
      <c r="AD96" s="3555"/>
      <c r="AE96" s="3555"/>
      <c r="AF96" s="3555"/>
      <c r="AG96" s="3555"/>
      <c r="AH96" s="3555"/>
      <c r="AI96" s="63"/>
      <c r="AJ96" s="63"/>
      <c r="AK96" s="63"/>
      <c r="AL96" s="63"/>
      <c r="AM96" s="63"/>
    </row>
    <row r="97" spans="1:39" s="64" customFormat="1" ht="19">
      <c r="A97" s="58">
        <v>180000</v>
      </c>
      <c r="B97" s="59"/>
      <c r="C97" s="80" t="s">
        <v>614</v>
      </c>
      <c r="D97" s="81"/>
      <c r="E97" s="82">
        <f>SUM(E93:E95)</f>
        <v>0</v>
      </c>
      <c r="F97" s="82">
        <f>SUM(F93:F95)</f>
        <v>0</v>
      </c>
      <c r="G97" s="82">
        <f>SUM(G93:G95)</f>
        <v>0</v>
      </c>
      <c r="H97" s="82">
        <f>SUM(H93:H95)</f>
        <v>0</v>
      </c>
      <c r="I97" s="83">
        <f>SUM(I93:I95)</f>
        <v>0</v>
      </c>
      <c r="J97" s="4"/>
      <c r="K97" s="4"/>
      <c r="L97" s="3555"/>
      <c r="M97" s="4"/>
      <c r="N97" s="4"/>
      <c r="O97" s="4"/>
      <c r="P97" s="3558"/>
      <c r="Q97" s="3555"/>
      <c r="R97" s="3555"/>
      <c r="S97" s="3556">
        <v>0</v>
      </c>
      <c r="T97" s="3555"/>
      <c r="U97" s="3557">
        <f t="shared" si="7"/>
        <v>0</v>
      </c>
      <c r="V97" s="3555"/>
      <c r="W97" s="3555"/>
      <c r="X97" s="3555"/>
      <c r="Y97" s="3555"/>
      <c r="Z97" s="3555"/>
      <c r="AA97" s="4"/>
      <c r="AB97" s="3555"/>
      <c r="AC97" s="3555"/>
      <c r="AD97" s="3555"/>
      <c r="AE97" s="3555"/>
      <c r="AF97" s="3555"/>
      <c r="AG97" s="3555"/>
      <c r="AH97" s="3555"/>
      <c r="AI97" s="63"/>
      <c r="AJ97" s="63"/>
      <c r="AK97" s="63"/>
      <c r="AL97" s="63"/>
      <c r="AM97" s="63"/>
    </row>
    <row r="98" spans="1:39" s="64" customFormat="1" ht="19">
      <c r="A98" s="58">
        <v>11</v>
      </c>
      <c r="B98" s="84"/>
      <c r="C98" s="85" t="s">
        <v>615</v>
      </c>
      <c r="D98" s="86"/>
      <c r="E98" s="87">
        <f>E23+E33+E40+E56+E71+E83+E91+E97</f>
        <v>0</v>
      </c>
      <c r="F98" s="87">
        <f>F23+F33+F40+F56+F71+F83+F91+F97</f>
        <v>0</v>
      </c>
      <c r="G98" s="87">
        <f>G23+G33+G40+G56+G71+G83+G91+G97</f>
        <v>0</v>
      </c>
      <c r="H98" s="87">
        <f>H23+H33+H40+H56+H71+H83+H91+H97</f>
        <v>0</v>
      </c>
      <c r="I98" s="88">
        <f>I23+I33+I40+I56+I71+I83+I91+I97</f>
        <v>0</v>
      </c>
      <c r="J98" s="4"/>
      <c r="K98" s="4"/>
      <c r="L98" s="3555"/>
      <c r="M98" s="4"/>
      <c r="N98" s="4"/>
      <c r="O98" s="4"/>
      <c r="P98" s="3558"/>
      <c r="Q98" s="3555"/>
      <c r="R98" s="3555"/>
      <c r="S98" s="3556">
        <v>0</v>
      </c>
      <c r="T98" s="3555"/>
      <c r="U98" s="3557">
        <f t="shared" si="7"/>
        <v>0</v>
      </c>
      <c r="V98" s="3555"/>
      <c r="W98" s="3555"/>
      <c r="X98" s="3555"/>
      <c r="Y98" s="3555"/>
      <c r="Z98" s="3555"/>
      <c r="AA98" s="4"/>
      <c r="AB98" s="3555"/>
      <c r="AC98" s="3555"/>
      <c r="AD98" s="3555"/>
      <c r="AE98" s="3555"/>
      <c r="AF98" s="3555"/>
      <c r="AG98" s="3555"/>
      <c r="AH98" s="3555"/>
      <c r="AI98" s="63"/>
      <c r="AJ98" s="63"/>
      <c r="AK98" s="63"/>
      <c r="AL98" s="63"/>
      <c r="AM98" s="63"/>
    </row>
    <row r="99" spans="1:39" s="64" customFormat="1" ht="19">
      <c r="A99" s="58"/>
      <c r="B99" s="53"/>
      <c r="C99" s="54" t="s">
        <v>616</v>
      </c>
      <c r="D99" s="89"/>
      <c r="E99" s="90"/>
      <c r="F99" s="90"/>
      <c r="G99" s="90"/>
      <c r="H99" s="90"/>
      <c r="I99" s="91"/>
      <c r="J99" s="4"/>
      <c r="K99" s="4"/>
      <c r="L99" s="3555"/>
      <c r="M99" s="4"/>
      <c r="N99" s="4"/>
      <c r="O99" s="4"/>
      <c r="P99" s="3558"/>
      <c r="Q99" s="3555"/>
      <c r="R99" s="3555"/>
      <c r="S99" s="3556">
        <v>0</v>
      </c>
      <c r="T99" s="3555"/>
      <c r="U99" s="3557">
        <f>U120</f>
        <v>0</v>
      </c>
      <c r="V99" s="3555"/>
      <c r="W99" s="3555"/>
      <c r="X99" s="3555"/>
      <c r="Y99" s="3555"/>
      <c r="Z99" s="3555"/>
      <c r="AA99" s="4"/>
      <c r="AB99" s="3555"/>
      <c r="AC99" s="3555"/>
      <c r="AD99" s="3555"/>
      <c r="AE99" s="3555"/>
      <c r="AF99" s="3555"/>
      <c r="AG99" s="3555"/>
      <c r="AH99" s="3555"/>
      <c r="AI99" s="63"/>
      <c r="AJ99" s="63"/>
      <c r="AK99" s="63"/>
      <c r="AL99" s="63"/>
      <c r="AM99" s="63"/>
    </row>
    <row r="100" spans="1:39" s="64" customFormat="1" ht="19">
      <c r="A100" s="58">
        <v>120104</v>
      </c>
      <c r="B100" s="59"/>
      <c r="C100" s="47"/>
      <c r="D100" s="60" t="s">
        <v>617</v>
      </c>
      <c r="E100" s="61">
        <f>Fortalezas!D70</f>
        <v>0</v>
      </c>
      <c r="F100" s="61">
        <f>Fortalezas!E70</f>
        <v>0</v>
      </c>
      <c r="G100" s="61">
        <f>Fortalezas!F70</f>
        <v>0</v>
      </c>
      <c r="H100" s="61">
        <f>Fortalezas!G70</f>
        <v>0</v>
      </c>
      <c r="I100" s="62">
        <f>Fortalezas!H70</f>
        <v>0</v>
      </c>
      <c r="J100" s="4"/>
      <c r="K100" s="4"/>
      <c r="L100" s="3555"/>
      <c r="M100" s="4"/>
      <c r="N100" s="4"/>
      <c r="O100" s="4"/>
      <c r="P100" s="3558"/>
      <c r="Q100" s="3555"/>
      <c r="R100" s="3555"/>
      <c r="S100" s="3556">
        <v>0</v>
      </c>
      <c r="T100" s="3555"/>
      <c r="U100" s="3557">
        <f t="shared" ref="U100:U120" si="8">SUM(E100:I100)</f>
        <v>0</v>
      </c>
      <c r="V100" s="3555"/>
      <c r="W100" s="3555"/>
      <c r="X100" s="3555"/>
      <c r="Y100" s="3555"/>
      <c r="Z100" s="3555"/>
      <c r="AA100" s="4"/>
      <c r="AB100" s="3555"/>
      <c r="AC100" s="3555"/>
      <c r="AD100" s="3555"/>
      <c r="AE100" s="3555"/>
      <c r="AF100" s="3555"/>
      <c r="AG100" s="3555"/>
      <c r="AH100" s="3555"/>
      <c r="AI100" s="63"/>
      <c r="AJ100" s="63"/>
      <c r="AK100" s="63"/>
      <c r="AL100" s="63"/>
      <c r="AM100" s="63"/>
    </row>
    <row r="101" spans="1:39" s="64" customFormat="1" ht="19">
      <c r="A101" s="58">
        <v>120108</v>
      </c>
      <c r="B101" s="59"/>
      <c r="C101" s="47"/>
      <c r="D101" s="65" t="s">
        <v>618</v>
      </c>
      <c r="E101" s="75">
        <f>Fortalezas!D71</f>
        <v>0</v>
      </c>
      <c r="F101" s="75">
        <f>Fortalezas!E71</f>
        <v>0</v>
      </c>
      <c r="G101" s="75">
        <f>Fortalezas!F71</f>
        <v>0</v>
      </c>
      <c r="H101" s="75">
        <f>Fortalezas!G71</f>
        <v>0</v>
      </c>
      <c r="I101" s="76">
        <f>Fortalezas!H71</f>
        <v>0</v>
      </c>
      <c r="J101" s="4"/>
      <c r="K101" s="4"/>
      <c r="L101" s="3555"/>
      <c r="M101" s="4"/>
      <c r="N101" s="4"/>
      <c r="O101" s="4"/>
      <c r="P101" s="3558"/>
      <c r="Q101" s="3555"/>
      <c r="R101" s="3555"/>
      <c r="S101" s="3556">
        <v>0</v>
      </c>
      <c r="T101" s="3555"/>
      <c r="U101" s="3557">
        <f t="shared" si="8"/>
        <v>0</v>
      </c>
      <c r="V101" s="3555"/>
      <c r="W101" s="3555"/>
      <c r="X101" s="3555"/>
      <c r="Y101" s="3555"/>
      <c r="Z101" s="3555"/>
      <c r="AA101" s="4"/>
      <c r="AB101" s="3555"/>
      <c r="AC101" s="3555"/>
      <c r="AD101" s="3555"/>
      <c r="AE101" s="3555"/>
      <c r="AF101" s="3555"/>
      <c r="AG101" s="3555"/>
      <c r="AH101" s="3555"/>
      <c r="AI101" s="63"/>
      <c r="AJ101" s="63"/>
      <c r="AK101" s="63"/>
      <c r="AL101" s="63"/>
      <c r="AM101" s="63"/>
    </row>
    <row r="102" spans="1:39" s="64" customFormat="1" ht="19">
      <c r="A102" s="58">
        <v>151201</v>
      </c>
      <c r="B102" s="59"/>
      <c r="C102" s="47"/>
      <c r="D102" s="65" t="s">
        <v>619</v>
      </c>
      <c r="E102" s="75">
        <f>Fortalezas!D72</f>
        <v>0</v>
      </c>
      <c r="F102" s="75">
        <f>Fortalezas!E72</f>
        <v>0</v>
      </c>
      <c r="G102" s="75">
        <f>Fortalezas!F72</f>
        <v>0</v>
      </c>
      <c r="H102" s="75">
        <f>Fortalezas!G72</f>
        <v>0</v>
      </c>
      <c r="I102" s="76">
        <f>Fortalezas!H72</f>
        <v>0</v>
      </c>
      <c r="J102" s="4"/>
      <c r="K102" s="4"/>
      <c r="L102" s="3555"/>
      <c r="M102" s="4"/>
      <c r="N102" s="4"/>
      <c r="O102" s="4"/>
      <c r="P102" s="3558"/>
      <c r="Q102" s="3555"/>
      <c r="R102" s="3555"/>
      <c r="S102" s="3556">
        <v>0</v>
      </c>
      <c r="T102" s="3555"/>
      <c r="U102" s="3557">
        <f t="shared" si="8"/>
        <v>0</v>
      </c>
      <c r="V102" s="3555"/>
      <c r="W102" s="3555"/>
      <c r="X102" s="3555"/>
      <c r="Y102" s="3555"/>
      <c r="Z102" s="3555"/>
      <c r="AA102" s="4"/>
      <c r="AB102" s="3555"/>
      <c r="AC102" s="3555"/>
      <c r="AD102" s="3555"/>
      <c r="AE102" s="3555"/>
      <c r="AF102" s="3555"/>
      <c r="AG102" s="3555"/>
      <c r="AH102" s="3555"/>
      <c r="AI102" s="63"/>
      <c r="AJ102" s="63"/>
      <c r="AK102" s="63"/>
      <c r="AL102" s="63"/>
      <c r="AM102" s="63"/>
    </row>
    <row r="103" spans="1:39" s="64" customFormat="1" ht="19">
      <c r="A103" s="58">
        <v>120116</v>
      </c>
      <c r="B103" s="59"/>
      <c r="C103" s="47"/>
      <c r="D103" s="65" t="s">
        <v>362</v>
      </c>
      <c r="E103" s="75">
        <f>Fortalezas!D73</f>
        <v>0</v>
      </c>
      <c r="F103" s="75">
        <f>Fortalezas!E73</f>
        <v>0</v>
      </c>
      <c r="G103" s="75">
        <f>Fortalezas!F73</f>
        <v>0</v>
      </c>
      <c r="H103" s="75">
        <f>Fortalezas!G73</f>
        <v>0</v>
      </c>
      <c r="I103" s="76">
        <f>Fortalezas!H73</f>
        <v>0</v>
      </c>
      <c r="J103" s="4"/>
      <c r="K103" s="4"/>
      <c r="L103" s="3555"/>
      <c r="M103" s="4"/>
      <c r="N103" s="4"/>
      <c r="O103" s="4"/>
      <c r="P103" s="3558"/>
      <c r="Q103" s="3555"/>
      <c r="R103" s="3555"/>
      <c r="S103" s="3556">
        <v>0</v>
      </c>
      <c r="T103" s="3555"/>
      <c r="U103" s="3557">
        <f t="shared" si="8"/>
        <v>0</v>
      </c>
      <c r="V103" s="3555"/>
      <c r="W103" s="3555"/>
      <c r="X103" s="3555"/>
      <c r="Y103" s="3555"/>
      <c r="Z103" s="3555"/>
      <c r="AA103" s="4"/>
      <c r="AB103" s="3555"/>
      <c r="AC103" s="3555"/>
      <c r="AD103" s="3555"/>
      <c r="AE103" s="3555"/>
      <c r="AF103" s="3555"/>
      <c r="AG103" s="3555"/>
      <c r="AH103" s="3555"/>
      <c r="AI103" s="63"/>
      <c r="AJ103" s="63"/>
      <c r="AK103" s="63"/>
      <c r="AL103" s="63"/>
      <c r="AM103" s="63"/>
    </row>
    <row r="104" spans="1:39" s="64" customFormat="1" ht="19">
      <c r="A104" s="58">
        <v>120120</v>
      </c>
      <c r="B104" s="59"/>
      <c r="C104" s="47"/>
      <c r="D104" s="65" t="s">
        <v>620</v>
      </c>
      <c r="E104" s="75">
        <f>Fortalezas!D74</f>
        <v>0</v>
      </c>
      <c r="F104" s="75">
        <f>Fortalezas!E74</f>
        <v>0</v>
      </c>
      <c r="G104" s="75">
        <f>Fortalezas!F74</f>
        <v>0</v>
      </c>
      <c r="H104" s="75">
        <f>Fortalezas!G74</f>
        <v>0</v>
      </c>
      <c r="I104" s="76">
        <f>Fortalezas!H74</f>
        <v>0</v>
      </c>
      <c r="J104" s="4"/>
      <c r="K104" s="4"/>
      <c r="L104" s="3555"/>
      <c r="M104" s="4"/>
      <c r="N104" s="4"/>
      <c r="O104" s="4"/>
      <c r="P104" s="3558"/>
      <c r="Q104" s="3555"/>
      <c r="R104" s="3555"/>
      <c r="S104" s="3556">
        <v>0</v>
      </c>
      <c r="T104" s="3555"/>
      <c r="U104" s="3557">
        <f t="shared" si="8"/>
        <v>0</v>
      </c>
      <c r="V104" s="3555"/>
      <c r="W104" s="3555"/>
      <c r="X104" s="4"/>
      <c r="Y104" s="3555"/>
      <c r="Z104" s="3555"/>
      <c r="AA104" s="4"/>
      <c r="AB104" s="3555"/>
      <c r="AC104" s="3555"/>
      <c r="AD104" s="3555"/>
      <c r="AE104" s="3555"/>
      <c r="AF104" s="3555"/>
      <c r="AG104" s="3555"/>
      <c r="AH104" s="3555"/>
      <c r="AI104" s="63"/>
      <c r="AJ104" s="63"/>
      <c r="AK104" s="63"/>
      <c r="AL104" s="63"/>
      <c r="AM104" s="63"/>
    </row>
    <row r="105" spans="1:39" s="64" customFormat="1" ht="19">
      <c r="A105" s="58">
        <v>120124</v>
      </c>
      <c r="B105" s="59"/>
      <c r="C105" s="47"/>
      <c r="D105" s="65" t="s">
        <v>621</v>
      </c>
      <c r="E105" s="75">
        <f>Fortalezas!D75</f>
        <v>0</v>
      </c>
      <c r="F105" s="75">
        <f>Fortalezas!E75</f>
        <v>0</v>
      </c>
      <c r="G105" s="75">
        <f>Fortalezas!F75</f>
        <v>0</v>
      </c>
      <c r="H105" s="75">
        <f>Fortalezas!G75</f>
        <v>0</v>
      </c>
      <c r="I105" s="76">
        <f>Fortalezas!H75</f>
        <v>0</v>
      </c>
      <c r="J105" s="4"/>
      <c r="K105" s="4"/>
      <c r="L105" s="3555"/>
      <c r="M105" s="4"/>
      <c r="N105" s="4"/>
      <c r="O105" s="4"/>
      <c r="P105" s="3558"/>
      <c r="Q105" s="3555"/>
      <c r="R105" s="3555"/>
      <c r="S105" s="3556">
        <v>0</v>
      </c>
      <c r="T105" s="3555"/>
      <c r="U105" s="3557">
        <f t="shared" si="8"/>
        <v>0</v>
      </c>
      <c r="V105" s="3555"/>
      <c r="W105" s="3555"/>
      <c r="X105" s="4"/>
      <c r="Y105" s="3555"/>
      <c r="Z105" s="3555"/>
      <c r="AA105" s="4"/>
      <c r="AB105" s="3555"/>
      <c r="AC105" s="3555"/>
      <c r="AD105" s="3555"/>
      <c r="AE105" s="3555"/>
      <c r="AF105" s="3555"/>
      <c r="AG105" s="3555"/>
      <c r="AH105" s="3555"/>
      <c r="AI105" s="63"/>
      <c r="AJ105" s="63"/>
      <c r="AK105" s="63"/>
      <c r="AL105" s="63"/>
      <c r="AM105" s="63"/>
    </row>
    <row r="106" spans="1:39" s="64" customFormat="1" ht="19">
      <c r="A106" s="58">
        <v>120128</v>
      </c>
      <c r="B106" s="59"/>
      <c r="C106" s="47"/>
      <c r="D106" s="65" t="s">
        <v>622</v>
      </c>
      <c r="E106" s="75">
        <f>Fortalezas!D76</f>
        <v>0</v>
      </c>
      <c r="F106" s="75">
        <f>Fortalezas!E76</f>
        <v>0</v>
      </c>
      <c r="G106" s="75">
        <f>Fortalezas!F76</f>
        <v>0</v>
      </c>
      <c r="H106" s="75">
        <f>Fortalezas!G76</f>
        <v>0</v>
      </c>
      <c r="I106" s="76">
        <f>Fortalezas!H76</f>
        <v>0</v>
      </c>
      <c r="J106" s="4"/>
      <c r="K106" s="4"/>
      <c r="L106" s="3555"/>
      <c r="M106" s="4"/>
      <c r="N106" s="4"/>
      <c r="O106" s="4"/>
      <c r="P106" s="3558"/>
      <c r="Q106" s="3555"/>
      <c r="R106" s="3555"/>
      <c r="S106" s="3556">
        <v>0</v>
      </c>
      <c r="T106" s="3555"/>
      <c r="U106" s="3557">
        <f t="shared" si="8"/>
        <v>0</v>
      </c>
      <c r="V106" s="3555"/>
      <c r="W106" s="3555"/>
      <c r="X106" s="4"/>
      <c r="Y106" s="3555"/>
      <c r="Z106" s="3555"/>
      <c r="AA106" s="4"/>
      <c r="AB106" s="3555"/>
      <c r="AC106" s="3555"/>
      <c r="AD106" s="3555"/>
      <c r="AE106" s="3555"/>
      <c r="AF106" s="3555"/>
      <c r="AG106" s="3555"/>
      <c r="AH106" s="3555"/>
      <c r="AI106" s="63"/>
      <c r="AJ106" s="63"/>
      <c r="AK106" s="63"/>
      <c r="AL106" s="63"/>
      <c r="AM106" s="63"/>
    </row>
    <row r="107" spans="1:39" s="64" customFormat="1" ht="19">
      <c r="A107" s="58">
        <v>120140</v>
      </c>
      <c r="B107" s="59"/>
      <c r="C107" s="47"/>
      <c r="D107" s="65" t="s">
        <v>623</v>
      </c>
      <c r="E107" s="75">
        <f>Fortalezas!D77</f>
        <v>0</v>
      </c>
      <c r="F107" s="75">
        <f>Fortalezas!E77</f>
        <v>0</v>
      </c>
      <c r="G107" s="75">
        <f>Fortalezas!F77</f>
        <v>0</v>
      </c>
      <c r="H107" s="75">
        <f>Fortalezas!G77</f>
        <v>0</v>
      </c>
      <c r="I107" s="76">
        <f>Fortalezas!H77</f>
        <v>0</v>
      </c>
      <c r="J107" s="4"/>
      <c r="K107" s="4"/>
      <c r="L107" s="3555"/>
      <c r="M107" s="4"/>
      <c r="N107" s="4"/>
      <c r="O107" s="4"/>
      <c r="P107" s="3558"/>
      <c r="Q107" s="3555"/>
      <c r="R107" s="3555"/>
      <c r="S107" s="3556">
        <v>0</v>
      </c>
      <c r="T107" s="3555"/>
      <c r="U107" s="3557">
        <f t="shared" si="8"/>
        <v>0</v>
      </c>
      <c r="V107" s="3555"/>
      <c r="W107" s="3555"/>
      <c r="X107" s="4"/>
      <c r="Y107" s="3555"/>
      <c r="Z107" s="3555"/>
      <c r="AA107" s="3555"/>
      <c r="AB107" s="3555"/>
      <c r="AC107" s="3555"/>
      <c r="AD107" s="3555"/>
      <c r="AE107" s="3555"/>
      <c r="AF107" s="3555"/>
      <c r="AG107" s="3555"/>
      <c r="AH107" s="3555"/>
      <c r="AI107" s="63"/>
      <c r="AJ107" s="63"/>
      <c r="AK107" s="63"/>
      <c r="AL107" s="63"/>
      <c r="AM107" s="63"/>
    </row>
    <row r="108" spans="1:39" s="64" customFormat="1" ht="19">
      <c r="A108" s="58">
        <v>155601</v>
      </c>
      <c r="B108" s="59"/>
      <c r="C108" s="47"/>
      <c r="D108" s="65" t="s">
        <v>624</v>
      </c>
      <c r="E108" s="75">
        <f>Fortalezas!D78</f>
        <v>0</v>
      </c>
      <c r="F108" s="75">
        <f>Fortalezas!E78</f>
        <v>0</v>
      </c>
      <c r="G108" s="75">
        <f>Fortalezas!F78</f>
        <v>0</v>
      </c>
      <c r="H108" s="75">
        <f>Fortalezas!G78</f>
        <v>0</v>
      </c>
      <c r="I108" s="76">
        <f>Fortalezas!H78</f>
        <v>0</v>
      </c>
      <c r="J108" s="4"/>
      <c r="K108" s="4"/>
      <c r="L108" s="3555"/>
      <c r="M108" s="4"/>
      <c r="N108" s="4"/>
      <c r="O108" s="4"/>
      <c r="P108" s="3558"/>
      <c r="Q108" s="3555"/>
      <c r="R108" s="3555"/>
      <c r="S108" s="3556">
        <v>0</v>
      </c>
      <c r="T108" s="3555"/>
      <c r="U108" s="3557">
        <f t="shared" si="8"/>
        <v>0</v>
      </c>
      <c r="V108" s="3555"/>
      <c r="W108" s="3555"/>
      <c r="X108" s="4"/>
      <c r="Y108" s="3555"/>
      <c r="Z108" s="3555"/>
      <c r="AA108" s="3555"/>
      <c r="AB108" s="3555"/>
      <c r="AC108" s="3555"/>
      <c r="AD108" s="3555"/>
      <c r="AE108" s="3555"/>
      <c r="AF108" s="3555"/>
      <c r="AG108" s="3555"/>
      <c r="AH108" s="3555"/>
      <c r="AI108" s="63"/>
      <c r="AJ108" s="63"/>
      <c r="AK108" s="63"/>
      <c r="AL108" s="63"/>
      <c r="AM108" s="63"/>
    </row>
    <row r="109" spans="1:39" s="64" customFormat="1" ht="19">
      <c r="A109" s="58">
        <v>156001</v>
      </c>
      <c r="B109" s="59"/>
      <c r="C109" s="47"/>
      <c r="D109" s="65" t="s">
        <v>625</v>
      </c>
      <c r="E109" s="75">
        <f>Fortalezas!D79</f>
        <v>0</v>
      </c>
      <c r="F109" s="75">
        <f>Fortalezas!E79</f>
        <v>0</v>
      </c>
      <c r="G109" s="75">
        <f>Fortalezas!F79</f>
        <v>0</v>
      </c>
      <c r="H109" s="75">
        <f>Fortalezas!G79</f>
        <v>0</v>
      </c>
      <c r="I109" s="76">
        <f>Fortalezas!H79</f>
        <v>0</v>
      </c>
      <c r="J109" s="4"/>
      <c r="K109" s="4"/>
      <c r="L109" s="3555"/>
      <c r="M109" s="4"/>
      <c r="N109" s="4"/>
      <c r="O109" s="4"/>
      <c r="P109" s="3558"/>
      <c r="Q109" s="3555"/>
      <c r="R109" s="3555"/>
      <c r="S109" s="3556">
        <v>0</v>
      </c>
      <c r="T109" s="3555"/>
      <c r="U109" s="3557">
        <f t="shared" si="8"/>
        <v>0</v>
      </c>
      <c r="V109" s="3555"/>
      <c r="W109" s="3555"/>
      <c r="X109" s="4"/>
      <c r="Y109" s="3555"/>
      <c r="Z109" s="3555"/>
      <c r="AA109" s="3555"/>
      <c r="AB109" s="3555"/>
      <c r="AC109" s="3555"/>
      <c r="AD109" s="3555"/>
      <c r="AE109" s="3555"/>
      <c r="AF109" s="3555"/>
      <c r="AG109" s="3555"/>
      <c r="AH109" s="3555"/>
      <c r="AI109" s="63"/>
      <c r="AJ109" s="63"/>
      <c r="AK109" s="63"/>
      <c r="AL109" s="63"/>
      <c r="AM109" s="63"/>
    </row>
    <row r="110" spans="1:39" s="64" customFormat="1" ht="19">
      <c r="A110" s="58">
        <v>156401</v>
      </c>
      <c r="B110" s="59"/>
      <c r="C110" s="47"/>
      <c r="D110" s="65" t="s">
        <v>626</v>
      </c>
      <c r="E110" s="75">
        <f>Fortalezas!D80</f>
        <v>0</v>
      </c>
      <c r="F110" s="75">
        <f>Fortalezas!E80</f>
        <v>0</v>
      </c>
      <c r="G110" s="75">
        <f>Fortalezas!F80</f>
        <v>0</v>
      </c>
      <c r="H110" s="75">
        <f>Fortalezas!G80</f>
        <v>0</v>
      </c>
      <c r="I110" s="76">
        <f>Fortalezas!H80</f>
        <v>0</v>
      </c>
      <c r="J110" s="4"/>
      <c r="K110" s="4"/>
      <c r="L110" s="3555"/>
      <c r="M110" s="4"/>
      <c r="N110" s="4"/>
      <c r="O110" s="4"/>
      <c r="P110" s="3558"/>
      <c r="Q110" s="3555"/>
      <c r="R110" s="3555"/>
      <c r="S110" s="3556">
        <v>0</v>
      </c>
      <c r="T110" s="3555"/>
      <c r="U110" s="3557">
        <f t="shared" si="8"/>
        <v>0</v>
      </c>
      <c r="V110" s="3555"/>
      <c r="W110" s="3555"/>
      <c r="X110" s="4"/>
      <c r="Y110" s="3555"/>
      <c r="Z110" s="3555"/>
      <c r="AA110" s="3555"/>
      <c r="AB110" s="3555"/>
      <c r="AC110" s="3555"/>
      <c r="AD110" s="3555"/>
      <c r="AE110" s="3555"/>
      <c r="AF110" s="3555"/>
      <c r="AG110" s="3555"/>
      <c r="AH110" s="3555"/>
      <c r="AI110" s="63"/>
      <c r="AJ110" s="63"/>
      <c r="AK110" s="63"/>
      <c r="AL110" s="63"/>
      <c r="AM110" s="63"/>
    </row>
    <row r="111" spans="1:39" s="64" customFormat="1" ht="19">
      <c r="A111" s="58">
        <v>157201</v>
      </c>
      <c r="B111" s="59"/>
      <c r="C111" s="47"/>
      <c r="D111" s="65" t="s">
        <v>627</v>
      </c>
      <c r="E111" s="75">
        <f>Fortalezas!D81</f>
        <v>0</v>
      </c>
      <c r="F111" s="75">
        <f>Fortalezas!E81</f>
        <v>0</v>
      </c>
      <c r="G111" s="75">
        <f>Fortalezas!F81</f>
        <v>0</v>
      </c>
      <c r="H111" s="75">
        <f>Fortalezas!G81</f>
        <v>0</v>
      </c>
      <c r="I111" s="76">
        <f>Fortalezas!H81</f>
        <v>0</v>
      </c>
      <c r="J111" s="4"/>
      <c r="K111" s="4"/>
      <c r="L111" s="3555"/>
      <c r="M111" s="4"/>
      <c r="N111" s="4"/>
      <c r="O111" s="4"/>
      <c r="P111" s="3558"/>
      <c r="Q111" s="3555"/>
      <c r="R111" s="3555"/>
      <c r="S111" s="3556">
        <v>0</v>
      </c>
      <c r="T111" s="3555"/>
      <c r="U111" s="3557">
        <f t="shared" si="8"/>
        <v>0</v>
      </c>
      <c r="V111" s="3555"/>
      <c r="W111" s="3555"/>
      <c r="X111" s="4"/>
      <c r="Y111" s="3555"/>
      <c r="Z111" s="3555"/>
      <c r="AA111" s="3555"/>
      <c r="AB111" s="3555"/>
      <c r="AC111" s="3555"/>
      <c r="AD111" s="3555"/>
      <c r="AE111" s="3555"/>
      <c r="AF111" s="3555"/>
      <c r="AG111" s="3555"/>
      <c r="AH111" s="3555"/>
      <c r="AI111" s="63"/>
      <c r="AJ111" s="63"/>
      <c r="AK111" s="63"/>
      <c r="AL111" s="63"/>
      <c r="AM111" s="63"/>
    </row>
    <row r="112" spans="1:39" s="64" customFormat="1" ht="19">
      <c r="A112" s="58">
        <v>157601</v>
      </c>
      <c r="B112" s="59"/>
      <c r="C112" s="47"/>
      <c r="D112" s="65" t="s">
        <v>628</v>
      </c>
      <c r="E112" s="75">
        <f>Fortalezas!D82</f>
        <v>0</v>
      </c>
      <c r="F112" s="75">
        <f>Fortalezas!E82</f>
        <v>0</v>
      </c>
      <c r="G112" s="75">
        <f>Fortalezas!F82</f>
        <v>0</v>
      </c>
      <c r="H112" s="75">
        <f>Fortalezas!G82</f>
        <v>0</v>
      </c>
      <c r="I112" s="76">
        <f>Fortalezas!H82</f>
        <v>0</v>
      </c>
      <c r="J112" s="4"/>
      <c r="K112" s="4"/>
      <c r="L112" s="3555"/>
      <c r="M112" s="4"/>
      <c r="N112" s="4"/>
      <c r="O112" s="4"/>
      <c r="P112" s="3558"/>
      <c r="Q112" s="3555"/>
      <c r="R112" s="3555"/>
      <c r="S112" s="3556">
        <v>0</v>
      </c>
      <c r="T112" s="3555"/>
      <c r="U112" s="3557">
        <f t="shared" si="8"/>
        <v>0</v>
      </c>
      <c r="V112" s="3555"/>
      <c r="W112" s="3555"/>
      <c r="X112" s="4"/>
      <c r="Y112" s="3555"/>
      <c r="Z112" s="3555"/>
      <c r="AA112" s="3555"/>
      <c r="AB112" s="3555"/>
      <c r="AC112" s="3555"/>
      <c r="AD112" s="3555"/>
      <c r="AE112" s="3555"/>
      <c r="AF112" s="3555"/>
      <c r="AG112" s="3555"/>
      <c r="AH112" s="3555"/>
      <c r="AI112" s="63"/>
      <c r="AJ112" s="63"/>
      <c r="AK112" s="63"/>
      <c r="AL112" s="63"/>
      <c r="AM112" s="63"/>
    </row>
    <row r="113" spans="1:39" s="64" customFormat="1" ht="19">
      <c r="A113" s="58">
        <v>158401</v>
      </c>
      <c r="B113" s="59"/>
      <c r="C113" s="47"/>
      <c r="D113" s="65" t="s">
        <v>629</v>
      </c>
      <c r="E113" s="75">
        <f>Fortalezas!D83</f>
        <v>0</v>
      </c>
      <c r="F113" s="75">
        <f>Fortalezas!E83</f>
        <v>0</v>
      </c>
      <c r="G113" s="75">
        <f>Fortalezas!F83</f>
        <v>0</v>
      </c>
      <c r="H113" s="75">
        <f>Fortalezas!G83</f>
        <v>0</v>
      </c>
      <c r="I113" s="76">
        <f>Fortalezas!H83</f>
        <v>0</v>
      </c>
      <c r="J113" s="4"/>
      <c r="K113" s="4"/>
      <c r="L113" s="3555"/>
      <c r="M113" s="4"/>
      <c r="N113" s="4"/>
      <c r="O113" s="4"/>
      <c r="P113" s="3558"/>
      <c r="Q113" s="3555"/>
      <c r="R113" s="3555"/>
      <c r="S113" s="3556">
        <v>0</v>
      </c>
      <c r="T113" s="3555"/>
      <c r="U113" s="3557">
        <f t="shared" si="8"/>
        <v>0</v>
      </c>
      <c r="V113" s="3555"/>
      <c r="W113" s="3555"/>
      <c r="X113" s="4"/>
      <c r="Y113" s="3555"/>
      <c r="Z113" s="3555"/>
      <c r="AA113" s="3555"/>
      <c r="AB113" s="3555"/>
      <c r="AC113" s="3555"/>
      <c r="AD113" s="3555"/>
      <c r="AE113" s="3555"/>
      <c r="AF113" s="3555"/>
      <c r="AG113" s="3555"/>
      <c r="AH113" s="3555"/>
      <c r="AI113" s="63"/>
      <c r="AJ113" s="63"/>
      <c r="AK113" s="63"/>
      <c r="AL113" s="63"/>
      <c r="AM113" s="63"/>
    </row>
    <row r="114" spans="1:39" s="64" customFormat="1" ht="19">
      <c r="A114" s="58">
        <v>158801</v>
      </c>
      <c r="B114" s="59"/>
      <c r="C114" s="47"/>
      <c r="D114" s="65" t="s">
        <v>630</v>
      </c>
      <c r="E114" s="75">
        <f>Fortalezas!D84</f>
        <v>0</v>
      </c>
      <c r="F114" s="75">
        <f>Fortalezas!E84</f>
        <v>0</v>
      </c>
      <c r="G114" s="75">
        <f>Fortalezas!F84</f>
        <v>0</v>
      </c>
      <c r="H114" s="75">
        <f>Fortalezas!G84</f>
        <v>0</v>
      </c>
      <c r="I114" s="76">
        <f>Fortalezas!H84</f>
        <v>0</v>
      </c>
      <c r="J114" s="4"/>
      <c r="K114" s="4"/>
      <c r="L114" s="3555"/>
      <c r="M114" s="4"/>
      <c r="N114" s="4"/>
      <c r="O114" s="4"/>
      <c r="P114" s="3558"/>
      <c r="Q114" s="3555"/>
      <c r="R114" s="3555"/>
      <c r="S114" s="3556">
        <v>0</v>
      </c>
      <c r="T114" s="3555"/>
      <c r="U114" s="3557">
        <f t="shared" si="8"/>
        <v>0</v>
      </c>
      <c r="V114" s="3555"/>
      <c r="W114" s="3555"/>
      <c r="X114" s="4"/>
      <c r="Y114" s="3555"/>
      <c r="Z114" s="3555"/>
      <c r="AA114" s="3555"/>
      <c r="AB114" s="3555"/>
      <c r="AC114" s="3555"/>
      <c r="AD114" s="3555"/>
      <c r="AE114" s="3555"/>
      <c r="AF114" s="3555"/>
      <c r="AG114" s="3555"/>
      <c r="AH114" s="3555"/>
      <c r="AI114" s="63"/>
      <c r="AJ114" s="63"/>
      <c r="AK114" s="63"/>
      <c r="AL114" s="63"/>
      <c r="AM114" s="63"/>
    </row>
    <row r="115" spans="1:39" s="64" customFormat="1" ht="19">
      <c r="A115" s="58">
        <v>120145</v>
      </c>
      <c r="B115" s="59"/>
      <c r="C115" s="47"/>
      <c r="D115" s="65" t="s">
        <v>453</v>
      </c>
      <c r="E115" s="75">
        <f>Fortalezas!D85</f>
        <v>0</v>
      </c>
      <c r="F115" s="75">
        <f>Fortalezas!E85</f>
        <v>0</v>
      </c>
      <c r="G115" s="75">
        <f>Fortalezas!F85</f>
        <v>0</v>
      </c>
      <c r="H115" s="75">
        <f>Fortalezas!G85</f>
        <v>0</v>
      </c>
      <c r="I115" s="76">
        <f>Fortalezas!H85</f>
        <v>0</v>
      </c>
      <c r="J115" s="4"/>
      <c r="K115" s="4"/>
      <c r="L115" s="3555"/>
      <c r="M115" s="4"/>
      <c r="N115" s="4"/>
      <c r="O115" s="4"/>
      <c r="P115" s="3558"/>
      <c r="Q115" s="3555"/>
      <c r="R115" s="3555"/>
      <c r="S115" s="3556">
        <v>0</v>
      </c>
      <c r="T115" s="3555"/>
      <c r="U115" s="3557">
        <f t="shared" si="8"/>
        <v>0</v>
      </c>
      <c r="V115" s="3555"/>
      <c r="W115" s="3555"/>
      <c r="X115" s="4"/>
      <c r="Y115" s="3555"/>
      <c r="Z115" s="3555"/>
      <c r="AA115" s="3555"/>
      <c r="AB115" s="3555"/>
      <c r="AC115" s="3555"/>
      <c r="AD115" s="3555"/>
      <c r="AE115" s="3555"/>
      <c r="AF115" s="3555"/>
      <c r="AG115" s="3555"/>
      <c r="AH115" s="3555"/>
      <c r="AI115" s="63"/>
      <c r="AJ115" s="63"/>
      <c r="AK115" s="63"/>
      <c r="AL115" s="63"/>
      <c r="AM115" s="63"/>
    </row>
    <row r="116" spans="1:39" s="64" customFormat="1" ht="19">
      <c r="A116" s="58">
        <v>120195</v>
      </c>
      <c r="B116" s="59"/>
      <c r="C116" s="47"/>
      <c r="D116" s="65" t="s">
        <v>631</v>
      </c>
      <c r="E116" s="75">
        <f>Fortalezas!D86</f>
        <v>0</v>
      </c>
      <c r="F116" s="75">
        <f>Fortalezas!E86</f>
        <v>0</v>
      </c>
      <c r="G116" s="75">
        <f>Fortalezas!F86</f>
        <v>0</v>
      </c>
      <c r="H116" s="75">
        <f>Fortalezas!G86</f>
        <v>0</v>
      </c>
      <c r="I116" s="76">
        <f>Fortalezas!H86</f>
        <v>0</v>
      </c>
      <c r="J116" s="4"/>
      <c r="K116" s="4"/>
      <c r="L116" s="3555"/>
      <c r="M116" s="4"/>
      <c r="N116" s="4"/>
      <c r="O116" s="4"/>
      <c r="P116" s="3558"/>
      <c r="Q116" s="3555"/>
      <c r="R116" s="3555"/>
      <c r="S116" s="3556">
        <v>0</v>
      </c>
      <c r="T116" s="3555"/>
      <c r="U116" s="3557">
        <f t="shared" si="8"/>
        <v>0</v>
      </c>
      <c r="V116" s="3555"/>
      <c r="W116" s="3555"/>
      <c r="X116" s="4"/>
      <c r="Y116" s="3555"/>
      <c r="Z116" s="3555"/>
      <c r="AA116" s="3555"/>
      <c r="AB116" s="3555"/>
      <c r="AC116" s="3555"/>
      <c r="AD116" s="3555"/>
      <c r="AE116" s="3555"/>
      <c r="AF116" s="3555"/>
      <c r="AG116" s="3555"/>
      <c r="AH116" s="3555"/>
      <c r="AI116" s="63"/>
      <c r="AJ116" s="63"/>
      <c r="AK116" s="63"/>
      <c r="AL116" s="63"/>
      <c r="AM116" s="63"/>
    </row>
    <row r="117" spans="1:39" s="64" customFormat="1" ht="19">
      <c r="A117" s="58">
        <v>159701</v>
      </c>
      <c r="B117" s="59"/>
      <c r="C117" s="47"/>
      <c r="D117" s="65" t="s">
        <v>632</v>
      </c>
      <c r="E117" s="75">
        <f>Fortalezas!D87</f>
        <v>0</v>
      </c>
      <c r="F117" s="75">
        <f>Fortalezas!E87</f>
        <v>0</v>
      </c>
      <c r="G117" s="75">
        <f>Fortalezas!F87</f>
        <v>0</v>
      </c>
      <c r="H117" s="75">
        <f>Fortalezas!G87</f>
        <v>0</v>
      </c>
      <c r="I117" s="76">
        <f>Fortalezas!H87</f>
        <v>0</v>
      </c>
      <c r="J117" s="4"/>
      <c r="K117" s="4"/>
      <c r="L117" s="3555"/>
      <c r="M117" s="4"/>
      <c r="N117" s="4"/>
      <c r="O117" s="4"/>
      <c r="P117" s="3558"/>
      <c r="Q117" s="3555"/>
      <c r="R117" s="3555"/>
      <c r="S117" s="3556">
        <v>0</v>
      </c>
      <c r="T117" s="3555"/>
      <c r="U117" s="3557">
        <f t="shared" si="8"/>
        <v>0</v>
      </c>
      <c r="V117" s="3555"/>
      <c r="W117" s="3555"/>
      <c r="X117" s="4"/>
      <c r="Y117" s="3555"/>
      <c r="Z117" s="3555"/>
      <c r="AA117" s="3555"/>
      <c r="AB117" s="3555"/>
      <c r="AC117" s="3555"/>
      <c r="AD117" s="3555"/>
      <c r="AE117" s="3555"/>
      <c r="AF117" s="3555"/>
      <c r="AG117" s="3555"/>
      <c r="AH117" s="3555"/>
      <c r="AI117" s="63"/>
      <c r="AJ117" s="63"/>
      <c r="AK117" s="63"/>
      <c r="AL117" s="63"/>
      <c r="AM117" s="63"/>
    </row>
    <row r="118" spans="1:39" s="64" customFormat="1" ht="19">
      <c r="A118" s="58">
        <v>159899</v>
      </c>
      <c r="B118" s="59"/>
      <c r="C118" s="47"/>
      <c r="D118" s="65" t="s">
        <v>560</v>
      </c>
      <c r="E118" s="75">
        <f>Fortalezas!D88</f>
        <v>0</v>
      </c>
      <c r="F118" s="75">
        <f>Fortalezas!E88</f>
        <v>0</v>
      </c>
      <c r="G118" s="75">
        <f>Fortalezas!F88</f>
        <v>0</v>
      </c>
      <c r="H118" s="75">
        <f>Fortalezas!G88</f>
        <v>0</v>
      </c>
      <c r="I118" s="76">
        <f>Fortalezas!H88</f>
        <v>0</v>
      </c>
      <c r="J118" s="4"/>
      <c r="K118" s="4"/>
      <c r="L118" s="3555"/>
      <c r="M118" s="4"/>
      <c r="N118" s="4"/>
      <c r="O118" s="4"/>
      <c r="P118" s="3558"/>
      <c r="Q118" s="3555"/>
      <c r="R118" s="3555"/>
      <c r="S118" s="3556">
        <v>0</v>
      </c>
      <c r="T118" s="3555"/>
      <c r="U118" s="3557">
        <f t="shared" si="8"/>
        <v>0</v>
      </c>
      <c r="V118" s="3555"/>
      <c r="W118" s="3555"/>
      <c r="X118" s="4"/>
      <c r="Y118" s="3555"/>
      <c r="Z118" s="3555"/>
      <c r="AA118" s="3555"/>
      <c r="AB118" s="3555"/>
      <c r="AC118" s="3555"/>
      <c r="AD118" s="3555"/>
      <c r="AE118" s="3555"/>
      <c r="AF118" s="3555"/>
      <c r="AG118" s="3555"/>
      <c r="AH118" s="3555"/>
      <c r="AI118" s="63"/>
      <c r="AJ118" s="63"/>
      <c r="AK118" s="63"/>
      <c r="AL118" s="63"/>
      <c r="AM118" s="63"/>
    </row>
    <row r="119" spans="1:39" s="64" customFormat="1" ht="19">
      <c r="A119" s="58">
        <v>159901</v>
      </c>
      <c r="B119" s="59"/>
      <c r="C119" s="47"/>
      <c r="D119" s="65" t="s">
        <v>603</v>
      </c>
      <c r="E119" s="75">
        <f>Fortalezas!D89</f>
        <v>0</v>
      </c>
      <c r="F119" s="75">
        <f>Fortalezas!E89</f>
        <v>0</v>
      </c>
      <c r="G119" s="75">
        <f>Fortalezas!F89</f>
        <v>0</v>
      </c>
      <c r="H119" s="75">
        <f>Fortalezas!G89</f>
        <v>0</v>
      </c>
      <c r="I119" s="76">
        <f>Fortalezas!H89</f>
        <v>0</v>
      </c>
      <c r="J119" s="4"/>
      <c r="K119" s="4"/>
      <c r="L119" s="3555"/>
      <c r="M119" s="4"/>
      <c r="N119" s="4"/>
      <c r="O119" s="4"/>
      <c r="P119" s="3558"/>
      <c r="Q119" s="3555"/>
      <c r="R119" s="3555"/>
      <c r="S119" s="3556">
        <v>0</v>
      </c>
      <c r="T119" s="3555"/>
      <c r="U119" s="3557">
        <f t="shared" si="8"/>
        <v>0</v>
      </c>
      <c r="V119" s="3555"/>
      <c r="W119" s="3555"/>
      <c r="X119" s="4"/>
      <c r="Y119" s="3555"/>
      <c r="Z119" s="3555"/>
      <c r="AA119" s="3555"/>
      <c r="AB119" s="3555"/>
      <c r="AC119" s="3555"/>
      <c r="AD119" s="3555"/>
      <c r="AE119" s="3555"/>
      <c r="AF119" s="3555"/>
      <c r="AG119" s="3555"/>
      <c r="AH119" s="3555"/>
      <c r="AI119" s="63"/>
      <c r="AJ119" s="63"/>
      <c r="AK119" s="63"/>
      <c r="AL119" s="63"/>
      <c r="AM119" s="63"/>
    </row>
    <row r="120" spans="1:39" s="64" customFormat="1" ht="19">
      <c r="A120" s="58">
        <v>1201</v>
      </c>
      <c r="B120" s="59"/>
      <c r="C120" s="66" t="s">
        <v>633</v>
      </c>
      <c r="D120" s="67"/>
      <c r="E120" s="68">
        <f>SUM(E100:E119)</f>
        <v>0</v>
      </c>
      <c r="F120" s="68">
        <f>SUM(F100:F119)</f>
        <v>0</v>
      </c>
      <c r="G120" s="68">
        <f>SUM(G100:G119)</f>
        <v>0</v>
      </c>
      <c r="H120" s="68">
        <f>SUM(H100:H119)</f>
        <v>0</v>
      </c>
      <c r="I120" s="69">
        <f>SUM(I100:I119)</f>
        <v>0</v>
      </c>
      <c r="J120" s="4"/>
      <c r="K120" s="4"/>
      <c r="L120" s="3555"/>
      <c r="M120" s="4"/>
      <c r="N120" s="4"/>
      <c r="O120" s="4"/>
      <c r="P120" s="3558"/>
      <c r="Q120" s="3555"/>
      <c r="R120" s="3555"/>
      <c r="S120" s="3556">
        <v>0</v>
      </c>
      <c r="T120" s="3555"/>
      <c r="U120" s="3557">
        <f t="shared" si="8"/>
        <v>0</v>
      </c>
      <c r="V120" s="3555"/>
      <c r="W120" s="3555"/>
      <c r="X120" s="4"/>
      <c r="Y120" s="3555"/>
      <c r="Z120" s="3555"/>
      <c r="AA120" s="3555"/>
      <c r="AB120" s="3555"/>
      <c r="AC120" s="3555"/>
      <c r="AD120" s="3555"/>
      <c r="AE120" s="3555"/>
      <c r="AF120" s="3555"/>
      <c r="AG120" s="3555"/>
      <c r="AH120" s="3555"/>
      <c r="AI120" s="63"/>
      <c r="AJ120" s="63"/>
      <c r="AK120" s="63"/>
      <c r="AL120" s="63"/>
      <c r="AM120" s="63"/>
    </row>
    <row r="121" spans="1:39" s="64" customFormat="1" ht="19">
      <c r="A121" s="58"/>
      <c r="B121" s="53"/>
      <c r="C121" s="54" t="s">
        <v>634</v>
      </c>
      <c r="D121" s="71"/>
      <c r="E121" s="72"/>
      <c r="F121" s="72"/>
      <c r="G121" s="72"/>
      <c r="H121" s="72"/>
      <c r="I121" s="73"/>
      <c r="J121" s="4"/>
      <c r="K121" s="4"/>
      <c r="L121" s="3555"/>
      <c r="M121" s="4"/>
      <c r="N121" s="4"/>
      <c r="O121" s="4"/>
      <c r="P121" s="3558"/>
      <c r="Q121" s="3555"/>
      <c r="R121" s="3555"/>
      <c r="S121" s="3556">
        <v>0</v>
      </c>
      <c r="T121" s="3555"/>
      <c r="U121" s="3557">
        <f>U142</f>
        <v>0</v>
      </c>
      <c r="V121" s="3555"/>
      <c r="W121" s="3555"/>
      <c r="X121" s="4"/>
      <c r="Y121" s="3555"/>
      <c r="Z121" s="3555"/>
      <c r="AA121" s="3555"/>
      <c r="AB121" s="3555"/>
      <c r="AC121" s="3555"/>
      <c r="AD121" s="3555"/>
      <c r="AE121" s="3555"/>
      <c r="AF121" s="3555"/>
      <c r="AG121" s="3555"/>
      <c r="AH121" s="3555"/>
      <c r="AI121" s="63"/>
      <c r="AJ121" s="63"/>
      <c r="AK121" s="63"/>
      <c r="AL121" s="63"/>
      <c r="AM121" s="63"/>
    </row>
    <row r="122" spans="1:39" s="64" customFormat="1" ht="19">
      <c r="A122" s="58">
        <v>130506</v>
      </c>
      <c r="B122" s="59"/>
      <c r="C122" s="47"/>
      <c r="D122" s="60" t="s">
        <v>567</v>
      </c>
      <c r="E122" s="61">
        <f>Fortalezas!D91</f>
        <v>0</v>
      </c>
      <c r="F122" s="61">
        <f>Fortalezas!E91</f>
        <v>0</v>
      </c>
      <c r="G122" s="61">
        <f>Fortalezas!F91</f>
        <v>0</v>
      </c>
      <c r="H122" s="61">
        <f>Fortalezas!G91</f>
        <v>0</v>
      </c>
      <c r="I122" s="62">
        <f>Fortalezas!H91</f>
        <v>0</v>
      </c>
      <c r="J122" s="4"/>
      <c r="K122" s="4"/>
      <c r="L122" s="3555"/>
      <c r="M122" s="4"/>
      <c r="N122" s="4"/>
      <c r="O122" s="4"/>
      <c r="P122" s="3558"/>
      <c r="Q122" s="3555"/>
      <c r="R122" s="3555"/>
      <c r="S122" s="3556">
        <v>0</v>
      </c>
      <c r="T122" s="3555"/>
      <c r="U122" s="3557">
        <f t="shared" ref="U122:U142" si="9">SUM(E122:I122)</f>
        <v>0</v>
      </c>
      <c r="V122" s="3555"/>
      <c r="W122" s="3555"/>
      <c r="X122" s="4"/>
      <c r="Y122" s="3555"/>
      <c r="Z122" s="3555"/>
      <c r="AA122" s="3555"/>
      <c r="AB122" s="3555"/>
      <c r="AC122" s="3555"/>
      <c r="AD122" s="3555"/>
      <c r="AE122" s="3555"/>
      <c r="AF122" s="3555"/>
      <c r="AG122" s="3555"/>
      <c r="AH122" s="3555"/>
      <c r="AI122" s="63"/>
      <c r="AJ122" s="63"/>
      <c r="AK122" s="63"/>
      <c r="AL122" s="63"/>
      <c r="AM122" s="63"/>
    </row>
    <row r="123" spans="1:39" s="64" customFormat="1" ht="19">
      <c r="A123" s="58">
        <v>130511</v>
      </c>
      <c r="B123" s="59"/>
      <c r="C123" s="47"/>
      <c r="D123" s="65" t="s">
        <v>569</v>
      </c>
      <c r="E123" s="75">
        <f>Fortalezas!D92</f>
        <v>0</v>
      </c>
      <c r="F123" s="75">
        <f>Fortalezas!E92</f>
        <v>0</v>
      </c>
      <c r="G123" s="75">
        <f>Fortalezas!F92</f>
        <v>0</v>
      </c>
      <c r="H123" s="75">
        <f>Fortalezas!G92</f>
        <v>0</v>
      </c>
      <c r="I123" s="76">
        <f>Fortalezas!H92</f>
        <v>0</v>
      </c>
      <c r="J123" s="4"/>
      <c r="K123" s="4"/>
      <c r="L123" s="3555"/>
      <c r="M123" s="4"/>
      <c r="N123" s="4"/>
      <c r="O123" s="4"/>
      <c r="P123" s="3558"/>
      <c r="Q123" s="3555"/>
      <c r="R123" s="3555"/>
      <c r="S123" s="3556">
        <v>0</v>
      </c>
      <c r="T123" s="3555"/>
      <c r="U123" s="3557">
        <f t="shared" si="9"/>
        <v>0</v>
      </c>
      <c r="V123" s="3555"/>
      <c r="W123" s="3555"/>
      <c r="X123" s="4"/>
      <c r="Y123" s="3555"/>
      <c r="Z123" s="3555"/>
      <c r="AA123" s="3555"/>
      <c r="AB123" s="3555"/>
      <c r="AC123" s="3555"/>
      <c r="AD123" s="3555"/>
      <c r="AE123" s="3555"/>
      <c r="AF123" s="3555"/>
      <c r="AG123" s="3555"/>
      <c r="AH123" s="3555"/>
      <c r="AI123" s="63"/>
      <c r="AJ123" s="63"/>
      <c r="AK123" s="63"/>
      <c r="AL123" s="63"/>
      <c r="AM123" s="63"/>
    </row>
    <row r="124" spans="1:39" s="64" customFormat="1" ht="19">
      <c r="A124" s="58">
        <v>131001</v>
      </c>
      <c r="B124" s="59"/>
      <c r="C124" s="47"/>
      <c r="D124" s="65" t="s">
        <v>571</v>
      </c>
      <c r="E124" s="75">
        <f>Fortalezas!D93</f>
        <v>0</v>
      </c>
      <c r="F124" s="75">
        <f>Fortalezas!E93</f>
        <v>0</v>
      </c>
      <c r="G124" s="75">
        <f>Fortalezas!F93</f>
        <v>0</v>
      </c>
      <c r="H124" s="75">
        <f>Fortalezas!G93</f>
        <v>0</v>
      </c>
      <c r="I124" s="76">
        <f>Fortalezas!H93</f>
        <v>0</v>
      </c>
      <c r="J124" s="4"/>
      <c r="K124" s="4"/>
      <c r="L124" s="3555"/>
      <c r="M124" s="4"/>
      <c r="N124" s="4"/>
      <c r="O124" s="4"/>
      <c r="P124" s="3558"/>
      <c r="Q124" s="3555"/>
      <c r="R124" s="3555"/>
      <c r="S124" s="3556">
        <v>0</v>
      </c>
      <c r="T124" s="3555"/>
      <c r="U124" s="3557">
        <f t="shared" si="9"/>
        <v>0</v>
      </c>
      <c r="V124" s="3555"/>
      <c r="W124" s="3555"/>
      <c r="X124" s="4"/>
      <c r="Y124" s="3555"/>
      <c r="Z124" s="3555"/>
      <c r="AA124" s="3555"/>
      <c r="AB124" s="3555"/>
      <c r="AC124" s="3555"/>
      <c r="AD124" s="3555"/>
      <c r="AE124" s="3555"/>
      <c r="AF124" s="3555"/>
      <c r="AG124" s="3555"/>
      <c r="AH124" s="3555"/>
      <c r="AI124" s="63"/>
      <c r="AJ124" s="63"/>
      <c r="AK124" s="63"/>
      <c r="AL124" s="63"/>
      <c r="AM124" s="63"/>
    </row>
    <row r="125" spans="1:39" s="64" customFormat="1" ht="19">
      <c r="A125" s="58">
        <v>131501</v>
      </c>
      <c r="B125" s="59"/>
      <c r="C125" s="47"/>
      <c r="D125" s="65" t="s">
        <v>635</v>
      </c>
      <c r="E125" s="75">
        <f>Fortalezas!D94</f>
        <v>0</v>
      </c>
      <c r="F125" s="75">
        <f>Fortalezas!E94</f>
        <v>0</v>
      </c>
      <c r="G125" s="75">
        <f>Fortalezas!F94</f>
        <v>0</v>
      </c>
      <c r="H125" s="75">
        <f>Fortalezas!G94</f>
        <v>0</v>
      </c>
      <c r="I125" s="76">
        <f>Fortalezas!H94</f>
        <v>0</v>
      </c>
      <c r="J125" s="4"/>
      <c r="K125" s="4"/>
      <c r="L125" s="3555"/>
      <c r="M125" s="4"/>
      <c r="N125" s="4"/>
      <c r="O125" s="4"/>
      <c r="P125" s="3558"/>
      <c r="Q125" s="3555"/>
      <c r="R125" s="3555"/>
      <c r="S125" s="3556">
        <v>0</v>
      </c>
      <c r="T125" s="3555"/>
      <c r="U125" s="3557">
        <f t="shared" si="9"/>
        <v>0</v>
      </c>
      <c r="V125" s="3555"/>
      <c r="W125" s="3555"/>
      <c r="X125" s="4"/>
      <c r="Y125" s="4"/>
      <c r="Z125" s="3555"/>
      <c r="AA125" s="3555"/>
      <c r="AB125" s="3555"/>
      <c r="AC125" s="3555"/>
      <c r="AD125" s="3555"/>
      <c r="AE125" s="3555"/>
      <c r="AF125" s="3555"/>
      <c r="AG125" s="3555"/>
      <c r="AH125" s="3555"/>
      <c r="AI125" s="63"/>
      <c r="AJ125" s="63"/>
      <c r="AK125" s="63"/>
      <c r="AL125" s="63"/>
      <c r="AM125" s="63"/>
    </row>
    <row r="126" spans="1:39" s="64" customFormat="1" ht="19">
      <c r="A126" s="58">
        <v>132001</v>
      </c>
      <c r="B126" s="59"/>
      <c r="C126" s="47"/>
      <c r="D126" s="65" t="s">
        <v>577</v>
      </c>
      <c r="E126" s="75">
        <f>Fortalezas!D95</f>
        <v>0</v>
      </c>
      <c r="F126" s="75">
        <f>Fortalezas!E95</f>
        <v>0</v>
      </c>
      <c r="G126" s="75">
        <f>Fortalezas!F95</f>
        <v>0</v>
      </c>
      <c r="H126" s="75">
        <f>Fortalezas!G95</f>
        <v>0</v>
      </c>
      <c r="I126" s="76">
        <f>Fortalezas!H95</f>
        <v>0</v>
      </c>
      <c r="J126" s="4"/>
      <c r="K126" s="4"/>
      <c r="L126" s="3555"/>
      <c r="M126" s="4"/>
      <c r="N126" s="4"/>
      <c r="O126" s="4"/>
      <c r="P126" s="3558"/>
      <c r="Q126" s="3555"/>
      <c r="R126" s="3555"/>
      <c r="S126" s="3556">
        <v>0</v>
      </c>
      <c r="T126" s="3555"/>
      <c r="U126" s="3557">
        <f t="shared" si="9"/>
        <v>0</v>
      </c>
      <c r="V126" s="3555"/>
      <c r="W126" s="3555"/>
      <c r="X126" s="4"/>
      <c r="Y126" s="4"/>
      <c r="Z126" s="3555"/>
      <c r="AA126" s="3555"/>
      <c r="AB126" s="3555"/>
      <c r="AC126" s="3555"/>
      <c r="AD126" s="3555"/>
      <c r="AE126" s="3555"/>
      <c r="AF126" s="3555"/>
      <c r="AG126" s="3555"/>
      <c r="AH126" s="3555"/>
      <c r="AI126" s="63"/>
      <c r="AJ126" s="63"/>
      <c r="AK126" s="63"/>
      <c r="AL126" s="63"/>
      <c r="AM126" s="63"/>
    </row>
    <row r="127" spans="1:39" s="64" customFormat="1" ht="19">
      <c r="A127" s="58">
        <v>132501</v>
      </c>
      <c r="B127" s="59"/>
      <c r="C127" s="47"/>
      <c r="D127" s="65" t="s">
        <v>578</v>
      </c>
      <c r="E127" s="75">
        <f>Fortalezas!D96</f>
        <v>0</v>
      </c>
      <c r="F127" s="75">
        <f>Fortalezas!E96</f>
        <v>0</v>
      </c>
      <c r="G127" s="75">
        <f>Fortalezas!F96</f>
        <v>0</v>
      </c>
      <c r="H127" s="75">
        <f>Fortalezas!G96</f>
        <v>0</v>
      </c>
      <c r="I127" s="76">
        <f>Fortalezas!H96</f>
        <v>0</v>
      </c>
      <c r="J127" s="4"/>
      <c r="K127" s="4"/>
      <c r="L127" s="3555"/>
      <c r="M127" s="4"/>
      <c r="N127" s="4"/>
      <c r="O127" s="4"/>
      <c r="P127" s="3558"/>
      <c r="Q127" s="3555"/>
      <c r="R127" s="3555"/>
      <c r="S127" s="3556">
        <v>0</v>
      </c>
      <c r="T127" s="3555"/>
      <c r="U127" s="3557">
        <f t="shared" si="9"/>
        <v>0</v>
      </c>
      <c r="V127" s="3555"/>
      <c r="W127" s="3555"/>
      <c r="X127" s="4"/>
      <c r="Y127" s="4"/>
      <c r="Z127" s="3555"/>
      <c r="AA127" s="3555"/>
      <c r="AB127" s="3555"/>
      <c r="AC127" s="3555"/>
      <c r="AD127" s="3555"/>
      <c r="AE127" s="3555"/>
      <c r="AF127" s="3555"/>
      <c r="AG127" s="3555"/>
      <c r="AH127" s="3555"/>
      <c r="AI127" s="63"/>
      <c r="AJ127" s="63"/>
      <c r="AK127" s="63"/>
      <c r="AL127" s="63"/>
      <c r="AM127" s="63"/>
    </row>
    <row r="128" spans="1:39" s="64" customFormat="1" ht="19">
      <c r="A128" s="58">
        <v>133001</v>
      </c>
      <c r="B128" s="59"/>
      <c r="C128" s="47"/>
      <c r="D128" s="65" t="s">
        <v>579</v>
      </c>
      <c r="E128" s="75">
        <f>Fortalezas!D97</f>
        <v>0</v>
      </c>
      <c r="F128" s="75">
        <f>Fortalezas!E97</f>
        <v>0</v>
      </c>
      <c r="G128" s="75">
        <f>Fortalezas!F97</f>
        <v>0</v>
      </c>
      <c r="H128" s="75">
        <f>Fortalezas!G97</f>
        <v>0</v>
      </c>
      <c r="I128" s="76">
        <f>Fortalezas!H97</f>
        <v>0</v>
      </c>
      <c r="J128" s="4"/>
      <c r="K128" s="4"/>
      <c r="L128" s="3555"/>
      <c r="M128" s="4"/>
      <c r="N128" s="4"/>
      <c r="O128" s="4"/>
      <c r="P128" s="3558"/>
      <c r="Q128" s="3555"/>
      <c r="R128" s="3555"/>
      <c r="S128" s="3556">
        <v>0</v>
      </c>
      <c r="T128" s="3555"/>
      <c r="U128" s="3557">
        <f t="shared" si="9"/>
        <v>0</v>
      </c>
      <c r="V128" s="3555"/>
      <c r="W128" s="3555"/>
      <c r="X128" s="3555"/>
      <c r="Y128" s="4"/>
      <c r="Z128" s="3555"/>
      <c r="AA128" s="3555"/>
      <c r="AB128" s="3555"/>
      <c r="AC128" s="3555"/>
      <c r="AD128" s="3555"/>
      <c r="AE128" s="3555"/>
      <c r="AF128" s="3555"/>
      <c r="AG128" s="3555"/>
      <c r="AH128" s="3555"/>
      <c r="AI128" s="63"/>
      <c r="AJ128" s="63"/>
      <c r="AK128" s="63"/>
      <c r="AL128" s="63"/>
      <c r="AM128" s="63"/>
    </row>
    <row r="129" spans="1:39" s="64" customFormat="1" ht="19">
      <c r="A129" s="58">
        <v>133501</v>
      </c>
      <c r="B129" s="59"/>
      <c r="C129" s="47"/>
      <c r="D129" s="65" t="s">
        <v>580</v>
      </c>
      <c r="E129" s="75">
        <f>Fortalezas!D98</f>
        <v>0</v>
      </c>
      <c r="F129" s="75">
        <f>Fortalezas!E98</f>
        <v>0</v>
      </c>
      <c r="G129" s="75">
        <f>Fortalezas!F98</f>
        <v>0</v>
      </c>
      <c r="H129" s="75">
        <f>Fortalezas!G98</f>
        <v>0</v>
      </c>
      <c r="I129" s="76">
        <f>Fortalezas!H98</f>
        <v>0</v>
      </c>
      <c r="J129" s="4"/>
      <c r="K129" s="4"/>
      <c r="L129" s="3555"/>
      <c r="M129" s="4"/>
      <c r="N129" s="4"/>
      <c r="O129" s="4"/>
      <c r="P129" s="3558"/>
      <c r="Q129" s="3555"/>
      <c r="R129" s="3555"/>
      <c r="S129" s="3556">
        <v>0</v>
      </c>
      <c r="T129" s="3555"/>
      <c r="U129" s="3557">
        <f t="shared" si="9"/>
        <v>0</v>
      </c>
      <c r="V129" s="3555"/>
      <c r="W129" s="3555"/>
      <c r="X129" s="3555"/>
      <c r="Y129" s="4"/>
      <c r="Z129" s="3555"/>
      <c r="AA129" s="3555"/>
      <c r="AB129" s="3555"/>
      <c r="AC129" s="3555"/>
      <c r="AD129" s="3555"/>
      <c r="AE129" s="3555"/>
      <c r="AF129" s="3555"/>
      <c r="AG129" s="3555"/>
      <c r="AH129" s="3555"/>
      <c r="AI129" s="63"/>
      <c r="AJ129" s="63"/>
      <c r="AK129" s="63"/>
      <c r="AL129" s="63"/>
      <c r="AM129" s="63"/>
    </row>
    <row r="130" spans="1:39" s="64" customFormat="1" ht="19">
      <c r="A130" s="58">
        <v>134001</v>
      </c>
      <c r="B130" s="59"/>
      <c r="C130" s="47"/>
      <c r="D130" s="65" t="s">
        <v>581</v>
      </c>
      <c r="E130" s="75">
        <f>Fortalezas!D99</f>
        <v>0</v>
      </c>
      <c r="F130" s="75">
        <f>Fortalezas!E99</f>
        <v>0</v>
      </c>
      <c r="G130" s="75">
        <f>Fortalezas!F99</f>
        <v>0</v>
      </c>
      <c r="H130" s="75">
        <f>Fortalezas!G99</f>
        <v>0</v>
      </c>
      <c r="I130" s="76">
        <f>Fortalezas!H99</f>
        <v>0</v>
      </c>
      <c r="J130" s="4"/>
      <c r="K130" s="4"/>
      <c r="L130" s="3555"/>
      <c r="M130" s="4"/>
      <c r="N130" s="4"/>
      <c r="O130" s="4"/>
      <c r="P130" s="3558"/>
      <c r="Q130" s="3555"/>
      <c r="R130" s="3555"/>
      <c r="S130" s="3556">
        <v>0</v>
      </c>
      <c r="T130" s="3555"/>
      <c r="U130" s="3557">
        <f t="shared" si="9"/>
        <v>0</v>
      </c>
      <c r="V130" s="3555"/>
      <c r="W130" s="3555"/>
      <c r="X130" s="3555"/>
      <c r="Y130" s="4"/>
      <c r="Z130" s="3555"/>
      <c r="AA130" s="3555"/>
      <c r="AB130" s="3555"/>
      <c r="AC130" s="3555"/>
      <c r="AD130" s="3555"/>
      <c r="AE130" s="3555"/>
      <c r="AF130" s="3555"/>
      <c r="AG130" s="3555"/>
      <c r="AH130" s="3555"/>
      <c r="AI130" s="63"/>
      <c r="AJ130" s="63"/>
      <c r="AK130" s="63"/>
      <c r="AL130" s="63"/>
      <c r="AM130" s="63"/>
    </row>
    <row r="131" spans="1:39" s="64" customFormat="1" ht="19">
      <c r="A131" s="58">
        <v>134501</v>
      </c>
      <c r="B131" s="59"/>
      <c r="C131" s="47"/>
      <c r="D131" s="65" t="s">
        <v>582</v>
      </c>
      <c r="E131" s="75">
        <f>Fortalezas!D100</f>
        <v>0</v>
      </c>
      <c r="F131" s="75">
        <f>Fortalezas!E100</f>
        <v>0</v>
      </c>
      <c r="G131" s="75">
        <f>Fortalezas!F100</f>
        <v>0</v>
      </c>
      <c r="H131" s="75">
        <f>Fortalezas!G100</f>
        <v>0</v>
      </c>
      <c r="I131" s="76">
        <f>Fortalezas!H100</f>
        <v>0</v>
      </c>
      <c r="J131" s="4"/>
      <c r="K131" s="4"/>
      <c r="L131" s="3555"/>
      <c r="M131" s="4"/>
      <c r="N131" s="4"/>
      <c r="O131" s="4"/>
      <c r="P131" s="3558"/>
      <c r="Q131" s="3555"/>
      <c r="R131" s="3555"/>
      <c r="S131" s="3556">
        <v>0</v>
      </c>
      <c r="T131" s="3555"/>
      <c r="U131" s="3557">
        <f t="shared" si="9"/>
        <v>0</v>
      </c>
      <c r="V131" s="3555"/>
      <c r="W131" s="3555"/>
      <c r="X131" s="3555"/>
      <c r="Y131" s="4"/>
      <c r="Z131" s="3555"/>
      <c r="AA131" s="3555"/>
      <c r="AB131" s="3555"/>
      <c r="AC131" s="3555"/>
      <c r="AD131" s="3555"/>
      <c r="AE131" s="3555"/>
      <c r="AF131" s="3555"/>
      <c r="AG131" s="3555"/>
      <c r="AH131" s="3555"/>
      <c r="AI131" s="63"/>
      <c r="AJ131" s="63"/>
      <c r="AK131" s="63"/>
      <c r="AL131" s="63"/>
      <c r="AM131" s="63"/>
    </row>
    <row r="132" spans="1:39" s="64" customFormat="1" ht="19">
      <c r="A132" s="58">
        <v>135001</v>
      </c>
      <c r="B132" s="59"/>
      <c r="C132" s="47"/>
      <c r="D132" s="65" t="s">
        <v>583</v>
      </c>
      <c r="E132" s="75">
        <f>Fortalezas!D101</f>
        <v>0</v>
      </c>
      <c r="F132" s="75">
        <f>Fortalezas!E101</f>
        <v>0</v>
      </c>
      <c r="G132" s="75">
        <f>Fortalezas!F101</f>
        <v>0</v>
      </c>
      <c r="H132" s="75">
        <f>Fortalezas!G101</f>
        <v>0</v>
      </c>
      <c r="I132" s="76">
        <f>Fortalezas!H101</f>
        <v>0</v>
      </c>
      <c r="J132" s="4"/>
      <c r="K132" s="4"/>
      <c r="L132" s="3555"/>
      <c r="M132" s="4"/>
      <c r="N132" s="4"/>
      <c r="O132" s="4"/>
      <c r="P132" s="3558"/>
      <c r="Q132" s="3555"/>
      <c r="R132" s="3555"/>
      <c r="S132" s="3556">
        <v>0</v>
      </c>
      <c r="T132" s="3555"/>
      <c r="U132" s="3557">
        <f t="shared" si="9"/>
        <v>0</v>
      </c>
      <c r="V132" s="3555"/>
      <c r="W132" s="3555"/>
      <c r="X132" s="3555"/>
      <c r="Y132" s="4"/>
      <c r="Z132" s="3555"/>
      <c r="AA132" s="3555"/>
      <c r="AB132" s="3555"/>
      <c r="AC132" s="3555"/>
      <c r="AD132" s="3555"/>
      <c r="AE132" s="3555"/>
      <c r="AF132" s="3555"/>
      <c r="AG132" s="3555"/>
      <c r="AH132" s="3555"/>
      <c r="AI132" s="63"/>
      <c r="AJ132" s="63"/>
      <c r="AK132" s="63"/>
      <c r="AL132" s="63"/>
      <c r="AM132" s="63"/>
    </row>
    <row r="133" spans="1:39" s="64" customFormat="1" ht="19">
      <c r="A133" s="58">
        <v>135501</v>
      </c>
      <c r="B133" s="59"/>
      <c r="C133" s="47"/>
      <c r="D133" s="65" t="s">
        <v>584</v>
      </c>
      <c r="E133" s="75">
        <f>Fortalezas!D102</f>
        <v>0</v>
      </c>
      <c r="F133" s="75">
        <f>Fortalezas!E102</f>
        <v>0</v>
      </c>
      <c r="G133" s="75">
        <f>Fortalezas!F102</f>
        <v>0</v>
      </c>
      <c r="H133" s="75">
        <f>Fortalezas!G102</f>
        <v>0</v>
      </c>
      <c r="I133" s="76">
        <f>Fortalezas!H102</f>
        <v>0</v>
      </c>
      <c r="J133" s="4"/>
      <c r="K133" s="4"/>
      <c r="L133" s="3555"/>
      <c r="M133" s="4"/>
      <c r="N133" s="4"/>
      <c r="O133" s="4"/>
      <c r="P133" s="3558"/>
      <c r="Q133" s="3555"/>
      <c r="R133" s="3555"/>
      <c r="S133" s="3556">
        <v>0</v>
      </c>
      <c r="T133" s="3555"/>
      <c r="U133" s="3557">
        <f t="shared" si="9"/>
        <v>0</v>
      </c>
      <c r="V133" s="3555"/>
      <c r="W133" s="3555"/>
      <c r="X133" s="3555"/>
      <c r="Y133" s="4"/>
      <c r="Z133" s="3555"/>
      <c r="AA133" s="3555"/>
      <c r="AB133" s="3555"/>
      <c r="AC133" s="3555"/>
      <c r="AD133" s="3555"/>
      <c r="AE133" s="3555"/>
      <c r="AF133" s="3555"/>
      <c r="AG133" s="3555"/>
      <c r="AH133" s="3555"/>
      <c r="AI133" s="63"/>
      <c r="AJ133" s="63"/>
      <c r="AK133" s="63"/>
      <c r="AL133" s="63"/>
      <c r="AM133" s="63"/>
    </row>
    <row r="134" spans="1:39" s="64" customFormat="1" ht="19">
      <c r="A134" s="58">
        <v>136001</v>
      </c>
      <c r="B134" s="59"/>
      <c r="C134" s="47"/>
      <c r="D134" s="65" t="s">
        <v>585</v>
      </c>
      <c r="E134" s="75">
        <f>Fortalezas!D103</f>
        <v>0</v>
      </c>
      <c r="F134" s="75">
        <f>Fortalezas!E103</f>
        <v>0</v>
      </c>
      <c r="G134" s="75">
        <f>Fortalezas!F103</f>
        <v>0</v>
      </c>
      <c r="H134" s="75">
        <f>Fortalezas!G103</f>
        <v>0</v>
      </c>
      <c r="I134" s="76">
        <f>Fortalezas!H103</f>
        <v>0</v>
      </c>
      <c r="J134" s="4"/>
      <c r="K134" s="4"/>
      <c r="L134" s="3555"/>
      <c r="M134" s="4"/>
      <c r="N134" s="4"/>
      <c r="O134" s="4"/>
      <c r="P134" s="3558"/>
      <c r="Q134" s="3555"/>
      <c r="R134" s="3555"/>
      <c r="S134" s="3556">
        <v>0</v>
      </c>
      <c r="T134" s="3555"/>
      <c r="U134" s="3557">
        <f t="shared" si="9"/>
        <v>0</v>
      </c>
      <c r="V134" s="3555"/>
      <c r="W134" s="3555"/>
      <c r="X134" s="3555"/>
      <c r="Y134" s="4"/>
      <c r="Z134" s="3555"/>
      <c r="AA134" s="3555"/>
      <c r="AB134" s="3555"/>
      <c r="AC134" s="3555"/>
      <c r="AD134" s="3555"/>
      <c r="AE134" s="3555"/>
      <c r="AF134" s="3555"/>
      <c r="AG134" s="3555"/>
      <c r="AH134" s="3555"/>
      <c r="AI134" s="63"/>
      <c r="AJ134" s="63"/>
      <c r="AK134" s="63"/>
      <c r="AL134" s="63"/>
      <c r="AM134" s="63"/>
    </row>
    <row r="135" spans="1:39" s="64" customFormat="1" ht="19">
      <c r="A135" s="58">
        <v>136501</v>
      </c>
      <c r="B135" s="59"/>
      <c r="C135" s="47"/>
      <c r="D135" s="65" t="s">
        <v>586</v>
      </c>
      <c r="E135" s="75">
        <f>Fortalezas!D104</f>
        <v>0</v>
      </c>
      <c r="F135" s="75">
        <f>Fortalezas!E104</f>
        <v>0</v>
      </c>
      <c r="G135" s="75">
        <f>Fortalezas!F104</f>
        <v>0</v>
      </c>
      <c r="H135" s="75">
        <f>Fortalezas!G104</f>
        <v>0</v>
      </c>
      <c r="I135" s="76">
        <f>Fortalezas!H104</f>
        <v>0</v>
      </c>
      <c r="J135" s="4"/>
      <c r="K135" s="4"/>
      <c r="L135" s="3555"/>
      <c r="M135" s="4"/>
      <c r="N135" s="4"/>
      <c r="O135" s="4"/>
      <c r="P135" s="3558"/>
      <c r="Q135" s="3555"/>
      <c r="R135" s="3555"/>
      <c r="S135" s="3556">
        <v>0</v>
      </c>
      <c r="T135" s="3555"/>
      <c r="U135" s="3557">
        <f t="shared" si="9"/>
        <v>0</v>
      </c>
      <c r="V135" s="3555"/>
      <c r="W135" s="3555"/>
      <c r="X135" s="3555"/>
      <c r="Y135" s="4"/>
      <c r="Z135" s="3555"/>
      <c r="AA135" s="3555"/>
      <c r="AB135" s="3555"/>
      <c r="AC135" s="3555"/>
      <c r="AD135" s="3555"/>
      <c r="AE135" s="3555"/>
      <c r="AF135" s="3555"/>
      <c r="AG135" s="3555"/>
      <c r="AH135" s="3555"/>
      <c r="AI135" s="63"/>
      <c r="AJ135" s="63"/>
      <c r="AK135" s="63"/>
      <c r="AL135" s="63"/>
      <c r="AM135" s="63"/>
    </row>
    <row r="136" spans="1:39" s="64" customFormat="1" ht="19">
      <c r="A136" s="58">
        <v>137001</v>
      </c>
      <c r="B136" s="59"/>
      <c r="C136" s="47"/>
      <c r="D136" s="65" t="s">
        <v>636</v>
      </c>
      <c r="E136" s="75">
        <f>Fortalezas!D105</f>
        <v>0</v>
      </c>
      <c r="F136" s="75">
        <f>Fortalezas!E105</f>
        <v>0</v>
      </c>
      <c r="G136" s="75">
        <f>Fortalezas!F105</f>
        <v>0</v>
      </c>
      <c r="H136" s="75">
        <f>Fortalezas!G105</f>
        <v>0</v>
      </c>
      <c r="I136" s="76">
        <f>Fortalezas!H105</f>
        <v>0</v>
      </c>
      <c r="J136" s="4"/>
      <c r="K136" s="4"/>
      <c r="L136" s="3555"/>
      <c r="M136" s="4"/>
      <c r="N136" s="4"/>
      <c r="O136" s="4"/>
      <c r="P136" s="3558"/>
      <c r="Q136" s="3555"/>
      <c r="R136" s="3555"/>
      <c r="S136" s="3556">
        <v>0</v>
      </c>
      <c r="T136" s="3555"/>
      <c r="U136" s="3557">
        <f t="shared" si="9"/>
        <v>0</v>
      </c>
      <c r="V136" s="3555"/>
      <c r="W136" s="3555"/>
      <c r="X136" s="3555"/>
      <c r="Y136" s="4"/>
      <c r="Z136" s="3555"/>
      <c r="AA136" s="3555"/>
      <c r="AB136" s="3555"/>
      <c r="AC136" s="3555"/>
      <c r="AD136" s="3555"/>
      <c r="AE136" s="3555"/>
      <c r="AF136" s="3555"/>
      <c r="AG136" s="3555"/>
      <c r="AH136" s="3555"/>
      <c r="AI136" s="63"/>
      <c r="AJ136" s="63"/>
      <c r="AK136" s="63"/>
      <c r="AL136" s="63"/>
      <c r="AM136" s="63"/>
    </row>
    <row r="137" spans="1:39" s="64" customFormat="1" ht="19">
      <c r="A137" s="58">
        <v>138001</v>
      </c>
      <c r="B137" s="59"/>
      <c r="C137" s="47"/>
      <c r="D137" s="65" t="s">
        <v>637</v>
      </c>
      <c r="E137" s="75">
        <f>Fortalezas!D106</f>
        <v>0</v>
      </c>
      <c r="F137" s="75">
        <f>Fortalezas!E106</f>
        <v>0</v>
      </c>
      <c r="G137" s="75">
        <f>Fortalezas!F106</f>
        <v>0</v>
      </c>
      <c r="H137" s="75">
        <f>Fortalezas!G106</f>
        <v>0</v>
      </c>
      <c r="I137" s="76">
        <f>Fortalezas!H106</f>
        <v>0</v>
      </c>
      <c r="J137" s="4"/>
      <c r="K137" s="4"/>
      <c r="L137" s="3555"/>
      <c r="M137" s="4"/>
      <c r="N137" s="4"/>
      <c r="O137" s="4"/>
      <c r="P137" s="3558"/>
      <c r="Q137" s="3555"/>
      <c r="R137" s="3555"/>
      <c r="S137" s="3556">
        <v>0</v>
      </c>
      <c r="T137" s="3555"/>
      <c r="U137" s="3557">
        <f t="shared" si="9"/>
        <v>0</v>
      </c>
      <c r="V137" s="3555"/>
      <c r="W137" s="3555"/>
      <c r="X137" s="3555"/>
      <c r="Y137" s="4"/>
      <c r="Z137" s="3555"/>
      <c r="AA137" s="3555"/>
      <c r="AB137" s="3555"/>
      <c r="AC137" s="3555"/>
      <c r="AD137" s="3555"/>
      <c r="AE137" s="3555"/>
      <c r="AF137" s="3555"/>
      <c r="AG137" s="3555"/>
      <c r="AH137" s="3555"/>
      <c r="AI137" s="63"/>
      <c r="AJ137" s="63"/>
      <c r="AK137" s="63"/>
      <c r="AL137" s="63"/>
      <c r="AM137" s="63"/>
    </row>
    <row r="138" spans="1:39" s="64" customFormat="1" ht="19">
      <c r="A138" s="58">
        <v>138501</v>
      </c>
      <c r="B138" s="59"/>
      <c r="C138" s="47"/>
      <c r="D138" s="65" t="s">
        <v>638</v>
      </c>
      <c r="E138" s="75">
        <f>Fortalezas!D107</f>
        <v>0</v>
      </c>
      <c r="F138" s="75">
        <f>Fortalezas!E107</f>
        <v>0</v>
      </c>
      <c r="G138" s="75">
        <f>Fortalezas!F107</f>
        <v>0</v>
      </c>
      <c r="H138" s="75">
        <f>Fortalezas!G107</f>
        <v>0</v>
      </c>
      <c r="I138" s="76">
        <f>Fortalezas!H107</f>
        <v>0</v>
      </c>
      <c r="J138" s="4"/>
      <c r="K138" s="4"/>
      <c r="L138" s="3555"/>
      <c r="M138" s="4"/>
      <c r="N138" s="4"/>
      <c r="O138" s="4"/>
      <c r="P138" s="3558"/>
      <c r="Q138" s="3555"/>
      <c r="R138" s="3555"/>
      <c r="S138" s="3556">
        <v>0</v>
      </c>
      <c r="T138" s="3555"/>
      <c r="U138" s="3557">
        <f t="shared" si="9"/>
        <v>0</v>
      </c>
      <c r="V138" s="3555"/>
      <c r="W138" s="3555"/>
      <c r="X138" s="3555"/>
      <c r="Y138" s="4"/>
      <c r="Z138" s="3555"/>
      <c r="AA138" s="3555"/>
      <c r="AB138" s="3555"/>
      <c r="AC138" s="3555"/>
      <c r="AD138" s="3555"/>
      <c r="AE138" s="3555"/>
      <c r="AF138" s="3555"/>
      <c r="AG138" s="3555"/>
      <c r="AH138" s="3555"/>
      <c r="AI138" s="63"/>
      <c r="AJ138" s="63"/>
      <c r="AK138" s="63"/>
      <c r="AL138" s="63"/>
      <c r="AM138" s="63"/>
    </row>
    <row r="139" spans="1:39" s="64" customFormat="1" ht="19">
      <c r="A139" s="58">
        <v>139001</v>
      </c>
      <c r="B139" s="59"/>
      <c r="C139" s="47"/>
      <c r="D139" s="65" t="s">
        <v>588</v>
      </c>
      <c r="E139" s="75">
        <f>Fortalezas!D108</f>
        <v>0</v>
      </c>
      <c r="F139" s="75">
        <f>Fortalezas!E108</f>
        <v>0</v>
      </c>
      <c r="G139" s="75">
        <f>Fortalezas!F108</f>
        <v>0</v>
      </c>
      <c r="H139" s="75">
        <f>Fortalezas!G108</f>
        <v>0</v>
      </c>
      <c r="I139" s="76">
        <f>Fortalezas!H108</f>
        <v>0</v>
      </c>
      <c r="J139" s="4"/>
      <c r="K139" s="4"/>
      <c r="L139" s="3555"/>
      <c r="M139" s="4"/>
      <c r="N139" s="4"/>
      <c r="O139" s="4"/>
      <c r="P139" s="3558"/>
      <c r="Q139" s="3555"/>
      <c r="R139" s="3555"/>
      <c r="S139" s="3556">
        <v>0</v>
      </c>
      <c r="T139" s="3555"/>
      <c r="U139" s="3557">
        <f t="shared" si="9"/>
        <v>0</v>
      </c>
      <c r="V139" s="3555"/>
      <c r="W139" s="3555"/>
      <c r="X139" s="3555"/>
      <c r="Y139" s="4"/>
      <c r="Z139" s="3555"/>
      <c r="AA139" s="3555"/>
      <c r="AB139" s="3555"/>
      <c r="AC139" s="3555"/>
      <c r="AD139" s="3555"/>
      <c r="AE139" s="3555"/>
      <c r="AF139" s="3555"/>
      <c r="AG139" s="3555"/>
      <c r="AH139" s="3555"/>
      <c r="AI139" s="63"/>
      <c r="AJ139" s="63"/>
      <c r="AK139" s="63"/>
      <c r="AL139" s="63"/>
      <c r="AM139" s="63"/>
    </row>
    <row r="140" spans="1:39" s="64" customFormat="1" ht="19" hidden="1" customHeight="1">
      <c r="A140" s="58"/>
      <c r="B140" s="59"/>
      <c r="C140" s="47"/>
      <c r="D140" s="65"/>
      <c r="E140" s="75"/>
      <c r="F140" s="75"/>
      <c r="G140" s="75"/>
      <c r="H140" s="75"/>
      <c r="I140" s="76"/>
      <c r="J140" s="4"/>
      <c r="K140" s="4"/>
      <c r="L140" s="3555"/>
      <c r="M140" s="4"/>
      <c r="N140" s="4"/>
      <c r="O140" s="4"/>
      <c r="P140" s="3558"/>
      <c r="Q140" s="3555"/>
      <c r="R140" s="3555"/>
      <c r="S140" s="3556">
        <v>1</v>
      </c>
      <c r="T140" s="3555"/>
      <c r="U140" s="3557">
        <f t="shared" si="9"/>
        <v>0</v>
      </c>
      <c r="V140" s="3555"/>
      <c r="W140" s="3555"/>
      <c r="X140" s="3555"/>
      <c r="Y140" s="4"/>
      <c r="Z140" s="3555"/>
      <c r="AA140" s="3555"/>
      <c r="AB140" s="3555"/>
      <c r="AC140" s="3555"/>
      <c r="AD140" s="3555"/>
      <c r="AE140" s="3555"/>
      <c r="AF140" s="3555"/>
      <c r="AG140" s="3555"/>
      <c r="AH140" s="3555"/>
      <c r="AI140" s="63"/>
      <c r="AJ140" s="63"/>
      <c r="AK140" s="63"/>
      <c r="AL140" s="63"/>
      <c r="AM140" s="63"/>
    </row>
    <row r="141" spans="1:39" s="64" customFormat="1" ht="19">
      <c r="A141" s="58">
        <v>139901</v>
      </c>
      <c r="B141" s="59"/>
      <c r="C141" s="47"/>
      <c r="D141" s="65" t="s">
        <v>603</v>
      </c>
      <c r="E141" s="75">
        <f>Fortalezas!D109</f>
        <v>0</v>
      </c>
      <c r="F141" s="75">
        <f>Fortalezas!E109</f>
        <v>0</v>
      </c>
      <c r="G141" s="75">
        <f>Fortalezas!F109</f>
        <v>0</v>
      </c>
      <c r="H141" s="75">
        <f>Fortalezas!G109</f>
        <v>0</v>
      </c>
      <c r="I141" s="76">
        <f>Fortalezas!H109</f>
        <v>0</v>
      </c>
      <c r="J141" s="4"/>
      <c r="K141" s="4"/>
      <c r="L141" s="3555"/>
      <c r="M141" s="4"/>
      <c r="N141" s="4"/>
      <c r="O141" s="4"/>
      <c r="P141" s="3558"/>
      <c r="Q141" s="3555"/>
      <c r="R141" s="3555"/>
      <c r="S141" s="3556">
        <v>0</v>
      </c>
      <c r="T141" s="3555"/>
      <c r="U141" s="3557">
        <f t="shared" si="9"/>
        <v>0</v>
      </c>
      <c r="V141" s="3555"/>
      <c r="W141" s="3555"/>
      <c r="X141" s="3555"/>
      <c r="Y141" s="4"/>
      <c r="Z141" s="3555"/>
      <c r="AA141" s="3555"/>
      <c r="AB141" s="3555"/>
      <c r="AC141" s="3555"/>
      <c r="AD141" s="3555"/>
      <c r="AE141" s="3555"/>
      <c r="AF141" s="3555"/>
      <c r="AG141" s="3555"/>
      <c r="AH141" s="3555"/>
      <c r="AI141" s="63"/>
      <c r="AJ141" s="63"/>
      <c r="AK141" s="63"/>
      <c r="AL141" s="63"/>
      <c r="AM141" s="63"/>
    </row>
    <row r="142" spans="1:39" s="64" customFormat="1" ht="19">
      <c r="A142" s="58">
        <v>1205</v>
      </c>
      <c r="B142" s="59"/>
      <c r="C142" s="66" t="s">
        <v>639</v>
      </c>
      <c r="D142" s="67"/>
      <c r="E142" s="68">
        <f>SUM(E122:E141)</f>
        <v>0</v>
      </c>
      <c r="F142" s="68">
        <f>SUM(F122:F141)</f>
        <v>0</v>
      </c>
      <c r="G142" s="68">
        <f>SUM(G122:G141)</f>
        <v>0</v>
      </c>
      <c r="H142" s="68">
        <f>SUM(H122:H141)</f>
        <v>0</v>
      </c>
      <c r="I142" s="69">
        <f>SUM(I122:I141)</f>
        <v>0</v>
      </c>
      <c r="J142" s="4"/>
      <c r="K142" s="4"/>
      <c r="L142" s="3555"/>
      <c r="M142" s="4"/>
      <c r="N142" s="4"/>
      <c r="O142" s="4"/>
      <c r="P142" s="3558"/>
      <c r="Q142" s="3555"/>
      <c r="R142" s="3555"/>
      <c r="S142" s="3556">
        <v>0</v>
      </c>
      <c r="T142" s="3555"/>
      <c r="U142" s="3557">
        <f t="shared" si="9"/>
        <v>0</v>
      </c>
      <c r="V142" s="3555"/>
      <c r="W142" s="3555"/>
      <c r="X142" s="3555"/>
      <c r="Y142" s="4"/>
      <c r="Z142" s="3555"/>
      <c r="AA142" s="3555"/>
      <c r="AB142" s="3555"/>
      <c r="AC142" s="3555"/>
      <c r="AD142" s="3555"/>
      <c r="AE142" s="3555"/>
      <c r="AF142" s="3555"/>
      <c r="AG142" s="3555"/>
      <c r="AH142" s="3555"/>
      <c r="AI142" s="63"/>
      <c r="AJ142" s="63"/>
      <c r="AK142" s="63"/>
      <c r="AL142" s="63"/>
      <c r="AM142" s="63"/>
    </row>
    <row r="143" spans="1:39" s="64" customFormat="1" ht="19">
      <c r="A143" s="58"/>
      <c r="B143" s="53"/>
      <c r="C143" s="54" t="s">
        <v>640</v>
      </c>
      <c r="D143" s="71"/>
      <c r="E143" s="72"/>
      <c r="F143" s="72"/>
      <c r="G143" s="72"/>
      <c r="H143" s="72"/>
      <c r="I143" s="73"/>
      <c r="J143" s="4"/>
      <c r="K143" s="4"/>
      <c r="L143" s="3555"/>
      <c r="M143" s="4"/>
      <c r="N143" s="4"/>
      <c r="O143" s="4"/>
      <c r="P143" s="3558"/>
      <c r="Q143" s="3555"/>
      <c r="R143" s="3555"/>
      <c r="S143" s="3556">
        <v>0</v>
      </c>
      <c r="T143" s="3555"/>
      <c r="U143" s="3557">
        <f>U153</f>
        <v>0</v>
      </c>
      <c r="V143" s="3555"/>
      <c r="W143" s="3555"/>
      <c r="X143" s="3555"/>
      <c r="Y143" s="4"/>
      <c r="Z143" s="3555"/>
      <c r="AA143" s="3555"/>
      <c r="AB143" s="3555"/>
      <c r="AC143" s="3555"/>
      <c r="AD143" s="3555"/>
      <c r="AE143" s="3555"/>
      <c r="AF143" s="3555"/>
      <c r="AG143" s="3555"/>
      <c r="AH143" s="3555"/>
      <c r="AI143" s="63"/>
      <c r="AJ143" s="63"/>
      <c r="AK143" s="63"/>
      <c r="AL143" s="63"/>
      <c r="AM143" s="63"/>
    </row>
    <row r="144" spans="1:39" s="64" customFormat="1" ht="19">
      <c r="A144" s="58">
        <v>120501</v>
      </c>
      <c r="B144" s="59"/>
      <c r="C144" s="47"/>
      <c r="D144" s="60" t="s">
        <v>641</v>
      </c>
      <c r="E144" s="61">
        <f>Fortalezas!D111</f>
        <v>0</v>
      </c>
      <c r="F144" s="61">
        <f>Fortalezas!E111</f>
        <v>0</v>
      </c>
      <c r="G144" s="61">
        <f>Fortalezas!F111</f>
        <v>0</v>
      </c>
      <c r="H144" s="61">
        <f>Fortalezas!G111</f>
        <v>0</v>
      </c>
      <c r="I144" s="62">
        <f>Fortalezas!H111</f>
        <v>0</v>
      </c>
      <c r="J144" s="4"/>
      <c r="K144" s="4"/>
      <c r="L144" s="3555"/>
      <c r="M144" s="4"/>
      <c r="N144" s="4"/>
      <c r="O144" s="4"/>
      <c r="P144" s="3558"/>
      <c r="Q144" s="3555"/>
      <c r="R144" s="3555"/>
      <c r="S144" s="3556">
        <v>0</v>
      </c>
      <c r="T144" s="3555"/>
      <c r="U144" s="3557">
        <f t="shared" ref="U144:U153" si="10">SUM(E144:I144)</f>
        <v>0</v>
      </c>
      <c r="V144" s="3555"/>
      <c r="W144" s="3555"/>
      <c r="X144" s="3555"/>
      <c r="Y144" s="4"/>
      <c r="Z144" s="3555"/>
      <c r="AA144" s="3555"/>
      <c r="AB144" s="3555"/>
      <c r="AC144" s="3555"/>
      <c r="AD144" s="3555"/>
      <c r="AE144" s="3555"/>
      <c r="AF144" s="3555"/>
      <c r="AG144" s="3555"/>
      <c r="AH144" s="3555"/>
      <c r="AI144" s="63"/>
      <c r="AJ144" s="63"/>
      <c r="AK144" s="63"/>
      <c r="AL144" s="63"/>
      <c r="AM144" s="63"/>
    </row>
    <row r="145" spans="1:39" s="64" customFormat="1" ht="19">
      <c r="A145" s="58">
        <v>121001</v>
      </c>
      <c r="B145" s="59"/>
      <c r="C145" s="47"/>
      <c r="D145" s="65" t="s">
        <v>642</v>
      </c>
      <c r="E145" s="75">
        <f>Fortalezas!D112</f>
        <v>0</v>
      </c>
      <c r="F145" s="75">
        <f>Fortalezas!E112</f>
        <v>0</v>
      </c>
      <c r="G145" s="75">
        <f>Fortalezas!F112</f>
        <v>0</v>
      </c>
      <c r="H145" s="75">
        <f>Fortalezas!G112</f>
        <v>0</v>
      </c>
      <c r="I145" s="76">
        <f>Fortalezas!H112</f>
        <v>0</v>
      </c>
      <c r="J145" s="4"/>
      <c r="K145" s="4"/>
      <c r="L145" s="3555"/>
      <c r="M145" s="4"/>
      <c r="N145" s="4"/>
      <c r="O145" s="4"/>
      <c r="P145" s="3558"/>
      <c r="Q145" s="3555"/>
      <c r="R145" s="3555"/>
      <c r="S145" s="3556">
        <v>0</v>
      </c>
      <c r="T145" s="3555"/>
      <c r="U145" s="3557">
        <f t="shared" si="10"/>
        <v>0</v>
      </c>
      <c r="V145" s="3555"/>
      <c r="W145" s="3555"/>
      <c r="X145" s="3555"/>
      <c r="Y145" s="4"/>
      <c r="Z145" s="3555"/>
      <c r="AA145" s="3555"/>
      <c r="AB145" s="3555"/>
      <c r="AC145" s="3555"/>
      <c r="AD145" s="3555"/>
      <c r="AE145" s="3555"/>
      <c r="AF145" s="3555"/>
      <c r="AG145" s="3555"/>
      <c r="AH145" s="3555"/>
      <c r="AI145" s="63"/>
      <c r="AJ145" s="63"/>
      <c r="AK145" s="63"/>
      <c r="AL145" s="63"/>
      <c r="AM145" s="63"/>
    </row>
    <row r="146" spans="1:39" s="64" customFormat="1" ht="19">
      <c r="A146" s="58">
        <v>121501</v>
      </c>
      <c r="B146" s="59"/>
      <c r="C146" s="47"/>
      <c r="D146" s="65" t="s">
        <v>554</v>
      </c>
      <c r="E146" s="75">
        <f>Fortalezas!D113</f>
        <v>0</v>
      </c>
      <c r="F146" s="75">
        <f>Fortalezas!E113</f>
        <v>0</v>
      </c>
      <c r="G146" s="75">
        <f>Fortalezas!F113</f>
        <v>0</v>
      </c>
      <c r="H146" s="75">
        <f>Fortalezas!G113</f>
        <v>0</v>
      </c>
      <c r="I146" s="76">
        <f>Fortalezas!H113</f>
        <v>0</v>
      </c>
      <c r="J146" s="4"/>
      <c r="K146" s="4"/>
      <c r="L146" s="3555"/>
      <c r="M146" s="4"/>
      <c r="N146" s="4"/>
      <c r="O146" s="4"/>
      <c r="P146" s="3558"/>
      <c r="Q146" s="3555"/>
      <c r="R146" s="3555"/>
      <c r="S146" s="3556">
        <v>0</v>
      </c>
      <c r="T146" s="3555"/>
      <c r="U146" s="3557">
        <f t="shared" si="10"/>
        <v>0</v>
      </c>
      <c r="V146" s="3555"/>
      <c r="W146" s="3555"/>
      <c r="X146" s="3555"/>
      <c r="Y146" s="4"/>
      <c r="Z146" s="3555"/>
      <c r="AA146" s="3555"/>
      <c r="AB146" s="3555"/>
      <c r="AC146" s="3555"/>
      <c r="AD146" s="3555"/>
      <c r="AE146" s="3555"/>
      <c r="AF146" s="3555"/>
      <c r="AG146" s="3555"/>
      <c r="AH146" s="3555"/>
      <c r="AI146" s="63"/>
      <c r="AJ146" s="63"/>
      <c r="AK146" s="63"/>
      <c r="AL146" s="63"/>
      <c r="AM146" s="63"/>
    </row>
    <row r="147" spans="1:39" s="64" customFormat="1" ht="19">
      <c r="A147" s="58">
        <v>123501</v>
      </c>
      <c r="B147" s="59"/>
      <c r="C147" s="47"/>
      <c r="D147" s="65" t="s">
        <v>643</v>
      </c>
      <c r="E147" s="75">
        <f>Fortalezas!D114</f>
        <v>0</v>
      </c>
      <c r="F147" s="75">
        <f>Fortalezas!E114</f>
        <v>0</v>
      </c>
      <c r="G147" s="75">
        <f>Fortalezas!F114</f>
        <v>0</v>
      </c>
      <c r="H147" s="75">
        <f>Fortalezas!G114</f>
        <v>0</v>
      </c>
      <c r="I147" s="76">
        <f>Fortalezas!H114</f>
        <v>0</v>
      </c>
      <c r="J147" s="4"/>
      <c r="K147" s="4"/>
      <c r="L147" s="3555"/>
      <c r="M147" s="4"/>
      <c r="N147" s="4"/>
      <c r="O147" s="4"/>
      <c r="P147" s="3558"/>
      <c r="Q147" s="3555"/>
      <c r="R147" s="3555"/>
      <c r="S147" s="3556">
        <v>0</v>
      </c>
      <c r="T147" s="3555"/>
      <c r="U147" s="3557">
        <f t="shared" si="10"/>
        <v>0</v>
      </c>
      <c r="V147" s="3555"/>
      <c r="W147" s="3555"/>
      <c r="X147" s="3555"/>
      <c r="Y147" s="4"/>
      <c r="Z147" s="3555"/>
      <c r="AA147" s="3555"/>
      <c r="AB147" s="3555"/>
      <c r="AC147" s="3555"/>
      <c r="AD147" s="3555"/>
      <c r="AE147" s="3555"/>
      <c r="AF147" s="3555"/>
      <c r="AG147" s="3555"/>
      <c r="AH147" s="3555"/>
      <c r="AI147" s="63"/>
      <c r="AJ147" s="63"/>
      <c r="AK147" s="63"/>
      <c r="AL147" s="63"/>
      <c r="AM147" s="63"/>
    </row>
    <row r="148" spans="1:39" s="64" customFormat="1" ht="19">
      <c r="A148" s="58">
        <v>125501</v>
      </c>
      <c r="B148" s="59"/>
      <c r="C148" s="47"/>
      <c r="D148" s="65" t="s">
        <v>644</v>
      </c>
      <c r="E148" s="75">
        <f>Fortalezas!D115</f>
        <v>0</v>
      </c>
      <c r="F148" s="75">
        <f>Fortalezas!E115</f>
        <v>0</v>
      </c>
      <c r="G148" s="75">
        <f>Fortalezas!F115</f>
        <v>0</v>
      </c>
      <c r="H148" s="75">
        <f>Fortalezas!G115</f>
        <v>0</v>
      </c>
      <c r="I148" s="76">
        <f>Fortalezas!H115</f>
        <v>0</v>
      </c>
      <c r="J148" s="4"/>
      <c r="K148" s="4"/>
      <c r="L148" s="3555"/>
      <c r="M148" s="4"/>
      <c r="N148" s="4"/>
      <c r="O148" s="4"/>
      <c r="P148" s="3558"/>
      <c r="Q148" s="3555"/>
      <c r="R148" s="3555"/>
      <c r="S148" s="3556">
        <v>0</v>
      </c>
      <c r="T148" s="3555"/>
      <c r="U148" s="3557">
        <f t="shared" si="10"/>
        <v>0</v>
      </c>
      <c r="V148" s="3555"/>
      <c r="W148" s="3555"/>
      <c r="X148" s="3555"/>
      <c r="Y148" s="4"/>
      <c r="Z148" s="3555"/>
      <c r="AA148" s="3555"/>
      <c r="AB148" s="3555"/>
      <c r="AC148" s="3555"/>
      <c r="AD148" s="3555"/>
      <c r="AE148" s="3555"/>
      <c r="AF148" s="3555"/>
      <c r="AG148" s="3555"/>
      <c r="AH148" s="3555"/>
      <c r="AI148" s="63"/>
      <c r="AJ148" s="63"/>
      <c r="AK148" s="63"/>
      <c r="AL148" s="63"/>
      <c r="AM148" s="63"/>
    </row>
    <row r="149" spans="1:39" s="64" customFormat="1" ht="19">
      <c r="A149" s="58">
        <v>126001</v>
      </c>
      <c r="B149" s="59"/>
      <c r="C149" s="47"/>
      <c r="D149" s="65" t="s">
        <v>645</v>
      </c>
      <c r="E149" s="75">
        <f>Fortalezas!D116</f>
        <v>0</v>
      </c>
      <c r="F149" s="75">
        <f>Fortalezas!E116</f>
        <v>0</v>
      </c>
      <c r="G149" s="75">
        <f>Fortalezas!F116</f>
        <v>0</v>
      </c>
      <c r="H149" s="75">
        <f>Fortalezas!G116</f>
        <v>0</v>
      </c>
      <c r="I149" s="76">
        <f>Fortalezas!H116</f>
        <v>0</v>
      </c>
      <c r="J149" s="4"/>
      <c r="K149" s="4"/>
      <c r="L149" s="3555"/>
      <c r="M149" s="4"/>
      <c r="N149" s="4"/>
      <c r="O149" s="4"/>
      <c r="P149" s="3558"/>
      <c r="Q149" s="3555"/>
      <c r="R149" s="3555"/>
      <c r="S149" s="3556">
        <v>0</v>
      </c>
      <c r="T149" s="3555"/>
      <c r="U149" s="3557">
        <f t="shared" si="10"/>
        <v>0</v>
      </c>
      <c r="V149" s="3555"/>
      <c r="W149" s="3555"/>
      <c r="X149" s="3555"/>
      <c r="Y149" s="4"/>
      <c r="Z149" s="3555"/>
      <c r="AA149" s="3555"/>
      <c r="AB149" s="3555"/>
      <c r="AC149" s="3555"/>
      <c r="AD149" s="3555"/>
      <c r="AE149" s="3555"/>
      <c r="AF149" s="3555"/>
      <c r="AG149" s="3555"/>
      <c r="AH149" s="3555"/>
      <c r="AI149" s="63"/>
      <c r="AJ149" s="63"/>
      <c r="AK149" s="63"/>
      <c r="AL149" s="63"/>
      <c r="AM149" s="63"/>
    </row>
    <row r="150" spans="1:39" s="64" customFormat="1" ht="19">
      <c r="A150" s="58">
        <v>129501</v>
      </c>
      <c r="B150" s="59"/>
      <c r="C150" s="47"/>
      <c r="D150" s="74" t="s">
        <v>646</v>
      </c>
      <c r="E150" s="75">
        <f>Fortalezas!D117</f>
        <v>0</v>
      </c>
      <c r="F150" s="75">
        <f>Fortalezas!E117</f>
        <v>0</v>
      </c>
      <c r="G150" s="75">
        <f>Fortalezas!F117</f>
        <v>0</v>
      </c>
      <c r="H150" s="75">
        <f>Fortalezas!G117</f>
        <v>0</v>
      </c>
      <c r="I150" s="76">
        <f>Fortalezas!H117</f>
        <v>0</v>
      </c>
      <c r="J150" s="4"/>
      <c r="K150" s="4"/>
      <c r="L150" s="3555"/>
      <c r="M150" s="4"/>
      <c r="N150" s="4"/>
      <c r="O150" s="4"/>
      <c r="P150" s="3558"/>
      <c r="Q150" s="3555"/>
      <c r="R150" s="3555"/>
      <c r="S150" s="3556">
        <v>0</v>
      </c>
      <c r="T150" s="3555"/>
      <c r="U150" s="3557">
        <f t="shared" si="10"/>
        <v>0</v>
      </c>
      <c r="V150" s="3555"/>
      <c r="W150" s="3555"/>
      <c r="X150" s="3555"/>
      <c r="Y150" s="4"/>
      <c r="Z150" s="3555"/>
      <c r="AA150" s="3555"/>
      <c r="AB150" s="3555"/>
      <c r="AC150" s="3555"/>
      <c r="AD150" s="3555"/>
      <c r="AE150" s="3555"/>
      <c r="AF150" s="3555"/>
      <c r="AG150" s="3555"/>
      <c r="AH150" s="3555"/>
      <c r="AI150" s="63"/>
      <c r="AJ150" s="63"/>
      <c r="AK150" s="63"/>
      <c r="AL150" s="63"/>
      <c r="AM150" s="63"/>
    </row>
    <row r="151" spans="1:39" s="64" customFormat="1" ht="19">
      <c r="A151" s="58">
        <v>129701</v>
      </c>
      <c r="B151" s="59"/>
      <c r="C151" s="47"/>
      <c r="D151" s="74" t="s">
        <v>647</v>
      </c>
      <c r="E151" s="75">
        <f>Fortalezas!D118</f>
        <v>0</v>
      </c>
      <c r="F151" s="75">
        <f>Fortalezas!E118</f>
        <v>0</v>
      </c>
      <c r="G151" s="75">
        <f>Fortalezas!F118</f>
        <v>0</v>
      </c>
      <c r="H151" s="75">
        <f>Fortalezas!G118</f>
        <v>0</v>
      </c>
      <c r="I151" s="76">
        <f>Fortalezas!H118</f>
        <v>0</v>
      </c>
      <c r="J151" s="4"/>
      <c r="K151" s="4"/>
      <c r="L151" s="3555"/>
      <c r="M151" s="4"/>
      <c r="N151" s="4"/>
      <c r="O151" s="4"/>
      <c r="P151" s="3558"/>
      <c r="Q151" s="3555"/>
      <c r="R151" s="3555"/>
      <c r="S151" s="3556">
        <v>0</v>
      </c>
      <c r="T151" s="3555"/>
      <c r="U151" s="3557">
        <f t="shared" si="10"/>
        <v>0</v>
      </c>
      <c r="V151" s="3555"/>
      <c r="W151" s="3555"/>
      <c r="X151" s="3555"/>
      <c r="Y151" s="4"/>
      <c r="Z151" s="3555"/>
      <c r="AA151" s="3555"/>
      <c r="AB151" s="3555"/>
      <c r="AC151" s="3555"/>
      <c r="AD151" s="3555"/>
      <c r="AE151" s="3555"/>
      <c r="AF151" s="3555"/>
      <c r="AG151" s="3555"/>
      <c r="AH151" s="3555"/>
      <c r="AI151" s="63"/>
      <c r="AJ151" s="63"/>
      <c r="AK151" s="63"/>
      <c r="AL151" s="63"/>
      <c r="AM151" s="63"/>
    </row>
    <row r="152" spans="1:39" s="64" customFormat="1" ht="19">
      <c r="A152" s="58">
        <v>129901</v>
      </c>
      <c r="B152" s="59"/>
      <c r="C152" s="47"/>
      <c r="D152" s="65" t="s">
        <v>603</v>
      </c>
      <c r="E152" s="75">
        <f>Fortalezas!D119</f>
        <v>0</v>
      </c>
      <c r="F152" s="75">
        <f>Fortalezas!E119</f>
        <v>0</v>
      </c>
      <c r="G152" s="75">
        <f>Fortalezas!F119</f>
        <v>0</v>
      </c>
      <c r="H152" s="75">
        <f>Fortalezas!G119</f>
        <v>0</v>
      </c>
      <c r="I152" s="76">
        <f>Fortalezas!H119</f>
        <v>0</v>
      </c>
      <c r="J152" s="4"/>
      <c r="K152" s="4"/>
      <c r="L152" s="3555"/>
      <c r="M152" s="4"/>
      <c r="N152" s="4"/>
      <c r="O152" s="4"/>
      <c r="P152" s="3558"/>
      <c r="Q152" s="3555"/>
      <c r="R152" s="3555"/>
      <c r="S152" s="3556">
        <v>0</v>
      </c>
      <c r="T152" s="3555"/>
      <c r="U152" s="3557">
        <f t="shared" si="10"/>
        <v>0</v>
      </c>
      <c r="V152" s="3555"/>
      <c r="W152" s="3555"/>
      <c r="X152" s="3555"/>
      <c r="Y152" s="4"/>
      <c r="Z152" s="3555"/>
      <c r="AA152" s="3555"/>
      <c r="AB152" s="3555"/>
      <c r="AC152" s="3555"/>
      <c r="AD152" s="3555"/>
      <c r="AE152" s="3555"/>
      <c r="AF152" s="3555"/>
      <c r="AG152" s="3555"/>
      <c r="AH152" s="3555"/>
      <c r="AI152" s="63"/>
      <c r="AJ152" s="63"/>
      <c r="AK152" s="63"/>
      <c r="AL152" s="63"/>
      <c r="AM152" s="63"/>
    </row>
    <row r="153" spans="1:39" s="64" customFormat="1" ht="19">
      <c r="A153" s="58">
        <v>1203</v>
      </c>
      <c r="B153" s="59"/>
      <c r="C153" s="66" t="s">
        <v>648</v>
      </c>
      <c r="D153" s="67"/>
      <c r="E153" s="68">
        <f>SUM(E144:E152)</f>
        <v>0</v>
      </c>
      <c r="F153" s="68">
        <f>SUM(F144:F152)</f>
        <v>0</v>
      </c>
      <c r="G153" s="68">
        <f>SUM(G144:G152)</f>
        <v>0</v>
      </c>
      <c r="H153" s="68">
        <f>SUM(H144:H152)</f>
        <v>0</v>
      </c>
      <c r="I153" s="69">
        <f>SUM(I144:I152)</f>
        <v>0</v>
      </c>
      <c r="J153" s="4"/>
      <c r="K153" s="4"/>
      <c r="L153" s="3555"/>
      <c r="M153" s="4"/>
      <c r="N153" s="4"/>
      <c r="O153" s="4"/>
      <c r="P153" s="3558"/>
      <c r="Q153" s="3555"/>
      <c r="R153" s="3555"/>
      <c r="S153" s="3556">
        <v>0</v>
      </c>
      <c r="T153" s="3555"/>
      <c r="U153" s="3557">
        <f t="shared" si="10"/>
        <v>0</v>
      </c>
      <c r="V153" s="3555"/>
      <c r="W153" s="3555"/>
      <c r="X153" s="3555"/>
      <c r="Y153" s="4"/>
      <c r="Z153" s="3555"/>
      <c r="AA153" s="3555"/>
      <c r="AB153" s="3555"/>
      <c r="AC153" s="3555"/>
      <c r="AD153" s="3555"/>
      <c r="AE153" s="3555"/>
      <c r="AF153" s="3555"/>
      <c r="AG153" s="3555"/>
      <c r="AH153" s="3555"/>
      <c r="AI153" s="63"/>
      <c r="AJ153" s="63"/>
      <c r="AK153" s="63"/>
      <c r="AL153" s="63"/>
      <c r="AM153" s="63"/>
    </row>
    <row r="154" spans="1:39" s="64" customFormat="1" ht="19">
      <c r="A154" s="58"/>
      <c r="B154" s="53"/>
      <c r="C154" s="54" t="s">
        <v>649</v>
      </c>
      <c r="D154" s="71"/>
      <c r="E154" s="72"/>
      <c r="F154" s="72"/>
      <c r="G154" s="72"/>
      <c r="H154" s="72"/>
      <c r="I154" s="73"/>
      <c r="J154" s="4"/>
      <c r="K154" s="4"/>
      <c r="L154" s="3555"/>
      <c r="M154" s="4"/>
      <c r="N154" s="4"/>
      <c r="O154" s="4"/>
      <c r="P154" s="3558"/>
      <c r="Q154" s="3555"/>
      <c r="R154" s="3555"/>
      <c r="S154" s="3556">
        <v>0</v>
      </c>
      <c r="T154" s="3555"/>
      <c r="U154" s="3557">
        <f>U161</f>
        <v>0</v>
      </c>
      <c r="V154" s="3555"/>
      <c r="W154" s="3555"/>
      <c r="X154" s="3555"/>
      <c r="Y154" s="4"/>
      <c r="Z154" s="3555"/>
      <c r="AA154" s="3555"/>
      <c r="AB154" s="3555"/>
      <c r="AC154" s="3555"/>
      <c r="AD154" s="3555"/>
      <c r="AE154" s="3555"/>
      <c r="AF154" s="3555"/>
      <c r="AG154" s="3555"/>
      <c r="AH154" s="3555"/>
      <c r="AI154" s="63"/>
      <c r="AJ154" s="63"/>
      <c r="AK154" s="63"/>
      <c r="AL154" s="63"/>
      <c r="AM154" s="63"/>
    </row>
    <row r="155" spans="1:39" s="64" customFormat="1" ht="19">
      <c r="A155" s="58">
        <v>120610</v>
      </c>
      <c r="B155" s="59"/>
      <c r="C155" s="47"/>
      <c r="D155" s="60" t="s">
        <v>606</v>
      </c>
      <c r="E155" s="61">
        <f>Fortalezas!D121</f>
        <v>0</v>
      </c>
      <c r="F155" s="61">
        <f>Fortalezas!E121</f>
        <v>0</v>
      </c>
      <c r="G155" s="61">
        <f>Fortalezas!F121</f>
        <v>0</v>
      </c>
      <c r="H155" s="61">
        <f>Fortalezas!G121</f>
        <v>0</v>
      </c>
      <c r="I155" s="62">
        <f>Fortalezas!H121</f>
        <v>0</v>
      </c>
      <c r="J155" s="4"/>
      <c r="K155" s="4"/>
      <c r="L155" s="3555"/>
      <c r="M155" s="4"/>
      <c r="N155" s="4"/>
      <c r="O155" s="4"/>
      <c r="P155" s="3558"/>
      <c r="Q155" s="3555"/>
      <c r="R155" s="3555"/>
      <c r="S155" s="3556">
        <v>0</v>
      </c>
      <c r="T155" s="3555"/>
      <c r="U155" s="3557">
        <f t="shared" ref="U155:U161" si="11">SUM(E155:I155)</f>
        <v>0</v>
      </c>
      <c r="V155" s="3555"/>
      <c r="W155" s="3555"/>
      <c r="X155" s="3555"/>
      <c r="Y155" s="3555"/>
      <c r="Z155" s="3555"/>
      <c r="AA155" s="3555"/>
      <c r="AB155" s="3555"/>
      <c r="AC155" s="3555"/>
      <c r="AD155" s="3555"/>
      <c r="AE155" s="3555"/>
      <c r="AF155" s="3555"/>
      <c r="AG155" s="3555"/>
      <c r="AH155" s="3555"/>
      <c r="AI155" s="63"/>
      <c r="AJ155" s="63"/>
      <c r="AK155" s="63"/>
      <c r="AL155" s="63"/>
      <c r="AM155" s="63"/>
    </row>
    <row r="156" spans="1:39" s="64" customFormat="1" ht="19">
      <c r="A156" s="58">
        <v>120615</v>
      </c>
      <c r="B156" s="59"/>
      <c r="C156" s="47"/>
      <c r="D156" s="65" t="s">
        <v>607</v>
      </c>
      <c r="E156" s="75">
        <f>Fortalezas!D122</f>
        <v>0</v>
      </c>
      <c r="F156" s="75">
        <f>Fortalezas!E122</f>
        <v>0</v>
      </c>
      <c r="G156" s="75">
        <f>Fortalezas!F122</f>
        <v>0</v>
      </c>
      <c r="H156" s="75">
        <f>Fortalezas!G122</f>
        <v>0</v>
      </c>
      <c r="I156" s="76">
        <f>Fortalezas!H122</f>
        <v>0</v>
      </c>
      <c r="J156" s="4"/>
      <c r="K156" s="4"/>
      <c r="L156" s="3555"/>
      <c r="M156" s="4"/>
      <c r="N156" s="4"/>
      <c r="O156" s="4"/>
      <c r="P156" s="3558"/>
      <c r="Q156" s="3555"/>
      <c r="R156" s="3555"/>
      <c r="S156" s="3556">
        <v>0</v>
      </c>
      <c r="T156" s="3555"/>
      <c r="U156" s="3557">
        <f t="shared" si="11"/>
        <v>0</v>
      </c>
      <c r="V156" s="3555"/>
      <c r="W156" s="3555"/>
      <c r="X156" s="3555"/>
      <c r="Y156" s="3555"/>
      <c r="Z156" s="3555"/>
      <c r="AA156" s="3555"/>
      <c r="AB156" s="3555"/>
      <c r="AC156" s="3555"/>
      <c r="AD156" s="3555"/>
      <c r="AE156" s="3555"/>
      <c r="AF156" s="3555"/>
      <c r="AG156" s="3555"/>
      <c r="AH156" s="3555"/>
      <c r="AI156" s="63"/>
      <c r="AJ156" s="63"/>
      <c r="AK156" s="63"/>
      <c r="AL156" s="63"/>
      <c r="AM156" s="63"/>
    </row>
    <row r="157" spans="1:39" s="64" customFormat="1" ht="19">
      <c r="A157" s="58">
        <v>173001</v>
      </c>
      <c r="B157" s="59"/>
      <c r="C157" s="47"/>
      <c r="D157" s="65" t="s">
        <v>608</v>
      </c>
      <c r="E157" s="75">
        <f>Fortalezas!D123</f>
        <v>0</v>
      </c>
      <c r="F157" s="75">
        <f>Fortalezas!E123</f>
        <v>0</v>
      </c>
      <c r="G157" s="75">
        <f>Fortalezas!F123</f>
        <v>0</v>
      </c>
      <c r="H157" s="75">
        <f>Fortalezas!G123</f>
        <v>0</v>
      </c>
      <c r="I157" s="76">
        <f>Fortalezas!H123</f>
        <v>0</v>
      </c>
      <c r="J157" s="4"/>
      <c r="K157" s="4"/>
      <c r="L157" s="3555"/>
      <c r="M157" s="4"/>
      <c r="N157" s="4"/>
      <c r="O157" s="4"/>
      <c r="P157" s="3558"/>
      <c r="Q157" s="3555"/>
      <c r="R157" s="3555"/>
      <c r="S157" s="3556">
        <v>0</v>
      </c>
      <c r="T157" s="3555"/>
      <c r="U157" s="3557">
        <f t="shared" si="11"/>
        <v>0</v>
      </c>
      <c r="V157" s="3555"/>
      <c r="W157" s="3555"/>
      <c r="X157" s="3555"/>
      <c r="Y157" s="3555"/>
      <c r="Z157" s="3555"/>
      <c r="AA157" s="3555"/>
      <c r="AB157" s="3555"/>
      <c r="AC157" s="3555"/>
      <c r="AD157" s="3555"/>
      <c r="AE157" s="3555"/>
      <c r="AF157" s="3555"/>
      <c r="AG157" s="3555"/>
      <c r="AH157" s="3555"/>
      <c r="AI157" s="63"/>
      <c r="AJ157" s="63"/>
      <c r="AK157" s="63"/>
      <c r="AL157" s="63"/>
      <c r="AM157" s="63"/>
    </row>
    <row r="158" spans="1:39" s="64" customFormat="1" ht="19">
      <c r="A158" s="58">
        <v>120620</v>
      </c>
      <c r="B158" s="59"/>
      <c r="C158" s="47"/>
      <c r="D158" s="74" t="s">
        <v>650</v>
      </c>
      <c r="E158" s="75">
        <f>Fortalezas!D124</f>
        <v>0</v>
      </c>
      <c r="F158" s="75">
        <f>Fortalezas!E124</f>
        <v>0</v>
      </c>
      <c r="G158" s="75">
        <f>Fortalezas!F124</f>
        <v>0</v>
      </c>
      <c r="H158" s="75">
        <f>Fortalezas!G124</f>
        <v>0</v>
      </c>
      <c r="I158" s="76">
        <f>Fortalezas!H124</f>
        <v>0</v>
      </c>
      <c r="J158" s="4"/>
      <c r="K158" s="4"/>
      <c r="L158" s="3555"/>
      <c r="M158" s="4"/>
      <c r="N158" s="4"/>
      <c r="O158" s="4"/>
      <c r="P158" s="3558"/>
      <c r="Q158" s="3555"/>
      <c r="R158" s="3555"/>
      <c r="S158" s="3556">
        <v>0</v>
      </c>
      <c r="T158" s="3555"/>
      <c r="U158" s="3557">
        <f t="shared" si="11"/>
        <v>0</v>
      </c>
      <c r="V158" s="3555"/>
      <c r="W158" s="3555"/>
      <c r="X158" s="3555"/>
      <c r="Y158" s="3555"/>
      <c r="Z158" s="3555"/>
      <c r="AA158" s="3555"/>
      <c r="AB158" s="3555"/>
      <c r="AC158" s="3555"/>
      <c r="AD158" s="3555"/>
      <c r="AE158" s="3555"/>
      <c r="AF158" s="3555"/>
      <c r="AG158" s="3555"/>
      <c r="AH158" s="3555"/>
      <c r="AI158" s="63"/>
      <c r="AJ158" s="63"/>
      <c r="AK158" s="63"/>
      <c r="AL158" s="63"/>
      <c r="AM158" s="63"/>
    </row>
    <row r="159" spans="1:39" s="64" customFormat="1" ht="19">
      <c r="A159" s="58">
        <v>179701</v>
      </c>
      <c r="B159" s="59"/>
      <c r="C159" s="47"/>
      <c r="D159" s="74" t="s">
        <v>609</v>
      </c>
      <c r="E159" s="75">
        <f>Fortalezas!D125</f>
        <v>0</v>
      </c>
      <c r="F159" s="75">
        <f>Fortalezas!E125</f>
        <v>0</v>
      </c>
      <c r="G159" s="75">
        <f>Fortalezas!F125</f>
        <v>0</v>
      </c>
      <c r="H159" s="75">
        <f>Fortalezas!G125</f>
        <v>0</v>
      </c>
      <c r="I159" s="76">
        <f>Fortalezas!H125</f>
        <v>0</v>
      </c>
      <c r="J159" s="4"/>
      <c r="K159" s="4"/>
      <c r="L159" s="3555"/>
      <c r="M159" s="4"/>
      <c r="N159" s="4"/>
      <c r="O159" s="4"/>
      <c r="P159" s="3558"/>
      <c r="Q159" s="3555"/>
      <c r="R159" s="3555"/>
      <c r="S159" s="3556">
        <v>0</v>
      </c>
      <c r="T159" s="3555"/>
      <c r="U159" s="3557">
        <f t="shared" si="11"/>
        <v>0</v>
      </c>
      <c r="V159" s="3555"/>
      <c r="W159" s="3555"/>
      <c r="X159" s="3555"/>
      <c r="Y159" s="3555"/>
      <c r="Z159" s="3555"/>
      <c r="AA159" s="3555"/>
      <c r="AB159" s="3555"/>
      <c r="AC159" s="3555"/>
      <c r="AD159" s="3555"/>
      <c r="AE159" s="3555"/>
      <c r="AF159" s="3555"/>
      <c r="AG159" s="3555"/>
      <c r="AH159" s="3555"/>
      <c r="AI159" s="63"/>
      <c r="AJ159" s="63"/>
      <c r="AK159" s="63"/>
      <c r="AL159" s="63"/>
      <c r="AM159" s="63"/>
    </row>
    <row r="160" spans="1:39" s="64" customFormat="1" ht="19">
      <c r="A160" s="58">
        <v>179801</v>
      </c>
      <c r="B160" s="59"/>
      <c r="C160" s="47"/>
      <c r="D160" s="65" t="s">
        <v>632</v>
      </c>
      <c r="E160" s="75">
        <f>Fortalezas!D126</f>
        <v>0</v>
      </c>
      <c r="F160" s="75">
        <f>Fortalezas!E126</f>
        <v>0</v>
      </c>
      <c r="G160" s="75">
        <f>Fortalezas!F126</f>
        <v>0</v>
      </c>
      <c r="H160" s="75">
        <f>Fortalezas!G126</f>
        <v>0</v>
      </c>
      <c r="I160" s="76">
        <f>Fortalezas!H126</f>
        <v>0</v>
      </c>
      <c r="J160" s="4"/>
      <c r="K160" s="4"/>
      <c r="L160" s="3555"/>
      <c r="M160" s="4"/>
      <c r="N160" s="4"/>
      <c r="O160" s="4"/>
      <c r="P160" s="3558"/>
      <c r="Q160" s="3555"/>
      <c r="R160" s="3555"/>
      <c r="S160" s="3556">
        <v>0</v>
      </c>
      <c r="T160" s="3555"/>
      <c r="U160" s="3557">
        <f t="shared" si="11"/>
        <v>0</v>
      </c>
      <c r="V160" s="3555"/>
      <c r="W160" s="3555"/>
      <c r="X160" s="3555"/>
      <c r="Y160" s="3555"/>
      <c r="Z160" s="3555"/>
      <c r="AA160" s="3555"/>
      <c r="AB160" s="3555"/>
      <c r="AC160" s="3555"/>
      <c r="AD160" s="3555"/>
      <c r="AE160" s="3555"/>
      <c r="AF160" s="3555"/>
      <c r="AG160" s="3555"/>
      <c r="AH160" s="3555"/>
      <c r="AI160" s="63"/>
      <c r="AJ160" s="63"/>
      <c r="AK160" s="63"/>
      <c r="AL160" s="63"/>
      <c r="AM160" s="63"/>
    </row>
    <row r="161" spans="1:39" s="64" customFormat="1" ht="19">
      <c r="A161" s="58">
        <v>1206</v>
      </c>
      <c r="B161" s="59"/>
      <c r="C161" s="66" t="s">
        <v>651</v>
      </c>
      <c r="D161" s="67"/>
      <c r="E161" s="68">
        <f>SUM(E155:E160)</f>
        <v>0</v>
      </c>
      <c r="F161" s="68">
        <f>SUM(F155:F160)</f>
        <v>0</v>
      </c>
      <c r="G161" s="68">
        <f>SUM(G155:G160)</f>
        <v>0</v>
      </c>
      <c r="H161" s="68">
        <f>SUM(H155:H160)</f>
        <v>0</v>
      </c>
      <c r="I161" s="69">
        <f>SUM(I155:I160)</f>
        <v>0</v>
      </c>
      <c r="J161" s="4"/>
      <c r="K161" s="4"/>
      <c r="L161" s="3555"/>
      <c r="M161" s="4"/>
      <c r="N161" s="4"/>
      <c r="O161" s="4"/>
      <c r="P161" s="3558"/>
      <c r="Q161" s="3555"/>
      <c r="R161" s="3555"/>
      <c r="S161" s="3556">
        <v>0</v>
      </c>
      <c r="T161" s="3555"/>
      <c r="U161" s="3557">
        <f t="shared" si="11"/>
        <v>0</v>
      </c>
      <c r="V161" s="3555"/>
      <c r="W161" s="3555"/>
      <c r="X161" s="3555"/>
      <c r="Y161" s="3555"/>
      <c r="Z161" s="3555"/>
      <c r="AA161" s="3555"/>
      <c r="AB161" s="3555"/>
      <c r="AC161" s="3555"/>
      <c r="AD161" s="3555"/>
      <c r="AE161" s="3555"/>
      <c r="AF161" s="3555"/>
      <c r="AG161" s="3555"/>
      <c r="AH161" s="3555"/>
      <c r="AI161" s="63"/>
      <c r="AJ161" s="63"/>
      <c r="AK161" s="63"/>
      <c r="AL161" s="63"/>
      <c r="AM161" s="63"/>
    </row>
    <row r="162" spans="1:39" s="64" customFormat="1" ht="19">
      <c r="A162" s="58"/>
      <c r="B162" s="53"/>
      <c r="C162" s="54" t="s">
        <v>652</v>
      </c>
      <c r="D162" s="71"/>
      <c r="E162" s="72"/>
      <c r="F162" s="72"/>
      <c r="G162" s="72"/>
      <c r="H162" s="72"/>
      <c r="I162" s="73"/>
      <c r="J162" s="4"/>
      <c r="K162" s="4"/>
      <c r="L162" s="3555"/>
      <c r="M162" s="4"/>
      <c r="N162" s="4"/>
      <c r="O162" s="4"/>
      <c r="P162" s="3558"/>
      <c r="Q162" s="3555"/>
      <c r="R162" s="3555"/>
      <c r="S162" s="3556">
        <v>0</v>
      </c>
      <c r="T162" s="3555"/>
      <c r="U162" s="3557">
        <f>U170</f>
        <v>0</v>
      </c>
      <c r="V162" s="3555"/>
      <c r="W162" s="3555"/>
      <c r="X162" s="3555"/>
      <c r="Y162" s="3555"/>
      <c r="Z162" s="3555"/>
      <c r="AA162" s="3555"/>
      <c r="AB162" s="3555"/>
      <c r="AC162" s="3555"/>
      <c r="AD162" s="3555"/>
      <c r="AE162" s="3555"/>
      <c r="AF162" s="3555"/>
      <c r="AG162" s="3555"/>
      <c r="AH162" s="3555"/>
      <c r="AI162" s="63"/>
      <c r="AJ162" s="63"/>
      <c r="AK162" s="63"/>
      <c r="AL162" s="63"/>
      <c r="AM162" s="63"/>
    </row>
    <row r="163" spans="1:39" s="64" customFormat="1" ht="19">
      <c r="A163" s="58">
        <v>160501</v>
      </c>
      <c r="B163" s="59"/>
      <c r="C163" s="47"/>
      <c r="D163" s="60" t="s">
        <v>653</v>
      </c>
      <c r="E163" s="61">
        <f>Fortalezas!D128</f>
        <v>0</v>
      </c>
      <c r="F163" s="61">
        <f>Fortalezas!E128</f>
        <v>0</v>
      </c>
      <c r="G163" s="61">
        <f>Fortalezas!F128</f>
        <v>0</v>
      </c>
      <c r="H163" s="61">
        <f>Fortalezas!G128</f>
        <v>0</v>
      </c>
      <c r="I163" s="62">
        <f>Fortalezas!H128</f>
        <v>0</v>
      </c>
      <c r="J163" s="4"/>
      <c r="K163" s="4"/>
      <c r="L163" s="3555"/>
      <c r="M163" s="4"/>
      <c r="N163" s="4"/>
      <c r="O163" s="4"/>
      <c r="P163" s="3558"/>
      <c r="Q163" s="3555"/>
      <c r="R163" s="3555"/>
      <c r="S163" s="3556">
        <v>0</v>
      </c>
      <c r="T163" s="3555"/>
      <c r="U163" s="3557">
        <f t="shared" ref="U163:U170" si="12">SUM(E163:I163)</f>
        <v>0</v>
      </c>
      <c r="V163" s="3555"/>
      <c r="W163" s="3555"/>
      <c r="X163" s="3555"/>
      <c r="Y163" s="3555"/>
      <c r="Z163" s="3555"/>
      <c r="AA163" s="3555"/>
      <c r="AB163" s="3555"/>
      <c r="AC163" s="3555"/>
      <c r="AD163" s="3555"/>
      <c r="AE163" s="3555"/>
      <c r="AF163" s="3555"/>
      <c r="AG163" s="3555"/>
      <c r="AH163" s="3555"/>
      <c r="AI163" s="63"/>
      <c r="AJ163" s="63"/>
      <c r="AK163" s="63"/>
      <c r="AL163" s="63"/>
      <c r="AM163" s="63"/>
    </row>
    <row r="164" spans="1:39" s="64" customFormat="1" ht="19">
      <c r="A164" s="58">
        <v>161001</v>
      </c>
      <c r="B164" s="59"/>
      <c r="C164" s="47"/>
      <c r="D164" s="65" t="s">
        <v>654</v>
      </c>
      <c r="E164" s="75">
        <f>Fortalezas!D129</f>
        <v>0</v>
      </c>
      <c r="F164" s="75">
        <f>Fortalezas!E129</f>
        <v>0</v>
      </c>
      <c r="G164" s="75">
        <f>Fortalezas!F129</f>
        <v>0</v>
      </c>
      <c r="H164" s="75">
        <f>Fortalezas!G129</f>
        <v>0</v>
      </c>
      <c r="I164" s="76">
        <f>Fortalezas!H129</f>
        <v>0</v>
      </c>
      <c r="J164" s="4"/>
      <c r="K164" s="4"/>
      <c r="L164" s="3555"/>
      <c r="M164" s="4"/>
      <c r="N164" s="4"/>
      <c r="O164" s="4"/>
      <c r="P164" s="3558"/>
      <c r="Q164" s="3555"/>
      <c r="R164" s="3555"/>
      <c r="S164" s="3556">
        <v>0</v>
      </c>
      <c r="T164" s="3555"/>
      <c r="U164" s="3557">
        <f t="shared" si="12"/>
        <v>0</v>
      </c>
      <c r="V164" s="3555"/>
      <c r="W164" s="3555"/>
      <c r="X164" s="3555"/>
      <c r="Y164" s="3555"/>
      <c r="Z164" s="3555"/>
      <c r="AA164" s="3555"/>
      <c r="AB164" s="3555"/>
      <c r="AC164" s="3555"/>
      <c r="AD164" s="3555"/>
      <c r="AE164" s="3555"/>
      <c r="AF164" s="3555"/>
      <c r="AG164" s="3555"/>
      <c r="AH164" s="3555"/>
      <c r="AI164" s="63"/>
      <c r="AJ164" s="63"/>
      <c r="AK164" s="63"/>
      <c r="AL164" s="63"/>
      <c r="AM164" s="63"/>
    </row>
    <row r="165" spans="1:39" s="64" customFormat="1" ht="19">
      <c r="A165" s="58">
        <v>163001</v>
      </c>
      <c r="B165" s="59"/>
      <c r="C165" s="47"/>
      <c r="D165" s="65" t="s">
        <v>655</v>
      </c>
      <c r="E165" s="75">
        <f>Fortalezas!D130</f>
        <v>0</v>
      </c>
      <c r="F165" s="75">
        <f>Fortalezas!E130</f>
        <v>0</v>
      </c>
      <c r="G165" s="75">
        <f>Fortalezas!F130</f>
        <v>0</v>
      </c>
      <c r="H165" s="75">
        <f>Fortalezas!G130</f>
        <v>0</v>
      </c>
      <c r="I165" s="76">
        <f>Fortalezas!H130</f>
        <v>0</v>
      </c>
      <c r="J165" s="4"/>
      <c r="K165" s="4"/>
      <c r="L165" s="3555"/>
      <c r="M165" s="4"/>
      <c r="N165" s="4"/>
      <c r="O165" s="4"/>
      <c r="P165" s="3558"/>
      <c r="Q165" s="3555"/>
      <c r="R165" s="3555"/>
      <c r="S165" s="3556">
        <v>0</v>
      </c>
      <c r="T165" s="3555"/>
      <c r="U165" s="3557">
        <f t="shared" si="12"/>
        <v>0</v>
      </c>
      <c r="V165" s="3555"/>
      <c r="W165" s="3555"/>
      <c r="X165" s="3555"/>
      <c r="Y165" s="3555"/>
      <c r="Z165" s="3555"/>
      <c r="AA165" s="3555"/>
      <c r="AB165" s="3555"/>
      <c r="AC165" s="3555"/>
      <c r="AD165" s="3555"/>
      <c r="AE165" s="3555"/>
      <c r="AF165" s="3555"/>
      <c r="AG165" s="3555"/>
      <c r="AH165" s="3555"/>
      <c r="AI165" s="63"/>
      <c r="AJ165" s="63"/>
      <c r="AK165" s="63"/>
      <c r="AL165" s="63"/>
      <c r="AM165" s="63"/>
    </row>
    <row r="166" spans="1:39" s="64" customFormat="1" ht="19">
      <c r="A166" s="58">
        <v>164001</v>
      </c>
      <c r="B166" s="59"/>
      <c r="C166" s="47"/>
      <c r="D166" s="65" t="s">
        <v>453</v>
      </c>
      <c r="E166" s="75">
        <f>Fortalezas!D131</f>
        <v>0</v>
      </c>
      <c r="F166" s="75">
        <f>Fortalezas!E131</f>
        <v>0</v>
      </c>
      <c r="G166" s="75">
        <f>Fortalezas!F131</f>
        <v>0</v>
      </c>
      <c r="H166" s="75">
        <f>Fortalezas!G131</f>
        <v>0</v>
      </c>
      <c r="I166" s="76">
        <f>Fortalezas!H131</f>
        <v>0</v>
      </c>
      <c r="J166" s="4"/>
      <c r="K166" s="4"/>
      <c r="L166" s="3555"/>
      <c r="M166" s="4"/>
      <c r="N166" s="4"/>
      <c r="O166" s="4"/>
      <c r="P166" s="3558"/>
      <c r="Q166" s="3555"/>
      <c r="R166" s="3555"/>
      <c r="S166" s="3556">
        <v>0</v>
      </c>
      <c r="T166" s="3555"/>
      <c r="U166" s="3557">
        <f t="shared" si="12"/>
        <v>0</v>
      </c>
      <c r="V166" s="3555"/>
      <c r="W166" s="3555"/>
      <c r="X166" s="3555"/>
      <c r="Y166" s="3555"/>
      <c r="Z166" s="3555"/>
      <c r="AA166" s="3555"/>
      <c r="AB166" s="3555"/>
      <c r="AC166" s="3555"/>
      <c r="AD166" s="3555"/>
      <c r="AE166" s="3555"/>
      <c r="AF166" s="3555"/>
      <c r="AG166" s="3555"/>
      <c r="AH166" s="3555"/>
      <c r="AI166" s="63"/>
      <c r="AJ166" s="63"/>
      <c r="AK166" s="63"/>
      <c r="AL166" s="63"/>
      <c r="AM166" s="63"/>
    </row>
    <row r="167" spans="1:39" s="64" customFormat="1" ht="19">
      <c r="A167" s="58">
        <v>109801</v>
      </c>
      <c r="B167" s="59"/>
      <c r="C167" s="47"/>
      <c r="D167" s="65" t="s">
        <v>656</v>
      </c>
      <c r="E167" s="75">
        <f>Fortalezas!D132</f>
        <v>0</v>
      </c>
      <c r="F167" s="75">
        <f>Fortalezas!E132</f>
        <v>0</v>
      </c>
      <c r="G167" s="75">
        <f>Fortalezas!F132</f>
        <v>0</v>
      </c>
      <c r="H167" s="75">
        <f>Fortalezas!G132</f>
        <v>0</v>
      </c>
      <c r="I167" s="76">
        <f>Fortalezas!H132</f>
        <v>0</v>
      </c>
      <c r="J167" s="4"/>
      <c r="K167" s="4"/>
      <c r="L167" s="3555"/>
      <c r="M167" s="4"/>
      <c r="N167" s="4"/>
      <c r="O167" s="4"/>
      <c r="P167" s="3558"/>
      <c r="Q167" s="3555"/>
      <c r="R167" s="3555"/>
      <c r="S167" s="3556">
        <v>0</v>
      </c>
      <c r="T167" s="3555"/>
      <c r="U167" s="3557">
        <f t="shared" si="12"/>
        <v>0</v>
      </c>
      <c r="V167" s="3555"/>
      <c r="W167" s="3555"/>
      <c r="X167" s="3555"/>
      <c r="Y167" s="3555"/>
      <c r="Z167" s="3555"/>
      <c r="AA167" s="3555"/>
      <c r="AB167" s="3555"/>
      <c r="AC167" s="3555"/>
      <c r="AD167" s="3555"/>
      <c r="AE167" s="3555"/>
      <c r="AF167" s="3555"/>
      <c r="AG167" s="3555"/>
      <c r="AH167" s="3555"/>
      <c r="AI167" s="63"/>
      <c r="AJ167" s="63"/>
      <c r="AK167" s="63"/>
      <c r="AL167" s="63"/>
      <c r="AM167" s="63"/>
    </row>
    <row r="168" spans="1:39" s="64" customFormat="1" ht="19">
      <c r="A168" s="58">
        <v>169899</v>
      </c>
      <c r="B168" s="59"/>
      <c r="C168" s="47"/>
      <c r="D168" s="65" t="s">
        <v>560</v>
      </c>
      <c r="E168" s="75">
        <f>Fortalezas!D133</f>
        <v>0</v>
      </c>
      <c r="F168" s="75">
        <f>Fortalezas!E133</f>
        <v>0</v>
      </c>
      <c r="G168" s="75">
        <f>Fortalezas!F133</f>
        <v>0</v>
      </c>
      <c r="H168" s="75">
        <f>Fortalezas!G133</f>
        <v>0</v>
      </c>
      <c r="I168" s="76">
        <f>Fortalezas!H133</f>
        <v>0</v>
      </c>
      <c r="J168" s="4"/>
      <c r="K168" s="4"/>
      <c r="L168" s="3555"/>
      <c r="M168" s="4"/>
      <c r="N168" s="4"/>
      <c r="O168" s="4"/>
      <c r="P168" s="3558"/>
      <c r="Q168" s="3555"/>
      <c r="R168" s="3555"/>
      <c r="S168" s="3556">
        <v>0</v>
      </c>
      <c r="T168" s="3555"/>
      <c r="U168" s="3557">
        <f t="shared" si="12"/>
        <v>0</v>
      </c>
      <c r="V168" s="3555"/>
      <c r="W168" s="3555"/>
      <c r="X168" s="3555"/>
      <c r="Y168" s="3555"/>
      <c r="Z168" s="3555"/>
      <c r="AA168" s="3555"/>
      <c r="AB168" s="3555"/>
      <c r="AC168" s="3555"/>
      <c r="AD168" s="3555"/>
      <c r="AE168" s="3555"/>
      <c r="AF168" s="3555"/>
      <c r="AG168" s="3555"/>
      <c r="AH168" s="3555"/>
      <c r="AI168" s="63"/>
      <c r="AJ168" s="63"/>
      <c r="AK168" s="63"/>
      <c r="AL168" s="63"/>
      <c r="AM168" s="63"/>
    </row>
    <row r="169" spans="1:39" s="64" customFormat="1" ht="19">
      <c r="A169" s="58">
        <v>169901</v>
      </c>
      <c r="B169" s="59"/>
      <c r="C169" s="47"/>
      <c r="D169" s="65" t="s">
        <v>603</v>
      </c>
      <c r="E169" s="75">
        <f>Fortalezas!D134</f>
        <v>0</v>
      </c>
      <c r="F169" s="75">
        <f>Fortalezas!E134</f>
        <v>0</v>
      </c>
      <c r="G169" s="75">
        <f>Fortalezas!F134</f>
        <v>0</v>
      </c>
      <c r="H169" s="75">
        <f>Fortalezas!G134</f>
        <v>0</v>
      </c>
      <c r="I169" s="76">
        <f>Fortalezas!H134</f>
        <v>0</v>
      </c>
      <c r="J169" s="4"/>
      <c r="K169" s="4"/>
      <c r="L169" s="3555"/>
      <c r="M169" s="4"/>
      <c r="N169" s="4"/>
      <c r="O169" s="4"/>
      <c r="P169" s="3558"/>
      <c r="Q169" s="3555"/>
      <c r="R169" s="3555"/>
      <c r="S169" s="3556">
        <v>0</v>
      </c>
      <c r="T169" s="3555"/>
      <c r="U169" s="3557">
        <f t="shared" si="12"/>
        <v>0</v>
      </c>
      <c r="V169" s="3555"/>
      <c r="W169" s="3555"/>
      <c r="X169" s="3555"/>
      <c r="Y169" s="3555"/>
      <c r="Z169" s="3555"/>
      <c r="AA169" s="3555"/>
      <c r="AB169" s="3555"/>
      <c r="AC169" s="3555"/>
      <c r="AD169" s="3555"/>
      <c r="AE169" s="3555"/>
      <c r="AF169" s="3555"/>
      <c r="AG169" s="3555"/>
      <c r="AH169" s="3555"/>
      <c r="AI169" s="63"/>
      <c r="AJ169" s="63"/>
      <c r="AK169" s="63"/>
      <c r="AL169" s="63"/>
      <c r="AM169" s="63"/>
    </row>
    <row r="170" spans="1:39" s="64" customFormat="1" ht="19">
      <c r="A170" s="58">
        <v>1202</v>
      </c>
      <c r="B170" s="59"/>
      <c r="C170" s="66" t="s">
        <v>657</v>
      </c>
      <c r="D170" s="67"/>
      <c r="E170" s="68">
        <f>SUM(E163:E169)</f>
        <v>0</v>
      </c>
      <c r="F170" s="68">
        <f>SUM(F163:F169)</f>
        <v>0</v>
      </c>
      <c r="G170" s="68">
        <f>SUM(G163:G169)</f>
        <v>0</v>
      </c>
      <c r="H170" s="68">
        <f>SUM(H163:H169)</f>
        <v>0</v>
      </c>
      <c r="I170" s="69">
        <f>SUM(I163:I169)</f>
        <v>0</v>
      </c>
      <c r="J170" s="4"/>
      <c r="K170" s="4"/>
      <c r="L170" s="3555"/>
      <c r="M170" s="4"/>
      <c r="N170" s="4"/>
      <c r="O170" s="4"/>
      <c r="P170" s="3558"/>
      <c r="Q170" s="3555"/>
      <c r="R170" s="3555"/>
      <c r="S170" s="3556">
        <v>0</v>
      </c>
      <c r="T170" s="3555"/>
      <c r="U170" s="3557">
        <f t="shared" si="12"/>
        <v>0</v>
      </c>
      <c r="V170" s="3555"/>
      <c r="W170" s="3555"/>
      <c r="X170" s="3555"/>
      <c r="Y170" s="3555"/>
      <c r="Z170" s="3555"/>
      <c r="AA170" s="3555"/>
      <c r="AB170" s="3555"/>
      <c r="AC170" s="3555"/>
      <c r="AD170" s="3555"/>
      <c r="AE170" s="3555"/>
      <c r="AF170" s="3555"/>
      <c r="AG170" s="3555"/>
      <c r="AH170" s="3555"/>
      <c r="AI170" s="63"/>
      <c r="AJ170" s="63"/>
      <c r="AK170" s="63"/>
      <c r="AL170" s="63"/>
      <c r="AM170" s="63"/>
    </row>
    <row r="171" spans="1:39" s="64" customFormat="1" ht="19">
      <c r="A171" s="58"/>
      <c r="B171" s="53"/>
      <c r="C171" s="54" t="s">
        <v>658</v>
      </c>
      <c r="D171" s="71"/>
      <c r="E171" s="72"/>
      <c r="F171" s="72"/>
      <c r="G171" s="72"/>
      <c r="H171" s="72"/>
      <c r="I171" s="73"/>
      <c r="J171" s="4"/>
      <c r="K171" s="4"/>
      <c r="L171" s="3555"/>
      <c r="M171" s="4"/>
      <c r="N171" s="4"/>
      <c r="O171" s="4"/>
      <c r="P171" s="3558"/>
      <c r="Q171" s="3555"/>
      <c r="R171" s="3555"/>
      <c r="S171" s="3556">
        <v>0</v>
      </c>
      <c r="T171" s="3555"/>
      <c r="U171" s="3557">
        <f>U177</f>
        <v>0</v>
      </c>
      <c r="V171" s="3555"/>
      <c r="W171" s="3555"/>
      <c r="X171" s="3555"/>
      <c r="Y171" s="3555"/>
      <c r="Z171" s="3555"/>
      <c r="AA171" s="3555"/>
      <c r="AB171" s="3555"/>
      <c r="AC171" s="3555"/>
      <c r="AD171" s="3555"/>
      <c r="AE171" s="3555"/>
      <c r="AF171" s="3555"/>
      <c r="AG171" s="3555"/>
      <c r="AH171" s="3555"/>
      <c r="AI171" s="63"/>
      <c r="AJ171" s="63"/>
      <c r="AK171" s="63"/>
      <c r="AL171" s="63"/>
      <c r="AM171" s="63"/>
    </row>
    <row r="172" spans="1:39" s="64" customFormat="1" ht="19">
      <c r="A172" s="58">
        <v>180501</v>
      </c>
      <c r="B172" s="59"/>
      <c r="C172" s="47"/>
      <c r="D172" s="74" t="s">
        <v>659</v>
      </c>
      <c r="E172" s="61">
        <f>Fortalezas!D136</f>
        <v>0</v>
      </c>
      <c r="F172" s="61">
        <f>Fortalezas!E136</f>
        <v>0</v>
      </c>
      <c r="G172" s="61">
        <f>Fortalezas!F136</f>
        <v>0</v>
      </c>
      <c r="H172" s="61">
        <f>Fortalezas!G136</f>
        <v>0</v>
      </c>
      <c r="I172" s="62">
        <f>Fortalezas!H136</f>
        <v>0</v>
      </c>
      <c r="J172" s="4"/>
      <c r="K172" s="4"/>
      <c r="L172" s="3555"/>
      <c r="M172" s="4"/>
      <c r="N172" s="4"/>
      <c r="O172" s="4"/>
      <c r="P172" s="3558"/>
      <c r="Q172" s="3555"/>
      <c r="R172" s="3555"/>
      <c r="S172" s="3556">
        <v>0</v>
      </c>
      <c r="T172" s="3555"/>
      <c r="U172" s="3557">
        <f t="shared" ref="U172:U177" si="13">SUM(E172:I172)</f>
        <v>0</v>
      </c>
      <c r="V172" s="3555"/>
      <c r="W172" s="3555"/>
      <c r="X172" s="3555"/>
      <c r="Y172" s="3555"/>
      <c r="Z172" s="3555"/>
      <c r="AA172" s="3555"/>
      <c r="AB172" s="3555"/>
      <c r="AC172" s="3555"/>
      <c r="AD172" s="3555"/>
      <c r="AE172" s="3555"/>
      <c r="AF172" s="3555"/>
      <c r="AG172" s="3555"/>
      <c r="AH172" s="3555"/>
      <c r="AI172" s="63"/>
      <c r="AJ172" s="63"/>
      <c r="AK172" s="63"/>
      <c r="AL172" s="63"/>
      <c r="AM172" s="63"/>
    </row>
    <row r="173" spans="1:39" s="64" customFormat="1" ht="19">
      <c r="A173" s="58">
        <v>189501</v>
      </c>
      <c r="B173" s="59"/>
      <c r="C173" s="47"/>
      <c r="D173" s="74" t="s">
        <v>660</v>
      </c>
      <c r="E173" s="75">
        <f>Fortalezas!D137</f>
        <v>0</v>
      </c>
      <c r="F173" s="75">
        <f>Fortalezas!E137</f>
        <v>0</v>
      </c>
      <c r="G173" s="75">
        <f>Fortalezas!F137</f>
        <v>0</v>
      </c>
      <c r="H173" s="75">
        <f>Fortalezas!G137</f>
        <v>0</v>
      </c>
      <c r="I173" s="76">
        <f>Fortalezas!H137</f>
        <v>0</v>
      </c>
      <c r="J173" s="4"/>
      <c r="K173" s="4"/>
      <c r="L173" s="3555"/>
      <c r="M173" s="4"/>
      <c r="N173" s="4"/>
      <c r="O173" s="4"/>
      <c r="P173" s="3558"/>
      <c r="Q173" s="3555"/>
      <c r="R173" s="3555"/>
      <c r="S173" s="3556">
        <v>0</v>
      </c>
      <c r="T173" s="3555"/>
      <c r="U173" s="3557">
        <f t="shared" si="13"/>
        <v>0</v>
      </c>
      <c r="V173" s="3555"/>
      <c r="W173" s="3555"/>
      <c r="X173" s="3555"/>
      <c r="Y173" s="3555"/>
      <c r="Z173" s="3555"/>
      <c r="AA173" s="3555"/>
      <c r="AB173" s="3555"/>
      <c r="AC173" s="3555"/>
      <c r="AD173" s="3555"/>
      <c r="AE173" s="3555"/>
      <c r="AF173" s="3555"/>
      <c r="AG173" s="3555"/>
      <c r="AH173" s="3555"/>
      <c r="AI173" s="63"/>
      <c r="AJ173" s="63"/>
      <c r="AK173" s="63"/>
      <c r="AL173" s="63"/>
      <c r="AM173" s="63"/>
    </row>
    <row r="174" spans="1:39" s="64" customFormat="1" ht="19">
      <c r="A174" s="58">
        <v>189520</v>
      </c>
      <c r="B174" s="59"/>
      <c r="C174" s="47"/>
      <c r="D174" s="74" t="s">
        <v>661</v>
      </c>
      <c r="E174" s="75">
        <f>Fortalezas!D138</f>
        <v>0</v>
      </c>
      <c r="F174" s="75">
        <f>Fortalezas!E138</f>
        <v>0</v>
      </c>
      <c r="G174" s="75">
        <f>Fortalezas!F138</f>
        <v>0</v>
      </c>
      <c r="H174" s="75">
        <f>Fortalezas!G138</f>
        <v>0</v>
      </c>
      <c r="I174" s="76">
        <f>Fortalezas!H138</f>
        <v>0</v>
      </c>
      <c r="J174" s="4"/>
      <c r="K174" s="4"/>
      <c r="L174" s="3555"/>
      <c r="M174" s="4"/>
      <c r="N174" s="4"/>
      <c r="O174" s="4"/>
      <c r="P174" s="3558"/>
      <c r="Q174" s="3555"/>
      <c r="R174" s="3555"/>
      <c r="S174" s="3556">
        <v>0</v>
      </c>
      <c r="T174" s="3555"/>
      <c r="U174" s="3557">
        <f t="shared" si="13"/>
        <v>0</v>
      </c>
      <c r="V174" s="3555"/>
      <c r="W174" s="3555"/>
      <c r="X174" s="3555"/>
      <c r="Y174" s="3555"/>
      <c r="Z174" s="3555"/>
      <c r="AA174" s="3555"/>
      <c r="AB174" s="3555"/>
      <c r="AC174" s="3555"/>
      <c r="AD174" s="3555"/>
      <c r="AE174" s="3555"/>
      <c r="AF174" s="3555"/>
      <c r="AG174" s="3555"/>
      <c r="AH174" s="3555"/>
      <c r="AI174" s="63"/>
      <c r="AJ174" s="63"/>
      <c r="AK174" s="63"/>
      <c r="AL174" s="63"/>
      <c r="AM174" s="63"/>
    </row>
    <row r="175" spans="1:39" s="64" customFormat="1" ht="19">
      <c r="A175" s="58">
        <v>189701</v>
      </c>
      <c r="B175" s="59"/>
      <c r="C175" s="47"/>
      <c r="D175" s="74" t="s">
        <v>662</v>
      </c>
      <c r="E175" s="75">
        <f>Fortalezas!D139</f>
        <v>0</v>
      </c>
      <c r="F175" s="75">
        <f>Fortalezas!E139</f>
        <v>0</v>
      </c>
      <c r="G175" s="75">
        <f>Fortalezas!F139</f>
        <v>0</v>
      </c>
      <c r="H175" s="75">
        <f>Fortalezas!G139</f>
        <v>0</v>
      </c>
      <c r="I175" s="76">
        <f>Fortalezas!H139</f>
        <v>0</v>
      </c>
      <c r="J175" s="4"/>
      <c r="K175" s="4"/>
      <c r="L175" s="3555"/>
      <c r="M175" s="4"/>
      <c r="N175" s="4"/>
      <c r="O175" s="4"/>
      <c r="P175" s="3558"/>
      <c r="Q175" s="3555"/>
      <c r="R175" s="3555"/>
      <c r="S175" s="3556">
        <v>0</v>
      </c>
      <c r="T175" s="3555"/>
      <c r="U175" s="3557">
        <f t="shared" si="13"/>
        <v>0</v>
      </c>
      <c r="V175" s="3555"/>
      <c r="W175" s="3555"/>
      <c r="X175" s="3555"/>
      <c r="Y175" s="3555"/>
      <c r="Z175" s="3555"/>
      <c r="AA175" s="3555"/>
      <c r="AB175" s="3555"/>
      <c r="AC175" s="3555"/>
      <c r="AD175" s="3555"/>
      <c r="AE175" s="3555"/>
      <c r="AF175" s="3555"/>
      <c r="AG175" s="3555"/>
      <c r="AH175" s="3555"/>
      <c r="AI175" s="63"/>
      <c r="AJ175" s="63"/>
      <c r="AK175" s="63"/>
      <c r="AL175" s="63"/>
      <c r="AM175" s="63"/>
    </row>
    <row r="176" spans="1:39" s="64" customFormat="1" ht="19">
      <c r="A176" s="58">
        <v>189901</v>
      </c>
      <c r="B176" s="59"/>
      <c r="C176" s="47"/>
      <c r="D176" s="74" t="s">
        <v>663</v>
      </c>
      <c r="E176" s="75">
        <f>Fortalezas!D140</f>
        <v>0</v>
      </c>
      <c r="F176" s="75">
        <f>Fortalezas!E140</f>
        <v>0</v>
      </c>
      <c r="G176" s="75">
        <f>Fortalezas!F140</f>
        <v>0</v>
      </c>
      <c r="H176" s="75">
        <f>Fortalezas!G140</f>
        <v>0</v>
      </c>
      <c r="I176" s="76">
        <f>Fortalezas!H140</f>
        <v>0</v>
      </c>
      <c r="J176" s="4"/>
      <c r="K176" s="4"/>
      <c r="L176" s="3555"/>
      <c r="M176" s="4"/>
      <c r="N176" s="4"/>
      <c r="O176" s="4"/>
      <c r="P176" s="3558"/>
      <c r="Q176" s="3555"/>
      <c r="R176" s="3555"/>
      <c r="S176" s="3556">
        <v>0</v>
      </c>
      <c r="T176" s="3555"/>
      <c r="U176" s="3557">
        <f t="shared" si="13"/>
        <v>0</v>
      </c>
      <c r="V176" s="3555"/>
      <c r="W176" s="3555"/>
      <c r="X176" s="3555"/>
      <c r="Y176" s="3555"/>
      <c r="Z176" s="3555"/>
      <c r="AA176" s="3555"/>
      <c r="AB176" s="3555"/>
      <c r="AC176" s="3555"/>
      <c r="AD176" s="3555"/>
      <c r="AE176" s="3555"/>
      <c r="AF176" s="3555"/>
      <c r="AG176" s="3555"/>
      <c r="AH176" s="3555"/>
      <c r="AI176" s="63"/>
      <c r="AJ176" s="63"/>
      <c r="AK176" s="63"/>
      <c r="AL176" s="63"/>
      <c r="AM176" s="63"/>
    </row>
    <row r="177" spans="1:39" s="64" customFormat="1" ht="19">
      <c r="A177" s="58">
        <v>1207</v>
      </c>
      <c r="B177" s="59"/>
      <c r="C177" s="66" t="s">
        <v>664</v>
      </c>
      <c r="D177" s="67"/>
      <c r="E177" s="68">
        <f>SUM(E172:E176)</f>
        <v>0</v>
      </c>
      <c r="F177" s="68">
        <f>SUM(F172:F176)</f>
        <v>0</v>
      </c>
      <c r="G177" s="68">
        <f>SUM(G172:G176)</f>
        <v>0</v>
      </c>
      <c r="H177" s="68">
        <f>SUM(H172:H176)</f>
        <v>0</v>
      </c>
      <c r="I177" s="69">
        <f>SUM(I172:I176)</f>
        <v>0</v>
      </c>
      <c r="J177" s="4"/>
      <c r="K177" s="4"/>
      <c r="L177" s="3555"/>
      <c r="M177" s="4"/>
      <c r="N177" s="4"/>
      <c r="O177" s="4"/>
      <c r="P177" s="3558"/>
      <c r="Q177" s="3555"/>
      <c r="R177" s="3555"/>
      <c r="S177" s="3556">
        <v>0</v>
      </c>
      <c r="T177" s="3555"/>
      <c r="U177" s="3557">
        <f t="shared" si="13"/>
        <v>0</v>
      </c>
      <c r="V177" s="3555"/>
      <c r="W177" s="3555"/>
      <c r="X177" s="3555"/>
      <c r="Y177" s="3555"/>
      <c r="Z177" s="3555"/>
      <c r="AA177" s="3555"/>
      <c r="AB177" s="3555"/>
      <c r="AC177" s="3555"/>
      <c r="AD177" s="3555"/>
      <c r="AE177" s="3555"/>
      <c r="AF177" s="3555"/>
      <c r="AG177" s="3555"/>
      <c r="AH177" s="3555"/>
      <c r="AI177" s="63"/>
      <c r="AJ177" s="63"/>
      <c r="AK177" s="63"/>
      <c r="AL177" s="63"/>
      <c r="AM177" s="63"/>
    </row>
    <row r="178" spans="1:39" s="64" customFormat="1" ht="19">
      <c r="A178" s="58"/>
      <c r="B178" s="53"/>
      <c r="C178" s="54" t="s">
        <v>665</v>
      </c>
      <c r="D178" s="71"/>
      <c r="E178" s="72"/>
      <c r="F178" s="72"/>
      <c r="G178" s="72"/>
      <c r="H178" s="72"/>
      <c r="I178" s="73"/>
      <c r="J178" s="4"/>
      <c r="K178" s="4"/>
      <c r="L178" s="3555"/>
      <c r="M178" s="4"/>
      <c r="N178" s="4"/>
      <c r="O178" s="4"/>
      <c r="P178" s="3558"/>
      <c r="Q178" s="3555"/>
      <c r="R178" s="3555"/>
      <c r="S178" s="3556">
        <v>0</v>
      </c>
      <c r="T178" s="3555"/>
      <c r="U178" s="3557">
        <f>U183</f>
        <v>0</v>
      </c>
      <c r="V178" s="3555"/>
      <c r="W178" s="3555"/>
      <c r="X178" s="3555"/>
      <c r="Y178" s="3555"/>
      <c r="Z178" s="3555"/>
      <c r="AA178" s="3555"/>
      <c r="AB178" s="3555"/>
      <c r="AC178" s="3555"/>
      <c r="AD178" s="3555"/>
      <c r="AE178" s="3555"/>
      <c r="AF178" s="3555"/>
      <c r="AG178" s="3555"/>
      <c r="AH178" s="3555"/>
      <c r="AI178" s="63"/>
      <c r="AJ178" s="63"/>
      <c r="AK178" s="63"/>
      <c r="AL178" s="63"/>
      <c r="AM178" s="63"/>
    </row>
    <row r="179" spans="1:39" s="64" customFormat="1" ht="19">
      <c r="A179" s="58">
        <v>190501</v>
      </c>
      <c r="B179" s="59"/>
      <c r="C179" s="47"/>
      <c r="D179" s="60" t="s">
        <v>666</v>
      </c>
      <c r="E179" s="61">
        <f>Fortalezas!D142</f>
        <v>0</v>
      </c>
      <c r="F179" s="61">
        <f>Fortalezas!E142</f>
        <v>0</v>
      </c>
      <c r="G179" s="61">
        <f>Fortalezas!F142</f>
        <v>0</v>
      </c>
      <c r="H179" s="61">
        <f>Fortalezas!G142</f>
        <v>0</v>
      </c>
      <c r="I179" s="62">
        <f>Fortalezas!H142</f>
        <v>0</v>
      </c>
      <c r="J179" s="4"/>
      <c r="K179" s="4"/>
      <c r="L179" s="3555"/>
      <c r="M179" s="4"/>
      <c r="N179" s="4"/>
      <c r="O179" s="4"/>
      <c r="P179" s="3558"/>
      <c r="Q179" s="3555"/>
      <c r="R179" s="3555"/>
      <c r="S179" s="3556">
        <v>0</v>
      </c>
      <c r="T179" s="3555"/>
      <c r="U179" s="3557">
        <f t="shared" ref="U179:U185" si="14">SUM(E179:I179)</f>
        <v>0</v>
      </c>
      <c r="V179" s="3555"/>
      <c r="W179" s="3555"/>
      <c r="X179" s="3555"/>
      <c r="Y179" s="3555"/>
      <c r="Z179" s="3555"/>
      <c r="AA179" s="3555"/>
      <c r="AB179" s="3555"/>
      <c r="AC179" s="3555"/>
      <c r="AD179" s="3555"/>
      <c r="AE179" s="3555"/>
      <c r="AF179" s="3555"/>
      <c r="AG179" s="3555"/>
      <c r="AH179" s="3555"/>
      <c r="AI179" s="63"/>
      <c r="AJ179" s="63"/>
      <c r="AK179" s="63"/>
      <c r="AL179" s="63"/>
      <c r="AM179" s="63"/>
    </row>
    <row r="180" spans="1:39" s="64" customFormat="1" ht="19">
      <c r="A180" s="58">
        <v>191001</v>
      </c>
      <c r="B180" s="59"/>
      <c r="C180" s="47"/>
      <c r="D180" s="65" t="s">
        <v>667</v>
      </c>
      <c r="E180" s="75">
        <f>Fortalezas!D143</f>
        <v>0</v>
      </c>
      <c r="F180" s="75">
        <f>Fortalezas!E143</f>
        <v>0</v>
      </c>
      <c r="G180" s="75">
        <f>Fortalezas!F143</f>
        <v>0</v>
      </c>
      <c r="H180" s="75">
        <f>Fortalezas!G143</f>
        <v>0</v>
      </c>
      <c r="I180" s="76">
        <f>Fortalezas!H143</f>
        <v>0</v>
      </c>
      <c r="J180" s="4"/>
      <c r="K180" s="4"/>
      <c r="L180" s="3555"/>
      <c r="M180" s="4"/>
      <c r="N180" s="4"/>
      <c r="O180" s="4"/>
      <c r="P180" s="3558"/>
      <c r="Q180" s="3555"/>
      <c r="R180" s="3555"/>
      <c r="S180" s="3556">
        <v>0</v>
      </c>
      <c r="T180" s="3555"/>
      <c r="U180" s="3557">
        <f t="shared" si="14"/>
        <v>0</v>
      </c>
      <c r="V180" s="3555"/>
      <c r="W180" s="3555"/>
      <c r="X180" s="3555"/>
      <c r="Y180" s="3555"/>
      <c r="Z180" s="3555"/>
      <c r="AA180" s="3555"/>
      <c r="AB180" s="3555"/>
      <c r="AC180" s="3555"/>
      <c r="AD180" s="3555"/>
      <c r="AE180" s="3555"/>
      <c r="AF180" s="3555"/>
      <c r="AG180" s="3555"/>
      <c r="AH180" s="3555"/>
      <c r="AI180" s="63"/>
      <c r="AJ180" s="63"/>
      <c r="AK180" s="63"/>
      <c r="AL180" s="63"/>
      <c r="AM180" s="63"/>
    </row>
    <row r="181" spans="1:39" s="64" customFormat="1" ht="19">
      <c r="A181" s="58">
        <v>199501</v>
      </c>
      <c r="B181" s="59"/>
      <c r="C181" s="47"/>
      <c r="D181" s="65" t="s">
        <v>668</v>
      </c>
      <c r="E181" s="75">
        <f>Fortalezas!D144</f>
        <v>0</v>
      </c>
      <c r="F181" s="75">
        <f>Fortalezas!E144</f>
        <v>0</v>
      </c>
      <c r="G181" s="75">
        <f>Fortalezas!F144</f>
        <v>0</v>
      </c>
      <c r="H181" s="75">
        <f>Fortalezas!G144</f>
        <v>0</v>
      </c>
      <c r="I181" s="76">
        <f>Fortalezas!H144</f>
        <v>0</v>
      </c>
      <c r="J181" s="4"/>
      <c r="K181" s="4"/>
      <c r="L181" s="3555"/>
      <c r="M181" s="4"/>
      <c r="N181" s="4"/>
      <c r="O181" s="4"/>
      <c r="P181" s="3558"/>
      <c r="Q181" s="3555"/>
      <c r="R181" s="3555"/>
      <c r="S181" s="3556">
        <v>0</v>
      </c>
      <c r="T181" s="3555"/>
      <c r="U181" s="3557">
        <f t="shared" si="14"/>
        <v>0</v>
      </c>
      <c r="V181" s="3555"/>
      <c r="W181" s="3555"/>
      <c r="X181" s="3555"/>
      <c r="Y181" s="3555"/>
      <c r="Z181" s="3555"/>
      <c r="AA181" s="3555"/>
      <c r="AB181" s="3555"/>
      <c r="AC181" s="3555"/>
      <c r="AD181" s="3555"/>
      <c r="AE181" s="3555"/>
      <c r="AF181" s="3555"/>
      <c r="AG181" s="3555"/>
      <c r="AH181" s="3555"/>
      <c r="AI181" s="63"/>
      <c r="AJ181" s="63"/>
      <c r="AK181" s="63"/>
      <c r="AL181" s="63"/>
      <c r="AM181" s="63"/>
    </row>
    <row r="182" spans="1:39" s="64" customFormat="1" ht="19" hidden="1" customHeight="1">
      <c r="A182" s="58"/>
      <c r="B182" s="59"/>
      <c r="C182" s="47"/>
      <c r="D182" s="65"/>
      <c r="E182" s="75"/>
      <c r="F182" s="75"/>
      <c r="G182" s="78"/>
      <c r="H182" s="78"/>
      <c r="I182" s="79"/>
      <c r="J182" s="4"/>
      <c r="K182" s="4"/>
      <c r="L182" s="3555"/>
      <c r="M182" s="4"/>
      <c r="N182" s="4"/>
      <c r="O182" s="4"/>
      <c r="P182" s="3558"/>
      <c r="Q182" s="3555"/>
      <c r="R182" s="3555"/>
      <c r="S182" s="3556">
        <v>1</v>
      </c>
      <c r="T182" s="3555"/>
      <c r="U182" s="3557">
        <f t="shared" si="14"/>
        <v>0</v>
      </c>
      <c r="V182" s="3555"/>
      <c r="W182" s="3555"/>
      <c r="X182" s="3555"/>
      <c r="Y182" s="3555"/>
      <c r="Z182" s="3555"/>
      <c r="AA182" s="3555"/>
      <c r="AB182" s="3555"/>
      <c r="AC182" s="3555"/>
      <c r="AD182" s="3555"/>
      <c r="AE182" s="3555"/>
      <c r="AF182" s="3555"/>
      <c r="AG182" s="3555"/>
      <c r="AH182" s="3555"/>
      <c r="AI182" s="63"/>
      <c r="AJ182" s="63"/>
      <c r="AK182" s="63"/>
      <c r="AL182" s="63"/>
      <c r="AM182" s="63"/>
    </row>
    <row r="183" spans="1:39" s="64" customFormat="1" ht="19">
      <c r="A183" s="58">
        <v>1208</v>
      </c>
      <c r="B183" s="59"/>
      <c r="C183" s="66" t="s">
        <v>669</v>
      </c>
      <c r="D183" s="67"/>
      <c r="E183" s="92">
        <f>SUM(E179:E181)</f>
        <v>0</v>
      </c>
      <c r="F183" s="92">
        <f>SUM(F179:F181)</f>
        <v>0</v>
      </c>
      <c r="G183" s="92">
        <f>SUM(G179:G181)</f>
        <v>0</v>
      </c>
      <c r="H183" s="92">
        <f>SUM(H179:H181)</f>
        <v>0</v>
      </c>
      <c r="I183" s="93">
        <f>SUM(I179:I181)</f>
        <v>0</v>
      </c>
      <c r="J183" s="4"/>
      <c r="K183" s="4"/>
      <c r="L183" s="3555"/>
      <c r="M183" s="4"/>
      <c r="N183" s="4"/>
      <c r="O183" s="4"/>
      <c r="P183" s="3558"/>
      <c r="Q183" s="3555"/>
      <c r="R183" s="3555"/>
      <c r="S183" s="3556">
        <v>0</v>
      </c>
      <c r="T183" s="3555"/>
      <c r="U183" s="3557">
        <f t="shared" si="14"/>
        <v>0</v>
      </c>
      <c r="V183" s="3555"/>
      <c r="W183" s="3555"/>
      <c r="X183" s="3555"/>
      <c r="Y183" s="3555"/>
      <c r="Z183" s="3555"/>
      <c r="AA183" s="3555"/>
      <c r="AB183" s="3555"/>
      <c r="AC183" s="3555"/>
      <c r="AD183" s="3555"/>
      <c r="AE183" s="3555"/>
      <c r="AF183" s="3555"/>
      <c r="AG183" s="3555"/>
      <c r="AH183" s="3555"/>
      <c r="AI183" s="63"/>
      <c r="AJ183" s="63"/>
      <c r="AK183" s="63"/>
      <c r="AL183" s="63"/>
      <c r="AM183" s="63"/>
    </row>
    <row r="184" spans="1:39" s="64" customFormat="1" ht="19">
      <c r="A184" s="58">
        <v>12</v>
      </c>
      <c r="B184" s="84"/>
      <c r="C184" s="94" t="s">
        <v>670</v>
      </c>
      <c r="D184" s="95"/>
      <c r="E184" s="96">
        <f>E120+E142+E153+E161+E170+E177+E183</f>
        <v>0</v>
      </c>
      <c r="F184" s="96">
        <f>F120+F142+F153+F161+F170+F177+F183</f>
        <v>0</v>
      </c>
      <c r="G184" s="96">
        <f>G120+G142+G153+G161+G170+G177+G183</f>
        <v>0</v>
      </c>
      <c r="H184" s="96">
        <f>H120+H142+H153+H161+H170+H177+H183</f>
        <v>0</v>
      </c>
      <c r="I184" s="97">
        <f>I120+I142+I153+I161+I170+I177+I183</f>
        <v>0</v>
      </c>
      <c r="J184" s="4"/>
      <c r="K184" s="4"/>
      <c r="L184" s="3555"/>
      <c r="M184" s="4"/>
      <c r="N184" s="4"/>
      <c r="O184" s="4"/>
      <c r="P184" s="3558"/>
      <c r="Q184" s="3555"/>
      <c r="R184" s="3555"/>
      <c r="S184" s="3556">
        <v>0</v>
      </c>
      <c r="T184" s="3555"/>
      <c r="U184" s="3557">
        <f t="shared" si="14"/>
        <v>0</v>
      </c>
      <c r="V184" s="3555"/>
      <c r="W184" s="3555"/>
      <c r="X184" s="3555"/>
      <c r="Y184" s="3555"/>
      <c r="Z184" s="3555"/>
      <c r="AA184" s="3555"/>
      <c r="AB184" s="3555"/>
      <c r="AC184" s="3555"/>
      <c r="AD184" s="3555"/>
      <c r="AE184" s="3555"/>
      <c r="AF184" s="3555"/>
      <c r="AG184" s="3555"/>
      <c r="AH184" s="3555"/>
      <c r="AI184" s="63"/>
      <c r="AJ184" s="63"/>
      <c r="AK184" s="63"/>
      <c r="AL184" s="63"/>
      <c r="AM184" s="63"/>
    </row>
    <row r="185" spans="1:39" s="64" customFormat="1" ht="19">
      <c r="A185" s="58">
        <v>1</v>
      </c>
      <c r="B185" s="94" t="s">
        <v>671</v>
      </c>
      <c r="C185" s="98"/>
      <c r="D185" s="95"/>
      <c r="E185" s="96">
        <f>E98+E184</f>
        <v>0</v>
      </c>
      <c r="F185" s="96">
        <f>F98+F184</f>
        <v>0</v>
      </c>
      <c r="G185" s="96">
        <f>G98+G184</f>
        <v>0</v>
      </c>
      <c r="H185" s="96">
        <f>H98+H184</f>
        <v>0</v>
      </c>
      <c r="I185" s="97">
        <f>I98+I184</f>
        <v>0</v>
      </c>
      <c r="J185" s="4"/>
      <c r="K185" s="4"/>
      <c r="L185" s="3555"/>
      <c r="M185" s="7"/>
      <c r="N185" s="7"/>
      <c r="O185" s="7"/>
      <c r="P185" s="3560"/>
      <c r="Q185" s="3561"/>
      <c r="R185" s="3555"/>
      <c r="S185" s="3556">
        <v>0</v>
      </c>
      <c r="T185" s="3555"/>
      <c r="U185" s="3557">
        <f t="shared" si="14"/>
        <v>0</v>
      </c>
      <c r="V185" s="3555"/>
      <c r="W185" s="3555"/>
      <c r="X185" s="3555"/>
      <c r="Y185" s="3555"/>
      <c r="Z185" s="3555"/>
      <c r="AA185" s="3555"/>
      <c r="AB185" s="3555"/>
      <c r="AC185" s="3555"/>
      <c r="AD185" s="3555"/>
      <c r="AE185" s="3555"/>
      <c r="AF185" s="3555"/>
      <c r="AG185" s="3555"/>
      <c r="AH185" s="3555"/>
      <c r="AI185" s="63"/>
      <c r="AJ185" s="63"/>
      <c r="AK185" s="63"/>
      <c r="AL185" s="63"/>
      <c r="AM185" s="63"/>
    </row>
    <row r="186" spans="1:39" s="100" customFormat="1" ht="19">
      <c r="A186" s="58"/>
      <c r="B186" s="53"/>
      <c r="C186" s="54" t="s">
        <v>672</v>
      </c>
      <c r="D186" s="71"/>
      <c r="E186" s="72"/>
      <c r="F186" s="72"/>
      <c r="G186" s="72"/>
      <c r="H186" s="72"/>
      <c r="I186" s="73"/>
      <c r="J186" s="4"/>
      <c r="K186" s="4"/>
      <c r="L186" s="3561"/>
      <c r="M186" s="4"/>
      <c r="N186" s="4"/>
      <c r="O186" s="4"/>
      <c r="P186" s="3555"/>
      <c r="Q186" s="3555"/>
      <c r="R186" s="3561"/>
      <c r="S186" s="3556">
        <v>0</v>
      </c>
      <c r="T186" s="3561"/>
      <c r="U186" s="3557">
        <f>U191</f>
        <v>0</v>
      </c>
      <c r="V186" s="3561"/>
      <c r="W186" s="3561"/>
      <c r="X186" s="3561"/>
      <c r="Y186" s="3561"/>
      <c r="Z186" s="3561"/>
      <c r="AA186" s="3561"/>
      <c r="AB186" s="3561"/>
      <c r="AC186" s="3561"/>
      <c r="AD186" s="3561"/>
      <c r="AE186" s="3561"/>
      <c r="AF186" s="3561"/>
      <c r="AG186" s="3561"/>
      <c r="AH186" s="3561"/>
      <c r="AI186" s="99"/>
      <c r="AJ186" s="99"/>
      <c r="AK186" s="99"/>
      <c r="AL186" s="99"/>
      <c r="AM186" s="99"/>
    </row>
    <row r="187" spans="1:39" s="64" customFormat="1" ht="19">
      <c r="A187" s="58">
        <v>108100</v>
      </c>
      <c r="B187" s="59"/>
      <c r="C187" s="47"/>
      <c r="D187" s="60" t="s">
        <v>673</v>
      </c>
      <c r="E187" s="61">
        <f>Fortalezas!D149</f>
        <v>0</v>
      </c>
      <c r="F187" s="61">
        <f>Fortalezas!E149</f>
        <v>0</v>
      </c>
      <c r="G187" s="61">
        <f>Fortalezas!F149</f>
        <v>0</v>
      </c>
      <c r="H187" s="61">
        <f>Fortalezas!G149</f>
        <v>0</v>
      </c>
      <c r="I187" s="62">
        <f>Fortalezas!H149</f>
        <v>0</v>
      </c>
      <c r="J187" s="4"/>
      <c r="K187" s="4"/>
      <c r="L187" s="3555"/>
      <c r="M187" s="4"/>
      <c r="N187" s="4"/>
      <c r="O187" s="4"/>
      <c r="P187" s="3558"/>
      <c r="Q187" s="3555"/>
      <c r="R187" s="3555"/>
      <c r="S187" s="3556">
        <v>0</v>
      </c>
      <c r="T187" s="4"/>
      <c r="U187" s="3557">
        <f>SUM(E187:I187)</f>
        <v>0</v>
      </c>
      <c r="V187" s="3555"/>
      <c r="W187" s="3555"/>
      <c r="X187" s="3555"/>
      <c r="Y187" s="3555"/>
      <c r="Z187" s="3555"/>
      <c r="AA187" s="3555"/>
      <c r="AB187" s="3555"/>
      <c r="AC187" s="3555"/>
      <c r="AD187" s="3555"/>
      <c r="AE187" s="3555"/>
      <c r="AF187" s="3555"/>
      <c r="AG187" s="3555"/>
      <c r="AH187" s="3555"/>
      <c r="AI187" s="63"/>
      <c r="AJ187" s="63"/>
      <c r="AK187" s="63"/>
      <c r="AL187" s="63"/>
      <c r="AM187" s="63"/>
    </row>
    <row r="188" spans="1:39" s="64" customFormat="1" ht="19">
      <c r="A188" s="58">
        <v>108200</v>
      </c>
      <c r="B188" s="59"/>
      <c r="C188" s="47"/>
      <c r="D188" s="65" t="s">
        <v>674</v>
      </c>
      <c r="E188" s="75">
        <f>Fortalezas!D150</f>
        <v>0</v>
      </c>
      <c r="F188" s="75">
        <f>Fortalezas!E150</f>
        <v>0</v>
      </c>
      <c r="G188" s="75">
        <f>Fortalezas!F150</f>
        <v>0</v>
      </c>
      <c r="H188" s="75">
        <f>Fortalezas!G150</f>
        <v>0</v>
      </c>
      <c r="I188" s="76">
        <f>Fortalezas!H150</f>
        <v>0</v>
      </c>
      <c r="J188" s="4"/>
      <c r="K188" s="4"/>
      <c r="L188" s="3555"/>
      <c r="M188" s="4"/>
      <c r="N188" s="4"/>
      <c r="O188" s="4"/>
      <c r="P188" s="3558"/>
      <c r="Q188" s="3555"/>
      <c r="R188" s="3555"/>
      <c r="S188" s="3556">
        <v>0</v>
      </c>
      <c r="T188" s="4"/>
      <c r="U188" s="3557">
        <f>SUM(E188:I188)</f>
        <v>0</v>
      </c>
      <c r="V188" s="3555"/>
      <c r="W188" s="3555"/>
      <c r="X188" s="3555"/>
      <c r="Y188" s="3555"/>
      <c r="Z188" s="3555"/>
      <c r="AA188" s="3555"/>
      <c r="AB188" s="3555"/>
      <c r="AC188" s="3555"/>
      <c r="AD188" s="3555"/>
      <c r="AE188" s="3555"/>
      <c r="AF188" s="3555"/>
      <c r="AG188" s="3555"/>
      <c r="AH188" s="3555"/>
      <c r="AI188" s="63"/>
      <c r="AJ188" s="63"/>
      <c r="AK188" s="63"/>
      <c r="AL188" s="63"/>
      <c r="AM188" s="63"/>
    </row>
    <row r="189" spans="1:39" s="64" customFormat="1" ht="19">
      <c r="A189" s="58">
        <v>108300</v>
      </c>
      <c r="B189" s="59"/>
      <c r="C189" s="47"/>
      <c r="D189" s="65" t="s">
        <v>675</v>
      </c>
      <c r="E189" s="75">
        <f>Fortalezas!D151</f>
        <v>0</v>
      </c>
      <c r="F189" s="75">
        <f>Fortalezas!E151</f>
        <v>0</v>
      </c>
      <c r="G189" s="75">
        <f>Fortalezas!F151</f>
        <v>0</v>
      </c>
      <c r="H189" s="75">
        <f>Fortalezas!G151</f>
        <v>0</v>
      </c>
      <c r="I189" s="76">
        <f>Fortalezas!H151</f>
        <v>0</v>
      </c>
      <c r="J189" s="4"/>
      <c r="K189" s="4"/>
      <c r="L189" s="3555"/>
      <c r="M189" s="4"/>
      <c r="N189" s="4"/>
      <c r="O189" s="4"/>
      <c r="P189" s="3558"/>
      <c r="Q189" s="3555"/>
      <c r="R189" s="3555"/>
      <c r="S189" s="3556">
        <v>0</v>
      </c>
      <c r="T189" s="4"/>
      <c r="U189" s="3557">
        <f>SUM(E189:I189)</f>
        <v>0</v>
      </c>
      <c r="V189" s="3555"/>
      <c r="W189" s="3555"/>
      <c r="X189" s="3555"/>
      <c r="Y189" s="3555"/>
      <c r="Z189" s="3555"/>
      <c r="AA189" s="3555"/>
      <c r="AB189" s="3555"/>
      <c r="AC189" s="3555"/>
      <c r="AD189" s="3555"/>
      <c r="AE189" s="3555"/>
      <c r="AF189" s="3555"/>
      <c r="AG189" s="3555"/>
      <c r="AH189" s="3555"/>
      <c r="AI189" s="63"/>
      <c r="AJ189" s="63"/>
      <c r="AK189" s="63"/>
      <c r="AL189" s="63"/>
      <c r="AM189" s="63"/>
    </row>
    <row r="190" spans="1:39" s="64" customFormat="1" ht="19">
      <c r="A190" s="58">
        <v>108400</v>
      </c>
      <c r="B190" s="59"/>
      <c r="C190" s="47"/>
      <c r="D190" s="101" t="s">
        <v>676</v>
      </c>
      <c r="E190" s="102">
        <f>Fortalezas!D152</f>
        <v>0</v>
      </c>
      <c r="F190" s="102">
        <f>Fortalezas!E152</f>
        <v>0</v>
      </c>
      <c r="G190" s="102">
        <f>Fortalezas!F152</f>
        <v>0</v>
      </c>
      <c r="H190" s="102">
        <f>Fortalezas!G152</f>
        <v>0</v>
      </c>
      <c r="I190" s="103">
        <f>Fortalezas!H152</f>
        <v>0</v>
      </c>
      <c r="J190" s="4"/>
      <c r="K190" s="4"/>
      <c r="L190" s="3555"/>
      <c r="M190" s="4"/>
      <c r="N190" s="4"/>
      <c r="O190" s="4"/>
      <c r="P190" s="3558"/>
      <c r="Q190" s="3555"/>
      <c r="R190" s="3555"/>
      <c r="S190" s="3556">
        <v>0</v>
      </c>
      <c r="T190" s="4"/>
      <c r="U190" s="3557">
        <f>SUM(E190:I190)</f>
        <v>0</v>
      </c>
      <c r="V190" s="3555"/>
      <c r="W190" s="3555"/>
      <c r="X190" s="3555"/>
      <c r="Y190" s="3555"/>
      <c r="Z190" s="3555"/>
      <c r="AA190" s="3555"/>
      <c r="AB190" s="3555"/>
      <c r="AC190" s="3555"/>
      <c r="AD190" s="3555"/>
      <c r="AE190" s="3555"/>
      <c r="AF190" s="3555"/>
      <c r="AG190" s="3555"/>
      <c r="AH190" s="3555"/>
      <c r="AI190" s="63"/>
      <c r="AJ190" s="63"/>
      <c r="AK190" s="63"/>
      <c r="AL190" s="63"/>
      <c r="AM190" s="63"/>
    </row>
    <row r="191" spans="1:39" s="64" customFormat="1" ht="19">
      <c r="A191" s="58">
        <v>108000</v>
      </c>
      <c r="B191" s="59"/>
      <c r="C191" s="94" t="s">
        <v>677</v>
      </c>
      <c r="D191" s="95"/>
      <c r="E191" s="87">
        <f>SUM(E187:E190)</f>
        <v>0</v>
      </c>
      <c r="F191" s="87">
        <f>SUM(F187:F190)</f>
        <v>0</v>
      </c>
      <c r="G191" s="87">
        <f>SUM(G187:G190)</f>
        <v>0</v>
      </c>
      <c r="H191" s="87">
        <f>SUM(H187:H190)</f>
        <v>0</v>
      </c>
      <c r="I191" s="88">
        <f>SUM(I187:I190)</f>
        <v>0</v>
      </c>
      <c r="J191" s="4"/>
      <c r="K191" s="4"/>
      <c r="L191" s="3555"/>
      <c r="M191" s="4"/>
      <c r="N191" s="4"/>
      <c r="O191" s="4"/>
      <c r="P191" s="3558"/>
      <c r="Q191" s="3555"/>
      <c r="R191" s="3555"/>
      <c r="S191" s="3556">
        <v>0</v>
      </c>
      <c r="T191" s="4"/>
      <c r="U191" s="3557">
        <f>SUM(E191:I191)</f>
        <v>0</v>
      </c>
      <c r="V191" s="3555"/>
      <c r="W191" s="3555"/>
      <c r="X191" s="3555"/>
      <c r="Y191" s="3555"/>
      <c r="Z191" s="3555"/>
      <c r="AA191" s="3555"/>
      <c r="AB191" s="3555"/>
      <c r="AC191" s="3555"/>
      <c r="AD191" s="3555"/>
      <c r="AE191" s="3555"/>
      <c r="AF191" s="3555"/>
      <c r="AG191" s="3555"/>
      <c r="AH191" s="3555"/>
      <c r="AI191" s="63"/>
      <c r="AJ191" s="63"/>
      <c r="AK191" s="63"/>
      <c r="AL191" s="63"/>
      <c r="AM191" s="63"/>
    </row>
    <row r="192" spans="1:39" s="64" customFormat="1" ht="19">
      <c r="A192" s="58"/>
      <c r="B192" s="84"/>
      <c r="C192" s="47"/>
      <c r="D192" s="104"/>
      <c r="E192" s="105"/>
      <c r="F192" s="105"/>
      <c r="G192" s="105"/>
      <c r="H192" s="105"/>
      <c r="I192" s="106"/>
      <c r="J192" s="4"/>
      <c r="K192" s="4"/>
      <c r="L192" s="3555"/>
      <c r="M192" s="4"/>
      <c r="N192" s="4"/>
      <c r="O192" s="4"/>
      <c r="P192" s="3558"/>
      <c r="Q192" s="3555"/>
      <c r="R192" s="3555"/>
      <c r="S192" s="3556">
        <v>0</v>
      </c>
      <c r="T192" s="4"/>
      <c r="U192" s="3557">
        <v>1</v>
      </c>
      <c r="V192" s="3555"/>
      <c r="W192" s="3555"/>
      <c r="X192" s="3555"/>
      <c r="Y192" s="3555"/>
      <c r="Z192" s="3555"/>
      <c r="AA192" s="3555"/>
      <c r="AB192" s="3555"/>
      <c r="AC192" s="3555"/>
      <c r="AD192" s="3555"/>
      <c r="AE192" s="3555"/>
      <c r="AF192" s="3555"/>
      <c r="AG192" s="3555"/>
      <c r="AH192" s="3555"/>
      <c r="AI192" s="63"/>
      <c r="AJ192" s="63"/>
      <c r="AK192" s="63"/>
      <c r="AL192" s="63"/>
      <c r="AM192" s="63"/>
    </row>
    <row r="193" spans="1:39" s="64" customFormat="1" ht="20.5">
      <c r="A193" s="58"/>
      <c r="B193" s="46" t="s">
        <v>678</v>
      </c>
      <c r="C193" s="46"/>
      <c r="D193" s="107"/>
      <c r="E193" s="105"/>
      <c r="F193" s="105"/>
      <c r="G193" s="105"/>
      <c r="H193" s="105"/>
      <c r="I193" s="106"/>
      <c r="J193" s="4"/>
      <c r="K193" s="4"/>
      <c r="L193" s="3555"/>
      <c r="M193" s="4"/>
      <c r="N193" s="4"/>
      <c r="O193" s="4"/>
      <c r="P193" s="3558"/>
      <c r="Q193" s="3555"/>
      <c r="R193" s="3555"/>
      <c r="S193" s="3556">
        <v>0</v>
      </c>
      <c r="T193" s="4"/>
      <c r="U193" s="3557">
        <v>1</v>
      </c>
      <c r="V193" s="3555"/>
      <c r="W193" s="3555"/>
      <c r="X193" s="3555"/>
      <c r="Y193" s="3555"/>
      <c r="Z193" s="3555"/>
      <c r="AA193" s="3555"/>
      <c r="AB193" s="3555"/>
      <c r="AC193" s="3555"/>
      <c r="AD193" s="3555"/>
      <c r="AE193" s="3555"/>
      <c r="AF193" s="3555"/>
      <c r="AG193" s="3555"/>
      <c r="AH193" s="3555"/>
      <c r="AI193" s="63"/>
      <c r="AJ193" s="63"/>
      <c r="AK193" s="63"/>
      <c r="AL193" s="63"/>
      <c r="AM193" s="63"/>
    </row>
    <row r="194" spans="1:39" s="64" customFormat="1" ht="20.5">
      <c r="A194" s="58"/>
      <c r="B194" s="84"/>
      <c r="C194" s="46" t="s">
        <v>679</v>
      </c>
      <c r="D194" s="107"/>
      <c r="E194" s="105"/>
      <c r="F194" s="105"/>
      <c r="G194" s="105"/>
      <c r="H194" s="105"/>
      <c r="I194" s="106"/>
      <c r="J194" s="4"/>
      <c r="K194" s="4"/>
      <c r="L194" s="3555"/>
      <c r="M194" s="4"/>
      <c r="N194" s="4"/>
      <c r="O194" s="4"/>
      <c r="P194" s="3558"/>
      <c r="Q194" s="3555"/>
      <c r="R194" s="3555"/>
      <c r="S194" s="3556">
        <v>0</v>
      </c>
      <c r="T194" s="4"/>
      <c r="U194" s="3557">
        <v>1</v>
      </c>
      <c r="V194" s="3555"/>
      <c r="W194" s="3555"/>
      <c r="X194" s="3555"/>
      <c r="Y194" s="3555"/>
      <c r="Z194" s="3555"/>
      <c r="AA194" s="3555"/>
      <c r="AB194" s="3555"/>
      <c r="AC194" s="3555"/>
      <c r="AD194" s="3555"/>
      <c r="AE194" s="3555"/>
      <c r="AF194" s="3555"/>
      <c r="AG194" s="3555"/>
      <c r="AH194" s="3555"/>
      <c r="AI194" s="63"/>
      <c r="AJ194" s="63"/>
      <c r="AK194" s="63"/>
      <c r="AL194" s="63"/>
      <c r="AM194" s="63"/>
    </row>
    <row r="195" spans="1:39" s="64" customFormat="1" ht="19">
      <c r="A195" s="58"/>
      <c r="B195" s="53"/>
      <c r="C195" s="54" t="s">
        <v>680</v>
      </c>
      <c r="D195" s="89"/>
      <c r="E195" s="90"/>
      <c r="F195" s="90"/>
      <c r="G195" s="90"/>
      <c r="H195" s="90"/>
      <c r="I195" s="91"/>
      <c r="J195" s="4"/>
      <c r="K195" s="4"/>
      <c r="L195" s="3555"/>
      <c r="M195" s="4"/>
      <c r="N195" s="4"/>
      <c r="O195" s="4"/>
      <c r="P195" s="3555"/>
      <c r="Q195" s="3555"/>
      <c r="R195" s="3555"/>
      <c r="S195" s="3556">
        <v>0</v>
      </c>
      <c r="T195" s="4"/>
      <c r="U195" s="3557">
        <f>U199</f>
        <v>0</v>
      </c>
      <c r="V195" s="3555"/>
      <c r="W195" s="3555"/>
      <c r="X195" s="3555"/>
      <c r="Y195" s="3555"/>
      <c r="Z195" s="3555"/>
      <c r="AA195" s="3555"/>
      <c r="AB195" s="3555"/>
      <c r="AC195" s="3555"/>
      <c r="AD195" s="3555"/>
      <c r="AE195" s="3555"/>
      <c r="AF195" s="3555"/>
      <c r="AG195" s="3555"/>
      <c r="AH195" s="3555"/>
      <c r="AI195" s="63"/>
      <c r="AJ195" s="63"/>
      <c r="AK195" s="63"/>
      <c r="AL195" s="63"/>
      <c r="AM195" s="63"/>
    </row>
    <row r="196" spans="1:39" s="64" customFormat="1" ht="19">
      <c r="A196" s="58">
        <v>210500</v>
      </c>
      <c r="B196" s="59"/>
      <c r="C196" s="47"/>
      <c r="D196" s="60" t="s">
        <v>681</v>
      </c>
      <c r="E196" s="61">
        <f>Fortalezas!D155</f>
        <v>0</v>
      </c>
      <c r="F196" s="61">
        <f>Fortalezas!E155</f>
        <v>0</v>
      </c>
      <c r="G196" s="61">
        <f>Fortalezas!F155</f>
        <v>0</v>
      </c>
      <c r="H196" s="61">
        <f>Fortalezas!G155</f>
        <v>0</v>
      </c>
      <c r="I196" s="62">
        <f>Fortalezas!H155</f>
        <v>0</v>
      </c>
      <c r="J196" s="4"/>
      <c r="K196" s="4"/>
      <c r="L196" s="3555"/>
      <c r="M196" s="4"/>
      <c r="N196" s="4"/>
      <c r="O196" s="4"/>
      <c r="P196" s="3558"/>
      <c r="Q196" s="3555"/>
      <c r="R196" s="3555"/>
      <c r="S196" s="3556">
        <v>0</v>
      </c>
      <c r="T196" s="4"/>
      <c r="U196" s="3557">
        <f>SUM(E196:I196)</f>
        <v>0</v>
      </c>
      <c r="V196" s="3555"/>
      <c r="W196" s="3555"/>
      <c r="X196" s="3555"/>
      <c r="Y196" s="3555"/>
      <c r="Z196" s="3555"/>
      <c r="AA196" s="3555"/>
      <c r="AB196" s="3555"/>
      <c r="AC196" s="3555"/>
      <c r="AD196" s="3555"/>
      <c r="AE196" s="3555"/>
      <c r="AF196" s="3555"/>
      <c r="AG196" s="3555"/>
      <c r="AH196" s="3555"/>
      <c r="AI196" s="63"/>
      <c r="AJ196" s="63"/>
      <c r="AK196" s="63"/>
      <c r="AL196" s="63"/>
      <c r="AM196" s="63"/>
    </row>
    <row r="197" spans="1:39" s="64" customFormat="1" ht="19">
      <c r="A197" s="58">
        <v>211500</v>
      </c>
      <c r="B197" s="59"/>
      <c r="C197" s="47"/>
      <c r="D197" s="65" t="s">
        <v>682</v>
      </c>
      <c r="E197" s="75">
        <f>Fortalezas!D156</f>
        <v>0</v>
      </c>
      <c r="F197" s="75">
        <f>Fortalezas!E156</f>
        <v>0</v>
      </c>
      <c r="G197" s="75">
        <f>Fortalezas!F156</f>
        <v>0</v>
      </c>
      <c r="H197" s="75">
        <f>Fortalezas!G156</f>
        <v>0</v>
      </c>
      <c r="I197" s="76">
        <f>Fortalezas!H156</f>
        <v>0</v>
      </c>
      <c r="J197" s="4"/>
      <c r="K197" s="4"/>
      <c r="L197" s="3555"/>
      <c r="M197" s="4"/>
      <c r="N197" s="4"/>
      <c r="O197" s="4"/>
      <c r="P197" s="3558"/>
      <c r="Q197" s="3555"/>
      <c r="R197" s="3555"/>
      <c r="S197" s="3556">
        <v>0</v>
      </c>
      <c r="T197" s="4"/>
      <c r="U197" s="3557">
        <f>SUM(E197:I197)</f>
        <v>0</v>
      </c>
      <c r="V197" s="3555"/>
      <c r="W197" s="3555"/>
      <c r="X197" s="3555"/>
      <c r="Y197" s="3555"/>
      <c r="Z197" s="3555"/>
      <c r="AA197" s="3555"/>
      <c r="AB197" s="3555"/>
      <c r="AC197" s="3555"/>
      <c r="AD197" s="3555"/>
      <c r="AE197" s="3555"/>
      <c r="AF197" s="3555"/>
      <c r="AG197" s="3555"/>
      <c r="AH197" s="3555"/>
      <c r="AI197" s="63"/>
      <c r="AJ197" s="63"/>
      <c r="AK197" s="63"/>
      <c r="AL197" s="63"/>
      <c r="AM197" s="63"/>
    </row>
    <row r="198" spans="1:39" s="64" customFormat="1" ht="19">
      <c r="A198" s="58">
        <v>219500</v>
      </c>
      <c r="B198" s="59"/>
      <c r="C198" s="47"/>
      <c r="D198" s="65" t="s">
        <v>683</v>
      </c>
      <c r="E198" s="75">
        <f>Fortalezas!D157</f>
        <v>0</v>
      </c>
      <c r="F198" s="75">
        <f>Fortalezas!E157</f>
        <v>0</v>
      </c>
      <c r="G198" s="75">
        <f>Fortalezas!F157</f>
        <v>0</v>
      </c>
      <c r="H198" s="75">
        <f>Fortalezas!G157</f>
        <v>0</v>
      </c>
      <c r="I198" s="76">
        <f>Fortalezas!H157</f>
        <v>0</v>
      </c>
      <c r="J198" s="4"/>
      <c r="K198" s="4"/>
      <c r="L198" s="3555"/>
      <c r="M198" s="4"/>
      <c r="N198" s="4"/>
      <c r="O198" s="4"/>
      <c r="P198" s="3558"/>
      <c r="Q198" s="3555"/>
      <c r="R198" s="3555"/>
      <c r="S198" s="3556">
        <v>0</v>
      </c>
      <c r="T198" s="4"/>
      <c r="U198" s="3557">
        <f>SUM(E198:I198)</f>
        <v>0</v>
      </c>
      <c r="V198" s="3555"/>
      <c r="W198" s="3555"/>
      <c r="X198" s="3555"/>
      <c r="Y198" s="3555"/>
      <c r="Z198" s="3555"/>
      <c r="AA198" s="3555"/>
      <c r="AB198" s="3555"/>
      <c r="AC198" s="3555"/>
      <c r="AD198" s="3555"/>
      <c r="AE198" s="3555"/>
      <c r="AF198" s="3555"/>
      <c r="AG198" s="3555"/>
      <c r="AH198" s="3555"/>
      <c r="AI198" s="63"/>
      <c r="AJ198" s="63"/>
      <c r="AK198" s="63"/>
      <c r="AL198" s="63"/>
      <c r="AM198" s="63"/>
    </row>
    <row r="199" spans="1:39" s="64" customFormat="1" ht="19">
      <c r="A199" s="58">
        <v>2101</v>
      </c>
      <c r="B199" s="59"/>
      <c r="C199" s="66" t="s">
        <v>684</v>
      </c>
      <c r="D199" s="67"/>
      <c r="E199" s="68">
        <f>SUM(E196:E198)</f>
        <v>0</v>
      </c>
      <c r="F199" s="68">
        <f>SUM(F196:F198)</f>
        <v>0</v>
      </c>
      <c r="G199" s="68">
        <f>SUM(G196:G198)</f>
        <v>0</v>
      </c>
      <c r="H199" s="68">
        <f>SUM(H196:H198)</f>
        <v>0</v>
      </c>
      <c r="I199" s="69">
        <f>SUM(I196:I198)</f>
        <v>0</v>
      </c>
      <c r="J199" s="4"/>
      <c r="K199" s="4"/>
      <c r="L199" s="3555"/>
      <c r="M199" s="4"/>
      <c r="N199" s="4"/>
      <c r="O199" s="4"/>
      <c r="P199" s="3558"/>
      <c r="Q199" s="3555"/>
      <c r="R199" s="3555"/>
      <c r="S199" s="3556">
        <v>0</v>
      </c>
      <c r="T199" s="4"/>
      <c r="U199" s="3557">
        <f>SUM(E199:I199)</f>
        <v>0</v>
      </c>
      <c r="V199" s="3555"/>
      <c r="W199" s="3555"/>
      <c r="X199" s="3555"/>
      <c r="Y199" s="3555"/>
      <c r="Z199" s="3555"/>
      <c r="AA199" s="3555"/>
      <c r="AB199" s="3555"/>
      <c r="AC199" s="3555"/>
      <c r="AD199" s="3555"/>
      <c r="AE199" s="3555"/>
      <c r="AF199" s="3555"/>
      <c r="AG199" s="3555"/>
      <c r="AH199" s="3555"/>
      <c r="AI199" s="63"/>
      <c r="AJ199" s="63"/>
      <c r="AK199" s="63"/>
      <c r="AL199" s="63"/>
      <c r="AM199" s="63"/>
    </row>
    <row r="200" spans="1:39" s="64" customFormat="1" ht="19">
      <c r="A200" s="58"/>
      <c r="B200" s="53"/>
      <c r="C200" s="54" t="s">
        <v>685</v>
      </c>
      <c r="D200" s="71"/>
      <c r="E200" s="72"/>
      <c r="F200" s="72"/>
      <c r="G200" s="72"/>
      <c r="H200" s="72"/>
      <c r="I200" s="73"/>
      <c r="J200" s="4"/>
      <c r="K200" s="4"/>
      <c r="L200" s="3555"/>
      <c r="M200" s="4"/>
      <c r="N200" s="4"/>
      <c r="O200" s="4"/>
      <c r="P200" s="3558"/>
      <c r="Q200" s="3555"/>
      <c r="R200" s="3555"/>
      <c r="S200" s="3556">
        <v>0</v>
      </c>
      <c r="T200" s="4"/>
      <c r="U200" s="3557">
        <f>U204</f>
        <v>0</v>
      </c>
      <c r="V200" s="3555"/>
      <c r="W200" s="3555"/>
      <c r="X200" s="3555"/>
      <c r="Y200" s="3555"/>
      <c r="Z200" s="3555"/>
      <c r="AA200" s="3555"/>
      <c r="AB200" s="3555"/>
      <c r="AC200" s="3555"/>
      <c r="AD200" s="3555"/>
      <c r="AE200" s="3555"/>
      <c r="AF200" s="3555"/>
      <c r="AG200" s="3555"/>
      <c r="AH200" s="3555"/>
      <c r="AI200" s="63"/>
      <c r="AJ200" s="63"/>
      <c r="AK200" s="63"/>
      <c r="AL200" s="63"/>
      <c r="AM200" s="63"/>
    </row>
    <row r="201" spans="1:39" s="64" customFormat="1" ht="19">
      <c r="A201" s="58">
        <v>220500</v>
      </c>
      <c r="B201" s="59"/>
      <c r="C201" s="47"/>
      <c r="D201" s="60" t="s">
        <v>686</v>
      </c>
      <c r="E201" s="61">
        <f>Fortalezas!D159</f>
        <v>0</v>
      </c>
      <c r="F201" s="61">
        <f>Fortalezas!E159</f>
        <v>0</v>
      </c>
      <c r="G201" s="61">
        <f>Fortalezas!F159</f>
        <v>0</v>
      </c>
      <c r="H201" s="61">
        <f>Fortalezas!G159</f>
        <v>0</v>
      </c>
      <c r="I201" s="62">
        <f>Fortalezas!H159</f>
        <v>0</v>
      </c>
      <c r="J201" s="4"/>
      <c r="K201" s="4"/>
      <c r="L201" s="3555"/>
      <c r="M201" s="4"/>
      <c r="N201" s="4"/>
      <c r="O201" s="4"/>
      <c r="P201" s="3558"/>
      <c r="Q201" s="3555"/>
      <c r="R201" s="3555"/>
      <c r="S201" s="3556">
        <v>0</v>
      </c>
      <c r="T201" s="4"/>
      <c r="U201" s="3557">
        <f>SUM(E201:I201)</f>
        <v>0</v>
      </c>
      <c r="V201" s="3555"/>
      <c r="W201" s="3555"/>
      <c r="X201" s="3555"/>
      <c r="Y201" s="3555"/>
      <c r="Z201" s="3555"/>
      <c r="AA201" s="3555"/>
      <c r="AB201" s="3555"/>
      <c r="AC201" s="3555"/>
      <c r="AD201" s="3555"/>
      <c r="AE201" s="3555"/>
      <c r="AF201" s="3555"/>
      <c r="AG201" s="3555"/>
      <c r="AH201" s="3555"/>
      <c r="AI201" s="63"/>
      <c r="AJ201" s="63"/>
      <c r="AK201" s="63"/>
      <c r="AL201" s="63"/>
      <c r="AM201" s="63"/>
    </row>
    <row r="202" spans="1:39" s="64" customFormat="1" ht="19">
      <c r="A202" s="58">
        <v>221000</v>
      </c>
      <c r="B202" s="59"/>
      <c r="C202" s="47"/>
      <c r="D202" s="65" t="s">
        <v>687</v>
      </c>
      <c r="E202" s="75">
        <f>Fortalezas!D160</f>
        <v>0</v>
      </c>
      <c r="F202" s="75">
        <f>Fortalezas!E160</f>
        <v>0</v>
      </c>
      <c r="G202" s="75">
        <f>Fortalezas!F160</f>
        <v>0</v>
      </c>
      <c r="H202" s="75">
        <f>Fortalezas!G160</f>
        <v>0</v>
      </c>
      <c r="I202" s="76">
        <f>Fortalezas!H160</f>
        <v>0</v>
      </c>
      <c r="J202" s="4"/>
      <c r="K202" s="4"/>
      <c r="L202" s="3555"/>
      <c r="M202" s="4"/>
      <c r="N202" s="4"/>
      <c r="O202" s="4"/>
      <c r="P202" s="3558"/>
      <c r="Q202" s="3555"/>
      <c r="R202" s="3555"/>
      <c r="S202" s="3556">
        <v>0</v>
      </c>
      <c r="T202" s="4"/>
      <c r="U202" s="3557">
        <f>SUM(E202:I202)</f>
        <v>0</v>
      </c>
      <c r="V202" s="3555"/>
      <c r="W202" s="3555"/>
      <c r="X202" s="3555"/>
      <c r="Y202" s="3555"/>
      <c r="Z202" s="3555"/>
      <c r="AA202" s="3555"/>
      <c r="AB202" s="3555"/>
      <c r="AC202" s="3555"/>
      <c r="AD202" s="3555"/>
      <c r="AE202" s="3555"/>
      <c r="AF202" s="3555"/>
      <c r="AG202" s="3555"/>
      <c r="AH202" s="3555"/>
      <c r="AI202" s="63"/>
      <c r="AJ202" s="63"/>
      <c r="AK202" s="63"/>
      <c r="AL202" s="63"/>
      <c r="AM202" s="63"/>
    </row>
    <row r="203" spans="1:39" s="64" customFormat="1" ht="19">
      <c r="A203" s="58">
        <v>221500</v>
      </c>
      <c r="B203" s="59"/>
      <c r="C203" s="47"/>
      <c r="D203" s="101" t="s">
        <v>571</v>
      </c>
      <c r="E203" s="102">
        <f>Fortalezas!D161</f>
        <v>0</v>
      </c>
      <c r="F203" s="102">
        <f>Fortalezas!E161</f>
        <v>0</v>
      </c>
      <c r="G203" s="102">
        <f>Fortalezas!F161</f>
        <v>0</v>
      </c>
      <c r="H203" s="102">
        <f>Fortalezas!G161</f>
        <v>0</v>
      </c>
      <c r="I203" s="103">
        <f>Fortalezas!H161</f>
        <v>0</v>
      </c>
      <c r="J203" s="4"/>
      <c r="K203" s="4"/>
      <c r="L203" s="3555"/>
      <c r="M203" s="4"/>
      <c r="N203" s="4"/>
      <c r="O203" s="4"/>
      <c r="P203" s="3558"/>
      <c r="Q203" s="3555"/>
      <c r="R203" s="3555"/>
      <c r="S203" s="3556">
        <v>0</v>
      </c>
      <c r="T203" s="4"/>
      <c r="U203" s="3557">
        <f>SUM(E203:I203)</f>
        <v>0</v>
      </c>
      <c r="V203" s="3555"/>
      <c r="W203" s="3555"/>
      <c r="X203" s="3555"/>
      <c r="Y203" s="3555"/>
      <c r="Z203" s="3555"/>
      <c r="AA203" s="3555"/>
      <c r="AB203" s="3555"/>
      <c r="AC203" s="3555"/>
      <c r="AD203" s="3555"/>
      <c r="AE203" s="3555"/>
      <c r="AF203" s="3555"/>
      <c r="AG203" s="3555"/>
      <c r="AH203" s="3555"/>
      <c r="AI203" s="63"/>
      <c r="AJ203" s="63"/>
      <c r="AK203" s="63"/>
      <c r="AL203" s="63"/>
      <c r="AM203" s="63"/>
    </row>
    <row r="204" spans="1:39" s="64" customFormat="1" ht="19">
      <c r="A204" s="58">
        <v>2102</v>
      </c>
      <c r="B204" s="59"/>
      <c r="C204" s="66" t="s">
        <v>688</v>
      </c>
      <c r="D204" s="67"/>
      <c r="E204" s="68">
        <f>SUM(E201:E203)</f>
        <v>0</v>
      </c>
      <c r="F204" s="68">
        <f>SUM(F201:F203)</f>
        <v>0</v>
      </c>
      <c r="G204" s="68">
        <f>SUM(G201:G203)</f>
        <v>0</v>
      </c>
      <c r="H204" s="68">
        <f>SUM(H201:H203)</f>
        <v>0</v>
      </c>
      <c r="I204" s="69">
        <f>SUM(I201:I203)</f>
        <v>0</v>
      </c>
      <c r="J204" s="4"/>
      <c r="K204" s="4"/>
      <c r="L204" s="3555"/>
      <c r="M204" s="4"/>
      <c r="N204" s="4"/>
      <c r="O204" s="4"/>
      <c r="P204" s="3558"/>
      <c r="Q204" s="3555"/>
      <c r="R204" s="3555"/>
      <c r="S204" s="3556">
        <v>0</v>
      </c>
      <c r="T204" s="4"/>
      <c r="U204" s="3557">
        <f>SUM(E204:I204)</f>
        <v>0</v>
      </c>
      <c r="V204" s="3555"/>
      <c r="W204" s="3555"/>
      <c r="X204" s="3555"/>
      <c r="Y204" s="3555"/>
      <c r="Z204" s="3555"/>
      <c r="AA204" s="3555"/>
      <c r="AB204" s="3555"/>
      <c r="AC204" s="3555"/>
      <c r="AD204" s="3555"/>
      <c r="AE204" s="3555"/>
      <c r="AF204" s="3555"/>
      <c r="AG204" s="3555"/>
      <c r="AH204" s="3555"/>
      <c r="AI204" s="63"/>
      <c r="AJ204" s="63"/>
      <c r="AK204" s="63"/>
      <c r="AL204" s="63"/>
      <c r="AM204" s="63"/>
    </row>
    <row r="205" spans="1:39" s="64" customFormat="1" ht="19">
      <c r="A205" s="58"/>
      <c r="B205" s="53"/>
      <c r="C205" s="54" t="s">
        <v>689</v>
      </c>
      <c r="D205" s="71"/>
      <c r="E205" s="72"/>
      <c r="F205" s="72"/>
      <c r="G205" s="72"/>
      <c r="H205" s="72"/>
      <c r="I205" s="73"/>
      <c r="J205" s="4"/>
      <c r="K205" s="4"/>
      <c r="L205" s="3555"/>
      <c r="M205" s="4"/>
      <c r="N205" s="4"/>
      <c r="O205" s="4"/>
      <c r="P205" s="3558"/>
      <c r="Q205" s="3555"/>
      <c r="R205" s="3555"/>
      <c r="S205" s="3556">
        <v>0</v>
      </c>
      <c r="T205" s="4"/>
      <c r="U205" s="3557">
        <f>U221</f>
        <v>0</v>
      </c>
      <c r="V205" s="3555"/>
      <c r="W205" s="3555"/>
      <c r="X205" s="3555"/>
      <c r="Y205" s="3555"/>
      <c r="Z205" s="3555"/>
      <c r="AA205" s="3555"/>
      <c r="AB205" s="3555"/>
      <c r="AC205" s="3555"/>
      <c r="AD205" s="3555"/>
      <c r="AE205" s="3555"/>
      <c r="AF205" s="3555"/>
      <c r="AG205" s="3555"/>
      <c r="AH205" s="3555"/>
      <c r="AI205" s="63"/>
      <c r="AJ205" s="63"/>
      <c r="AK205" s="63"/>
      <c r="AL205" s="63"/>
      <c r="AM205" s="63"/>
    </row>
    <row r="206" spans="1:39" s="64" customFormat="1" ht="19">
      <c r="A206" s="58">
        <v>230500</v>
      </c>
      <c r="B206" s="59"/>
      <c r="C206" s="47"/>
      <c r="D206" s="60" t="s">
        <v>571</v>
      </c>
      <c r="E206" s="61">
        <f>Fortalezas!D163</f>
        <v>0</v>
      </c>
      <c r="F206" s="61">
        <f>Fortalezas!E163</f>
        <v>0</v>
      </c>
      <c r="G206" s="61">
        <f>Fortalezas!F163</f>
        <v>0</v>
      </c>
      <c r="H206" s="61">
        <f>Fortalezas!G163</f>
        <v>0</v>
      </c>
      <c r="I206" s="62">
        <f>Fortalezas!H163</f>
        <v>0</v>
      </c>
      <c r="J206" s="4"/>
      <c r="K206" s="4"/>
      <c r="L206" s="3555"/>
      <c r="M206" s="4"/>
      <c r="N206" s="4"/>
      <c r="O206" s="4"/>
      <c r="P206" s="3558"/>
      <c r="Q206" s="3555"/>
      <c r="R206" s="3555"/>
      <c r="S206" s="3556">
        <v>0</v>
      </c>
      <c r="T206" s="4"/>
      <c r="U206" s="3557">
        <f t="shared" ref="U206:U221" si="15">SUM(E206:I206)</f>
        <v>0</v>
      </c>
      <c r="V206" s="3555"/>
      <c r="W206" s="3555"/>
      <c r="X206" s="3555"/>
      <c r="Y206" s="3555"/>
      <c r="Z206" s="3555"/>
      <c r="AA206" s="3555"/>
      <c r="AB206" s="3555"/>
      <c r="AC206" s="3555"/>
      <c r="AD206" s="3555"/>
      <c r="AE206" s="3555"/>
      <c r="AF206" s="3555"/>
      <c r="AG206" s="3555"/>
      <c r="AH206" s="3555"/>
      <c r="AI206" s="63"/>
      <c r="AJ206" s="63"/>
      <c r="AK206" s="63"/>
      <c r="AL206" s="63"/>
      <c r="AM206" s="63"/>
    </row>
    <row r="207" spans="1:39" s="64" customFormat="1" ht="19">
      <c r="A207" s="58">
        <v>231000</v>
      </c>
      <c r="B207" s="59"/>
      <c r="C207" s="47"/>
      <c r="D207" s="65" t="s">
        <v>690</v>
      </c>
      <c r="E207" s="75">
        <f>Fortalezas!D164</f>
        <v>0</v>
      </c>
      <c r="F207" s="75">
        <f>Fortalezas!E164</f>
        <v>0</v>
      </c>
      <c r="G207" s="75">
        <f>Fortalezas!F164</f>
        <v>0</v>
      </c>
      <c r="H207" s="75">
        <f>Fortalezas!G164</f>
        <v>0</v>
      </c>
      <c r="I207" s="76">
        <f>Fortalezas!H164</f>
        <v>0</v>
      </c>
      <c r="J207" s="4"/>
      <c r="K207" s="4"/>
      <c r="L207" s="3555"/>
      <c r="M207" s="4"/>
      <c r="N207" s="4"/>
      <c r="O207" s="4"/>
      <c r="P207" s="3558"/>
      <c r="Q207" s="3555"/>
      <c r="R207" s="3555"/>
      <c r="S207" s="3556">
        <v>0</v>
      </c>
      <c r="T207" s="4"/>
      <c r="U207" s="3557">
        <f t="shared" si="15"/>
        <v>0</v>
      </c>
      <c r="V207" s="3555"/>
      <c r="W207" s="3555"/>
      <c r="X207" s="3555"/>
      <c r="Y207" s="3555"/>
      <c r="Z207" s="3555"/>
      <c r="AA207" s="3555"/>
      <c r="AB207" s="3555"/>
      <c r="AC207" s="3555"/>
      <c r="AD207" s="3555"/>
      <c r="AE207" s="3555"/>
      <c r="AF207" s="3555"/>
      <c r="AG207" s="3555"/>
      <c r="AH207" s="3555"/>
      <c r="AI207" s="63"/>
      <c r="AJ207" s="63"/>
      <c r="AK207" s="63"/>
      <c r="AL207" s="63"/>
      <c r="AM207" s="63"/>
    </row>
    <row r="208" spans="1:39" s="64" customFormat="1" ht="19">
      <c r="A208" s="58">
        <v>231500</v>
      </c>
      <c r="B208" s="59"/>
      <c r="C208" s="47"/>
      <c r="D208" s="65" t="s">
        <v>691</v>
      </c>
      <c r="E208" s="75">
        <f>Fortalezas!D165</f>
        <v>0</v>
      </c>
      <c r="F208" s="75">
        <f>Fortalezas!E165</f>
        <v>0</v>
      </c>
      <c r="G208" s="75">
        <f>Fortalezas!F165</f>
        <v>0</v>
      </c>
      <c r="H208" s="75">
        <f>Fortalezas!G165</f>
        <v>0</v>
      </c>
      <c r="I208" s="76">
        <f>Fortalezas!H165</f>
        <v>0</v>
      </c>
      <c r="J208" s="4"/>
      <c r="K208" s="4"/>
      <c r="L208" s="3555"/>
      <c r="M208" s="4"/>
      <c r="N208" s="4"/>
      <c r="O208" s="4"/>
      <c r="P208" s="3558"/>
      <c r="Q208" s="3555"/>
      <c r="R208" s="3555"/>
      <c r="S208" s="3556">
        <v>0</v>
      </c>
      <c r="T208" s="4"/>
      <c r="U208" s="3557">
        <f t="shared" si="15"/>
        <v>0</v>
      </c>
      <c r="V208" s="3555"/>
      <c r="W208" s="3555"/>
      <c r="X208" s="3555"/>
      <c r="Y208" s="3555"/>
      <c r="Z208" s="3555"/>
      <c r="AA208" s="3555"/>
      <c r="AB208" s="3555"/>
      <c r="AC208" s="3555"/>
      <c r="AD208" s="3555"/>
      <c r="AE208" s="3555"/>
      <c r="AF208" s="3555"/>
      <c r="AG208" s="3555"/>
      <c r="AH208" s="3555"/>
      <c r="AI208" s="63"/>
      <c r="AJ208" s="63"/>
      <c r="AK208" s="63"/>
      <c r="AL208" s="63"/>
      <c r="AM208" s="63"/>
    </row>
    <row r="209" spans="1:39" s="64" customFormat="1" ht="19">
      <c r="A209" s="58">
        <v>232000</v>
      </c>
      <c r="B209" s="59"/>
      <c r="C209" s="47"/>
      <c r="D209" s="65" t="s">
        <v>692</v>
      </c>
      <c r="E209" s="75">
        <f>Fortalezas!D166</f>
        <v>0</v>
      </c>
      <c r="F209" s="75">
        <f>Fortalezas!E166</f>
        <v>0</v>
      </c>
      <c r="G209" s="75">
        <f>Fortalezas!F166</f>
        <v>0</v>
      </c>
      <c r="H209" s="75">
        <f>Fortalezas!G166</f>
        <v>0</v>
      </c>
      <c r="I209" s="76">
        <f>Fortalezas!H166</f>
        <v>0</v>
      </c>
      <c r="J209" s="4"/>
      <c r="K209" s="4"/>
      <c r="L209" s="3555"/>
      <c r="M209" s="4"/>
      <c r="N209" s="4"/>
      <c r="O209" s="4"/>
      <c r="P209" s="3558"/>
      <c r="Q209" s="3555"/>
      <c r="R209" s="3555"/>
      <c r="S209" s="3556">
        <v>0</v>
      </c>
      <c r="T209" s="4"/>
      <c r="U209" s="3557">
        <f t="shared" si="15"/>
        <v>0</v>
      </c>
      <c r="V209" s="3555"/>
      <c r="W209" s="3555"/>
      <c r="X209" s="3555"/>
      <c r="Y209" s="3555"/>
      <c r="Z209" s="3555"/>
      <c r="AA209" s="3555"/>
      <c r="AB209" s="3555"/>
      <c r="AC209" s="3555"/>
      <c r="AD209" s="3555"/>
      <c r="AE209" s="3555"/>
      <c r="AF209" s="3555"/>
      <c r="AG209" s="3555"/>
      <c r="AH209" s="3555"/>
      <c r="AI209" s="63"/>
      <c r="AJ209" s="63"/>
      <c r="AK209" s="63"/>
      <c r="AL209" s="63"/>
      <c r="AM209" s="63"/>
    </row>
    <row r="210" spans="1:39" s="64" customFormat="1" ht="19">
      <c r="A210" s="58">
        <v>233500</v>
      </c>
      <c r="B210" s="59"/>
      <c r="C210" s="47"/>
      <c r="D210" s="65" t="s">
        <v>693</v>
      </c>
      <c r="E210" s="75">
        <f>Fortalezas!D167</f>
        <v>0</v>
      </c>
      <c r="F210" s="75">
        <f>Fortalezas!E167</f>
        <v>0</v>
      </c>
      <c r="G210" s="75">
        <f>Fortalezas!F167</f>
        <v>0</v>
      </c>
      <c r="H210" s="75">
        <f>Fortalezas!G167</f>
        <v>0</v>
      </c>
      <c r="I210" s="76">
        <f>Fortalezas!H167</f>
        <v>0</v>
      </c>
      <c r="J210" s="4"/>
      <c r="K210" s="4"/>
      <c r="L210" s="3555"/>
      <c r="M210" s="4"/>
      <c r="N210" s="4"/>
      <c r="O210" s="4"/>
      <c r="P210" s="3558"/>
      <c r="Q210" s="3555"/>
      <c r="R210" s="3555"/>
      <c r="S210" s="3556">
        <v>0</v>
      </c>
      <c r="T210" s="4"/>
      <c r="U210" s="3557">
        <f t="shared" si="15"/>
        <v>0</v>
      </c>
      <c r="V210" s="3555"/>
      <c r="W210" s="3555"/>
      <c r="X210" s="3555"/>
      <c r="Y210" s="3555"/>
      <c r="Z210" s="3555"/>
      <c r="AA210" s="3555"/>
      <c r="AB210" s="3555"/>
      <c r="AC210" s="3555"/>
      <c r="AD210" s="3555"/>
      <c r="AE210" s="3555"/>
      <c r="AF210" s="3555"/>
      <c r="AG210" s="3555"/>
      <c r="AH210" s="3555"/>
      <c r="AI210" s="63"/>
      <c r="AJ210" s="63"/>
      <c r="AK210" s="63"/>
      <c r="AL210" s="63"/>
      <c r="AM210" s="63"/>
    </row>
    <row r="211" spans="1:39" s="64" customFormat="1" ht="19">
      <c r="A211" s="58">
        <v>234500</v>
      </c>
      <c r="B211" s="59"/>
      <c r="C211" s="47"/>
      <c r="D211" s="65" t="s">
        <v>694</v>
      </c>
      <c r="E211" s="75">
        <f>Fortalezas!D168</f>
        <v>0</v>
      </c>
      <c r="F211" s="75">
        <f>Fortalezas!E168</f>
        <v>0</v>
      </c>
      <c r="G211" s="75">
        <f>Fortalezas!F168</f>
        <v>0</v>
      </c>
      <c r="H211" s="75">
        <f>Fortalezas!G168</f>
        <v>0</v>
      </c>
      <c r="I211" s="76">
        <f>Fortalezas!H168</f>
        <v>0</v>
      </c>
      <c r="J211" s="4"/>
      <c r="K211" s="4"/>
      <c r="L211" s="3555"/>
      <c r="M211" s="4"/>
      <c r="N211" s="4"/>
      <c r="O211" s="4"/>
      <c r="P211" s="3558"/>
      <c r="Q211" s="3555"/>
      <c r="R211" s="3555"/>
      <c r="S211" s="3556">
        <v>0</v>
      </c>
      <c r="T211" s="4"/>
      <c r="U211" s="3557">
        <f t="shared" si="15"/>
        <v>0</v>
      </c>
      <c r="V211" s="3555"/>
      <c r="W211" s="3555"/>
      <c r="X211" s="3555"/>
      <c r="Y211" s="3555"/>
      <c r="Z211" s="3555"/>
      <c r="AA211" s="3555"/>
      <c r="AB211" s="3555"/>
      <c r="AC211" s="3555"/>
      <c r="AD211" s="3555"/>
      <c r="AE211" s="3555"/>
      <c r="AF211" s="3555"/>
      <c r="AG211" s="3555"/>
      <c r="AH211" s="3555"/>
      <c r="AI211" s="63"/>
      <c r="AJ211" s="63"/>
      <c r="AK211" s="63"/>
      <c r="AL211" s="63"/>
      <c r="AM211" s="63"/>
    </row>
    <row r="212" spans="1:39" s="64" customFormat="1" ht="19">
      <c r="A212" s="58">
        <v>235000</v>
      </c>
      <c r="B212" s="59"/>
      <c r="C212" s="47"/>
      <c r="D212" s="65" t="s">
        <v>695</v>
      </c>
      <c r="E212" s="75">
        <f>Fortalezas!D169</f>
        <v>0</v>
      </c>
      <c r="F212" s="75">
        <f>Fortalezas!E169</f>
        <v>0</v>
      </c>
      <c r="G212" s="75">
        <f>Fortalezas!F169</f>
        <v>0</v>
      </c>
      <c r="H212" s="75">
        <f>Fortalezas!G169</f>
        <v>0</v>
      </c>
      <c r="I212" s="76">
        <f>Fortalezas!H169</f>
        <v>0</v>
      </c>
      <c r="J212" s="4"/>
      <c r="K212" s="4"/>
      <c r="L212" s="3555"/>
      <c r="M212" s="4"/>
      <c r="N212" s="4"/>
      <c r="O212" s="4"/>
      <c r="P212" s="3558"/>
      <c r="Q212" s="3555"/>
      <c r="R212" s="3555"/>
      <c r="S212" s="3556">
        <v>0</v>
      </c>
      <c r="T212" s="4"/>
      <c r="U212" s="3557">
        <f t="shared" si="15"/>
        <v>0</v>
      </c>
      <c r="V212" s="3555"/>
      <c r="W212" s="3555"/>
      <c r="X212" s="3555"/>
      <c r="Y212" s="3555"/>
      <c r="Z212" s="3555"/>
      <c r="AA212" s="3555"/>
      <c r="AB212" s="3555"/>
      <c r="AC212" s="3555"/>
      <c r="AD212" s="3555"/>
      <c r="AE212" s="3555"/>
      <c r="AF212" s="3555"/>
      <c r="AG212" s="3555"/>
      <c r="AH212" s="3555"/>
      <c r="AI212" s="63"/>
      <c r="AJ212" s="63"/>
      <c r="AK212" s="63"/>
      <c r="AL212" s="63"/>
      <c r="AM212" s="63"/>
    </row>
    <row r="213" spans="1:39" s="64" customFormat="1" ht="19">
      <c r="A213" s="58">
        <v>235500</v>
      </c>
      <c r="B213" s="59"/>
      <c r="C213" s="47"/>
      <c r="D213" s="65" t="s">
        <v>696</v>
      </c>
      <c r="E213" s="75">
        <f>Fortalezas!D170</f>
        <v>0</v>
      </c>
      <c r="F213" s="75">
        <f>Fortalezas!E170</f>
        <v>0</v>
      </c>
      <c r="G213" s="75">
        <f>Fortalezas!F170</f>
        <v>0</v>
      </c>
      <c r="H213" s="75">
        <f>Fortalezas!G170</f>
        <v>0</v>
      </c>
      <c r="I213" s="76">
        <f>Fortalezas!H170</f>
        <v>0</v>
      </c>
      <c r="J213" s="4"/>
      <c r="K213" s="4"/>
      <c r="L213" s="3555"/>
      <c r="M213" s="4"/>
      <c r="N213" s="4"/>
      <c r="O213" s="4"/>
      <c r="P213" s="3558"/>
      <c r="Q213" s="3555"/>
      <c r="R213" s="3555"/>
      <c r="S213" s="3556">
        <v>0</v>
      </c>
      <c r="T213" s="4"/>
      <c r="U213" s="3557">
        <f t="shared" si="15"/>
        <v>0</v>
      </c>
      <c r="V213" s="3555"/>
      <c r="W213" s="3555"/>
      <c r="X213" s="3555"/>
      <c r="Y213" s="3555"/>
      <c r="Z213" s="3555"/>
      <c r="AA213" s="3555"/>
      <c r="AB213" s="3555"/>
      <c r="AC213" s="3555"/>
      <c r="AD213" s="3555"/>
      <c r="AE213" s="3555"/>
      <c r="AF213" s="3555"/>
      <c r="AG213" s="3555"/>
      <c r="AH213" s="3555"/>
      <c r="AI213" s="63"/>
      <c r="AJ213" s="63"/>
      <c r="AK213" s="63"/>
      <c r="AL213" s="63"/>
      <c r="AM213" s="63"/>
    </row>
    <row r="214" spans="1:39" s="64" customFormat="1" ht="19">
      <c r="A214" s="58">
        <v>236000</v>
      </c>
      <c r="B214" s="59"/>
      <c r="C214" s="47"/>
      <c r="D214" s="65" t="s">
        <v>697</v>
      </c>
      <c r="E214" s="75">
        <f>Fortalezas!D171</f>
        <v>0</v>
      </c>
      <c r="F214" s="75">
        <f>Fortalezas!E171</f>
        <v>0</v>
      </c>
      <c r="G214" s="75">
        <f>Fortalezas!F171</f>
        <v>0</v>
      </c>
      <c r="H214" s="75">
        <f>Fortalezas!G171</f>
        <v>0</v>
      </c>
      <c r="I214" s="76">
        <f>Fortalezas!H171</f>
        <v>0</v>
      </c>
      <c r="J214" s="4"/>
      <c r="K214" s="4"/>
      <c r="L214" s="3555"/>
      <c r="M214" s="4"/>
      <c r="N214" s="4"/>
      <c r="O214" s="4"/>
      <c r="P214" s="3558"/>
      <c r="Q214" s="3555"/>
      <c r="R214" s="3555"/>
      <c r="S214" s="3556">
        <v>0</v>
      </c>
      <c r="T214" s="4"/>
      <c r="U214" s="3557">
        <f t="shared" si="15"/>
        <v>0</v>
      </c>
      <c r="V214" s="3555"/>
      <c r="W214" s="3555"/>
      <c r="X214" s="3555"/>
      <c r="Y214" s="3555"/>
      <c r="Z214" s="3555"/>
      <c r="AA214" s="3555"/>
      <c r="AB214" s="3555"/>
      <c r="AC214" s="3555"/>
      <c r="AD214" s="3555"/>
      <c r="AE214" s="3555"/>
      <c r="AF214" s="3555"/>
      <c r="AG214" s="3555"/>
      <c r="AH214" s="3555"/>
      <c r="AI214" s="63"/>
      <c r="AJ214" s="63"/>
      <c r="AK214" s="63"/>
      <c r="AL214" s="63"/>
      <c r="AM214" s="63"/>
    </row>
    <row r="215" spans="1:39" s="64" customFormat="1" ht="19">
      <c r="A215" s="58">
        <v>236500</v>
      </c>
      <c r="B215" s="59"/>
      <c r="C215" s="47"/>
      <c r="D215" s="65" t="s">
        <v>698</v>
      </c>
      <c r="E215" s="75">
        <f>Fortalezas!D172</f>
        <v>0</v>
      </c>
      <c r="F215" s="75">
        <f>Fortalezas!E172</f>
        <v>0</v>
      </c>
      <c r="G215" s="75">
        <f>Fortalezas!F172</f>
        <v>0</v>
      </c>
      <c r="H215" s="75">
        <f>Fortalezas!G172</f>
        <v>0</v>
      </c>
      <c r="I215" s="76">
        <f>Fortalezas!H172</f>
        <v>0</v>
      </c>
      <c r="J215" s="4"/>
      <c r="K215" s="4"/>
      <c r="L215" s="3555"/>
      <c r="M215" s="4"/>
      <c r="N215" s="4"/>
      <c r="O215" s="4"/>
      <c r="P215" s="3558"/>
      <c r="Q215" s="3555"/>
      <c r="R215" s="3555"/>
      <c r="S215" s="3556">
        <v>0</v>
      </c>
      <c r="T215" s="4"/>
      <c r="U215" s="3557">
        <f t="shared" si="15"/>
        <v>0</v>
      </c>
      <c r="V215" s="3555"/>
      <c r="W215" s="3555"/>
      <c r="X215" s="3555"/>
      <c r="Y215" s="3555"/>
      <c r="Z215" s="3555"/>
      <c r="AA215" s="3555"/>
      <c r="AB215" s="3555"/>
      <c r="AC215" s="3555"/>
      <c r="AD215" s="3555"/>
      <c r="AE215" s="3555"/>
      <c r="AF215" s="3555"/>
      <c r="AG215" s="3555"/>
      <c r="AH215" s="3555"/>
      <c r="AI215" s="63"/>
      <c r="AJ215" s="63"/>
      <c r="AK215" s="63"/>
      <c r="AL215" s="63"/>
      <c r="AM215" s="63"/>
    </row>
    <row r="216" spans="1:39" s="64" customFormat="1" ht="19">
      <c r="A216" s="58">
        <v>236700</v>
      </c>
      <c r="B216" s="59"/>
      <c r="C216" s="47"/>
      <c r="D216" s="65" t="s">
        <v>699</v>
      </c>
      <c r="E216" s="75">
        <f>Fortalezas!D173</f>
        <v>0</v>
      </c>
      <c r="F216" s="75">
        <f>Fortalezas!E173</f>
        <v>0</v>
      </c>
      <c r="G216" s="75">
        <f>Fortalezas!F173</f>
        <v>0</v>
      </c>
      <c r="H216" s="75">
        <f>Fortalezas!G173</f>
        <v>0</v>
      </c>
      <c r="I216" s="76">
        <f>Fortalezas!H173</f>
        <v>0</v>
      </c>
      <c r="J216" s="4"/>
      <c r="K216" s="4"/>
      <c r="L216" s="3555"/>
      <c r="M216" s="4"/>
      <c r="N216" s="4"/>
      <c r="O216" s="4"/>
      <c r="P216" s="3558"/>
      <c r="Q216" s="3555"/>
      <c r="R216" s="3555"/>
      <c r="S216" s="3556">
        <v>0</v>
      </c>
      <c r="T216" s="3555"/>
      <c r="U216" s="3557">
        <f t="shared" si="15"/>
        <v>0</v>
      </c>
      <c r="V216" s="3555"/>
      <c r="W216" s="3555"/>
      <c r="X216" s="3555"/>
      <c r="Y216" s="3555"/>
      <c r="Z216" s="3555"/>
      <c r="AA216" s="3555"/>
      <c r="AB216" s="3555"/>
      <c r="AC216" s="3555"/>
      <c r="AD216" s="3555"/>
      <c r="AE216" s="3555"/>
      <c r="AF216" s="3555"/>
      <c r="AG216" s="3555"/>
      <c r="AH216" s="3555"/>
      <c r="AI216" s="63"/>
      <c r="AJ216" s="63"/>
      <c r="AK216" s="63"/>
      <c r="AL216" s="63"/>
      <c r="AM216" s="63"/>
    </row>
    <row r="217" spans="1:39" s="64" customFormat="1" ht="19">
      <c r="A217" s="58">
        <v>236800</v>
      </c>
      <c r="B217" s="59"/>
      <c r="C217" s="47"/>
      <c r="D217" s="65" t="s">
        <v>700</v>
      </c>
      <c r="E217" s="75">
        <f>Fortalezas!D174</f>
        <v>0</v>
      </c>
      <c r="F217" s="75">
        <f>Fortalezas!E174</f>
        <v>0</v>
      </c>
      <c r="G217" s="75">
        <f>Fortalezas!F174</f>
        <v>0</v>
      </c>
      <c r="H217" s="75">
        <f>Fortalezas!G174</f>
        <v>0</v>
      </c>
      <c r="I217" s="76">
        <f>Fortalezas!H174</f>
        <v>0</v>
      </c>
      <c r="J217" s="4"/>
      <c r="K217" s="4"/>
      <c r="L217" s="3555"/>
      <c r="M217" s="4"/>
      <c r="N217" s="4"/>
      <c r="O217" s="4"/>
      <c r="P217" s="3558"/>
      <c r="Q217" s="3555"/>
      <c r="R217" s="3555"/>
      <c r="S217" s="3556">
        <v>0</v>
      </c>
      <c r="T217" s="3555"/>
      <c r="U217" s="3557">
        <f t="shared" si="15"/>
        <v>0</v>
      </c>
      <c r="V217" s="3555"/>
      <c r="W217" s="3555"/>
      <c r="X217" s="3555"/>
      <c r="Y217" s="3555"/>
      <c r="Z217" s="3555"/>
      <c r="AA217" s="3555"/>
      <c r="AB217" s="3555"/>
      <c r="AC217" s="3555"/>
      <c r="AD217" s="3555"/>
      <c r="AE217" s="3555"/>
      <c r="AF217" s="3555"/>
      <c r="AG217" s="3555"/>
      <c r="AH217" s="3555"/>
      <c r="AI217" s="63"/>
      <c r="AJ217" s="63"/>
      <c r="AK217" s="63"/>
      <c r="AL217" s="63"/>
      <c r="AM217" s="63"/>
    </row>
    <row r="218" spans="1:39" s="64" customFormat="1" ht="19">
      <c r="A218" s="58">
        <v>237000</v>
      </c>
      <c r="B218" s="59"/>
      <c r="C218" s="47"/>
      <c r="D218" s="65" t="s">
        <v>701</v>
      </c>
      <c r="E218" s="75">
        <f>Fortalezas!D175</f>
        <v>0</v>
      </c>
      <c r="F218" s="75">
        <f>Fortalezas!E175</f>
        <v>0</v>
      </c>
      <c r="G218" s="75">
        <f>Fortalezas!F175</f>
        <v>0</v>
      </c>
      <c r="H218" s="75">
        <f>Fortalezas!G175</f>
        <v>0</v>
      </c>
      <c r="I218" s="76">
        <f>Fortalezas!H175</f>
        <v>0</v>
      </c>
      <c r="J218" s="4"/>
      <c r="K218" s="4"/>
      <c r="L218" s="3555"/>
      <c r="M218" s="4"/>
      <c r="N218" s="4"/>
      <c r="O218" s="4"/>
      <c r="P218" s="3558"/>
      <c r="Q218" s="3555"/>
      <c r="R218" s="3555"/>
      <c r="S218" s="3556">
        <v>0</v>
      </c>
      <c r="T218" s="3555"/>
      <c r="U218" s="3557">
        <f t="shared" si="15"/>
        <v>0</v>
      </c>
      <c r="V218" s="3555"/>
      <c r="W218" s="3555"/>
      <c r="X218" s="3555"/>
      <c r="Y218" s="3555"/>
      <c r="Z218" s="3555"/>
      <c r="AA218" s="3555"/>
      <c r="AB218" s="3555"/>
      <c r="AC218" s="3555"/>
      <c r="AD218" s="3555"/>
      <c r="AE218" s="3555"/>
      <c r="AF218" s="3555"/>
      <c r="AG218" s="3555"/>
      <c r="AH218" s="3555"/>
      <c r="AI218" s="63"/>
      <c r="AJ218" s="63"/>
      <c r="AK218" s="63"/>
      <c r="AL218" s="63"/>
      <c r="AM218" s="63"/>
    </row>
    <row r="219" spans="1:39" s="64" customFormat="1" ht="19">
      <c r="A219" s="58">
        <v>238000</v>
      </c>
      <c r="B219" s="59"/>
      <c r="C219" s="47"/>
      <c r="D219" s="65" t="s">
        <v>702</v>
      </c>
      <c r="E219" s="75">
        <f>Fortalezas!D176</f>
        <v>0</v>
      </c>
      <c r="F219" s="75">
        <f>Fortalezas!E176</f>
        <v>0</v>
      </c>
      <c r="G219" s="75">
        <f>Fortalezas!F176</f>
        <v>0</v>
      </c>
      <c r="H219" s="75">
        <f>Fortalezas!G176</f>
        <v>0</v>
      </c>
      <c r="I219" s="76">
        <f>Fortalezas!H176</f>
        <v>0</v>
      </c>
      <c r="J219" s="4"/>
      <c r="K219" s="4"/>
      <c r="L219" s="3555"/>
      <c r="M219" s="4"/>
      <c r="N219" s="4"/>
      <c r="O219" s="4"/>
      <c r="P219" s="3558"/>
      <c r="Q219" s="3555"/>
      <c r="R219" s="3555"/>
      <c r="S219" s="3556">
        <v>0</v>
      </c>
      <c r="T219" s="3555"/>
      <c r="U219" s="3557">
        <f t="shared" si="15"/>
        <v>0</v>
      </c>
      <c r="V219" s="3555"/>
      <c r="W219" s="3555"/>
      <c r="X219" s="3555"/>
      <c r="Y219" s="3555"/>
      <c r="Z219" s="3555"/>
      <c r="AA219" s="3555"/>
      <c r="AB219" s="3555"/>
      <c r="AC219" s="3555"/>
      <c r="AD219" s="3555"/>
      <c r="AE219" s="3555"/>
      <c r="AF219" s="3555"/>
      <c r="AG219" s="3555"/>
      <c r="AH219" s="3555"/>
      <c r="AI219" s="63"/>
      <c r="AJ219" s="63"/>
      <c r="AK219" s="63"/>
      <c r="AL219" s="63"/>
      <c r="AM219" s="63"/>
    </row>
    <row r="220" spans="1:39" s="64" customFormat="1" ht="19" hidden="1" customHeight="1">
      <c r="A220" s="58"/>
      <c r="B220" s="59"/>
      <c r="C220" s="47"/>
      <c r="D220" s="65"/>
      <c r="E220" s="75"/>
      <c r="F220" s="75"/>
      <c r="G220" s="78"/>
      <c r="H220" s="78"/>
      <c r="I220" s="79"/>
      <c r="J220" s="4"/>
      <c r="K220" s="4"/>
      <c r="L220" s="3555"/>
      <c r="M220" s="4"/>
      <c r="N220" s="4"/>
      <c r="O220" s="4"/>
      <c r="P220" s="3558"/>
      <c r="Q220" s="3555"/>
      <c r="R220" s="3555"/>
      <c r="S220" s="3556">
        <v>1</v>
      </c>
      <c r="T220" s="3555"/>
      <c r="U220" s="3557">
        <f t="shared" si="15"/>
        <v>0</v>
      </c>
      <c r="V220" s="3555"/>
      <c r="W220" s="3555"/>
      <c r="X220" s="3555"/>
      <c r="Y220" s="3555"/>
      <c r="Z220" s="3555"/>
      <c r="AA220" s="3555"/>
      <c r="AB220" s="3555"/>
      <c r="AC220" s="3555"/>
      <c r="AD220" s="3555"/>
      <c r="AE220" s="3555"/>
      <c r="AF220" s="3555"/>
      <c r="AG220" s="3555"/>
      <c r="AH220" s="3555"/>
      <c r="AI220" s="63"/>
      <c r="AJ220" s="63"/>
      <c r="AK220" s="63"/>
      <c r="AL220" s="63"/>
      <c r="AM220" s="63"/>
    </row>
    <row r="221" spans="1:39" s="64" customFormat="1" ht="19">
      <c r="A221" s="58">
        <v>2103</v>
      </c>
      <c r="B221" s="59"/>
      <c r="C221" s="66" t="s">
        <v>703</v>
      </c>
      <c r="D221" s="67"/>
      <c r="E221" s="68">
        <f>SUM(E206:E219)</f>
        <v>0</v>
      </c>
      <c r="F221" s="68">
        <f>SUM(F206:F219)</f>
        <v>0</v>
      </c>
      <c r="G221" s="68">
        <f>SUM(G206:G219)</f>
        <v>0</v>
      </c>
      <c r="H221" s="68">
        <f>SUM(H206:H219)</f>
        <v>0</v>
      </c>
      <c r="I221" s="69">
        <f>SUM(I206:I219)</f>
        <v>0</v>
      </c>
      <c r="J221" s="4"/>
      <c r="K221" s="4"/>
      <c r="L221" s="3555"/>
      <c r="M221" s="4"/>
      <c r="N221" s="4"/>
      <c r="O221" s="4"/>
      <c r="P221" s="3558"/>
      <c r="Q221" s="3555"/>
      <c r="R221" s="3555"/>
      <c r="S221" s="3556">
        <v>0</v>
      </c>
      <c r="T221" s="3555"/>
      <c r="U221" s="3557">
        <f t="shared" si="15"/>
        <v>0</v>
      </c>
      <c r="V221" s="3555"/>
      <c r="W221" s="3555"/>
      <c r="X221" s="3555"/>
      <c r="Y221" s="3555"/>
      <c r="Z221" s="3555"/>
      <c r="AA221" s="3555"/>
      <c r="AB221" s="3555"/>
      <c r="AC221" s="3555"/>
      <c r="AD221" s="3555"/>
      <c r="AE221" s="3555"/>
      <c r="AF221" s="3555"/>
      <c r="AG221" s="3555"/>
      <c r="AH221" s="3555"/>
      <c r="AI221" s="63"/>
      <c r="AJ221" s="63"/>
      <c r="AK221" s="63"/>
      <c r="AL221" s="63"/>
      <c r="AM221" s="63"/>
    </row>
    <row r="222" spans="1:39" s="64" customFormat="1" ht="19">
      <c r="A222" s="58"/>
      <c r="B222" s="53"/>
      <c r="C222" s="54" t="s">
        <v>704</v>
      </c>
      <c r="D222" s="71"/>
      <c r="E222" s="72"/>
      <c r="F222" s="72"/>
      <c r="G222" s="72"/>
      <c r="H222" s="72"/>
      <c r="I222" s="73"/>
      <c r="J222" s="4"/>
      <c r="K222" s="4"/>
      <c r="L222" s="3555"/>
      <c r="M222" s="4"/>
      <c r="N222" s="4"/>
      <c r="O222" s="4"/>
      <c r="P222" s="3558"/>
      <c r="Q222" s="3555"/>
      <c r="R222" s="3555"/>
      <c r="S222" s="3556">
        <v>0</v>
      </c>
      <c r="T222" s="3555"/>
      <c r="U222" s="3557">
        <f>U233</f>
        <v>0</v>
      </c>
      <c r="V222" s="3555"/>
      <c r="W222" s="3555"/>
      <c r="X222" s="3555"/>
      <c r="Y222" s="3555"/>
      <c r="Z222" s="3555"/>
      <c r="AA222" s="3555"/>
      <c r="AB222" s="3555"/>
      <c r="AC222" s="3555"/>
      <c r="AD222" s="3555"/>
      <c r="AE222" s="3555"/>
      <c r="AF222" s="3555"/>
      <c r="AG222" s="3555"/>
      <c r="AH222" s="3555"/>
      <c r="AI222" s="63"/>
      <c r="AJ222" s="63"/>
      <c r="AK222" s="63"/>
      <c r="AL222" s="63"/>
      <c r="AM222" s="63"/>
    </row>
    <row r="223" spans="1:39" s="64" customFormat="1" ht="19">
      <c r="A223" s="58">
        <v>240400</v>
      </c>
      <c r="B223" s="59"/>
      <c r="C223" s="47"/>
      <c r="D223" s="60" t="s">
        <v>705</v>
      </c>
      <c r="E223" s="61">
        <f>Fortalezas!D178</f>
        <v>0</v>
      </c>
      <c r="F223" s="61">
        <f>Fortalezas!E178</f>
        <v>0</v>
      </c>
      <c r="G223" s="61">
        <f>Fortalezas!F178</f>
        <v>0</v>
      </c>
      <c r="H223" s="61">
        <f>Fortalezas!G178</f>
        <v>0</v>
      </c>
      <c r="I223" s="62">
        <f>Fortalezas!H178</f>
        <v>0</v>
      </c>
      <c r="J223" s="4"/>
      <c r="K223" s="4"/>
      <c r="L223" s="3555"/>
      <c r="M223" s="4"/>
      <c r="N223" s="4"/>
      <c r="O223" s="4"/>
      <c r="P223" s="3558"/>
      <c r="Q223" s="3555"/>
      <c r="R223" s="3555"/>
      <c r="S223" s="3556">
        <v>0</v>
      </c>
      <c r="T223" s="3555"/>
      <c r="U223" s="3557">
        <f t="shared" ref="U223:U233" si="16">SUM(E223:I223)</f>
        <v>0</v>
      </c>
      <c r="V223" s="3555"/>
      <c r="W223" s="3555"/>
      <c r="X223" s="3555"/>
      <c r="Y223" s="3555"/>
      <c r="Z223" s="3555"/>
      <c r="AA223" s="3555"/>
      <c r="AB223" s="3555"/>
      <c r="AC223" s="3555"/>
      <c r="AD223" s="3555"/>
      <c r="AE223" s="3555"/>
      <c r="AF223" s="3555"/>
      <c r="AG223" s="3555"/>
      <c r="AH223" s="3555"/>
      <c r="AI223" s="63"/>
      <c r="AJ223" s="63"/>
      <c r="AK223" s="63"/>
      <c r="AL223" s="63"/>
      <c r="AM223" s="63"/>
    </row>
    <row r="224" spans="1:39" s="64" customFormat="1" ht="19">
      <c r="A224" s="58">
        <v>240800</v>
      </c>
      <c r="B224" s="59"/>
      <c r="C224" s="47"/>
      <c r="D224" s="65" t="s">
        <v>706</v>
      </c>
      <c r="E224" s="75">
        <f>Fortalezas!D179</f>
        <v>0</v>
      </c>
      <c r="F224" s="75">
        <f>Fortalezas!E179</f>
        <v>0</v>
      </c>
      <c r="G224" s="75">
        <f>Fortalezas!F179</f>
        <v>0</v>
      </c>
      <c r="H224" s="75">
        <f>Fortalezas!G179</f>
        <v>0</v>
      </c>
      <c r="I224" s="76">
        <f>Fortalezas!H179</f>
        <v>0</v>
      </c>
      <c r="J224" s="4"/>
      <c r="K224" s="4"/>
      <c r="L224" s="3555"/>
      <c r="M224" s="4"/>
      <c r="N224" s="4"/>
      <c r="O224" s="4"/>
      <c r="P224" s="3558"/>
      <c r="Q224" s="3555"/>
      <c r="R224" s="3555"/>
      <c r="S224" s="3556">
        <v>0</v>
      </c>
      <c r="T224" s="3555"/>
      <c r="U224" s="3557">
        <f t="shared" si="16"/>
        <v>0</v>
      </c>
      <c r="V224" s="3555"/>
      <c r="W224" s="3555"/>
      <c r="X224" s="3555"/>
      <c r="Y224" s="3555"/>
      <c r="Z224" s="3555"/>
      <c r="AA224" s="3555"/>
      <c r="AB224" s="3555"/>
      <c r="AC224" s="3555"/>
      <c r="AD224" s="3555"/>
      <c r="AE224" s="3555"/>
      <c r="AF224" s="3555"/>
      <c r="AG224" s="3555"/>
      <c r="AH224" s="3555"/>
      <c r="AI224" s="63"/>
      <c r="AJ224" s="63"/>
      <c r="AK224" s="63"/>
      <c r="AL224" s="63"/>
      <c r="AM224" s="63"/>
    </row>
    <row r="225" spans="1:39" s="64" customFormat="1" ht="19">
      <c r="A225" s="58">
        <v>241200</v>
      </c>
      <c r="B225" s="59"/>
      <c r="C225" s="47"/>
      <c r="D225" s="65" t="s">
        <v>707</v>
      </c>
      <c r="E225" s="75">
        <f>Fortalezas!D180</f>
        <v>0</v>
      </c>
      <c r="F225" s="75">
        <f>Fortalezas!E180</f>
        <v>0</v>
      </c>
      <c r="G225" s="75">
        <f>Fortalezas!F180</f>
        <v>0</v>
      </c>
      <c r="H225" s="75">
        <f>Fortalezas!G180</f>
        <v>0</v>
      </c>
      <c r="I225" s="76">
        <f>Fortalezas!H180</f>
        <v>0</v>
      </c>
      <c r="J225" s="4"/>
      <c r="K225" s="4"/>
      <c r="L225" s="3555"/>
      <c r="M225" s="4"/>
      <c r="N225" s="4"/>
      <c r="O225" s="4"/>
      <c r="P225" s="3558"/>
      <c r="Q225" s="3555"/>
      <c r="R225" s="3555"/>
      <c r="S225" s="3556">
        <v>0</v>
      </c>
      <c r="T225" s="3555"/>
      <c r="U225" s="3557">
        <f t="shared" si="16"/>
        <v>0</v>
      </c>
      <c r="V225" s="4"/>
      <c r="W225" s="3555"/>
      <c r="X225" s="3555"/>
      <c r="Y225" s="3555"/>
      <c r="Z225" s="3555"/>
      <c r="AA225" s="3555"/>
      <c r="AB225" s="3555"/>
      <c r="AC225" s="3555"/>
      <c r="AD225" s="3555"/>
      <c r="AE225" s="3555"/>
      <c r="AF225" s="3555"/>
      <c r="AG225" s="3555"/>
      <c r="AH225" s="3555"/>
      <c r="AI225" s="63"/>
      <c r="AJ225" s="63"/>
      <c r="AK225" s="63"/>
      <c r="AL225" s="63"/>
      <c r="AM225" s="63"/>
    </row>
    <row r="226" spans="1:39" s="64" customFormat="1" ht="19">
      <c r="A226" s="58">
        <v>249500</v>
      </c>
      <c r="B226" s="59"/>
      <c r="C226" s="47"/>
      <c r="D226" s="65" t="s">
        <v>453</v>
      </c>
      <c r="E226" s="75">
        <f>Fortalezas!D181</f>
        <v>0</v>
      </c>
      <c r="F226" s="75">
        <f>Fortalezas!E181</f>
        <v>0</v>
      </c>
      <c r="G226" s="75">
        <f>Fortalezas!F181</f>
        <v>0</v>
      </c>
      <c r="H226" s="75">
        <f>Fortalezas!G181</f>
        <v>0</v>
      </c>
      <c r="I226" s="76">
        <f>Fortalezas!H181</f>
        <v>0</v>
      </c>
      <c r="J226" s="4"/>
      <c r="K226" s="4"/>
      <c r="L226" s="3555"/>
      <c r="M226" s="4"/>
      <c r="N226" s="4"/>
      <c r="O226" s="4"/>
      <c r="P226" s="3558"/>
      <c r="Q226" s="3555"/>
      <c r="R226" s="3555"/>
      <c r="S226" s="3556">
        <v>0</v>
      </c>
      <c r="T226" s="3555"/>
      <c r="U226" s="3557">
        <f t="shared" si="16"/>
        <v>0</v>
      </c>
      <c r="V226" s="4"/>
      <c r="W226" s="3555"/>
      <c r="X226" s="3555"/>
      <c r="Y226" s="3555"/>
      <c r="Z226" s="3555"/>
      <c r="AA226" s="3555"/>
      <c r="AB226" s="3555"/>
      <c r="AC226" s="3555"/>
      <c r="AD226" s="3555"/>
      <c r="AE226" s="3555"/>
      <c r="AF226" s="3555"/>
      <c r="AG226" s="3555"/>
      <c r="AH226" s="3555"/>
      <c r="AI226" s="63"/>
      <c r="AJ226" s="63"/>
      <c r="AK226" s="63"/>
      <c r="AL226" s="63"/>
      <c r="AM226" s="63"/>
    </row>
    <row r="227" spans="1:39" s="64" customFormat="1" ht="19" hidden="1" customHeight="1">
      <c r="A227" s="58"/>
      <c r="B227" s="59"/>
      <c r="C227" s="47"/>
      <c r="D227" s="65"/>
      <c r="E227" s="75"/>
      <c r="F227" s="75"/>
      <c r="G227" s="78"/>
      <c r="H227" s="78"/>
      <c r="I227" s="79"/>
      <c r="J227" s="4"/>
      <c r="K227" s="4"/>
      <c r="L227" s="3555"/>
      <c r="M227" s="4"/>
      <c r="N227" s="4"/>
      <c r="O227" s="4"/>
      <c r="P227" s="3558"/>
      <c r="Q227" s="3555"/>
      <c r="R227" s="3555"/>
      <c r="S227" s="3556">
        <v>1</v>
      </c>
      <c r="T227" s="3555"/>
      <c r="U227" s="3557">
        <f t="shared" si="16"/>
        <v>0</v>
      </c>
      <c r="V227" s="4"/>
      <c r="W227" s="3555"/>
      <c r="X227" s="3555"/>
      <c r="Y227" s="3555"/>
      <c r="Z227" s="3555"/>
      <c r="AA227" s="3555"/>
      <c r="AB227" s="3555"/>
      <c r="AC227" s="3555"/>
      <c r="AD227" s="3555"/>
      <c r="AE227" s="3555"/>
      <c r="AF227" s="3555"/>
      <c r="AG227" s="3555"/>
      <c r="AH227" s="3555"/>
      <c r="AI227" s="63"/>
      <c r="AJ227" s="63"/>
      <c r="AK227" s="63"/>
      <c r="AL227" s="63"/>
      <c r="AM227" s="63"/>
    </row>
    <row r="228" spans="1:39" s="64" customFormat="1" ht="19" hidden="1" customHeight="1">
      <c r="A228" s="58"/>
      <c r="B228" s="59"/>
      <c r="C228" s="47"/>
      <c r="D228" s="65"/>
      <c r="E228" s="75"/>
      <c r="F228" s="75"/>
      <c r="G228" s="78"/>
      <c r="H228" s="78"/>
      <c r="I228" s="79"/>
      <c r="J228" s="4"/>
      <c r="K228" s="4"/>
      <c r="L228" s="3555"/>
      <c r="M228" s="4"/>
      <c r="N228" s="4"/>
      <c r="O228" s="4"/>
      <c r="P228" s="3558"/>
      <c r="Q228" s="3555"/>
      <c r="R228" s="3555"/>
      <c r="S228" s="3556">
        <v>1</v>
      </c>
      <c r="T228" s="3555"/>
      <c r="U228" s="3557">
        <f t="shared" si="16"/>
        <v>0</v>
      </c>
      <c r="V228" s="4"/>
      <c r="W228" s="3555"/>
      <c r="X228" s="3555"/>
      <c r="Y228" s="3555"/>
      <c r="Z228" s="3555"/>
      <c r="AA228" s="3555"/>
      <c r="AB228" s="3555"/>
      <c r="AC228" s="3555"/>
      <c r="AD228" s="3555"/>
      <c r="AE228" s="3555"/>
      <c r="AF228" s="3555"/>
      <c r="AG228" s="3555"/>
      <c r="AH228" s="3555"/>
      <c r="AI228" s="63"/>
      <c r="AJ228" s="63"/>
      <c r="AK228" s="63"/>
      <c r="AL228" s="63"/>
      <c r="AM228" s="63"/>
    </row>
    <row r="229" spans="1:39" s="64" customFormat="1" ht="19" hidden="1" customHeight="1">
      <c r="A229" s="58"/>
      <c r="B229" s="59"/>
      <c r="C229" s="47"/>
      <c r="D229" s="65"/>
      <c r="E229" s="75"/>
      <c r="F229" s="75"/>
      <c r="G229" s="78"/>
      <c r="H229" s="78"/>
      <c r="I229" s="79"/>
      <c r="J229" s="4"/>
      <c r="K229" s="4"/>
      <c r="L229" s="3555"/>
      <c r="M229" s="4"/>
      <c r="N229" s="4"/>
      <c r="O229" s="4"/>
      <c r="P229" s="3558"/>
      <c r="Q229" s="3555"/>
      <c r="R229" s="3555"/>
      <c r="S229" s="3556">
        <v>1</v>
      </c>
      <c r="T229" s="3555"/>
      <c r="U229" s="3557">
        <f t="shared" si="16"/>
        <v>0</v>
      </c>
      <c r="V229" s="4"/>
      <c r="W229" s="3555"/>
      <c r="X229" s="3555"/>
      <c r="Y229" s="3555"/>
      <c r="Z229" s="3555"/>
      <c r="AA229" s="3555"/>
      <c r="AB229" s="3555"/>
      <c r="AC229" s="3555"/>
      <c r="AD229" s="3555"/>
      <c r="AE229" s="3555"/>
      <c r="AF229" s="3555"/>
      <c r="AG229" s="3555"/>
      <c r="AH229" s="3555"/>
      <c r="AI229" s="63"/>
      <c r="AJ229" s="63"/>
      <c r="AK229" s="63"/>
      <c r="AL229" s="63"/>
      <c r="AM229" s="63"/>
    </row>
    <row r="230" spans="1:39" s="64" customFormat="1" ht="19" hidden="1" customHeight="1">
      <c r="A230" s="58"/>
      <c r="B230" s="59"/>
      <c r="C230" s="47"/>
      <c r="D230" s="65"/>
      <c r="E230" s="75"/>
      <c r="F230" s="75"/>
      <c r="G230" s="78"/>
      <c r="H230" s="78"/>
      <c r="I230" s="79"/>
      <c r="J230" s="4"/>
      <c r="K230" s="4"/>
      <c r="L230" s="3555"/>
      <c r="M230" s="4"/>
      <c r="N230" s="4"/>
      <c r="O230" s="4"/>
      <c r="P230" s="3558"/>
      <c r="Q230" s="3555"/>
      <c r="R230" s="3555"/>
      <c r="S230" s="3556">
        <v>1</v>
      </c>
      <c r="T230" s="3555"/>
      <c r="U230" s="3557">
        <f t="shared" si="16"/>
        <v>0</v>
      </c>
      <c r="V230" s="4"/>
      <c r="W230" s="3555"/>
      <c r="X230" s="3555"/>
      <c r="Y230" s="3555"/>
      <c r="Z230" s="3555"/>
      <c r="AA230" s="3555"/>
      <c r="AB230" s="3555"/>
      <c r="AC230" s="3555"/>
      <c r="AD230" s="3555"/>
      <c r="AE230" s="3555"/>
      <c r="AF230" s="3555"/>
      <c r="AG230" s="3555"/>
      <c r="AH230" s="3555"/>
      <c r="AI230" s="63"/>
      <c r="AJ230" s="63"/>
      <c r="AK230" s="63"/>
      <c r="AL230" s="63"/>
      <c r="AM230" s="63"/>
    </row>
    <row r="231" spans="1:39" s="64" customFormat="1" ht="19" hidden="1" customHeight="1">
      <c r="A231" s="58"/>
      <c r="B231" s="59"/>
      <c r="C231" s="47"/>
      <c r="D231" s="65"/>
      <c r="E231" s="75"/>
      <c r="F231" s="75"/>
      <c r="G231" s="78"/>
      <c r="H231" s="78"/>
      <c r="I231" s="79"/>
      <c r="J231" s="4"/>
      <c r="K231" s="4"/>
      <c r="L231" s="3555"/>
      <c r="M231" s="4"/>
      <c r="N231" s="4"/>
      <c r="O231" s="4"/>
      <c r="P231" s="3558"/>
      <c r="Q231" s="3555"/>
      <c r="R231" s="3555"/>
      <c r="S231" s="3556">
        <v>1</v>
      </c>
      <c r="T231" s="3555"/>
      <c r="U231" s="3557">
        <f t="shared" si="16"/>
        <v>0</v>
      </c>
      <c r="V231" s="4"/>
      <c r="W231" s="3555"/>
      <c r="X231" s="3555"/>
      <c r="Y231" s="3555"/>
      <c r="Z231" s="3555"/>
      <c r="AA231" s="3555"/>
      <c r="AB231" s="3555"/>
      <c r="AC231" s="3555"/>
      <c r="AD231" s="3555"/>
      <c r="AE231" s="3555"/>
      <c r="AF231" s="3555"/>
      <c r="AG231" s="3555"/>
      <c r="AH231" s="3555"/>
      <c r="AI231" s="63"/>
      <c r="AJ231" s="63"/>
      <c r="AK231" s="63"/>
      <c r="AL231" s="63"/>
      <c r="AM231" s="63"/>
    </row>
    <row r="232" spans="1:39" s="64" customFormat="1" ht="19" hidden="1" customHeight="1">
      <c r="A232" s="58"/>
      <c r="B232" s="59"/>
      <c r="C232" s="47"/>
      <c r="D232" s="65"/>
      <c r="E232" s="75"/>
      <c r="F232" s="75"/>
      <c r="G232" s="78"/>
      <c r="H232" s="78"/>
      <c r="I232" s="79"/>
      <c r="J232" s="4"/>
      <c r="K232" s="4"/>
      <c r="L232" s="3555"/>
      <c r="M232" s="4"/>
      <c r="N232" s="4"/>
      <c r="O232" s="4"/>
      <c r="P232" s="3558"/>
      <c r="Q232" s="3555"/>
      <c r="R232" s="3555"/>
      <c r="S232" s="3556">
        <v>1</v>
      </c>
      <c r="T232" s="3555"/>
      <c r="U232" s="3557">
        <f t="shared" si="16"/>
        <v>0</v>
      </c>
      <c r="V232" s="4"/>
      <c r="W232" s="3555"/>
      <c r="X232" s="3555"/>
      <c r="Y232" s="3555"/>
      <c r="Z232" s="3555"/>
      <c r="AA232" s="3555"/>
      <c r="AB232" s="3555"/>
      <c r="AC232" s="3555"/>
      <c r="AD232" s="3555"/>
      <c r="AE232" s="3555"/>
      <c r="AF232" s="3555"/>
      <c r="AG232" s="3555"/>
      <c r="AH232" s="3555"/>
      <c r="AI232" s="63"/>
      <c r="AJ232" s="63"/>
      <c r="AK232" s="63"/>
      <c r="AL232" s="63"/>
      <c r="AM232" s="63"/>
    </row>
    <row r="233" spans="1:39" s="64" customFormat="1" ht="19">
      <c r="A233" s="58">
        <v>2105</v>
      </c>
      <c r="B233" s="59"/>
      <c r="C233" s="66" t="s">
        <v>708</v>
      </c>
      <c r="D233" s="67"/>
      <c r="E233" s="68">
        <f>SUM(E223:E226)</f>
        <v>0</v>
      </c>
      <c r="F233" s="68">
        <f>SUM(F223:F226)</f>
        <v>0</v>
      </c>
      <c r="G233" s="68">
        <f>SUM(G223:G226)</f>
        <v>0</v>
      </c>
      <c r="H233" s="68">
        <f>SUM(H223:H226)</f>
        <v>0</v>
      </c>
      <c r="I233" s="69">
        <f>SUM(I223:I226)</f>
        <v>0</v>
      </c>
      <c r="J233" s="4"/>
      <c r="K233" s="4"/>
      <c r="L233" s="3555"/>
      <c r="M233" s="4"/>
      <c r="N233" s="4"/>
      <c r="O233" s="4"/>
      <c r="P233" s="3558"/>
      <c r="Q233" s="3555"/>
      <c r="R233" s="3555"/>
      <c r="S233" s="3556">
        <v>0</v>
      </c>
      <c r="T233" s="3555"/>
      <c r="U233" s="3557">
        <f t="shared" si="16"/>
        <v>0</v>
      </c>
      <c r="V233" s="4"/>
      <c r="W233" s="3555"/>
      <c r="X233" s="3555"/>
      <c r="Y233" s="3555"/>
      <c r="Z233" s="3555"/>
      <c r="AA233" s="3555"/>
      <c r="AB233" s="3555"/>
      <c r="AC233" s="3555"/>
      <c r="AD233" s="3555"/>
      <c r="AE233" s="3555"/>
      <c r="AF233" s="3555"/>
      <c r="AG233" s="3555"/>
      <c r="AH233" s="3555"/>
      <c r="AI233" s="63"/>
      <c r="AJ233" s="63"/>
      <c r="AK233" s="63"/>
      <c r="AL233" s="63"/>
      <c r="AM233" s="63"/>
    </row>
    <row r="234" spans="1:39" s="64" customFormat="1" ht="19">
      <c r="A234" s="58"/>
      <c r="B234" s="53"/>
      <c r="C234" s="54" t="s">
        <v>709</v>
      </c>
      <c r="D234" s="71"/>
      <c r="E234" s="72"/>
      <c r="F234" s="72"/>
      <c r="G234" s="72"/>
      <c r="H234" s="72"/>
      <c r="I234" s="73"/>
      <c r="J234" s="4"/>
      <c r="K234" s="4"/>
      <c r="L234" s="3555"/>
      <c r="M234" s="4"/>
      <c r="N234" s="4"/>
      <c r="O234" s="4"/>
      <c r="P234" s="3558"/>
      <c r="Q234" s="3555"/>
      <c r="R234" s="3555"/>
      <c r="S234" s="3556">
        <v>0</v>
      </c>
      <c r="T234" s="3555"/>
      <c r="U234" s="3557">
        <f>U241</f>
        <v>0</v>
      </c>
      <c r="V234" s="4"/>
      <c r="W234" s="3555"/>
      <c r="X234" s="3555"/>
      <c r="Y234" s="3555"/>
      <c r="Z234" s="3555"/>
      <c r="AA234" s="3555"/>
      <c r="AB234" s="3555"/>
      <c r="AC234" s="3555"/>
      <c r="AD234" s="3555"/>
      <c r="AE234" s="3555"/>
      <c r="AF234" s="3555"/>
      <c r="AG234" s="3555"/>
      <c r="AH234" s="3555"/>
      <c r="AI234" s="63"/>
      <c r="AJ234" s="63"/>
      <c r="AK234" s="63"/>
      <c r="AL234" s="63"/>
      <c r="AM234" s="63"/>
    </row>
    <row r="235" spans="1:39" s="64" customFormat="1" ht="19">
      <c r="A235" s="58">
        <v>250500</v>
      </c>
      <c r="B235" s="59"/>
      <c r="C235" s="47"/>
      <c r="D235" s="60" t="s">
        <v>710</v>
      </c>
      <c r="E235" s="61">
        <f>Fortalezas!D183</f>
        <v>0</v>
      </c>
      <c r="F235" s="61">
        <f>Fortalezas!E183</f>
        <v>0</v>
      </c>
      <c r="G235" s="61">
        <f>Fortalezas!F183</f>
        <v>0</v>
      </c>
      <c r="H235" s="61">
        <f>Fortalezas!G183</f>
        <v>0</v>
      </c>
      <c r="I235" s="62">
        <f>Fortalezas!H183</f>
        <v>0</v>
      </c>
      <c r="J235" s="4"/>
      <c r="K235" s="4"/>
      <c r="L235" s="3555"/>
      <c r="M235" s="4"/>
      <c r="N235" s="4"/>
      <c r="O235" s="4"/>
      <c r="P235" s="3558"/>
      <c r="Q235" s="3555"/>
      <c r="R235" s="3555"/>
      <c r="S235" s="3556">
        <v>0</v>
      </c>
      <c r="T235" s="3555"/>
      <c r="U235" s="3557">
        <f t="shared" ref="U235:U241" si="17">SUM(E235:I235)</f>
        <v>0</v>
      </c>
      <c r="V235" s="4"/>
      <c r="W235" s="3555"/>
      <c r="X235" s="3555"/>
      <c r="Y235" s="3555"/>
      <c r="Z235" s="3555"/>
      <c r="AA235" s="3555"/>
      <c r="AB235" s="3555"/>
      <c r="AC235" s="3555"/>
      <c r="AD235" s="3555"/>
      <c r="AE235" s="3555"/>
      <c r="AF235" s="3555"/>
      <c r="AG235" s="3555"/>
      <c r="AH235" s="3555"/>
      <c r="AI235" s="63"/>
      <c r="AJ235" s="63"/>
      <c r="AK235" s="63"/>
      <c r="AL235" s="63"/>
      <c r="AM235" s="63"/>
    </row>
    <row r="236" spans="1:39" s="64" customFormat="1" ht="19">
      <c r="A236" s="58">
        <v>251000</v>
      </c>
      <c r="B236" s="59"/>
      <c r="C236" s="47"/>
      <c r="D236" s="65" t="s">
        <v>711</v>
      </c>
      <c r="E236" s="75">
        <f>Fortalezas!D184</f>
        <v>0</v>
      </c>
      <c r="F236" s="75">
        <f>Fortalezas!E184</f>
        <v>0</v>
      </c>
      <c r="G236" s="75">
        <f>Fortalezas!F184</f>
        <v>0</v>
      </c>
      <c r="H236" s="75">
        <f>Fortalezas!G184</f>
        <v>0</v>
      </c>
      <c r="I236" s="76">
        <f>Fortalezas!H184</f>
        <v>0</v>
      </c>
      <c r="J236" s="4"/>
      <c r="K236" s="4"/>
      <c r="L236" s="3555"/>
      <c r="M236" s="4"/>
      <c r="N236" s="4"/>
      <c r="O236" s="4"/>
      <c r="P236" s="3558"/>
      <c r="Q236" s="3555"/>
      <c r="R236" s="3555"/>
      <c r="S236" s="3556">
        <v>0</v>
      </c>
      <c r="T236" s="3555"/>
      <c r="U236" s="3557">
        <f t="shared" si="17"/>
        <v>0</v>
      </c>
      <c r="V236" s="4"/>
      <c r="W236" s="3555"/>
      <c r="X236" s="3555"/>
      <c r="Y236" s="3555"/>
      <c r="Z236" s="3555"/>
      <c r="AA236" s="3555"/>
      <c r="AB236" s="3555"/>
      <c r="AC236" s="3555"/>
      <c r="AD236" s="3555"/>
      <c r="AE236" s="3555"/>
      <c r="AF236" s="3555"/>
      <c r="AG236" s="3555"/>
      <c r="AH236" s="3555"/>
      <c r="AI236" s="63"/>
      <c r="AJ236" s="63"/>
      <c r="AK236" s="63"/>
      <c r="AL236" s="63"/>
      <c r="AM236" s="63"/>
    </row>
    <row r="237" spans="1:39" s="64" customFormat="1" ht="19">
      <c r="A237" s="58">
        <v>251500</v>
      </c>
      <c r="B237" s="59"/>
      <c r="C237" s="47"/>
      <c r="D237" s="65" t="s">
        <v>712</v>
      </c>
      <c r="E237" s="75">
        <f>Fortalezas!D185</f>
        <v>0</v>
      </c>
      <c r="F237" s="75">
        <f>Fortalezas!E185</f>
        <v>0</v>
      </c>
      <c r="G237" s="75">
        <f>Fortalezas!F185</f>
        <v>0</v>
      </c>
      <c r="H237" s="75">
        <f>Fortalezas!G185</f>
        <v>0</v>
      </c>
      <c r="I237" s="76">
        <f>Fortalezas!H185</f>
        <v>0</v>
      </c>
      <c r="J237" s="4"/>
      <c r="K237" s="4"/>
      <c r="L237" s="3555"/>
      <c r="M237" s="4"/>
      <c r="N237" s="4"/>
      <c r="O237" s="4"/>
      <c r="P237" s="3558"/>
      <c r="Q237" s="3555"/>
      <c r="R237" s="3555"/>
      <c r="S237" s="3556">
        <v>0</v>
      </c>
      <c r="T237" s="3555"/>
      <c r="U237" s="3557">
        <f t="shared" si="17"/>
        <v>0</v>
      </c>
      <c r="V237" s="4"/>
      <c r="W237" s="3555"/>
      <c r="X237" s="3555"/>
      <c r="Y237" s="3555"/>
      <c r="Z237" s="3555"/>
      <c r="AA237" s="3555"/>
      <c r="AB237" s="3555"/>
      <c r="AC237" s="3555"/>
      <c r="AD237" s="3555"/>
      <c r="AE237" s="3555"/>
      <c r="AF237" s="3555"/>
      <c r="AG237" s="3555"/>
      <c r="AH237" s="3555"/>
      <c r="AI237" s="63"/>
      <c r="AJ237" s="63"/>
      <c r="AK237" s="63"/>
      <c r="AL237" s="63"/>
      <c r="AM237" s="63"/>
    </row>
    <row r="238" spans="1:39" s="64" customFormat="1" ht="19">
      <c r="A238" s="58">
        <v>252500</v>
      </c>
      <c r="B238" s="59"/>
      <c r="C238" s="47"/>
      <c r="D238" s="65" t="s">
        <v>713</v>
      </c>
      <c r="E238" s="75">
        <f>Fortalezas!D186</f>
        <v>0</v>
      </c>
      <c r="F238" s="75">
        <f>Fortalezas!E186</f>
        <v>0</v>
      </c>
      <c r="G238" s="75">
        <f>Fortalezas!F186</f>
        <v>0</v>
      </c>
      <c r="H238" s="75">
        <f>Fortalezas!G186</f>
        <v>0</v>
      </c>
      <c r="I238" s="76">
        <f>Fortalezas!H186</f>
        <v>0</v>
      </c>
      <c r="J238" s="4"/>
      <c r="K238" s="4"/>
      <c r="L238" s="3555"/>
      <c r="M238" s="4"/>
      <c r="N238" s="4"/>
      <c r="O238" s="4"/>
      <c r="P238" s="3558"/>
      <c r="Q238" s="3555"/>
      <c r="R238" s="3555"/>
      <c r="S238" s="3556">
        <v>0</v>
      </c>
      <c r="T238" s="3555"/>
      <c r="U238" s="3557">
        <f t="shared" si="17"/>
        <v>0</v>
      </c>
      <c r="V238" s="4"/>
      <c r="W238" s="3555"/>
      <c r="X238" s="3555"/>
      <c r="Y238" s="3555"/>
      <c r="Z238" s="3555"/>
      <c r="AA238" s="3555"/>
      <c r="AB238" s="3555"/>
      <c r="AC238" s="3555"/>
      <c r="AD238" s="3555"/>
      <c r="AE238" s="3555"/>
      <c r="AF238" s="3555"/>
      <c r="AG238" s="3555"/>
      <c r="AH238" s="3555"/>
      <c r="AI238" s="63"/>
      <c r="AJ238" s="63"/>
      <c r="AK238" s="63"/>
      <c r="AL238" s="63"/>
      <c r="AM238" s="63"/>
    </row>
    <row r="239" spans="1:39" s="64" customFormat="1" ht="19">
      <c r="A239" s="58">
        <v>253000</v>
      </c>
      <c r="B239" s="59"/>
      <c r="C239" s="47"/>
      <c r="D239" s="65" t="s">
        <v>714</v>
      </c>
      <c r="E239" s="75">
        <f>Fortalezas!D187</f>
        <v>0</v>
      </c>
      <c r="F239" s="75">
        <f>Fortalezas!E187</f>
        <v>0</v>
      </c>
      <c r="G239" s="75">
        <f>Fortalezas!F187</f>
        <v>0</v>
      </c>
      <c r="H239" s="75">
        <f>Fortalezas!G187</f>
        <v>0</v>
      </c>
      <c r="I239" s="76">
        <f>Fortalezas!H187</f>
        <v>0</v>
      </c>
      <c r="J239" s="4"/>
      <c r="K239" s="4"/>
      <c r="L239" s="3555"/>
      <c r="M239" s="4"/>
      <c r="N239" s="4"/>
      <c r="O239" s="4"/>
      <c r="P239" s="3558"/>
      <c r="Q239" s="3555"/>
      <c r="R239" s="3555"/>
      <c r="S239" s="3556">
        <v>0</v>
      </c>
      <c r="T239" s="3555"/>
      <c r="U239" s="3557">
        <f t="shared" si="17"/>
        <v>0</v>
      </c>
      <c r="V239" s="4"/>
      <c r="W239" s="3555"/>
      <c r="X239" s="3555"/>
      <c r="Y239" s="3555"/>
      <c r="Z239" s="3555"/>
      <c r="AA239" s="3555"/>
      <c r="AB239" s="3555"/>
      <c r="AC239" s="3555"/>
      <c r="AD239" s="3555"/>
      <c r="AE239" s="3555"/>
      <c r="AF239" s="3555"/>
      <c r="AG239" s="3555"/>
      <c r="AH239" s="3555"/>
      <c r="AI239" s="63"/>
      <c r="AJ239" s="63"/>
      <c r="AK239" s="63"/>
      <c r="AL239" s="63"/>
      <c r="AM239" s="63"/>
    </row>
    <row r="240" spans="1:39" s="64" customFormat="1" ht="19">
      <c r="A240" s="58">
        <v>259500</v>
      </c>
      <c r="B240" s="59"/>
      <c r="C240" s="47"/>
      <c r="D240" s="65" t="s">
        <v>715</v>
      </c>
      <c r="E240" s="75">
        <f>Fortalezas!D188</f>
        <v>0</v>
      </c>
      <c r="F240" s="75">
        <f>Fortalezas!E188</f>
        <v>0</v>
      </c>
      <c r="G240" s="75">
        <f>Fortalezas!F188</f>
        <v>0</v>
      </c>
      <c r="H240" s="75">
        <f>Fortalezas!G188</f>
        <v>0</v>
      </c>
      <c r="I240" s="76">
        <f>Fortalezas!H188</f>
        <v>0</v>
      </c>
      <c r="J240" s="4"/>
      <c r="K240" s="4"/>
      <c r="L240" s="3555"/>
      <c r="M240" s="4"/>
      <c r="N240" s="4"/>
      <c r="O240" s="4"/>
      <c r="P240" s="3558"/>
      <c r="Q240" s="3555"/>
      <c r="R240" s="3555"/>
      <c r="S240" s="3556">
        <v>0</v>
      </c>
      <c r="T240" s="3555"/>
      <c r="U240" s="3557">
        <f t="shared" si="17"/>
        <v>0</v>
      </c>
      <c r="V240" s="4"/>
      <c r="W240" s="3555"/>
      <c r="X240" s="3555"/>
      <c r="Y240" s="3555"/>
      <c r="Z240" s="3555"/>
      <c r="AA240" s="3555"/>
      <c r="AB240" s="3555"/>
      <c r="AC240" s="3555"/>
      <c r="AD240" s="3555"/>
      <c r="AE240" s="3555"/>
      <c r="AF240" s="3555"/>
      <c r="AG240" s="3555"/>
      <c r="AH240" s="3555"/>
      <c r="AI240" s="63"/>
      <c r="AJ240" s="63"/>
      <c r="AK240" s="63"/>
      <c r="AL240" s="63"/>
      <c r="AM240" s="63"/>
    </row>
    <row r="241" spans="1:39" s="64" customFormat="1" ht="19">
      <c r="A241" s="58">
        <v>2104</v>
      </c>
      <c r="B241" s="59"/>
      <c r="C241" s="66" t="s">
        <v>716</v>
      </c>
      <c r="D241" s="67"/>
      <c r="E241" s="68">
        <f>SUM(E235:E240)</f>
        <v>0</v>
      </c>
      <c r="F241" s="68">
        <f>SUM(F235:F240)</f>
        <v>0</v>
      </c>
      <c r="G241" s="68">
        <f>SUM(G235:G240)</f>
        <v>0</v>
      </c>
      <c r="H241" s="68">
        <f>SUM(H235:H240)</f>
        <v>0</v>
      </c>
      <c r="I241" s="69">
        <f>SUM(I235:I240)</f>
        <v>0</v>
      </c>
      <c r="J241" s="4"/>
      <c r="K241" s="4"/>
      <c r="L241" s="3555"/>
      <c r="M241" s="4"/>
      <c r="N241" s="4"/>
      <c r="O241" s="4"/>
      <c r="P241" s="3558"/>
      <c r="Q241" s="3555"/>
      <c r="R241" s="3555"/>
      <c r="S241" s="3556">
        <v>0</v>
      </c>
      <c r="T241" s="3555"/>
      <c r="U241" s="3557">
        <f t="shared" si="17"/>
        <v>0</v>
      </c>
      <c r="V241" s="4"/>
      <c r="W241" s="3555"/>
      <c r="X241" s="3555"/>
      <c r="Y241" s="3555"/>
      <c r="Z241" s="3555"/>
      <c r="AA241" s="3555"/>
      <c r="AB241" s="3555"/>
      <c r="AC241" s="3555"/>
      <c r="AD241" s="3555"/>
      <c r="AE241" s="3555"/>
      <c r="AF241" s="3555"/>
      <c r="AG241" s="3555"/>
      <c r="AH241" s="3555"/>
      <c r="AI241" s="63"/>
      <c r="AJ241" s="63"/>
      <c r="AK241" s="63"/>
      <c r="AL241" s="63"/>
      <c r="AM241" s="63"/>
    </row>
    <row r="242" spans="1:39" s="64" customFormat="1" ht="19">
      <c r="A242" s="58"/>
      <c r="B242" s="53"/>
      <c r="C242" s="54" t="s">
        <v>717</v>
      </c>
      <c r="D242" s="71"/>
      <c r="E242" s="72"/>
      <c r="F242" s="72"/>
      <c r="G242" s="72"/>
      <c r="H242" s="72"/>
      <c r="I242" s="73"/>
      <c r="J242" s="4"/>
      <c r="K242" s="4"/>
      <c r="L242" s="3555"/>
      <c r="M242" s="4"/>
      <c r="N242" s="4"/>
      <c r="O242" s="4"/>
      <c r="P242" s="3558"/>
      <c r="Q242" s="3555"/>
      <c r="R242" s="3555"/>
      <c r="S242" s="3556">
        <v>0</v>
      </c>
      <c r="T242" s="3555"/>
      <c r="U242" s="3557">
        <f>U252</f>
        <v>0</v>
      </c>
      <c r="V242" s="4"/>
      <c r="W242" s="3555"/>
      <c r="X242" s="3555"/>
      <c r="Y242" s="3555"/>
      <c r="Z242" s="3555"/>
      <c r="AA242" s="3555"/>
      <c r="AB242" s="3555"/>
      <c r="AC242" s="3555"/>
      <c r="AD242" s="3555"/>
      <c r="AE242" s="3555"/>
      <c r="AF242" s="3555"/>
      <c r="AG242" s="3555"/>
      <c r="AH242" s="3555"/>
      <c r="AI242" s="63"/>
      <c r="AJ242" s="63"/>
      <c r="AK242" s="63"/>
      <c r="AL242" s="63"/>
      <c r="AM242" s="63"/>
    </row>
    <row r="243" spans="1:39" s="64" customFormat="1" ht="19">
      <c r="A243" s="58">
        <v>260500</v>
      </c>
      <c r="B243" s="59"/>
      <c r="C243" s="47"/>
      <c r="D243" s="60" t="s">
        <v>718</v>
      </c>
      <c r="E243" s="61">
        <f>Fortalezas!D190</f>
        <v>0</v>
      </c>
      <c r="F243" s="61">
        <f>Fortalezas!E190</f>
        <v>0</v>
      </c>
      <c r="G243" s="61">
        <f>Fortalezas!F190</f>
        <v>0</v>
      </c>
      <c r="H243" s="61">
        <f>Fortalezas!G190</f>
        <v>0</v>
      </c>
      <c r="I243" s="62">
        <f>Fortalezas!H190</f>
        <v>0</v>
      </c>
      <c r="J243" s="4"/>
      <c r="K243" s="4"/>
      <c r="L243" s="3555"/>
      <c r="M243" s="4"/>
      <c r="N243" s="4"/>
      <c r="O243" s="4"/>
      <c r="P243" s="3558"/>
      <c r="Q243" s="3555"/>
      <c r="R243" s="3555"/>
      <c r="S243" s="3556">
        <v>0</v>
      </c>
      <c r="T243" s="3555"/>
      <c r="U243" s="3557">
        <f t="shared" ref="U243:U252" si="18">SUM(E243:I243)</f>
        <v>0</v>
      </c>
      <c r="V243" s="4"/>
      <c r="W243" s="3555"/>
      <c r="X243" s="3555"/>
      <c r="Y243" s="3555"/>
      <c r="Z243" s="3555"/>
      <c r="AA243" s="3555"/>
      <c r="AB243" s="3555"/>
      <c r="AC243" s="3555"/>
      <c r="AD243" s="3555"/>
      <c r="AE243" s="3555"/>
      <c r="AF243" s="3555"/>
      <c r="AG243" s="3555"/>
      <c r="AH243" s="3555"/>
      <c r="AI243" s="63"/>
      <c r="AJ243" s="63"/>
      <c r="AK243" s="63"/>
      <c r="AL243" s="63"/>
      <c r="AM243" s="63"/>
    </row>
    <row r="244" spans="1:39" s="64" customFormat="1" ht="19">
      <c r="A244" s="58">
        <v>261000</v>
      </c>
      <c r="B244" s="59"/>
      <c r="C244" s="47"/>
      <c r="D244" s="65" t="s">
        <v>719</v>
      </c>
      <c r="E244" s="75">
        <f>Fortalezas!D191</f>
        <v>0</v>
      </c>
      <c r="F244" s="75">
        <f>Fortalezas!E191</f>
        <v>0</v>
      </c>
      <c r="G244" s="75">
        <f>Fortalezas!F191</f>
        <v>0</v>
      </c>
      <c r="H244" s="75">
        <f>Fortalezas!G191</f>
        <v>0</v>
      </c>
      <c r="I244" s="76">
        <f>Fortalezas!H191</f>
        <v>0</v>
      </c>
      <c r="J244" s="4"/>
      <c r="K244" s="4"/>
      <c r="L244" s="3555"/>
      <c r="M244" s="4"/>
      <c r="N244" s="4"/>
      <c r="O244" s="4"/>
      <c r="P244" s="3558"/>
      <c r="Q244" s="3555"/>
      <c r="R244" s="3555"/>
      <c r="S244" s="3556">
        <v>0</v>
      </c>
      <c r="T244" s="3555"/>
      <c r="U244" s="3557">
        <f t="shared" si="18"/>
        <v>0</v>
      </c>
      <c r="V244" s="4"/>
      <c r="W244" s="3555"/>
      <c r="X244" s="3555"/>
      <c r="Y244" s="3555"/>
      <c r="Z244" s="3555"/>
      <c r="AA244" s="3555"/>
      <c r="AB244" s="3555"/>
      <c r="AC244" s="3555"/>
      <c r="AD244" s="3555"/>
      <c r="AE244" s="3555"/>
      <c r="AF244" s="3555"/>
      <c r="AG244" s="3555"/>
      <c r="AH244" s="3555"/>
      <c r="AI244" s="63"/>
      <c r="AJ244" s="63"/>
      <c r="AK244" s="63"/>
      <c r="AL244" s="63"/>
      <c r="AM244" s="63"/>
    </row>
    <row r="245" spans="1:39" s="64" customFormat="1" ht="19">
      <c r="A245" s="58">
        <v>261500</v>
      </c>
      <c r="B245" s="59"/>
      <c r="C245" s="47"/>
      <c r="D245" s="65" t="s">
        <v>720</v>
      </c>
      <c r="E245" s="75">
        <f>Fortalezas!D192</f>
        <v>0</v>
      </c>
      <c r="F245" s="75">
        <f>Fortalezas!E192</f>
        <v>0</v>
      </c>
      <c r="G245" s="75">
        <f>Fortalezas!F192</f>
        <v>0</v>
      </c>
      <c r="H245" s="75">
        <f>Fortalezas!G192</f>
        <v>0</v>
      </c>
      <c r="I245" s="76">
        <f>Fortalezas!H192</f>
        <v>0</v>
      </c>
      <c r="J245" s="4"/>
      <c r="K245" s="4"/>
      <c r="L245" s="3555"/>
      <c r="M245" s="4"/>
      <c r="N245" s="4"/>
      <c r="O245" s="4"/>
      <c r="P245" s="3558"/>
      <c r="Q245" s="3555"/>
      <c r="R245" s="3555"/>
      <c r="S245" s="3556">
        <v>0</v>
      </c>
      <c r="T245" s="3555"/>
      <c r="U245" s="3557">
        <f t="shared" si="18"/>
        <v>0</v>
      </c>
      <c r="V245" s="4"/>
      <c r="W245" s="3555"/>
      <c r="X245" s="3555"/>
      <c r="Y245" s="3555"/>
      <c r="Z245" s="3555"/>
      <c r="AA245" s="3555"/>
      <c r="AB245" s="3555"/>
      <c r="AC245" s="3555"/>
      <c r="AD245" s="3555"/>
      <c r="AE245" s="3555"/>
      <c r="AF245" s="3555"/>
      <c r="AG245" s="3555"/>
      <c r="AH245" s="3555"/>
      <c r="AI245" s="63"/>
      <c r="AJ245" s="63"/>
      <c r="AK245" s="63"/>
      <c r="AL245" s="63"/>
      <c r="AM245" s="63"/>
    </row>
    <row r="246" spans="1:39" s="64" customFormat="1" ht="19">
      <c r="A246" s="58">
        <v>262000</v>
      </c>
      <c r="B246" s="59"/>
      <c r="C246" s="47"/>
      <c r="D246" s="65" t="s">
        <v>721</v>
      </c>
      <c r="E246" s="75">
        <f>Fortalezas!D193</f>
        <v>0</v>
      </c>
      <c r="F246" s="75">
        <f>Fortalezas!E193</f>
        <v>0</v>
      </c>
      <c r="G246" s="75">
        <f>Fortalezas!F193</f>
        <v>0</v>
      </c>
      <c r="H246" s="75">
        <f>Fortalezas!G193</f>
        <v>0</v>
      </c>
      <c r="I246" s="76">
        <f>Fortalezas!H193</f>
        <v>0</v>
      </c>
      <c r="J246" s="4"/>
      <c r="K246" s="4"/>
      <c r="L246" s="3555"/>
      <c r="M246" s="4"/>
      <c r="N246" s="4"/>
      <c r="O246" s="4"/>
      <c r="P246" s="3558"/>
      <c r="Q246" s="3555"/>
      <c r="R246" s="3555"/>
      <c r="S246" s="3556">
        <v>0</v>
      </c>
      <c r="T246" s="3555"/>
      <c r="U246" s="3557">
        <f t="shared" si="18"/>
        <v>0</v>
      </c>
      <c r="V246" s="4"/>
      <c r="W246" s="3555"/>
      <c r="X246" s="3555"/>
      <c r="Y246" s="3555"/>
      <c r="Z246" s="3555"/>
      <c r="AA246" s="3555"/>
      <c r="AB246" s="3555"/>
      <c r="AC246" s="3555"/>
      <c r="AD246" s="3555"/>
      <c r="AE246" s="3555"/>
      <c r="AF246" s="3555"/>
      <c r="AG246" s="3555"/>
      <c r="AH246" s="3555"/>
      <c r="AI246" s="63"/>
      <c r="AJ246" s="63"/>
      <c r="AK246" s="63"/>
      <c r="AL246" s="63"/>
      <c r="AM246" s="63"/>
    </row>
    <row r="247" spans="1:39" s="64" customFormat="1" ht="19">
      <c r="A247" s="58">
        <v>262500</v>
      </c>
      <c r="B247" s="59"/>
      <c r="C247" s="47"/>
      <c r="D247" s="65" t="s">
        <v>722</v>
      </c>
      <c r="E247" s="75">
        <f>Fortalezas!D194</f>
        <v>0</v>
      </c>
      <c r="F247" s="75">
        <f>Fortalezas!E194</f>
        <v>0</v>
      </c>
      <c r="G247" s="75">
        <f>Fortalezas!F194</f>
        <v>0</v>
      </c>
      <c r="H247" s="75">
        <f>Fortalezas!G194</f>
        <v>0</v>
      </c>
      <c r="I247" s="76">
        <f>Fortalezas!H194</f>
        <v>0</v>
      </c>
      <c r="J247" s="4"/>
      <c r="K247" s="4"/>
      <c r="L247" s="3555"/>
      <c r="M247" s="4"/>
      <c r="N247" s="4"/>
      <c r="O247" s="4"/>
      <c r="P247" s="3558"/>
      <c r="Q247" s="3555"/>
      <c r="R247" s="3555"/>
      <c r="S247" s="3556">
        <v>0</v>
      </c>
      <c r="T247" s="3555"/>
      <c r="U247" s="3557">
        <f t="shared" si="18"/>
        <v>0</v>
      </c>
      <c r="V247" s="4"/>
      <c r="W247" s="3555"/>
      <c r="X247" s="3555"/>
      <c r="Y247" s="3555"/>
      <c r="Z247" s="3555"/>
      <c r="AA247" s="3555"/>
      <c r="AB247" s="3555"/>
      <c r="AC247" s="3555"/>
      <c r="AD247" s="3555"/>
      <c r="AE247" s="3555"/>
      <c r="AF247" s="3555"/>
      <c r="AG247" s="3555"/>
      <c r="AH247" s="3555"/>
      <c r="AI247" s="63"/>
      <c r="AJ247" s="63"/>
      <c r="AK247" s="63"/>
      <c r="AL247" s="63"/>
      <c r="AM247" s="63"/>
    </row>
    <row r="248" spans="1:39" s="64" customFormat="1" ht="19">
      <c r="A248" s="58">
        <v>263000</v>
      </c>
      <c r="B248" s="59"/>
      <c r="C248" s="47"/>
      <c r="D248" s="65" t="s">
        <v>723</v>
      </c>
      <c r="E248" s="75">
        <f>Fortalezas!D195</f>
        <v>0</v>
      </c>
      <c r="F248" s="75">
        <f>Fortalezas!E195</f>
        <v>0</v>
      </c>
      <c r="G248" s="75">
        <f>Fortalezas!F195</f>
        <v>0</v>
      </c>
      <c r="H248" s="75">
        <f>Fortalezas!G195</f>
        <v>0</v>
      </c>
      <c r="I248" s="76">
        <f>Fortalezas!H195</f>
        <v>0</v>
      </c>
      <c r="J248" s="4"/>
      <c r="K248" s="4"/>
      <c r="L248" s="3555"/>
      <c r="M248" s="4"/>
      <c r="N248" s="4"/>
      <c r="O248" s="4"/>
      <c r="P248" s="3558"/>
      <c r="Q248" s="3555"/>
      <c r="R248" s="3555"/>
      <c r="S248" s="3556">
        <v>0</v>
      </c>
      <c r="T248" s="3555"/>
      <c r="U248" s="3557">
        <f t="shared" si="18"/>
        <v>0</v>
      </c>
      <c r="V248" s="4"/>
      <c r="W248" s="3555"/>
      <c r="X248" s="3555"/>
      <c r="Y248" s="3555"/>
      <c r="Z248" s="3555"/>
      <c r="AA248" s="3555"/>
      <c r="AB248" s="3555"/>
      <c r="AC248" s="3555"/>
      <c r="AD248" s="3555"/>
      <c r="AE248" s="3555"/>
      <c r="AF248" s="3555"/>
      <c r="AG248" s="3555"/>
      <c r="AH248" s="3555"/>
      <c r="AI248" s="63"/>
      <c r="AJ248" s="63"/>
      <c r="AK248" s="63"/>
      <c r="AL248" s="63"/>
      <c r="AM248" s="63"/>
    </row>
    <row r="249" spans="1:39" s="64" customFormat="1" ht="19">
      <c r="A249" s="58">
        <v>263500</v>
      </c>
      <c r="B249" s="59"/>
      <c r="C249" s="47"/>
      <c r="D249" s="65" t="s">
        <v>724</v>
      </c>
      <c r="E249" s="75">
        <f>Fortalezas!D196</f>
        <v>0</v>
      </c>
      <c r="F249" s="75">
        <f>Fortalezas!E196</f>
        <v>0</v>
      </c>
      <c r="G249" s="75">
        <f>Fortalezas!F196</f>
        <v>0</v>
      </c>
      <c r="H249" s="75">
        <f>Fortalezas!G196</f>
        <v>0</v>
      </c>
      <c r="I249" s="76">
        <f>Fortalezas!H196</f>
        <v>0</v>
      </c>
      <c r="J249" s="4"/>
      <c r="K249" s="4"/>
      <c r="L249" s="3555"/>
      <c r="M249" s="4"/>
      <c r="N249" s="4"/>
      <c r="O249" s="4"/>
      <c r="P249" s="3558"/>
      <c r="Q249" s="3555"/>
      <c r="R249" s="3555"/>
      <c r="S249" s="3556">
        <v>0</v>
      </c>
      <c r="T249" s="3555"/>
      <c r="U249" s="3557">
        <f t="shared" si="18"/>
        <v>0</v>
      </c>
      <c r="V249" s="4"/>
      <c r="W249" s="3555"/>
      <c r="X249" s="3555"/>
      <c r="Y249" s="3555"/>
      <c r="Z249" s="3555"/>
      <c r="AA249" s="3555"/>
      <c r="AB249" s="3555"/>
      <c r="AC249" s="3555"/>
      <c r="AD249" s="3555"/>
      <c r="AE249" s="3555"/>
      <c r="AF249" s="3555"/>
      <c r="AG249" s="3555"/>
      <c r="AH249" s="3555"/>
      <c r="AI249" s="63"/>
      <c r="AJ249" s="63"/>
      <c r="AK249" s="63"/>
      <c r="AL249" s="63"/>
      <c r="AM249" s="63"/>
    </row>
    <row r="250" spans="1:39" s="64" customFormat="1" ht="19">
      <c r="A250" s="58">
        <v>264000</v>
      </c>
      <c r="B250" s="59"/>
      <c r="C250" s="47"/>
      <c r="D250" s="65" t="s">
        <v>725</v>
      </c>
      <c r="E250" s="75">
        <f>Fortalezas!D197</f>
        <v>0</v>
      </c>
      <c r="F250" s="75">
        <f>Fortalezas!E197</f>
        <v>0</v>
      </c>
      <c r="G250" s="75">
        <f>Fortalezas!F197</f>
        <v>0</v>
      </c>
      <c r="H250" s="75">
        <f>Fortalezas!G197</f>
        <v>0</v>
      </c>
      <c r="I250" s="76">
        <f>Fortalezas!H197</f>
        <v>0</v>
      </c>
      <c r="J250" s="4"/>
      <c r="K250" s="4"/>
      <c r="L250" s="3555"/>
      <c r="M250" s="4"/>
      <c r="N250" s="4"/>
      <c r="O250" s="4"/>
      <c r="P250" s="3558"/>
      <c r="Q250" s="3555"/>
      <c r="R250" s="3555"/>
      <c r="S250" s="3556">
        <v>0</v>
      </c>
      <c r="T250" s="3555"/>
      <c r="U250" s="3557">
        <f t="shared" si="18"/>
        <v>0</v>
      </c>
      <c r="V250" s="4"/>
      <c r="W250" s="3555"/>
      <c r="X250" s="3555"/>
      <c r="Y250" s="3555"/>
      <c r="Z250" s="3555"/>
      <c r="AA250" s="3555"/>
      <c r="AB250" s="3555"/>
      <c r="AC250" s="3555"/>
      <c r="AD250" s="3555"/>
      <c r="AE250" s="3555"/>
      <c r="AF250" s="3555"/>
      <c r="AG250" s="3555"/>
      <c r="AH250" s="3555"/>
      <c r="AI250" s="63"/>
      <c r="AJ250" s="63"/>
      <c r="AK250" s="63"/>
      <c r="AL250" s="63"/>
      <c r="AM250" s="63"/>
    </row>
    <row r="251" spans="1:39" s="64" customFormat="1" ht="19">
      <c r="A251" s="58">
        <v>269500</v>
      </c>
      <c r="B251" s="59"/>
      <c r="C251" s="47"/>
      <c r="D251" s="65" t="s">
        <v>726</v>
      </c>
      <c r="E251" s="75">
        <f>Fortalezas!D198</f>
        <v>0</v>
      </c>
      <c r="F251" s="75">
        <f>Fortalezas!E198</f>
        <v>0</v>
      </c>
      <c r="G251" s="75">
        <f>Fortalezas!F198</f>
        <v>0</v>
      </c>
      <c r="H251" s="75">
        <f>Fortalezas!G198</f>
        <v>0</v>
      </c>
      <c r="I251" s="76">
        <f>Fortalezas!H198</f>
        <v>0</v>
      </c>
      <c r="J251" s="4"/>
      <c r="K251" s="4"/>
      <c r="L251" s="3555"/>
      <c r="M251" s="4"/>
      <c r="N251" s="4"/>
      <c r="O251" s="4"/>
      <c r="P251" s="3558"/>
      <c r="Q251" s="3555"/>
      <c r="R251" s="4"/>
      <c r="S251" s="3556">
        <v>0</v>
      </c>
      <c r="T251" s="3555"/>
      <c r="U251" s="3557">
        <f t="shared" si="18"/>
        <v>0</v>
      </c>
      <c r="V251" s="4"/>
      <c r="W251" s="3555"/>
      <c r="X251" s="3555"/>
      <c r="Y251" s="3555"/>
      <c r="Z251" s="3555"/>
      <c r="AA251" s="3555"/>
      <c r="AB251" s="3555"/>
      <c r="AC251" s="3555"/>
      <c r="AD251" s="3555"/>
      <c r="AE251" s="3555"/>
      <c r="AF251" s="3555"/>
      <c r="AG251" s="3555"/>
      <c r="AH251" s="3555"/>
      <c r="AI251" s="63"/>
      <c r="AJ251" s="63"/>
      <c r="AK251" s="63"/>
      <c r="AL251" s="63"/>
      <c r="AM251" s="63"/>
    </row>
    <row r="252" spans="1:39" s="64" customFormat="1" ht="19">
      <c r="A252" s="58">
        <v>2106</v>
      </c>
      <c r="B252" s="59"/>
      <c r="C252" s="66" t="s">
        <v>727</v>
      </c>
      <c r="D252" s="67"/>
      <c r="E252" s="68">
        <f>SUM(E243:E251)</f>
        <v>0</v>
      </c>
      <c r="F252" s="68">
        <f>SUM(F243:F251)</f>
        <v>0</v>
      </c>
      <c r="G252" s="68">
        <f>SUM(G243:G251)</f>
        <v>0</v>
      </c>
      <c r="H252" s="68">
        <f>SUM(H243:H251)</f>
        <v>0</v>
      </c>
      <c r="I252" s="69">
        <f>SUM(I243:I251)</f>
        <v>0</v>
      </c>
      <c r="J252" s="4"/>
      <c r="K252" s="4"/>
      <c r="L252" s="3555"/>
      <c r="M252" s="4"/>
      <c r="N252" s="4"/>
      <c r="O252" s="4"/>
      <c r="P252" s="3558"/>
      <c r="Q252" s="3555"/>
      <c r="R252" s="4"/>
      <c r="S252" s="3556">
        <v>0</v>
      </c>
      <c r="T252" s="3555"/>
      <c r="U252" s="3557">
        <f t="shared" si="18"/>
        <v>0</v>
      </c>
      <c r="V252" s="4"/>
      <c r="W252" s="3555"/>
      <c r="X252" s="3555"/>
      <c r="Y252" s="3555"/>
      <c r="Z252" s="3555"/>
      <c r="AA252" s="3555"/>
      <c r="AB252" s="3555"/>
      <c r="AC252" s="3555"/>
      <c r="AD252" s="3555"/>
      <c r="AE252" s="3555"/>
      <c r="AF252" s="3555"/>
      <c r="AG252" s="3555"/>
      <c r="AH252" s="3555"/>
      <c r="AI252" s="63"/>
      <c r="AJ252" s="63"/>
      <c r="AK252" s="63"/>
      <c r="AL252" s="63"/>
      <c r="AM252" s="63"/>
    </row>
    <row r="253" spans="1:39" s="64" customFormat="1" ht="19">
      <c r="A253" s="58"/>
      <c r="B253" s="53"/>
      <c r="C253" s="54" t="s">
        <v>728</v>
      </c>
      <c r="D253" s="71"/>
      <c r="E253" s="72"/>
      <c r="F253" s="72"/>
      <c r="G253" s="72"/>
      <c r="H253" s="72"/>
      <c r="I253" s="73"/>
      <c r="J253" s="4"/>
      <c r="K253" s="4"/>
      <c r="L253" s="3555"/>
      <c r="M253" s="4"/>
      <c r="N253" s="4"/>
      <c r="O253" s="4"/>
      <c r="P253" s="3558"/>
      <c r="Q253" s="3555"/>
      <c r="R253" s="4"/>
      <c r="S253" s="3556">
        <v>0</v>
      </c>
      <c r="T253" s="3555"/>
      <c r="U253" s="3557">
        <f>U260</f>
        <v>0</v>
      </c>
      <c r="V253" s="4"/>
      <c r="W253" s="3555"/>
      <c r="X253" s="3555"/>
      <c r="Y253" s="3555"/>
      <c r="Z253" s="3555"/>
      <c r="AA253" s="3555"/>
      <c r="AB253" s="3555"/>
      <c r="AC253" s="3555"/>
      <c r="AD253" s="3555"/>
      <c r="AE253" s="3555"/>
      <c r="AF253" s="3555"/>
      <c r="AG253" s="3555"/>
      <c r="AH253" s="3555"/>
      <c r="AI253" s="63"/>
      <c r="AJ253" s="63"/>
      <c r="AK253" s="63"/>
      <c r="AL253" s="63"/>
      <c r="AM253" s="63"/>
    </row>
    <row r="254" spans="1:39" s="64" customFormat="1" ht="19">
      <c r="A254" s="58">
        <v>270500</v>
      </c>
      <c r="B254" s="59"/>
      <c r="C254" s="47"/>
      <c r="D254" s="60" t="s">
        <v>729</v>
      </c>
      <c r="E254" s="61">
        <f>Fortalezas!D200</f>
        <v>0</v>
      </c>
      <c r="F254" s="61">
        <f>Fortalezas!E200</f>
        <v>0</v>
      </c>
      <c r="G254" s="61">
        <f>Fortalezas!F200</f>
        <v>0</v>
      </c>
      <c r="H254" s="61">
        <f>Fortalezas!G200</f>
        <v>0</v>
      </c>
      <c r="I254" s="62">
        <f>Fortalezas!H200</f>
        <v>0</v>
      </c>
      <c r="J254" s="4"/>
      <c r="K254" s="4"/>
      <c r="L254" s="3555"/>
      <c r="M254" s="4"/>
      <c r="N254" s="4"/>
      <c r="O254" s="4"/>
      <c r="P254" s="3558"/>
      <c r="Q254" s="3555"/>
      <c r="R254" s="4"/>
      <c r="S254" s="3556">
        <v>0</v>
      </c>
      <c r="T254" s="3555"/>
      <c r="U254" s="3557">
        <f t="shared" ref="U254:U260" si="19">SUM(E254:I254)</f>
        <v>0</v>
      </c>
      <c r="V254" s="4"/>
      <c r="W254" s="3555"/>
      <c r="X254" s="3555"/>
      <c r="Y254" s="3555"/>
      <c r="Z254" s="3555"/>
      <c r="AA254" s="3555"/>
      <c r="AB254" s="3555"/>
      <c r="AC254" s="3555"/>
      <c r="AD254" s="3555"/>
      <c r="AE254" s="3555"/>
      <c r="AF254" s="3555"/>
      <c r="AG254" s="3555"/>
      <c r="AH254" s="3555"/>
      <c r="AI254" s="63"/>
      <c r="AJ254" s="63"/>
      <c r="AK254" s="63"/>
      <c r="AL254" s="63"/>
      <c r="AM254" s="63"/>
    </row>
    <row r="255" spans="1:39" s="64" customFormat="1" ht="19">
      <c r="A255" s="58">
        <v>271000</v>
      </c>
      <c r="B255" s="59"/>
      <c r="C255" s="47"/>
      <c r="D255" s="65" t="s">
        <v>730</v>
      </c>
      <c r="E255" s="75">
        <f>Fortalezas!D201</f>
        <v>0</v>
      </c>
      <c r="F255" s="75">
        <f>Fortalezas!E201</f>
        <v>0</v>
      </c>
      <c r="G255" s="75">
        <f>Fortalezas!F201</f>
        <v>0</v>
      </c>
      <c r="H255" s="75">
        <f>Fortalezas!G201</f>
        <v>0</v>
      </c>
      <c r="I255" s="76">
        <f>Fortalezas!H201</f>
        <v>0</v>
      </c>
      <c r="J255" s="4"/>
      <c r="K255" s="4"/>
      <c r="L255" s="3555"/>
      <c r="M255" s="4"/>
      <c r="N255" s="4"/>
      <c r="O255" s="4"/>
      <c r="P255" s="3558"/>
      <c r="Q255" s="3555"/>
      <c r="R255" s="4"/>
      <c r="S255" s="3556">
        <v>0</v>
      </c>
      <c r="T255" s="3555"/>
      <c r="U255" s="3557">
        <f t="shared" si="19"/>
        <v>0</v>
      </c>
      <c r="V255" s="4"/>
      <c r="W255" s="3555"/>
      <c r="X255" s="3555"/>
      <c r="Y255" s="3555"/>
      <c r="Z255" s="3555"/>
      <c r="AA255" s="3555"/>
      <c r="AB255" s="3555"/>
      <c r="AC255" s="3555"/>
      <c r="AD255" s="3555"/>
      <c r="AE255" s="3555"/>
      <c r="AF255" s="3555"/>
      <c r="AG255" s="3555"/>
      <c r="AH255" s="3555"/>
      <c r="AI255" s="63"/>
      <c r="AJ255" s="63"/>
      <c r="AK255" s="63"/>
      <c r="AL255" s="63"/>
      <c r="AM255" s="63"/>
    </row>
    <row r="256" spans="1:39" s="64" customFormat="1" ht="19">
      <c r="A256" s="58">
        <v>272500</v>
      </c>
      <c r="B256" s="59"/>
      <c r="C256" s="47"/>
      <c r="D256" s="65" t="s">
        <v>731</v>
      </c>
      <c r="E256" s="75">
        <f>Fortalezas!D202</f>
        <v>0</v>
      </c>
      <c r="F256" s="75">
        <f>Fortalezas!E202</f>
        <v>0</v>
      </c>
      <c r="G256" s="75">
        <f>Fortalezas!F202</f>
        <v>0</v>
      </c>
      <c r="H256" s="75">
        <f>Fortalezas!G202</f>
        <v>0</v>
      </c>
      <c r="I256" s="76">
        <f>Fortalezas!H202</f>
        <v>0</v>
      </c>
      <c r="J256" s="4"/>
      <c r="K256" s="4"/>
      <c r="L256" s="3555"/>
      <c r="M256" s="4"/>
      <c r="N256" s="4"/>
      <c r="O256" s="4"/>
      <c r="P256" s="3558"/>
      <c r="Q256" s="3555"/>
      <c r="R256" s="4"/>
      <c r="S256" s="3556">
        <v>0</v>
      </c>
      <c r="T256" s="3555"/>
      <c r="U256" s="3557">
        <f t="shared" si="19"/>
        <v>0</v>
      </c>
      <c r="V256" s="4"/>
      <c r="W256" s="3555"/>
      <c r="X256" s="3555"/>
      <c r="Y256" s="3555"/>
      <c r="Z256" s="3555"/>
      <c r="AA256" s="3555"/>
      <c r="AB256" s="3555"/>
      <c r="AC256" s="3555"/>
      <c r="AD256" s="3555"/>
      <c r="AE256" s="3555"/>
      <c r="AF256" s="3555"/>
      <c r="AG256" s="3555"/>
      <c r="AH256" s="3555"/>
      <c r="AI256" s="63"/>
      <c r="AJ256" s="63"/>
      <c r="AK256" s="63"/>
      <c r="AL256" s="63"/>
      <c r="AM256" s="63"/>
    </row>
    <row r="257" spans="1:39" s="64" customFormat="1" ht="19">
      <c r="A257" s="58">
        <v>279500</v>
      </c>
      <c r="B257" s="59"/>
      <c r="C257" s="47"/>
      <c r="D257" s="65" t="s">
        <v>453</v>
      </c>
      <c r="E257" s="75">
        <f>Fortalezas!D203</f>
        <v>0</v>
      </c>
      <c r="F257" s="75">
        <f>Fortalezas!E203</f>
        <v>0</v>
      </c>
      <c r="G257" s="75">
        <f>Fortalezas!F203</f>
        <v>0</v>
      </c>
      <c r="H257" s="75">
        <f>Fortalezas!G203</f>
        <v>0</v>
      </c>
      <c r="I257" s="76">
        <f>Fortalezas!H203</f>
        <v>0</v>
      </c>
      <c r="J257" s="4"/>
      <c r="K257" s="4"/>
      <c r="L257" s="3555"/>
      <c r="M257" s="4"/>
      <c r="N257" s="4"/>
      <c r="O257" s="4"/>
      <c r="P257" s="3558"/>
      <c r="Q257" s="3555"/>
      <c r="R257" s="4"/>
      <c r="S257" s="3556">
        <v>0</v>
      </c>
      <c r="T257" s="3555"/>
      <c r="U257" s="3557">
        <f t="shared" si="19"/>
        <v>0</v>
      </c>
      <c r="V257" s="4"/>
      <c r="W257" s="3555"/>
      <c r="X257" s="3555"/>
      <c r="Y257" s="3555"/>
      <c r="Z257" s="3555"/>
      <c r="AA257" s="3555"/>
      <c r="AB257" s="3555"/>
      <c r="AC257" s="3555"/>
      <c r="AD257" s="3555"/>
      <c r="AE257" s="3555"/>
      <c r="AF257" s="3555"/>
      <c r="AG257" s="3555"/>
      <c r="AH257" s="3555"/>
      <c r="AI257" s="63"/>
      <c r="AJ257" s="63"/>
      <c r="AK257" s="63"/>
      <c r="AL257" s="63"/>
      <c r="AM257" s="63"/>
    </row>
    <row r="258" spans="1:39" s="64" customFormat="1" ht="19" hidden="1" customHeight="1">
      <c r="A258" s="58"/>
      <c r="B258" s="59"/>
      <c r="C258" s="47"/>
      <c r="D258" s="65"/>
      <c r="E258" s="75"/>
      <c r="F258" s="75"/>
      <c r="G258" s="78"/>
      <c r="H258" s="78"/>
      <c r="I258" s="79"/>
      <c r="J258" s="4"/>
      <c r="K258" s="4"/>
      <c r="L258" s="3555"/>
      <c r="M258" s="4"/>
      <c r="N258" s="4"/>
      <c r="O258" s="4"/>
      <c r="P258" s="3558"/>
      <c r="Q258" s="3555"/>
      <c r="R258" s="4"/>
      <c r="S258" s="3556">
        <v>1</v>
      </c>
      <c r="T258" s="3555"/>
      <c r="U258" s="3557">
        <f t="shared" si="19"/>
        <v>0</v>
      </c>
      <c r="V258" s="4"/>
      <c r="W258" s="3555"/>
      <c r="X258" s="3555"/>
      <c r="Y258" s="3555"/>
      <c r="Z258" s="3555"/>
      <c r="AA258" s="3555"/>
      <c r="AB258" s="3555"/>
      <c r="AC258" s="3555"/>
      <c r="AD258" s="3555"/>
      <c r="AE258" s="3555"/>
      <c r="AF258" s="3555"/>
      <c r="AG258" s="3555"/>
      <c r="AH258" s="3555"/>
      <c r="AI258" s="63"/>
      <c r="AJ258" s="63"/>
      <c r="AK258" s="63"/>
      <c r="AL258" s="63"/>
      <c r="AM258" s="63"/>
    </row>
    <row r="259" spans="1:39" s="64" customFormat="1" ht="19" hidden="1" customHeight="1">
      <c r="A259" s="58"/>
      <c r="B259" s="59"/>
      <c r="C259" s="47"/>
      <c r="D259" s="65"/>
      <c r="E259" s="75"/>
      <c r="F259" s="75"/>
      <c r="G259" s="78"/>
      <c r="H259" s="78"/>
      <c r="I259" s="79"/>
      <c r="J259" s="4"/>
      <c r="K259" s="4"/>
      <c r="L259" s="3555"/>
      <c r="M259" s="4"/>
      <c r="N259" s="4"/>
      <c r="O259" s="4"/>
      <c r="P259" s="3558"/>
      <c r="Q259" s="3555"/>
      <c r="R259" s="4"/>
      <c r="S259" s="3556">
        <v>1</v>
      </c>
      <c r="T259" s="3555"/>
      <c r="U259" s="3557">
        <f t="shared" si="19"/>
        <v>0</v>
      </c>
      <c r="V259" s="4"/>
      <c r="W259" s="3555"/>
      <c r="X259" s="3555"/>
      <c r="Y259" s="3555"/>
      <c r="Z259" s="3555"/>
      <c r="AA259" s="3555"/>
      <c r="AB259" s="3555"/>
      <c r="AC259" s="3555"/>
      <c r="AD259" s="3555"/>
      <c r="AE259" s="3555"/>
      <c r="AF259" s="3555"/>
      <c r="AG259" s="3555"/>
      <c r="AH259" s="3555"/>
      <c r="AI259" s="63"/>
      <c r="AJ259" s="63"/>
      <c r="AK259" s="63"/>
      <c r="AL259" s="63"/>
      <c r="AM259" s="63"/>
    </row>
    <row r="260" spans="1:39" s="64" customFormat="1" ht="19">
      <c r="A260" s="58">
        <v>2107</v>
      </c>
      <c r="B260" s="59"/>
      <c r="C260" s="66" t="s">
        <v>732</v>
      </c>
      <c r="D260" s="67"/>
      <c r="E260" s="68">
        <f>SUM(E254:E257)</f>
        <v>0</v>
      </c>
      <c r="F260" s="68">
        <f>SUM(F254:F257)</f>
        <v>0</v>
      </c>
      <c r="G260" s="68">
        <f>SUM(G254:G257)</f>
        <v>0</v>
      </c>
      <c r="H260" s="68">
        <f>SUM(H254:H257)</f>
        <v>0</v>
      </c>
      <c r="I260" s="69">
        <f>SUM(I254:I257)</f>
        <v>0</v>
      </c>
      <c r="J260" s="4"/>
      <c r="K260" s="4"/>
      <c r="L260" s="3555"/>
      <c r="M260" s="4"/>
      <c r="N260" s="4"/>
      <c r="O260" s="4"/>
      <c r="P260" s="3558"/>
      <c r="Q260" s="3555"/>
      <c r="R260" s="4"/>
      <c r="S260" s="3556">
        <v>0</v>
      </c>
      <c r="T260" s="3555"/>
      <c r="U260" s="3557">
        <f t="shared" si="19"/>
        <v>0</v>
      </c>
      <c r="V260" s="4"/>
      <c r="W260" s="3555"/>
      <c r="X260" s="3555"/>
      <c r="Y260" s="3555"/>
      <c r="Z260" s="3555"/>
      <c r="AA260" s="3555"/>
      <c r="AB260" s="3555"/>
      <c r="AC260" s="3555"/>
      <c r="AD260" s="3555"/>
      <c r="AE260" s="3555"/>
      <c r="AF260" s="3555"/>
      <c r="AG260" s="3555"/>
      <c r="AH260" s="3555"/>
      <c r="AI260" s="63"/>
      <c r="AJ260" s="63"/>
      <c r="AK260" s="63"/>
      <c r="AL260" s="63"/>
      <c r="AM260" s="63"/>
    </row>
    <row r="261" spans="1:39" s="64" customFormat="1" ht="19">
      <c r="A261" s="58"/>
      <c r="B261" s="53"/>
      <c r="C261" s="54" t="s">
        <v>733</v>
      </c>
      <c r="D261" s="71"/>
      <c r="E261" s="72"/>
      <c r="F261" s="72"/>
      <c r="G261" s="72"/>
      <c r="H261" s="72"/>
      <c r="I261" s="73"/>
      <c r="J261" s="4"/>
      <c r="K261" s="4"/>
      <c r="L261" s="3555"/>
      <c r="M261" s="4"/>
      <c r="N261" s="4"/>
      <c r="O261" s="4"/>
      <c r="P261" s="3558"/>
      <c r="Q261" s="3555"/>
      <c r="R261" s="4"/>
      <c r="S261" s="3556">
        <v>0</v>
      </c>
      <c r="T261" s="3555"/>
      <c r="U261" s="3557">
        <f>U267</f>
        <v>0</v>
      </c>
      <c r="V261" s="4"/>
      <c r="W261" s="3555"/>
      <c r="X261" s="3555"/>
      <c r="Y261" s="3555"/>
      <c r="Z261" s="3555"/>
      <c r="AA261" s="3555"/>
      <c r="AB261" s="3555"/>
      <c r="AC261" s="3555"/>
      <c r="AD261" s="3555"/>
      <c r="AE261" s="3555"/>
      <c r="AF261" s="3555"/>
      <c r="AG261" s="3555"/>
      <c r="AH261" s="3555"/>
      <c r="AI261" s="63"/>
      <c r="AJ261" s="63"/>
      <c r="AK261" s="63"/>
      <c r="AL261" s="63"/>
      <c r="AM261" s="63"/>
    </row>
    <row r="262" spans="1:39" s="64" customFormat="1" ht="19">
      <c r="A262" s="58">
        <v>281000</v>
      </c>
      <c r="B262" s="59"/>
      <c r="C262" s="47"/>
      <c r="D262" s="108" t="s">
        <v>734</v>
      </c>
      <c r="E262" s="61">
        <f>Fortalezas!D205</f>
        <v>0</v>
      </c>
      <c r="F262" s="61">
        <f>Fortalezas!E205</f>
        <v>0</v>
      </c>
      <c r="G262" s="61">
        <f>Fortalezas!F205</f>
        <v>0</v>
      </c>
      <c r="H262" s="61">
        <f>Fortalezas!G205</f>
        <v>0</v>
      </c>
      <c r="I262" s="62">
        <f>Fortalezas!H205</f>
        <v>0</v>
      </c>
      <c r="J262" s="4"/>
      <c r="K262" s="4"/>
      <c r="L262" s="3555"/>
      <c r="M262" s="4"/>
      <c r="N262" s="4"/>
      <c r="O262" s="4"/>
      <c r="P262" s="3558"/>
      <c r="Q262" s="3555"/>
      <c r="R262" s="4"/>
      <c r="S262" s="3556">
        <v>0</v>
      </c>
      <c r="T262" s="3555"/>
      <c r="U262" s="3557">
        <f t="shared" ref="U262:U268" si="20">SUM(E262:I262)</f>
        <v>0</v>
      </c>
      <c r="V262" s="4"/>
      <c r="W262" s="3555"/>
      <c r="X262" s="3555"/>
      <c r="Y262" s="3555"/>
      <c r="Z262" s="3555"/>
      <c r="AA262" s="3555"/>
      <c r="AB262" s="3555"/>
      <c r="AC262" s="3555"/>
      <c r="AD262" s="3555"/>
      <c r="AE262" s="3555"/>
      <c r="AF262" s="3555"/>
      <c r="AG262" s="3555"/>
      <c r="AH262" s="3555"/>
      <c r="AI262" s="63"/>
      <c r="AJ262" s="63"/>
      <c r="AK262" s="63"/>
      <c r="AL262" s="63"/>
      <c r="AM262" s="63"/>
    </row>
    <row r="263" spans="1:39" s="64" customFormat="1" ht="19">
      <c r="A263" s="58">
        <v>282000</v>
      </c>
      <c r="B263" s="59"/>
      <c r="C263" s="47"/>
      <c r="D263" s="74" t="s">
        <v>735</v>
      </c>
      <c r="E263" s="75">
        <f>Fortalezas!D206</f>
        <v>0</v>
      </c>
      <c r="F263" s="75">
        <f>Fortalezas!E206</f>
        <v>0</v>
      </c>
      <c r="G263" s="75">
        <f>Fortalezas!F206</f>
        <v>0</v>
      </c>
      <c r="H263" s="75">
        <f>Fortalezas!G206</f>
        <v>0</v>
      </c>
      <c r="I263" s="76">
        <f>Fortalezas!H206</f>
        <v>0</v>
      </c>
      <c r="J263" s="4"/>
      <c r="K263" s="4"/>
      <c r="L263" s="3555"/>
      <c r="M263" s="4"/>
      <c r="N263" s="4"/>
      <c r="O263" s="4"/>
      <c r="P263" s="3558"/>
      <c r="Q263" s="3555"/>
      <c r="R263" s="4"/>
      <c r="S263" s="3556">
        <v>0</v>
      </c>
      <c r="T263" s="3555"/>
      <c r="U263" s="3557">
        <f t="shared" si="20"/>
        <v>0</v>
      </c>
      <c r="V263" s="4"/>
      <c r="W263" s="3555"/>
      <c r="X263" s="3555"/>
      <c r="Y263" s="3555"/>
      <c r="Z263" s="3555"/>
      <c r="AA263" s="3555"/>
      <c r="AB263" s="3555"/>
      <c r="AC263" s="3555"/>
      <c r="AD263" s="3555"/>
      <c r="AE263" s="3555"/>
      <c r="AF263" s="3555"/>
      <c r="AG263" s="3555"/>
      <c r="AH263" s="3555"/>
      <c r="AI263" s="63"/>
      <c r="AJ263" s="63"/>
      <c r="AK263" s="63"/>
      <c r="AL263" s="63"/>
      <c r="AM263" s="63"/>
    </row>
    <row r="264" spans="1:39" s="64" customFormat="1" ht="19">
      <c r="A264" s="58">
        <v>282500</v>
      </c>
      <c r="B264" s="59"/>
      <c r="C264" s="47"/>
      <c r="D264" s="74" t="s">
        <v>736</v>
      </c>
      <c r="E264" s="75">
        <f>Fortalezas!D207</f>
        <v>0</v>
      </c>
      <c r="F264" s="75">
        <f>Fortalezas!E207</f>
        <v>0</v>
      </c>
      <c r="G264" s="75">
        <f>Fortalezas!F207</f>
        <v>0</v>
      </c>
      <c r="H264" s="75">
        <f>Fortalezas!G207</f>
        <v>0</v>
      </c>
      <c r="I264" s="76">
        <f>Fortalezas!H207</f>
        <v>0</v>
      </c>
      <c r="J264" s="4"/>
      <c r="K264" s="4"/>
      <c r="L264" s="3555"/>
      <c r="M264" s="4"/>
      <c r="N264" s="4"/>
      <c r="O264" s="4"/>
      <c r="P264" s="3558"/>
      <c r="Q264" s="3555"/>
      <c r="R264" s="4"/>
      <c r="S264" s="3556">
        <v>0</v>
      </c>
      <c r="T264" s="3555"/>
      <c r="U264" s="3557">
        <f t="shared" si="20"/>
        <v>0</v>
      </c>
      <c r="V264" s="3555"/>
      <c r="W264" s="3555"/>
      <c r="X264" s="3555"/>
      <c r="Y264" s="3555"/>
      <c r="Z264" s="3555"/>
      <c r="AA264" s="3555"/>
      <c r="AB264" s="3555"/>
      <c r="AC264" s="3555"/>
      <c r="AD264" s="3555"/>
      <c r="AE264" s="3555"/>
      <c r="AF264" s="3555"/>
      <c r="AG264" s="3555"/>
      <c r="AH264" s="3555"/>
      <c r="AI264" s="63"/>
      <c r="AJ264" s="63"/>
      <c r="AK264" s="63"/>
      <c r="AL264" s="63"/>
      <c r="AM264" s="63"/>
    </row>
    <row r="265" spans="1:39" s="64" customFormat="1" ht="19">
      <c r="A265" s="58">
        <v>284000</v>
      </c>
      <c r="B265" s="59"/>
      <c r="C265" s="47"/>
      <c r="D265" s="74" t="s">
        <v>737</v>
      </c>
      <c r="E265" s="75">
        <f>Fortalezas!D208</f>
        <v>0</v>
      </c>
      <c r="F265" s="75">
        <f>Fortalezas!E208</f>
        <v>0</v>
      </c>
      <c r="G265" s="75">
        <f>Fortalezas!F208</f>
        <v>0</v>
      </c>
      <c r="H265" s="75">
        <f>Fortalezas!G208</f>
        <v>0</v>
      </c>
      <c r="I265" s="76">
        <f>Fortalezas!H208</f>
        <v>0</v>
      </c>
      <c r="J265" s="4"/>
      <c r="K265" s="4"/>
      <c r="L265" s="3555"/>
      <c r="M265" s="4"/>
      <c r="N265" s="4"/>
      <c r="O265" s="4"/>
      <c r="P265" s="3558"/>
      <c r="Q265" s="3555"/>
      <c r="R265" s="4"/>
      <c r="S265" s="3556">
        <v>0</v>
      </c>
      <c r="T265" s="3555"/>
      <c r="U265" s="3557">
        <f t="shared" si="20"/>
        <v>0</v>
      </c>
      <c r="V265" s="3555"/>
      <c r="W265" s="3555"/>
      <c r="X265" s="3555"/>
      <c r="Y265" s="3555"/>
      <c r="Z265" s="3555"/>
      <c r="AA265" s="3555"/>
      <c r="AB265" s="3555"/>
      <c r="AC265" s="3555"/>
      <c r="AD265" s="3555"/>
      <c r="AE265" s="3555"/>
      <c r="AF265" s="3555"/>
      <c r="AG265" s="3555"/>
      <c r="AH265" s="3555"/>
      <c r="AI265" s="63"/>
      <c r="AJ265" s="63"/>
      <c r="AK265" s="63"/>
      <c r="AL265" s="63"/>
      <c r="AM265" s="63"/>
    </row>
    <row r="266" spans="1:39" s="64" customFormat="1" ht="19">
      <c r="A266" s="58">
        <v>289500</v>
      </c>
      <c r="B266" s="59"/>
      <c r="C266" s="47"/>
      <c r="D266" s="74" t="s">
        <v>453</v>
      </c>
      <c r="E266" s="75">
        <f>Fortalezas!D209</f>
        <v>0</v>
      </c>
      <c r="F266" s="75">
        <f>Fortalezas!E209</f>
        <v>0</v>
      </c>
      <c r="G266" s="75">
        <f>Fortalezas!F209</f>
        <v>0</v>
      </c>
      <c r="H266" s="75">
        <f>Fortalezas!G209</f>
        <v>0</v>
      </c>
      <c r="I266" s="76">
        <f>Fortalezas!H209</f>
        <v>0</v>
      </c>
      <c r="J266" s="4"/>
      <c r="K266" s="4"/>
      <c r="L266" s="3555"/>
      <c r="M266" s="4"/>
      <c r="N266" s="4"/>
      <c r="O266" s="4"/>
      <c r="P266" s="3558"/>
      <c r="Q266" s="3555"/>
      <c r="R266" s="4"/>
      <c r="S266" s="3556">
        <v>0</v>
      </c>
      <c r="T266" s="3555"/>
      <c r="U266" s="3557">
        <f t="shared" si="20"/>
        <v>0</v>
      </c>
      <c r="V266" s="3555"/>
      <c r="W266" s="3555"/>
      <c r="X266" s="3555"/>
      <c r="Y266" s="3555"/>
      <c r="Z266" s="3555"/>
      <c r="AA266" s="3555"/>
      <c r="AB266" s="3555"/>
      <c r="AC266" s="3555"/>
      <c r="AD266" s="3555"/>
      <c r="AE266" s="3555"/>
      <c r="AF266" s="3555"/>
      <c r="AG266" s="3555"/>
      <c r="AH266" s="3555"/>
      <c r="AI266" s="63"/>
      <c r="AJ266" s="63"/>
      <c r="AK266" s="63"/>
      <c r="AL266" s="63"/>
      <c r="AM266" s="63"/>
    </row>
    <row r="267" spans="1:39" s="64" customFormat="1" ht="19">
      <c r="A267" s="58">
        <v>2109</v>
      </c>
      <c r="B267" s="59"/>
      <c r="C267" s="80" t="s">
        <v>738</v>
      </c>
      <c r="D267" s="81"/>
      <c r="E267" s="82">
        <f>SUM(E262:E266)</f>
        <v>0</v>
      </c>
      <c r="F267" s="82">
        <f>SUM(F262:F266)</f>
        <v>0</v>
      </c>
      <c r="G267" s="82">
        <f>SUM(G262:G266)</f>
        <v>0</v>
      </c>
      <c r="H267" s="82">
        <f>SUM(H262:H266)</f>
        <v>0</v>
      </c>
      <c r="I267" s="83">
        <f>SUM(I262:I266)</f>
        <v>0</v>
      </c>
      <c r="J267" s="4"/>
      <c r="K267" s="4"/>
      <c r="L267" s="3555"/>
      <c r="M267" s="4"/>
      <c r="N267" s="4"/>
      <c r="O267" s="4"/>
      <c r="P267" s="3558"/>
      <c r="Q267" s="3555"/>
      <c r="R267" s="4"/>
      <c r="S267" s="3556">
        <v>0</v>
      </c>
      <c r="T267" s="3555"/>
      <c r="U267" s="3557">
        <f t="shared" si="20"/>
        <v>0</v>
      </c>
      <c r="V267" s="3555"/>
      <c r="W267" s="3555"/>
      <c r="X267" s="3555"/>
      <c r="Y267" s="3555"/>
      <c r="Z267" s="3555"/>
      <c r="AA267" s="3555"/>
      <c r="AB267" s="3555"/>
      <c r="AC267" s="3555"/>
      <c r="AD267" s="3555"/>
      <c r="AE267" s="3555"/>
      <c r="AF267" s="3555"/>
      <c r="AG267" s="3555"/>
      <c r="AH267" s="3555"/>
      <c r="AI267" s="63"/>
      <c r="AJ267" s="63"/>
      <c r="AK267" s="63"/>
      <c r="AL267" s="63"/>
      <c r="AM267" s="63"/>
    </row>
    <row r="268" spans="1:39" s="64" customFormat="1" ht="19">
      <c r="A268" s="58">
        <v>21</v>
      </c>
      <c r="B268" s="84"/>
      <c r="C268" s="94" t="s">
        <v>739</v>
      </c>
      <c r="D268" s="95"/>
      <c r="E268" s="87">
        <f>E199+E204+E221+E233+E241+E252+E260+E267</f>
        <v>0</v>
      </c>
      <c r="F268" s="87">
        <f>F199+F204+F221+F233+F241+F252+F260+F267</f>
        <v>0</v>
      </c>
      <c r="G268" s="87">
        <f>G199+G204+G221+G233+G241+G252+G260+G267</f>
        <v>0</v>
      </c>
      <c r="H268" s="87">
        <f>H199+H204+H221+H233+H241+H252+H260+H267</f>
        <v>0</v>
      </c>
      <c r="I268" s="88">
        <f>I199+I204+I221+I233+I241+I252+I260+I267</f>
        <v>0</v>
      </c>
      <c r="J268" s="4"/>
      <c r="K268" s="4"/>
      <c r="L268" s="3555"/>
      <c r="M268" s="4"/>
      <c r="N268" s="4"/>
      <c r="O268" s="4"/>
      <c r="P268" s="3558"/>
      <c r="Q268" s="3555"/>
      <c r="R268" s="4"/>
      <c r="S268" s="3556">
        <v>0</v>
      </c>
      <c r="T268" s="3555"/>
      <c r="U268" s="3557">
        <f t="shared" si="20"/>
        <v>0</v>
      </c>
      <c r="V268" s="3555"/>
      <c r="W268" s="3555"/>
      <c r="X268" s="3555"/>
      <c r="Y268" s="3555"/>
      <c r="Z268" s="3555"/>
      <c r="AA268" s="3555"/>
      <c r="AB268" s="3555"/>
      <c r="AC268" s="3555"/>
      <c r="AD268" s="3555"/>
      <c r="AE268" s="3555"/>
      <c r="AF268" s="3555"/>
      <c r="AG268" s="3555"/>
      <c r="AH268" s="3555"/>
      <c r="AI268" s="63"/>
      <c r="AJ268" s="63"/>
      <c r="AK268" s="63"/>
      <c r="AL268" s="63"/>
      <c r="AM268" s="63"/>
    </row>
    <row r="269" spans="1:39" s="64" customFormat="1" ht="20.5">
      <c r="A269" s="58"/>
      <c r="B269" s="84"/>
      <c r="C269" s="46" t="s">
        <v>740</v>
      </c>
      <c r="D269" s="107"/>
      <c r="E269" s="105"/>
      <c r="F269" s="105"/>
      <c r="G269" s="105"/>
      <c r="H269" s="105"/>
      <c r="I269" s="106"/>
      <c r="J269" s="4"/>
      <c r="K269" s="4"/>
      <c r="L269" s="3555"/>
      <c r="M269" s="4"/>
      <c r="N269" s="4"/>
      <c r="O269" s="4"/>
      <c r="P269" s="3558"/>
      <c r="Q269" s="3555"/>
      <c r="R269" s="4"/>
      <c r="S269" s="3556">
        <v>0</v>
      </c>
      <c r="T269" s="3555"/>
      <c r="U269" s="3557">
        <v>1</v>
      </c>
      <c r="V269" s="3555"/>
      <c r="W269" s="3555"/>
      <c r="X269" s="3555"/>
      <c r="Y269" s="3555"/>
      <c r="Z269" s="3555"/>
      <c r="AA269" s="3555"/>
      <c r="AB269" s="3555"/>
      <c r="AC269" s="3555"/>
      <c r="AD269" s="3555"/>
      <c r="AE269" s="3555"/>
      <c r="AF269" s="3555"/>
      <c r="AG269" s="3555"/>
      <c r="AH269" s="3555"/>
      <c r="AI269" s="63"/>
      <c r="AJ269" s="63"/>
      <c r="AK269" s="63"/>
      <c r="AL269" s="63"/>
      <c r="AM269" s="63"/>
    </row>
    <row r="270" spans="1:39" s="64" customFormat="1" ht="19">
      <c r="A270" s="58"/>
      <c r="B270" s="53"/>
      <c r="C270" s="54" t="s">
        <v>741</v>
      </c>
      <c r="D270" s="89"/>
      <c r="E270" s="90"/>
      <c r="F270" s="90"/>
      <c r="G270" s="90"/>
      <c r="H270" s="90"/>
      <c r="I270" s="91"/>
      <c r="J270" s="4"/>
      <c r="K270" s="4"/>
      <c r="L270" s="3555"/>
      <c r="M270" s="4"/>
      <c r="N270" s="4"/>
      <c r="O270" s="4"/>
      <c r="P270" s="3558"/>
      <c r="Q270" s="3555"/>
      <c r="R270" s="4"/>
      <c r="S270" s="3556">
        <v>0</v>
      </c>
      <c r="T270" s="3555"/>
      <c r="U270" s="3557">
        <f>U273</f>
        <v>0</v>
      </c>
      <c r="V270" s="3555"/>
      <c r="W270" s="3555"/>
      <c r="X270" s="3555"/>
      <c r="Y270" s="3555"/>
      <c r="Z270" s="3555"/>
      <c r="AA270" s="3555"/>
      <c r="AB270" s="3555"/>
      <c r="AC270" s="3555"/>
      <c r="AD270" s="3555"/>
      <c r="AE270" s="3555"/>
      <c r="AF270" s="3555"/>
      <c r="AG270" s="3555"/>
      <c r="AH270" s="3555"/>
      <c r="AI270" s="63"/>
      <c r="AJ270" s="63"/>
      <c r="AK270" s="63"/>
      <c r="AL270" s="63"/>
      <c r="AM270" s="63"/>
    </row>
    <row r="271" spans="1:39" s="64" customFormat="1" ht="19">
      <c r="A271" s="58">
        <v>210501</v>
      </c>
      <c r="B271" s="59"/>
      <c r="C271" s="47"/>
      <c r="D271" s="60" t="s">
        <v>742</v>
      </c>
      <c r="E271" s="61">
        <f>Fortalezas!D212</f>
        <v>0</v>
      </c>
      <c r="F271" s="61">
        <f>Fortalezas!E212</f>
        <v>0</v>
      </c>
      <c r="G271" s="61">
        <f>Fortalezas!F212</f>
        <v>0</v>
      </c>
      <c r="H271" s="61">
        <f>Fortalezas!G212</f>
        <v>0</v>
      </c>
      <c r="I271" s="62">
        <f>Fortalezas!H212</f>
        <v>0</v>
      </c>
      <c r="J271" s="4"/>
      <c r="K271" s="4"/>
      <c r="L271" s="3555"/>
      <c r="M271" s="4"/>
      <c r="N271" s="4"/>
      <c r="O271" s="4"/>
      <c r="P271" s="3558"/>
      <c r="Q271" s="3555"/>
      <c r="R271" s="4"/>
      <c r="S271" s="3556">
        <v>0</v>
      </c>
      <c r="T271" s="3555"/>
      <c r="U271" s="3557">
        <f>SUM(E271:I271)</f>
        <v>0</v>
      </c>
      <c r="V271" s="3555"/>
      <c r="W271" s="3555"/>
      <c r="X271" s="3555"/>
      <c r="Y271" s="3555"/>
      <c r="Z271" s="3555"/>
      <c r="AA271" s="3555"/>
      <c r="AB271" s="3555"/>
      <c r="AC271" s="3555"/>
      <c r="AD271" s="3555"/>
      <c r="AE271" s="3555"/>
      <c r="AF271" s="3555"/>
      <c r="AG271" s="3555"/>
      <c r="AH271" s="3555"/>
      <c r="AI271" s="63"/>
      <c r="AJ271" s="63"/>
      <c r="AK271" s="63"/>
      <c r="AL271" s="63"/>
      <c r="AM271" s="63"/>
    </row>
    <row r="272" spans="1:39" s="64" customFormat="1" ht="19">
      <c r="A272" s="58">
        <v>211001</v>
      </c>
      <c r="B272" s="59"/>
      <c r="C272" s="47"/>
      <c r="D272" s="65" t="s">
        <v>554</v>
      </c>
      <c r="E272" s="75">
        <f>Fortalezas!D213</f>
        <v>0</v>
      </c>
      <c r="F272" s="75">
        <f>Fortalezas!E213</f>
        <v>0</v>
      </c>
      <c r="G272" s="75">
        <f>Fortalezas!F213</f>
        <v>0</v>
      </c>
      <c r="H272" s="75">
        <f>Fortalezas!G213</f>
        <v>0</v>
      </c>
      <c r="I272" s="76">
        <f>Fortalezas!H213</f>
        <v>0</v>
      </c>
      <c r="J272" s="4"/>
      <c r="K272" s="4"/>
      <c r="L272" s="3555"/>
      <c r="M272" s="4"/>
      <c r="N272" s="4"/>
      <c r="O272" s="4"/>
      <c r="P272" s="3558"/>
      <c r="Q272" s="3555"/>
      <c r="R272" s="4"/>
      <c r="S272" s="3556">
        <v>0</v>
      </c>
      <c r="T272" s="3555"/>
      <c r="U272" s="3557">
        <f>SUM(E272:I272)</f>
        <v>0</v>
      </c>
      <c r="V272" s="3555"/>
      <c r="W272" s="3555"/>
      <c r="X272" s="3555"/>
      <c r="Y272" s="3555"/>
      <c r="Z272" s="3555"/>
      <c r="AA272" s="3555"/>
      <c r="AB272" s="3555"/>
      <c r="AC272" s="3555"/>
      <c r="AD272" s="3555"/>
      <c r="AE272" s="3555"/>
      <c r="AF272" s="3555"/>
      <c r="AG272" s="3555"/>
      <c r="AH272" s="3555"/>
      <c r="AI272" s="63"/>
      <c r="AJ272" s="63"/>
      <c r="AK272" s="63"/>
      <c r="AL272" s="63"/>
      <c r="AM272" s="63"/>
    </row>
    <row r="273" spans="1:39" s="64" customFormat="1" ht="19">
      <c r="A273" s="58">
        <v>2201</v>
      </c>
      <c r="B273" s="59"/>
      <c r="C273" s="66" t="s">
        <v>743</v>
      </c>
      <c r="D273" s="67"/>
      <c r="E273" s="68">
        <f>SUM(E271:E272)</f>
        <v>0</v>
      </c>
      <c r="F273" s="68">
        <f>SUM(F271:F272)</f>
        <v>0</v>
      </c>
      <c r="G273" s="68">
        <f>SUM(G271:G272)</f>
        <v>0</v>
      </c>
      <c r="H273" s="68">
        <f>SUM(H271:H272)</f>
        <v>0</v>
      </c>
      <c r="I273" s="69">
        <f>SUM(I271:I272)</f>
        <v>0</v>
      </c>
      <c r="J273" s="4"/>
      <c r="K273" s="4"/>
      <c r="L273" s="3555"/>
      <c r="M273" s="4"/>
      <c r="N273" s="4"/>
      <c r="O273" s="4"/>
      <c r="P273" s="3558"/>
      <c r="Q273" s="3555"/>
      <c r="R273" s="4"/>
      <c r="S273" s="3556">
        <v>0</v>
      </c>
      <c r="T273" s="3555"/>
      <c r="U273" s="3557">
        <f>SUM(E273:I273)</f>
        <v>0</v>
      </c>
      <c r="V273" s="3555"/>
      <c r="W273" s="3555"/>
      <c r="X273" s="3555"/>
      <c r="Y273" s="3555"/>
      <c r="Z273" s="3555"/>
      <c r="AA273" s="3555"/>
      <c r="AB273" s="3555"/>
      <c r="AC273" s="3555"/>
      <c r="AD273" s="3555"/>
      <c r="AE273" s="3555"/>
      <c r="AF273" s="3555"/>
      <c r="AG273" s="3555"/>
      <c r="AH273" s="3555"/>
      <c r="AI273" s="63"/>
      <c r="AJ273" s="63"/>
      <c r="AK273" s="63"/>
      <c r="AL273" s="63"/>
      <c r="AM273" s="63"/>
    </row>
    <row r="274" spans="1:39" s="64" customFormat="1" ht="19">
      <c r="A274" s="58"/>
      <c r="B274" s="53"/>
      <c r="C274" s="54" t="s">
        <v>744</v>
      </c>
      <c r="D274" s="71"/>
      <c r="E274" s="72"/>
      <c r="F274" s="72"/>
      <c r="G274" s="72"/>
      <c r="H274" s="72"/>
      <c r="I274" s="73"/>
      <c r="J274" s="4"/>
      <c r="K274" s="4"/>
      <c r="L274" s="3555"/>
      <c r="M274" s="4"/>
      <c r="N274" s="4"/>
      <c r="O274" s="4"/>
      <c r="P274" s="3558"/>
      <c r="Q274" s="3555"/>
      <c r="R274" s="4"/>
      <c r="S274" s="3556">
        <v>0</v>
      </c>
      <c r="T274" s="3555"/>
      <c r="U274" s="3557">
        <f>U290</f>
        <v>0</v>
      </c>
      <c r="V274" s="3555"/>
      <c r="W274" s="3555"/>
      <c r="X274" s="3555"/>
      <c r="Y274" s="3555"/>
      <c r="Z274" s="3555"/>
      <c r="AA274" s="3555"/>
      <c r="AB274" s="3555"/>
      <c r="AC274" s="3555"/>
      <c r="AD274" s="3555"/>
      <c r="AE274" s="3555"/>
      <c r="AF274" s="3555"/>
      <c r="AG274" s="3555"/>
      <c r="AH274" s="3555"/>
      <c r="AI274" s="63"/>
      <c r="AJ274" s="63"/>
      <c r="AK274" s="63"/>
      <c r="AL274" s="63"/>
      <c r="AM274" s="63"/>
    </row>
    <row r="275" spans="1:39" s="64" customFormat="1" ht="19">
      <c r="A275" s="58">
        <v>220501</v>
      </c>
      <c r="B275" s="59"/>
      <c r="C275" s="47"/>
      <c r="D275" s="60" t="s">
        <v>686</v>
      </c>
      <c r="E275" s="61">
        <f>Fortalezas!D215</f>
        <v>0</v>
      </c>
      <c r="F275" s="61">
        <f>Fortalezas!E215</f>
        <v>0</v>
      </c>
      <c r="G275" s="61">
        <f>Fortalezas!F215</f>
        <v>0</v>
      </c>
      <c r="H275" s="61">
        <f>Fortalezas!G215</f>
        <v>0</v>
      </c>
      <c r="I275" s="62">
        <f>Fortalezas!H215</f>
        <v>0</v>
      </c>
      <c r="J275" s="4"/>
      <c r="K275" s="4"/>
      <c r="L275" s="3555"/>
      <c r="M275" s="4"/>
      <c r="N275" s="4"/>
      <c r="O275" s="4"/>
      <c r="P275" s="3558"/>
      <c r="Q275" s="3555"/>
      <c r="R275" s="4"/>
      <c r="S275" s="3556">
        <v>0</v>
      </c>
      <c r="T275" s="3555"/>
      <c r="U275" s="3557">
        <f t="shared" ref="U275:U290" si="21">SUM(E275:I275)</f>
        <v>0</v>
      </c>
      <c r="V275" s="3555"/>
      <c r="W275" s="3555"/>
      <c r="X275" s="3555"/>
      <c r="Y275" s="3555"/>
      <c r="Z275" s="3555"/>
      <c r="AA275" s="3555"/>
      <c r="AB275" s="3555"/>
      <c r="AC275" s="3555"/>
      <c r="AD275" s="3555"/>
      <c r="AE275" s="3555"/>
      <c r="AF275" s="3555"/>
      <c r="AG275" s="3555"/>
      <c r="AH275" s="3555"/>
      <c r="AI275" s="63"/>
      <c r="AJ275" s="63"/>
      <c r="AK275" s="63"/>
      <c r="AL275" s="63"/>
      <c r="AM275" s="63"/>
    </row>
    <row r="276" spans="1:39" s="64" customFormat="1" ht="19">
      <c r="A276" s="58">
        <v>221001</v>
      </c>
      <c r="B276" s="59"/>
      <c r="C276" s="47"/>
      <c r="D276" s="65" t="s">
        <v>687</v>
      </c>
      <c r="E276" s="75">
        <f>Fortalezas!D216</f>
        <v>0</v>
      </c>
      <c r="F276" s="75">
        <f>Fortalezas!E216</f>
        <v>0</v>
      </c>
      <c r="G276" s="75">
        <f>Fortalezas!F216</f>
        <v>0</v>
      </c>
      <c r="H276" s="75">
        <f>Fortalezas!G216</f>
        <v>0</v>
      </c>
      <c r="I276" s="76">
        <f>Fortalezas!H216</f>
        <v>0</v>
      </c>
      <c r="J276" s="4"/>
      <c r="K276" s="4"/>
      <c r="L276" s="3555"/>
      <c r="M276" s="4"/>
      <c r="N276" s="4"/>
      <c r="O276" s="4"/>
      <c r="P276" s="3558"/>
      <c r="Q276" s="3555"/>
      <c r="R276" s="4"/>
      <c r="S276" s="3556">
        <v>0</v>
      </c>
      <c r="T276" s="3555"/>
      <c r="U276" s="3557">
        <f t="shared" si="21"/>
        <v>0</v>
      </c>
      <c r="V276" s="3555"/>
      <c r="W276" s="3555"/>
      <c r="X276" s="3555"/>
      <c r="Y276" s="3555"/>
      <c r="Z276" s="3555"/>
      <c r="AA276" s="3555"/>
      <c r="AB276" s="3555"/>
      <c r="AC276" s="3555"/>
      <c r="AD276" s="3555"/>
      <c r="AE276" s="3555"/>
      <c r="AF276" s="3555"/>
      <c r="AG276" s="3555"/>
      <c r="AH276" s="3555"/>
      <c r="AI276" s="63"/>
      <c r="AJ276" s="63"/>
      <c r="AK276" s="63"/>
      <c r="AL276" s="63"/>
      <c r="AM276" s="63"/>
    </row>
    <row r="277" spans="1:39" s="64" customFormat="1" ht="19">
      <c r="A277" s="58">
        <v>230501</v>
      </c>
      <c r="B277" s="59"/>
      <c r="C277" s="47"/>
      <c r="D277" s="65" t="s">
        <v>571</v>
      </c>
      <c r="E277" s="75">
        <f>Fortalezas!D217</f>
        <v>0</v>
      </c>
      <c r="F277" s="75">
        <f>Fortalezas!E217</f>
        <v>0</v>
      </c>
      <c r="G277" s="75">
        <f>Fortalezas!F217</f>
        <v>0</v>
      </c>
      <c r="H277" s="75">
        <f>Fortalezas!G217</f>
        <v>0</v>
      </c>
      <c r="I277" s="76">
        <f>Fortalezas!H217</f>
        <v>0</v>
      </c>
      <c r="J277" s="4"/>
      <c r="K277" s="4"/>
      <c r="L277" s="3555"/>
      <c r="M277" s="4"/>
      <c r="N277" s="4"/>
      <c r="O277" s="4"/>
      <c r="P277" s="3558"/>
      <c r="Q277" s="3555"/>
      <c r="R277" s="4"/>
      <c r="S277" s="3556">
        <v>0</v>
      </c>
      <c r="T277" s="3555"/>
      <c r="U277" s="3557">
        <f t="shared" si="21"/>
        <v>0</v>
      </c>
      <c r="V277" s="3555"/>
      <c r="W277" s="3555"/>
      <c r="X277" s="4"/>
      <c r="Y277" s="3555"/>
      <c r="Z277" s="3555"/>
      <c r="AA277" s="3555"/>
      <c r="AB277" s="3555"/>
      <c r="AC277" s="3555"/>
      <c r="AD277" s="3555"/>
      <c r="AE277" s="3555"/>
      <c r="AF277" s="3555"/>
      <c r="AG277" s="3555"/>
      <c r="AH277" s="3555"/>
      <c r="AI277" s="63"/>
      <c r="AJ277" s="63"/>
      <c r="AK277" s="63"/>
      <c r="AL277" s="63"/>
      <c r="AM277" s="63"/>
    </row>
    <row r="278" spans="1:39" s="64" customFormat="1" ht="19">
      <c r="A278" s="58">
        <v>231001</v>
      </c>
      <c r="B278" s="59"/>
      <c r="C278" s="47"/>
      <c r="D278" s="65" t="s">
        <v>690</v>
      </c>
      <c r="E278" s="75">
        <f>Fortalezas!D218</f>
        <v>0</v>
      </c>
      <c r="F278" s="75">
        <f>Fortalezas!E218</f>
        <v>0</v>
      </c>
      <c r="G278" s="75">
        <f>Fortalezas!F218</f>
        <v>0</v>
      </c>
      <c r="H278" s="75">
        <f>Fortalezas!G218</f>
        <v>0</v>
      </c>
      <c r="I278" s="76">
        <f>Fortalezas!H218</f>
        <v>0</v>
      </c>
      <c r="J278" s="4"/>
      <c r="K278" s="4"/>
      <c r="L278" s="3555"/>
      <c r="M278" s="4"/>
      <c r="N278" s="4"/>
      <c r="O278" s="4"/>
      <c r="P278" s="3558"/>
      <c r="Q278" s="3555"/>
      <c r="R278" s="4"/>
      <c r="S278" s="3556">
        <v>0</v>
      </c>
      <c r="T278" s="3555"/>
      <c r="U278" s="3557">
        <f t="shared" si="21"/>
        <v>0</v>
      </c>
      <c r="V278" s="3555"/>
      <c r="W278" s="3555"/>
      <c r="X278" s="4"/>
      <c r="Y278" s="3555"/>
      <c r="Z278" s="3555"/>
      <c r="AA278" s="3555"/>
      <c r="AB278" s="3555"/>
      <c r="AC278" s="3555"/>
      <c r="AD278" s="3555"/>
      <c r="AE278" s="3555"/>
      <c r="AF278" s="3555"/>
      <c r="AG278" s="3555"/>
      <c r="AH278" s="3555"/>
      <c r="AI278" s="63"/>
      <c r="AJ278" s="63"/>
      <c r="AK278" s="63"/>
      <c r="AL278" s="63"/>
      <c r="AM278" s="63"/>
    </row>
    <row r="279" spans="1:39" s="64" customFormat="1" ht="19">
      <c r="A279" s="58">
        <v>231501</v>
      </c>
      <c r="B279" s="59"/>
      <c r="C279" s="47"/>
      <c r="D279" s="65" t="s">
        <v>691</v>
      </c>
      <c r="E279" s="75">
        <f>Fortalezas!D219</f>
        <v>0</v>
      </c>
      <c r="F279" s="75">
        <f>Fortalezas!E219</f>
        <v>0</v>
      </c>
      <c r="G279" s="75">
        <f>Fortalezas!F219</f>
        <v>0</v>
      </c>
      <c r="H279" s="75">
        <f>Fortalezas!G219</f>
        <v>0</v>
      </c>
      <c r="I279" s="76">
        <f>Fortalezas!H219</f>
        <v>0</v>
      </c>
      <c r="J279" s="4"/>
      <c r="K279" s="4"/>
      <c r="L279" s="3555"/>
      <c r="M279" s="4"/>
      <c r="N279" s="4"/>
      <c r="O279" s="4"/>
      <c r="P279" s="3558"/>
      <c r="Q279" s="3555"/>
      <c r="R279" s="4"/>
      <c r="S279" s="3556">
        <v>0</v>
      </c>
      <c r="T279" s="3555"/>
      <c r="U279" s="3557">
        <f t="shared" si="21"/>
        <v>0</v>
      </c>
      <c r="V279" s="3555"/>
      <c r="W279" s="3555"/>
      <c r="X279" s="4"/>
      <c r="Y279" s="3555"/>
      <c r="Z279" s="3555"/>
      <c r="AA279" s="3555"/>
      <c r="AB279" s="3555"/>
      <c r="AC279" s="3555"/>
      <c r="AD279" s="3555"/>
      <c r="AE279" s="3555"/>
      <c r="AF279" s="3555"/>
      <c r="AG279" s="3555"/>
      <c r="AH279" s="3555"/>
      <c r="AI279" s="63"/>
      <c r="AJ279" s="63"/>
      <c r="AK279" s="63"/>
      <c r="AL279" s="63"/>
      <c r="AM279" s="63"/>
    </row>
    <row r="280" spans="1:39" s="64" customFormat="1" ht="19">
      <c r="A280" s="58">
        <v>232001</v>
      </c>
      <c r="B280" s="59"/>
      <c r="C280" s="47"/>
      <c r="D280" s="65" t="s">
        <v>692</v>
      </c>
      <c r="E280" s="75">
        <f>Fortalezas!D220</f>
        <v>0</v>
      </c>
      <c r="F280" s="75">
        <f>Fortalezas!E220</f>
        <v>0</v>
      </c>
      <c r="G280" s="75">
        <f>Fortalezas!F220</f>
        <v>0</v>
      </c>
      <c r="H280" s="75">
        <f>Fortalezas!G220</f>
        <v>0</v>
      </c>
      <c r="I280" s="76">
        <f>Fortalezas!H220</f>
        <v>0</v>
      </c>
      <c r="J280" s="4"/>
      <c r="K280" s="4"/>
      <c r="L280" s="3555"/>
      <c r="M280" s="4"/>
      <c r="N280" s="4"/>
      <c r="O280" s="4"/>
      <c r="P280" s="3558"/>
      <c r="Q280" s="3555"/>
      <c r="R280" s="4"/>
      <c r="S280" s="3556">
        <v>0</v>
      </c>
      <c r="T280" s="3555"/>
      <c r="U280" s="3557">
        <f t="shared" si="21"/>
        <v>0</v>
      </c>
      <c r="V280" s="3555"/>
      <c r="W280" s="3555"/>
      <c r="X280" s="4"/>
      <c r="Y280" s="3555"/>
      <c r="Z280" s="3555"/>
      <c r="AA280" s="3555"/>
      <c r="AB280" s="3555"/>
      <c r="AC280" s="3555"/>
      <c r="AD280" s="3555"/>
      <c r="AE280" s="3555"/>
      <c r="AF280" s="3555"/>
      <c r="AG280" s="3555"/>
      <c r="AH280" s="3555"/>
      <c r="AI280" s="63"/>
      <c r="AJ280" s="63"/>
      <c r="AK280" s="63"/>
      <c r="AL280" s="63"/>
      <c r="AM280" s="63"/>
    </row>
    <row r="281" spans="1:39" s="64" customFormat="1" ht="19">
      <c r="A281" s="58">
        <v>233501</v>
      </c>
      <c r="B281" s="59"/>
      <c r="C281" s="47"/>
      <c r="D281" s="65" t="s">
        <v>693</v>
      </c>
      <c r="E281" s="75">
        <f>Fortalezas!D221</f>
        <v>0</v>
      </c>
      <c r="F281" s="75">
        <f>Fortalezas!E221</f>
        <v>0</v>
      </c>
      <c r="G281" s="75">
        <f>Fortalezas!F221</f>
        <v>0</v>
      </c>
      <c r="H281" s="75">
        <f>Fortalezas!G221</f>
        <v>0</v>
      </c>
      <c r="I281" s="76">
        <f>Fortalezas!H221</f>
        <v>0</v>
      </c>
      <c r="J281" s="4"/>
      <c r="K281" s="4"/>
      <c r="L281" s="3555"/>
      <c r="M281" s="4"/>
      <c r="N281" s="4"/>
      <c r="O281" s="4"/>
      <c r="P281" s="3558"/>
      <c r="Q281" s="3555"/>
      <c r="R281" s="4"/>
      <c r="S281" s="3556">
        <v>0</v>
      </c>
      <c r="T281" s="3555"/>
      <c r="U281" s="3557">
        <f t="shared" si="21"/>
        <v>0</v>
      </c>
      <c r="V281" s="3555"/>
      <c r="W281" s="3555"/>
      <c r="X281" s="4"/>
      <c r="Y281" s="3555"/>
      <c r="Z281" s="3555"/>
      <c r="AA281" s="3555"/>
      <c r="AB281" s="3555"/>
      <c r="AC281" s="3555"/>
      <c r="AD281" s="3555"/>
      <c r="AE281" s="3555"/>
      <c r="AF281" s="3555"/>
      <c r="AG281" s="3555"/>
      <c r="AH281" s="3555"/>
      <c r="AI281" s="63"/>
      <c r="AJ281" s="63"/>
      <c r="AK281" s="63"/>
      <c r="AL281" s="63"/>
      <c r="AM281" s="63"/>
    </row>
    <row r="282" spans="1:39" s="64" customFormat="1" ht="19">
      <c r="A282" s="58">
        <v>234501</v>
      </c>
      <c r="B282" s="59"/>
      <c r="C282" s="47"/>
      <c r="D282" s="65" t="s">
        <v>694</v>
      </c>
      <c r="E282" s="75">
        <f>Fortalezas!D222</f>
        <v>0</v>
      </c>
      <c r="F282" s="75">
        <f>Fortalezas!E222</f>
        <v>0</v>
      </c>
      <c r="G282" s="75">
        <f>Fortalezas!F222</f>
        <v>0</v>
      </c>
      <c r="H282" s="75">
        <f>Fortalezas!G222</f>
        <v>0</v>
      </c>
      <c r="I282" s="76">
        <f>Fortalezas!H222</f>
        <v>0</v>
      </c>
      <c r="J282" s="4"/>
      <c r="K282" s="4"/>
      <c r="L282" s="3555"/>
      <c r="M282" s="4"/>
      <c r="N282" s="4"/>
      <c r="O282" s="4"/>
      <c r="P282" s="3558"/>
      <c r="Q282" s="3555"/>
      <c r="R282" s="4"/>
      <c r="S282" s="3556">
        <v>0</v>
      </c>
      <c r="T282" s="3555"/>
      <c r="U282" s="3557">
        <f t="shared" si="21"/>
        <v>0</v>
      </c>
      <c r="V282" s="3555"/>
      <c r="W282" s="3555"/>
      <c r="X282" s="4"/>
      <c r="Y282" s="3555"/>
      <c r="Z282" s="3555"/>
      <c r="AA282" s="3555"/>
      <c r="AB282" s="3555"/>
      <c r="AC282" s="3555"/>
      <c r="AD282" s="3555"/>
      <c r="AE282" s="3555"/>
      <c r="AF282" s="3555"/>
      <c r="AG282" s="3555"/>
      <c r="AH282" s="3555"/>
      <c r="AI282" s="63"/>
      <c r="AJ282" s="63"/>
      <c r="AK282" s="63"/>
      <c r="AL282" s="63"/>
      <c r="AM282" s="63"/>
    </row>
    <row r="283" spans="1:39" s="64" customFormat="1" ht="19">
      <c r="A283" s="58">
        <v>235001</v>
      </c>
      <c r="B283" s="59"/>
      <c r="C283" s="47"/>
      <c r="D283" s="65" t="s">
        <v>695</v>
      </c>
      <c r="E283" s="75">
        <f>Fortalezas!D223</f>
        <v>0</v>
      </c>
      <c r="F283" s="75">
        <f>Fortalezas!E223</f>
        <v>0</v>
      </c>
      <c r="G283" s="75">
        <f>Fortalezas!F223</f>
        <v>0</v>
      </c>
      <c r="H283" s="75">
        <f>Fortalezas!G223</f>
        <v>0</v>
      </c>
      <c r="I283" s="76">
        <f>Fortalezas!H223</f>
        <v>0</v>
      </c>
      <c r="J283" s="4"/>
      <c r="K283" s="4"/>
      <c r="L283" s="3555"/>
      <c r="M283" s="4"/>
      <c r="N283" s="4"/>
      <c r="O283" s="4"/>
      <c r="P283" s="3558"/>
      <c r="Q283" s="3555"/>
      <c r="R283" s="4"/>
      <c r="S283" s="3556">
        <v>0</v>
      </c>
      <c r="T283" s="3555"/>
      <c r="U283" s="3557">
        <f t="shared" si="21"/>
        <v>0</v>
      </c>
      <c r="V283" s="3555"/>
      <c r="W283" s="3555"/>
      <c r="X283" s="4"/>
      <c r="Y283" s="3555"/>
      <c r="Z283" s="3555"/>
      <c r="AA283" s="3555"/>
      <c r="AB283" s="3555"/>
      <c r="AC283" s="3555"/>
      <c r="AD283" s="3555"/>
      <c r="AE283" s="3555"/>
      <c r="AF283" s="3555"/>
      <c r="AG283" s="3555"/>
      <c r="AH283" s="3555"/>
      <c r="AI283" s="63"/>
      <c r="AJ283" s="63"/>
      <c r="AK283" s="63"/>
      <c r="AL283" s="63"/>
      <c r="AM283" s="63"/>
    </row>
    <row r="284" spans="1:39" s="64" customFormat="1" ht="19">
      <c r="A284" s="58">
        <v>235501</v>
      </c>
      <c r="B284" s="59"/>
      <c r="C284" s="47"/>
      <c r="D284" s="65" t="s">
        <v>696</v>
      </c>
      <c r="E284" s="75">
        <f>Fortalezas!D224</f>
        <v>0</v>
      </c>
      <c r="F284" s="75">
        <f>Fortalezas!E224</f>
        <v>0</v>
      </c>
      <c r="G284" s="75">
        <f>Fortalezas!F224</f>
        <v>0</v>
      </c>
      <c r="H284" s="75">
        <f>Fortalezas!G224</f>
        <v>0</v>
      </c>
      <c r="I284" s="76">
        <f>Fortalezas!H224</f>
        <v>0</v>
      </c>
      <c r="J284" s="4"/>
      <c r="K284" s="4"/>
      <c r="L284" s="3555"/>
      <c r="M284" s="4"/>
      <c r="N284" s="4"/>
      <c r="O284" s="4"/>
      <c r="P284" s="3558"/>
      <c r="Q284" s="3555"/>
      <c r="R284" s="4"/>
      <c r="S284" s="3556">
        <v>0</v>
      </c>
      <c r="T284" s="3555"/>
      <c r="U284" s="3557">
        <f t="shared" si="21"/>
        <v>0</v>
      </c>
      <c r="V284" s="3555"/>
      <c r="W284" s="3555"/>
      <c r="X284" s="4"/>
      <c r="Y284" s="3555"/>
      <c r="Z284" s="3555"/>
      <c r="AA284" s="3555"/>
      <c r="AB284" s="3555"/>
      <c r="AC284" s="3555"/>
      <c r="AD284" s="3555"/>
      <c r="AE284" s="3555"/>
      <c r="AF284" s="3555"/>
      <c r="AG284" s="3555"/>
      <c r="AH284" s="3555"/>
      <c r="AI284" s="63"/>
      <c r="AJ284" s="63"/>
      <c r="AK284" s="63"/>
      <c r="AL284" s="63"/>
      <c r="AM284" s="63"/>
    </row>
    <row r="285" spans="1:39" s="64" customFormat="1" ht="19">
      <c r="A285" s="58">
        <v>236001</v>
      </c>
      <c r="B285" s="59"/>
      <c r="C285" s="47"/>
      <c r="D285" s="65" t="s">
        <v>697</v>
      </c>
      <c r="E285" s="75">
        <f>Fortalezas!D225</f>
        <v>0</v>
      </c>
      <c r="F285" s="75">
        <f>Fortalezas!E225</f>
        <v>0</v>
      </c>
      <c r="G285" s="75">
        <f>Fortalezas!F225</f>
        <v>0</v>
      </c>
      <c r="H285" s="75">
        <f>Fortalezas!G225</f>
        <v>0</v>
      </c>
      <c r="I285" s="76">
        <f>Fortalezas!H225</f>
        <v>0</v>
      </c>
      <c r="J285" s="4"/>
      <c r="K285" s="4"/>
      <c r="L285" s="3555"/>
      <c r="M285" s="4"/>
      <c r="N285" s="4"/>
      <c r="O285" s="4"/>
      <c r="P285" s="3558"/>
      <c r="Q285" s="3555"/>
      <c r="R285" s="3555"/>
      <c r="S285" s="3556">
        <v>0</v>
      </c>
      <c r="T285" s="3555"/>
      <c r="U285" s="3557">
        <f t="shared" si="21"/>
        <v>0</v>
      </c>
      <c r="V285" s="3555"/>
      <c r="W285" s="3555"/>
      <c r="X285" s="4"/>
      <c r="Y285" s="3555"/>
      <c r="Z285" s="3555"/>
      <c r="AA285" s="3555"/>
      <c r="AB285" s="3555"/>
      <c r="AC285" s="3555"/>
      <c r="AD285" s="3555"/>
      <c r="AE285" s="3555"/>
      <c r="AF285" s="3555"/>
      <c r="AG285" s="3555"/>
      <c r="AH285" s="3555"/>
      <c r="AI285" s="63"/>
      <c r="AJ285" s="63"/>
      <c r="AK285" s="63"/>
      <c r="AL285" s="63"/>
      <c r="AM285" s="63"/>
    </row>
    <row r="286" spans="1:39" s="64" customFormat="1" ht="19">
      <c r="A286" s="58">
        <v>236501</v>
      </c>
      <c r="B286" s="59"/>
      <c r="C286" s="47"/>
      <c r="D286" s="65" t="s">
        <v>698</v>
      </c>
      <c r="E286" s="75">
        <f>Fortalezas!D226</f>
        <v>0</v>
      </c>
      <c r="F286" s="75">
        <f>Fortalezas!E226</f>
        <v>0</v>
      </c>
      <c r="G286" s="75">
        <f>Fortalezas!F226</f>
        <v>0</v>
      </c>
      <c r="H286" s="75">
        <f>Fortalezas!G226</f>
        <v>0</v>
      </c>
      <c r="I286" s="76">
        <f>Fortalezas!H226</f>
        <v>0</v>
      </c>
      <c r="J286" s="4"/>
      <c r="K286" s="4"/>
      <c r="L286" s="3555"/>
      <c r="M286" s="4"/>
      <c r="N286" s="4"/>
      <c r="O286" s="4"/>
      <c r="P286" s="3558"/>
      <c r="Q286" s="3555"/>
      <c r="R286" s="3555"/>
      <c r="S286" s="3556">
        <v>0</v>
      </c>
      <c r="T286" s="3555"/>
      <c r="U286" s="3557">
        <f t="shared" si="21"/>
        <v>0</v>
      </c>
      <c r="V286" s="3555"/>
      <c r="W286" s="3555"/>
      <c r="X286" s="4"/>
      <c r="Y286" s="3555"/>
      <c r="Z286" s="3555"/>
      <c r="AA286" s="3555"/>
      <c r="AB286" s="3555"/>
      <c r="AC286" s="3555"/>
      <c r="AD286" s="3555"/>
      <c r="AE286" s="3555"/>
      <c r="AF286" s="3555"/>
      <c r="AG286" s="3555"/>
      <c r="AH286" s="3555"/>
      <c r="AI286" s="63"/>
      <c r="AJ286" s="63"/>
      <c r="AK286" s="63"/>
      <c r="AL286" s="63"/>
      <c r="AM286" s="63"/>
    </row>
    <row r="287" spans="1:39" s="64" customFormat="1" ht="19">
      <c r="A287" s="58">
        <v>236701</v>
      </c>
      <c r="B287" s="59"/>
      <c r="C287" s="47"/>
      <c r="D287" s="65" t="s">
        <v>745</v>
      </c>
      <c r="E287" s="75">
        <f>Fortalezas!D227</f>
        <v>0</v>
      </c>
      <c r="F287" s="75">
        <f>Fortalezas!E227</f>
        <v>0</v>
      </c>
      <c r="G287" s="75">
        <f>Fortalezas!F227</f>
        <v>0</v>
      </c>
      <c r="H287" s="75">
        <f>Fortalezas!G227</f>
        <v>0</v>
      </c>
      <c r="I287" s="76">
        <f>Fortalezas!H227</f>
        <v>0</v>
      </c>
      <c r="J287" s="4"/>
      <c r="K287" s="4"/>
      <c r="L287" s="3555"/>
      <c r="M287" s="4"/>
      <c r="N287" s="4"/>
      <c r="O287" s="4"/>
      <c r="P287" s="3558"/>
      <c r="Q287" s="3555"/>
      <c r="R287" s="3555"/>
      <c r="S287" s="3556">
        <v>0</v>
      </c>
      <c r="T287" s="3555"/>
      <c r="U287" s="3557">
        <f t="shared" si="21"/>
        <v>0</v>
      </c>
      <c r="V287" s="3555"/>
      <c r="W287" s="3555"/>
      <c r="X287" s="4"/>
      <c r="Y287" s="3555"/>
      <c r="Z287" s="3555"/>
      <c r="AA287" s="3555"/>
      <c r="AB287" s="3555"/>
      <c r="AC287" s="3555"/>
      <c r="AD287" s="3555"/>
      <c r="AE287" s="3555"/>
      <c r="AF287" s="3555"/>
      <c r="AG287" s="3555"/>
      <c r="AH287" s="3555"/>
      <c r="AI287" s="63"/>
      <c r="AJ287" s="63"/>
      <c r="AK287" s="63"/>
      <c r="AL287" s="63"/>
      <c r="AM287" s="63"/>
    </row>
    <row r="288" spans="1:39" s="64" customFormat="1" ht="19">
      <c r="A288" s="58">
        <v>237001</v>
      </c>
      <c r="B288" s="59"/>
      <c r="C288" s="47"/>
      <c r="D288" s="65" t="s">
        <v>701</v>
      </c>
      <c r="E288" s="75">
        <f>Fortalezas!D228</f>
        <v>0</v>
      </c>
      <c r="F288" s="75">
        <f>Fortalezas!E228</f>
        <v>0</v>
      </c>
      <c r="G288" s="75">
        <f>Fortalezas!F228</f>
        <v>0</v>
      </c>
      <c r="H288" s="75">
        <f>Fortalezas!G228</f>
        <v>0</v>
      </c>
      <c r="I288" s="76">
        <f>Fortalezas!H228</f>
        <v>0</v>
      </c>
      <c r="J288" s="4"/>
      <c r="K288" s="4"/>
      <c r="L288" s="3555"/>
      <c r="M288" s="4"/>
      <c r="N288" s="4"/>
      <c r="O288" s="4"/>
      <c r="P288" s="3558"/>
      <c r="Q288" s="3555"/>
      <c r="R288" s="3555"/>
      <c r="S288" s="3556">
        <v>0</v>
      </c>
      <c r="T288" s="3555"/>
      <c r="U288" s="3557">
        <f t="shared" si="21"/>
        <v>0</v>
      </c>
      <c r="V288" s="3555"/>
      <c r="W288" s="3555"/>
      <c r="X288" s="4"/>
      <c r="Y288" s="3555"/>
      <c r="Z288" s="3555"/>
      <c r="AA288" s="3555"/>
      <c r="AB288" s="3555"/>
      <c r="AC288" s="3555"/>
      <c r="AD288" s="3555"/>
      <c r="AE288" s="3555"/>
      <c r="AF288" s="3555"/>
      <c r="AG288" s="3555"/>
      <c r="AH288" s="3555"/>
      <c r="AI288" s="63"/>
      <c r="AJ288" s="63"/>
      <c r="AK288" s="63"/>
      <c r="AL288" s="63"/>
      <c r="AM288" s="63"/>
    </row>
    <row r="289" spans="1:39" s="64" customFormat="1" ht="19">
      <c r="A289" s="58">
        <v>238001</v>
      </c>
      <c r="B289" s="59"/>
      <c r="C289" s="47"/>
      <c r="D289" s="65" t="s">
        <v>702</v>
      </c>
      <c r="E289" s="75">
        <f>Fortalezas!D229</f>
        <v>0</v>
      </c>
      <c r="F289" s="75">
        <f>Fortalezas!E229</f>
        <v>0</v>
      </c>
      <c r="G289" s="75">
        <f>Fortalezas!F229</f>
        <v>0</v>
      </c>
      <c r="H289" s="75">
        <f>Fortalezas!G229</f>
        <v>0</v>
      </c>
      <c r="I289" s="76">
        <f>Fortalezas!H229</f>
        <v>0</v>
      </c>
      <c r="J289" s="4"/>
      <c r="K289" s="4"/>
      <c r="L289" s="3555"/>
      <c r="M289" s="4"/>
      <c r="N289" s="4"/>
      <c r="O289" s="4"/>
      <c r="P289" s="3558"/>
      <c r="Q289" s="3555"/>
      <c r="R289" s="3555"/>
      <c r="S289" s="3556">
        <v>0</v>
      </c>
      <c r="T289" s="3555"/>
      <c r="U289" s="3557">
        <f t="shared" si="21"/>
        <v>0</v>
      </c>
      <c r="V289" s="3555"/>
      <c r="W289" s="3555"/>
      <c r="X289" s="4"/>
      <c r="Y289" s="3555"/>
      <c r="Z289" s="3555"/>
      <c r="AA289" s="3555"/>
      <c r="AB289" s="3555"/>
      <c r="AC289" s="3555"/>
      <c r="AD289" s="3555"/>
      <c r="AE289" s="3555"/>
      <c r="AF289" s="3555"/>
      <c r="AG289" s="3555"/>
      <c r="AH289" s="3555"/>
      <c r="AI289" s="63"/>
      <c r="AJ289" s="63"/>
      <c r="AK289" s="63"/>
      <c r="AL289" s="63"/>
      <c r="AM289" s="63"/>
    </row>
    <row r="290" spans="1:39" s="64" customFormat="1" ht="19">
      <c r="A290" s="58">
        <v>2203</v>
      </c>
      <c r="B290" s="59"/>
      <c r="C290" s="66" t="s">
        <v>746</v>
      </c>
      <c r="D290" s="67"/>
      <c r="E290" s="68">
        <f>SUM(E275:E289)</f>
        <v>0</v>
      </c>
      <c r="F290" s="68">
        <f>SUM(F275:F289)</f>
        <v>0</v>
      </c>
      <c r="G290" s="68">
        <f>SUM(G275:G289)</f>
        <v>0</v>
      </c>
      <c r="H290" s="68">
        <f>SUM(H275:H289)</f>
        <v>0</v>
      </c>
      <c r="I290" s="69">
        <f>SUM(I275:I289)</f>
        <v>0</v>
      </c>
      <c r="J290" s="4"/>
      <c r="K290" s="4"/>
      <c r="L290" s="3555"/>
      <c r="M290" s="4"/>
      <c r="N290" s="4"/>
      <c r="O290" s="4"/>
      <c r="P290" s="3558"/>
      <c r="Q290" s="3555"/>
      <c r="R290" s="3555"/>
      <c r="S290" s="3556">
        <v>0</v>
      </c>
      <c r="T290" s="3555"/>
      <c r="U290" s="3557">
        <f t="shared" si="21"/>
        <v>0</v>
      </c>
      <c r="V290" s="3555"/>
      <c r="W290" s="3555"/>
      <c r="X290" s="4"/>
      <c r="Y290" s="3555"/>
      <c r="Z290" s="3555"/>
      <c r="AA290" s="3555"/>
      <c r="AB290" s="3555"/>
      <c r="AC290" s="3555"/>
      <c r="AD290" s="3555"/>
      <c r="AE290" s="3555"/>
      <c r="AF290" s="3555"/>
      <c r="AG290" s="3555"/>
      <c r="AH290" s="3555"/>
      <c r="AI290" s="63"/>
      <c r="AJ290" s="63"/>
      <c r="AK290" s="63"/>
      <c r="AL290" s="63"/>
      <c r="AM290" s="63"/>
    </row>
    <row r="291" spans="1:39" s="64" customFormat="1" ht="19">
      <c r="A291" s="58"/>
      <c r="B291" s="53"/>
      <c r="C291" s="54" t="s">
        <v>747</v>
      </c>
      <c r="D291" s="71"/>
      <c r="E291" s="72"/>
      <c r="F291" s="72"/>
      <c r="G291" s="72"/>
      <c r="H291" s="72"/>
      <c r="I291" s="73"/>
      <c r="J291" s="4"/>
      <c r="K291" s="4"/>
      <c r="L291" s="3555"/>
      <c r="M291" s="4"/>
      <c r="N291" s="4"/>
      <c r="O291" s="4"/>
      <c r="P291" s="3558"/>
      <c r="Q291" s="3555"/>
      <c r="R291" s="3555"/>
      <c r="S291" s="3556">
        <v>0</v>
      </c>
      <c r="T291" s="3555"/>
      <c r="U291" s="3557">
        <f>U302</f>
        <v>0</v>
      </c>
      <c r="V291" s="3555"/>
      <c r="W291" s="3555"/>
      <c r="X291" s="4"/>
      <c r="Y291" s="3555"/>
      <c r="Z291" s="3555"/>
      <c r="AA291" s="3555"/>
      <c r="AB291" s="3555"/>
      <c r="AC291" s="3555"/>
      <c r="AD291" s="3555"/>
      <c r="AE291" s="3555"/>
      <c r="AF291" s="3555"/>
      <c r="AG291" s="3555"/>
      <c r="AH291" s="3555"/>
      <c r="AI291" s="63"/>
      <c r="AJ291" s="63"/>
      <c r="AK291" s="63"/>
      <c r="AL291" s="63"/>
      <c r="AM291" s="63"/>
    </row>
    <row r="292" spans="1:39" s="64" customFormat="1" ht="19">
      <c r="A292" s="58">
        <v>240401</v>
      </c>
      <c r="B292" s="59"/>
      <c r="C292" s="47"/>
      <c r="D292" s="60" t="s">
        <v>748</v>
      </c>
      <c r="E292" s="61">
        <f>Fortalezas!D231</f>
        <v>0</v>
      </c>
      <c r="F292" s="61">
        <f>Fortalezas!E231</f>
        <v>0</v>
      </c>
      <c r="G292" s="61">
        <f>Fortalezas!F231</f>
        <v>0</v>
      </c>
      <c r="H292" s="61">
        <f>Fortalezas!G231</f>
        <v>0</v>
      </c>
      <c r="I292" s="62">
        <f>Fortalezas!H231</f>
        <v>0</v>
      </c>
      <c r="J292" s="4"/>
      <c r="K292" s="4"/>
      <c r="L292" s="3555"/>
      <c r="M292" s="4"/>
      <c r="N292" s="4"/>
      <c r="O292" s="4"/>
      <c r="P292" s="3558"/>
      <c r="Q292" s="3555"/>
      <c r="R292" s="3555"/>
      <c r="S292" s="3556">
        <v>0</v>
      </c>
      <c r="T292" s="3555"/>
      <c r="U292" s="3557">
        <f t="shared" ref="U292:U302" si="22">SUM(E292:I292)</f>
        <v>0</v>
      </c>
      <c r="V292" s="3555"/>
      <c r="W292" s="3555"/>
      <c r="X292" s="4"/>
      <c r="Y292" s="3555"/>
      <c r="Z292" s="3555"/>
      <c r="AA292" s="3555"/>
      <c r="AB292" s="3555"/>
      <c r="AC292" s="3555"/>
      <c r="AD292" s="3555"/>
      <c r="AE292" s="3555"/>
      <c r="AF292" s="3555"/>
      <c r="AG292" s="3555"/>
      <c r="AH292" s="3555"/>
      <c r="AI292" s="63"/>
      <c r="AJ292" s="63"/>
      <c r="AK292" s="63"/>
      <c r="AL292" s="63"/>
      <c r="AM292" s="63"/>
    </row>
    <row r="293" spans="1:39" s="64" customFormat="1" ht="19">
      <c r="A293" s="58">
        <v>240801</v>
      </c>
      <c r="B293" s="59"/>
      <c r="C293" s="47"/>
      <c r="D293" s="65" t="s">
        <v>706</v>
      </c>
      <c r="E293" s="75">
        <f>Fortalezas!D232</f>
        <v>0</v>
      </c>
      <c r="F293" s="75">
        <f>Fortalezas!E232</f>
        <v>0</v>
      </c>
      <c r="G293" s="75">
        <f>Fortalezas!F232</f>
        <v>0</v>
      </c>
      <c r="H293" s="75">
        <f>Fortalezas!G232</f>
        <v>0</v>
      </c>
      <c r="I293" s="76">
        <f>Fortalezas!H232</f>
        <v>0</v>
      </c>
      <c r="J293" s="4"/>
      <c r="K293" s="4"/>
      <c r="L293" s="3555"/>
      <c r="M293" s="4"/>
      <c r="N293" s="4"/>
      <c r="O293" s="4"/>
      <c r="P293" s="3558"/>
      <c r="Q293" s="3555"/>
      <c r="R293" s="3555"/>
      <c r="S293" s="3556">
        <v>0</v>
      </c>
      <c r="T293" s="3555"/>
      <c r="U293" s="3557">
        <f t="shared" si="22"/>
        <v>0</v>
      </c>
      <c r="V293" s="3555"/>
      <c r="W293" s="3555"/>
      <c r="X293" s="4"/>
      <c r="Y293" s="3555"/>
      <c r="Z293" s="3555"/>
      <c r="AA293" s="3555"/>
      <c r="AB293" s="3555"/>
      <c r="AC293" s="3555"/>
      <c r="AD293" s="3555"/>
      <c r="AE293" s="3555"/>
      <c r="AF293" s="3555"/>
      <c r="AG293" s="3555"/>
      <c r="AH293" s="3555"/>
      <c r="AI293" s="63"/>
      <c r="AJ293" s="63"/>
      <c r="AK293" s="63"/>
      <c r="AL293" s="63"/>
      <c r="AM293" s="63"/>
    </row>
    <row r="294" spans="1:39" s="64" customFormat="1" ht="19">
      <c r="A294" s="58">
        <v>241201</v>
      </c>
      <c r="B294" s="59"/>
      <c r="C294" s="47"/>
      <c r="D294" s="65" t="s">
        <v>707</v>
      </c>
      <c r="E294" s="75">
        <f>Fortalezas!D233</f>
        <v>0</v>
      </c>
      <c r="F294" s="75">
        <f>Fortalezas!E233</f>
        <v>0</v>
      </c>
      <c r="G294" s="75">
        <f>Fortalezas!F233</f>
        <v>0</v>
      </c>
      <c r="H294" s="75">
        <f>Fortalezas!G233</f>
        <v>0</v>
      </c>
      <c r="I294" s="76">
        <f>Fortalezas!H233</f>
        <v>0</v>
      </c>
      <c r="J294" s="4"/>
      <c r="K294" s="4"/>
      <c r="L294" s="3555"/>
      <c r="M294" s="4"/>
      <c r="N294" s="4"/>
      <c r="O294" s="4"/>
      <c r="P294" s="3558"/>
      <c r="Q294" s="3555"/>
      <c r="R294" s="3555"/>
      <c r="S294" s="3556">
        <v>0</v>
      </c>
      <c r="T294" s="3555"/>
      <c r="U294" s="3557">
        <f t="shared" si="22"/>
        <v>0</v>
      </c>
      <c r="V294" s="3555"/>
      <c r="W294" s="3555"/>
      <c r="X294" s="4"/>
      <c r="Y294" s="3555"/>
      <c r="Z294" s="3555"/>
      <c r="AA294" s="3555"/>
      <c r="AB294" s="3555"/>
      <c r="AC294" s="3555"/>
      <c r="AD294" s="3555"/>
      <c r="AE294" s="3555"/>
      <c r="AF294" s="3555"/>
      <c r="AG294" s="3555"/>
      <c r="AH294" s="3555"/>
      <c r="AI294" s="63"/>
      <c r="AJ294" s="63"/>
      <c r="AK294" s="63"/>
      <c r="AL294" s="63"/>
      <c r="AM294" s="63"/>
    </row>
    <row r="295" spans="1:39" s="64" customFormat="1" ht="19">
      <c r="A295" s="58">
        <v>249501</v>
      </c>
      <c r="B295" s="59"/>
      <c r="C295" s="47"/>
      <c r="D295" s="65" t="s">
        <v>453</v>
      </c>
      <c r="E295" s="75">
        <f>Fortalezas!D234</f>
        <v>0</v>
      </c>
      <c r="F295" s="75">
        <f>Fortalezas!E234</f>
        <v>0</v>
      </c>
      <c r="G295" s="75">
        <f>Fortalezas!F234</f>
        <v>0</v>
      </c>
      <c r="H295" s="75">
        <f>Fortalezas!G234</f>
        <v>0</v>
      </c>
      <c r="I295" s="76">
        <f>Fortalezas!H234</f>
        <v>0</v>
      </c>
      <c r="J295" s="4"/>
      <c r="K295" s="4"/>
      <c r="L295" s="3555"/>
      <c r="M295" s="4"/>
      <c r="N295" s="4"/>
      <c r="O295" s="4"/>
      <c r="P295" s="3558"/>
      <c r="Q295" s="3555"/>
      <c r="R295" s="3555"/>
      <c r="S295" s="3556">
        <v>0</v>
      </c>
      <c r="T295" s="3555"/>
      <c r="U295" s="3557">
        <f t="shared" si="22"/>
        <v>0</v>
      </c>
      <c r="V295" s="3555"/>
      <c r="W295" s="3555"/>
      <c r="X295" s="4"/>
      <c r="Y295" s="3555"/>
      <c r="Z295" s="3555"/>
      <c r="AA295" s="3555"/>
      <c r="AB295" s="3555"/>
      <c r="AC295" s="3555"/>
      <c r="AD295" s="3555"/>
      <c r="AE295" s="3555"/>
      <c r="AF295" s="3555"/>
      <c r="AG295" s="3555"/>
      <c r="AH295" s="3555"/>
      <c r="AI295" s="63"/>
      <c r="AJ295" s="63"/>
      <c r="AK295" s="63"/>
      <c r="AL295" s="63"/>
      <c r="AM295" s="63"/>
    </row>
    <row r="296" spans="1:39" s="64" customFormat="1" ht="19" hidden="1" customHeight="1">
      <c r="A296" s="58"/>
      <c r="B296" s="59"/>
      <c r="C296" s="47"/>
      <c r="D296" s="65"/>
      <c r="E296" s="75"/>
      <c r="F296" s="75"/>
      <c r="G296" s="78"/>
      <c r="H296" s="78"/>
      <c r="I296" s="79"/>
      <c r="J296" s="4"/>
      <c r="K296" s="4"/>
      <c r="L296" s="3555"/>
      <c r="M296" s="4"/>
      <c r="N296" s="4"/>
      <c r="O296" s="4"/>
      <c r="P296" s="3558"/>
      <c r="Q296" s="3555"/>
      <c r="R296" s="3555"/>
      <c r="S296" s="3556">
        <v>1</v>
      </c>
      <c r="T296" s="3555"/>
      <c r="U296" s="3557">
        <f t="shared" si="22"/>
        <v>0</v>
      </c>
      <c r="V296" s="3555"/>
      <c r="W296" s="3555"/>
      <c r="X296" s="4"/>
      <c r="Y296" s="3555"/>
      <c r="Z296" s="3555"/>
      <c r="AA296" s="3555"/>
      <c r="AB296" s="3555"/>
      <c r="AC296" s="3555"/>
      <c r="AD296" s="3555"/>
      <c r="AE296" s="3555"/>
      <c r="AF296" s="3555"/>
      <c r="AG296" s="3555"/>
      <c r="AH296" s="3555"/>
      <c r="AI296" s="63"/>
      <c r="AJ296" s="63"/>
      <c r="AK296" s="63"/>
      <c r="AL296" s="63"/>
      <c r="AM296" s="63"/>
    </row>
    <row r="297" spans="1:39" s="64" customFormat="1" ht="19" hidden="1" customHeight="1">
      <c r="A297" s="58"/>
      <c r="B297" s="59"/>
      <c r="C297" s="47"/>
      <c r="D297" s="65"/>
      <c r="E297" s="75"/>
      <c r="F297" s="75"/>
      <c r="G297" s="78"/>
      <c r="H297" s="78"/>
      <c r="I297" s="79"/>
      <c r="J297" s="4"/>
      <c r="K297" s="4"/>
      <c r="L297" s="3555"/>
      <c r="M297" s="4"/>
      <c r="N297" s="4"/>
      <c r="O297" s="4"/>
      <c r="P297" s="3558"/>
      <c r="Q297" s="3555"/>
      <c r="R297" s="3555"/>
      <c r="S297" s="3556">
        <v>1</v>
      </c>
      <c r="T297" s="3555"/>
      <c r="U297" s="3557">
        <f t="shared" si="22"/>
        <v>0</v>
      </c>
      <c r="V297" s="3555"/>
      <c r="W297" s="3555"/>
      <c r="X297" s="4"/>
      <c r="Y297" s="3555"/>
      <c r="Z297" s="3555"/>
      <c r="AA297" s="3555"/>
      <c r="AB297" s="3555"/>
      <c r="AC297" s="3555"/>
      <c r="AD297" s="3555"/>
      <c r="AE297" s="3555"/>
      <c r="AF297" s="3555"/>
      <c r="AG297" s="3555"/>
      <c r="AH297" s="3555"/>
      <c r="AI297" s="63"/>
      <c r="AJ297" s="63"/>
      <c r="AK297" s="63"/>
      <c r="AL297" s="63"/>
      <c r="AM297" s="63"/>
    </row>
    <row r="298" spans="1:39" s="64" customFormat="1" ht="19" hidden="1" customHeight="1">
      <c r="A298" s="58"/>
      <c r="B298" s="59"/>
      <c r="C298" s="47"/>
      <c r="D298" s="65"/>
      <c r="E298" s="75"/>
      <c r="F298" s="75"/>
      <c r="G298" s="78"/>
      <c r="H298" s="78"/>
      <c r="I298" s="79"/>
      <c r="J298" s="4"/>
      <c r="K298" s="4"/>
      <c r="L298" s="3555"/>
      <c r="M298" s="4"/>
      <c r="N298" s="4"/>
      <c r="O298" s="4"/>
      <c r="P298" s="3558"/>
      <c r="Q298" s="3555"/>
      <c r="R298" s="3555"/>
      <c r="S298" s="3556">
        <v>1</v>
      </c>
      <c r="T298" s="3555"/>
      <c r="U298" s="3557">
        <f t="shared" si="22"/>
        <v>0</v>
      </c>
      <c r="V298" s="3555"/>
      <c r="W298" s="3555"/>
      <c r="X298" s="4"/>
      <c r="Y298" s="3555"/>
      <c r="Z298" s="3555"/>
      <c r="AA298" s="3555"/>
      <c r="AB298" s="3555"/>
      <c r="AC298" s="3555"/>
      <c r="AD298" s="3555"/>
      <c r="AE298" s="3555"/>
      <c r="AF298" s="3555"/>
      <c r="AG298" s="3555"/>
      <c r="AH298" s="3555"/>
      <c r="AI298" s="63"/>
      <c r="AJ298" s="63"/>
      <c r="AK298" s="63"/>
      <c r="AL298" s="63"/>
      <c r="AM298" s="63"/>
    </row>
    <row r="299" spans="1:39" s="64" customFormat="1" ht="19" hidden="1" customHeight="1">
      <c r="A299" s="58"/>
      <c r="B299" s="59"/>
      <c r="C299" s="47"/>
      <c r="D299" s="65"/>
      <c r="E299" s="75"/>
      <c r="F299" s="75"/>
      <c r="G299" s="78"/>
      <c r="H299" s="78"/>
      <c r="I299" s="79"/>
      <c r="J299" s="4"/>
      <c r="K299" s="4"/>
      <c r="L299" s="3555"/>
      <c r="M299" s="4"/>
      <c r="N299" s="4"/>
      <c r="O299" s="4"/>
      <c r="P299" s="3558"/>
      <c r="Q299" s="3555"/>
      <c r="R299" s="3555"/>
      <c r="S299" s="3556">
        <v>1</v>
      </c>
      <c r="T299" s="3555"/>
      <c r="U299" s="3557">
        <f t="shared" si="22"/>
        <v>0</v>
      </c>
      <c r="V299" s="3555"/>
      <c r="W299" s="3555"/>
      <c r="X299" s="4"/>
      <c r="Y299" s="3555"/>
      <c r="Z299" s="3555"/>
      <c r="AA299" s="3555"/>
      <c r="AB299" s="3555"/>
      <c r="AC299" s="3555"/>
      <c r="AD299" s="3555"/>
      <c r="AE299" s="3555"/>
      <c r="AF299" s="3555"/>
      <c r="AG299" s="3555"/>
      <c r="AH299" s="3555"/>
      <c r="AI299" s="63"/>
      <c r="AJ299" s="63"/>
      <c r="AK299" s="63"/>
      <c r="AL299" s="63"/>
      <c r="AM299" s="63"/>
    </row>
    <row r="300" spans="1:39" s="64" customFormat="1" ht="19" hidden="1" customHeight="1">
      <c r="A300" s="58"/>
      <c r="B300" s="59"/>
      <c r="C300" s="47"/>
      <c r="D300" s="65"/>
      <c r="E300" s="75"/>
      <c r="F300" s="75"/>
      <c r="G300" s="78"/>
      <c r="H300" s="78"/>
      <c r="I300" s="79"/>
      <c r="J300" s="4"/>
      <c r="K300" s="4"/>
      <c r="L300" s="3555"/>
      <c r="M300" s="4"/>
      <c r="N300" s="4"/>
      <c r="O300" s="4"/>
      <c r="P300" s="3558"/>
      <c r="Q300" s="3555"/>
      <c r="R300" s="3555"/>
      <c r="S300" s="3556">
        <v>1</v>
      </c>
      <c r="T300" s="3555"/>
      <c r="U300" s="3557">
        <f t="shared" si="22"/>
        <v>0</v>
      </c>
      <c r="V300" s="3555"/>
      <c r="W300" s="3555"/>
      <c r="X300" s="4"/>
      <c r="Y300" s="3555"/>
      <c r="Z300" s="3555"/>
      <c r="AA300" s="3555"/>
      <c r="AB300" s="3555"/>
      <c r="AC300" s="3555"/>
      <c r="AD300" s="3555"/>
      <c r="AE300" s="3555"/>
      <c r="AF300" s="3555"/>
      <c r="AG300" s="3555"/>
      <c r="AH300" s="3555"/>
      <c r="AI300" s="63"/>
      <c r="AJ300" s="63"/>
      <c r="AK300" s="63"/>
      <c r="AL300" s="63"/>
      <c r="AM300" s="63"/>
    </row>
    <row r="301" spans="1:39" s="64" customFormat="1" ht="19" hidden="1" customHeight="1">
      <c r="A301" s="58"/>
      <c r="B301" s="59"/>
      <c r="C301" s="47"/>
      <c r="D301" s="65"/>
      <c r="E301" s="75"/>
      <c r="F301" s="75"/>
      <c r="G301" s="78"/>
      <c r="H301" s="78"/>
      <c r="I301" s="79"/>
      <c r="J301" s="4"/>
      <c r="K301" s="4"/>
      <c r="L301" s="3555"/>
      <c r="M301" s="4"/>
      <c r="N301" s="4"/>
      <c r="O301" s="4"/>
      <c r="P301" s="3558"/>
      <c r="Q301" s="3555"/>
      <c r="R301" s="3555"/>
      <c r="S301" s="3556">
        <v>1</v>
      </c>
      <c r="T301" s="3555"/>
      <c r="U301" s="3557">
        <f t="shared" si="22"/>
        <v>0</v>
      </c>
      <c r="V301" s="3555"/>
      <c r="W301" s="3555"/>
      <c r="X301" s="4"/>
      <c r="Y301" s="3555"/>
      <c r="Z301" s="3555"/>
      <c r="AA301" s="3555"/>
      <c r="AB301" s="3555"/>
      <c r="AC301" s="3555"/>
      <c r="AD301" s="3555"/>
      <c r="AE301" s="3555"/>
      <c r="AF301" s="3555"/>
      <c r="AG301" s="3555"/>
      <c r="AH301" s="3555"/>
      <c r="AI301" s="63"/>
      <c r="AJ301" s="63"/>
      <c r="AK301" s="63"/>
      <c r="AL301" s="63"/>
      <c r="AM301" s="63"/>
    </row>
    <row r="302" spans="1:39" s="64" customFormat="1" ht="19">
      <c r="A302" s="58">
        <v>240001</v>
      </c>
      <c r="B302" s="59"/>
      <c r="C302" s="66" t="s">
        <v>749</v>
      </c>
      <c r="D302" s="67"/>
      <c r="E302" s="68">
        <f>SUM(E292:E295)</f>
        <v>0</v>
      </c>
      <c r="F302" s="68">
        <f>SUM(F292:F295)</f>
        <v>0</v>
      </c>
      <c r="G302" s="68">
        <f>SUM(G292:G295)</f>
        <v>0</v>
      </c>
      <c r="H302" s="68">
        <f>SUM(H292:H295)</f>
        <v>0</v>
      </c>
      <c r="I302" s="69">
        <f>SUM(I292:I295)</f>
        <v>0</v>
      </c>
      <c r="J302" s="4"/>
      <c r="K302" s="4"/>
      <c r="L302" s="3555"/>
      <c r="M302" s="4"/>
      <c r="N302" s="4"/>
      <c r="O302" s="4"/>
      <c r="P302" s="3558"/>
      <c r="Q302" s="3555"/>
      <c r="R302" s="3555"/>
      <c r="S302" s="3556">
        <v>0</v>
      </c>
      <c r="T302" s="3555"/>
      <c r="U302" s="3557">
        <f t="shared" si="22"/>
        <v>0</v>
      </c>
      <c r="V302" s="3555"/>
      <c r="W302" s="3555"/>
      <c r="X302" s="4"/>
      <c r="Y302" s="3555"/>
      <c r="Z302" s="3555"/>
      <c r="AA302" s="3555"/>
      <c r="AB302" s="3555"/>
      <c r="AC302" s="3555"/>
      <c r="AD302" s="3555"/>
      <c r="AE302" s="3555"/>
      <c r="AF302" s="3555"/>
      <c r="AG302" s="3555"/>
      <c r="AH302" s="3555"/>
      <c r="AI302" s="63"/>
      <c r="AJ302" s="63"/>
      <c r="AK302" s="63"/>
      <c r="AL302" s="63"/>
      <c r="AM302" s="63"/>
    </row>
    <row r="303" spans="1:39" s="64" customFormat="1" ht="19">
      <c r="A303" s="58"/>
      <c r="B303" s="53"/>
      <c r="C303" s="54" t="s">
        <v>750</v>
      </c>
      <c r="D303" s="71"/>
      <c r="E303" s="72"/>
      <c r="F303" s="72"/>
      <c r="G303" s="72"/>
      <c r="H303" s="72"/>
      <c r="I303" s="73"/>
      <c r="J303" s="4"/>
      <c r="K303" s="4"/>
      <c r="L303" s="3555"/>
      <c r="M303" s="4"/>
      <c r="N303" s="4"/>
      <c r="O303" s="4"/>
      <c r="P303" s="3558"/>
      <c r="Q303" s="3555"/>
      <c r="R303" s="3555"/>
      <c r="S303" s="3556">
        <v>0</v>
      </c>
      <c r="T303" s="3555"/>
      <c r="U303" s="3557">
        <f>U310</f>
        <v>0</v>
      </c>
      <c r="V303" s="3555"/>
      <c r="W303" s="3555"/>
      <c r="X303" s="4"/>
      <c r="Y303" s="3555"/>
      <c r="Z303" s="3555"/>
      <c r="AA303" s="3555"/>
      <c r="AB303" s="3555"/>
      <c r="AC303" s="3555"/>
      <c r="AD303" s="3555"/>
      <c r="AE303" s="3555"/>
      <c r="AF303" s="3555"/>
      <c r="AG303" s="3555"/>
      <c r="AH303" s="3555"/>
      <c r="AI303" s="63"/>
      <c r="AJ303" s="63"/>
      <c r="AK303" s="63"/>
      <c r="AL303" s="63"/>
      <c r="AM303" s="63"/>
    </row>
    <row r="304" spans="1:39" s="64" customFormat="1" ht="19">
      <c r="A304" s="58">
        <v>250501</v>
      </c>
      <c r="B304" s="59"/>
      <c r="C304" s="47"/>
      <c r="D304" s="60" t="s">
        <v>710</v>
      </c>
      <c r="E304" s="61">
        <f>Fortalezas!D236</f>
        <v>0</v>
      </c>
      <c r="F304" s="61">
        <f>Fortalezas!E236</f>
        <v>0</v>
      </c>
      <c r="G304" s="61">
        <f>Fortalezas!F236</f>
        <v>0</v>
      </c>
      <c r="H304" s="61">
        <f>Fortalezas!G236</f>
        <v>0</v>
      </c>
      <c r="I304" s="62">
        <f>Fortalezas!H236</f>
        <v>0</v>
      </c>
      <c r="J304" s="4"/>
      <c r="K304" s="4"/>
      <c r="L304" s="3555"/>
      <c r="M304" s="4"/>
      <c r="N304" s="4"/>
      <c r="O304" s="4"/>
      <c r="P304" s="3558"/>
      <c r="Q304" s="3555"/>
      <c r="R304" s="3555"/>
      <c r="S304" s="3556">
        <v>0</v>
      </c>
      <c r="T304" s="3555"/>
      <c r="U304" s="3557">
        <f t="shared" ref="U304:U310" si="23">SUM(E304:I304)</f>
        <v>0</v>
      </c>
      <c r="V304" s="3555"/>
      <c r="W304" s="3555"/>
      <c r="X304" s="4"/>
      <c r="Y304" s="3555"/>
      <c r="Z304" s="3555"/>
      <c r="AA304" s="3555"/>
      <c r="AB304" s="3555"/>
      <c r="AC304" s="3555"/>
      <c r="AD304" s="3555"/>
      <c r="AE304" s="3555"/>
      <c r="AF304" s="3555"/>
      <c r="AG304" s="3555"/>
      <c r="AH304" s="3555"/>
      <c r="AI304" s="63"/>
      <c r="AJ304" s="63"/>
      <c r="AK304" s="63"/>
      <c r="AL304" s="63"/>
      <c r="AM304" s="63"/>
    </row>
    <row r="305" spans="1:39" s="64" customFormat="1" ht="19">
      <c r="A305" s="58">
        <v>251001</v>
      </c>
      <c r="B305" s="59"/>
      <c r="C305" s="47"/>
      <c r="D305" s="65" t="s">
        <v>711</v>
      </c>
      <c r="E305" s="75">
        <f>Fortalezas!D237</f>
        <v>0</v>
      </c>
      <c r="F305" s="75">
        <f>Fortalezas!E237</f>
        <v>0</v>
      </c>
      <c r="G305" s="75">
        <f>Fortalezas!F237</f>
        <v>0</v>
      </c>
      <c r="H305" s="75">
        <f>Fortalezas!G237</f>
        <v>0</v>
      </c>
      <c r="I305" s="76">
        <f>Fortalezas!H237</f>
        <v>0</v>
      </c>
      <c r="J305" s="4"/>
      <c r="K305" s="4"/>
      <c r="L305" s="3555"/>
      <c r="M305" s="4"/>
      <c r="N305" s="4"/>
      <c r="O305" s="4"/>
      <c r="P305" s="3558"/>
      <c r="Q305" s="3555"/>
      <c r="R305" s="3555"/>
      <c r="S305" s="3556">
        <v>0</v>
      </c>
      <c r="T305" s="3555"/>
      <c r="U305" s="3557">
        <f t="shared" si="23"/>
        <v>0</v>
      </c>
      <c r="V305" s="3555"/>
      <c r="W305" s="3555"/>
      <c r="X305" s="4"/>
      <c r="Y305" s="3555"/>
      <c r="Z305" s="3555"/>
      <c r="AA305" s="3555"/>
      <c r="AB305" s="3555"/>
      <c r="AC305" s="3555"/>
      <c r="AD305" s="3555"/>
      <c r="AE305" s="3555"/>
      <c r="AF305" s="3555"/>
      <c r="AG305" s="3555"/>
      <c r="AH305" s="3555"/>
      <c r="AI305" s="63"/>
      <c r="AJ305" s="63"/>
      <c r="AK305" s="63"/>
      <c r="AL305" s="63"/>
      <c r="AM305" s="63"/>
    </row>
    <row r="306" spans="1:39" s="64" customFormat="1" ht="19">
      <c r="A306" s="58">
        <v>251501</v>
      </c>
      <c r="B306" s="59"/>
      <c r="C306" s="47"/>
      <c r="D306" s="65" t="s">
        <v>712</v>
      </c>
      <c r="E306" s="75">
        <f>Fortalezas!D238</f>
        <v>0</v>
      </c>
      <c r="F306" s="75">
        <f>Fortalezas!E238</f>
        <v>0</v>
      </c>
      <c r="G306" s="75">
        <f>Fortalezas!F238</f>
        <v>0</v>
      </c>
      <c r="H306" s="75">
        <f>Fortalezas!G238</f>
        <v>0</v>
      </c>
      <c r="I306" s="76">
        <f>Fortalezas!H238</f>
        <v>0</v>
      </c>
      <c r="J306" s="4"/>
      <c r="K306" s="4"/>
      <c r="L306" s="3555"/>
      <c r="M306" s="4"/>
      <c r="N306" s="4"/>
      <c r="O306" s="4"/>
      <c r="P306" s="3558"/>
      <c r="Q306" s="3555"/>
      <c r="R306" s="3555"/>
      <c r="S306" s="3556">
        <v>0</v>
      </c>
      <c r="T306" s="3555"/>
      <c r="U306" s="3557">
        <f t="shared" si="23"/>
        <v>0</v>
      </c>
      <c r="V306" s="3555"/>
      <c r="W306" s="3555"/>
      <c r="X306" s="4"/>
      <c r="Y306" s="3555"/>
      <c r="Z306" s="3555"/>
      <c r="AA306" s="3555"/>
      <c r="AB306" s="3555"/>
      <c r="AC306" s="3555"/>
      <c r="AD306" s="3555"/>
      <c r="AE306" s="3555"/>
      <c r="AF306" s="3555"/>
      <c r="AG306" s="3555"/>
      <c r="AH306" s="3555"/>
      <c r="AI306" s="63"/>
      <c r="AJ306" s="63"/>
      <c r="AK306" s="63"/>
      <c r="AL306" s="63"/>
      <c r="AM306" s="63"/>
    </row>
    <row r="307" spans="1:39" s="64" customFormat="1" ht="19">
      <c r="A307" s="58">
        <v>252501</v>
      </c>
      <c r="B307" s="59"/>
      <c r="C307" s="47"/>
      <c r="D307" s="65" t="s">
        <v>713</v>
      </c>
      <c r="E307" s="75">
        <f>Fortalezas!D239</f>
        <v>0</v>
      </c>
      <c r="F307" s="75">
        <f>Fortalezas!E239</f>
        <v>0</v>
      </c>
      <c r="G307" s="75">
        <f>Fortalezas!F239</f>
        <v>0</v>
      </c>
      <c r="H307" s="75">
        <f>Fortalezas!G239</f>
        <v>0</v>
      </c>
      <c r="I307" s="76">
        <f>Fortalezas!H239</f>
        <v>0</v>
      </c>
      <c r="J307" s="4"/>
      <c r="K307" s="4"/>
      <c r="L307" s="3555"/>
      <c r="M307" s="4"/>
      <c r="N307" s="4"/>
      <c r="O307" s="4"/>
      <c r="P307" s="3558"/>
      <c r="Q307" s="3555"/>
      <c r="R307" s="3555"/>
      <c r="S307" s="3556">
        <v>0</v>
      </c>
      <c r="T307" s="3555"/>
      <c r="U307" s="3557">
        <f t="shared" si="23"/>
        <v>0</v>
      </c>
      <c r="V307" s="3555"/>
      <c r="W307" s="3555"/>
      <c r="X307" s="4"/>
      <c r="Y307" s="3555"/>
      <c r="Z307" s="3555"/>
      <c r="AA307" s="3555"/>
      <c r="AB307" s="3555"/>
      <c r="AC307" s="3555"/>
      <c r="AD307" s="3555"/>
      <c r="AE307" s="3555"/>
      <c r="AF307" s="3555"/>
      <c r="AG307" s="3555"/>
      <c r="AH307" s="3555"/>
      <c r="AI307" s="63"/>
      <c r="AJ307" s="63"/>
      <c r="AK307" s="63"/>
      <c r="AL307" s="63"/>
      <c r="AM307" s="63"/>
    </row>
    <row r="308" spans="1:39" s="64" customFormat="1" ht="19">
      <c r="A308" s="58">
        <v>253001</v>
      </c>
      <c r="B308" s="59"/>
      <c r="C308" s="47"/>
      <c r="D308" s="65" t="s">
        <v>714</v>
      </c>
      <c r="E308" s="75">
        <f>Fortalezas!D240</f>
        <v>0</v>
      </c>
      <c r="F308" s="75">
        <f>Fortalezas!E240</f>
        <v>0</v>
      </c>
      <c r="G308" s="75">
        <f>Fortalezas!F240</f>
        <v>0</v>
      </c>
      <c r="H308" s="75">
        <f>Fortalezas!G240</f>
        <v>0</v>
      </c>
      <c r="I308" s="76">
        <f>Fortalezas!H240</f>
        <v>0</v>
      </c>
      <c r="J308" s="4"/>
      <c r="K308" s="4"/>
      <c r="L308" s="3555"/>
      <c r="M308" s="4"/>
      <c r="N308" s="4"/>
      <c r="O308" s="4"/>
      <c r="P308" s="3558"/>
      <c r="Q308" s="3555"/>
      <c r="R308" s="3555"/>
      <c r="S308" s="3556">
        <v>0</v>
      </c>
      <c r="T308" s="3555"/>
      <c r="U308" s="3557">
        <f t="shared" si="23"/>
        <v>0</v>
      </c>
      <c r="V308" s="3555"/>
      <c r="W308" s="3555"/>
      <c r="X308" s="4"/>
      <c r="Y308" s="3555"/>
      <c r="Z308" s="3555"/>
      <c r="AA308" s="3555"/>
      <c r="AB308" s="3555"/>
      <c r="AC308" s="3555"/>
      <c r="AD308" s="3555"/>
      <c r="AE308" s="3555"/>
      <c r="AF308" s="3555"/>
      <c r="AG308" s="3555"/>
      <c r="AH308" s="3555"/>
      <c r="AI308" s="63"/>
      <c r="AJ308" s="63"/>
      <c r="AK308" s="63"/>
      <c r="AL308" s="63"/>
      <c r="AM308" s="63"/>
    </row>
    <row r="309" spans="1:39" s="64" customFormat="1" ht="19">
      <c r="A309" s="58">
        <v>259501</v>
      </c>
      <c r="B309" s="59"/>
      <c r="C309" s="47"/>
      <c r="D309" s="65" t="s">
        <v>715</v>
      </c>
      <c r="E309" s="75">
        <f>Fortalezas!D241</f>
        <v>0</v>
      </c>
      <c r="F309" s="75">
        <f>Fortalezas!E241</f>
        <v>0</v>
      </c>
      <c r="G309" s="75">
        <f>Fortalezas!F241</f>
        <v>0</v>
      </c>
      <c r="H309" s="75">
        <f>Fortalezas!G241</f>
        <v>0</v>
      </c>
      <c r="I309" s="76">
        <f>Fortalezas!H241</f>
        <v>0</v>
      </c>
      <c r="J309" s="4"/>
      <c r="K309" s="4"/>
      <c r="L309" s="3555"/>
      <c r="M309" s="4"/>
      <c r="N309" s="4"/>
      <c r="O309" s="4"/>
      <c r="P309" s="3558"/>
      <c r="Q309" s="3555"/>
      <c r="R309" s="3555"/>
      <c r="S309" s="3556">
        <v>0</v>
      </c>
      <c r="T309" s="3555"/>
      <c r="U309" s="3557">
        <f t="shared" si="23"/>
        <v>0</v>
      </c>
      <c r="V309" s="3555"/>
      <c r="W309" s="3555"/>
      <c r="X309" s="4"/>
      <c r="Y309" s="3555"/>
      <c r="Z309" s="3555"/>
      <c r="AA309" s="3555"/>
      <c r="AB309" s="3555"/>
      <c r="AC309" s="3555"/>
      <c r="AD309" s="3555"/>
      <c r="AE309" s="3555"/>
      <c r="AF309" s="3555"/>
      <c r="AG309" s="3555"/>
      <c r="AH309" s="3555"/>
      <c r="AI309" s="63"/>
      <c r="AJ309" s="63"/>
      <c r="AK309" s="63"/>
      <c r="AL309" s="63"/>
      <c r="AM309" s="63"/>
    </row>
    <row r="310" spans="1:39" s="64" customFormat="1" ht="19">
      <c r="A310" s="58">
        <v>2204</v>
      </c>
      <c r="B310" s="59"/>
      <c r="C310" s="66" t="s">
        <v>751</v>
      </c>
      <c r="D310" s="67"/>
      <c r="E310" s="68">
        <f>SUM(E304:E309)</f>
        <v>0</v>
      </c>
      <c r="F310" s="68">
        <f>SUM(F304:F309)</f>
        <v>0</v>
      </c>
      <c r="G310" s="68">
        <f>SUM(G304:G309)</f>
        <v>0</v>
      </c>
      <c r="H310" s="68">
        <f>SUM(H304:H309)</f>
        <v>0</v>
      </c>
      <c r="I310" s="69">
        <f>SUM(I304:I309)</f>
        <v>0</v>
      </c>
      <c r="J310" s="4"/>
      <c r="K310" s="4"/>
      <c r="L310" s="3555"/>
      <c r="M310" s="4"/>
      <c r="N310" s="4"/>
      <c r="O310" s="4"/>
      <c r="P310" s="3558"/>
      <c r="Q310" s="3555"/>
      <c r="R310" s="3555"/>
      <c r="S310" s="3556">
        <v>0</v>
      </c>
      <c r="T310" s="3555"/>
      <c r="U310" s="3557">
        <f t="shared" si="23"/>
        <v>0</v>
      </c>
      <c r="V310" s="3555"/>
      <c r="W310" s="3555"/>
      <c r="X310" s="4"/>
      <c r="Y310" s="3555"/>
      <c r="Z310" s="3555"/>
      <c r="AA310" s="3555"/>
      <c r="AB310" s="3555"/>
      <c r="AC310" s="3555"/>
      <c r="AD310" s="3555"/>
      <c r="AE310" s="3555"/>
      <c r="AF310" s="3555"/>
      <c r="AG310" s="3555"/>
      <c r="AH310" s="3555"/>
      <c r="AI310" s="63"/>
      <c r="AJ310" s="63"/>
      <c r="AK310" s="63"/>
      <c r="AL310" s="63"/>
      <c r="AM310" s="63"/>
    </row>
    <row r="311" spans="1:39" s="64" customFormat="1" ht="19">
      <c r="A311" s="58"/>
      <c r="B311" s="53"/>
      <c r="C311" s="54" t="s">
        <v>752</v>
      </c>
      <c r="D311" s="71"/>
      <c r="E311" s="72"/>
      <c r="F311" s="72"/>
      <c r="G311" s="72"/>
      <c r="H311" s="72"/>
      <c r="I311" s="73"/>
      <c r="J311" s="4"/>
      <c r="K311" s="4"/>
      <c r="L311" s="3555"/>
      <c r="M311" s="4"/>
      <c r="N311" s="4"/>
      <c r="O311" s="4"/>
      <c r="P311" s="3558"/>
      <c r="Q311" s="3555"/>
      <c r="R311" s="3555"/>
      <c r="S311" s="3556">
        <v>0</v>
      </c>
      <c r="T311" s="3555"/>
      <c r="U311" s="3557">
        <f>U321</f>
        <v>0</v>
      </c>
      <c r="V311" s="3555"/>
      <c r="W311" s="3555"/>
      <c r="X311" s="4"/>
      <c r="Y311" s="3555"/>
      <c r="Z311" s="3555"/>
      <c r="AA311" s="3555"/>
      <c r="AB311" s="3555"/>
      <c r="AC311" s="3555"/>
      <c r="AD311" s="3555"/>
      <c r="AE311" s="3555"/>
      <c r="AF311" s="3555"/>
      <c r="AG311" s="3555"/>
      <c r="AH311" s="3555"/>
      <c r="AI311" s="63"/>
      <c r="AJ311" s="63"/>
      <c r="AK311" s="63"/>
      <c r="AL311" s="63"/>
      <c r="AM311" s="63"/>
    </row>
    <row r="312" spans="1:39" s="64" customFormat="1" ht="19">
      <c r="A312" s="58">
        <v>260501</v>
      </c>
      <c r="B312" s="59"/>
      <c r="C312" s="47"/>
      <c r="D312" s="60" t="s">
        <v>718</v>
      </c>
      <c r="E312" s="61">
        <f>Fortalezas!D243</f>
        <v>0</v>
      </c>
      <c r="F312" s="61">
        <f>Fortalezas!E243</f>
        <v>0</v>
      </c>
      <c r="G312" s="61">
        <f>Fortalezas!F243</f>
        <v>0</v>
      </c>
      <c r="H312" s="61">
        <f>Fortalezas!G243</f>
        <v>0</v>
      </c>
      <c r="I312" s="62">
        <f>Fortalezas!H243</f>
        <v>0</v>
      </c>
      <c r="J312" s="4"/>
      <c r="K312" s="4"/>
      <c r="L312" s="3555"/>
      <c r="M312" s="4"/>
      <c r="N312" s="4"/>
      <c r="O312" s="4"/>
      <c r="P312" s="3558"/>
      <c r="Q312" s="3555"/>
      <c r="R312" s="3555"/>
      <c r="S312" s="3556">
        <v>0</v>
      </c>
      <c r="T312" s="3555"/>
      <c r="U312" s="3557">
        <f t="shared" ref="U312:U321" si="24">SUM(E312:I312)</f>
        <v>0</v>
      </c>
      <c r="V312" s="3555"/>
      <c r="W312" s="3555"/>
      <c r="X312" s="4"/>
      <c r="Y312" s="3555"/>
      <c r="Z312" s="3555"/>
      <c r="AA312" s="3555"/>
      <c r="AB312" s="3555"/>
      <c r="AC312" s="3555"/>
      <c r="AD312" s="3555"/>
      <c r="AE312" s="3555"/>
      <c r="AF312" s="3555"/>
      <c r="AG312" s="3555"/>
      <c r="AH312" s="3555"/>
      <c r="AI312" s="63"/>
      <c r="AJ312" s="63"/>
      <c r="AK312" s="63"/>
      <c r="AL312" s="63"/>
      <c r="AM312" s="63"/>
    </row>
    <row r="313" spans="1:39" s="64" customFormat="1" ht="19">
      <c r="A313" s="58">
        <v>261001</v>
      </c>
      <c r="B313" s="59"/>
      <c r="C313" s="47"/>
      <c r="D313" s="65" t="s">
        <v>719</v>
      </c>
      <c r="E313" s="75">
        <f>Fortalezas!D244</f>
        <v>0</v>
      </c>
      <c r="F313" s="75">
        <f>Fortalezas!E244</f>
        <v>0</v>
      </c>
      <c r="G313" s="75">
        <f>Fortalezas!F244</f>
        <v>0</v>
      </c>
      <c r="H313" s="75">
        <f>Fortalezas!G244</f>
        <v>0</v>
      </c>
      <c r="I313" s="76">
        <f>Fortalezas!H244</f>
        <v>0</v>
      </c>
      <c r="J313" s="4"/>
      <c r="K313" s="4"/>
      <c r="L313" s="3555"/>
      <c r="M313" s="4"/>
      <c r="N313" s="4"/>
      <c r="O313" s="4"/>
      <c r="P313" s="3558"/>
      <c r="Q313" s="3555"/>
      <c r="R313" s="3555"/>
      <c r="S313" s="3556">
        <v>0</v>
      </c>
      <c r="T313" s="3555"/>
      <c r="U313" s="3557">
        <f t="shared" si="24"/>
        <v>0</v>
      </c>
      <c r="V313" s="3555"/>
      <c r="W313" s="3555"/>
      <c r="X313" s="3555"/>
      <c r="Y313" s="3555"/>
      <c r="Z313" s="3555"/>
      <c r="AA313" s="3555"/>
      <c r="AB313" s="3555"/>
      <c r="AC313" s="3555"/>
      <c r="AD313" s="3555"/>
      <c r="AE313" s="3555"/>
      <c r="AF313" s="3555"/>
      <c r="AG313" s="3555"/>
      <c r="AH313" s="3555"/>
      <c r="AI313" s="63"/>
      <c r="AJ313" s="63"/>
      <c r="AK313" s="63"/>
      <c r="AL313" s="63"/>
      <c r="AM313" s="63"/>
    </row>
    <row r="314" spans="1:39" s="64" customFormat="1" ht="19">
      <c r="A314" s="58">
        <v>261501</v>
      </c>
      <c r="B314" s="59"/>
      <c r="C314" s="47"/>
      <c r="D314" s="65" t="s">
        <v>720</v>
      </c>
      <c r="E314" s="75">
        <f>Fortalezas!D245</f>
        <v>0</v>
      </c>
      <c r="F314" s="75">
        <f>Fortalezas!E245</f>
        <v>0</v>
      </c>
      <c r="G314" s="75">
        <f>Fortalezas!F245</f>
        <v>0</v>
      </c>
      <c r="H314" s="75">
        <f>Fortalezas!G245</f>
        <v>0</v>
      </c>
      <c r="I314" s="76">
        <f>Fortalezas!H245</f>
        <v>0</v>
      </c>
      <c r="J314" s="4"/>
      <c r="K314" s="4"/>
      <c r="L314" s="3555"/>
      <c r="M314" s="4"/>
      <c r="N314" s="4"/>
      <c r="O314" s="4"/>
      <c r="P314" s="3558"/>
      <c r="Q314" s="3555"/>
      <c r="R314" s="3555"/>
      <c r="S314" s="3556">
        <v>0</v>
      </c>
      <c r="T314" s="3555"/>
      <c r="U314" s="3557">
        <f t="shared" si="24"/>
        <v>0</v>
      </c>
      <c r="V314" s="3555"/>
      <c r="W314" s="3555"/>
      <c r="X314" s="3555"/>
      <c r="Y314" s="3555"/>
      <c r="Z314" s="3555"/>
      <c r="AA314" s="3555"/>
      <c r="AB314" s="3555"/>
      <c r="AC314" s="3555"/>
      <c r="AD314" s="3555"/>
      <c r="AE314" s="3555"/>
      <c r="AF314" s="3555"/>
      <c r="AG314" s="3555"/>
      <c r="AH314" s="3555"/>
      <c r="AI314" s="63"/>
      <c r="AJ314" s="63"/>
      <c r="AK314" s="63"/>
      <c r="AL314" s="63"/>
      <c r="AM314" s="63"/>
    </row>
    <row r="315" spans="1:39" s="64" customFormat="1" ht="19">
      <c r="A315" s="58">
        <v>262001</v>
      </c>
      <c r="B315" s="59"/>
      <c r="C315" s="47"/>
      <c r="D315" s="65" t="s">
        <v>721</v>
      </c>
      <c r="E315" s="75">
        <f>Fortalezas!D246</f>
        <v>0</v>
      </c>
      <c r="F315" s="75">
        <f>Fortalezas!E246</f>
        <v>0</v>
      </c>
      <c r="G315" s="75">
        <f>Fortalezas!F246</f>
        <v>0</v>
      </c>
      <c r="H315" s="75">
        <f>Fortalezas!G246</f>
        <v>0</v>
      </c>
      <c r="I315" s="76">
        <f>Fortalezas!H246</f>
        <v>0</v>
      </c>
      <c r="J315" s="4"/>
      <c r="K315" s="4"/>
      <c r="L315" s="3555"/>
      <c r="M315" s="4"/>
      <c r="N315" s="4"/>
      <c r="O315" s="4"/>
      <c r="P315" s="3558"/>
      <c r="Q315" s="3555"/>
      <c r="R315" s="3555"/>
      <c r="S315" s="3556">
        <v>0</v>
      </c>
      <c r="T315" s="3555"/>
      <c r="U315" s="3557">
        <f t="shared" si="24"/>
        <v>0</v>
      </c>
      <c r="V315" s="3555"/>
      <c r="W315" s="3555"/>
      <c r="X315" s="3555"/>
      <c r="Y315" s="3555"/>
      <c r="Z315" s="3555"/>
      <c r="AA315" s="3555"/>
      <c r="AB315" s="3555"/>
      <c r="AC315" s="3555"/>
      <c r="AD315" s="3555"/>
      <c r="AE315" s="3555"/>
      <c r="AF315" s="3555"/>
      <c r="AG315" s="3555"/>
      <c r="AH315" s="3555"/>
      <c r="AI315" s="63"/>
      <c r="AJ315" s="63"/>
      <c r="AK315" s="63"/>
      <c r="AL315" s="63"/>
      <c r="AM315" s="63"/>
    </row>
    <row r="316" spans="1:39" s="64" customFormat="1" ht="19">
      <c r="A316" s="58">
        <v>262501</v>
      </c>
      <c r="B316" s="59"/>
      <c r="C316" s="47"/>
      <c r="D316" s="65" t="s">
        <v>722</v>
      </c>
      <c r="E316" s="75">
        <f>Fortalezas!D247</f>
        <v>0</v>
      </c>
      <c r="F316" s="75">
        <f>Fortalezas!E247</f>
        <v>0</v>
      </c>
      <c r="G316" s="75">
        <f>Fortalezas!F247</f>
        <v>0</v>
      </c>
      <c r="H316" s="75">
        <f>Fortalezas!G247</f>
        <v>0</v>
      </c>
      <c r="I316" s="76">
        <f>Fortalezas!H247</f>
        <v>0</v>
      </c>
      <c r="J316" s="4"/>
      <c r="K316" s="4"/>
      <c r="L316" s="3555"/>
      <c r="M316" s="4"/>
      <c r="N316" s="4"/>
      <c r="O316" s="4"/>
      <c r="P316" s="3558"/>
      <c r="Q316" s="3555"/>
      <c r="R316" s="3555"/>
      <c r="S316" s="3556">
        <v>0</v>
      </c>
      <c r="T316" s="3555"/>
      <c r="U316" s="3557">
        <f t="shared" si="24"/>
        <v>0</v>
      </c>
      <c r="V316" s="3555"/>
      <c r="W316" s="3555"/>
      <c r="X316" s="3555"/>
      <c r="Y316" s="3555"/>
      <c r="Z316" s="3555"/>
      <c r="AA316" s="3555"/>
      <c r="AB316" s="3555"/>
      <c r="AC316" s="3555"/>
      <c r="AD316" s="3555"/>
      <c r="AE316" s="3555"/>
      <c r="AF316" s="3555"/>
      <c r="AG316" s="3555"/>
      <c r="AH316" s="3555"/>
      <c r="AI316" s="63"/>
      <c r="AJ316" s="63"/>
      <c r="AK316" s="63"/>
      <c r="AL316" s="63"/>
      <c r="AM316" s="63"/>
    </row>
    <row r="317" spans="1:39" s="64" customFormat="1" ht="19">
      <c r="A317" s="58">
        <v>263001</v>
      </c>
      <c r="B317" s="59"/>
      <c r="C317" s="47"/>
      <c r="D317" s="65" t="s">
        <v>723</v>
      </c>
      <c r="E317" s="75">
        <f>Fortalezas!D248</f>
        <v>0</v>
      </c>
      <c r="F317" s="75">
        <f>Fortalezas!E248</f>
        <v>0</v>
      </c>
      <c r="G317" s="75">
        <f>Fortalezas!F248</f>
        <v>0</v>
      </c>
      <c r="H317" s="75">
        <f>Fortalezas!G248</f>
        <v>0</v>
      </c>
      <c r="I317" s="76">
        <f>Fortalezas!H248</f>
        <v>0</v>
      </c>
      <c r="J317" s="4"/>
      <c r="K317" s="4"/>
      <c r="L317" s="3555"/>
      <c r="M317" s="4"/>
      <c r="N317" s="4"/>
      <c r="O317" s="4"/>
      <c r="P317" s="3558"/>
      <c r="Q317" s="3555"/>
      <c r="R317" s="3555"/>
      <c r="S317" s="3556">
        <v>0</v>
      </c>
      <c r="T317" s="3555"/>
      <c r="U317" s="3557">
        <f t="shared" si="24"/>
        <v>0</v>
      </c>
      <c r="V317" s="3555"/>
      <c r="W317" s="3555"/>
      <c r="X317" s="3555"/>
      <c r="Y317" s="3555"/>
      <c r="Z317" s="3555"/>
      <c r="AA317" s="3555"/>
      <c r="AB317" s="3555"/>
      <c r="AC317" s="3555"/>
      <c r="AD317" s="3555"/>
      <c r="AE317" s="3555"/>
      <c r="AF317" s="3555"/>
      <c r="AG317" s="3555"/>
      <c r="AH317" s="3555"/>
      <c r="AI317" s="63"/>
      <c r="AJ317" s="63"/>
      <c r="AK317" s="63"/>
      <c r="AL317" s="63"/>
      <c r="AM317" s="63"/>
    </row>
    <row r="318" spans="1:39" s="64" customFormat="1" ht="19">
      <c r="A318" s="58">
        <v>263501</v>
      </c>
      <c r="B318" s="59"/>
      <c r="C318" s="47"/>
      <c r="D318" s="65" t="s">
        <v>724</v>
      </c>
      <c r="E318" s="75">
        <f>Fortalezas!D249</f>
        <v>0</v>
      </c>
      <c r="F318" s="75">
        <f>Fortalezas!E249</f>
        <v>0</v>
      </c>
      <c r="G318" s="75">
        <f>Fortalezas!F249</f>
        <v>0</v>
      </c>
      <c r="H318" s="75">
        <f>Fortalezas!G249</f>
        <v>0</v>
      </c>
      <c r="I318" s="76">
        <f>Fortalezas!H249</f>
        <v>0</v>
      </c>
      <c r="J318" s="4"/>
      <c r="K318" s="4"/>
      <c r="L318" s="3555"/>
      <c r="M318" s="4"/>
      <c r="N318" s="4"/>
      <c r="O318" s="4"/>
      <c r="P318" s="3558"/>
      <c r="Q318" s="3555"/>
      <c r="R318" s="3555"/>
      <c r="S318" s="3556">
        <v>0</v>
      </c>
      <c r="T318" s="3555"/>
      <c r="U318" s="3557">
        <f t="shared" si="24"/>
        <v>0</v>
      </c>
      <c r="V318" s="3555"/>
      <c r="W318" s="3555"/>
      <c r="X318" s="3555"/>
      <c r="Y318" s="3555"/>
      <c r="Z318" s="3555"/>
      <c r="AA318" s="3555"/>
      <c r="AB318" s="3555"/>
      <c r="AC318" s="3555"/>
      <c r="AD318" s="3555"/>
      <c r="AE318" s="3555"/>
      <c r="AF318" s="3555"/>
      <c r="AG318" s="3555"/>
      <c r="AH318" s="3555"/>
      <c r="AI318" s="63"/>
      <c r="AJ318" s="63"/>
      <c r="AK318" s="63"/>
      <c r="AL318" s="63"/>
      <c r="AM318" s="63"/>
    </row>
    <row r="319" spans="1:39" s="64" customFormat="1" ht="19">
      <c r="A319" s="58">
        <v>264001</v>
      </c>
      <c r="B319" s="59"/>
      <c r="C319" s="47"/>
      <c r="D319" s="65" t="s">
        <v>725</v>
      </c>
      <c r="E319" s="75">
        <f>Fortalezas!D250</f>
        <v>0</v>
      </c>
      <c r="F319" s="75">
        <f>Fortalezas!E250</f>
        <v>0</v>
      </c>
      <c r="G319" s="75">
        <f>Fortalezas!F250</f>
        <v>0</v>
      </c>
      <c r="H319" s="75">
        <f>Fortalezas!G250</f>
        <v>0</v>
      </c>
      <c r="I319" s="76">
        <f>Fortalezas!H250</f>
        <v>0</v>
      </c>
      <c r="J319" s="4"/>
      <c r="K319" s="4"/>
      <c r="L319" s="3555"/>
      <c r="M319" s="4"/>
      <c r="N319" s="4"/>
      <c r="O319" s="4"/>
      <c r="P319" s="3558"/>
      <c r="Q319" s="3555"/>
      <c r="R319" s="3555"/>
      <c r="S319" s="3556">
        <v>0</v>
      </c>
      <c r="T319" s="3555"/>
      <c r="U319" s="3557">
        <f t="shared" si="24"/>
        <v>0</v>
      </c>
      <c r="V319" s="3555"/>
      <c r="W319" s="3555"/>
      <c r="X319" s="3555"/>
      <c r="Y319" s="3555"/>
      <c r="Z319" s="3555"/>
      <c r="AA319" s="3555"/>
      <c r="AB319" s="3555"/>
      <c r="AC319" s="3555"/>
      <c r="AD319" s="3555"/>
      <c r="AE319" s="3555"/>
      <c r="AF319" s="3555"/>
      <c r="AG319" s="3555"/>
      <c r="AH319" s="3555"/>
      <c r="AI319" s="63"/>
      <c r="AJ319" s="63"/>
      <c r="AK319" s="63"/>
      <c r="AL319" s="63"/>
      <c r="AM319" s="63"/>
    </row>
    <row r="320" spans="1:39" s="64" customFormat="1" ht="19">
      <c r="A320" s="58">
        <v>269501</v>
      </c>
      <c r="B320" s="59"/>
      <c r="C320" s="47"/>
      <c r="D320" s="65" t="s">
        <v>726</v>
      </c>
      <c r="E320" s="75">
        <f>Fortalezas!D251</f>
        <v>0</v>
      </c>
      <c r="F320" s="75">
        <f>Fortalezas!E251</f>
        <v>0</v>
      </c>
      <c r="G320" s="75">
        <f>Fortalezas!F251</f>
        <v>0</v>
      </c>
      <c r="H320" s="75">
        <f>Fortalezas!G251</f>
        <v>0</v>
      </c>
      <c r="I320" s="76">
        <f>Fortalezas!H251</f>
        <v>0</v>
      </c>
      <c r="J320" s="4"/>
      <c r="K320" s="4"/>
      <c r="L320" s="3555"/>
      <c r="M320" s="4"/>
      <c r="N320" s="4"/>
      <c r="O320" s="4"/>
      <c r="P320" s="3558"/>
      <c r="Q320" s="3555"/>
      <c r="R320" s="3555"/>
      <c r="S320" s="3556">
        <v>0</v>
      </c>
      <c r="T320" s="3555"/>
      <c r="U320" s="3557">
        <f t="shared" si="24"/>
        <v>0</v>
      </c>
      <c r="V320" s="3555"/>
      <c r="W320" s="3555"/>
      <c r="X320" s="3555"/>
      <c r="Y320" s="3555"/>
      <c r="Z320" s="3555"/>
      <c r="AA320" s="3555"/>
      <c r="AB320" s="3555"/>
      <c r="AC320" s="3555"/>
      <c r="AD320" s="3555"/>
      <c r="AE320" s="3555"/>
      <c r="AF320" s="3555"/>
      <c r="AG320" s="3555"/>
      <c r="AH320" s="3555"/>
      <c r="AI320" s="63"/>
      <c r="AJ320" s="63"/>
      <c r="AK320" s="63"/>
      <c r="AL320" s="63"/>
      <c r="AM320" s="63"/>
    </row>
    <row r="321" spans="1:39" s="64" customFormat="1" ht="19">
      <c r="A321" s="58">
        <v>2206</v>
      </c>
      <c r="B321" s="59"/>
      <c r="C321" s="66" t="s">
        <v>753</v>
      </c>
      <c r="D321" s="67"/>
      <c r="E321" s="68">
        <f>SUM(E312:E320)</f>
        <v>0</v>
      </c>
      <c r="F321" s="68">
        <f>SUM(F312:F320)</f>
        <v>0</v>
      </c>
      <c r="G321" s="68">
        <f>SUM(G312:G320)</f>
        <v>0</v>
      </c>
      <c r="H321" s="68">
        <f>SUM(H312:H320)</f>
        <v>0</v>
      </c>
      <c r="I321" s="69">
        <f>SUM(I312:I320)</f>
        <v>0</v>
      </c>
      <c r="J321" s="4"/>
      <c r="K321" s="4"/>
      <c r="L321" s="3555"/>
      <c r="M321" s="4"/>
      <c r="N321" s="4"/>
      <c r="O321" s="4"/>
      <c r="P321" s="3558"/>
      <c r="Q321" s="3555"/>
      <c r="R321" s="3555"/>
      <c r="S321" s="3556">
        <v>0</v>
      </c>
      <c r="T321" s="3555"/>
      <c r="U321" s="3557">
        <f t="shared" si="24"/>
        <v>0</v>
      </c>
      <c r="V321" s="3555"/>
      <c r="W321" s="3555"/>
      <c r="X321" s="3555"/>
      <c r="Y321" s="3555"/>
      <c r="Z321" s="3555"/>
      <c r="AA321" s="3555"/>
      <c r="AB321" s="3555"/>
      <c r="AC321" s="3555"/>
      <c r="AD321" s="3555"/>
      <c r="AE321" s="3555"/>
      <c r="AF321" s="3555"/>
      <c r="AG321" s="3555"/>
      <c r="AH321" s="3555"/>
      <c r="AI321" s="63"/>
      <c r="AJ321" s="63"/>
      <c r="AK321" s="63"/>
      <c r="AL321" s="63"/>
      <c r="AM321" s="63"/>
    </row>
    <row r="322" spans="1:39" s="64" customFormat="1" ht="19">
      <c r="A322" s="58"/>
      <c r="B322" s="53"/>
      <c r="C322" s="54" t="s">
        <v>754</v>
      </c>
      <c r="D322" s="71"/>
      <c r="E322" s="72"/>
      <c r="F322" s="72"/>
      <c r="G322" s="72"/>
      <c r="H322" s="72"/>
      <c r="I322" s="73"/>
      <c r="J322" s="4"/>
      <c r="K322" s="4"/>
      <c r="L322" s="3555"/>
      <c r="M322" s="4"/>
      <c r="N322" s="4"/>
      <c r="O322" s="4"/>
      <c r="P322" s="3558"/>
      <c r="Q322" s="3555"/>
      <c r="R322" s="3555"/>
      <c r="S322" s="3556">
        <v>0</v>
      </c>
      <c r="T322" s="3555"/>
      <c r="U322" s="3557">
        <f>U329</f>
        <v>0</v>
      </c>
      <c r="V322" s="3555"/>
      <c r="W322" s="3555"/>
      <c r="X322" s="3555"/>
      <c r="Y322" s="3555"/>
      <c r="Z322" s="3555"/>
      <c r="AA322" s="3555"/>
      <c r="AB322" s="3555"/>
      <c r="AC322" s="3555"/>
      <c r="AD322" s="3555"/>
      <c r="AE322" s="3555"/>
      <c r="AF322" s="3555"/>
      <c r="AG322" s="3555"/>
      <c r="AH322" s="3555"/>
      <c r="AI322" s="63"/>
      <c r="AJ322" s="63"/>
      <c r="AK322" s="63"/>
      <c r="AL322" s="63"/>
      <c r="AM322" s="63"/>
    </row>
    <row r="323" spans="1:39" s="64" customFormat="1" ht="19">
      <c r="A323" s="58">
        <v>270501</v>
      </c>
      <c r="B323" s="59"/>
      <c r="C323" s="47"/>
      <c r="D323" s="60" t="s">
        <v>729</v>
      </c>
      <c r="E323" s="61">
        <f>Fortalezas!D253</f>
        <v>0</v>
      </c>
      <c r="F323" s="61">
        <f>Fortalezas!E253</f>
        <v>0</v>
      </c>
      <c r="G323" s="61">
        <f>Fortalezas!F253</f>
        <v>0</v>
      </c>
      <c r="H323" s="61">
        <f>Fortalezas!G253</f>
        <v>0</v>
      </c>
      <c r="I323" s="62">
        <f>Fortalezas!H253</f>
        <v>0</v>
      </c>
      <c r="J323" s="4"/>
      <c r="K323" s="4"/>
      <c r="L323" s="3555"/>
      <c r="M323" s="4"/>
      <c r="N323" s="4"/>
      <c r="O323" s="4"/>
      <c r="P323" s="3558"/>
      <c r="Q323" s="3555"/>
      <c r="R323" s="3555"/>
      <c r="S323" s="3556">
        <v>0</v>
      </c>
      <c r="T323" s="3555"/>
      <c r="U323" s="3557">
        <f t="shared" ref="U323:U329" si="25">SUM(E323:I323)</f>
        <v>0</v>
      </c>
      <c r="V323" s="3555"/>
      <c r="W323" s="3555"/>
      <c r="X323" s="3555"/>
      <c r="Y323" s="3555"/>
      <c r="Z323" s="3555"/>
      <c r="AA323" s="3555"/>
      <c r="AB323" s="3555"/>
      <c r="AC323" s="3555"/>
      <c r="AD323" s="3555"/>
      <c r="AE323" s="3555"/>
      <c r="AF323" s="3555"/>
      <c r="AG323" s="3555"/>
      <c r="AH323" s="3555"/>
      <c r="AI323" s="63"/>
      <c r="AJ323" s="63"/>
      <c r="AK323" s="63"/>
      <c r="AL323" s="63"/>
      <c r="AM323" s="63"/>
    </row>
    <row r="324" spans="1:39" s="64" customFormat="1" ht="19">
      <c r="A324" s="58">
        <v>271001</v>
      </c>
      <c r="B324" s="59"/>
      <c r="C324" s="47"/>
      <c r="D324" s="65" t="s">
        <v>730</v>
      </c>
      <c r="E324" s="75">
        <f>Fortalezas!D254</f>
        <v>0</v>
      </c>
      <c r="F324" s="75">
        <f>Fortalezas!E254</f>
        <v>0</v>
      </c>
      <c r="G324" s="75">
        <f>Fortalezas!F254</f>
        <v>0</v>
      </c>
      <c r="H324" s="75">
        <f>Fortalezas!G254</f>
        <v>0</v>
      </c>
      <c r="I324" s="76">
        <f>Fortalezas!H254</f>
        <v>0</v>
      </c>
      <c r="J324" s="4"/>
      <c r="K324" s="4"/>
      <c r="L324" s="3555"/>
      <c r="M324" s="4"/>
      <c r="N324" s="4"/>
      <c r="O324" s="4"/>
      <c r="P324" s="3558"/>
      <c r="Q324" s="3555"/>
      <c r="R324" s="3555"/>
      <c r="S324" s="3556">
        <v>0</v>
      </c>
      <c r="T324" s="3555"/>
      <c r="U324" s="3557">
        <f t="shared" si="25"/>
        <v>0</v>
      </c>
      <c r="V324" s="3555"/>
      <c r="W324" s="3555"/>
      <c r="X324" s="3555"/>
      <c r="Y324" s="3555"/>
      <c r="Z324" s="3555"/>
      <c r="AA324" s="3555"/>
      <c r="AB324" s="3555"/>
      <c r="AC324" s="3555"/>
      <c r="AD324" s="3555"/>
      <c r="AE324" s="3555"/>
      <c r="AF324" s="3555"/>
      <c r="AG324" s="3555"/>
      <c r="AH324" s="3555"/>
      <c r="AI324" s="63"/>
      <c r="AJ324" s="63"/>
      <c r="AK324" s="63"/>
      <c r="AL324" s="63"/>
      <c r="AM324" s="63"/>
    </row>
    <row r="325" spans="1:39" s="64" customFormat="1" ht="19">
      <c r="A325" s="58">
        <v>272001</v>
      </c>
      <c r="B325" s="59"/>
      <c r="C325" s="47"/>
      <c r="D325" s="65" t="s">
        <v>755</v>
      </c>
      <c r="E325" s="75">
        <f>Fortalezas!D255</f>
        <v>0</v>
      </c>
      <c r="F325" s="75">
        <f>Fortalezas!E255</f>
        <v>0</v>
      </c>
      <c r="G325" s="75">
        <f>Fortalezas!F255</f>
        <v>0</v>
      </c>
      <c r="H325" s="75">
        <f>Fortalezas!G255</f>
        <v>0</v>
      </c>
      <c r="I325" s="76">
        <f>Fortalezas!H255</f>
        <v>0</v>
      </c>
      <c r="J325" s="4"/>
      <c r="K325" s="4"/>
      <c r="L325" s="3555"/>
      <c r="M325" s="4"/>
      <c r="N325" s="4"/>
      <c r="O325" s="4"/>
      <c r="P325" s="3558"/>
      <c r="Q325" s="3555"/>
      <c r="R325" s="3555"/>
      <c r="S325" s="3556">
        <v>0</v>
      </c>
      <c r="T325" s="3555"/>
      <c r="U325" s="3557">
        <f t="shared" si="25"/>
        <v>0</v>
      </c>
      <c r="V325" s="3555"/>
      <c r="W325" s="3555"/>
      <c r="X325" s="3555"/>
      <c r="Y325" s="3555"/>
      <c r="Z325" s="3555"/>
      <c r="AA325" s="3555"/>
      <c r="AB325" s="3555"/>
      <c r="AC325" s="3555"/>
      <c r="AD325" s="3555"/>
      <c r="AE325" s="3555"/>
      <c r="AF325" s="3555"/>
      <c r="AG325" s="3555"/>
      <c r="AH325" s="3555"/>
      <c r="AI325" s="63"/>
      <c r="AJ325" s="63"/>
      <c r="AK325" s="63"/>
      <c r="AL325" s="63"/>
      <c r="AM325" s="63"/>
    </row>
    <row r="326" spans="1:39" s="64" customFormat="1" ht="19">
      <c r="A326" s="58">
        <v>272501</v>
      </c>
      <c r="B326" s="59"/>
      <c r="C326" s="47"/>
      <c r="D326" s="74" t="s">
        <v>650</v>
      </c>
      <c r="E326" s="75">
        <f>Fortalezas!D256</f>
        <v>0</v>
      </c>
      <c r="F326" s="75">
        <f>Fortalezas!E256</f>
        <v>0</v>
      </c>
      <c r="G326" s="75">
        <f>Fortalezas!F256</f>
        <v>0</v>
      </c>
      <c r="H326" s="75">
        <f>Fortalezas!G256</f>
        <v>0</v>
      </c>
      <c r="I326" s="76">
        <f>Fortalezas!H256</f>
        <v>0</v>
      </c>
      <c r="J326" s="4"/>
      <c r="K326" s="4"/>
      <c r="L326" s="3555"/>
      <c r="M326" s="4"/>
      <c r="N326" s="4"/>
      <c r="O326" s="4"/>
      <c r="P326" s="3558"/>
      <c r="Q326" s="3555"/>
      <c r="R326" s="3555"/>
      <c r="S326" s="3556">
        <v>0</v>
      </c>
      <c r="T326" s="3555"/>
      <c r="U326" s="3557">
        <f t="shared" si="25"/>
        <v>0</v>
      </c>
      <c r="V326" s="3555"/>
      <c r="W326" s="3555"/>
      <c r="X326" s="3555"/>
      <c r="Y326" s="3555"/>
      <c r="Z326" s="3555"/>
      <c r="AA326" s="3555"/>
      <c r="AB326" s="3555"/>
      <c r="AC326" s="3555"/>
      <c r="AD326" s="3555"/>
      <c r="AE326" s="3555"/>
      <c r="AF326" s="3555"/>
      <c r="AG326" s="3555"/>
      <c r="AH326" s="3555"/>
      <c r="AI326" s="63"/>
      <c r="AJ326" s="63"/>
      <c r="AK326" s="63"/>
      <c r="AL326" s="63"/>
      <c r="AM326" s="63"/>
    </row>
    <row r="327" spans="1:39" s="64" customFormat="1" ht="19">
      <c r="A327" s="58">
        <v>279501</v>
      </c>
      <c r="B327" s="59"/>
      <c r="C327" s="47"/>
      <c r="D327" s="65" t="s">
        <v>453</v>
      </c>
      <c r="E327" s="75">
        <f>Fortalezas!D257</f>
        <v>0</v>
      </c>
      <c r="F327" s="75">
        <f>Fortalezas!E257</f>
        <v>0</v>
      </c>
      <c r="G327" s="75">
        <f>Fortalezas!F257</f>
        <v>0</v>
      </c>
      <c r="H327" s="75">
        <f>Fortalezas!G257</f>
        <v>0</v>
      </c>
      <c r="I327" s="76">
        <f>Fortalezas!H257</f>
        <v>0</v>
      </c>
      <c r="J327" s="4"/>
      <c r="K327" s="4"/>
      <c r="L327" s="3555"/>
      <c r="M327" s="4"/>
      <c r="N327" s="4"/>
      <c r="O327" s="4"/>
      <c r="P327" s="3558"/>
      <c r="Q327" s="3555"/>
      <c r="R327" s="3555"/>
      <c r="S327" s="3556">
        <v>0</v>
      </c>
      <c r="T327" s="3555"/>
      <c r="U327" s="3557">
        <f t="shared" si="25"/>
        <v>0</v>
      </c>
      <c r="V327" s="3555"/>
      <c r="W327" s="3555"/>
      <c r="X327" s="3555"/>
      <c r="Y327" s="3555"/>
      <c r="Z327" s="3555"/>
      <c r="AA327" s="3555"/>
      <c r="AB327" s="3555"/>
      <c r="AC327" s="3555"/>
      <c r="AD327" s="3555"/>
      <c r="AE327" s="3555"/>
      <c r="AF327" s="3555"/>
      <c r="AG327" s="3555"/>
      <c r="AH327" s="3555"/>
      <c r="AI327" s="63"/>
      <c r="AJ327" s="63"/>
      <c r="AK327" s="63"/>
      <c r="AL327" s="63"/>
      <c r="AM327" s="63"/>
    </row>
    <row r="328" spans="1:39" s="64" customFormat="1" ht="19" hidden="1" customHeight="1">
      <c r="A328" s="58"/>
      <c r="B328" s="59"/>
      <c r="C328" s="47"/>
      <c r="D328" s="65"/>
      <c r="E328" s="75"/>
      <c r="F328" s="75"/>
      <c r="G328" s="78"/>
      <c r="H328" s="78"/>
      <c r="I328" s="79"/>
      <c r="J328" s="4"/>
      <c r="K328" s="4"/>
      <c r="L328" s="3555"/>
      <c r="M328" s="4"/>
      <c r="N328" s="4"/>
      <c r="O328" s="4"/>
      <c r="P328" s="3558"/>
      <c r="Q328" s="3555"/>
      <c r="R328" s="3555"/>
      <c r="S328" s="3556">
        <v>1</v>
      </c>
      <c r="T328" s="3555"/>
      <c r="U328" s="3557">
        <f t="shared" si="25"/>
        <v>0</v>
      </c>
      <c r="V328" s="3555"/>
      <c r="W328" s="3555"/>
      <c r="X328" s="3555"/>
      <c r="Y328" s="3555"/>
      <c r="Z328" s="3555"/>
      <c r="AA328" s="3555"/>
      <c r="AB328" s="3555"/>
      <c r="AC328" s="3555"/>
      <c r="AD328" s="3555"/>
      <c r="AE328" s="3555"/>
      <c r="AF328" s="3555"/>
      <c r="AG328" s="3555"/>
      <c r="AH328" s="3555"/>
      <c r="AI328" s="63"/>
      <c r="AJ328" s="63"/>
      <c r="AK328" s="63"/>
      <c r="AL328" s="63"/>
      <c r="AM328" s="63"/>
    </row>
    <row r="329" spans="1:39" s="64" customFormat="1" ht="19">
      <c r="A329" s="58">
        <v>2207</v>
      </c>
      <c r="B329" s="59"/>
      <c r="C329" s="66" t="s">
        <v>756</v>
      </c>
      <c r="D329" s="67"/>
      <c r="E329" s="68">
        <f>SUM(E323:E327)</f>
        <v>0</v>
      </c>
      <c r="F329" s="68">
        <f>SUM(F323:F327)</f>
        <v>0</v>
      </c>
      <c r="G329" s="68">
        <f>SUM(G323:G327)</f>
        <v>0</v>
      </c>
      <c r="H329" s="68">
        <f>SUM(H323:H327)</f>
        <v>0</v>
      </c>
      <c r="I329" s="69">
        <f>SUM(I323:I327)</f>
        <v>0</v>
      </c>
      <c r="J329" s="4"/>
      <c r="K329" s="4"/>
      <c r="L329" s="3555"/>
      <c r="M329" s="4"/>
      <c r="N329" s="4"/>
      <c r="O329" s="4"/>
      <c r="P329" s="3558"/>
      <c r="Q329" s="3555"/>
      <c r="R329" s="3555"/>
      <c r="S329" s="3556">
        <v>0</v>
      </c>
      <c r="T329" s="3555"/>
      <c r="U329" s="3557">
        <f t="shared" si="25"/>
        <v>0</v>
      </c>
      <c r="V329" s="3555"/>
      <c r="W329" s="3555"/>
      <c r="X329" s="3555"/>
      <c r="Y329" s="3555"/>
      <c r="Z329" s="3555"/>
      <c r="AA329" s="3555"/>
      <c r="AB329" s="3555"/>
      <c r="AC329" s="3555"/>
      <c r="AD329" s="3555"/>
      <c r="AE329" s="3555"/>
      <c r="AF329" s="3555"/>
      <c r="AG329" s="3555"/>
      <c r="AH329" s="3555"/>
      <c r="AI329" s="63"/>
      <c r="AJ329" s="63"/>
      <c r="AK329" s="63"/>
      <c r="AL329" s="63"/>
      <c r="AM329" s="63"/>
    </row>
    <row r="330" spans="1:39" s="64" customFormat="1" ht="19">
      <c r="A330" s="58"/>
      <c r="B330" s="53"/>
      <c r="C330" s="54" t="s">
        <v>757</v>
      </c>
      <c r="D330" s="71"/>
      <c r="E330" s="72"/>
      <c r="F330" s="72"/>
      <c r="G330" s="72"/>
      <c r="H330" s="72"/>
      <c r="I330" s="73"/>
      <c r="J330" s="4"/>
      <c r="K330" s="4"/>
      <c r="L330" s="3555"/>
      <c r="M330" s="4"/>
      <c r="N330" s="4"/>
      <c r="O330" s="4"/>
      <c r="P330" s="3558"/>
      <c r="Q330" s="3555"/>
      <c r="R330" s="3555"/>
      <c r="S330" s="3556">
        <v>0</v>
      </c>
      <c r="T330" s="3555"/>
      <c r="U330" s="3557">
        <f>U336</f>
        <v>0</v>
      </c>
      <c r="V330" s="3555"/>
      <c r="W330" s="3555"/>
      <c r="X330" s="3555"/>
      <c r="Y330" s="3555"/>
      <c r="Z330" s="3555"/>
      <c r="AA330" s="3555"/>
      <c r="AB330" s="3555"/>
      <c r="AC330" s="3555"/>
      <c r="AD330" s="3555"/>
      <c r="AE330" s="3555"/>
      <c r="AF330" s="3555"/>
      <c r="AG330" s="3555"/>
      <c r="AH330" s="3555"/>
      <c r="AI330" s="63"/>
      <c r="AJ330" s="63"/>
      <c r="AK330" s="63"/>
      <c r="AL330" s="63"/>
      <c r="AM330" s="63"/>
    </row>
    <row r="331" spans="1:39" s="64" customFormat="1" ht="19" hidden="1" customHeight="1">
      <c r="A331" s="58">
        <v>290501</v>
      </c>
      <c r="B331" s="59"/>
      <c r="C331" s="47"/>
      <c r="D331" s="60"/>
      <c r="E331" s="61">
        <f>Fortalezas!D259</f>
        <v>0</v>
      </c>
      <c r="F331" s="61">
        <f>Fortalezas!E259</f>
        <v>0</v>
      </c>
      <c r="G331" s="109"/>
      <c r="H331" s="109"/>
      <c r="I331" s="110">
        <f>Fortalezas!H259</f>
        <v>0</v>
      </c>
      <c r="J331" s="4"/>
      <c r="K331" s="4"/>
      <c r="L331" s="3555"/>
      <c r="M331" s="4"/>
      <c r="N331" s="4"/>
      <c r="O331" s="4"/>
      <c r="P331" s="3558"/>
      <c r="Q331" s="3555"/>
      <c r="R331" s="3555"/>
      <c r="S331" s="3556">
        <v>1</v>
      </c>
      <c r="T331" s="3555"/>
      <c r="U331" s="3557">
        <f t="shared" ref="U331:U336" si="26">SUM(E331:I331)</f>
        <v>0</v>
      </c>
      <c r="V331" s="3555"/>
      <c r="W331" s="3555"/>
      <c r="X331" s="3555"/>
      <c r="Y331" s="3555"/>
      <c r="Z331" s="3555"/>
      <c r="AA331" s="3555"/>
      <c r="AB331" s="3555"/>
      <c r="AC331" s="3555"/>
      <c r="AD331" s="3555"/>
      <c r="AE331" s="3555"/>
      <c r="AF331" s="3555"/>
      <c r="AG331" s="3555"/>
      <c r="AH331" s="3555"/>
      <c r="AI331" s="63"/>
      <c r="AJ331" s="63"/>
      <c r="AK331" s="63"/>
      <c r="AL331" s="63"/>
      <c r="AM331" s="63"/>
    </row>
    <row r="332" spans="1:39" s="64" customFormat="1" ht="19">
      <c r="A332" s="58">
        <v>291991</v>
      </c>
      <c r="B332" s="59"/>
      <c r="C332" s="47"/>
      <c r="D332" s="65" t="s">
        <v>758</v>
      </c>
      <c r="E332" s="75">
        <f>Fortalezas!D260</f>
        <v>0</v>
      </c>
      <c r="F332" s="75">
        <f>Fortalezas!E260</f>
        <v>0</v>
      </c>
      <c r="G332" s="75">
        <f>Fortalezas!F260</f>
        <v>0</v>
      </c>
      <c r="H332" s="75">
        <f>Fortalezas!G260</f>
        <v>0</v>
      </c>
      <c r="I332" s="76">
        <f>Fortalezas!H260</f>
        <v>0</v>
      </c>
      <c r="J332" s="4"/>
      <c r="K332" s="4"/>
      <c r="L332" s="3555"/>
      <c r="M332" s="4"/>
      <c r="N332" s="4"/>
      <c r="O332" s="4"/>
      <c r="P332" s="3558"/>
      <c r="Q332" s="3555"/>
      <c r="R332" s="3555"/>
      <c r="S332" s="3556">
        <v>0</v>
      </c>
      <c r="T332" s="3555"/>
      <c r="U332" s="3557">
        <f t="shared" si="26"/>
        <v>0</v>
      </c>
      <c r="V332" s="3555"/>
      <c r="W332" s="3555"/>
      <c r="X332" s="3555"/>
      <c r="Y332" s="3555"/>
      <c r="Z332" s="3555"/>
      <c r="AA332" s="3555"/>
      <c r="AB332" s="3555"/>
      <c r="AC332" s="3555"/>
      <c r="AD332" s="3555"/>
      <c r="AE332" s="3555"/>
      <c r="AF332" s="3555"/>
      <c r="AG332" s="3555"/>
      <c r="AH332" s="3555"/>
      <c r="AI332" s="63"/>
      <c r="AJ332" s="63"/>
      <c r="AK332" s="63"/>
      <c r="AL332" s="63"/>
      <c r="AM332" s="63"/>
    </row>
    <row r="333" spans="1:39" s="64" customFormat="1" ht="19" hidden="1" customHeight="1">
      <c r="A333" s="58">
        <v>291501</v>
      </c>
      <c r="B333" s="59"/>
      <c r="C333" s="47"/>
      <c r="D333" s="65"/>
      <c r="E333" s="75">
        <f>Fortalezas!D261</f>
        <v>0</v>
      </c>
      <c r="F333" s="75">
        <f>Fortalezas!E261</f>
        <v>0</v>
      </c>
      <c r="G333" s="75">
        <f>Fortalezas!F261</f>
        <v>0</v>
      </c>
      <c r="H333" s="75">
        <f>Fortalezas!G261</f>
        <v>0</v>
      </c>
      <c r="I333" s="76">
        <f>Fortalezas!H261</f>
        <v>0</v>
      </c>
      <c r="J333" s="4"/>
      <c r="K333" s="4"/>
      <c r="L333" s="3555"/>
      <c r="M333" s="4"/>
      <c r="N333" s="4"/>
      <c r="O333" s="4"/>
      <c r="P333" s="3558"/>
      <c r="Q333" s="3555"/>
      <c r="R333" s="3555"/>
      <c r="S333" s="3556">
        <v>1</v>
      </c>
      <c r="T333" s="3555"/>
      <c r="U333" s="3557">
        <f t="shared" si="26"/>
        <v>0</v>
      </c>
      <c r="V333" s="3555"/>
      <c r="W333" s="3555"/>
      <c r="X333" s="3555"/>
      <c r="Y333" s="3555"/>
      <c r="Z333" s="3555"/>
      <c r="AA333" s="3555"/>
      <c r="AB333" s="3555"/>
      <c r="AC333" s="3555"/>
      <c r="AD333" s="3555"/>
      <c r="AE333" s="3555"/>
      <c r="AF333" s="3555"/>
      <c r="AG333" s="3555"/>
      <c r="AH333" s="3555"/>
      <c r="AI333" s="63"/>
      <c r="AJ333" s="63"/>
      <c r="AK333" s="63"/>
      <c r="AL333" s="63"/>
      <c r="AM333" s="63"/>
    </row>
    <row r="334" spans="1:39" s="64" customFormat="1" ht="19">
      <c r="A334" s="58">
        <v>292001</v>
      </c>
      <c r="B334" s="59"/>
      <c r="C334" s="47"/>
      <c r="D334" s="65" t="s">
        <v>759</v>
      </c>
      <c r="E334" s="75">
        <f>Fortalezas!D262</f>
        <v>0</v>
      </c>
      <c r="F334" s="75">
        <f>Fortalezas!E262</f>
        <v>0</v>
      </c>
      <c r="G334" s="75">
        <f>Fortalezas!F262</f>
        <v>0</v>
      </c>
      <c r="H334" s="75">
        <f>Fortalezas!G262</f>
        <v>0</v>
      </c>
      <c r="I334" s="76">
        <f>Fortalezas!H262</f>
        <v>0</v>
      </c>
      <c r="J334" s="4"/>
      <c r="K334" s="4"/>
      <c r="L334" s="3555"/>
      <c r="M334" s="4"/>
      <c r="N334" s="4"/>
      <c r="O334" s="4"/>
      <c r="P334" s="3558"/>
      <c r="Q334" s="3555"/>
      <c r="R334" s="3555"/>
      <c r="S334" s="3556">
        <v>0</v>
      </c>
      <c r="T334" s="3555"/>
      <c r="U334" s="3557">
        <f t="shared" si="26"/>
        <v>0</v>
      </c>
      <c r="V334" s="3555"/>
      <c r="W334" s="3555"/>
      <c r="X334" s="3555"/>
      <c r="Y334" s="3555"/>
      <c r="Z334" s="3555"/>
      <c r="AA334" s="3555"/>
      <c r="AB334" s="3555"/>
      <c r="AC334" s="3555"/>
      <c r="AD334" s="3555"/>
      <c r="AE334" s="3555"/>
      <c r="AF334" s="3555"/>
      <c r="AG334" s="3555"/>
      <c r="AH334" s="3555"/>
      <c r="AI334" s="63"/>
      <c r="AJ334" s="63"/>
      <c r="AK334" s="63"/>
      <c r="AL334" s="63"/>
      <c r="AM334" s="63"/>
    </row>
    <row r="335" spans="1:39" s="64" customFormat="1" ht="19">
      <c r="A335" s="58">
        <v>299501</v>
      </c>
      <c r="B335" s="59"/>
      <c r="C335" s="47"/>
      <c r="D335" s="74" t="s">
        <v>760</v>
      </c>
      <c r="E335" s="75">
        <f>Fortalezas!D263</f>
        <v>0</v>
      </c>
      <c r="F335" s="75">
        <f>Fortalezas!E263</f>
        <v>0</v>
      </c>
      <c r="G335" s="75">
        <f>Fortalezas!F263</f>
        <v>0</v>
      </c>
      <c r="H335" s="75">
        <f>Fortalezas!G263</f>
        <v>0</v>
      </c>
      <c r="I335" s="76">
        <f>Fortalezas!H263</f>
        <v>0</v>
      </c>
      <c r="J335" s="4"/>
      <c r="K335" s="4"/>
      <c r="L335" s="3555"/>
      <c r="M335" s="4"/>
      <c r="N335" s="4"/>
      <c r="O335" s="4"/>
      <c r="P335" s="3558"/>
      <c r="Q335" s="3555"/>
      <c r="R335" s="3555"/>
      <c r="S335" s="3556">
        <v>0</v>
      </c>
      <c r="T335" s="3555"/>
      <c r="U335" s="3557">
        <f t="shared" si="26"/>
        <v>0</v>
      </c>
      <c r="V335" s="3555"/>
      <c r="W335" s="3555"/>
      <c r="X335" s="3555"/>
      <c r="Y335" s="3555"/>
      <c r="Z335" s="3555"/>
      <c r="AA335" s="3555"/>
      <c r="AB335" s="3555"/>
      <c r="AC335" s="3555"/>
      <c r="AD335" s="3555"/>
      <c r="AE335" s="3555"/>
      <c r="AF335" s="3555"/>
      <c r="AG335" s="3555"/>
      <c r="AH335" s="3555"/>
      <c r="AI335" s="63"/>
      <c r="AJ335" s="63"/>
      <c r="AK335" s="63"/>
      <c r="AL335" s="63"/>
      <c r="AM335" s="63"/>
    </row>
    <row r="336" spans="1:39" s="64" customFormat="1" ht="19">
      <c r="A336" s="58">
        <v>2209</v>
      </c>
      <c r="B336" s="59"/>
      <c r="C336" s="80" t="s">
        <v>761</v>
      </c>
      <c r="D336" s="81"/>
      <c r="E336" s="82">
        <f>SUM(E331:E335)</f>
        <v>0</v>
      </c>
      <c r="F336" s="82">
        <f>SUM(F331:F335)</f>
        <v>0</v>
      </c>
      <c r="G336" s="82">
        <f>SUM(G331:G335)</f>
        <v>0</v>
      </c>
      <c r="H336" s="82">
        <f>SUM(H331:H335)</f>
        <v>0</v>
      </c>
      <c r="I336" s="83">
        <f>SUM(I331:I335)</f>
        <v>0</v>
      </c>
      <c r="J336" s="4"/>
      <c r="K336" s="4"/>
      <c r="L336" s="3555"/>
      <c r="M336" s="4"/>
      <c r="N336" s="4"/>
      <c r="O336" s="4"/>
      <c r="P336" s="3558"/>
      <c r="Q336" s="3555"/>
      <c r="R336" s="3555"/>
      <c r="S336" s="3556">
        <v>0</v>
      </c>
      <c r="T336" s="3555"/>
      <c r="U336" s="3557">
        <f t="shared" si="26"/>
        <v>0</v>
      </c>
      <c r="V336" s="3555"/>
      <c r="W336" s="3555"/>
      <c r="X336" s="3555"/>
      <c r="Y336" s="3555"/>
      <c r="Z336" s="3555"/>
      <c r="AA336" s="3555"/>
      <c r="AB336" s="3555"/>
      <c r="AC336" s="3555"/>
      <c r="AD336" s="3555"/>
      <c r="AE336" s="3555"/>
      <c r="AF336" s="3555"/>
      <c r="AG336" s="3555"/>
      <c r="AH336" s="3555"/>
      <c r="AI336" s="63"/>
      <c r="AJ336" s="63"/>
      <c r="AK336" s="63"/>
      <c r="AL336" s="63"/>
      <c r="AM336" s="63"/>
    </row>
    <row r="337" spans="1:39" s="64" customFormat="1" ht="19">
      <c r="A337" s="58">
        <v>22</v>
      </c>
      <c r="B337" s="84"/>
      <c r="C337" s="94" t="s">
        <v>762</v>
      </c>
      <c r="D337" s="95"/>
      <c r="E337" s="87">
        <f>E273+E290+E302+E310+E321+E329+E336</f>
        <v>0</v>
      </c>
      <c r="F337" s="87">
        <f>F273+F290+F302+F310+F321+F329+F336</f>
        <v>0</v>
      </c>
      <c r="G337" s="87">
        <f>G273+G290+G302+G310+G321+G329+G336</f>
        <v>0</v>
      </c>
      <c r="H337" s="87">
        <f>H273+H290+H302+H310+H321+H329+H336</f>
        <v>0</v>
      </c>
      <c r="I337" s="88">
        <f>I273+I290+I302+I310+I321+I329+I336</f>
        <v>0</v>
      </c>
      <c r="J337" s="4"/>
      <c r="K337" s="4"/>
      <c r="L337" s="3555"/>
      <c r="M337" s="4"/>
      <c r="N337" s="4"/>
      <c r="O337" s="4"/>
      <c r="P337" s="3558"/>
      <c r="Q337" s="3555"/>
      <c r="R337" s="3555"/>
      <c r="S337" s="3556">
        <v>0</v>
      </c>
      <c r="T337" s="3555"/>
      <c r="U337" s="3557">
        <v>1</v>
      </c>
      <c r="V337" s="3555"/>
      <c r="W337" s="3555"/>
      <c r="X337" s="3555"/>
      <c r="Y337" s="3555"/>
      <c r="Z337" s="3555"/>
      <c r="AA337" s="3555"/>
      <c r="AB337" s="3555"/>
      <c r="AC337" s="3555"/>
      <c r="AD337" s="3555"/>
      <c r="AE337" s="3555"/>
      <c r="AF337" s="3555"/>
      <c r="AG337" s="3555"/>
      <c r="AH337" s="3555"/>
      <c r="AI337" s="63"/>
      <c r="AJ337" s="63"/>
      <c r="AK337" s="63"/>
      <c r="AL337" s="63"/>
      <c r="AM337" s="63"/>
    </row>
    <row r="338" spans="1:39" s="64" customFormat="1" ht="19">
      <c r="A338" s="58">
        <v>2</v>
      </c>
      <c r="B338" s="94" t="s">
        <v>763</v>
      </c>
      <c r="C338" s="98"/>
      <c r="D338" s="95"/>
      <c r="E338" s="87">
        <f>E268+E337</f>
        <v>0</v>
      </c>
      <c r="F338" s="87">
        <f>F268+F337</f>
        <v>0</v>
      </c>
      <c r="G338" s="87">
        <f>G268+G337</f>
        <v>0</v>
      </c>
      <c r="H338" s="87">
        <f>H268+H337</f>
        <v>0</v>
      </c>
      <c r="I338" s="88">
        <f>I268+I337</f>
        <v>0</v>
      </c>
      <c r="J338" s="4"/>
      <c r="K338" s="4"/>
      <c r="L338" s="3555"/>
      <c r="M338" s="7"/>
      <c r="N338" s="7"/>
      <c r="O338" s="7"/>
      <c r="P338" s="3560"/>
      <c r="Q338" s="3561"/>
      <c r="R338" s="3555"/>
      <c r="S338" s="3556">
        <v>0</v>
      </c>
      <c r="T338" s="3555"/>
      <c r="U338" s="3557">
        <f>SUM(E338:I338)</f>
        <v>0</v>
      </c>
      <c r="V338" s="3555"/>
      <c r="W338" s="3555"/>
      <c r="X338" s="3555"/>
      <c r="Y338" s="3555"/>
      <c r="Z338" s="3555"/>
      <c r="AA338" s="3555"/>
      <c r="AB338" s="3555"/>
      <c r="AC338" s="3555"/>
      <c r="AD338" s="3555"/>
      <c r="AE338" s="3555"/>
      <c r="AF338" s="3555"/>
      <c r="AG338" s="3555"/>
      <c r="AH338" s="3555"/>
      <c r="AI338" s="63"/>
      <c r="AJ338" s="63"/>
      <c r="AK338" s="63"/>
      <c r="AL338" s="63"/>
      <c r="AM338" s="63"/>
    </row>
    <row r="339" spans="1:39" s="100" customFormat="1" ht="19">
      <c r="A339" s="58"/>
      <c r="B339" s="84"/>
      <c r="C339" s="47"/>
      <c r="D339" s="104"/>
      <c r="E339" s="105"/>
      <c r="F339" s="105"/>
      <c r="G339" s="105"/>
      <c r="H339" s="105"/>
      <c r="I339" s="106"/>
      <c r="J339" s="4"/>
      <c r="K339" s="7"/>
      <c r="L339" s="3561"/>
      <c r="M339" s="7"/>
      <c r="N339" s="7"/>
      <c r="O339" s="7"/>
      <c r="P339" s="3560"/>
      <c r="Q339" s="3561"/>
      <c r="R339" s="3561"/>
      <c r="S339" s="3556">
        <v>0</v>
      </c>
      <c r="T339" s="3561"/>
      <c r="U339" s="3557">
        <v>1</v>
      </c>
      <c r="V339" s="3561"/>
      <c r="W339" s="3561"/>
      <c r="X339" s="3561"/>
      <c r="Y339" s="3561"/>
      <c r="Z339" s="3561"/>
      <c r="AA339" s="3561"/>
      <c r="AB339" s="3561"/>
      <c r="AC339" s="3561"/>
      <c r="AD339" s="3561"/>
      <c r="AE339" s="3561"/>
      <c r="AF339" s="3561"/>
      <c r="AG339" s="3561"/>
      <c r="AH339" s="3561"/>
      <c r="AI339" s="99"/>
      <c r="AJ339" s="99"/>
      <c r="AK339" s="99"/>
      <c r="AL339" s="99"/>
      <c r="AM339" s="99"/>
    </row>
    <row r="340" spans="1:39" s="100" customFormat="1" ht="20.5">
      <c r="A340" s="58"/>
      <c r="B340" s="46" t="s">
        <v>764</v>
      </c>
      <c r="C340" s="46"/>
      <c r="D340" s="107"/>
      <c r="E340" s="105"/>
      <c r="F340" s="105"/>
      <c r="G340" s="105"/>
      <c r="H340" s="105"/>
      <c r="I340" s="106"/>
      <c r="J340" s="4"/>
      <c r="K340" s="7"/>
      <c r="L340" s="3561"/>
      <c r="M340" s="7"/>
      <c r="N340" s="7"/>
      <c r="O340" s="7"/>
      <c r="P340" s="3560"/>
      <c r="Q340" s="3561"/>
      <c r="R340" s="3561"/>
      <c r="S340" s="3556">
        <v>0</v>
      </c>
      <c r="T340" s="3561"/>
      <c r="U340" s="3557">
        <v>1</v>
      </c>
      <c r="V340" s="3561"/>
      <c r="W340" s="3561"/>
      <c r="X340" s="3561"/>
      <c r="Y340" s="3561"/>
      <c r="Z340" s="3561"/>
      <c r="AA340" s="3561"/>
      <c r="AB340" s="3561"/>
      <c r="AC340" s="3561"/>
      <c r="AD340" s="3561"/>
      <c r="AE340" s="3561"/>
      <c r="AF340" s="3561"/>
      <c r="AG340" s="3561"/>
      <c r="AH340" s="3561"/>
      <c r="AI340" s="99"/>
      <c r="AJ340" s="99"/>
      <c r="AK340" s="99"/>
      <c r="AL340" s="99"/>
      <c r="AM340" s="99"/>
    </row>
    <row r="341" spans="1:39" s="100" customFormat="1" ht="19">
      <c r="A341" s="58"/>
      <c r="B341" s="53"/>
      <c r="C341" s="54" t="s">
        <v>765</v>
      </c>
      <c r="D341" s="89"/>
      <c r="E341" s="90"/>
      <c r="F341" s="90"/>
      <c r="G341" s="90"/>
      <c r="H341" s="90"/>
      <c r="I341" s="91"/>
      <c r="J341" s="4"/>
      <c r="K341" s="4"/>
      <c r="L341" s="3561"/>
      <c r="M341" s="4"/>
      <c r="N341" s="4"/>
      <c r="O341" s="4"/>
      <c r="P341" s="3555"/>
      <c r="Q341" s="3555"/>
      <c r="R341" s="3561"/>
      <c r="S341" s="3556">
        <v>0</v>
      </c>
      <c r="T341" s="3561"/>
      <c r="U341" s="3557">
        <f>U349</f>
        <v>0</v>
      </c>
      <c r="V341" s="3561"/>
      <c r="W341" s="3561"/>
      <c r="X341" s="3561"/>
      <c r="Y341" s="3561"/>
      <c r="Z341" s="3561"/>
      <c r="AA341" s="3561"/>
      <c r="AB341" s="3561"/>
      <c r="AC341" s="3561"/>
      <c r="AD341" s="3561"/>
      <c r="AE341" s="3561"/>
      <c r="AF341" s="3561"/>
      <c r="AG341" s="3561"/>
      <c r="AH341" s="3561"/>
      <c r="AI341" s="99"/>
      <c r="AJ341" s="99"/>
      <c r="AK341" s="99"/>
      <c r="AL341" s="99"/>
      <c r="AM341" s="99"/>
    </row>
    <row r="342" spans="1:39" s="64" customFormat="1" ht="19">
      <c r="A342" s="58">
        <v>310500</v>
      </c>
      <c r="B342" s="59"/>
      <c r="C342" s="47"/>
      <c r="D342" s="60" t="s">
        <v>766</v>
      </c>
      <c r="E342" s="61">
        <f>Fortalezas!D268</f>
        <v>0</v>
      </c>
      <c r="F342" s="61">
        <f>Fortalezas!E268</f>
        <v>0</v>
      </c>
      <c r="G342" s="61">
        <f>Fortalezas!F268</f>
        <v>0</v>
      </c>
      <c r="H342" s="61">
        <f>Fortalezas!G268</f>
        <v>0</v>
      </c>
      <c r="I342" s="62">
        <f>Fortalezas!H268</f>
        <v>0</v>
      </c>
      <c r="J342" s="4"/>
      <c r="K342" s="4"/>
      <c r="L342" s="3555"/>
      <c r="M342" s="4"/>
      <c r="N342" s="4"/>
      <c r="O342" s="4"/>
      <c r="P342" s="3558"/>
      <c r="Q342" s="3555"/>
      <c r="R342" s="3555"/>
      <c r="S342" s="3556">
        <v>0</v>
      </c>
      <c r="T342" s="3555"/>
      <c r="U342" s="3557">
        <f t="shared" ref="U342:U349" si="27">SUM(E342:I342)</f>
        <v>0</v>
      </c>
      <c r="V342" s="3555"/>
      <c r="W342" s="3555"/>
      <c r="X342" s="4"/>
      <c r="Y342" s="3555"/>
      <c r="Z342" s="3555"/>
      <c r="AA342" s="3555"/>
      <c r="AB342" s="3555"/>
      <c r="AC342" s="3555"/>
      <c r="AD342" s="3555"/>
      <c r="AE342" s="3555"/>
      <c r="AF342" s="3555"/>
      <c r="AG342" s="3555"/>
      <c r="AH342" s="3555"/>
      <c r="AI342" s="63"/>
      <c r="AJ342" s="63"/>
      <c r="AK342" s="63"/>
      <c r="AL342" s="63"/>
      <c r="AM342" s="63"/>
    </row>
    <row r="343" spans="1:39" s="64" customFormat="1" ht="19">
      <c r="A343" s="58">
        <v>311500</v>
      </c>
      <c r="B343" s="59"/>
      <c r="C343" s="47"/>
      <c r="D343" s="65" t="s">
        <v>767</v>
      </c>
      <c r="E343" s="75">
        <f>Fortalezas!D269</f>
        <v>0</v>
      </c>
      <c r="F343" s="75">
        <f>Fortalezas!E269</f>
        <v>0</v>
      </c>
      <c r="G343" s="75">
        <f>Fortalezas!F269</f>
        <v>0</v>
      </c>
      <c r="H343" s="75">
        <f>Fortalezas!G269</f>
        <v>0</v>
      </c>
      <c r="I343" s="76">
        <f>Fortalezas!H269</f>
        <v>0</v>
      </c>
      <c r="J343" s="4"/>
      <c r="K343" s="4"/>
      <c r="L343" s="3555"/>
      <c r="M343" s="4"/>
      <c r="N343" s="4"/>
      <c r="O343" s="4"/>
      <c r="P343" s="3558"/>
      <c r="Q343" s="3555"/>
      <c r="R343" s="3555"/>
      <c r="S343" s="3556">
        <v>0</v>
      </c>
      <c r="T343" s="3555"/>
      <c r="U343" s="3557">
        <f t="shared" si="27"/>
        <v>0</v>
      </c>
      <c r="V343" s="3555"/>
      <c r="W343" s="3555"/>
      <c r="X343" s="4"/>
      <c r="Y343" s="3555"/>
      <c r="Z343" s="3555"/>
      <c r="AA343" s="3555"/>
      <c r="AB343" s="3555"/>
      <c r="AC343" s="3555"/>
      <c r="AD343" s="3555"/>
      <c r="AE343" s="3555"/>
      <c r="AF343" s="3555"/>
      <c r="AG343" s="3555"/>
      <c r="AH343" s="3555"/>
      <c r="AI343" s="63"/>
      <c r="AJ343" s="63"/>
      <c r="AK343" s="63"/>
      <c r="AL343" s="63"/>
      <c r="AM343" s="63"/>
    </row>
    <row r="344" spans="1:39" s="64" customFormat="1" ht="19">
      <c r="A344" s="58">
        <v>312000</v>
      </c>
      <c r="B344" s="59"/>
      <c r="C344" s="47"/>
      <c r="D344" s="65" t="s">
        <v>768</v>
      </c>
      <c r="E344" s="75">
        <f>Fortalezas!D270</f>
        <v>0</v>
      </c>
      <c r="F344" s="75">
        <f>Fortalezas!E270</f>
        <v>0</v>
      </c>
      <c r="G344" s="75">
        <f>Fortalezas!F270</f>
        <v>0</v>
      </c>
      <c r="H344" s="75">
        <f>Fortalezas!G270</f>
        <v>0</v>
      </c>
      <c r="I344" s="76">
        <f>Fortalezas!H270</f>
        <v>0</v>
      </c>
      <c r="J344" s="4"/>
      <c r="K344" s="4"/>
      <c r="L344" s="3555"/>
      <c r="M344" s="4"/>
      <c r="N344" s="4"/>
      <c r="O344" s="4"/>
      <c r="P344" s="3558"/>
      <c r="Q344" s="3555"/>
      <c r="R344" s="3555"/>
      <c r="S344" s="3556">
        <v>0</v>
      </c>
      <c r="T344" s="3555"/>
      <c r="U344" s="3557">
        <f t="shared" si="27"/>
        <v>0</v>
      </c>
      <c r="V344" s="3555"/>
      <c r="W344" s="3555"/>
      <c r="X344" s="4"/>
      <c r="Y344" s="3555"/>
      <c r="Z344" s="3555"/>
      <c r="AA344" s="3555"/>
      <c r="AB344" s="3555"/>
      <c r="AC344" s="3555"/>
      <c r="AD344" s="3555"/>
      <c r="AE344" s="3555"/>
      <c r="AF344" s="3555"/>
      <c r="AG344" s="3555"/>
      <c r="AH344" s="3555"/>
      <c r="AI344" s="63"/>
      <c r="AJ344" s="63"/>
      <c r="AK344" s="63"/>
      <c r="AL344" s="63"/>
      <c r="AM344" s="63"/>
    </row>
    <row r="345" spans="1:39" s="64" customFormat="1" ht="19">
      <c r="A345" s="58">
        <v>312500</v>
      </c>
      <c r="B345" s="59"/>
      <c r="C345" s="47"/>
      <c r="D345" s="65" t="s">
        <v>769</v>
      </c>
      <c r="E345" s="75">
        <f>Fortalezas!D271</f>
        <v>0</v>
      </c>
      <c r="F345" s="75">
        <f>Fortalezas!E271</f>
        <v>0</v>
      </c>
      <c r="G345" s="75">
        <f>Fortalezas!F271</f>
        <v>0</v>
      </c>
      <c r="H345" s="75">
        <f>Fortalezas!G271</f>
        <v>0</v>
      </c>
      <c r="I345" s="76">
        <f>Fortalezas!H271</f>
        <v>0</v>
      </c>
      <c r="J345" s="4"/>
      <c r="K345" s="4"/>
      <c r="L345" s="3555"/>
      <c r="M345" s="4"/>
      <c r="N345" s="4"/>
      <c r="O345" s="4"/>
      <c r="P345" s="3558"/>
      <c r="Q345" s="3555"/>
      <c r="R345" s="3555"/>
      <c r="S345" s="3556">
        <v>0</v>
      </c>
      <c r="T345" s="3555"/>
      <c r="U345" s="3557">
        <f t="shared" si="27"/>
        <v>0</v>
      </c>
      <c r="V345" s="3555"/>
      <c r="W345" s="3555"/>
      <c r="X345" s="4"/>
      <c r="Y345" s="3555"/>
      <c r="Z345" s="3555"/>
      <c r="AA345" s="3555"/>
      <c r="AB345" s="3555"/>
      <c r="AC345" s="3555"/>
      <c r="AD345" s="3555"/>
      <c r="AE345" s="3555"/>
      <c r="AF345" s="3555"/>
      <c r="AG345" s="3555"/>
      <c r="AH345" s="3555"/>
      <c r="AI345" s="63"/>
      <c r="AJ345" s="63"/>
      <c r="AK345" s="63"/>
      <c r="AL345" s="63"/>
      <c r="AM345" s="63"/>
    </row>
    <row r="346" spans="1:39" s="64" customFormat="1" ht="19">
      <c r="A346" s="58">
        <v>313000</v>
      </c>
      <c r="B346" s="59"/>
      <c r="C346" s="47"/>
      <c r="D346" s="65" t="s">
        <v>770</v>
      </c>
      <c r="E346" s="75">
        <f>Fortalezas!D272</f>
        <v>0</v>
      </c>
      <c r="F346" s="75">
        <f>Fortalezas!E272</f>
        <v>0</v>
      </c>
      <c r="G346" s="75">
        <f>Fortalezas!F272</f>
        <v>0</v>
      </c>
      <c r="H346" s="75">
        <f>Fortalezas!G272</f>
        <v>0</v>
      </c>
      <c r="I346" s="76">
        <f>Fortalezas!H272</f>
        <v>0</v>
      </c>
      <c r="J346" s="4"/>
      <c r="K346" s="4"/>
      <c r="L346" s="3555"/>
      <c r="M346" s="4"/>
      <c r="N346" s="4"/>
      <c r="O346" s="4"/>
      <c r="P346" s="3558"/>
      <c r="Q346" s="3555"/>
      <c r="R346" s="3555"/>
      <c r="S346" s="3556">
        <v>0</v>
      </c>
      <c r="T346" s="3555"/>
      <c r="U346" s="3557">
        <f t="shared" si="27"/>
        <v>0</v>
      </c>
      <c r="V346" s="3555"/>
      <c r="W346" s="3555"/>
      <c r="X346" s="4"/>
      <c r="Y346" s="3555"/>
      <c r="Z346" s="3555"/>
      <c r="AA346" s="3555"/>
      <c r="AB346" s="3555"/>
      <c r="AC346" s="3555"/>
      <c r="AD346" s="3555"/>
      <c r="AE346" s="3555"/>
      <c r="AF346" s="3555"/>
      <c r="AG346" s="3555"/>
      <c r="AH346" s="3555"/>
      <c r="AI346" s="63"/>
      <c r="AJ346" s="63"/>
      <c r="AK346" s="63"/>
      <c r="AL346" s="63"/>
      <c r="AM346" s="63"/>
    </row>
    <row r="347" spans="1:39" s="64" customFormat="1" ht="19">
      <c r="A347" s="58">
        <v>313500</v>
      </c>
      <c r="B347" s="59"/>
      <c r="C347" s="47"/>
      <c r="D347" s="65" t="s">
        <v>771</v>
      </c>
      <c r="E347" s="75">
        <f>Fortalezas!D273</f>
        <v>0</v>
      </c>
      <c r="F347" s="75">
        <f>Fortalezas!E273</f>
        <v>0</v>
      </c>
      <c r="G347" s="75">
        <f>Fortalezas!F273</f>
        <v>0</v>
      </c>
      <c r="H347" s="75">
        <f>Fortalezas!G273</f>
        <v>0</v>
      </c>
      <c r="I347" s="76">
        <f>Fortalezas!H273</f>
        <v>0</v>
      </c>
      <c r="J347" s="4"/>
      <c r="K347" s="4"/>
      <c r="L347" s="3555"/>
      <c r="M347" s="4"/>
      <c r="N347" s="4"/>
      <c r="O347" s="4"/>
      <c r="P347" s="3558"/>
      <c r="Q347" s="3555"/>
      <c r="R347" s="3555"/>
      <c r="S347" s="3556">
        <v>0</v>
      </c>
      <c r="T347" s="3555"/>
      <c r="U347" s="3557">
        <f t="shared" si="27"/>
        <v>0</v>
      </c>
      <c r="V347" s="3555"/>
      <c r="W347" s="3555"/>
      <c r="X347" s="4"/>
      <c r="Y347" s="3555"/>
      <c r="Z347" s="3555"/>
      <c r="AA347" s="3555"/>
      <c r="AB347" s="3555"/>
      <c r="AC347" s="3555"/>
      <c r="AD347" s="3555"/>
      <c r="AE347" s="3555"/>
      <c r="AF347" s="3555"/>
      <c r="AG347" s="3555"/>
      <c r="AH347" s="3555"/>
      <c r="AI347" s="63"/>
      <c r="AJ347" s="63"/>
      <c r="AK347" s="63"/>
      <c r="AL347" s="63"/>
      <c r="AM347" s="63"/>
    </row>
    <row r="348" spans="1:39" s="64" customFormat="1" ht="19">
      <c r="A348" s="58">
        <v>314000</v>
      </c>
      <c r="B348" s="59"/>
      <c r="C348" s="47"/>
      <c r="D348" s="65" t="s">
        <v>772</v>
      </c>
      <c r="E348" s="75">
        <f>Fortalezas!D274</f>
        <v>0</v>
      </c>
      <c r="F348" s="75">
        <f>Fortalezas!E274</f>
        <v>0</v>
      </c>
      <c r="G348" s="75">
        <f>Fortalezas!F274</f>
        <v>0</v>
      </c>
      <c r="H348" s="75">
        <f>Fortalezas!G274</f>
        <v>0</v>
      </c>
      <c r="I348" s="76">
        <f>Fortalezas!H274</f>
        <v>0</v>
      </c>
      <c r="J348" s="4"/>
      <c r="K348" s="4"/>
      <c r="L348" s="3555"/>
      <c r="M348" s="4"/>
      <c r="N348" s="4"/>
      <c r="O348" s="4"/>
      <c r="P348" s="3558"/>
      <c r="Q348" s="3555"/>
      <c r="R348" s="3555"/>
      <c r="S348" s="3556">
        <v>0</v>
      </c>
      <c r="T348" s="3555"/>
      <c r="U348" s="3557">
        <f t="shared" si="27"/>
        <v>0</v>
      </c>
      <c r="V348" s="3555"/>
      <c r="W348" s="3555"/>
      <c r="X348" s="4"/>
      <c r="Y348" s="3555"/>
      <c r="Z348" s="3555"/>
      <c r="AA348" s="3555"/>
      <c r="AB348" s="3555"/>
      <c r="AC348" s="3555"/>
      <c r="AD348" s="3555"/>
      <c r="AE348" s="3555"/>
      <c r="AF348" s="3555"/>
      <c r="AG348" s="3555"/>
      <c r="AH348" s="3555"/>
      <c r="AI348" s="63"/>
      <c r="AJ348" s="63"/>
      <c r="AK348" s="63"/>
      <c r="AL348" s="63"/>
      <c r="AM348" s="63"/>
    </row>
    <row r="349" spans="1:39" s="64" customFormat="1" ht="19">
      <c r="A349" s="58">
        <v>31</v>
      </c>
      <c r="B349" s="59"/>
      <c r="C349" s="66" t="s">
        <v>773</v>
      </c>
      <c r="D349" s="67"/>
      <c r="E349" s="68">
        <f>SUM(E342:E348)</f>
        <v>0</v>
      </c>
      <c r="F349" s="68">
        <f>SUM(F342:F348)</f>
        <v>0</v>
      </c>
      <c r="G349" s="68">
        <f>SUM(G342:G348)</f>
        <v>0</v>
      </c>
      <c r="H349" s="68">
        <f>SUM(H342:H348)</f>
        <v>0</v>
      </c>
      <c r="I349" s="69">
        <f>SUM(I342:I348)</f>
        <v>0</v>
      </c>
      <c r="J349" s="4"/>
      <c r="K349" s="4"/>
      <c r="L349" s="3555"/>
      <c r="M349" s="4"/>
      <c r="N349" s="4"/>
      <c r="O349" s="4"/>
      <c r="P349" s="3558"/>
      <c r="Q349" s="3555"/>
      <c r="R349" s="3555"/>
      <c r="S349" s="3556">
        <v>0</v>
      </c>
      <c r="T349" s="3555"/>
      <c r="U349" s="3557">
        <f t="shared" si="27"/>
        <v>0</v>
      </c>
      <c r="V349" s="3555"/>
      <c r="W349" s="3555"/>
      <c r="X349" s="4"/>
      <c r="Y349" s="3555"/>
      <c r="Z349" s="3555"/>
      <c r="AA349" s="3555"/>
      <c r="AB349" s="3555"/>
      <c r="AC349" s="3555"/>
      <c r="AD349" s="3555"/>
      <c r="AE349" s="3555"/>
      <c r="AF349" s="3555"/>
      <c r="AG349" s="3555"/>
      <c r="AH349" s="3555"/>
      <c r="AI349" s="63"/>
      <c r="AJ349" s="63"/>
      <c r="AK349" s="63"/>
      <c r="AL349" s="63"/>
      <c r="AM349" s="63"/>
    </row>
    <row r="350" spans="1:39" s="64" customFormat="1" ht="19">
      <c r="A350" s="58"/>
      <c r="B350" s="53"/>
      <c r="C350" s="54" t="s">
        <v>774</v>
      </c>
      <c r="D350" s="71"/>
      <c r="E350" s="72"/>
      <c r="F350" s="72"/>
      <c r="G350" s="72"/>
      <c r="H350" s="72"/>
      <c r="I350" s="73"/>
      <c r="J350" s="4"/>
      <c r="K350" s="4"/>
      <c r="L350" s="3555"/>
      <c r="M350" s="4"/>
      <c r="N350" s="4"/>
      <c r="O350" s="4"/>
      <c r="P350" s="3558"/>
      <c r="Q350" s="3555"/>
      <c r="R350" s="3555"/>
      <c r="S350" s="3556">
        <v>0</v>
      </c>
      <c r="T350" s="3555"/>
      <c r="U350" s="3557">
        <f>U357</f>
        <v>0</v>
      </c>
      <c r="V350" s="3555"/>
      <c r="W350" s="3555"/>
      <c r="X350" s="4"/>
      <c r="Y350" s="3555"/>
      <c r="Z350" s="3555"/>
      <c r="AA350" s="3555"/>
      <c r="AB350" s="3555"/>
      <c r="AC350" s="3555"/>
      <c r="AD350" s="3555"/>
      <c r="AE350" s="3555"/>
      <c r="AF350" s="3555"/>
      <c r="AG350" s="3555"/>
      <c r="AH350" s="3555"/>
      <c r="AI350" s="63"/>
      <c r="AJ350" s="63"/>
      <c r="AK350" s="63"/>
      <c r="AL350" s="63"/>
      <c r="AM350" s="63"/>
    </row>
    <row r="351" spans="1:39" s="64" customFormat="1" ht="19">
      <c r="A351" s="58">
        <v>320500</v>
      </c>
      <c r="B351" s="59"/>
      <c r="C351" s="47"/>
      <c r="D351" s="60" t="s">
        <v>775</v>
      </c>
      <c r="E351" s="61">
        <f>Fortalezas!D276</f>
        <v>0</v>
      </c>
      <c r="F351" s="61">
        <f>Fortalezas!E276</f>
        <v>0</v>
      </c>
      <c r="G351" s="61">
        <f>Fortalezas!F276</f>
        <v>0</v>
      </c>
      <c r="H351" s="61">
        <f>Fortalezas!G276</f>
        <v>0</v>
      </c>
      <c r="I351" s="62">
        <f>Fortalezas!H276</f>
        <v>0</v>
      </c>
      <c r="J351" s="4"/>
      <c r="K351" s="4"/>
      <c r="L351" s="3555"/>
      <c r="M351" s="4"/>
      <c r="N351" s="4"/>
      <c r="O351" s="4"/>
      <c r="P351" s="3558"/>
      <c r="Q351" s="3555"/>
      <c r="R351" s="3555"/>
      <c r="S351" s="3556">
        <v>0</v>
      </c>
      <c r="T351" s="3555"/>
      <c r="U351" s="3557">
        <f t="shared" ref="U351:U357" si="28">SUM(E351:I351)</f>
        <v>0</v>
      </c>
      <c r="V351" s="3555"/>
      <c r="W351" s="3555"/>
      <c r="X351" s="4"/>
      <c r="Y351" s="3555"/>
      <c r="Z351" s="3555"/>
      <c r="AA351" s="3555"/>
      <c r="AB351" s="3555"/>
      <c r="AC351" s="3555"/>
      <c r="AD351" s="3555"/>
      <c r="AE351" s="3555"/>
      <c r="AF351" s="3555"/>
      <c r="AG351" s="3555"/>
      <c r="AH351" s="3555"/>
      <c r="AI351" s="63"/>
      <c r="AJ351" s="63"/>
      <c r="AK351" s="63"/>
      <c r="AL351" s="63"/>
      <c r="AM351" s="63"/>
    </row>
    <row r="352" spans="1:39" s="64" customFormat="1" ht="19">
      <c r="A352" s="58">
        <v>321000</v>
      </c>
      <c r="B352" s="59"/>
      <c r="C352" s="47"/>
      <c r="D352" s="65" t="s">
        <v>776</v>
      </c>
      <c r="E352" s="75">
        <f>Fortalezas!D277</f>
        <v>0</v>
      </c>
      <c r="F352" s="75">
        <f>Fortalezas!E277</f>
        <v>0</v>
      </c>
      <c r="G352" s="75">
        <f>Fortalezas!F277</f>
        <v>0</v>
      </c>
      <c r="H352" s="75">
        <f>Fortalezas!G277</f>
        <v>0</v>
      </c>
      <c r="I352" s="76">
        <f>Fortalezas!H277</f>
        <v>0</v>
      </c>
      <c r="J352" s="4"/>
      <c r="K352" s="4"/>
      <c r="L352" s="3555"/>
      <c r="M352" s="4"/>
      <c r="N352" s="4"/>
      <c r="O352" s="4"/>
      <c r="P352" s="3558"/>
      <c r="Q352" s="3555"/>
      <c r="R352" s="3555"/>
      <c r="S352" s="3556">
        <v>0</v>
      </c>
      <c r="T352" s="3555"/>
      <c r="U352" s="3557">
        <f t="shared" si="28"/>
        <v>0</v>
      </c>
      <c r="V352" s="3555"/>
      <c r="W352" s="3555"/>
      <c r="X352" s="4"/>
      <c r="Y352" s="3555"/>
      <c r="Z352" s="3555"/>
      <c r="AA352" s="3555"/>
      <c r="AB352" s="3555"/>
      <c r="AC352" s="3555"/>
      <c r="AD352" s="3555"/>
      <c r="AE352" s="3555"/>
      <c r="AF352" s="3555"/>
      <c r="AG352" s="3555"/>
      <c r="AH352" s="3555"/>
      <c r="AI352" s="63"/>
      <c r="AJ352" s="63"/>
      <c r="AK352" s="63"/>
      <c r="AL352" s="63"/>
      <c r="AM352" s="63"/>
    </row>
    <row r="353" spans="1:39" s="64" customFormat="1" ht="19">
      <c r="A353" s="58">
        <v>321500</v>
      </c>
      <c r="B353" s="59"/>
      <c r="C353" s="47"/>
      <c r="D353" s="65" t="s">
        <v>653</v>
      </c>
      <c r="E353" s="75">
        <f>Fortalezas!D278</f>
        <v>0</v>
      </c>
      <c r="F353" s="75">
        <f>Fortalezas!E278</f>
        <v>0</v>
      </c>
      <c r="G353" s="75">
        <f>Fortalezas!F278</f>
        <v>0</v>
      </c>
      <c r="H353" s="75">
        <f>Fortalezas!G278</f>
        <v>0</v>
      </c>
      <c r="I353" s="76">
        <f>Fortalezas!H278</f>
        <v>0</v>
      </c>
      <c r="J353" s="4"/>
      <c r="K353" s="4"/>
      <c r="L353" s="3555"/>
      <c r="M353" s="4"/>
      <c r="N353" s="4"/>
      <c r="O353" s="4"/>
      <c r="P353" s="3558"/>
      <c r="Q353" s="3555"/>
      <c r="R353" s="3555"/>
      <c r="S353" s="3556">
        <v>0</v>
      </c>
      <c r="T353" s="3555"/>
      <c r="U353" s="3557">
        <f t="shared" si="28"/>
        <v>0</v>
      </c>
      <c r="V353" s="3555"/>
      <c r="W353" s="3555"/>
      <c r="X353" s="4"/>
      <c r="Y353" s="3555"/>
      <c r="Z353" s="3555"/>
      <c r="AA353" s="3555"/>
      <c r="AB353" s="3555"/>
      <c r="AC353" s="3555"/>
      <c r="AD353" s="3555"/>
      <c r="AE353" s="3555"/>
      <c r="AF353" s="3555"/>
      <c r="AG353" s="3555"/>
      <c r="AH353" s="3555"/>
      <c r="AI353" s="63"/>
      <c r="AJ353" s="63"/>
      <c r="AK353" s="63"/>
      <c r="AL353" s="63"/>
      <c r="AM353" s="63"/>
    </row>
    <row r="354" spans="1:39" s="64" customFormat="1" ht="19">
      <c r="A354" s="58">
        <v>322000</v>
      </c>
      <c r="B354" s="59"/>
      <c r="C354" s="47"/>
      <c r="D354" s="65" t="s">
        <v>655</v>
      </c>
      <c r="E354" s="75">
        <f>Fortalezas!D279</f>
        <v>0</v>
      </c>
      <c r="F354" s="75">
        <f>Fortalezas!E279</f>
        <v>0</v>
      </c>
      <c r="G354" s="75">
        <f>Fortalezas!F279</f>
        <v>0</v>
      </c>
      <c r="H354" s="75">
        <f>Fortalezas!G279</f>
        <v>0</v>
      </c>
      <c r="I354" s="76">
        <f>Fortalezas!H279</f>
        <v>0</v>
      </c>
      <c r="J354" s="4"/>
      <c r="K354" s="4"/>
      <c r="L354" s="3555"/>
      <c r="M354" s="4"/>
      <c r="N354" s="4"/>
      <c r="O354" s="4"/>
      <c r="P354" s="3558"/>
      <c r="Q354" s="3555"/>
      <c r="R354" s="3555"/>
      <c r="S354" s="3556">
        <v>0</v>
      </c>
      <c r="T354" s="3555"/>
      <c r="U354" s="3557">
        <f t="shared" si="28"/>
        <v>0</v>
      </c>
      <c r="V354" s="3555"/>
      <c r="W354" s="3555"/>
      <c r="X354" s="4"/>
      <c r="Y354" s="3555"/>
      <c r="Z354" s="3555"/>
      <c r="AA354" s="3555"/>
      <c r="AB354" s="3555"/>
      <c r="AC354" s="3555"/>
      <c r="AD354" s="3555"/>
      <c r="AE354" s="3555"/>
      <c r="AF354" s="3555"/>
      <c r="AG354" s="3555"/>
      <c r="AH354" s="3555"/>
      <c r="AI354" s="63"/>
      <c r="AJ354" s="63"/>
      <c r="AK354" s="63"/>
      <c r="AL354" s="63"/>
      <c r="AM354" s="63"/>
    </row>
    <row r="355" spans="1:39" s="64" customFormat="1" ht="19">
      <c r="A355" s="58">
        <v>322500</v>
      </c>
      <c r="B355" s="59"/>
      <c r="C355" s="47"/>
      <c r="D355" s="65" t="s">
        <v>777</v>
      </c>
      <c r="E355" s="75">
        <f>Fortalezas!D280</f>
        <v>0</v>
      </c>
      <c r="F355" s="75">
        <f>Fortalezas!E280</f>
        <v>0</v>
      </c>
      <c r="G355" s="75">
        <f>Fortalezas!F280</f>
        <v>0</v>
      </c>
      <c r="H355" s="75">
        <f>Fortalezas!G280</f>
        <v>0</v>
      </c>
      <c r="I355" s="76">
        <f>Fortalezas!H280</f>
        <v>0</v>
      </c>
      <c r="J355" s="4"/>
      <c r="K355" s="4"/>
      <c r="L355" s="3555"/>
      <c r="M355" s="4"/>
      <c r="N355" s="4"/>
      <c r="O355" s="4"/>
      <c r="P355" s="3558"/>
      <c r="Q355" s="3555"/>
      <c r="R355" s="3555"/>
      <c r="S355" s="3556">
        <v>0</v>
      </c>
      <c r="T355" s="3555"/>
      <c r="U355" s="3557">
        <f t="shared" si="28"/>
        <v>0</v>
      </c>
      <c r="V355" s="3555"/>
      <c r="W355" s="3555"/>
      <c r="X355" s="4"/>
      <c r="Y355" s="3555"/>
      <c r="Z355" s="3555"/>
      <c r="AA355" s="3555"/>
      <c r="AB355" s="3555"/>
      <c r="AC355" s="3555"/>
      <c r="AD355" s="3555"/>
      <c r="AE355" s="3555"/>
      <c r="AF355" s="3555"/>
      <c r="AG355" s="3555"/>
      <c r="AH355" s="3555"/>
      <c r="AI355" s="63"/>
      <c r="AJ355" s="63"/>
      <c r="AK355" s="63"/>
      <c r="AL355" s="63"/>
      <c r="AM355" s="63"/>
    </row>
    <row r="356" spans="1:39" s="64" customFormat="1" ht="19" hidden="1" customHeight="1">
      <c r="A356" s="58"/>
      <c r="B356" s="59"/>
      <c r="C356" s="47"/>
      <c r="D356" s="65"/>
      <c r="E356" s="75"/>
      <c r="F356" s="75"/>
      <c r="G356" s="78"/>
      <c r="H356" s="78"/>
      <c r="I356" s="79"/>
      <c r="J356" s="4"/>
      <c r="K356" s="4"/>
      <c r="L356" s="3555"/>
      <c r="M356" s="4"/>
      <c r="N356" s="4"/>
      <c r="O356" s="4"/>
      <c r="P356" s="3558"/>
      <c r="Q356" s="3555"/>
      <c r="R356" s="3555"/>
      <c r="S356" s="3556">
        <v>1</v>
      </c>
      <c r="T356" s="3555"/>
      <c r="U356" s="3557">
        <f t="shared" si="28"/>
        <v>0</v>
      </c>
      <c r="V356" s="3555"/>
      <c r="W356" s="3555"/>
      <c r="X356" s="4"/>
      <c r="Y356" s="3555"/>
      <c r="Z356" s="3555"/>
      <c r="AA356" s="3555"/>
      <c r="AB356" s="3555"/>
      <c r="AC356" s="3555"/>
      <c r="AD356" s="3555"/>
      <c r="AE356" s="3555"/>
      <c r="AF356" s="3555"/>
      <c r="AG356" s="3555"/>
      <c r="AH356" s="3555"/>
      <c r="AI356" s="63"/>
      <c r="AJ356" s="63"/>
      <c r="AK356" s="63"/>
      <c r="AL356" s="63"/>
      <c r="AM356" s="63"/>
    </row>
    <row r="357" spans="1:39" s="64" customFormat="1" ht="19">
      <c r="A357" s="58">
        <v>32</v>
      </c>
      <c r="B357" s="59"/>
      <c r="C357" s="66" t="s">
        <v>778</v>
      </c>
      <c r="D357" s="67"/>
      <c r="E357" s="68">
        <f>SUM(E351:E355)</f>
        <v>0</v>
      </c>
      <c r="F357" s="68">
        <f>SUM(F351:F355)</f>
        <v>0</v>
      </c>
      <c r="G357" s="68">
        <f>SUM(G351:G355)</f>
        <v>0</v>
      </c>
      <c r="H357" s="68">
        <f>SUM(H351:H355)</f>
        <v>0</v>
      </c>
      <c r="I357" s="69">
        <f>SUM(I351:I355)</f>
        <v>0</v>
      </c>
      <c r="J357" s="4"/>
      <c r="K357" s="4"/>
      <c r="L357" s="3555"/>
      <c r="M357" s="4"/>
      <c r="N357" s="4"/>
      <c r="O357" s="4"/>
      <c r="P357" s="3558"/>
      <c r="Q357" s="3555"/>
      <c r="R357" s="3555"/>
      <c r="S357" s="3556">
        <v>0</v>
      </c>
      <c r="T357" s="3555"/>
      <c r="U357" s="3557">
        <f t="shared" si="28"/>
        <v>0</v>
      </c>
      <c r="V357" s="3555"/>
      <c r="W357" s="3555"/>
      <c r="X357" s="4"/>
      <c r="Y357" s="3555"/>
      <c r="Z357" s="3555"/>
      <c r="AA357" s="3555"/>
      <c r="AB357" s="3555"/>
      <c r="AC357" s="3555"/>
      <c r="AD357" s="3555"/>
      <c r="AE357" s="3555"/>
      <c r="AF357" s="3555"/>
      <c r="AG357" s="3555"/>
      <c r="AH357" s="3555"/>
      <c r="AI357" s="63"/>
      <c r="AJ357" s="63"/>
      <c r="AK357" s="63"/>
      <c r="AL357" s="63"/>
      <c r="AM357" s="63"/>
    </row>
    <row r="358" spans="1:39" s="64" customFormat="1" ht="19">
      <c r="A358" s="58"/>
      <c r="B358" s="53"/>
      <c r="C358" s="54" t="s">
        <v>779</v>
      </c>
      <c r="D358" s="71"/>
      <c r="E358" s="72"/>
      <c r="F358" s="72"/>
      <c r="G358" s="72"/>
      <c r="H358" s="72"/>
      <c r="I358" s="73"/>
      <c r="J358" s="4"/>
      <c r="K358" s="4"/>
      <c r="L358" s="3555"/>
      <c r="M358" s="4"/>
      <c r="N358" s="4"/>
      <c r="O358" s="4"/>
      <c r="P358" s="3558"/>
      <c r="Q358" s="3555"/>
      <c r="R358" s="3555"/>
      <c r="S358" s="3556">
        <v>0</v>
      </c>
      <c r="T358" s="3555"/>
      <c r="U358" s="3557">
        <f>U362</f>
        <v>0</v>
      </c>
      <c r="V358" s="3555"/>
      <c r="W358" s="3555"/>
      <c r="X358" s="4"/>
      <c r="Y358" s="3555"/>
      <c r="Z358" s="3555"/>
      <c r="AA358" s="3555"/>
      <c r="AB358" s="3555"/>
      <c r="AC358" s="3555"/>
      <c r="AD358" s="3555"/>
      <c r="AE358" s="3555"/>
      <c r="AF358" s="3555"/>
      <c r="AG358" s="3555"/>
      <c r="AH358" s="3555"/>
      <c r="AI358" s="63"/>
      <c r="AJ358" s="63"/>
      <c r="AK358" s="63"/>
      <c r="AL358" s="63"/>
      <c r="AM358" s="63"/>
    </row>
    <row r="359" spans="1:39" s="64" customFormat="1" ht="19">
      <c r="A359" s="58">
        <v>330500</v>
      </c>
      <c r="B359" s="59"/>
      <c r="C359" s="47"/>
      <c r="D359" s="60" t="s">
        <v>780</v>
      </c>
      <c r="E359" s="61">
        <f>Fortalezas!D282</f>
        <v>0</v>
      </c>
      <c r="F359" s="61">
        <f>Fortalezas!E282</f>
        <v>0</v>
      </c>
      <c r="G359" s="61">
        <f>Fortalezas!F282</f>
        <v>0</v>
      </c>
      <c r="H359" s="61">
        <f>Fortalezas!G282</f>
        <v>0</v>
      </c>
      <c r="I359" s="62">
        <f>Fortalezas!H282</f>
        <v>0</v>
      </c>
      <c r="J359" s="4"/>
      <c r="K359" s="4"/>
      <c r="L359" s="3555"/>
      <c r="M359" s="4"/>
      <c r="N359" s="4"/>
      <c r="O359" s="4"/>
      <c r="P359" s="3558"/>
      <c r="Q359" s="3555"/>
      <c r="R359" s="3555"/>
      <c r="S359" s="3556">
        <v>0</v>
      </c>
      <c r="T359" s="3555"/>
      <c r="U359" s="3557">
        <f>SUM(E359:I359)</f>
        <v>0</v>
      </c>
      <c r="V359" s="3555"/>
      <c r="W359" s="3555"/>
      <c r="X359" s="4"/>
      <c r="Y359" s="3555"/>
      <c r="Z359" s="3555"/>
      <c r="AA359" s="3555"/>
      <c r="AB359" s="3555"/>
      <c r="AC359" s="3555"/>
      <c r="AD359" s="3555"/>
      <c r="AE359" s="3555"/>
      <c r="AF359" s="3555"/>
      <c r="AG359" s="3555"/>
      <c r="AH359" s="3555"/>
      <c r="AI359" s="63"/>
      <c r="AJ359" s="63"/>
      <c r="AK359" s="63"/>
      <c r="AL359" s="63"/>
      <c r="AM359" s="63"/>
    </row>
    <row r="360" spans="1:39" s="64" customFormat="1" ht="19">
      <c r="A360" s="58">
        <v>331000</v>
      </c>
      <c r="B360" s="59"/>
      <c r="C360" s="47"/>
      <c r="D360" s="65" t="s">
        <v>781</v>
      </c>
      <c r="E360" s="75">
        <f>Fortalezas!D283</f>
        <v>0</v>
      </c>
      <c r="F360" s="75">
        <f>Fortalezas!E283</f>
        <v>0</v>
      </c>
      <c r="G360" s="75">
        <f>Fortalezas!F283</f>
        <v>0</v>
      </c>
      <c r="H360" s="75">
        <f>Fortalezas!G283</f>
        <v>0</v>
      </c>
      <c r="I360" s="76">
        <f>Fortalezas!H283</f>
        <v>0</v>
      </c>
      <c r="J360" s="4"/>
      <c r="K360" s="4"/>
      <c r="L360" s="3555"/>
      <c r="M360" s="4"/>
      <c r="N360" s="4"/>
      <c r="O360" s="4"/>
      <c r="P360" s="3558"/>
      <c r="Q360" s="3555"/>
      <c r="R360" s="3555"/>
      <c r="S360" s="3556">
        <v>0</v>
      </c>
      <c r="T360" s="3555"/>
      <c r="U360" s="3557">
        <f>SUM(E360:I360)</f>
        <v>0</v>
      </c>
      <c r="V360" s="3555"/>
      <c r="W360" s="3555"/>
      <c r="X360" s="4"/>
      <c r="Y360" s="3555"/>
      <c r="Z360" s="3555"/>
      <c r="AA360" s="3555"/>
      <c r="AB360" s="3555"/>
      <c r="AC360" s="3555"/>
      <c r="AD360" s="3555"/>
      <c r="AE360" s="3555"/>
      <c r="AF360" s="3555"/>
      <c r="AG360" s="3555"/>
      <c r="AH360" s="3555"/>
      <c r="AI360" s="63"/>
      <c r="AJ360" s="63"/>
      <c r="AK360" s="63"/>
      <c r="AL360" s="63"/>
      <c r="AM360" s="63"/>
    </row>
    <row r="361" spans="1:39" s="64" customFormat="1" ht="19">
      <c r="A361" s="58">
        <v>331500</v>
      </c>
      <c r="B361" s="59"/>
      <c r="C361" s="47"/>
      <c r="D361" s="65" t="s">
        <v>782</v>
      </c>
      <c r="E361" s="75">
        <f>Fortalezas!D284</f>
        <v>0</v>
      </c>
      <c r="F361" s="75">
        <f>Fortalezas!E284</f>
        <v>0</v>
      </c>
      <c r="G361" s="75">
        <f>Fortalezas!F284</f>
        <v>0</v>
      </c>
      <c r="H361" s="75">
        <f>Fortalezas!G284</f>
        <v>0</v>
      </c>
      <c r="I361" s="76">
        <f>Fortalezas!H284</f>
        <v>0</v>
      </c>
      <c r="J361" s="4"/>
      <c r="K361" s="4"/>
      <c r="L361" s="3555"/>
      <c r="M361" s="4"/>
      <c r="N361" s="4"/>
      <c r="O361" s="4"/>
      <c r="P361" s="3558"/>
      <c r="Q361" s="3555"/>
      <c r="R361" s="3555"/>
      <c r="S361" s="3556">
        <v>0</v>
      </c>
      <c r="T361" s="3555"/>
      <c r="U361" s="3557">
        <f>SUM(E361:I361)</f>
        <v>0</v>
      </c>
      <c r="V361" s="3555"/>
      <c r="W361" s="3555"/>
      <c r="X361" s="4"/>
      <c r="Y361" s="3555"/>
      <c r="Z361" s="3555"/>
      <c r="AA361" s="3555"/>
      <c r="AB361" s="3555"/>
      <c r="AC361" s="3555"/>
      <c r="AD361" s="3555"/>
      <c r="AE361" s="3555"/>
      <c r="AF361" s="3555"/>
      <c r="AG361" s="3555"/>
      <c r="AH361" s="3555"/>
      <c r="AI361" s="63"/>
      <c r="AJ361" s="63"/>
      <c r="AK361" s="63"/>
      <c r="AL361" s="63"/>
      <c r="AM361" s="63"/>
    </row>
    <row r="362" spans="1:39" s="64" customFormat="1" ht="19">
      <c r="A362" s="58">
        <v>33</v>
      </c>
      <c r="B362" s="59"/>
      <c r="C362" s="66" t="s">
        <v>783</v>
      </c>
      <c r="D362" s="67"/>
      <c r="E362" s="68">
        <f>SUM(E359:E361)</f>
        <v>0</v>
      </c>
      <c r="F362" s="68">
        <f>SUM(F359:F361)</f>
        <v>0</v>
      </c>
      <c r="G362" s="68">
        <f>SUM(G359:G361)</f>
        <v>0</v>
      </c>
      <c r="H362" s="68">
        <f>SUM(H359:H361)</f>
        <v>0</v>
      </c>
      <c r="I362" s="69">
        <f>SUM(I359:I361)</f>
        <v>0</v>
      </c>
      <c r="J362" s="4"/>
      <c r="K362" s="4"/>
      <c r="L362" s="3555"/>
      <c r="M362" s="4"/>
      <c r="N362" s="4"/>
      <c r="O362" s="4"/>
      <c r="P362" s="3558"/>
      <c r="Q362" s="3555"/>
      <c r="R362" s="3555"/>
      <c r="S362" s="3556">
        <v>0</v>
      </c>
      <c r="T362" s="3555"/>
      <c r="U362" s="3557">
        <f>SUM(E362:I362)</f>
        <v>0</v>
      </c>
      <c r="V362" s="3555"/>
      <c r="W362" s="3555"/>
      <c r="X362" s="4"/>
      <c r="Y362" s="3555"/>
      <c r="Z362" s="3555"/>
      <c r="AA362" s="3555"/>
      <c r="AB362" s="3555"/>
      <c r="AC362" s="3555"/>
      <c r="AD362" s="3555"/>
      <c r="AE362" s="3555"/>
      <c r="AF362" s="3555"/>
      <c r="AG362" s="3555"/>
      <c r="AH362" s="3555"/>
      <c r="AI362" s="63"/>
      <c r="AJ362" s="63"/>
      <c r="AK362" s="63"/>
      <c r="AL362" s="63"/>
      <c r="AM362" s="63"/>
    </row>
    <row r="363" spans="1:39" s="64" customFormat="1" ht="19">
      <c r="A363" s="58"/>
      <c r="B363" s="53"/>
      <c r="C363" s="54" t="s">
        <v>784</v>
      </c>
      <c r="D363" s="71"/>
      <c r="E363" s="72"/>
      <c r="F363" s="72"/>
      <c r="G363" s="72"/>
      <c r="H363" s="72"/>
      <c r="I363" s="73"/>
      <c r="J363" s="4"/>
      <c r="K363" s="4"/>
      <c r="L363" s="3555"/>
      <c r="M363" s="4"/>
      <c r="N363" s="4"/>
      <c r="O363" s="4"/>
      <c r="P363" s="3558"/>
      <c r="Q363" s="3555"/>
      <c r="R363" s="3555"/>
      <c r="S363" s="3556">
        <v>0</v>
      </c>
      <c r="T363" s="3555"/>
      <c r="U363" s="3557">
        <f>U368</f>
        <v>0</v>
      </c>
      <c r="V363" s="3555"/>
      <c r="W363" s="3555"/>
      <c r="X363" s="4"/>
      <c r="Y363" s="3555"/>
      <c r="Z363" s="3555"/>
      <c r="AA363" s="3555"/>
      <c r="AB363" s="3555"/>
      <c r="AC363" s="3555"/>
      <c r="AD363" s="3555"/>
      <c r="AE363" s="3555"/>
      <c r="AF363" s="3555"/>
      <c r="AG363" s="3555"/>
      <c r="AH363" s="3555"/>
      <c r="AI363" s="63"/>
      <c r="AJ363" s="63"/>
      <c r="AK363" s="63"/>
      <c r="AL363" s="63"/>
      <c r="AM363" s="63"/>
    </row>
    <row r="364" spans="1:39" s="64" customFormat="1" ht="19">
      <c r="A364" s="58">
        <v>340505</v>
      </c>
      <c r="B364" s="59"/>
      <c r="C364" s="47"/>
      <c r="D364" s="74" t="s">
        <v>785</v>
      </c>
      <c r="E364" s="61">
        <f>Fortalezas!D286+Fortalezas!D375</f>
        <v>0</v>
      </c>
      <c r="F364" s="61">
        <f>Fortalezas!E286+Fortalezas!E375</f>
        <v>0</v>
      </c>
      <c r="G364" s="61">
        <f>Fortalezas!F286+Fortalezas!F375</f>
        <v>0</v>
      </c>
      <c r="H364" s="61">
        <f>Fortalezas!G286+Fortalezas!G375</f>
        <v>0</v>
      </c>
      <c r="I364" s="62">
        <f>Fortalezas!H286+Fortalezas!H375</f>
        <v>0</v>
      </c>
      <c r="J364" s="4"/>
      <c r="K364" s="4"/>
      <c r="L364" s="3555"/>
      <c r="M364" s="4"/>
      <c r="N364" s="4"/>
      <c r="O364" s="4"/>
      <c r="P364" s="3558"/>
      <c r="Q364" s="3555"/>
      <c r="R364" s="3555"/>
      <c r="S364" s="3556">
        <v>0</v>
      </c>
      <c r="T364" s="3555"/>
      <c r="U364" s="3557">
        <f t="shared" ref="U364:U380" si="29">SUM(E364:I364)</f>
        <v>0</v>
      </c>
      <c r="V364" s="3555"/>
      <c r="W364" s="3555"/>
      <c r="X364" s="4"/>
      <c r="Y364" s="3555"/>
      <c r="Z364" s="3555"/>
      <c r="AA364" s="3555"/>
      <c r="AB364" s="3555"/>
      <c r="AC364" s="3555"/>
      <c r="AD364" s="3555"/>
      <c r="AE364" s="3555"/>
      <c r="AF364" s="3555"/>
      <c r="AG364" s="3555"/>
      <c r="AH364" s="3555"/>
      <c r="AI364" s="63"/>
      <c r="AJ364" s="63"/>
      <c r="AK364" s="63"/>
      <c r="AL364" s="63"/>
      <c r="AM364" s="63"/>
    </row>
    <row r="365" spans="1:39" s="64" customFormat="1" ht="19">
      <c r="A365" s="58">
        <v>340515</v>
      </c>
      <c r="B365" s="59"/>
      <c r="C365" s="47"/>
      <c r="D365" s="74" t="s">
        <v>786</v>
      </c>
      <c r="E365" s="75">
        <f>Fortalezas!D287</f>
        <v>0</v>
      </c>
      <c r="F365" s="75">
        <f>Fortalezas!E287</f>
        <v>0</v>
      </c>
      <c r="G365" s="75">
        <f>Fortalezas!F287</f>
        <v>0</v>
      </c>
      <c r="H365" s="75">
        <f>Fortalezas!G287</f>
        <v>0</v>
      </c>
      <c r="I365" s="76">
        <f>Fortalezas!H287</f>
        <v>0</v>
      </c>
      <c r="J365" s="4"/>
      <c r="K365" s="4"/>
      <c r="L365" s="3555"/>
      <c r="M365" s="4"/>
      <c r="N365" s="4"/>
      <c r="O365" s="4"/>
      <c r="P365" s="3558"/>
      <c r="Q365" s="3555"/>
      <c r="R365" s="3555"/>
      <c r="S365" s="3556">
        <v>0</v>
      </c>
      <c r="T365" s="3555"/>
      <c r="U365" s="3557">
        <f t="shared" si="29"/>
        <v>0</v>
      </c>
      <c r="V365" s="3555"/>
      <c r="W365" s="3555"/>
      <c r="X365" s="4"/>
      <c r="Y365" s="3555"/>
      <c r="Z365" s="3555"/>
      <c r="AA365" s="3555"/>
      <c r="AB365" s="3555"/>
      <c r="AC365" s="3555"/>
      <c r="AD365" s="3555"/>
      <c r="AE365" s="3555"/>
      <c r="AF365" s="3555"/>
      <c r="AG365" s="3555"/>
      <c r="AH365" s="3555"/>
      <c r="AI365" s="63"/>
      <c r="AJ365" s="63"/>
      <c r="AK365" s="63"/>
      <c r="AL365" s="63"/>
      <c r="AM365" s="63"/>
    </row>
    <row r="366" spans="1:39" s="64" customFormat="1" ht="19" hidden="1" customHeight="1">
      <c r="A366" s="58"/>
      <c r="B366" s="59"/>
      <c r="C366" s="47"/>
      <c r="D366" s="74"/>
      <c r="E366" s="75"/>
      <c r="F366" s="75"/>
      <c r="G366" s="75"/>
      <c r="H366" s="75"/>
      <c r="I366" s="76"/>
      <c r="J366" s="4"/>
      <c r="K366" s="4"/>
      <c r="L366" s="3555"/>
      <c r="M366" s="4"/>
      <c r="N366" s="4"/>
      <c r="O366" s="4"/>
      <c r="P366" s="3558"/>
      <c r="Q366" s="3555"/>
      <c r="R366" s="3555"/>
      <c r="S366" s="3556">
        <v>1</v>
      </c>
      <c r="T366" s="3555"/>
      <c r="U366" s="3557">
        <f t="shared" si="29"/>
        <v>0</v>
      </c>
      <c r="V366" s="3555"/>
      <c r="W366" s="3555"/>
      <c r="X366" s="4"/>
      <c r="Y366" s="3555"/>
      <c r="Z366" s="3555"/>
      <c r="AA366" s="3555"/>
      <c r="AB366" s="3555"/>
      <c r="AC366" s="3555"/>
      <c r="AD366" s="3555"/>
      <c r="AE366" s="3555"/>
      <c r="AF366" s="3555"/>
      <c r="AG366" s="3555"/>
      <c r="AH366" s="3555"/>
      <c r="AI366" s="63"/>
      <c r="AJ366" s="63"/>
      <c r="AK366" s="63"/>
      <c r="AL366" s="63"/>
      <c r="AM366" s="63"/>
    </row>
    <row r="367" spans="1:39" s="64" customFormat="1" ht="19">
      <c r="A367" s="58">
        <v>349500</v>
      </c>
      <c r="B367" s="59"/>
      <c r="C367" s="47"/>
      <c r="D367" s="74" t="s">
        <v>787</v>
      </c>
      <c r="E367" s="75">
        <f>Fortalezas!D288</f>
        <v>0</v>
      </c>
      <c r="F367" s="75">
        <f>Fortalezas!E288</f>
        <v>0</v>
      </c>
      <c r="G367" s="75">
        <f>Fortalezas!F288</f>
        <v>0</v>
      </c>
      <c r="H367" s="75">
        <f>Fortalezas!G288</f>
        <v>0</v>
      </c>
      <c r="I367" s="76">
        <f>Fortalezas!H288</f>
        <v>0</v>
      </c>
      <c r="J367" s="4"/>
      <c r="K367" s="4"/>
      <c r="L367" s="3555"/>
      <c r="M367" s="4"/>
      <c r="N367" s="4"/>
      <c r="O367" s="4"/>
      <c r="P367" s="3558"/>
      <c r="Q367" s="3555"/>
      <c r="R367" s="3555"/>
      <c r="S367" s="3556">
        <v>0</v>
      </c>
      <c r="T367" s="3555"/>
      <c r="U367" s="3557">
        <f t="shared" si="29"/>
        <v>0</v>
      </c>
      <c r="V367" s="3555"/>
      <c r="W367" s="3555"/>
      <c r="X367" s="4"/>
      <c r="Y367" s="3555"/>
      <c r="Z367" s="3555"/>
      <c r="AA367" s="3555"/>
      <c r="AB367" s="3555"/>
      <c r="AC367" s="3555"/>
      <c r="AD367" s="3555"/>
      <c r="AE367" s="3555"/>
      <c r="AF367" s="3555"/>
      <c r="AG367" s="3555"/>
      <c r="AH367" s="3555"/>
      <c r="AI367" s="63"/>
      <c r="AJ367" s="63"/>
      <c r="AK367" s="63"/>
      <c r="AL367" s="63"/>
      <c r="AM367" s="63"/>
    </row>
    <row r="368" spans="1:39" s="64" customFormat="1" ht="19">
      <c r="A368" s="58">
        <v>34</v>
      </c>
      <c r="B368" s="59"/>
      <c r="C368" s="66" t="s">
        <v>788</v>
      </c>
      <c r="D368" s="111"/>
      <c r="E368" s="112">
        <f>SUM(E364:E367)</f>
        <v>0</v>
      </c>
      <c r="F368" s="112">
        <f>SUM(F364:F367)</f>
        <v>0</v>
      </c>
      <c r="G368" s="112">
        <f>SUM(G364:G367)</f>
        <v>0</v>
      </c>
      <c r="H368" s="112">
        <f>SUM(H364:H367)</f>
        <v>0</v>
      </c>
      <c r="I368" s="113">
        <f>SUM(I364:I367)</f>
        <v>0</v>
      </c>
      <c r="J368" s="4"/>
      <c r="K368" s="4"/>
      <c r="L368" s="3555"/>
      <c r="M368" s="4"/>
      <c r="N368" s="4"/>
      <c r="O368" s="4"/>
      <c r="P368" s="3558"/>
      <c r="Q368" s="3555"/>
      <c r="R368" s="3555"/>
      <c r="S368" s="3556">
        <v>0</v>
      </c>
      <c r="T368" s="3555"/>
      <c r="U368" s="3557">
        <f t="shared" si="29"/>
        <v>0</v>
      </c>
      <c r="V368" s="3555"/>
      <c r="W368" s="3555"/>
      <c r="X368" s="4"/>
      <c r="Y368" s="3555"/>
      <c r="Z368" s="3555"/>
      <c r="AA368" s="3555"/>
      <c r="AB368" s="3555"/>
      <c r="AC368" s="3555"/>
      <c r="AD368" s="3555"/>
      <c r="AE368" s="3555"/>
      <c r="AF368" s="3555"/>
      <c r="AG368" s="3555"/>
      <c r="AH368" s="3555"/>
      <c r="AI368" s="63"/>
      <c r="AJ368" s="63"/>
      <c r="AK368" s="63"/>
      <c r="AL368" s="63"/>
      <c r="AM368" s="63"/>
    </row>
    <row r="369" spans="1:39" s="64" customFormat="1" ht="19">
      <c r="A369" s="58">
        <v>35</v>
      </c>
      <c r="B369" s="59"/>
      <c r="C369" s="47"/>
      <c r="D369" s="65" t="s">
        <v>789</v>
      </c>
      <c r="E369" s="75">
        <f>Fortalezas!D290</f>
        <v>0</v>
      </c>
      <c r="F369" s="75">
        <f>Fortalezas!E290</f>
        <v>0</v>
      </c>
      <c r="G369" s="75">
        <f>Fortalezas!F290</f>
        <v>0</v>
      </c>
      <c r="H369" s="75">
        <f>Fortalezas!G290</f>
        <v>0</v>
      </c>
      <c r="I369" s="76">
        <f>Fortalezas!H290</f>
        <v>0</v>
      </c>
      <c r="J369" s="4"/>
      <c r="K369" s="4"/>
      <c r="L369" s="3555"/>
      <c r="M369" s="4"/>
      <c r="N369" s="4"/>
      <c r="O369" s="4"/>
      <c r="P369" s="3558"/>
      <c r="Q369" s="3555"/>
      <c r="R369" s="3555"/>
      <c r="S369" s="3556">
        <v>0</v>
      </c>
      <c r="T369" s="3555"/>
      <c r="U369" s="3557">
        <f t="shared" si="29"/>
        <v>0</v>
      </c>
      <c r="V369" s="3555"/>
      <c r="W369" s="3555"/>
      <c r="X369" s="4"/>
      <c r="Y369" s="3555"/>
      <c r="Z369" s="3555"/>
      <c r="AA369" s="3555"/>
      <c r="AB369" s="3555"/>
      <c r="AC369" s="3555"/>
      <c r="AD369" s="3555"/>
      <c r="AE369" s="3555"/>
      <c r="AF369" s="3555"/>
      <c r="AG369" s="3555"/>
      <c r="AH369" s="3555"/>
      <c r="AI369" s="63"/>
      <c r="AJ369" s="63"/>
      <c r="AK369" s="63"/>
      <c r="AL369" s="63"/>
      <c r="AM369" s="63"/>
    </row>
    <row r="370" spans="1:39" s="64" customFormat="1" ht="19">
      <c r="A370" s="58">
        <v>36</v>
      </c>
      <c r="B370" s="59"/>
      <c r="C370" s="47"/>
      <c r="D370" s="65" t="s">
        <v>790</v>
      </c>
      <c r="E370" s="114">
        <f>E456</f>
        <v>0</v>
      </c>
      <c r="F370" s="114">
        <f>F456</f>
        <v>0</v>
      </c>
      <c r="G370" s="114">
        <f>G456</f>
        <v>0</v>
      </c>
      <c r="H370" s="114">
        <f>H456</f>
        <v>0</v>
      </c>
      <c r="I370" s="79">
        <f>I456</f>
        <v>0</v>
      </c>
      <c r="J370" s="4"/>
      <c r="K370" s="4"/>
      <c r="L370" s="3555"/>
      <c r="M370" s="4"/>
      <c r="N370" s="4"/>
      <c r="O370" s="4"/>
      <c r="P370" s="3558"/>
      <c r="Q370" s="3555"/>
      <c r="R370" s="3555"/>
      <c r="S370" s="3556">
        <v>0</v>
      </c>
      <c r="T370" s="3555"/>
      <c r="U370" s="3557">
        <f t="shared" si="29"/>
        <v>0</v>
      </c>
      <c r="V370" s="3555"/>
      <c r="W370" s="3555"/>
      <c r="X370" s="4"/>
      <c r="Y370" s="3555"/>
      <c r="Z370" s="3555"/>
      <c r="AA370" s="3555"/>
      <c r="AB370" s="3555"/>
      <c r="AC370" s="3555"/>
      <c r="AD370" s="3555"/>
      <c r="AE370" s="3555"/>
      <c r="AF370" s="3555"/>
      <c r="AG370" s="3555"/>
      <c r="AH370" s="3555"/>
      <c r="AI370" s="63"/>
      <c r="AJ370" s="63"/>
      <c r="AK370" s="63"/>
      <c r="AL370" s="63"/>
      <c r="AM370" s="63"/>
    </row>
    <row r="371" spans="1:39" s="64" customFormat="1" ht="19">
      <c r="A371" s="58">
        <v>37</v>
      </c>
      <c r="B371" s="59"/>
      <c r="C371" s="47"/>
      <c r="D371" s="65" t="s">
        <v>791</v>
      </c>
      <c r="E371" s="75">
        <f>IF(Fortalezas!D291=0,Fortalezas!D292-Fortalezas!D370,Fortalezas!D292)</f>
        <v>0</v>
      </c>
      <c r="F371" s="75">
        <f>IF(Fortalezas!E291=0,Fortalezas!E292-Fortalezas!E370,Fortalezas!E292)</f>
        <v>0</v>
      </c>
      <c r="G371" s="75">
        <f>IF(Fortalezas!F291=0,Fortalezas!F292-Fortalezas!F370,Fortalezas!F292)</f>
        <v>0</v>
      </c>
      <c r="H371" s="75">
        <f>IF(Fortalezas!G291=0,Fortalezas!G292-Fortalezas!G370,Fortalezas!G292)</f>
        <v>0</v>
      </c>
      <c r="I371" s="76">
        <f>IF(Fortalezas!H291=0,Fortalezas!H292-Fortalezas!H370,Fortalezas!H292)</f>
        <v>0</v>
      </c>
      <c r="J371" s="4"/>
      <c r="K371" s="4"/>
      <c r="L371" s="3555"/>
      <c r="M371" s="4"/>
      <c r="N371" s="4"/>
      <c r="O371" s="4"/>
      <c r="P371" s="3558"/>
      <c r="Q371" s="3555"/>
      <c r="R371" s="3555"/>
      <c r="S371" s="3556">
        <v>0</v>
      </c>
      <c r="T371" s="3555"/>
      <c r="U371" s="3557">
        <f t="shared" si="29"/>
        <v>0</v>
      </c>
      <c r="V371" s="3555"/>
      <c r="W371" s="3555"/>
      <c r="X371" s="4"/>
      <c r="Y371" s="3555"/>
      <c r="Z371" s="3555"/>
      <c r="AA371" s="3555"/>
      <c r="AB371" s="3555"/>
      <c r="AC371" s="3555"/>
      <c r="AD371" s="3555"/>
      <c r="AE371" s="3555"/>
      <c r="AF371" s="3555"/>
      <c r="AG371" s="3555"/>
      <c r="AH371" s="3555"/>
      <c r="AI371" s="63"/>
      <c r="AJ371" s="63"/>
      <c r="AK371" s="63"/>
      <c r="AL371" s="63"/>
      <c r="AM371" s="63"/>
    </row>
    <row r="372" spans="1:39" s="64" customFormat="1" ht="19">
      <c r="A372" s="58">
        <v>38</v>
      </c>
      <c r="B372" s="59"/>
      <c r="C372" s="47"/>
      <c r="D372" s="115" t="s">
        <v>792</v>
      </c>
      <c r="E372" s="116">
        <f>Fortalezas!D293</f>
        <v>0</v>
      </c>
      <c r="F372" s="116">
        <f>Fortalezas!E293</f>
        <v>0</v>
      </c>
      <c r="G372" s="116">
        <f>Fortalezas!F293</f>
        <v>0</v>
      </c>
      <c r="H372" s="116">
        <f>Fortalezas!G293</f>
        <v>0</v>
      </c>
      <c r="I372" s="117">
        <f>Fortalezas!H293</f>
        <v>0</v>
      </c>
      <c r="J372" s="4"/>
      <c r="K372" s="4"/>
      <c r="L372" s="3555"/>
      <c r="M372" s="4"/>
      <c r="N372" s="4"/>
      <c r="O372" s="4"/>
      <c r="P372" s="3558"/>
      <c r="Q372" s="3555"/>
      <c r="R372" s="3555"/>
      <c r="S372" s="3556">
        <v>0</v>
      </c>
      <c r="T372" s="3555"/>
      <c r="U372" s="3557">
        <f t="shared" si="29"/>
        <v>0</v>
      </c>
      <c r="V372" s="3555"/>
      <c r="W372" s="3555"/>
      <c r="X372" s="4"/>
      <c r="Y372" s="3555"/>
      <c r="Z372" s="3555"/>
      <c r="AA372" s="3555"/>
      <c r="AB372" s="3555"/>
      <c r="AC372" s="3555"/>
      <c r="AD372" s="3555"/>
      <c r="AE372" s="3555"/>
      <c r="AF372" s="3555"/>
      <c r="AG372" s="3555"/>
      <c r="AH372" s="3555"/>
      <c r="AI372" s="63"/>
      <c r="AJ372" s="63"/>
      <c r="AK372" s="63"/>
      <c r="AL372" s="63"/>
      <c r="AM372" s="63"/>
    </row>
    <row r="373" spans="1:39" s="64" customFormat="1" ht="19">
      <c r="A373" s="58">
        <v>3</v>
      </c>
      <c r="B373" s="94" t="s">
        <v>793</v>
      </c>
      <c r="C373" s="98"/>
      <c r="D373" s="95"/>
      <c r="E373" s="96">
        <f>E349+E357+E362+E368+E369+E370+E371+E372</f>
        <v>0</v>
      </c>
      <c r="F373" s="96">
        <f>F349+F357+F362+F368+F369+F370+F371+F372</f>
        <v>0</v>
      </c>
      <c r="G373" s="87">
        <f>G349+G357+G362+G368+G369+G370+G371+G372</f>
        <v>0</v>
      </c>
      <c r="H373" s="87">
        <f>H349+H357+H362+H368+H369+H370+H371+H372</f>
        <v>0</v>
      </c>
      <c r="I373" s="97">
        <f>I349+I357+I362+I368+I369+I370+I371+I372</f>
        <v>0</v>
      </c>
      <c r="J373" s="4"/>
      <c r="K373" s="4"/>
      <c r="L373" s="3555"/>
      <c r="M373" s="4"/>
      <c r="N373" s="4"/>
      <c r="O373" s="4"/>
      <c r="P373" s="3558"/>
      <c r="Q373" s="3555"/>
      <c r="R373" s="3555"/>
      <c r="S373" s="3556">
        <v>0</v>
      </c>
      <c r="T373" s="3555"/>
      <c r="U373" s="3557">
        <f t="shared" si="29"/>
        <v>0</v>
      </c>
      <c r="V373" s="3555"/>
      <c r="W373" s="3555"/>
      <c r="X373" s="3555"/>
      <c r="Y373" s="3555"/>
      <c r="Z373" s="3555"/>
      <c r="AA373" s="3555"/>
      <c r="AB373" s="3555"/>
      <c r="AC373" s="3555"/>
      <c r="AD373" s="3555"/>
      <c r="AE373" s="3555"/>
      <c r="AF373" s="3555"/>
      <c r="AG373" s="3555"/>
      <c r="AH373" s="3555"/>
      <c r="AI373" s="63"/>
      <c r="AJ373" s="63"/>
      <c r="AK373" s="63"/>
      <c r="AL373" s="63"/>
      <c r="AM373" s="63"/>
    </row>
    <row r="374" spans="1:39" s="64" customFormat="1" ht="19">
      <c r="A374" s="58">
        <v>0</v>
      </c>
      <c r="B374" s="94" t="s">
        <v>794</v>
      </c>
      <c r="C374" s="98"/>
      <c r="D374" s="95"/>
      <c r="E374" s="96">
        <f>E373+E338</f>
        <v>0</v>
      </c>
      <c r="F374" s="96">
        <f>F373+F338</f>
        <v>0</v>
      </c>
      <c r="G374" s="87">
        <f>G373+G338</f>
        <v>0</v>
      </c>
      <c r="H374" s="87">
        <f>H373+H338</f>
        <v>0</v>
      </c>
      <c r="I374" s="97">
        <f>I373+I338</f>
        <v>0</v>
      </c>
      <c r="J374" s="4"/>
      <c r="K374" s="4"/>
      <c r="L374" s="3555"/>
      <c r="M374" s="7"/>
      <c r="N374" s="7"/>
      <c r="O374" s="7"/>
      <c r="P374" s="3560"/>
      <c r="Q374" s="3561"/>
      <c r="R374" s="3555"/>
      <c r="S374" s="3556">
        <v>0</v>
      </c>
      <c r="T374" s="3555"/>
      <c r="U374" s="3557">
        <f t="shared" si="29"/>
        <v>0</v>
      </c>
      <c r="V374" s="3555"/>
      <c r="W374" s="3555"/>
      <c r="X374" s="3555"/>
      <c r="Y374" s="3555"/>
      <c r="Z374" s="3555"/>
      <c r="AA374" s="3555"/>
      <c r="AB374" s="3555"/>
      <c r="AC374" s="3555"/>
      <c r="AD374" s="3555"/>
      <c r="AE374" s="3555"/>
      <c r="AF374" s="3555"/>
      <c r="AG374" s="3555"/>
      <c r="AH374" s="3555"/>
      <c r="AI374" s="63"/>
      <c r="AJ374" s="63"/>
      <c r="AK374" s="63"/>
      <c r="AL374" s="63"/>
      <c r="AM374" s="63"/>
    </row>
    <row r="375" spans="1:39" s="100" customFormat="1" ht="19">
      <c r="A375" s="58"/>
      <c r="B375" s="53"/>
      <c r="C375" s="54" t="s">
        <v>672</v>
      </c>
      <c r="D375" s="89"/>
      <c r="E375" s="90"/>
      <c r="F375" s="90"/>
      <c r="G375" s="90"/>
      <c r="H375" s="90"/>
      <c r="I375" s="91"/>
      <c r="J375" s="4"/>
      <c r="K375" s="4"/>
      <c r="L375" s="3561"/>
      <c r="M375" s="4"/>
      <c r="N375" s="4"/>
      <c r="O375" s="4"/>
      <c r="P375" s="3555"/>
      <c r="Q375" s="3555"/>
      <c r="R375" s="3561"/>
      <c r="S375" s="3556">
        <v>0</v>
      </c>
      <c r="T375" s="3561"/>
      <c r="U375" s="3557">
        <f t="shared" si="29"/>
        <v>0</v>
      </c>
      <c r="V375" s="3561"/>
      <c r="W375" s="3561"/>
      <c r="X375" s="3561"/>
      <c r="Y375" s="3561"/>
      <c r="Z375" s="3561"/>
      <c r="AA375" s="3561"/>
      <c r="AB375" s="3561"/>
      <c r="AC375" s="3561"/>
      <c r="AD375" s="3561"/>
      <c r="AE375" s="3561"/>
      <c r="AF375" s="3561"/>
      <c r="AG375" s="3561"/>
      <c r="AH375" s="3561"/>
      <c r="AI375" s="99"/>
      <c r="AJ375" s="99"/>
      <c r="AK375" s="99"/>
      <c r="AL375" s="99"/>
      <c r="AM375" s="99"/>
    </row>
    <row r="376" spans="1:39" s="64" customFormat="1" ht="19">
      <c r="A376" s="58">
        <v>291000</v>
      </c>
      <c r="B376" s="59"/>
      <c r="C376" s="47"/>
      <c r="D376" s="60" t="s">
        <v>795</v>
      </c>
      <c r="E376" s="61">
        <f>Fortalezas!D297</f>
        <v>0</v>
      </c>
      <c r="F376" s="61">
        <f>Fortalezas!E297</f>
        <v>0</v>
      </c>
      <c r="G376" s="61">
        <f>Fortalezas!F297</f>
        <v>0</v>
      </c>
      <c r="H376" s="61">
        <f>Fortalezas!G297</f>
        <v>0</v>
      </c>
      <c r="I376" s="62">
        <f>Fortalezas!H297</f>
        <v>0</v>
      </c>
      <c r="J376" s="4"/>
      <c r="K376" s="4"/>
      <c r="L376" s="3555"/>
      <c r="M376" s="4"/>
      <c r="N376" s="4"/>
      <c r="O376" s="4"/>
      <c r="P376" s="3558"/>
      <c r="Q376" s="3555"/>
      <c r="R376" s="3555"/>
      <c r="S376" s="3556">
        <v>0</v>
      </c>
      <c r="T376" s="3555"/>
      <c r="U376" s="3557">
        <f t="shared" si="29"/>
        <v>0</v>
      </c>
      <c r="V376" s="3555"/>
      <c r="W376" s="3555"/>
      <c r="X376" s="3555"/>
      <c r="Y376" s="3555"/>
      <c r="Z376" s="3555"/>
      <c r="AA376" s="3555"/>
      <c r="AB376" s="3555"/>
      <c r="AC376" s="3555"/>
      <c r="AD376" s="3555"/>
      <c r="AE376" s="3555"/>
      <c r="AF376" s="3555"/>
      <c r="AG376" s="3555"/>
      <c r="AH376" s="3555"/>
      <c r="AI376" s="63"/>
      <c r="AJ376" s="63"/>
      <c r="AK376" s="63"/>
      <c r="AL376" s="63"/>
      <c r="AM376" s="63"/>
    </row>
    <row r="377" spans="1:39" s="64" customFormat="1" ht="19">
      <c r="A377" s="58">
        <v>292000</v>
      </c>
      <c r="B377" s="59"/>
      <c r="C377" s="47"/>
      <c r="D377" s="65" t="s">
        <v>796</v>
      </c>
      <c r="E377" s="75">
        <f>Fortalezas!D298</f>
        <v>0</v>
      </c>
      <c r="F377" s="75">
        <f>Fortalezas!E298</f>
        <v>0</v>
      </c>
      <c r="G377" s="75">
        <f>Fortalezas!F298</f>
        <v>0</v>
      </c>
      <c r="H377" s="75">
        <f>Fortalezas!G298</f>
        <v>0</v>
      </c>
      <c r="I377" s="76">
        <f>Fortalezas!H298</f>
        <v>0</v>
      </c>
      <c r="J377" s="4"/>
      <c r="K377" s="4"/>
      <c r="L377" s="3555"/>
      <c r="M377" s="4"/>
      <c r="N377" s="4"/>
      <c r="O377" s="4"/>
      <c r="P377" s="3558"/>
      <c r="Q377" s="3555"/>
      <c r="R377" s="3555"/>
      <c r="S377" s="3556">
        <v>0</v>
      </c>
      <c r="T377" s="3555"/>
      <c r="U377" s="3557">
        <f t="shared" si="29"/>
        <v>0</v>
      </c>
      <c r="V377" s="3555"/>
      <c r="W377" s="3555"/>
      <c r="X377" s="3555"/>
      <c r="Y377" s="3555"/>
      <c r="Z377" s="3555"/>
      <c r="AA377" s="3555"/>
      <c r="AB377" s="3555"/>
      <c r="AC377" s="3555"/>
      <c r="AD377" s="3555"/>
      <c r="AE377" s="3555"/>
      <c r="AF377" s="3555"/>
      <c r="AG377" s="3555"/>
      <c r="AH377" s="3555"/>
      <c r="AI377" s="63"/>
      <c r="AJ377" s="63"/>
      <c r="AK377" s="63"/>
      <c r="AL377" s="63"/>
      <c r="AM377" s="63"/>
    </row>
    <row r="378" spans="1:39" s="64" customFormat="1" ht="19">
      <c r="A378" s="58">
        <v>293000</v>
      </c>
      <c r="B378" s="59"/>
      <c r="C378" s="47"/>
      <c r="D378" s="65" t="s">
        <v>797</v>
      </c>
      <c r="E378" s="75">
        <f>Fortalezas!D299</f>
        <v>0</v>
      </c>
      <c r="F378" s="75">
        <f>Fortalezas!E299</f>
        <v>0</v>
      </c>
      <c r="G378" s="75">
        <f>Fortalezas!F299</f>
        <v>0</v>
      </c>
      <c r="H378" s="75">
        <f>Fortalezas!G299</f>
        <v>0</v>
      </c>
      <c r="I378" s="76">
        <f>Fortalezas!H299</f>
        <v>0</v>
      </c>
      <c r="J378" s="4"/>
      <c r="K378" s="4"/>
      <c r="L378" s="3555"/>
      <c r="M378" s="4"/>
      <c r="N378" s="4"/>
      <c r="O378" s="4"/>
      <c r="P378" s="3558"/>
      <c r="Q378" s="3555"/>
      <c r="R378" s="3555"/>
      <c r="S378" s="3556">
        <v>0</v>
      </c>
      <c r="T378" s="3555"/>
      <c r="U378" s="3557">
        <f t="shared" si="29"/>
        <v>0</v>
      </c>
      <c r="V378" s="3555"/>
      <c r="W378" s="3555"/>
      <c r="X378" s="3555"/>
      <c r="Y378" s="3555"/>
      <c r="Z378" s="3555"/>
      <c r="AA378" s="3555"/>
      <c r="AB378" s="3555"/>
      <c r="AC378" s="3555"/>
      <c r="AD378" s="3555"/>
      <c r="AE378" s="3555"/>
      <c r="AF378" s="3555"/>
      <c r="AG378" s="3555"/>
      <c r="AH378" s="3555"/>
      <c r="AI378" s="63"/>
      <c r="AJ378" s="63"/>
      <c r="AK378" s="63"/>
      <c r="AL378" s="63"/>
      <c r="AM378" s="63"/>
    </row>
    <row r="379" spans="1:39" s="64" customFormat="1" ht="19">
      <c r="A379" s="58">
        <v>294000</v>
      </c>
      <c r="B379" s="59"/>
      <c r="C379" s="47"/>
      <c r="D379" s="101" t="s">
        <v>798</v>
      </c>
      <c r="E379" s="102">
        <f>Fortalezas!D300</f>
        <v>0</v>
      </c>
      <c r="F379" s="102">
        <f>Fortalezas!E300</f>
        <v>0</v>
      </c>
      <c r="G379" s="102">
        <f>Fortalezas!F300</f>
        <v>0</v>
      </c>
      <c r="H379" s="102">
        <f>Fortalezas!G300</f>
        <v>0</v>
      </c>
      <c r="I379" s="103">
        <f>Fortalezas!H300</f>
        <v>0</v>
      </c>
      <c r="J379" s="4"/>
      <c r="K379" s="4"/>
      <c r="L379" s="3555"/>
      <c r="M379" s="4"/>
      <c r="N379" s="4"/>
      <c r="O379" s="4"/>
      <c r="P379" s="3558"/>
      <c r="Q379" s="3555"/>
      <c r="R379" s="3555"/>
      <c r="S379" s="3556">
        <v>0</v>
      </c>
      <c r="T379" s="3555"/>
      <c r="U379" s="3557">
        <f t="shared" si="29"/>
        <v>0</v>
      </c>
      <c r="V379" s="3555"/>
      <c r="W379" s="3555"/>
      <c r="X379" s="3555"/>
      <c r="Y379" s="3555"/>
      <c r="Z379" s="3555"/>
      <c r="AA379" s="3555"/>
      <c r="AB379" s="3555"/>
      <c r="AC379" s="3555"/>
      <c r="AD379" s="3555"/>
      <c r="AE379" s="3555"/>
      <c r="AF379" s="3555"/>
      <c r="AG379" s="3555"/>
      <c r="AH379" s="3555"/>
      <c r="AI379" s="63"/>
      <c r="AJ379" s="63"/>
      <c r="AK379" s="63"/>
      <c r="AL379" s="63"/>
      <c r="AM379" s="63"/>
    </row>
    <row r="380" spans="1:39" s="64" customFormat="1" ht="19">
      <c r="A380" s="58">
        <v>190000</v>
      </c>
      <c r="B380" s="59"/>
      <c r="C380" s="94" t="s">
        <v>677</v>
      </c>
      <c r="D380" s="95"/>
      <c r="E380" s="96">
        <f>SUM(E376:E379)</f>
        <v>0</v>
      </c>
      <c r="F380" s="96">
        <f>SUM(F376:F379)</f>
        <v>0</v>
      </c>
      <c r="G380" s="87">
        <f>SUM(G376:G379)</f>
        <v>0</v>
      </c>
      <c r="H380" s="87">
        <f>SUM(H376:H379)</f>
        <v>0</v>
      </c>
      <c r="I380" s="97">
        <f>SUM(I376:I379)</f>
        <v>0</v>
      </c>
      <c r="J380" s="4"/>
      <c r="K380" s="4"/>
      <c r="L380" s="3555"/>
      <c r="M380" s="4"/>
      <c r="N380" s="4"/>
      <c r="O380" s="4"/>
      <c r="P380" s="3558"/>
      <c r="Q380" s="3555"/>
      <c r="R380" s="3555"/>
      <c r="S380" s="3556">
        <v>0</v>
      </c>
      <c r="T380" s="3555"/>
      <c r="U380" s="3557">
        <f t="shared" si="29"/>
        <v>0</v>
      </c>
      <c r="V380" s="3555"/>
      <c r="W380" s="3555"/>
      <c r="X380" s="3555"/>
      <c r="Y380" s="3555"/>
      <c r="Z380" s="3555"/>
      <c r="AA380" s="3555"/>
      <c r="AB380" s="3555"/>
      <c r="AC380" s="3555"/>
      <c r="AD380" s="3555"/>
      <c r="AE380" s="3555"/>
      <c r="AF380" s="3555"/>
      <c r="AG380" s="3555"/>
      <c r="AH380" s="3555"/>
      <c r="AI380" s="63"/>
      <c r="AJ380" s="63"/>
      <c r="AK380" s="63"/>
      <c r="AL380" s="63"/>
      <c r="AM380" s="63"/>
    </row>
    <row r="381" spans="1:39" s="64" customFormat="1" ht="19">
      <c r="A381" s="58"/>
      <c r="B381" s="84"/>
      <c r="C381" s="47"/>
      <c r="D381" s="104"/>
      <c r="E381" s="105"/>
      <c r="F381" s="105"/>
      <c r="G381" s="105"/>
      <c r="H381" s="105"/>
      <c r="I381" s="106"/>
      <c r="J381" s="4"/>
      <c r="K381" s="4"/>
      <c r="L381" s="3555"/>
      <c r="M381" s="3555"/>
      <c r="N381" s="3555"/>
      <c r="O381" s="3555"/>
      <c r="P381" s="3555"/>
      <c r="Q381" s="3555"/>
      <c r="R381" s="3555"/>
      <c r="S381" s="3556">
        <v>0</v>
      </c>
      <c r="T381" s="3555"/>
      <c r="U381" s="3557">
        <v>1</v>
      </c>
      <c r="V381" s="3555"/>
      <c r="W381" s="3555"/>
      <c r="X381" s="3555"/>
      <c r="Y381" s="3555"/>
      <c r="Z381" s="3555"/>
      <c r="AA381" s="3555"/>
      <c r="AB381" s="3555"/>
      <c r="AC381" s="3555"/>
      <c r="AD381" s="3555"/>
      <c r="AE381" s="3555"/>
      <c r="AF381" s="3555"/>
      <c r="AG381" s="3555"/>
      <c r="AH381" s="3555"/>
      <c r="AI381" s="63"/>
      <c r="AJ381" s="63"/>
      <c r="AK381" s="63"/>
      <c r="AL381" s="63"/>
      <c r="AM381" s="63"/>
    </row>
    <row r="382" spans="1:39" s="64" customFormat="1" ht="19">
      <c r="A382" s="58"/>
      <c r="B382" s="84"/>
      <c r="C382" s="47"/>
      <c r="D382" s="104"/>
      <c r="E382" s="105"/>
      <c r="F382" s="105"/>
      <c r="G382" s="105"/>
      <c r="H382" s="105"/>
      <c r="I382" s="124"/>
      <c r="J382" s="4"/>
      <c r="K382" s="4"/>
      <c r="L382" s="3555"/>
      <c r="M382" s="4"/>
      <c r="N382" s="4"/>
      <c r="O382" s="4"/>
      <c r="P382" s="3558"/>
      <c r="Q382" s="3555"/>
      <c r="R382" s="3555"/>
      <c r="S382" s="3556">
        <v>0</v>
      </c>
      <c r="T382" s="3555"/>
      <c r="U382" s="3557">
        <v>1</v>
      </c>
      <c r="V382" s="3555"/>
      <c r="W382" s="3555"/>
      <c r="X382" s="3555"/>
      <c r="Y382" s="3555"/>
      <c r="Z382" s="3555"/>
      <c r="AA382" s="3555"/>
      <c r="AB382" s="3555"/>
      <c r="AC382" s="3555"/>
      <c r="AD382" s="3555"/>
      <c r="AE382" s="3555"/>
      <c r="AF382" s="3555"/>
      <c r="AG382" s="3555"/>
      <c r="AH382" s="3555"/>
      <c r="AI382" s="63"/>
      <c r="AJ382" s="63"/>
      <c r="AK382" s="63"/>
      <c r="AL382" s="63"/>
      <c r="AM382" s="63"/>
    </row>
    <row r="383" spans="1:39" s="64" customFormat="1" ht="23">
      <c r="A383" s="58"/>
      <c r="B383" s="125" t="s">
        <v>801</v>
      </c>
      <c r="C383" s="47"/>
      <c r="D383" s="126"/>
      <c r="E383" s="105"/>
      <c r="F383" s="105"/>
      <c r="G383" s="105"/>
      <c r="H383" s="105"/>
      <c r="I383" s="124"/>
      <c r="J383" s="4"/>
      <c r="K383" s="4"/>
      <c r="L383" s="3555"/>
      <c r="M383" s="4"/>
      <c r="N383" s="4"/>
      <c r="O383" s="4"/>
      <c r="P383" s="3558"/>
      <c r="Q383" s="3555"/>
      <c r="R383" s="3555"/>
      <c r="S383" s="3556">
        <v>0</v>
      </c>
      <c r="T383" s="3555"/>
      <c r="U383" s="3557">
        <v>1</v>
      </c>
      <c r="V383" s="3555"/>
      <c r="W383" s="3555"/>
      <c r="X383" s="3555"/>
      <c r="Y383" s="3555"/>
      <c r="Z383" s="3555"/>
      <c r="AA383" s="3555"/>
      <c r="AB383" s="3555"/>
      <c r="AC383" s="3555"/>
      <c r="AD383" s="3555"/>
      <c r="AE383" s="3555"/>
      <c r="AF383" s="3555"/>
      <c r="AG383" s="3555"/>
      <c r="AH383" s="3555"/>
      <c r="AI383" s="63"/>
      <c r="AJ383" s="63"/>
      <c r="AK383" s="63"/>
      <c r="AL383" s="63"/>
      <c r="AM383" s="63"/>
    </row>
    <row r="384" spans="1:39" s="64" customFormat="1" ht="19">
      <c r="A384" s="58"/>
      <c r="B384" s="54" t="s">
        <v>802</v>
      </c>
      <c r="C384" s="47"/>
      <c r="D384" s="89"/>
      <c r="E384" s="90"/>
      <c r="F384" s="90"/>
      <c r="G384" s="90"/>
      <c r="H384" s="90"/>
      <c r="I384" s="127"/>
      <c r="J384" s="4"/>
      <c r="K384" s="4"/>
      <c r="L384" s="3555"/>
      <c r="M384" s="4"/>
      <c r="N384" s="4"/>
      <c r="O384" s="4"/>
      <c r="P384" s="3555"/>
      <c r="Q384" s="3555"/>
      <c r="R384" s="3555"/>
      <c r="S384" s="3556">
        <v>0</v>
      </c>
      <c r="T384" s="3555"/>
      <c r="U384" s="3557">
        <v>1</v>
      </c>
      <c r="V384" s="3555"/>
      <c r="W384" s="3555"/>
      <c r="X384" s="3555"/>
      <c r="Y384" s="3555"/>
      <c r="Z384" s="3555"/>
      <c r="AA384" s="3555"/>
      <c r="AB384" s="3555"/>
      <c r="AC384" s="3555"/>
      <c r="AD384" s="3555"/>
      <c r="AE384" s="3555"/>
      <c r="AF384" s="3555"/>
      <c r="AG384" s="3555"/>
      <c r="AH384" s="3555"/>
      <c r="AI384" s="63"/>
      <c r="AJ384" s="63"/>
      <c r="AK384" s="63"/>
      <c r="AL384" s="63"/>
      <c r="AM384" s="63"/>
    </row>
    <row r="385" spans="1:39" s="64" customFormat="1" ht="19">
      <c r="A385" s="58">
        <v>410500</v>
      </c>
      <c r="B385" s="59"/>
      <c r="C385" s="47"/>
      <c r="D385" s="60" t="s">
        <v>803</v>
      </c>
      <c r="E385" s="61">
        <f>Fortalezas!D303</f>
        <v>0</v>
      </c>
      <c r="F385" s="61">
        <f>Fortalezas!E303</f>
        <v>0</v>
      </c>
      <c r="G385" s="61">
        <f>Fortalezas!F303</f>
        <v>0</v>
      </c>
      <c r="H385" s="61">
        <f>Fortalezas!G303</f>
        <v>0</v>
      </c>
      <c r="I385" s="62">
        <f>Fortalezas!H303</f>
        <v>0</v>
      </c>
      <c r="J385" s="4"/>
      <c r="K385" s="4"/>
      <c r="L385" s="3555"/>
      <c r="M385" s="4"/>
      <c r="N385" s="4"/>
      <c r="O385" s="4"/>
      <c r="P385" s="3558"/>
      <c r="Q385" s="3555"/>
      <c r="R385" s="3555"/>
      <c r="S385" s="3556">
        <v>0</v>
      </c>
      <c r="T385" s="3555"/>
      <c r="U385" s="3557">
        <f>SUM(E385:I385)</f>
        <v>0</v>
      </c>
      <c r="V385" s="3555"/>
      <c r="W385" s="3555"/>
      <c r="X385" s="3555"/>
      <c r="Y385" s="4"/>
      <c r="Z385" s="3555"/>
      <c r="AA385" s="3555"/>
      <c r="AB385" s="3555"/>
      <c r="AC385" s="3555"/>
      <c r="AD385" s="3555"/>
      <c r="AE385" s="3555"/>
      <c r="AF385" s="3555"/>
      <c r="AG385" s="3555"/>
      <c r="AH385" s="3555"/>
      <c r="AI385" s="63"/>
      <c r="AJ385" s="63"/>
      <c r="AK385" s="63"/>
      <c r="AL385" s="63"/>
      <c r="AM385" s="63"/>
    </row>
    <row r="386" spans="1:39" s="64" customFormat="1" ht="19">
      <c r="A386" s="58">
        <v>411000</v>
      </c>
      <c r="B386" s="59"/>
      <c r="C386" s="47"/>
      <c r="D386" s="65" t="s">
        <v>804</v>
      </c>
      <c r="E386" s="75">
        <f>Fortalezas!D304</f>
        <v>0</v>
      </c>
      <c r="F386" s="75">
        <f>Fortalezas!E304</f>
        <v>0</v>
      </c>
      <c r="G386" s="75">
        <f>Fortalezas!F304</f>
        <v>0</v>
      </c>
      <c r="H386" s="75">
        <f>Fortalezas!G304</f>
        <v>0</v>
      </c>
      <c r="I386" s="76">
        <f>Fortalezas!H304</f>
        <v>0</v>
      </c>
      <c r="J386" s="4"/>
      <c r="K386" s="4"/>
      <c r="L386" s="3555"/>
      <c r="M386" s="4"/>
      <c r="N386" s="4"/>
      <c r="O386" s="4"/>
      <c r="P386" s="3558"/>
      <c r="Q386" s="3555"/>
      <c r="R386" s="3555"/>
      <c r="S386" s="3556">
        <v>0</v>
      </c>
      <c r="T386" s="3555"/>
      <c r="U386" s="3557">
        <f>SUM(E386:I386)</f>
        <v>0</v>
      </c>
      <c r="V386" s="3555"/>
      <c r="W386" s="3555"/>
      <c r="X386" s="3555"/>
      <c r="Y386" s="4"/>
      <c r="Z386" s="3555"/>
      <c r="AA386" s="3555"/>
      <c r="AB386" s="3555"/>
      <c r="AC386" s="3555"/>
      <c r="AD386" s="3555"/>
      <c r="AE386" s="3555"/>
      <c r="AF386" s="3555"/>
      <c r="AG386" s="3555"/>
      <c r="AH386" s="3555"/>
      <c r="AI386" s="63"/>
      <c r="AJ386" s="63"/>
      <c r="AK386" s="63"/>
      <c r="AL386" s="63"/>
      <c r="AM386" s="63"/>
    </row>
    <row r="387" spans="1:39" s="64" customFormat="1" ht="19">
      <c r="A387" s="58">
        <v>61</v>
      </c>
      <c r="B387" s="59"/>
      <c r="C387" s="47"/>
      <c r="D387" s="65" t="s">
        <v>805</v>
      </c>
      <c r="E387" s="75">
        <f>Fortalezas!D305</f>
        <v>0</v>
      </c>
      <c r="F387" s="75">
        <f>Fortalezas!E305</f>
        <v>0</v>
      </c>
      <c r="G387" s="75">
        <f>Fortalezas!F305</f>
        <v>0</v>
      </c>
      <c r="H387" s="75">
        <f>Fortalezas!G305</f>
        <v>0</v>
      </c>
      <c r="I387" s="76">
        <f>Fortalezas!H305</f>
        <v>0</v>
      </c>
      <c r="J387" s="4"/>
      <c r="K387" s="4"/>
      <c r="L387" s="3555"/>
      <c r="M387" s="4"/>
      <c r="N387" s="4"/>
      <c r="O387" s="4"/>
      <c r="P387" s="3558"/>
      <c r="Q387" s="3555"/>
      <c r="R387" s="3555"/>
      <c r="S387" s="3556">
        <v>0</v>
      </c>
      <c r="T387" s="3555"/>
      <c r="U387" s="3557">
        <f>SUM(E387:I387)</f>
        <v>0</v>
      </c>
      <c r="V387" s="3555"/>
      <c r="W387" s="3555"/>
      <c r="X387" s="3555"/>
      <c r="Y387" s="4"/>
      <c r="Z387" s="3555"/>
      <c r="AA387" s="3555"/>
      <c r="AB387" s="3555"/>
      <c r="AC387" s="3555"/>
      <c r="AD387" s="3555"/>
      <c r="AE387" s="3555"/>
      <c r="AF387" s="3555"/>
      <c r="AG387" s="3555"/>
      <c r="AH387" s="3555"/>
      <c r="AI387" s="63"/>
      <c r="AJ387" s="63"/>
      <c r="AK387" s="63"/>
      <c r="AL387" s="63"/>
      <c r="AM387" s="63"/>
    </row>
    <row r="388" spans="1:39" s="64" customFormat="1" ht="19" customHeight="1">
      <c r="A388" s="27">
        <v>606000</v>
      </c>
      <c r="B388" s="59"/>
      <c r="C388" s="47"/>
      <c r="D388" s="101" t="s">
        <v>806</v>
      </c>
      <c r="E388" s="102">
        <f>Fortalezas!D306</f>
        <v>0</v>
      </c>
      <c r="F388" s="102">
        <f>Fortalezas!E306</f>
        <v>0</v>
      </c>
      <c r="G388" s="102">
        <f>Fortalezas!F306</f>
        <v>0</v>
      </c>
      <c r="H388" s="102">
        <f>Fortalezas!G306</f>
        <v>0</v>
      </c>
      <c r="I388" s="103">
        <f>Fortalezas!H306</f>
        <v>0</v>
      </c>
      <c r="J388" s="4"/>
      <c r="K388" s="4"/>
      <c r="L388" s="3555"/>
      <c r="M388" s="4"/>
      <c r="N388" s="4"/>
      <c r="O388" s="4"/>
      <c r="P388" s="3558"/>
      <c r="Q388" s="3555"/>
      <c r="R388" s="3555"/>
      <c r="S388" s="3556">
        <v>0</v>
      </c>
      <c r="T388" s="3555"/>
      <c r="U388" s="3557">
        <f>SUM(E388:I388)</f>
        <v>0</v>
      </c>
      <c r="V388" s="3555"/>
      <c r="W388" s="3555"/>
      <c r="X388" s="3555"/>
      <c r="Y388" s="4"/>
      <c r="Z388" s="3555"/>
      <c r="AA388" s="3555"/>
      <c r="AB388" s="3555"/>
      <c r="AC388" s="3555"/>
      <c r="AD388" s="3555"/>
      <c r="AE388" s="3555"/>
      <c r="AF388" s="3555"/>
      <c r="AG388" s="3555"/>
      <c r="AH388" s="3555"/>
      <c r="AI388" s="63"/>
      <c r="AJ388" s="63"/>
      <c r="AK388" s="63"/>
      <c r="AL388" s="63"/>
      <c r="AM388" s="63"/>
    </row>
    <row r="389" spans="1:39" s="64" customFormat="1" ht="19">
      <c r="A389" s="58">
        <v>95</v>
      </c>
      <c r="B389" s="94" t="s">
        <v>807</v>
      </c>
      <c r="C389" s="128"/>
      <c r="D389" s="95"/>
      <c r="E389" s="87">
        <f>E385+E386-E387</f>
        <v>0</v>
      </c>
      <c r="F389" s="87">
        <f>F385+F386-F387</f>
        <v>0</v>
      </c>
      <c r="G389" s="87">
        <f>G385+G386-G387</f>
        <v>0</v>
      </c>
      <c r="H389" s="87">
        <f>H385+H386-H387</f>
        <v>0</v>
      </c>
      <c r="I389" s="88">
        <f>I385+I386-I387</f>
        <v>0</v>
      </c>
      <c r="J389" s="4"/>
      <c r="K389" s="4"/>
      <c r="L389" s="3555"/>
      <c r="M389" s="4"/>
      <c r="N389" s="4"/>
      <c r="O389" s="4"/>
      <c r="P389" s="3558"/>
      <c r="Q389" s="3555"/>
      <c r="R389" s="3555"/>
      <c r="S389" s="3556">
        <v>0</v>
      </c>
      <c r="T389" s="3555"/>
      <c r="U389" s="3557">
        <f>SUM(E389:I389)</f>
        <v>0</v>
      </c>
      <c r="V389" s="3555"/>
      <c r="W389" s="3555"/>
      <c r="X389" s="3555"/>
      <c r="Y389" s="4"/>
      <c r="Z389" s="3555"/>
      <c r="AA389" s="3555"/>
      <c r="AB389" s="3555"/>
      <c r="AC389" s="3555"/>
      <c r="AD389" s="3555"/>
      <c r="AE389" s="3555"/>
      <c r="AF389" s="3555"/>
      <c r="AG389" s="3555"/>
      <c r="AH389" s="3555"/>
      <c r="AI389" s="63"/>
      <c r="AJ389" s="63"/>
      <c r="AK389" s="63"/>
      <c r="AL389" s="63"/>
      <c r="AM389" s="63"/>
    </row>
    <row r="390" spans="1:39" s="64" customFormat="1" ht="19">
      <c r="A390" s="58"/>
      <c r="B390" s="53"/>
      <c r="C390" s="129" t="s">
        <v>808</v>
      </c>
      <c r="D390" s="71"/>
      <c r="E390" s="72"/>
      <c r="F390" s="72"/>
      <c r="G390" s="72"/>
      <c r="H390" s="72"/>
      <c r="I390" s="73"/>
      <c r="J390" s="4"/>
      <c r="K390" s="4"/>
      <c r="L390" s="3555"/>
      <c r="M390" s="4"/>
      <c r="N390" s="4"/>
      <c r="O390" s="4"/>
      <c r="P390" s="3558"/>
      <c r="Q390" s="3555"/>
      <c r="R390" s="3555"/>
      <c r="S390" s="3556">
        <v>0</v>
      </c>
      <c r="T390" s="3555"/>
      <c r="U390" s="3557">
        <f>U406</f>
        <v>0</v>
      </c>
      <c r="V390" s="3555"/>
      <c r="W390" s="3555"/>
      <c r="X390" s="3555"/>
      <c r="Y390" s="4"/>
      <c r="Z390" s="3555"/>
      <c r="AA390" s="3555"/>
      <c r="AB390" s="3555"/>
      <c r="AC390" s="3555"/>
      <c r="AD390" s="3555"/>
      <c r="AE390" s="3555"/>
      <c r="AF390" s="3555"/>
      <c r="AG390" s="3555"/>
      <c r="AH390" s="3555"/>
      <c r="AI390" s="63"/>
      <c r="AJ390" s="63"/>
      <c r="AK390" s="63"/>
      <c r="AL390" s="63"/>
      <c r="AM390" s="63"/>
    </row>
    <row r="391" spans="1:39" s="64" customFormat="1" ht="19">
      <c r="A391" s="58">
        <v>510500</v>
      </c>
      <c r="B391" s="59"/>
      <c r="C391" s="47"/>
      <c r="D391" s="60" t="s">
        <v>809</v>
      </c>
      <c r="E391" s="61">
        <f>Fortalezas!D308</f>
        <v>0</v>
      </c>
      <c r="F391" s="61">
        <f>Fortalezas!E308</f>
        <v>0</v>
      </c>
      <c r="G391" s="61">
        <f>Fortalezas!F308</f>
        <v>0</v>
      </c>
      <c r="H391" s="61">
        <f>Fortalezas!G308</f>
        <v>0</v>
      </c>
      <c r="I391" s="62">
        <f>Fortalezas!H308</f>
        <v>0</v>
      </c>
      <c r="J391" s="4"/>
      <c r="K391" s="4"/>
      <c r="L391" s="3555"/>
      <c r="M391" s="4"/>
      <c r="N391" s="4"/>
      <c r="O391" s="4"/>
      <c r="P391" s="3558"/>
      <c r="Q391" s="3555"/>
      <c r="R391" s="3555"/>
      <c r="S391" s="3556">
        <v>0</v>
      </c>
      <c r="T391" s="3555"/>
      <c r="U391" s="3557">
        <f t="shared" ref="U391:U406" si="30">SUM(E391:I391)</f>
        <v>0</v>
      </c>
      <c r="V391" s="3555"/>
      <c r="W391" s="3555"/>
      <c r="X391" s="3555"/>
      <c r="Y391" s="4"/>
      <c r="Z391" s="3555"/>
      <c r="AA391" s="3555"/>
      <c r="AB391" s="3555"/>
      <c r="AC391" s="3555"/>
      <c r="AD391" s="3555"/>
      <c r="AE391" s="3555"/>
      <c r="AF391" s="3555"/>
      <c r="AG391" s="3555"/>
      <c r="AH391" s="3555"/>
      <c r="AI391" s="63"/>
      <c r="AJ391" s="63"/>
      <c r="AK391" s="63"/>
      <c r="AL391" s="63"/>
      <c r="AM391" s="63"/>
    </row>
    <row r="392" spans="1:39" s="64" customFormat="1" ht="19">
      <c r="A392" s="58">
        <v>511000</v>
      </c>
      <c r="B392" s="59"/>
      <c r="C392" s="47"/>
      <c r="D392" s="65" t="s">
        <v>810</v>
      </c>
      <c r="E392" s="75">
        <f>Fortalezas!D309</f>
        <v>0</v>
      </c>
      <c r="F392" s="75">
        <f>Fortalezas!E309</f>
        <v>0</v>
      </c>
      <c r="G392" s="75">
        <f>Fortalezas!F309</f>
        <v>0</v>
      </c>
      <c r="H392" s="75">
        <f>Fortalezas!G309</f>
        <v>0</v>
      </c>
      <c r="I392" s="76">
        <f>Fortalezas!H309</f>
        <v>0</v>
      </c>
      <c r="J392" s="4"/>
      <c r="K392" s="4"/>
      <c r="L392" s="3555"/>
      <c r="M392" s="4"/>
      <c r="N392" s="4"/>
      <c r="O392" s="4"/>
      <c r="P392" s="3558"/>
      <c r="Q392" s="3555"/>
      <c r="R392" s="3555"/>
      <c r="S392" s="3556">
        <v>0</v>
      </c>
      <c r="T392" s="3555"/>
      <c r="U392" s="3557">
        <f t="shared" si="30"/>
        <v>0</v>
      </c>
      <c r="V392" s="3555"/>
      <c r="W392" s="3555"/>
      <c r="X392" s="3555"/>
      <c r="Y392" s="4"/>
      <c r="Z392" s="3555"/>
      <c r="AA392" s="3555"/>
      <c r="AB392" s="3555"/>
      <c r="AC392" s="3555"/>
      <c r="AD392" s="3555"/>
      <c r="AE392" s="3555"/>
      <c r="AF392" s="3555"/>
      <c r="AG392" s="3555"/>
      <c r="AH392" s="3555"/>
      <c r="AI392" s="63"/>
      <c r="AJ392" s="63"/>
      <c r="AK392" s="63"/>
      <c r="AL392" s="63"/>
      <c r="AM392" s="63"/>
    </row>
    <row r="393" spans="1:39" s="64" customFormat="1" ht="19">
      <c r="A393" s="58">
        <v>511500</v>
      </c>
      <c r="B393" s="59"/>
      <c r="C393" s="47"/>
      <c r="D393" s="65" t="s">
        <v>811</v>
      </c>
      <c r="E393" s="75">
        <f>Fortalezas!D310</f>
        <v>0</v>
      </c>
      <c r="F393" s="75">
        <f>Fortalezas!E310</f>
        <v>0</v>
      </c>
      <c r="G393" s="75">
        <f>Fortalezas!F310</f>
        <v>0</v>
      </c>
      <c r="H393" s="75">
        <f>Fortalezas!G310</f>
        <v>0</v>
      </c>
      <c r="I393" s="76">
        <f>Fortalezas!H310</f>
        <v>0</v>
      </c>
      <c r="J393" s="4"/>
      <c r="K393" s="4"/>
      <c r="L393" s="3555"/>
      <c r="M393" s="4"/>
      <c r="N393" s="4"/>
      <c r="O393" s="4"/>
      <c r="P393" s="3558"/>
      <c r="Q393" s="3555"/>
      <c r="R393" s="3555"/>
      <c r="S393" s="3556">
        <v>0</v>
      </c>
      <c r="T393" s="3555"/>
      <c r="U393" s="3557">
        <f t="shared" si="30"/>
        <v>0</v>
      </c>
      <c r="V393" s="3555"/>
      <c r="W393" s="3555"/>
      <c r="X393" s="3555"/>
      <c r="Y393" s="4"/>
      <c r="Z393" s="3555"/>
      <c r="AA393" s="3555"/>
      <c r="AB393" s="3555"/>
      <c r="AC393" s="3555"/>
      <c r="AD393" s="3555"/>
      <c r="AE393" s="3555"/>
      <c r="AF393" s="3555"/>
      <c r="AG393" s="3555"/>
      <c r="AH393" s="3555"/>
      <c r="AI393" s="63"/>
      <c r="AJ393" s="63"/>
      <c r="AK393" s="63"/>
      <c r="AL393" s="63"/>
      <c r="AM393" s="63"/>
    </row>
    <row r="394" spans="1:39" s="64" customFormat="1" ht="19">
      <c r="A394" s="58">
        <v>512000</v>
      </c>
      <c r="B394" s="59"/>
      <c r="C394" s="47"/>
      <c r="D394" s="65" t="s">
        <v>812</v>
      </c>
      <c r="E394" s="75">
        <f>Fortalezas!D311</f>
        <v>0</v>
      </c>
      <c r="F394" s="75">
        <f>Fortalezas!E311</f>
        <v>0</v>
      </c>
      <c r="G394" s="75">
        <f>Fortalezas!F311</f>
        <v>0</v>
      </c>
      <c r="H394" s="75">
        <f>Fortalezas!G311</f>
        <v>0</v>
      </c>
      <c r="I394" s="76">
        <f>Fortalezas!H311</f>
        <v>0</v>
      </c>
      <c r="J394" s="4"/>
      <c r="K394" s="4"/>
      <c r="L394" s="3555"/>
      <c r="M394" s="4"/>
      <c r="N394" s="4"/>
      <c r="O394" s="4"/>
      <c r="P394" s="3558"/>
      <c r="Q394" s="3555"/>
      <c r="R394" s="3555"/>
      <c r="S394" s="3556">
        <v>0</v>
      </c>
      <c r="T394" s="3555"/>
      <c r="U394" s="3557">
        <f t="shared" si="30"/>
        <v>0</v>
      </c>
      <c r="V394" s="3555"/>
      <c r="W394" s="3555"/>
      <c r="X394" s="3555"/>
      <c r="Y394" s="4"/>
      <c r="Z394" s="3555"/>
      <c r="AA394" s="3555"/>
      <c r="AB394" s="3555"/>
      <c r="AC394" s="3555"/>
      <c r="AD394" s="3555"/>
      <c r="AE394" s="3555"/>
      <c r="AF394" s="3555"/>
      <c r="AG394" s="3555"/>
      <c r="AH394" s="3555"/>
      <c r="AI394" s="63"/>
      <c r="AJ394" s="63"/>
      <c r="AK394" s="63"/>
      <c r="AL394" s="63"/>
      <c r="AM394" s="63"/>
    </row>
    <row r="395" spans="1:39" s="64" customFormat="1" ht="19">
      <c r="A395" s="58">
        <v>512500</v>
      </c>
      <c r="B395" s="59"/>
      <c r="C395" s="47"/>
      <c r="D395" s="65" t="s">
        <v>813</v>
      </c>
      <c r="E395" s="75">
        <f>Fortalezas!D312</f>
        <v>0</v>
      </c>
      <c r="F395" s="75">
        <f>Fortalezas!E312</f>
        <v>0</v>
      </c>
      <c r="G395" s="75">
        <f>Fortalezas!F312</f>
        <v>0</v>
      </c>
      <c r="H395" s="75">
        <f>Fortalezas!G312</f>
        <v>0</v>
      </c>
      <c r="I395" s="76">
        <f>Fortalezas!H312</f>
        <v>0</v>
      </c>
      <c r="J395" s="4"/>
      <c r="K395" s="4"/>
      <c r="L395" s="3555"/>
      <c r="M395" s="4"/>
      <c r="N395" s="4"/>
      <c r="O395" s="4"/>
      <c r="P395" s="3558"/>
      <c r="Q395" s="3555"/>
      <c r="R395" s="3555"/>
      <c r="S395" s="3556">
        <v>0</v>
      </c>
      <c r="T395" s="3555"/>
      <c r="U395" s="3557">
        <f t="shared" si="30"/>
        <v>0</v>
      </c>
      <c r="V395" s="3555"/>
      <c r="W395" s="3555"/>
      <c r="X395" s="3555"/>
      <c r="Y395" s="4"/>
      <c r="Z395" s="3555"/>
      <c r="AA395" s="3555"/>
      <c r="AB395" s="3555"/>
      <c r="AC395" s="3555"/>
      <c r="AD395" s="3555"/>
      <c r="AE395" s="3555"/>
      <c r="AF395" s="3555"/>
      <c r="AG395" s="3555"/>
      <c r="AH395" s="3555"/>
      <c r="AI395" s="63"/>
      <c r="AJ395" s="63"/>
      <c r="AK395" s="63"/>
      <c r="AL395" s="63"/>
      <c r="AM395" s="63"/>
    </row>
    <row r="396" spans="1:39" s="64" customFormat="1" ht="19">
      <c r="A396" s="58">
        <v>513000</v>
      </c>
      <c r="B396" s="59"/>
      <c r="C396" s="47"/>
      <c r="D396" s="65" t="s">
        <v>814</v>
      </c>
      <c r="E396" s="75">
        <f>Fortalezas!D313</f>
        <v>0</v>
      </c>
      <c r="F396" s="75">
        <f>Fortalezas!E313</f>
        <v>0</v>
      </c>
      <c r="G396" s="75">
        <f>Fortalezas!F313</f>
        <v>0</v>
      </c>
      <c r="H396" s="75">
        <f>Fortalezas!G313</f>
        <v>0</v>
      </c>
      <c r="I396" s="76">
        <f>Fortalezas!H313</f>
        <v>0</v>
      </c>
      <c r="J396" s="4"/>
      <c r="K396" s="4"/>
      <c r="L396" s="3555"/>
      <c r="M396" s="3555"/>
      <c r="N396" s="3555"/>
      <c r="O396" s="3555"/>
      <c r="P396" s="3555"/>
      <c r="Q396" s="3555"/>
      <c r="R396" s="3555"/>
      <c r="S396" s="3556">
        <v>0</v>
      </c>
      <c r="T396" s="3555"/>
      <c r="U396" s="3557">
        <f t="shared" si="30"/>
        <v>0</v>
      </c>
      <c r="V396" s="3555"/>
      <c r="W396" s="3555"/>
      <c r="X396" s="3555"/>
      <c r="Y396" s="4"/>
      <c r="Z396" s="3555"/>
      <c r="AA396" s="3555"/>
      <c r="AB396" s="3555"/>
      <c r="AC396" s="3555"/>
      <c r="AD396" s="3555"/>
      <c r="AE396" s="3555"/>
      <c r="AF396" s="3555"/>
      <c r="AG396" s="3555"/>
      <c r="AH396" s="3555"/>
      <c r="AI396" s="63"/>
      <c r="AJ396" s="63"/>
      <c r="AK396" s="63"/>
      <c r="AL396" s="63"/>
      <c r="AM396" s="63"/>
    </row>
    <row r="397" spans="1:39" s="64" customFormat="1" ht="19">
      <c r="A397" s="58">
        <v>513500</v>
      </c>
      <c r="B397" s="59"/>
      <c r="C397" s="47"/>
      <c r="D397" s="65" t="s">
        <v>469</v>
      </c>
      <c r="E397" s="75">
        <f>Fortalezas!D314</f>
        <v>0</v>
      </c>
      <c r="F397" s="75">
        <f>Fortalezas!E314</f>
        <v>0</v>
      </c>
      <c r="G397" s="75">
        <f>Fortalezas!F314</f>
        <v>0</v>
      </c>
      <c r="H397" s="75">
        <f>Fortalezas!G314</f>
        <v>0</v>
      </c>
      <c r="I397" s="76">
        <f>Fortalezas!H314</f>
        <v>0</v>
      </c>
      <c r="J397" s="4"/>
      <c r="K397" s="4"/>
      <c r="L397" s="3555"/>
      <c r="M397" s="3555"/>
      <c r="N397" s="3555"/>
      <c r="O397" s="3555"/>
      <c r="P397" s="3555"/>
      <c r="Q397" s="3555"/>
      <c r="R397" s="3555"/>
      <c r="S397" s="3556">
        <v>0</v>
      </c>
      <c r="T397" s="3555"/>
      <c r="U397" s="3557">
        <f t="shared" si="30"/>
        <v>0</v>
      </c>
      <c r="V397" s="3555"/>
      <c r="W397" s="3555"/>
      <c r="X397" s="3555"/>
      <c r="Y397" s="4"/>
      <c r="Z397" s="3555"/>
      <c r="AA397" s="3555"/>
      <c r="AB397" s="3555"/>
      <c r="AC397" s="3555"/>
      <c r="AD397" s="3555"/>
      <c r="AE397" s="3555"/>
      <c r="AF397" s="3555"/>
      <c r="AG397" s="3555"/>
      <c r="AH397" s="3555"/>
      <c r="AI397" s="63"/>
      <c r="AJ397" s="63"/>
      <c r="AK397" s="63"/>
      <c r="AL397" s="63"/>
      <c r="AM397" s="63"/>
    </row>
    <row r="398" spans="1:39" s="64" customFormat="1" ht="19">
      <c r="A398" s="58">
        <v>514000</v>
      </c>
      <c r="B398" s="59"/>
      <c r="C398" s="47"/>
      <c r="D398" s="65" t="s">
        <v>815</v>
      </c>
      <c r="E398" s="75">
        <f>Fortalezas!D315</f>
        <v>0</v>
      </c>
      <c r="F398" s="75">
        <f>Fortalezas!E315</f>
        <v>0</v>
      </c>
      <c r="G398" s="75">
        <f>Fortalezas!F315</f>
        <v>0</v>
      </c>
      <c r="H398" s="75">
        <f>Fortalezas!G315</f>
        <v>0</v>
      </c>
      <c r="I398" s="76">
        <f>Fortalezas!H315</f>
        <v>0</v>
      </c>
      <c r="J398" s="4"/>
      <c r="K398" s="4"/>
      <c r="L398" s="3555"/>
      <c r="M398" s="3555"/>
      <c r="N398" s="3555"/>
      <c r="O398" s="3555"/>
      <c r="P398" s="3555"/>
      <c r="Q398" s="3555"/>
      <c r="R398" s="3555"/>
      <c r="S398" s="3556">
        <v>0</v>
      </c>
      <c r="T398" s="3555"/>
      <c r="U398" s="3557">
        <f t="shared" si="30"/>
        <v>0</v>
      </c>
      <c r="V398" s="3555"/>
      <c r="W398" s="3555"/>
      <c r="X398" s="3555"/>
      <c r="Y398" s="4"/>
      <c r="Z398" s="3555"/>
      <c r="AA398" s="3555"/>
      <c r="AB398" s="3555"/>
      <c r="AC398" s="3555"/>
      <c r="AD398" s="3555"/>
      <c r="AE398" s="3555"/>
      <c r="AF398" s="3555"/>
      <c r="AG398" s="3555"/>
      <c r="AH398" s="3555"/>
      <c r="AI398" s="63"/>
      <c r="AJ398" s="63"/>
      <c r="AK398" s="63"/>
      <c r="AL398" s="63"/>
      <c r="AM398" s="63"/>
    </row>
    <row r="399" spans="1:39" s="64" customFormat="1" ht="19">
      <c r="A399" s="58">
        <v>514500</v>
      </c>
      <c r="B399" s="59"/>
      <c r="C399" s="47"/>
      <c r="D399" s="65" t="s">
        <v>816</v>
      </c>
      <c r="E399" s="75">
        <f>Fortalezas!D316</f>
        <v>0</v>
      </c>
      <c r="F399" s="75">
        <f>Fortalezas!E316</f>
        <v>0</v>
      </c>
      <c r="G399" s="75">
        <f>Fortalezas!F316</f>
        <v>0</v>
      </c>
      <c r="H399" s="75">
        <f>Fortalezas!G316</f>
        <v>0</v>
      </c>
      <c r="I399" s="76">
        <f>Fortalezas!H316</f>
        <v>0</v>
      </c>
      <c r="J399" s="4"/>
      <c r="K399" s="4"/>
      <c r="L399" s="3555"/>
      <c r="M399" s="3555"/>
      <c r="N399" s="3555"/>
      <c r="O399" s="3555"/>
      <c r="P399" s="3555"/>
      <c r="Q399" s="3555"/>
      <c r="R399" s="3555"/>
      <c r="S399" s="3556">
        <v>0</v>
      </c>
      <c r="T399" s="3555"/>
      <c r="U399" s="3557">
        <f t="shared" si="30"/>
        <v>0</v>
      </c>
      <c r="V399" s="3555"/>
      <c r="W399" s="3555"/>
      <c r="X399" s="3555"/>
      <c r="Y399" s="4"/>
      <c r="Z399" s="3555"/>
      <c r="AA399" s="3555"/>
      <c r="AB399" s="3555"/>
      <c r="AC399" s="3555"/>
      <c r="AD399" s="3555"/>
      <c r="AE399" s="3555"/>
      <c r="AF399" s="3555"/>
      <c r="AG399" s="3555"/>
      <c r="AH399" s="3555"/>
      <c r="AI399" s="63"/>
      <c r="AJ399" s="63"/>
      <c r="AK399" s="63"/>
      <c r="AL399" s="63"/>
      <c r="AM399" s="63"/>
    </row>
    <row r="400" spans="1:39" s="64" customFormat="1" ht="19">
      <c r="A400" s="58">
        <v>515000</v>
      </c>
      <c r="B400" s="59"/>
      <c r="C400" s="47"/>
      <c r="D400" s="65" t="s">
        <v>817</v>
      </c>
      <c r="E400" s="75">
        <f>Fortalezas!D317</f>
        <v>0</v>
      </c>
      <c r="F400" s="75">
        <f>Fortalezas!E317</f>
        <v>0</v>
      </c>
      <c r="G400" s="75">
        <f>Fortalezas!F317</f>
        <v>0</v>
      </c>
      <c r="H400" s="75">
        <f>Fortalezas!G317</f>
        <v>0</v>
      </c>
      <c r="I400" s="76">
        <f>Fortalezas!H317</f>
        <v>0</v>
      </c>
      <c r="J400" s="4"/>
      <c r="K400" s="4"/>
      <c r="L400" s="3555"/>
      <c r="M400" s="3555"/>
      <c r="N400" s="3555"/>
      <c r="O400" s="3555"/>
      <c r="P400" s="3555"/>
      <c r="Q400" s="3555"/>
      <c r="R400" s="3555"/>
      <c r="S400" s="3556">
        <v>0</v>
      </c>
      <c r="T400" s="3555"/>
      <c r="U400" s="3557">
        <f t="shared" si="30"/>
        <v>0</v>
      </c>
      <c r="V400" s="3555"/>
      <c r="W400" s="3555"/>
      <c r="X400" s="3555"/>
      <c r="Y400" s="4"/>
      <c r="Z400" s="3555"/>
      <c r="AA400" s="3555"/>
      <c r="AB400" s="3555"/>
      <c r="AC400" s="3555"/>
      <c r="AD400" s="3555"/>
      <c r="AE400" s="3555"/>
      <c r="AF400" s="3555"/>
      <c r="AG400" s="3555"/>
      <c r="AH400" s="3555"/>
      <c r="AI400" s="63"/>
      <c r="AJ400" s="63"/>
      <c r="AK400" s="63"/>
      <c r="AL400" s="63"/>
      <c r="AM400" s="63"/>
    </row>
    <row r="401" spans="1:39" s="64" customFormat="1" ht="19">
      <c r="A401" s="58">
        <v>515500</v>
      </c>
      <c r="B401" s="59"/>
      <c r="C401" s="47"/>
      <c r="D401" s="65" t="s">
        <v>818</v>
      </c>
      <c r="E401" s="75">
        <f>Fortalezas!D318</f>
        <v>0</v>
      </c>
      <c r="F401" s="75">
        <f>Fortalezas!E318</f>
        <v>0</v>
      </c>
      <c r="G401" s="75">
        <f>Fortalezas!F318</f>
        <v>0</v>
      </c>
      <c r="H401" s="75">
        <f>Fortalezas!G318</f>
        <v>0</v>
      </c>
      <c r="I401" s="76">
        <f>Fortalezas!H318</f>
        <v>0</v>
      </c>
      <c r="J401" s="4"/>
      <c r="K401" s="4"/>
      <c r="L401" s="3555"/>
      <c r="M401" s="3555"/>
      <c r="N401" s="3555"/>
      <c r="O401" s="3555"/>
      <c r="P401" s="3555"/>
      <c r="Q401" s="3555"/>
      <c r="R401" s="3555"/>
      <c r="S401" s="3556">
        <v>0</v>
      </c>
      <c r="T401" s="3555"/>
      <c r="U401" s="3557">
        <f t="shared" si="30"/>
        <v>0</v>
      </c>
      <c r="V401" s="3555"/>
      <c r="W401" s="3555"/>
      <c r="X401" s="3555"/>
      <c r="Y401" s="4"/>
      <c r="Z401" s="3555"/>
      <c r="AA401" s="3555"/>
      <c r="AB401" s="3555"/>
      <c r="AC401" s="3555"/>
      <c r="AD401" s="3555"/>
      <c r="AE401" s="3555"/>
      <c r="AF401" s="3555"/>
      <c r="AG401" s="3555"/>
      <c r="AH401" s="3555"/>
      <c r="AI401" s="63"/>
      <c r="AJ401" s="63"/>
      <c r="AK401" s="63"/>
      <c r="AL401" s="63"/>
      <c r="AM401" s="63"/>
    </row>
    <row r="402" spans="1:39" s="64" customFormat="1" ht="19">
      <c r="A402" s="58">
        <v>519500</v>
      </c>
      <c r="B402" s="59"/>
      <c r="C402" s="47"/>
      <c r="D402" s="65" t="s">
        <v>819</v>
      </c>
      <c r="E402" s="75">
        <f>Fortalezas!D319</f>
        <v>0</v>
      </c>
      <c r="F402" s="75">
        <f>Fortalezas!E319</f>
        <v>0</v>
      </c>
      <c r="G402" s="75">
        <f>Fortalezas!F319</f>
        <v>0</v>
      </c>
      <c r="H402" s="75">
        <f>Fortalezas!G319</f>
        <v>0</v>
      </c>
      <c r="I402" s="76">
        <f>Fortalezas!H319</f>
        <v>0</v>
      </c>
      <c r="J402" s="4"/>
      <c r="K402" s="4"/>
      <c r="L402" s="3555"/>
      <c r="M402" s="3555"/>
      <c r="N402" s="3555"/>
      <c r="O402" s="3555"/>
      <c r="P402" s="3555"/>
      <c r="Q402" s="3555"/>
      <c r="R402" s="3555"/>
      <c r="S402" s="3556">
        <v>0</v>
      </c>
      <c r="T402" s="3555"/>
      <c r="U402" s="3557">
        <f t="shared" si="30"/>
        <v>0</v>
      </c>
      <c r="V402" s="3555"/>
      <c r="W402" s="3555"/>
      <c r="X402" s="3555"/>
      <c r="Y402" s="4"/>
      <c r="Z402" s="3555"/>
      <c r="AA402" s="3555"/>
      <c r="AB402" s="3555"/>
      <c r="AC402" s="3555"/>
      <c r="AD402" s="3555"/>
      <c r="AE402" s="3555"/>
      <c r="AF402" s="3555"/>
      <c r="AG402" s="3555"/>
      <c r="AH402" s="3555"/>
      <c r="AI402" s="63"/>
      <c r="AJ402" s="63"/>
      <c r="AK402" s="63"/>
      <c r="AL402" s="63"/>
      <c r="AM402" s="63"/>
    </row>
    <row r="403" spans="1:39" s="64" customFormat="1" ht="19">
      <c r="A403" s="58">
        <v>516000</v>
      </c>
      <c r="B403" s="59"/>
      <c r="C403" s="47"/>
      <c r="D403" s="65" t="s">
        <v>598</v>
      </c>
      <c r="E403" s="75">
        <f>Fortalezas!D320</f>
        <v>0</v>
      </c>
      <c r="F403" s="75">
        <f>Fortalezas!E320</f>
        <v>0</v>
      </c>
      <c r="G403" s="75">
        <f>Fortalezas!F320</f>
        <v>0</v>
      </c>
      <c r="H403" s="75">
        <f>Fortalezas!G320</f>
        <v>0</v>
      </c>
      <c r="I403" s="76">
        <f>Fortalezas!H320</f>
        <v>0</v>
      </c>
      <c r="J403" s="4"/>
      <c r="K403" s="4"/>
      <c r="L403" s="3555"/>
      <c r="M403" s="3555"/>
      <c r="N403" s="3555"/>
      <c r="O403" s="3555"/>
      <c r="P403" s="3555"/>
      <c r="Q403" s="3555"/>
      <c r="R403" s="3555"/>
      <c r="S403" s="3556">
        <v>0</v>
      </c>
      <c r="T403" s="3555"/>
      <c r="U403" s="3557">
        <f t="shared" si="30"/>
        <v>0</v>
      </c>
      <c r="V403" s="3555"/>
      <c r="W403" s="3555"/>
      <c r="X403" s="3555"/>
      <c r="Y403" s="4"/>
      <c r="Z403" s="3555"/>
      <c r="AA403" s="3555"/>
      <c r="AB403" s="3555"/>
      <c r="AC403" s="3555"/>
      <c r="AD403" s="3555"/>
      <c r="AE403" s="3555"/>
      <c r="AF403" s="3555"/>
      <c r="AG403" s="3555"/>
      <c r="AH403" s="3555"/>
      <c r="AI403" s="63"/>
      <c r="AJ403" s="63"/>
      <c r="AK403" s="63"/>
      <c r="AL403" s="63"/>
      <c r="AM403" s="63"/>
    </row>
    <row r="404" spans="1:39" s="64" customFormat="1" ht="19">
      <c r="A404" s="27">
        <v>516500</v>
      </c>
      <c r="B404" s="59"/>
      <c r="C404" s="47"/>
      <c r="D404" s="65" t="s">
        <v>820</v>
      </c>
      <c r="E404" s="75">
        <f>Fortalezas!D321</f>
        <v>0</v>
      </c>
      <c r="F404" s="75">
        <f>Fortalezas!E321</f>
        <v>0</v>
      </c>
      <c r="G404" s="75">
        <f>Fortalezas!F321</f>
        <v>0</v>
      </c>
      <c r="H404" s="75">
        <f>Fortalezas!G321</f>
        <v>0</v>
      </c>
      <c r="I404" s="76">
        <f>Fortalezas!H321</f>
        <v>0</v>
      </c>
      <c r="J404" s="4"/>
      <c r="K404" s="4"/>
      <c r="L404" s="3555"/>
      <c r="M404" s="3555"/>
      <c r="N404" s="3555"/>
      <c r="O404" s="3555"/>
      <c r="P404" s="3555"/>
      <c r="Q404" s="3555"/>
      <c r="R404" s="3555"/>
      <c r="S404" s="3556">
        <v>0</v>
      </c>
      <c r="T404" s="3555"/>
      <c r="U404" s="3557">
        <f t="shared" si="30"/>
        <v>0</v>
      </c>
      <c r="V404" s="3555"/>
      <c r="W404" s="3555"/>
      <c r="X404" s="3555"/>
      <c r="Y404" s="4"/>
      <c r="Z404" s="3555"/>
      <c r="AA404" s="3555"/>
      <c r="AB404" s="3555"/>
      <c r="AC404" s="3555"/>
      <c r="AD404" s="3555"/>
      <c r="AE404" s="3555"/>
      <c r="AF404" s="3555"/>
      <c r="AG404" s="3555"/>
      <c r="AH404" s="3555"/>
      <c r="AI404" s="63"/>
      <c r="AJ404" s="63"/>
      <c r="AK404" s="63"/>
      <c r="AL404" s="63"/>
      <c r="AM404" s="63"/>
    </row>
    <row r="405" spans="1:39" s="64" customFormat="1" ht="19">
      <c r="A405" s="58">
        <v>519900</v>
      </c>
      <c r="B405" s="59"/>
      <c r="C405" s="47"/>
      <c r="D405" s="74" t="s">
        <v>574</v>
      </c>
      <c r="E405" s="75">
        <f>Fortalezas!D322</f>
        <v>0</v>
      </c>
      <c r="F405" s="75">
        <f>Fortalezas!E322</f>
        <v>0</v>
      </c>
      <c r="G405" s="75">
        <f>Fortalezas!F322</f>
        <v>0</v>
      </c>
      <c r="H405" s="75">
        <f>Fortalezas!G322</f>
        <v>0</v>
      </c>
      <c r="I405" s="76">
        <f>Fortalezas!H322</f>
        <v>0</v>
      </c>
      <c r="J405" s="4"/>
      <c r="K405" s="4"/>
      <c r="L405" s="3555"/>
      <c r="M405" s="4"/>
      <c r="N405" s="4"/>
      <c r="O405" s="4"/>
      <c r="P405" s="3555"/>
      <c r="Q405" s="3555"/>
      <c r="R405" s="3555"/>
      <c r="S405" s="3556">
        <v>0</v>
      </c>
      <c r="T405" s="3555"/>
      <c r="U405" s="3557">
        <f t="shared" si="30"/>
        <v>0</v>
      </c>
      <c r="V405" s="3555"/>
      <c r="W405" s="3555"/>
      <c r="X405" s="3555"/>
      <c r="Y405" s="4"/>
      <c r="Z405" s="3555"/>
      <c r="AA405" s="3555"/>
      <c r="AB405" s="3555"/>
      <c r="AC405" s="3555"/>
      <c r="AD405" s="3555"/>
      <c r="AE405" s="3555"/>
      <c r="AF405" s="3555"/>
      <c r="AG405" s="3555"/>
      <c r="AH405" s="3555"/>
      <c r="AI405" s="63"/>
      <c r="AJ405" s="63"/>
      <c r="AK405" s="63"/>
      <c r="AL405" s="63"/>
      <c r="AM405" s="63"/>
    </row>
    <row r="406" spans="1:39" s="64" customFormat="1" ht="19">
      <c r="A406" s="58">
        <v>51</v>
      </c>
      <c r="B406" s="59"/>
      <c r="C406" s="66" t="s">
        <v>821</v>
      </c>
      <c r="D406" s="67"/>
      <c r="E406" s="68">
        <f>SUM(E391:E405)</f>
        <v>0</v>
      </c>
      <c r="F406" s="68">
        <f>SUM(F391:F405)</f>
        <v>0</v>
      </c>
      <c r="G406" s="68">
        <f>SUM(G391:G405)</f>
        <v>0</v>
      </c>
      <c r="H406" s="68">
        <f>SUM(H391:H405)</f>
        <v>0</v>
      </c>
      <c r="I406" s="69">
        <f>SUM(I391:I405)</f>
        <v>0</v>
      </c>
      <c r="J406" s="4"/>
      <c r="K406" s="4"/>
      <c r="L406" s="3555"/>
      <c r="M406" s="4"/>
      <c r="N406" s="4"/>
      <c r="O406" s="4"/>
      <c r="P406" s="3555"/>
      <c r="Q406" s="3555"/>
      <c r="R406" s="3555"/>
      <c r="S406" s="3556">
        <v>0</v>
      </c>
      <c r="T406" s="3555"/>
      <c r="U406" s="3557">
        <f t="shared" si="30"/>
        <v>0</v>
      </c>
      <c r="V406" s="3555"/>
      <c r="W406" s="3555"/>
      <c r="X406" s="3555"/>
      <c r="Y406" s="4"/>
      <c r="Z406" s="3555"/>
      <c r="AA406" s="3555"/>
      <c r="AB406" s="3555"/>
      <c r="AC406" s="3555"/>
      <c r="AD406" s="3555"/>
      <c r="AE406" s="3555"/>
      <c r="AF406" s="3555"/>
      <c r="AG406" s="3555"/>
      <c r="AH406" s="3555"/>
      <c r="AI406" s="63"/>
      <c r="AJ406" s="63"/>
      <c r="AK406" s="63"/>
      <c r="AL406" s="63"/>
      <c r="AM406" s="63"/>
    </row>
    <row r="407" spans="1:39" s="64" customFormat="1" ht="19">
      <c r="A407" s="58"/>
      <c r="B407" s="53"/>
      <c r="C407" s="54" t="s">
        <v>822</v>
      </c>
      <c r="D407" s="71"/>
      <c r="E407" s="72"/>
      <c r="F407" s="72"/>
      <c r="G407" s="72"/>
      <c r="H407" s="72"/>
      <c r="I407" s="73"/>
      <c r="J407" s="4"/>
      <c r="K407" s="4"/>
      <c r="L407" s="3555"/>
      <c r="M407" s="4"/>
      <c r="N407" s="4"/>
      <c r="O407" s="4"/>
      <c r="P407" s="3555"/>
      <c r="Q407" s="3555"/>
      <c r="R407" s="3555"/>
      <c r="S407" s="3556">
        <v>0</v>
      </c>
      <c r="T407" s="3555"/>
      <c r="U407" s="3557">
        <f>U423</f>
        <v>0</v>
      </c>
      <c r="V407" s="3555"/>
      <c r="W407" s="3555"/>
      <c r="X407" s="3555"/>
      <c r="Y407" s="4"/>
      <c r="Z407" s="3555"/>
      <c r="AA407" s="3555"/>
      <c r="AB407" s="3555"/>
      <c r="AC407" s="3555"/>
      <c r="AD407" s="3555"/>
      <c r="AE407" s="3555"/>
      <c r="AF407" s="3555"/>
      <c r="AG407" s="3555"/>
      <c r="AH407" s="3555"/>
      <c r="AI407" s="63"/>
      <c r="AJ407" s="63"/>
      <c r="AK407" s="63"/>
      <c r="AL407" s="63"/>
      <c r="AM407" s="63"/>
    </row>
    <row r="408" spans="1:39" s="64" customFormat="1" ht="19">
      <c r="A408" s="58">
        <v>520500</v>
      </c>
      <c r="B408" s="59"/>
      <c r="C408" s="47"/>
      <c r="D408" s="60" t="s">
        <v>809</v>
      </c>
      <c r="E408" s="61">
        <f>Fortalezas!D324</f>
        <v>0</v>
      </c>
      <c r="F408" s="61">
        <f>Fortalezas!E324</f>
        <v>0</v>
      </c>
      <c r="G408" s="61">
        <f>Fortalezas!F324</f>
        <v>0</v>
      </c>
      <c r="H408" s="61">
        <f>Fortalezas!G324</f>
        <v>0</v>
      </c>
      <c r="I408" s="62">
        <f>Fortalezas!H324</f>
        <v>0</v>
      </c>
      <c r="J408" s="4"/>
      <c r="K408" s="4"/>
      <c r="L408" s="3555"/>
      <c r="M408" s="4"/>
      <c r="N408" s="4"/>
      <c r="O408" s="4"/>
      <c r="P408" s="3555"/>
      <c r="Q408" s="3555"/>
      <c r="R408" s="3555"/>
      <c r="S408" s="3556">
        <v>0</v>
      </c>
      <c r="T408" s="3555"/>
      <c r="U408" s="3557">
        <f t="shared" ref="U408:U424" si="31">SUM(E408:I408)</f>
        <v>0</v>
      </c>
      <c r="V408" s="3555"/>
      <c r="W408" s="3555"/>
      <c r="X408" s="3555"/>
      <c r="Y408" s="4"/>
      <c r="Z408" s="3555"/>
      <c r="AA408" s="3555"/>
      <c r="AB408" s="3555"/>
      <c r="AC408" s="3555"/>
      <c r="AD408" s="3555"/>
      <c r="AE408" s="3555"/>
      <c r="AF408" s="3555"/>
      <c r="AG408" s="3555"/>
      <c r="AH408" s="3555"/>
      <c r="AI408" s="63"/>
      <c r="AJ408" s="63"/>
      <c r="AK408" s="63"/>
      <c r="AL408" s="63"/>
      <c r="AM408" s="63"/>
    </row>
    <row r="409" spans="1:39" s="64" customFormat="1" ht="19">
      <c r="A409" s="58">
        <v>521000</v>
      </c>
      <c r="B409" s="59"/>
      <c r="C409" s="47"/>
      <c r="D409" s="65" t="s">
        <v>810</v>
      </c>
      <c r="E409" s="75">
        <f>Fortalezas!D325</f>
        <v>0</v>
      </c>
      <c r="F409" s="75">
        <f>Fortalezas!E325</f>
        <v>0</v>
      </c>
      <c r="G409" s="75">
        <f>Fortalezas!F325</f>
        <v>0</v>
      </c>
      <c r="H409" s="75">
        <f>Fortalezas!G325</f>
        <v>0</v>
      </c>
      <c r="I409" s="76">
        <f>Fortalezas!H325</f>
        <v>0</v>
      </c>
      <c r="J409" s="4"/>
      <c r="K409" s="4"/>
      <c r="L409" s="3555"/>
      <c r="M409" s="4"/>
      <c r="N409" s="4"/>
      <c r="O409" s="4"/>
      <c r="P409" s="3555"/>
      <c r="Q409" s="3555"/>
      <c r="R409" s="3555"/>
      <c r="S409" s="3556">
        <v>0</v>
      </c>
      <c r="T409" s="3555"/>
      <c r="U409" s="3557">
        <f t="shared" si="31"/>
        <v>0</v>
      </c>
      <c r="V409" s="3555"/>
      <c r="W409" s="3555"/>
      <c r="X409" s="3555"/>
      <c r="Y409" s="4"/>
      <c r="Z409" s="3555"/>
      <c r="AA409" s="3555"/>
      <c r="AB409" s="3555"/>
      <c r="AC409" s="3555"/>
      <c r="AD409" s="3555"/>
      <c r="AE409" s="3555"/>
      <c r="AF409" s="3555"/>
      <c r="AG409" s="3555"/>
      <c r="AH409" s="3555"/>
      <c r="AI409" s="63"/>
      <c r="AJ409" s="63"/>
      <c r="AK409" s="63"/>
      <c r="AL409" s="63"/>
      <c r="AM409" s="63"/>
    </row>
    <row r="410" spans="1:39" s="64" customFormat="1" ht="19">
      <c r="A410" s="58">
        <v>521500</v>
      </c>
      <c r="B410" s="59"/>
      <c r="C410" s="47"/>
      <c r="D410" s="65" t="s">
        <v>811</v>
      </c>
      <c r="E410" s="75">
        <f>Fortalezas!D326</f>
        <v>0</v>
      </c>
      <c r="F410" s="75">
        <f>Fortalezas!E326</f>
        <v>0</v>
      </c>
      <c r="G410" s="75">
        <f>Fortalezas!F326</f>
        <v>0</v>
      </c>
      <c r="H410" s="75">
        <f>Fortalezas!G326</f>
        <v>0</v>
      </c>
      <c r="I410" s="76">
        <f>Fortalezas!H326</f>
        <v>0</v>
      </c>
      <c r="J410" s="4"/>
      <c r="K410" s="4"/>
      <c r="L410" s="3555"/>
      <c r="M410" s="4"/>
      <c r="N410" s="4"/>
      <c r="O410" s="4"/>
      <c r="P410" s="3555"/>
      <c r="Q410" s="3555"/>
      <c r="R410" s="3555"/>
      <c r="S410" s="3556">
        <v>0</v>
      </c>
      <c r="T410" s="3555"/>
      <c r="U410" s="3557">
        <f t="shared" si="31"/>
        <v>0</v>
      </c>
      <c r="V410" s="3555"/>
      <c r="W410" s="3555"/>
      <c r="X410" s="3555"/>
      <c r="Y410" s="4"/>
      <c r="Z410" s="3555"/>
      <c r="AA410" s="3555"/>
      <c r="AB410" s="3555"/>
      <c r="AC410" s="3555"/>
      <c r="AD410" s="3555"/>
      <c r="AE410" s="3555"/>
      <c r="AF410" s="3555"/>
      <c r="AG410" s="3555"/>
      <c r="AH410" s="3555"/>
      <c r="AI410" s="63"/>
      <c r="AJ410" s="63"/>
      <c r="AK410" s="63"/>
      <c r="AL410" s="63"/>
      <c r="AM410" s="63"/>
    </row>
    <row r="411" spans="1:39" s="64" customFormat="1" ht="19">
      <c r="A411" s="58">
        <v>522000</v>
      </c>
      <c r="B411" s="59"/>
      <c r="C411" s="47"/>
      <c r="D411" s="65" t="s">
        <v>812</v>
      </c>
      <c r="E411" s="75">
        <f>Fortalezas!D327</f>
        <v>0</v>
      </c>
      <c r="F411" s="75">
        <f>Fortalezas!E327</f>
        <v>0</v>
      </c>
      <c r="G411" s="75">
        <f>Fortalezas!F327</f>
        <v>0</v>
      </c>
      <c r="H411" s="75">
        <f>Fortalezas!G327</f>
        <v>0</v>
      </c>
      <c r="I411" s="76">
        <f>Fortalezas!H327</f>
        <v>0</v>
      </c>
      <c r="J411" s="4"/>
      <c r="K411" s="4"/>
      <c r="L411" s="3555"/>
      <c r="M411" s="4"/>
      <c r="N411" s="4"/>
      <c r="O411" s="4"/>
      <c r="P411" s="3555"/>
      <c r="Q411" s="3555"/>
      <c r="R411" s="3555"/>
      <c r="S411" s="3556">
        <v>0</v>
      </c>
      <c r="T411" s="3555"/>
      <c r="U411" s="3557">
        <f t="shared" si="31"/>
        <v>0</v>
      </c>
      <c r="V411" s="3555"/>
      <c r="W411" s="3555"/>
      <c r="X411" s="3555"/>
      <c r="Y411" s="4"/>
      <c r="Z411" s="3555"/>
      <c r="AA411" s="3555"/>
      <c r="AB411" s="3555"/>
      <c r="AC411" s="3555"/>
      <c r="AD411" s="3555"/>
      <c r="AE411" s="3555"/>
      <c r="AF411" s="3555"/>
      <c r="AG411" s="3555"/>
      <c r="AH411" s="3555"/>
      <c r="AI411" s="63"/>
      <c r="AJ411" s="63"/>
      <c r="AK411" s="63"/>
      <c r="AL411" s="63"/>
      <c r="AM411" s="63"/>
    </row>
    <row r="412" spans="1:39" s="64" customFormat="1" ht="19">
      <c r="A412" s="58">
        <v>522500</v>
      </c>
      <c r="B412" s="59"/>
      <c r="C412" s="47"/>
      <c r="D412" s="65" t="s">
        <v>813</v>
      </c>
      <c r="E412" s="75">
        <f>Fortalezas!D328</f>
        <v>0</v>
      </c>
      <c r="F412" s="75">
        <f>Fortalezas!E328</f>
        <v>0</v>
      </c>
      <c r="G412" s="75">
        <f>Fortalezas!F328</f>
        <v>0</v>
      </c>
      <c r="H412" s="75">
        <f>Fortalezas!G328</f>
        <v>0</v>
      </c>
      <c r="I412" s="76">
        <f>Fortalezas!H328</f>
        <v>0</v>
      </c>
      <c r="J412" s="4"/>
      <c r="K412" s="4"/>
      <c r="L412" s="3555"/>
      <c r="M412" s="4"/>
      <c r="N412" s="4"/>
      <c r="O412" s="4"/>
      <c r="P412" s="3555"/>
      <c r="Q412" s="3555"/>
      <c r="R412" s="3555"/>
      <c r="S412" s="3556">
        <v>0</v>
      </c>
      <c r="T412" s="3555"/>
      <c r="U412" s="3557">
        <f t="shared" si="31"/>
        <v>0</v>
      </c>
      <c r="V412" s="3555"/>
      <c r="W412" s="3555"/>
      <c r="X412" s="3555"/>
      <c r="Y412" s="4"/>
      <c r="Z412" s="3555"/>
      <c r="AA412" s="3555"/>
      <c r="AB412" s="3555"/>
      <c r="AC412" s="3555"/>
      <c r="AD412" s="3555"/>
      <c r="AE412" s="3555"/>
      <c r="AF412" s="3555"/>
      <c r="AG412" s="3555"/>
      <c r="AH412" s="3555"/>
      <c r="AI412" s="63"/>
      <c r="AJ412" s="63"/>
      <c r="AK412" s="63"/>
      <c r="AL412" s="63"/>
      <c r="AM412" s="63"/>
    </row>
    <row r="413" spans="1:39" s="64" customFormat="1" ht="19">
      <c r="A413" s="58">
        <v>523000</v>
      </c>
      <c r="B413" s="59"/>
      <c r="C413" s="47"/>
      <c r="D413" s="65" t="s">
        <v>814</v>
      </c>
      <c r="E413" s="75">
        <f>Fortalezas!D329</f>
        <v>0</v>
      </c>
      <c r="F413" s="75">
        <f>Fortalezas!E329</f>
        <v>0</v>
      </c>
      <c r="G413" s="75">
        <f>Fortalezas!F329</f>
        <v>0</v>
      </c>
      <c r="H413" s="75">
        <f>Fortalezas!G329</f>
        <v>0</v>
      </c>
      <c r="I413" s="76">
        <f>Fortalezas!H329</f>
        <v>0</v>
      </c>
      <c r="J413" s="4"/>
      <c r="K413" s="4"/>
      <c r="L413" s="3555"/>
      <c r="M413" s="4"/>
      <c r="N413" s="4"/>
      <c r="O413" s="4"/>
      <c r="P413" s="3555"/>
      <c r="Q413" s="3555"/>
      <c r="R413" s="3555"/>
      <c r="S413" s="3556">
        <v>0</v>
      </c>
      <c r="T413" s="3555"/>
      <c r="U413" s="3557">
        <f t="shared" si="31"/>
        <v>0</v>
      </c>
      <c r="V413" s="3555"/>
      <c r="W413" s="3555"/>
      <c r="X413" s="3555"/>
      <c r="Y413" s="4"/>
      <c r="Z413" s="3555"/>
      <c r="AA413" s="3555"/>
      <c r="AB413" s="3555"/>
      <c r="AC413" s="3555"/>
      <c r="AD413" s="3555"/>
      <c r="AE413" s="3555"/>
      <c r="AF413" s="3555"/>
      <c r="AG413" s="3555"/>
      <c r="AH413" s="3555"/>
      <c r="AI413" s="63"/>
      <c r="AJ413" s="63"/>
      <c r="AK413" s="63"/>
      <c r="AL413" s="63"/>
      <c r="AM413" s="63"/>
    </row>
    <row r="414" spans="1:39" s="64" customFormat="1" ht="19">
      <c r="A414" s="58">
        <v>523500</v>
      </c>
      <c r="B414" s="59"/>
      <c r="C414" s="47"/>
      <c r="D414" s="65" t="s">
        <v>469</v>
      </c>
      <c r="E414" s="75">
        <f>Fortalezas!D330</f>
        <v>0</v>
      </c>
      <c r="F414" s="75">
        <f>Fortalezas!E330</f>
        <v>0</v>
      </c>
      <c r="G414" s="75">
        <f>Fortalezas!F330</f>
        <v>0</v>
      </c>
      <c r="H414" s="75">
        <f>Fortalezas!G330</f>
        <v>0</v>
      </c>
      <c r="I414" s="76">
        <f>Fortalezas!H330</f>
        <v>0</v>
      </c>
      <c r="J414" s="4"/>
      <c r="K414" s="4"/>
      <c r="L414" s="3555"/>
      <c r="M414" s="4"/>
      <c r="N414" s="4"/>
      <c r="O414" s="4"/>
      <c r="P414" s="3555"/>
      <c r="Q414" s="3555"/>
      <c r="R414" s="3555"/>
      <c r="S414" s="3556">
        <v>0</v>
      </c>
      <c r="T414" s="3555"/>
      <c r="U414" s="3557">
        <f t="shared" si="31"/>
        <v>0</v>
      </c>
      <c r="V414" s="3555"/>
      <c r="W414" s="3555"/>
      <c r="X414" s="3555"/>
      <c r="Y414" s="4"/>
      <c r="Z414" s="3555"/>
      <c r="AA414" s="3555"/>
      <c r="AB414" s="3555"/>
      <c r="AC414" s="3555"/>
      <c r="AD414" s="3555"/>
      <c r="AE414" s="3555"/>
      <c r="AF414" s="3555"/>
      <c r="AG414" s="3555"/>
      <c r="AH414" s="3555"/>
      <c r="AI414" s="63"/>
      <c r="AJ414" s="63"/>
      <c r="AK414" s="63"/>
      <c r="AL414" s="63"/>
      <c r="AM414" s="63"/>
    </row>
    <row r="415" spans="1:39" s="64" customFormat="1" ht="19">
      <c r="A415" s="58">
        <v>524000</v>
      </c>
      <c r="B415" s="59"/>
      <c r="C415" s="47"/>
      <c r="D415" s="65" t="s">
        <v>815</v>
      </c>
      <c r="E415" s="75">
        <f>Fortalezas!D331</f>
        <v>0</v>
      </c>
      <c r="F415" s="75">
        <f>Fortalezas!E331</f>
        <v>0</v>
      </c>
      <c r="G415" s="75">
        <f>Fortalezas!F331</f>
        <v>0</v>
      </c>
      <c r="H415" s="75">
        <f>Fortalezas!G331</f>
        <v>0</v>
      </c>
      <c r="I415" s="76">
        <f>Fortalezas!H331</f>
        <v>0</v>
      </c>
      <c r="J415" s="4"/>
      <c r="K415" s="4"/>
      <c r="L415" s="3555"/>
      <c r="M415" s="4"/>
      <c r="N415" s="4"/>
      <c r="O415" s="4"/>
      <c r="P415" s="3555"/>
      <c r="Q415" s="3555"/>
      <c r="R415" s="3555"/>
      <c r="S415" s="3556">
        <v>0</v>
      </c>
      <c r="T415" s="3555"/>
      <c r="U415" s="3557">
        <f t="shared" si="31"/>
        <v>0</v>
      </c>
      <c r="V415" s="3555"/>
      <c r="W415" s="3555"/>
      <c r="X415" s="3555"/>
      <c r="Y415" s="4"/>
      <c r="Z415" s="3555"/>
      <c r="AA415" s="3555"/>
      <c r="AB415" s="3555"/>
      <c r="AC415" s="3555"/>
      <c r="AD415" s="3555"/>
      <c r="AE415" s="3555"/>
      <c r="AF415" s="3555"/>
      <c r="AG415" s="3555"/>
      <c r="AH415" s="3555"/>
      <c r="AI415" s="63"/>
      <c r="AJ415" s="63"/>
      <c r="AK415" s="63"/>
      <c r="AL415" s="63"/>
      <c r="AM415" s="63"/>
    </row>
    <row r="416" spans="1:39" s="64" customFormat="1" ht="19">
      <c r="A416" s="58">
        <v>524500</v>
      </c>
      <c r="B416" s="59"/>
      <c r="C416" s="47"/>
      <c r="D416" s="65" t="s">
        <v>816</v>
      </c>
      <c r="E416" s="75">
        <f>Fortalezas!D332</f>
        <v>0</v>
      </c>
      <c r="F416" s="75">
        <f>Fortalezas!E332</f>
        <v>0</v>
      </c>
      <c r="G416" s="75">
        <f>Fortalezas!F332</f>
        <v>0</v>
      </c>
      <c r="H416" s="75">
        <f>Fortalezas!G332</f>
        <v>0</v>
      </c>
      <c r="I416" s="76">
        <f>Fortalezas!H332</f>
        <v>0</v>
      </c>
      <c r="J416" s="4"/>
      <c r="K416" s="4"/>
      <c r="L416" s="3555"/>
      <c r="M416" s="4"/>
      <c r="N416" s="4"/>
      <c r="O416" s="4"/>
      <c r="P416" s="3555"/>
      <c r="Q416" s="3555"/>
      <c r="R416" s="3555"/>
      <c r="S416" s="3556">
        <v>0</v>
      </c>
      <c r="T416" s="3555"/>
      <c r="U416" s="3557">
        <f t="shared" si="31"/>
        <v>0</v>
      </c>
      <c r="V416" s="3555"/>
      <c r="W416" s="3555"/>
      <c r="X416" s="3555"/>
      <c r="Y416" s="4"/>
      <c r="Z416" s="3555"/>
      <c r="AA416" s="3555"/>
      <c r="AB416" s="3555"/>
      <c r="AC416" s="3555"/>
      <c r="AD416" s="3555"/>
      <c r="AE416" s="3555"/>
      <c r="AF416" s="3555"/>
      <c r="AG416" s="3555"/>
      <c r="AH416" s="3555"/>
      <c r="AI416" s="63"/>
      <c r="AJ416" s="63"/>
      <c r="AK416" s="63"/>
      <c r="AL416" s="63"/>
      <c r="AM416" s="63"/>
    </row>
    <row r="417" spans="1:39" s="64" customFormat="1" ht="19">
      <c r="A417" s="58">
        <v>525000</v>
      </c>
      <c r="B417" s="59"/>
      <c r="C417" s="47"/>
      <c r="D417" s="65" t="s">
        <v>817</v>
      </c>
      <c r="E417" s="75">
        <f>Fortalezas!D333</f>
        <v>0</v>
      </c>
      <c r="F417" s="75">
        <f>Fortalezas!E333</f>
        <v>0</v>
      </c>
      <c r="G417" s="75">
        <f>Fortalezas!F333</f>
        <v>0</v>
      </c>
      <c r="H417" s="75">
        <f>Fortalezas!G333</f>
        <v>0</v>
      </c>
      <c r="I417" s="76">
        <f>Fortalezas!H333</f>
        <v>0</v>
      </c>
      <c r="J417" s="4"/>
      <c r="K417" s="4"/>
      <c r="L417" s="3555"/>
      <c r="M417" s="4"/>
      <c r="N417" s="4"/>
      <c r="O417" s="4"/>
      <c r="P417" s="3555"/>
      <c r="Q417" s="3555"/>
      <c r="R417" s="3555"/>
      <c r="S417" s="3556">
        <v>0</v>
      </c>
      <c r="T417" s="3555"/>
      <c r="U417" s="3557">
        <f t="shared" si="31"/>
        <v>0</v>
      </c>
      <c r="V417" s="3555"/>
      <c r="W417" s="3555"/>
      <c r="X417" s="3555"/>
      <c r="Y417" s="4"/>
      <c r="Z417" s="3555"/>
      <c r="AA417" s="3555"/>
      <c r="AB417" s="3555"/>
      <c r="AC417" s="3555"/>
      <c r="AD417" s="3555"/>
      <c r="AE417" s="3555"/>
      <c r="AF417" s="3555"/>
      <c r="AG417" s="3555"/>
      <c r="AH417" s="3555"/>
      <c r="AI417" s="63"/>
      <c r="AJ417" s="63"/>
      <c r="AK417" s="63"/>
      <c r="AL417" s="63"/>
      <c r="AM417" s="63"/>
    </row>
    <row r="418" spans="1:39" s="64" customFormat="1" ht="19">
      <c r="A418" s="58">
        <v>525500</v>
      </c>
      <c r="B418" s="59"/>
      <c r="C418" s="47"/>
      <c r="D418" s="65" t="s">
        <v>818</v>
      </c>
      <c r="E418" s="75">
        <f>Fortalezas!D334</f>
        <v>0</v>
      </c>
      <c r="F418" s="75">
        <f>Fortalezas!E334</f>
        <v>0</v>
      </c>
      <c r="G418" s="75">
        <f>Fortalezas!F334</f>
        <v>0</v>
      </c>
      <c r="H418" s="75">
        <f>Fortalezas!G334</f>
        <v>0</v>
      </c>
      <c r="I418" s="76">
        <f>Fortalezas!H334</f>
        <v>0</v>
      </c>
      <c r="J418" s="4"/>
      <c r="K418" s="4"/>
      <c r="L418" s="3555"/>
      <c r="M418" s="4"/>
      <c r="N418" s="4"/>
      <c r="O418" s="4"/>
      <c r="P418" s="3555"/>
      <c r="Q418" s="3555"/>
      <c r="R418" s="3555"/>
      <c r="S418" s="3556">
        <v>0</v>
      </c>
      <c r="T418" s="3555"/>
      <c r="U418" s="3557">
        <f t="shared" si="31"/>
        <v>0</v>
      </c>
      <c r="V418" s="3555"/>
      <c r="W418" s="3555"/>
      <c r="X418" s="3555"/>
      <c r="Y418" s="4"/>
      <c r="Z418" s="3555"/>
      <c r="AA418" s="3555"/>
      <c r="AB418" s="3555"/>
      <c r="AC418" s="3555"/>
      <c r="AD418" s="3555"/>
      <c r="AE418" s="3555"/>
      <c r="AF418" s="3555"/>
      <c r="AG418" s="3555"/>
      <c r="AH418" s="3555"/>
      <c r="AI418" s="63"/>
      <c r="AJ418" s="63"/>
      <c r="AK418" s="63"/>
      <c r="AL418" s="63"/>
      <c r="AM418" s="63"/>
    </row>
    <row r="419" spans="1:39" s="64" customFormat="1" ht="19">
      <c r="A419" s="58">
        <v>529500</v>
      </c>
      <c r="B419" s="59"/>
      <c r="C419" s="47"/>
      <c r="D419" s="65" t="s">
        <v>819</v>
      </c>
      <c r="E419" s="75">
        <f>Fortalezas!D335</f>
        <v>0</v>
      </c>
      <c r="F419" s="75">
        <f>Fortalezas!E335</f>
        <v>0</v>
      </c>
      <c r="G419" s="75">
        <f>Fortalezas!F335</f>
        <v>0</v>
      </c>
      <c r="H419" s="75">
        <f>Fortalezas!G335</f>
        <v>0</v>
      </c>
      <c r="I419" s="76">
        <f>Fortalezas!H335</f>
        <v>0</v>
      </c>
      <c r="J419" s="4"/>
      <c r="K419" s="4"/>
      <c r="L419" s="3555"/>
      <c r="M419" s="4"/>
      <c r="N419" s="4"/>
      <c r="O419" s="4"/>
      <c r="P419" s="3555"/>
      <c r="Q419" s="3555"/>
      <c r="R419" s="3555"/>
      <c r="S419" s="3556">
        <v>0</v>
      </c>
      <c r="T419" s="3555"/>
      <c r="U419" s="3557">
        <f t="shared" si="31"/>
        <v>0</v>
      </c>
      <c r="V419" s="3555"/>
      <c r="W419" s="3555"/>
      <c r="X419" s="3555"/>
      <c r="Y419" s="4"/>
      <c r="Z419" s="3555"/>
      <c r="AA419" s="3555"/>
      <c r="AB419" s="3555"/>
      <c r="AC419" s="3555"/>
      <c r="AD419" s="3555"/>
      <c r="AE419" s="3555"/>
      <c r="AF419" s="3555"/>
      <c r="AG419" s="3555"/>
      <c r="AH419" s="3555"/>
      <c r="AI419" s="63"/>
      <c r="AJ419" s="63"/>
      <c r="AK419" s="63"/>
      <c r="AL419" s="63"/>
      <c r="AM419" s="63"/>
    </row>
    <row r="420" spans="1:39" s="64" customFormat="1" ht="19" customHeight="1">
      <c r="A420" s="58">
        <v>526000</v>
      </c>
      <c r="B420" s="59"/>
      <c r="C420" s="47"/>
      <c r="D420" s="65" t="s">
        <v>598</v>
      </c>
      <c r="E420" s="75">
        <f>Fortalezas!D336</f>
        <v>0</v>
      </c>
      <c r="F420" s="75">
        <f>Fortalezas!E336</f>
        <v>0</v>
      </c>
      <c r="G420" s="75">
        <f>Fortalezas!F336</f>
        <v>0</v>
      </c>
      <c r="H420" s="75">
        <f>Fortalezas!G336</f>
        <v>0</v>
      </c>
      <c r="I420" s="76">
        <f>Fortalezas!H336</f>
        <v>0</v>
      </c>
      <c r="J420" s="4"/>
      <c r="K420" s="4"/>
      <c r="L420" s="3555"/>
      <c r="M420" s="4"/>
      <c r="N420" s="4"/>
      <c r="O420" s="4"/>
      <c r="P420" s="3555"/>
      <c r="Q420" s="3555"/>
      <c r="R420" s="3555"/>
      <c r="S420" s="3556">
        <v>0</v>
      </c>
      <c r="T420" s="3555"/>
      <c r="U420" s="3557">
        <f t="shared" si="31"/>
        <v>0</v>
      </c>
      <c r="V420" s="3555"/>
      <c r="W420" s="3555"/>
      <c r="X420" s="3555"/>
      <c r="Y420" s="4"/>
      <c r="Z420" s="3555"/>
      <c r="AA420" s="3555"/>
      <c r="AB420" s="3555"/>
      <c r="AC420" s="3555"/>
      <c r="AD420" s="3555"/>
      <c r="AE420" s="3555"/>
      <c r="AF420" s="3555"/>
      <c r="AG420" s="3555"/>
      <c r="AH420" s="3555"/>
      <c r="AI420" s="63"/>
      <c r="AJ420" s="63"/>
      <c r="AK420" s="63"/>
      <c r="AL420" s="63"/>
      <c r="AM420" s="63"/>
    </row>
    <row r="421" spans="1:39" s="64" customFormat="1" ht="19" customHeight="1">
      <c r="A421" s="58">
        <v>526500</v>
      </c>
      <c r="B421" s="59"/>
      <c r="C421" s="47"/>
      <c r="D421" s="65" t="s">
        <v>823</v>
      </c>
      <c r="E421" s="75">
        <f>Fortalezas!D337</f>
        <v>0</v>
      </c>
      <c r="F421" s="75">
        <f>Fortalezas!E337</f>
        <v>0</v>
      </c>
      <c r="G421" s="75">
        <f>Fortalezas!F337</f>
        <v>0</v>
      </c>
      <c r="H421" s="75">
        <f>Fortalezas!G337</f>
        <v>0</v>
      </c>
      <c r="I421" s="76">
        <f>Fortalezas!H337</f>
        <v>0</v>
      </c>
      <c r="J421" s="4"/>
      <c r="K421" s="4"/>
      <c r="L421" s="3555"/>
      <c r="M421" s="4"/>
      <c r="N421" s="4"/>
      <c r="O421" s="4"/>
      <c r="P421" s="3555"/>
      <c r="Q421" s="3555"/>
      <c r="R421" s="3555"/>
      <c r="S421" s="3556">
        <v>0</v>
      </c>
      <c r="T421" s="3555"/>
      <c r="U421" s="3557">
        <f t="shared" si="31"/>
        <v>0</v>
      </c>
      <c r="V421" s="3555"/>
      <c r="W421" s="3555"/>
      <c r="X421" s="3555"/>
      <c r="Y421" s="4"/>
      <c r="Z421" s="3555"/>
      <c r="AA421" s="3555"/>
      <c r="AB421" s="3555"/>
      <c r="AC421" s="3555"/>
      <c r="AD421" s="3555"/>
      <c r="AE421" s="3555"/>
      <c r="AF421" s="3555"/>
      <c r="AG421" s="3555"/>
      <c r="AH421" s="3555"/>
      <c r="AI421" s="63"/>
      <c r="AJ421" s="63"/>
      <c r="AK421" s="63"/>
      <c r="AL421" s="63"/>
      <c r="AM421" s="63"/>
    </row>
    <row r="422" spans="1:39" s="64" customFormat="1" ht="19">
      <c r="A422" s="58">
        <v>529900</v>
      </c>
      <c r="B422" s="59"/>
      <c r="C422" s="47"/>
      <c r="D422" s="74" t="s">
        <v>824</v>
      </c>
      <c r="E422" s="75">
        <f>Fortalezas!D338</f>
        <v>0</v>
      </c>
      <c r="F422" s="75">
        <f>Fortalezas!E338</f>
        <v>0</v>
      </c>
      <c r="G422" s="75">
        <f>Fortalezas!F338</f>
        <v>0</v>
      </c>
      <c r="H422" s="75">
        <f>Fortalezas!G338</f>
        <v>0</v>
      </c>
      <c r="I422" s="76">
        <f>Fortalezas!H338</f>
        <v>0</v>
      </c>
      <c r="J422" s="4"/>
      <c r="K422" s="4"/>
      <c r="L422" s="3555"/>
      <c r="M422" s="4"/>
      <c r="N422" s="4"/>
      <c r="O422" s="4"/>
      <c r="P422" s="3555"/>
      <c r="Q422" s="3555"/>
      <c r="R422" s="3555"/>
      <c r="S422" s="3556">
        <v>0</v>
      </c>
      <c r="T422" s="3555"/>
      <c r="U422" s="3557">
        <f t="shared" si="31"/>
        <v>0</v>
      </c>
      <c r="V422" s="3555"/>
      <c r="W422" s="3555"/>
      <c r="X422" s="3555"/>
      <c r="Y422" s="4"/>
      <c r="Z422" s="3555"/>
      <c r="AA422" s="3555"/>
      <c r="AB422" s="3555"/>
      <c r="AC422" s="3555"/>
      <c r="AD422" s="3555"/>
      <c r="AE422" s="3555"/>
      <c r="AF422" s="3555"/>
      <c r="AG422" s="3555"/>
      <c r="AH422" s="3555"/>
      <c r="AI422" s="63"/>
      <c r="AJ422" s="63"/>
      <c r="AK422" s="63"/>
      <c r="AL422" s="63"/>
      <c r="AM422" s="63"/>
    </row>
    <row r="423" spans="1:39" s="64" customFormat="1" ht="19">
      <c r="A423" s="58">
        <v>52</v>
      </c>
      <c r="B423" s="59"/>
      <c r="C423" s="80" t="s">
        <v>825</v>
      </c>
      <c r="D423" s="81"/>
      <c r="E423" s="82">
        <f>SUM(E408:E422)</f>
        <v>0</v>
      </c>
      <c r="F423" s="82">
        <f>SUM(F408:F422)</f>
        <v>0</v>
      </c>
      <c r="G423" s="82">
        <f>SUM(G408:G422)</f>
        <v>0</v>
      </c>
      <c r="H423" s="82">
        <f>SUM(H408:H422)</f>
        <v>0</v>
      </c>
      <c r="I423" s="83">
        <f>SUM(I408:I422)</f>
        <v>0</v>
      </c>
      <c r="J423" s="4"/>
      <c r="K423" s="4"/>
      <c r="L423" s="3555"/>
      <c r="M423" s="4"/>
      <c r="N423" s="4"/>
      <c r="O423" s="4"/>
      <c r="P423" s="3555"/>
      <c r="Q423" s="3555"/>
      <c r="R423" s="3555"/>
      <c r="S423" s="3556">
        <v>0</v>
      </c>
      <c r="T423" s="3555"/>
      <c r="U423" s="3557">
        <f t="shared" si="31"/>
        <v>0</v>
      </c>
      <c r="V423" s="3555"/>
      <c r="W423" s="3555"/>
      <c r="X423" s="3555"/>
      <c r="Y423" s="4"/>
      <c r="Z423" s="3555"/>
      <c r="AA423" s="3555"/>
      <c r="AB423" s="3555"/>
      <c r="AC423" s="3555"/>
      <c r="AD423" s="3555"/>
      <c r="AE423" s="3555"/>
      <c r="AF423" s="3555"/>
      <c r="AG423" s="3555"/>
      <c r="AH423" s="3555"/>
      <c r="AI423" s="63"/>
      <c r="AJ423" s="63"/>
      <c r="AK423" s="63"/>
      <c r="AL423" s="63"/>
      <c r="AM423" s="63"/>
    </row>
    <row r="424" spans="1:39" s="64" customFormat="1" ht="19">
      <c r="A424" s="58">
        <v>96</v>
      </c>
      <c r="B424" s="94" t="s">
        <v>826</v>
      </c>
      <c r="C424" s="128"/>
      <c r="D424" s="95"/>
      <c r="E424" s="87">
        <f>E389-E406-E423</f>
        <v>0</v>
      </c>
      <c r="F424" s="87">
        <f>F389-F406-F423</f>
        <v>0</v>
      </c>
      <c r="G424" s="87">
        <f>G389-G406-G423</f>
        <v>0</v>
      </c>
      <c r="H424" s="87">
        <f>H389-H406-H423</f>
        <v>0</v>
      </c>
      <c r="I424" s="88">
        <f>I389-I406-I423</f>
        <v>0</v>
      </c>
      <c r="J424" s="4"/>
      <c r="K424" s="4"/>
      <c r="L424" s="3555"/>
      <c r="M424" s="4"/>
      <c r="N424" s="4"/>
      <c r="O424" s="4"/>
      <c r="P424" s="3555"/>
      <c r="Q424" s="3555"/>
      <c r="R424" s="3555"/>
      <c r="S424" s="3556">
        <v>0</v>
      </c>
      <c r="T424" s="3555"/>
      <c r="U424" s="3557">
        <f t="shared" si="31"/>
        <v>0</v>
      </c>
      <c r="V424" s="3555"/>
      <c r="W424" s="3555"/>
      <c r="X424" s="3555"/>
      <c r="Y424" s="4"/>
      <c r="Z424" s="3555"/>
      <c r="AA424" s="3555"/>
      <c r="AB424" s="3555"/>
      <c r="AC424" s="3555"/>
      <c r="AD424" s="3555"/>
      <c r="AE424" s="3555"/>
      <c r="AF424" s="3555"/>
      <c r="AG424" s="3555"/>
      <c r="AH424" s="3555"/>
      <c r="AI424" s="63"/>
      <c r="AJ424" s="63"/>
      <c r="AK424" s="63"/>
      <c r="AL424" s="63"/>
      <c r="AM424" s="63"/>
    </row>
    <row r="425" spans="1:39" s="64" customFormat="1" ht="19">
      <c r="A425" s="58"/>
      <c r="B425" s="53"/>
      <c r="C425" s="129" t="s">
        <v>827</v>
      </c>
      <c r="D425" s="71"/>
      <c r="E425" s="72"/>
      <c r="F425" s="72"/>
      <c r="G425" s="72"/>
      <c r="H425" s="72"/>
      <c r="I425" s="73"/>
      <c r="J425" s="4"/>
      <c r="K425" s="4"/>
      <c r="L425" s="3555"/>
      <c r="M425" s="4"/>
      <c r="N425" s="4"/>
      <c r="O425" s="4"/>
      <c r="P425" s="3555"/>
      <c r="Q425" s="3555"/>
      <c r="R425" s="3555"/>
      <c r="S425" s="3556">
        <v>0</v>
      </c>
      <c r="T425" s="3555"/>
      <c r="U425" s="3557">
        <f>U438</f>
        <v>0</v>
      </c>
      <c r="V425" s="3555"/>
      <c r="W425" s="3555"/>
      <c r="X425" s="3555"/>
      <c r="Y425" s="4"/>
      <c r="Z425" s="3555"/>
      <c r="AA425" s="3555"/>
      <c r="AB425" s="3555"/>
      <c r="AC425" s="3555"/>
      <c r="AD425" s="3555"/>
      <c r="AE425" s="3555"/>
      <c r="AF425" s="3555"/>
      <c r="AG425" s="3555"/>
      <c r="AH425" s="3555"/>
      <c r="AI425" s="63"/>
      <c r="AJ425" s="63"/>
      <c r="AK425" s="63"/>
      <c r="AL425" s="63"/>
      <c r="AM425" s="63"/>
    </row>
    <row r="426" spans="1:39" s="64" customFormat="1" ht="19">
      <c r="A426" s="58">
        <v>421000</v>
      </c>
      <c r="B426" s="59"/>
      <c r="C426" s="47"/>
      <c r="D426" s="60" t="s">
        <v>828</v>
      </c>
      <c r="E426" s="61">
        <f>Fortalezas!D341</f>
        <v>0</v>
      </c>
      <c r="F426" s="61">
        <f>Fortalezas!E341</f>
        <v>0</v>
      </c>
      <c r="G426" s="61">
        <f>Fortalezas!F341</f>
        <v>0</v>
      </c>
      <c r="H426" s="61">
        <f>Fortalezas!G341</f>
        <v>0</v>
      </c>
      <c r="I426" s="62">
        <f>Fortalezas!H341</f>
        <v>0</v>
      </c>
      <c r="J426" s="4"/>
      <c r="K426" s="4"/>
      <c r="L426" s="3555"/>
      <c r="M426" s="4"/>
      <c r="N426" s="4"/>
      <c r="O426" s="4"/>
      <c r="P426" s="3555"/>
      <c r="Q426" s="3555"/>
      <c r="R426" s="3555"/>
      <c r="S426" s="3556">
        <v>0</v>
      </c>
      <c r="T426" s="3555"/>
      <c r="U426" s="3557">
        <f t="shared" ref="U426:U438" si="32">SUM(E426:I426)</f>
        <v>0</v>
      </c>
      <c r="V426" s="3555"/>
      <c r="W426" s="3555"/>
      <c r="X426" s="3555"/>
      <c r="Y426" s="4"/>
      <c r="Z426" s="3555"/>
      <c r="AA426" s="3555"/>
      <c r="AB426" s="3555"/>
      <c r="AC426" s="3555"/>
      <c r="AD426" s="3555"/>
      <c r="AE426" s="3555"/>
      <c r="AF426" s="3555"/>
      <c r="AG426" s="3555"/>
      <c r="AH426" s="3555"/>
      <c r="AI426" s="63"/>
      <c r="AJ426" s="63"/>
      <c r="AK426" s="63"/>
      <c r="AL426" s="63"/>
      <c r="AM426" s="63"/>
    </row>
    <row r="427" spans="1:39" s="64" customFormat="1" ht="19">
      <c r="A427" s="58">
        <v>421020</v>
      </c>
      <c r="B427" s="59"/>
      <c r="C427" s="47"/>
      <c r="D427" s="65" t="s">
        <v>829</v>
      </c>
      <c r="E427" s="75">
        <f>Fortalezas!D342</f>
        <v>0</v>
      </c>
      <c r="F427" s="75">
        <f>Fortalezas!E342</f>
        <v>0</v>
      </c>
      <c r="G427" s="75">
        <f>Fortalezas!F342</f>
        <v>0</v>
      </c>
      <c r="H427" s="75">
        <f>Fortalezas!G342</f>
        <v>0</v>
      </c>
      <c r="I427" s="76">
        <f>Fortalezas!H342</f>
        <v>0</v>
      </c>
      <c r="J427" s="4"/>
      <c r="K427" s="4"/>
      <c r="L427" s="3555"/>
      <c r="M427" s="4"/>
      <c r="N427" s="4"/>
      <c r="O427" s="4"/>
      <c r="P427" s="3555"/>
      <c r="Q427" s="3555"/>
      <c r="R427" s="3555"/>
      <c r="S427" s="3556">
        <v>0</v>
      </c>
      <c r="T427" s="3555"/>
      <c r="U427" s="3557">
        <f t="shared" si="32"/>
        <v>0</v>
      </c>
      <c r="V427" s="3555"/>
      <c r="W427" s="3555"/>
      <c r="X427" s="3555"/>
      <c r="Y427" s="4"/>
      <c r="Z427" s="3555"/>
      <c r="AA427" s="3555"/>
      <c r="AB427" s="3555"/>
      <c r="AC427" s="3555"/>
      <c r="AD427" s="3555"/>
      <c r="AE427" s="3555"/>
      <c r="AF427" s="3555"/>
      <c r="AG427" s="3555"/>
      <c r="AH427" s="3555"/>
      <c r="AI427" s="63"/>
      <c r="AJ427" s="63"/>
      <c r="AK427" s="63"/>
      <c r="AL427" s="63"/>
      <c r="AM427" s="63"/>
    </row>
    <row r="428" spans="1:39" s="64" customFormat="1" ht="19">
      <c r="A428" s="58">
        <v>420500</v>
      </c>
      <c r="B428" s="59"/>
      <c r="C428" s="47"/>
      <c r="D428" s="65" t="s">
        <v>830</v>
      </c>
      <c r="E428" s="75">
        <f>Fortalezas!D343</f>
        <v>0</v>
      </c>
      <c r="F428" s="75">
        <f>Fortalezas!E343</f>
        <v>0</v>
      </c>
      <c r="G428" s="75">
        <f>Fortalezas!F343</f>
        <v>0</v>
      </c>
      <c r="H428" s="75">
        <f>Fortalezas!G343</f>
        <v>0</v>
      </c>
      <c r="I428" s="76">
        <f>Fortalezas!H343</f>
        <v>0</v>
      </c>
      <c r="J428" s="4"/>
      <c r="K428" s="4"/>
      <c r="L428" s="3555"/>
      <c r="M428" s="4"/>
      <c r="N428" s="4"/>
      <c r="O428" s="4"/>
      <c r="P428" s="3555"/>
      <c r="Q428" s="3555"/>
      <c r="R428" s="3555"/>
      <c r="S428" s="3556">
        <v>0</v>
      </c>
      <c r="T428" s="3555"/>
      <c r="U428" s="3557">
        <f t="shared" si="32"/>
        <v>0</v>
      </c>
      <c r="V428" s="3555"/>
      <c r="W428" s="3555"/>
      <c r="X428" s="3555"/>
      <c r="Y428" s="4"/>
      <c r="Z428" s="3555"/>
      <c r="AA428" s="3555"/>
      <c r="AB428" s="3555"/>
      <c r="AC428" s="3555"/>
      <c r="AD428" s="3555"/>
      <c r="AE428" s="3555"/>
      <c r="AF428" s="3555"/>
      <c r="AG428" s="3555"/>
      <c r="AH428" s="3555"/>
      <c r="AI428" s="63"/>
      <c r="AJ428" s="63"/>
      <c r="AK428" s="63"/>
      <c r="AL428" s="63"/>
      <c r="AM428" s="63"/>
    </row>
    <row r="429" spans="1:39" s="64" customFormat="1" ht="19">
      <c r="A429" s="58">
        <v>421040</v>
      </c>
      <c r="B429" s="59"/>
      <c r="C429" s="47"/>
      <c r="D429" s="65" t="s">
        <v>831</v>
      </c>
      <c r="E429" s="75">
        <f>Fortalezas!D344</f>
        <v>0</v>
      </c>
      <c r="F429" s="75">
        <f>Fortalezas!E344</f>
        <v>0</v>
      </c>
      <c r="G429" s="75">
        <f>Fortalezas!F344</f>
        <v>0</v>
      </c>
      <c r="H429" s="75">
        <f>Fortalezas!G344</f>
        <v>0</v>
      </c>
      <c r="I429" s="76">
        <f>Fortalezas!H344</f>
        <v>0</v>
      </c>
      <c r="J429" s="4"/>
      <c r="K429" s="4"/>
      <c r="L429" s="3555"/>
      <c r="M429" s="4"/>
      <c r="N429" s="4"/>
      <c r="O429" s="4"/>
      <c r="P429" s="3555"/>
      <c r="Q429" s="3555"/>
      <c r="R429" s="3555"/>
      <c r="S429" s="3556">
        <v>0</v>
      </c>
      <c r="T429" s="3555"/>
      <c r="U429" s="3557">
        <f t="shared" si="32"/>
        <v>0</v>
      </c>
      <c r="V429" s="3555"/>
      <c r="W429" s="3555"/>
      <c r="X429" s="3555"/>
      <c r="Y429" s="4"/>
      <c r="Z429" s="3555"/>
      <c r="AA429" s="3555"/>
      <c r="AB429" s="3555"/>
      <c r="AC429" s="3555"/>
      <c r="AD429" s="3555"/>
      <c r="AE429" s="3555"/>
      <c r="AF429" s="3555"/>
      <c r="AG429" s="3555"/>
      <c r="AH429" s="3555"/>
      <c r="AI429" s="63"/>
      <c r="AJ429" s="63"/>
      <c r="AK429" s="63"/>
      <c r="AL429" s="63"/>
      <c r="AM429" s="63"/>
    </row>
    <row r="430" spans="1:39" s="64" customFormat="1" ht="19">
      <c r="A430" s="58">
        <v>421500</v>
      </c>
      <c r="B430" s="59"/>
      <c r="C430" s="47"/>
      <c r="D430" s="65" t="s">
        <v>832</v>
      </c>
      <c r="E430" s="75">
        <f>Fortalezas!D345</f>
        <v>0</v>
      </c>
      <c r="F430" s="75">
        <f>Fortalezas!E345</f>
        <v>0</v>
      </c>
      <c r="G430" s="75">
        <f>Fortalezas!F345</f>
        <v>0</v>
      </c>
      <c r="H430" s="75">
        <f>Fortalezas!G345</f>
        <v>0</v>
      </c>
      <c r="I430" s="76">
        <f>Fortalezas!H345</f>
        <v>0</v>
      </c>
      <c r="J430" s="4"/>
      <c r="K430" s="4"/>
      <c r="L430" s="3555"/>
      <c r="M430" s="4"/>
      <c r="N430" s="4"/>
      <c r="O430" s="4"/>
      <c r="P430" s="3555"/>
      <c r="Q430" s="3555"/>
      <c r="R430" s="3555"/>
      <c r="S430" s="3556">
        <v>0</v>
      </c>
      <c r="T430" s="3555"/>
      <c r="U430" s="3557">
        <f t="shared" si="32"/>
        <v>0</v>
      </c>
      <c r="V430" s="3555"/>
      <c r="W430" s="3555"/>
      <c r="X430" s="3555"/>
      <c r="Y430" s="3555"/>
      <c r="Z430" s="3555"/>
      <c r="AA430" s="3555"/>
      <c r="AB430" s="3555"/>
      <c r="AC430" s="3555"/>
      <c r="AD430" s="3555"/>
      <c r="AE430" s="3555"/>
      <c r="AF430" s="3555"/>
      <c r="AG430" s="3555"/>
      <c r="AH430" s="3555"/>
      <c r="AI430" s="63"/>
      <c r="AJ430" s="63"/>
      <c r="AK430" s="63"/>
      <c r="AL430" s="63"/>
      <c r="AM430" s="63"/>
    </row>
    <row r="431" spans="1:39" s="64" customFormat="1" ht="19">
      <c r="A431" s="58">
        <v>422000</v>
      </c>
      <c r="B431" s="59"/>
      <c r="C431" s="47"/>
      <c r="D431" s="65" t="s">
        <v>812</v>
      </c>
      <c r="E431" s="75">
        <f>Fortalezas!D346</f>
        <v>0</v>
      </c>
      <c r="F431" s="75">
        <f>Fortalezas!E346</f>
        <v>0</v>
      </c>
      <c r="G431" s="75">
        <f>Fortalezas!F346</f>
        <v>0</v>
      </c>
      <c r="H431" s="75">
        <f>Fortalezas!G346</f>
        <v>0</v>
      </c>
      <c r="I431" s="76">
        <f>Fortalezas!H346</f>
        <v>0</v>
      </c>
      <c r="J431" s="4"/>
      <c r="K431" s="4"/>
      <c r="L431" s="3555"/>
      <c r="M431" s="4"/>
      <c r="N431" s="4"/>
      <c r="O431" s="4"/>
      <c r="P431" s="3555"/>
      <c r="Q431" s="3555"/>
      <c r="R431" s="3555"/>
      <c r="S431" s="3556">
        <v>0</v>
      </c>
      <c r="T431" s="3555"/>
      <c r="U431" s="3557">
        <f t="shared" si="32"/>
        <v>0</v>
      </c>
      <c r="V431" s="3555"/>
      <c r="W431" s="3555"/>
      <c r="X431" s="3555"/>
      <c r="Y431" s="3555"/>
      <c r="Z431" s="3555"/>
      <c r="AA431" s="3555"/>
      <c r="AB431" s="3555"/>
      <c r="AC431" s="3555"/>
      <c r="AD431" s="3555"/>
      <c r="AE431" s="3555"/>
      <c r="AF431" s="3555"/>
      <c r="AG431" s="3555"/>
      <c r="AH431" s="3555"/>
      <c r="AI431" s="63"/>
      <c r="AJ431" s="63"/>
      <c r="AK431" s="63"/>
      <c r="AL431" s="63"/>
      <c r="AM431" s="63"/>
    </row>
    <row r="432" spans="1:39" s="64" customFormat="1" ht="19">
      <c r="A432" s="58">
        <v>422500</v>
      </c>
      <c r="B432" s="59"/>
      <c r="C432" s="47"/>
      <c r="D432" s="65" t="s">
        <v>833</v>
      </c>
      <c r="E432" s="75">
        <f>Fortalezas!D347</f>
        <v>0</v>
      </c>
      <c r="F432" s="75">
        <f>Fortalezas!E347</f>
        <v>0</v>
      </c>
      <c r="G432" s="75">
        <f>Fortalezas!F347</f>
        <v>0</v>
      </c>
      <c r="H432" s="75">
        <f>Fortalezas!G347</f>
        <v>0</v>
      </c>
      <c r="I432" s="76">
        <f>Fortalezas!H347</f>
        <v>0</v>
      </c>
      <c r="J432" s="4"/>
      <c r="K432" s="4"/>
      <c r="L432" s="3555"/>
      <c r="M432" s="4"/>
      <c r="N432" s="4"/>
      <c r="O432" s="4"/>
      <c r="P432" s="3555"/>
      <c r="Q432" s="3555"/>
      <c r="R432" s="3555"/>
      <c r="S432" s="3556">
        <v>0</v>
      </c>
      <c r="T432" s="3555"/>
      <c r="U432" s="3557">
        <f t="shared" si="32"/>
        <v>0</v>
      </c>
      <c r="V432" s="3555"/>
      <c r="W432" s="3555"/>
      <c r="X432" s="3555"/>
      <c r="Y432" s="3555"/>
      <c r="Z432" s="3555"/>
      <c r="AA432" s="3555"/>
      <c r="AB432" s="3555"/>
      <c r="AC432" s="3555"/>
      <c r="AD432" s="3555"/>
      <c r="AE432" s="3555"/>
      <c r="AF432" s="3555"/>
      <c r="AG432" s="3555"/>
      <c r="AH432" s="3555"/>
      <c r="AI432" s="63"/>
      <c r="AJ432" s="63"/>
      <c r="AK432" s="63"/>
      <c r="AL432" s="63"/>
      <c r="AM432" s="63"/>
    </row>
    <row r="433" spans="1:39" s="64" customFormat="1" ht="19">
      <c r="A433" s="58">
        <v>423500</v>
      </c>
      <c r="B433" s="59"/>
      <c r="C433" s="47"/>
      <c r="D433" s="65" t="s">
        <v>469</v>
      </c>
      <c r="E433" s="75">
        <f>Fortalezas!D348</f>
        <v>0</v>
      </c>
      <c r="F433" s="75">
        <f>Fortalezas!E348</f>
        <v>0</v>
      </c>
      <c r="G433" s="75">
        <f>Fortalezas!F348</f>
        <v>0</v>
      </c>
      <c r="H433" s="75">
        <f>Fortalezas!G348</f>
        <v>0</v>
      </c>
      <c r="I433" s="76">
        <f>Fortalezas!H348</f>
        <v>0</v>
      </c>
      <c r="J433" s="4"/>
      <c r="K433" s="4"/>
      <c r="L433" s="3555"/>
      <c r="M433" s="4"/>
      <c r="N433" s="4"/>
      <c r="O433" s="4"/>
      <c r="P433" s="3555"/>
      <c r="Q433" s="3555"/>
      <c r="R433" s="3555"/>
      <c r="S433" s="3556">
        <v>0</v>
      </c>
      <c r="T433" s="3555"/>
      <c r="U433" s="3557">
        <f t="shared" si="32"/>
        <v>0</v>
      </c>
      <c r="V433" s="3555"/>
      <c r="W433" s="3555"/>
      <c r="X433" s="3555"/>
      <c r="Y433" s="3555"/>
      <c r="Z433" s="3555"/>
      <c r="AA433" s="3555"/>
      <c r="AB433" s="3555"/>
      <c r="AC433" s="3555"/>
      <c r="AD433" s="3555"/>
      <c r="AE433" s="3555"/>
      <c r="AF433" s="3555"/>
      <c r="AG433" s="3555"/>
      <c r="AH433" s="3555"/>
      <c r="AI433" s="63"/>
      <c r="AJ433" s="63"/>
      <c r="AK433" s="63"/>
      <c r="AL433" s="63"/>
      <c r="AM433" s="63"/>
    </row>
    <row r="434" spans="1:39" s="64" customFormat="1" ht="19">
      <c r="A434" s="58">
        <v>424000</v>
      </c>
      <c r="B434" s="59"/>
      <c r="C434" s="47"/>
      <c r="D434" s="65" t="s">
        <v>834</v>
      </c>
      <c r="E434" s="75">
        <f>Fortalezas!D349</f>
        <v>0</v>
      </c>
      <c r="F434" s="75">
        <f>Fortalezas!E349</f>
        <v>0</v>
      </c>
      <c r="G434" s="75">
        <f>Fortalezas!F349</f>
        <v>0</v>
      </c>
      <c r="H434" s="75">
        <f>Fortalezas!G349</f>
        <v>0</v>
      </c>
      <c r="I434" s="76">
        <f>Fortalezas!H349</f>
        <v>0</v>
      </c>
      <c r="J434" s="4"/>
      <c r="K434" s="4"/>
      <c r="L434" s="3555"/>
      <c r="M434" s="4"/>
      <c r="N434" s="4"/>
      <c r="O434" s="4"/>
      <c r="P434" s="3562"/>
      <c r="Q434" s="3562"/>
      <c r="R434" s="3555"/>
      <c r="S434" s="3556">
        <v>0</v>
      </c>
      <c r="T434" s="3555"/>
      <c r="U434" s="3557">
        <f t="shared" si="32"/>
        <v>0</v>
      </c>
      <c r="V434" s="3555"/>
      <c r="W434" s="3555"/>
      <c r="X434" s="3555"/>
      <c r="Y434" s="3555"/>
      <c r="Z434" s="3555"/>
      <c r="AA434" s="3555"/>
      <c r="AB434" s="3555"/>
      <c r="AC434" s="3555"/>
      <c r="AD434" s="3555"/>
      <c r="AE434" s="3555"/>
      <c r="AF434" s="3555"/>
      <c r="AG434" s="3555"/>
      <c r="AH434" s="3555"/>
      <c r="AI434" s="63"/>
      <c r="AJ434" s="63"/>
      <c r="AK434" s="63"/>
      <c r="AL434" s="63"/>
      <c r="AM434" s="63"/>
    </row>
    <row r="435" spans="1:39" s="131" customFormat="1" ht="19">
      <c r="A435" s="58">
        <v>425000</v>
      </c>
      <c r="B435" s="59"/>
      <c r="C435" s="47"/>
      <c r="D435" s="65" t="s">
        <v>835</v>
      </c>
      <c r="E435" s="75">
        <f>Fortalezas!D350</f>
        <v>0</v>
      </c>
      <c r="F435" s="75">
        <f>Fortalezas!E350</f>
        <v>0</v>
      </c>
      <c r="G435" s="75">
        <f>Fortalezas!F350</f>
        <v>0</v>
      </c>
      <c r="H435" s="75">
        <f>Fortalezas!G350</f>
        <v>0</v>
      </c>
      <c r="I435" s="76">
        <f>Fortalezas!H350</f>
        <v>0</v>
      </c>
      <c r="J435" s="4"/>
      <c r="K435" s="4"/>
      <c r="L435" s="3562"/>
      <c r="M435" s="4"/>
      <c r="N435" s="4"/>
      <c r="O435" s="4"/>
      <c r="P435" s="3555"/>
      <c r="Q435" s="3555"/>
      <c r="R435" s="3562"/>
      <c r="S435" s="3556">
        <v>0</v>
      </c>
      <c r="T435" s="3562"/>
      <c r="U435" s="3557">
        <f t="shared" si="32"/>
        <v>0</v>
      </c>
      <c r="V435" s="3562"/>
      <c r="W435" s="3562"/>
      <c r="X435" s="3562"/>
      <c r="Y435" s="3562"/>
      <c r="Z435" s="3562"/>
      <c r="AA435" s="3562"/>
      <c r="AB435" s="3562"/>
      <c r="AC435" s="3562"/>
      <c r="AD435" s="3562"/>
      <c r="AE435" s="3562"/>
      <c r="AF435" s="3562"/>
      <c r="AG435" s="3562"/>
      <c r="AH435" s="3562"/>
      <c r="AI435" s="130"/>
      <c r="AJ435" s="130"/>
      <c r="AK435" s="130"/>
      <c r="AL435" s="130"/>
      <c r="AM435" s="130"/>
    </row>
    <row r="436" spans="1:39" s="64" customFormat="1" ht="19">
      <c r="A436" s="58">
        <v>426500</v>
      </c>
      <c r="B436" s="59"/>
      <c r="C436" s="47"/>
      <c r="D436" s="65" t="s">
        <v>529</v>
      </c>
      <c r="E436" s="75">
        <f>Fortalezas!D351</f>
        <v>0</v>
      </c>
      <c r="F436" s="75">
        <f>Fortalezas!E351</f>
        <v>0</v>
      </c>
      <c r="G436" s="75">
        <f>Fortalezas!F351</f>
        <v>0</v>
      </c>
      <c r="H436" s="75">
        <f>Fortalezas!G351</f>
        <v>0</v>
      </c>
      <c r="I436" s="76">
        <f>Fortalezas!H351</f>
        <v>0</v>
      </c>
      <c r="J436" s="4"/>
      <c r="K436" s="4"/>
      <c r="L436" s="3555"/>
      <c r="M436" s="4"/>
      <c r="N436" s="4"/>
      <c r="O436" s="4"/>
      <c r="P436" s="3555"/>
      <c r="Q436" s="3555"/>
      <c r="R436" s="3555"/>
      <c r="S436" s="3556">
        <v>0</v>
      </c>
      <c r="T436" s="3555"/>
      <c r="U436" s="3557">
        <f t="shared" si="32"/>
        <v>0</v>
      </c>
      <c r="V436" s="3555"/>
      <c r="W436" s="3555"/>
      <c r="X436" s="3555"/>
      <c r="Y436" s="3555"/>
      <c r="Z436" s="3555"/>
      <c r="AA436" s="3555"/>
      <c r="AB436" s="3555"/>
      <c r="AC436" s="3555"/>
      <c r="AD436" s="3555"/>
      <c r="AE436" s="3555"/>
      <c r="AF436" s="3555"/>
      <c r="AG436" s="3555"/>
      <c r="AH436" s="3555"/>
      <c r="AI436" s="63"/>
      <c r="AJ436" s="63"/>
      <c r="AK436" s="63"/>
      <c r="AL436" s="63"/>
      <c r="AM436" s="63"/>
    </row>
    <row r="437" spans="1:39" s="64" customFormat="1" ht="19">
      <c r="A437" s="58">
        <v>429500</v>
      </c>
      <c r="B437" s="59"/>
      <c r="C437" s="47"/>
      <c r="D437" s="65" t="s">
        <v>819</v>
      </c>
      <c r="E437" s="75">
        <f>Fortalezas!D352</f>
        <v>0</v>
      </c>
      <c r="F437" s="75">
        <f>Fortalezas!E352</f>
        <v>0</v>
      </c>
      <c r="G437" s="75">
        <f>Fortalezas!F352</f>
        <v>0</v>
      </c>
      <c r="H437" s="75">
        <f>Fortalezas!G352</f>
        <v>0</v>
      </c>
      <c r="I437" s="76">
        <f>Fortalezas!H352</f>
        <v>0</v>
      </c>
      <c r="J437" s="4"/>
      <c r="K437" s="4"/>
      <c r="L437" s="3555"/>
      <c r="M437" s="4"/>
      <c r="N437" s="4"/>
      <c r="O437" s="4"/>
      <c r="P437" s="3555"/>
      <c r="Q437" s="3555"/>
      <c r="R437" s="3555"/>
      <c r="S437" s="3556">
        <v>0</v>
      </c>
      <c r="T437" s="3555"/>
      <c r="U437" s="3557">
        <f t="shared" si="32"/>
        <v>0</v>
      </c>
      <c r="V437" s="3555"/>
      <c r="W437" s="3555"/>
      <c r="X437" s="3555"/>
      <c r="Y437" s="3555"/>
      <c r="Z437" s="3555"/>
      <c r="AA437" s="3555"/>
      <c r="AB437" s="3555"/>
      <c r="AC437" s="3555"/>
      <c r="AD437" s="3555"/>
      <c r="AE437" s="3555"/>
      <c r="AF437" s="3555"/>
      <c r="AG437" s="3555"/>
      <c r="AH437" s="3555"/>
      <c r="AI437" s="63"/>
      <c r="AJ437" s="63"/>
      <c r="AK437" s="63"/>
      <c r="AL437" s="63"/>
      <c r="AM437" s="63"/>
    </row>
    <row r="438" spans="1:39" s="64" customFormat="1" ht="19">
      <c r="A438" s="58">
        <v>42</v>
      </c>
      <c r="B438" s="59"/>
      <c r="C438" s="66" t="s">
        <v>836</v>
      </c>
      <c r="D438" s="67"/>
      <c r="E438" s="68">
        <f>SUM(E426:E437)</f>
        <v>0</v>
      </c>
      <c r="F438" s="68">
        <f>SUM(F426:F437)</f>
        <v>0</v>
      </c>
      <c r="G438" s="68">
        <f>SUM(G426:G437)</f>
        <v>0</v>
      </c>
      <c r="H438" s="68">
        <f>SUM(H426:H437)</f>
        <v>0</v>
      </c>
      <c r="I438" s="69">
        <f>SUM(I426:I437)</f>
        <v>0</v>
      </c>
      <c r="J438" s="4"/>
      <c r="K438" s="4"/>
      <c r="L438" s="3555"/>
      <c r="M438" s="4"/>
      <c r="N438" s="4"/>
      <c r="O438" s="4"/>
      <c r="P438" s="3555"/>
      <c r="Q438" s="3555"/>
      <c r="R438" s="3555"/>
      <c r="S438" s="3556">
        <v>0</v>
      </c>
      <c r="T438" s="3555"/>
      <c r="U438" s="3557">
        <f t="shared" si="32"/>
        <v>0</v>
      </c>
      <c r="V438" s="3555"/>
      <c r="W438" s="3555"/>
      <c r="X438" s="3555"/>
      <c r="Y438" s="3555"/>
      <c r="Z438" s="3555"/>
      <c r="AA438" s="3555"/>
      <c r="AB438" s="3555"/>
      <c r="AC438" s="3555"/>
      <c r="AD438" s="3555"/>
      <c r="AE438" s="3555"/>
      <c r="AF438" s="3555"/>
      <c r="AG438" s="3555"/>
      <c r="AH438" s="3555"/>
      <c r="AI438" s="63"/>
      <c r="AJ438" s="63"/>
      <c r="AK438" s="63"/>
      <c r="AL438" s="63"/>
      <c r="AM438" s="63"/>
    </row>
    <row r="439" spans="1:39" s="64" customFormat="1" ht="19">
      <c r="A439" s="58"/>
      <c r="B439" s="53"/>
      <c r="C439" s="54" t="s">
        <v>837</v>
      </c>
      <c r="D439" s="71"/>
      <c r="E439" s="72"/>
      <c r="F439" s="72"/>
      <c r="G439" s="72"/>
      <c r="H439" s="72"/>
      <c r="I439" s="73"/>
      <c r="J439" s="4"/>
      <c r="K439" s="4"/>
      <c r="L439" s="3555"/>
      <c r="M439" s="4"/>
      <c r="N439" s="4"/>
      <c r="O439" s="4"/>
      <c r="P439" s="3555"/>
      <c r="Q439" s="3555"/>
      <c r="R439" s="3555"/>
      <c r="S439" s="3556">
        <v>0</v>
      </c>
      <c r="T439" s="3555"/>
      <c r="U439" s="3557">
        <f>U452</f>
        <v>0</v>
      </c>
      <c r="V439" s="3555"/>
      <c r="W439" s="3555"/>
      <c r="X439" s="3555"/>
      <c r="Y439" s="3555"/>
      <c r="Z439" s="3555"/>
      <c r="AA439" s="3555"/>
      <c r="AB439" s="3555"/>
      <c r="AC439" s="3555"/>
      <c r="AD439" s="3555"/>
      <c r="AE439" s="3555"/>
      <c r="AF439" s="3555"/>
      <c r="AG439" s="3555"/>
      <c r="AH439" s="3555"/>
      <c r="AI439" s="63"/>
      <c r="AJ439" s="63"/>
      <c r="AK439" s="63"/>
      <c r="AL439" s="63"/>
      <c r="AM439" s="63"/>
    </row>
    <row r="440" spans="1:39" s="64" customFormat="1" ht="19">
      <c r="A440" s="58">
        <v>5301</v>
      </c>
      <c r="B440" s="59"/>
      <c r="C440" s="47"/>
      <c r="D440" s="60" t="s">
        <v>838</v>
      </c>
      <c r="E440" s="61">
        <f>Fortalezas!D354</f>
        <v>0</v>
      </c>
      <c r="F440" s="61">
        <f>Fortalezas!E354</f>
        <v>0</v>
      </c>
      <c r="G440" s="61">
        <f>Fortalezas!F354</f>
        <v>0</v>
      </c>
      <c r="H440" s="61">
        <f>Fortalezas!G354</f>
        <v>0</v>
      </c>
      <c r="I440" s="62">
        <f>Fortalezas!H354</f>
        <v>0</v>
      </c>
      <c r="J440" s="4"/>
      <c r="K440" s="4"/>
      <c r="L440" s="3555"/>
      <c r="M440" s="4"/>
      <c r="N440" s="4"/>
      <c r="O440" s="4"/>
      <c r="P440" s="3555"/>
      <c r="Q440" s="3555"/>
      <c r="R440" s="3555"/>
      <c r="S440" s="3556">
        <v>0</v>
      </c>
      <c r="T440" s="3555"/>
      <c r="U440" s="3557">
        <f t="shared" ref="U440:U457" si="33">SUM(E440:I440)</f>
        <v>0</v>
      </c>
      <c r="V440" s="3555"/>
      <c r="W440" s="3555"/>
      <c r="X440" s="3555"/>
      <c r="Y440" s="3555"/>
      <c r="Z440" s="3555"/>
      <c r="AA440" s="3555"/>
      <c r="AB440" s="3555"/>
      <c r="AC440" s="3555"/>
      <c r="AD440" s="3555"/>
      <c r="AE440" s="3555"/>
      <c r="AF440" s="3555"/>
      <c r="AG440" s="3555"/>
      <c r="AH440" s="3555"/>
      <c r="AI440" s="63"/>
      <c r="AJ440" s="63"/>
      <c r="AK440" s="63"/>
      <c r="AL440" s="63"/>
      <c r="AM440" s="63"/>
    </row>
    <row r="441" spans="1:39" s="64" customFormat="1" ht="19">
      <c r="A441" s="58">
        <v>530525</v>
      </c>
      <c r="B441" s="59"/>
      <c r="C441" s="47"/>
      <c r="D441" s="65" t="s">
        <v>829</v>
      </c>
      <c r="E441" s="75">
        <f>Fortalezas!D355</f>
        <v>0</v>
      </c>
      <c r="F441" s="75">
        <f>Fortalezas!E355</f>
        <v>0</v>
      </c>
      <c r="G441" s="75">
        <f>Fortalezas!F355</f>
        <v>0</v>
      </c>
      <c r="H441" s="75">
        <f>Fortalezas!G355</f>
        <v>0</v>
      </c>
      <c r="I441" s="76">
        <f>Fortalezas!H355</f>
        <v>0</v>
      </c>
      <c r="J441" s="4"/>
      <c r="K441" s="4"/>
      <c r="L441" s="3555"/>
      <c r="M441" s="4"/>
      <c r="N441" s="4"/>
      <c r="O441" s="4"/>
      <c r="P441" s="3555"/>
      <c r="Q441" s="3555"/>
      <c r="R441" s="3555"/>
      <c r="S441" s="3556">
        <v>0</v>
      </c>
      <c r="T441" s="3555"/>
      <c r="U441" s="3557">
        <f t="shared" si="33"/>
        <v>0</v>
      </c>
      <c r="V441" s="3555"/>
      <c r="W441" s="3555"/>
      <c r="X441" s="3555"/>
      <c r="Y441" s="3555"/>
      <c r="Z441" s="3555"/>
      <c r="AA441" s="3555"/>
      <c r="AB441" s="3555"/>
      <c r="AC441" s="3555"/>
      <c r="AD441" s="3555"/>
      <c r="AE441" s="3555"/>
      <c r="AF441" s="3555"/>
      <c r="AG441" s="3555"/>
      <c r="AH441" s="3555"/>
      <c r="AI441" s="63"/>
      <c r="AJ441" s="63"/>
      <c r="AK441" s="63"/>
      <c r="AL441" s="63"/>
      <c r="AM441" s="63"/>
    </row>
    <row r="442" spans="1:39" s="64" customFormat="1" ht="19">
      <c r="A442" s="58">
        <v>530505</v>
      </c>
      <c r="B442" s="59"/>
      <c r="C442" s="47"/>
      <c r="D442" s="65" t="s">
        <v>839</v>
      </c>
      <c r="E442" s="75">
        <f>Fortalezas!D356</f>
        <v>0</v>
      </c>
      <c r="F442" s="75">
        <f>Fortalezas!E356</f>
        <v>0</v>
      </c>
      <c r="G442" s="75">
        <f>Fortalezas!F356</f>
        <v>0</v>
      </c>
      <c r="H442" s="75">
        <f>Fortalezas!G356</f>
        <v>0</v>
      </c>
      <c r="I442" s="76">
        <f>Fortalezas!H356</f>
        <v>0</v>
      </c>
      <c r="J442" s="4"/>
      <c r="K442" s="4"/>
      <c r="L442" s="3555"/>
      <c r="M442" s="4"/>
      <c r="N442" s="4"/>
      <c r="O442" s="4"/>
      <c r="P442" s="3555"/>
      <c r="Q442" s="3555"/>
      <c r="R442" s="3555"/>
      <c r="S442" s="3556">
        <v>0</v>
      </c>
      <c r="T442" s="3555"/>
      <c r="U442" s="3557">
        <f t="shared" si="33"/>
        <v>0</v>
      </c>
      <c r="V442" s="3555"/>
      <c r="W442" s="3555"/>
      <c r="X442" s="3555"/>
      <c r="Y442" s="3555"/>
      <c r="Z442" s="3555"/>
      <c r="AA442" s="3555"/>
      <c r="AB442" s="3555"/>
      <c r="AC442" s="3555"/>
      <c r="AD442" s="3555"/>
      <c r="AE442" s="3555"/>
      <c r="AF442" s="3555"/>
      <c r="AG442" s="3555"/>
      <c r="AH442" s="3555"/>
      <c r="AI442" s="63"/>
      <c r="AJ442" s="63"/>
      <c r="AK442" s="63"/>
      <c r="AL442" s="63"/>
      <c r="AM442" s="63"/>
    </row>
    <row r="443" spans="1:39" s="64" customFormat="1" ht="19">
      <c r="A443" s="58">
        <v>530515</v>
      </c>
      <c r="B443" s="59"/>
      <c r="C443" s="47"/>
      <c r="D443" s="65" t="s">
        <v>840</v>
      </c>
      <c r="E443" s="75">
        <f>Fortalezas!D357</f>
        <v>0</v>
      </c>
      <c r="F443" s="75">
        <f>Fortalezas!E357</f>
        <v>0</v>
      </c>
      <c r="G443" s="75">
        <f>Fortalezas!F357</f>
        <v>0</v>
      </c>
      <c r="H443" s="75">
        <f>Fortalezas!G357</f>
        <v>0</v>
      </c>
      <c r="I443" s="76">
        <f>Fortalezas!H357</f>
        <v>0</v>
      </c>
      <c r="J443" s="4"/>
      <c r="K443" s="4"/>
      <c r="L443" s="3555"/>
      <c r="M443" s="4"/>
      <c r="N443" s="4"/>
      <c r="O443" s="4"/>
      <c r="P443" s="3555"/>
      <c r="Q443" s="3555"/>
      <c r="R443" s="3555"/>
      <c r="S443" s="3556">
        <v>0</v>
      </c>
      <c r="T443" s="3555"/>
      <c r="U443" s="3557">
        <f t="shared" si="33"/>
        <v>0</v>
      </c>
      <c r="V443" s="3555"/>
      <c r="W443" s="3555"/>
      <c r="X443" s="3555"/>
      <c r="Y443" s="3555"/>
      <c r="Z443" s="3555"/>
      <c r="AA443" s="3555"/>
      <c r="AB443" s="3555"/>
      <c r="AC443" s="3555"/>
      <c r="AD443" s="3555"/>
      <c r="AE443" s="3555"/>
      <c r="AF443" s="3555"/>
      <c r="AG443" s="3555"/>
      <c r="AH443" s="3555"/>
      <c r="AI443" s="63"/>
      <c r="AJ443" s="63"/>
      <c r="AK443" s="63"/>
      <c r="AL443" s="63"/>
      <c r="AM443" s="63"/>
    </row>
    <row r="444" spans="1:39" s="64" customFormat="1" ht="19">
      <c r="A444" s="58">
        <v>530535</v>
      </c>
      <c r="B444" s="59"/>
      <c r="C444" s="47"/>
      <c r="D444" s="65" t="s">
        <v>831</v>
      </c>
      <c r="E444" s="75">
        <f>Fortalezas!D358</f>
        <v>0</v>
      </c>
      <c r="F444" s="75">
        <f>Fortalezas!E358</f>
        <v>0</v>
      </c>
      <c r="G444" s="75">
        <f>Fortalezas!F358</f>
        <v>0</v>
      </c>
      <c r="H444" s="75">
        <f>Fortalezas!G358</f>
        <v>0</v>
      </c>
      <c r="I444" s="76">
        <f>Fortalezas!H358</f>
        <v>0</v>
      </c>
      <c r="J444" s="4"/>
      <c r="K444" s="4"/>
      <c r="L444" s="3555"/>
      <c r="M444" s="4"/>
      <c r="N444" s="4"/>
      <c r="O444" s="4"/>
      <c r="P444" s="3555"/>
      <c r="Q444" s="3555"/>
      <c r="R444" s="3555"/>
      <c r="S444" s="3556">
        <v>0</v>
      </c>
      <c r="T444" s="3555"/>
      <c r="U444" s="3557">
        <f t="shared" si="33"/>
        <v>0</v>
      </c>
      <c r="V444" s="3555"/>
      <c r="W444" s="3555"/>
      <c r="X444" s="3555"/>
      <c r="Y444" s="3555"/>
      <c r="Z444" s="3555"/>
      <c r="AA444" s="3555"/>
      <c r="AB444" s="3555"/>
      <c r="AC444" s="3555"/>
      <c r="AD444" s="3555"/>
      <c r="AE444" s="3555"/>
      <c r="AF444" s="3555"/>
      <c r="AG444" s="3555"/>
      <c r="AH444" s="3555"/>
      <c r="AI444" s="63"/>
      <c r="AJ444" s="63"/>
      <c r="AK444" s="63"/>
      <c r="AL444" s="63"/>
      <c r="AM444" s="63"/>
    </row>
    <row r="445" spans="1:39" s="64" customFormat="1" ht="19">
      <c r="A445" s="58">
        <v>531000</v>
      </c>
      <c r="B445" s="59"/>
      <c r="C445" s="47"/>
      <c r="D445" s="65" t="s">
        <v>841</v>
      </c>
      <c r="E445" s="75">
        <f>Fortalezas!D359</f>
        <v>0</v>
      </c>
      <c r="F445" s="75">
        <f>Fortalezas!E359</f>
        <v>0</v>
      </c>
      <c r="G445" s="75">
        <f>Fortalezas!F359</f>
        <v>0</v>
      </c>
      <c r="H445" s="75">
        <f>Fortalezas!G359</f>
        <v>0</v>
      </c>
      <c r="I445" s="76">
        <f>Fortalezas!H359</f>
        <v>0</v>
      </c>
      <c r="J445" s="4"/>
      <c r="K445" s="4"/>
      <c r="L445" s="3555"/>
      <c r="M445" s="4"/>
      <c r="N445" s="4"/>
      <c r="O445" s="4"/>
      <c r="P445" s="3555"/>
      <c r="Q445" s="3555"/>
      <c r="R445" s="3555"/>
      <c r="S445" s="3556">
        <v>0</v>
      </c>
      <c r="T445" s="3555"/>
      <c r="U445" s="3557">
        <f t="shared" si="33"/>
        <v>0</v>
      </c>
      <c r="V445" s="3555"/>
      <c r="W445" s="3555"/>
      <c r="X445" s="3555"/>
      <c r="Y445" s="3555"/>
      <c r="Z445" s="3555"/>
      <c r="AA445" s="3555"/>
      <c r="AB445" s="3555"/>
      <c r="AC445" s="3555"/>
      <c r="AD445" s="3555"/>
      <c r="AE445" s="3555"/>
      <c r="AF445" s="3555"/>
      <c r="AG445" s="3555"/>
      <c r="AH445" s="3555"/>
      <c r="AI445" s="63"/>
      <c r="AJ445" s="63"/>
      <c r="AK445" s="63"/>
      <c r="AL445" s="63"/>
      <c r="AM445" s="63"/>
    </row>
    <row r="446" spans="1:39" s="64" customFormat="1" ht="19">
      <c r="A446" s="58">
        <v>531300</v>
      </c>
      <c r="B446" s="59"/>
      <c r="C446" s="47"/>
      <c r="D446" s="65" t="s">
        <v>842</v>
      </c>
      <c r="E446" s="75">
        <f>Fortalezas!D360</f>
        <v>0</v>
      </c>
      <c r="F446" s="75">
        <f>Fortalezas!E360</f>
        <v>0</v>
      </c>
      <c r="G446" s="75">
        <f>Fortalezas!F360</f>
        <v>0</v>
      </c>
      <c r="H446" s="75">
        <f>Fortalezas!G360</f>
        <v>0</v>
      </c>
      <c r="I446" s="76">
        <f>Fortalezas!H360</f>
        <v>0</v>
      </c>
      <c r="J446" s="4"/>
      <c r="K446" s="4"/>
      <c r="L446" s="3555"/>
      <c r="M446" s="4"/>
      <c r="N446" s="4"/>
      <c r="O446" s="4"/>
      <c r="P446" s="3555"/>
      <c r="Q446" s="3555"/>
      <c r="R446" s="3555"/>
      <c r="S446" s="3556">
        <v>0</v>
      </c>
      <c r="T446" s="3555"/>
      <c r="U446" s="3557">
        <f t="shared" si="33"/>
        <v>0</v>
      </c>
      <c r="V446" s="3555"/>
      <c r="W446" s="3555"/>
      <c r="X446" s="3555"/>
      <c r="Y446" s="3555"/>
      <c r="Z446" s="3555"/>
      <c r="AA446" s="3555"/>
      <c r="AB446" s="3555"/>
      <c r="AC446" s="3555"/>
      <c r="AD446" s="3555"/>
      <c r="AE446" s="3555"/>
      <c r="AF446" s="3555"/>
      <c r="AG446" s="3555"/>
      <c r="AH446" s="3555"/>
      <c r="AI446" s="63"/>
      <c r="AJ446" s="63"/>
      <c r="AK446" s="63"/>
      <c r="AL446" s="63"/>
      <c r="AM446" s="63"/>
    </row>
    <row r="447" spans="1:39" s="64" customFormat="1" ht="19">
      <c r="A447" s="58">
        <v>531500</v>
      </c>
      <c r="B447" s="59"/>
      <c r="C447" s="47"/>
      <c r="D447" s="65" t="s">
        <v>843</v>
      </c>
      <c r="E447" s="75">
        <f>Fortalezas!D361</f>
        <v>0</v>
      </c>
      <c r="F447" s="75">
        <f>Fortalezas!E361</f>
        <v>0</v>
      </c>
      <c r="G447" s="75">
        <f>Fortalezas!F361</f>
        <v>0</v>
      </c>
      <c r="H447" s="75">
        <f>Fortalezas!G361</f>
        <v>0</v>
      </c>
      <c r="I447" s="76">
        <f>Fortalezas!H361</f>
        <v>0</v>
      </c>
      <c r="J447" s="4"/>
      <c r="K447" s="4"/>
      <c r="L447" s="3555"/>
      <c r="M447" s="4"/>
      <c r="N447" s="4"/>
      <c r="O447" s="4"/>
      <c r="P447" s="3555"/>
      <c r="Q447" s="3555"/>
      <c r="R447" s="3555"/>
      <c r="S447" s="3556">
        <v>0</v>
      </c>
      <c r="T447" s="3555"/>
      <c r="U447" s="3557">
        <f t="shared" si="33"/>
        <v>0</v>
      </c>
      <c r="V447" s="3555"/>
      <c r="W447" s="3555"/>
      <c r="X447" s="3555"/>
      <c r="Y447" s="3555"/>
      <c r="Z447" s="3555"/>
      <c r="AA447" s="3555"/>
      <c r="AB447" s="3555"/>
      <c r="AC447" s="3555"/>
      <c r="AD447" s="3555"/>
      <c r="AE447" s="3555"/>
      <c r="AF447" s="3555"/>
      <c r="AG447" s="3555"/>
      <c r="AH447" s="3555"/>
      <c r="AI447" s="63"/>
      <c r="AJ447" s="63"/>
      <c r="AK447" s="63"/>
      <c r="AL447" s="63"/>
      <c r="AM447" s="63"/>
    </row>
    <row r="448" spans="1:39" s="64" customFormat="1" ht="19">
      <c r="A448" s="58">
        <v>531515</v>
      </c>
      <c r="B448" s="59"/>
      <c r="C448" s="47"/>
      <c r="D448" s="65" t="s">
        <v>844</v>
      </c>
      <c r="E448" s="75">
        <f>Fortalezas!D362</f>
        <v>0</v>
      </c>
      <c r="F448" s="75">
        <f>Fortalezas!E362</f>
        <v>0</v>
      </c>
      <c r="G448" s="75">
        <f>Fortalezas!F362</f>
        <v>0</v>
      </c>
      <c r="H448" s="75">
        <f>Fortalezas!G362</f>
        <v>0</v>
      </c>
      <c r="I448" s="76">
        <f>Fortalezas!H362</f>
        <v>0</v>
      </c>
      <c r="J448" s="4"/>
      <c r="K448" s="4"/>
      <c r="L448" s="3555"/>
      <c r="M448" s="4"/>
      <c r="N448" s="4"/>
      <c r="O448" s="4"/>
      <c r="P448" s="3555"/>
      <c r="Q448" s="3555"/>
      <c r="R448" s="3555"/>
      <c r="S448" s="3556">
        <v>0</v>
      </c>
      <c r="T448" s="3555"/>
      <c r="U448" s="3557">
        <f t="shared" si="33"/>
        <v>0</v>
      </c>
      <c r="V448" s="3555"/>
      <c r="W448" s="3555"/>
      <c r="X448" s="3555"/>
      <c r="Y448" s="3555"/>
      <c r="Z448" s="3555"/>
      <c r="AA448" s="3555"/>
      <c r="AB448" s="3555"/>
      <c r="AC448" s="3555"/>
      <c r="AD448" s="3555"/>
      <c r="AE448" s="3555"/>
      <c r="AF448" s="3555"/>
      <c r="AG448" s="3555"/>
      <c r="AH448" s="3555"/>
      <c r="AI448" s="63"/>
      <c r="AJ448" s="63"/>
      <c r="AK448" s="63"/>
      <c r="AL448" s="63"/>
      <c r="AM448" s="63"/>
    </row>
    <row r="449" spans="1:39" s="64" customFormat="1" ht="19">
      <c r="A449" s="58">
        <v>531520</v>
      </c>
      <c r="B449" s="59"/>
      <c r="C449" s="47"/>
      <c r="D449" s="65" t="s">
        <v>845</v>
      </c>
      <c r="E449" s="75">
        <f>Fortalezas!D363</f>
        <v>0</v>
      </c>
      <c r="F449" s="75">
        <f>Fortalezas!E363</f>
        <v>0</v>
      </c>
      <c r="G449" s="75">
        <f>Fortalezas!F363</f>
        <v>0</v>
      </c>
      <c r="H449" s="75">
        <f>Fortalezas!G363</f>
        <v>0</v>
      </c>
      <c r="I449" s="76">
        <f>Fortalezas!H363</f>
        <v>0</v>
      </c>
      <c r="J449" s="4"/>
      <c r="K449" s="4"/>
      <c r="L449" s="3555"/>
      <c r="M449" s="4"/>
      <c r="N449" s="4"/>
      <c r="O449" s="4"/>
      <c r="P449" s="3555"/>
      <c r="Q449" s="3555"/>
      <c r="R449" s="3555"/>
      <c r="S449" s="3556">
        <v>0</v>
      </c>
      <c r="T449" s="3555"/>
      <c r="U449" s="3557">
        <f t="shared" si="33"/>
        <v>0</v>
      </c>
      <c r="V449" s="3555"/>
      <c r="W449" s="3555"/>
      <c r="X449" s="3555"/>
      <c r="Y449" s="3555"/>
      <c r="Z449" s="3555"/>
      <c r="AA449" s="3555"/>
      <c r="AB449" s="3555"/>
      <c r="AC449" s="3555"/>
      <c r="AD449" s="3555"/>
      <c r="AE449" s="3555"/>
      <c r="AF449" s="3555"/>
      <c r="AG449" s="3555"/>
      <c r="AH449" s="3555"/>
      <c r="AI449" s="63"/>
      <c r="AJ449" s="63"/>
      <c r="AK449" s="63"/>
      <c r="AL449" s="63"/>
      <c r="AM449" s="63"/>
    </row>
    <row r="450" spans="1:39" s="64" customFormat="1" ht="19">
      <c r="A450" s="58">
        <v>539525</v>
      </c>
      <c r="B450" s="59"/>
      <c r="C450" s="47"/>
      <c r="D450" s="65" t="s">
        <v>776</v>
      </c>
      <c r="E450" s="75">
        <f>Fortalezas!D364</f>
        <v>0</v>
      </c>
      <c r="F450" s="75">
        <f>Fortalezas!E364</f>
        <v>0</v>
      </c>
      <c r="G450" s="75">
        <f>Fortalezas!F364</f>
        <v>0</v>
      </c>
      <c r="H450" s="75">
        <f>Fortalezas!G364</f>
        <v>0</v>
      </c>
      <c r="I450" s="76">
        <f>Fortalezas!H364</f>
        <v>0</v>
      </c>
      <c r="J450" s="4"/>
      <c r="K450" s="4"/>
      <c r="L450" s="3555"/>
      <c r="M450" s="4"/>
      <c r="N450" s="4"/>
      <c r="O450" s="4"/>
      <c r="P450" s="3555"/>
      <c r="Q450" s="3555"/>
      <c r="R450" s="3555"/>
      <c r="S450" s="3556">
        <v>0</v>
      </c>
      <c r="T450" s="3555"/>
      <c r="U450" s="3557">
        <f t="shared" si="33"/>
        <v>0</v>
      </c>
      <c r="V450" s="3555"/>
      <c r="W450" s="3555"/>
      <c r="X450" s="3555"/>
      <c r="Y450" s="3555"/>
      <c r="Z450" s="3555"/>
      <c r="AA450" s="3555"/>
      <c r="AB450" s="3555"/>
      <c r="AC450" s="3555"/>
      <c r="AD450" s="3555"/>
      <c r="AE450" s="3555"/>
      <c r="AF450" s="3555"/>
      <c r="AG450" s="3555"/>
      <c r="AH450" s="3555"/>
      <c r="AI450" s="63"/>
      <c r="AJ450" s="63"/>
      <c r="AK450" s="63"/>
      <c r="AL450" s="63"/>
      <c r="AM450" s="63"/>
    </row>
    <row r="451" spans="1:39" s="64" customFormat="1" ht="19">
      <c r="A451" s="58">
        <v>539595</v>
      </c>
      <c r="B451" s="59"/>
      <c r="C451" s="47"/>
      <c r="D451" s="65" t="s">
        <v>846</v>
      </c>
      <c r="E451" s="75">
        <f>Fortalezas!D365-Fortalezas!D372</f>
        <v>0</v>
      </c>
      <c r="F451" s="75">
        <f>Fortalezas!E365-Fortalezas!E372</f>
        <v>0</v>
      </c>
      <c r="G451" s="75">
        <f>Fortalezas!F365-Fortalezas!F372</f>
        <v>0</v>
      </c>
      <c r="H451" s="75">
        <f>Fortalezas!G365-Fortalezas!G372</f>
        <v>0</v>
      </c>
      <c r="I451" s="76">
        <f>Fortalezas!H365-Fortalezas!H372</f>
        <v>0</v>
      </c>
      <c r="J451" s="4"/>
      <c r="K451" s="4"/>
      <c r="L451" s="3555"/>
      <c r="M451" s="4"/>
      <c r="N451" s="4"/>
      <c r="O451" s="4"/>
      <c r="P451" s="3555"/>
      <c r="Q451" s="3555"/>
      <c r="R451" s="3555"/>
      <c r="S451" s="3556">
        <v>0</v>
      </c>
      <c r="T451" s="3555"/>
      <c r="U451" s="3557">
        <f t="shared" si="33"/>
        <v>0</v>
      </c>
      <c r="V451" s="3555"/>
      <c r="W451" s="3555"/>
      <c r="X451" s="3555"/>
      <c r="Y451" s="3555"/>
      <c r="Z451" s="3555"/>
      <c r="AA451" s="3555"/>
      <c r="AB451" s="3555"/>
      <c r="AC451" s="3555"/>
      <c r="AD451" s="3555"/>
      <c r="AE451" s="3555"/>
      <c r="AF451" s="3555"/>
      <c r="AG451" s="3555"/>
      <c r="AH451" s="3555"/>
      <c r="AI451" s="63"/>
      <c r="AJ451" s="63"/>
      <c r="AK451" s="63"/>
      <c r="AL451" s="63"/>
      <c r="AM451" s="63"/>
    </row>
    <row r="452" spans="1:39" s="64" customFormat="1" ht="19">
      <c r="A452" s="58">
        <v>53</v>
      </c>
      <c r="B452" s="59"/>
      <c r="C452" s="66" t="s">
        <v>847</v>
      </c>
      <c r="D452" s="111"/>
      <c r="E452" s="112">
        <f>SUM(E440:E451)</f>
        <v>0</v>
      </c>
      <c r="F452" s="112">
        <f>SUM(F440:F451)</f>
        <v>0</v>
      </c>
      <c r="G452" s="112">
        <f>SUM(G440:G451)</f>
        <v>0</v>
      </c>
      <c r="H452" s="112">
        <f>SUM(H440:H451)</f>
        <v>0</v>
      </c>
      <c r="I452" s="113">
        <f>SUM(I440:I451)</f>
        <v>0</v>
      </c>
      <c r="J452" s="4"/>
      <c r="K452" s="4"/>
      <c r="L452" s="3555"/>
      <c r="M452" s="4"/>
      <c r="N452" s="4"/>
      <c r="O452" s="4"/>
      <c r="P452" s="3555"/>
      <c r="Q452" s="3555"/>
      <c r="R452" s="3555"/>
      <c r="S452" s="3556">
        <v>0</v>
      </c>
      <c r="T452" s="3555"/>
      <c r="U452" s="3557">
        <f t="shared" si="33"/>
        <v>0</v>
      </c>
      <c r="V452" s="3555"/>
      <c r="W452" s="3555"/>
      <c r="X452" s="3555"/>
      <c r="Y452" s="3555"/>
      <c r="Z452" s="3555"/>
      <c r="AA452" s="3555"/>
      <c r="AB452" s="3555"/>
      <c r="AC452" s="3555"/>
      <c r="AD452" s="3555"/>
      <c r="AE452" s="3555"/>
      <c r="AF452" s="3555"/>
      <c r="AG452" s="3555"/>
      <c r="AH452" s="3555"/>
      <c r="AI452" s="63"/>
      <c r="AJ452" s="63"/>
      <c r="AK452" s="63"/>
      <c r="AL452" s="63"/>
      <c r="AM452" s="63"/>
    </row>
    <row r="453" spans="1:39" s="64" customFormat="1" ht="19">
      <c r="A453" s="58">
        <v>98</v>
      </c>
      <c r="B453" s="59"/>
      <c r="C453" s="47"/>
      <c r="D453" s="101" t="s">
        <v>848</v>
      </c>
      <c r="E453" s="102">
        <f>Fortalezas!D367-Fortalezas!D373</f>
        <v>0</v>
      </c>
      <c r="F453" s="102">
        <f>Fortalezas!E367-Fortalezas!E373</f>
        <v>0</v>
      </c>
      <c r="G453" s="102">
        <f>Fortalezas!F367-Fortalezas!F373</f>
        <v>0</v>
      </c>
      <c r="H453" s="102">
        <f>Fortalezas!G367-Fortalezas!G373</f>
        <v>0</v>
      </c>
      <c r="I453" s="103">
        <f>Fortalezas!H367-Fortalezas!H373</f>
        <v>0</v>
      </c>
      <c r="J453" s="4"/>
      <c r="K453" s="4"/>
      <c r="L453" s="3555"/>
      <c r="M453" s="4"/>
      <c r="N453" s="4"/>
      <c r="O453" s="4"/>
      <c r="P453" s="3555"/>
      <c r="Q453" s="3555"/>
      <c r="R453" s="3555"/>
      <c r="S453" s="3556">
        <v>0</v>
      </c>
      <c r="T453" s="3555"/>
      <c r="U453" s="3557">
        <f t="shared" si="33"/>
        <v>0</v>
      </c>
      <c r="V453" s="3555"/>
      <c r="W453" s="3555"/>
      <c r="X453" s="3555"/>
      <c r="Y453" s="3555"/>
      <c r="Z453" s="3555"/>
      <c r="AA453" s="3555"/>
      <c r="AB453" s="3555"/>
      <c r="AC453" s="3555"/>
      <c r="AD453" s="3555"/>
      <c r="AE453" s="3555"/>
      <c r="AF453" s="3555"/>
      <c r="AG453" s="3555"/>
      <c r="AH453" s="3555"/>
      <c r="AI453" s="63"/>
      <c r="AJ453" s="63"/>
      <c r="AK453" s="63"/>
      <c r="AL453" s="63"/>
      <c r="AM453" s="63"/>
    </row>
    <row r="454" spans="1:39" s="64" customFormat="1" ht="19">
      <c r="A454" s="27">
        <v>97</v>
      </c>
      <c r="B454" s="94" t="s">
        <v>849</v>
      </c>
      <c r="C454" s="128"/>
      <c r="D454" s="95"/>
      <c r="E454" s="87">
        <f>E424+E438-E452-E453</f>
        <v>0</v>
      </c>
      <c r="F454" s="87">
        <f>F424+F438-F452-F453</f>
        <v>0</v>
      </c>
      <c r="G454" s="87">
        <f>G424+G438-G452-G453</f>
        <v>0</v>
      </c>
      <c r="H454" s="87">
        <f>H424+H438-H452-H453</f>
        <v>0</v>
      </c>
      <c r="I454" s="88">
        <f>I424+I438-I452-I453</f>
        <v>0</v>
      </c>
      <c r="J454" s="4"/>
      <c r="K454" s="4"/>
      <c r="L454" s="3555"/>
      <c r="M454" s="4"/>
      <c r="N454" s="4"/>
      <c r="O454" s="4"/>
      <c r="P454" s="3555"/>
      <c r="Q454" s="3555"/>
      <c r="R454" s="3555"/>
      <c r="S454" s="3556">
        <v>0</v>
      </c>
      <c r="T454" s="3555"/>
      <c r="U454" s="3557">
        <f t="shared" si="33"/>
        <v>0</v>
      </c>
      <c r="V454" s="3555"/>
      <c r="W454" s="3555"/>
      <c r="X454" s="3555"/>
      <c r="Y454" s="3555"/>
      <c r="Z454" s="3555"/>
      <c r="AA454" s="3555"/>
      <c r="AB454" s="3555"/>
      <c r="AC454" s="3555"/>
      <c r="AD454" s="3555"/>
      <c r="AE454" s="3555"/>
      <c r="AF454" s="3555"/>
      <c r="AG454" s="3555"/>
      <c r="AH454" s="3555"/>
      <c r="AI454" s="63"/>
      <c r="AJ454" s="63"/>
      <c r="AK454" s="63"/>
      <c r="AL454" s="63"/>
      <c r="AM454" s="63"/>
    </row>
    <row r="455" spans="1:39" s="64" customFormat="1" ht="19">
      <c r="A455" s="58">
        <v>54</v>
      </c>
      <c r="B455" s="59"/>
      <c r="C455" s="47"/>
      <c r="D455" s="132" t="s">
        <v>811</v>
      </c>
      <c r="E455" s="102">
        <f>Fortalezas!D369</f>
        <v>0</v>
      </c>
      <c r="F455" s="102">
        <f>Fortalezas!E369</f>
        <v>0</v>
      </c>
      <c r="G455" s="133">
        <f>Fortalezas!F369</f>
        <v>0</v>
      </c>
      <c r="H455" s="133">
        <f>Fortalezas!G369</f>
        <v>0</v>
      </c>
      <c r="I455" s="103">
        <f>Fortalezas!H369</f>
        <v>0</v>
      </c>
      <c r="J455" s="4"/>
      <c r="K455" s="4"/>
      <c r="L455" s="3555"/>
      <c r="M455" s="3555"/>
      <c r="N455" s="3555"/>
      <c r="O455" s="3555"/>
      <c r="P455" s="3555"/>
      <c r="Q455" s="3555"/>
      <c r="R455" s="3555"/>
      <c r="S455" s="3556">
        <v>0</v>
      </c>
      <c r="T455" s="3555"/>
      <c r="U455" s="3557">
        <f t="shared" si="33"/>
        <v>0</v>
      </c>
      <c r="V455" s="3555"/>
      <c r="W455" s="3555"/>
      <c r="X455" s="3555"/>
      <c r="Y455" s="3555"/>
      <c r="Z455" s="3555"/>
      <c r="AA455" s="3555"/>
      <c r="AB455" s="3555"/>
      <c r="AC455" s="3555"/>
      <c r="AD455" s="3555"/>
      <c r="AE455" s="3555"/>
      <c r="AF455" s="3555"/>
      <c r="AG455" s="3555"/>
      <c r="AH455" s="3555"/>
      <c r="AI455" s="63"/>
      <c r="AJ455" s="63"/>
      <c r="AK455" s="63"/>
      <c r="AL455" s="63"/>
      <c r="AM455" s="63"/>
    </row>
    <row r="456" spans="1:39" s="64" customFormat="1" ht="19">
      <c r="A456" s="58">
        <v>99</v>
      </c>
      <c r="B456" s="94" t="s">
        <v>850</v>
      </c>
      <c r="C456" s="128"/>
      <c r="D456" s="95"/>
      <c r="E456" s="87">
        <f>+E454-E455</f>
        <v>0</v>
      </c>
      <c r="F456" s="87">
        <f>+F454-F455</f>
        <v>0</v>
      </c>
      <c r="G456" s="87">
        <f>+G454-G455</f>
        <v>0</v>
      </c>
      <c r="H456" s="87">
        <f>+H454-H455</f>
        <v>0</v>
      </c>
      <c r="I456" s="88">
        <f>+I454-I455</f>
        <v>0</v>
      </c>
      <c r="J456" s="4"/>
      <c r="K456" s="4"/>
      <c r="L456" s="3555"/>
      <c r="M456" s="3555"/>
      <c r="N456" s="3555"/>
      <c r="O456" s="3555"/>
      <c r="P456" s="3555"/>
      <c r="Q456" s="3555"/>
      <c r="R456" s="3555"/>
      <c r="S456" s="3556">
        <v>0</v>
      </c>
      <c r="T456" s="3555"/>
      <c r="U456" s="3557">
        <f t="shared" si="33"/>
        <v>0</v>
      </c>
      <c r="V456" s="3555"/>
      <c r="W456" s="3555"/>
      <c r="X456" s="3555"/>
      <c r="Y456" s="3555"/>
      <c r="Z456" s="3555"/>
      <c r="AA456" s="3555"/>
      <c r="AB456" s="3555"/>
      <c r="AC456" s="3555"/>
      <c r="AD456" s="3555"/>
      <c r="AE456" s="3555"/>
      <c r="AF456" s="3555"/>
      <c r="AG456" s="3555"/>
      <c r="AH456" s="3555"/>
      <c r="AI456" s="63"/>
      <c r="AJ456" s="63"/>
      <c r="AK456" s="63"/>
      <c r="AL456" s="63"/>
      <c r="AM456" s="63"/>
    </row>
    <row r="457" spans="1:39" s="64" customFormat="1" ht="19">
      <c r="A457" s="27"/>
      <c r="B457" s="134" t="s">
        <v>851</v>
      </c>
      <c r="C457" s="135"/>
      <c r="D457" s="136"/>
      <c r="E457" s="137"/>
      <c r="F457" s="138"/>
      <c r="G457" s="138"/>
      <c r="H457" s="138"/>
      <c r="I457" s="139"/>
      <c r="J457" s="4"/>
      <c r="K457" s="4"/>
      <c r="L457" s="3555"/>
      <c r="M457" s="3555"/>
      <c r="N457" s="3555"/>
      <c r="O457" s="3555"/>
      <c r="P457" s="3555"/>
      <c r="Q457" s="3555"/>
      <c r="R457" s="3555"/>
      <c r="S457" s="3556">
        <v>0</v>
      </c>
      <c r="T457" s="3555"/>
      <c r="U457" s="3557">
        <f t="shared" si="33"/>
        <v>0</v>
      </c>
      <c r="V457" s="3555"/>
      <c r="W457" s="3555"/>
      <c r="X457" s="3555"/>
      <c r="Y457" s="3555"/>
      <c r="Z457" s="3555"/>
      <c r="AA457" s="3555"/>
      <c r="AB457" s="3555"/>
      <c r="AC457" s="3555"/>
      <c r="AD457" s="3555"/>
      <c r="AE457" s="3555"/>
      <c r="AF457" s="3555"/>
      <c r="AG457" s="3555"/>
      <c r="AH457" s="3555"/>
      <c r="AI457" s="63"/>
      <c r="AJ457" s="63"/>
      <c r="AK457" s="63"/>
      <c r="AL457" s="63"/>
      <c r="AM457" s="63"/>
    </row>
    <row r="458" spans="1:39" s="64" customFormat="1" ht="19.5">
      <c r="A458" s="27"/>
      <c r="B458" s="27"/>
      <c r="C458" s="27"/>
      <c r="E458" s="140"/>
      <c r="F458" s="140"/>
      <c r="G458" s="140"/>
      <c r="H458" s="140"/>
      <c r="I458" s="141"/>
      <c r="J458" s="4"/>
      <c r="K458" s="4"/>
      <c r="L458" s="3555"/>
      <c r="M458" s="4"/>
      <c r="N458" s="4"/>
      <c r="O458" s="4"/>
      <c r="P458" s="4"/>
      <c r="Q458" s="4"/>
      <c r="R458" s="3555"/>
      <c r="S458" s="3556">
        <v>0</v>
      </c>
      <c r="T458" s="3555"/>
      <c r="U458" s="3557">
        <v>1</v>
      </c>
      <c r="V458" s="3555"/>
      <c r="W458" s="3555"/>
      <c r="X458" s="3555"/>
      <c r="Y458" s="3555"/>
      <c r="Z458" s="3555"/>
      <c r="AA458" s="3555"/>
      <c r="AB458" s="3555"/>
      <c r="AC458" s="3555"/>
      <c r="AD458" s="3555"/>
      <c r="AE458" s="3555"/>
      <c r="AF458" s="3555"/>
      <c r="AG458" s="3555"/>
      <c r="AH458" s="3555"/>
      <c r="AI458" s="63"/>
      <c r="AJ458" s="63"/>
      <c r="AK458" s="63"/>
      <c r="AL458" s="63"/>
      <c r="AM458" s="63"/>
    </row>
    <row r="459" spans="1:39" ht="21">
      <c r="A459" s="142"/>
      <c r="B459" s="142"/>
      <c r="C459" s="142"/>
      <c r="D459" s="143" t="s">
        <v>852</v>
      </c>
      <c r="E459" s="144">
        <f>E424+E420+E421+E403+E404+E388</f>
        <v>0</v>
      </c>
      <c r="F459" s="144">
        <f>F424+F420+F421+F403+F404+F388</f>
        <v>0</v>
      </c>
      <c r="G459" s="144">
        <f>G424+G420+G421+G403+G404+G388</f>
        <v>0</v>
      </c>
      <c r="H459" s="144">
        <f>H424+H420+H421+H403+H404+H388</f>
        <v>0</v>
      </c>
      <c r="I459" s="145">
        <f>I424+I420+I421+I403+I404+I388</f>
        <v>0</v>
      </c>
      <c r="S459" s="3556">
        <v>0</v>
      </c>
      <c r="U459" s="3557">
        <f>SUM(E459:I459)</f>
        <v>0</v>
      </c>
      <c r="Z459" s="4"/>
      <c r="AA459" s="4"/>
      <c r="AB459" s="4"/>
    </row>
    <row r="460" spans="1:39">
      <c r="A460" s="142"/>
      <c r="B460" s="142"/>
      <c r="C460" s="142"/>
      <c r="D460" s="5"/>
      <c r="E460" s="146"/>
      <c r="F460" s="146"/>
      <c r="G460" s="146"/>
      <c r="H460" s="146"/>
      <c r="I460" s="147"/>
      <c r="M460" s="3555"/>
      <c r="N460" s="3555"/>
      <c r="O460" s="3555"/>
      <c r="P460" s="3555"/>
      <c r="Q460" s="3555"/>
      <c r="Z460" s="4"/>
      <c r="AA460" s="4"/>
      <c r="AB460" s="4"/>
    </row>
    <row r="461" spans="1:39" s="64" customFormat="1" hidden="1">
      <c r="A461" s="27"/>
      <c r="B461" s="27"/>
      <c r="C461" s="27"/>
      <c r="D461" s="154" t="s">
        <v>854</v>
      </c>
      <c r="E461" s="4042" t="s">
        <v>855</v>
      </c>
      <c r="F461" s="4042" t="s">
        <v>855</v>
      </c>
      <c r="G461" s="4042" t="s">
        <v>855</v>
      </c>
      <c r="H461" s="4042" t="s">
        <v>855</v>
      </c>
      <c r="I461" s="4039" t="s">
        <v>855</v>
      </c>
      <c r="J461" s="4"/>
      <c r="K461" s="4"/>
      <c r="L461" s="3555"/>
      <c r="M461" s="3555"/>
      <c r="N461" s="3555"/>
      <c r="O461" s="3555"/>
      <c r="P461" s="3555"/>
      <c r="Q461" s="3555"/>
      <c r="R461" s="3555"/>
      <c r="S461" s="3555"/>
      <c r="T461" s="3555"/>
      <c r="U461" s="3555"/>
      <c r="V461" s="3555"/>
      <c r="W461" s="3555"/>
      <c r="X461" s="3555"/>
      <c r="Y461" s="3555"/>
      <c r="Z461" s="3555"/>
      <c r="AA461" s="3555"/>
      <c r="AB461" s="3555"/>
      <c r="AC461" s="3555"/>
      <c r="AD461" s="3555"/>
      <c r="AE461" s="3555"/>
      <c r="AF461" s="3555"/>
      <c r="AG461" s="3555"/>
      <c r="AH461" s="3555"/>
      <c r="AI461" s="63"/>
      <c r="AJ461" s="63"/>
      <c r="AK461" s="63"/>
      <c r="AL461" s="63"/>
      <c r="AM461" s="63"/>
    </row>
    <row r="462" spans="1:39" s="64" customFormat="1" hidden="1">
      <c r="A462" s="27"/>
      <c r="B462" s="27"/>
      <c r="C462" s="27"/>
      <c r="D462" s="154" t="s">
        <v>856</v>
      </c>
      <c r="E462" s="4043"/>
      <c r="F462" s="4043"/>
      <c r="G462" s="4043"/>
      <c r="H462" s="4043"/>
      <c r="I462" s="4040"/>
      <c r="J462" s="4"/>
      <c r="K462" s="4"/>
      <c r="L462" s="3555"/>
      <c r="M462" s="3555"/>
      <c r="N462" s="3555"/>
      <c r="O462" s="3555"/>
      <c r="P462" s="3555"/>
      <c r="Q462" s="3555"/>
      <c r="R462" s="3555"/>
      <c r="S462" s="3555"/>
      <c r="T462" s="3555"/>
      <c r="U462" s="3555"/>
      <c r="V462" s="3555"/>
      <c r="W462" s="3555"/>
      <c r="X462" s="3555"/>
      <c r="Y462" s="3555"/>
      <c r="Z462" s="3555"/>
      <c r="AA462" s="3555"/>
      <c r="AB462" s="3555"/>
      <c r="AC462" s="3555"/>
      <c r="AD462" s="3555"/>
      <c r="AE462" s="3555"/>
      <c r="AF462" s="3555"/>
      <c r="AG462" s="3555"/>
      <c r="AH462" s="3555"/>
      <c r="AI462" s="63"/>
      <c r="AJ462" s="63"/>
      <c r="AK462" s="63"/>
      <c r="AL462" s="63"/>
      <c r="AM462" s="63"/>
    </row>
    <row r="463" spans="1:39" s="160" customFormat="1" ht="13">
      <c r="A463" s="159"/>
      <c r="B463" s="159"/>
      <c r="C463" s="159"/>
      <c r="E463" s="161" t="str">
        <f>IF(AND(E10="OK",E14="OK"),"",E4&amp;" - ")</f>
        <v/>
      </c>
      <c r="F463" s="161" t="str">
        <f>IF(AND(F10="OK",F14="OK"),"",F4&amp;" - ")</f>
        <v/>
      </c>
      <c r="G463" s="161" t="str">
        <f>IF(AND(G10="OK",G14="OK"),"",G4&amp;" - ")</f>
        <v/>
      </c>
      <c r="H463" s="161" t="str">
        <f>IF(AND(H10="OK",H14="OK"),"",H8&amp;" - "&amp;H4&amp;" - ")</f>
        <v/>
      </c>
      <c r="I463" s="162" t="str">
        <f>IF(AND(I10="OK",I14="OK"),"",I8&amp;" - "&amp;I4&amp;" - ")</f>
        <v/>
      </c>
      <c r="J463" s="4"/>
      <c r="K463" s="4"/>
      <c r="L463" s="3555"/>
      <c r="M463" s="3555"/>
      <c r="N463" s="3555"/>
      <c r="O463" s="3555"/>
      <c r="P463" s="3555"/>
      <c r="Q463" s="3555"/>
      <c r="R463" s="3555"/>
      <c r="S463" s="3555"/>
      <c r="T463" s="3555"/>
      <c r="U463" s="3555"/>
      <c r="V463" s="3555"/>
      <c r="W463" s="3555"/>
      <c r="X463" s="3555"/>
      <c r="Y463" s="3555"/>
      <c r="Z463" s="3555"/>
      <c r="AA463" s="3555"/>
      <c r="AB463" s="3555"/>
      <c r="AC463" s="3555"/>
      <c r="AD463" s="3555"/>
      <c r="AE463" s="3555"/>
      <c r="AF463" s="3555"/>
      <c r="AG463" s="3555"/>
      <c r="AH463" s="3555"/>
      <c r="AI463" s="63"/>
      <c r="AJ463" s="63"/>
    </row>
    <row r="464" spans="1:39" s="160" customFormat="1" ht="13">
      <c r="A464" s="159"/>
      <c r="B464" s="159"/>
      <c r="C464" s="159"/>
      <c r="E464" s="160" t="str">
        <f>TRIM(IF(AND(E463="",F463="",G463="",H463="",I463=""),"",("Valide el vr. de la Utilidad del P&amp;G vs. el Patrimonio, para: "&amp;E463&amp;" "&amp;F463&amp;" "&amp;G463&amp;" "&amp;H463)))</f>
        <v/>
      </c>
      <c r="I464" s="63"/>
      <c r="J464" s="4"/>
      <c r="K464" s="4"/>
      <c r="L464" s="3555"/>
      <c r="M464" s="3555"/>
      <c r="N464" s="3555"/>
      <c r="O464" s="3555"/>
      <c r="P464" s="3555"/>
      <c r="Q464" s="3555"/>
      <c r="R464" s="3555"/>
      <c r="S464" s="3555"/>
      <c r="T464" s="3555"/>
      <c r="U464" s="3555"/>
      <c r="V464" s="3555"/>
      <c r="W464" s="3555"/>
      <c r="X464" s="3555"/>
      <c r="Y464" s="3555"/>
      <c r="Z464" s="3555"/>
      <c r="AA464" s="3555"/>
      <c r="AB464" s="3555"/>
      <c r="AC464" s="3555"/>
      <c r="AD464" s="3555"/>
      <c r="AE464" s="3555"/>
      <c r="AF464" s="3555"/>
      <c r="AG464" s="3555"/>
      <c r="AH464" s="3555"/>
      <c r="AI464" s="63"/>
      <c r="AJ464" s="63"/>
    </row>
    <row r="465" spans="1:36" s="160" customFormat="1" ht="13">
      <c r="A465" s="159"/>
      <c r="B465" s="159"/>
      <c r="C465" s="159"/>
      <c r="E465" s="160" t="s">
        <v>859</v>
      </c>
      <c r="F465" s="160" t="str">
        <f>IF(F185=0,"",IFERROR(IF(ABS((F388-E388)/ABS(E388)*100)&gt;40,": "&amp;F4&amp;" - "&amp;(F388-E388)/ABS(E388)*100&amp;"%.",""),""))</f>
        <v/>
      </c>
      <c r="G465" s="160" t="str">
        <f>IF(G185=0,"",IFERROR(IF(ABS((G388-F388)/ABS(F388)*100)&gt;40,": "&amp;G4&amp;" - "&amp;(G388-F388)/ABS(F388)*100&amp;"%.",""),""))</f>
        <v/>
      </c>
      <c r="H465" s="160" t="str">
        <f>IF(H185=0,"",IFERROR(IF(ABS((H388-G388)/ABS(G388)*100)&gt;40,": "&amp;H4&amp;" - "&amp;(H388-G388)/ABS(G388)*100&amp;"%.",""),""))</f>
        <v/>
      </c>
      <c r="I465" s="63" t="str">
        <f>IF(I185=0,"",IFERROR(IF(ABS((I388-H388)/ABS(H388)*100)&gt;40,": "&amp;I4&amp;" - "&amp;(I388-H388)/ABS(H388)*100&amp;"%.",""),""))</f>
        <v/>
      </c>
      <c r="J465" s="4"/>
      <c r="K465" s="4"/>
      <c r="L465" s="3555"/>
      <c r="M465" s="3555"/>
      <c r="N465" s="3555"/>
      <c r="O465" s="3555"/>
      <c r="P465" s="3555"/>
      <c r="Q465" s="3555"/>
      <c r="R465" s="3555"/>
      <c r="S465" s="3555"/>
      <c r="T465" s="3555"/>
      <c r="U465" s="3555"/>
      <c r="V465" s="3555"/>
      <c r="W465" s="3555"/>
      <c r="X465" s="3555"/>
      <c r="Y465" s="3555"/>
      <c r="Z465" s="3555"/>
      <c r="AA465" s="3555"/>
      <c r="AB465" s="3555"/>
      <c r="AC465" s="3555"/>
      <c r="AD465" s="3555"/>
      <c r="AE465" s="3555"/>
      <c r="AF465" s="3555"/>
      <c r="AG465" s="3555"/>
      <c r="AH465" s="3555"/>
      <c r="AI465" s="63"/>
      <c r="AJ465" s="63"/>
    </row>
    <row r="466" spans="1:36" s="160" customFormat="1" ht="13">
      <c r="A466" s="159"/>
      <c r="B466" s="159"/>
      <c r="C466" s="159"/>
      <c r="E466" s="160" t="s">
        <v>860</v>
      </c>
      <c r="F466" s="163" t="str">
        <f>IF(F185=0,"",IF(AND((F199+F273)&gt;0,F440=0),(": "&amp;F4),""))</f>
        <v/>
      </c>
      <c r="G466" s="163" t="str">
        <f>IF(G185=0,"",IF(AND((G199+G273)&gt;0,G440=0),(": "&amp;G4),""))</f>
        <v/>
      </c>
      <c r="H466" s="163" t="str">
        <f>IF(H185=0,"",IF(AND((H199+H273)&gt;0,H440=0),(": "&amp;H4&amp;"-"&amp;H8),""))</f>
        <v/>
      </c>
      <c r="I466" s="164" t="str">
        <f>IF(I185=0,"",IF(AND((I199+I273)&gt;0,I440=0),(": "&amp;I4&amp;"-"&amp;I8),""))</f>
        <v/>
      </c>
      <c r="J466" s="4"/>
      <c r="K466" s="4"/>
      <c r="L466" s="3555"/>
      <c r="M466" s="3555"/>
      <c r="N466" s="3555"/>
      <c r="O466" s="3555"/>
      <c r="P466" s="3555"/>
      <c r="Q466" s="3555"/>
      <c r="R466" s="3555"/>
      <c r="S466" s="3555"/>
      <c r="T466" s="3555"/>
      <c r="U466" s="3555"/>
      <c r="V466" s="3555"/>
      <c r="W466" s="3555"/>
      <c r="X466" s="3555"/>
      <c r="Y466" s="3555"/>
      <c r="Z466" s="3555"/>
      <c r="AA466" s="3555"/>
      <c r="AB466" s="3555"/>
      <c r="AC466" s="3555"/>
      <c r="AD466" s="3555"/>
      <c r="AE466" s="3555"/>
      <c r="AF466" s="3555"/>
      <c r="AG466" s="3555"/>
      <c r="AH466" s="3555"/>
      <c r="AI466" s="63"/>
      <c r="AJ466" s="63"/>
    </row>
    <row r="467" spans="1:36" s="160" customFormat="1" ht="13">
      <c r="A467" s="159"/>
      <c r="B467" s="159"/>
      <c r="C467" s="159"/>
      <c r="E467" s="160" t="s">
        <v>861</v>
      </c>
      <c r="F467" s="160" t="str">
        <f>IF(F185=0,"",IF(ABS(IFERROR(((F385+F386)-(E385+E386))/ABS(E385+E386)*100,0))&gt;30,(": "&amp;F4),""))</f>
        <v/>
      </c>
      <c r="G467" s="160" t="str">
        <f>IF(G185=0,"",IF(ABS(IFERROR(((G385+G386)-(F385+F386))/ABS(F385+F386)*100,0))&gt;30,(": "&amp;G4),""))</f>
        <v/>
      </c>
      <c r="H467" s="160" t="str">
        <f>IF(H185=0,"",IF(ABS(IFERROR(((H385+H386)-(G385+G386))/ABS(G385+G386)*100,0))&gt;30,(": "&amp;H4),""))</f>
        <v/>
      </c>
      <c r="I467" s="63" t="str">
        <f>IF(I185=0,"",IF(ABS(IFERROR(((I385+I386)-(H385+H386))/ABS(H385+H386)*100,0))&gt;30,(": "&amp;I4),""))</f>
        <v/>
      </c>
      <c r="J467" s="4"/>
      <c r="K467" s="4"/>
      <c r="L467" s="3555"/>
      <c r="M467" s="4"/>
      <c r="N467" s="4"/>
      <c r="O467" s="4"/>
      <c r="P467" s="4"/>
      <c r="Q467" s="4"/>
      <c r="R467" s="3555"/>
      <c r="S467" s="3555"/>
      <c r="T467" s="3555"/>
      <c r="U467" s="3555"/>
      <c r="V467" s="3555"/>
      <c r="W467" s="3555"/>
      <c r="X467" s="3555"/>
      <c r="Y467" s="3555"/>
      <c r="Z467" s="3555"/>
      <c r="AA467" s="3555"/>
      <c r="AB467" s="3555"/>
      <c r="AC467" s="3555"/>
      <c r="AD467" s="3555"/>
      <c r="AE467" s="3555"/>
      <c r="AF467" s="3555"/>
      <c r="AG467" s="3555"/>
      <c r="AH467" s="3555"/>
      <c r="AI467" s="63"/>
      <c r="AJ467" s="63"/>
    </row>
    <row r="468" spans="1:36" s="165" customFormat="1" ht="13">
      <c r="E468" s="160" t="s">
        <v>862</v>
      </c>
      <c r="F468" s="165" t="str">
        <f>IF(F185=0,"",IF(ABS(IFERROR(((F373-E373)/ABS(E373)*100),0))&gt;30,(": "&amp;F4),""))</f>
        <v/>
      </c>
      <c r="G468" s="165" t="str">
        <f>IF(G185=0,"",IF(ABS(IFERROR(((G373-F373)/ABS(F373)*100),0))&gt;30,(": "&amp;G4),""))</f>
        <v/>
      </c>
      <c r="H468" s="165" t="str">
        <f>IF(H185=0,"",IF(ABS(IFERROR(((H373-G373)/ABS(G373)*100),0))&gt;30,(": "&amp;H4),""))</f>
        <v/>
      </c>
      <c r="I468" s="4204" t="str">
        <f>IF(I185=0,"",IF(ABS(IFERROR(((I373-H373)/ABS(H373)*100),0))&gt;30,(": "&amp;I4),""))</f>
        <v/>
      </c>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29"/>
      <c r="AJ468" s="29"/>
    </row>
    <row r="469" spans="1:36" s="165" customFormat="1" ht="13">
      <c r="E469" s="165" t="str">
        <f>IF(E461="OK","",E4&amp;" - ")</f>
        <v/>
      </c>
      <c r="F469" s="165" t="str">
        <f>IF(F461="OK","",F4&amp;" - ")</f>
        <v/>
      </c>
      <c r="G469" s="165" t="str">
        <f>IF(G461="OK","",G4&amp;" - ")</f>
        <v/>
      </c>
      <c r="H469" s="165" t="str">
        <f>IF(H461="OK","",H4&amp;" - ")</f>
        <v/>
      </c>
      <c r="I469" s="29" t="str">
        <f>IF(I461="OK","",I4&amp;" - ")</f>
        <v/>
      </c>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29"/>
      <c r="AJ469" s="29"/>
    </row>
    <row r="470" spans="1:36" s="165" customFormat="1" ht="13">
      <c r="E470" s="165" t="str">
        <f>(IF(AND(E461="OK",F461="OK",G461="OK",H461="OK",I461="OK"),"","Valide el Cálculo del Ebitda, para los años: "&amp;E469&amp;F469&amp;G469&amp;H469&amp;I469))</f>
        <v/>
      </c>
      <c r="I470" s="29"/>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29"/>
      <c r="AJ470" s="29"/>
    </row>
    <row r="471" spans="1:36" s="165" customFormat="1" ht="13">
      <c r="E471" s="165" t="str">
        <f>IF(E12="OK","",E4&amp;" - ")</f>
        <v/>
      </c>
      <c r="F471" s="165" t="str">
        <f>IF(F12="OK","",F4&amp;" - ")</f>
        <v/>
      </c>
      <c r="G471" s="165" t="str">
        <f>IF(G12="OK","",G4&amp;" - ")</f>
        <v/>
      </c>
      <c r="H471" s="165" t="str">
        <f>IF(H12="OK","",H4&amp;" - ")</f>
        <v/>
      </c>
      <c r="I471" s="29" t="str">
        <f>IF(I12="OK","",I4&amp;" - ")</f>
        <v/>
      </c>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29"/>
      <c r="AJ471" s="29"/>
    </row>
    <row r="472" spans="1:36" s="165" customFormat="1" ht="13">
      <c r="E472" s="165" t="str">
        <f>(IF(AND(E12="OK",F12="OK",G12="OK",H12="OK",I12="OK"),"","Valide el Costo de Ventas, para los años: "&amp;E471&amp;F471&amp;G471&amp;H471&amp;I471))</f>
        <v/>
      </c>
      <c r="I472" s="29"/>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29"/>
      <c r="AJ472" s="29"/>
    </row>
    <row r="473" spans="1:36" s="165" customFormat="1" ht="13">
      <c r="I473" s="29"/>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29"/>
      <c r="AJ473" s="29"/>
    </row>
    <row r="474" spans="1:36" s="165" customFormat="1" ht="13">
      <c r="I474" s="29"/>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29"/>
      <c r="AJ474" s="29"/>
    </row>
    <row r="475" spans="1:36" s="165" customFormat="1" ht="13">
      <c r="I475" s="29"/>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29"/>
      <c r="AJ475" s="29"/>
    </row>
    <row r="476" spans="1:36" s="165" customFormat="1" ht="13">
      <c r="I476" s="29"/>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29"/>
      <c r="AJ476" s="29"/>
    </row>
    <row r="477" spans="1:36" s="165" customFormat="1" ht="13">
      <c r="I477" s="29"/>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29"/>
      <c r="AJ477" s="29"/>
    </row>
    <row r="478" spans="1:36" s="165" customFormat="1" ht="13">
      <c r="I478" s="29"/>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29"/>
      <c r="AJ478" s="29"/>
    </row>
    <row r="479" spans="1:36" s="165" customFormat="1" ht="13">
      <c r="I479" s="29"/>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29"/>
      <c r="AJ479" s="29"/>
    </row>
    <row r="480" spans="1:36" s="165" customFormat="1" ht="13">
      <c r="I480" s="29"/>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29"/>
      <c r="AJ480" s="29"/>
    </row>
    <row r="481" spans="1:39" s="165" customFormat="1" ht="13">
      <c r="I481" s="29"/>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29"/>
      <c r="AJ481" s="29"/>
    </row>
    <row r="482" spans="1:39" s="165" customFormat="1" ht="13">
      <c r="I482" s="29"/>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29"/>
      <c r="AJ482" s="29"/>
    </row>
    <row r="483" spans="1:39" s="165" customFormat="1" ht="13">
      <c r="I483" s="29"/>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29"/>
      <c r="AJ483" s="29"/>
    </row>
    <row r="484" spans="1:39" s="165" customFormat="1" ht="13">
      <c r="I484" s="29"/>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29"/>
      <c r="AJ484" s="29"/>
    </row>
    <row r="485" spans="1:39" s="165" customFormat="1" ht="13">
      <c r="I485" s="29"/>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29"/>
      <c r="AJ485" s="29"/>
    </row>
    <row r="486" spans="1:39" s="165" customFormat="1" ht="13">
      <c r="I486" s="29"/>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29"/>
      <c r="AJ486" s="29"/>
    </row>
    <row r="487" spans="1:39" s="165" customFormat="1" ht="13">
      <c r="I487" s="29"/>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29"/>
      <c r="AJ487" s="29"/>
    </row>
    <row r="488" spans="1:39" s="165" customFormat="1" ht="13">
      <c r="I488" s="29"/>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29"/>
      <c r="AJ488" s="29"/>
    </row>
    <row r="489" spans="1:39" s="165" customFormat="1" ht="13">
      <c r="I489" s="29"/>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29"/>
      <c r="AJ489" s="29"/>
    </row>
    <row r="490" spans="1:39" s="165" customFormat="1" ht="13">
      <c r="I490" s="29"/>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29"/>
      <c r="AJ490" s="29"/>
    </row>
    <row r="491" spans="1:39" s="5" customFormat="1">
      <c r="A491" s="142"/>
      <c r="B491" s="142"/>
      <c r="C491" s="142"/>
      <c r="I491" s="29"/>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29"/>
      <c r="AJ491" s="29"/>
      <c r="AK491" s="12"/>
      <c r="AL491" s="12"/>
      <c r="AM491" s="12"/>
    </row>
    <row r="492" spans="1:39" s="5" customFormat="1">
      <c r="A492" s="142"/>
      <c r="B492" s="142"/>
      <c r="C492" s="142"/>
      <c r="I492" s="29"/>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29"/>
      <c r="AJ492" s="29"/>
      <c r="AK492" s="12"/>
      <c r="AL492" s="12"/>
      <c r="AM492" s="12"/>
    </row>
    <row r="493" spans="1:39" s="5" customFormat="1">
      <c r="A493" s="142"/>
      <c r="B493" s="142"/>
      <c r="C493" s="142"/>
      <c r="I493" s="29"/>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29"/>
      <c r="AJ493" s="29"/>
      <c r="AK493" s="12"/>
      <c r="AL493" s="12"/>
      <c r="AM493" s="12"/>
    </row>
    <row r="494" spans="1:39" s="5" customFormat="1">
      <c r="A494" s="142"/>
      <c r="B494" s="142"/>
      <c r="C494" s="142"/>
      <c r="I494" s="29"/>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29"/>
      <c r="AJ494" s="29"/>
      <c r="AK494" s="12"/>
      <c r="AL494" s="12"/>
      <c r="AM494" s="12"/>
    </row>
    <row r="495" spans="1:39" s="5" customFormat="1">
      <c r="A495" s="142"/>
      <c r="B495" s="142"/>
      <c r="C495" s="142"/>
      <c r="I495" s="29"/>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29"/>
      <c r="AJ495" s="29"/>
      <c r="AK495" s="12"/>
      <c r="AL495" s="12"/>
      <c r="AM495" s="12"/>
    </row>
    <row r="496" spans="1:39" s="5" customFormat="1">
      <c r="A496" s="142"/>
      <c r="B496" s="142"/>
      <c r="C496" s="142"/>
      <c r="I496" s="29"/>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29"/>
      <c r="AJ496" s="29"/>
      <c r="AK496" s="12"/>
      <c r="AL496" s="12"/>
      <c r="AM496" s="12"/>
    </row>
    <row r="497" spans="1:39" s="5" customFormat="1">
      <c r="A497" s="142"/>
      <c r="B497" s="142"/>
      <c r="C497" s="142"/>
      <c r="I497" s="29"/>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29"/>
      <c r="AJ497" s="29"/>
      <c r="AK497" s="12"/>
      <c r="AL497" s="12"/>
      <c r="AM497" s="12"/>
    </row>
    <row r="498" spans="1:39" s="5" customFormat="1">
      <c r="A498" s="142"/>
      <c r="B498" s="142"/>
      <c r="C498" s="142"/>
      <c r="I498" s="29"/>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29"/>
      <c r="AJ498" s="29"/>
      <c r="AK498" s="12"/>
      <c r="AL498" s="12"/>
      <c r="AM498" s="12"/>
    </row>
    <row r="499" spans="1:39">
      <c r="D499" s="5"/>
      <c r="E499" s="5"/>
      <c r="F499" s="5"/>
      <c r="G499" s="5"/>
      <c r="H499" s="5"/>
      <c r="I499" s="29"/>
      <c r="Z499" s="4"/>
      <c r="AA499" s="4"/>
      <c r="AB499" s="4"/>
    </row>
    <row r="500" spans="1:39">
      <c r="Z500" s="4"/>
      <c r="AA500" s="4"/>
      <c r="AB500" s="4"/>
    </row>
    <row r="501" spans="1:39">
      <c r="Z501" s="4"/>
      <c r="AA501" s="4"/>
      <c r="AB501" s="4"/>
    </row>
    <row r="502" spans="1:39">
      <c r="Z502" s="4"/>
      <c r="AA502" s="4"/>
      <c r="AB502" s="4"/>
    </row>
    <row r="503" spans="1:39">
      <c r="Z503" s="4"/>
      <c r="AA503" s="4"/>
      <c r="AB503" s="4"/>
    </row>
    <row r="504" spans="1:39">
      <c r="Z504" s="4"/>
      <c r="AA504" s="4"/>
      <c r="AB504" s="4"/>
    </row>
    <row r="505" spans="1:39">
      <c r="Z505" s="4"/>
      <c r="AA505" s="4"/>
      <c r="AB505" s="4"/>
    </row>
    <row r="506" spans="1:39">
      <c r="Z506" s="4"/>
      <c r="AA506" s="4"/>
      <c r="AB506" s="4"/>
    </row>
    <row r="507" spans="1:39">
      <c r="Z507" s="4"/>
      <c r="AA507" s="4"/>
      <c r="AB507" s="4"/>
    </row>
    <row r="508" spans="1:39">
      <c r="Z508" s="4"/>
      <c r="AA508" s="4"/>
      <c r="AB508" s="4"/>
    </row>
    <row r="509" spans="1:39">
      <c r="Z509" s="4"/>
      <c r="AA509" s="4"/>
      <c r="AB509" s="4"/>
    </row>
    <row r="510" spans="1:39">
      <c r="Z510" s="4"/>
      <c r="AA510" s="4"/>
      <c r="AB510" s="4"/>
    </row>
    <row r="511" spans="1:39">
      <c r="Z511" s="4"/>
      <c r="AA511" s="4"/>
      <c r="AB511" s="4"/>
    </row>
  </sheetData>
  <sheetProtection password="D5B5" sheet="1" objects="1" scenarios="1"/>
  <mergeCells count="6">
    <mergeCell ref="I461:I462"/>
    <mergeCell ref="D2:G2"/>
    <mergeCell ref="E461:E462"/>
    <mergeCell ref="F461:F462"/>
    <mergeCell ref="G461:G462"/>
    <mergeCell ref="H461:H462"/>
  </mergeCells>
  <conditionalFormatting sqref="E461 F461:I462 E10:I15">
    <cfRule type="containsText" dxfId="3" priority="15" operator="containsText" text="Descuadrado">
      <formula>NOT(ISERROR(SEARCH("Descuadrado",E10)))</formula>
    </cfRule>
    <cfRule type="containsText" dxfId="2" priority="16" stopIfTrue="1" operator="containsText" text="OK">
      <formula>NOT(ISERROR(SEARCH("OK",E10)))</formula>
    </cfRule>
  </conditionalFormatting>
  <conditionalFormatting sqref="D263">
    <cfRule type="cellIs" dxfId="1" priority="14" stopIfTrue="1" operator="equal">
      <formula>"Anticipos Recibidos de Clientes"</formula>
    </cfRule>
  </conditionalFormatting>
  <conditionalFormatting sqref="D442:D443 D429">
    <cfRule type="expression" dxfId="0" priority="13" stopIfTrue="1">
      <formula>$D$261="Anticipos Recibidos de Clientes"</formula>
    </cfRule>
  </conditionalFormatting>
  <dataValidations disablePrompts="1" count="26">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8">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8">
      <formula1>-99999999999</formula1>
      <formula2>999999999999</formula2>
    </dataValidation>
    <dataValidation type="decimal" operator="greaterThan" allowBlank="1" showInputMessage="1" showErrorMessage="1" error="Debe digitar un número válido" sqref="F455:I455">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87:I387 E453 E385:E387 E391:E402 E408:E419 E426:E437 E440:E451 E457 E376:E379 E372 E367:E370 E364:E365 E357 E351:E355 E342:E348 E334:E336 E332 E323:E327 E304:E320 E275:E295 E271:E272 E262:E266 E254:E257 E243:E251 E235:E240 E223:E226 E206:E219 E201:E203 E196:E198 E187:E190 E183 E179:E181 E172:E177 E168">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8:I388">
      <formula1>0</formula1>
      <formula2>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6:I456 F391:I454 E403:E407 E420:E425 E438:E439 E452 E454 F269:I270 F120:I121">
      <formula1>0</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H385:H388 F385:G387 F373:H380 F339:H350">
      <formula1>0</formula1>
      <formula2>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BGH422:BGN425 E382:H384 F457:J457 JB422:JH425 AWL422:AWR425 AMP422:AMV425 ACT422:ACZ425 SX422:TD425 WVN456:WVT457 WLR456:WLX457 WBV456:WCB457 VRZ456:VSF457 VID456:VIJ457 UYH456:UYN457 UOL456:UOR457 UEP456:UEV457 TUT456:TUZ457 TKX456:TLD457 TBB456:TBH457 SRF456:SRL457 SHJ456:SHP457 RXN456:RXT457 RNR456:RNX457 RDV456:REB457 QTZ456:QUF457 QKD456:QKJ457 QAH456:QAN457 PQL456:PQR457 PGP456:PGV457 OWT456:OWZ457 OMX456:OND457 ODB456:ODH457 NTF456:NTL457 NJJ456:NJP457 MZN456:MZT457 MPR456:MPX457 MFV456:MGB457 LVZ456:LWF457 LMD456:LMJ457 LCH456:LCN457 KSL456:KSR457 KIP456:KIV457 JYT456:JYZ457 JOX456:JPD457 JFB456:JFH457 IVF456:IVL457 ILJ456:ILP457 IBN456:IBT457 HRR456:HRX457 HHV456:HIB457 GXZ456:GYF457 GOD456:GOJ457 GEH456:GEN457 FUL456:FUR457 FKP456:FKV457 FAT456:FAZ457 EQX456:ERD457 EHB456:EHH457 DXF456:DXL457 DNJ456:DNP457 DDN456:DDT457 CTR456:CTX457 CJV456:CKB457 BZZ456:CAF457 BQD456:BQJ457 BGH456:BGN457 AWL456:AWR457 AMP456:AMV457 ACT456:ACZ457 SX456:TD457 JB456:JH457 WVN447:WVT449 WLR447:WLX449 WBV447:WCB449 VRZ447:VSF449 VID447:VIJ449 UYH447:UYN449 UOL447:UOR449 UEP447:UEV449 TUT447:TUZ449 TKX447:TLD449 TBB447:TBH449 SRF447:SRL449 SHJ447:SHP449 RXN447:RXT449 RNR447:RNX449 RDV447:REB449 QTZ447:QUF449 QKD447:QKJ449 QAH447:QAN449 PQL447:PQR449 PGP447:PGV449 OWT447:OWZ449 OMX447:OND449 ODB447:ODH449 NTF447:NTL449 NJJ447:NJP449 MZN447:MZT449 MPR447:MPX449 MFV447:MGB449 LVZ447:LWF449 LMD447:LMJ449 LCH447:LCN449 KSL447:KSR449 KIP447:KIV449 JYT447:JYZ449 JOX447:JPD449 JFB447:JFH449 IVF447:IVL449 ILJ447:ILP449 IBN447:IBT449 HRR447:HRX449 HHV447:HIB449 GXZ447:GYF449 GOD447:GOJ449 GEH447:GEN449 FUL447:FUR449 FKP447:FKV449 FAT447:FAZ449 EQX447:ERD449 EHB447:EHH449 DXF447:DXL449 DNJ447:DNP449 DDN447:DDT449 CTR447:CTX449 CJV447:CKB449 BZZ447:CAF449 BQD447:BQJ449 BGH447:BGN449 AWL447:AWR449 AMP447:AMV449 ACT447:ACZ449 SX447:TD449 JB447:JH449 WVN444:WVT444 WLR444:WLX444 WBV444:WCB444 VRZ444:VSF444 VID444:VIJ444 UYH444:UYN444 UOL444:UOR444 UEP444:UEV444 TUT444:TUZ444 TKX444:TLD444 TBB444:TBH444 SRF444:SRL444 SHJ444:SHP444 RXN444:RXT444 RNR444:RNX444 RDV444:REB444 QTZ444:QUF444 QKD444:QKJ444 QAH444:QAN444 PQL444:PQR444 PGP444:PGV444 OWT444:OWZ444 OMX444:OND444 ODB444:ODH444 NTF444:NTL444 NJJ444:NJP444 MZN444:MZT444 MPR444:MPX444 MFV444:MGB444 LVZ444:LWF444 LMD444:LMJ444 LCH444:LCN444 KSL444:KSR444 KIP444:KIV444 JYT444:JYZ444 JOX444:JPD444 JFB444:JFH444 IVF444:IVL444 ILJ444:ILP444 IBN444:IBT444 HRR444:HRX444 HHV444:HIB444 GXZ444:GYF444 GOD444:GOJ444 GEH444:GEN444 FUL444:FUR444 FKP444:FKV444 FAT444:FAZ444 EQX444:ERD444 EHB444:EHH444 DXF444:DXL444 DNJ444:DNP444 DDN444:DDT444 CTR444:CTX444 CJV444:CKB444 BZZ444:CAF444 BQD444:BQJ444 BGH444:BGN444 AWL444:AWR444 AMP444:AMV444 ACT444:ACZ444 SX444:TD444 JB444:JH444 WVN435:WVT435 WLR435:WLX435 WBV435:WCB435 VRZ435:VSF435 VID435:VIJ435 UYH435:UYN435 UOL435:UOR435 UEP435:UEV435 TUT435:TUZ435 TKX435:TLD435 TBB435:TBH435 SRF435:SRL435 SHJ435:SHP435 RXN435:RXT435 RNR435:RNX435 RDV435:REB435 QTZ435:QUF435 QKD435:QKJ435 QAH435:QAN435 PQL435:PQR435 PGP435:PGV435 OWT435:OWZ435 OMX435:OND435 ODB435:ODH435 NTF435:NTL435 NJJ435:NJP435 MZN435:MZT435 MPR435:MPX435 MFV435:MGB435 LVZ435:LWF435 LMD435:LMJ435 LCH435:LCN435 KSL435:KSR435 KIP435:KIV435 JYT435:JYZ435 JOX435:JPD435 JFB435:JFH435 IVF435:IVL435 ILJ435:ILP435 IBN435:IBT435 HRR435:HRX435 HHV435:HIB435 GXZ435:GYF435 GOD435:GOJ435 GEH435:GEN435 FUL435:FUR435 FKP435:FKV435 FAT435:FAZ435 EQX435:ERD435 EHB435:EHH435 DXF435:DXL435 DNJ435:DNP435 DDN435:DDT435 CTR435:CTX435 CJV435:CKB435 BZZ435:CAF435 BQD435:BQJ435 BGH435:BGN435 AWL435:AWR435 AMP435:AMV435 ACT435:ACZ435 SX435:TD435 JB435:JH435 WVN403:WVT404 WLR403:WLX404 WBV403:WCB404 VRZ403:VSF404 VID403:VIJ404 UYH403:UYN404 UOL403:UOR404 UEP403:UEV404 TUT403:TUZ404 TKX403:TLD404 TBB403:TBH404 SRF403:SRL404 SHJ403:SHP404 RXN403:RXT404 RNR403:RNX404 RDV403:REB404 QTZ403:QUF404 QKD403:QKJ404 QAH403:QAN404 PQL403:PQR404 PGP403:PGV404 OWT403:OWZ404 OMX403:OND404 ODB403:ODH404 NTF403:NTL404 NJJ403:NJP404 MZN403:MZT404 MPR403:MPX404 MFV403:MGB404 LVZ403:LWF404 LMD403:LMJ404 LCH403:LCN404 KSL403:KSR404 KIP403:KIV404 JYT403:JYZ404 JOX403:JPD404 JFB403:JFH404 IVF403:IVL404 ILJ403:ILP404 IBN403:IBT404 HRR403:HRX404 HHV403:HIB404 GXZ403:GYF404 GOD403:GOJ404 GEH403:GEN404 FUL403:FUR404 FKP403:FKV404 FAT403:FAZ404 EQX403:ERD404 EHB403:EHH404 DXF403:DXL404 DNJ403:DNP404 DDN403:DDT404 CTR403:CTX404 CJV403:CKB404 BZZ403:CAF404 BQD403:BQJ404 BGH403:BGN404 AWL403:AWR404 AMP403:AMV404 ACT403:ACZ404 SX403:TD404 JB403:JH404 WVN410:WVT410 WLR410:WLX410 WBV410:WCB410 VRZ410:VSF410 VID410:VIJ410 UYH410:UYN410 UOL410:UOR410 UEP410:UEV410 TUT410:TUZ410 TKX410:TLD410 TBB410:TBH410 SRF410:SRL410 SHJ410:SHP410 RXN410:RXT410 RNR410:RNX410 RDV410:REB410 QTZ410:QUF410 QKD410:QKJ410 QAH410:QAN410 PQL410:PQR410 PGP410:PGV410 OWT410:OWZ410 OMX410:OND410 ODB410:ODH410 NTF410:NTL410 NJJ410:NJP410 MZN410:MZT410 MPR410:MPX410 MFV410:MGB410 LVZ410:LWF410 LMD410:LMJ410 LCH410:LCN410 KSL410:KSR410 KIP410:KIV410 JYT410:JYZ410 JOX410:JPD410 JFB410:JFH410 IVF410:IVL410 ILJ410:ILP410 IBN410:IBT410 HRR410:HRX410 HHV410:HIB410 GXZ410:GYF410 GOD410:GOJ410 GEH410:GEN410 FUL410:FUR410 FKP410:FKV410 FAT410:FAZ410 EQX410:ERD410 EHB410:EHH410 DXF410:DXL410 DNJ410:DNP410 DDN410:DDT410 CTR410:CTX410 CJV410:CKB410 BZZ410:CAF410 BQD410:BQJ410 BGH410:BGN410 AWL410:AWR410 AMP410:AMV410 ACT410:ACZ410 SX410:TD410 JB410:JH410 WVN418:WVT418 WLR418:WLX418 WBV418:WCB418 VRZ418:VSF418 VID418:VIJ418 UYH418:UYN418 UOL418:UOR418 UEP418:UEV418 TUT418:TUZ418 TKX418:TLD418 TBB418:TBH418 SRF418:SRL418 SHJ418:SHP418 RXN418:RXT418 RNR418:RNX418 RDV418:REB418 QTZ418:QUF418 QKD418:QKJ418 QAH418:QAN418 PQL418:PQR418 PGP418:PGV418 OWT418:OWZ418 OMX418:OND418 ODB418:ODH418 NTF418:NTL418 NJJ418:NJP418 MZN418:MZT418 MPR418:MPX418 MFV418:MGB418 LVZ418:LWF418 LMD418:LMJ418 LCH418:LCN418 KSL418:KSR418 KIP418:KIV418 JYT418:JYZ418 JOX418:JPD418 JFB418:JFH418 IVF418:IVL418 ILJ418:ILP418 IBN418:IBT418 HRR418:HRX418 HHV418:HIB418 GXZ418:GYF418 GOD418:GOJ418 GEH418:GEN418 FUL418:FUR418 FKP418:FKV418 FAT418:FAZ418 EQX418:ERD418 EHB418:EHH418 DXF418:DXL418 DNJ418:DNP418 DDN418:DDT418 CTR418:CTX418 CJV418:CKB418 BZZ418:CAF418 BQD418:BQJ418 BGH418:BGN418 AWL418:AWR418 AMP418:AMV418 ACT418:ACZ418 SX418:TD418 JB418:JH418 WVN422:WVT425 WLR422:WLX425 WBV422:WCB425 VRZ422:VSF425 VID422:VIJ425 UYH422:UYN425 UOL422:UOR425 UEP422:UEV425 TUT422:TUZ425 TKX422:TLD425 TBB422:TBH425 SRF422:SRL425 SHJ422:SHP425 RXN422:RXT425 RNR422:RNX425 RDV422:REB425 QTZ422:QUF425 QKD422:QKJ425 QAH422:QAN425 PQL422:PQR425 PGP422:PGV425 OWT422:OWZ425 OMX422:OND425 ODB422:ODH425 NTF422:NTL425 NJJ422:NJP425 MZN422:MZT425 MPR422:MPX425 MFV422:MGB425 LVZ422:LWF425 LMD422:LMJ425 LCH422:LCN425 KSL422:KSR425 KIP422:KIV425 JYT422:JYZ425 JOX422:JPD425 JFB422:JFH425 IVF422:IVL425 ILJ422:ILP425 IBN422:IBT425 HRR422:HRX425 HHV422:HIB425 GXZ422:GYF425 GOD422:GOJ425 GEH422:GEN425 FUL422:FUR425 FKP422:FKV425 FAT422:FAZ425 EQX422:ERD425 EHB422:EHH425 DXF422:DXL425 DNJ422:DNP425 DDN422:DDT425 CTR422:CTX425 CJV422:CKB425 BZZ422:CAF425 BQD422:BQJ425 E389:I390 E455 E388 K456:K457 K422:K425 K447:K449 K444 K435 K403:K404 K410 K418 K22:K396 E337:E341 E333 E328:E331 E321:E322 E296:E303 E273:E274 E267:E270 E258:E261 E252:E253 E241:E242 E227:E234 E220:E222 E204:E205 E199:E200 E191:E195 E184:E186 E182 E178 E169:E171 E161:E162 E152:E154 E140:E143 E119:E121 E116:E117 E96:E99 E89 E94 E91:E92 E82:E84 E77:E80 E75 E70:E72 E65:E68 E55:E57 E39:E41 E32:E34 E23:E24 F169:I169 F160:I160 F152:I152 F141:I141 F119:I119 F82:I82 F80:I80 F70:I70 F68:I68 F55:I55 F32:I32 F381:H381 E371 E380:E381 AWL22:AWR396 AMP22:AMV396 ACT22:ACZ396 SX22:TD396 JB22:JH396 I362:I386 WVN22:WVT396 I339:I358 WLR22:WLX396 WBV22:WCB396 VRZ22:VSF396 VID22:VIJ396 UYH22:UYN396 UOL22:UOR396 UEP22:UEV396 TUT22:TUZ396 TKX22:TLD396 TBB22:TBH396 SRF22:SRL396 SHJ22:SHP396 RXN22:RXT396 RNR22:RNX396 RDV22:REB396 QTZ22:QUF396 QKD22:QKJ396 QAH22:QAN396 PQL22:PQR396 PGP22:PGV396 OWT22:OWZ396 OMX22:OND396 ODB22:ODH396 NTF22:NTL396 NJJ22:NJP396 MZN22:MZT396 MPR22:MPX396 MFV22:MGB396 LVZ22:LWF396 LMD22:LMJ396 LCH22:LCN396 KSL22:KSR396 KIP22:KIV396 JYT22:JYZ396 JOX22:JPD396 JFB22:JFH396 IVF22:IVL396 ILJ22:ILP396 IBN22:IBT396 HRR22:HRX396 HHV22:HIB396 GXZ22:GYF396 GOD22:GOJ396 GEH22:GEN396 FUL22:FUR396 FKP22:FKV396 FAT22:FAZ396 EQX22:ERD396 EHB22:EHH396 DXF22:DXL396 DNJ22:DNP396 DDN22:DDT396 CTR22:CTX396 CJV22:CKB396 BZZ22:CAF396 BQD22:BQJ396 E373:E375 E366 E362:E363 E358 E356 E349:E350 BGH22:BGN396">
      <formula1>-999999999999</formula1>
      <formula2>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CJV426:CKB434 FUL426:FUR434 FKP426:FKV434 FAT426:FAZ434 EQX426:ERD434 EHB426:EHH434 DXF426:DXL434 DNJ426:DNP434 DDN426:DDT434 BZZ426:CAF434 BQD426:BQJ434 BGH426:BGN434 AWL426:AWR434 AMP426:AMV434 ACT426:ACZ434 SX426:TD434 CTR426:CTX434 JB426:JH434 WLR450:WLX455 WBV450:WCB455 VRZ450:VSF455 VID450:VIJ455 UYH450:UYN455 UOL450:UOR455 UEP450:UEV455 TUT450:TUZ455 TKX450:TLD455 TBB450:TBH455 SRF450:SRL455 SHJ450:SHP455 RXN450:RXT455 RNR450:RNX455 RDV450:REB455 QTZ450:QUF455 QKD450:QKJ455 QAH450:QAN455 PQL450:PQR455 PGP450:PGV455 OWT450:OWZ455 OMX450:OND455 ODB450:ODH455 NTF450:NTL455 NJJ450:NJP455 MZN450:MZT455 MPR450:MPX455 MFV450:MGB455 LVZ450:LWF455 LMD450:LMJ455 LCH450:LCN455 KSL450:KSR455 KIP450:KIV455 JYT450:JYZ455 JOX450:JPD455 JFB450:JFH455 IVF450:IVL455 ILJ450:ILP455 IBN450:IBT455 HRR450:HRX455 HHV450:HIB455 GXZ450:GYF455 GOD450:GOJ455 GEH450:GEN455 FUL450:FUR455 FKP450:FKV455 FAT450:FAZ455 EQX450:ERD455 EHB450:EHH455 DXF450:DXL455 DNJ450:DNP455 DDN450:DDT455 CTR450:CTX455 CJV450:CKB455 BZZ450:CAF455 BQD450:BQJ455 BGH450:BGN455 AWL450:AWR455 AMP450:AMV455 ACT450:ACZ455 SX450:TD455 JB450:JH455 WVN450:WVT455 WVN445:WVT446 WLR445:WLX446 WBV445:WCB446 VRZ445:VSF446 VID445:VIJ446 UYH445:UYN446 UOL445:UOR446 UEP445:UEV446 TUT445:TUZ446 TKX445:TLD446 TBB445:TBH446 SRF445:SRL446 SHJ445:SHP446 RXN445:RXT446 RNR445:RNX446 RDV445:REB446 QTZ445:QUF446 QKD445:QKJ446 QAH445:QAN446 PQL445:PQR446 PGP445:PGV446 OWT445:OWZ446 OMX445:OND446 ODB445:ODH446 NTF445:NTL446 NJJ445:NJP446 MZN445:MZT446 MPR445:MPX446 MFV445:MGB446 LVZ445:LWF446 LMD445:LMJ446 LCH445:LCN446 KSL445:KSR446 KIP445:KIV446 JYT445:JYZ446 JOX445:JPD446 JFB445:JFH446 IVF445:IVL446 ILJ445:ILP446 IBN445:IBT446 HRR445:HRX446 HHV445:HIB446 GXZ445:GYF446 GOD445:GOJ446 GEH445:GEN446 FUL445:FUR446 FKP445:FKV446 FAT445:FAZ446 EQX445:ERD446 EHB445:EHH446 DXF445:DXL446 DNJ445:DNP446 DDN445:DDT446 CTR445:CTX446 CJV445:CKB446 BZZ445:CAF446 BQD445:BQJ446 BGH445:BGN446 AWL445:AWR446 AMP445:AMV446 ACT445:ACZ446 SX445:TD446 JB445:JH446 WVN436:WVT443 WLR436:WLX443 WBV436:WCB443 VRZ436:VSF443 VID436:VIJ443 UYH436:UYN443 UOL436:UOR443 UEP436:UEV443 TUT436:TUZ443 TKX436:TLD443 TBB436:TBH443 SRF436:SRL443 SHJ436:SHP443 RXN436:RXT443 RNR436:RNX443 RDV436:REB443 QTZ436:QUF443 QKD436:QKJ443 QAH436:QAN443 PQL436:PQR443 PGP436:PGV443 OWT436:OWZ443 OMX436:OND443 ODB436:ODH443 NTF436:NTL443 NJJ436:NJP443 MZN436:MZT443 MPR436:MPX443 MFV436:MGB443 LVZ436:LWF443 LMD436:LMJ443 LCH436:LCN443 KSL436:KSR443 KIP436:KIV443 JYT436:JYZ443 JOX436:JPD443 JFB436:JFH443 IVF436:IVL443 ILJ436:ILP443 IBN436:IBT443 HRR436:HRX443 HHV436:HIB443 GXZ436:GYF443 GOD436:GOJ443 GEH436:GEN443 FUL436:FUR443 FKP436:FKV443 FAT436:FAZ443 EQX436:ERD443 EHB436:EHH443 DXF436:DXL443 DNJ436:DNP443 DDN436:DDT443 CTR436:CTX443 CJV436:CKB443 BZZ436:CAF443 BQD436:BQJ443 BGH436:BGN443 AWL436:AWR443 AMP436:AMV443 ACT436:ACZ443 SX436:TD443 JB436:JH443 WVN411:WVT417 WLR411:WLX417 WBV411:WCB417 VRZ411:VSF417 VID411:VIJ417 UYH411:UYN417 UOL411:UOR417 UEP411:UEV417 TUT411:TUZ417 TKX411:TLD417 TBB411:TBH417 SRF411:SRL417 SHJ411:SHP417 RXN411:RXT417 RNR411:RNX417 RDV411:REB417 QTZ411:QUF417 QKD411:QKJ417 QAH411:QAN417 PQL411:PQR417 PGP411:PGV417 OWT411:OWZ417 OMX411:OND417 ODB411:ODH417 NTF411:NTL417 NJJ411:NJP417 MZN411:MZT417 MPR411:MPX417 MFV411:MGB417 LVZ411:LWF417 LMD411:LMJ417 LCH411:LCN417 KSL411:KSR417 KIP411:KIV417 JYT411:JYZ417 JOX411:JPD417 JFB411:JFH417 IVF411:IVL417 ILJ411:ILP417 IBN411:IBT417 HRR411:HRX417 HHV411:HIB417 GXZ411:GYF417 GOD411:GOJ417 GEH411:GEN417 FUL411:FUR417 FKP411:FKV417 FAT411:FAZ417 EQX411:ERD417 EHB411:EHH417 DXF411:DXL417 DNJ411:DNP417 DDN411:DDT417 CTR411:CTX417 CJV411:CKB417 BZZ411:CAF417 BQD411:BQJ417 BGH411:BGN417 AWL411:AWR417 AMP411:AMV417 ACT411:ACZ417 SX411:TD417 JB411:JH417 WVN397:WVT402 WLR397:WLX402 WBV397:WCB402 VRZ397:VSF402 VID397:VIJ402 UYH397:UYN402 UOL397:UOR402 UEP397:UEV402 TUT397:TUZ402 TKX397:TLD402 TBB397:TBH402 SRF397:SRL402 SHJ397:SHP402 RXN397:RXT402 RNR397:RNX402 RDV397:REB402 QTZ397:QUF402 QKD397:QKJ402 QAH397:QAN402 PQL397:PQR402 PGP397:PGV402 OWT397:OWZ402 OMX397:OND402 ODB397:ODH402 NTF397:NTL402 NJJ397:NJP402 MZN397:MZT402 MPR397:MPX402 MFV397:MGB402 LVZ397:LWF402 LMD397:LMJ402 LCH397:LCN402 KSL397:KSR402 KIP397:KIV402 JYT397:JYZ402 JOX397:JPD402 JFB397:JFH402 IVF397:IVL402 ILJ397:ILP402 IBN397:IBT402 HRR397:HRX402 HHV397:HIB402 GXZ397:GYF402 GOD397:GOJ402 GEH397:GEN402 FUL397:FUR402 FKP397:FKV402 FAT397:FAZ402 EQX397:ERD402 EHB397:EHH402 DXF397:DXL402 DNJ397:DNP402 DDN397:DDT402 CTR397:CTX402 CJV397:CKB402 BZZ397:CAF402 BQD397:BQJ402 BGH397:BGN402 AWL397:AWR402 AMP397:AMV402 ACT397:ACZ402 SX397:TD402 JB397:JH402 WVN405:WVT409 WLR405:WLX409 WBV405:WCB409 VRZ405:VSF409 VID405:VIJ409 UYH405:UYN409 UOL405:UOR409 UEP405:UEV409 TUT405:TUZ409 TKX405:TLD409 TBB405:TBH409 SRF405:SRL409 SHJ405:SHP409 RXN405:RXT409 RNR405:RNX409 RDV405:REB409 QTZ405:QUF409 QKD405:QKJ409 QAH405:QAN409 PQL405:PQR409 PGP405:PGV409 OWT405:OWZ409 OMX405:OND409 ODB405:ODH409 NTF405:NTL409 NJJ405:NJP409 MZN405:MZT409 MPR405:MPX409 MFV405:MGB409 LVZ405:LWF409 LMD405:LMJ409 LCH405:LCN409 KSL405:KSR409 KIP405:KIV409 JYT405:JYZ409 JOX405:JPD409 JFB405:JFH409 IVF405:IVL409 ILJ405:ILP409 IBN405:IBT409 HRR405:HRX409 HHV405:HIB409 GXZ405:GYF409 GOD405:GOJ409 GEH405:GEN409 FUL405:FUR409 FKP405:FKV409 FAT405:FAZ409 EQX405:ERD409 EHB405:EHH409 DXF405:DXL409 DNJ405:DNP409 DDN405:DDT409 CTR405:CTX409 CJV405:CKB409 BZZ405:CAF409 BQD405:BQJ409 BGH405:BGN409 AWL405:AWR409 AMP405:AMV409 ACT405:ACZ409 SX405:TD409 JB405:JH409 WVN419:WVT421 WLR419:WLX421 WBV419:WCB421 VRZ419:VSF421 VID419:VIJ421 UYH419:UYN421 UOL419:UOR421 UEP419:UEV421 TUT419:TUZ421 TKX419:TLD421 TBB419:TBH421 SRF419:SRL421 SHJ419:SHP421 RXN419:RXT421 RNR419:RNX421 RDV419:REB421 QTZ419:QUF421 QKD419:QKJ421 QAH419:QAN421 PQL419:PQR421 PGP419:PGV421 OWT419:OWZ421 OMX419:OND421 ODB419:ODH421 NTF419:NTL421 NJJ419:NJP421 MZN419:MZT421 MPR419:MPX421 MFV419:MGB421 LVZ419:LWF421 LMD419:LMJ421 LCH419:LCN421 KSL419:KSR421 KIP419:KIV421 JYT419:JYZ421 JOX419:JPD421 JFB419:JFH421 IVF419:IVL421 ILJ419:ILP421 IBN419:IBT421 HRR419:HRX421 HHV419:HIB421 GXZ419:GYF421 GOD419:GOJ421 GEH419:GEN421 FUL419:FUR421 FKP419:FKV421 FAT419:FAZ421 EQX419:ERD421 EHB419:EHH421 DXF419:DXL421 DNJ419:DNP421 DDN419:DDT421 CTR419:CTX421 CJV419:CKB421 BZZ419:CAF421 BQD419:BQJ421 BGH419:BGN421 AWL419:AWR421 AMP419:AMV421 ACT419:ACZ421 SX419:TD421 JB419:JH421 WVN426:WVT434 WLR426:WLX434 WBV426:WCB434 VRZ426:VSF434 VID426:VIJ434 UYH426:UYN434 UOL426:UOR434 UEP426:UEV434 TUT426:TUZ434 TKX426:TLD434 TBB426:TBH434 SRF426:SRL434 SHJ426:SHP434 RXN426:RXT434 RNR426:RNX434 RDV426:REB434 QTZ426:QUF434 QKD426:QKJ434 QAH426:QAN434 PQL426:PQR434 PGP426:PGV434 OWT426:OWZ434 OMX426:OND434 ODB426:ODH434 NTF426:NTL434 NJJ426:NJP434 MZN426:MZT434 MPR426:MPX434 MFV426:MGB434 LVZ426:LWF434 LMD426:LMJ434 LCH426:LCN434 KSL426:KSR434 KIP426:KIV434 JYT426:JYZ434 JOX426:JPD434 JFB426:JFH434 IVF426:IVL434 ILJ426:ILP434 IBN426:IBT434 HRR426:HRX434 HHV426:HIB434 GXZ426:GYF434 GOD426:GOJ434 GEH426:GEN434 K426:K434 K450:K455 K445:K446 K436:K443 K411:K417 K397:K402 K405:K409 K419:K421 K19:K21 UOL18:UOR21 UYH18:UYN21 VID18:VIJ21 VRZ18:VSF21 WBV18:WCB21 WLR18:WLX21 WVN18:WVT21 JB18:JH21 SX18:TD21 ACT18:ACZ21 AMP18:AMV21 AWL18:AWR21 BGH18:BGN21 BQD18:BQJ21 BZZ18:CAF21 CJV18:CKB21 CTR18:CTX21 DDN18:DDT21 DNJ18:DNP21 DXF18:DXL21 EHB18:EHH21 EQX18:ERD21 FAT18:FAZ21 FKP18:FKV21 FUL18:FUR21 GEH18:GEN21 GOD18:GOJ21 GXZ18:GYF21 HHV18:HIB21 HRR18:HRX21 IBN18:IBT21 ILJ18:ILP21 IVF18:IVL21 JFB18:JFH21 JOX18:JPD21 JYT18:JYZ21 KIP18:KIV21 KSL18:KSR21 LCH18:LCN21 LMD18:LMJ21 LVZ18:LWF21 MFV18:MGB21 MPR18:MPX21 MZN18:MZT21 NJJ18:NJP21 NTF18:NTL21 ODB18:ODH21 OMX18:OND21 OWT18:OWZ21 PGP18:PGV21 PQL18:PQR21 QAH18:QAN21 QKD18:QKJ21 QTZ18:QUF21 RDV18:REB21 RNR18:RNX21 RXN18:RXT21 SHJ18:SHP21 SRF18:SRL21 TBB18:TBH21 TKX18:TLD21 TUT18:TUZ21 UEP18:UEV21">
      <formula1>-999999999999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
      <formula1>-999999999999</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7:I167">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8:E22 E95:I95 E93 E85:E88 E81 E76 E73:E74 E69 E58:E64 E42:E54 E25:E31 E35:E38">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71:I338 F168:I168 F161:I166 F170:I268 F153:I159 F142:I151 F122:I14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8:I31 F96:I115 F83:I94 E163:E166 E155:E159 E144:E151 E122:E139 E118:I118 E100:E115 E90 F81:I81 F71:I79 F69:I69 F56:I67 F33:I54">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16:I117">
      <formula1>-99999999999999</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51:H358 F362:H372">
      <formula1>-999999999999999</formula1>
      <formula2>999999999999</formula2>
    </dataValidation>
    <dataValidation type="list" allowBlank="1" showInputMessage="1" showErrorMessage="1" sqref="H17 WLU16:WLU17 WBY16:WBY17 VSC16:VSC17 VIG16:VIG17 UYK16:UYK17 UOO16:UOO17 UES16:UES17 TUW16:TUW17 TLA16:TLA17 TBE16:TBE17 SRI16:SRI17 SHM16:SHM17 RXQ16:RXQ17 RNU16:RNU17 RDY16:RDY17 QUC16:QUC17 QKG16:QKG17 QAK16:QAK17 PQO16:PQO17 PGS16:PGS17 OWW16:OWW17 ONA16:ONA17 ODE16:ODE17 NTI16:NTI17 NJM16:NJM17 MZQ16:MZQ17 MPU16:MPU17 MFY16:MFY17 LWC16:LWC17 LMG16:LMG17 LCK16:LCK17 KSO16:KSO17 KIS16:KIS17 JYW16:JYW17 JPA16:JPA17 JFE16:JFE17 IVI16:IVI17 ILM16:ILM17 IBQ16:IBQ17 HRU16:HRU17 HHY16:HHY17 GYC16:GYC17 GOG16:GOG17 GEK16:GEK17 FUO16:FUO17 FKS16:FKS17 FAW16:FAW17 ERA16:ERA17 EHE16:EHE17 DXI16:DXI17 DNM16:DNM17 DDQ16:DDQ17 CTU16:CTU17 CJY16:CJY17 CAC16:CAC17 BQG16:BQG17 BGK16:BGK17 AWO16:AWO17 AMS16:AMS17 ACW16:ACW17 TA16:TA17 TA8:TA9 ACW8:ACW9 AMS8:AMS9 AWO8:AWO9 BGK8:BGK9 BQG8:BQG9 CAC8:CAC9 CJY8:CJY9 CTU8:CTU9 DDQ8:DDQ9 DNM8:DNM9 DXI8:DXI9 EHE8:EHE9 ERA8:ERA9 FAW8:FAW9 FKS8:FKS9 FUO8:FUO9 GEK8:GEK9 GOG8:GOG9 GYC8:GYC9 HHY8:HHY9 HRU8:HRU9 IBQ8:IBQ9 ILM8:ILM9 IVI8:IVI9 JFE8:JFE9 JPA8:JPA9 JYW8:JYW9 KIS8:KIS9 KSO8:KSO9 LCK8:LCK9 LMG8:LMG9 LWC8:LWC9 MFY8:MFY9 MPU8:MPU9 MZQ8:MZQ9 NJM8:NJM9 NTI8:NTI9 ODE8:ODE9 ONA8:ONA9 OWW8:OWW9 PGS8:PGS9 PQO8:PQO9 QAK8:QAK9 QKG8:QKG9 QUC8:QUC9 RDY8:RDY9 RNU8:RNU9 RXQ8:RXQ9 SHM8:SHM9 SRI8:SRI9 TBE8:TBE9 TLA8:TLA9 TUW8:TUW9 UES8:UES9 UOO8:UOO9 UYK8:UYK9 VIG8:VIG9 VSC8:VSC9 WBY8:WBY9 WLU8:WLU9 JE8:JE9 WVQ8:WVQ9 WVQ16:WVQ17 JE16:JE17">
      <formula1>$N$19:$N$395</formula1>
    </dataValidation>
    <dataValidation type="list" allowBlank="1" showInputMessage="1" showErrorMessage="1" errorTitle="Digitación Errada" error="Debe ingresar el Año con información Financiera a cierre de Diciembre  más reciente." sqref="H4">
      <formula1>$M$20:$M$24</formula1>
    </dataValidation>
    <dataValidation allowBlank="1" showInputMessage="1" showErrorMessage="1" sqref="F6:G6"/>
    <dataValidation type="list" allowBlank="1" showInputMessage="1" showErrorMessage="1" errorTitle="Digitación Errada" error="Debe ingresar el Año con información Financiera a cierre de Diciembre  Más reciente." sqref="G4">
      <formula1>$M$20:$M$24</formula1>
    </dataValidation>
    <dataValidation type="list" allowBlank="1" showInputMessage="1" showErrorMessage="1" sqref="E8:I8">
      <formula1>$O$20:$O$31</formula1>
    </dataValidation>
    <dataValidation type="list" allowBlank="1" showInputMessage="1" showErrorMessage="1" sqref="H6:I6">
      <formula1>$P$20:$P$30</formula1>
    </dataValidation>
    <dataValidation type="whole" allowBlank="1" showInputMessage="1" showErrorMessage="1" errorTitle="Digitación Errada" error="Debe ingresar el Año con información Financiera a cierre de Diciembre  Más reciente." sqref="WVP4:WVP5 JD4:JD5 WLT4:WLT5 WBX4:WBX5 VSB4:VSB5 VIF4:VIF5 UYJ4:UYJ5 UON4:UON5 UER4:UER5 TUV4:TUV5 TKZ4:TKZ5 TBD4:TBD5 SRH4:SRH5 SHL4:SHL5 RXP4:RXP5 RNT4:RNT5 RDX4:RDX5 QUB4:QUB5 QKF4:QKF5 QAJ4:QAJ5 PQN4:PQN5 PGR4:PGR5 OWV4:OWV5 OMZ4:OMZ5 ODD4:ODD5 NTH4:NTH5 NJL4:NJL5 MZP4:MZP5 MPT4:MPT5 MFX4:MFX5 LWB4:LWB5 LMF4:LMF5 LCJ4:LCJ5 KSN4:KSN5 KIR4:KIR5 JYV4:JYV5 JOZ4:JOZ5 JFD4:JFD5 IVH4:IVH5 ILL4:ILL5 IBP4:IBP5 HRT4:HRT5 HHX4:HHX5 GYB4:GYB5 GOF4:GOF5 GEJ4:GEJ5 FUN4:FUN5 FKR4:FKR5 FAV4:FAV5 EQZ4:EQZ5 EHD4:EHD5 DXH4:DXH5 DNL4:DNL5 DDP4:DDP5 CTT4:CTT5 CJX4:CJX5 CAB4:CAB5 BQF4:BQF5 BGJ4:BGJ5 AWN4:AWN5 AMR4:AMR5 ACV4:ACV5 SZ4:SZ5">
      <formula1>2009</formula1>
      <formula2>2020</formula2>
    </dataValidation>
    <dataValidation type="list" allowBlank="1" showInputMessage="1" showErrorMessage="1" sqref="WVQ4:WVR5 JE4:JF5 TA4:TB5 ACW4:ACX5 AMS4:AMT5 AWO4:AWP5 BGK4:BGL5 BQG4:BQH5 CAC4:CAD5 CJY4:CJZ5 CTU4:CTV5 DDQ4:DDR5 DNM4:DNN5 DXI4:DXJ5 EHE4:EHF5 ERA4:ERB5 FAW4:FAX5 FKS4:FKT5 FUO4:FUP5 GEK4:GEL5 GOG4:GOH5 GYC4:GYD5 HHY4:HHZ5 HRU4:HRV5 IBQ4:IBR5 ILM4:ILN5 IVI4:IVJ5 JFE4:JFF5 JPA4:JPB5 JYW4:JYX5 KIS4:KIT5 KSO4:KSP5 LCK4:LCL5 LMG4:LMH5 LWC4:LWD5 MFY4:MFZ5 MPU4:MPV5 MZQ4:MZR5 NJM4:NJN5 NTI4:NTJ5 ODE4:ODF5 ONA4:ONB5 OWW4:OWX5 PGS4:PGT5 PQO4:PQP5 QAK4:QAL5 QKG4:QKH5 QUC4:QUD5 RDY4:RDZ5 RNU4:RNV5 RXQ4:RXR5 SHM4:SHN5 SRI4:SRJ5 TBE4:TBF5 TLA4:TLB5 TUW4:TUX5 UES4:UET5 UOO4:UOP5 UYK4:UYL5 VIG4:VIH5 VSC4:VSD5 WBY4:WBZ5 WLU4:WLV5 I4">
      <formula1>$M$19:$M$24</formula1>
    </dataValidation>
    <dataValidation type="list" allowBlank="1" showInputMessage="1" showErrorMessage="1" sqref="JB6:JF7 WLR6:WLV7 WBV6:WBZ7 VRZ6:VSD7 VID6:VIH7 UYH6:UYL7 UOL6:UOP7 UEP6:UET7 TUT6:TUX7 TKX6:TLB7 TBB6:TBF7 SRF6:SRJ7 SHJ6:SHN7 RXN6:RXR7 RNR6:RNV7 RDV6:RDZ7 QTZ6:QUD7 QKD6:QKH7 QAH6:QAL7 PQL6:PQP7 PGP6:PGT7 OWT6:OWX7 OMX6:ONB7 ODB6:ODF7 NTF6:NTJ7 NJJ6:NJN7 MZN6:MZR7 MPR6:MPV7 MFV6:MFZ7 LVZ6:LWD7 LMD6:LMH7 LCH6:LCL7 KSL6:KSP7 KIP6:KIT7 JYT6:JYX7 JOX6:JPB7 JFB6:JFF7 IVF6:IVJ7 ILJ6:ILN7 IBN6:IBR7 HRR6:HRV7 HHV6:HHZ7 GXZ6:GYD7 GOD6:GOH7 GEH6:GEL7 FUL6:FUP7 FKP6:FKT7 FAT6:FAX7 EQX6:ERB7 EHB6:EHF7 DXF6:DXJ7 DNJ6:DNN7 DDN6:DDR7 CTR6:CTV7 CJV6:CJZ7 BZZ6:CAD7 BQD6:BQH7 BGH6:BGL7 AWL6:AWP7 AMP6:AMT7 ACT6:ACX7 SX6:TB7 WVN6:WVR7">
      <formula1>$M$6:$M$7</formula1>
    </dataValidation>
    <dataValidation type="list" allowBlank="1" showInputMessage="1" showErrorMessage="1" sqref="E5:I5">
      <formula1>$N$6:$N$8</formula1>
    </dataValidation>
  </dataValidations>
  <pageMargins left="0.3" right="0.31" top="0.23" bottom="0.28000000000000003" header="0.23" footer="0.17"/>
  <pageSetup scale="43" fitToHeight="10" orientation="portrait" r:id="rId1"/>
  <drawing r:id="rId2"/>
</worksheet>
</file>

<file path=xl/worksheets/sheet38.xml><?xml version="1.0" encoding="utf-8"?>
<worksheet xmlns="http://schemas.openxmlformats.org/spreadsheetml/2006/main" xmlns:r="http://schemas.openxmlformats.org/officeDocument/2006/relationships">
  <sheetPr codeName="Hoja47">
    <outlinePr summaryBelow="0" summaryRight="0"/>
  </sheetPr>
  <dimension ref="C1:P101"/>
  <sheetViews>
    <sheetView showGridLines="0" workbookViewId="0">
      <selection activeCell="G5" sqref="G5"/>
    </sheetView>
  </sheetViews>
  <sheetFormatPr baseColWidth="10" defaultColWidth="12.6328125" defaultRowHeight="12.5"/>
  <cols>
    <col min="1" max="3" width="2.08984375" style="3576" customWidth="1"/>
    <col min="4" max="4" width="51.453125" style="3576" customWidth="1"/>
    <col min="5" max="5" width="14.453125" style="3576" customWidth="1"/>
    <col min="6" max="6" width="7.453125" style="3576" customWidth="1"/>
    <col min="7" max="7" width="14.453125" style="3576" customWidth="1"/>
    <col min="8" max="8" width="7.6328125" style="3576" customWidth="1"/>
    <col min="9" max="9" width="14.453125" style="3576" customWidth="1"/>
    <col min="10" max="10" width="7.36328125" style="3576" customWidth="1"/>
    <col min="11" max="11" width="14.453125" style="3576" customWidth="1"/>
    <col min="12" max="12" width="7.7265625" style="3576" customWidth="1"/>
    <col min="13" max="13" width="3.7265625" style="3576" customWidth="1"/>
    <col min="14" max="16" width="19.36328125" style="3576" customWidth="1"/>
    <col min="17" max="16384" width="12.6328125" style="3576"/>
  </cols>
  <sheetData>
    <row r="1" spans="3:16" ht="23">
      <c r="D1" s="3619" t="s">
        <v>2674</v>
      </c>
      <c r="E1" s="4044" t="s">
        <v>2255</v>
      </c>
      <c r="M1" s="3618"/>
      <c r="N1" s="3617" t="str">
        <f>IF((O2+P2+O3+P3+O4+P4)&gt;0,"DIFERENCIAS EN CUENTAS"," ")</f>
        <v xml:space="preserve"> </v>
      </c>
      <c r="O1" s="3617" t="str">
        <f>IF((O2+O3+O4)&gt;0,"BALANCE GENERAL"," ")</f>
        <v xml:space="preserve"> </v>
      </c>
      <c r="P1" s="3617" t="str">
        <f>IF((P2+P3+P4)&gt;0,"ESTADO DE RESULTADOS"," ")</f>
        <v xml:space="preserve"> </v>
      </c>
    </row>
    <row r="2" spans="3:16">
      <c r="D2" s="3616" t="str">
        <f ca="1">IFERROR(__xludf.DUMMYFUNCTION("IMPORTRANGE($D$1,""D2:D2"")"),"3101190.309 Corfein Internacional Sociedad Anonima")</f>
        <v>3101190.309 Corfein Internacional Sociedad Anonima</v>
      </c>
      <c r="E2" s="4045"/>
      <c r="M2" s="3615"/>
      <c r="N2" s="3614" t="str">
        <f>IF((O2+P2)&gt;0,"NIVEL 1"," ")</f>
        <v xml:space="preserve"> </v>
      </c>
      <c r="O2" s="3613">
        <f>'Estados Financieros'!$S$7</f>
        <v>0</v>
      </c>
      <c r="P2" s="3613">
        <f>'Estados Financieros'!$S$8</f>
        <v>0</v>
      </c>
    </row>
    <row r="3" spans="3:16">
      <c r="M3" s="3615"/>
      <c r="N3" s="3614" t="str">
        <f>IF((O3+P3)&gt;0,"NIVEL 2"," ")</f>
        <v xml:space="preserve"> </v>
      </c>
      <c r="O3" s="3613">
        <f>'Estados Financieros'!$P$7</f>
        <v>0</v>
      </c>
      <c r="P3" s="3613">
        <f>'Estados Financieros'!$P$8</f>
        <v>0</v>
      </c>
    </row>
    <row r="4" spans="3:16">
      <c r="N4" s="3614" t="str">
        <f>IF((O4+P4)&gt;0,"NIVEL 3"," ")</f>
        <v xml:space="preserve"> </v>
      </c>
      <c r="O4" s="3613">
        <f>'Estados Financieros'!$M$7</f>
        <v>0</v>
      </c>
      <c r="P4" s="3613">
        <f>'Estados Financieros'!$M$8</f>
        <v>0</v>
      </c>
    </row>
    <row r="6" spans="3:16">
      <c r="D6" s="3612" t="str">
        <f>'RC'!D7</f>
        <v/>
      </c>
    </row>
    <row r="7" spans="3:16">
      <c r="D7" s="3611" t="s">
        <v>2254</v>
      </c>
    </row>
    <row r="8" spans="3:16">
      <c r="D8" s="3610" t="s">
        <v>2253</v>
      </c>
    </row>
    <row r="9" spans="3:16" ht="14">
      <c r="D9" s="3592"/>
      <c r="E9" s="3609" t="str">
        <f>'Estados Financieros'!$H$5</f>
        <v>No Auditados</v>
      </c>
      <c r="F9" s="3608"/>
      <c r="G9" s="3609" t="str">
        <f>'Estados Financieros'!$G$5</f>
        <v>No Auditados</v>
      </c>
      <c r="H9" s="3608"/>
      <c r="I9" s="3609" t="str">
        <f>'Estados Financieros'!$F$5</f>
        <v>No Auditados</v>
      </c>
      <c r="J9" s="3608"/>
      <c r="K9" s="3609" t="str">
        <f>'Estados Financieros'!$E$5</f>
        <v>No Auditados</v>
      </c>
      <c r="L9" s="3608"/>
      <c r="M9" s="3607"/>
      <c r="N9" s="4046" t="s">
        <v>2252</v>
      </c>
      <c r="O9" s="4047"/>
      <c r="P9" s="4047"/>
    </row>
    <row r="10" spans="3:16" ht="28">
      <c r="D10" s="3594" t="s">
        <v>2251</v>
      </c>
      <c r="E10" s="3606" t="str">
        <f>CONCATENATE(UPPER('Estados Financieros'!$H$8)," ",'Estados Financieros'!$H$4)</f>
        <v>JUNIO 2020</v>
      </c>
      <c r="F10" s="3594" t="s">
        <v>2202</v>
      </c>
      <c r="G10" s="3594" t="str">
        <f>CONCATENATE(UPPER('Estados Financieros'!$G$8)," ",'Estados Financieros'!$G$4)</f>
        <v>DICIEMBRE 2019</v>
      </c>
      <c r="H10" s="3594" t="s">
        <v>2202</v>
      </c>
      <c r="I10" s="3594" t="str">
        <f>CONCATENATE(UPPER('Estados Financieros'!$F$8)," ",'Estados Financieros'!$F$4)</f>
        <v>DICIEMBRE 2018</v>
      </c>
      <c r="J10" s="3594" t="s">
        <v>2202</v>
      </c>
      <c r="K10" s="3594" t="str">
        <f>CONCATENATE(UPPER('Estados Financieros'!$E$8)," ",'Estados Financieros'!$E$4)</f>
        <v>DICIEMBRE 2017</v>
      </c>
      <c r="L10" s="3594" t="s">
        <v>2202</v>
      </c>
      <c r="M10" s="3595"/>
      <c r="N10" s="3594" t="str">
        <f>CONCATENATE(E10," ",G10)</f>
        <v>JUNIO 2020 DICIEMBRE 2019</v>
      </c>
      <c r="O10" s="3594" t="str">
        <f>CONCATENATE(G10," ",I10)</f>
        <v>DICIEMBRE 2019 DICIEMBRE 2018</v>
      </c>
      <c r="P10" s="3594" t="str">
        <f>CONCATENATE(,I10," ",K10)</f>
        <v>DICIEMBRE 2018 DICIEMBRE 2017</v>
      </c>
    </row>
    <row r="11" spans="3:16" ht="14">
      <c r="D11" s="3602" t="s">
        <v>2250</v>
      </c>
      <c r="E11" s="3600">
        <f>SUM(E12:E22)</f>
        <v>0</v>
      </c>
      <c r="F11" s="3599" t="str">
        <f t="shared" ref="F11:F42" si="0">IF(E11=0,"-",E11/$E$34)</f>
        <v>-</v>
      </c>
      <c r="G11" s="3600">
        <f>SUM(G12:G22)</f>
        <v>0</v>
      </c>
      <c r="H11" s="3599" t="str">
        <f t="shared" ref="H11:H42" si="1">IF(G11=0,"-",G11/$G$34)</f>
        <v>-</v>
      </c>
      <c r="I11" s="3600">
        <f>SUM(I12:I22)</f>
        <v>0</v>
      </c>
      <c r="J11" s="3599" t="str">
        <f t="shared" ref="J11:J42" si="2">IF(I11=0,"-",I11/$I$34)</f>
        <v>-</v>
      </c>
      <c r="K11" s="3600">
        <f>SUM(K12:K22)</f>
        <v>0</v>
      </c>
      <c r="L11" s="3599" t="str">
        <f t="shared" ref="L11:L42" si="3">IF(K11=0,"-",K11/$K$34)</f>
        <v>-</v>
      </c>
      <c r="N11" s="3605" t="str">
        <f t="shared" ref="N11:N42" si="4">IF(G11=0,"-",(E11-G11)/G11)</f>
        <v>-</v>
      </c>
      <c r="O11" s="3605" t="str">
        <f t="shared" ref="O11:O42" si="5">IF(I11=0,"-",(G11-I11)/I11)</f>
        <v>-</v>
      </c>
      <c r="P11" s="3599" t="str">
        <f t="shared" ref="P11:P42" si="6">IF(K11=0,"-",(I11-K11)/K11)</f>
        <v>-</v>
      </c>
    </row>
    <row r="12" spans="3:16">
      <c r="C12" s="3604" t="s">
        <v>2206</v>
      </c>
      <c r="D12" s="3589" t="s">
        <v>2249</v>
      </c>
      <c r="E12" s="3588">
        <f>'Estados Financieros'!$H$23</f>
        <v>0</v>
      </c>
      <c r="F12" s="3587" t="str">
        <f t="shared" si="0"/>
        <v>-</v>
      </c>
      <c r="G12" s="3588">
        <f>'Estados Financieros'!$G$23</f>
        <v>0</v>
      </c>
      <c r="H12" s="3587" t="str">
        <f t="shared" si="1"/>
        <v>-</v>
      </c>
      <c r="I12" s="3588">
        <f>'Estados Financieros'!$F$23</f>
        <v>0</v>
      </c>
      <c r="J12" s="3587" t="str">
        <f t="shared" si="2"/>
        <v>-</v>
      </c>
      <c r="K12" s="3588">
        <f>'Estados Financieros'!$E$23</f>
        <v>0</v>
      </c>
      <c r="L12" s="3587" t="str">
        <f t="shared" si="3"/>
        <v>-</v>
      </c>
      <c r="N12" s="3587" t="str">
        <f t="shared" si="4"/>
        <v>-</v>
      </c>
      <c r="O12" s="3587" t="str">
        <f t="shared" si="5"/>
        <v>-</v>
      </c>
      <c r="P12" s="3587" t="str">
        <f t="shared" si="6"/>
        <v>-</v>
      </c>
    </row>
    <row r="13" spans="3:16">
      <c r="C13" s="3604" t="s">
        <v>2206</v>
      </c>
      <c r="D13" s="3589" t="s">
        <v>553</v>
      </c>
      <c r="E13" s="3588">
        <f>'Estados Financieros'!$H$33+'Estados Financieros'!$H$93</f>
        <v>0</v>
      </c>
      <c r="F13" s="3587" t="str">
        <f t="shared" si="0"/>
        <v>-</v>
      </c>
      <c r="G13" s="3588">
        <f>'Estados Financieros'!$G$33+'Estados Financieros'!$G$93</f>
        <v>0</v>
      </c>
      <c r="H13" s="3587" t="str">
        <f t="shared" si="1"/>
        <v>-</v>
      </c>
      <c r="I13" s="3588">
        <f>'Estados Financieros'!$F$33+'Estados Financieros'!$F$93</f>
        <v>0</v>
      </c>
      <c r="J13" s="3587" t="str">
        <f t="shared" si="2"/>
        <v>-</v>
      </c>
      <c r="K13" s="3588">
        <f>'Estados Financieros'!$E$33+'Estados Financieros'!$E$93</f>
        <v>0</v>
      </c>
      <c r="L13" s="3587" t="str">
        <f t="shared" si="3"/>
        <v>-</v>
      </c>
      <c r="N13" s="3587" t="str">
        <f t="shared" si="4"/>
        <v>-</v>
      </c>
      <c r="O13" s="3587" t="str">
        <f t="shared" si="5"/>
        <v>-</v>
      </c>
      <c r="P13" s="3587" t="str">
        <f t="shared" si="6"/>
        <v>-</v>
      </c>
    </row>
    <row r="14" spans="3:16">
      <c r="C14" s="3604" t="s">
        <v>2219</v>
      </c>
      <c r="D14" s="3589" t="s">
        <v>2248</v>
      </c>
      <c r="E14" s="3593">
        <f>'Estados Financieros'!$H$35+'Estados Financieros'!$H$37+'Estados Financieros'!$H$38</f>
        <v>0</v>
      </c>
      <c r="F14" s="3587" t="str">
        <f t="shared" si="0"/>
        <v>-</v>
      </c>
      <c r="G14" s="3588">
        <f>'Estados Financieros'!$G$35+'Estados Financieros'!$G$37+'Estados Financieros'!$G$38</f>
        <v>0</v>
      </c>
      <c r="H14" s="3587" t="str">
        <f t="shared" si="1"/>
        <v>-</v>
      </c>
      <c r="I14" s="3588">
        <f>'Estados Financieros'!$F$35+'Estados Financieros'!$F$37+'Estados Financieros'!$F$38</f>
        <v>0</v>
      </c>
      <c r="J14" s="3587" t="str">
        <f t="shared" si="2"/>
        <v>-</v>
      </c>
      <c r="K14" s="3588">
        <f>'Estados Financieros'!$E$35+'Estados Financieros'!$E$37+'Estados Financieros'!$E$38</f>
        <v>0</v>
      </c>
      <c r="L14" s="3587" t="str">
        <f t="shared" si="3"/>
        <v>-</v>
      </c>
      <c r="N14" s="3587" t="str">
        <f t="shared" si="4"/>
        <v>-</v>
      </c>
      <c r="O14" s="3587" t="str">
        <f t="shared" si="5"/>
        <v>-</v>
      </c>
      <c r="P14" s="3587" t="str">
        <f t="shared" si="6"/>
        <v>-</v>
      </c>
    </row>
    <row r="15" spans="3:16">
      <c r="C15" s="3604" t="s">
        <v>2219</v>
      </c>
      <c r="D15" s="3589" t="s">
        <v>2247</v>
      </c>
      <c r="E15" s="3593">
        <f>'Estados Financieros'!$H$36</f>
        <v>0</v>
      </c>
      <c r="F15" s="3587" t="str">
        <f t="shared" si="0"/>
        <v>-</v>
      </c>
      <c r="G15" s="3588">
        <f>'Estados Financieros'!$G$36</f>
        <v>0</v>
      </c>
      <c r="H15" s="3587" t="str">
        <f t="shared" si="1"/>
        <v>-</v>
      </c>
      <c r="I15" s="3588">
        <f>'Estados Financieros'!$F$36</f>
        <v>0</v>
      </c>
      <c r="J15" s="3587" t="str">
        <f t="shared" si="2"/>
        <v>-</v>
      </c>
      <c r="K15" s="3588">
        <f>'Estados Financieros'!$E$36</f>
        <v>0</v>
      </c>
      <c r="L15" s="3587" t="str">
        <f t="shared" si="3"/>
        <v>-</v>
      </c>
      <c r="N15" s="3587" t="str">
        <f t="shared" si="4"/>
        <v>-</v>
      </c>
      <c r="O15" s="3587" t="str">
        <f t="shared" si="5"/>
        <v>-</v>
      </c>
      <c r="P15" s="3587" t="str">
        <f t="shared" si="6"/>
        <v>-</v>
      </c>
    </row>
    <row r="16" spans="3:16">
      <c r="C16" s="3604" t="s">
        <v>2219</v>
      </c>
      <c r="D16" s="3589" t="s">
        <v>2246</v>
      </c>
      <c r="E16" s="3593">
        <f>'Estados Financieros'!$H$42+'Estados Financieros'!$H$43</f>
        <v>0</v>
      </c>
      <c r="F16" s="3587" t="str">
        <f t="shared" si="0"/>
        <v>-</v>
      </c>
      <c r="G16" s="3588">
        <f>'Estados Financieros'!$G$42+'Estados Financieros'!$G$43</f>
        <v>0</v>
      </c>
      <c r="H16" s="3587" t="str">
        <f t="shared" si="1"/>
        <v>-</v>
      </c>
      <c r="I16" s="3588">
        <f>'Estados Financieros'!$F$42+'Estados Financieros'!$F$43</f>
        <v>0</v>
      </c>
      <c r="J16" s="3587" t="str">
        <f t="shared" si="2"/>
        <v>-</v>
      </c>
      <c r="K16" s="3588">
        <f>'Estados Financieros'!$E$42+'Estados Financieros'!$E$43</f>
        <v>0</v>
      </c>
      <c r="L16" s="3587" t="str">
        <f t="shared" si="3"/>
        <v>-</v>
      </c>
      <c r="N16" s="3587" t="str">
        <f t="shared" si="4"/>
        <v>-</v>
      </c>
      <c r="O16" s="3587" t="str">
        <f t="shared" si="5"/>
        <v>-</v>
      </c>
      <c r="P16" s="3587" t="str">
        <f t="shared" si="6"/>
        <v>-</v>
      </c>
    </row>
    <row r="17" spans="3:16">
      <c r="C17" s="3604" t="s">
        <v>2219</v>
      </c>
      <c r="D17" s="3589" t="s">
        <v>2245</v>
      </c>
      <c r="E17" s="3593">
        <f>-'Estados Financieros'!$H$39</f>
        <v>0</v>
      </c>
      <c r="F17" s="3587" t="str">
        <f t="shared" si="0"/>
        <v>-</v>
      </c>
      <c r="G17" s="3588">
        <f>-'Estados Financieros'!$G$39</f>
        <v>0</v>
      </c>
      <c r="H17" s="3587" t="str">
        <f t="shared" si="1"/>
        <v>-</v>
      </c>
      <c r="I17" s="3588">
        <f>-'Estados Financieros'!$F$39</f>
        <v>0</v>
      </c>
      <c r="J17" s="3587" t="str">
        <f t="shared" si="2"/>
        <v>-</v>
      </c>
      <c r="K17" s="3588">
        <f>-'Estados Financieros'!$E$39</f>
        <v>0</v>
      </c>
      <c r="L17" s="3587" t="str">
        <f t="shared" si="3"/>
        <v>-</v>
      </c>
      <c r="N17" s="3587" t="str">
        <f t="shared" si="4"/>
        <v>-</v>
      </c>
      <c r="O17" s="3587" t="str">
        <f t="shared" si="5"/>
        <v>-</v>
      </c>
      <c r="P17" s="3587" t="str">
        <f t="shared" si="6"/>
        <v>-</v>
      </c>
    </row>
    <row r="18" spans="3:16">
      <c r="C18" s="3604" t="s">
        <v>2219</v>
      </c>
      <c r="D18" s="3589" t="s">
        <v>1050</v>
      </c>
      <c r="E18" s="3593">
        <f>'Estados Financieros'!$H$58+'Estados Financieros'!$H$59+'Estados Financieros'!$H$61+'Estados Financieros'!$H$62+'Estados Financieros'!$H$64+'Estados Financieros'!$H$65+'Estados Financieros'!$H$66+'Estados Financieros'!$H$67+'Estados Financieros'!$H$68+'Estados Financieros'!$H$69+'Estados Financieros'!$H$70</f>
        <v>0</v>
      </c>
      <c r="F18" s="3587" t="str">
        <f t="shared" si="0"/>
        <v>-</v>
      </c>
      <c r="G18" s="3588">
        <f>'Estados Financieros'!$G$58+'Estados Financieros'!$G$59+'Estados Financieros'!$G$61+'Estados Financieros'!$G$62+'Estados Financieros'!$G$64+'Estados Financieros'!$G$65+'Estados Financieros'!$G$66+'Estados Financieros'!$G$67+'Estados Financieros'!$G$68+'Estados Financieros'!$G$69+'Estados Financieros'!$G$70</f>
        <v>0</v>
      </c>
      <c r="H18" s="3587" t="str">
        <f t="shared" si="1"/>
        <v>-</v>
      </c>
      <c r="I18" s="3588">
        <f>'Estados Financieros'!$F$58+'Estados Financieros'!$F$59+'Estados Financieros'!$F$61+'Estados Financieros'!$F$62+'Estados Financieros'!$F$64+'Estados Financieros'!$F$65+'Estados Financieros'!$F$66+'Estados Financieros'!$F$67+'Estados Financieros'!$F$68+'Estados Financieros'!$F$69+'Estados Financieros'!$F$70</f>
        <v>0</v>
      </c>
      <c r="J18" s="3587" t="str">
        <f t="shared" si="2"/>
        <v>-</v>
      </c>
      <c r="K18" s="3588">
        <f>'Estados Financieros'!$E$58+'Estados Financieros'!$E$59+'Estados Financieros'!$E$61+'Estados Financieros'!$E$62+'Estados Financieros'!$E$64+'Estados Financieros'!$E$65+'Estados Financieros'!$E$66+'Estados Financieros'!$E$67+'Estados Financieros'!$E$68+'Estados Financieros'!$E$69+'Estados Financieros'!$E$70</f>
        <v>0</v>
      </c>
      <c r="L18" s="3587" t="str">
        <f t="shared" si="3"/>
        <v>-</v>
      </c>
      <c r="N18" s="3587" t="str">
        <f t="shared" si="4"/>
        <v>-</v>
      </c>
      <c r="O18" s="3587" t="str">
        <f t="shared" si="5"/>
        <v>-</v>
      </c>
      <c r="P18" s="3587" t="str">
        <f t="shared" si="6"/>
        <v>-</v>
      </c>
    </row>
    <row r="19" spans="3:16">
      <c r="C19" s="3604" t="s">
        <v>2219</v>
      </c>
      <c r="D19" s="3589" t="s">
        <v>2244</v>
      </c>
      <c r="E19" s="3593">
        <f>'Estados Financieros'!$H$63</f>
        <v>0</v>
      </c>
      <c r="F19" s="3587" t="str">
        <f t="shared" si="0"/>
        <v>-</v>
      </c>
      <c r="G19" s="3588">
        <f>'Estados Financieros'!$G$63</f>
        <v>0</v>
      </c>
      <c r="H19" s="3587" t="str">
        <f t="shared" si="1"/>
        <v>-</v>
      </c>
      <c r="I19" s="3588">
        <f>'Estados Financieros'!$F$63</f>
        <v>0</v>
      </c>
      <c r="J19" s="3587" t="str">
        <f t="shared" si="2"/>
        <v>-</v>
      </c>
      <c r="K19" s="3588">
        <f>'Estados Financieros'!$E$63</f>
        <v>0</v>
      </c>
      <c r="L19" s="3587" t="str">
        <f t="shared" si="3"/>
        <v>-</v>
      </c>
      <c r="N19" s="3587" t="str">
        <f t="shared" si="4"/>
        <v>-</v>
      </c>
      <c r="O19" s="3587" t="str">
        <f t="shared" si="5"/>
        <v>-</v>
      </c>
      <c r="P19" s="3587" t="str">
        <f t="shared" si="6"/>
        <v>-</v>
      </c>
    </row>
    <row r="20" spans="3:16">
      <c r="C20" s="3604" t="s">
        <v>2219</v>
      </c>
      <c r="D20" s="3589" t="s">
        <v>2243</v>
      </c>
      <c r="E20" s="3593">
        <f>'Estados Financieros'!$H$45+'Estados Financieros'!$H$46+'Estados Financieros'!$H$47+'Estados Financieros'!$H$48+'Estados Financieros'!$H$50+'Estados Financieros'!$H$51+'Estados Financieros'!$H$53+'Estados Financieros'!$H$54+'Estados Financieros'!$H$55</f>
        <v>0</v>
      </c>
      <c r="F20" s="3587" t="str">
        <f t="shared" si="0"/>
        <v>-</v>
      </c>
      <c r="G20" s="3588">
        <f>'Estados Financieros'!$G$45+'Estados Financieros'!$G$46+'Estados Financieros'!$G$47+'Estados Financieros'!$G$48+'Estados Financieros'!$G$50+'Estados Financieros'!$G$51+'Estados Financieros'!$G$53+'Estados Financieros'!$G$54+'Estados Financieros'!$G$55</f>
        <v>0</v>
      </c>
      <c r="H20" s="3587" t="str">
        <f t="shared" si="1"/>
        <v>-</v>
      </c>
      <c r="I20" s="3588">
        <f>'Estados Financieros'!$F$45+'Estados Financieros'!$F$46+'Estados Financieros'!$F$47+'Estados Financieros'!$F$48+'Estados Financieros'!$F$50+'Estados Financieros'!$F$51+'Estados Financieros'!$F$53+'Estados Financieros'!$F$54+'Estados Financieros'!$F$55</f>
        <v>0</v>
      </c>
      <c r="J20" s="3587" t="str">
        <f t="shared" si="2"/>
        <v>-</v>
      </c>
      <c r="K20" s="3588">
        <f>'Estados Financieros'!$E$45+'Estados Financieros'!$E$46+'Estados Financieros'!$E$47+'Estados Financieros'!$E$48+'Estados Financieros'!$E$50+'Estados Financieros'!$E$51+'Estados Financieros'!$E$53+'Estados Financieros'!$E$54+'Estados Financieros'!$E$55</f>
        <v>0</v>
      </c>
      <c r="L20" s="3587" t="str">
        <f t="shared" si="3"/>
        <v>-</v>
      </c>
      <c r="N20" s="3587" t="str">
        <f t="shared" si="4"/>
        <v>-</v>
      </c>
      <c r="O20" s="3587" t="str">
        <f t="shared" si="5"/>
        <v>-</v>
      </c>
      <c r="P20" s="3587" t="str">
        <f t="shared" si="6"/>
        <v>-</v>
      </c>
    </row>
    <row r="21" spans="3:16">
      <c r="C21" s="3604" t="s">
        <v>2219</v>
      </c>
      <c r="D21" s="3589" t="s">
        <v>2242</v>
      </c>
      <c r="E21" s="3593">
        <f>'Estados Financieros'!$H$91+'Estados Financieros'!$H$44+'Estados Financieros'!$H$49</f>
        <v>0</v>
      </c>
      <c r="F21" s="3587" t="str">
        <f t="shared" si="0"/>
        <v>-</v>
      </c>
      <c r="G21" s="3588">
        <f>'Estados Financieros'!$G$91+'Estados Financieros'!$G$44+'Estados Financieros'!$G$49</f>
        <v>0</v>
      </c>
      <c r="H21" s="3587" t="str">
        <f t="shared" si="1"/>
        <v>-</v>
      </c>
      <c r="I21" s="3588">
        <f>'Estados Financieros'!$F$91+'Estados Financieros'!$F$44+'Estados Financieros'!$F$49</f>
        <v>0</v>
      </c>
      <c r="J21" s="3587" t="str">
        <f t="shared" si="2"/>
        <v>-</v>
      </c>
      <c r="K21" s="3588">
        <f>'Estados Financieros'!$E$91+'Estados Financieros'!$E$44+'Estados Financieros'!$E$49</f>
        <v>0</v>
      </c>
      <c r="L21" s="3587" t="str">
        <f t="shared" si="3"/>
        <v>-</v>
      </c>
      <c r="N21" s="3587" t="str">
        <f t="shared" si="4"/>
        <v>-</v>
      </c>
      <c r="O21" s="3587" t="str">
        <f t="shared" si="5"/>
        <v>-</v>
      </c>
      <c r="P21" s="3587" t="str">
        <f t="shared" si="6"/>
        <v>-</v>
      </c>
    </row>
    <row r="22" spans="3:16">
      <c r="C22" s="3604" t="s">
        <v>2219</v>
      </c>
      <c r="D22" s="3589" t="s">
        <v>2241</v>
      </c>
      <c r="E22" s="3593">
        <f>'Estados Financieros'!$H$52+'Estados Financieros'!$H$83+'Estados Financieros'!$H$94+'Estados Financieros'!$H$96</f>
        <v>0</v>
      </c>
      <c r="F22" s="3587" t="str">
        <f t="shared" si="0"/>
        <v>-</v>
      </c>
      <c r="G22" s="3588">
        <f>'Estados Financieros'!$G$52+'Estados Financieros'!$G$83+'Estados Financieros'!$G$94+'Estados Financieros'!$G$96</f>
        <v>0</v>
      </c>
      <c r="H22" s="3587" t="str">
        <f t="shared" si="1"/>
        <v>-</v>
      </c>
      <c r="I22" s="3588">
        <f>'Estados Financieros'!$F$52+'Estados Financieros'!$F$83+'Estados Financieros'!$F$94+'Estados Financieros'!$F$96</f>
        <v>0</v>
      </c>
      <c r="J22" s="3587" t="str">
        <f t="shared" si="2"/>
        <v>-</v>
      </c>
      <c r="K22" s="3588">
        <f>'Estados Financieros'!$E$52+'Estados Financieros'!$E$83+'Estados Financieros'!$E$94+'Estados Financieros'!$E$96</f>
        <v>0</v>
      </c>
      <c r="L22" s="3587" t="str">
        <f t="shared" si="3"/>
        <v>-</v>
      </c>
      <c r="N22" s="3587" t="str">
        <f t="shared" si="4"/>
        <v>-</v>
      </c>
      <c r="O22" s="3587" t="str">
        <f t="shared" si="5"/>
        <v>-</v>
      </c>
      <c r="P22" s="3587" t="str">
        <f t="shared" si="6"/>
        <v>-</v>
      </c>
    </row>
    <row r="23" spans="3:16" ht="14">
      <c r="C23" s="3603"/>
      <c r="D23" s="3602" t="s">
        <v>2240</v>
      </c>
      <c r="E23" s="3601">
        <f>SUM(E24:E33)</f>
        <v>0</v>
      </c>
      <c r="F23" s="3599" t="str">
        <f t="shared" si="0"/>
        <v>-</v>
      </c>
      <c r="G23" s="3600">
        <f>SUM(G24:G33)</f>
        <v>0</v>
      </c>
      <c r="H23" s="3599" t="str">
        <f t="shared" si="1"/>
        <v>-</v>
      </c>
      <c r="I23" s="3600">
        <f>SUM(I24:I33)</f>
        <v>0</v>
      </c>
      <c r="J23" s="3599" t="str">
        <f t="shared" si="2"/>
        <v>-</v>
      </c>
      <c r="K23" s="3600">
        <f>SUM(K24:K33)</f>
        <v>0</v>
      </c>
      <c r="L23" s="3599" t="str">
        <f t="shared" si="3"/>
        <v>-</v>
      </c>
      <c r="N23" s="3599" t="str">
        <f t="shared" si="4"/>
        <v>-</v>
      </c>
      <c r="O23" s="3599" t="str">
        <f t="shared" si="5"/>
        <v>-</v>
      </c>
      <c r="P23" s="3599" t="str">
        <f t="shared" si="6"/>
        <v>-</v>
      </c>
    </row>
    <row r="24" spans="3:16">
      <c r="C24" s="3604" t="s">
        <v>2232</v>
      </c>
      <c r="D24" s="3589" t="s">
        <v>616</v>
      </c>
      <c r="E24" s="3593">
        <f>'Estados Financieros'!$H$100+'Estados Financieros'!$H$102+'Estados Financieros'!$H$103+'Estados Financieros'!$H$104+'Estados Financieros'!$H$105+'Estados Financieros'!$H$106+'Estados Financieros'!$H$107+'Estados Financieros'!$H$108+'Estados Financieros'!$H$109+'Estados Financieros'!$H$111+'Estados Financieros'!$H$112+'Estados Financieros'!$H$115+'Estados Financieros'!$H$118+'Estados Financieros'!$H$119+'Estados Financieros'!$H$183</f>
        <v>0</v>
      </c>
      <c r="F24" s="3587" t="str">
        <f t="shared" si="0"/>
        <v>-</v>
      </c>
      <c r="G24" s="3588">
        <f>'Estados Financieros'!$G$100+'Estados Financieros'!$G$102+'Estados Financieros'!$G$103+'Estados Financieros'!$G$104+'Estados Financieros'!$G$105+'Estados Financieros'!$G$106+'Estados Financieros'!$G$107+'Estados Financieros'!$G$108+'Estados Financieros'!$G$109+'Estados Financieros'!$G$111+'Estados Financieros'!$G$112+'Estados Financieros'!$G$115+'Estados Financieros'!$G$118+'Estados Financieros'!$G$119+'Estados Financieros'!$G$183</f>
        <v>0</v>
      </c>
      <c r="H24" s="3587" t="str">
        <f t="shared" si="1"/>
        <v>-</v>
      </c>
      <c r="I24" s="3588">
        <f>'Estados Financieros'!$F$100+'Estados Financieros'!$F$102+'Estados Financieros'!$F$103+'Estados Financieros'!$F$104+'Estados Financieros'!$F$105+'Estados Financieros'!$F$106+'Estados Financieros'!$F$107+'Estados Financieros'!$F$108+'Estados Financieros'!$F$109+'Estados Financieros'!$F$111+'Estados Financieros'!$F$112+'Estados Financieros'!$F$115+'Estados Financieros'!$F$118+'Estados Financieros'!$F$119+'Estados Financieros'!$F$183</f>
        <v>0</v>
      </c>
      <c r="J24" s="3587" t="str">
        <f t="shared" si="2"/>
        <v>-</v>
      </c>
      <c r="K24" s="3588">
        <f>'Estados Financieros'!$E$100+'Estados Financieros'!$E$102+'Estados Financieros'!$E$103+'Estados Financieros'!$E$104+'Estados Financieros'!$E$105+'Estados Financieros'!$E$106+'Estados Financieros'!$E$107+'Estados Financieros'!$E$108+'Estados Financieros'!$E$109+'Estados Financieros'!$E$111+'Estados Financieros'!$E$112+'Estados Financieros'!$E$115+'Estados Financieros'!$E$118+'Estados Financieros'!$E$119+'Estados Financieros'!$E$183</f>
        <v>0</v>
      </c>
      <c r="L24" s="3587" t="str">
        <f t="shared" si="3"/>
        <v>-</v>
      </c>
      <c r="N24" s="3587" t="str">
        <f t="shared" si="4"/>
        <v>-</v>
      </c>
      <c r="O24" s="3587" t="str">
        <f t="shared" si="5"/>
        <v>-</v>
      </c>
      <c r="P24" s="3587" t="str">
        <f t="shared" si="6"/>
        <v>-</v>
      </c>
    </row>
    <row r="25" spans="3:16">
      <c r="C25" s="3603"/>
      <c r="D25" s="3589" t="s">
        <v>2239</v>
      </c>
      <c r="E25" s="3593">
        <f>'Estados Financieros'!$H$116</f>
        <v>0</v>
      </c>
      <c r="F25" s="3587" t="str">
        <f t="shared" si="0"/>
        <v>-</v>
      </c>
      <c r="G25" s="3588">
        <f>'Estados Financieros'!$G$116</f>
        <v>0</v>
      </c>
      <c r="H25" s="3587" t="str">
        <f t="shared" si="1"/>
        <v>-</v>
      </c>
      <c r="I25" s="3588">
        <f>'Estados Financieros'!$F$116</f>
        <v>0</v>
      </c>
      <c r="J25" s="3587" t="str">
        <f t="shared" si="2"/>
        <v>-</v>
      </c>
      <c r="K25" s="3588">
        <f>'Estados Financieros'!$E$116</f>
        <v>0</v>
      </c>
      <c r="L25" s="3587" t="str">
        <f t="shared" si="3"/>
        <v>-</v>
      </c>
      <c r="N25" s="3587" t="str">
        <f t="shared" si="4"/>
        <v>-</v>
      </c>
      <c r="O25" s="3587" t="str">
        <f t="shared" si="5"/>
        <v>-</v>
      </c>
      <c r="P25" s="3587" t="str">
        <f t="shared" si="6"/>
        <v>-</v>
      </c>
    </row>
    <row r="26" spans="3:16">
      <c r="C26" s="3604" t="s">
        <v>2232</v>
      </c>
      <c r="D26" s="3589" t="s">
        <v>640</v>
      </c>
      <c r="E26" s="3593">
        <f>'Estados Financieros'!$H$153</f>
        <v>0</v>
      </c>
      <c r="F26" s="3587" t="str">
        <f t="shared" si="0"/>
        <v>-</v>
      </c>
      <c r="G26" s="3588">
        <f>'Estados Financieros'!$G$153</f>
        <v>0</v>
      </c>
      <c r="H26" s="3587" t="str">
        <f t="shared" si="1"/>
        <v>-</v>
      </c>
      <c r="I26" s="3588">
        <f>'Estados Financieros'!$F$153</f>
        <v>0</v>
      </c>
      <c r="J26" s="3587" t="str">
        <f t="shared" si="2"/>
        <v>-</v>
      </c>
      <c r="K26" s="3588">
        <f>'Estados Financieros'!$E$153</f>
        <v>0</v>
      </c>
      <c r="L26" s="3587" t="str">
        <f t="shared" si="3"/>
        <v>-</v>
      </c>
      <c r="N26" s="3587" t="str">
        <f t="shared" si="4"/>
        <v>-</v>
      </c>
      <c r="O26" s="3587" t="str">
        <f t="shared" si="5"/>
        <v>-</v>
      </c>
      <c r="P26" s="3587" t="str">
        <f t="shared" si="6"/>
        <v>-</v>
      </c>
    </row>
    <row r="27" spans="3:16">
      <c r="C27" s="3604" t="s">
        <v>2232</v>
      </c>
      <c r="D27" s="3589" t="s">
        <v>2238</v>
      </c>
      <c r="E27" s="3593">
        <f>'Estados Financieros'!$H$175</f>
        <v>0</v>
      </c>
      <c r="F27" s="3587" t="str">
        <f t="shared" si="0"/>
        <v>-</v>
      </c>
      <c r="G27" s="3588">
        <f>'Estados Financieros'!$G$175</f>
        <v>0</v>
      </c>
      <c r="H27" s="3587" t="str">
        <f t="shared" si="1"/>
        <v>-</v>
      </c>
      <c r="I27" s="3588">
        <f>'Estados Financieros'!$F$175</f>
        <v>0</v>
      </c>
      <c r="J27" s="3587" t="str">
        <f t="shared" si="2"/>
        <v>-</v>
      </c>
      <c r="K27" s="3588">
        <f>'Estados Financieros'!$E$175</f>
        <v>0</v>
      </c>
      <c r="L27" s="3587" t="str">
        <f t="shared" si="3"/>
        <v>-</v>
      </c>
      <c r="N27" s="3587" t="str">
        <f t="shared" si="4"/>
        <v>-</v>
      </c>
      <c r="O27" s="3587" t="str">
        <f t="shared" si="5"/>
        <v>-</v>
      </c>
      <c r="P27" s="3587" t="str">
        <f t="shared" si="6"/>
        <v>-</v>
      </c>
    </row>
    <row r="28" spans="3:16">
      <c r="C28" s="3604" t="s">
        <v>2232</v>
      </c>
      <c r="D28" s="3589" t="s">
        <v>2237</v>
      </c>
      <c r="E28" s="3593">
        <f>'Estados Financieros'!$H$101+'Estados Financieros'!$H$114</f>
        <v>0</v>
      </c>
      <c r="F28" s="3587" t="str">
        <f t="shared" si="0"/>
        <v>-</v>
      </c>
      <c r="G28" s="3588">
        <f>'Estados Financieros'!$G$101+'Estados Financieros'!$G$114</f>
        <v>0</v>
      </c>
      <c r="H28" s="3587" t="str">
        <f t="shared" si="1"/>
        <v>-</v>
      </c>
      <c r="I28" s="3588">
        <f>'Estados Financieros'!$F$101+'Estados Financieros'!$F$114</f>
        <v>0</v>
      </c>
      <c r="J28" s="3587" t="str">
        <f t="shared" si="2"/>
        <v>-</v>
      </c>
      <c r="K28" s="3588">
        <f>'Estados Financieros'!$E$101+'Estados Financieros'!$E$114</f>
        <v>0</v>
      </c>
      <c r="L28" s="3587" t="str">
        <f t="shared" si="3"/>
        <v>-</v>
      </c>
      <c r="N28" s="3587" t="str">
        <f t="shared" si="4"/>
        <v>-</v>
      </c>
      <c r="O28" s="3587" t="str">
        <f t="shared" si="5"/>
        <v>-</v>
      </c>
      <c r="P28" s="3587" t="str">
        <f t="shared" si="6"/>
        <v>-</v>
      </c>
    </row>
    <row r="29" spans="3:16">
      <c r="C29" s="3604" t="s">
        <v>2232</v>
      </c>
      <c r="D29" s="3589" t="s">
        <v>2236</v>
      </c>
      <c r="E29" s="3593">
        <f>'Estados Financieros'!$H$60+'Estados Financieros'!$H$95+'Estados Financieros'!$H$113+'Estados Financieros'!$H$110+'Estados Financieros'!$H$173</f>
        <v>0</v>
      </c>
      <c r="F29" s="3587" t="str">
        <f t="shared" si="0"/>
        <v>-</v>
      </c>
      <c r="G29" s="3588">
        <f>'Estados Financieros'!$G$60+'Estados Financieros'!$G$95+'Estados Financieros'!$G$113+'Estados Financieros'!$G$110+'Estados Financieros'!$G$173</f>
        <v>0</v>
      </c>
      <c r="H29" s="3587" t="str">
        <f t="shared" si="1"/>
        <v>-</v>
      </c>
      <c r="I29" s="3588">
        <f>'Estados Financieros'!$F$60+'Estados Financieros'!$F$95+'Estados Financieros'!$F$113+'Estados Financieros'!$F$110+'Estados Financieros'!$F$173</f>
        <v>0</v>
      </c>
      <c r="J29" s="3587" t="str">
        <f t="shared" si="2"/>
        <v>-</v>
      </c>
      <c r="K29" s="3588">
        <f>'Estados Financieros'!$E$60+'Estados Financieros'!$E$95+'Estados Financieros'!$E$113+'Estados Financieros'!$E$110+'Estados Financieros'!$E$173</f>
        <v>0</v>
      </c>
      <c r="L29" s="3587" t="str">
        <f t="shared" si="3"/>
        <v>-</v>
      </c>
      <c r="N29" s="3587" t="str">
        <f t="shared" si="4"/>
        <v>-</v>
      </c>
      <c r="O29" s="3587" t="str">
        <f t="shared" si="5"/>
        <v>-</v>
      </c>
      <c r="P29" s="3587" t="str">
        <f t="shared" si="6"/>
        <v>-</v>
      </c>
    </row>
    <row r="30" spans="3:16">
      <c r="C30" s="3604" t="s">
        <v>2232</v>
      </c>
      <c r="D30" s="3589" t="s">
        <v>2235</v>
      </c>
      <c r="E30" s="3593">
        <f>'Estados Financieros'!$H$170+'Estados Financieros'!$H$117</f>
        <v>0</v>
      </c>
      <c r="F30" s="3587" t="str">
        <f t="shared" si="0"/>
        <v>-</v>
      </c>
      <c r="G30" s="3588">
        <f>'Estados Financieros'!$G$170+'Estados Financieros'!$G$117</f>
        <v>0</v>
      </c>
      <c r="H30" s="3587" t="str">
        <f t="shared" si="1"/>
        <v>-</v>
      </c>
      <c r="I30" s="3588">
        <f>'Estados Financieros'!$F$170+'Estados Financieros'!$F$117</f>
        <v>0</v>
      </c>
      <c r="J30" s="3587" t="str">
        <f t="shared" si="2"/>
        <v>-</v>
      </c>
      <c r="K30" s="3588">
        <f>'Estados Financieros'!$E$170+'Estados Financieros'!$E$117</f>
        <v>0</v>
      </c>
      <c r="L30" s="3587" t="str">
        <f t="shared" si="3"/>
        <v>-</v>
      </c>
      <c r="N30" s="3587" t="str">
        <f t="shared" si="4"/>
        <v>-</v>
      </c>
      <c r="O30" s="3587" t="str">
        <f t="shared" si="5"/>
        <v>-</v>
      </c>
      <c r="P30" s="3587" t="str">
        <f t="shared" si="6"/>
        <v>-</v>
      </c>
    </row>
    <row r="31" spans="3:16">
      <c r="C31" s="3604" t="s">
        <v>2232</v>
      </c>
      <c r="D31" s="3589" t="s">
        <v>2234</v>
      </c>
      <c r="E31" s="3593">
        <f>'Estados Financieros'!$H$122+'Estados Financieros'!$H$123+'Estados Financieros'!$H$124</f>
        <v>0</v>
      </c>
      <c r="F31" s="3587" t="str">
        <f t="shared" si="0"/>
        <v>-</v>
      </c>
      <c r="G31" s="3588">
        <f>'Estados Financieros'!$G$122+'Estados Financieros'!$G$123+'Estados Financieros'!$G$124</f>
        <v>0</v>
      </c>
      <c r="H31" s="3587" t="str">
        <f t="shared" si="1"/>
        <v>-</v>
      </c>
      <c r="I31" s="3588">
        <f>'Estados Financieros'!$F$122+'Estados Financieros'!$F$123+'Estados Financieros'!$F$124</f>
        <v>0</v>
      </c>
      <c r="J31" s="3587" t="str">
        <f t="shared" si="2"/>
        <v>-</v>
      </c>
      <c r="K31" s="3588">
        <f>'Estados Financieros'!$E$122+'Estados Financieros'!$E$123+'Estados Financieros'!$E$124</f>
        <v>0</v>
      </c>
      <c r="L31" s="3587" t="str">
        <f t="shared" si="3"/>
        <v>-</v>
      </c>
      <c r="N31" s="3587" t="str">
        <f t="shared" si="4"/>
        <v>-</v>
      </c>
      <c r="O31" s="3587" t="str">
        <f t="shared" si="5"/>
        <v>-</v>
      </c>
      <c r="P31" s="3587" t="str">
        <f t="shared" si="6"/>
        <v>-</v>
      </c>
    </row>
    <row r="32" spans="3:16">
      <c r="C32" s="3604" t="s">
        <v>2232</v>
      </c>
      <c r="D32" s="3589" t="s">
        <v>2233</v>
      </c>
      <c r="E32" s="3593">
        <f>'Estados Financieros'!$H$125+'Estados Financieros'!$H$126+'Estados Financieros'!$H$127</f>
        <v>0</v>
      </c>
      <c r="F32" s="3587" t="str">
        <f t="shared" si="0"/>
        <v>-</v>
      </c>
      <c r="G32" s="3588">
        <f>'Estados Financieros'!$G$125+'Estados Financieros'!$G$126+'Estados Financieros'!$G$127</f>
        <v>0</v>
      </c>
      <c r="H32" s="3587" t="str">
        <f t="shared" si="1"/>
        <v>-</v>
      </c>
      <c r="I32" s="3588">
        <f>'Estados Financieros'!$F$125+'Estados Financieros'!$F$126+'Estados Financieros'!$F$127</f>
        <v>0</v>
      </c>
      <c r="J32" s="3587" t="str">
        <f t="shared" si="2"/>
        <v>-</v>
      </c>
      <c r="K32" s="3588">
        <f>'Estados Financieros'!$E$125+'Estados Financieros'!$E$126+'Estados Financieros'!$E$127</f>
        <v>0</v>
      </c>
      <c r="L32" s="3587" t="str">
        <f t="shared" si="3"/>
        <v>-</v>
      </c>
      <c r="N32" s="3587" t="str">
        <f t="shared" si="4"/>
        <v>-</v>
      </c>
      <c r="O32" s="3587" t="str">
        <f t="shared" si="5"/>
        <v>-</v>
      </c>
      <c r="P32" s="3587" t="str">
        <f t="shared" si="6"/>
        <v>-</v>
      </c>
    </row>
    <row r="33" spans="3:16">
      <c r="C33" s="3604" t="s">
        <v>2232</v>
      </c>
      <c r="D33" s="3589" t="s">
        <v>2212</v>
      </c>
      <c r="E33" s="3593">
        <f>'Estados Financieros'!$H$128+'Estados Financieros'!$H$129+'Estados Financieros'!$H$130+'Estados Financieros'!$H$131+'Estados Financieros'!$H$132+'Estados Financieros'!$H$133+'Estados Financieros'!$H$134+'Estados Financieros'!$H$135+'Estados Financieros'!$H$136+'Estados Financieros'!$H$137+'Estados Financieros'!$H$138+'Estados Financieros'!$H$139+'Estados Financieros'!$H$140+'Estados Financieros'!$H$141+'Estados Financieros'!$H$161+'Estados Financieros'!$H$172+'Estados Financieros'!$H$174+'Estados Financieros'!$H$176</f>
        <v>0</v>
      </c>
      <c r="F33" s="3587" t="str">
        <f t="shared" si="0"/>
        <v>-</v>
      </c>
      <c r="G33" s="3588">
        <f>'Estados Financieros'!$G$128+'Estados Financieros'!$G$129+'Estados Financieros'!$G$130+'Estados Financieros'!$G$131+'Estados Financieros'!$G$132+'Estados Financieros'!$G$133+'Estados Financieros'!$G$134+'Estados Financieros'!$G$135+'Estados Financieros'!$G$136+'Estados Financieros'!$G$137+'Estados Financieros'!$G$138+'Estados Financieros'!$G$139+'Estados Financieros'!$G$140+'Estados Financieros'!$G$141+'Estados Financieros'!$G$161+'Estados Financieros'!$G$172+'Estados Financieros'!$G$174+'Estados Financieros'!$G$176</f>
        <v>0</v>
      </c>
      <c r="H33" s="3587" t="str">
        <f t="shared" si="1"/>
        <v>-</v>
      </c>
      <c r="I33" s="3588">
        <f>'Estados Financieros'!$F$128+'Estados Financieros'!$F$129+'Estados Financieros'!$F$130+'Estados Financieros'!$F$131+'Estados Financieros'!$F$132+'Estados Financieros'!$F$133+'Estados Financieros'!$F$134+'Estados Financieros'!$F$135+'Estados Financieros'!$F$136+'Estados Financieros'!$F$137+'Estados Financieros'!$F$138+'Estados Financieros'!$F$139+'Estados Financieros'!$F$140+'Estados Financieros'!$F$141+'Estados Financieros'!$F$161+'Estados Financieros'!$F$172+'Estados Financieros'!$F$174+'Estados Financieros'!$F$176</f>
        <v>0</v>
      </c>
      <c r="J33" s="3587" t="str">
        <f t="shared" si="2"/>
        <v>-</v>
      </c>
      <c r="K33" s="3588">
        <f>'Estados Financieros'!$E$128+'Estados Financieros'!$E$129+'Estados Financieros'!$E$130+'Estados Financieros'!$E$131+'Estados Financieros'!$E$132+'Estados Financieros'!$E$133+'Estados Financieros'!$E$134+'Estados Financieros'!$E$135+'Estados Financieros'!$E$136+'Estados Financieros'!$E$137+'Estados Financieros'!$E$138+'Estados Financieros'!$E$139+'Estados Financieros'!$E$140+'Estados Financieros'!$E$141+'Estados Financieros'!$E$161+'Estados Financieros'!$E$172+'Estados Financieros'!$E$174+'Estados Financieros'!$E$176</f>
        <v>0</v>
      </c>
      <c r="L33" s="3587" t="str">
        <f t="shared" si="3"/>
        <v>-</v>
      </c>
      <c r="N33" s="3587" t="str">
        <f t="shared" si="4"/>
        <v>-</v>
      </c>
      <c r="O33" s="3587" t="str">
        <f t="shared" si="5"/>
        <v>-</v>
      </c>
      <c r="P33" s="3587" t="str">
        <f t="shared" si="6"/>
        <v>-</v>
      </c>
    </row>
    <row r="34" spans="3:16" ht="14">
      <c r="C34" s="3603"/>
      <c r="D34" s="3602" t="s">
        <v>2231</v>
      </c>
      <c r="E34" s="3601">
        <f>E23+E11</f>
        <v>0</v>
      </c>
      <c r="F34" s="3599" t="str">
        <f t="shared" si="0"/>
        <v>-</v>
      </c>
      <c r="G34" s="3600">
        <f>G23+G11</f>
        <v>0</v>
      </c>
      <c r="H34" s="3599" t="str">
        <f t="shared" si="1"/>
        <v>-</v>
      </c>
      <c r="I34" s="3600">
        <f>I23+I11</f>
        <v>0</v>
      </c>
      <c r="J34" s="3599" t="str">
        <f t="shared" si="2"/>
        <v>-</v>
      </c>
      <c r="K34" s="3600">
        <f>K23+K11</f>
        <v>0</v>
      </c>
      <c r="L34" s="3599" t="str">
        <f t="shared" si="3"/>
        <v>-</v>
      </c>
      <c r="N34" s="3599" t="str">
        <f t="shared" si="4"/>
        <v>-</v>
      </c>
      <c r="O34" s="3599" t="str">
        <f t="shared" si="5"/>
        <v>-</v>
      </c>
      <c r="P34" s="3599" t="str">
        <f t="shared" si="6"/>
        <v>-</v>
      </c>
    </row>
    <row r="35" spans="3:16" ht="14">
      <c r="C35" s="3603"/>
      <c r="D35" s="3602" t="s">
        <v>2230</v>
      </c>
      <c r="E35" s="3601">
        <f>SUM(E36:E47)</f>
        <v>0</v>
      </c>
      <c r="F35" s="3599" t="str">
        <f t="shared" si="0"/>
        <v>-</v>
      </c>
      <c r="G35" s="3600">
        <f>SUM(G36:G47)</f>
        <v>0</v>
      </c>
      <c r="H35" s="3599" t="str">
        <f t="shared" si="1"/>
        <v>-</v>
      </c>
      <c r="I35" s="3600">
        <f>SUM(I36:I47)</f>
        <v>0</v>
      </c>
      <c r="J35" s="3599" t="str">
        <f t="shared" si="2"/>
        <v>-</v>
      </c>
      <c r="K35" s="3600">
        <f>SUM(K36:K47)</f>
        <v>0</v>
      </c>
      <c r="L35" s="3599" t="str">
        <f t="shared" si="3"/>
        <v>-</v>
      </c>
      <c r="N35" s="3599" t="str">
        <f t="shared" si="4"/>
        <v>-</v>
      </c>
      <c r="O35" s="3599" t="str">
        <f t="shared" si="5"/>
        <v>-</v>
      </c>
      <c r="P35" s="3599" t="str">
        <f t="shared" si="6"/>
        <v>-</v>
      </c>
    </row>
    <row r="36" spans="3:16">
      <c r="C36" s="3604" t="s">
        <v>2209</v>
      </c>
      <c r="D36" s="3589" t="s">
        <v>2229</v>
      </c>
      <c r="E36" s="3593">
        <f>'Estados Financieros'!$H$196</f>
        <v>0</v>
      </c>
      <c r="F36" s="3587" t="str">
        <f t="shared" si="0"/>
        <v>-</v>
      </c>
      <c r="G36" s="3588">
        <f>'Estados Financieros'!$G$196</f>
        <v>0</v>
      </c>
      <c r="H36" s="3587" t="str">
        <f t="shared" si="1"/>
        <v>-</v>
      </c>
      <c r="I36" s="3588">
        <f>'Estados Financieros'!$F$196</f>
        <v>0</v>
      </c>
      <c r="J36" s="3587" t="str">
        <f t="shared" si="2"/>
        <v>-</v>
      </c>
      <c r="K36" s="3588">
        <f>'Estados Financieros'!$E$196</f>
        <v>0</v>
      </c>
      <c r="L36" s="3587" t="str">
        <f t="shared" si="3"/>
        <v>-</v>
      </c>
      <c r="N36" s="3587" t="str">
        <f t="shared" si="4"/>
        <v>-</v>
      </c>
      <c r="O36" s="3587" t="str">
        <f t="shared" si="5"/>
        <v>-</v>
      </c>
      <c r="P36" s="3587" t="str">
        <f t="shared" si="6"/>
        <v>-</v>
      </c>
    </row>
    <row r="37" spans="3:16">
      <c r="C37" s="3604" t="s">
        <v>2209</v>
      </c>
      <c r="D37" s="3589" t="s">
        <v>2228</v>
      </c>
      <c r="E37" s="3593">
        <f>'Estados Financieros'!$H$197</f>
        <v>0</v>
      </c>
      <c r="F37" s="3587" t="str">
        <f t="shared" si="0"/>
        <v>-</v>
      </c>
      <c r="G37" s="3588">
        <f>'Estados Financieros'!$G$197</f>
        <v>0</v>
      </c>
      <c r="H37" s="3587" t="str">
        <f t="shared" si="1"/>
        <v>-</v>
      </c>
      <c r="I37" s="3588">
        <f>'Estados Financieros'!$F$197</f>
        <v>0</v>
      </c>
      <c r="J37" s="3587" t="str">
        <f t="shared" si="2"/>
        <v>-</v>
      </c>
      <c r="K37" s="3588">
        <f>'Estados Financieros'!$E$197</f>
        <v>0</v>
      </c>
      <c r="L37" s="3587" t="str">
        <f t="shared" si="3"/>
        <v>-</v>
      </c>
      <c r="N37" s="3587" t="str">
        <f t="shared" si="4"/>
        <v>-</v>
      </c>
      <c r="O37" s="3587" t="str">
        <f t="shared" si="5"/>
        <v>-</v>
      </c>
      <c r="P37" s="3587" t="str">
        <f t="shared" si="6"/>
        <v>-</v>
      </c>
    </row>
    <row r="38" spans="3:16">
      <c r="C38" s="3604" t="s">
        <v>2209</v>
      </c>
      <c r="D38" s="3589" t="s">
        <v>2227</v>
      </c>
      <c r="E38" s="3593">
        <f>'Estados Financieros'!$H$198</f>
        <v>0</v>
      </c>
      <c r="F38" s="3587" t="str">
        <f t="shared" si="0"/>
        <v>-</v>
      </c>
      <c r="G38" s="3588">
        <f>'Estados Financieros'!$G$198</f>
        <v>0</v>
      </c>
      <c r="H38" s="3587" t="str">
        <f t="shared" si="1"/>
        <v>-</v>
      </c>
      <c r="I38" s="3588">
        <f>'Estados Financieros'!$F$198</f>
        <v>0</v>
      </c>
      <c r="J38" s="3587" t="str">
        <f t="shared" si="2"/>
        <v>-</v>
      </c>
      <c r="K38" s="3588">
        <f>'Estados Financieros'!$E$198</f>
        <v>0</v>
      </c>
      <c r="L38" s="3587" t="str">
        <f t="shared" si="3"/>
        <v>-</v>
      </c>
      <c r="N38" s="3587" t="str">
        <f t="shared" si="4"/>
        <v>-</v>
      </c>
      <c r="O38" s="3587" t="str">
        <f t="shared" si="5"/>
        <v>-</v>
      </c>
      <c r="P38" s="3587" t="str">
        <f t="shared" si="6"/>
        <v>-</v>
      </c>
    </row>
    <row r="39" spans="3:16">
      <c r="C39" s="3604" t="s">
        <v>2219</v>
      </c>
      <c r="D39" s="3589" t="s">
        <v>2226</v>
      </c>
      <c r="E39" s="3593">
        <f>'Estados Financieros'!$H$206+'Estados Financieros'!$H$201+'Estados Financieros'!$H$203</f>
        <v>0</v>
      </c>
      <c r="F39" s="3587" t="str">
        <f t="shared" si="0"/>
        <v>-</v>
      </c>
      <c r="G39" s="3588">
        <f>'Estados Financieros'!$G$206+'Estados Financieros'!$G$201+'Estados Financieros'!$G$203</f>
        <v>0</v>
      </c>
      <c r="H39" s="3587" t="str">
        <f t="shared" si="1"/>
        <v>-</v>
      </c>
      <c r="I39" s="3588">
        <f>'Estados Financieros'!$F$206+'Estados Financieros'!$F$201+'Estados Financieros'!$F$203</f>
        <v>0</v>
      </c>
      <c r="J39" s="3587" t="str">
        <f t="shared" si="2"/>
        <v>-</v>
      </c>
      <c r="K39" s="3588">
        <f>'Estados Financieros'!$E$206+'Estados Financieros'!$E$201+'Estados Financieros'!$E$203</f>
        <v>0</v>
      </c>
      <c r="L39" s="3587" t="str">
        <f t="shared" si="3"/>
        <v>-</v>
      </c>
      <c r="N39" s="3587" t="str">
        <f t="shared" si="4"/>
        <v>-</v>
      </c>
      <c r="O39" s="3587" t="str">
        <f t="shared" si="5"/>
        <v>-</v>
      </c>
      <c r="P39" s="3587" t="str">
        <f t="shared" si="6"/>
        <v>-</v>
      </c>
    </row>
    <row r="40" spans="3:16">
      <c r="C40" s="3604" t="s">
        <v>2219</v>
      </c>
      <c r="D40" s="3589" t="s">
        <v>2225</v>
      </c>
      <c r="E40" s="3593">
        <f>'Estados Financieros'!$H$202</f>
        <v>0</v>
      </c>
      <c r="F40" s="3587" t="str">
        <f t="shared" si="0"/>
        <v>-</v>
      </c>
      <c r="G40" s="3588">
        <f>'Estados Financieros'!$G$202</f>
        <v>0</v>
      </c>
      <c r="H40" s="3587" t="str">
        <f t="shared" si="1"/>
        <v>-</v>
      </c>
      <c r="I40" s="3588">
        <f>'Estados Financieros'!$F$202</f>
        <v>0</v>
      </c>
      <c r="J40" s="3587" t="str">
        <f t="shared" si="2"/>
        <v>-</v>
      </c>
      <c r="K40" s="3588">
        <f>'Estados Financieros'!$E$202</f>
        <v>0</v>
      </c>
      <c r="L40" s="3587" t="str">
        <f t="shared" si="3"/>
        <v>-</v>
      </c>
      <c r="N40" s="3587" t="str">
        <f t="shared" si="4"/>
        <v>-</v>
      </c>
      <c r="O40" s="3587" t="str">
        <f t="shared" si="5"/>
        <v>-</v>
      </c>
      <c r="P40" s="3587" t="str">
        <f t="shared" si="6"/>
        <v>-</v>
      </c>
    </row>
    <row r="41" spans="3:16">
      <c r="C41" s="3604" t="s">
        <v>2219</v>
      </c>
      <c r="D41" s="3589" t="s">
        <v>2224</v>
      </c>
      <c r="E41" s="3593">
        <f>'Estados Financieros'!$H$207+'Estados Financieros'!$H$208</f>
        <v>0</v>
      </c>
      <c r="F41" s="3587" t="str">
        <f t="shared" si="0"/>
        <v>-</v>
      </c>
      <c r="G41" s="3588">
        <f>'Estados Financieros'!$G$207+'Estados Financieros'!$G$208</f>
        <v>0</v>
      </c>
      <c r="H41" s="3587" t="str">
        <f t="shared" si="1"/>
        <v>-</v>
      </c>
      <c r="I41" s="3588">
        <f>'Estados Financieros'!$F$207+'Estados Financieros'!$F$208</f>
        <v>0</v>
      </c>
      <c r="J41" s="3587" t="str">
        <f t="shared" si="2"/>
        <v>-</v>
      </c>
      <c r="K41" s="3588">
        <f>'Estados Financieros'!$E$207+'Estados Financieros'!$E$208</f>
        <v>0</v>
      </c>
      <c r="L41" s="3587" t="str">
        <f t="shared" si="3"/>
        <v>-</v>
      </c>
      <c r="N41" s="3587" t="str">
        <f t="shared" si="4"/>
        <v>-</v>
      </c>
      <c r="O41" s="3587" t="str">
        <f t="shared" si="5"/>
        <v>-</v>
      </c>
      <c r="P41" s="3587" t="str">
        <f t="shared" si="6"/>
        <v>-</v>
      </c>
    </row>
    <row r="42" spans="3:16">
      <c r="C42" s="3604" t="s">
        <v>2219</v>
      </c>
      <c r="D42" s="3589" t="s">
        <v>2223</v>
      </c>
      <c r="E42" s="3593">
        <f>'Estados Financieros'!$H$213+'Estados Financieros'!$H$214</f>
        <v>0</v>
      </c>
      <c r="F42" s="3587" t="str">
        <f t="shared" si="0"/>
        <v>-</v>
      </c>
      <c r="G42" s="3588">
        <f>'Estados Financieros'!$G$213+'Estados Financieros'!$G$214</f>
        <v>0</v>
      </c>
      <c r="H42" s="3587" t="str">
        <f t="shared" si="1"/>
        <v>-</v>
      </c>
      <c r="I42" s="3588">
        <f>'Estados Financieros'!$F$213+'Estados Financieros'!$F$214</f>
        <v>0</v>
      </c>
      <c r="J42" s="3587" t="str">
        <f t="shared" si="2"/>
        <v>-</v>
      </c>
      <c r="K42" s="3588">
        <f>'Estados Financieros'!$E$213+'Estados Financieros'!$E$214</f>
        <v>0</v>
      </c>
      <c r="L42" s="3587" t="str">
        <f t="shared" si="3"/>
        <v>-</v>
      </c>
      <c r="N42" s="3587" t="str">
        <f t="shared" si="4"/>
        <v>-</v>
      </c>
      <c r="O42" s="3587" t="str">
        <f t="shared" si="5"/>
        <v>-</v>
      </c>
      <c r="P42" s="3587" t="str">
        <f t="shared" si="6"/>
        <v>-</v>
      </c>
    </row>
    <row r="43" spans="3:16">
      <c r="C43" s="3604" t="s">
        <v>2219</v>
      </c>
      <c r="D43" s="3589" t="s">
        <v>704</v>
      </c>
      <c r="E43" s="3593">
        <f>'Estados Financieros'!$H$233+'Estados Financieros'!$H$256</f>
        <v>0</v>
      </c>
      <c r="F43" s="3587" t="str">
        <f t="shared" ref="F43:F74" si="7">IF(E43=0,"-",E43/$E$34)</f>
        <v>-</v>
      </c>
      <c r="G43" s="3588">
        <f>'Estados Financieros'!$G$233+'Estados Financieros'!$G$256</f>
        <v>0</v>
      </c>
      <c r="H43" s="3587" t="str">
        <f t="shared" ref="H43:H74" si="8">IF(G43=0,"-",G43/$G$34)</f>
        <v>-</v>
      </c>
      <c r="I43" s="3588">
        <f>'Estados Financieros'!$F$233+'Estados Financieros'!$F$256</f>
        <v>0</v>
      </c>
      <c r="J43" s="3587" t="str">
        <f t="shared" ref="J43:J74" si="9">IF(I43=0,"-",I43/$I$34)</f>
        <v>-</v>
      </c>
      <c r="K43" s="3588">
        <f>'Estados Financieros'!$E$233+'Estados Financieros'!$E$256</f>
        <v>0</v>
      </c>
      <c r="L43" s="3587" t="str">
        <f t="shared" ref="L43:L74" si="10">IF(K43=0,"-",K43/$K$34)</f>
        <v>-</v>
      </c>
      <c r="N43" s="3587" t="str">
        <f t="shared" ref="N43:N64" si="11">IF(G43=0,"-",(E43-G43)/G43)</f>
        <v>-</v>
      </c>
      <c r="O43" s="3587" t="str">
        <f t="shared" ref="O43:O64" si="12">IF(I43=0,"-",(G43-I43)/I43)</f>
        <v>-</v>
      </c>
      <c r="P43" s="3587" t="str">
        <f t="shared" ref="P43:P64" si="13">IF(K43=0,"-",(I43-K43)/K43)</f>
        <v>-</v>
      </c>
    </row>
    <row r="44" spans="3:16">
      <c r="C44" s="3604" t="s">
        <v>2219</v>
      </c>
      <c r="D44" s="3589" t="s">
        <v>2222</v>
      </c>
      <c r="E44" s="3593">
        <f>'Estados Financieros'!$H$254+'Estados Financieros'!$H$255+'Estados Financieros'!$H$257+'Estados Financieros'!$H$258+'Estados Financieros'!$H$259</f>
        <v>0</v>
      </c>
      <c r="F44" s="3587" t="str">
        <f t="shared" si="7"/>
        <v>-</v>
      </c>
      <c r="G44" s="3588">
        <f>'Estados Financieros'!$G$254+'Estados Financieros'!$G$255+'Estados Financieros'!$G$257+'Estados Financieros'!$G$258+'Estados Financieros'!$G$259</f>
        <v>0</v>
      </c>
      <c r="H44" s="3587" t="str">
        <f t="shared" si="8"/>
        <v>-</v>
      </c>
      <c r="I44" s="3588">
        <f>'Estados Financieros'!$F$254+'Estados Financieros'!$F$255+'Estados Financieros'!$F$257+'Estados Financieros'!$F$258+'Estados Financieros'!$F$259</f>
        <v>0</v>
      </c>
      <c r="J44" s="3587" t="str">
        <f t="shared" si="9"/>
        <v>-</v>
      </c>
      <c r="K44" s="3588">
        <f>'Estados Financieros'!$E$254+'Estados Financieros'!$E$255+'Estados Financieros'!$E$257+'Estados Financieros'!$E$258+'Estados Financieros'!$E$259</f>
        <v>0</v>
      </c>
      <c r="L44" s="3587" t="str">
        <f t="shared" si="10"/>
        <v>-</v>
      </c>
      <c r="N44" s="3587" t="str">
        <f t="shared" si="11"/>
        <v>-</v>
      </c>
      <c r="O44" s="3587" t="str">
        <f t="shared" si="12"/>
        <v>-</v>
      </c>
      <c r="P44" s="3587" t="str">
        <f t="shared" si="13"/>
        <v>-</v>
      </c>
    </row>
    <row r="45" spans="3:16">
      <c r="C45" s="3604" t="s">
        <v>2219</v>
      </c>
      <c r="D45" s="3589" t="s">
        <v>2221</v>
      </c>
      <c r="E45" s="3593">
        <f>'Estados Financieros'!$H$235+'Estados Financieros'!$H$210+'Estados Financieros'!$H$209+'Estados Financieros'!$H$211+'Estados Financieros'!$H$212</f>
        <v>0</v>
      </c>
      <c r="F45" s="3587" t="str">
        <f t="shared" si="7"/>
        <v>-</v>
      </c>
      <c r="G45" s="3588">
        <f>'Estados Financieros'!$G$235+'Estados Financieros'!$G$210+'Estados Financieros'!$G$209+'Estados Financieros'!$G$211+'Estados Financieros'!$G$212</f>
        <v>0</v>
      </c>
      <c r="H45" s="3587" t="str">
        <f t="shared" si="8"/>
        <v>-</v>
      </c>
      <c r="I45" s="3588">
        <f>'Estados Financieros'!$F$235+'Estados Financieros'!$F$210+'Estados Financieros'!$F$209+'Estados Financieros'!$F$211+'Estados Financieros'!$F$212</f>
        <v>0</v>
      </c>
      <c r="J45" s="3587" t="str">
        <f t="shared" si="9"/>
        <v>-</v>
      </c>
      <c r="K45" s="3588">
        <f>'Estados Financieros'!$E$235+'Estados Financieros'!$E$210+'Estados Financieros'!$E$209+'Estados Financieros'!$E$211+'Estados Financieros'!$E$212</f>
        <v>0</v>
      </c>
      <c r="L45" s="3587" t="str">
        <f t="shared" si="10"/>
        <v>-</v>
      </c>
      <c r="N45" s="3587" t="str">
        <f t="shared" si="11"/>
        <v>-</v>
      </c>
      <c r="O45" s="3587" t="str">
        <f t="shared" si="12"/>
        <v>-</v>
      </c>
      <c r="P45" s="3587" t="str">
        <f t="shared" si="13"/>
        <v>-</v>
      </c>
    </row>
    <row r="46" spans="3:16">
      <c r="C46" s="3604" t="s">
        <v>2219</v>
      </c>
      <c r="D46" s="3589" t="s">
        <v>2220</v>
      </c>
      <c r="E46" s="3593">
        <f>'Estados Financieros'!$H$236+'Estados Financieros'!$H$237+'Estados Financieros'!$H$238+'Estados Financieros'!$H$239+'Estados Financieros'!$H$240+'Estados Financieros'!$H$252+'Estados Financieros'!$H$264+'Estados Financieros'!$H$216+'Estados Financieros'!$H$217+'Estados Financieros'!$H$218+'Estados Financieros'!$H$215</f>
        <v>0</v>
      </c>
      <c r="F46" s="3587" t="str">
        <f t="shared" si="7"/>
        <v>-</v>
      </c>
      <c r="G46" s="3588">
        <f>'Estados Financieros'!$G$236+'Estados Financieros'!$G$237+'Estados Financieros'!$G$238+'Estados Financieros'!$G$239+'Estados Financieros'!$G$240+'Estados Financieros'!$G$252+'Estados Financieros'!$G$264+'Estados Financieros'!$G$216+'Estados Financieros'!$G$217+'Estados Financieros'!$G$218+'Estados Financieros'!$G$215</f>
        <v>0</v>
      </c>
      <c r="H46" s="3587" t="str">
        <f t="shared" si="8"/>
        <v>-</v>
      </c>
      <c r="I46" s="3588">
        <f>'Estados Financieros'!$F$236+'Estados Financieros'!$F$237+'Estados Financieros'!$F$238+'Estados Financieros'!$F$239+'Estados Financieros'!$F$240+'Estados Financieros'!$F$252+'Estados Financieros'!$F$264+'Estados Financieros'!$F$216+'Estados Financieros'!$F$217+'Estados Financieros'!$F$218+'Estados Financieros'!$F$215</f>
        <v>0</v>
      </c>
      <c r="J46" s="3587" t="str">
        <f t="shared" si="9"/>
        <v>-</v>
      </c>
      <c r="K46" s="3588">
        <f>'Estados Financieros'!$E$236+'Estados Financieros'!$E$237+'Estados Financieros'!$E$238+'Estados Financieros'!$E$239+'Estados Financieros'!$E$240+'Estados Financieros'!$E$252+'Estados Financieros'!$E$264+'Estados Financieros'!$E$216+'Estados Financieros'!$E$217+'Estados Financieros'!$E$218+'Estados Financieros'!$E$215</f>
        <v>0</v>
      </c>
      <c r="L46" s="3587" t="str">
        <f t="shared" si="10"/>
        <v>-</v>
      </c>
      <c r="N46" s="3587" t="str">
        <f t="shared" si="11"/>
        <v>-</v>
      </c>
      <c r="O46" s="3587" t="str">
        <f t="shared" si="12"/>
        <v>-</v>
      </c>
      <c r="P46" s="3587" t="str">
        <f t="shared" si="13"/>
        <v>-</v>
      </c>
    </row>
    <row r="47" spans="3:16">
      <c r="C47" s="3604" t="s">
        <v>2219</v>
      </c>
      <c r="D47" s="3589" t="s">
        <v>2218</v>
      </c>
      <c r="E47" s="3593">
        <f>'Estados Financieros'!$H$262+'Estados Financieros'!$H$263+'Estados Financieros'!$H$265+'Estados Financieros'!$H$266+'Estados Financieros'!$H$219+'Estados Financieros'!$H$220</f>
        <v>0</v>
      </c>
      <c r="F47" s="3587" t="str">
        <f t="shared" si="7"/>
        <v>-</v>
      </c>
      <c r="G47" s="3588">
        <f>'Estados Financieros'!$G$262+'Estados Financieros'!$G$263+'Estados Financieros'!$G$265+'Estados Financieros'!$G$266+'Estados Financieros'!$G$219+'Estados Financieros'!$G$220</f>
        <v>0</v>
      </c>
      <c r="H47" s="3587" t="str">
        <f t="shared" si="8"/>
        <v>-</v>
      </c>
      <c r="I47" s="3588">
        <f>'Estados Financieros'!$F$262+'Estados Financieros'!$F$263+'Estados Financieros'!$F$265+'Estados Financieros'!$F$266+'Estados Financieros'!$F$219+'Estados Financieros'!$F$220</f>
        <v>0</v>
      </c>
      <c r="J47" s="3587" t="str">
        <f t="shared" si="9"/>
        <v>-</v>
      </c>
      <c r="K47" s="3588">
        <f>'Estados Financieros'!$E$262+'Estados Financieros'!$E$263+'Estados Financieros'!$E$265+'Estados Financieros'!$E$266+'Estados Financieros'!$E$219+'Estados Financieros'!$E$220</f>
        <v>0</v>
      </c>
      <c r="L47" s="3587" t="str">
        <f t="shared" si="10"/>
        <v>-</v>
      </c>
      <c r="N47" s="3587" t="str">
        <f t="shared" si="11"/>
        <v>-</v>
      </c>
      <c r="O47" s="3587" t="str">
        <f t="shared" si="12"/>
        <v>-</v>
      </c>
      <c r="P47" s="3587" t="str">
        <f t="shared" si="13"/>
        <v>-</v>
      </c>
    </row>
    <row r="48" spans="3:16" ht="14">
      <c r="C48" s="3603"/>
      <c r="D48" s="3602" t="s">
        <v>762</v>
      </c>
      <c r="E48" s="3601">
        <f>SUM(E49:E54)</f>
        <v>0</v>
      </c>
      <c r="F48" s="3599" t="str">
        <f t="shared" si="7"/>
        <v>-</v>
      </c>
      <c r="G48" s="3600">
        <f>SUM(G49:G54)</f>
        <v>0</v>
      </c>
      <c r="H48" s="3599" t="str">
        <f t="shared" si="8"/>
        <v>-</v>
      </c>
      <c r="I48" s="3600">
        <f>SUM(I49:I54)</f>
        <v>0</v>
      </c>
      <c r="J48" s="3599" t="str">
        <f t="shared" si="9"/>
        <v>-</v>
      </c>
      <c r="K48" s="3600">
        <f>SUM(K49:K54)</f>
        <v>0</v>
      </c>
      <c r="L48" s="3599" t="str">
        <f t="shared" si="10"/>
        <v>-</v>
      </c>
      <c r="N48" s="3599" t="str">
        <f t="shared" si="11"/>
        <v>-</v>
      </c>
      <c r="O48" s="3599" t="str">
        <f t="shared" si="12"/>
        <v>-</v>
      </c>
      <c r="P48" s="3599" t="str">
        <f t="shared" si="13"/>
        <v>-</v>
      </c>
    </row>
    <row r="49" spans="3:16">
      <c r="C49" s="3604" t="s">
        <v>2209</v>
      </c>
      <c r="D49" s="3589" t="s">
        <v>2217</v>
      </c>
      <c r="E49" s="3593">
        <f>'Estados Financieros'!$H$271</f>
        <v>0</v>
      </c>
      <c r="F49" s="3587" t="str">
        <f t="shared" si="7"/>
        <v>-</v>
      </c>
      <c r="G49" s="3588">
        <f>'Estados Financieros'!$G$271</f>
        <v>0</v>
      </c>
      <c r="H49" s="3587" t="str">
        <f t="shared" si="8"/>
        <v>-</v>
      </c>
      <c r="I49" s="3588">
        <f>'Estados Financieros'!$F$271</f>
        <v>0</v>
      </c>
      <c r="J49" s="3587" t="str">
        <f t="shared" si="9"/>
        <v>-</v>
      </c>
      <c r="K49" s="3588">
        <f>'Estados Financieros'!$E$271</f>
        <v>0</v>
      </c>
      <c r="L49" s="3587" t="str">
        <f t="shared" si="10"/>
        <v>-</v>
      </c>
      <c r="N49" s="3587" t="str">
        <f t="shared" si="11"/>
        <v>-</v>
      </c>
      <c r="O49" s="3587" t="str">
        <f t="shared" si="12"/>
        <v>-</v>
      </c>
      <c r="P49" s="3587" t="str">
        <f t="shared" si="13"/>
        <v>-</v>
      </c>
    </row>
    <row r="50" spans="3:16">
      <c r="C50" s="3604" t="s">
        <v>2209</v>
      </c>
      <c r="D50" s="3589" t="s">
        <v>2216</v>
      </c>
      <c r="E50" s="3593">
        <f>'Estados Financieros'!$H$278+'Estados Financieros'!$H$279+'Estados Financieros'!$H$285+'Estados Financieros'!$H$284+'Estados Financieros'!$H$336</f>
        <v>0</v>
      </c>
      <c r="F50" s="3587" t="str">
        <f t="shared" si="7"/>
        <v>-</v>
      </c>
      <c r="G50" s="3588">
        <f>'Estados Financieros'!$G$278+'Estados Financieros'!$G$279+'Estados Financieros'!$G$285+'Estados Financieros'!$G$284+'Estados Financieros'!$G$336</f>
        <v>0</v>
      </c>
      <c r="H50" s="3587" t="str">
        <f t="shared" si="8"/>
        <v>-</v>
      </c>
      <c r="I50" s="3588">
        <f>'Estados Financieros'!$F$278+'Estados Financieros'!$F$279+'Estados Financieros'!$F$285+'Estados Financieros'!$F$284+'Estados Financieros'!$F$336</f>
        <v>0</v>
      </c>
      <c r="J50" s="3587" t="str">
        <f t="shared" si="9"/>
        <v>-</v>
      </c>
      <c r="K50" s="3588">
        <f>'Estados Financieros'!$E$278+'Estados Financieros'!$E$279+'Estados Financieros'!$E$285+'Estados Financieros'!$E$284+'Estados Financieros'!$E$336</f>
        <v>0</v>
      </c>
      <c r="L50" s="3587" t="str">
        <f t="shared" si="10"/>
        <v>-</v>
      </c>
      <c r="N50" s="3587" t="str">
        <f t="shared" si="11"/>
        <v>-</v>
      </c>
      <c r="O50" s="3587" t="str">
        <f t="shared" si="12"/>
        <v>-</v>
      </c>
      <c r="P50" s="3587" t="str">
        <f t="shared" si="13"/>
        <v>-</v>
      </c>
    </row>
    <row r="51" spans="3:16">
      <c r="C51" s="3604" t="s">
        <v>2209</v>
      </c>
      <c r="D51" s="3589" t="s">
        <v>2215</v>
      </c>
      <c r="E51" s="3593">
        <f>'Estados Financieros'!$H$275+'Estados Financieros'!$H$276+'Estados Financieros'!$H$277+'Estados Financieros'!$H$280+'Estados Financieros'!$H$282+'Estados Financieros'!$H$289</f>
        <v>0</v>
      </c>
      <c r="F51" s="3587" t="str">
        <f t="shared" si="7"/>
        <v>-</v>
      </c>
      <c r="G51" s="3588">
        <f>'Estados Financieros'!$G$275+'Estados Financieros'!$G$276+'Estados Financieros'!$G$277+'Estados Financieros'!$G$280+'Estados Financieros'!$G$282+'Estados Financieros'!$G$289</f>
        <v>0</v>
      </c>
      <c r="H51" s="3587" t="str">
        <f t="shared" si="8"/>
        <v>-</v>
      </c>
      <c r="I51" s="3588">
        <f>'Estados Financieros'!$F$275+'Estados Financieros'!$F$276+'Estados Financieros'!$F$277+'Estados Financieros'!$F$280+'Estados Financieros'!$F$282+'Estados Financieros'!$F$289</f>
        <v>0</v>
      </c>
      <c r="J51" s="3587" t="str">
        <f t="shared" si="9"/>
        <v>-</v>
      </c>
      <c r="K51" s="3588">
        <f>'Estados Financieros'!$E$275+'Estados Financieros'!$E$276+'Estados Financieros'!$E$277+'Estados Financieros'!$E$280+'Estados Financieros'!$E$282+'Estados Financieros'!$E$289</f>
        <v>0</v>
      </c>
      <c r="L51" s="3587" t="str">
        <f t="shared" si="10"/>
        <v>-</v>
      </c>
      <c r="N51" s="3587" t="str">
        <f t="shared" si="11"/>
        <v>-</v>
      </c>
      <c r="O51" s="3587" t="str">
        <f t="shared" si="12"/>
        <v>-</v>
      </c>
      <c r="P51" s="3587" t="str">
        <f t="shared" si="13"/>
        <v>-</v>
      </c>
    </row>
    <row r="52" spans="3:16">
      <c r="C52" s="3604" t="s">
        <v>2209</v>
      </c>
      <c r="D52" s="3589" t="s">
        <v>2214</v>
      </c>
      <c r="E52" s="3593">
        <f>'Estados Financieros'!$H$281+'Estados Financieros'!$H$283+'Estados Financieros'!$H$310+'Estados Financieros'!$H$321</f>
        <v>0</v>
      </c>
      <c r="F52" s="3587" t="str">
        <f t="shared" si="7"/>
        <v>-</v>
      </c>
      <c r="G52" s="3588">
        <f>'Estados Financieros'!$G$281+'Estados Financieros'!$G$283+'Estados Financieros'!$G$310+'Estados Financieros'!$G$321</f>
        <v>0</v>
      </c>
      <c r="H52" s="3587" t="str">
        <f t="shared" si="8"/>
        <v>-</v>
      </c>
      <c r="I52" s="3588">
        <f>'Estados Financieros'!$F$281+'Estados Financieros'!$F$283+'Estados Financieros'!$F$310+'Estados Financieros'!$F$321</f>
        <v>0</v>
      </c>
      <c r="J52" s="3587" t="str">
        <f t="shared" si="9"/>
        <v>-</v>
      </c>
      <c r="K52" s="3588">
        <f>'Estados Financieros'!$E$281+'Estados Financieros'!$E$283+'Estados Financieros'!$E$310+'Estados Financieros'!$E$321</f>
        <v>0</v>
      </c>
      <c r="L52" s="3587" t="str">
        <f t="shared" si="10"/>
        <v>-</v>
      </c>
      <c r="N52" s="3587" t="str">
        <f t="shared" si="11"/>
        <v>-</v>
      </c>
      <c r="O52" s="3587" t="str">
        <f t="shared" si="12"/>
        <v>-</v>
      </c>
      <c r="P52" s="3587" t="str">
        <f t="shared" si="13"/>
        <v>-</v>
      </c>
    </row>
    <row r="53" spans="3:16">
      <c r="C53" s="3604" t="s">
        <v>2209</v>
      </c>
      <c r="D53" s="3589" t="s">
        <v>2213</v>
      </c>
      <c r="E53" s="3593">
        <f>'Estados Financieros'!$H$302</f>
        <v>0</v>
      </c>
      <c r="F53" s="3587" t="str">
        <f t="shared" si="7"/>
        <v>-</v>
      </c>
      <c r="G53" s="3588">
        <f>'Estados Financieros'!$G$302</f>
        <v>0</v>
      </c>
      <c r="H53" s="3587" t="str">
        <f t="shared" si="8"/>
        <v>-</v>
      </c>
      <c r="I53" s="3588">
        <f>'Estados Financieros'!$F$302</f>
        <v>0</v>
      </c>
      <c r="J53" s="3587" t="str">
        <f t="shared" si="9"/>
        <v>-</v>
      </c>
      <c r="K53" s="3588">
        <f>'Estados Financieros'!$E$302</f>
        <v>0</v>
      </c>
      <c r="L53" s="3587" t="str">
        <f t="shared" si="10"/>
        <v>-</v>
      </c>
      <c r="N53" s="3587" t="str">
        <f t="shared" si="11"/>
        <v>-</v>
      </c>
      <c r="O53" s="3587" t="str">
        <f t="shared" si="12"/>
        <v>-</v>
      </c>
      <c r="P53" s="3587" t="str">
        <f t="shared" si="13"/>
        <v>-</v>
      </c>
    </row>
    <row r="54" spans="3:16">
      <c r="C54" s="3604" t="s">
        <v>2209</v>
      </c>
      <c r="D54" s="3589" t="s">
        <v>2212</v>
      </c>
      <c r="E54" s="3593">
        <f>'Estados Financieros'!$H$286+'Estados Financieros'!$H$287+'Estados Financieros'!$H$288+'Estados Financieros'!$H$329+'Estados Financieros'!$H$272</f>
        <v>0</v>
      </c>
      <c r="F54" s="3587" t="str">
        <f t="shared" si="7"/>
        <v>-</v>
      </c>
      <c r="G54" s="3588">
        <f>'Estados Financieros'!$G$286+'Estados Financieros'!$G$287+'Estados Financieros'!$G$288+'Estados Financieros'!$G$329+'Estados Financieros'!$G$272</f>
        <v>0</v>
      </c>
      <c r="H54" s="3587" t="str">
        <f t="shared" si="8"/>
        <v>-</v>
      </c>
      <c r="I54" s="3588">
        <f>'Estados Financieros'!$F$286+'Estados Financieros'!$F$287+'Estados Financieros'!$F$288+'Estados Financieros'!$F$329+'Estados Financieros'!$F$272</f>
        <v>0</v>
      </c>
      <c r="J54" s="3587" t="str">
        <f t="shared" si="9"/>
        <v>-</v>
      </c>
      <c r="K54" s="3588">
        <f>'Estados Financieros'!$E$286+'Estados Financieros'!$E$287+'Estados Financieros'!$E$288+'Estados Financieros'!$E$329+'Estados Financieros'!$E$272</f>
        <v>0</v>
      </c>
      <c r="L54" s="3587" t="str">
        <f t="shared" si="10"/>
        <v>-</v>
      </c>
      <c r="N54" s="3587" t="str">
        <f t="shared" si="11"/>
        <v>-</v>
      </c>
      <c r="O54" s="3587" t="str">
        <f t="shared" si="12"/>
        <v>-</v>
      </c>
      <c r="P54" s="3587" t="str">
        <f t="shared" si="13"/>
        <v>-</v>
      </c>
    </row>
    <row r="55" spans="3:16" ht="14">
      <c r="C55" s="3603"/>
      <c r="D55" s="3602" t="s">
        <v>2211</v>
      </c>
      <c r="E55" s="3601">
        <f>E48+E35</f>
        <v>0</v>
      </c>
      <c r="F55" s="3599" t="str">
        <f t="shared" si="7"/>
        <v>-</v>
      </c>
      <c r="G55" s="3600">
        <f>G48+G35</f>
        <v>0</v>
      </c>
      <c r="H55" s="3599" t="str">
        <f t="shared" si="8"/>
        <v>-</v>
      </c>
      <c r="I55" s="3600">
        <f>I48+I35</f>
        <v>0</v>
      </c>
      <c r="J55" s="3599" t="str">
        <f t="shared" si="9"/>
        <v>-</v>
      </c>
      <c r="K55" s="3600">
        <f>K48+K35</f>
        <v>0</v>
      </c>
      <c r="L55" s="3599" t="str">
        <f t="shared" si="10"/>
        <v>-</v>
      </c>
      <c r="N55" s="3599" t="str">
        <f t="shared" si="11"/>
        <v>-</v>
      </c>
      <c r="O55" s="3599" t="str">
        <f t="shared" si="12"/>
        <v>-</v>
      </c>
      <c r="P55" s="3599" t="str">
        <f t="shared" si="13"/>
        <v>-</v>
      </c>
    </row>
    <row r="56" spans="3:16" ht="14">
      <c r="C56" s="3603"/>
      <c r="D56" s="3602" t="s">
        <v>764</v>
      </c>
      <c r="E56" s="3601">
        <f>SUM(E57:E63)</f>
        <v>0</v>
      </c>
      <c r="F56" s="3599" t="str">
        <f t="shared" si="7"/>
        <v>-</v>
      </c>
      <c r="G56" s="3600">
        <f>SUM(G57:G63)</f>
        <v>0</v>
      </c>
      <c r="H56" s="3599" t="str">
        <f t="shared" si="8"/>
        <v>-</v>
      </c>
      <c r="I56" s="3600">
        <f>SUM(I57:I63)</f>
        <v>0</v>
      </c>
      <c r="J56" s="3599" t="str">
        <f t="shared" si="9"/>
        <v>-</v>
      </c>
      <c r="K56" s="3600">
        <f>SUM(K57:K63)</f>
        <v>0</v>
      </c>
      <c r="L56" s="3599" t="str">
        <f t="shared" si="10"/>
        <v>-</v>
      </c>
      <c r="N56" s="3599" t="str">
        <f t="shared" si="11"/>
        <v>-</v>
      </c>
      <c r="O56" s="3599" t="str">
        <f t="shared" si="12"/>
        <v>-</v>
      </c>
      <c r="P56" s="3599" t="str">
        <f t="shared" si="13"/>
        <v>-</v>
      </c>
    </row>
    <row r="57" spans="3:16">
      <c r="C57" s="3604" t="s">
        <v>2209</v>
      </c>
      <c r="D57" s="3589" t="s">
        <v>765</v>
      </c>
      <c r="E57" s="3593">
        <f>'Estados Financieros'!$H$342</f>
        <v>0</v>
      </c>
      <c r="F57" s="3587" t="str">
        <f t="shared" si="7"/>
        <v>-</v>
      </c>
      <c r="G57" s="3588">
        <f>'Estados Financieros'!$G$342</f>
        <v>0</v>
      </c>
      <c r="H57" s="3587" t="str">
        <f t="shared" si="8"/>
        <v>-</v>
      </c>
      <c r="I57" s="3588">
        <f>'Estados Financieros'!$F$342</f>
        <v>0</v>
      </c>
      <c r="J57" s="3587" t="str">
        <f t="shared" si="9"/>
        <v>-</v>
      </c>
      <c r="K57" s="3588">
        <f>'Estados Financieros'!$E$342</f>
        <v>0</v>
      </c>
      <c r="L57" s="3587" t="str">
        <f t="shared" si="10"/>
        <v>-</v>
      </c>
      <c r="N57" s="3587" t="str">
        <f t="shared" si="11"/>
        <v>-</v>
      </c>
      <c r="O57" s="3587" t="str">
        <f t="shared" si="12"/>
        <v>-</v>
      </c>
      <c r="P57" s="3587" t="str">
        <f t="shared" si="13"/>
        <v>-</v>
      </c>
    </row>
    <row r="58" spans="3:16">
      <c r="C58" s="3604" t="s">
        <v>2209</v>
      </c>
      <c r="D58" s="3589" t="s">
        <v>1255</v>
      </c>
      <c r="E58" s="3593">
        <f>'Estados Financieros'!$H$343+'Estados Financieros'!$H$344+'Estados Financieros'!$H$345+'Estados Financieros'!$H$346+'Estados Financieros'!$H$347+'Estados Financieros'!$H$348</f>
        <v>0</v>
      </c>
      <c r="F58" s="3587" t="str">
        <f t="shared" si="7"/>
        <v>-</v>
      </c>
      <c r="G58" s="3588">
        <f>'Estados Financieros'!$G$343+'Estados Financieros'!$G$344+'Estados Financieros'!$G$345+'Estados Financieros'!$G$346+'Estados Financieros'!$G$347+'Estados Financieros'!$G$348</f>
        <v>0</v>
      </c>
      <c r="H58" s="3587" t="str">
        <f t="shared" si="8"/>
        <v>-</v>
      </c>
      <c r="I58" s="3588">
        <f>'Estados Financieros'!$F$343+'Estados Financieros'!$F$344+'Estados Financieros'!$F$345+'Estados Financieros'!$F$346+'Estados Financieros'!$F$347+'Estados Financieros'!$F$348</f>
        <v>0</v>
      </c>
      <c r="J58" s="3587" t="str">
        <f t="shared" si="9"/>
        <v>-</v>
      </c>
      <c r="K58" s="3588">
        <f>'Estados Financieros'!$E$343+'Estados Financieros'!$E$344+'Estados Financieros'!$E$345+'Estados Financieros'!$E$346+'Estados Financieros'!$E$347+'Estados Financieros'!$E$348</f>
        <v>0</v>
      </c>
      <c r="L58" s="3587" t="str">
        <f t="shared" si="10"/>
        <v>-</v>
      </c>
      <c r="N58" s="3587" t="str">
        <f t="shared" si="11"/>
        <v>-</v>
      </c>
      <c r="O58" s="3587" t="str">
        <f t="shared" si="12"/>
        <v>-</v>
      </c>
      <c r="P58" s="3587" t="str">
        <f t="shared" si="13"/>
        <v>-</v>
      </c>
    </row>
    <row r="59" spans="3:16">
      <c r="C59" s="3604" t="s">
        <v>2209</v>
      </c>
      <c r="D59" s="3589" t="s">
        <v>779</v>
      </c>
      <c r="E59" s="3593">
        <f>'Estados Financieros'!$H$362</f>
        <v>0</v>
      </c>
      <c r="F59" s="3587" t="str">
        <f t="shared" si="7"/>
        <v>-</v>
      </c>
      <c r="G59" s="3588">
        <f>'Estados Financieros'!$G$362</f>
        <v>0</v>
      </c>
      <c r="H59" s="3587" t="str">
        <f t="shared" si="8"/>
        <v>-</v>
      </c>
      <c r="I59" s="3588">
        <f>'Estados Financieros'!$F$362</f>
        <v>0</v>
      </c>
      <c r="J59" s="3587" t="str">
        <f t="shared" si="9"/>
        <v>-</v>
      </c>
      <c r="K59" s="3588">
        <f>'Estados Financieros'!$E$362</f>
        <v>0</v>
      </c>
      <c r="L59" s="3587" t="str">
        <f t="shared" si="10"/>
        <v>-</v>
      </c>
      <c r="N59" s="3587" t="str">
        <f t="shared" si="11"/>
        <v>-</v>
      </c>
      <c r="O59" s="3587" t="str">
        <f t="shared" si="12"/>
        <v>-</v>
      </c>
      <c r="P59" s="3587" t="str">
        <f t="shared" si="13"/>
        <v>-</v>
      </c>
    </row>
    <row r="60" spans="3:16">
      <c r="C60" s="3604" t="s">
        <v>2206</v>
      </c>
      <c r="D60" s="3589" t="s">
        <v>2210</v>
      </c>
      <c r="E60" s="3593">
        <f>'Estados Financieros'!$H$372+'Estados Financieros'!$H$368</f>
        <v>0</v>
      </c>
      <c r="F60" s="3587" t="str">
        <f t="shared" si="7"/>
        <v>-</v>
      </c>
      <c r="G60" s="3588">
        <f>'Estados Financieros'!$G$372+'Estados Financieros'!$G$368</f>
        <v>0</v>
      </c>
      <c r="H60" s="3587" t="str">
        <f t="shared" si="8"/>
        <v>-</v>
      </c>
      <c r="I60" s="3588">
        <f>'Estados Financieros'!$F$372+'Estados Financieros'!$F$368</f>
        <v>0</v>
      </c>
      <c r="J60" s="3587" t="str">
        <f t="shared" si="9"/>
        <v>-</v>
      </c>
      <c r="K60" s="3588">
        <f>'Estados Financieros'!$E$372+'Estados Financieros'!$E$368</f>
        <v>0</v>
      </c>
      <c r="L60" s="3587" t="str">
        <f t="shared" si="10"/>
        <v>-</v>
      </c>
      <c r="N60" s="3587" t="str">
        <f t="shared" si="11"/>
        <v>-</v>
      </c>
      <c r="O60" s="3587" t="str">
        <f t="shared" si="12"/>
        <v>-</v>
      </c>
      <c r="P60" s="3587" t="str">
        <f t="shared" si="13"/>
        <v>-</v>
      </c>
    </row>
    <row r="61" spans="3:16">
      <c r="C61" s="3604" t="s">
        <v>2209</v>
      </c>
      <c r="D61" s="3589" t="s">
        <v>2208</v>
      </c>
      <c r="E61" s="3593">
        <f>'Estados Financieros'!$H$357+'Estados Financieros'!$H$369</f>
        <v>0</v>
      </c>
      <c r="F61" s="3587" t="str">
        <f t="shared" si="7"/>
        <v>-</v>
      </c>
      <c r="G61" s="3588">
        <f>'Estados Financieros'!$G$357+'Estados Financieros'!$G$369</f>
        <v>0</v>
      </c>
      <c r="H61" s="3587" t="str">
        <f t="shared" si="8"/>
        <v>-</v>
      </c>
      <c r="I61" s="3588">
        <f>'Estados Financieros'!$F$357+'Estados Financieros'!$F$369</f>
        <v>0</v>
      </c>
      <c r="J61" s="3587" t="str">
        <f t="shared" si="9"/>
        <v>-</v>
      </c>
      <c r="K61" s="3588">
        <f>'Estados Financieros'!$E$357+'Estados Financieros'!$E$369</f>
        <v>0</v>
      </c>
      <c r="L61" s="3587" t="str">
        <f t="shared" si="10"/>
        <v>-</v>
      </c>
      <c r="N61" s="3587" t="str">
        <f t="shared" si="11"/>
        <v>-</v>
      </c>
      <c r="O61" s="3587" t="str">
        <f t="shared" si="12"/>
        <v>-</v>
      </c>
      <c r="P61" s="3587" t="str">
        <f t="shared" si="13"/>
        <v>-</v>
      </c>
    </row>
    <row r="62" spans="3:16">
      <c r="C62" s="3604" t="s">
        <v>2206</v>
      </c>
      <c r="D62" s="3589" t="s">
        <v>2207</v>
      </c>
      <c r="E62" s="3593">
        <f>'Estados Financieros'!$H$371</f>
        <v>0</v>
      </c>
      <c r="F62" s="3587" t="str">
        <f t="shared" si="7"/>
        <v>-</v>
      </c>
      <c r="G62" s="3588">
        <f>'Estados Financieros'!$G$371</f>
        <v>0</v>
      </c>
      <c r="H62" s="3587" t="str">
        <f t="shared" si="8"/>
        <v>-</v>
      </c>
      <c r="I62" s="3588">
        <f>'Estados Financieros'!$F$371</f>
        <v>0</v>
      </c>
      <c r="J62" s="3587" t="str">
        <f t="shared" si="9"/>
        <v>-</v>
      </c>
      <c r="K62" s="3588">
        <f>'Estados Financieros'!$E$371</f>
        <v>0</v>
      </c>
      <c r="L62" s="3587" t="str">
        <f t="shared" si="10"/>
        <v>-</v>
      </c>
      <c r="N62" s="3587" t="str">
        <f t="shared" si="11"/>
        <v>-</v>
      </c>
      <c r="O62" s="3587" t="str">
        <f t="shared" si="12"/>
        <v>-</v>
      </c>
      <c r="P62" s="3587" t="str">
        <f t="shared" si="13"/>
        <v>-</v>
      </c>
    </row>
    <row r="63" spans="3:16">
      <c r="C63" s="3604" t="s">
        <v>2206</v>
      </c>
      <c r="D63" s="3589" t="s">
        <v>2205</v>
      </c>
      <c r="E63" s="3593">
        <f>'Estados Financieros'!$H$370</f>
        <v>0</v>
      </c>
      <c r="F63" s="3587" t="str">
        <f t="shared" si="7"/>
        <v>-</v>
      </c>
      <c r="G63" s="3588">
        <f>'Estados Financieros'!$G$370</f>
        <v>0</v>
      </c>
      <c r="H63" s="3587" t="str">
        <f t="shared" si="8"/>
        <v>-</v>
      </c>
      <c r="I63" s="3588">
        <f>'Estados Financieros'!$F$370</f>
        <v>0</v>
      </c>
      <c r="J63" s="3587" t="str">
        <f t="shared" si="9"/>
        <v>-</v>
      </c>
      <c r="K63" s="3588">
        <f>'Estados Financieros'!$E$370</f>
        <v>0</v>
      </c>
      <c r="L63" s="3587" t="str">
        <f t="shared" si="10"/>
        <v>-</v>
      </c>
      <c r="N63" s="3587" t="str">
        <f t="shared" si="11"/>
        <v>-</v>
      </c>
      <c r="O63" s="3587" t="str">
        <f t="shared" si="12"/>
        <v>-</v>
      </c>
      <c r="P63" s="3587" t="str">
        <f t="shared" si="13"/>
        <v>-</v>
      </c>
    </row>
    <row r="64" spans="3:16" ht="14">
      <c r="C64" s="3603"/>
      <c r="D64" s="3602" t="s">
        <v>794</v>
      </c>
      <c r="E64" s="3601">
        <f>E56+E55</f>
        <v>0</v>
      </c>
      <c r="F64" s="3599" t="str">
        <f t="shared" si="7"/>
        <v>-</v>
      </c>
      <c r="G64" s="3600">
        <f>G56+G55</f>
        <v>0</v>
      </c>
      <c r="H64" s="3599" t="str">
        <f t="shared" si="8"/>
        <v>-</v>
      </c>
      <c r="I64" s="3600">
        <f>I56+I55</f>
        <v>0</v>
      </c>
      <c r="J64" s="3599" t="str">
        <f t="shared" si="9"/>
        <v>-</v>
      </c>
      <c r="K64" s="3600">
        <f>K56+K55</f>
        <v>0</v>
      </c>
      <c r="L64" s="3599" t="str">
        <f t="shared" si="10"/>
        <v>-</v>
      </c>
      <c r="N64" s="3599" t="str">
        <f t="shared" si="11"/>
        <v>-</v>
      </c>
      <c r="O64" s="3599" t="str">
        <f t="shared" si="12"/>
        <v>-</v>
      </c>
      <c r="P64" s="3599" t="str">
        <f t="shared" si="13"/>
        <v>-</v>
      </c>
    </row>
    <row r="65" spans="4:16">
      <c r="E65" s="3598"/>
    </row>
    <row r="66" spans="4:16" ht="14">
      <c r="D66" s="3595"/>
      <c r="E66" s="3597"/>
      <c r="F66" s="3595"/>
      <c r="G66" s="3595"/>
      <c r="H66" s="3595"/>
      <c r="I66" s="3595"/>
      <c r="J66" s="3595"/>
      <c r="K66" s="3595"/>
      <c r="L66" s="3595"/>
      <c r="M66" s="3595"/>
      <c r="N66" s="4046" t="s">
        <v>2204</v>
      </c>
      <c r="O66" s="4047"/>
      <c r="P66" s="4047"/>
    </row>
    <row r="67" spans="4:16" ht="28">
      <c r="D67" s="3594" t="s">
        <v>2203</v>
      </c>
      <c r="E67" s="3596" t="str">
        <f>CONCATENATE(UPPER('Estados Financieros'!$H$8)," ",'Estados Financieros'!$H$4)</f>
        <v>JUNIO 2020</v>
      </c>
      <c r="F67" s="3594" t="s">
        <v>2202</v>
      </c>
      <c r="G67" s="3594" t="str">
        <f>CONCATENATE(UPPER('Estados Financieros'!$G$8)," ",'Estados Financieros'!$G$4)</f>
        <v>DICIEMBRE 2019</v>
      </c>
      <c r="H67" s="3594" t="s">
        <v>2202</v>
      </c>
      <c r="I67" s="3594" t="str">
        <f>CONCATENATE(UPPER('Estados Financieros'!$F$8)," ",'Estados Financieros'!$F$4)</f>
        <v>DICIEMBRE 2018</v>
      </c>
      <c r="J67" s="3594" t="s">
        <v>2202</v>
      </c>
      <c r="K67" s="3594" t="str">
        <f>CONCATENATE(UPPER('Estados Financieros'!$E$8)," ",'Estados Financieros'!$E$4)</f>
        <v>DICIEMBRE 2017</v>
      </c>
      <c r="L67" s="3594" t="s">
        <v>2202</v>
      </c>
      <c r="M67" s="3595"/>
      <c r="N67" s="3594" t="str">
        <f>CONCATENATE(E67," ",G67)</f>
        <v>JUNIO 2020 DICIEMBRE 2019</v>
      </c>
      <c r="O67" s="3594" t="str">
        <f>CONCATENATE(G67," ",I67)</f>
        <v>DICIEMBRE 2019 DICIEMBRE 2018</v>
      </c>
      <c r="P67" s="3594" t="str">
        <f>CONCATENATE(,I67," ",K67)</f>
        <v>DICIEMBRE 2018 DICIEMBRE 2017</v>
      </c>
    </row>
    <row r="68" spans="4:16">
      <c r="D68" s="3589" t="s">
        <v>2201</v>
      </c>
      <c r="E68" s="3593">
        <f>'Estados Financieros'!$H$385+'Estados Financieros'!$H$386-'Estados Financieros'!$H$444</f>
        <v>0</v>
      </c>
      <c r="F68" s="3587" t="str">
        <f>IF(E68=0,"-",E68/$E$68)</f>
        <v>-</v>
      </c>
      <c r="G68" s="3588">
        <f>'Estados Financieros'!$G$385+'Estados Financieros'!$G$386-'Estados Financieros'!$G$444</f>
        <v>0</v>
      </c>
      <c r="H68" s="3587" t="str">
        <f>IF(G68=0,"-",G68/$G$68)</f>
        <v>-</v>
      </c>
      <c r="I68" s="3588">
        <f>'Estados Financieros'!$F$385+'Estados Financieros'!$F$386-'Estados Financieros'!$F$444</f>
        <v>0</v>
      </c>
      <c r="J68" s="3587" t="str">
        <f>IF(I68=0,"-",I68/$I$68)</f>
        <v>-</v>
      </c>
      <c r="K68" s="3588">
        <f>'Estados Financieros'!$E$385+'Estados Financieros'!$E$386-'Estados Financieros'!$E$444</f>
        <v>0</v>
      </c>
      <c r="L68" s="3587" t="str">
        <f>IF(K68=0,"-",K68/$K$68)</f>
        <v>-</v>
      </c>
      <c r="N68" s="3587" t="str">
        <f>IF(G68=0,"-",((E68*360/'Estados Financieros'!$H$7)-(G68*360/'Estados Financieros'!$G$7))/(G68*360/'Estados Financieros'!$G$7))</f>
        <v>-</v>
      </c>
      <c r="O68" s="3587" t="str">
        <f>IF(I68=0,"-",((G68*360/'Estados Financieros'!$G$7)-(I68*360/'Estados Financieros'!$F$7))/(I68*360/'Estados Financieros'!$F$7))</f>
        <v>-</v>
      </c>
      <c r="P68" s="3587" t="str">
        <f>IF(K68=0,"-",((I68*360/'Estados Financieros'!$F$7)-(K68*360/'Estados Financieros'!$E$7))/(K68*360/'Estados Financieros'!$E$7))</f>
        <v>-</v>
      </c>
    </row>
    <row r="69" spans="4:16">
      <c r="D69" s="3589" t="s">
        <v>2200</v>
      </c>
      <c r="E69" s="3593">
        <f>'Estados Financieros'!$H$387-'Estados Financieros'!$H$429</f>
        <v>0</v>
      </c>
      <c r="F69" s="3587" t="str">
        <f>IF(E69=0,"-",E69/$E$68)</f>
        <v>-</v>
      </c>
      <c r="G69" s="3588">
        <f>'Estados Financieros'!$G$387-'Estados Financieros'!$G$429</f>
        <v>0</v>
      </c>
      <c r="H69" s="3587" t="str">
        <f>IF(G69=0,"-",G69/$G$68)</f>
        <v>-</v>
      </c>
      <c r="I69" s="3588">
        <f>'Estados Financieros'!$F$387-'Estados Financieros'!$F$429</f>
        <v>0</v>
      </c>
      <c r="J69" s="3587" t="str">
        <f>IF(I69=0,"-",I69/$I$68)</f>
        <v>-</v>
      </c>
      <c r="K69" s="3588">
        <f>'Estados Financieros'!$E$387-'Estados Financieros'!$E$429</f>
        <v>0</v>
      </c>
      <c r="L69" s="3587" t="str">
        <f>IF(K69=0,"-",K69/$K$68)</f>
        <v>-</v>
      </c>
      <c r="N69" s="3587" t="str">
        <f>IF(G69=0,"-",((E69*360/'Estados Financieros'!$H$7)-(G69*360/'Estados Financieros'!$G$7))/(G69*360/'Estados Financieros'!$G$7))</f>
        <v>-</v>
      </c>
      <c r="O69" s="3587" t="str">
        <f>IF(I69=0,"-",((G69*360/'Estados Financieros'!$G$7)-(I69*360/'Estados Financieros'!$F$7))/(I69*360/'Estados Financieros'!$F$7))</f>
        <v>-</v>
      </c>
      <c r="P69" s="3587" t="str">
        <f>IF(K69=0,"-",((I69*360/'Estados Financieros'!$F$7)-(K69*360/'Estados Financieros'!$E$7))/(K69*360/'Estados Financieros'!$E$7))</f>
        <v>-</v>
      </c>
    </row>
    <row r="70" spans="4:16" ht="13">
      <c r="D70" s="3581" t="s">
        <v>807</v>
      </c>
      <c r="E70" s="3586">
        <f>E68-E69</f>
        <v>0</v>
      </c>
      <c r="F70" s="3577" t="str">
        <f>IF(E70=0,"-",E70/$E$68)</f>
        <v>-</v>
      </c>
      <c r="G70" s="3582">
        <f>G68-G69</f>
        <v>0</v>
      </c>
      <c r="H70" s="3577" t="str">
        <f>IF(G70=0,"-",G70/$G$68)</f>
        <v>-</v>
      </c>
      <c r="I70" s="3582">
        <f>I68-I69</f>
        <v>0</v>
      </c>
      <c r="J70" s="3577" t="str">
        <f>IF(I70=0,"-",I70/$I$68)</f>
        <v>-</v>
      </c>
      <c r="K70" s="3582">
        <f>K68-K69</f>
        <v>0</v>
      </c>
      <c r="L70" s="3577" t="str">
        <f>IF(K70=0,"-",K70/$K$68)</f>
        <v>-</v>
      </c>
      <c r="M70" s="3578"/>
      <c r="N70" s="3577" t="str">
        <f>IF(G70=0,"-",((E70*360/'Estados Financieros'!$H$7)-(G70*360/'Estados Financieros'!$G$7))/(G70*360/'Estados Financieros'!$G$7))</f>
        <v>-</v>
      </c>
      <c r="O70" s="3577" t="str">
        <f>IF(I70=0,"-",((G70*360/'Estados Financieros'!$G$7)-(I70*360/'Estados Financieros'!$F$7))/(I70*360/'Estados Financieros'!$F$7))</f>
        <v>-</v>
      </c>
      <c r="P70" s="3577" t="str">
        <f>IF(K70=0,"-",((I70*360/'Estados Financieros'!$F$7)-(K70*360/'Estados Financieros'!$E$7))/(K70*360/'Estados Financieros'!$E$7))</f>
        <v>-</v>
      </c>
    </row>
    <row r="71" spans="4:16" ht="13">
      <c r="D71" s="3592"/>
      <c r="E71" s="3591"/>
      <c r="F71" s="3590"/>
      <c r="G71" s="3591"/>
      <c r="H71" s="3590"/>
      <c r="I71" s="3591"/>
      <c r="J71" s="3590"/>
      <c r="K71" s="3591"/>
      <c r="L71" s="3590"/>
      <c r="M71" s="3578"/>
      <c r="N71" s="3590"/>
      <c r="O71" s="3590"/>
      <c r="P71" s="3590"/>
    </row>
    <row r="72" spans="4:16" ht="13">
      <c r="D72" s="3581" t="s">
        <v>2199</v>
      </c>
      <c r="E72" s="3582">
        <f>E73+E74</f>
        <v>0</v>
      </c>
      <c r="F72" s="3577" t="str">
        <f>IF(E72=0,"-",E72/$E$68)</f>
        <v>-</v>
      </c>
      <c r="G72" s="3582">
        <f>G73+G74</f>
        <v>0</v>
      </c>
      <c r="H72" s="3577" t="str">
        <f>IF(G72=0,"-",G72/$G$68)</f>
        <v>-</v>
      </c>
      <c r="I72" s="3582">
        <f>I73+I74</f>
        <v>0</v>
      </c>
      <c r="J72" s="3577" t="str">
        <f>IF(I72=0,"-",I72/$I$68)</f>
        <v>-</v>
      </c>
      <c r="K72" s="3582">
        <f>K73+K74</f>
        <v>0</v>
      </c>
      <c r="L72" s="3577" t="str">
        <f>IF(K72=0,"-",K72/$K$68)</f>
        <v>-</v>
      </c>
      <c r="M72" s="3578"/>
      <c r="N72" s="3577" t="str">
        <f>IF(G72=0,"-",((E72*360/'Estados Financieros'!$H$7)-(G72*360/'Estados Financieros'!$G$7))/(G72*360/'Estados Financieros'!$G$7))</f>
        <v>-</v>
      </c>
      <c r="O72" s="3577" t="str">
        <f>IF(I72=0,"-",((G72*360/'Estados Financieros'!$G$7)-(I72*360/'Estados Financieros'!$F$7))/(I72*360/'Estados Financieros'!$F$7))</f>
        <v>-</v>
      </c>
      <c r="P72" s="3577" t="str">
        <f>IF(K72=0,"-",((I72*360/'Estados Financieros'!$F$7)-(K72*360/'Estados Financieros'!$E$7))/(K72*360/'Estados Financieros'!$E$7))</f>
        <v>-</v>
      </c>
    </row>
    <row r="73" spans="4:16">
      <c r="D73" s="3589" t="s">
        <v>2198</v>
      </c>
      <c r="E73" s="3588">
        <f>'Estados Financieros'!$H$406+'Estados Financieros'!$H$408+'Estados Financieros'!$H$410+'Estados Financieros'!$H$411+'Estados Financieros'!$H$413+'Estados Financieros'!$H$415+'Estados Financieros'!$H$416+'Estados Financieros'!$H$420+'Estados Financieros'!$H$421+'Estados Financieros'!$H$422</f>
        <v>0</v>
      </c>
      <c r="F73" s="3587" t="str">
        <f>IF(E73=0,"-",E73/$E$68)</f>
        <v>-</v>
      </c>
      <c r="G73" s="3588">
        <f>'Estados Financieros'!$G$406+'Estados Financieros'!$G$408+'Estados Financieros'!$G$410+'Estados Financieros'!$G$411+'Estados Financieros'!$G$413+'Estados Financieros'!$G$415+'Estados Financieros'!$G$416+'Estados Financieros'!$G$420+'Estados Financieros'!$G$421+'Estados Financieros'!$G$422</f>
        <v>0</v>
      </c>
      <c r="H73" s="3587" t="str">
        <f>IF(G73=0,"-",G73/$G$68)</f>
        <v>-</v>
      </c>
      <c r="I73" s="3588">
        <f>'Estados Financieros'!$F$406+'Estados Financieros'!$F$408+'Estados Financieros'!$F$410+'Estados Financieros'!$F$411+'Estados Financieros'!$F$413+'Estados Financieros'!$F$415+'Estados Financieros'!$F$416+'Estados Financieros'!$F$420+'Estados Financieros'!$F$421+'Estados Financieros'!$F$422</f>
        <v>0</v>
      </c>
      <c r="J73" s="3587" t="str">
        <f>IF(I73=0,"-",I73/$I$68)</f>
        <v>-</v>
      </c>
      <c r="K73" s="3588">
        <f>'Estados Financieros'!$E$406+'Estados Financieros'!$E$408+'Estados Financieros'!$E$410+'Estados Financieros'!$E$411+'Estados Financieros'!$E$413+'Estados Financieros'!$E$415+'Estados Financieros'!$E$416+'Estados Financieros'!$E$420+'Estados Financieros'!$E$421+'Estados Financieros'!$E$422</f>
        <v>0</v>
      </c>
      <c r="L73" s="3587" t="str">
        <f>IF(K73=0,"-",K73/$K$68)</f>
        <v>-</v>
      </c>
      <c r="N73" s="3587" t="str">
        <f>IF(G73=0,"-",((E73*360/'Estados Financieros'!$H$7)-(G73*360/'Estados Financieros'!$G$7))/(G73*360/'Estados Financieros'!$G$7))</f>
        <v>-</v>
      </c>
      <c r="O73" s="3587" t="str">
        <f>IF(I73=0,"-",((G73*360/'Estados Financieros'!$G$7)-(I73*360/'Estados Financieros'!$F$7))/(I73*360/'Estados Financieros'!$F$7))</f>
        <v>-</v>
      </c>
      <c r="P73" s="3587" t="str">
        <f>IF(K73=0,"-",((I73*360/'Estados Financieros'!$F$7)-(K73*360/'Estados Financieros'!$E$7))/(K73*360/'Estados Financieros'!$E$7))</f>
        <v>-</v>
      </c>
    </row>
    <row r="74" spans="4:16">
      <c r="D74" s="3589" t="s">
        <v>2197</v>
      </c>
      <c r="E74" s="3588">
        <f>'Estados Financieros'!$H$409+'Estados Financieros'!$H$412+'Estados Financieros'!$H$414+'Estados Financieros'!$H$417+'Estados Financieros'!$H$418+'Estados Financieros'!$H$419</f>
        <v>0</v>
      </c>
      <c r="F74" s="3587" t="str">
        <f>IF(E74=0,"-",E74/$E$68)</f>
        <v>-</v>
      </c>
      <c r="G74" s="3588">
        <f>'Estados Financieros'!$G$409+'Estados Financieros'!$G$412+'Estados Financieros'!$G$414+'Estados Financieros'!$G$417+'Estados Financieros'!$G$418+'Estados Financieros'!$G$419</f>
        <v>0</v>
      </c>
      <c r="H74" s="3587" t="str">
        <f>IF(G74=0,"-",G74/$G$68)</f>
        <v>-</v>
      </c>
      <c r="I74" s="3588">
        <f>'Estados Financieros'!$F$409+'Estados Financieros'!$F$412+'Estados Financieros'!$F$414+'Estados Financieros'!$F$417+'Estados Financieros'!$F$418+'Estados Financieros'!$F$419</f>
        <v>0</v>
      </c>
      <c r="J74" s="3587" t="str">
        <f>IF(I74=0,"-",I74/$I$68)</f>
        <v>-</v>
      </c>
      <c r="K74" s="3588">
        <f>'Estados Financieros'!$E$409+'Estados Financieros'!$E$412+'Estados Financieros'!$E$414+'Estados Financieros'!$E$417+'Estados Financieros'!$E$418+'Estados Financieros'!$E$419</f>
        <v>0</v>
      </c>
      <c r="L74" s="3587" t="str">
        <f>IF(K74=0,"-",K74/$K$68)</f>
        <v>-</v>
      </c>
      <c r="N74" s="3587" t="str">
        <f>IF(G74=0,"-",((E74*360/'Estados Financieros'!$H$7)-(G74*360/'Estados Financieros'!$G$7))/(G74*360/'Estados Financieros'!$G$7))</f>
        <v>-</v>
      </c>
      <c r="O74" s="3587" t="str">
        <f>IF(I74=0,"-",((G74*360/'Estados Financieros'!$G$7)-(I74*360/'Estados Financieros'!$F$7))/(I74*360/'Estados Financieros'!$F$7))</f>
        <v>-</v>
      </c>
      <c r="P74" s="3587" t="str">
        <f>IF(K74=0,"-",((I74*360/'Estados Financieros'!$F$7)-(K74*360/'Estados Financieros'!$E$7))/(K74*360/'Estados Financieros'!$E$7))</f>
        <v>-</v>
      </c>
    </row>
    <row r="75" spans="4:16" ht="13">
      <c r="D75" s="3581" t="s">
        <v>2196</v>
      </c>
      <c r="E75" s="3582">
        <f>E70-E72</f>
        <v>0</v>
      </c>
      <c r="F75" s="3577" t="str">
        <f>IF(E75=0,"-",E75/$E$68)</f>
        <v>-</v>
      </c>
      <c r="G75" s="3582">
        <f>G70-G72</f>
        <v>0</v>
      </c>
      <c r="H75" s="3577" t="str">
        <f>IF(G75=0,"-",G75/$G$68)</f>
        <v>-</v>
      </c>
      <c r="I75" s="3582">
        <f>I70-I72</f>
        <v>0</v>
      </c>
      <c r="J75" s="3577" t="str">
        <f>IF(I75=0,"-",I75/$I$68)</f>
        <v>-</v>
      </c>
      <c r="K75" s="3582">
        <f>K70-K72</f>
        <v>0</v>
      </c>
      <c r="L75" s="3577" t="str">
        <f>IF(K75=0,"-",K75/$K$68)</f>
        <v>-</v>
      </c>
      <c r="M75" s="3578"/>
      <c r="N75" s="3577" t="str">
        <f>IF(G75=0,"-",((E75*360/'Estados Financieros'!$H$7)-(G75*360/'Estados Financieros'!$G$7))/(G75*360/'Estados Financieros'!$G$7))</f>
        <v>-</v>
      </c>
      <c r="O75" s="3577" t="str">
        <f>IF(I75=0,"-",((G75*360/'Estados Financieros'!$G$7)-(I75*360/'Estados Financieros'!$F$7))/(I75*360/'Estados Financieros'!$F$7))</f>
        <v>-</v>
      </c>
      <c r="P75" s="3577" t="str">
        <f>IF(K75=0,"-",((I75*360/'Estados Financieros'!$F$7)-(K75*360/'Estados Financieros'!$E$7))/(K75*360/'Estados Financieros'!$E$7))</f>
        <v>-</v>
      </c>
    </row>
    <row r="76" spans="4:16">
      <c r="E76" s="3585"/>
      <c r="F76" s="3583"/>
      <c r="G76" s="3585"/>
      <c r="H76" s="3583"/>
      <c r="I76" s="3585"/>
      <c r="J76" s="3583"/>
      <c r="K76" s="3585"/>
      <c r="L76" s="3583"/>
      <c r="N76" s="3583"/>
      <c r="O76" s="3583"/>
      <c r="P76" s="3583"/>
    </row>
    <row r="77" spans="4:16" ht="13">
      <c r="D77" s="3581" t="s">
        <v>2195</v>
      </c>
      <c r="E77" s="3582">
        <f>E78+E79</f>
        <v>0</v>
      </c>
      <c r="F77" s="3577" t="str">
        <f>IF(E77=0,"-",E77/$E$68)</f>
        <v>-</v>
      </c>
      <c r="G77" s="3582">
        <f>G78+G79</f>
        <v>0</v>
      </c>
      <c r="H77" s="3577" t="str">
        <f>IF(G77=0,"-",G77/$G$68)</f>
        <v>-</v>
      </c>
      <c r="I77" s="3582">
        <f>I78+I79</f>
        <v>0</v>
      </c>
      <c r="J77" s="3577" t="str">
        <f>IF(I77=0,"-",I77/$I$68)</f>
        <v>-</v>
      </c>
      <c r="K77" s="3582">
        <f>K78+K79</f>
        <v>0</v>
      </c>
      <c r="L77" s="3577" t="str">
        <f>IF(K77=0,"-",K77/$K$68)</f>
        <v>-</v>
      </c>
      <c r="M77" s="3578"/>
      <c r="N77" s="3577" t="str">
        <f>IF(G77=0,"-",((E77*360/'Estados Financieros'!$H$7)-(G77*360/'Estados Financieros'!$G$7))/(G77*360/'Estados Financieros'!$G$7))</f>
        <v>-</v>
      </c>
      <c r="O77" s="3577" t="str">
        <f>IF(I77=0,"-",((G77*360/'Estados Financieros'!$G$7)-(I77*360/'Estados Financieros'!$F$7))/(I77*360/'Estados Financieros'!$F$7))</f>
        <v>-</v>
      </c>
      <c r="P77" s="3577" t="str">
        <f>IF(K77=0,"-",((I77*360/'Estados Financieros'!$F$7)-(K77*360/'Estados Financieros'!$E$7))/(K77*360/'Estados Financieros'!$E$7))</f>
        <v>-</v>
      </c>
    </row>
    <row r="78" spans="4:16">
      <c r="D78" s="3589" t="s">
        <v>2193</v>
      </c>
      <c r="E78" s="3588">
        <f>'Estados Financieros'!$H$426</f>
        <v>0</v>
      </c>
      <c r="F78" s="3587" t="str">
        <f>IF(E78=0,"-",E78/$E$68)</f>
        <v>-</v>
      </c>
      <c r="G78" s="3588">
        <f>'Estados Financieros'!$G$426</f>
        <v>0</v>
      </c>
      <c r="H78" s="3587" t="str">
        <f>IF(G78=0,"-",G78/$G$68)</f>
        <v>-</v>
      </c>
      <c r="I78" s="3588">
        <f>'Estados Financieros'!$F$426</f>
        <v>0</v>
      </c>
      <c r="J78" s="3587" t="str">
        <f>IF(I78=0,"-",I78/$I$68)</f>
        <v>-</v>
      </c>
      <c r="K78" s="3588">
        <f>'Estados Financieros'!$E$426</f>
        <v>0</v>
      </c>
      <c r="L78" s="3587" t="str">
        <f>IF(K78=0,"-",K78/$K$68)</f>
        <v>-</v>
      </c>
      <c r="N78" s="3587" t="str">
        <f>IF(G78=0,"-",((E78*360/'Estados Financieros'!$H$7)-(G78*360/'Estados Financieros'!$G$7))/(G78*360/'Estados Financieros'!$G$7))</f>
        <v>-</v>
      </c>
      <c r="O78" s="3587" t="str">
        <f>IF(I78=0,"-",((G78*360/'Estados Financieros'!$G$7)-(I78*360/'Estados Financieros'!$F$7))/(I78*360/'Estados Financieros'!$F$7))</f>
        <v>-</v>
      </c>
      <c r="P78" s="3587" t="str">
        <f>IF(K78=0,"-",((I78*360/'Estados Financieros'!$F$7)-(K78*360/'Estados Financieros'!$E$7))/(K78*360/'Estados Financieros'!$E$7))</f>
        <v>-</v>
      </c>
    </row>
    <row r="79" spans="4:16">
      <c r="D79" s="3589" t="s">
        <v>2192</v>
      </c>
      <c r="E79" s="3588">
        <f>'Estados Financieros'!$H$427</f>
        <v>0</v>
      </c>
      <c r="F79" s="3587" t="str">
        <f>IF(E79=0,"-",E79/$E$68)</f>
        <v>-</v>
      </c>
      <c r="G79" s="3588">
        <f>'Estados Financieros'!$G$427</f>
        <v>0</v>
      </c>
      <c r="H79" s="3587" t="str">
        <f>IF(G79=0,"-",G79/$G$68)</f>
        <v>-</v>
      </c>
      <c r="I79" s="3588">
        <f>'Estados Financieros'!$F$427</f>
        <v>0</v>
      </c>
      <c r="J79" s="3587" t="str">
        <f>IF(I79=0,"-",I79/$I$68)</f>
        <v>-</v>
      </c>
      <c r="K79" s="3588">
        <f>'Estados Financieros'!$E$427</f>
        <v>0</v>
      </c>
      <c r="L79" s="3587" t="str">
        <f>IF(K79=0,"-",K79/$K$68)</f>
        <v>-</v>
      </c>
      <c r="N79" s="3587" t="str">
        <f>IF(G79=0,"-",((E79*360/'Estados Financieros'!$H$7)-(G79*360/'Estados Financieros'!$G$7))/(G79*360/'Estados Financieros'!$G$7))</f>
        <v>-</v>
      </c>
      <c r="O79" s="3587" t="str">
        <f>IF(I79=0,"-",((G79*360/'Estados Financieros'!$G$7)-(I79*360/'Estados Financieros'!$F$7))/(I79*360/'Estados Financieros'!$F$7))</f>
        <v>-</v>
      </c>
      <c r="P79" s="3587" t="str">
        <f>IF(K79=0,"-",((I79*360/'Estados Financieros'!$F$7)-(K79*360/'Estados Financieros'!$E$7))/(K79*360/'Estados Financieros'!$E$7))</f>
        <v>-</v>
      </c>
    </row>
    <row r="80" spans="4:16">
      <c r="E80" s="3585"/>
      <c r="F80" s="3583"/>
      <c r="G80" s="3585"/>
      <c r="H80" s="3583"/>
      <c r="I80" s="3585"/>
      <c r="J80" s="3583"/>
      <c r="K80" s="3585"/>
      <c r="L80" s="3583"/>
      <c r="N80" s="3583"/>
      <c r="O80" s="3583"/>
      <c r="P80" s="3583"/>
    </row>
    <row r="81" spans="4:16" ht="13">
      <c r="D81" s="3581" t="s">
        <v>2194</v>
      </c>
      <c r="E81" s="3582">
        <f>E82+E83</f>
        <v>0</v>
      </c>
      <c r="F81" s="3577" t="str">
        <f>IF(E81=0,"-",E81/$E$68)</f>
        <v>-</v>
      </c>
      <c r="G81" s="3582">
        <f>G82+G83</f>
        <v>0</v>
      </c>
      <c r="H81" s="3577" t="str">
        <f>IF(G81=0,"-",G81/$G$68)</f>
        <v>-</v>
      </c>
      <c r="I81" s="3582">
        <f>I82+I83</f>
        <v>0</v>
      </c>
      <c r="J81" s="3577" t="str">
        <f>IF(I81=0,"-",I81/$I$68)</f>
        <v>-</v>
      </c>
      <c r="K81" s="3582">
        <f>K82+K83</f>
        <v>0</v>
      </c>
      <c r="L81" s="3577" t="str">
        <f>IF(K81=0,"-",K81/$K$68)</f>
        <v>-</v>
      </c>
      <c r="M81" s="3578"/>
      <c r="N81" s="3577" t="str">
        <f>IF(G81=0,"-",((E81*360/'Estados Financieros'!$H$7)-(G81*360/'Estados Financieros'!$G$7))/(G81*360/'Estados Financieros'!$G$7))</f>
        <v>-</v>
      </c>
      <c r="O81" s="3577" t="str">
        <f>IF(I81=0,"-",((G81*360/'Estados Financieros'!$G$7)-(I81*360/'Estados Financieros'!$F$7))/(I81*360/'Estados Financieros'!$F$7))</f>
        <v>-</v>
      </c>
      <c r="P81" s="3577" t="str">
        <f>IF(K81=0,"-",((I81*360/'Estados Financieros'!$F$7)-(K81*360/'Estados Financieros'!$E$7))/(K81*360/'Estados Financieros'!$E$7))</f>
        <v>-</v>
      </c>
    </row>
    <row r="82" spans="4:16">
      <c r="D82" s="3589" t="s">
        <v>2193</v>
      </c>
      <c r="E82" s="3588">
        <f>'Estados Financieros'!$H$440+'Estados Financieros'!$H$442+'Estados Financieros'!$H$443</f>
        <v>0</v>
      </c>
      <c r="F82" s="3587" t="str">
        <f>IF(E82=0,"-",E82/$E$68)</f>
        <v>-</v>
      </c>
      <c r="G82" s="3588">
        <f>'Estados Financieros'!$G$440+'Estados Financieros'!$G$442+'Estados Financieros'!$G$443</f>
        <v>0</v>
      </c>
      <c r="H82" s="3587" t="str">
        <f>IF(G82=0,"-",G82/$G$68)</f>
        <v>-</v>
      </c>
      <c r="I82" s="3588">
        <f>'Estados Financieros'!$F$440+'Estados Financieros'!$F$442+'Estados Financieros'!$F$443</f>
        <v>0</v>
      </c>
      <c r="J82" s="3587" t="str">
        <f>IF(I82=0,"-",I82/$I$68)</f>
        <v>-</v>
      </c>
      <c r="K82" s="3588">
        <f>'Estados Financieros'!$E$440+'Estados Financieros'!$E$442+'Estados Financieros'!$E$443</f>
        <v>0</v>
      </c>
      <c r="L82" s="3587" t="str">
        <f>IF(K82=0,"-",K82/$K$68)</f>
        <v>-</v>
      </c>
      <c r="N82" s="3587" t="str">
        <f>IF(G82=0,"-",((E82*360/'Estados Financieros'!$H$7)-(G82*360/'Estados Financieros'!$G$7))/(G82*360/'Estados Financieros'!$G$7))</f>
        <v>-</v>
      </c>
      <c r="O82" s="3587" t="str">
        <f>IF(I82=0,"-",((G82*360/'Estados Financieros'!$G$7)-(I82*360/'Estados Financieros'!$F$7))/(I82*360/'Estados Financieros'!$F$7))</f>
        <v>-</v>
      </c>
      <c r="P82" s="3587" t="str">
        <f>IF(K82=0,"-",((I82*360/'Estados Financieros'!$F$7)-(K82*360/'Estados Financieros'!$E$7))/(K82*360/'Estados Financieros'!$E$7))</f>
        <v>-</v>
      </c>
    </row>
    <row r="83" spans="4:16">
      <c r="D83" s="3589" t="s">
        <v>2192</v>
      </c>
      <c r="E83" s="3588">
        <f>'Estados Financieros'!$H$441</f>
        <v>0</v>
      </c>
      <c r="F83" s="3587" t="str">
        <f>IF(E83=0,"-",E83/$E$68)</f>
        <v>-</v>
      </c>
      <c r="G83" s="3588">
        <f>'Estados Financieros'!$G$441</f>
        <v>0</v>
      </c>
      <c r="H83" s="3587" t="str">
        <f>IF(G83=0,"-",G83/$G$68)</f>
        <v>-</v>
      </c>
      <c r="I83" s="3588">
        <f>'Estados Financieros'!$F$441</f>
        <v>0</v>
      </c>
      <c r="J83" s="3587" t="str">
        <f>IF(I83=0,"-",I83/$I$68)</f>
        <v>-</v>
      </c>
      <c r="K83" s="3588">
        <f>'Estados Financieros'!$E$441</f>
        <v>0</v>
      </c>
      <c r="L83" s="3587" t="str">
        <f>IF(K83=0,"-",K83/$K$68)</f>
        <v>-</v>
      </c>
      <c r="N83" s="3587" t="str">
        <f>IF(G83=0,"-",((E83*360/'Estados Financieros'!$H$7)-(G83*360/'Estados Financieros'!$G$7))/(G83*360/'Estados Financieros'!$G$7))</f>
        <v>-</v>
      </c>
      <c r="O83" s="3587"/>
      <c r="P83" s="3587"/>
    </row>
    <row r="84" spans="4:16">
      <c r="E84" s="3585"/>
      <c r="F84" s="3583"/>
      <c r="G84" s="3585"/>
      <c r="H84" s="3583"/>
      <c r="I84" s="3585"/>
      <c r="J84" s="3583"/>
      <c r="K84" s="3585"/>
      <c r="L84" s="3583"/>
      <c r="N84" s="3583"/>
      <c r="O84" s="3583"/>
      <c r="P84" s="3583"/>
    </row>
    <row r="85" spans="4:16" ht="13">
      <c r="D85" s="3581" t="s">
        <v>2191</v>
      </c>
      <c r="E85" s="3582">
        <f>E86+E87-E88-E89</f>
        <v>0</v>
      </c>
      <c r="F85" s="3577" t="str">
        <f>IF(E85=0,"-",E85/$E$68)</f>
        <v>-</v>
      </c>
      <c r="G85" s="3582">
        <f>G86+G87-G88-G89</f>
        <v>0</v>
      </c>
      <c r="H85" s="3577" t="str">
        <f>IF(G85=0,"-",G85/$G$68)</f>
        <v>-</v>
      </c>
      <c r="I85" s="3582">
        <f>I86+I87-I88-I89</f>
        <v>0</v>
      </c>
      <c r="J85" s="3577" t="str">
        <f>IF(I85=0,"-",I85/$I$68)</f>
        <v>-</v>
      </c>
      <c r="K85" s="3582">
        <f>K86+K87-K88-K89</f>
        <v>0</v>
      </c>
      <c r="L85" s="3577" t="str">
        <f>IF(K85=0,"-",K85/$K$68)</f>
        <v>-</v>
      </c>
      <c r="M85" s="3578"/>
      <c r="N85" s="3577" t="str">
        <f>IF(G85=0,"-",((E85*360/'Estados Financieros'!$H$7)-(G85*360/'Estados Financieros'!$G$7))/(G85*360/'Estados Financieros'!$G$7))</f>
        <v>-</v>
      </c>
      <c r="O85" s="3577" t="str">
        <f>IF(I85=0,"-",((G85*360/'Estados Financieros'!$G$7)-(I85*360/'Estados Financieros'!$F$7))/(I85*360/'Estados Financieros'!$F$7))</f>
        <v>-</v>
      </c>
      <c r="P85" s="3577" t="str">
        <f>IF(K85=0,"-",((I85*360/'Estados Financieros'!$F$7)-(K85*360/'Estados Financieros'!$E$7))/(K85*360/'Estados Financieros'!$E$7))</f>
        <v>-</v>
      </c>
    </row>
    <row r="86" spans="4:16">
      <c r="D86" s="3589" t="s">
        <v>1110</v>
      </c>
      <c r="E86" s="3588">
        <f>'Estados Financieros'!$H$431+'Estados Financieros'!$H$433+'Estados Financieros'!$H$436+'Estados Financieros'!$H$428+'Estados Financieros'!$H$430+'Estados Financieros'!$H$437</f>
        <v>0</v>
      </c>
      <c r="F86" s="3587" t="str">
        <f>IF(E86=0,"-",E86/$E$68)</f>
        <v>-</v>
      </c>
      <c r="G86" s="3588">
        <f>'Estados Financieros'!$G$431+'Estados Financieros'!$G$433+'Estados Financieros'!$G$436+'Estados Financieros'!$G$428+'Estados Financieros'!$G$430+'Estados Financieros'!$G$437</f>
        <v>0</v>
      </c>
      <c r="H86" s="3587" t="str">
        <f>IF(G86=0,"-",G86/$G$68)</f>
        <v>-</v>
      </c>
      <c r="I86" s="3588">
        <f>'Estados Financieros'!$F$431+'Estados Financieros'!$F$433+'Estados Financieros'!$F$436+'Estados Financieros'!$F$428+'Estados Financieros'!$F$430+'Estados Financieros'!$F$437</f>
        <v>0</v>
      </c>
      <c r="J86" s="3587" t="str">
        <f>IF(I86=0,"-",I86/$I$68)</f>
        <v>-</v>
      </c>
      <c r="K86" s="3588">
        <f>'Estados Financieros'!$E$431+'Estados Financieros'!$E$433+'Estados Financieros'!$E$436+'Estados Financieros'!$E$428+'Estados Financieros'!$E$430+'Estados Financieros'!$E$437</f>
        <v>0</v>
      </c>
      <c r="L86" s="3587" t="str">
        <f>IF(K86=0,"-",K86/$K$68)</f>
        <v>-</v>
      </c>
      <c r="N86" s="3587" t="str">
        <f>IF(G86=0,"-",((E86*360/'Estados Financieros'!$H$7)-(G86*360/'Estados Financieros'!$G$7))/(G86*360/'Estados Financieros'!$G$7))</f>
        <v>-</v>
      </c>
      <c r="O86" s="3587" t="str">
        <f>IF(I86=0,"-",((G86*360/'Estados Financieros'!$G$7)-(I86*360/'Estados Financieros'!$F$7))/(I86*360/'Estados Financieros'!$F$7))</f>
        <v>-</v>
      </c>
      <c r="P86" s="3587" t="str">
        <f>IF(K86=0,"-",((I86*360/'Estados Financieros'!$F$7)-(K86*360/'Estados Financieros'!$E$7))/(K86*360/'Estados Financieros'!$E$7))</f>
        <v>-</v>
      </c>
    </row>
    <row r="87" spans="4:16">
      <c r="D87" s="3589" t="s">
        <v>2190</v>
      </c>
      <c r="E87" s="3588">
        <f>'Estados Financieros'!$H$432+'Estados Financieros'!$H$434+'Estados Financieros'!$H$435</f>
        <v>0</v>
      </c>
      <c r="F87" s="3587" t="str">
        <f>IF(E87=0,"-",E87/$E$68)</f>
        <v>-</v>
      </c>
      <c r="G87" s="3588">
        <f>'Estados Financieros'!$G$432+'Estados Financieros'!$G$434+'Estados Financieros'!$G$435</f>
        <v>0</v>
      </c>
      <c r="H87" s="3587" t="str">
        <f>IF(G87=0,"-",G87/$G$68)</f>
        <v>-</v>
      </c>
      <c r="I87" s="3588">
        <f>'Estados Financieros'!$F$432+'Estados Financieros'!$F$434+'Estados Financieros'!$F$435</f>
        <v>0</v>
      </c>
      <c r="J87" s="3587" t="str">
        <f>IF(I87=0,"-",I87/$I$68)</f>
        <v>-</v>
      </c>
      <c r="K87" s="3588">
        <f>'Estados Financieros'!$E$432+'Estados Financieros'!$E$434+'Estados Financieros'!$E$435</f>
        <v>0</v>
      </c>
      <c r="L87" s="3587" t="str">
        <f>IF(K87=0,"-",K87/$K$68)</f>
        <v>-</v>
      </c>
      <c r="N87" s="3587" t="str">
        <f>IF(G87=0,"-",((E87*360/'Estados Financieros'!$H$7)-(G87*360/'Estados Financieros'!$G$7))/(G87*360/'Estados Financieros'!$G$7))</f>
        <v>-</v>
      </c>
      <c r="O87" s="3587" t="str">
        <f>IF(I87=0,"-",((G87*360/'Estados Financieros'!$G$7)-(I87*360/'Estados Financieros'!$F$7))/(I87*360/'Estados Financieros'!$F$7))</f>
        <v>-</v>
      </c>
      <c r="P87" s="3587" t="str">
        <f>IF(K87=0,"-",((I87*360/'Estados Financieros'!$F$7)-(K87*360/'Estados Financieros'!$E$7))/(K87*360/'Estados Financieros'!$E$7))</f>
        <v>-</v>
      </c>
    </row>
    <row r="88" spans="4:16">
      <c r="D88" s="3589" t="s">
        <v>2189</v>
      </c>
      <c r="E88" s="3588">
        <f>'Estados Financieros'!$H$446</f>
        <v>0</v>
      </c>
      <c r="F88" s="3587" t="str">
        <f>IF(E88=0,"-",E88/$E$68)</f>
        <v>-</v>
      </c>
      <c r="G88" s="3588">
        <f>'Estados Financieros'!$G$446</f>
        <v>0</v>
      </c>
      <c r="H88" s="3587" t="str">
        <f>IF(G88=0,"-",G88/$G$68)</f>
        <v>-</v>
      </c>
      <c r="I88" s="3588">
        <f>'Estados Financieros'!$F$446</f>
        <v>0</v>
      </c>
      <c r="J88" s="3587" t="str">
        <f>IF(I88=0,"-",I88/$I$68)</f>
        <v>-</v>
      </c>
      <c r="K88" s="3588">
        <f>'Estados Financieros'!$E$446</f>
        <v>0</v>
      </c>
      <c r="L88" s="3587" t="str">
        <f>IF(K88=0,"-",K88/$K$68)</f>
        <v>-</v>
      </c>
      <c r="N88" s="3587" t="str">
        <f>IF(G88=0,"-",((E88*360/'Estados Financieros'!$H$7)-(G88*360/'Estados Financieros'!$G$7))/(G88*360/'Estados Financieros'!$G$7))</f>
        <v>-</v>
      </c>
      <c r="O88" s="3587" t="str">
        <f>IF(I88=0,"-",((G88*360/'Estados Financieros'!$G$7)-(I88*360/'Estados Financieros'!$F$7))/(I88*360/'Estados Financieros'!$F$7))</f>
        <v>-</v>
      </c>
      <c r="P88" s="3587" t="str">
        <f>IF(K88=0,"-",((I88*360/'Estados Financieros'!$F$7)-(K88*360/'Estados Financieros'!$E$7))/(K88*360/'Estados Financieros'!$E$7))</f>
        <v>-</v>
      </c>
    </row>
    <row r="89" spans="4:16">
      <c r="D89" s="3589" t="s">
        <v>2188</v>
      </c>
      <c r="E89" s="3588">
        <f>'Estados Financieros'!$H$447+'Estados Financieros'!$H$448+'Estados Financieros'!$H$449+'Estados Financieros'!$H$450+'Estados Financieros'!$H$451+'Estados Financieros'!$H$445</f>
        <v>0</v>
      </c>
      <c r="F89" s="3587" t="str">
        <f>IF(E89=0,"-",E89/$E$68)</f>
        <v>-</v>
      </c>
      <c r="G89" s="3588">
        <f>'Estados Financieros'!$G$447+'Estados Financieros'!$G$448+'Estados Financieros'!$G$449+'Estados Financieros'!$G$450+'Estados Financieros'!$G$451+'Estados Financieros'!$G$445</f>
        <v>0</v>
      </c>
      <c r="H89" s="3587" t="str">
        <f>IF(G89=0,"-",G89/$G$68)</f>
        <v>-</v>
      </c>
      <c r="I89" s="3588">
        <f>'Estados Financieros'!$F$447+'Estados Financieros'!$F$448+'Estados Financieros'!$F$449+'Estados Financieros'!$F$450+'Estados Financieros'!$F$451+'Estados Financieros'!$F$445</f>
        <v>0</v>
      </c>
      <c r="J89" s="3587" t="str">
        <f>IF(I89=0,"-",I89/$I$68)</f>
        <v>-</v>
      </c>
      <c r="K89" s="3588">
        <f>'Estados Financieros'!$E$447+'Estados Financieros'!$E$448+'Estados Financieros'!$E$449+'Estados Financieros'!$E$450+'Estados Financieros'!$E$451+'Estados Financieros'!$E$445</f>
        <v>0</v>
      </c>
      <c r="L89" s="3587" t="str">
        <f>IF(K89=0,"-",K89/$K$68)</f>
        <v>-</v>
      </c>
      <c r="N89" s="3587" t="str">
        <f>IF(G89=0,"-",((E89*360/'Estados Financieros'!$H$7)-(G89*360/'Estados Financieros'!$G$7))/(G89*360/'Estados Financieros'!$G$7))</f>
        <v>-</v>
      </c>
      <c r="O89" s="3587" t="str">
        <f>IF(I89=0,"-",((G89*360/'Estados Financieros'!$G$7)-(I89*360/'Estados Financieros'!$F$7))/(I89*360/'Estados Financieros'!$F$7))</f>
        <v>-</v>
      </c>
      <c r="P89" s="3587" t="str">
        <f>IF(K89=0,"-",((I89*360/'Estados Financieros'!$F$7)-(K89*360/'Estados Financieros'!$E$7))/(K89*360/'Estados Financieros'!$E$7))</f>
        <v>-</v>
      </c>
    </row>
    <row r="90" spans="4:16">
      <c r="E90" s="3585"/>
      <c r="F90" s="3583"/>
      <c r="G90" s="3585"/>
      <c r="H90" s="3583"/>
      <c r="I90" s="3585"/>
      <c r="J90" s="3583"/>
      <c r="K90" s="3585"/>
      <c r="L90" s="3583"/>
      <c r="N90" s="3583"/>
      <c r="O90" s="3583"/>
      <c r="P90" s="3583"/>
    </row>
    <row r="91" spans="4:16" ht="13">
      <c r="D91" s="3581" t="s">
        <v>2187</v>
      </c>
      <c r="E91" s="3582">
        <f>E75+E77-E81+E85</f>
        <v>0</v>
      </c>
      <c r="F91" s="3577" t="str">
        <f>IF(E91=0,"-",E91/$E$68)</f>
        <v>-</v>
      </c>
      <c r="G91" s="3582">
        <f>G75+G77-G81+G85</f>
        <v>0</v>
      </c>
      <c r="H91" s="3577" t="str">
        <f>IF(G91=0,"-",G91/$G$68)</f>
        <v>-</v>
      </c>
      <c r="I91" s="3582">
        <f>I75+I77-I81+I85</f>
        <v>0</v>
      </c>
      <c r="J91" s="3577" t="str">
        <f>IF(I91=0,"-",I91/$I$68)</f>
        <v>-</v>
      </c>
      <c r="K91" s="3582">
        <f>K75+K77-K81+K85</f>
        <v>0</v>
      </c>
      <c r="L91" s="3577" t="str">
        <f>IF(K91=0,"-",K91/$K$68)</f>
        <v>-</v>
      </c>
      <c r="M91" s="3578"/>
      <c r="N91" s="3577" t="str">
        <f>IF(G91=0,"-",((E91*360/'Estados Financieros'!$H$7)-(G91*360/'Estados Financieros'!$G$7))/(G91*360/'Estados Financieros'!$G$7))</f>
        <v>-</v>
      </c>
      <c r="O91" s="3577" t="str">
        <f>IF(I91=0,"-",((G91*360/'Estados Financieros'!$G$7)-(I91*360/'Estados Financieros'!$F$7))/(I91*360/'Estados Financieros'!$F$7))</f>
        <v>-</v>
      </c>
      <c r="P91" s="3577" t="str">
        <f>IF(K91=0,"-",((I91*360/'Estados Financieros'!$F$7)-(K91*360/'Estados Financieros'!$E$7))/(K91*360/'Estados Financieros'!$E$7))</f>
        <v>-</v>
      </c>
    </row>
    <row r="92" spans="4:16">
      <c r="D92" s="3589" t="s">
        <v>2186</v>
      </c>
      <c r="E92" s="3588">
        <f>'Estados Financieros'!$H$455</f>
        <v>0</v>
      </c>
      <c r="F92" s="3587" t="str">
        <f>IF(E92=0,"-",E92/$E$68)</f>
        <v>-</v>
      </c>
      <c r="G92" s="3588">
        <f>'Estados Financieros'!$G$455</f>
        <v>0</v>
      </c>
      <c r="H92" s="3587" t="str">
        <f>IF(G92=0,"-",G92/$G$68)</f>
        <v>-</v>
      </c>
      <c r="I92" s="3588">
        <f>'Estados Financieros'!$F$455</f>
        <v>0</v>
      </c>
      <c r="J92" s="3587" t="str">
        <f>IF(I92=0,"-",I92/$I$68)</f>
        <v>-</v>
      </c>
      <c r="K92" s="3588">
        <f>'Estados Financieros'!$E$455</f>
        <v>0</v>
      </c>
      <c r="L92" s="3587" t="str">
        <f>IF(K92=0,"-",K92/$K$68)</f>
        <v>-</v>
      </c>
      <c r="N92" s="3587" t="str">
        <f>IF(G92=0,"-",((E92*360/'Estados Financieros'!$H$7)-(G92*360/'Estados Financieros'!$G$7))/(G92*360/'Estados Financieros'!$G$7))</f>
        <v>-</v>
      </c>
      <c r="O92" s="3587" t="str">
        <f>IF(I92=0,"-",((G92*360/'Estados Financieros'!$G$7)-(I92*360/'Estados Financieros'!$F$7))/(I92*360/'Estados Financieros'!$F$7))</f>
        <v>-</v>
      </c>
      <c r="P92" s="3587" t="str">
        <f>IF(K92=0,"-",((I92*360/'Estados Financieros'!$F$7)-(K92*360/'Estados Financieros'!$E$7))/(K92*360/'Estados Financieros'!$E$7))</f>
        <v>-</v>
      </c>
    </row>
    <row r="93" spans="4:16" ht="13">
      <c r="D93" s="3581" t="s">
        <v>850</v>
      </c>
      <c r="E93" s="3586">
        <f>E91-E92</f>
        <v>0</v>
      </c>
      <c r="F93" s="3577" t="str">
        <f>IF(E93=0,"-",E93/$E$68)</f>
        <v>-</v>
      </c>
      <c r="G93" s="3582">
        <f>G91-G92</f>
        <v>0</v>
      </c>
      <c r="H93" s="3577" t="str">
        <f>IF(G93=0,"-",G93/$G$68)</f>
        <v>-</v>
      </c>
      <c r="I93" s="3582">
        <f>I91-I92</f>
        <v>0</v>
      </c>
      <c r="J93" s="3577" t="str">
        <f>IF(I93=0,"-",I93/$I$68)</f>
        <v>-</v>
      </c>
      <c r="K93" s="3582">
        <f>K91-K92</f>
        <v>0</v>
      </c>
      <c r="L93" s="3577" t="str">
        <f>IF(K93=0,"-",K93/$K$68)</f>
        <v>-</v>
      </c>
      <c r="M93" s="3578"/>
      <c r="N93" s="3577" t="str">
        <f>IF(G93=0,"-",((E93*360/'Estados Financieros'!$H$7)-(G93*360/'Estados Financieros'!$G$7))/(G93*360/'Estados Financieros'!$G$7))</f>
        <v>-</v>
      </c>
      <c r="O93" s="3577" t="str">
        <f>IF(I93=0,"-",((G93*360/'Estados Financieros'!$G$7)-(I93*360/'Estados Financieros'!$F$7))/(I93*360/'Estados Financieros'!$F$7))</f>
        <v>-</v>
      </c>
      <c r="P93" s="3577" t="str">
        <f>IF(K93=0,"-",((I93*360/'Estados Financieros'!$F$7)-(K93*360/'Estados Financieros'!$E$7))/(K93*360/'Estados Financieros'!$E$7))</f>
        <v>-</v>
      </c>
    </row>
    <row r="94" spans="4:16">
      <c r="E94" s="3585"/>
      <c r="F94" s="3584"/>
      <c r="G94" s="3585"/>
      <c r="H94" s="3583"/>
      <c r="I94" s="3585"/>
      <c r="J94" s="3583"/>
      <c r="K94" s="3585"/>
      <c r="L94" s="3583"/>
      <c r="N94" s="3583"/>
      <c r="O94" s="3583"/>
      <c r="P94" s="3583"/>
    </row>
    <row r="95" spans="4:16" ht="13">
      <c r="D95" s="3581" t="s">
        <v>2185</v>
      </c>
      <c r="E95" s="3586">
        <f>'Estados Financieros'!$H$403+'Estados Financieros'!$H$404+'Estados Financieros'!$H$420+'Estados Financieros'!$H$421</f>
        <v>0</v>
      </c>
      <c r="F95" s="3577" t="str">
        <f>IF(E95=0,"-",E95/$E$68)</f>
        <v>-</v>
      </c>
      <c r="G95" s="3582">
        <f>'Estados Financieros'!$G$403+'Estados Financieros'!$G$404+'Estados Financieros'!$G$420+'Estados Financieros'!$G$421</f>
        <v>0</v>
      </c>
      <c r="H95" s="3577" t="str">
        <f>IF(G95=0,"-",G95/$G$68)</f>
        <v>-</v>
      </c>
      <c r="I95" s="3582">
        <f>'Estados Financieros'!$F$403+'Estados Financieros'!$F$404+'Estados Financieros'!$F$420+'Estados Financieros'!$F$421</f>
        <v>0</v>
      </c>
      <c r="J95" s="3577" t="str">
        <f>IF(I95=0,"-",I95/$I$68)</f>
        <v>-</v>
      </c>
      <c r="K95" s="3582">
        <f>'Estados Financieros'!$E$403+'Estados Financieros'!$E$404+'Estados Financieros'!$E$420+'Estados Financieros'!$E$421</f>
        <v>0</v>
      </c>
      <c r="L95" s="3577" t="str">
        <f>IF(K95=0,"-",K95/$K$68)</f>
        <v>-</v>
      </c>
      <c r="M95" s="3578"/>
      <c r="N95" s="3577" t="str">
        <f>IF(G95=0,"-",((E95*360/'Estados Financieros'!$H$7)-(G95*360/'Estados Financieros'!$G$7))/(G95*360/'Estados Financieros'!$G$7))</f>
        <v>-</v>
      </c>
      <c r="O95" s="3577" t="str">
        <f>IF(I95=0,"-",((G95*360/'Estados Financieros'!$G$7)-(I95*360/'Estados Financieros'!$F$7))/(I95*360/'Estados Financieros'!$F$7))</f>
        <v>-</v>
      </c>
      <c r="P95" s="3577" t="str">
        <f>IF(K95=0,"-",((I95*360/'Estados Financieros'!$F$7)-(K95*360/'Estados Financieros'!$E$7))/(K95*360/'Estados Financieros'!$E$7))</f>
        <v>-</v>
      </c>
    </row>
    <row r="96" spans="4:16">
      <c r="E96" s="3585"/>
      <c r="F96" s="3584"/>
      <c r="G96" s="3585"/>
      <c r="H96" s="3584"/>
      <c r="I96" s="3585"/>
      <c r="J96" s="3584"/>
      <c r="K96" s="3585"/>
      <c r="L96" s="3584"/>
      <c r="P96" s="3583"/>
    </row>
    <row r="97" spans="4:16" ht="13">
      <c r="D97" s="3581" t="s">
        <v>2184</v>
      </c>
      <c r="E97" s="3582">
        <f>'Estados Financieros'!$H$459</f>
        <v>0</v>
      </c>
      <c r="F97" s="3577" t="str">
        <f>IF(E97=0,"-",E97/$E$68)</f>
        <v>-</v>
      </c>
      <c r="G97" s="3582">
        <f>'Estados Financieros'!$G$459</f>
        <v>0</v>
      </c>
      <c r="H97" s="3577" t="str">
        <f>IF(G97=0,"-",G97/$G$68)</f>
        <v>-</v>
      </c>
      <c r="I97" s="3582">
        <f>'Estados Financieros'!$F$459</f>
        <v>0</v>
      </c>
      <c r="J97" s="3577" t="str">
        <f>IF(I97=0,"-",I97/$I$68)</f>
        <v>-</v>
      </c>
      <c r="K97" s="3582">
        <f>'Estados Financieros'!$E$459</f>
        <v>0</v>
      </c>
      <c r="L97" s="3577" t="str">
        <f>IF(K97=0,"-",K97/$K$68)</f>
        <v>-</v>
      </c>
      <c r="M97" s="3578"/>
      <c r="N97" s="3577" t="str">
        <f>IF(G97=0,"-",((E97*360/'Estados Financieros'!$H$7)-(G97*360/'Estados Financieros'!$G$7))/(G97*360/'Estados Financieros'!$G$7))</f>
        <v>-</v>
      </c>
      <c r="O97" s="3577" t="str">
        <f>IF(I97=0,"-",((G97*360/'Estados Financieros'!$G$7)-(I97*360/'Estados Financieros'!$F$7))/(I97*360/'Estados Financieros'!$F$7))</f>
        <v>-</v>
      </c>
      <c r="P97" s="3577" t="str">
        <f>IF(K97=0,"-",((I97*360/'Estados Financieros'!$F$7)-(K97*360/'Estados Financieros'!$E$7))/(K97*360/'Estados Financieros'!$E$7))</f>
        <v>-</v>
      </c>
    </row>
    <row r="98" spans="4:16" ht="13">
      <c r="D98" s="3581" t="s">
        <v>2183</v>
      </c>
      <c r="E98" s="3582">
        <f>E75+E95+E86-E88</f>
        <v>0</v>
      </c>
      <c r="F98" s="3577" t="str">
        <f>IF(E98=0,"-",E98/$E$68)</f>
        <v>-</v>
      </c>
      <c r="G98" s="3582">
        <f>G75+G95+G86-G88</f>
        <v>0</v>
      </c>
      <c r="H98" s="3577" t="str">
        <f>IF(G98=0,"-",G98/$G$68)</f>
        <v>-</v>
      </c>
      <c r="I98" s="3582">
        <f>I75+I95+I86-I88</f>
        <v>0</v>
      </c>
      <c r="J98" s="3577" t="str">
        <f>IF(I98=0,"-",I98/$I$68)</f>
        <v>-</v>
      </c>
      <c r="K98" s="3582">
        <f>K75+K95+K86-K88</f>
        <v>0</v>
      </c>
      <c r="L98" s="3577" t="str">
        <f>IF(K98=0,"-",K98/$K$68)</f>
        <v>-</v>
      </c>
      <c r="M98" s="3578"/>
      <c r="N98" s="3577" t="str">
        <f>IF(G98=0,"-",((E98*360/'Estados Financieros'!$H$7)-(G98*360/'Estados Financieros'!$G$7))/(G98*360/'Estados Financieros'!$G$7))</f>
        <v>-</v>
      </c>
      <c r="O98" s="3577" t="str">
        <f>IF(I98=0,"-",((G98*360/'Estados Financieros'!$G$7)-(I98*360/'Estados Financieros'!$F$7))/(I98*360/'Estados Financieros'!$F$7))</f>
        <v>-</v>
      </c>
      <c r="P98" s="3577" t="str">
        <f>IF(K98=0,"-",((I98*360/'Estados Financieros'!$F$7)-(K98*360/'Estados Financieros'!$E$7))/(K98*360/'Estados Financieros'!$E$7))</f>
        <v>-</v>
      </c>
    </row>
    <row r="100" spans="4:16" ht="13">
      <c r="D100" s="3581" t="s">
        <v>2182</v>
      </c>
      <c r="E100" s="3582">
        <f>IF(AND(E101&gt;0,E68&gt;0),E68/E101,0)</f>
        <v>0</v>
      </c>
      <c r="F100" s="3577"/>
      <c r="G100" s="3582">
        <f>IF(AND(G101&gt;0,G68&gt;0),G68/G101,0)</f>
        <v>0</v>
      </c>
      <c r="H100" s="3577"/>
      <c r="I100" s="3582">
        <f>IF(AND(I101&gt;0,I68&gt;0),I68/I101,0)</f>
        <v>0</v>
      </c>
      <c r="J100" s="3577"/>
      <c r="K100" s="3582">
        <f>IF(AND(K101&gt;0,K68&gt;0),K68/K101,0)</f>
        <v>0</v>
      </c>
      <c r="L100" s="3577"/>
      <c r="M100" s="3578"/>
      <c r="N100" s="3577" t="str">
        <f>IF(G100=0,"-",((E100*360/'Estados Financieros'!$H$7)-(G100*360/'Estados Financieros'!$G$7))/(G100*360/'Estados Financieros'!$G$7))</f>
        <v>-</v>
      </c>
      <c r="O100" s="3577" t="str">
        <f>IF(I100=0,"-",((G100*360/'Estados Financieros'!$G$7)-(I100*360/'Estados Financieros'!$F$7))/(I100*360/'Estados Financieros'!$F$7))</f>
        <v>-</v>
      </c>
      <c r="P100" s="3577" t="str">
        <f>IF(K100=0,"-",((I100*360/'Estados Financieros'!$F$7)-(K100*360/'Estados Financieros'!$E$7))/(K100*360/'Estados Financieros'!$E$7))</f>
        <v>-</v>
      </c>
    </row>
    <row r="101" spans="4:16" ht="13">
      <c r="D101" s="3581" t="s">
        <v>2181</v>
      </c>
      <c r="E101" s="3580">
        <f>ROUND(($E$67-$G$67)/30,0)</f>
        <v>6</v>
      </c>
      <c r="F101" s="3577"/>
      <c r="G101" s="3580">
        <f>ROUND(($G$67-$I$67)/30,0)</f>
        <v>12</v>
      </c>
      <c r="H101" s="3577"/>
      <c r="I101" s="3580">
        <v>15</v>
      </c>
      <c r="J101" s="3577"/>
      <c r="K101" s="3579">
        <v>12</v>
      </c>
      <c r="L101" s="3577"/>
      <c r="M101" s="3578"/>
      <c r="N101" s="3577"/>
      <c r="O101" s="3577"/>
      <c r="P101" s="3577"/>
    </row>
  </sheetData>
  <mergeCells count="3">
    <mergeCell ref="E1:E2"/>
    <mergeCell ref="N9:P9"/>
    <mergeCell ref="N66:P66"/>
  </mergeCells>
  <conditionalFormatting sqref="O2:P4">
    <cfRule type="cellIs" dxfId="84" priority="4" operator="equal">
      <formula>0</formula>
    </cfRule>
  </conditionalFormatting>
  <conditionalFormatting sqref="O2:P4">
    <cfRule type="cellIs" dxfId="83" priority="3" operator="greaterThan">
      <formula>0</formula>
    </cfRule>
  </conditionalFormatting>
  <conditionalFormatting sqref="M1">
    <cfRule type="notContainsBlanks" dxfId="82" priority="2">
      <formula>LEN(TRIM(M1))&gt;0</formula>
    </cfRule>
  </conditionalFormatting>
  <conditionalFormatting sqref="M2">
    <cfRule type="notContainsBlanks" dxfId="81" priority="1">
      <formula>LEN(TRIM(M2))&gt;0</formula>
    </cfRule>
  </conditionalFormatting>
  <dataValidations count="1">
    <dataValidation type="list" allowBlank="1" showInputMessage="1" prompt="Haz clic e introduce un valor de la lista de elementos" sqref="D7">
      <formula1>"ESTADOS FINANCIEROS INDIVIDUALES,ESTADOS FINANCIEROS CONSOLIDADOS"</formula1>
    </dataValidation>
  </dataValidations>
  <hyperlinks>
    <hyperlink ref="D1" r:id="rId1" location="gid=1157585278"/>
  </hyperlinks>
  <pageMargins left="0.25" right="0.25" top="0.75" bottom="0.75" header="0" footer="0"/>
  <pageSetup orientation="portrait"/>
  <headerFooter>
    <oddHeader>&amp;CDocumento Interno</oddHeader>
    <oddFooter>&amp;R&amp;P</oddFooter>
  </headerFooter>
  <rowBreaks count="1" manualBreakCount="1">
    <brk id="66" man="1"/>
  </rowBreaks>
  <colBreaks count="2" manualBreakCount="2">
    <brk man="1"/>
    <brk id="16" man="1"/>
  </colBreaks>
  <drawing r:id="rId2"/>
  <legacyDrawing r:id="rId3"/>
</worksheet>
</file>

<file path=xl/worksheets/sheet39.xml><?xml version="1.0" encoding="utf-8"?>
<worksheet xmlns="http://schemas.openxmlformats.org/spreadsheetml/2006/main" xmlns:r="http://schemas.openxmlformats.org/officeDocument/2006/relationships">
  <sheetPr codeName="Hoja48">
    <outlinePr summaryBelow="0" summaryRight="0"/>
  </sheetPr>
  <dimension ref="A1:H79"/>
  <sheetViews>
    <sheetView showGridLines="0" showRowColHeaders="0" topLeftCell="A3" workbookViewId="0">
      <selection activeCell="D5" sqref="D5"/>
    </sheetView>
  </sheetViews>
  <sheetFormatPr baseColWidth="10" defaultColWidth="12.6328125" defaultRowHeight="14.5"/>
  <cols>
    <col min="1" max="3" width="3" customWidth="1"/>
    <col min="4" max="4" width="57.7265625" style="3576" customWidth="1"/>
    <col min="5" max="7" width="15" style="3576" customWidth="1"/>
    <col min="8" max="10" width="2.6328125" style="3576" customWidth="1"/>
    <col min="11" max="16384" width="12.6328125" style="3576"/>
  </cols>
  <sheetData>
    <row r="1" spans="1:8" hidden="1"/>
    <row r="2" spans="1:8" hidden="1"/>
    <row r="3" spans="1:8" ht="12.5">
      <c r="A3" s="3576"/>
      <c r="B3" s="3576"/>
      <c r="C3" s="3576"/>
      <c r="D3" s="3634"/>
      <c r="E3" s="3634"/>
      <c r="F3" s="3634"/>
      <c r="G3" s="3634"/>
      <c r="H3" s="3634"/>
    </row>
    <row r="4" spans="1:8" ht="12.5">
      <c r="A4" s="3576"/>
      <c r="B4" s="3576"/>
      <c r="C4" s="3576"/>
      <c r="D4" s="3634"/>
      <c r="E4" s="3634"/>
      <c r="F4" s="3634"/>
      <c r="G4" s="3634"/>
      <c r="H4" s="3634"/>
    </row>
    <row r="5" spans="1:8" ht="12.5">
      <c r="A5" s="3576"/>
      <c r="B5" s="3576"/>
      <c r="C5" s="3576"/>
      <c r="E5" s="3634"/>
      <c r="F5" s="3634"/>
      <c r="G5" s="3634"/>
      <c r="H5" s="3634"/>
    </row>
    <row r="6" spans="1:8" ht="13">
      <c r="A6" s="3576"/>
      <c r="B6" s="3576"/>
      <c r="C6" s="3576"/>
      <c r="D6" s="3578" t="str">
        <f>T(SPREAD!D6)</f>
        <v/>
      </c>
      <c r="E6" s="3634"/>
      <c r="F6" s="3634"/>
      <c r="G6" s="3634"/>
      <c r="H6" s="3634"/>
    </row>
    <row r="7" spans="1:8" ht="12.5">
      <c r="A7" s="3576"/>
      <c r="B7" s="3576"/>
      <c r="C7" s="3576"/>
      <c r="D7" s="3634" t="s">
        <v>2281</v>
      </c>
      <c r="E7" s="3634"/>
      <c r="F7" s="3634"/>
      <c r="G7" s="3634"/>
      <c r="H7" s="3634"/>
    </row>
    <row r="8" spans="1:8" ht="12.5">
      <c r="A8" s="3576"/>
      <c r="B8" s="3576"/>
      <c r="C8" s="3576"/>
      <c r="D8" s="3610" t="s">
        <v>2253</v>
      </c>
      <c r="E8" s="3634"/>
      <c r="F8" s="3634"/>
      <c r="G8" s="3634"/>
      <c r="H8" s="3634"/>
    </row>
    <row r="9" spans="1:8" ht="12.5">
      <c r="A9" s="3576"/>
      <c r="B9" s="3576"/>
      <c r="C9" s="3576"/>
      <c r="D9" s="3634"/>
      <c r="E9" s="3634"/>
      <c r="F9" s="3634"/>
      <c r="G9" s="3634"/>
      <c r="H9" s="3634"/>
    </row>
    <row r="10" spans="1:8" ht="28">
      <c r="A10" s="3576"/>
      <c r="B10" s="3576"/>
      <c r="C10" s="3576"/>
      <c r="D10" s="3594" t="s">
        <v>2280</v>
      </c>
      <c r="E10" s="3594" t="str">
        <f>CONCATENATE(UPPER('Estados Financieros'!$H$8)," ",'Estados Financieros'!$H$4)</f>
        <v>JUNIO 2020</v>
      </c>
      <c r="F10" s="3594" t="str">
        <f>CONCATENATE(UPPER('Estados Financieros'!$G$8)," ",'Estados Financieros'!$G$4)</f>
        <v>DICIEMBRE 2019</v>
      </c>
      <c r="G10" s="3594" t="str">
        <f>CONCATENATE(UPPER('Estados Financieros'!$F$8)," ",'Estados Financieros'!$F$4)</f>
        <v>DICIEMBRE 2018</v>
      </c>
      <c r="H10" s="3595"/>
    </row>
    <row r="11" spans="1:8" ht="12.5">
      <c r="A11" s="3576"/>
      <c r="B11" s="3576"/>
      <c r="C11" s="3576"/>
      <c r="D11" s="3589" t="s">
        <v>2279</v>
      </c>
      <c r="E11" s="3588">
        <f>SPREAD!$E$93</f>
        <v>0</v>
      </c>
      <c r="F11" s="3588">
        <f>SPREAD!$G$93</f>
        <v>0</v>
      </c>
      <c r="G11" s="3588">
        <f>SPREAD!$I$93</f>
        <v>0</v>
      </c>
    </row>
    <row r="12" spans="1:8" ht="12.5">
      <c r="A12" s="3576"/>
      <c r="B12" s="3576"/>
      <c r="C12" s="3576"/>
      <c r="D12" s="3589" t="s">
        <v>2278</v>
      </c>
      <c r="E12" s="3629">
        <f>-(SPREAD!E25-SPREAD!G25)</f>
        <v>0</v>
      </c>
      <c r="F12" s="3588">
        <f>-(SPREAD!G25-SPREAD!I25)</f>
        <v>0</v>
      </c>
      <c r="G12" s="3588">
        <f>-(SPREAD!I25-SPREAD!K25)</f>
        <v>0</v>
      </c>
    </row>
    <row r="13" spans="1:8" ht="12.5">
      <c r="A13" s="3576"/>
      <c r="B13" s="3576"/>
      <c r="C13" s="3576"/>
      <c r="D13" s="3589" t="s">
        <v>2259</v>
      </c>
      <c r="E13" s="3588">
        <f>-$E$76</f>
        <v>-150</v>
      </c>
      <c r="F13" s="3588">
        <f>-$F$76</f>
        <v>0</v>
      </c>
      <c r="G13" s="3588">
        <f>-$G$76</f>
        <v>0</v>
      </c>
    </row>
    <row r="14" spans="1:8" ht="12.5">
      <c r="A14" s="3576"/>
      <c r="B14" s="3576"/>
      <c r="C14" s="3576"/>
      <c r="D14" s="3589" t="s">
        <v>2277</v>
      </c>
      <c r="E14" s="3588">
        <f>SUM(E11:E13)</f>
        <v>-150</v>
      </c>
      <c r="F14" s="3588">
        <f>SUM(F11:F13)</f>
        <v>0</v>
      </c>
      <c r="G14" s="3588">
        <f>SUM(G11:G13)</f>
        <v>0</v>
      </c>
    </row>
    <row r="15" spans="1:8" ht="12.5">
      <c r="A15" s="3576"/>
      <c r="B15" s="3576"/>
      <c r="C15" s="3576"/>
      <c r="E15" s="3585"/>
      <c r="F15" s="3585"/>
      <c r="G15" s="3585"/>
    </row>
    <row r="16" spans="1:8" ht="14">
      <c r="A16" s="3576"/>
      <c r="B16" s="3576"/>
      <c r="C16" s="3576"/>
      <c r="D16" s="3628" t="s">
        <v>2276</v>
      </c>
      <c r="E16" s="3632"/>
      <c r="F16" s="3631"/>
      <c r="G16" s="3630"/>
    </row>
    <row r="17" spans="4:7" s="3576" customFormat="1" ht="12.5">
      <c r="D17" s="3589" t="s">
        <v>2275</v>
      </c>
      <c r="E17" s="3588">
        <f>-(SPREAD!$E$14-SPREAD!$G$14)-(SPREAD!$E$15-SPREAD!$G$15)</f>
        <v>0</v>
      </c>
      <c r="F17" s="3588">
        <f>-(SPREAD!$G$14-SPREAD!$I$14)-(SPREAD!$G$15-SPREAD!$I$15)</f>
        <v>0</v>
      </c>
      <c r="G17" s="3588">
        <f>-(SPREAD!$I$14-SPREAD!$K$14)-(SPREAD!$I$15-SPREAD!$K$15)</f>
        <v>0</v>
      </c>
    </row>
    <row r="18" spans="4:7" s="3576" customFormat="1" ht="12.5">
      <c r="D18" s="3633" t="str">
        <f>SPREAD!D16</f>
        <v>CUENTAS POR COBRAR COMERCIALES RELACIONADAS</v>
      </c>
      <c r="E18" s="3588">
        <f>-(SPREAD!$E$16-SPREAD!$G$16)</f>
        <v>0</v>
      </c>
      <c r="F18" s="3588">
        <f>-(SPREAD!$G$16-SPREAD!$I$16)</f>
        <v>0</v>
      </c>
      <c r="G18" s="3588">
        <f>-(SPREAD!$I$16-SPREAD!$K$16)</f>
        <v>0</v>
      </c>
    </row>
    <row r="19" spans="4:7" s="3576" customFormat="1" ht="12.5">
      <c r="D19" s="3633" t="str">
        <f>SPREAD!D17</f>
        <v>PROVISIÓN POR DETERIORO CUENTAS POR COBRAR</v>
      </c>
      <c r="E19" s="3588">
        <f>-(SPREAD!$E$17-SPREAD!$G$17)</f>
        <v>0</v>
      </c>
      <c r="F19" s="3588">
        <f>-(SPREAD!$G$17-SPREAD!$I$17)</f>
        <v>0</v>
      </c>
      <c r="G19" s="3588">
        <f>-(SPREAD!$I$17-SPREAD!$K$17)</f>
        <v>0</v>
      </c>
    </row>
    <row r="20" spans="4:7" s="3576" customFormat="1" ht="12.5">
      <c r="D20" s="3633" t="str">
        <f>SPREAD!D18</f>
        <v>INVENTARIOS</v>
      </c>
      <c r="E20" s="3588">
        <f>-(SPREAD!$E$18-SPREAD!$G$18)</f>
        <v>0</v>
      </c>
      <c r="F20" s="3588">
        <f>-(SPREAD!$G$18-SPREAD!$I$18)</f>
        <v>0</v>
      </c>
      <c r="G20" s="3588">
        <f>-(SPREAD!$I$18-SPREAD!$K$18)</f>
        <v>0</v>
      </c>
    </row>
    <row r="21" spans="4:7" s="3576" customFormat="1" ht="12.5">
      <c r="D21" s="3633" t="str">
        <f>SPREAD!D19</f>
        <v>INVENTARIOS EN TRÁNSITO</v>
      </c>
      <c r="E21" s="3588">
        <f>-(SPREAD!$E$19-SPREAD!$G$19)</f>
        <v>0</v>
      </c>
      <c r="F21" s="3588">
        <f>-(SPREAD!$G$19-SPREAD!$I$19)</f>
        <v>0</v>
      </c>
      <c r="G21" s="3588">
        <f>-(SPREAD!$I$19-SPREAD!$K$19)</f>
        <v>0</v>
      </c>
    </row>
    <row r="22" spans="4:7" s="3576" customFormat="1" ht="12.5">
      <c r="D22" s="3633" t="str">
        <f>SPREAD!D20</f>
        <v>DOCUMENTOS POR COBRAR CORTO PLAZO</v>
      </c>
      <c r="E22" s="3588">
        <f>-(SPREAD!$E$20-SPREAD!$G$20)</f>
        <v>0</v>
      </c>
      <c r="F22" s="3588">
        <f>-(SPREAD!$G$20-SPREAD!$I$20)</f>
        <v>0</v>
      </c>
      <c r="G22" s="3588">
        <f>-(SPREAD!$I$20-SPREAD!$K$20)</f>
        <v>0</v>
      </c>
    </row>
    <row r="23" spans="4:7" s="3576" customFormat="1" ht="12.5">
      <c r="D23" s="3633" t="str">
        <f>SPREAD!D21</f>
        <v>GASTOS DIFERIDOS</v>
      </c>
      <c r="E23" s="3588">
        <f>-(SPREAD!$E$21-SPREAD!$G$21)</f>
        <v>0</v>
      </c>
      <c r="F23" s="3588">
        <f>-(SPREAD!$G$21-SPREAD!$I$21)</f>
        <v>0</v>
      </c>
      <c r="G23" s="3588">
        <f>-(SPREAD!$I$21-SPREAD!$K$21)</f>
        <v>0</v>
      </c>
    </row>
    <row r="24" spans="4:7" s="3576" customFormat="1" ht="12.5">
      <c r="D24" s="3633" t="str">
        <f>SPREAD!D22</f>
        <v>OTROS CUENTAS DE CORTO PLAZO</v>
      </c>
      <c r="E24" s="3588">
        <f>-(SPREAD!$E$22-SPREAD!$G$22)</f>
        <v>0</v>
      </c>
      <c r="F24" s="3588">
        <f>-(SPREAD!$G$22-SPREAD!$I$22)</f>
        <v>0</v>
      </c>
      <c r="G24" s="3588">
        <f>-(SPREAD!$I$22-SPREAD!$K$22)</f>
        <v>0</v>
      </c>
    </row>
    <row r="25" spans="4:7" s="3576" customFormat="1" ht="12.5">
      <c r="D25" s="3589" t="s">
        <v>2274</v>
      </c>
      <c r="E25" s="3629">
        <f>(SPREAD!$E$39-SPREAD!$G$39)+(SPREAD!$E$40-SPREAD!$G$40)</f>
        <v>0</v>
      </c>
      <c r="F25" s="3588">
        <f>(SPREAD!$G$39-SPREAD!$I$39)+(SPREAD!$G$40-SPREAD!$I$40)</f>
        <v>0</v>
      </c>
      <c r="G25" s="3588">
        <f>(SPREAD!$I$39-SPREAD!$K$39)+(SPREAD!$I$40-SPREAD!$K$40)</f>
        <v>0</v>
      </c>
    </row>
    <row r="26" spans="4:7" s="3576" customFormat="1" ht="12.5">
      <c r="D26" s="3633" t="str">
        <f>SPREAD!D41</f>
        <v>CUENTAS POR PAGAR COMERCIALES RELACIONADAS</v>
      </c>
      <c r="E26" s="3629">
        <f>(SPREAD!$E$41-SPREAD!$G$41)</f>
        <v>0</v>
      </c>
      <c r="F26" s="3588">
        <f>(SPREAD!$G$41-SPREAD!$I$41)</f>
        <v>0</v>
      </c>
      <c r="G26" s="3588">
        <f>(SPREAD!$I$41-SPREAD!$K$41)</f>
        <v>0</v>
      </c>
    </row>
    <row r="27" spans="4:7" s="3576" customFormat="1" ht="12.5">
      <c r="D27" s="3633" t="str">
        <f>SPREAD!D42</f>
        <v>DOCUMENTOS POR PAGAR RELACIONADAS CORTO PLAZO</v>
      </c>
      <c r="E27" s="3629">
        <f>(SPREAD!$E$42-SPREAD!$G$42)</f>
        <v>0</v>
      </c>
      <c r="F27" s="3588">
        <f>(SPREAD!$G$42-SPREAD!$I$42)</f>
        <v>0</v>
      </c>
      <c r="G27" s="3588">
        <f>(SPREAD!$I$42-SPREAD!$K$42)</f>
        <v>0</v>
      </c>
    </row>
    <row r="28" spans="4:7" s="3576" customFormat="1" ht="12.5">
      <c r="D28" s="3633" t="str">
        <f>SPREAD!D43</f>
        <v>IMPUESTOS POR PAGAR</v>
      </c>
      <c r="E28" s="3629">
        <f>(SPREAD!$E$43-SPREAD!$G$43)</f>
        <v>0</v>
      </c>
      <c r="F28" s="3588">
        <f>(SPREAD!$G$43-SPREAD!$I$43)</f>
        <v>0</v>
      </c>
      <c r="G28" s="3588">
        <f>(SPREAD!$I$43-SPREAD!$K$43)</f>
        <v>0</v>
      </c>
    </row>
    <row r="29" spans="4:7" s="3576" customFormat="1" ht="12.5">
      <c r="D29" s="3633" t="str">
        <f>SPREAD!D44</f>
        <v>INGRESOS DIFERIDOS</v>
      </c>
      <c r="E29" s="3629">
        <f>(SPREAD!$E$44-SPREAD!$G$44)</f>
        <v>0</v>
      </c>
      <c r="F29" s="3588">
        <f>(SPREAD!$G$44-SPREAD!$I$44)</f>
        <v>0</v>
      </c>
      <c r="G29" s="3588">
        <f>(SPREAD!$I$44-SPREAD!$K$44)</f>
        <v>0</v>
      </c>
    </row>
    <row r="30" spans="4:7" s="3576" customFormat="1" ht="12.5">
      <c r="D30" s="3633" t="str">
        <f>SPREAD!D45</f>
        <v>GASTOS ACUMULADOS POR PAGAR</v>
      </c>
      <c r="E30" s="3629">
        <f>(SPREAD!$E$45-SPREAD!$G$45)</f>
        <v>0</v>
      </c>
      <c r="F30" s="3588">
        <f>(SPREAD!$G$45-SPREAD!$I$45)</f>
        <v>0</v>
      </c>
      <c r="G30" s="3588">
        <f>(SPREAD!$I$45-SPREAD!$K$45)</f>
        <v>0</v>
      </c>
    </row>
    <row r="31" spans="4:7" s="3576" customFormat="1" ht="12.5">
      <c r="D31" s="3633" t="str">
        <f>SPREAD!D46</f>
        <v>PROVISIONES Y RETENCIONES POR PAGAR</v>
      </c>
      <c r="E31" s="3629">
        <f>(SPREAD!$E$46-SPREAD!$G$46)</f>
        <v>0</v>
      </c>
      <c r="F31" s="3588">
        <f>(SPREAD!$G$46-SPREAD!$I$46)</f>
        <v>0</v>
      </c>
      <c r="G31" s="3588">
        <f>(SPREAD!$I$46-SPREAD!$K$46)</f>
        <v>0</v>
      </c>
    </row>
    <row r="32" spans="4:7" s="3576" customFormat="1" ht="12.5">
      <c r="D32" s="3633" t="str">
        <f>SPREAD!D47</f>
        <v>OTROS PASIVOS DE COSTO PLAZO</v>
      </c>
      <c r="E32" s="3629">
        <f>(SPREAD!$E$47-SPREAD!$G$47)</f>
        <v>0</v>
      </c>
      <c r="F32" s="3588">
        <f>(SPREAD!$G$47-SPREAD!$I$47)</f>
        <v>0</v>
      </c>
      <c r="G32" s="3588">
        <f>(SPREAD!$I$47-SPREAD!$K$47)</f>
        <v>0</v>
      </c>
    </row>
    <row r="33" spans="4:7" s="3576" customFormat="1" ht="14">
      <c r="D33" s="3628" t="s">
        <v>2273</v>
      </c>
      <c r="E33" s="3600">
        <f>SUM(E17:E32)+E14</f>
        <v>-150</v>
      </c>
      <c r="F33" s="3600">
        <f>SUM(F17:F32)+F14</f>
        <v>0</v>
      </c>
      <c r="G33" s="3600">
        <f>SUM(G17:G32)+G14</f>
        <v>0</v>
      </c>
    </row>
    <row r="34" spans="4:7" s="3576" customFormat="1" ht="12.5">
      <c r="E34" s="3585"/>
      <c r="F34" s="3585"/>
      <c r="G34" s="3585"/>
    </row>
    <row r="35" spans="4:7" s="3576" customFormat="1" ht="14">
      <c r="D35" s="3628" t="s">
        <v>2272</v>
      </c>
      <c r="E35" s="3632"/>
      <c r="F35" s="3631"/>
      <c r="G35" s="3630"/>
    </row>
    <row r="36" spans="4:7" s="3576" customFormat="1" ht="12.5">
      <c r="D36" s="3589" t="str">
        <f>SPREAD!$D$24</f>
        <v>PROPIEDAD, PLANTA Y EQUIPO</v>
      </c>
      <c r="E36" s="3629">
        <f>-((SPREAD!$E$24-SPREAD!$E$60)-(SPREAD!$G$24-SPREAD!$G$60))</f>
        <v>0</v>
      </c>
      <c r="F36" s="3588">
        <f>-((SPREAD!$G$24-SPREAD!$G$60)-(SPREAD!$I$24-SPREAD!$I$60))</f>
        <v>0</v>
      </c>
      <c r="G36" s="3588">
        <f>-((SPREAD!$I$24-SPREAD!$I$60)-(SPREAD!$K$24-SPREAD!$K$60))</f>
        <v>0</v>
      </c>
    </row>
    <row r="37" spans="4:7" s="3576" customFormat="1" ht="12.5">
      <c r="D37" s="3589" t="str">
        <f>SPREAD!$D$26</f>
        <v>INVERSIONES PERMANENTES</v>
      </c>
      <c r="E37" s="3588">
        <f>-(SPREAD!$E$26-SPREAD!$G$26)</f>
        <v>0</v>
      </c>
      <c r="F37" s="3588">
        <f>-(SPREAD!$G$26-SPREAD!$I$26)</f>
        <v>0</v>
      </c>
      <c r="G37" s="3588">
        <f>-(SPREAD!$I$26-SPREAD!$K$26)</f>
        <v>0</v>
      </c>
    </row>
    <row r="38" spans="4:7" s="3576" customFormat="1" ht="12.5">
      <c r="D38" s="3589" t="str">
        <f>SPREAD!$D$27</f>
        <v>PROPIEADES DE INVERSIÓN</v>
      </c>
      <c r="E38" s="3588">
        <f>-(SPREAD!$E$27-SPREAD!$G$27)</f>
        <v>0</v>
      </c>
      <c r="F38" s="3588">
        <f>-(SPREAD!$G$27-SPREAD!$I$27)</f>
        <v>0</v>
      </c>
      <c r="G38" s="3588">
        <f>-(SPREAD!$I$27-SPREAD!$K$27)</f>
        <v>0</v>
      </c>
    </row>
    <row r="39" spans="4:7" s="3576" customFormat="1" ht="12.5">
      <c r="D39" s="3589" t="str">
        <f>SPREAD!$D$28</f>
        <v>OBRAS EN PROCESO</v>
      </c>
      <c r="E39" s="3588">
        <f>-(SPREAD!$E$28-SPREAD!$G$28)</f>
        <v>0</v>
      </c>
      <c r="F39" s="3588">
        <f>-(SPREAD!$G$28-SPREAD!$I$28)</f>
        <v>0</v>
      </c>
      <c r="G39" s="3588">
        <f>-(SPREAD!$I$28-SPREAD!$K$28)</f>
        <v>0</v>
      </c>
    </row>
    <row r="40" spans="4:7" s="3576" customFormat="1" ht="12.5">
      <c r="D40" s="3589" t="str">
        <f>SPREAD!$D$29</f>
        <v>ACTIVOS BIOLÓGICOS</v>
      </c>
      <c r="E40" s="3588">
        <f>-(SPREAD!$E$29-SPREAD!$G$29)</f>
        <v>0</v>
      </c>
      <c r="F40" s="3588">
        <f>-(SPREAD!$G$29-SPREAD!$I$29)</f>
        <v>0</v>
      </c>
      <c r="G40" s="3588">
        <f>-(SPREAD!$I$29-SPREAD!$K$29)</f>
        <v>0</v>
      </c>
    </row>
    <row r="41" spans="4:7" s="3576" customFormat="1" ht="12.5">
      <c r="D41" s="3589" t="str">
        <f>SPREAD!$D$30</f>
        <v>CRÉDITO MERCANTIL Y OTROS INTANGIBLES NETOS</v>
      </c>
      <c r="E41" s="3588">
        <f>-(SPREAD!$E$30-SPREAD!$G$30)</f>
        <v>0</v>
      </c>
      <c r="F41" s="3588">
        <f>-(SPREAD!$G$30-SPREAD!$I$30)</f>
        <v>0</v>
      </c>
      <c r="G41" s="3588">
        <f>-(SPREAD!$I$30-SPREAD!$K$30)</f>
        <v>0</v>
      </c>
    </row>
    <row r="42" spans="4:7" s="3576" customFormat="1" ht="12.5">
      <c r="D42" s="3589" t="str">
        <f>SPREAD!$D$31</f>
        <v>CUENTAS POR COBRAR COMERCIALES LARGO PLAZO</v>
      </c>
      <c r="E42" s="3588">
        <f>-(SPREAD!$E$31-SPREAD!$G$31)</f>
        <v>0</v>
      </c>
      <c r="F42" s="3588">
        <f>-(SPREAD!$G$31-SPREAD!$I$31)</f>
        <v>0</v>
      </c>
      <c r="G42" s="3588">
        <f>-(SPREAD!$I$31-SPREAD!$K$31)</f>
        <v>0</v>
      </c>
    </row>
    <row r="43" spans="4:7" s="3576" customFormat="1" ht="12.5">
      <c r="D43" s="3589" t="str">
        <f>SPREAD!$D$32</f>
        <v>DOCUMENTOS POR COBRAR RELACIONADAS LARGO PLAZO</v>
      </c>
      <c r="E43" s="3588">
        <f>-(SPREAD!$E$32-SPREAD!$G$32)</f>
        <v>0</v>
      </c>
      <c r="F43" s="3588">
        <f>-(SPREAD!$G$32-SPREAD!$I$32)</f>
        <v>0</v>
      </c>
      <c r="G43" s="3588">
        <f>-(SPREAD!$I$32-SPREAD!$K$32)</f>
        <v>0</v>
      </c>
    </row>
    <row r="44" spans="4:7" s="3576" customFormat="1" ht="12.5">
      <c r="D44" s="3589" t="str">
        <f>SPREAD!$D$33</f>
        <v>OTRAS CUENTAS LARGO PLAZO</v>
      </c>
      <c r="E44" s="3588">
        <f>-(SPREAD!$E$33-SPREAD!$G$33)</f>
        <v>0</v>
      </c>
      <c r="F44" s="3588">
        <f>-(SPREAD!$G$33-SPREAD!$I$33)</f>
        <v>0</v>
      </c>
      <c r="G44" s="3588">
        <f>-(SPREAD!$I$33-SPREAD!$K$33)</f>
        <v>0</v>
      </c>
    </row>
    <row r="45" spans="4:7" s="3576" customFormat="1" ht="14">
      <c r="D45" s="3628" t="s">
        <v>2271</v>
      </c>
      <c r="E45" s="3600">
        <f>SUM(E36:E44)</f>
        <v>0</v>
      </c>
      <c r="F45" s="3600">
        <f>SUM(F36:F44)</f>
        <v>0</v>
      </c>
      <c r="G45" s="3600">
        <f>SUM(G36:G44)</f>
        <v>0</v>
      </c>
    </row>
    <row r="46" spans="4:7" s="3576" customFormat="1" ht="12.5">
      <c r="E46" s="3585"/>
      <c r="F46" s="3585"/>
      <c r="G46" s="3585"/>
    </row>
    <row r="47" spans="4:7" s="3576" customFormat="1" ht="14">
      <c r="D47" s="3628" t="s">
        <v>2270</v>
      </c>
      <c r="E47" s="3632"/>
      <c r="F47" s="3631"/>
      <c r="G47" s="3630"/>
    </row>
    <row r="48" spans="4:7" s="3576" customFormat="1" ht="12.5">
      <c r="D48" s="3589" t="str">
        <f>SPREAD!$D$36</f>
        <v>LINEAS DE CRÉDITO</v>
      </c>
      <c r="E48" s="3588">
        <f>(SPREAD!$E$36-SPREAD!$G$36)</f>
        <v>0</v>
      </c>
      <c r="F48" s="3588">
        <f>(SPREAD!$G$36-SPREAD!$I$36)</f>
        <v>0</v>
      </c>
      <c r="G48" s="3588">
        <f>(SPREAD!$I$36-SPREAD!$K$36)</f>
        <v>0</v>
      </c>
    </row>
    <row r="49" spans="4:7" s="3576" customFormat="1" ht="12.5">
      <c r="D49" s="3589" t="str">
        <f>SPREAD!$D$37</f>
        <v>PORCIÓN CIRCULANTE DEUDAS CON ENTIDADES</v>
      </c>
      <c r="E49" s="3588">
        <f>(SPREAD!$E$37-SPREAD!$G$37)</f>
        <v>0</v>
      </c>
      <c r="F49" s="3588">
        <f>(SPREAD!$G$37-SPREAD!$I$37)</f>
        <v>0</v>
      </c>
      <c r="G49" s="3588">
        <f>(SPREAD!$I$37-SPREAD!$K$37)</f>
        <v>0</v>
      </c>
    </row>
    <row r="50" spans="4:7" s="3576" customFormat="1" ht="12.5">
      <c r="D50" s="3589" t="str">
        <f>SPREAD!$D$38</f>
        <v>OTROS PASIVOS CON COSTO DE CORTO PLAZO</v>
      </c>
      <c r="E50" s="3588">
        <f>(SPREAD!$E$38-SPREAD!$G$38)</f>
        <v>0</v>
      </c>
      <c r="F50" s="3588">
        <f>(SPREAD!$G$38-SPREAD!$I$38)</f>
        <v>0</v>
      </c>
      <c r="G50" s="3588">
        <f>(SPREAD!$I$38-SPREAD!$K$38)</f>
        <v>0</v>
      </c>
    </row>
    <row r="51" spans="4:7" s="3576" customFormat="1" ht="12.5">
      <c r="D51" s="3589" t="str">
        <f>SPREAD!$D$49</f>
        <v>DEUDAS CON ENTIDADES A LARGO PLAZO</v>
      </c>
      <c r="E51" s="3588">
        <f>(SPREAD!$E$49-SPREAD!$G$49)</f>
        <v>0</v>
      </c>
      <c r="F51" s="3588">
        <f>(SPREAD!$G$49-SPREAD!$I$49)</f>
        <v>0</v>
      </c>
      <c r="G51" s="3588">
        <f>(SPREAD!$I$49-SPREAD!$K$49)</f>
        <v>0</v>
      </c>
    </row>
    <row r="52" spans="4:7" s="3576" customFormat="1" ht="12.5">
      <c r="D52" s="3589" t="str">
        <f>SPREAD!$D$50</f>
        <v>DEUDAS CON RELACIONADAS LARGO PLAZO</v>
      </c>
      <c r="E52" s="3588">
        <f>(SPREAD!$E$50-SPREAD!$G$50)</f>
        <v>0</v>
      </c>
      <c r="F52" s="3588">
        <f>(SPREAD!$G$50-SPREAD!$I$50)</f>
        <v>0</v>
      </c>
      <c r="G52" s="3588">
        <f>(SPREAD!$I$50-SPREAD!$K$50)</f>
        <v>0</v>
      </c>
    </row>
    <row r="53" spans="4:7" s="3576" customFormat="1" ht="12.5">
      <c r="D53" s="3589" t="str">
        <f>SPREAD!$D$51</f>
        <v>CUENTAS POR PAGAR LARGO PLAZO</v>
      </c>
      <c r="E53" s="3588">
        <f>(SPREAD!$E$51-SPREAD!$G$51)</f>
        <v>0</v>
      </c>
      <c r="F53" s="3588">
        <f>(SPREAD!$G$51-SPREAD!$I$51)</f>
        <v>0</v>
      </c>
      <c r="G53" s="3588">
        <f>(SPREAD!$I$51-SPREAD!$K$51)</f>
        <v>0</v>
      </c>
    </row>
    <row r="54" spans="4:7" s="3576" customFormat="1" ht="12.5">
      <c r="D54" s="3589" t="str">
        <f>SPREAD!$D$52</f>
        <v>GASTOS Y PROVISIONES POR PAGAR LARGO PLAZO</v>
      </c>
      <c r="E54" s="3588">
        <f>(SPREAD!$E$52-SPREAD!$G$52)</f>
        <v>0</v>
      </c>
      <c r="F54" s="3588">
        <f>(SPREAD!$G$52-SPREAD!$I$52)</f>
        <v>0</v>
      </c>
      <c r="G54" s="3588">
        <f>(SPREAD!$I$52-SPREAD!$K$52)</f>
        <v>0</v>
      </c>
    </row>
    <row r="55" spans="4:7" s="3576" customFormat="1" ht="12.5">
      <c r="D55" s="3589" t="str">
        <f>SPREAD!$D$53</f>
        <v>IMPUESTO POR PAGAR LARGO PLAZO</v>
      </c>
      <c r="E55" s="3588">
        <f>(SPREAD!$E$53-SPREAD!$G$53)</f>
        <v>0</v>
      </c>
      <c r="F55" s="3588">
        <f>(SPREAD!$G$53-SPREAD!$I$53)</f>
        <v>0</v>
      </c>
      <c r="G55" s="3588">
        <f>(SPREAD!$I$53-SPREAD!$K$53)</f>
        <v>0</v>
      </c>
    </row>
    <row r="56" spans="4:7" s="3576" customFormat="1" ht="12.5">
      <c r="D56" s="3589" t="str">
        <f>SPREAD!$D$54</f>
        <v>OTRAS CUENTAS LARGO PLAZO</v>
      </c>
      <c r="E56" s="3588">
        <f>(SPREAD!$E$54-SPREAD!$G$54)</f>
        <v>0</v>
      </c>
      <c r="F56" s="3588">
        <f>(SPREAD!$G$54-SPREAD!$I$54)</f>
        <v>0</v>
      </c>
      <c r="G56" s="3588">
        <f>(SPREAD!$I$54-SPREAD!$K$54)</f>
        <v>0</v>
      </c>
    </row>
    <row r="57" spans="4:7" s="3576" customFormat="1" ht="12.5">
      <c r="D57" s="3589" t="str">
        <f>SPREAD!$D$57</f>
        <v>CAPITAL SOCIAL</v>
      </c>
      <c r="E57" s="3588">
        <f>(SPREAD!$E$57-SPREAD!$G$57)-$E$73</f>
        <v>0</v>
      </c>
      <c r="F57" s="3588">
        <f>(SPREAD!$G$57-SPREAD!$I$57)-$F$73</f>
        <v>0</v>
      </c>
      <c r="G57" s="3588">
        <f>(SPREAD!$I$57-SPREAD!$K$57)-$G$73</f>
        <v>0</v>
      </c>
    </row>
    <row r="58" spans="4:7" s="3576" customFormat="1" ht="12.5">
      <c r="D58" s="3589" t="str">
        <f>SPREAD!$D$58</f>
        <v>APORTES DE CAPITAL</v>
      </c>
      <c r="E58" s="3588">
        <f>(SPREAD!$E$58-SPREAD!$G$58)-$E$74</f>
        <v>0</v>
      </c>
      <c r="F58" s="3588">
        <f>(SPREAD!$G$58-SPREAD!$I$58)-$F$74</f>
        <v>0</v>
      </c>
      <c r="G58" s="3588">
        <f>(SPREAD!$I$58-SPREAD!$K$58)-$G$74</f>
        <v>0</v>
      </c>
    </row>
    <row r="59" spans="4:7" s="3576" customFormat="1" ht="12.5">
      <c r="D59" s="3589" t="str">
        <f>SPREAD!$D$59</f>
        <v>RESERVAS</v>
      </c>
      <c r="E59" s="3588">
        <f>(SPREAD!$E$59-SPREAD!$G$59)-$E$75</f>
        <v>0</v>
      </c>
      <c r="F59" s="3588">
        <f>(SPREAD!$G$59-SPREAD!$I$59)-$F$75</f>
        <v>0</v>
      </c>
      <c r="G59" s="3588">
        <f>(SPREAD!$I$59-SPREAD!$K$59)-$G$75</f>
        <v>0</v>
      </c>
    </row>
    <row r="60" spans="4:7" s="3576" customFormat="1" ht="12.5">
      <c r="D60" s="3589" t="str">
        <f>SPREAD!$D$61</f>
        <v>OTRAS CUENTAS PATRIMONIALES</v>
      </c>
      <c r="E60" s="3588">
        <f>(SPREAD!$E$61-SPREAD!$G$61)</f>
        <v>0</v>
      </c>
      <c r="F60" s="3588">
        <f>(SPREAD!$G$61-SPREAD!$I$61)</f>
        <v>0</v>
      </c>
      <c r="G60" s="3588">
        <f>(SPREAD!$I$61-SPREAD!$K$61)</f>
        <v>0</v>
      </c>
    </row>
    <row r="61" spans="4:7" s="3576" customFormat="1" ht="12.5">
      <c r="D61" s="3589" t="s">
        <v>2258</v>
      </c>
      <c r="E61" s="3588">
        <f>-$E$77</f>
        <v>0</v>
      </c>
      <c r="F61" s="3588">
        <f>-$F$77</f>
        <v>0</v>
      </c>
      <c r="G61" s="3588">
        <f>-$G$77</f>
        <v>0</v>
      </c>
    </row>
    <row r="62" spans="4:7" s="3576" customFormat="1" ht="12.5">
      <c r="D62" s="3589" t="s">
        <v>2269</v>
      </c>
      <c r="E62" s="3629">
        <f>(SPREAD!$E$62-(SPREAD!$G$62+SPREAD!$G$63))+$E$78</f>
        <v>150</v>
      </c>
      <c r="F62" s="3588">
        <f>(SPREAD!$G$62-(SPREAD!$I$62+SPREAD!$I$63))+$F$78</f>
        <v>0</v>
      </c>
      <c r="G62" s="3588">
        <f>(SPREAD!$I$62-(SPREAD!$K$62+SPREAD!$K$63))+$G$78</f>
        <v>0</v>
      </c>
    </row>
    <row r="63" spans="4:7" s="3576" customFormat="1" ht="14">
      <c r="D63" s="3628" t="s">
        <v>2268</v>
      </c>
      <c r="E63" s="3600">
        <f>SUM(E48:E62)</f>
        <v>150</v>
      </c>
      <c r="F63" s="3600">
        <f>SUM(F48:F62)</f>
        <v>0</v>
      </c>
      <c r="G63" s="3600">
        <f>SUM(G48:G62)</f>
        <v>0</v>
      </c>
    </row>
    <row r="64" spans="4:7" s="3576" customFormat="1" ht="12.5">
      <c r="E64" s="3585"/>
      <c r="F64" s="3585"/>
      <c r="G64" s="3585"/>
    </row>
    <row r="65" spans="4:7" s="3576" customFormat="1" ht="14">
      <c r="D65" s="3628" t="s">
        <v>2267</v>
      </c>
      <c r="E65" s="3600">
        <f>E33+E45+E63</f>
        <v>0</v>
      </c>
      <c r="F65" s="3600">
        <f>F33+F45+F63</f>
        <v>0</v>
      </c>
      <c r="G65" s="3600">
        <f>G33+G45+G63</f>
        <v>0</v>
      </c>
    </row>
    <row r="66" spans="4:7" s="3576" customFormat="1" ht="12.5">
      <c r="E66" s="3585"/>
      <c r="F66" s="3585"/>
      <c r="G66" s="3585"/>
    </row>
    <row r="67" spans="4:7" s="3576" customFormat="1" ht="28">
      <c r="D67" s="3621" t="s">
        <v>2266</v>
      </c>
      <c r="E67" s="3600">
        <f>(SPREAD!$G$12+SPREAD!$G$13)</f>
        <v>0</v>
      </c>
      <c r="F67" s="3600">
        <f>(SPREAD!$I$12+SPREAD!$I$13)</f>
        <v>0</v>
      </c>
      <c r="G67" s="3600">
        <f>(SPREAD!$K$12+SPREAD!$K$13)</f>
        <v>0</v>
      </c>
    </row>
    <row r="68" spans="4:7" s="3576" customFormat="1" ht="12.5">
      <c r="E68" s="3585"/>
      <c r="F68" s="3585"/>
      <c r="G68" s="3585"/>
    </row>
    <row r="69" spans="4:7" s="3576" customFormat="1" ht="28">
      <c r="D69" s="3621" t="s">
        <v>2265</v>
      </c>
      <c r="E69" s="3600">
        <f>E65+E67</f>
        <v>0</v>
      </c>
      <c r="F69" s="3600">
        <f>F65+F67</f>
        <v>0</v>
      </c>
      <c r="G69" s="3600">
        <f>G65+G67</f>
        <v>0</v>
      </c>
    </row>
    <row r="70" spans="4:7" s="3576" customFormat="1" ht="12.5">
      <c r="D70" s="3604" t="s">
        <v>2264</v>
      </c>
      <c r="E70" s="3627">
        <f>(SPREAD!$E$12+SPREAD!$E$13)-$E$69</f>
        <v>0</v>
      </c>
      <c r="F70" s="3627">
        <f>(SPREAD!$G$12+SPREAD!$G$13)-$F$69</f>
        <v>0</v>
      </c>
      <c r="G70" s="3627">
        <f>(SPREAD!I12+SPREAD!$I$13)-$G$69</f>
        <v>0</v>
      </c>
    </row>
    <row r="71" spans="4:7" s="3576" customFormat="1" ht="13">
      <c r="D71" s="3626"/>
      <c r="E71" s="3625"/>
      <c r="F71" s="3624"/>
      <c r="G71" s="3624"/>
    </row>
    <row r="72" spans="4:7" s="3576" customFormat="1" ht="28">
      <c r="D72" s="3594" t="s">
        <v>2263</v>
      </c>
      <c r="E72" s="3594" t="str">
        <f>CONCATENATE(UPPER('Estados Financieros'!$H$8)," ",'Estados Financieros'!$H$4)</f>
        <v>JUNIO 2020</v>
      </c>
      <c r="F72" s="3594" t="str">
        <f>CONCATENATE(UPPER('Estados Financieros'!$G$8)," ",'Estados Financieros'!$G$4)</f>
        <v>DICIEMBRE 2019</v>
      </c>
      <c r="G72" s="3594" t="str">
        <f>CONCATENATE(UPPER('Estados Financieros'!$F$8)," ",'Estados Financieros'!$F$4)</f>
        <v>DICIEMBRE 2018</v>
      </c>
    </row>
    <row r="73" spans="4:7" s="3576" customFormat="1" ht="12.5">
      <c r="D73" s="3589" t="s">
        <v>2262</v>
      </c>
      <c r="E73" s="3622"/>
      <c r="F73" s="3622"/>
      <c r="G73" s="3622"/>
    </row>
    <row r="74" spans="4:7" s="3576" customFormat="1" ht="12.5">
      <c r="D74" s="3589" t="s">
        <v>2261</v>
      </c>
      <c r="E74" s="3622"/>
      <c r="F74" s="3622"/>
      <c r="G74" s="3623"/>
    </row>
    <row r="75" spans="4:7" s="3576" customFormat="1" ht="12.5">
      <c r="D75" s="3589" t="s">
        <v>2260</v>
      </c>
      <c r="E75" s="3622"/>
      <c r="F75" s="3622"/>
      <c r="G75" s="3623"/>
    </row>
    <row r="76" spans="4:7" s="3576" customFormat="1" ht="12.5">
      <c r="D76" s="3589" t="s">
        <v>2259</v>
      </c>
      <c r="E76" s="3622">
        <v>150</v>
      </c>
      <c r="F76" s="3622"/>
      <c r="G76" s="3622"/>
    </row>
    <row r="77" spans="4:7" s="3576" customFormat="1" ht="12.5">
      <c r="D77" s="3589" t="s">
        <v>2258</v>
      </c>
      <c r="E77" s="3622"/>
      <c r="F77" s="3622"/>
      <c r="G77" s="3622"/>
    </row>
    <row r="78" spans="4:7" s="3576" customFormat="1" ht="14">
      <c r="D78" s="3621" t="s">
        <v>2257</v>
      </c>
      <c r="E78" s="3600">
        <f>SUM(E73:E77)</f>
        <v>150</v>
      </c>
      <c r="F78" s="3600">
        <f>SUM(F73:F77)</f>
        <v>0</v>
      </c>
      <c r="G78" s="3600">
        <f>SUM(G73:G77)</f>
        <v>0</v>
      </c>
    </row>
    <row r="79" spans="4:7" s="3576" customFormat="1" ht="14">
      <c r="D79" s="3620" t="s">
        <v>2256</v>
      </c>
      <c r="E79" s="3594" t="str">
        <f>IF(AND(E62&gt;-1,E62&lt;1),"CONCILIADO","PENDIENTE")</f>
        <v>PENDIENTE</v>
      </c>
      <c r="F79" s="3594" t="str">
        <f>IF(AND(F62&gt;-1,F62&lt;1),"CONCILIADO","PENDIENTE")</f>
        <v>CONCILIADO</v>
      </c>
      <c r="G79" s="3594" t="str">
        <f>IF(AND(G62&gt;-1,G62&lt;1),"CONCILIADO","PENDIENTE")</f>
        <v>CONCILIADO</v>
      </c>
    </row>
  </sheetData>
  <conditionalFormatting sqref="E79:G79">
    <cfRule type="containsText" dxfId="80" priority="9" operator="containsText" text="CONCILIADO">
      <formula>NOT(ISERROR(SEARCH(("CONCILIADO"),(E79))))</formula>
    </cfRule>
  </conditionalFormatting>
  <conditionalFormatting sqref="E79:G79">
    <cfRule type="containsText" dxfId="79" priority="8" operator="containsText" text="PENDIENTE">
      <formula>NOT(ISERROR(SEARCH(("PENDIENTE"),(E79))))</formula>
    </cfRule>
  </conditionalFormatting>
  <conditionalFormatting sqref="E62:G62">
    <cfRule type="cellIs" dxfId="78" priority="7" operator="between">
      <formula>-1</formula>
      <formula>1</formula>
    </cfRule>
  </conditionalFormatting>
  <conditionalFormatting sqref="E48:G61">
    <cfRule type="cellIs" dxfId="77" priority="6" operator="equal">
      <formula>0</formula>
    </cfRule>
  </conditionalFormatting>
  <conditionalFormatting sqref="E36:G44">
    <cfRule type="cellIs" dxfId="76" priority="5" operator="equal">
      <formula>0</formula>
    </cfRule>
  </conditionalFormatting>
  <conditionalFormatting sqref="E17:G32">
    <cfRule type="cellIs" dxfId="75" priority="4" operator="equal">
      <formula>0</formula>
    </cfRule>
  </conditionalFormatting>
  <conditionalFormatting sqref="E11:G12">
    <cfRule type="cellIs" dxfId="74" priority="3" operator="equal">
      <formula>0</formula>
    </cfRule>
  </conditionalFormatting>
  <conditionalFormatting sqref="E13:G13">
    <cfRule type="cellIs" dxfId="73" priority="2" operator="equal">
      <formula>0</formula>
    </cfRule>
  </conditionalFormatting>
  <conditionalFormatting sqref="E70:G70">
    <cfRule type="cellIs" dxfId="72" priority="1" operator="equal">
      <formula>0</formula>
    </cfRule>
  </conditionalFormatting>
  <printOptions horizontalCentered="1"/>
  <pageMargins left="0.25" right="0.25" top="0.75" bottom="0.75" header="0" footer="0"/>
  <pageSetup orientation="portrait"/>
  <headerFooter>
    <oddHeader>&amp;CDocumento Interno</oddHeader>
    <oddFooter>&amp;R&amp;P</oddFooter>
  </headerFooter>
  <rowBreaks count="1" manualBreakCount="1">
    <brk id="46" man="1"/>
  </rowBreaks>
  <colBreaks count="2" manualBreakCount="2">
    <brk man="1"/>
    <brk id="7" man="1"/>
  </colBreaks>
  <drawing r:id="rId1"/>
  <legacyDrawing r:id="rId2"/>
</worksheet>
</file>

<file path=xl/worksheets/sheet40.xml><?xml version="1.0" encoding="utf-8"?>
<worksheet xmlns="http://schemas.openxmlformats.org/spreadsheetml/2006/main" xmlns:r="http://schemas.openxmlformats.org/officeDocument/2006/relationships">
  <sheetPr codeName="Hoja49"/>
  <dimension ref="A1:AF36"/>
  <sheetViews>
    <sheetView showGridLines="0" zoomScale="85" zoomScaleNormal="85" workbookViewId="0">
      <pane ySplit="1" topLeftCell="A2" activePane="bottomLeft" state="frozen"/>
      <selection activeCell="D6" sqref="D6"/>
      <selection pane="bottomLeft" sqref="A1:XFD1048576"/>
    </sheetView>
  </sheetViews>
  <sheetFormatPr baseColWidth="10" defaultColWidth="11.453125" defaultRowHeight="12.5"/>
  <cols>
    <col min="1" max="1" width="74.26953125" style="3637" bestFit="1" customWidth="1"/>
    <col min="2" max="3" width="5" style="3637" customWidth="1"/>
    <col min="4" max="4" width="4.54296875" style="3635" bestFit="1" customWidth="1"/>
    <col min="5" max="5" width="24.08984375" style="3635" customWidth="1"/>
    <col min="6" max="6" width="2.6328125" style="3635" customWidth="1"/>
    <col min="7" max="7" width="15.08984375" style="3635" customWidth="1"/>
    <col min="8" max="8" width="26.08984375" style="3635" customWidth="1"/>
    <col min="9" max="9" width="25.7265625" style="3635" customWidth="1"/>
    <col min="10" max="31" width="11.453125" style="3635"/>
    <col min="32" max="32" width="11.453125" style="3636"/>
    <col min="33" max="16384" width="11.453125" style="3635"/>
  </cols>
  <sheetData>
    <row r="1" spans="1:32" ht="13">
      <c r="A1" s="3666" t="s">
        <v>2319</v>
      </c>
      <c r="B1" s="3665" t="s">
        <v>1268</v>
      </c>
      <c r="C1" s="3665" t="s">
        <v>1509</v>
      </c>
      <c r="D1" s="3665" t="s">
        <v>1260</v>
      </c>
      <c r="E1" s="3664" t="s">
        <v>197</v>
      </c>
      <c r="G1" s="4048" t="s">
        <v>2318</v>
      </c>
      <c r="H1" s="4048"/>
      <c r="I1" s="3663"/>
      <c r="J1" s="3663"/>
      <c r="K1" s="3663"/>
      <c r="AD1" s="70"/>
      <c r="AE1" s="3640"/>
      <c r="AF1" s="3640"/>
    </row>
    <row r="2" spans="1:32" ht="13">
      <c r="A2" s="3643" t="s">
        <v>2317</v>
      </c>
      <c r="B2" s="3645"/>
      <c r="C2" s="3645"/>
      <c r="D2" s="3645"/>
      <c r="E2" s="3644"/>
      <c r="G2" s="70">
        <v>1</v>
      </c>
      <c r="H2" s="3662" t="s">
        <v>2316</v>
      </c>
      <c r="I2" s="70" t="s">
        <v>2315</v>
      </c>
      <c r="J2" s="70"/>
      <c r="K2" s="70"/>
      <c r="AD2" s="70"/>
      <c r="AE2" s="3640"/>
      <c r="AF2" s="3640"/>
    </row>
    <row r="3" spans="1:32" ht="13">
      <c r="A3" s="3643" t="s">
        <v>2314</v>
      </c>
      <c r="B3" s="3645"/>
      <c r="C3" s="3645"/>
      <c r="D3" s="3645"/>
      <c r="E3" s="3644"/>
      <c r="G3" s="70">
        <v>2</v>
      </c>
      <c r="H3" s="3661" t="s">
        <v>2313</v>
      </c>
      <c r="I3" s="70" t="s">
        <v>2312</v>
      </c>
      <c r="J3" s="70"/>
      <c r="K3" s="70"/>
      <c r="AD3" s="70"/>
      <c r="AE3" s="3640"/>
      <c r="AF3" s="3640"/>
    </row>
    <row r="4" spans="1:32" ht="13">
      <c r="A4" s="3643" t="s">
        <v>2311</v>
      </c>
      <c r="B4" s="3645"/>
      <c r="C4" s="3645"/>
      <c r="D4" s="3645"/>
      <c r="E4" s="3644"/>
      <c r="G4" s="70">
        <v>3</v>
      </c>
      <c r="H4" s="3661" t="s">
        <v>2310</v>
      </c>
      <c r="I4" s="70"/>
      <c r="J4" s="70"/>
      <c r="K4" s="70"/>
      <c r="AD4" s="70"/>
      <c r="AE4" s="3640"/>
      <c r="AF4" s="3640"/>
    </row>
    <row r="5" spans="1:32" ht="13.5" thickBot="1">
      <c r="A5" s="3643" t="s">
        <v>2309</v>
      </c>
      <c r="B5" s="3645"/>
      <c r="C5" s="3645"/>
      <c r="D5" s="3645"/>
      <c r="E5" s="3660"/>
      <c r="AD5" s="70"/>
      <c r="AE5" s="3640"/>
      <c r="AF5" s="3640"/>
    </row>
    <row r="6" spans="1:32" ht="13.5" thickBot="1">
      <c r="A6" s="3643" t="s">
        <v>2308</v>
      </c>
      <c r="B6" s="3645"/>
      <c r="C6" s="3645"/>
      <c r="D6" s="3645"/>
      <c r="E6" s="3644"/>
      <c r="G6" s="4052" t="s">
        <v>2307</v>
      </c>
      <c r="H6" s="4053"/>
      <c r="AD6" s="70"/>
      <c r="AE6" s="3640"/>
      <c r="AF6" s="3640"/>
    </row>
    <row r="7" spans="1:32" ht="13">
      <c r="A7" s="3643" t="s">
        <v>2306</v>
      </c>
      <c r="B7" s="4049"/>
      <c r="C7" s="4050"/>
      <c r="D7" s="4051"/>
      <c r="E7" s="3644"/>
      <c r="G7" s="3656"/>
      <c r="H7" s="3655"/>
      <c r="I7" s="70"/>
      <c r="J7" s="70"/>
      <c r="K7" s="70"/>
      <c r="AD7" s="70"/>
      <c r="AE7" s="3640"/>
      <c r="AF7" s="3640"/>
    </row>
    <row r="8" spans="1:32" s="3637" customFormat="1" ht="13">
      <c r="A8" s="3643" t="s">
        <v>2303</v>
      </c>
      <c r="B8" s="3645"/>
      <c r="C8" s="3645"/>
      <c r="D8" s="3645"/>
      <c r="E8" s="3644"/>
      <c r="G8" s="3651" t="s">
        <v>2305</v>
      </c>
      <c r="H8" s="3653">
        <f>IF('Resumen de Cifras'!D2=12,'Resumen de Cifras'!D22+'Resumen de Cifras'!D27,'Resumen de Cifras'!C22+'Resumen de Cifras'!C27)</f>
        <v>0</v>
      </c>
      <c r="I8" s="70"/>
      <c r="J8" s="70"/>
      <c r="K8" s="70"/>
      <c r="AD8" s="70"/>
      <c r="AE8" s="3640"/>
      <c r="AF8" s="3640"/>
    </row>
    <row r="9" spans="1:32" s="3637" customFormat="1" ht="13">
      <c r="A9" s="3643" t="s">
        <v>2302</v>
      </c>
      <c r="B9" s="3645"/>
      <c r="C9" s="3645"/>
      <c r="D9" s="3645"/>
      <c r="E9" s="3644"/>
      <c r="G9" s="3651"/>
      <c r="H9" s="3650"/>
      <c r="I9" s="70"/>
      <c r="J9" s="70"/>
      <c r="K9" s="70"/>
      <c r="AD9" s="70"/>
      <c r="AE9" s="3640"/>
      <c r="AF9" s="3640"/>
    </row>
    <row r="10" spans="1:32" ht="13">
      <c r="A10" s="3643" t="s">
        <v>2304</v>
      </c>
      <c r="B10" s="3645"/>
      <c r="C10" s="3645"/>
      <c r="D10" s="3645"/>
      <c r="E10" s="3644"/>
      <c r="G10" s="3651" t="s">
        <v>881</v>
      </c>
      <c r="H10" s="3653">
        <f>IF('Resumen de Cifras'!D2=12,'Resumen de Cifras'!I9,'Resumen de Cifras'!H9)</f>
        <v>0</v>
      </c>
      <c r="I10" s="3659"/>
      <c r="J10" s="3659"/>
      <c r="K10" s="3659"/>
      <c r="AD10" s="70"/>
      <c r="AE10" s="3640"/>
      <c r="AF10" s="3640"/>
    </row>
    <row r="11" spans="1:32" ht="13">
      <c r="A11" s="3643" t="s">
        <v>2303</v>
      </c>
      <c r="B11" s="3645"/>
      <c r="C11" s="3645"/>
      <c r="D11" s="3645"/>
      <c r="E11" s="3644"/>
      <c r="G11" s="3651"/>
      <c r="H11" s="3650"/>
      <c r="J11" s="3659"/>
      <c r="K11" s="3659"/>
      <c r="AD11" s="70"/>
      <c r="AE11" s="3640"/>
      <c r="AF11" s="3640"/>
    </row>
    <row r="12" spans="1:32" ht="13">
      <c r="A12" s="3643" t="s">
        <v>2302</v>
      </c>
      <c r="B12" s="3645"/>
      <c r="C12" s="3645"/>
      <c r="D12" s="3645"/>
      <c r="E12" s="3644"/>
      <c r="G12" s="3651" t="s">
        <v>2301</v>
      </c>
      <c r="H12" s="3652" t="e">
        <f>H8/H10</f>
        <v>#DIV/0!</v>
      </c>
      <c r="J12" s="70"/>
      <c r="K12" s="70"/>
      <c r="AD12" s="70"/>
      <c r="AE12" s="3640"/>
      <c r="AF12" s="3640"/>
    </row>
    <row r="13" spans="1:32" ht="13">
      <c r="A13" s="3643" t="s">
        <v>2300</v>
      </c>
      <c r="B13" s="3645"/>
      <c r="C13" s="3645"/>
      <c r="D13" s="3645"/>
      <c r="E13" s="3644"/>
      <c r="G13" s="3651"/>
      <c r="H13" s="3650"/>
      <c r="J13" s="70"/>
      <c r="K13" s="70"/>
      <c r="AD13" s="70"/>
      <c r="AE13" s="3640"/>
      <c r="AF13" s="3640"/>
    </row>
    <row r="14" spans="1:32" ht="13">
      <c r="A14" s="3643" t="s">
        <v>2299</v>
      </c>
      <c r="B14" s="3645"/>
      <c r="C14" s="3645"/>
      <c r="D14" s="3645"/>
      <c r="E14" s="3644"/>
      <c r="G14" s="3651" t="s">
        <v>2287</v>
      </c>
      <c r="H14" s="3658" t="e">
        <f>IF(OR(H12&gt;=6,H12&lt;0),"PPT UR","Apr local")</f>
        <v>#DIV/0!</v>
      </c>
      <c r="J14" s="70"/>
      <c r="K14" s="70"/>
      <c r="AD14" s="70"/>
      <c r="AE14" s="3640"/>
      <c r="AF14" s="3640"/>
    </row>
    <row r="15" spans="1:32" ht="13.5" thickBot="1">
      <c r="A15" s="3643" t="s">
        <v>2298</v>
      </c>
      <c r="B15" s="3645"/>
      <c r="C15" s="3645"/>
      <c r="D15" s="3645"/>
      <c r="E15" s="3644"/>
      <c r="G15" s="3648"/>
      <c r="H15" s="3657"/>
      <c r="J15" s="70"/>
      <c r="K15" s="70"/>
      <c r="AD15" s="70"/>
      <c r="AE15" s="3640"/>
      <c r="AF15" s="3640"/>
    </row>
    <row r="16" spans="1:32" ht="13">
      <c r="A16" s="3643" t="s">
        <v>2297</v>
      </c>
      <c r="B16" s="3645"/>
      <c r="C16" s="3645"/>
      <c r="D16" s="3644"/>
      <c r="E16" s="3644"/>
      <c r="G16" s="3656"/>
      <c r="H16" s="3655"/>
      <c r="J16" s="70"/>
      <c r="K16" s="70"/>
      <c r="AD16" s="70"/>
      <c r="AE16" s="3640"/>
      <c r="AF16" s="3640"/>
    </row>
    <row r="17" spans="1:32" ht="13">
      <c r="A17" s="3643" t="s">
        <v>2296</v>
      </c>
      <c r="B17" s="3645"/>
      <c r="C17" s="3645"/>
      <c r="D17" s="3645"/>
      <c r="E17" s="3644"/>
      <c r="G17" s="3651" t="s">
        <v>2295</v>
      </c>
      <c r="H17" s="3654">
        <v>0</v>
      </c>
      <c r="J17" s="70"/>
      <c r="K17" s="70"/>
      <c r="AD17" s="70"/>
      <c r="AE17" s="3640"/>
      <c r="AF17" s="3640"/>
    </row>
    <row r="18" spans="1:32" ht="13">
      <c r="A18" s="3643" t="s">
        <v>2294</v>
      </c>
      <c r="B18" s="3645"/>
      <c r="C18" s="3645"/>
      <c r="D18" s="3645"/>
      <c r="E18" s="3644"/>
      <c r="G18" s="3651"/>
      <c r="H18" s="3650"/>
      <c r="J18" s="70"/>
      <c r="K18" s="70"/>
      <c r="AD18" s="70"/>
      <c r="AE18" s="3640"/>
      <c r="AF18" s="3640"/>
    </row>
    <row r="19" spans="1:32" ht="13">
      <c r="A19" s="3643" t="s">
        <v>2293</v>
      </c>
      <c r="B19" s="3645"/>
      <c r="C19" s="3645"/>
      <c r="D19" s="3644"/>
      <c r="E19" s="3644"/>
      <c r="G19" s="3651" t="s">
        <v>1593</v>
      </c>
      <c r="H19" s="3653">
        <f>IF('Resumen de Cifras'!D2=12,'Resumen de Cifras'!I6,'Resumen de Cifras'!H6)</f>
        <v>0</v>
      </c>
      <c r="J19" s="70"/>
      <c r="K19" s="70"/>
      <c r="AD19" s="70"/>
      <c r="AE19" s="3640"/>
      <c r="AF19" s="3640"/>
    </row>
    <row r="20" spans="1:32" ht="13">
      <c r="A20" s="3643" t="s">
        <v>2292</v>
      </c>
      <c r="B20" s="3645"/>
      <c r="C20" s="3645"/>
      <c r="D20" s="3644"/>
      <c r="E20" s="3644"/>
      <c r="G20" s="3651"/>
      <c r="H20" s="3650"/>
      <c r="J20" s="70"/>
      <c r="K20" s="70"/>
      <c r="AD20" s="70"/>
      <c r="AE20" s="3640"/>
      <c r="AF20" s="3640"/>
    </row>
    <row r="21" spans="1:32" ht="13">
      <c r="A21" s="3643" t="s">
        <v>2291</v>
      </c>
      <c r="B21" s="3645"/>
      <c r="C21" s="3645"/>
      <c r="D21" s="3645"/>
      <c r="E21" s="3644"/>
      <c r="G21" s="3651" t="s">
        <v>2290</v>
      </c>
      <c r="H21" s="3652" t="e">
        <f>H17/H19</f>
        <v>#DIV/0!</v>
      </c>
      <c r="J21" s="3649"/>
      <c r="K21" s="3649"/>
      <c r="AD21" s="70"/>
      <c r="AE21" s="3640"/>
      <c r="AF21" s="3640"/>
    </row>
    <row r="22" spans="1:32" ht="13">
      <c r="A22" s="3643" t="s">
        <v>2289</v>
      </c>
      <c r="B22" s="3645"/>
      <c r="C22" s="3645"/>
      <c r="D22" s="3645"/>
      <c r="E22" s="3644"/>
      <c r="G22" s="3651"/>
      <c r="H22" s="3650"/>
      <c r="J22" s="3649"/>
      <c r="K22" s="3649"/>
      <c r="AD22" s="70"/>
      <c r="AE22" s="3640"/>
      <c r="AF22" s="3640"/>
    </row>
    <row r="23" spans="1:32" ht="13.5" thickBot="1">
      <c r="A23" s="3643" t="s">
        <v>2288</v>
      </c>
      <c r="B23" s="3645"/>
      <c r="C23" s="3645"/>
      <c r="D23" s="3645"/>
      <c r="E23" s="3644"/>
      <c r="G23" s="3648" t="s">
        <v>2287</v>
      </c>
      <c r="H23" s="3647" t="e">
        <f>IF(H21&gt;=70%,"PPT UR","Apr Local")</f>
        <v>#DIV/0!</v>
      </c>
      <c r="J23" s="70"/>
      <c r="K23" s="70"/>
      <c r="AD23" s="70"/>
      <c r="AE23" s="3640"/>
      <c r="AF23" s="3640"/>
    </row>
    <row r="24" spans="1:32" ht="13">
      <c r="A24" s="3643" t="s">
        <v>2286</v>
      </c>
      <c r="B24" s="3645"/>
      <c r="C24" s="3645"/>
      <c r="D24" s="3645"/>
      <c r="E24" s="3644"/>
      <c r="G24" s="70"/>
      <c r="J24" s="70"/>
      <c r="K24" s="70"/>
      <c r="AD24" s="70"/>
      <c r="AE24" s="3640"/>
      <c r="AF24" s="3640"/>
    </row>
    <row r="25" spans="1:32" ht="13">
      <c r="A25" s="3643" t="s">
        <v>2285</v>
      </c>
      <c r="B25" s="3645"/>
      <c r="C25" s="3645"/>
      <c r="D25" s="3645"/>
      <c r="E25" s="3644"/>
      <c r="G25" s="70"/>
      <c r="J25" s="70"/>
      <c r="K25" s="70"/>
      <c r="AD25" s="70"/>
      <c r="AE25" s="3640"/>
      <c r="AF25" s="3640"/>
    </row>
    <row r="26" spans="1:32" ht="25">
      <c r="A26" s="3646" t="s">
        <v>2284</v>
      </c>
      <c r="B26" s="3645"/>
      <c r="C26" s="3645"/>
      <c r="D26" s="3645"/>
      <c r="E26" s="3644"/>
      <c r="G26" s="70"/>
      <c r="J26" s="70"/>
      <c r="K26" s="70"/>
      <c r="AD26" s="70"/>
      <c r="AE26" s="3640"/>
      <c r="AF26" s="3640"/>
    </row>
    <row r="27" spans="1:32" ht="13">
      <c r="A27" s="3643" t="s">
        <v>2283</v>
      </c>
      <c r="B27" s="3645"/>
      <c r="C27" s="3645"/>
      <c r="D27" s="3645"/>
      <c r="E27" s="3644"/>
      <c r="J27" s="70"/>
      <c r="K27" s="70"/>
      <c r="AD27" s="70"/>
      <c r="AE27" s="3640"/>
      <c r="AF27" s="3640"/>
    </row>
    <row r="28" spans="1:32" ht="13">
      <c r="A28" s="3643" t="s">
        <v>2282</v>
      </c>
      <c r="B28" s="3642"/>
      <c r="C28" s="3642"/>
      <c r="D28" s="3642"/>
      <c r="E28" s="3641"/>
      <c r="J28" s="70"/>
      <c r="K28" s="70"/>
      <c r="AD28" s="70"/>
      <c r="AE28" s="3640"/>
      <c r="AF28" s="3640"/>
    </row>
    <row r="29" spans="1:32">
      <c r="A29" s="4055"/>
      <c r="B29" s="4055"/>
      <c r="C29" s="4055"/>
      <c r="D29" s="4055"/>
      <c r="E29" s="4055"/>
    </row>
    <row r="30" spans="1:32">
      <c r="A30" s="4054"/>
      <c r="B30" s="4054"/>
      <c r="C30" s="4054"/>
      <c r="D30" s="4054"/>
      <c r="E30" s="4054"/>
    </row>
    <row r="31" spans="1:32">
      <c r="A31" s="4054"/>
      <c r="B31" s="4054"/>
      <c r="C31" s="4054"/>
      <c r="D31" s="4054"/>
      <c r="E31" s="4054"/>
    </row>
    <row r="32" spans="1:32">
      <c r="A32" s="4054"/>
      <c r="B32" s="4054"/>
      <c r="C32" s="4054"/>
      <c r="D32" s="4054"/>
      <c r="E32" s="4054"/>
    </row>
    <row r="33" spans="1:5" s="3635" customFormat="1">
      <c r="A33" s="3639"/>
      <c r="B33" s="3639"/>
      <c r="C33" s="3639"/>
      <c r="D33" s="3638"/>
      <c r="E33" s="3638"/>
    </row>
    <row r="34" spans="1:5" s="3635" customFormat="1">
      <c r="A34" s="3639"/>
      <c r="B34" s="3639"/>
      <c r="C34" s="3639"/>
      <c r="D34" s="3638"/>
      <c r="E34" s="3638"/>
    </row>
    <row r="35" spans="1:5" s="3635" customFormat="1">
      <c r="A35" s="4054"/>
      <c r="B35" s="4054"/>
      <c r="C35" s="4054"/>
      <c r="D35" s="4054"/>
      <c r="E35" s="4054"/>
    </row>
    <row r="36" spans="1:5" s="3635" customFormat="1">
      <c r="A36" s="3639"/>
      <c r="B36" s="3639"/>
      <c r="C36" s="3639"/>
      <c r="D36" s="3638"/>
      <c r="E36" s="3638"/>
    </row>
  </sheetData>
  <mergeCells count="8">
    <mergeCell ref="G1:H1"/>
    <mergeCell ref="B7:D7"/>
    <mergeCell ref="G6:H6"/>
    <mergeCell ref="A32:E32"/>
    <mergeCell ref="A35:E35"/>
    <mergeCell ref="A29:E29"/>
    <mergeCell ref="A30:E30"/>
    <mergeCell ref="A31:E31"/>
  </mergeCells>
  <conditionalFormatting sqref="H15">
    <cfRule type="containsText" dxfId="71" priority="3" operator="containsText" text="PPT UR">
      <formula>NOT(ISERROR(SEARCH("PPT UR",H15)))</formula>
    </cfRule>
  </conditionalFormatting>
  <conditionalFormatting sqref="H14">
    <cfRule type="containsText" dxfId="70" priority="2" operator="containsText" text="PPT UR">
      <formula>NOT(ISERROR(SEARCH("PPT UR",H14)))</formula>
    </cfRule>
  </conditionalFormatting>
  <conditionalFormatting sqref="H23">
    <cfRule type="containsText" dxfId="69" priority="1" operator="containsText" text="PPT UR">
      <formula>NOT(ISERROR(SEARCH("PPT UR",H23)))</formula>
    </cfRule>
  </conditionalFormatting>
  <pageMargins left="0.70866141732283472" right="0.70866141732283472" top="0.74803149606299213" bottom="0.74803149606299213" header="0.31496062992125984" footer="0.31496062992125984"/>
  <pageSetup scale="67" orientation="landscape" r:id="rId1"/>
</worksheet>
</file>

<file path=xl/worksheets/sheet41.xml><?xml version="1.0" encoding="utf-8"?>
<worksheet xmlns="http://schemas.openxmlformats.org/spreadsheetml/2006/main" xmlns:r="http://schemas.openxmlformats.org/officeDocument/2006/relationships">
  <sheetPr codeName="Hoja50"/>
  <dimension ref="A1:Q60"/>
  <sheetViews>
    <sheetView showGridLines="0" topLeftCell="A16" zoomScale="70" zoomScaleNormal="70" workbookViewId="0">
      <selection activeCell="A18" sqref="A18"/>
    </sheetView>
  </sheetViews>
  <sheetFormatPr baseColWidth="10" defaultRowHeight="14.5"/>
  <cols>
    <col min="1" max="1" width="55.7265625" customWidth="1"/>
    <col min="2" max="3" width="11" bestFit="1" customWidth="1"/>
    <col min="4" max="4" width="21.54296875" customWidth="1"/>
    <col min="5" max="5" width="20" customWidth="1"/>
    <col min="6" max="6" width="19.7265625" customWidth="1"/>
    <col min="8" max="8" width="33.08984375" customWidth="1"/>
    <col min="9" max="9" width="10.1796875" customWidth="1"/>
    <col min="10" max="10" width="16.36328125" bestFit="1" customWidth="1"/>
    <col min="11" max="11" width="2.7265625" customWidth="1"/>
    <col min="12" max="12" width="50.1796875" customWidth="1"/>
    <col min="15" max="15" width="1.7265625" customWidth="1"/>
    <col min="16" max="16" width="54.453125" bestFit="1" customWidth="1"/>
  </cols>
  <sheetData>
    <row r="1" spans="1:17" ht="15" thickBot="1"/>
    <row r="2" spans="1:17" ht="16.5" thickTop="1" thickBot="1">
      <c r="A2" s="3704" t="s">
        <v>2451</v>
      </c>
      <c r="B2" s="3703"/>
      <c r="C2" s="3703"/>
      <c r="D2" s="3702">
        <v>5</v>
      </c>
      <c r="E2" s="3700" t="s">
        <v>2450</v>
      </c>
      <c r="F2" s="3699" t="s">
        <v>372</v>
      </c>
    </row>
    <row r="3" spans="1:17" ht="15.5" thickTop="1" thickBot="1">
      <c r="A3" s="3693" t="s">
        <v>138</v>
      </c>
      <c r="B3" s="3669"/>
      <c r="C3" s="3669"/>
      <c r="D3" s="3693" t="s">
        <v>2134</v>
      </c>
      <c r="E3" s="3700" t="s">
        <v>2449</v>
      </c>
      <c r="F3" s="3701">
        <v>43465</v>
      </c>
    </row>
    <row r="4" spans="1:17" ht="15" thickBot="1">
      <c r="A4" s="3693" t="s">
        <v>2448</v>
      </c>
      <c r="B4" s="3669"/>
      <c r="C4" s="3669"/>
      <c r="D4" s="3691" t="s">
        <v>2378</v>
      </c>
      <c r="E4" s="3700" t="s">
        <v>2447</v>
      </c>
      <c r="F4" s="3699" t="s">
        <v>2446</v>
      </c>
    </row>
    <row r="5" spans="1:17" ht="43.5">
      <c r="A5" s="3669"/>
      <c r="B5" s="3693" t="s">
        <v>2445</v>
      </c>
      <c r="C5" s="3693" t="s">
        <v>2444</v>
      </c>
      <c r="D5" s="3693" t="s">
        <v>2443</v>
      </c>
      <c r="E5" s="3693" t="s">
        <v>2442</v>
      </c>
      <c r="F5" s="3693" t="s">
        <v>2441</v>
      </c>
    </row>
    <row r="6" spans="1:17" ht="29">
      <c r="A6" s="3693" t="s">
        <v>2440</v>
      </c>
      <c r="B6" s="3693"/>
      <c r="C6" s="3693"/>
      <c r="D6" s="3693"/>
      <c r="E6" s="3693"/>
      <c r="F6" s="3693" t="s">
        <v>228</v>
      </c>
      <c r="H6" s="3693" t="s">
        <v>2439</v>
      </c>
      <c r="I6" s="3693"/>
      <c r="J6" s="3693" t="s">
        <v>2438</v>
      </c>
      <c r="K6" s="3674"/>
      <c r="L6" s="3693" t="s">
        <v>2675</v>
      </c>
      <c r="M6" s="3693"/>
      <c r="N6" s="3693"/>
      <c r="O6" s="3674"/>
      <c r="P6" s="3685" t="s">
        <v>2437</v>
      </c>
      <c r="Q6" s="3685"/>
    </row>
    <row r="7" spans="1:17">
      <c r="A7" s="3685" t="s">
        <v>2436</v>
      </c>
      <c r="B7" s="3673">
        <v>0.1</v>
      </c>
      <c r="C7" s="3686">
        <v>1</v>
      </c>
      <c r="D7" s="3685"/>
      <c r="E7" s="3684"/>
      <c r="F7" s="3683">
        <f>SUM(F8:F11)</f>
        <v>0.1</v>
      </c>
      <c r="H7" s="3693" t="s">
        <v>2435</v>
      </c>
      <c r="I7" s="3693"/>
      <c r="J7" s="3668" t="s">
        <v>270</v>
      </c>
      <c r="K7" s="3674"/>
      <c r="L7" s="3668" t="s">
        <v>2379</v>
      </c>
      <c r="M7" s="3694" t="s">
        <v>2434</v>
      </c>
      <c r="N7" s="3694" t="s">
        <v>2433</v>
      </c>
      <c r="O7" s="3674"/>
      <c r="P7" s="3671" t="s">
        <v>2432</v>
      </c>
      <c r="Q7" s="3669"/>
    </row>
    <row r="8" spans="1:17">
      <c r="A8" s="3668" t="s">
        <v>2431</v>
      </c>
      <c r="B8" s="3679">
        <v>2.5000000000000001E-2</v>
      </c>
      <c r="C8" s="3687">
        <v>0.25</v>
      </c>
      <c r="D8" t="s">
        <v>2429</v>
      </c>
      <c r="F8" s="3695">
        <f>IF(D8=P8,Q8*B8,IF(D8=P9,Q9*B8,"Seleccionar Calificación"))</f>
        <v>2.5000000000000001E-2</v>
      </c>
      <c r="H8" s="3675" t="s">
        <v>2404</v>
      </c>
      <c r="I8" s="3679">
        <v>0.3</v>
      </c>
      <c r="J8" s="3668" t="s">
        <v>312</v>
      </c>
      <c r="K8" s="3674"/>
      <c r="L8" s="3668" t="s">
        <v>2430</v>
      </c>
      <c r="M8" s="3694" t="s">
        <v>2401</v>
      </c>
      <c r="N8" s="3694" t="s">
        <v>2400</v>
      </c>
      <c r="O8" s="3674"/>
      <c r="P8" s="3668" t="s">
        <v>2429</v>
      </c>
      <c r="Q8" s="3667">
        <v>1</v>
      </c>
    </row>
    <row r="9" spans="1:17">
      <c r="A9" s="3668" t="s">
        <v>2428</v>
      </c>
      <c r="B9" s="3679">
        <v>3.5000000000000003E-2</v>
      </c>
      <c r="C9" s="3687">
        <v>0.35</v>
      </c>
      <c r="D9" t="s">
        <v>2416</v>
      </c>
      <c r="F9" s="3695">
        <f>IF(D9=P11,Q11*B9,IF(D9=P12,Q12*B9,"Seleccionar Calificación"))</f>
        <v>3.5000000000000003E-2</v>
      </c>
      <c r="H9" s="3675" t="s">
        <v>2399</v>
      </c>
      <c r="I9" s="3679">
        <v>0.7</v>
      </c>
      <c r="J9" s="3668" t="s">
        <v>475</v>
      </c>
      <c r="K9" s="3674"/>
      <c r="L9" s="3668" t="s">
        <v>2427</v>
      </c>
      <c r="M9" s="3694" t="s">
        <v>2426</v>
      </c>
      <c r="N9" s="3694" t="s">
        <v>2425</v>
      </c>
      <c r="O9" s="3674"/>
      <c r="P9" s="3668" t="s">
        <v>2424</v>
      </c>
      <c r="Q9" s="3667">
        <v>0</v>
      </c>
    </row>
    <row r="10" spans="1:17">
      <c r="A10" s="3668" t="s">
        <v>2405</v>
      </c>
      <c r="B10" s="3679">
        <v>0.02</v>
      </c>
      <c r="C10" s="3687">
        <v>0.2</v>
      </c>
      <c r="D10" t="s">
        <v>2391</v>
      </c>
      <c r="F10" s="3695">
        <f>IF(D10=P14,Q14*B10,IF(D10=P15,Q15*B10,IF(D10=P16,Q16*B10,IF(D10=P17,Q17*B10,"Seleccionar Calificación"))))</f>
        <v>0.02</v>
      </c>
      <c r="H10" s="3693" t="s">
        <v>2170</v>
      </c>
      <c r="I10" s="3669"/>
      <c r="J10" s="3668" t="s">
        <v>361</v>
      </c>
      <c r="K10" s="3674"/>
      <c r="L10" s="3668" t="s">
        <v>2423</v>
      </c>
      <c r="M10" s="3694" t="s">
        <v>2422</v>
      </c>
      <c r="N10" s="3694" t="s">
        <v>2421</v>
      </c>
      <c r="O10" s="3674"/>
      <c r="P10" s="3671" t="s">
        <v>2420</v>
      </c>
      <c r="Q10" s="3671"/>
    </row>
    <row r="11" spans="1:17">
      <c r="A11" s="3668" t="s">
        <v>2393</v>
      </c>
      <c r="B11" s="3679">
        <v>0.02</v>
      </c>
      <c r="C11" s="3687">
        <v>0.2</v>
      </c>
      <c r="D11" t="s">
        <v>2391</v>
      </c>
      <c r="F11" s="3695">
        <f>IF(D11=P19,Q19*B11,IF(D11=P20,Q20*B11,IF(D11=P21,Q21*B11,IF(D11=P22,Q22*B11,"Seleccionar Calificación"))))</f>
        <v>0.02</v>
      </c>
      <c r="H11" s="3675" t="s">
        <v>2404</v>
      </c>
      <c r="I11" s="3679">
        <v>0.25</v>
      </c>
      <c r="J11" s="3668" t="s">
        <v>364</v>
      </c>
      <c r="K11" s="3674"/>
      <c r="L11" s="3668" t="s">
        <v>2419</v>
      </c>
      <c r="M11" s="3694" t="s">
        <v>2418</v>
      </c>
      <c r="N11" s="3694" t="s">
        <v>2417</v>
      </c>
      <c r="O11" s="3674"/>
      <c r="P11" s="3668" t="s">
        <v>2416</v>
      </c>
      <c r="Q11" s="3667">
        <v>1</v>
      </c>
    </row>
    <row r="12" spans="1:17" ht="29">
      <c r="A12" s="3685" t="s">
        <v>2415</v>
      </c>
      <c r="B12" s="3673">
        <v>0.5</v>
      </c>
      <c r="C12" s="3686">
        <v>1</v>
      </c>
      <c r="D12" s="3685"/>
      <c r="E12" s="3684"/>
      <c r="F12" s="3683">
        <f>SUM(F13:F15)</f>
        <v>0.5</v>
      </c>
      <c r="H12" s="3675" t="s">
        <v>2399</v>
      </c>
      <c r="I12" s="3679">
        <v>0.75</v>
      </c>
      <c r="J12" s="3668" t="s">
        <v>2414</v>
      </c>
      <c r="K12" s="3674"/>
      <c r="L12" s="3668" t="s">
        <v>2413</v>
      </c>
      <c r="M12" s="3694" t="s">
        <v>2412</v>
      </c>
      <c r="N12" s="3694" t="s">
        <v>2411</v>
      </c>
      <c r="O12" s="3674"/>
      <c r="P12" s="3668" t="s">
        <v>2410</v>
      </c>
      <c r="Q12" s="3667">
        <v>0</v>
      </c>
    </row>
    <row r="13" spans="1:17">
      <c r="A13" s="3668" t="s">
        <v>2381</v>
      </c>
      <c r="B13" s="3679">
        <v>0.22500000000000001</v>
      </c>
      <c r="C13" s="3687">
        <v>0.45</v>
      </c>
      <c r="D13" t="s">
        <v>2376</v>
      </c>
      <c r="F13" s="3695">
        <f>IF(D13=P24,Q24*B13,IF(D13=P25,Q25*B13,IF(D13=P26,Q26*B13,IF(D13=P27,Q27*B13,"Seleccionar Calificación"))))</f>
        <v>0.22500000000000001</v>
      </c>
      <c r="H13" s="3691" t="s">
        <v>2409</v>
      </c>
      <c r="I13" s="3669"/>
      <c r="J13" s="3668" t="s">
        <v>372</v>
      </c>
      <c r="K13" s="3674"/>
      <c r="L13" s="3668" t="s">
        <v>2408</v>
      </c>
      <c r="M13" s="3694" t="s">
        <v>2407</v>
      </c>
      <c r="N13" s="3694" t="s">
        <v>2406</v>
      </c>
      <c r="O13" s="3674"/>
      <c r="P13" s="3671" t="s">
        <v>2405</v>
      </c>
      <c r="Q13" s="3669"/>
    </row>
    <row r="14" spans="1:17">
      <c r="A14" s="3668" t="s">
        <v>2359</v>
      </c>
      <c r="B14" s="3679">
        <v>0.15</v>
      </c>
      <c r="C14" s="3678">
        <v>0.3</v>
      </c>
      <c r="D14" t="s">
        <v>2357</v>
      </c>
      <c r="F14" s="3695">
        <f>IF(D14=P29,Q29*B14,IF(D14=P30,Q30*B14,IF(D14=P31,Q31*B14,IF(D14=P32,Q32*B14,"Seleccionar Calificación"))))</f>
        <v>0.15</v>
      </c>
      <c r="H14" s="3675" t="s">
        <v>2404</v>
      </c>
      <c r="I14" s="3679">
        <v>0.3</v>
      </c>
      <c r="J14" s="3668" t="s">
        <v>2403</v>
      </c>
      <c r="K14" s="3674"/>
      <c r="L14" s="3668" t="s">
        <v>2402</v>
      </c>
      <c r="M14" s="3694" t="s">
        <v>2401</v>
      </c>
      <c r="N14" s="3694" t="s">
        <v>2400</v>
      </c>
      <c r="O14" s="3674"/>
      <c r="P14" s="3668" t="s">
        <v>2391</v>
      </c>
      <c r="Q14" s="3667">
        <v>1</v>
      </c>
    </row>
    <row r="15" spans="1:17">
      <c r="A15" s="3668" t="s">
        <v>2351</v>
      </c>
      <c r="B15" s="3679">
        <v>0.125</v>
      </c>
      <c r="C15" s="3678">
        <v>0.25</v>
      </c>
      <c r="D15" t="s">
        <v>1520</v>
      </c>
      <c r="F15" s="3695">
        <f>IF(D15=P34,Q34*B15,IF(D15=P35,Q35*B15,"Seleccionar Calificación"))</f>
        <v>0.125</v>
      </c>
      <c r="H15" s="3698" t="s">
        <v>2399</v>
      </c>
      <c r="I15" s="3697">
        <v>0.7</v>
      </c>
      <c r="J15" s="3668" t="s">
        <v>442</v>
      </c>
      <c r="K15" s="3674"/>
      <c r="L15" s="3668" t="s">
        <v>2398</v>
      </c>
      <c r="M15" s="3694" t="s">
        <v>2397</v>
      </c>
      <c r="N15" s="3694" t="s">
        <v>2396</v>
      </c>
      <c r="O15" s="3674"/>
      <c r="P15" s="3668" t="s">
        <v>2388</v>
      </c>
      <c r="Q15" s="3667">
        <v>0.75</v>
      </c>
    </row>
    <row r="16" spans="1:17">
      <c r="A16" s="3685" t="s">
        <v>2395</v>
      </c>
      <c r="B16" s="3673">
        <v>0.2</v>
      </c>
      <c r="C16" s="3686">
        <v>1</v>
      </c>
      <c r="D16" s="3685"/>
      <c r="E16" s="3684"/>
      <c r="F16" s="3683">
        <f>SUM(F17:F20)</f>
        <v>0.19600000000000001</v>
      </c>
      <c r="H16" s="3674"/>
      <c r="I16" s="3674"/>
      <c r="J16" s="3668" t="s">
        <v>469</v>
      </c>
      <c r="K16" s="3674"/>
      <c r="L16" s="3674"/>
      <c r="M16" s="3674"/>
      <c r="N16" s="3674"/>
      <c r="O16" s="3674"/>
      <c r="P16" s="3668" t="s">
        <v>1649</v>
      </c>
      <c r="Q16" s="3667">
        <v>0.5</v>
      </c>
    </row>
    <row r="17" spans="1:17">
      <c r="A17" s="3668" t="s">
        <v>2350</v>
      </c>
      <c r="B17" s="3679">
        <v>0.04</v>
      </c>
      <c r="C17" s="3687">
        <v>0.2</v>
      </c>
      <c r="D17" t="s">
        <v>2347</v>
      </c>
      <c r="F17" s="3695">
        <f>IF(D17=P37,Q37*B17,IF(D17=P38,Q38*B17,IF(D17=P39,Q39*B17,"Seleccionar Calificación")))</f>
        <v>3.6000000000000004E-2</v>
      </c>
      <c r="H17" s="3691" t="s">
        <v>2394</v>
      </c>
      <c r="I17" s="3691" t="s">
        <v>936</v>
      </c>
      <c r="J17" s="3668" t="s">
        <v>517</v>
      </c>
      <c r="K17" s="3674"/>
      <c r="L17" s="3674"/>
      <c r="M17" s="3674"/>
      <c r="N17" s="3674"/>
      <c r="O17" s="3674"/>
      <c r="P17" s="3668" t="s">
        <v>2383</v>
      </c>
      <c r="Q17" s="3667">
        <v>0</v>
      </c>
    </row>
    <row r="18" spans="1:17">
      <c r="A18" s="3668" t="s">
        <v>2344</v>
      </c>
      <c r="B18" s="3679">
        <v>0.06</v>
      </c>
      <c r="C18" s="3687">
        <v>0.3</v>
      </c>
      <c r="D18" t="s">
        <v>2337</v>
      </c>
      <c r="F18" s="3695">
        <f>IF(D18=P41,Q41*B18,IF(D18=P42,Q42*B18,IF(D18=P43,Q43*B18,"Seleccionar Calificación")))</f>
        <v>0.06</v>
      </c>
      <c r="H18" s="3675">
        <v>5</v>
      </c>
      <c r="I18" s="3687">
        <v>0.8</v>
      </c>
      <c r="J18" s="3668" t="s">
        <v>357</v>
      </c>
      <c r="K18" s="3674"/>
      <c r="L18" s="3674"/>
      <c r="M18" s="3674"/>
      <c r="N18" s="3674"/>
      <c r="O18" s="3674"/>
      <c r="P18" s="3670" t="s">
        <v>2393</v>
      </c>
      <c r="Q18" s="3669"/>
    </row>
    <row r="19" spans="1:17">
      <c r="A19" s="3668" t="s">
        <v>2338</v>
      </c>
      <c r="B19" s="3679">
        <v>0.06</v>
      </c>
      <c r="C19" s="3687">
        <v>0.3</v>
      </c>
      <c r="D19" t="s">
        <v>2337</v>
      </c>
      <c r="F19" s="3695">
        <f>IF(D19=P45,Q45*B19,IF(D19=P46,Q46*B19,IF(D19=P47,Q47*B19,"Seleccionar Calificación")))</f>
        <v>0.06</v>
      </c>
      <c r="H19" s="3675">
        <v>6</v>
      </c>
      <c r="I19" s="3687">
        <v>0.7</v>
      </c>
      <c r="J19" s="3674" t="s">
        <v>2392</v>
      </c>
      <c r="K19" s="3674"/>
      <c r="L19" s="3674"/>
      <c r="M19" s="3674"/>
      <c r="N19" s="3674"/>
      <c r="O19" s="3674"/>
      <c r="P19" s="3668" t="s">
        <v>2391</v>
      </c>
      <c r="Q19" s="3667">
        <v>1</v>
      </c>
    </row>
    <row r="20" spans="1:17">
      <c r="A20" s="3668" t="s">
        <v>2390</v>
      </c>
      <c r="B20" s="3679">
        <v>0.04</v>
      </c>
      <c r="C20" s="3687">
        <v>0.2</v>
      </c>
      <c r="D20" t="s">
        <v>1260</v>
      </c>
      <c r="F20" s="3695">
        <f>IF(D20=P49,Q49*B20,IF(D20=P50,Q50*B20,IF(D20=P51,Q51*B20,IF(D20=P52,Q52*B20,"Seleccionar Calificación"))))</f>
        <v>0.04</v>
      </c>
      <c r="H20" s="3675">
        <v>7</v>
      </c>
      <c r="I20" s="3687">
        <v>0.6</v>
      </c>
      <c r="J20" s="3674" t="s">
        <v>2389</v>
      </c>
      <c r="K20" s="3674"/>
      <c r="L20" s="3674"/>
      <c r="M20" s="3674"/>
      <c r="N20" s="3674"/>
      <c r="O20" s="3674"/>
      <c r="P20" s="3668" t="s">
        <v>2388</v>
      </c>
      <c r="Q20" s="3667">
        <v>0.75</v>
      </c>
    </row>
    <row r="21" spans="1:17">
      <c r="A21" s="3685" t="s">
        <v>2387</v>
      </c>
      <c r="B21" s="3673">
        <v>0.2</v>
      </c>
      <c r="C21" s="3686">
        <v>0.8</v>
      </c>
      <c r="D21" s="3685"/>
      <c r="E21" s="3684"/>
      <c r="F21" s="3683">
        <f>SUM(F22:F24)</f>
        <v>0.16</v>
      </c>
      <c r="G21" s="3696"/>
      <c r="H21" s="3675">
        <v>8</v>
      </c>
      <c r="I21" s="3675" t="s">
        <v>2386</v>
      </c>
      <c r="J21" s="3674" t="s">
        <v>2385</v>
      </c>
      <c r="K21" s="3674"/>
      <c r="L21" s="3674"/>
      <c r="M21" s="3674"/>
      <c r="N21" s="3674"/>
      <c r="O21" s="3674"/>
      <c r="P21" s="3668" t="s">
        <v>1649</v>
      </c>
      <c r="Q21" s="3667">
        <v>0.5</v>
      </c>
    </row>
    <row r="22" spans="1:17">
      <c r="A22" s="3668" t="s">
        <v>2325</v>
      </c>
      <c r="B22" s="3679">
        <v>0.08</v>
      </c>
      <c r="C22" s="3678">
        <v>0.4</v>
      </c>
      <c r="D22" t="s">
        <v>2324</v>
      </c>
      <c r="F22" s="3695">
        <f>IF(D22=P54,Q54*B22,IF(D22=P55,Q55*B22,IF(D22=P56,Q56*B22,IF(D22=P57,Q57*B22,"Seleccionar Calificación"))))</f>
        <v>0.08</v>
      </c>
      <c r="H22" s="3674"/>
      <c r="I22" s="3674"/>
      <c r="J22" s="3674" t="s">
        <v>2384</v>
      </c>
      <c r="K22" s="3674"/>
      <c r="L22" s="3674"/>
      <c r="M22" s="3674"/>
      <c r="N22" s="3674"/>
      <c r="O22" s="3674"/>
      <c r="P22" s="3668" t="s">
        <v>2383</v>
      </c>
      <c r="Q22" s="3667">
        <v>0</v>
      </c>
    </row>
    <row r="23" spans="1:17" ht="29">
      <c r="A23" s="3668" t="s">
        <v>2320</v>
      </c>
      <c r="B23" s="3679">
        <v>0.08</v>
      </c>
      <c r="C23" s="3678">
        <v>0.4</v>
      </c>
      <c r="D23" t="s">
        <v>1509</v>
      </c>
      <c r="F23" s="3695">
        <f>IF(D23=P59,Q59*B23,IF(D23=P60,Q60*B23,"Seleccionar Calificación"))</f>
        <v>0.08</v>
      </c>
      <c r="H23" s="3693" t="s">
        <v>2382</v>
      </c>
      <c r="I23" s="3693" t="s">
        <v>1103</v>
      </c>
      <c r="J23" s="3674"/>
      <c r="K23" s="3674"/>
      <c r="L23" s="3674"/>
      <c r="M23" s="3674"/>
      <c r="N23" s="3674"/>
      <c r="O23" s="3674"/>
      <c r="P23" s="3671" t="s">
        <v>2381</v>
      </c>
      <c r="Q23" s="3669"/>
    </row>
    <row r="24" spans="1:17">
      <c r="A24" s="3668" t="s">
        <v>2380</v>
      </c>
      <c r="B24" s="3679">
        <v>0.04</v>
      </c>
      <c r="C24" s="3678">
        <v>0.2</v>
      </c>
      <c r="D24" t="s">
        <v>2379</v>
      </c>
      <c r="F24" s="3695" t="str">
        <f>IF(D24=L7,M7,IF(D24=L8,M8,IF(D24=L9,M9,IF(D24=L10,M10,IF(D24=L11,M11,IF(D24=L12,M12,IF(D24=L13,M13,IF(D24=L14,M14,IF(D24=L15,M15,C24)))))))))</f>
        <v>1.6%</v>
      </c>
      <c r="H24" s="3674" t="s">
        <v>2378</v>
      </c>
      <c r="I24" s="3694" t="s">
        <v>2377</v>
      </c>
      <c r="J24" s="3674"/>
      <c r="K24" s="3674"/>
      <c r="L24" s="3674"/>
      <c r="M24" s="3674"/>
      <c r="N24" s="3674"/>
      <c r="O24" s="3674"/>
      <c r="P24" s="3668" t="s">
        <v>2376</v>
      </c>
      <c r="Q24" s="3667">
        <v>1</v>
      </c>
    </row>
    <row r="25" spans="1:17" ht="29">
      <c r="A25" s="3674"/>
      <c r="D25" s="3693" t="s">
        <v>2375</v>
      </c>
      <c r="E25" s="3684"/>
      <c r="F25" s="3683">
        <f>F7+F12+F16+F21</f>
        <v>0.95600000000000007</v>
      </c>
      <c r="H25" s="3674" t="s">
        <v>2374</v>
      </c>
      <c r="I25" s="3694" t="s">
        <v>2373</v>
      </c>
      <c r="J25" s="3674"/>
      <c r="K25" s="3674"/>
      <c r="L25" s="3674"/>
      <c r="M25" s="3674"/>
      <c r="N25" s="3674"/>
      <c r="O25" s="3674"/>
      <c r="P25" s="3668" t="s">
        <v>2372</v>
      </c>
      <c r="Q25" s="3667">
        <v>0.85</v>
      </c>
    </row>
    <row r="26" spans="1:17">
      <c r="A26" s="3674"/>
      <c r="H26" s="3668" t="s">
        <v>2371</v>
      </c>
      <c r="I26" s="3694" t="s">
        <v>2370</v>
      </c>
      <c r="J26" s="3668"/>
      <c r="K26" s="3674"/>
      <c r="L26" s="3668"/>
      <c r="M26" s="3668"/>
      <c r="N26" s="3668"/>
      <c r="O26" s="3674"/>
      <c r="P26" s="3668" t="s">
        <v>2369</v>
      </c>
      <c r="Q26" s="3667">
        <v>0.6</v>
      </c>
    </row>
    <row r="27" spans="1:17" ht="29">
      <c r="A27" s="3693" t="s">
        <v>2368</v>
      </c>
      <c r="B27" s="3693"/>
      <c r="C27" s="3693"/>
      <c r="D27" s="3693"/>
      <c r="E27" s="3693" t="s">
        <v>2367</v>
      </c>
      <c r="F27" s="3693" t="s">
        <v>228</v>
      </c>
      <c r="H27" s="3691" t="s">
        <v>2366</v>
      </c>
      <c r="I27" s="3691"/>
      <c r="J27" s="3691"/>
      <c r="K27" s="3674"/>
      <c r="L27" s="3691" t="s">
        <v>2365</v>
      </c>
      <c r="M27" s="3691"/>
      <c r="N27" s="3691"/>
      <c r="P27" s="3668" t="s">
        <v>2364</v>
      </c>
      <c r="Q27" s="3667">
        <v>0</v>
      </c>
    </row>
    <row r="28" spans="1:17">
      <c r="A28" s="3685" t="s">
        <v>2363</v>
      </c>
      <c r="B28" s="3673">
        <v>0.1</v>
      </c>
      <c r="C28" s="3686">
        <v>1</v>
      </c>
      <c r="D28" s="3693"/>
      <c r="E28" s="3693">
        <f>+Indicadores!D2</f>
        <v>2019</v>
      </c>
      <c r="F28" s="3692">
        <f>SUM(F29:F31)</f>
        <v>3.5000000000000003E-2</v>
      </c>
      <c r="H28" s="3691" t="s">
        <v>2362</v>
      </c>
      <c r="I28" s="3691" t="s">
        <v>2361</v>
      </c>
      <c r="J28" s="3691" t="s">
        <v>2360</v>
      </c>
      <c r="K28" s="3674"/>
      <c r="L28" s="3691" t="s">
        <v>2362</v>
      </c>
      <c r="M28" s="3691" t="s">
        <v>2361</v>
      </c>
      <c r="N28" s="3691" t="s">
        <v>2360</v>
      </c>
      <c r="P28" s="3671" t="s">
        <v>2359</v>
      </c>
      <c r="Q28" s="3669"/>
    </row>
    <row r="29" spans="1:17">
      <c r="A29" s="3690" t="s">
        <v>1445</v>
      </c>
      <c r="B29" s="3679">
        <v>0.05</v>
      </c>
      <c r="C29" s="3687">
        <v>0.5</v>
      </c>
      <c r="D29" s="3677">
        <f>INDEX('Balances y Proyecciones'!$AM$696:$AY$752,MATCH(A29,'Balances y Proyecciones'!$AM$696:$AM$752,0),13)</f>
        <v>0</v>
      </c>
      <c r="F29" s="3676">
        <f>IF(D29&gt;=L29,B29,IF(D29&lt;M29,J29,IF(AND(D29&gt;=E29*M29,D29&lt;2),B29*I29,J29)))</f>
        <v>0</v>
      </c>
      <c r="H29" s="3675" t="s">
        <v>2358</v>
      </c>
      <c r="I29" s="3675">
        <v>0.5</v>
      </c>
      <c r="J29" s="3675">
        <v>0</v>
      </c>
      <c r="K29" s="3674"/>
      <c r="L29" s="3675">
        <v>2</v>
      </c>
      <c r="M29" s="3675">
        <v>0.7</v>
      </c>
      <c r="N29" s="3675">
        <v>0</v>
      </c>
      <c r="P29" s="3668" t="s">
        <v>2357</v>
      </c>
      <c r="Q29" s="3667">
        <v>1</v>
      </c>
    </row>
    <row r="30" spans="1:17">
      <c r="A30" s="3690" t="s">
        <v>1446</v>
      </c>
      <c r="B30" s="3679">
        <v>0.02</v>
      </c>
      <c r="C30" s="3678">
        <v>0.2</v>
      </c>
      <c r="D30" s="3677">
        <f>INDEX('Balances y Proyecciones'!$AM$696:$AY$752,MATCH(A30,'Balances y Proyecciones'!$AM$696:$AM$752,0),13)</f>
        <v>0</v>
      </c>
      <c r="F30" s="3676">
        <f>IF(D30&gt;=E30,B30,IF(D30&lt;N30,J30,IF(AND(D30&lt;E30,D30&gt;M30),B30*I30,N30)))</f>
        <v>0.02</v>
      </c>
      <c r="H30" s="3675">
        <v>1</v>
      </c>
      <c r="I30" s="3675">
        <v>0.8</v>
      </c>
      <c r="J30" s="3675">
        <v>0</v>
      </c>
      <c r="K30" s="3674"/>
      <c r="L30" s="3675" t="s">
        <v>1260</v>
      </c>
      <c r="M30" s="3675">
        <v>0.5</v>
      </c>
      <c r="N30" s="3675">
        <v>0</v>
      </c>
      <c r="P30" s="3668" t="s">
        <v>2356</v>
      </c>
      <c r="Q30" s="3667">
        <v>0.7</v>
      </c>
    </row>
    <row r="31" spans="1:17">
      <c r="A31" s="3668" t="s">
        <v>1443</v>
      </c>
      <c r="B31" s="3679">
        <v>0.03</v>
      </c>
      <c r="C31" s="3687">
        <v>0.3</v>
      </c>
      <c r="D31" s="3689">
        <f>INDEX('Balances y Proyecciones'!$AM$696:$AY$752,MATCH(A31,'Balances y Proyecciones'!$AM$696:$AM$752,0),13)</f>
        <v>0</v>
      </c>
      <c r="F31" s="3676">
        <f>IF(D31&gt;0,B31,B31*I31)</f>
        <v>1.4999999999999999E-2</v>
      </c>
      <c r="H31" s="3675" t="s">
        <v>2355</v>
      </c>
      <c r="I31" s="3675">
        <v>0.5</v>
      </c>
      <c r="J31" s="3675" t="s">
        <v>1260</v>
      </c>
      <c r="K31" s="3674"/>
      <c r="L31" s="3675" t="s">
        <v>1260</v>
      </c>
      <c r="M31" s="3675" t="s">
        <v>1260</v>
      </c>
      <c r="N31" s="3675" t="s">
        <v>1260</v>
      </c>
      <c r="P31" s="3668" t="s">
        <v>2354</v>
      </c>
      <c r="Q31" s="3667">
        <v>0.2</v>
      </c>
    </row>
    <row r="32" spans="1:17">
      <c r="A32" s="3685" t="s">
        <v>2353</v>
      </c>
      <c r="B32" s="3673">
        <v>0.2</v>
      </c>
      <c r="C32" s="3686">
        <v>1</v>
      </c>
      <c r="D32" s="3685"/>
      <c r="E32" s="3684"/>
      <c r="F32" s="3683">
        <f>SUM(F33:F38)</f>
        <v>0.19600000000000001</v>
      </c>
      <c r="H32" s="3675"/>
      <c r="I32" s="3675"/>
      <c r="J32" s="3675"/>
      <c r="K32" s="3674"/>
      <c r="L32" s="3675"/>
      <c r="M32" s="3675"/>
      <c r="N32" s="3675"/>
      <c r="P32" s="3668" t="s">
        <v>2352</v>
      </c>
      <c r="Q32" s="3667">
        <v>0</v>
      </c>
    </row>
    <row r="33" spans="1:17">
      <c r="A33" s="3690" t="s">
        <v>1436</v>
      </c>
      <c r="B33" s="3679">
        <v>0.02</v>
      </c>
      <c r="C33" s="3678">
        <v>0.1</v>
      </c>
      <c r="D33" s="3677">
        <f>INDEX('Balances y Proyecciones'!$AM$696:$AY$752,MATCH(A33,'Balances y Proyecciones'!$AM$696:$AM$752,0),13)</f>
        <v>0</v>
      </c>
      <c r="F33" s="3676">
        <f>IFERROR(IF(D33="",B33,IF(D33&lt;=E33,B33,IF(D33=0,B33,IF(AND(D33&gt;E33,D33&lt;=E33*M32),B33*I33,B33*J33)))),B33)</f>
        <v>0.02</v>
      </c>
      <c r="H33" s="3675" t="s">
        <v>2334</v>
      </c>
      <c r="I33" s="3675">
        <v>0.8</v>
      </c>
      <c r="J33" s="3675">
        <v>0.3</v>
      </c>
      <c r="K33" s="3674"/>
      <c r="L33" s="3675" t="s">
        <v>1260</v>
      </c>
      <c r="M33" s="3675">
        <v>1.8</v>
      </c>
      <c r="N33" s="3675" t="s">
        <v>1260</v>
      </c>
      <c r="P33" s="3671" t="s">
        <v>2351</v>
      </c>
      <c r="Q33" s="3669"/>
    </row>
    <row r="34" spans="1:17">
      <c r="A34" s="3690" t="s">
        <v>1438</v>
      </c>
      <c r="B34" s="3679">
        <v>0.02</v>
      </c>
      <c r="C34" s="3678">
        <v>0.1</v>
      </c>
      <c r="D34" s="3677">
        <f>INDEX('Balances y Proyecciones'!$AM$696:$AY$752,MATCH(A34,'Balances y Proyecciones'!$AM$696:$AM$752,0),13)</f>
        <v>0</v>
      </c>
      <c r="F34" s="3676">
        <f>IFERROR(IF(D34="",B34,IF(D34&lt;=E34,B34,IF(D34=0,B34,IF(AND(D34&gt;E34,D34&lt;E34*M33),B34*I34,B34*J34)))),B34)</f>
        <v>0.02</v>
      </c>
      <c r="H34" s="3675" t="s">
        <v>2334</v>
      </c>
      <c r="I34" s="3675">
        <v>0.8</v>
      </c>
      <c r="J34" s="3675">
        <v>0.3</v>
      </c>
      <c r="K34" s="3674"/>
      <c r="L34" s="3675" t="s">
        <v>1260</v>
      </c>
      <c r="M34" s="3675">
        <v>1.8</v>
      </c>
      <c r="N34" s="3675" t="s">
        <v>1260</v>
      </c>
      <c r="P34" s="3668" t="s">
        <v>1520</v>
      </c>
      <c r="Q34" s="3667">
        <v>1</v>
      </c>
    </row>
    <row r="35" spans="1:17">
      <c r="A35" s="3690" t="s">
        <v>1441</v>
      </c>
      <c r="B35" s="3679">
        <v>0.02</v>
      </c>
      <c r="C35" s="3678">
        <v>0.1</v>
      </c>
      <c r="D35" s="3677">
        <f>INDEX('Balances y Proyecciones'!$AM$696:$AY$752,MATCH(A35,'Balances y Proyecciones'!$AM$696:$AM$752,0),13)</f>
        <v>0</v>
      </c>
      <c r="F35" s="3676">
        <f>IFERROR(IF(D35&gt;=E35,B35,IF(D35=0,"",IF(AND(D35&lt;E35,D35&gt;E35*M34),B35*I35,B35*J35))),B35)</f>
        <v>0.02</v>
      </c>
      <c r="H35" s="3675" t="s">
        <v>2334</v>
      </c>
      <c r="I35" s="3675">
        <v>0.8</v>
      </c>
      <c r="J35" s="3675">
        <v>0.3</v>
      </c>
      <c r="K35" s="3674"/>
      <c r="L35" s="3675" t="s">
        <v>1260</v>
      </c>
      <c r="M35" s="3675">
        <v>0.4</v>
      </c>
      <c r="N35" s="3675" t="s">
        <v>1260</v>
      </c>
      <c r="P35" s="3668" t="s">
        <v>1525</v>
      </c>
      <c r="Q35" s="3667">
        <v>0</v>
      </c>
    </row>
    <row r="36" spans="1:17">
      <c r="A36" s="3668" t="s">
        <v>1432</v>
      </c>
      <c r="B36" s="3679">
        <v>0.02</v>
      </c>
      <c r="C36" s="3678">
        <v>0.1</v>
      </c>
      <c r="D36" s="3677">
        <f>INDEX('Balances y Proyecciones'!$AM$696:$AY$752,MATCH(A36,'Balances y Proyecciones'!$AM$696:$AM$752,0),13)</f>
        <v>0</v>
      </c>
      <c r="F36" s="3676">
        <f>IFERROR(IF(D36&gt;0,B36,B36*I36),B36)</f>
        <v>1.6E-2</v>
      </c>
      <c r="H36" s="3675" t="s">
        <v>2334</v>
      </c>
      <c r="I36" s="3675">
        <v>0.8</v>
      </c>
      <c r="J36" s="3675" t="s">
        <v>1260</v>
      </c>
      <c r="K36" s="3674"/>
      <c r="L36" s="3675"/>
      <c r="M36" s="3675"/>
      <c r="N36" s="3675"/>
      <c r="P36" s="3671" t="s">
        <v>2350</v>
      </c>
      <c r="Q36" s="3669"/>
    </row>
    <row r="37" spans="1:17" ht="29">
      <c r="A37" s="3690" t="s">
        <v>1429</v>
      </c>
      <c r="B37" s="3679">
        <v>0.06</v>
      </c>
      <c r="C37" s="3678">
        <v>0.3</v>
      </c>
      <c r="D37" s="3677" t="str">
        <f>INDEX('Balances y Proyecciones'!$AM$696:$AY$752,MATCH(A37,'Balances y Proyecciones'!$AM$696:$AM$752,0),13)</f>
        <v>N/A</v>
      </c>
      <c r="F37" s="3676">
        <f>IFERROR(IF(D37&gt;=E37*L36,B37,IF(D37&lt;N36,B37*J37,IF(D37&lt;E37*M36,B37*I37))),B37)</f>
        <v>0.06</v>
      </c>
      <c r="H37" s="3675" t="s">
        <v>2349</v>
      </c>
      <c r="I37" s="3675">
        <v>0.8</v>
      </c>
      <c r="J37" s="3675">
        <v>0</v>
      </c>
      <c r="K37" s="3674"/>
      <c r="L37" s="3675">
        <v>0.85</v>
      </c>
      <c r="M37" s="3675">
        <v>0.85</v>
      </c>
      <c r="N37" s="3675">
        <v>0</v>
      </c>
      <c r="P37" s="3668" t="s">
        <v>2348</v>
      </c>
      <c r="Q37" s="3667">
        <v>1</v>
      </c>
    </row>
    <row r="38" spans="1:17">
      <c r="A38" s="3690" t="s">
        <v>1434</v>
      </c>
      <c r="B38" s="3679">
        <v>0.06</v>
      </c>
      <c r="C38" s="3678">
        <v>0.3</v>
      </c>
      <c r="D38" s="3677">
        <f>INDEX('Balances y Proyecciones'!$AM$696:$AY$752,MATCH(A38,'Balances y Proyecciones'!$AM$696:$AM$752,0),13)</f>
        <v>0</v>
      </c>
      <c r="F38" s="3676">
        <f>IFERROR(IF(D38&gt;=E38*L37,B38,IF(D38&lt;N37,B38*J38,IF(D38&lt;E38*M37,B38*I38))),B38)</f>
        <v>0.06</v>
      </c>
      <c r="H38" s="3675"/>
      <c r="I38" s="3675">
        <v>0.8</v>
      </c>
      <c r="J38" s="3675">
        <v>0</v>
      </c>
      <c r="K38" s="3674"/>
      <c r="L38" s="3675">
        <v>0.85</v>
      </c>
      <c r="M38" s="3675">
        <v>0.85</v>
      </c>
      <c r="N38" s="3675">
        <v>0</v>
      </c>
      <c r="P38" s="3668" t="s">
        <v>2347</v>
      </c>
      <c r="Q38" s="3667">
        <v>0.9</v>
      </c>
    </row>
    <row r="39" spans="1:17">
      <c r="A39" s="3685" t="s">
        <v>2346</v>
      </c>
      <c r="B39" s="3673">
        <v>0.5</v>
      </c>
      <c r="C39" s="3686">
        <v>1</v>
      </c>
      <c r="D39" s="3685"/>
      <c r="E39" s="3684"/>
      <c r="F39" s="3683">
        <f>SUM(F40:F43)</f>
        <v>0.43000000000000005</v>
      </c>
      <c r="H39" s="3675"/>
      <c r="I39" s="3675"/>
      <c r="J39" s="3675"/>
      <c r="K39" s="3674"/>
      <c r="L39" s="3675"/>
      <c r="M39" s="3675"/>
      <c r="N39" s="3675"/>
      <c r="P39" s="3668" t="s">
        <v>2345</v>
      </c>
      <c r="Q39" s="3667">
        <v>0.5</v>
      </c>
    </row>
    <row r="40" spans="1:17" ht="15" thickBot="1">
      <c r="A40" s="3682" t="s">
        <v>1450</v>
      </c>
      <c r="B40" s="3679">
        <v>0.05</v>
      </c>
      <c r="C40" s="3678">
        <v>0.1</v>
      </c>
      <c r="D40" s="3689">
        <f>INDEX('Balances y Proyecciones'!$AM$696:$AY$752,MATCH(A40,'Balances y Proyecciones'!$AM$696:$AM$752,0),13)</f>
        <v>0</v>
      </c>
      <c r="F40" s="3676">
        <f>IF(D40&gt;=0,B40,B40*I40)</f>
        <v>0.05</v>
      </c>
      <c r="H40" s="3675" t="s">
        <v>2340</v>
      </c>
      <c r="I40" s="3675">
        <v>0.5</v>
      </c>
      <c r="J40" s="3675" t="s">
        <v>1260</v>
      </c>
      <c r="K40" s="3674"/>
      <c r="L40" s="3675"/>
      <c r="M40" s="3675"/>
      <c r="N40" s="3675"/>
      <c r="P40" s="3671" t="s">
        <v>2344</v>
      </c>
      <c r="Q40" s="3669"/>
    </row>
    <row r="41" spans="1:17" ht="15" thickBot="1">
      <c r="A41" s="3688" t="s">
        <v>2343</v>
      </c>
      <c r="B41" s="3679">
        <v>0.05</v>
      </c>
      <c r="C41" s="3678">
        <v>0.1</v>
      </c>
      <c r="D41" s="3677" t="str">
        <f>+Indicadores!D14</f>
        <v>N/A</v>
      </c>
      <c r="F41" s="3676">
        <f>IF(D41&gt;=0,B41,B41*I41)</f>
        <v>0.05</v>
      </c>
      <c r="H41" s="3675" t="s">
        <v>2340</v>
      </c>
      <c r="I41" s="3675">
        <v>0.5</v>
      </c>
      <c r="J41" s="3675" t="s">
        <v>1260</v>
      </c>
      <c r="K41" s="3674"/>
      <c r="L41" s="3675"/>
      <c r="M41" s="3675"/>
      <c r="N41" s="3675"/>
      <c r="P41" s="3668" t="s">
        <v>2337</v>
      </c>
      <c r="Q41" s="3667">
        <v>1</v>
      </c>
    </row>
    <row r="42" spans="1:17">
      <c r="A42" s="3680" t="s">
        <v>2342</v>
      </c>
      <c r="B42" s="3679">
        <v>0.3</v>
      </c>
      <c r="C42" s="3678">
        <v>0.6</v>
      </c>
      <c r="D42" s="3677" t="str">
        <f>+Indicadores!D21</f>
        <v>N/A</v>
      </c>
      <c r="F42" s="3676">
        <f>IF(D42="",B42,IF(D42&gt;L42,B42,IF(AND(D42&lt;=L42,D42&gt;=M42),B42*I42,B42*J42)))</f>
        <v>0.3</v>
      </c>
      <c r="H42" s="3675" t="s">
        <v>2340</v>
      </c>
      <c r="I42" s="3675">
        <v>0.5</v>
      </c>
      <c r="J42" s="3675">
        <v>0</v>
      </c>
      <c r="K42" s="3674"/>
      <c r="L42" s="3675">
        <v>1</v>
      </c>
      <c r="M42" s="3675">
        <v>0.85</v>
      </c>
      <c r="N42" s="3675" t="s">
        <v>1260</v>
      </c>
      <c r="P42" s="3668" t="s">
        <v>2341</v>
      </c>
      <c r="Q42" s="3667">
        <v>0.5</v>
      </c>
    </row>
    <row r="43" spans="1:17">
      <c r="A43" s="3681" t="s">
        <v>1447</v>
      </c>
      <c r="B43" s="3679">
        <v>0.1</v>
      </c>
      <c r="C43" s="3687">
        <v>0.2</v>
      </c>
      <c r="D43" s="3677">
        <f>INDEX('Balances y Proyecciones'!$AM$696:$AY$752,MATCH(A43,'Balances y Proyecciones'!$AM$696:$AM$752,0),13)</f>
        <v>0</v>
      </c>
      <c r="F43" s="3676">
        <f>IF(D43="",B43,IF(D43&gt;E43,B43,IF(AND(D43&lt;=E43,D43&gt;=M43),B43*I43,B43*J43)))</f>
        <v>0.03</v>
      </c>
      <c r="H43" s="3675" t="s">
        <v>2340</v>
      </c>
      <c r="I43" s="3675">
        <v>0.7</v>
      </c>
      <c r="J43" s="3675">
        <v>0.3</v>
      </c>
      <c r="K43" s="3674"/>
      <c r="L43" s="3675"/>
      <c r="M43" s="3675">
        <v>1</v>
      </c>
      <c r="N43" s="3675"/>
      <c r="P43" s="3668" t="s">
        <v>2339</v>
      </c>
      <c r="Q43" s="3667">
        <v>0</v>
      </c>
    </row>
    <row r="44" spans="1:17">
      <c r="A44" s="3685" t="s">
        <v>1641</v>
      </c>
      <c r="B44" s="3673">
        <v>0.2</v>
      </c>
      <c r="C44" s="3686">
        <v>1</v>
      </c>
      <c r="D44" s="3685"/>
      <c r="E44" s="3684"/>
      <c r="F44" s="3683">
        <f>SUM(F45:F47)</f>
        <v>0.158</v>
      </c>
      <c r="H44" s="3675"/>
      <c r="I44" s="3675"/>
      <c r="J44" s="3675"/>
      <c r="K44" s="3674"/>
      <c r="L44" s="3675"/>
      <c r="M44" s="3675"/>
      <c r="N44" s="3675"/>
      <c r="P44" s="3671" t="s">
        <v>2338</v>
      </c>
      <c r="Q44" s="3669"/>
    </row>
    <row r="45" spans="1:17">
      <c r="A45" s="3682" t="s">
        <v>1457</v>
      </c>
      <c r="B45" s="3679">
        <v>0.06</v>
      </c>
      <c r="C45" s="3678">
        <v>0.3</v>
      </c>
      <c r="D45" s="3677">
        <f>INDEX('Balances y Proyecciones'!$AM$696:$AY$752,MATCH(A45,'Balances y Proyecciones'!$AM$696:$AM$752,0),13)</f>
        <v>0</v>
      </c>
      <c r="F45" s="3676">
        <f>IFERROR(IF(D45&lt;=M45,B45,IF(D45&gt;N45,B45*J45,IF(D45&gt;M45,B45*I45))),B45)</f>
        <v>0.06</v>
      </c>
      <c r="H45" s="3675" t="s">
        <v>2334</v>
      </c>
      <c r="I45" s="3675">
        <v>0.7</v>
      </c>
      <c r="J45" s="3675">
        <v>0.05</v>
      </c>
      <c r="K45" s="3674"/>
      <c r="L45" s="3675"/>
      <c r="M45" s="3675">
        <v>0.7</v>
      </c>
      <c r="N45" s="3675">
        <v>1</v>
      </c>
      <c r="P45" s="3668" t="s">
        <v>2337</v>
      </c>
      <c r="Q45" s="3667">
        <v>1</v>
      </c>
    </row>
    <row r="46" spans="1:17">
      <c r="A46" s="3681" t="s">
        <v>1452</v>
      </c>
      <c r="B46" s="3679">
        <v>0.08</v>
      </c>
      <c r="C46" s="3678">
        <v>0.4</v>
      </c>
      <c r="D46" s="3677">
        <f>INDEX('Balances y Proyecciones'!$AM$696:$AY$752,MATCH(A46,'Balances y Proyecciones'!$AM$696:$AM$752,0),13)</f>
        <v>0</v>
      </c>
      <c r="F46" s="3676">
        <f>IFERROR(IF(D46&lt;=M46,B46,IF(D46&lt;=N46,B46*I46,IF(D46&gt;N46,B46*J46))),B46)</f>
        <v>0.08</v>
      </c>
      <c r="H46" s="3675" t="s">
        <v>2334</v>
      </c>
      <c r="I46" s="3675">
        <v>0.7</v>
      </c>
      <c r="J46" s="3675">
        <v>0.3</v>
      </c>
      <c r="K46" s="3674"/>
      <c r="L46" s="3675"/>
      <c r="M46" s="3675">
        <v>3</v>
      </c>
      <c r="N46" s="3675">
        <v>6</v>
      </c>
      <c r="P46" s="3668" t="s">
        <v>2336</v>
      </c>
      <c r="Q46" s="3667">
        <v>0.5</v>
      </c>
    </row>
    <row r="47" spans="1:17">
      <c r="A47" s="3680" t="s">
        <v>2335</v>
      </c>
      <c r="B47" s="3679">
        <v>0.06</v>
      </c>
      <c r="C47" s="3678">
        <v>0.3</v>
      </c>
      <c r="D47" s="3677" t="str">
        <f>+Indicadores!D16</f>
        <v>N/A</v>
      </c>
      <c r="F47" s="3676">
        <f>IF(D47&lt;3,B47,IF(D47&lt;6,I47*B47,IF(D47&gt;=6,J47*B47,B47)))</f>
        <v>1.7999999999999999E-2</v>
      </c>
      <c r="H47" s="3675" t="s">
        <v>2334</v>
      </c>
      <c r="I47" s="3675">
        <v>0.7</v>
      </c>
      <c r="J47" s="3675">
        <v>0.3</v>
      </c>
      <c r="K47" s="3674"/>
      <c r="L47" s="3675"/>
      <c r="M47" s="3675">
        <v>6</v>
      </c>
      <c r="N47" s="3675"/>
      <c r="P47" s="3668" t="s">
        <v>2333</v>
      </c>
      <c r="Q47" s="3667">
        <v>0</v>
      </c>
    </row>
    <row r="48" spans="1:17">
      <c r="A48" s="3674"/>
      <c r="P48" s="3671" t="s">
        <v>2332</v>
      </c>
      <c r="Q48" s="3669"/>
    </row>
    <row r="49" spans="1:17">
      <c r="A49" s="3674"/>
      <c r="D49" s="4056" t="s">
        <v>2331</v>
      </c>
      <c r="E49" s="4056"/>
      <c r="F49" s="3673">
        <f>+F28+F32+F39+F44</f>
        <v>0.81900000000000006</v>
      </c>
      <c r="P49" s="3668" t="s">
        <v>1260</v>
      </c>
      <c r="Q49" s="3667">
        <v>1</v>
      </c>
    </row>
    <row r="50" spans="1:17">
      <c r="A50" s="3674"/>
      <c r="D50" s="4056" t="s">
        <v>2330</v>
      </c>
      <c r="E50" s="4056"/>
      <c r="F50" s="3673">
        <f>IF(D4=H7,(F25*I8)+(F49*I9),IF(D4=H10,(F25*I11)+(F49*I12),IF(D4=H13,(I14*F25)+(I15*F49))))</f>
        <v>0.85325000000000006</v>
      </c>
      <c r="P50" s="3668" t="s">
        <v>2329</v>
      </c>
      <c r="Q50" s="3667">
        <v>1</v>
      </c>
    </row>
    <row r="51" spans="1:17" ht="15" thickBot="1">
      <c r="A51" s="3672" t="s">
        <v>2328</v>
      </c>
      <c r="P51" s="3668" t="s">
        <v>2327</v>
      </c>
      <c r="Q51" s="3667">
        <v>0.5</v>
      </c>
    </row>
    <row r="52" spans="1:17">
      <c r="P52" s="3668" t="s">
        <v>2326</v>
      </c>
      <c r="Q52" s="3667">
        <v>0</v>
      </c>
    </row>
    <row r="53" spans="1:17">
      <c r="P53" s="3671" t="s">
        <v>2325</v>
      </c>
      <c r="Q53" s="3669"/>
    </row>
    <row r="54" spans="1:17">
      <c r="P54" s="3668" t="s">
        <v>2324</v>
      </c>
      <c r="Q54" s="3667">
        <v>1</v>
      </c>
    </row>
    <row r="55" spans="1:17">
      <c r="P55" s="3668" t="s">
        <v>2323</v>
      </c>
      <c r="Q55" s="3667">
        <v>0</v>
      </c>
    </row>
    <row r="56" spans="1:17">
      <c r="P56" s="3668" t="s">
        <v>2322</v>
      </c>
      <c r="Q56" s="3667">
        <v>1</v>
      </c>
    </row>
    <row r="57" spans="1:17">
      <c r="P57" s="3668" t="s">
        <v>2321</v>
      </c>
      <c r="Q57" s="3667">
        <v>0.8</v>
      </c>
    </row>
    <row r="58" spans="1:17">
      <c r="P58" s="3670" t="s">
        <v>2320</v>
      </c>
      <c r="Q58" s="3669"/>
    </row>
    <row r="59" spans="1:17">
      <c r="P59" s="3668" t="s">
        <v>1509</v>
      </c>
      <c r="Q59" s="3667">
        <v>1</v>
      </c>
    </row>
    <row r="60" spans="1:17">
      <c r="P60" s="3668" t="s">
        <v>1268</v>
      </c>
      <c r="Q60" s="3667">
        <v>0</v>
      </c>
    </row>
  </sheetData>
  <mergeCells count="2">
    <mergeCell ref="D49:E49"/>
    <mergeCell ref="D50:E50"/>
  </mergeCells>
  <dataValidations count="14">
    <dataValidation type="list" allowBlank="1" showInputMessage="1" showErrorMessage="1" sqref="D8">
      <formula1>$P$8:$P$9</formula1>
    </dataValidation>
    <dataValidation type="list" allowBlank="1" showInputMessage="1" showErrorMessage="1" sqref="D9">
      <formula1>$P$11:$P$12</formula1>
    </dataValidation>
    <dataValidation type="list" allowBlank="1" showInputMessage="1" showErrorMessage="1" sqref="D10">
      <formula1>$P$14:$P$17</formula1>
    </dataValidation>
    <dataValidation type="list" allowBlank="1" showInputMessage="1" showErrorMessage="1" sqref="D11">
      <formula1>$P$19:$P$22</formula1>
    </dataValidation>
    <dataValidation type="list" allowBlank="1" showInputMessage="1" showErrorMessage="1" sqref="D13">
      <formula1>$P$24:$P$27</formula1>
    </dataValidation>
    <dataValidation type="list" allowBlank="1" showInputMessage="1" showErrorMessage="1" sqref="D14">
      <formula1>$P$29:$P$32</formula1>
    </dataValidation>
    <dataValidation type="list" allowBlank="1" showInputMessage="1" showErrorMessage="1" sqref="D15">
      <formula1>$P$34:$P$35</formula1>
    </dataValidation>
    <dataValidation type="list" allowBlank="1" showInputMessage="1" showErrorMessage="1" sqref="D17">
      <formula1>$P$37:$P$39</formula1>
    </dataValidation>
    <dataValidation type="list" allowBlank="1" showInputMessage="1" showErrorMessage="1" sqref="D18">
      <formula1>$P$41:$P$43</formula1>
    </dataValidation>
    <dataValidation type="list" allowBlank="1" showInputMessage="1" showErrorMessage="1" sqref="D19">
      <formula1>$P$45:$P$47</formula1>
    </dataValidation>
    <dataValidation type="list" allowBlank="1" showInputMessage="1" showErrorMessage="1" sqref="D20">
      <formula1>$P$49:$P$52</formula1>
    </dataValidation>
    <dataValidation type="list" allowBlank="1" showInputMessage="1" showErrorMessage="1" sqref="D23">
      <formula1>$P$59:$P$60</formula1>
    </dataValidation>
    <dataValidation type="list" allowBlank="1" showInputMessage="1" showErrorMessage="1" sqref="D24">
      <formula1>$L$7:$L$15</formula1>
    </dataValidation>
    <dataValidation type="list" allowBlank="1" showInputMessage="1" showErrorMessage="1" sqref="D22">
      <formula1>$P$54:$P$57</formula1>
    </dataValidation>
  </dataValidation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sheetPr codeName="Hoja51"/>
  <dimension ref="A1:T51"/>
  <sheetViews>
    <sheetView showGridLines="0" showRowColHeaders="0" zoomScale="85" zoomScaleNormal="85" workbookViewId="0">
      <selection activeCell="A3" sqref="A3"/>
    </sheetView>
  </sheetViews>
  <sheetFormatPr baseColWidth="10" defaultRowHeight="14.5"/>
  <cols>
    <col min="1" max="1" width="33.453125" customWidth="1"/>
    <col min="2" max="2" width="9.26953125" hidden="1" customWidth="1"/>
    <col min="3" max="8" width="9.26953125" customWidth="1"/>
    <col min="9" max="9" width="6.90625" customWidth="1"/>
    <col min="10" max="10" width="2.36328125" customWidth="1"/>
  </cols>
  <sheetData>
    <row r="1" spans="1:20" s="3722" customFormat="1" ht="15" thickBot="1">
      <c r="A1" s="3722" t="s">
        <v>2471</v>
      </c>
      <c r="C1" s="3722" t="s">
        <v>2471</v>
      </c>
      <c r="F1" s="3722" t="s">
        <v>2471</v>
      </c>
      <c r="K1" s="3722" t="s">
        <v>2471</v>
      </c>
      <c r="N1" s="3722" t="s">
        <v>2471</v>
      </c>
      <c r="Q1" s="3722" t="s">
        <v>2471</v>
      </c>
      <c r="T1" s="3722" t="s">
        <v>2471</v>
      </c>
    </row>
    <row r="2" spans="1:20" ht="26.5" thickBot="1">
      <c r="A2" s="3721" t="s">
        <v>2454</v>
      </c>
      <c r="B2" s="3721" t="s">
        <v>2470</v>
      </c>
      <c r="C2" s="3721" t="s">
        <v>2469</v>
      </c>
      <c r="D2" s="3721" t="s">
        <v>2468</v>
      </c>
      <c r="E2" s="3721" t="s">
        <v>2467</v>
      </c>
      <c r="F2" s="3721" t="s">
        <v>2466</v>
      </c>
      <c r="G2" s="3721" t="s">
        <v>2465</v>
      </c>
      <c r="H2" s="3721" t="s">
        <v>228</v>
      </c>
      <c r="I2" s="3721" t="s">
        <v>1605</v>
      </c>
    </row>
    <row r="3" spans="1:20" ht="15" thickBot="1">
      <c r="A3" s="3720" t="s">
        <v>2464</v>
      </c>
      <c r="B3" s="3719"/>
      <c r="C3" s="3719">
        <v>1237</v>
      </c>
      <c r="D3" s="3719">
        <v>470</v>
      </c>
      <c r="E3" s="3719"/>
      <c r="F3" s="3719"/>
      <c r="G3" s="3719">
        <v>94449</v>
      </c>
      <c r="H3" s="3719">
        <f t="shared" ref="H3:H8" si="0">SUM(B3:G3)</f>
        <v>96156</v>
      </c>
      <c r="I3" s="3718">
        <f t="shared" ref="I3:I8" si="1">+H3/$H$11</f>
        <v>0.42113284894033559</v>
      </c>
    </row>
    <row r="4" spans="1:20" ht="15" thickBot="1">
      <c r="A4" s="3720" t="s">
        <v>2463</v>
      </c>
      <c r="B4" s="3719"/>
      <c r="C4" s="3719">
        <v>3926</v>
      </c>
      <c r="D4" s="3719">
        <v>6633</v>
      </c>
      <c r="E4" s="3719">
        <v>10</v>
      </c>
      <c r="F4" s="3719"/>
      <c r="G4" s="3719"/>
      <c r="H4" s="3719">
        <f t="shared" si="0"/>
        <v>10569</v>
      </c>
      <c r="I4" s="3718">
        <f t="shared" si="1"/>
        <v>4.6288875165880511E-2</v>
      </c>
    </row>
    <row r="5" spans="1:20" ht="15" thickBot="1">
      <c r="A5" s="3720" t="s">
        <v>2462</v>
      </c>
      <c r="B5" s="3719"/>
      <c r="C5" s="3719">
        <v>4829</v>
      </c>
      <c r="D5" s="3719">
        <v>281</v>
      </c>
      <c r="E5" s="3719"/>
      <c r="F5" s="3719"/>
      <c r="G5" s="3719"/>
      <c r="H5" s="3719">
        <f t="shared" si="0"/>
        <v>5110</v>
      </c>
      <c r="I5" s="3718">
        <f t="shared" si="1"/>
        <v>2.2380182807990295E-2</v>
      </c>
    </row>
    <row r="6" spans="1:20" ht="15" thickBot="1">
      <c r="A6" s="3720" t="s">
        <v>2461</v>
      </c>
      <c r="B6" s="3719"/>
      <c r="C6" s="3719">
        <v>1781</v>
      </c>
      <c r="D6" s="3719">
        <v>730</v>
      </c>
      <c r="E6" s="3719"/>
      <c r="F6" s="3719"/>
      <c r="G6" s="3719"/>
      <c r="H6" s="3719">
        <f t="shared" si="0"/>
        <v>2511</v>
      </c>
      <c r="I6" s="3718">
        <f t="shared" si="1"/>
        <v>1.099738532893613E-2</v>
      </c>
    </row>
    <row r="7" spans="1:20" ht="15" thickBot="1">
      <c r="A7" s="3720" t="s">
        <v>2460</v>
      </c>
      <c r="B7" s="3719"/>
      <c r="C7" s="3719">
        <v>4997</v>
      </c>
      <c r="D7" s="3719">
        <v>3628</v>
      </c>
      <c r="E7" s="3719"/>
      <c r="F7" s="3719"/>
      <c r="G7" s="3719"/>
      <c r="H7" s="3719">
        <f t="shared" si="0"/>
        <v>8625</v>
      </c>
      <c r="I7" s="3718">
        <f t="shared" si="1"/>
        <v>3.7774770395091251E-2</v>
      </c>
    </row>
    <row r="8" spans="1:20" ht="15" thickBot="1">
      <c r="A8" s="3720" t="s">
        <v>2459</v>
      </c>
      <c r="B8" s="3719"/>
      <c r="C8" s="3719"/>
      <c r="D8" s="3719">
        <v>1563</v>
      </c>
      <c r="E8" s="3719"/>
      <c r="F8" s="3719">
        <v>843</v>
      </c>
      <c r="G8" s="3719"/>
      <c r="H8" s="3719">
        <f t="shared" si="0"/>
        <v>2406</v>
      </c>
      <c r="I8" s="3718">
        <f t="shared" si="1"/>
        <v>1.0537518558908934E-2</v>
      </c>
    </row>
    <row r="9" spans="1:20" ht="15" thickBot="1">
      <c r="A9" s="3720" t="s">
        <v>2458</v>
      </c>
      <c r="B9" s="3719"/>
      <c r="C9" s="3719">
        <v>67703</v>
      </c>
      <c r="D9" s="3719">
        <v>17860</v>
      </c>
      <c r="E9" s="3719">
        <v>5</v>
      </c>
      <c r="F9" s="3719">
        <v>34</v>
      </c>
      <c r="G9" s="3719"/>
      <c r="H9" s="3719"/>
      <c r="I9" s="3718"/>
    </row>
    <row r="10" spans="1:20" ht="15" thickBot="1">
      <c r="A10" s="3720" t="s">
        <v>453</v>
      </c>
      <c r="B10" s="3719"/>
      <c r="C10" s="3719">
        <f>C11-(SUM(C3:C8))</f>
        <v>74310</v>
      </c>
      <c r="D10" s="3719">
        <f>D11-(SUM(D3:D8))</f>
        <v>23365</v>
      </c>
      <c r="E10" s="3719">
        <f>E11-(SUM(E3:E8))</f>
        <v>1658</v>
      </c>
      <c r="F10" s="3719">
        <f>F11-(SUM(F3:F8))</f>
        <v>396</v>
      </c>
      <c r="G10" s="3719">
        <f>G11-(SUM(G3:G8))</f>
        <v>3221</v>
      </c>
      <c r="H10" s="3719">
        <f>SUM(B10:G10)</f>
        <v>102950</v>
      </c>
      <c r="I10" s="3718">
        <f>+H10/$H$11</f>
        <v>0.45088841880285729</v>
      </c>
    </row>
    <row r="11" spans="1:20" ht="15" thickBot="1">
      <c r="A11" s="3716" t="s">
        <v>228</v>
      </c>
      <c r="B11" s="3717">
        <f>SUM(B3:B10)</f>
        <v>0</v>
      </c>
      <c r="C11" s="3717">
        <f>18608+4769+67703</f>
        <v>91080</v>
      </c>
      <c r="D11" s="3717">
        <f>15295+3515+17860</f>
        <v>36670</v>
      </c>
      <c r="E11" s="3717">
        <f>1105+558+5</f>
        <v>1668</v>
      </c>
      <c r="F11" s="3717">
        <f>847+358+34</f>
        <v>1239</v>
      </c>
      <c r="G11" s="3717">
        <f>24+96250+259+379+753+5</f>
        <v>97670</v>
      </c>
      <c r="H11" s="3717">
        <f>SUM(H3:H10)</f>
        <v>228327</v>
      </c>
      <c r="I11" s="3715">
        <f>SUM(I3:I10)</f>
        <v>1</v>
      </c>
    </row>
    <row r="12" spans="1:20" ht="15" thickBot="1">
      <c r="A12" s="3716" t="s">
        <v>2453</v>
      </c>
      <c r="B12" s="3715">
        <f t="shared" ref="B12:G12" si="2">+B11/$H$11</f>
        <v>0</v>
      </c>
      <c r="C12" s="3715">
        <f t="shared" si="2"/>
        <v>0.39890157537216359</v>
      </c>
      <c r="D12" s="3715">
        <f t="shared" si="2"/>
        <v>0.16060299482759377</v>
      </c>
      <c r="E12" s="3715">
        <f t="shared" si="2"/>
        <v>7.305312118146343E-3</v>
      </c>
      <c r="F12" s="3715">
        <f t="shared" si="2"/>
        <v>5.4264278863209343E-3</v>
      </c>
      <c r="G12" s="3715">
        <f t="shared" si="2"/>
        <v>0.42776368979577534</v>
      </c>
      <c r="H12" s="3714"/>
      <c r="I12" s="3713"/>
    </row>
    <row r="13" spans="1:20">
      <c r="A13" s="3712" t="s">
        <v>2457</v>
      </c>
      <c r="H13" s="3407"/>
    </row>
    <row r="14" spans="1:20">
      <c r="A14" s="3712" t="s">
        <v>2456</v>
      </c>
      <c r="B14" s="3723">
        <f>+'Resumen de Cifras'!D9</f>
        <v>0</v>
      </c>
      <c r="H14" s="3407"/>
    </row>
    <row r="15" spans="1:20" s="3722" customFormat="1" ht="15" thickBot="1">
      <c r="A15" s="3722" t="s">
        <v>2455</v>
      </c>
      <c r="C15" s="3722" t="s">
        <v>2455</v>
      </c>
      <c r="F15" s="3722" t="s">
        <v>2455</v>
      </c>
      <c r="K15" s="3722" t="s">
        <v>2455</v>
      </c>
      <c r="N15" s="3722" t="s">
        <v>2455</v>
      </c>
      <c r="Q15" s="3722" t="s">
        <v>2455</v>
      </c>
      <c r="T15" s="3722" t="s">
        <v>2455</v>
      </c>
    </row>
    <row r="16" spans="1:20" ht="26.5" thickBot="1">
      <c r="A16" s="3721" t="s">
        <v>2454</v>
      </c>
      <c r="B16" s="3721" t="str">
        <f>+CXC!B2</f>
        <v>Vigente</v>
      </c>
      <c r="C16" s="3721" t="str">
        <f>+CXC!C2</f>
        <v>Hasta 30 días</v>
      </c>
      <c r="D16" s="3721" t="str">
        <f>+CXC!D2</f>
        <v>Hasta 60 días</v>
      </c>
      <c r="E16" s="3721" t="str">
        <f>+CXC!E2</f>
        <v>Hasta 90 días</v>
      </c>
      <c r="F16" s="3721" t="str">
        <f>+CXC!F2</f>
        <v>Hasta 120 días</v>
      </c>
      <c r="G16" s="3721" t="str">
        <f>+CXC!G2</f>
        <v>Mas de 120 días</v>
      </c>
      <c r="H16" s="3721" t="s">
        <v>228</v>
      </c>
      <c r="I16" s="3721" t="str">
        <f>+I2</f>
        <v>%</v>
      </c>
    </row>
    <row r="17" spans="1:9" ht="15" thickBot="1">
      <c r="A17" s="3720" t="str">
        <f>+CXC!A3</f>
        <v>The Mens</v>
      </c>
      <c r="B17" s="3719" t="str">
        <f>IF(CXC!B3*'Resumen de Cifras'!D1=0,"",CXC!B3*'Resumen de Cifras'!D1)</f>
        <v/>
      </c>
      <c r="C17" s="3719">
        <f>IF(CXC!C3*'Resumen de Cifras'!D1=0,"",CXC!C3*'Resumen de Cifras'!D1)</f>
        <v>50.219430900580143</v>
      </c>
      <c r="D17" s="3719">
        <f>IF(CXC!D3*'Resumen de Cifras'!D1=0,"",CXC!D3*'Resumen de Cifras'!D1)</f>
        <v>19.080947876534086</v>
      </c>
      <c r="E17" s="3719" t="str">
        <f>IF(CXC!E3*'Resumen de Cifras'!D1=0,"",CXC!E3*'Resumen de Cifras'!D1)</f>
        <v/>
      </c>
      <c r="F17" s="3719" t="str">
        <f>IF(CXC!F3*'Resumen de Cifras'!D1=0,"",CXC!F3*'Resumen de Cifras'!D1)</f>
        <v/>
      </c>
      <c r="G17" s="3719">
        <f>IF(CXC!G3*'Resumen de Cifras'!D1=0,"",CXC!G3*'Resumen de Cifras'!D1)</f>
        <v>3834.4179701931234</v>
      </c>
      <c r="H17" s="3719">
        <f t="shared" ref="H17:H23" si="3">SUM(B17:G17)</f>
        <v>3903.7183489702375</v>
      </c>
      <c r="I17" s="3718">
        <f t="shared" ref="I17:I23" si="4">+H17/$H$24</f>
        <v>0.42113284894033554</v>
      </c>
    </row>
    <row r="18" spans="1:9" ht="15" thickBot="1">
      <c r="A18" s="3720" t="str">
        <f>+CXC!A4</f>
        <v>Highland</v>
      </c>
      <c r="B18" s="3719" t="str">
        <f>IF(CXC!B4*'Resumen de Cifras'!D1=0,"",CXC!B4*'Resumen de Cifras'!D1)</f>
        <v/>
      </c>
      <c r="C18" s="3719">
        <f>IF(CXC!C4*'Resumen de Cifras'!D1=0,"",CXC!C4*'Resumen de Cifras'!D1)</f>
        <v>159.38681141121879</v>
      </c>
      <c r="D18" s="3719">
        <f>IF(CXC!D4*'Resumen de Cifras'!D1=0,"",CXC!D4*'Resumen de Cifras'!D1)</f>
        <v>269.28495162776721</v>
      </c>
      <c r="E18" s="3719">
        <f>IF(CXC!E4*'Resumen de Cifras'!D1=0,"",CXC!E4*'Resumen de Cifras'!D1)</f>
        <v>0.40597761439434227</v>
      </c>
      <c r="F18" s="3719" t="str">
        <f>IF(CXC!F4*'Resumen de Cifras'!D1=0,"",CXC!F4*'Resumen de Cifras'!D1)</f>
        <v/>
      </c>
      <c r="G18" s="3719" t="str">
        <f>IF(CXC!G4*'Resumen de Cifras'!D1=0,"",CXC!G4*'Resumen de Cifras'!D1)</f>
        <v/>
      </c>
      <c r="H18" s="3719">
        <f t="shared" si="3"/>
        <v>429.07774065338032</v>
      </c>
      <c r="I18" s="3718">
        <f t="shared" si="4"/>
        <v>4.6288875165880504E-2</v>
      </c>
    </row>
    <row r="19" spans="1:9" ht="15" thickBot="1">
      <c r="A19" s="3720" t="str">
        <f>+CXC!A5</f>
        <v>VF Imagewear</v>
      </c>
      <c r="B19" s="3719" t="str">
        <f>IF(CXC!B5*'Resumen de Cifras'!D1=0,"",CXC!B5*'Resumen de Cifras'!D1)</f>
        <v/>
      </c>
      <c r="C19" s="3719">
        <f>IF(CXC!C5*'Resumen de Cifras'!D1=0,"",CXC!C5*'Resumen de Cifras'!D1)</f>
        <v>196.0465899910279</v>
      </c>
      <c r="D19" s="3719">
        <f>IF(CXC!D5*'Resumen de Cifras'!D1=0,"",CXC!D5*'Resumen de Cifras'!D1)</f>
        <v>11.407970964481018</v>
      </c>
      <c r="E19" s="3719" t="str">
        <f>IF(CXC!E5*'Resumen de Cifras'!D1=0,"",CXC!E5*'Resumen de Cifras'!D1)</f>
        <v/>
      </c>
      <c r="F19" s="3719" t="str">
        <f>IF(CXC!F5*'Resumen de Cifras'!D1=0,"",CXC!F5*'Resumen de Cifras'!D1)</f>
        <v/>
      </c>
      <c r="G19" s="3719" t="str">
        <f>IF(CXC!G5*'Resumen de Cifras'!D1=0,"",CXC!G5*'Resumen de Cifras'!D1)</f>
        <v/>
      </c>
      <c r="H19" s="3719">
        <f t="shared" si="3"/>
        <v>207.45456095550892</v>
      </c>
      <c r="I19" s="3718">
        <f t="shared" si="4"/>
        <v>2.2380182807990295E-2</v>
      </c>
    </row>
    <row r="20" spans="1:9" ht="15" thickBot="1">
      <c r="A20" s="3720" t="str">
        <f>+CXC!A6</f>
        <v>VF Jeanwera</v>
      </c>
      <c r="B20" s="3719" t="str">
        <f>IF(CXC!B6*'Resumen de Cifras'!D1=0,"",CXC!B6*'Resumen de Cifras'!D1)</f>
        <v/>
      </c>
      <c r="C20" s="3719">
        <f>IF(CXC!C6*'Resumen de Cifras'!D1=0,"",CXC!C6*'Resumen de Cifras'!D1)</f>
        <v>72.304613123632365</v>
      </c>
      <c r="D20" s="3719">
        <f>IF(CXC!D6*'Resumen de Cifras'!D1=0,"",CXC!D6*'Resumen de Cifras'!D1)</f>
        <v>29.636365850786987</v>
      </c>
      <c r="E20" s="3719" t="str">
        <f>IF(CXC!E6*'Resumen de Cifras'!D1=0,"",CXC!E6*'Resumen de Cifras'!D1)</f>
        <v/>
      </c>
      <c r="F20" s="3719" t="str">
        <f>IF(CXC!F6*'Resumen de Cifras'!D1=0,"",CXC!F6*'Resumen de Cifras'!D1)</f>
        <v/>
      </c>
      <c r="G20" s="3719" t="str">
        <f>IF(CXC!G6*'Resumen de Cifras'!D1=0,"",CXC!G6*'Resumen de Cifras'!D1)</f>
        <v/>
      </c>
      <c r="H20" s="3719">
        <f t="shared" si="3"/>
        <v>101.94097897441935</v>
      </c>
      <c r="I20" s="3718">
        <f t="shared" si="4"/>
        <v>1.099738532893613E-2</v>
      </c>
    </row>
    <row r="21" spans="1:9" ht="15" thickBot="1">
      <c r="A21" s="3720" t="str">
        <f>+CXC!A7</f>
        <v>Mashburn</v>
      </c>
      <c r="B21" s="3719" t="str">
        <f>IF(CXC!B7*'Resumen de Cifras'!D1=0,"",CXC!B7*'Resumen de Cifras'!D1)</f>
        <v/>
      </c>
      <c r="C21" s="3719">
        <f>IF(CXC!C7*'Resumen de Cifras'!D1=0,"",CXC!C7*'Resumen de Cifras'!D1)</f>
        <v>202.86701391285283</v>
      </c>
      <c r="D21" s="3719">
        <f>IF(CXC!D7*'Resumen de Cifras'!D1=0,"",CXC!D7*'Resumen de Cifras'!D1)</f>
        <v>147.28867850226737</v>
      </c>
      <c r="E21" s="3719" t="str">
        <f>IF(CXC!E7*'Resumen de Cifras'!D1=0,"",CXC!E7*'Resumen de Cifras'!D1)</f>
        <v/>
      </c>
      <c r="F21" s="3719" t="str">
        <f>IF(CXC!F7*'Resumen de Cifras'!D1=0,"",CXC!F7*'Resumen de Cifras'!D1)</f>
        <v/>
      </c>
      <c r="G21" s="3719" t="str">
        <f>IF(CXC!G7*'Resumen de Cifras'!D1=0,"",CXC!G7*'Resumen de Cifras'!D1)</f>
        <v/>
      </c>
      <c r="H21" s="3719">
        <f t="shared" si="3"/>
        <v>350.1556924151202</v>
      </c>
      <c r="I21" s="3718">
        <f t="shared" si="4"/>
        <v>3.7774770395091244E-2</v>
      </c>
    </row>
    <row r="22" spans="1:9" ht="15" thickBot="1">
      <c r="A22" s="3720" t="str">
        <f>+CXC!A8</f>
        <v>Stormy</v>
      </c>
      <c r="B22" s="3719" t="str">
        <f>IF(CXC!B8*'Resumen de Cifras'!D1=0,"",CXC!B8*'Resumen de Cifras'!D1)</f>
        <v/>
      </c>
      <c r="C22" s="3719" t="str">
        <f>IF(CXC!C8*'Resumen de Cifras'!D1=0,"",CXC!C8*'Resumen de Cifras'!D1)</f>
        <v/>
      </c>
      <c r="D22" s="3719">
        <f>IF(CXC!D8*'Resumen de Cifras'!D1=0,"",CXC!D8*'Resumen de Cifras'!D1)</f>
        <v>63.454301129835699</v>
      </c>
      <c r="E22" s="3719" t="str">
        <f>IF(CXC!E8*'Resumen de Cifras'!D1=0,"",CXC!E8*'Resumen de Cifras'!D1)</f>
        <v/>
      </c>
      <c r="F22" s="3719">
        <f>IF(CXC!F8*'Resumen de Cifras'!D1=0,"",CXC!F8*'Resumen de Cifras'!D1)</f>
        <v>34.223912893443057</v>
      </c>
      <c r="G22" s="3719" t="str">
        <f>IF(CXC!G8*'Resumen de Cifras'!D1=0,"",CXC!G8*'Resumen de Cifras'!D1)</f>
        <v/>
      </c>
      <c r="H22" s="3719">
        <f t="shared" si="3"/>
        <v>97.678214023278755</v>
      </c>
      <c r="I22" s="3718">
        <f t="shared" si="4"/>
        <v>1.0537518558908932E-2</v>
      </c>
    </row>
    <row r="23" spans="1:9" ht="15" thickBot="1">
      <c r="A23" s="3720" t="str">
        <f>+A10</f>
        <v>Otros</v>
      </c>
      <c r="B23" s="3719" t="str">
        <f>IF(CXC!B10*'Resumen de Cifras'!D1=0,"",CXC!B10*'Resumen de Cifras'!D1)</f>
        <v/>
      </c>
      <c r="C23" s="3719">
        <f>IF(CXC!C10*'Resumen de Cifras'!D1=0,"",CXC!C10*'Resumen de Cifras'!D1)</f>
        <v>3016.8196525643575</v>
      </c>
      <c r="D23" s="3719">
        <f>IF(CXC!D10*'Resumen de Cifras'!D1=0,"",CXC!D10*'Resumen de Cifras'!D1)</f>
        <v>948.56669603238072</v>
      </c>
      <c r="E23" s="3719">
        <f>IF(CXC!E10*'Resumen de Cifras'!D1=0,"",CXC!E10*'Resumen de Cifras'!D1)</f>
        <v>67.31108846658195</v>
      </c>
      <c r="F23" s="3719">
        <f>IF(CXC!F10*'Resumen de Cifras'!D1=0,"",CXC!F10*'Resumen de Cifras'!D1)</f>
        <v>16.076713530015954</v>
      </c>
      <c r="G23" s="3719">
        <f>IF(CXC!G10*'Resumen de Cifras'!D1=0,"",CXC!G10*'Resumen de Cifras'!D1)</f>
        <v>130.76538959641766</v>
      </c>
      <c r="H23" s="3719">
        <f t="shared" si="3"/>
        <v>4179.539540189754</v>
      </c>
      <c r="I23" s="3718">
        <f t="shared" si="4"/>
        <v>0.45088841880285729</v>
      </c>
    </row>
    <row r="24" spans="1:9" ht="15" thickBot="1">
      <c r="A24" s="3716" t="s">
        <v>228</v>
      </c>
      <c r="B24" s="3717">
        <f t="shared" ref="B24:H24" si="5">SUM(B17:B23)</f>
        <v>0</v>
      </c>
      <c r="C24" s="3717">
        <f t="shared" si="5"/>
        <v>3697.6441119036695</v>
      </c>
      <c r="D24" s="3717">
        <f t="shared" si="5"/>
        <v>1488.7199119840529</v>
      </c>
      <c r="E24" s="3717">
        <f t="shared" si="5"/>
        <v>67.717066080976295</v>
      </c>
      <c r="F24" s="3717">
        <f t="shared" si="5"/>
        <v>50.300626423459008</v>
      </c>
      <c r="G24" s="3717">
        <f t="shared" si="5"/>
        <v>3965.1833597895411</v>
      </c>
      <c r="H24" s="3717">
        <f t="shared" si="5"/>
        <v>9269.5650761816996</v>
      </c>
      <c r="I24" s="3715"/>
    </row>
    <row r="25" spans="1:9" ht="15" thickBot="1">
      <c r="A25" s="3716" t="s">
        <v>2453</v>
      </c>
      <c r="B25" s="3715">
        <f t="shared" ref="B25:G25" si="6">+B24/$H$24</f>
        <v>0</v>
      </c>
      <c r="C25" s="3715">
        <f t="shared" si="6"/>
        <v>0.39890157537216359</v>
      </c>
      <c r="D25" s="3715">
        <f t="shared" si="6"/>
        <v>0.16060299482759371</v>
      </c>
      <c r="E25" s="3715">
        <f t="shared" si="6"/>
        <v>7.3053121181463421E-3</v>
      </c>
      <c r="F25" s="3715">
        <f t="shared" si="6"/>
        <v>5.4264278863209343E-3</v>
      </c>
      <c r="G25" s="3715">
        <f t="shared" si="6"/>
        <v>0.42776368979577534</v>
      </c>
      <c r="H25" s="3714"/>
      <c r="I25" s="3713"/>
    </row>
    <row r="26" spans="1:9">
      <c r="A26" s="3712" t="s">
        <v>2452</v>
      </c>
    </row>
    <row r="30" spans="1:9">
      <c r="B30" s="3460"/>
      <c r="C30" s="3460"/>
      <c r="D30" s="3460"/>
    </row>
    <row r="31" spans="1:9">
      <c r="B31" s="3460"/>
      <c r="C31" s="3460"/>
      <c r="D31" s="3460"/>
    </row>
    <row r="32" spans="1:9">
      <c r="E32" s="3711"/>
      <c r="F32" s="3711"/>
      <c r="G32" s="3707"/>
    </row>
    <row r="33" spans="2:7">
      <c r="B33" s="3710" t="e">
        <f>VALUE(CONCATENATE(B31,B30))</f>
        <v>#VALUE!</v>
      </c>
      <c r="C33" s="3710" t="e">
        <f>VALUE(CONCATENATE(C31,C30))</f>
        <v>#VALUE!</v>
      </c>
      <c r="D33" s="3709">
        <f>VALUE(CONCATENATE(D35,0,D34))</f>
        <v>190001</v>
      </c>
      <c r="E33" s="3711"/>
      <c r="F33" s="3707"/>
      <c r="G33" s="3707"/>
    </row>
    <row r="34" spans="2:7">
      <c r="B34" s="3710"/>
      <c r="D34" s="3709">
        <f>MONTH(D31)</f>
        <v>1</v>
      </c>
      <c r="E34" s="3707"/>
      <c r="F34" s="3707"/>
      <c r="G34" s="3707"/>
    </row>
    <row r="35" spans="2:7">
      <c r="D35">
        <f>YEAR(D31)</f>
        <v>1900</v>
      </c>
      <c r="E35" s="3707"/>
      <c r="F35" s="3707"/>
      <c r="G35" s="3707"/>
    </row>
    <row r="36" spans="2:7">
      <c r="B36" s="3708"/>
      <c r="C36" s="3707"/>
      <c r="E36" s="3707"/>
      <c r="F36" s="3707"/>
      <c r="G36" s="3707"/>
    </row>
    <row r="37" spans="2:7">
      <c r="B37" s="3707"/>
      <c r="C37" s="3707"/>
      <c r="D37" s="3707"/>
      <c r="E37" s="3707"/>
      <c r="F37" s="3707"/>
      <c r="G37" s="3707"/>
    </row>
    <row r="38" spans="2:7">
      <c r="B38" s="3707"/>
      <c r="C38" s="3707"/>
      <c r="D38" s="3707"/>
      <c r="E38" s="3707"/>
      <c r="F38" s="3707"/>
      <c r="G38" s="3707"/>
    </row>
    <row r="39" spans="2:7">
      <c r="B39" s="3707"/>
      <c r="C39" s="3707"/>
      <c r="D39" s="3707"/>
      <c r="E39" s="3707"/>
      <c r="F39" s="3707"/>
      <c r="G39" s="3707"/>
    </row>
    <row r="40" spans="2:7">
      <c r="B40" s="3707"/>
      <c r="C40" s="3707"/>
      <c r="D40" s="3707"/>
      <c r="E40" s="3707"/>
      <c r="F40" s="3707"/>
      <c r="G40" s="3707"/>
    </row>
    <row r="41" spans="2:7">
      <c r="B41" s="3706"/>
      <c r="C41" s="3706"/>
      <c r="D41" s="3706"/>
      <c r="E41" s="3706"/>
      <c r="F41" s="3706"/>
      <c r="G41" s="3706"/>
    </row>
    <row r="42" spans="2:7">
      <c r="B42" s="3705"/>
      <c r="C42" s="3705"/>
      <c r="D42" s="3705"/>
      <c r="E42" s="3705"/>
      <c r="F42" s="3705"/>
      <c r="G42" s="3705"/>
    </row>
    <row r="43" spans="2:7">
      <c r="B43" s="3705"/>
      <c r="C43" s="3705"/>
      <c r="D43" s="3705"/>
      <c r="E43" s="3705"/>
      <c r="F43" s="3705"/>
      <c r="G43" s="3705"/>
    </row>
    <row r="44" spans="2:7">
      <c r="B44" s="3705"/>
      <c r="C44" s="3705"/>
      <c r="D44" s="3705"/>
      <c r="E44" s="3705"/>
      <c r="F44" s="3705"/>
      <c r="G44" s="3705"/>
    </row>
    <row r="45" spans="2:7">
      <c r="B45" s="3705"/>
      <c r="C45" s="3705"/>
      <c r="D45" s="3705"/>
      <c r="E45" s="3705"/>
      <c r="F45" s="3705"/>
      <c r="G45" s="3705"/>
    </row>
    <row r="46" spans="2:7">
      <c r="B46" s="3705"/>
      <c r="C46" s="3705"/>
      <c r="D46" s="3705"/>
      <c r="E46" s="3705"/>
      <c r="F46" s="3705"/>
      <c r="G46" s="3705"/>
    </row>
    <row r="47" spans="2:7">
      <c r="B47" s="3705"/>
      <c r="C47" s="3705"/>
      <c r="D47" s="3705"/>
      <c r="E47" s="3705"/>
      <c r="F47" s="3705"/>
      <c r="G47" s="3705"/>
    </row>
    <row r="48" spans="2:7">
      <c r="B48" s="3705"/>
      <c r="C48" s="3705"/>
      <c r="D48" s="3705"/>
      <c r="E48" s="3705"/>
      <c r="F48" s="3705"/>
      <c r="G48" s="3705"/>
    </row>
    <row r="49" spans="2:7">
      <c r="B49" s="3705"/>
      <c r="C49" s="3705"/>
      <c r="D49" s="3705"/>
      <c r="E49" s="3705"/>
      <c r="F49" s="3705"/>
      <c r="G49" s="3705"/>
    </row>
    <row r="50" spans="2:7">
      <c r="B50" s="3705"/>
      <c r="C50" s="3705"/>
      <c r="D50" s="3705"/>
      <c r="E50" s="3705"/>
      <c r="F50" s="3705"/>
      <c r="G50" s="3705"/>
    </row>
    <row r="51" spans="2:7">
      <c r="B51" s="3705"/>
      <c r="C51" s="3705"/>
      <c r="D51" s="3705"/>
      <c r="E51" s="3705"/>
      <c r="F51" s="3705"/>
      <c r="G51" s="3705"/>
    </row>
  </sheetData>
  <pageMargins left="0.7" right="0.7" top="0.75" bottom="0.75" header="0.3" footer="0.3"/>
  <pageSetup orientation="portrait" r:id="rId1"/>
  <legacyDrawing r:id="rId2"/>
</worksheet>
</file>

<file path=xl/worksheets/sheet43.xml><?xml version="1.0" encoding="utf-8"?>
<worksheet xmlns="http://schemas.openxmlformats.org/spreadsheetml/2006/main" xmlns:r="http://schemas.openxmlformats.org/officeDocument/2006/relationships">
  <sheetPr codeName="Hoja52"/>
  <dimension ref="A1:AA22"/>
  <sheetViews>
    <sheetView showGridLines="0" showRowColHeaders="0" zoomScale="85" zoomScaleNormal="85" workbookViewId="0"/>
  </sheetViews>
  <sheetFormatPr baseColWidth="10" defaultRowHeight="14.5"/>
  <cols>
    <col min="2" max="2" width="15.7265625" customWidth="1"/>
    <col min="3" max="3" width="3" customWidth="1"/>
    <col min="9" max="9" width="3" customWidth="1"/>
    <col min="10" max="10" width="11.54296875" customWidth="1"/>
    <col min="11" max="11" width="12.26953125" bestFit="1" customWidth="1"/>
    <col min="13" max="13" width="3" customWidth="1"/>
    <col min="18" max="18" width="24.7265625" customWidth="1"/>
    <col min="19" max="19" width="3" customWidth="1"/>
    <col min="20" max="20" width="20.453125" customWidth="1"/>
    <col min="23" max="23" width="3" customWidth="1"/>
    <col min="26" max="26" width="10.81640625" bestFit="1" customWidth="1"/>
  </cols>
  <sheetData>
    <row r="1" spans="1:27" s="3722" customFormat="1" ht="15" thickBot="1">
      <c r="A1" s="3722" t="s">
        <v>2471</v>
      </c>
      <c r="C1" s="3722" t="s">
        <v>2471</v>
      </c>
      <c r="F1" s="3722" t="s">
        <v>2471</v>
      </c>
      <c r="I1" s="3722" t="s">
        <v>2471</v>
      </c>
      <c r="M1" s="3722" t="s">
        <v>2471</v>
      </c>
      <c r="Q1" s="3722" t="s">
        <v>2471</v>
      </c>
      <c r="T1" s="3722" t="s">
        <v>2471</v>
      </c>
      <c r="W1" s="3722" t="s">
        <v>2471</v>
      </c>
      <c r="Z1" s="3722" t="s">
        <v>2471</v>
      </c>
    </row>
    <row r="2" spans="1:27" ht="26.5" thickBot="1">
      <c r="A2" s="3734" t="s">
        <v>868</v>
      </c>
      <c r="B2" s="3734" t="s">
        <v>2477</v>
      </c>
      <c r="J2" s="3734" t="s">
        <v>2477</v>
      </c>
      <c r="K2" s="3734" t="s">
        <v>2476</v>
      </c>
      <c r="L2" s="3734" t="s">
        <v>2475</v>
      </c>
      <c r="T2" s="3721" t="s">
        <v>2473</v>
      </c>
      <c r="U2" s="3721" t="s">
        <v>2474</v>
      </c>
      <c r="V2" s="3721" t="s">
        <v>2453</v>
      </c>
      <c r="X2" s="3734" t="s">
        <v>868</v>
      </c>
      <c r="Y2" s="3734" t="s">
        <v>2473</v>
      </c>
      <c r="Z2" s="3734" t="s">
        <v>2472</v>
      </c>
      <c r="AA2" s="3734" t="s">
        <v>2287</v>
      </c>
    </row>
    <row r="3" spans="1:27" ht="15" thickBot="1">
      <c r="A3" s="3739"/>
      <c r="B3" s="3738"/>
      <c r="J3" s="3732">
        <f>+A5</f>
        <v>2018</v>
      </c>
      <c r="K3" s="3726">
        <f>+'Resumen de Cifras'!B22</f>
        <v>0</v>
      </c>
      <c r="L3" s="3726" t="s">
        <v>2475</v>
      </c>
      <c r="T3" s="3720" t="s">
        <v>2480</v>
      </c>
      <c r="U3" s="3731">
        <v>160512</v>
      </c>
      <c r="V3" s="3718">
        <f>+U3/$U$6</f>
        <v>0.35716002242930761</v>
      </c>
      <c r="X3" s="3729">
        <f>+J3</f>
        <v>2018</v>
      </c>
      <c r="Y3" s="3738">
        <f>+B5</f>
        <v>0</v>
      </c>
      <c r="Z3" s="3738">
        <f>+'Estados Financieros'!$F$341</f>
        <v>0</v>
      </c>
      <c r="AA3" s="3728" t="e">
        <f>+Y3/Z3</f>
        <v>#DIV/0!</v>
      </c>
    </row>
    <row r="4" spans="1:27" ht="15" thickBot="1">
      <c r="A4" s="3737">
        <f>+Indicadores!B2</f>
        <v>2017</v>
      </c>
      <c r="B4" s="3738">
        <f>+Indicadores!B38+Indicadores!B40</f>
        <v>0</v>
      </c>
      <c r="J4" s="3732">
        <f>+A6</f>
        <v>2019</v>
      </c>
      <c r="K4" s="3726">
        <f>+'Resumen de Cifras'!C22</f>
        <v>0</v>
      </c>
      <c r="L4" s="3726">
        <f>+'Resumen de Cifras'!C27</f>
        <v>0</v>
      </c>
      <c r="T4" s="3720" t="s">
        <v>2479</v>
      </c>
      <c r="U4" s="3731">
        <f>113019+156383</f>
        <v>269402</v>
      </c>
      <c r="V4" s="3718">
        <f>+U4/$U$6</f>
        <v>0.59945439819141455</v>
      </c>
      <c r="X4" s="3729">
        <f>+J4</f>
        <v>2019</v>
      </c>
      <c r="Y4" s="3738">
        <f>+B6</f>
        <v>0</v>
      </c>
      <c r="Z4" s="3738">
        <f>+'Estados Financieros'!$G$341</f>
        <v>0</v>
      </c>
      <c r="AA4" s="3728" t="e">
        <f>+Y4/Z4</f>
        <v>#DIV/0!</v>
      </c>
    </row>
    <row r="5" spans="1:27" ht="15" thickBot="1">
      <c r="A5" s="3737">
        <f>+A4+1</f>
        <v>2018</v>
      </c>
      <c r="B5" s="3726">
        <f>+'Estados Financieros'!E196+'Estados Financieros'!E197+'Estados Financieros'!E198+'Estados Financieros'!E271+'Estados Financieros'!E272</f>
        <v>0</v>
      </c>
      <c r="J5" s="3727" t="str">
        <f>+A7</f>
        <v>Dic 19</v>
      </c>
      <c r="K5" s="3726">
        <f>+'Resumen de Cifras'!D22</f>
        <v>0</v>
      </c>
      <c r="L5" s="3726">
        <f>+'Resumen de Cifras'!D27</f>
        <v>0</v>
      </c>
      <c r="T5" s="3720" t="s">
        <v>2478</v>
      </c>
      <c r="U5" s="3731">
        <v>19498</v>
      </c>
      <c r="V5" s="3718">
        <f>+U5/$U$6</f>
        <v>4.3385579379277811E-2</v>
      </c>
      <c r="X5" s="3730" t="str">
        <f>+J5</f>
        <v>Dic 19</v>
      </c>
      <c r="Y5" s="3738">
        <f>+B7</f>
        <v>0</v>
      </c>
      <c r="Z5" s="3738">
        <f>+'Estados Financieros'!$H$341</f>
        <v>0</v>
      </c>
      <c r="AA5" s="3728" t="e">
        <f>+Y5/Z5</f>
        <v>#DIV/0!</v>
      </c>
    </row>
    <row r="6" spans="1:27" ht="15" thickBot="1">
      <c r="A6" s="3737">
        <f>+A5+1</f>
        <v>2019</v>
      </c>
      <c r="B6" s="3726">
        <f>+'Estados Financieros'!F196+'Estados Financieros'!F197+'Estados Financieros'!F198+'Estados Financieros'!F271+'Estados Financieros'!F272</f>
        <v>0</v>
      </c>
      <c r="T6" s="3716" t="s">
        <v>228</v>
      </c>
      <c r="U6" s="3717">
        <f>SUM(U3:U5)</f>
        <v>449412</v>
      </c>
      <c r="V6" s="3715">
        <f>SUM(V3:V5)</f>
        <v>0.99999999999999989</v>
      </c>
    </row>
    <row r="7" spans="1:27" ht="15" thickBot="1">
      <c r="A7" s="3736" t="str">
        <f>+Indicadores!E2</f>
        <v>Dic 19</v>
      </c>
      <c r="B7" s="3726">
        <f>+'Estados Financieros'!G196+'Estados Financieros'!G197+'Estados Financieros'!G198+'Estados Financieros'!G271+'Estados Financieros'!G272</f>
        <v>0</v>
      </c>
      <c r="T7" s="3712" t="s">
        <v>2457</v>
      </c>
      <c r="X7">
        <v>285468</v>
      </c>
    </row>
    <row r="8" spans="1:27">
      <c r="X8" s="3407">
        <f>+U6-X7</f>
        <v>163944</v>
      </c>
    </row>
    <row r="10" spans="1:27">
      <c r="X10" t="s">
        <v>2456</v>
      </c>
      <c r="Z10" s="3735">
        <f>+'Resumen de Cifras'!D22+'Resumen de Cifras'!D27</f>
        <v>0</v>
      </c>
    </row>
    <row r="12" spans="1:27" s="3722" customFormat="1" ht="15" thickBot="1">
      <c r="A12" s="3722" t="s">
        <v>2455</v>
      </c>
      <c r="C12" s="3722" t="s">
        <v>2455</v>
      </c>
      <c r="F12" s="3722" t="s">
        <v>2455</v>
      </c>
      <c r="I12" s="3722" t="s">
        <v>2455</v>
      </c>
      <c r="M12" s="3722" t="s">
        <v>2455</v>
      </c>
      <c r="Q12" s="3722" t="s">
        <v>2455</v>
      </c>
      <c r="T12" s="3722" t="s">
        <v>2455</v>
      </c>
      <c r="W12" s="3722" t="s">
        <v>2455</v>
      </c>
      <c r="Z12" s="3722" t="s">
        <v>2455</v>
      </c>
    </row>
    <row r="13" spans="1:27" ht="26.5" thickBot="1">
      <c r="A13" s="3734" t="str">
        <f>+A2</f>
        <v>Año</v>
      </c>
      <c r="B13" s="3734" t="str">
        <f>+B2</f>
        <v>Deuda Bancaria</v>
      </c>
      <c r="J13" s="3734" t="s">
        <v>2477</v>
      </c>
      <c r="K13" s="3734" t="s">
        <v>2476</v>
      </c>
      <c r="L13" s="3734" t="s">
        <v>2475</v>
      </c>
      <c r="T13" s="3721" t="s">
        <v>2473</v>
      </c>
      <c r="U13" s="3721" t="s">
        <v>2474</v>
      </c>
      <c r="V13" s="3721" t="s">
        <v>2453</v>
      </c>
      <c r="X13" s="3734" t="s">
        <v>868</v>
      </c>
      <c r="Y13" s="3734" t="s">
        <v>2473</v>
      </c>
      <c r="Z13" s="3734" t="s">
        <v>2472</v>
      </c>
      <c r="AA13" s="3734" t="s">
        <v>2287</v>
      </c>
    </row>
    <row r="14" spans="1:27" ht="15" thickBot="1">
      <c r="A14" s="3733">
        <f>+A4</f>
        <v>2017</v>
      </c>
      <c r="B14" s="3726">
        <f>+'Deuda Finan'!B4*'Resumen de Cifras'!D1</f>
        <v>0</v>
      </c>
      <c r="J14" s="3732">
        <f>+J3</f>
        <v>2018</v>
      </c>
      <c r="K14" s="3732">
        <f>+K3*'Resumen de Cifras'!D1</f>
        <v>0</v>
      </c>
      <c r="L14" s="3732" t="e">
        <f>+L3*'Resumen de Cifras'!D1</f>
        <v>#VALUE!</v>
      </c>
      <c r="T14" s="3720" t="str">
        <f>+T3</f>
        <v>Ficohsa</v>
      </c>
      <c r="U14" s="3731">
        <f>+U3*'Resumen de Cifras'!$D$1</f>
        <v>6516.4278841664673</v>
      </c>
      <c r="V14" s="3718">
        <f>+U14/$U$17</f>
        <v>0.35716002242930767</v>
      </c>
      <c r="X14" s="3729">
        <f>+J14</f>
        <v>2018</v>
      </c>
      <c r="Y14" s="3729">
        <f>+B15</f>
        <v>0</v>
      </c>
      <c r="Z14" s="3729">
        <f>+Z3*'Resumen de Cifras'!D1</f>
        <v>0</v>
      </c>
      <c r="AA14" s="3728" t="e">
        <f>+Y14/Z14</f>
        <v>#DIV/0!</v>
      </c>
    </row>
    <row r="15" spans="1:27" ht="15" thickBot="1">
      <c r="A15" s="3733">
        <f>+A5</f>
        <v>2018</v>
      </c>
      <c r="B15" s="3726">
        <f>+'Deuda Finan'!B5*'Resumen de Cifras'!D1</f>
        <v>0</v>
      </c>
      <c r="J15" s="3732">
        <f>+J4</f>
        <v>2019</v>
      </c>
      <c r="K15" s="3732">
        <f>+K4*'Resumen de Cifras'!D1</f>
        <v>0</v>
      </c>
      <c r="L15" s="3732">
        <f>+L4*'Resumen de Cifras'!D1</f>
        <v>0</v>
      </c>
      <c r="T15" s="3720" t="str">
        <f>+T4</f>
        <v>Davivienda</v>
      </c>
      <c r="U15" s="3731">
        <f>+U4*'Resumen de Cifras'!$D$1</f>
        <v>10937.118127306459</v>
      </c>
      <c r="V15" s="3718">
        <f>+U15/$U$17</f>
        <v>0.59945439819141455</v>
      </c>
      <c r="X15" s="3729">
        <f>+J15</f>
        <v>2019</v>
      </c>
      <c r="Y15" s="3729">
        <f>+B16</f>
        <v>0</v>
      </c>
      <c r="Z15" s="3729">
        <f>+Z4*'Resumen de Cifras'!D1</f>
        <v>0</v>
      </c>
      <c r="AA15" s="3728" t="e">
        <f>+Y15/Z15</f>
        <v>#DIV/0!</v>
      </c>
    </row>
    <row r="16" spans="1:27" ht="15" thickBot="1">
      <c r="A16" s="3733">
        <f>+A6</f>
        <v>2019</v>
      </c>
      <c r="B16" s="3726">
        <f>+'Deuda Finan'!B6*'Resumen de Cifras'!D1</f>
        <v>0</v>
      </c>
      <c r="J16" s="3727" t="str">
        <f>+J5</f>
        <v>Dic 19</v>
      </c>
      <c r="K16" s="3732">
        <f>+K5*'Resumen de Cifras'!D1</f>
        <v>0</v>
      </c>
      <c r="L16" s="3732">
        <f>+L5*'Resumen de Cifras'!D1</f>
        <v>0</v>
      </c>
      <c r="T16" s="3720" t="str">
        <f>+T5</f>
        <v>Northern Trust</v>
      </c>
      <c r="U16" s="3731">
        <f>+U5*'Resumen de Cifras'!$D$1</f>
        <v>791.57515254608859</v>
      </c>
      <c r="V16" s="3718">
        <f>+U16/$U$17</f>
        <v>4.3385579379277811E-2</v>
      </c>
      <c r="X16" s="3730" t="str">
        <f>+J16</f>
        <v>Dic 19</v>
      </c>
      <c r="Y16" s="3729">
        <f>+B17</f>
        <v>0</v>
      </c>
      <c r="Z16" s="3729">
        <f>+Z5*'Resumen de Cifras'!D1</f>
        <v>0</v>
      </c>
      <c r="AA16" s="3728" t="e">
        <f>+Y16/Z16</f>
        <v>#DIV/0!</v>
      </c>
    </row>
    <row r="17" spans="1:22" ht="15" thickBot="1">
      <c r="A17" s="3727" t="str">
        <f>+A7</f>
        <v>Dic 19</v>
      </c>
      <c r="B17" s="3726">
        <f>+'Deuda Finan'!B7*'Resumen de Cifras'!D1</f>
        <v>0</v>
      </c>
      <c r="T17" s="3716" t="s">
        <v>228</v>
      </c>
      <c r="U17" s="3725">
        <f>SUM(U14:U16)</f>
        <v>18245.121164019016</v>
      </c>
      <c r="V17" s="3715">
        <f>SUM(V14:V16)</f>
        <v>1</v>
      </c>
    </row>
    <row r="18" spans="1:22">
      <c r="T18" s="3712" t="s">
        <v>2452</v>
      </c>
    </row>
    <row r="22" spans="1:22">
      <c r="B22" s="3724"/>
    </row>
  </sheetData>
  <conditionalFormatting sqref="AA3">
    <cfRule type="expression" dxfId="68" priority="6">
      <formula>"&gt;3"</formula>
    </cfRule>
  </conditionalFormatting>
  <conditionalFormatting sqref="AA4">
    <cfRule type="expression" dxfId="67" priority="5">
      <formula>"&gt;3"</formula>
    </cfRule>
  </conditionalFormatting>
  <conditionalFormatting sqref="AA5">
    <cfRule type="expression" dxfId="66" priority="4">
      <formula>"&gt;3"</formula>
    </cfRule>
  </conditionalFormatting>
  <conditionalFormatting sqref="AA14">
    <cfRule type="expression" dxfId="65" priority="3">
      <formula>"&gt;3"</formula>
    </cfRule>
  </conditionalFormatting>
  <conditionalFormatting sqref="AA15">
    <cfRule type="expression" dxfId="64" priority="2">
      <formula>"&gt;3"</formula>
    </cfRule>
  </conditionalFormatting>
  <conditionalFormatting sqref="AA16">
    <cfRule type="expression" dxfId="63" priority="1">
      <formula>"&gt;3"</formula>
    </cfRule>
  </conditionalFormatting>
  <pageMargins left="0.7" right="0.7" top="0.75" bottom="0.75" header="0.3" footer="0.3"/>
  <pageSetup orientation="portrait" r:id="rId1"/>
  <drawing r:id="rId2"/>
  <legacyDrawing r:id="rId3"/>
</worksheet>
</file>

<file path=xl/worksheets/sheet44.xml><?xml version="1.0" encoding="utf-8"?>
<worksheet xmlns="http://schemas.openxmlformats.org/spreadsheetml/2006/main" xmlns:r="http://schemas.openxmlformats.org/officeDocument/2006/relationships">
  <sheetPr codeName="Hoja53"/>
  <dimension ref="A1:X158"/>
  <sheetViews>
    <sheetView showGridLines="0" zoomScale="90" zoomScaleNormal="90" workbookViewId="0">
      <selection activeCell="G1" sqref="G1"/>
    </sheetView>
  </sheetViews>
  <sheetFormatPr baseColWidth="10" defaultColWidth="11.453125" defaultRowHeight="13"/>
  <cols>
    <col min="1" max="1" width="54.81640625" style="3740" customWidth="1"/>
    <col min="2" max="6" width="10.7265625" style="3740" customWidth="1"/>
    <col min="7" max="7" width="3.1796875" style="3740" customWidth="1"/>
    <col min="8" max="8" width="46.81640625" style="3740" bestFit="1" customWidth="1"/>
    <col min="9" max="13" width="11.1796875" style="3740" hidden="1" customWidth="1"/>
    <col min="14" max="14" width="12.453125" style="3740" customWidth="1"/>
    <col min="15" max="15" width="11.1796875" style="3740" customWidth="1"/>
    <col min="16" max="16" width="11.453125" style="3740"/>
    <col min="17" max="17" width="26.26953125" style="3740" customWidth="1"/>
    <col min="18" max="22" width="0" style="3740" hidden="1" customWidth="1"/>
    <col min="23" max="23" width="14.1796875" style="3740" customWidth="1"/>
    <col min="24" max="16384" width="11.453125" style="3740"/>
  </cols>
  <sheetData>
    <row r="1" spans="1:24" s="3746" customFormat="1" ht="13.5" thickBot="1">
      <c r="A1" s="4058" t="s">
        <v>2551</v>
      </c>
      <c r="B1" s="4058"/>
      <c r="C1" s="4058"/>
      <c r="D1" s="4058"/>
      <c r="E1" s="4058"/>
      <c r="F1" s="4058"/>
      <c r="G1" s="3740"/>
      <c r="H1" s="4058" t="s">
        <v>1593</v>
      </c>
      <c r="I1" s="4058"/>
      <c r="J1" s="4058"/>
      <c r="K1" s="4058"/>
      <c r="L1" s="4058"/>
      <c r="M1" s="4058"/>
      <c r="N1" s="4058"/>
      <c r="O1" s="4058"/>
      <c r="Q1" s="4058" t="s">
        <v>1593</v>
      </c>
      <c r="R1" s="4058"/>
      <c r="S1" s="4058"/>
      <c r="T1" s="4058"/>
      <c r="U1" s="4058"/>
      <c r="V1" s="4058"/>
      <c r="W1" s="4058"/>
      <c r="X1" s="4058"/>
    </row>
    <row r="2" spans="1:24" s="3746" customFormat="1" ht="13.5" thickBot="1">
      <c r="A2" s="3759" t="s">
        <v>2526</v>
      </c>
      <c r="B2" s="3757">
        <f>+'Estados Financieros'!$E$4</f>
        <v>2017</v>
      </c>
      <c r="C2" s="3757">
        <f>+B2+1</f>
        <v>2018</v>
      </c>
      <c r="D2" s="3757">
        <f>+C2+1</f>
        <v>2019</v>
      </c>
      <c r="E2" s="3760" t="str">
        <f>+'Resumen de Cifras'!D5</f>
        <v>Dic 19</v>
      </c>
      <c r="F2" s="3757" t="s">
        <v>2361</v>
      </c>
      <c r="G2" s="3740"/>
      <c r="H2" s="4059" t="s">
        <v>2550</v>
      </c>
      <c r="I2" s="3773">
        <f>+B2</f>
        <v>2017</v>
      </c>
      <c r="J2" s="4061">
        <f>+C2</f>
        <v>2018</v>
      </c>
      <c r="K2" s="4062"/>
      <c r="L2" s="4061">
        <f>+D2</f>
        <v>2019</v>
      </c>
      <c r="M2" s="4062"/>
      <c r="N2" s="4063" t="str">
        <f>+E2</f>
        <v>Dic 19</v>
      </c>
      <c r="O2" s="4062"/>
      <c r="Q2" s="4059" t="s">
        <v>2550</v>
      </c>
      <c r="R2" s="3773">
        <f>+K2</f>
        <v>0</v>
      </c>
      <c r="S2" s="4061">
        <f>+L2</f>
        <v>2019</v>
      </c>
      <c r="T2" s="4062"/>
      <c r="U2" s="4061">
        <f>+M2</f>
        <v>0</v>
      </c>
      <c r="V2" s="4062"/>
      <c r="W2" s="4063" t="str">
        <f>+N2</f>
        <v>Dic 19</v>
      </c>
      <c r="X2" s="4062"/>
    </row>
    <row r="3" spans="1:24" ht="13.5" thickBot="1">
      <c r="A3" s="3771" t="s">
        <v>2547</v>
      </c>
      <c r="B3" s="3750">
        <f>+'Estados Financieros'!E385+'Estados Financieros'!E386</f>
        <v>0</v>
      </c>
      <c r="C3" s="3750">
        <f>+'Estados Financieros'!F385+'Estados Financieros'!F386</f>
        <v>0</v>
      </c>
      <c r="D3" s="3750">
        <f>+'Estados Financieros'!G385+'Estados Financieros'!G386</f>
        <v>0</v>
      </c>
      <c r="E3" s="3750">
        <f>+'Estados Financieros'!H385+'Estados Financieros'!H386</f>
        <v>0</v>
      </c>
      <c r="F3" s="3750">
        <f t="shared" ref="F3:F11" si="0">AVERAGE(B3:E3)</f>
        <v>0</v>
      </c>
      <c r="H3" s="4060"/>
      <c r="I3" s="3772" t="s">
        <v>2549</v>
      </c>
      <c r="J3" s="3772" t="s">
        <v>2549</v>
      </c>
      <c r="K3" s="3772" t="s">
        <v>2548</v>
      </c>
      <c r="L3" s="3772" t="s">
        <v>2549</v>
      </c>
      <c r="M3" s="3772" t="s">
        <v>2548</v>
      </c>
      <c r="N3" s="3772" t="s">
        <v>40</v>
      </c>
      <c r="O3" s="3772" t="s">
        <v>1605</v>
      </c>
      <c r="Q3" s="4060"/>
      <c r="R3" s="3772" t="s">
        <v>2549</v>
      </c>
      <c r="S3" s="3772" t="s">
        <v>2549</v>
      </c>
      <c r="T3" s="3772" t="s">
        <v>2548</v>
      </c>
      <c r="U3" s="3772" t="s">
        <v>2549</v>
      </c>
      <c r="V3" s="3772" t="s">
        <v>2548</v>
      </c>
      <c r="W3" s="3772" t="s">
        <v>40</v>
      </c>
      <c r="X3" s="3772" t="s">
        <v>1605</v>
      </c>
    </row>
    <row r="4" spans="1:24" s="3746" customFormat="1" ht="13.5" thickBot="1">
      <c r="A4" s="3771" t="s">
        <v>2547</v>
      </c>
      <c r="B4" s="3770">
        <f>+'Balances y Proyecciones'!$E439</f>
        <v>0</v>
      </c>
      <c r="C4" s="3770">
        <f>+'Balances y Proyecciones'!$H439</f>
        <v>0</v>
      </c>
      <c r="D4" s="3770">
        <f>+'Balances y Proyecciones'!$N439</f>
        <v>0</v>
      </c>
      <c r="E4" s="3770">
        <f>+'Balances y Proyecciones'!$Q439</f>
        <v>0</v>
      </c>
      <c r="F4" s="3770">
        <f t="shared" si="0"/>
        <v>0</v>
      </c>
      <c r="G4" s="3740"/>
      <c r="H4" s="3769" t="s">
        <v>2546</v>
      </c>
      <c r="I4" s="3767">
        <v>1000</v>
      </c>
      <c r="J4" s="3767">
        <v>500</v>
      </c>
      <c r="K4" s="3766">
        <f>+(J4-I4)/I4</f>
        <v>-0.5</v>
      </c>
      <c r="L4" s="3767">
        <v>800</v>
      </c>
      <c r="M4" s="3766">
        <f>+(L4-J4)/J4</f>
        <v>0.6</v>
      </c>
      <c r="N4" s="3767">
        <v>896515</v>
      </c>
      <c r="O4" s="3766">
        <f t="shared" ref="O4:O14" si="1">+N4/$N$15</f>
        <v>0.8144879214325299</v>
      </c>
      <c r="Q4" s="3769" t="s">
        <v>2546</v>
      </c>
      <c r="R4" s="3767">
        <v>1000</v>
      </c>
      <c r="S4" s="3767">
        <v>500</v>
      </c>
      <c r="T4" s="3766">
        <f>+(S4-R4)/R4</f>
        <v>-0.5</v>
      </c>
      <c r="U4" s="3767">
        <v>800</v>
      </c>
      <c r="V4" s="3766">
        <f>+(U4-S4)/S4</f>
        <v>0.6</v>
      </c>
      <c r="W4" s="3767">
        <f>+N4*'Resumen de Cifras'!$B$1</f>
        <v>36396.502096874377</v>
      </c>
      <c r="X4" s="3766">
        <f t="shared" ref="X4:X14" si="2">+W4/$W$15</f>
        <v>0.8144879214325299</v>
      </c>
    </row>
    <row r="5" spans="1:24" ht="13.5" thickBot="1">
      <c r="A5" s="3771" t="s">
        <v>1487</v>
      </c>
      <c r="B5" s="3770">
        <f>'Estados Financieros'!Q456</f>
        <v>0</v>
      </c>
      <c r="C5" s="3770">
        <f>'Estados Financieros'!R456</f>
        <v>0</v>
      </c>
      <c r="D5" s="3770">
        <f>'Estados Financieros'!S456</f>
        <v>0</v>
      </c>
      <c r="E5" s="3770">
        <f>'Estados Financieros'!T456</f>
        <v>0</v>
      </c>
      <c r="F5" s="3770">
        <f t="shared" si="0"/>
        <v>0</v>
      </c>
      <c r="H5" s="3769" t="s">
        <v>2545</v>
      </c>
      <c r="I5" s="3767">
        <v>2000</v>
      </c>
      <c r="J5" s="3767">
        <v>100</v>
      </c>
      <c r="K5" s="3766">
        <f>+(J5-I5)/I5</f>
        <v>-0.95</v>
      </c>
      <c r="L5" s="3767">
        <v>750</v>
      </c>
      <c r="M5" s="3766">
        <f>+(L5-J5)/J5</f>
        <v>6.5</v>
      </c>
      <c r="N5" s="3767">
        <v>78124</v>
      </c>
      <c r="O5" s="3766">
        <f t="shared" si="1"/>
        <v>7.097600639587176E-2</v>
      </c>
      <c r="Q5" s="3769" t="s">
        <v>2545</v>
      </c>
      <c r="R5" s="3767">
        <v>2000</v>
      </c>
      <c r="S5" s="3767">
        <v>100</v>
      </c>
      <c r="T5" s="3766">
        <f>+(S5-R5)/R5</f>
        <v>-0.95</v>
      </c>
      <c r="U5" s="3767">
        <v>750</v>
      </c>
      <c r="V5" s="3766">
        <f>+(U5-S5)/S5</f>
        <v>6.5</v>
      </c>
      <c r="W5" s="3767">
        <f>+N5*'Resumen de Cifras'!$B$1</f>
        <v>3171.6595146943596</v>
      </c>
      <c r="X5" s="3766">
        <f t="shared" si="2"/>
        <v>7.097600639587176E-2</v>
      </c>
    </row>
    <row r="6" spans="1:24" ht="13.5" thickBot="1">
      <c r="A6" s="3771" t="s">
        <v>2544</v>
      </c>
      <c r="B6" s="3770" t="str">
        <f>IFERROR('Estados Financieros'!E387/('Estados Financieros'!E385+'Estados Financieros'!E386),"N/A")</f>
        <v>N/A</v>
      </c>
      <c r="C6" s="3770" t="e">
        <f>+'Estados Financieros'!F387/('Estados Financieros'!F385+'Estados Financieros'!F386)</f>
        <v>#DIV/0!</v>
      </c>
      <c r="D6" s="3770" t="e">
        <f>+'Estados Financieros'!G387/('Estados Financieros'!G385+'Estados Financieros'!G386)</f>
        <v>#DIV/0!</v>
      </c>
      <c r="E6" s="3770" t="e">
        <f>+'Estados Financieros'!H387/('Estados Financieros'!H385+'Estados Financieros'!H386)</f>
        <v>#DIV/0!</v>
      </c>
      <c r="F6" s="3770" t="e">
        <f t="shared" si="0"/>
        <v>#DIV/0!</v>
      </c>
      <c r="H6" s="3769" t="s">
        <v>2460</v>
      </c>
      <c r="I6" s="3767">
        <v>3000</v>
      </c>
      <c r="J6" s="3767">
        <v>1500</v>
      </c>
      <c r="K6" s="3766">
        <f>+(J6-I6)/I6</f>
        <v>-0.5</v>
      </c>
      <c r="L6" s="3767">
        <v>930</v>
      </c>
      <c r="M6" s="3766">
        <f>+(L6-J6)/J6</f>
        <v>-0.38</v>
      </c>
      <c r="N6" s="3767">
        <v>41225</v>
      </c>
      <c r="O6" s="3766">
        <f t="shared" si="1"/>
        <v>3.7453098454633828E-2</v>
      </c>
      <c r="Q6" s="3769" t="s">
        <v>2460</v>
      </c>
      <c r="R6" s="3767">
        <v>3000</v>
      </c>
      <c r="S6" s="3767">
        <v>1500</v>
      </c>
      <c r="T6" s="3766">
        <f>+(S6-R6)/R6</f>
        <v>-0.5</v>
      </c>
      <c r="U6" s="3767">
        <v>930</v>
      </c>
      <c r="V6" s="3766">
        <f>+(U6-S6)/S6</f>
        <v>-0.38</v>
      </c>
      <c r="W6" s="3767">
        <f>+N6*'Resumen de Cifras'!$B$1</f>
        <v>1673.642715340676</v>
      </c>
      <c r="X6" s="3766">
        <f t="shared" si="2"/>
        <v>3.7453098454633828E-2</v>
      </c>
    </row>
    <row r="7" spans="1:24" ht="13.5" thickBot="1">
      <c r="A7" s="3771" t="s">
        <v>878</v>
      </c>
      <c r="B7" s="3770" t="str">
        <f>IFERROR(100%-B6,"N/A")</f>
        <v>N/A</v>
      </c>
      <c r="C7" s="3770" t="e">
        <f>100%-C6</f>
        <v>#DIV/0!</v>
      </c>
      <c r="D7" s="3770" t="e">
        <f>100%-D6</f>
        <v>#DIV/0!</v>
      </c>
      <c r="E7" s="3770" t="e">
        <f>100%-E6</f>
        <v>#DIV/0!</v>
      </c>
      <c r="F7" s="3770" t="e">
        <f t="shared" si="0"/>
        <v>#DIV/0!</v>
      </c>
      <c r="H7" s="3769" t="s">
        <v>2490</v>
      </c>
      <c r="I7" s="3767">
        <v>4000</v>
      </c>
      <c r="J7" s="3767">
        <v>3500</v>
      </c>
      <c r="K7" s="3766">
        <f>+(J7-I7)/I7</f>
        <v>-0.125</v>
      </c>
      <c r="L7" s="3767">
        <v>1500</v>
      </c>
      <c r="M7" s="3766">
        <f>+(L7-J7)/J7</f>
        <v>-0.5714285714285714</v>
      </c>
      <c r="N7" s="3767">
        <v>27925</v>
      </c>
      <c r="O7" s="3766">
        <f t="shared" si="1"/>
        <v>2.5369988461992714E-2</v>
      </c>
      <c r="Q7" s="3769" t="s">
        <v>2490</v>
      </c>
      <c r="R7" s="3767">
        <v>4000</v>
      </c>
      <c r="S7" s="3767">
        <v>3500</v>
      </c>
      <c r="T7" s="3766">
        <f>+(S7-R7)/R7</f>
        <v>-0.125</v>
      </c>
      <c r="U7" s="3767">
        <v>1500</v>
      </c>
      <c r="V7" s="3766">
        <f>+(U7-S7)/S7</f>
        <v>-0.5714285714285714</v>
      </c>
      <c r="W7" s="3767">
        <f>+N7*'Resumen de Cifras'!$B$1</f>
        <v>1133.6924881962009</v>
      </c>
      <c r="X7" s="3766">
        <f t="shared" si="2"/>
        <v>2.5369988461992714E-2</v>
      </c>
    </row>
    <row r="8" spans="1:24" ht="13.5" thickBot="1">
      <c r="A8" s="3771" t="s">
        <v>2543</v>
      </c>
      <c r="B8" s="3770" t="str">
        <f>IFERROR(('Estados Financieros'!E423+'Estados Financieros'!E406)/('Estados Financieros'!E385+'Estados Financieros'!E386),"N/A")</f>
        <v>N/A</v>
      </c>
      <c r="C8" s="3770" t="e">
        <f>+('Estados Financieros'!F423+'Estados Financieros'!F406)/('Estados Financieros'!F385+'Estados Financieros'!F386)</f>
        <v>#DIV/0!</v>
      </c>
      <c r="D8" s="3770" t="e">
        <f>+('Estados Financieros'!G423+'Estados Financieros'!G406)/('Estados Financieros'!G385+'Estados Financieros'!G386)</f>
        <v>#DIV/0!</v>
      </c>
      <c r="E8" s="3770" t="e">
        <f>+('Estados Financieros'!H423+'Estados Financieros'!H406)/('Estados Financieros'!H385+'Estados Financieros'!H386)</f>
        <v>#DIV/0!</v>
      </c>
      <c r="F8" s="3770" t="e">
        <f t="shared" si="0"/>
        <v>#DIV/0!</v>
      </c>
      <c r="H8" s="3769" t="s">
        <v>2542</v>
      </c>
      <c r="I8" s="3767"/>
      <c r="J8" s="3767"/>
      <c r="K8" s="3768"/>
      <c r="L8" s="3767"/>
      <c r="M8" s="3768"/>
      <c r="N8" s="3767">
        <v>22667</v>
      </c>
      <c r="O8" s="3766">
        <f t="shared" si="1"/>
        <v>2.0593071744601212E-2</v>
      </c>
      <c r="Q8" s="3769" t="s">
        <v>2542</v>
      </c>
      <c r="R8" s="3767"/>
      <c r="S8" s="3767"/>
      <c r="T8" s="3768"/>
      <c r="U8" s="3767"/>
      <c r="V8" s="3768"/>
      <c r="W8" s="3767">
        <f>+N8*'Resumen de Cifras'!$B$1</f>
        <v>920.22945854765567</v>
      </c>
      <c r="X8" s="3766">
        <f t="shared" si="2"/>
        <v>2.0593071744601212E-2</v>
      </c>
    </row>
    <row r="9" spans="1:24" ht="13.5" thickBot="1">
      <c r="A9" s="3771" t="s">
        <v>2541</v>
      </c>
      <c r="B9" s="3770">
        <f>IFERROR(SUM('Estados Financieros'!$E$441:$E$451)/'Estados Financieros'!E$385,0)</f>
        <v>0</v>
      </c>
      <c r="C9" s="3770">
        <f>IFERROR(SUM('Estados Financieros'!$E$441:$E$451)/'Estados Financieros'!F$385,0)</f>
        <v>0</v>
      </c>
      <c r="D9" s="3770">
        <f>IFERROR(SUM('Estados Financieros'!$E$441:$E$451)/'Estados Financieros'!G$385,0)</f>
        <v>0</v>
      </c>
      <c r="E9" s="3770">
        <f>IFERROR(SUM('Estados Financieros'!$E$441:$E$451)/'Estados Financieros'!H$385,0)</f>
        <v>0</v>
      </c>
      <c r="F9" s="3770">
        <f t="shared" si="0"/>
        <v>0</v>
      </c>
      <c r="H9" s="3769" t="s">
        <v>2540</v>
      </c>
      <c r="I9" s="3767"/>
      <c r="J9" s="3767"/>
      <c r="K9" s="3768"/>
      <c r="L9" s="3767"/>
      <c r="M9" s="3768"/>
      <c r="N9" s="3767">
        <v>12277</v>
      </c>
      <c r="O9" s="3766">
        <f t="shared" si="1"/>
        <v>1.1153709878169545E-2</v>
      </c>
      <c r="Q9" s="3769" t="s">
        <v>2540</v>
      </c>
      <c r="R9" s="3767"/>
      <c r="S9" s="3767"/>
      <c r="T9" s="3768"/>
      <c r="U9" s="3767"/>
      <c r="V9" s="3768"/>
      <c r="W9" s="3767">
        <f>+N9*'Resumen de Cifras'!$B$1</f>
        <v>498.41871719193404</v>
      </c>
      <c r="X9" s="3766">
        <f t="shared" si="2"/>
        <v>1.1153709878169545E-2</v>
      </c>
    </row>
    <row r="10" spans="1:24" ht="13.5" thickBot="1">
      <c r="A10" s="3771" t="s">
        <v>2539</v>
      </c>
      <c r="B10" s="3770">
        <f>IFERROR(SUM('Estados Financieros'!E427:E437)/'Estados Financieros'!E385,0)</f>
        <v>0</v>
      </c>
      <c r="C10" s="3770">
        <f>IFERROR(SUM('Estados Financieros'!F427:F437)/'Estados Financieros'!F385,0)</f>
        <v>0</v>
      </c>
      <c r="D10" s="3770">
        <f>IFERROR(SUM('Estados Financieros'!G427:G437)/'Estados Financieros'!G385,0)</f>
        <v>0</v>
      </c>
      <c r="E10" s="3770">
        <f>IFERROR(SUM('Estados Financieros'!H427:H437)/'Estados Financieros'!H385,0)</f>
        <v>0</v>
      </c>
      <c r="F10" s="3770">
        <f t="shared" si="0"/>
        <v>0</v>
      </c>
      <c r="H10" s="3769" t="s">
        <v>2538</v>
      </c>
      <c r="I10" s="3767"/>
      <c r="J10" s="3767"/>
      <c r="K10" s="3768"/>
      <c r="L10" s="3767"/>
      <c r="M10" s="3768"/>
      <c r="N10" s="3767">
        <v>7166</v>
      </c>
      <c r="O10" s="3766">
        <f t="shared" si="1"/>
        <v>6.5103433238546029E-3</v>
      </c>
      <c r="Q10" s="3769" t="s">
        <v>2538</v>
      </c>
      <c r="R10" s="3767"/>
      <c r="S10" s="3767"/>
      <c r="T10" s="3768"/>
      <c r="U10" s="3767"/>
      <c r="V10" s="3768"/>
      <c r="W10" s="3767">
        <f>+N10*'Resumen de Cifras'!$B$1</f>
        <v>290.92355847498567</v>
      </c>
      <c r="X10" s="3766">
        <f t="shared" si="2"/>
        <v>6.5103433238546029E-3</v>
      </c>
    </row>
    <row r="11" spans="1:24" ht="13.5" thickBot="1">
      <c r="A11" s="3771" t="s">
        <v>2537</v>
      </c>
      <c r="B11" s="3770">
        <f>IFERROR('Estados Financieros'!E440/'Estados Financieros'!E385,0)</f>
        <v>0</v>
      </c>
      <c r="C11" s="3770">
        <f>IFERROR('Estados Financieros'!F440/'Estados Financieros'!F385,0)</f>
        <v>0</v>
      </c>
      <c r="D11" s="3770">
        <f>IFERROR('Estados Financieros'!G440/'Estados Financieros'!G385,0)</f>
        <v>0</v>
      </c>
      <c r="E11" s="3770">
        <f>IFERROR('Estados Financieros'!H440/'Estados Financieros'!H385,0)</f>
        <v>0</v>
      </c>
      <c r="F11" s="3770">
        <f t="shared" si="0"/>
        <v>0</v>
      </c>
      <c r="H11" s="3769" t="s">
        <v>2459</v>
      </c>
      <c r="I11" s="3767"/>
      <c r="J11" s="3767"/>
      <c r="K11" s="3768"/>
      <c r="L11" s="3767"/>
      <c r="M11" s="3768"/>
      <c r="N11" s="3767">
        <v>4382</v>
      </c>
      <c r="O11" s="3766">
        <f t="shared" si="1"/>
        <v>3.9810667659964929E-3</v>
      </c>
      <c r="Q11" s="3769" t="s">
        <v>2459</v>
      </c>
      <c r="R11" s="3767"/>
      <c r="S11" s="3767"/>
      <c r="T11" s="3768"/>
      <c r="U11" s="3767"/>
      <c r="V11" s="3768"/>
      <c r="W11" s="3767">
        <f>+N11*'Resumen de Cifras'!$B$1</f>
        <v>177.89939062760078</v>
      </c>
      <c r="X11" s="3766">
        <f t="shared" si="2"/>
        <v>3.9810667659964929E-3</v>
      </c>
    </row>
    <row r="12" spans="1:24" ht="13.5" thickBot="1">
      <c r="A12" s="4057" t="s">
        <v>1641</v>
      </c>
      <c r="B12" s="4057"/>
      <c r="C12" s="4057"/>
      <c r="D12" s="4057"/>
      <c r="E12" s="4057"/>
      <c r="F12" s="4057"/>
      <c r="H12" s="3769" t="s">
        <v>2536</v>
      </c>
      <c r="I12" s="3767"/>
      <c r="J12" s="3767"/>
      <c r="K12" s="3768"/>
      <c r="L12" s="3767"/>
      <c r="M12" s="3768"/>
      <c r="N12" s="3767">
        <v>4225</v>
      </c>
      <c r="O12" s="3766">
        <f t="shared" si="1"/>
        <v>3.8384315578126847E-3</v>
      </c>
      <c r="Q12" s="3769" t="s">
        <v>2536</v>
      </c>
      <c r="R12" s="3767"/>
      <c r="S12" s="3767"/>
      <c r="T12" s="3768"/>
      <c r="U12" s="3767"/>
      <c r="V12" s="3768"/>
      <c r="W12" s="3767">
        <f>+N12*'Resumen de Cifras'!$B$1</f>
        <v>171.52554208160961</v>
      </c>
      <c r="X12" s="3766">
        <f t="shared" si="2"/>
        <v>3.8384315578126847E-3</v>
      </c>
    </row>
    <row r="13" spans="1:24" ht="13.5" thickBot="1">
      <c r="A13" s="3759" t="s">
        <v>2526</v>
      </c>
      <c r="B13" s="3757">
        <f>+B2</f>
        <v>2017</v>
      </c>
      <c r="C13" s="3757">
        <f>+C2</f>
        <v>2018</v>
      </c>
      <c r="D13" s="3757">
        <f>+D2</f>
        <v>2019</v>
      </c>
      <c r="E13" s="3760" t="str">
        <f>+E2</f>
        <v>Dic 19</v>
      </c>
      <c r="F13" s="3757" t="s">
        <v>2361</v>
      </c>
      <c r="H13" s="3769" t="s">
        <v>2535</v>
      </c>
      <c r="I13" s="3767"/>
      <c r="J13" s="3767"/>
      <c r="K13" s="3768"/>
      <c r="L13" s="3767"/>
      <c r="M13" s="3768"/>
      <c r="N13" s="3767">
        <v>2881</v>
      </c>
      <c r="O13" s="3766">
        <f t="shared" si="1"/>
        <v>2.6174014953984246E-3</v>
      </c>
      <c r="Q13" s="3769" t="s">
        <v>2535</v>
      </c>
      <c r="R13" s="3767"/>
      <c r="S13" s="3767"/>
      <c r="T13" s="3768"/>
      <c r="U13" s="3767"/>
      <c r="V13" s="3768"/>
      <c r="W13" s="3767">
        <f>+N13*'Resumen de Cifras'!$B$1</f>
        <v>116.96215070701001</v>
      </c>
      <c r="X13" s="3766">
        <f t="shared" si="2"/>
        <v>2.6174014953984246E-3</v>
      </c>
    </row>
    <row r="14" spans="1:24" ht="13.5" thickBot="1">
      <c r="A14" s="3749" t="s">
        <v>2534</v>
      </c>
      <c r="B14" s="3755" t="str">
        <f>IFERROR('Estados Financieros'!E338/'Estados Financieros'!E373,"N/A")</f>
        <v>N/A</v>
      </c>
      <c r="C14" s="3755" t="str">
        <f>IFERROR('Estados Financieros'!F338/'Estados Financieros'!F373,"N/A")</f>
        <v>N/A</v>
      </c>
      <c r="D14" s="3755" t="str">
        <f>IFERROR('Estados Financieros'!G338/'Estados Financieros'!G373,"N/A")</f>
        <v>N/A</v>
      </c>
      <c r="E14" s="3755" t="str">
        <f>IFERROR('Estados Financieros'!H338/'Estados Financieros'!H373,"N/A")</f>
        <v>N/A</v>
      </c>
      <c r="F14" s="3755" t="e">
        <f>AVERAGE(B14:E14)</f>
        <v>#DIV/0!</v>
      </c>
      <c r="H14" s="3769" t="s">
        <v>453</v>
      </c>
      <c r="I14" s="3767"/>
      <c r="J14" s="3767"/>
      <c r="K14" s="3768"/>
      <c r="L14" s="3767"/>
      <c r="M14" s="3768"/>
      <c r="N14" s="3767">
        <f>1340+1156+827</f>
        <v>3323</v>
      </c>
      <c r="O14" s="3766">
        <f t="shared" si="1"/>
        <v>3.0189604891388286E-3</v>
      </c>
      <c r="Q14" s="3769" t="s">
        <v>453</v>
      </c>
      <c r="R14" s="3767"/>
      <c r="S14" s="3767"/>
      <c r="T14" s="3768"/>
      <c r="U14" s="3767"/>
      <c r="V14" s="3768"/>
      <c r="W14" s="3767">
        <f>+N14*'Resumen de Cifras'!$B$1</f>
        <v>134.90636126323994</v>
      </c>
      <c r="X14" s="3766">
        <f t="shared" si="2"/>
        <v>3.0189604891388286E-3</v>
      </c>
    </row>
    <row r="15" spans="1:24" ht="13.5" thickBot="1">
      <c r="A15" s="3749" t="s">
        <v>2533</v>
      </c>
      <c r="B15" s="3755" t="str">
        <f>IFERROR(('Estados Financieros'!E199+'Estados Financieros'!E273)/'Estados Financieros'!E342,"N/A")</f>
        <v>N/A</v>
      </c>
      <c r="C15" s="3755" t="str">
        <f>IFERROR(('Estados Financieros'!F199+'Estados Financieros'!F273)/'Estados Financieros'!F342,"N/A")</f>
        <v>N/A</v>
      </c>
      <c r="D15" s="3755" t="str">
        <f>IFERROR(('Estados Financieros'!G199+'Estados Financieros'!G273)/'Estados Financieros'!G342,"N/A")</f>
        <v>N/A</v>
      </c>
      <c r="E15" s="3755" t="str">
        <f>IFERROR(('Estados Financieros'!H199+'Estados Financieros'!H273)/'Estados Financieros'!H342,"N/A")</f>
        <v>N/A</v>
      </c>
      <c r="F15" s="3755" t="e">
        <f>AVERAGE(B15:E15)</f>
        <v>#DIV/0!</v>
      </c>
      <c r="H15" s="3759" t="s">
        <v>228</v>
      </c>
      <c r="I15" s="3765">
        <f>+I4+I5+I6+I7</f>
        <v>10000</v>
      </c>
      <c r="J15" s="3765">
        <f>+J4+J5+J6+J7</f>
        <v>5600</v>
      </c>
      <c r="K15" s="3764">
        <f>+(J15-I15)/I15</f>
        <v>-0.44</v>
      </c>
      <c r="L15" s="3765">
        <f>+L4+L5+L6+L7</f>
        <v>3980</v>
      </c>
      <c r="M15" s="3764">
        <f>+(L15-J15)/J15</f>
        <v>-0.28928571428571431</v>
      </c>
      <c r="N15" s="3765">
        <f>SUM(N4:N14)</f>
        <v>1100710</v>
      </c>
      <c r="O15" s="3764">
        <f>SUM(O4:O14)</f>
        <v>1</v>
      </c>
      <c r="Q15" s="3759" t="s">
        <v>228</v>
      </c>
      <c r="R15" s="3765">
        <f>+R4+R5+R6+R7</f>
        <v>10000</v>
      </c>
      <c r="S15" s="3765">
        <f>+S4+S5+S6+S7</f>
        <v>5600</v>
      </c>
      <c r="T15" s="3764">
        <f>+(S15-R15)/R15</f>
        <v>-0.44</v>
      </c>
      <c r="U15" s="3765">
        <f>+U4+U5+U6+U7</f>
        <v>3980</v>
      </c>
      <c r="V15" s="3764">
        <f>+(U15-S15)/S15</f>
        <v>-0.28928571428571431</v>
      </c>
      <c r="W15" s="3765">
        <f>SUM(W4:W14)</f>
        <v>44686.36199399965</v>
      </c>
      <c r="X15" s="3764">
        <f>SUM(X4:X14)</f>
        <v>1</v>
      </c>
    </row>
    <row r="16" spans="1:24" ht="13.5" thickBot="1">
      <c r="A16" s="3749" t="s">
        <v>2532</v>
      </c>
      <c r="B16" s="3755" t="str">
        <f>IFERROR('Estados Financieros'!E338/'Estados Financieros'!E185,"N/A")</f>
        <v>N/A</v>
      </c>
      <c r="C16" s="3755" t="str">
        <f>IFERROR('Estados Financieros'!F338/'Estados Financieros'!F185,"N/A")</f>
        <v>N/A</v>
      </c>
      <c r="D16" s="3755" t="str">
        <f>IFERROR('Estados Financieros'!G338/'Estados Financieros'!G185,"N/A")</f>
        <v>N/A</v>
      </c>
      <c r="E16" s="3755" t="str">
        <f>IFERROR('Estados Financieros'!H338/'Estados Financieros'!H185,"N/A")</f>
        <v>N/A</v>
      </c>
      <c r="F16" s="3755" t="e">
        <f>AVERAGE(B16:E16)</f>
        <v>#DIV/0!</v>
      </c>
      <c r="M16" s="3763"/>
      <c r="N16" s="3762"/>
      <c r="O16" s="3761"/>
    </row>
    <row r="17" spans="1:18" ht="13.5" thickBot="1">
      <c r="A17" s="3749" t="s">
        <v>2531</v>
      </c>
      <c r="B17" s="3755" t="str">
        <f>IFERROR((B38+B40)/B33,"N/A")</f>
        <v>N/A</v>
      </c>
      <c r="C17" s="3755" t="str">
        <f>IFERROR((C38+C40)/C33,"N/A")</f>
        <v>N/A</v>
      </c>
      <c r="D17" s="3755" t="str">
        <f>IFERROR((D38+D40)/D33,"N/A")</f>
        <v>N/A</v>
      </c>
      <c r="E17" s="3755" t="str">
        <f>IFERROR(('Estados Financieros'!H199+'Estados Financieros'!H273)/(('Estados Financieros'!H459/'Resumen de Cifras'!D2)*12),"N/A")</f>
        <v>N/A</v>
      </c>
      <c r="F17" s="3755" t="e">
        <f>AVERAGE(B17:E17)</f>
        <v>#DIV/0!</v>
      </c>
      <c r="M17" s="3763"/>
      <c r="N17" s="3762"/>
      <c r="O17" s="3761"/>
    </row>
    <row r="18" spans="1:18" ht="13.5" thickBot="1">
      <c r="A18" s="4057" t="s">
        <v>2530</v>
      </c>
      <c r="B18" s="4057"/>
      <c r="C18" s="4057"/>
      <c r="D18" s="4057"/>
      <c r="E18" s="4057"/>
      <c r="F18" s="4057"/>
      <c r="M18" s="3762"/>
      <c r="N18" s="3762"/>
      <c r="O18" s="3761"/>
    </row>
    <row r="19" spans="1:18" ht="13.5" thickBot="1">
      <c r="A19" s="3759" t="s">
        <v>2526</v>
      </c>
      <c r="B19" s="3757">
        <f>+B2</f>
        <v>2017</v>
      </c>
      <c r="C19" s="3757">
        <f>+C2</f>
        <v>2018</v>
      </c>
      <c r="D19" s="3757">
        <f>+D2</f>
        <v>2019</v>
      </c>
      <c r="E19" s="3760" t="str">
        <f>+E2</f>
        <v>Dic 19</v>
      </c>
      <c r="F19" s="3757" t="s">
        <v>2361</v>
      </c>
    </row>
    <row r="20" spans="1:18" ht="13.5" thickBot="1">
      <c r="A20" s="3749" t="s">
        <v>2529</v>
      </c>
      <c r="B20" s="3755" t="str">
        <f>IFERROR('Estados Financieros'!E440/'Estados Financieros'!E459,"N/A")</f>
        <v>N/A</v>
      </c>
      <c r="C20" s="3755" t="str">
        <f>IFERROR(C33/C37,"N/A")</f>
        <v>N/A</v>
      </c>
      <c r="D20" s="3755" t="str">
        <f>IFERROR(D33/D37,"N/A")</f>
        <v>N/A</v>
      </c>
      <c r="E20" s="3755" t="str">
        <f>IFERROR('Estados Financieros'!H440/(('Estados Financieros'!H459/'Resumen de Cifras'!D2)*12),"N/A")</f>
        <v>N/A</v>
      </c>
      <c r="F20" s="3755" t="e">
        <f>AVERAGE(B20:E20)</f>
        <v>#DIV/0!</v>
      </c>
    </row>
    <row r="21" spans="1:18" ht="13.5" thickBot="1">
      <c r="A21" s="3749" t="s">
        <v>2528</v>
      </c>
      <c r="B21" s="3755" t="str">
        <f>IFERROR(B33/(B37+B36),"N/A")</f>
        <v>N/A</v>
      </c>
      <c r="C21" s="3755" t="str">
        <f>IFERROR(C33/(C37+B39),"N/A")</f>
        <v>N/A</v>
      </c>
      <c r="D21" s="3755" t="str">
        <f>IFERROR(D33/(D37+C39),"N/A")</f>
        <v>N/A</v>
      </c>
      <c r="E21" s="3755" t="str">
        <f>IFERROR(((E33/'Resumen de Cifras'!$D$2)*12)/(E37+E36),"N/A")</f>
        <v>N/A</v>
      </c>
      <c r="F21" s="3755" t="e">
        <f>AVERAGE(B21:E21)</f>
        <v>#DIV/0!</v>
      </c>
    </row>
    <row r="22" spans="1:18" ht="13.5" thickBot="1">
      <c r="A22" s="4057" t="s">
        <v>2527</v>
      </c>
      <c r="B22" s="4057"/>
      <c r="C22" s="4057"/>
      <c r="D22" s="4057"/>
      <c r="E22" s="4057"/>
      <c r="F22" s="4057"/>
    </row>
    <row r="23" spans="1:18" ht="13.5" thickBot="1">
      <c r="A23" s="3759" t="s">
        <v>2526</v>
      </c>
      <c r="B23" s="3757">
        <f>+B2</f>
        <v>2017</v>
      </c>
      <c r="C23" s="3757">
        <f>+C2</f>
        <v>2018</v>
      </c>
      <c r="D23" s="3757">
        <f>+D2</f>
        <v>2019</v>
      </c>
      <c r="E23" s="3758" t="str">
        <f>+E2</f>
        <v>Dic 19</v>
      </c>
      <c r="F23" s="3757" t="s">
        <v>2361</v>
      </c>
    </row>
    <row r="24" spans="1:18" ht="13.5" thickBot="1">
      <c r="A24" s="3749" t="s">
        <v>888</v>
      </c>
      <c r="B24" s="3755">
        <f>INDEX('Balances y Proyecciones'!$AM$696:$BB$752,MATCH($A24,'Balances y Proyecciones'!$AM$696:$AM$752,0),4)</f>
        <v>0</v>
      </c>
      <c r="C24" s="3755">
        <f>INDEX('Balances y Proyecciones'!$AM$696:$BB$752,MATCH($A24,'Balances y Proyecciones'!$AM$696:$AM$752,0),7)</f>
        <v>0</v>
      </c>
      <c r="D24" s="3755">
        <f>INDEX('Balances y Proyecciones'!$AM$696:$BB$752,MATCH($A24,'Balances y Proyecciones'!$AM$696:$AM$752,0),13)</f>
        <v>0</v>
      </c>
      <c r="E24" s="3755">
        <f>INDEX('Balances y Proyecciones'!$AM$696:$BB$752,MATCH($A24,'Balances y Proyecciones'!$AM$696:$AM$752,0),16)</f>
        <v>0</v>
      </c>
      <c r="F24" s="3755">
        <f t="shared" ref="F24:F30" si="3">AVERAGE(B24:E24)</f>
        <v>0</v>
      </c>
    </row>
    <row r="25" spans="1:18" ht="13.5" thickBot="1">
      <c r="A25" s="3749" t="s">
        <v>889</v>
      </c>
      <c r="B25" s="3755">
        <f>INDEX('Balances y Proyecciones'!$AM$696:$BB$752,MATCH($A25,'Balances y Proyecciones'!$AM$696:$AM$752,0),4)</f>
        <v>0</v>
      </c>
      <c r="C25" s="3755">
        <f>INDEX('Balances y Proyecciones'!$AM$696:$BB$752,MATCH($A25,'Balances y Proyecciones'!$AM$696:$AM$752,0),7)</f>
        <v>0</v>
      </c>
      <c r="D25" s="3755">
        <f>INDEX('Balances y Proyecciones'!$AM$696:$BB$752,MATCH($A25,'Balances y Proyecciones'!$AM$696:$AM$752,0),13)</f>
        <v>0</v>
      </c>
      <c r="E25" s="3755">
        <f>INDEX('Balances y Proyecciones'!$AM$696:$BB$752,MATCH($A25,'Balances y Proyecciones'!$AM$696:$AM$752,0),16)</f>
        <v>0</v>
      </c>
      <c r="F25" s="3755">
        <f t="shared" si="3"/>
        <v>0</v>
      </c>
    </row>
    <row r="26" spans="1:18" ht="13.5" thickBot="1">
      <c r="A26" s="3749" t="s">
        <v>2525</v>
      </c>
      <c r="B26" s="3756">
        <f>INDEX('Balances y Proyecciones'!$AM$696:$BB$752,MATCH($A26,'Balances y Proyecciones'!$AM$696:$AM$752,0),4)</f>
        <v>0</v>
      </c>
      <c r="C26" s="3756">
        <f>INDEX('Balances y Proyecciones'!$AM$696:$BB$752,MATCH($A26,'Balances y Proyecciones'!$AM$696:$AM$752,0),7)</f>
        <v>0</v>
      </c>
      <c r="D26" s="3756">
        <f>INDEX('Balances y Proyecciones'!$AM$696:$BB$752,MATCH($A26,'Balances y Proyecciones'!$AM$696:$AM$752,0),13)</f>
        <v>0</v>
      </c>
      <c r="E26" s="3756">
        <f>INDEX('Balances y Proyecciones'!$AM$696:$BB$752,MATCH($A26,'Balances y Proyecciones'!$AM$696:$AM$752,0),16)</f>
        <v>0</v>
      </c>
      <c r="F26" s="3755">
        <f t="shared" si="3"/>
        <v>0</v>
      </c>
    </row>
    <row r="27" spans="1:18" ht="13.5" thickBot="1">
      <c r="A27" s="3749" t="s">
        <v>2524</v>
      </c>
      <c r="B27" s="3756">
        <f>INDEX('Balances y Proyecciones'!$AM$696:$BB$752,MATCH($A27,'Balances y Proyecciones'!$AM$696:$AM$752,0),4)</f>
        <v>0</v>
      </c>
      <c r="C27" s="3756">
        <f>INDEX('Balances y Proyecciones'!$AM$696:$BB$752,MATCH($A27,'Balances y Proyecciones'!$AM$696:$AM$752,0),7)</f>
        <v>0</v>
      </c>
      <c r="D27" s="3756">
        <f>INDEX('Balances y Proyecciones'!$AM$696:$BB$752,MATCH($A27,'Balances y Proyecciones'!$AM$696:$AM$752,0),13)</f>
        <v>0</v>
      </c>
      <c r="E27" s="3756">
        <f>INDEX('Balances y Proyecciones'!$AM$696:$BB$752,MATCH($A27,'Balances y Proyecciones'!$AM$696:$AM$752,0),16)</f>
        <v>0</v>
      </c>
      <c r="F27" s="3755">
        <f t="shared" si="3"/>
        <v>0</v>
      </c>
    </row>
    <row r="28" spans="1:18" ht="13.5" thickBot="1">
      <c r="A28" s="3749" t="s">
        <v>2523</v>
      </c>
      <c r="B28" s="3756">
        <f>INDEX('Balances y Proyecciones'!$AM$696:$BB$752,MATCH($A28,'Balances y Proyecciones'!$AM$696:$AM$752,0),4)</f>
        <v>0</v>
      </c>
      <c r="C28" s="3756">
        <f>INDEX('Balances y Proyecciones'!$AM$696:$BB$752,MATCH($A28,'Balances y Proyecciones'!$AM$696:$AM$752,0),7)</f>
        <v>0</v>
      </c>
      <c r="D28" s="3756">
        <f>INDEX('Balances y Proyecciones'!$AM$696:$BB$752,MATCH($A28,'Balances y Proyecciones'!$AM$696:$AM$752,0),13)</f>
        <v>0</v>
      </c>
      <c r="E28" s="3756">
        <f>INDEX('Balances y Proyecciones'!$AM$696:$BB$752,MATCH($A28,'Balances y Proyecciones'!$AM$696:$AM$752,0),16)</f>
        <v>0</v>
      </c>
      <c r="F28" s="3755">
        <f t="shared" si="3"/>
        <v>0</v>
      </c>
    </row>
    <row r="29" spans="1:18" ht="13.5" thickBot="1">
      <c r="A29" s="3749" t="s">
        <v>2522</v>
      </c>
      <c r="B29" s="3755">
        <f>+B26+B27-B28</f>
        <v>0</v>
      </c>
      <c r="C29" s="3755">
        <f>+C26+C27-C28</f>
        <v>0</v>
      </c>
      <c r="D29" s="3755">
        <f>+D26+D27-D28</f>
        <v>0</v>
      </c>
      <c r="E29" s="3755">
        <f>+E26+E27-E28</f>
        <v>0</v>
      </c>
      <c r="F29" s="3755">
        <f t="shared" si="3"/>
        <v>0</v>
      </c>
    </row>
    <row r="30" spans="1:18" ht="13.5" thickBot="1">
      <c r="A30" s="3749" t="s">
        <v>2521</v>
      </c>
      <c r="B30" s="3750">
        <f>INDEX('Balances y Proyecciones'!$AM$696:$BB$752,MATCH($A30,'Balances y Proyecciones'!$AM$696:$AM$752,0),4)</f>
        <v>0</v>
      </c>
      <c r="C30" s="3750">
        <f>INDEX('Balances y Proyecciones'!$AM$696:$BB$752,MATCH($A30,'Balances y Proyecciones'!$AM$696:$AM$752,0),7)</f>
        <v>0</v>
      </c>
      <c r="D30" s="3750">
        <f>INDEX('Balances y Proyecciones'!$AM$696:$BB$752,MATCH($A30,'Balances y Proyecciones'!$AM$696:$AM$752,0),13)</f>
        <v>0</v>
      </c>
      <c r="E30" s="3750">
        <f>INDEX('Balances y Proyecciones'!$AM$696:$BB$752,MATCH($A30,'Balances y Proyecciones'!$AM$696:$AM$752,0),16)</f>
        <v>0</v>
      </c>
      <c r="F30" s="3755">
        <f t="shared" si="3"/>
        <v>0</v>
      </c>
    </row>
    <row r="31" spans="1:18" ht="13.5" thickBot="1">
      <c r="A31" s="3749"/>
      <c r="B31" s="3755"/>
      <c r="C31" s="3755"/>
      <c r="D31" s="3755"/>
      <c r="E31" s="3755"/>
      <c r="F31" s="3755"/>
    </row>
    <row r="32" spans="1:18" s="3746" customFormat="1" ht="13.5" thickBot="1">
      <c r="A32" s="4057" t="s">
        <v>2520</v>
      </c>
      <c r="B32" s="4057"/>
      <c r="C32" s="4057"/>
      <c r="D32" s="4057"/>
      <c r="E32" s="4064"/>
      <c r="F32" s="3754"/>
      <c r="G32" s="3740"/>
      <c r="H32" s="3740"/>
      <c r="I32" s="3740"/>
      <c r="J32" s="3740"/>
      <c r="K32" s="3740"/>
      <c r="L32" s="3740"/>
      <c r="M32" s="3740"/>
      <c r="N32" s="3740"/>
      <c r="O32" s="3740"/>
      <c r="P32" s="3740"/>
      <c r="Q32" s="3740"/>
      <c r="R32" s="3740"/>
    </row>
    <row r="33" spans="1:18" ht="13.5" thickBot="1">
      <c r="A33" s="3749" t="s">
        <v>881</v>
      </c>
      <c r="B33" s="3750">
        <f>IF('Detalle de otras cuentas'!$A$2="Dolares",'Balances y Proyecciones'!E138*'Resumen de Cifras'!$B$1,'Balances y Proyecciones'!E138)</f>
        <v>0</v>
      </c>
      <c r="C33" s="3750">
        <f>IF('Detalle de otras cuentas'!$A$2="Dolares",'Balances y Proyecciones'!H138*'Resumen de Cifras'!$B$1,'Balances y Proyecciones'!H138)</f>
        <v>0</v>
      </c>
      <c r="D33" s="3750">
        <f>IF('Detalle de otras cuentas'!$A$2="Dolares",'Balances y Proyecciones'!N138*'Resumen de Cifras'!$B$1,'Balances y Proyecciones'!N138)</f>
        <v>0</v>
      </c>
      <c r="E33" s="3750">
        <f>IF('Detalle de otras cuentas'!$A$2="Dolares",'Balances y Proyecciones'!Q138*'Resumen de Cifras'!$B$1,'Balances y Proyecciones'!Q138)</f>
        <v>0</v>
      </c>
      <c r="F33" s="3746"/>
      <c r="G33" s="3746"/>
    </row>
    <row r="34" spans="1:18" ht="13.5" thickBot="1">
      <c r="A34" s="3749" t="s">
        <v>2519</v>
      </c>
      <c r="B34" s="3750">
        <f>+B33+IF('Detalle de otras cuentas'!$A$2="Dolares",('Balances y Proyecciones'!$E$86+'Balances y Proyecciones'!$E$85)*'Resumen de Cifras'!$B$1,'Balances y Proyecciones'!$E$86+'Balances y Proyecciones'!$E$85)</f>
        <v>0</v>
      </c>
      <c r="C34" s="3750">
        <f>+C33+IF('Detalle de otras cuentas'!$A$2="Dolares",('Balances y Proyecciones'!$H$86+'Balances y Proyecciones'!$H$85)*'Resumen de Cifras'!$B$1,'Balances y Proyecciones'!$H$86+'Balances y Proyecciones'!$H$85)</f>
        <v>0</v>
      </c>
      <c r="D34" s="3750">
        <f>+D33+IF('Detalle de otras cuentas'!$A$2="Dolares",('Balances y Proyecciones'!$N$86+'Balances y Proyecciones'!$N$85)*'Resumen de Cifras'!$B$1,'Balances y Proyecciones'!$N$86+'Balances y Proyecciones'!$N$85)</f>
        <v>0</v>
      </c>
      <c r="E34" s="3750">
        <f>+E33+IF('Detalle de otras cuentas'!$A$2="Dolares",('Balances y Proyecciones'!$Q$86+'Balances y Proyecciones'!$Q$85)*'Resumen de Cifras'!$B$1,'Balances y Proyecciones'!$Q$86+'Balances y Proyecciones'!$Q$85)</f>
        <v>0</v>
      </c>
      <c r="F34" s="3753"/>
      <c r="G34" s="3753"/>
      <c r="P34" s="3746"/>
      <c r="Q34" s="3746"/>
      <c r="R34" s="3746"/>
    </row>
    <row r="35" spans="1:18" ht="13.5" thickBot="1">
      <c r="A35" s="3749" t="s">
        <v>2518</v>
      </c>
      <c r="B35" s="3752">
        <v>0</v>
      </c>
      <c r="C35" s="3752">
        <f>IFERROR((((C38+C40)-(B38+B40))/(B38+B40)),0)</f>
        <v>0</v>
      </c>
      <c r="D35" s="3752">
        <f>IFERROR((((D38+D40)-(C38+C40))/(C38+C40)),0)</f>
        <v>0</v>
      </c>
      <c r="E35" s="3752">
        <f>IFERROR((((E38+E40)-(D38+D40))/(D38+D40)),0)</f>
        <v>0</v>
      </c>
      <c r="F35" s="3751"/>
      <c r="G35" s="3751"/>
    </row>
    <row r="36" spans="1:18" ht="13.5" thickBot="1">
      <c r="A36" s="3749" t="s">
        <v>1169</v>
      </c>
      <c r="B36" s="3750"/>
      <c r="C36" s="3750"/>
      <c r="D36" s="3750"/>
      <c r="E36" s="3750">
        <f>IF('Detalle de otras cuentas'!$A$2="Dolares",'Estados Financieros'!G196*'Resumen de Cifras'!$B$1,'Estados Financieros'!G196)</f>
        <v>0</v>
      </c>
      <c r="F36" s="3751"/>
      <c r="G36" s="3751"/>
    </row>
    <row r="37" spans="1:18" ht="13.5" thickBot="1">
      <c r="A37" s="3749" t="s">
        <v>1173</v>
      </c>
      <c r="B37" s="3750">
        <f>IF('Detalle de otras cuentas'!$A$2="Dolares",'Estados Financieros'!E440*'Resumen de Cifras'!$B$1,'Estados Financieros'!E440)</f>
        <v>0</v>
      </c>
      <c r="C37" s="3750">
        <f>IF('Detalle de otras cuentas'!$A$2="Dolares",'Estados Financieros'!F440*'Resumen de Cifras'!$B$1,'Estados Financieros'!F440)</f>
        <v>0</v>
      </c>
      <c r="D37" s="3750">
        <f>IF('Detalle de otras cuentas'!$A$2="Dolares",'Estados Financieros'!G440*'Resumen de Cifras'!$B$1,'Estados Financieros'!G440)</f>
        <v>0</v>
      </c>
      <c r="E37" s="3750">
        <f>IF('Detalle de otras cuentas'!$A$2="Dolares",'Estados Financieros'!H439*'Resumen de Cifras'!$B$1,'Estados Financieros'!H439)</f>
        <v>0</v>
      </c>
      <c r="F37" s="3751"/>
      <c r="G37" s="3751"/>
    </row>
    <row r="38" spans="1:18" ht="13.5" thickBot="1">
      <c r="A38" s="3749" t="s">
        <v>1069</v>
      </c>
      <c r="B38" s="3750">
        <f>IF('Detalle de otras cuentas'!$A$2="Dolares",'Resumen de Cifras'!$B$1*('Estados Financieros'!E196),('Estados Financieros'!E196))</f>
        <v>0</v>
      </c>
      <c r="C38" s="3750">
        <f>IF('Detalle de otras cuentas'!$A$2="Dolares",'Resumen de Cifras'!$B$1*('Estados Financieros'!F196),('Estados Financieros'!F196))</f>
        <v>0</v>
      </c>
      <c r="D38" s="3750">
        <f>IF('Detalle de otras cuentas'!$A$2="Dolares",'Resumen de Cifras'!$B$1*('Estados Financieros'!G196),('Estados Financieros'!G196))</f>
        <v>0</v>
      </c>
      <c r="E38" s="3750">
        <f>IF('Detalle de otras cuentas'!$A$2="dolares",'Estados Financieros'!H198*'Resumen de Cifras'!$B$1,'Estados Financieros'!H198)</f>
        <v>0</v>
      </c>
      <c r="F38" s="3747"/>
      <c r="G38" s="3747"/>
    </row>
    <row r="39" spans="1:18" ht="13.5" thickBot="1">
      <c r="A39" s="3749" t="s">
        <v>1071</v>
      </c>
      <c r="B39" s="3750">
        <f>IF('Detalle de otras cuentas'!$A$2="Dolares",'Resumen de Cifras'!$B$1*('Estados Financieros'!E197+'Estados Financieros'!E198),('Estados Financieros'!E197+'Estados Financieros'!E198))</f>
        <v>0</v>
      </c>
      <c r="C39" s="3750">
        <f>IF('Detalle de otras cuentas'!$A$2="Dolares",'Resumen de Cifras'!$B$1*('Estados Financieros'!F197+'Estados Financieros'!F198),('Estados Financieros'!F197+'Estados Financieros'!F198))</f>
        <v>0</v>
      </c>
      <c r="D39" s="3750">
        <f>IF('Detalle de otras cuentas'!$A$2="Dolares",'Resumen de Cifras'!$B$1*('Estados Financieros'!G197+'Estados Financieros'!G198),('Estados Financieros'!G197+'Estados Financieros'!G198))</f>
        <v>0</v>
      </c>
      <c r="E39" s="3750">
        <f>+'Estados Financieros'!H196</f>
        <v>0</v>
      </c>
      <c r="F39" s="3747"/>
      <c r="G39" s="3747"/>
      <c r="H39" s="3746"/>
      <c r="I39" s="3746"/>
      <c r="J39" s="3746"/>
      <c r="K39" s="3746"/>
      <c r="L39" s="3746"/>
      <c r="M39" s="3746"/>
      <c r="N39" s="3746"/>
    </row>
    <row r="40" spans="1:18" ht="13.5" thickBot="1">
      <c r="A40" s="3749" t="s">
        <v>741</v>
      </c>
      <c r="B40" s="3750">
        <f>IF('Detalle de otras cuentas'!$A$2="Dolares",('Estados Financieros'!E271+'Estados Financieros'!E272)*'Resumen de Cifras'!$B$1,'Estados Financieros'!E271+'Estados Financieros'!E272)</f>
        <v>0</v>
      </c>
      <c r="C40" s="3750">
        <f>IF('Detalle de otras cuentas'!$A$2="Dolares",('Estados Financieros'!F271+'Estados Financieros'!F272)*'Resumen de Cifras'!$B$1,'Estados Financieros'!F271+'Estados Financieros'!F272)</f>
        <v>0</v>
      </c>
      <c r="D40" s="3750">
        <f>IF('Detalle de otras cuentas'!$A$2="Dolares",('Estados Financieros'!G271+'Estados Financieros'!G272)*'Resumen de Cifras'!$B$1,'Estados Financieros'!G271+'Estados Financieros'!G272)</f>
        <v>0</v>
      </c>
      <c r="E40" s="3750">
        <f>IF('Detalle de otras cuentas'!$A$2="Dolares",'Estados Financieros'!H272*'Resumen de Cifras'!$B$1,'Estados Financieros'!H272)</f>
        <v>0</v>
      </c>
      <c r="F40" s="3747"/>
      <c r="G40" s="3747"/>
    </row>
    <row r="41" spans="1:18" ht="13.5" thickBot="1">
      <c r="A41" s="3749" t="s">
        <v>2517</v>
      </c>
      <c r="B41" s="3748">
        <v>0</v>
      </c>
      <c r="C41" s="3748">
        <f>IF('Detalle de otras cuentas'!$A$2="Dolares",IF(AND('Estados Financieros'!E370=0,'Estados Financieros'!E371=0),0,'Estados Financieros'!F371-('Estados Financieros'!E370+'Estados Financieros'!E371))*'Resumen de Cifras'!$B$1,IF(AND('Estados Financieros'!E370=0,'Estados Financieros'!E371=0),0,'Estados Financieros'!F371-('Estados Financieros'!E370+'Estados Financieros'!E371)))</f>
        <v>0</v>
      </c>
      <c r="D41" s="3748">
        <f>IF('Detalle de otras cuentas'!$A$2="Dolares",IF(AND('Estados Financieros'!F370=0,'Estados Financieros'!F371=0),0,'Estados Financieros'!G371-('Estados Financieros'!F370+'Estados Financieros'!F371))*'Resumen de Cifras'!$B$1,IF(AND('Estados Financieros'!F370=0,'Estados Financieros'!F371=0),0,'Estados Financieros'!G371-('Estados Financieros'!F370+'Estados Financieros'!F371)))</f>
        <v>0</v>
      </c>
      <c r="E41" s="3748">
        <f>IF('Detalle de otras cuentas'!$A$2="Dolares",IF(AND('Estados Financieros'!G370=0,'Estados Financieros'!G371=0),0,'Estados Financieros'!H371-('Estados Financieros'!G370+'Estados Financieros'!G371))*'Resumen de Cifras'!$B$1,IF(AND('Estados Financieros'!G370=0,'Estados Financieros'!G371=0),0,'Estados Financieros'!H371-('Estados Financieros'!G370+'Estados Financieros'!G371)))</f>
        <v>0</v>
      </c>
      <c r="F41" s="3747"/>
      <c r="G41" s="3747"/>
      <c r="O41" s="3746"/>
    </row>
    <row r="42" spans="1:18" ht="15" thickBot="1">
      <c r="A42" s="3741" t="s">
        <v>2471</v>
      </c>
      <c r="B42" s="3741"/>
      <c r="C42" s="3741" t="s">
        <v>2471</v>
      </c>
    </row>
    <row r="43" spans="1:18" ht="13.5" thickBot="1">
      <c r="A43" s="3721" t="s">
        <v>2510</v>
      </c>
      <c r="B43" s="3721" t="s">
        <v>2474</v>
      </c>
      <c r="C43" s="3721" t="s">
        <v>2453</v>
      </c>
    </row>
    <row r="44" spans="1:18" ht="13.5" thickBot="1">
      <c r="A44" s="3720" t="s">
        <v>2516</v>
      </c>
      <c r="B44" s="3744">
        <v>1119</v>
      </c>
      <c r="C44" s="3718">
        <f>+B44/Indicadores!$B$50</f>
        <v>2.1751807790996034E-2</v>
      </c>
    </row>
    <row r="45" spans="1:18" ht="13.5" thickBot="1">
      <c r="A45" s="3720" t="s">
        <v>2515</v>
      </c>
      <c r="B45" s="3744">
        <v>3293</v>
      </c>
      <c r="C45" s="3718">
        <f>+B45/Indicadores!$B$50</f>
        <v>6.4011352149910578E-2</v>
      </c>
    </row>
    <row r="46" spans="1:18" ht="13.5" thickBot="1">
      <c r="A46" s="3720" t="s">
        <v>2514</v>
      </c>
      <c r="B46" s="3744">
        <v>9520</v>
      </c>
      <c r="C46" s="3718">
        <f>+B46/Indicadores!$B$50</f>
        <v>0.18505559443278127</v>
      </c>
    </row>
    <row r="47" spans="1:18" ht="13.5" thickBot="1">
      <c r="A47" s="3720" t="s">
        <v>2513</v>
      </c>
      <c r="B47" s="3744">
        <v>8194</v>
      </c>
      <c r="C47" s="3718">
        <f>+B47/Indicadores!$B$50</f>
        <v>0.15927999377964389</v>
      </c>
    </row>
    <row r="48" spans="1:18" ht="13.5" thickBot="1">
      <c r="A48" s="3720" t="s">
        <v>2512</v>
      </c>
      <c r="B48" s="3744">
        <v>7546</v>
      </c>
      <c r="C48" s="3718">
        <f>+B48/Indicadores!$B$50</f>
        <v>0.14668377264598398</v>
      </c>
    </row>
    <row r="49" spans="1:5" ht="13.5" thickBot="1">
      <c r="A49" s="3720" t="s">
        <v>453</v>
      </c>
      <c r="B49" s="3719">
        <f>B50-SUM(B44:B48)</f>
        <v>21772</v>
      </c>
      <c r="C49" s="3718">
        <f>+B49/Indicadores!$B$50</f>
        <v>0.42321747920068425</v>
      </c>
    </row>
    <row r="50" spans="1:5" ht="13.5" thickBot="1">
      <c r="A50" s="3716" t="s">
        <v>228</v>
      </c>
      <c r="B50" s="3717">
        <f>19321+32123</f>
        <v>51444</v>
      </c>
      <c r="C50" s="3715">
        <f>SUM(C44:C49)</f>
        <v>1</v>
      </c>
    </row>
    <row r="51" spans="1:5" ht="14.5">
      <c r="A51" s="3712" t="s">
        <v>2457</v>
      </c>
      <c r="B51"/>
      <c r="C51"/>
    </row>
    <row r="52" spans="1:5" ht="14.5">
      <c r="A52" s="3712" t="s">
        <v>2511</v>
      </c>
      <c r="B52" s="3745">
        <f>+'Resumen de Cifras'!D23</f>
        <v>0</v>
      </c>
      <c r="C52"/>
    </row>
    <row r="53" spans="1:5" ht="15" thickBot="1">
      <c r="A53" s="3741" t="s">
        <v>2455</v>
      </c>
      <c r="B53" s="3741"/>
      <c r="C53" s="3741" t="s">
        <v>2455</v>
      </c>
    </row>
    <row r="54" spans="1:5" ht="13.5" thickBot="1">
      <c r="A54" s="3721" t="s">
        <v>2510</v>
      </c>
      <c r="B54" s="3721" t="s">
        <v>2474</v>
      </c>
      <c r="C54" s="3721" t="s">
        <v>2453</v>
      </c>
    </row>
    <row r="55" spans="1:5" ht="13.5" thickBot="1">
      <c r="A55" s="3720" t="str">
        <f t="shared" ref="A55:A60" si="4">+A44</f>
        <v>Finos Textiles</v>
      </c>
      <c r="B55" s="3744">
        <f>+Indicadores!B44*'Resumen de Cifras'!D1</f>
        <v>45.428895050726901</v>
      </c>
      <c r="C55" s="3718">
        <f t="shared" ref="C55:C60" si="5">+B55/$B$61</f>
        <v>2.1751807790996034E-2</v>
      </c>
    </row>
    <row r="56" spans="1:5" ht="13.5" thickBot="1">
      <c r="A56" s="3720" t="str">
        <f t="shared" si="4"/>
        <v>David Whitehead</v>
      </c>
      <c r="B56" s="3744">
        <f>+Indicadores!B45*'Resumen de Cifras'!D1</f>
        <v>133.68842842005691</v>
      </c>
      <c r="C56" s="3718">
        <f t="shared" si="5"/>
        <v>6.4011352149910578E-2</v>
      </c>
    </row>
    <row r="57" spans="1:5" ht="13.5" thickBot="1">
      <c r="A57" s="3720" t="str">
        <f t="shared" si="4"/>
        <v>Soluciones Logisticas</v>
      </c>
      <c r="B57" s="3744">
        <f>+Indicadores!B46*'Resumen de Cifras'!D1</f>
        <v>386.49068890341385</v>
      </c>
      <c r="C57" s="3718">
        <f t="shared" si="5"/>
        <v>0.18505559443278127</v>
      </c>
    </row>
    <row r="58" spans="1:5" ht="13.5" thickBot="1">
      <c r="A58" s="3720" t="str">
        <f t="shared" si="4"/>
        <v>Millken</v>
      </c>
      <c r="B58" s="3744">
        <f>+Indicadores!B47*'Resumen de Cifras'!D1</f>
        <v>332.65805723472408</v>
      </c>
      <c r="C58" s="3718">
        <f t="shared" si="5"/>
        <v>0.15927999377964389</v>
      </c>
    </row>
    <row r="59" spans="1:5" ht="13.5" thickBot="1">
      <c r="A59" s="3720" t="str">
        <f t="shared" si="4"/>
        <v>Tennat</v>
      </c>
      <c r="B59" s="3744">
        <f>+Indicadores!B48*'Resumen de Cifras'!D1</f>
        <v>306.35070782197067</v>
      </c>
      <c r="C59" s="3718">
        <f t="shared" si="5"/>
        <v>0.14668377264598398</v>
      </c>
    </row>
    <row r="60" spans="1:5" ht="13.5" thickBot="1">
      <c r="A60" s="3720" t="str">
        <f t="shared" si="4"/>
        <v>Otros</v>
      </c>
      <c r="B60" s="3744">
        <f>+Indicadores!B49*'Resumen de Cifras'!D1</f>
        <v>883.89446205936201</v>
      </c>
      <c r="C60" s="3718">
        <f t="shared" si="5"/>
        <v>0.42321747920068425</v>
      </c>
    </row>
    <row r="61" spans="1:5" ht="13.5" thickBot="1">
      <c r="A61" s="3716" t="s">
        <v>228</v>
      </c>
      <c r="B61" s="3717">
        <f>SUM(B55:B60)</f>
        <v>2088.5112394902544</v>
      </c>
      <c r="C61" s="3715">
        <f>SUM(C55:C56)</f>
        <v>8.5763159940906608E-2</v>
      </c>
    </row>
    <row r="62" spans="1:5" ht="14.5">
      <c r="A62" s="3712" t="s">
        <v>2452</v>
      </c>
      <c r="B62"/>
      <c r="C62"/>
    </row>
    <row r="63" spans="1:5" ht="15" thickBot="1">
      <c r="A63" s="3741" t="s">
        <v>2471</v>
      </c>
      <c r="B63" s="3741"/>
      <c r="C63" s="3741" t="s">
        <v>2471</v>
      </c>
    </row>
    <row r="64" spans="1:5" ht="13.5" thickBot="1">
      <c r="A64" s="3721" t="s">
        <v>2509</v>
      </c>
      <c r="B64" s="3721">
        <v>2020</v>
      </c>
      <c r="C64" s="3721">
        <v>2021</v>
      </c>
      <c r="D64" s="3742">
        <v>44805</v>
      </c>
      <c r="E64" s="3721" t="s">
        <v>2453</v>
      </c>
    </row>
    <row r="65" spans="1:5" ht="13.5" thickBot="1">
      <c r="A65" s="3720" t="s">
        <v>2505</v>
      </c>
      <c r="B65" s="3731"/>
      <c r="C65" s="3731"/>
      <c r="D65" s="3731">
        <v>4398</v>
      </c>
      <c r="E65" s="3718">
        <f>+D65/Indicadores!$D$77</f>
        <v>0.89299492385786805</v>
      </c>
    </row>
    <row r="66" spans="1:5" ht="13.5" thickBot="1">
      <c r="A66" s="3720" t="s">
        <v>2504</v>
      </c>
      <c r="B66" s="3731"/>
      <c r="C66" s="3731"/>
      <c r="D66" s="3731">
        <v>527</v>
      </c>
      <c r="E66" s="3718">
        <f>+D66/Indicadores!$D$77</f>
        <v>0.10700507614213198</v>
      </c>
    </row>
    <row r="67" spans="1:5" ht="13.5" thickBot="1">
      <c r="A67" s="3720" t="s">
        <v>2508</v>
      </c>
      <c r="B67" s="3731"/>
      <c r="C67" s="3731"/>
      <c r="D67" s="3731"/>
      <c r="E67" s="3718">
        <f>+D67/Indicadores!$D$77</f>
        <v>0</v>
      </c>
    </row>
    <row r="68" spans="1:5" ht="13.5" thickBot="1">
      <c r="A68" s="3720" t="s">
        <v>2507</v>
      </c>
      <c r="B68" s="3731"/>
      <c r="C68" s="3731"/>
      <c r="D68" s="3731"/>
      <c r="E68" s="3718">
        <f>+D68/Indicadores!$D$77</f>
        <v>0</v>
      </c>
    </row>
    <row r="69" spans="1:5" ht="13.5" thickBot="1">
      <c r="A69" s="3720" t="s">
        <v>2501</v>
      </c>
      <c r="B69" s="3731"/>
      <c r="C69" s="3731"/>
      <c r="D69" s="3731"/>
      <c r="E69" s="3718">
        <f>+D69/Indicadores!$D$77</f>
        <v>0</v>
      </c>
    </row>
    <row r="70" spans="1:5" ht="13.5" thickBot="1">
      <c r="A70" s="3720" t="s">
        <v>2506</v>
      </c>
      <c r="B70" s="3731"/>
      <c r="C70" s="3731"/>
      <c r="D70" s="3731"/>
      <c r="E70" s="3718">
        <f>+D70/Indicadores!$D$77</f>
        <v>0</v>
      </c>
    </row>
    <row r="71" spans="1:5" ht="13.5" thickBot="1">
      <c r="A71" s="3720" t="s">
        <v>2496</v>
      </c>
      <c r="B71" s="3731"/>
      <c r="C71" s="3731"/>
      <c r="D71" s="3731"/>
      <c r="E71" s="3718">
        <f>+D71/Indicadores!$D$77</f>
        <v>0</v>
      </c>
    </row>
    <row r="72" spans="1:5" ht="13.5" thickBot="1">
      <c r="A72" s="3720" t="s">
        <v>2487</v>
      </c>
      <c r="B72" s="3731"/>
      <c r="C72" s="3731"/>
      <c r="D72" s="3731"/>
      <c r="E72" s="3718">
        <f>+D72/Indicadores!$D$77</f>
        <v>0</v>
      </c>
    </row>
    <row r="73" spans="1:5" ht="13.5" thickBot="1">
      <c r="A73" s="3720" t="s">
        <v>2486</v>
      </c>
      <c r="B73" s="3731"/>
      <c r="C73" s="3731"/>
      <c r="D73" s="3731"/>
      <c r="E73" s="3718">
        <f>+D73/Indicadores!$D$77</f>
        <v>0</v>
      </c>
    </row>
    <row r="74" spans="1:5" ht="13.5" thickBot="1">
      <c r="A74" s="3720" t="s">
        <v>2485</v>
      </c>
      <c r="B74" s="3731"/>
      <c r="C74" s="3731"/>
      <c r="D74" s="3731"/>
      <c r="E74" s="3718">
        <f>+D74/Indicadores!$D$77</f>
        <v>0</v>
      </c>
    </row>
    <row r="75" spans="1:5" ht="13.5" thickBot="1">
      <c r="A75" s="3720" t="s">
        <v>2484</v>
      </c>
      <c r="B75" s="3731"/>
      <c r="C75" s="3731"/>
      <c r="D75" s="3731"/>
      <c r="E75" s="3718">
        <f>+D75/Indicadores!$D$77</f>
        <v>0</v>
      </c>
    </row>
    <row r="76" spans="1:5" ht="13.5" thickBot="1">
      <c r="A76" s="3720" t="s">
        <v>2483</v>
      </c>
      <c r="B76" s="3731"/>
      <c r="C76" s="3731"/>
      <c r="D76" s="3731"/>
      <c r="E76" s="3718">
        <f>+D76/Indicadores!$D$77</f>
        <v>0</v>
      </c>
    </row>
    <row r="77" spans="1:5" ht="13.5" thickBot="1">
      <c r="A77" s="3716" t="s">
        <v>228</v>
      </c>
      <c r="B77" s="3725">
        <f>SUM(B65:B76)</f>
        <v>0</v>
      </c>
      <c r="C77" s="3725">
        <f>SUM(C65:C76)</f>
        <v>0</v>
      </c>
      <c r="D77" s="3725">
        <f>SUM(D65:D76)</f>
        <v>4925</v>
      </c>
      <c r="E77" s="3715">
        <f>SUM(E65:E76)</f>
        <v>1</v>
      </c>
    </row>
    <row r="78" spans="1:5" ht="14.5">
      <c r="A78" s="3712" t="s">
        <v>2457</v>
      </c>
      <c r="B78"/>
      <c r="C78"/>
    </row>
    <row r="79" spans="1:5" ht="15" thickBot="1">
      <c r="A79" s="3741" t="s">
        <v>2455</v>
      </c>
      <c r="B79" s="3741"/>
      <c r="C79" s="3741" t="s">
        <v>2455</v>
      </c>
    </row>
    <row r="80" spans="1:5" ht="13.5" thickBot="1">
      <c r="A80" s="3721" t="s">
        <v>2482</v>
      </c>
      <c r="B80" s="3721">
        <v>2020</v>
      </c>
      <c r="C80" s="3721">
        <v>2021</v>
      </c>
      <c r="D80" s="3721">
        <v>2022</v>
      </c>
      <c r="E80" s="3721" t="s">
        <v>2453</v>
      </c>
    </row>
    <row r="81" spans="1:5" ht="13.5" thickBot="1">
      <c r="A81" s="3720" t="str">
        <f>+Indicadores!A65</f>
        <v>INHDELVA SA</v>
      </c>
      <c r="B81" s="3731">
        <f>+Indicadores!B65*'Resumen de Cifras'!$B$1</f>
        <v>0</v>
      </c>
      <c r="C81" s="3731">
        <f>+Indicadores!C65*'Resumen de Cifras'!$B$1</f>
        <v>0</v>
      </c>
      <c r="D81" s="3731">
        <f>+Indicadores!D65*'Resumen de Cifras'!$B$1</f>
        <v>178.54895481063173</v>
      </c>
      <c r="E81" s="3718">
        <f t="shared" ref="E81:E92" si="6">+D81/$D$93</f>
        <v>0.89299492385786805</v>
      </c>
    </row>
    <row r="82" spans="1:5" ht="13.5" thickBot="1">
      <c r="A82" s="3720" t="str">
        <f>+Indicadores!A66</f>
        <v>Distribuidora de Vesturario GTK</v>
      </c>
      <c r="B82" s="3731">
        <f>+Indicadores!B66*'Resumen de Cifras'!$B$1</f>
        <v>0</v>
      </c>
      <c r="C82" s="3731">
        <f>+Indicadores!C66*'Resumen de Cifras'!$B$1</f>
        <v>0</v>
      </c>
      <c r="D82" s="3731">
        <f>+Indicadores!D66*'Resumen de Cifras'!$B$1</f>
        <v>21.395020278581839</v>
      </c>
      <c r="E82" s="3718">
        <f t="shared" si="6"/>
        <v>0.10700507614213199</v>
      </c>
    </row>
    <row r="83" spans="1:5" ht="13.5" thickBot="1">
      <c r="A83" s="3720" t="str">
        <f>+Indicadores!A67</f>
        <v>Restaurante el Carible</v>
      </c>
      <c r="B83" s="3731">
        <f>+Indicadores!B67*'Resumen de Cifras'!$B$1</f>
        <v>0</v>
      </c>
      <c r="C83" s="3731">
        <f>+Indicadores!C67*'Resumen de Cifras'!$B$1</f>
        <v>0</v>
      </c>
      <c r="D83" s="3731">
        <f>+Indicadores!D67*'Resumen de Cifras'!$B$1</f>
        <v>0</v>
      </c>
      <c r="E83" s="3718">
        <f t="shared" si="6"/>
        <v>0</v>
      </c>
    </row>
    <row r="84" spans="1:5" ht="13.5" thickBot="1">
      <c r="A84" s="3720" t="str">
        <f>+Indicadores!A68</f>
        <v>Parkan</v>
      </c>
      <c r="B84" s="3731">
        <f>+Indicadores!B68*'Resumen de Cifras'!$B$1</f>
        <v>0</v>
      </c>
      <c r="C84" s="3731">
        <f>+Indicadores!C68*'Resumen de Cifras'!$B$1</f>
        <v>0</v>
      </c>
      <c r="D84" s="3731">
        <f>+Indicadores!D68*'Resumen de Cifras'!$B$1</f>
        <v>0</v>
      </c>
      <c r="E84" s="3718">
        <f t="shared" si="6"/>
        <v>0</v>
      </c>
    </row>
    <row r="85" spans="1:5" ht="13.5" thickBot="1">
      <c r="A85" s="3720" t="str">
        <f>+Indicadores!A69</f>
        <v>Centroamerican Educational Venture</v>
      </c>
      <c r="B85" s="3731">
        <f>+Indicadores!B69*'Resumen de Cifras'!$B$1</f>
        <v>0</v>
      </c>
      <c r="C85" s="3731">
        <f>+Indicadores!C69*'Resumen de Cifras'!$B$1</f>
        <v>0</v>
      </c>
      <c r="D85" s="3731">
        <f>+Indicadores!D69*'Resumen de Cifras'!$B$1</f>
        <v>0</v>
      </c>
      <c r="E85" s="3718">
        <f t="shared" si="6"/>
        <v>0</v>
      </c>
    </row>
    <row r="86" spans="1:5" ht="13.5" thickBot="1">
      <c r="A86" s="3720" t="str">
        <f>+Indicadores!A70</f>
        <v>Farmacias Europeas Panamá</v>
      </c>
      <c r="B86" s="3731">
        <f>+Indicadores!B70*'Resumen de Cifras'!$B$1</f>
        <v>0</v>
      </c>
      <c r="C86" s="3731">
        <f>+Indicadores!C70*'Resumen de Cifras'!$B$1</f>
        <v>0</v>
      </c>
      <c r="D86" s="3731">
        <f>+Indicadores!D70*'Resumen de Cifras'!$B$1</f>
        <v>0</v>
      </c>
      <c r="E86" s="3718">
        <f t="shared" si="6"/>
        <v>0</v>
      </c>
    </row>
    <row r="87" spans="1:5" ht="13.5" thickBot="1">
      <c r="A87" s="3720" t="str">
        <f>+Indicadores!A71</f>
        <v>Farmacias El Valor</v>
      </c>
      <c r="B87" s="3731">
        <f>+Indicadores!B71*'Resumen de Cifras'!$B$1</f>
        <v>0</v>
      </c>
      <c r="C87" s="3731">
        <f>+Indicadores!C71*'Resumen de Cifras'!$B$1</f>
        <v>0</v>
      </c>
      <c r="D87" s="3731">
        <f>+Indicadores!D71*'Resumen de Cifras'!$B$1</f>
        <v>0</v>
      </c>
      <c r="E87" s="3718">
        <f t="shared" si="6"/>
        <v>0</v>
      </c>
    </row>
    <row r="88" spans="1:5" ht="13.5" thickBot="1">
      <c r="A88" s="3720" t="str">
        <f>+Indicadores!A72</f>
        <v>Farma Value Venezuela</v>
      </c>
      <c r="B88" s="3731">
        <f>+Indicadores!B72*'Resumen de Cifras'!$B$1</f>
        <v>0</v>
      </c>
      <c r="C88" s="3731">
        <f>+Indicadores!C72*'Resumen de Cifras'!$B$1</f>
        <v>0</v>
      </c>
      <c r="D88" s="3731">
        <f>+Indicadores!D72*'Resumen de Cifras'!$B$1</f>
        <v>0</v>
      </c>
      <c r="E88" s="3718">
        <f t="shared" si="6"/>
        <v>0</v>
      </c>
    </row>
    <row r="89" spans="1:5" ht="13.5" thickBot="1">
      <c r="A89" s="3720" t="str">
        <f>+Indicadores!A73</f>
        <v>CXC Otras</v>
      </c>
      <c r="B89" s="3731">
        <f>+Indicadores!B73*'Resumen de Cifras'!$B$1</f>
        <v>0</v>
      </c>
      <c r="C89" s="3731">
        <f>+Indicadores!C73*'Resumen de Cifras'!$B$1</f>
        <v>0</v>
      </c>
      <c r="D89" s="3731">
        <f>+Indicadores!D73*'Resumen de Cifras'!$B$1</f>
        <v>0</v>
      </c>
      <c r="E89" s="3718">
        <f t="shared" si="6"/>
        <v>0</v>
      </c>
    </row>
    <row r="90" spans="1:5" ht="13.5" thickBot="1">
      <c r="A90" s="3720" t="str">
        <f>+Indicadores!A74</f>
        <v>Farmacias Europea SA</v>
      </c>
      <c r="B90" s="3731">
        <f>+Indicadores!B74*'Resumen de Cifras'!$B$1</f>
        <v>0</v>
      </c>
      <c r="C90" s="3731">
        <f>+Indicadores!C74*'Resumen de Cifras'!$B$1</f>
        <v>0</v>
      </c>
      <c r="D90" s="3731">
        <f>+Indicadores!D74*'Resumen de Cifras'!$B$1</f>
        <v>0</v>
      </c>
      <c r="E90" s="3718">
        <f t="shared" si="6"/>
        <v>0</v>
      </c>
    </row>
    <row r="91" spans="1:5" ht="13.5" thickBot="1">
      <c r="A91" s="3720" t="str">
        <f>+Indicadores!A75</f>
        <v>Proconsumo</v>
      </c>
      <c r="B91" s="3731">
        <f>+Indicadores!B75*'Resumen de Cifras'!$B$1</f>
        <v>0</v>
      </c>
      <c r="C91" s="3731">
        <f>+Indicadores!C75*'Resumen de Cifras'!$B$1</f>
        <v>0</v>
      </c>
      <c r="D91" s="3731">
        <f>+Indicadores!D75*'Resumen de Cifras'!$B$1</f>
        <v>0</v>
      </c>
      <c r="E91" s="3718">
        <f t="shared" si="6"/>
        <v>0</v>
      </c>
    </row>
    <row r="92" spans="1:5" ht="13.5" thickBot="1">
      <c r="A92" s="3720" t="str">
        <f>+Indicadores!A76</f>
        <v>Regis</v>
      </c>
      <c r="B92" s="3731">
        <f>+Indicadores!B76*'Resumen de Cifras'!$B$1</f>
        <v>0</v>
      </c>
      <c r="C92" s="3731">
        <f>+Indicadores!C76*'Resumen de Cifras'!$B$1</f>
        <v>0</v>
      </c>
      <c r="D92" s="3731">
        <f>+Indicadores!D76*'Resumen de Cifras'!$B$1</f>
        <v>0</v>
      </c>
      <c r="E92" s="3718">
        <f t="shared" si="6"/>
        <v>0</v>
      </c>
    </row>
    <row r="93" spans="1:5" ht="13.5" thickBot="1">
      <c r="A93" s="3716" t="s">
        <v>228</v>
      </c>
      <c r="B93" s="3725">
        <f>SUM(B81:B92)</f>
        <v>0</v>
      </c>
      <c r="C93" s="3725">
        <f>SUM(C81:C92)</f>
        <v>0</v>
      </c>
      <c r="D93" s="3725">
        <f>SUM(D81:D92)</f>
        <v>199.94397508921355</v>
      </c>
      <c r="E93" s="3715">
        <f>SUM(E81:E85)</f>
        <v>1</v>
      </c>
    </row>
    <row r="94" spans="1:5" ht="14.5">
      <c r="A94" s="3712" t="s">
        <v>2452</v>
      </c>
      <c r="B94"/>
      <c r="C94"/>
    </row>
    <row r="95" spans="1:5" ht="15" thickBot="1">
      <c r="A95" s="3741" t="s">
        <v>2471</v>
      </c>
      <c r="B95" s="3741"/>
      <c r="C95" s="3741" t="s">
        <v>2471</v>
      </c>
    </row>
    <row r="96" spans="1:5" ht="13.5" thickBot="1">
      <c r="A96" s="3721" t="s">
        <v>1726</v>
      </c>
      <c r="B96" s="3721" t="s">
        <v>2474</v>
      </c>
      <c r="C96" s="3721" t="s">
        <v>2453</v>
      </c>
    </row>
    <row r="97" spans="1:3" ht="13.5" thickBot="1">
      <c r="A97" s="3720" t="s">
        <v>2505</v>
      </c>
      <c r="B97" s="3719">
        <v>205644</v>
      </c>
      <c r="C97" s="3718">
        <f>+B97/$B$109</f>
        <v>0.46644196353639783</v>
      </c>
    </row>
    <row r="98" spans="1:3" ht="13.5" thickBot="1">
      <c r="A98" s="3720" t="s">
        <v>2504</v>
      </c>
      <c r="B98" s="3719">
        <v>25</v>
      </c>
      <c r="C98" s="3718">
        <f>+B98/$B$109</f>
        <v>5.6705029509297356E-5</v>
      </c>
    </row>
    <row r="99" spans="1:3" ht="13.5" thickBot="1">
      <c r="A99" s="3720" t="s">
        <v>2503</v>
      </c>
      <c r="B99" s="3719">
        <v>25</v>
      </c>
      <c r="C99" s="3718">
        <f>+B99/$B$109</f>
        <v>5.6705029509297356E-5</v>
      </c>
    </row>
    <row r="100" spans="1:3" ht="13.5" thickBot="1">
      <c r="A100" s="3720" t="s">
        <v>2502</v>
      </c>
      <c r="B100" s="3719">
        <v>6988</v>
      </c>
      <c r="C100" s="3718"/>
    </row>
    <row r="101" spans="1:3" ht="13.5" thickBot="1">
      <c r="A101" s="3720" t="s">
        <v>2501</v>
      </c>
      <c r="B101" s="3719">
        <v>73692</v>
      </c>
      <c r="C101" s="3718"/>
    </row>
    <row r="102" spans="1:3" ht="13.5" thickBot="1">
      <c r="A102" s="3720" t="s">
        <v>2500</v>
      </c>
      <c r="B102" s="3719">
        <v>3000</v>
      </c>
      <c r="C102" s="3718"/>
    </row>
    <row r="103" spans="1:3" ht="13.5" thickBot="1">
      <c r="A103" s="3720" t="s">
        <v>2499</v>
      </c>
      <c r="B103" s="3719">
        <v>4895</v>
      </c>
      <c r="C103" s="3718"/>
    </row>
    <row r="104" spans="1:3" ht="13.5" thickBot="1">
      <c r="A104" s="3720" t="s">
        <v>2498</v>
      </c>
      <c r="B104" s="3719"/>
      <c r="C104" s="3718"/>
    </row>
    <row r="105" spans="1:3" ht="13.5" thickBot="1">
      <c r="A105" s="3720" t="s">
        <v>2497</v>
      </c>
      <c r="B105" s="3719">
        <v>77864</v>
      </c>
      <c r="C105" s="3718"/>
    </row>
    <row r="106" spans="1:3" ht="13.5" thickBot="1">
      <c r="A106" s="3720" t="s">
        <v>2496</v>
      </c>
      <c r="B106" s="3719">
        <v>68745</v>
      </c>
      <c r="C106" s="3718"/>
    </row>
    <row r="107" spans="1:3" ht="13.5" thickBot="1">
      <c r="A107" s="3720" t="s">
        <v>2495</v>
      </c>
      <c r="B107" s="3719"/>
      <c r="C107" s="3718">
        <f>+B107/$B$109</f>
        <v>0</v>
      </c>
    </row>
    <row r="108" spans="1:3" ht="13.5" thickBot="1">
      <c r="A108" s="3720" t="s">
        <v>2494</v>
      </c>
      <c r="B108" s="3719"/>
      <c r="C108" s="3718"/>
    </row>
    <row r="109" spans="1:3" ht="13.5" thickBot="1">
      <c r="A109" s="3716" t="s">
        <v>228</v>
      </c>
      <c r="B109" s="3717">
        <f>SUM(B97:B107)</f>
        <v>440878</v>
      </c>
      <c r="C109" s="3715">
        <f>SUM(C97:C107)</f>
        <v>0.46655537359541638</v>
      </c>
    </row>
    <row r="110" spans="1:3">
      <c r="A110" s="3712" t="s">
        <v>2457</v>
      </c>
      <c r="B110" s="3706"/>
      <c r="C110" s="3743"/>
    </row>
    <row r="111" spans="1:3" ht="15" thickBot="1">
      <c r="A111" s="3741" t="s">
        <v>2455</v>
      </c>
      <c r="B111" s="3741"/>
      <c r="C111" s="3741" t="s">
        <v>2455</v>
      </c>
    </row>
    <row r="112" spans="1:3" ht="13.5" thickBot="1">
      <c r="A112" s="3721" t="s">
        <v>1726</v>
      </c>
      <c r="B112" s="3721" t="s">
        <v>2474</v>
      </c>
      <c r="C112" s="3721" t="s">
        <v>2453</v>
      </c>
    </row>
    <row r="113" spans="1:5" ht="13.5" thickBot="1">
      <c r="A113" s="3720" t="str">
        <f>+Indicadores!A97</f>
        <v>INHDELVA SA</v>
      </c>
      <c r="B113" s="3719">
        <f>+Indicadores!B97*'Resumen de Cifras'!$D$1</f>
        <v>8348.6860534510124</v>
      </c>
      <c r="C113" s="3718">
        <f t="shared" ref="C113:C122" si="7">+B113/$B$123</f>
        <v>0.46644196353639783</v>
      </c>
    </row>
    <row r="114" spans="1:5" ht="13.5" thickBot="1">
      <c r="A114" s="3720" t="str">
        <f>+Indicadores!A98</f>
        <v>Distribuidora de Vesturario GTK</v>
      </c>
      <c r="B114" s="3719">
        <f>+Indicadores!B98*'Resumen de Cifras'!$D$1</f>
        <v>1.0149440359858557</v>
      </c>
      <c r="C114" s="3718">
        <f t="shared" si="7"/>
        <v>5.6705029509297356E-5</v>
      </c>
    </row>
    <row r="115" spans="1:5" ht="13.5" thickBot="1">
      <c r="A115" s="3720" t="str">
        <f>+Indicadores!A99</f>
        <v>Constructora Morazan</v>
      </c>
      <c r="B115" s="3719">
        <f>+Indicadores!B99*'Resumen de Cifras'!$D$1</f>
        <v>1.0149440359858557</v>
      </c>
      <c r="C115" s="3718">
        <f t="shared" si="7"/>
        <v>5.6705029509297356E-5</v>
      </c>
    </row>
    <row r="116" spans="1:5" ht="13.5" thickBot="1">
      <c r="A116" s="3720" t="str">
        <f>+Indicadores!A100</f>
        <v>Medica Hogar</v>
      </c>
      <c r="B116" s="3719">
        <f>+Indicadores!B100*'Resumen de Cifras'!$D$1</f>
        <v>283.6971569387664</v>
      </c>
      <c r="C116" s="3718">
        <f t="shared" si="7"/>
        <v>1.5850189848438799E-2</v>
      </c>
    </row>
    <row r="117" spans="1:5" ht="13.5" thickBot="1">
      <c r="A117" s="3720" t="str">
        <f>+Indicadores!A101</f>
        <v>Centroamerican Educational Venture</v>
      </c>
      <c r="B117" s="3719">
        <f>+Indicadores!B101*'Resumen de Cifras'!$D$1</f>
        <v>2991.7302359947871</v>
      </c>
      <c r="C117" s="3718">
        <f t="shared" si="7"/>
        <v>0.16714828138396565</v>
      </c>
    </row>
    <row r="118" spans="1:5" ht="13.5" thickBot="1">
      <c r="A118" s="3720" t="str">
        <f>+Indicadores!A102</f>
        <v>Análisis clinicos</v>
      </c>
      <c r="B118" s="3719">
        <f>+Indicadores!B102*'Resumen de Cifras'!$D$1</f>
        <v>121.79328431830268</v>
      </c>
      <c r="C118" s="3718">
        <f t="shared" si="7"/>
        <v>6.8046035411156829E-3</v>
      </c>
    </row>
    <row r="119" spans="1:5" ht="13.5" thickBot="1">
      <c r="A119" s="3720" t="str">
        <f>+Indicadores!A103</f>
        <v>Inversiones Euroclinicas</v>
      </c>
      <c r="B119" s="3719">
        <f>+Indicadores!B103*'Resumen de Cifras'!$D$1</f>
        <v>198.72604224603054</v>
      </c>
      <c r="C119" s="3718">
        <f t="shared" si="7"/>
        <v>1.1102844777920423E-2</v>
      </c>
    </row>
    <row r="120" spans="1:5" ht="13.5" thickBot="1">
      <c r="A120" s="3720" t="str">
        <f>+Indicadores!A104</f>
        <v>Farmacia Europea Nicaragua</v>
      </c>
      <c r="B120" s="3719">
        <f>+Indicadores!B104*'Resumen de Cifras'!$D$1</f>
        <v>0</v>
      </c>
      <c r="C120" s="3718">
        <f t="shared" si="7"/>
        <v>0</v>
      </c>
    </row>
    <row r="121" spans="1:5" ht="13.5" thickBot="1">
      <c r="A121" s="3720" t="str">
        <f>+Indicadores!A105</f>
        <v>Farma Value RD</v>
      </c>
      <c r="B121" s="3719">
        <f>+Indicadores!B105*'Resumen de Cifras'!$D$1</f>
        <v>3161.1040967201066</v>
      </c>
      <c r="C121" s="3718">
        <f t="shared" si="7"/>
        <v>0.17661121670847718</v>
      </c>
    </row>
    <row r="122" spans="1:5" ht="13.5" thickBot="1">
      <c r="A122" s="3720" t="str">
        <f>+Indicadores!A106</f>
        <v>Farmacias El Valor</v>
      </c>
      <c r="B122" s="3719">
        <f>+Indicadores!B106*'Resumen de Cifras'!$D$1</f>
        <v>2790.893110153906</v>
      </c>
      <c r="C122" s="3718">
        <f t="shared" si="7"/>
        <v>0.15592749014466586</v>
      </c>
    </row>
    <row r="123" spans="1:5" ht="13.5" thickBot="1">
      <c r="A123" s="3716" t="s">
        <v>228</v>
      </c>
      <c r="B123" s="3717">
        <f>SUM(B113:B122)</f>
        <v>17898.659867894883</v>
      </c>
      <c r="C123" s="3715">
        <f>SUM(C113:C122)</f>
        <v>1</v>
      </c>
    </row>
    <row r="124" spans="1:5" ht="14.5">
      <c r="A124" s="3712" t="s">
        <v>2452</v>
      </c>
      <c r="B124"/>
      <c r="C124"/>
    </row>
    <row r="127" spans="1:5" ht="15" thickBot="1">
      <c r="A127" s="3741" t="s">
        <v>2471</v>
      </c>
      <c r="B127" s="3741"/>
      <c r="C127" s="3741" t="s">
        <v>2471</v>
      </c>
    </row>
    <row r="128" spans="1:5" ht="13.5" thickBot="1">
      <c r="A128" s="3721" t="s">
        <v>2482</v>
      </c>
      <c r="B128" s="3721">
        <v>2020</v>
      </c>
      <c r="C128" s="3721">
        <v>2021</v>
      </c>
      <c r="D128" s="3742">
        <v>44805</v>
      </c>
      <c r="E128" s="3721" t="s">
        <v>2453</v>
      </c>
    </row>
    <row r="129" spans="1:5" ht="13.5" thickBot="1">
      <c r="A129" s="3720" t="s">
        <v>2493</v>
      </c>
      <c r="B129" s="3731"/>
      <c r="C129" s="3731"/>
      <c r="D129" s="3731">
        <v>39306</v>
      </c>
      <c r="E129" s="3718">
        <f>+D129/Indicadores!$D$141</f>
        <v>0.64679940760243537</v>
      </c>
    </row>
    <row r="130" spans="1:5" ht="13.5" thickBot="1">
      <c r="A130" s="3720" t="s">
        <v>2492</v>
      </c>
      <c r="B130" s="3731"/>
      <c r="C130" s="3731"/>
      <c r="D130" s="3731">
        <v>1285</v>
      </c>
      <c r="E130" s="3718">
        <f>+D130/Indicadores!$D$141</f>
        <v>2.114530195820306E-2</v>
      </c>
    </row>
    <row r="131" spans="1:5" ht="13.5" thickBot="1">
      <c r="A131" s="3720" t="s">
        <v>2491</v>
      </c>
      <c r="B131" s="3731"/>
      <c r="C131" s="3731"/>
      <c r="D131" s="3731">
        <v>8304</v>
      </c>
      <c r="E131" s="3718">
        <f>+D131/Indicadores!$D$141</f>
        <v>0.13664637156491691</v>
      </c>
    </row>
    <row r="132" spans="1:5" ht="13.5" thickBot="1">
      <c r="A132" s="3720" t="s">
        <v>2490</v>
      </c>
      <c r="B132" s="3731"/>
      <c r="C132" s="3731"/>
      <c r="D132" s="3731">
        <v>10799</v>
      </c>
      <c r="E132" s="3718">
        <f>+D132/Indicadores!$D$141</f>
        <v>0.17770281388843179</v>
      </c>
    </row>
    <row r="133" spans="1:5" ht="13.5" thickBot="1">
      <c r="A133" s="3720"/>
      <c r="B133" s="3731"/>
      <c r="C133" s="3731"/>
      <c r="D133" s="3731"/>
      <c r="E133" s="3718">
        <f>+D133/Indicadores!$D$141</f>
        <v>0</v>
      </c>
    </row>
    <row r="134" spans="1:5" ht="13.5" thickBot="1">
      <c r="A134" s="3720" t="s">
        <v>2489</v>
      </c>
      <c r="B134" s="3731"/>
      <c r="C134" s="3731"/>
      <c r="D134" s="3731">
        <v>563</v>
      </c>
      <c r="E134" s="3718">
        <f>+D134/Indicadores!$D$141</f>
        <v>9.2644396906368266E-3</v>
      </c>
    </row>
    <row r="135" spans="1:5" ht="13.5" thickBot="1">
      <c r="A135" s="3720" t="s">
        <v>2488</v>
      </c>
      <c r="B135" s="3731"/>
      <c r="C135" s="3731"/>
      <c r="D135" s="3731">
        <v>513</v>
      </c>
      <c r="E135" s="3718">
        <f>+D135/Indicadores!$D$141</f>
        <v>8.4416652953760076E-3</v>
      </c>
    </row>
    <row r="136" spans="1:5" ht="13.5" thickBot="1">
      <c r="A136" s="3720" t="s">
        <v>2487</v>
      </c>
      <c r="B136" s="3731"/>
      <c r="C136" s="3731"/>
      <c r="D136" s="3731"/>
      <c r="E136" s="3718">
        <f>+D136/Indicadores!$D$77</f>
        <v>0</v>
      </c>
    </row>
    <row r="137" spans="1:5" ht="13.5" thickBot="1">
      <c r="A137" s="3720" t="s">
        <v>2486</v>
      </c>
      <c r="B137" s="3731"/>
      <c r="C137" s="3731"/>
      <c r="D137" s="3731"/>
      <c r="E137" s="3718">
        <f>+D137/Indicadores!$D$77</f>
        <v>0</v>
      </c>
    </row>
    <row r="138" spans="1:5" ht="13.5" thickBot="1">
      <c r="A138" s="3720" t="s">
        <v>2485</v>
      </c>
      <c r="B138" s="3731"/>
      <c r="C138" s="3731"/>
      <c r="D138" s="3731"/>
      <c r="E138" s="3718">
        <f>+D138/Indicadores!$D$77</f>
        <v>0</v>
      </c>
    </row>
    <row r="139" spans="1:5" ht="13.5" thickBot="1">
      <c r="A139" s="3720" t="s">
        <v>2484</v>
      </c>
      <c r="B139" s="3731"/>
      <c r="C139" s="3731"/>
      <c r="D139" s="3731"/>
      <c r="E139" s="3718">
        <f>+D139/Indicadores!$D$77</f>
        <v>0</v>
      </c>
    </row>
    <row r="140" spans="1:5" ht="13.5" thickBot="1">
      <c r="A140" s="3720" t="s">
        <v>2483</v>
      </c>
      <c r="B140" s="3731"/>
      <c r="C140" s="3731"/>
      <c r="D140" s="3731"/>
      <c r="E140" s="3718">
        <f>+D140/Indicadores!$D$77</f>
        <v>0</v>
      </c>
    </row>
    <row r="141" spans="1:5" ht="13.5" thickBot="1">
      <c r="A141" s="3716" t="s">
        <v>228</v>
      </c>
      <c r="B141" s="3725">
        <f>SUM(B129:B140)</f>
        <v>0</v>
      </c>
      <c r="C141" s="3725">
        <f>SUM(C129:C140)</f>
        <v>0</v>
      </c>
      <c r="D141" s="3725">
        <f>SUM(D129:D140)</f>
        <v>60770</v>
      </c>
      <c r="E141" s="3715">
        <f>SUM(E129:E140)</f>
        <v>1</v>
      </c>
    </row>
    <row r="142" spans="1:5" ht="14.5">
      <c r="A142" s="3712" t="s">
        <v>2457</v>
      </c>
      <c r="B142"/>
      <c r="C142"/>
    </row>
    <row r="143" spans="1:5" ht="15" thickBot="1">
      <c r="A143" s="3741" t="s">
        <v>2455</v>
      </c>
      <c r="B143" s="3741"/>
      <c r="C143" s="3741" t="s">
        <v>2455</v>
      </c>
    </row>
    <row r="144" spans="1:5" ht="13.5" thickBot="1">
      <c r="A144" s="3721" t="s">
        <v>2482</v>
      </c>
      <c r="B144" s="3721">
        <v>2020</v>
      </c>
      <c r="C144" s="3721">
        <v>2021</v>
      </c>
      <c r="D144" s="3721">
        <v>2022</v>
      </c>
      <c r="E144" s="3721" t="s">
        <v>2453</v>
      </c>
    </row>
    <row r="145" spans="1:5" ht="13.5" thickBot="1">
      <c r="A145" s="3720" t="str">
        <f>+Indicadores!A129</f>
        <v>Fine Shiirts</v>
      </c>
      <c r="B145" s="3731">
        <v>1791</v>
      </c>
      <c r="C145" s="3731">
        <v>1601</v>
      </c>
      <c r="D145" s="3731">
        <f>+Indicadores!D129*'Resumen de Cifras'!$B$1</f>
        <v>1595.7356111384017</v>
      </c>
      <c r="E145" s="3718">
        <f t="shared" ref="E145:E156" si="8">+D145/$D$157</f>
        <v>0.64679940760243537</v>
      </c>
    </row>
    <row r="146" spans="1:5" ht="13.5" thickBot="1">
      <c r="A146" s="3720" t="str">
        <f>+Indicadores!A130</f>
        <v>Interamericana de Valores</v>
      </c>
      <c r="B146" s="3731">
        <f>52+9</f>
        <v>61</v>
      </c>
      <c r="C146" s="3731">
        <f>53-39</f>
        <v>14</v>
      </c>
      <c r="D146" s="3731">
        <f>+Indicadores!D130*'Resumen de Cifras'!$B$1</f>
        <v>52.168123449672983</v>
      </c>
      <c r="E146" s="3718">
        <f t="shared" si="8"/>
        <v>2.114530195820306E-2</v>
      </c>
    </row>
    <row r="147" spans="1:5" ht="13.5" thickBot="1">
      <c r="A147" s="3720" t="str">
        <f>+Indicadores!A131</f>
        <v>M2M Holding</v>
      </c>
      <c r="B147" s="3731">
        <v>1</v>
      </c>
      <c r="C147" s="3731">
        <v>1</v>
      </c>
      <c r="D147" s="3731">
        <f>+Indicadores!D131*'Resumen de Cifras'!$B$1</f>
        <v>337.12381099306185</v>
      </c>
      <c r="E147" s="3718">
        <f t="shared" si="8"/>
        <v>0.13664637156491691</v>
      </c>
    </row>
    <row r="148" spans="1:5" ht="13.5" thickBot="1">
      <c r="A148" s="3720" t="str">
        <f>+Indicadores!A132</f>
        <v>Van Heusen</v>
      </c>
      <c r="B148" s="3731">
        <v>603</v>
      </c>
      <c r="C148" s="3731">
        <v>68</v>
      </c>
      <c r="D148" s="3731">
        <f>+Indicadores!D132*'Resumen de Cifras'!$B$1</f>
        <v>438.41522578445023</v>
      </c>
      <c r="E148" s="3718">
        <f t="shared" si="8"/>
        <v>0.17770281388843179</v>
      </c>
    </row>
    <row r="149" spans="1:5" ht="13.5" thickBot="1">
      <c r="A149" s="3720">
        <f>+Indicadores!A133</f>
        <v>0</v>
      </c>
      <c r="B149" s="3731">
        <f>+Indicadores!B133*'Resumen de Cifras'!$B$1</f>
        <v>0</v>
      </c>
      <c r="C149" s="3731">
        <f>+Indicadores!C133*'Resumen de Cifras'!$B$1</f>
        <v>0</v>
      </c>
      <c r="D149" s="3731">
        <f>+Indicadores!D133*'Resumen de Cifras'!$B$1</f>
        <v>0</v>
      </c>
      <c r="E149" s="3718">
        <f t="shared" si="8"/>
        <v>0</v>
      </c>
    </row>
    <row r="150" spans="1:5" ht="13.5" thickBot="1">
      <c r="A150" s="3720" t="str">
        <f>+Indicadores!A134</f>
        <v>Kattan Apparel KAD</v>
      </c>
      <c r="B150" s="3731">
        <v>25</v>
      </c>
      <c r="C150" s="3731">
        <f>+Indicadores!C134*'Resumen de Cifras'!$B$1</f>
        <v>0</v>
      </c>
      <c r="D150" s="3731">
        <f>+Indicadores!D134*'Resumen de Cifras'!$B$1</f>
        <v>22.856539690401469</v>
      </c>
      <c r="E150" s="3718">
        <f t="shared" si="8"/>
        <v>9.2644396906368266E-3</v>
      </c>
    </row>
    <row r="151" spans="1:5" ht="13.5" thickBot="1">
      <c r="A151" s="3720" t="str">
        <f>+Indicadores!A135</f>
        <v>Kattan Apparel ES SA</v>
      </c>
      <c r="B151" s="3731">
        <v>53</v>
      </c>
      <c r="C151" s="3731">
        <v>2</v>
      </c>
      <c r="D151" s="3731">
        <f>+Indicadores!D135*'Resumen de Cifras'!$B$1</f>
        <v>20.826651618429761</v>
      </c>
      <c r="E151" s="3718">
        <f t="shared" si="8"/>
        <v>8.4416652953760076E-3</v>
      </c>
    </row>
    <row r="152" spans="1:5" ht="13.5" thickBot="1">
      <c r="A152" s="3720" t="s">
        <v>2481</v>
      </c>
      <c r="B152" s="3731">
        <v>725</v>
      </c>
      <c r="C152" s="3731">
        <v>14</v>
      </c>
      <c r="D152" s="3731">
        <f>+Indicadores!D136*'Resumen de Cifras'!$B$1</f>
        <v>0</v>
      </c>
      <c r="E152" s="3718">
        <f t="shared" si="8"/>
        <v>0</v>
      </c>
    </row>
    <row r="153" spans="1:5" ht="13.5" thickBot="1">
      <c r="A153" s="3720" t="str">
        <f>+Indicadores!A137</f>
        <v>CXC Otras</v>
      </c>
      <c r="B153" s="3731">
        <f>+Indicadores!B137*'Resumen de Cifras'!$B$1</f>
        <v>0</v>
      </c>
      <c r="C153" s="3731">
        <f>+Indicadores!C137*'Resumen de Cifras'!$B$1</f>
        <v>0</v>
      </c>
      <c r="D153" s="3731">
        <f>+Indicadores!D137*'Resumen de Cifras'!$B$1</f>
        <v>0</v>
      </c>
      <c r="E153" s="3718">
        <f t="shared" si="8"/>
        <v>0</v>
      </c>
    </row>
    <row r="154" spans="1:5" ht="13.5" thickBot="1">
      <c r="A154" s="3720" t="str">
        <f>+Indicadores!A138</f>
        <v>Farmacias Europea SA</v>
      </c>
      <c r="B154" s="3731">
        <f>+Indicadores!B138*'Resumen de Cifras'!$B$1</f>
        <v>0</v>
      </c>
      <c r="C154" s="3731">
        <f>+Indicadores!C138*'Resumen de Cifras'!$B$1</f>
        <v>0</v>
      </c>
      <c r="D154" s="3731">
        <f>+Indicadores!D138*'Resumen de Cifras'!$B$1</f>
        <v>0</v>
      </c>
      <c r="E154" s="3718">
        <f t="shared" si="8"/>
        <v>0</v>
      </c>
    </row>
    <row r="155" spans="1:5" ht="13.5" thickBot="1">
      <c r="A155" s="3720" t="str">
        <f>+Indicadores!A139</f>
        <v>Proconsumo</v>
      </c>
      <c r="B155" s="3731">
        <f>+Indicadores!B139*'Resumen de Cifras'!$B$1</f>
        <v>0</v>
      </c>
      <c r="C155" s="3731">
        <f>+Indicadores!C139*'Resumen de Cifras'!$B$1</f>
        <v>0</v>
      </c>
      <c r="D155" s="3731">
        <f>+Indicadores!D139*'Resumen de Cifras'!$B$1</f>
        <v>0</v>
      </c>
      <c r="E155" s="3718">
        <f t="shared" si="8"/>
        <v>0</v>
      </c>
    </row>
    <row r="156" spans="1:5" ht="13.5" thickBot="1">
      <c r="A156" s="3720" t="str">
        <f>+Indicadores!A140</f>
        <v>Regis</v>
      </c>
      <c r="B156" s="3731">
        <f>+Indicadores!B140*'Resumen de Cifras'!$B$1</f>
        <v>0</v>
      </c>
      <c r="C156" s="3731">
        <f>+Indicadores!C140*'Resumen de Cifras'!$B$1</f>
        <v>0</v>
      </c>
      <c r="D156" s="3731">
        <f>+Indicadores!D140*'Resumen de Cifras'!$B$1</f>
        <v>0</v>
      </c>
      <c r="E156" s="3718">
        <f t="shared" si="8"/>
        <v>0</v>
      </c>
    </row>
    <row r="157" spans="1:5" ht="13.5" thickBot="1">
      <c r="A157" s="3716" t="s">
        <v>228</v>
      </c>
      <c r="B157" s="3725">
        <f>SUM(B145:B156)</f>
        <v>3259</v>
      </c>
      <c r="C157" s="3725">
        <f>SUM(C145:C156)</f>
        <v>1700</v>
      </c>
      <c r="D157" s="3725">
        <f>SUM(D145:D156)</f>
        <v>2467.1259626744181</v>
      </c>
      <c r="E157" s="3715">
        <f>SUM(E145:E152)</f>
        <v>1</v>
      </c>
    </row>
    <row r="158" spans="1:5" ht="14.5">
      <c r="A158" s="3712" t="s">
        <v>2452</v>
      </c>
      <c r="B158"/>
      <c r="C158"/>
    </row>
  </sheetData>
  <mergeCells count="15">
    <mergeCell ref="A32:E32"/>
    <mergeCell ref="Q1:X1"/>
    <mergeCell ref="Q2:Q3"/>
    <mergeCell ref="S2:T2"/>
    <mergeCell ref="U2:V2"/>
    <mergeCell ref="W2:X2"/>
    <mergeCell ref="A18:F18"/>
    <mergeCell ref="A22:F22"/>
    <mergeCell ref="A1:F1"/>
    <mergeCell ref="H1:O1"/>
    <mergeCell ref="H2:H3"/>
    <mergeCell ref="J2:K2"/>
    <mergeCell ref="L2:M2"/>
    <mergeCell ref="N2:O2"/>
    <mergeCell ref="A12:F12"/>
  </mergeCells>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sheetPr codeName="Hoja54"/>
  <dimension ref="A1:L93"/>
  <sheetViews>
    <sheetView showGridLines="0" showRowColHeaders="0" zoomScale="70" zoomScaleNormal="70" workbookViewId="0">
      <pane ySplit="2" topLeftCell="A3" activePane="bottomLeft" state="frozen"/>
      <selection activeCell="D6" sqref="D6"/>
      <selection pane="bottomLeft" activeCell="A3" sqref="A3"/>
    </sheetView>
  </sheetViews>
  <sheetFormatPr baseColWidth="10" defaultRowHeight="14.5"/>
  <cols>
    <col min="1" max="1" width="58.453125" customWidth="1"/>
    <col min="2" max="10" width="15.1796875" customWidth="1"/>
  </cols>
  <sheetData>
    <row r="1" spans="1:10" ht="15" thickBot="1">
      <c r="A1" s="3722" t="s">
        <v>2596</v>
      </c>
    </row>
    <row r="2" spans="1:10" ht="19" thickBot="1">
      <c r="A2" s="3806" t="s">
        <v>2594</v>
      </c>
      <c r="B2" s="3804">
        <f>+'Balances y Proyecciones'!$N$15</f>
        <v>2019</v>
      </c>
      <c r="C2" s="3804">
        <f t="shared" ref="C2:J2" si="0">+B2+1</f>
        <v>2020</v>
      </c>
      <c r="D2" s="3804">
        <f t="shared" si="0"/>
        <v>2021</v>
      </c>
      <c r="E2" s="3804">
        <f t="shared" si="0"/>
        <v>2022</v>
      </c>
      <c r="F2" s="3804">
        <f t="shared" si="0"/>
        <v>2023</v>
      </c>
      <c r="G2" s="3804">
        <f t="shared" si="0"/>
        <v>2024</v>
      </c>
      <c r="H2" s="3805">
        <f t="shared" si="0"/>
        <v>2025</v>
      </c>
      <c r="I2" s="3804">
        <f t="shared" si="0"/>
        <v>2026</v>
      </c>
      <c r="J2" s="3804">
        <f t="shared" si="0"/>
        <v>2027</v>
      </c>
    </row>
    <row r="3" spans="1:10" ht="19" thickBot="1">
      <c r="A3" s="3801" t="s">
        <v>1346</v>
      </c>
      <c r="B3" s="3813">
        <f>+'Balances y Proyecciones'!$N$439</f>
        <v>0</v>
      </c>
      <c r="C3" s="3812">
        <f>+'Balances y Proyecciones'!T$439</f>
        <v>0</v>
      </c>
      <c r="D3" s="3812">
        <f>+'Balances y Proyecciones'!U$439</f>
        <v>0</v>
      </c>
      <c r="E3" s="3812">
        <f>+'Balances y Proyecciones'!V$439</f>
        <v>0</v>
      </c>
      <c r="F3" s="3812">
        <f>+'Balances y Proyecciones'!W$439</f>
        <v>0</v>
      </c>
      <c r="G3" s="3812">
        <f>+'Balances y Proyecciones'!X$439</f>
        <v>0</v>
      </c>
      <c r="H3" s="3812">
        <f>+'Balances y Proyecciones'!Y$439</f>
        <v>0</v>
      </c>
      <c r="I3" s="3812">
        <f>+'Balances y Proyecciones'!Z$439</f>
        <v>0</v>
      </c>
      <c r="J3" s="3812">
        <f>+'Balances y Proyecciones'!AA$439</f>
        <v>0</v>
      </c>
    </row>
    <row r="4" spans="1:10" ht="19" thickBot="1">
      <c r="A4" s="3801" t="s">
        <v>1347</v>
      </c>
      <c r="B4" s="3813">
        <f>+'Balances y Proyecciones'!$N$440</f>
        <v>0</v>
      </c>
      <c r="C4" s="3812">
        <f>+'Balances y Proyecciones'!T$440</f>
        <v>0</v>
      </c>
      <c r="D4" s="3812">
        <f>+'Balances y Proyecciones'!U$440</f>
        <v>0</v>
      </c>
      <c r="E4" s="3812">
        <f>+'Balances y Proyecciones'!V$440</f>
        <v>0</v>
      </c>
      <c r="F4" s="3812">
        <f>+'Balances y Proyecciones'!W$440</f>
        <v>0</v>
      </c>
      <c r="G4" s="3812">
        <f>+'Balances y Proyecciones'!X$440</f>
        <v>0</v>
      </c>
      <c r="H4" s="3812">
        <f>+'Balances y Proyecciones'!Y$440</f>
        <v>0</v>
      </c>
      <c r="I4" s="3812">
        <f>+'Balances y Proyecciones'!Z$440</f>
        <v>0</v>
      </c>
      <c r="J4" s="3812">
        <f>+'Balances y Proyecciones'!AA$440</f>
        <v>0</v>
      </c>
    </row>
    <row r="5" spans="1:10" ht="19" thickBot="1">
      <c r="A5" s="3801" t="s">
        <v>1348</v>
      </c>
      <c r="B5" s="3813">
        <f>+'Balances y Proyecciones'!$N$441</f>
        <v>0</v>
      </c>
      <c r="C5" s="3812">
        <f>+'Balances y Proyecciones'!T$441</f>
        <v>0</v>
      </c>
      <c r="D5" s="3812">
        <f>+'Balances y Proyecciones'!U$441</f>
        <v>0</v>
      </c>
      <c r="E5" s="3812">
        <f>+'Balances y Proyecciones'!V$441</f>
        <v>0</v>
      </c>
      <c r="F5" s="3812">
        <f>+'Balances y Proyecciones'!W$441</f>
        <v>0</v>
      </c>
      <c r="G5" s="3812">
        <f>+'Balances y Proyecciones'!X$441</f>
        <v>0</v>
      </c>
      <c r="H5" s="3812">
        <f>+'Balances y Proyecciones'!Y$441</f>
        <v>0</v>
      </c>
      <c r="I5" s="3812">
        <f>+'Balances y Proyecciones'!Z$441</f>
        <v>0</v>
      </c>
      <c r="J5" s="3812">
        <f>+'Balances y Proyecciones'!AA$441</f>
        <v>0</v>
      </c>
    </row>
    <row r="6" spans="1:10" ht="19" thickBot="1">
      <c r="A6" s="3801" t="s">
        <v>1360</v>
      </c>
      <c r="B6" s="3810">
        <f>+'Balances y Proyecciones'!$AY$725</f>
        <v>0</v>
      </c>
      <c r="C6" s="3809">
        <f>+'Balances y Proyecciones'!T$454</f>
        <v>0</v>
      </c>
      <c r="D6" s="3809">
        <f>+'Balances y Proyecciones'!U$454</f>
        <v>0</v>
      </c>
      <c r="E6" s="3809">
        <f>+'Balances y Proyecciones'!V$454</f>
        <v>0</v>
      </c>
      <c r="F6" s="3809">
        <f>+'Balances y Proyecciones'!W$454</f>
        <v>0</v>
      </c>
      <c r="G6" s="3809">
        <f>+'Balances y Proyecciones'!X$454</f>
        <v>0</v>
      </c>
      <c r="H6" s="3809">
        <f>+'Balances y Proyecciones'!Y$454</f>
        <v>0</v>
      </c>
      <c r="I6" s="3809">
        <f>+'Balances y Proyecciones'!Z$454</f>
        <v>0</v>
      </c>
      <c r="J6" s="3809">
        <f>+'Balances y Proyecciones'!AA$454</f>
        <v>0</v>
      </c>
    </row>
    <row r="7" spans="1:10" ht="19" thickBot="1">
      <c r="A7" s="3801" t="s">
        <v>1362</v>
      </c>
      <c r="B7" s="3810">
        <f>+'Balances y Proyecciones'!$AY$727</f>
        <v>0</v>
      </c>
      <c r="C7" s="3809">
        <f>+'Balances y Proyecciones'!T$456</f>
        <v>0</v>
      </c>
      <c r="D7" s="3809">
        <f>+'Balances y Proyecciones'!U$456</f>
        <v>0</v>
      </c>
      <c r="E7" s="3809">
        <f>+'Balances y Proyecciones'!V$456</f>
        <v>0</v>
      </c>
      <c r="F7" s="3809">
        <f>+'Balances y Proyecciones'!W$456</f>
        <v>0</v>
      </c>
      <c r="G7" s="3809">
        <f>+'Balances y Proyecciones'!X$456</f>
        <v>0</v>
      </c>
      <c r="H7" s="3809">
        <f>+'Balances y Proyecciones'!Y$456</f>
        <v>0</v>
      </c>
      <c r="I7" s="3809">
        <f>+'Balances y Proyecciones'!Z$456</f>
        <v>0</v>
      </c>
      <c r="J7" s="3809">
        <f>+'Balances y Proyecciones'!AA$456</f>
        <v>0</v>
      </c>
    </row>
    <row r="8" spans="1:10" ht="18.5">
      <c r="A8" s="3811" t="s">
        <v>1364</v>
      </c>
      <c r="B8" s="3818">
        <f>+'Balances y Proyecciones'!$N$459</f>
        <v>0</v>
      </c>
      <c r="C8" s="3817">
        <f>+'Balances y Proyecciones'!T$459</f>
        <v>0</v>
      </c>
      <c r="D8" s="3817">
        <f>+'Balances y Proyecciones'!U$459</f>
        <v>0</v>
      </c>
      <c r="E8" s="3817">
        <f>+'Balances y Proyecciones'!V$459</f>
        <v>0</v>
      </c>
      <c r="F8" s="3817">
        <f>+'Balances y Proyecciones'!W$459</f>
        <v>0</v>
      </c>
      <c r="G8" s="3817">
        <f>+'Balances y Proyecciones'!X$459</f>
        <v>0</v>
      </c>
      <c r="H8" s="3817">
        <f>+'Balances y Proyecciones'!Y$459</f>
        <v>0</v>
      </c>
      <c r="I8" s="3817">
        <f>+'Balances y Proyecciones'!Z$459</f>
        <v>0</v>
      </c>
      <c r="J8" s="3817">
        <f>+'Balances y Proyecciones'!AA$459</f>
        <v>0</v>
      </c>
    </row>
    <row r="9" spans="1:10" ht="15" thickBot="1">
      <c r="A9" s="3808"/>
      <c r="B9" s="3808"/>
      <c r="C9" s="3808"/>
      <c r="D9" s="3808"/>
      <c r="E9" s="3808"/>
      <c r="F9" s="3808"/>
      <c r="G9" s="3808"/>
      <c r="H9" s="3808"/>
      <c r="I9" s="3808"/>
      <c r="J9" s="3807"/>
    </row>
    <row r="10" spans="1:10" ht="19" thickBot="1">
      <c r="A10" s="3806" t="s">
        <v>2593</v>
      </c>
      <c r="B10" s="3804">
        <f t="shared" ref="B10:J10" si="1">+B2</f>
        <v>2019</v>
      </c>
      <c r="C10" s="3804">
        <f t="shared" si="1"/>
        <v>2020</v>
      </c>
      <c r="D10" s="3804">
        <f t="shared" si="1"/>
        <v>2021</v>
      </c>
      <c r="E10" s="3804">
        <f t="shared" si="1"/>
        <v>2022</v>
      </c>
      <c r="F10" s="3804">
        <f t="shared" si="1"/>
        <v>2023</v>
      </c>
      <c r="G10" s="3804">
        <f t="shared" si="1"/>
        <v>2024</v>
      </c>
      <c r="H10" s="3805">
        <f t="shared" si="1"/>
        <v>2025</v>
      </c>
      <c r="I10" s="3804">
        <f t="shared" si="1"/>
        <v>2026</v>
      </c>
      <c r="J10" s="3804">
        <f t="shared" si="1"/>
        <v>2027</v>
      </c>
    </row>
    <row r="11" spans="1:10" ht="19" thickBot="1">
      <c r="A11" s="3801" t="s">
        <v>881</v>
      </c>
      <c r="B11" s="3803">
        <f>+'Estados Financieros'!$G$458</f>
        <v>0</v>
      </c>
      <c r="C11" s="3802">
        <f>+'Balances y Proyecciones'!T$93</f>
        <v>0</v>
      </c>
      <c r="D11" s="3802">
        <f>+'Balances y Proyecciones'!U$93</f>
        <v>0</v>
      </c>
      <c r="E11" s="3802">
        <f>+'Balances y Proyecciones'!V$93</f>
        <v>0</v>
      </c>
      <c r="F11" s="3802">
        <f>+'Balances y Proyecciones'!W$93</f>
        <v>0</v>
      </c>
      <c r="G11" s="3802">
        <f>+'Balances y Proyecciones'!X$93</f>
        <v>0</v>
      </c>
      <c r="H11" s="3802">
        <f>+'Balances y Proyecciones'!Y$93</f>
        <v>0</v>
      </c>
      <c r="I11" s="3802">
        <f>+'Balances y Proyecciones'!Z$93</f>
        <v>0</v>
      </c>
      <c r="J11" s="3802">
        <f>+'Balances y Proyecciones'!AA$93</f>
        <v>0</v>
      </c>
    </row>
    <row r="12" spans="1:10" ht="19" thickBot="1">
      <c r="A12" s="3801" t="s">
        <v>1165</v>
      </c>
      <c r="B12" s="3803">
        <f>+'Balances y Proyecciones'!$N$151</f>
        <v>0</v>
      </c>
      <c r="C12" s="3802">
        <f>+'Balances y Proyecciones'!T$151</f>
        <v>0</v>
      </c>
      <c r="D12" s="3802">
        <f>+'Balances y Proyecciones'!U$151</f>
        <v>0</v>
      </c>
      <c r="E12" s="3802">
        <f>+'Balances y Proyecciones'!V$151</f>
        <v>0</v>
      </c>
      <c r="F12" s="3802">
        <f>+'Balances y Proyecciones'!W$151</f>
        <v>0</v>
      </c>
      <c r="G12" s="3802">
        <f>+'Balances y Proyecciones'!X$151</f>
        <v>0</v>
      </c>
      <c r="H12" s="3802">
        <f>+'Balances y Proyecciones'!Y$151</f>
        <v>0</v>
      </c>
      <c r="I12" s="3802">
        <f>+'Balances y Proyecciones'!Z$151</f>
        <v>0</v>
      </c>
      <c r="J12" s="3802">
        <f>+'Balances y Proyecciones'!AA$151</f>
        <v>0</v>
      </c>
    </row>
    <row r="13" spans="1:10" ht="19" thickBot="1">
      <c r="A13" s="3801" t="s">
        <v>1175</v>
      </c>
      <c r="B13" s="3803">
        <f>+'Balances y Proyecciones'!$N$157</f>
        <v>0</v>
      </c>
      <c r="C13" s="3802">
        <f>+'Balances y Proyecciones'!$T$157</f>
        <v>0</v>
      </c>
      <c r="D13" s="3802">
        <f>+'Balances y Proyecciones'!U$157</f>
        <v>0</v>
      </c>
      <c r="E13" s="3802">
        <f>+'Balances y Proyecciones'!V$157</f>
        <v>0</v>
      </c>
      <c r="F13" s="3802">
        <f>+'Balances y Proyecciones'!W$157</f>
        <v>0</v>
      </c>
      <c r="G13" s="3802">
        <f>+'Balances y Proyecciones'!X$157</f>
        <v>0</v>
      </c>
      <c r="H13" s="3802">
        <f>+'Balances y Proyecciones'!Y$157</f>
        <v>0</v>
      </c>
      <c r="I13" s="3802">
        <f>+'Balances y Proyecciones'!Z$157</f>
        <v>0</v>
      </c>
      <c r="J13" s="3802">
        <f>+'Balances y Proyecciones'!AA$157</f>
        <v>0</v>
      </c>
    </row>
    <row r="14" spans="1:10" ht="19" thickBot="1">
      <c r="A14" s="3801" t="s">
        <v>904</v>
      </c>
      <c r="B14" s="3803">
        <f>+'Balances y Proyecciones'!$N$18</f>
        <v>0</v>
      </c>
      <c r="C14" s="3802">
        <f>+'Balances y Proyecciones'!T$18</f>
        <v>0</v>
      </c>
      <c r="D14" s="3802">
        <f>+'Balances y Proyecciones'!U$18</f>
        <v>0</v>
      </c>
      <c r="E14" s="3802">
        <f>+'Balances y Proyecciones'!V$18</f>
        <v>0</v>
      </c>
      <c r="F14" s="3802">
        <f>+'Balances y Proyecciones'!W$18</f>
        <v>0</v>
      </c>
      <c r="G14" s="3802">
        <f>+'Balances y Proyecciones'!X$18</f>
        <v>0</v>
      </c>
      <c r="H14" s="3802">
        <f>+'Balances y Proyecciones'!Y$18</f>
        <v>0</v>
      </c>
      <c r="I14" s="3802">
        <f>+'Balances y Proyecciones'!Z$18</f>
        <v>0</v>
      </c>
      <c r="J14" s="3802">
        <f>+'Balances y Proyecciones'!AA$18</f>
        <v>0</v>
      </c>
    </row>
    <row r="15" spans="1:10" ht="19" thickBot="1">
      <c r="A15" s="3801" t="s">
        <v>2342</v>
      </c>
      <c r="B15" s="3800" t="e">
        <f>+B11/(B20+B19)</f>
        <v>#DIV/0!</v>
      </c>
      <c r="C15" s="3799" t="e">
        <f>+C11/(C20+C19)</f>
        <v>#DIV/0!</v>
      </c>
      <c r="D15" s="3799" t="e">
        <f>+D11/(D20+D19)</f>
        <v>#DIV/0!</v>
      </c>
      <c r="E15" s="3799" t="e">
        <f t="shared" ref="E15:J15" si="2">+E11/(E19+E20)</f>
        <v>#DIV/0!</v>
      </c>
      <c r="F15" s="3799" t="e">
        <f t="shared" si="2"/>
        <v>#DIV/0!</v>
      </c>
      <c r="G15" s="3799" t="e">
        <f t="shared" si="2"/>
        <v>#DIV/0!</v>
      </c>
      <c r="H15" s="3799" t="e">
        <f t="shared" si="2"/>
        <v>#DIV/0!</v>
      </c>
      <c r="I15" s="3799" t="e">
        <f t="shared" si="2"/>
        <v>#DIV/0!</v>
      </c>
      <c r="J15" s="3799" t="e">
        <f t="shared" si="2"/>
        <v>#DIV/0!</v>
      </c>
    </row>
    <row r="16" spans="1:10" ht="19" thickBot="1">
      <c r="A16" s="3801" t="s">
        <v>2592</v>
      </c>
      <c r="B16" s="3800" t="e">
        <f t="shared" ref="B16:J16" si="3">+(B21+B23)/B11</f>
        <v>#DIV/0!</v>
      </c>
      <c r="C16" s="3799" t="e">
        <f t="shared" si="3"/>
        <v>#DIV/0!</v>
      </c>
      <c r="D16" s="3799" t="e">
        <f t="shared" si="3"/>
        <v>#DIV/0!</v>
      </c>
      <c r="E16" s="3799" t="e">
        <f t="shared" si="3"/>
        <v>#DIV/0!</v>
      </c>
      <c r="F16" s="3799" t="e">
        <f t="shared" si="3"/>
        <v>#DIV/0!</v>
      </c>
      <c r="G16" s="3799" t="e">
        <f t="shared" si="3"/>
        <v>#DIV/0!</v>
      </c>
      <c r="H16" s="3799" t="e">
        <f t="shared" si="3"/>
        <v>#DIV/0!</v>
      </c>
      <c r="I16" s="3799" t="e">
        <f t="shared" si="3"/>
        <v>#DIV/0!</v>
      </c>
      <c r="J16" s="3799" t="e">
        <f t="shared" si="3"/>
        <v>#DIV/0!</v>
      </c>
    </row>
    <row r="17" spans="1:12" ht="19" thickBot="1">
      <c r="A17" s="3801" t="s">
        <v>2591</v>
      </c>
      <c r="B17" s="3800" t="e">
        <f t="shared" ref="B17:J17" si="4">+B11/B20</f>
        <v>#DIV/0!</v>
      </c>
      <c r="C17" s="3799" t="e">
        <f t="shared" si="4"/>
        <v>#DIV/0!</v>
      </c>
      <c r="D17" s="3799" t="e">
        <f t="shared" si="4"/>
        <v>#DIV/0!</v>
      </c>
      <c r="E17" s="3799" t="e">
        <f t="shared" si="4"/>
        <v>#DIV/0!</v>
      </c>
      <c r="F17" s="3799" t="e">
        <f t="shared" si="4"/>
        <v>#DIV/0!</v>
      </c>
      <c r="G17" s="3799" t="e">
        <f t="shared" si="4"/>
        <v>#DIV/0!</v>
      </c>
      <c r="H17" s="3799" t="e">
        <f t="shared" si="4"/>
        <v>#DIV/0!</v>
      </c>
      <c r="I17" s="3799" t="e">
        <f t="shared" si="4"/>
        <v>#DIV/0!</v>
      </c>
      <c r="J17" s="3799" t="e">
        <f t="shared" si="4"/>
        <v>#DIV/0!</v>
      </c>
    </row>
    <row r="18" spans="1:12">
      <c r="L18" s="3816"/>
    </row>
    <row r="19" spans="1:12">
      <c r="A19" s="3798" t="s">
        <v>1169</v>
      </c>
      <c r="B19" s="3795">
        <f>+'Estados Financieros'!$F$196</f>
        <v>0</v>
      </c>
      <c r="C19" s="3795">
        <f>+'Balances y Proyecciones'!T$153*-1</f>
        <v>0</v>
      </c>
      <c r="D19" s="3795">
        <f>+'Balances y Proyecciones'!U$153*-1</f>
        <v>0</v>
      </c>
      <c r="E19" s="3795">
        <f>+'Balances y Proyecciones'!V$153*-1</f>
        <v>0</v>
      </c>
      <c r="F19" s="3795">
        <f>+'Balances y Proyecciones'!W$153*-1</f>
        <v>0</v>
      </c>
      <c r="G19" s="3795">
        <f>+'Balances y Proyecciones'!X$153*-1</f>
        <v>0</v>
      </c>
      <c r="H19" s="3795">
        <f>+'Balances y Proyecciones'!Y$153*-1</f>
        <v>0</v>
      </c>
      <c r="I19" s="3795">
        <f>+'Balances y Proyecciones'!Z$153*-1</f>
        <v>0</v>
      </c>
      <c r="J19" s="3795">
        <f>+'Balances y Proyecciones'!AA$153*-1</f>
        <v>0</v>
      </c>
      <c r="L19" s="3816" t="s">
        <v>1654</v>
      </c>
    </row>
    <row r="20" spans="1:12">
      <c r="A20" s="3797" t="s">
        <v>1173</v>
      </c>
      <c r="B20" s="3795">
        <f>+'Estados Financieros'!$G$439</f>
        <v>0</v>
      </c>
      <c r="C20" s="3795">
        <f>+'Balances y Proyecciones'!T$155*-1</f>
        <v>0</v>
      </c>
      <c r="D20" s="3795">
        <f>+'Balances y Proyecciones'!U$155*-1</f>
        <v>0</v>
      </c>
      <c r="E20" s="3795">
        <f>+'Balances y Proyecciones'!V$155*-1</f>
        <v>0</v>
      </c>
      <c r="F20" s="3795">
        <f>+'Balances y Proyecciones'!W$155*-1</f>
        <v>0</v>
      </c>
      <c r="G20" s="3795">
        <f>+'Balances y Proyecciones'!X$155*-1</f>
        <v>0</v>
      </c>
      <c r="H20" s="3795">
        <f>+'Balances y Proyecciones'!Y$155*-1</f>
        <v>0</v>
      </c>
      <c r="I20" s="3795">
        <f>+'Balances y Proyecciones'!Z$155*-1</f>
        <v>0</v>
      </c>
      <c r="J20" s="3795">
        <f>+'Balances y Proyecciones'!AA$155*-1</f>
        <v>0</v>
      </c>
    </row>
    <row r="21" spans="1:12">
      <c r="A21" s="3796" t="s">
        <v>1069</v>
      </c>
      <c r="B21" s="3795">
        <f>+'Estados Financieros'!$G$198</f>
        <v>0</v>
      </c>
      <c r="C21" s="3795">
        <f>+C22+'Balances y Proyecciones'!T36</f>
        <v>0</v>
      </c>
      <c r="D21" s="3795">
        <f>+D22+'Balances y Proyecciones'!U36</f>
        <v>0</v>
      </c>
      <c r="E21" s="3795">
        <f>+E22+'Balances y Proyecciones'!V36</f>
        <v>0</v>
      </c>
      <c r="F21" s="3795">
        <f>+F22+'Balances y Proyecciones'!W36</f>
        <v>0</v>
      </c>
      <c r="G21" s="3795">
        <f>+G22+'Balances y Proyecciones'!X36</f>
        <v>0</v>
      </c>
      <c r="H21" s="3795">
        <f>+H22+'Balances y Proyecciones'!Y36</f>
        <v>0</v>
      </c>
      <c r="I21" s="3795">
        <f>+I22+'Balances y Proyecciones'!Z36</f>
        <v>0</v>
      </c>
      <c r="J21" s="3795">
        <f>+J22+'Balances y Proyecciones'!AA36</f>
        <v>0</v>
      </c>
    </row>
    <row r="22" spans="1:12">
      <c r="A22" s="3796" t="s">
        <v>1071</v>
      </c>
      <c r="B22" s="3795">
        <f>+'Estados Financieros'!$G$196</f>
        <v>0</v>
      </c>
      <c r="C22" s="3795">
        <f>+'Balances y Proyecciones'!T$37+'Balances y Proyecciones'!T$38+'Balances y Proyecciones'!T$39</f>
        <v>0</v>
      </c>
      <c r="D22" s="3795">
        <f>+'Balances y Proyecciones'!U$37+'Balances y Proyecciones'!U$38+'Balances y Proyecciones'!U$39</f>
        <v>0</v>
      </c>
      <c r="E22" s="3795">
        <f>+'Balances y Proyecciones'!V$37+'Balances y Proyecciones'!V$38+'Balances y Proyecciones'!V$39</f>
        <v>0</v>
      </c>
      <c r="F22" s="3795">
        <f>+'Balances y Proyecciones'!W$37+'Balances y Proyecciones'!W$38+'Balances y Proyecciones'!W$39</f>
        <v>0</v>
      </c>
      <c r="G22" s="3795">
        <f>+'Balances y Proyecciones'!X$37+'Balances y Proyecciones'!X$38+'Balances y Proyecciones'!X$39</f>
        <v>0</v>
      </c>
      <c r="H22" s="3795">
        <f>+'Balances y Proyecciones'!Y$37+'Balances y Proyecciones'!Y$38+'Balances y Proyecciones'!Y$39</f>
        <v>0</v>
      </c>
      <c r="I22" s="3795">
        <f>+'Balances y Proyecciones'!Z$37+'Balances y Proyecciones'!Z$38+'Balances y Proyecciones'!Z$39</f>
        <v>0</v>
      </c>
      <c r="J22" s="3795">
        <f>+'Balances y Proyecciones'!AA$37+'Balances y Proyecciones'!AA$38+'Balances y Proyecciones'!AA$39</f>
        <v>0</v>
      </c>
    </row>
    <row r="23" spans="1:12">
      <c r="A23" s="3796" t="s">
        <v>741</v>
      </c>
      <c r="B23" s="3795">
        <f>+'Estados Financieros'!$G$270</f>
        <v>0</v>
      </c>
      <c r="C23" s="3795">
        <f>+'Balances y Proyecciones'!T$49+'Balances y Proyecciones'!T$51</f>
        <v>0</v>
      </c>
      <c r="D23" s="3795">
        <f>+'Balances y Proyecciones'!U$49+'Balances y Proyecciones'!U$51</f>
        <v>0</v>
      </c>
      <c r="E23" s="3795">
        <f>+'Balances y Proyecciones'!V$49+'Balances y Proyecciones'!V$51</f>
        <v>0</v>
      </c>
      <c r="F23" s="3795">
        <f>+'Balances y Proyecciones'!W$49+'Balances y Proyecciones'!W$51</f>
        <v>0</v>
      </c>
      <c r="G23" s="3795">
        <f>+'Balances y Proyecciones'!X$49+'Balances y Proyecciones'!X$51</f>
        <v>0</v>
      </c>
      <c r="H23" s="3795">
        <f>+'Balances y Proyecciones'!Y$49+'Balances y Proyecciones'!Y$51</f>
        <v>0</v>
      </c>
      <c r="I23" s="3795">
        <f>+'Balances y Proyecciones'!Z$49+'Balances y Proyecciones'!Z$51</f>
        <v>0</v>
      </c>
      <c r="J23" s="3795">
        <f>+'Balances y Proyecciones'!AA$49+'Balances y Proyecciones'!AA$51</f>
        <v>0</v>
      </c>
    </row>
    <row r="24" spans="1:12">
      <c r="A24" s="3796" t="s">
        <v>2518</v>
      </c>
      <c r="B24" s="3795"/>
      <c r="C24" s="3815">
        <f t="shared" ref="C24:J24" si="5">+IFERROR(((C21+C23)-(B21+B23))/(B21+B23),0)</f>
        <v>0</v>
      </c>
      <c r="D24" s="3815">
        <f t="shared" si="5"/>
        <v>0</v>
      </c>
      <c r="E24" s="3815">
        <f t="shared" si="5"/>
        <v>0</v>
      </c>
      <c r="F24" s="3815">
        <f t="shared" si="5"/>
        <v>0</v>
      </c>
      <c r="G24" s="3815">
        <f t="shared" si="5"/>
        <v>0</v>
      </c>
      <c r="H24" s="3815">
        <f t="shared" si="5"/>
        <v>0</v>
      </c>
      <c r="I24" s="3815">
        <f t="shared" si="5"/>
        <v>0</v>
      </c>
      <c r="J24" s="3815">
        <f t="shared" si="5"/>
        <v>0</v>
      </c>
    </row>
    <row r="25" spans="1:12">
      <c r="A25" s="3794"/>
      <c r="B25" s="3793"/>
      <c r="C25" s="3793"/>
      <c r="D25" s="3793"/>
      <c r="E25" s="3793"/>
      <c r="F25" s="3793"/>
      <c r="G25" s="3793"/>
      <c r="H25" s="3793"/>
      <c r="I25" s="3793"/>
      <c r="J25" s="3793"/>
    </row>
    <row r="26" spans="1:12" ht="15" thickBot="1">
      <c r="A26" s="3814" t="s">
        <v>2595</v>
      </c>
      <c r="B26" s="3793"/>
      <c r="C26" s="3793"/>
      <c r="D26" s="3793"/>
      <c r="E26" s="3793"/>
      <c r="F26" s="3793"/>
      <c r="G26" s="3793"/>
      <c r="H26" s="3793"/>
      <c r="I26" s="3793"/>
      <c r="J26" s="3793"/>
    </row>
    <row r="27" spans="1:12" ht="19" thickBot="1">
      <c r="A27" s="3806" t="s">
        <v>2594</v>
      </c>
      <c r="B27" s="3804">
        <f>+'Balances y Proyecciones'!$N$15</f>
        <v>2019</v>
      </c>
      <c r="C27" s="3804">
        <f t="shared" ref="C27:J27" si="6">+B27+1</f>
        <v>2020</v>
      </c>
      <c r="D27" s="3804">
        <f t="shared" si="6"/>
        <v>2021</v>
      </c>
      <c r="E27" s="3804">
        <f t="shared" si="6"/>
        <v>2022</v>
      </c>
      <c r="F27" s="3804">
        <f t="shared" si="6"/>
        <v>2023</v>
      </c>
      <c r="G27" s="3804">
        <f t="shared" si="6"/>
        <v>2024</v>
      </c>
      <c r="H27" s="3805">
        <f t="shared" si="6"/>
        <v>2025</v>
      </c>
      <c r="I27" s="3804">
        <f t="shared" si="6"/>
        <v>2026</v>
      </c>
      <c r="J27" s="3804">
        <f t="shared" si="6"/>
        <v>2027</v>
      </c>
    </row>
    <row r="28" spans="1:12" ht="19" thickBot="1">
      <c r="A28" s="3801" t="s">
        <v>1346</v>
      </c>
      <c r="B28" s="3813">
        <f t="shared" ref="B28:J28" si="7">+B3</f>
        <v>0</v>
      </c>
      <c r="C28" s="3812">
        <f t="shared" si="7"/>
        <v>0</v>
      </c>
      <c r="D28" s="3812">
        <f t="shared" si="7"/>
        <v>0</v>
      </c>
      <c r="E28" s="3812">
        <f t="shared" si="7"/>
        <v>0</v>
      </c>
      <c r="F28" s="3812">
        <f t="shared" si="7"/>
        <v>0</v>
      </c>
      <c r="G28" s="3812">
        <f t="shared" si="7"/>
        <v>0</v>
      </c>
      <c r="H28" s="3812">
        <f t="shared" si="7"/>
        <v>0</v>
      </c>
      <c r="I28" s="3812">
        <f t="shared" si="7"/>
        <v>0</v>
      </c>
      <c r="J28" s="3812">
        <f t="shared" si="7"/>
        <v>0</v>
      </c>
    </row>
    <row r="29" spans="1:12" ht="19" thickBot="1">
      <c r="A29" s="3801" t="s">
        <v>1347</v>
      </c>
      <c r="B29" s="3813">
        <f t="shared" ref="B29:J29" si="8">+B4</f>
        <v>0</v>
      </c>
      <c r="C29" s="3812">
        <f t="shared" si="8"/>
        <v>0</v>
      </c>
      <c r="D29" s="3812">
        <f t="shared" si="8"/>
        <v>0</v>
      </c>
      <c r="E29" s="3812">
        <f t="shared" si="8"/>
        <v>0</v>
      </c>
      <c r="F29" s="3812">
        <f t="shared" si="8"/>
        <v>0</v>
      </c>
      <c r="G29" s="3812">
        <f t="shared" si="8"/>
        <v>0</v>
      </c>
      <c r="H29" s="3812">
        <f t="shared" si="8"/>
        <v>0</v>
      </c>
      <c r="I29" s="3812">
        <f t="shared" si="8"/>
        <v>0</v>
      </c>
      <c r="J29" s="3812">
        <f t="shared" si="8"/>
        <v>0</v>
      </c>
    </row>
    <row r="30" spans="1:12" ht="19" thickBot="1">
      <c r="A30" s="3801" t="s">
        <v>1348</v>
      </c>
      <c r="B30" s="3813">
        <f t="shared" ref="B30:J30" si="9">+B5</f>
        <v>0</v>
      </c>
      <c r="C30" s="3812">
        <f t="shared" si="9"/>
        <v>0</v>
      </c>
      <c r="D30" s="3812">
        <f t="shared" si="9"/>
        <v>0</v>
      </c>
      <c r="E30" s="3812">
        <f t="shared" si="9"/>
        <v>0</v>
      </c>
      <c r="F30" s="3812">
        <f t="shared" si="9"/>
        <v>0</v>
      </c>
      <c r="G30" s="3812">
        <f t="shared" si="9"/>
        <v>0</v>
      </c>
      <c r="H30" s="3812">
        <f t="shared" si="9"/>
        <v>0</v>
      </c>
      <c r="I30" s="3812">
        <f t="shared" si="9"/>
        <v>0</v>
      </c>
      <c r="J30" s="3812">
        <f t="shared" si="9"/>
        <v>0</v>
      </c>
    </row>
    <row r="31" spans="1:12" ht="19" thickBot="1">
      <c r="A31" s="3801" t="s">
        <v>1360</v>
      </c>
      <c r="B31" s="3810">
        <f t="shared" ref="B31:J31" si="10">+B6</f>
        <v>0</v>
      </c>
      <c r="C31" s="3809">
        <f t="shared" si="10"/>
        <v>0</v>
      </c>
      <c r="D31" s="3809">
        <f t="shared" si="10"/>
        <v>0</v>
      </c>
      <c r="E31" s="3809">
        <f t="shared" si="10"/>
        <v>0</v>
      </c>
      <c r="F31" s="3809">
        <f t="shared" si="10"/>
        <v>0</v>
      </c>
      <c r="G31" s="3809">
        <f t="shared" si="10"/>
        <v>0</v>
      </c>
      <c r="H31" s="3809">
        <f t="shared" si="10"/>
        <v>0</v>
      </c>
      <c r="I31" s="3809">
        <f t="shared" si="10"/>
        <v>0</v>
      </c>
      <c r="J31" s="3809">
        <f t="shared" si="10"/>
        <v>0</v>
      </c>
    </row>
    <row r="32" spans="1:12" ht="19" thickBot="1">
      <c r="A32" s="3801" t="s">
        <v>1362</v>
      </c>
      <c r="B32" s="3810">
        <f t="shared" ref="B32:J32" si="11">+B7</f>
        <v>0</v>
      </c>
      <c r="C32" s="3809">
        <f t="shared" si="11"/>
        <v>0</v>
      </c>
      <c r="D32" s="3809">
        <f t="shared" si="11"/>
        <v>0</v>
      </c>
      <c r="E32" s="3809">
        <f t="shared" si="11"/>
        <v>0</v>
      </c>
      <c r="F32" s="3809">
        <f t="shared" si="11"/>
        <v>0</v>
      </c>
      <c r="G32" s="3809">
        <f t="shared" si="11"/>
        <v>0</v>
      </c>
      <c r="H32" s="3809">
        <f t="shared" si="11"/>
        <v>0</v>
      </c>
      <c r="I32" s="3809">
        <f t="shared" si="11"/>
        <v>0</v>
      </c>
      <c r="J32" s="3809">
        <f t="shared" si="11"/>
        <v>0</v>
      </c>
    </row>
    <row r="33" spans="1:10" ht="19" thickBot="1">
      <c r="A33" s="3811" t="s">
        <v>1364</v>
      </c>
      <c r="B33" s="3810">
        <f t="shared" ref="B33:J33" si="12">+B8</f>
        <v>0</v>
      </c>
      <c r="C33" s="3809">
        <f t="shared" si="12"/>
        <v>0</v>
      </c>
      <c r="D33" s="3809">
        <f t="shared" si="12"/>
        <v>0</v>
      </c>
      <c r="E33" s="3809">
        <f t="shared" si="12"/>
        <v>0</v>
      </c>
      <c r="F33" s="3809">
        <f t="shared" si="12"/>
        <v>0</v>
      </c>
      <c r="G33" s="3809">
        <f t="shared" si="12"/>
        <v>0</v>
      </c>
      <c r="H33" s="3809">
        <f t="shared" si="12"/>
        <v>0</v>
      </c>
      <c r="I33" s="3809">
        <f t="shared" si="12"/>
        <v>0</v>
      </c>
      <c r="J33" s="3809">
        <f t="shared" si="12"/>
        <v>0</v>
      </c>
    </row>
    <row r="34" spans="1:10" ht="15" thickBot="1">
      <c r="A34" s="3808"/>
      <c r="B34" s="3808"/>
      <c r="C34" s="3808"/>
      <c r="D34" s="3808"/>
      <c r="E34" s="3808"/>
      <c r="F34" s="3808"/>
      <c r="G34" s="3808"/>
      <c r="H34" s="3808"/>
      <c r="I34" s="3808"/>
      <c r="J34" s="3807"/>
    </row>
    <row r="35" spans="1:10" ht="19" thickBot="1">
      <c r="A35" s="3806" t="s">
        <v>2593</v>
      </c>
      <c r="B35" s="3804">
        <f t="shared" ref="B35:J35" si="13">+B27</f>
        <v>2019</v>
      </c>
      <c r="C35" s="3804">
        <f t="shared" si="13"/>
        <v>2020</v>
      </c>
      <c r="D35" s="3804">
        <f t="shared" si="13"/>
        <v>2021</v>
      </c>
      <c r="E35" s="3804">
        <f t="shared" si="13"/>
        <v>2022</v>
      </c>
      <c r="F35" s="3804">
        <f t="shared" si="13"/>
        <v>2023</v>
      </c>
      <c r="G35" s="3804">
        <f t="shared" si="13"/>
        <v>2024</v>
      </c>
      <c r="H35" s="3805">
        <f t="shared" si="13"/>
        <v>2025</v>
      </c>
      <c r="I35" s="3804">
        <f t="shared" si="13"/>
        <v>2026</v>
      </c>
      <c r="J35" s="3804">
        <f t="shared" si="13"/>
        <v>2027</v>
      </c>
    </row>
    <row r="36" spans="1:10" ht="19" thickBot="1">
      <c r="A36" s="3801" t="s">
        <v>881</v>
      </c>
      <c r="B36" s="3803">
        <f>+B11*'Resumen de Cifras'!$C$1</f>
        <v>0</v>
      </c>
      <c r="C36" s="3802">
        <f>+C11*'Resumen de Cifras'!$C$1</f>
        <v>0</v>
      </c>
      <c r="D36" s="3802">
        <f>+D11*'Resumen de Cifras'!$C$1</f>
        <v>0</v>
      </c>
      <c r="E36" s="3802">
        <f>+E11*'Resumen de Cifras'!$C$1</f>
        <v>0</v>
      </c>
      <c r="F36" s="3802">
        <f>+F11*'Resumen de Cifras'!$C$1</f>
        <v>0</v>
      </c>
      <c r="G36" s="3802">
        <f>+G11*'Resumen de Cifras'!$C$1</f>
        <v>0</v>
      </c>
      <c r="H36" s="3802">
        <f>+H11*'Resumen de Cifras'!$C$1</f>
        <v>0</v>
      </c>
      <c r="I36" s="3802">
        <f>+I11*'Resumen de Cifras'!$C$1</f>
        <v>0</v>
      </c>
      <c r="J36" s="3802">
        <f>+J11*'Resumen de Cifras'!$C$1</f>
        <v>0</v>
      </c>
    </row>
    <row r="37" spans="1:10" ht="19" thickBot="1">
      <c r="A37" s="3801" t="s">
        <v>1165</v>
      </c>
      <c r="B37" s="3803">
        <f>+B12*'Resumen de Cifras'!$C$1</f>
        <v>0</v>
      </c>
      <c r="C37" s="3802">
        <f>+C12*'Resumen de Cifras'!$C$1</f>
        <v>0</v>
      </c>
      <c r="D37" s="3802">
        <f>+D12*'Resumen de Cifras'!$C$1</f>
        <v>0</v>
      </c>
      <c r="E37" s="3802">
        <f>+E12*'Resumen de Cifras'!$C$1</f>
        <v>0</v>
      </c>
      <c r="F37" s="3802">
        <f>+F12*'Resumen de Cifras'!$C$1</f>
        <v>0</v>
      </c>
      <c r="G37" s="3802">
        <f>+G12*'Resumen de Cifras'!$C$1</f>
        <v>0</v>
      </c>
      <c r="H37" s="3802">
        <f>+H12*'Resumen de Cifras'!$C$1</f>
        <v>0</v>
      </c>
      <c r="I37" s="3802">
        <f>+I12*'Resumen de Cifras'!$C$1</f>
        <v>0</v>
      </c>
      <c r="J37" s="3802">
        <f>+J12*'Resumen de Cifras'!$C$1</f>
        <v>0</v>
      </c>
    </row>
    <row r="38" spans="1:10" ht="19" thickBot="1">
      <c r="A38" s="3801" t="s">
        <v>1175</v>
      </c>
      <c r="B38" s="3803">
        <f>+B13*'Resumen de Cifras'!$C$1</f>
        <v>0</v>
      </c>
      <c r="C38" s="3802">
        <f>+C13*'Resumen de Cifras'!$C$1</f>
        <v>0</v>
      </c>
      <c r="D38" s="3802">
        <f>+D13*'Resumen de Cifras'!$C$1</f>
        <v>0</v>
      </c>
      <c r="E38" s="3802">
        <f>+E13*'Resumen de Cifras'!$C$1</f>
        <v>0</v>
      </c>
      <c r="F38" s="3802">
        <f>+F13*'Resumen de Cifras'!$C$1</f>
        <v>0</v>
      </c>
      <c r="G38" s="3802">
        <f>+G13*'Resumen de Cifras'!$C$1</f>
        <v>0</v>
      </c>
      <c r="H38" s="3802">
        <f>+H13*'Resumen de Cifras'!$C$1</f>
        <v>0</v>
      </c>
      <c r="I38" s="3802">
        <f>+I13*'Resumen de Cifras'!$C$1</f>
        <v>0</v>
      </c>
      <c r="J38" s="3802">
        <f>+J13*'Resumen de Cifras'!$C$1</f>
        <v>0</v>
      </c>
    </row>
    <row r="39" spans="1:10" ht="19" thickBot="1">
      <c r="A39" s="3801" t="s">
        <v>904</v>
      </c>
      <c r="B39" s="3803">
        <f>+B14*'Resumen de Cifras'!$C$1</f>
        <v>0</v>
      </c>
      <c r="C39" s="3802">
        <f>+C14*'Resumen de Cifras'!$C$1</f>
        <v>0</v>
      </c>
      <c r="D39" s="3802">
        <f>+D14*'Resumen de Cifras'!$C$1</f>
        <v>0</v>
      </c>
      <c r="E39" s="3802">
        <f>+E14*'Resumen de Cifras'!$C$1</f>
        <v>0</v>
      </c>
      <c r="F39" s="3802">
        <f>+F14*'Resumen de Cifras'!$C$1</f>
        <v>0</v>
      </c>
      <c r="G39" s="3802">
        <f>+G14*'Resumen de Cifras'!$C$1</f>
        <v>0</v>
      </c>
      <c r="H39" s="3802">
        <f>+H14*'Resumen de Cifras'!$C$1</f>
        <v>0</v>
      </c>
      <c r="I39" s="3802">
        <f>+I14*'Resumen de Cifras'!$C$1</f>
        <v>0</v>
      </c>
      <c r="J39" s="3802">
        <f>+J14*'Resumen de Cifras'!$C$1</f>
        <v>0</v>
      </c>
    </row>
    <row r="40" spans="1:10" ht="19" thickBot="1">
      <c r="A40" s="3801" t="s">
        <v>2342</v>
      </c>
      <c r="B40" s="3800" t="e">
        <f>+B36/(B45+B44)</f>
        <v>#DIV/0!</v>
      </c>
      <c r="C40" s="3799" t="e">
        <f>+C36/(C45+C44)</f>
        <v>#DIV/0!</v>
      </c>
      <c r="D40" s="3799" t="e">
        <f>+D36/(D45+D44)</f>
        <v>#DIV/0!</v>
      </c>
      <c r="E40" s="3799" t="e">
        <f t="shared" ref="E40:J40" si="14">+E36/(E44+E45)</f>
        <v>#DIV/0!</v>
      </c>
      <c r="F40" s="3799" t="e">
        <f t="shared" si="14"/>
        <v>#DIV/0!</v>
      </c>
      <c r="G40" s="3799" t="e">
        <f t="shared" si="14"/>
        <v>#DIV/0!</v>
      </c>
      <c r="H40" s="3799" t="e">
        <f t="shared" si="14"/>
        <v>#DIV/0!</v>
      </c>
      <c r="I40" s="3799" t="e">
        <f t="shared" si="14"/>
        <v>#DIV/0!</v>
      </c>
      <c r="J40" s="3799" t="e">
        <f t="shared" si="14"/>
        <v>#DIV/0!</v>
      </c>
    </row>
    <row r="41" spans="1:10" ht="19" thickBot="1">
      <c r="A41" s="3801" t="s">
        <v>2592</v>
      </c>
      <c r="B41" s="3800" t="e">
        <f t="shared" ref="B41:J41" si="15">+(B46+B48)/B36</f>
        <v>#DIV/0!</v>
      </c>
      <c r="C41" s="3799" t="e">
        <f t="shared" si="15"/>
        <v>#DIV/0!</v>
      </c>
      <c r="D41" s="3799" t="e">
        <f t="shared" si="15"/>
        <v>#DIV/0!</v>
      </c>
      <c r="E41" s="3799" t="e">
        <f t="shared" si="15"/>
        <v>#DIV/0!</v>
      </c>
      <c r="F41" s="3799" t="e">
        <f t="shared" si="15"/>
        <v>#DIV/0!</v>
      </c>
      <c r="G41" s="3799" t="e">
        <f t="shared" si="15"/>
        <v>#DIV/0!</v>
      </c>
      <c r="H41" s="3799" t="e">
        <f t="shared" si="15"/>
        <v>#DIV/0!</v>
      </c>
      <c r="I41" s="3799" t="e">
        <f t="shared" si="15"/>
        <v>#DIV/0!</v>
      </c>
      <c r="J41" s="3799" t="e">
        <f t="shared" si="15"/>
        <v>#DIV/0!</v>
      </c>
    </row>
    <row r="42" spans="1:10" ht="19" thickBot="1">
      <c r="A42" s="3801" t="s">
        <v>2591</v>
      </c>
      <c r="B42" s="3800" t="e">
        <f t="shared" ref="B42:J42" si="16">+B36/B45</f>
        <v>#DIV/0!</v>
      </c>
      <c r="C42" s="3799" t="e">
        <f t="shared" si="16"/>
        <v>#DIV/0!</v>
      </c>
      <c r="D42" s="3799" t="e">
        <f t="shared" si="16"/>
        <v>#DIV/0!</v>
      </c>
      <c r="E42" s="3799" t="e">
        <f t="shared" si="16"/>
        <v>#DIV/0!</v>
      </c>
      <c r="F42" s="3799" t="e">
        <f t="shared" si="16"/>
        <v>#DIV/0!</v>
      </c>
      <c r="G42" s="3799" t="e">
        <f t="shared" si="16"/>
        <v>#DIV/0!</v>
      </c>
      <c r="H42" s="3799" t="e">
        <f t="shared" si="16"/>
        <v>#DIV/0!</v>
      </c>
      <c r="I42" s="3799" t="e">
        <f t="shared" si="16"/>
        <v>#DIV/0!</v>
      </c>
      <c r="J42" s="3799" t="e">
        <f t="shared" si="16"/>
        <v>#DIV/0!</v>
      </c>
    </row>
    <row r="43" spans="1:10">
      <c r="A43" s="3794"/>
      <c r="B43" s="3793"/>
      <c r="C43" s="3793"/>
      <c r="D43" s="3793"/>
      <c r="E43" s="3793"/>
      <c r="F43" s="3793"/>
      <c r="G43" s="3793"/>
      <c r="H43" s="3793"/>
      <c r="I43" s="3793"/>
      <c r="J43" s="3793"/>
    </row>
    <row r="44" spans="1:10">
      <c r="A44" s="3798" t="s">
        <v>1169</v>
      </c>
      <c r="B44" s="3795">
        <f>+B19*'Resumen de Cifras'!$C$1</f>
        <v>0</v>
      </c>
      <c r="C44" s="3795">
        <f>+C19*'Resumen de Cifras'!$C$1</f>
        <v>0</v>
      </c>
      <c r="D44" s="3795">
        <f>+D19*'Resumen de Cifras'!$C$1</f>
        <v>0</v>
      </c>
      <c r="E44" s="3795">
        <f>+E19*'Resumen de Cifras'!$C$1</f>
        <v>0</v>
      </c>
      <c r="F44" s="3795">
        <f>+F19*'Resumen de Cifras'!$C$1</f>
        <v>0</v>
      </c>
      <c r="G44" s="3795">
        <f>+G19*'Resumen de Cifras'!$C$1</f>
        <v>0</v>
      </c>
      <c r="H44" s="3795">
        <f>+H19*'Resumen de Cifras'!$C$1</f>
        <v>0</v>
      </c>
      <c r="I44" s="3795">
        <f>+I19*'Resumen de Cifras'!$C$1</f>
        <v>0</v>
      </c>
      <c r="J44" s="3795">
        <f>+J19*'Resumen de Cifras'!$C$1</f>
        <v>0</v>
      </c>
    </row>
    <row r="45" spans="1:10">
      <c r="A45" s="3797" t="s">
        <v>1173</v>
      </c>
      <c r="B45" s="3795">
        <f>+B20*'Resumen de Cifras'!$C$1</f>
        <v>0</v>
      </c>
      <c r="C45" s="3795">
        <f>+C20*'Resumen de Cifras'!$C$1</f>
        <v>0</v>
      </c>
      <c r="D45" s="3795">
        <f>+D20*'Resumen de Cifras'!$C$1</f>
        <v>0</v>
      </c>
      <c r="E45" s="3795">
        <f>+E20*'Resumen de Cifras'!$C$1</f>
        <v>0</v>
      </c>
      <c r="F45" s="3795">
        <f>+F20*'Resumen de Cifras'!$C$1</f>
        <v>0</v>
      </c>
      <c r="G45" s="3795">
        <f>+G20*'Resumen de Cifras'!$C$1</f>
        <v>0</v>
      </c>
      <c r="H45" s="3795">
        <f>+H20*'Resumen de Cifras'!$C$1</f>
        <v>0</v>
      </c>
      <c r="I45" s="3795">
        <f>+I20*'Resumen de Cifras'!$C$1</f>
        <v>0</v>
      </c>
      <c r="J45" s="3795">
        <f>+J20*'Resumen de Cifras'!$C$1</f>
        <v>0</v>
      </c>
    </row>
    <row r="46" spans="1:10">
      <c r="A46" s="3796" t="s">
        <v>1069</v>
      </c>
      <c r="B46" s="3795">
        <f>+B21*'Resumen de Cifras'!$C$1</f>
        <v>0</v>
      </c>
      <c r="C46" s="3795">
        <f>+C21*'Resumen de Cifras'!$C$1</f>
        <v>0</v>
      </c>
      <c r="D46" s="3795">
        <f>+D21*'Resumen de Cifras'!$C$1</f>
        <v>0</v>
      </c>
      <c r="E46" s="3795">
        <f>+E21*'Resumen de Cifras'!$C$1</f>
        <v>0</v>
      </c>
      <c r="F46" s="3795">
        <f>+F21*'Resumen de Cifras'!$C$1</f>
        <v>0</v>
      </c>
      <c r="G46" s="3795">
        <f>+G21*'Resumen de Cifras'!$C$1</f>
        <v>0</v>
      </c>
      <c r="H46" s="3795">
        <f>+H21*'Resumen de Cifras'!$C$1</f>
        <v>0</v>
      </c>
      <c r="I46" s="3795">
        <f>+I21*'Resumen de Cifras'!$C$1</f>
        <v>0</v>
      </c>
      <c r="J46" s="3795">
        <f>+J21*'Resumen de Cifras'!$C$1</f>
        <v>0</v>
      </c>
    </row>
    <row r="47" spans="1:10">
      <c r="A47" s="3796" t="s">
        <v>1071</v>
      </c>
      <c r="B47" s="3795">
        <f>+B22*'Resumen de Cifras'!$C$1</f>
        <v>0</v>
      </c>
      <c r="C47" s="3795">
        <f>+C22*'Resumen de Cifras'!$C$1</f>
        <v>0</v>
      </c>
      <c r="D47" s="3795">
        <f>+D22*'Resumen de Cifras'!$C$1</f>
        <v>0</v>
      </c>
      <c r="E47" s="3795">
        <f>+E22*'Resumen de Cifras'!$C$1</f>
        <v>0</v>
      </c>
      <c r="F47" s="3795">
        <f>+F22*'Resumen de Cifras'!$C$1</f>
        <v>0</v>
      </c>
      <c r="G47" s="3795">
        <f>+G22*'Resumen de Cifras'!$C$1</f>
        <v>0</v>
      </c>
      <c r="H47" s="3795">
        <f>+H22*'Resumen de Cifras'!$C$1</f>
        <v>0</v>
      </c>
      <c r="I47" s="3795">
        <f>+I22*'Resumen de Cifras'!$C$1</f>
        <v>0</v>
      </c>
      <c r="J47" s="3795">
        <f>+J22*'Resumen de Cifras'!$C$1</f>
        <v>0</v>
      </c>
    </row>
    <row r="48" spans="1:10">
      <c r="A48" s="3796" t="s">
        <v>741</v>
      </c>
      <c r="B48" s="3795">
        <f>+B23*'Resumen de Cifras'!$C$1</f>
        <v>0</v>
      </c>
      <c r="C48" s="3795">
        <f>+C23*'Resumen de Cifras'!$C$1</f>
        <v>0</v>
      </c>
      <c r="D48" s="3795">
        <f>+D23*'Resumen de Cifras'!$C$1</f>
        <v>0</v>
      </c>
      <c r="E48" s="3795">
        <f>+E23*'Resumen de Cifras'!$C$1</f>
        <v>0</v>
      </c>
      <c r="F48" s="3795">
        <f>+F23*'Resumen de Cifras'!$C$1</f>
        <v>0</v>
      </c>
      <c r="G48" s="3795">
        <f>+G23*'Resumen de Cifras'!$C$1</f>
        <v>0</v>
      </c>
      <c r="H48" s="3795">
        <f>+H23*'Resumen de Cifras'!$C$1</f>
        <v>0</v>
      </c>
      <c r="I48" s="3795">
        <f>+I23*'Resumen de Cifras'!$C$1</f>
        <v>0</v>
      </c>
      <c r="J48" s="3795">
        <f>+J23*'Resumen de Cifras'!$C$1</f>
        <v>0</v>
      </c>
    </row>
    <row r="49" spans="1:11" ht="15" thickBot="1">
      <c r="A49" s="3794"/>
      <c r="B49" s="3793"/>
      <c r="C49" s="3793"/>
      <c r="D49" s="3793"/>
      <c r="E49" s="3793"/>
      <c r="F49" s="3793"/>
      <c r="G49" s="3793"/>
      <c r="H49" s="3793"/>
      <c r="I49" s="3793"/>
      <c r="J49" s="3793"/>
    </row>
    <row r="50" spans="1:11" ht="15" thickBot="1">
      <c r="A50" s="3721" t="s">
        <v>2590</v>
      </c>
      <c r="B50" s="3792">
        <f>+C10</f>
        <v>2020</v>
      </c>
      <c r="C50" s="3792">
        <f>+D10</f>
        <v>2021</v>
      </c>
      <c r="D50" s="3792">
        <f>+E10</f>
        <v>2022</v>
      </c>
      <c r="E50" s="3792">
        <f>+F10</f>
        <v>2023</v>
      </c>
    </row>
    <row r="51" spans="1:11" ht="15" thickBot="1">
      <c r="A51" s="3791" t="s">
        <v>2589</v>
      </c>
      <c r="B51" s="3790" t="e">
        <f>+C17</f>
        <v>#DIV/0!</v>
      </c>
      <c r="C51" s="3790" t="e">
        <f>+D17</f>
        <v>#DIV/0!</v>
      </c>
      <c r="D51" s="3790" t="e">
        <f>+E17</f>
        <v>#DIV/0!</v>
      </c>
      <c r="E51" s="3790" t="e">
        <f>+F17</f>
        <v>#DIV/0!</v>
      </c>
    </row>
    <row r="52" spans="1:11" ht="15" thickBot="1">
      <c r="A52" s="3791" t="s">
        <v>2588</v>
      </c>
      <c r="B52" s="3790" t="e">
        <f>+C15</f>
        <v>#DIV/0!</v>
      </c>
      <c r="C52" s="3790" t="e">
        <f>+D15</f>
        <v>#DIV/0!</v>
      </c>
      <c r="D52" s="3790" t="e">
        <f>+E15</f>
        <v>#DIV/0!</v>
      </c>
      <c r="E52" s="3790" t="e">
        <f>+F15</f>
        <v>#DIV/0!</v>
      </c>
    </row>
    <row r="54" spans="1:11">
      <c r="A54" s="3789" t="s">
        <v>2587</v>
      </c>
    </row>
    <row r="55" spans="1:11">
      <c r="A55" s="3783" t="s">
        <v>1593</v>
      </c>
      <c r="B55" s="3786">
        <f>+'Estados Financieros'!G385+'Estados Financieros'!G386</f>
        <v>0</v>
      </c>
      <c r="C55" s="3788">
        <v>39304.699999999997</v>
      </c>
      <c r="D55" s="3788">
        <v>41663.400777161478</v>
      </c>
      <c r="E55" s="3788">
        <v>44162.925639016852</v>
      </c>
      <c r="F55" s="3788">
        <v>46812.717599991644</v>
      </c>
      <c r="G55" s="3788">
        <v>49621.398542822222</v>
      </c>
      <c r="H55" s="3788">
        <v>52598.822047778718</v>
      </c>
      <c r="I55" s="3788">
        <v>55754.43112928667</v>
      </c>
      <c r="J55" s="3788">
        <v>59099.357543153317</v>
      </c>
    </row>
    <row r="56" spans="1:11">
      <c r="A56" s="3776" t="s">
        <v>2586</v>
      </c>
      <c r="B56" s="3787" t="s">
        <v>1260</v>
      </c>
      <c r="C56" s="1625">
        <v>1.3</v>
      </c>
      <c r="D56" s="1625">
        <f t="shared" ref="D56:J56" si="17">IFERROR((D55-C55)/C55,0)</f>
        <v>6.0010654633198601E-2</v>
      </c>
      <c r="E56" s="1625">
        <f t="shared" si="17"/>
        <v>5.9993299040186188E-2</v>
      </c>
      <c r="F56" s="1625">
        <f t="shared" si="17"/>
        <v>6.0000371864715546E-2</v>
      </c>
      <c r="G56" s="1625">
        <f t="shared" si="17"/>
        <v>5.9998245921768063E-2</v>
      </c>
      <c r="H56" s="1625">
        <f t="shared" si="17"/>
        <v>6.0002813148989385E-2</v>
      </c>
      <c r="I56" s="1625">
        <f t="shared" si="17"/>
        <v>5.9993911624893793E-2</v>
      </c>
      <c r="J56" s="1625">
        <f t="shared" si="17"/>
        <v>5.9993911624893717E-2</v>
      </c>
    </row>
    <row r="57" spans="1:11">
      <c r="A57" s="3783" t="s">
        <v>2544</v>
      </c>
      <c r="B57" s="3786">
        <f>+'Estados Financieros'!G387</f>
        <v>0</v>
      </c>
      <c r="C57" s="3777">
        <v>33659.8302027514</v>
      </c>
      <c r="D57" s="3777">
        <v>35679.403592282702</v>
      </c>
      <c r="E57" s="3777">
        <v>37820.093905967638</v>
      </c>
      <c r="F57" s="3777">
        <v>40089.291329008811</v>
      </c>
      <c r="G57" s="3777">
        <v>42494.796612453385</v>
      </c>
      <c r="H57" s="3777">
        <v>47747.16546227529</v>
      </c>
      <c r="I57" s="3777">
        <v>50611.704687358215</v>
      </c>
      <c r="J57" s="3777">
        <v>986.36</v>
      </c>
    </row>
    <row r="58" spans="1:11">
      <c r="A58" s="3776" t="s">
        <v>2585</v>
      </c>
      <c r="B58" s="3775">
        <f t="shared" ref="B58:J58" si="18">IFERROR(1-(B57/B55),0)</f>
        <v>0</v>
      </c>
      <c r="C58" s="1630">
        <f t="shared" si="18"/>
        <v>0.14361818808561311</v>
      </c>
      <c r="D58" s="1630">
        <f t="shared" si="18"/>
        <v>0.14362719012988034</v>
      </c>
      <c r="E58" s="1630">
        <f t="shared" si="18"/>
        <v>0.14362344978896691</v>
      </c>
      <c r="F58" s="1630">
        <f t="shared" si="18"/>
        <v>0.14362392562708282</v>
      </c>
      <c r="G58" s="1630">
        <f t="shared" si="18"/>
        <v>0.14361952987316007</v>
      </c>
      <c r="H58" s="1630">
        <f t="shared" si="18"/>
        <v>9.2238882861224059E-2</v>
      </c>
      <c r="I58" s="1630">
        <f t="shared" si="18"/>
        <v>9.2238882861224059E-2</v>
      </c>
      <c r="J58" s="1630">
        <f t="shared" si="18"/>
        <v>0.98331014005897144</v>
      </c>
    </row>
    <row r="59" spans="1:11">
      <c r="A59" s="3783" t="s">
        <v>2584</v>
      </c>
      <c r="B59" s="3786">
        <f>+'Estados Financieros'!G406+'Estados Financieros'!G423</f>
        <v>0</v>
      </c>
      <c r="C59" s="3777">
        <v>2358.2819999999997</v>
      </c>
      <c r="D59" s="3777">
        <v>2860.4122392487434</v>
      </c>
      <c r="E59" s="3777">
        <v>2949.9155933690581</v>
      </c>
      <c r="F59" s="3777">
        <v>3041.882342556903</v>
      </c>
      <c r="G59" s="3777">
        <v>3145.3449353932288</v>
      </c>
      <c r="H59" s="3777">
        <v>3202.4135877910439</v>
      </c>
      <c r="I59" s="3777">
        <v>3394.5389055633386</v>
      </c>
      <c r="J59" s="3777"/>
    </row>
    <row r="60" spans="1:11">
      <c r="A60" s="3776" t="s">
        <v>2583</v>
      </c>
      <c r="B60" s="3775">
        <f>IFERROR((B59/B55),0)</f>
        <v>0</v>
      </c>
      <c r="C60" s="1630">
        <f>IFERROR((C59/$C$55),0)</f>
        <v>0.06</v>
      </c>
      <c r="D60" s="1630">
        <f t="shared" ref="D60:J60" si="19">IFERROR((D59/D55),0)</f>
        <v>6.8655275034982949E-2</v>
      </c>
      <c r="E60" s="1630">
        <f t="shared" si="19"/>
        <v>6.6796199542606405E-2</v>
      </c>
      <c r="F60" s="1630">
        <f t="shared" si="19"/>
        <v>6.4979828100333273E-2</v>
      </c>
      <c r="G60" s="1630">
        <f t="shared" si="19"/>
        <v>6.3386865903806849E-2</v>
      </c>
      <c r="H60" s="1630">
        <f t="shared" si="19"/>
        <v>6.0883751063514242E-2</v>
      </c>
      <c r="I60" s="1630">
        <f t="shared" si="19"/>
        <v>6.0883751063514235E-2</v>
      </c>
      <c r="J60" s="1630">
        <f t="shared" si="19"/>
        <v>0</v>
      </c>
    </row>
    <row r="61" spans="1:11">
      <c r="A61" s="3779" t="s">
        <v>2582</v>
      </c>
      <c r="B61" s="3786">
        <v>267742</v>
      </c>
      <c r="C61" s="3777">
        <v>412348.30630630627</v>
      </c>
      <c r="D61" s="3777">
        <v>356746.69240669243</v>
      </c>
      <c r="E61" s="3777">
        <v>301145.07850707846</v>
      </c>
      <c r="F61" s="3777">
        <v>245543.46460746459</v>
      </c>
      <c r="G61" s="3777">
        <v>189941.85070785068</v>
      </c>
      <c r="H61" s="3777">
        <v>134340.23680823678</v>
      </c>
      <c r="I61" s="3777">
        <v>78738.62290862287</v>
      </c>
      <c r="J61" s="3777">
        <v>23137.009009008958</v>
      </c>
      <c r="K61">
        <v>17352.756756756706</v>
      </c>
    </row>
    <row r="62" spans="1:11">
      <c r="A62" s="3776" t="s">
        <v>2581</v>
      </c>
      <c r="B62" s="3775">
        <v>0</v>
      </c>
      <c r="C62" s="1630">
        <f>(B61-C61)/$B$61</f>
        <v>-0.54009571268723722</v>
      </c>
      <c r="D62" s="1630">
        <f t="shared" ref="D62:J62" si="20">(C61-D61)/$C$61</f>
        <v>0.13484137814867386</v>
      </c>
      <c r="E62" s="1630">
        <f t="shared" si="20"/>
        <v>0.13484137814867414</v>
      </c>
      <c r="F62" s="1630">
        <f t="shared" si="20"/>
        <v>0.13484137814867395</v>
      </c>
      <c r="G62" s="1630">
        <f t="shared" si="20"/>
        <v>0.134841378148674</v>
      </c>
      <c r="H62" s="1630">
        <f t="shared" si="20"/>
        <v>0.134841378148674</v>
      </c>
      <c r="I62" s="1630">
        <f t="shared" si="20"/>
        <v>0.134841378148674</v>
      </c>
      <c r="J62" s="1630">
        <f t="shared" si="20"/>
        <v>0.13484137814867403</v>
      </c>
    </row>
    <row r="63" spans="1:11">
      <c r="A63" s="3779" t="s">
        <v>2580</v>
      </c>
      <c r="B63" s="3786">
        <v>2850.9033054887504</v>
      </c>
      <c r="C63" s="3777">
        <v>2761.1200476872946</v>
      </c>
      <c r="D63" s="3777">
        <v>2660.9471757832398</v>
      </c>
      <c r="E63" s="3777">
        <v>2549.1824157241153</v>
      </c>
      <c r="F63" s="3777">
        <v>2424.4843677033118</v>
      </c>
      <c r="G63" s="3777">
        <v>2285.3564066897261</v>
      </c>
      <c r="H63" s="3777">
        <v>2130.128719945435</v>
      </c>
      <c r="I63" s="3777">
        <v>714.28571428571422</v>
      </c>
      <c r="J63" s="3777">
        <v>624.99999999999989</v>
      </c>
    </row>
    <row r="64" spans="1:11">
      <c r="A64" s="3776" t="s">
        <v>2579</v>
      </c>
      <c r="B64" s="3775">
        <v>0</v>
      </c>
      <c r="C64" s="1630">
        <f t="shared" ref="C64:J64" si="21">(B63-C63)/$B$63</f>
        <v>3.1492915816751524E-2</v>
      </c>
      <c r="D64" s="1630">
        <f t="shared" si="21"/>
        <v>3.5137239383459702E-2</v>
      </c>
      <c r="E64" s="1630">
        <f t="shared" si="21"/>
        <v>3.9203279832026372E-2</v>
      </c>
      <c r="F64" s="1630">
        <f t="shared" si="21"/>
        <v>4.3739837749223721E-2</v>
      </c>
      <c r="G64" s="1630">
        <f t="shared" si="21"/>
        <v>4.8801360868931339E-2</v>
      </c>
      <c r="H64" s="1630">
        <f t="shared" si="21"/>
        <v>5.4448597553426771E-2</v>
      </c>
      <c r="I64" s="1630">
        <f t="shared" si="21"/>
        <v>0.49662961312431914</v>
      </c>
      <c r="J64" s="1630">
        <f t="shared" si="21"/>
        <v>3.1318394458982698E-2</v>
      </c>
      <c r="K64" s="3784"/>
    </row>
    <row r="65" spans="1:12">
      <c r="A65" s="3779" t="s">
        <v>2578</v>
      </c>
      <c r="B65" s="3786">
        <v>113372.99907407406</v>
      </c>
      <c r="C65" s="3777">
        <v>94368.226851851839</v>
      </c>
      <c r="D65" s="3777">
        <v>75630.065740740742</v>
      </c>
      <c r="E65" s="3777">
        <v>58224.960185185184</v>
      </c>
      <c r="F65" s="3777">
        <v>42172.146296296298</v>
      </c>
      <c r="G65" s="3777">
        <v>32880.79074074074</v>
      </c>
      <c r="H65" s="3777">
        <v>23589.435185185182</v>
      </c>
      <c r="I65" s="3777">
        <v>14298.079629629625</v>
      </c>
      <c r="J65" s="3777">
        <v>5006.724074074069</v>
      </c>
    </row>
    <row r="66" spans="1:12">
      <c r="A66" s="3776" t="s">
        <v>2577</v>
      </c>
      <c r="B66" s="3775">
        <f>IFERROR((B65/B55),0)</f>
        <v>0</v>
      </c>
      <c r="C66" s="1630">
        <f t="shared" ref="C66:J66" si="22">(B65-C65)/$B$65</f>
        <v>0.16763049736212016</v>
      </c>
      <c r="D66" s="1630">
        <f t="shared" si="22"/>
        <v>0.16527886943229067</v>
      </c>
      <c r="E66" s="1630">
        <f t="shared" si="22"/>
        <v>0.15352072978314399</v>
      </c>
      <c r="F66" s="1630">
        <f t="shared" si="22"/>
        <v>0.14159291912530711</v>
      </c>
      <c r="G66" s="1630">
        <f t="shared" si="22"/>
        <v>8.1953865836122949E-2</v>
      </c>
      <c r="H66" s="1630">
        <f t="shared" si="22"/>
        <v>8.1953865836122949E-2</v>
      </c>
      <c r="I66" s="1630">
        <f t="shared" si="22"/>
        <v>8.1953865836122949E-2</v>
      </c>
      <c r="J66" s="1630">
        <f t="shared" si="22"/>
        <v>8.1953865836122936E-2</v>
      </c>
    </row>
    <row r="67" spans="1:12">
      <c r="A67" s="3783" t="s">
        <v>2576</v>
      </c>
      <c r="B67" s="3786">
        <f>+'Estados Financieros'!G426</f>
        <v>0</v>
      </c>
      <c r="C67" s="3777"/>
      <c r="D67" s="3777"/>
      <c r="E67" s="3777"/>
      <c r="F67" s="3777"/>
      <c r="G67" s="3777"/>
      <c r="H67" s="3777"/>
      <c r="I67" s="3777"/>
      <c r="J67" s="3777"/>
    </row>
    <row r="68" spans="1:12">
      <c r="A68" s="3776" t="s">
        <v>2575</v>
      </c>
      <c r="B68" s="3775">
        <f>IFERROR((B67/B55),0)</f>
        <v>0</v>
      </c>
      <c r="C68" s="1630">
        <f t="shared" ref="C68:J68" si="23">IFERROR((C67/$C$55),0)</f>
        <v>0</v>
      </c>
      <c r="D68" s="1630">
        <f t="shared" si="23"/>
        <v>0</v>
      </c>
      <c r="E68" s="1630">
        <f t="shared" si="23"/>
        <v>0</v>
      </c>
      <c r="F68" s="1630">
        <f t="shared" si="23"/>
        <v>0</v>
      </c>
      <c r="G68" s="1630">
        <f t="shared" si="23"/>
        <v>0</v>
      </c>
      <c r="H68" s="1630">
        <f t="shared" si="23"/>
        <v>0</v>
      </c>
      <c r="I68" s="1630">
        <f t="shared" si="23"/>
        <v>0</v>
      </c>
      <c r="J68" s="1630">
        <f t="shared" si="23"/>
        <v>0</v>
      </c>
    </row>
    <row r="69" spans="1:12">
      <c r="A69" s="3783" t="s">
        <v>2574</v>
      </c>
      <c r="B69" s="3786"/>
      <c r="C69" s="3777"/>
      <c r="D69" s="3777"/>
      <c r="E69" s="3777"/>
      <c r="F69" s="3777"/>
      <c r="G69" s="3777"/>
      <c r="H69" s="3777"/>
      <c r="I69" s="3777"/>
      <c r="J69" s="3777"/>
    </row>
    <row r="70" spans="1:12">
      <c r="A70" s="3776" t="s">
        <v>2573</v>
      </c>
      <c r="B70" s="3775">
        <f>IFERROR((B69/B57),0)</f>
        <v>0</v>
      </c>
      <c r="C70" s="1630">
        <f t="shared" ref="C70:J70" si="24">IFERROR((C69/$C$55),0)</f>
        <v>0</v>
      </c>
      <c r="D70" s="1630">
        <f t="shared" si="24"/>
        <v>0</v>
      </c>
      <c r="E70" s="1630">
        <f t="shared" si="24"/>
        <v>0</v>
      </c>
      <c r="F70" s="1630">
        <f t="shared" si="24"/>
        <v>0</v>
      </c>
      <c r="G70" s="1630">
        <f t="shared" si="24"/>
        <v>0</v>
      </c>
      <c r="H70" s="1630">
        <f t="shared" si="24"/>
        <v>0</v>
      </c>
      <c r="I70" s="1630">
        <f t="shared" si="24"/>
        <v>0</v>
      </c>
      <c r="J70" s="1630">
        <f t="shared" si="24"/>
        <v>0</v>
      </c>
    </row>
    <row r="71" spans="1:12">
      <c r="A71" s="3783" t="s">
        <v>2572</v>
      </c>
      <c r="B71" s="3786"/>
      <c r="C71" s="3777"/>
      <c r="D71" s="3777"/>
      <c r="E71" s="3777"/>
      <c r="F71" s="3777"/>
      <c r="G71" s="3777"/>
      <c r="H71" s="3777"/>
      <c r="I71" s="3777"/>
      <c r="J71" s="3777"/>
    </row>
    <row r="72" spans="1:12">
      <c r="A72" s="3776" t="s">
        <v>2571</v>
      </c>
      <c r="B72" s="3775">
        <f>IFERROR((B71/B59),0)</f>
        <v>0</v>
      </c>
      <c r="C72" s="1630">
        <f t="shared" ref="C72:J72" si="25">IFERROR((C71/$C$55),0)</f>
        <v>0</v>
      </c>
      <c r="D72" s="1630">
        <f t="shared" si="25"/>
        <v>0</v>
      </c>
      <c r="E72" s="1630">
        <f t="shared" si="25"/>
        <v>0</v>
      </c>
      <c r="F72" s="1630">
        <f t="shared" si="25"/>
        <v>0</v>
      </c>
      <c r="G72" s="1630">
        <f t="shared" si="25"/>
        <v>0</v>
      </c>
      <c r="H72" s="1630">
        <f t="shared" si="25"/>
        <v>0</v>
      </c>
      <c r="I72" s="1630">
        <f t="shared" si="25"/>
        <v>0</v>
      </c>
      <c r="J72" s="1630">
        <f t="shared" si="25"/>
        <v>0</v>
      </c>
    </row>
    <row r="73" spans="1:12">
      <c r="A73" s="3783" t="s">
        <v>2570</v>
      </c>
      <c r="B73" s="3786">
        <f>+'Estados Financieros'!G438-'Estados Financieros'!G426</f>
        <v>0</v>
      </c>
      <c r="C73" s="3777"/>
      <c r="D73" s="3777"/>
      <c r="E73" s="3777"/>
      <c r="F73" s="3777"/>
      <c r="G73" s="3777"/>
      <c r="H73" s="3777"/>
      <c r="I73" s="3777"/>
      <c r="J73" s="3777"/>
    </row>
    <row r="74" spans="1:12">
      <c r="A74" s="3776" t="s">
        <v>2569</v>
      </c>
      <c r="B74" s="3775">
        <f>IFERROR((B73/#REF!),0)</f>
        <v>0</v>
      </c>
      <c r="C74" s="1630">
        <f t="shared" ref="C74:J74" si="26">IFERROR((C73/$C$55),0)</f>
        <v>0</v>
      </c>
      <c r="D74" s="1630">
        <f t="shared" si="26"/>
        <v>0</v>
      </c>
      <c r="E74" s="1630">
        <f t="shared" si="26"/>
        <v>0</v>
      </c>
      <c r="F74" s="1630">
        <f t="shared" si="26"/>
        <v>0</v>
      </c>
      <c r="G74" s="1630">
        <f t="shared" si="26"/>
        <v>0</v>
      </c>
      <c r="H74" s="1630">
        <f t="shared" si="26"/>
        <v>0</v>
      </c>
      <c r="I74" s="1630">
        <f t="shared" si="26"/>
        <v>0</v>
      </c>
      <c r="J74" s="1630">
        <f t="shared" si="26"/>
        <v>0</v>
      </c>
    </row>
    <row r="75" spans="1:12">
      <c r="A75" s="3783" t="s">
        <v>2568</v>
      </c>
      <c r="B75" s="3786">
        <f>+'Estados Financieros'!G452-'Estados Financieros'!G440</f>
        <v>0</v>
      </c>
      <c r="C75" s="3777"/>
      <c r="D75" s="3777"/>
      <c r="E75" s="3777"/>
      <c r="F75" s="3777"/>
      <c r="G75" s="3777"/>
      <c r="H75" s="3777"/>
      <c r="I75" s="3777"/>
      <c r="J75" s="3777"/>
    </row>
    <row r="76" spans="1:12">
      <c r="A76" s="3776" t="s">
        <v>2567</v>
      </c>
      <c r="B76" s="3775">
        <f>IFERROR((B75/B67),0)</f>
        <v>0</v>
      </c>
      <c r="C76" s="1630">
        <f t="shared" ref="C76:J76" si="27">IFERROR((C75/$C$55),0)</f>
        <v>0</v>
      </c>
      <c r="D76" s="1630">
        <f t="shared" si="27"/>
        <v>0</v>
      </c>
      <c r="E76" s="1630">
        <f t="shared" si="27"/>
        <v>0</v>
      </c>
      <c r="F76" s="1630">
        <f t="shared" si="27"/>
        <v>0</v>
      </c>
      <c r="G76" s="1630">
        <f t="shared" si="27"/>
        <v>0</v>
      </c>
      <c r="H76" s="1630">
        <f t="shared" si="27"/>
        <v>0</v>
      </c>
      <c r="I76" s="1630">
        <f t="shared" si="27"/>
        <v>0</v>
      </c>
      <c r="J76" s="1630">
        <f t="shared" si="27"/>
        <v>0</v>
      </c>
    </row>
    <row r="77" spans="1:12">
      <c r="A77" s="3783" t="s">
        <v>2566</v>
      </c>
      <c r="B77" s="3778">
        <f>+'Estados Financieros'!G40</f>
        <v>0</v>
      </c>
      <c r="C77" s="3777">
        <v>1431</v>
      </c>
      <c r="D77" s="3777">
        <v>1574</v>
      </c>
      <c r="E77" s="3777">
        <v>1731</v>
      </c>
      <c r="F77" s="3785">
        <v>1904</v>
      </c>
      <c r="G77" s="3777">
        <v>2095</v>
      </c>
      <c r="H77" s="3777">
        <v>2305</v>
      </c>
      <c r="I77" s="3777"/>
      <c r="J77" s="3777"/>
    </row>
    <row r="78" spans="1:12">
      <c r="A78" s="3776" t="s">
        <v>2565</v>
      </c>
      <c r="B78" s="3781" t="e">
        <f>+(B77/$B$55)*360</f>
        <v>#DIV/0!</v>
      </c>
      <c r="C78" s="3782">
        <f t="shared" ref="C78:J78" si="28">+(C77/C55)*360</f>
        <v>13.106829463143086</v>
      </c>
      <c r="D78" s="3782">
        <f t="shared" si="28"/>
        <v>13.600426019726493</v>
      </c>
      <c r="E78" s="3782">
        <f t="shared" si="28"/>
        <v>14.110478211829642</v>
      </c>
      <c r="F78" s="3782">
        <f t="shared" si="28"/>
        <v>14.642174928979607</v>
      </c>
      <c r="G78" s="3782">
        <f t="shared" si="28"/>
        <v>15.199087936813013</v>
      </c>
      <c r="H78" s="3782">
        <f t="shared" si="28"/>
        <v>15.776018695746496</v>
      </c>
      <c r="I78" s="3782">
        <f t="shared" si="28"/>
        <v>0</v>
      </c>
      <c r="J78" s="3782">
        <f t="shared" si="28"/>
        <v>0</v>
      </c>
    </row>
    <row r="79" spans="1:12">
      <c r="A79" s="3783" t="s">
        <v>1598</v>
      </c>
      <c r="B79" s="3778">
        <f>+'Estados Financieros'!G71+'Estados Financieros'!G83</f>
        <v>0</v>
      </c>
      <c r="C79" s="3777">
        <v>1507</v>
      </c>
      <c r="D79" s="3777">
        <v>1597</v>
      </c>
      <c r="E79" s="3777">
        <v>1731</v>
      </c>
      <c r="F79" s="3777">
        <v>1905</v>
      </c>
      <c r="G79" s="3777">
        <v>2095</v>
      </c>
      <c r="H79" s="3777">
        <v>2305</v>
      </c>
      <c r="I79" s="3777">
        <v>2535</v>
      </c>
      <c r="J79" s="3777">
        <v>2788</v>
      </c>
    </row>
    <row r="80" spans="1:12">
      <c r="A80" s="3776" t="s">
        <v>2564</v>
      </c>
      <c r="B80" s="3781" t="e">
        <f>+(B79/$B$57)*360</f>
        <v>#DIV/0!</v>
      </c>
      <c r="C80" s="3782">
        <f t="shared" ref="C80:J80" si="29">+(C79/C57)*360</f>
        <v>16.117728364406712</v>
      </c>
      <c r="D80" s="3782">
        <f t="shared" si="29"/>
        <v>16.113498044130779</v>
      </c>
      <c r="E80" s="3782">
        <f t="shared" si="29"/>
        <v>16.476955386450573</v>
      </c>
      <c r="F80" s="3782">
        <f t="shared" si="29"/>
        <v>17.106812748863728</v>
      </c>
      <c r="G80" s="3782">
        <f t="shared" si="29"/>
        <v>17.748055294350475</v>
      </c>
      <c r="H80" s="3782">
        <f t="shared" si="29"/>
        <v>17.379042126712619</v>
      </c>
      <c r="I80" s="3782">
        <f t="shared" si="29"/>
        <v>18.031402135876863</v>
      </c>
      <c r="J80" s="3782">
        <f t="shared" si="29"/>
        <v>1017.5595117401353</v>
      </c>
      <c r="L80" s="3784"/>
    </row>
    <row r="81" spans="1:10">
      <c r="A81" s="3783" t="s">
        <v>2563</v>
      </c>
      <c r="B81" s="3778">
        <f>+'Estados Financieros'!G204</f>
        <v>0</v>
      </c>
      <c r="C81" s="3777">
        <v>1425</v>
      </c>
      <c r="D81" s="3777">
        <v>1567</v>
      </c>
      <c r="E81" s="3777">
        <v>1724</v>
      </c>
      <c r="F81" s="3777">
        <v>1897</v>
      </c>
      <c r="G81" s="3777">
        <v>2086</v>
      </c>
      <c r="H81" s="3777">
        <v>2295</v>
      </c>
      <c r="I81" s="3777">
        <v>2525</v>
      </c>
      <c r="J81" s="3777"/>
    </row>
    <row r="82" spans="1:10">
      <c r="A82" s="3776" t="s">
        <v>2562</v>
      </c>
      <c r="B82" s="3781" t="e">
        <f>+(B81/$B$57)*360</f>
        <v>#DIV/0!</v>
      </c>
      <c r="C82" s="3782">
        <f t="shared" ref="C82:J82" si="30">+(C81/C57)*360</f>
        <v>15.240718592753527</v>
      </c>
      <c r="D82" s="3782">
        <f t="shared" si="30"/>
        <v>15.810802401473342</v>
      </c>
      <c r="E82" s="3782">
        <f t="shared" si="30"/>
        <v>16.410324139942684</v>
      </c>
      <c r="F82" s="3782">
        <f t="shared" si="30"/>
        <v>17.034973115272699</v>
      </c>
      <c r="G82" s="3782">
        <f t="shared" si="30"/>
        <v>17.671810665401001</v>
      </c>
      <c r="H82" s="3782">
        <f t="shared" si="30"/>
        <v>17.303644980826665</v>
      </c>
      <c r="I82" s="3782">
        <f t="shared" si="30"/>
        <v>17.960272344413841</v>
      </c>
      <c r="J82" s="3782">
        <f t="shared" si="30"/>
        <v>0</v>
      </c>
    </row>
    <row r="83" spans="1:10">
      <c r="A83" s="3779" t="s">
        <v>2561</v>
      </c>
      <c r="B83" s="3778">
        <f>+'Estados Financieros'!G120-'Estados Financieros'!G116</f>
        <v>0</v>
      </c>
      <c r="C83" s="3777">
        <f t="shared" ref="C83:I83" si="31">15000+6150+7080+256+300</f>
        <v>28786</v>
      </c>
      <c r="D83" s="3777">
        <f t="shared" si="31"/>
        <v>28786</v>
      </c>
      <c r="E83" s="3777">
        <f t="shared" si="31"/>
        <v>28786</v>
      </c>
      <c r="F83" s="3777">
        <f t="shared" si="31"/>
        <v>28786</v>
      </c>
      <c r="G83" s="3777">
        <f t="shared" si="31"/>
        <v>28786</v>
      </c>
      <c r="H83" s="3777">
        <f t="shared" si="31"/>
        <v>28786</v>
      </c>
      <c r="I83" s="3777">
        <f t="shared" si="31"/>
        <v>28786</v>
      </c>
      <c r="J83" s="3777"/>
    </row>
    <row r="84" spans="1:10">
      <c r="A84" s="3776" t="s">
        <v>2560</v>
      </c>
      <c r="B84" s="3781"/>
      <c r="C84" s="3782">
        <f t="shared" ref="C84:J84" si="32">+C83-B83</f>
        <v>28786</v>
      </c>
      <c r="D84" s="3782">
        <f t="shared" si="32"/>
        <v>0</v>
      </c>
      <c r="E84" s="3782">
        <f t="shared" si="32"/>
        <v>0</v>
      </c>
      <c r="F84" s="3782">
        <f t="shared" si="32"/>
        <v>0</v>
      </c>
      <c r="G84" s="3782">
        <f t="shared" si="32"/>
        <v>0</v>
      </c>
      <c r="H84" s="3782">
        <f t="shared" si="32"/>
        <v>0</v>
      </c>
      <c r="I84" s="3782">
        <f t="shared" si="32"/>
        <v>0</v>
      </c>
      <c r="J84" s="3782">
        <f t="shared" si="32"/>
        <v>-28786</v>
      </c>
    </row>
    <row r="85" spans="1:10">
      <c r="A85" s="3779" t="s">
        <v>2559</v>
      </c>
      <c r="B85" s="3778">
        <f>+'Estados Financieros'!G161</f>
        <v>0</v>
      </c>
      <c r="C85" s="3777"/>
      <c r="D85" s="3777"/>
      <c r="E85" s="3777"/>
      <c r="F85" s="3777"/>
      <c r="G85" s="3777"/>
      <c r="H85" s="3777"/>
      <c r="I85" s="3777"/>
      <c r="J85" s="3777"/>
    </row>
    <row r="86" spans="1:10">
      <c r="A86" s="3776" t="s">
        <v>2558</v>
      </c>
      <c r="B86" s="3781"/>
      <c r="C86" s="3780">
        <f t="shared" ref="C86:J86" si="33">IFERROR((C85-B85)/B85,0)</f>
        <v>0</v>
      </c>
      <c r="D86" s="3780">
        <f t="shared" si="33"/>
        <v>0</v>
      </c>
      <c r="E86" s="3780">
        <f t="shared" si="33"/>
        <v>0</v>
      </c>
      <c r="F86" s="3780">
        <f t="shared" si="33"/>
        <v>0</v>
      </c>
      <c r="G86" s="3780">
        <f t="shared" si="33"/>
        <v>0</v>
      </c>
      <c r="H86" s="3780">
        <f t="shared" si="33"/>
        <v>0</v>
      </c>
      <c r="I86" s="3780">
        <f t="shared" si="33"/>
        <v>0</v>
      </c>
      <c r="J86" s="3780">
        <f t="shared" si="33"/>
        <v>0</v>
      </c>
    </row>
    <row r="87" spans="1:10">
      <c r="A87" s="3779" t="s">
        <v>1797</v>
      </c>
      <c r="B87" s="3778">
        <f>+'Estados Financieros'!G208</f>
        <v>0</v>
      </c>
      <c r="C87" s="3777">
        <v>5440</v>
      </c>
      <c r="D87" s="3777">
        <v>5440</v>
      </c>
      <c r="E87" s="3777">
        <v>5440</v>
      </c>
      <c r="F87" s="3777">
        <v>5440</v>
      </c>
      <c r="G87" s="3777">
        <v>5440</v>
      </c>
      <c r="H87" s="3777">
        <v>5440</v>
      </c>
      <c r="I87" s="3777">
        <v>5440</v>
      </c>
      <c r="J87" s="3777">
        <v>5440</v>
      </c>
    </row>
    <row r="88" spans="1:10">
      <c r="A88" s="3776" t="s">
        <v>2557</v>
      </c>
      <c r="B88" s="3775" t="e">
        <f>IF(B57=0,B87/B$59,B87/B$57)</f>
        <v>#DIV/0!</v>
      </c>
      <c r="C88" s="3774">
        <f t="shared" ref="C88:J88" si="34">IFERROR(IF(C57=0,C87/C$59,C87/C$57),0)</f>
        <v>0.16161697689001792</v>
      </c>
      <c r="D88" s="3774">
        <f t="shared" si="34"/>
        <v>0.15246891630152271</v>
      </c>
      <c r="E88" s="3774">
        <f t="shared" si="34"/>
        <v>0.14383888135036127</v>
      </c>
      <c r="F88" s="3774">
        <f t="shared" si="34"/>
        <v>0.13569708567194325</v>
      </c>
      <c r="G88" s="3774">
        <f t="shared" si="34"/>
        <v>0.12801567329788729</v>
      </c>
      <c r="H88" s="3774">
        <f t="shared" si="34"/>
        <v>0.11393346489433194</v>
      </c>
      <c r="I88" s="3774">
        <f t="shared" si="34"/>
        <v>0.1074850182107935</v>
      </c>
      <c r="J88" s="3774">
        <f t="shared" si="34"/>
        <v>5.5152277059085932</v>
      </c>
    </row>
    <row r="89" spans="1:10">
      <c r="A89" s="3779" t="s">
        <v>2556</v>
      </c>
      <c r="B89" s="3778">
        <f>+'Estados Financieros'!G210</f>
        <v>0</v>
      </c>
      <c r="C89" s="3777">
        <v>1674.0885877230869</v>
      </c>
      <c r="D89" s="3777">
        <v>1685.4607408851982</v>
      </c>
      <c r="E89" s="3777">
        <v>1864.2920099216917</v>
      </c>
      <c r="F89" s="3777">
        <v>2055.9913684686153</v>
      </c>
      <c r="G89" s="3777">
        <v>2255.6652731095755</v>
      </c>
      <c r="H89" s="3777">
        <v>854.18004534062641</v>
      </c>
      <c r="I89" s="3777">
        <v>5440</v>
      </c>
      <c r="J89" s="3777">
        <v>5440</v>
      </c>
    </row>
    <row r="90" spans="1:10">
      <c r="A90" s="3776" t="s">
        <v>2555</v>
      </c>
      <c r="B90" s="3775" t="e">
        <f>IF(B59=0,B89/B$57,B89/B$59)</f>
        <v>#DIV/0!</v>
      </c>
      <c r="C90" s="3774">
        <f t="shared" ref="C90:J90" si="35">IFERROR(IF(C59=0,C89/C$57,C89/C$59),0)</f>
        <v>0.70987633697882069</v>
      </c>
      <c r="D90" s="3774">
        <f t="shared" si="35"/>
        <v>0.5892370049877379</v>
      </c>
      <c r="E90" s="3774">
        <f t="shared" si="35"/>
        <v>0.63198147571148278</v>
      </c>
      <c r="F90" s="3774">
        <f t="shared" si="35"/>
        <v>0.67589444197253823</v>
      </c>
      <c r="G90" s="3774">
        <f t="shared" si="35"/>
        <v>0.71714400787256549</v>
      </c>
      <c r="H90" s="3774">
        <f t="shared" si="35"/>
        <v>0.26673008402072806</v>
      </c>
      <c r="I90" s="3774">
        <f t="shared" si="35"/>
        <v>1.6025740612618515</v>
      </c>
      <c r="J90" s="3774">
        <f t="shared" si="35"/>
        <v>5.5152277059085932</v>
      </c>
    </row>
    <row r="91" spans="1:10">
      <c r="A91" s="3779" t="s">
        <v>2554</v>
      </c>
      <c r="B91" s="3778">
        <f>+SUM('Estados Financieros'!G100:G115)</f>
        <v>0</v>
      </c>
      <c r="C91" s="3777">
        <v>198897.1</v>
      </c>
      <c r="D91" s="3777">
        <v>198897.1</v>
      </c>
      <c r="E91" s="3777">
        <v>198897.1</v>
      </c>
      <c r="F91" s="3777">
        <v>2055.9913684686153</v>
      </c>
      <c r="G91" s="3777">
        <v>2255.6652731095755</v>
      </c>
      <c r="H91" s="3777">
        <v>854.18004534062641</v>
      </c>
      <c r="I91" s="3777">
        <v>5440</v>
      </c>
      <c r="J91" s="3777">
        <v>5440</v>
      </c>
    </row>
    <row r="92" spans="1:10">
      <c r="A92" s="3779" t="s">
        <v>2553</v>
      </c>
      <c r="B92" s="3778">
        <f>+'Estados Financieros'!G388+'Estados Financieros'!G403</f>
        <v>0</v>
      </c>
      <c r="C92" s="3777">
        <v>8950.3695000000007</v>
      </c>
      <c r="D92" s="3777">
        <v>8950.3695000000007</v>
      </c>
      <c r="E92" s="3777">
        <v>8950.3695000000007</v>
      </c>
      <c r="F92" s="3777">
        <v>2055.9913684686153</v>
      </c>
      <c r="G92" s="3777">
        <v>2255.6652731095755</v>
      </c>
      <c r="H92" s="3777">
        <v>854.18004534062641</v>
      </c>
      <c r="I92" s="3777">
        <v>5440</v>
      </c>
      <c r="J92" s="3777">
        <v>5440</v>
      </c>
    </row>
    <row r="93" spans="1:10">
      <c r="A93" s="3776" t="s">
        <v>2552</v>
      </c>
      <c r="B93" s="3775" t="e">
        <f t="shared" ref="B93:J93" si="36">+B92/B91</f>
        <v>#DIV/0!</v>
      </c>
      <c r="C93" s="3774">
        <f t="shared" si="36"/>
        <v>4.5000000000000005E-2</v>
      </c>
      <c r="D93" s="3774">
        <f t="shared" si="36"/>
        <v>4.5000000000000005E-2</v>
      </c>
      <c r="E93" s="3774">
        <f t="shared" si="36"/>
        <v>4.5000000000000005E-2</v>
      </c>
      <c r="F93" s="3774">
        <f t="shared" si="36"/>
        <v>1</v>
      </c>
      <c r="G93" s="3774">
        <f t="shared" si="36"/>
        <v>1</v>
      </c>
      <c r="H93" s="3774">
        <f t="shared" si="36"/>
        <v>1</v>
      </c>
      <c r="I93" s="3774">
        <f t="shared" si="36"/>
        <v>1</v>
      </c>
      <c r="J93" s="3774">
        <f t="shared" si="36"/>
        <v>1</v>
      </c>
    </row>
  </sheetData>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sheetPr codeName="Hoja55"/>
  <dimension ref="A1:J53"/>
  <sheetViews>
    <sheetView showGridLines="0" showRowColHeaders="0" zoomScale="70" zoomScaleNormal="70" workbookViewId="0">
      <selection activeCell="D7" sqref="D7"/>
    </sheetView>
  </sheetViews>
  <sheetFormatPr baseColWidth="10" defaultRowHeight="14.5"/>
  <cols>
    <col min="1" max="1" width="58.453125" customWidth="1"/>
    <col min="2" max="10" width="15.1796875" customWidth="1"/>
  </cols>
  <sheetData>
    <row r="1" spans="1:10" ht="15" thickBot="1">
      <c r="A1" s="3722" t="s">
        <v>2596</v>
      </c>
    </row>
    <row r="2" spans="1:10" ht="19" thickBot="1">
      <c r="A2" s="3806" t="s">
        <v>2594</v>
      </c>
      <c r="B2" s="3804">
        <f>+'Balances y Proyecciones'!$N$15</f>
        <v>2019</v>
      </c>
      <c r="C2" s="3804">
        <f t="shared" ref="C2:J2" si="0">+B2+1</f>
        <v>2020</v>
      </c>
      <c r="D2" s="3804">
        <f t="shared" si="0"/>
        <v>2021</v>
      </c>
      <c r="E2" s="3804">
        <f t="shared" si="0"/>
        <v>2022</v>
      </c>
      <c r="F2" s="3804">
        <f t="shared" si="0"/>
        <v>2023</v>
      </c>
      <c r="G2" s="3804">
        <f t="shared" si="0"/>
        <v>2024</v>
      </c>
      <c r="H2" s="3805">
        <f t="shared" si="0"/>
        <v>2025</v>
      </c>
      <c r="I2" s="3804">
        <f t="shared" si="0"/>
        <v>2026</v>
      </c>
      <c r="J2" s="3804">
        <f t="shared" si="0"/>
        <v>2027</v>
      </c>
    </row>
    <row r="3" spans="1:10" ht="19" thickBot="1">
      <c r="A3" s="3801" t="s">
        <v>1346</v>
      </c>
      <c r="B3" s="3813">
        <f>+'Balances y Proyecciones'!$N$439</f>
        <v>0</v>
      </c>
      <c r="C3" s="3812">
        <f>+'Balances y Proyecciones'!T$486</f>
        <v>0</v>
      </c>
      <c r="D3" s="3812">
        <f>+'Balances y Proyecciones'!U$486</f>
        <v>0</v>
      </c>
      <c r="E3" s="3812">
        <f>+'Balances y Proyecciones'!V$486</f>
        <v>0</v>
      </c>
      <c r="F3" s="3812">
        <f>+'Balances y Proyecciones'!W$486</f>
        <v>0</v>
      </c>
      <c r="G3" s="3812">
        <f>+'Balances y Proyecciones'!X$486</f>
        <v>0</v>
      </c>
      <c r="H3" s="3812">
        <f>+'Balances y Proyecciones'!Y$486</f>
        <v>0</v>
      </c>
      <c r="I3" s="3812">
        <f>+'Balances y Proyecciones'!Z$486</f>
        <v>0</v>
      </c>
      <c r="J3" s="3812">
        <f>+'Balances y Proyecciones'!AA$486</f>
        <v>0</v>
      </c>
    </row>
    <row r="4" spans="1:10" ht="19" thickBot="1">
      <c r="A4" s="3801" t="s">
        <v>1347</v>
      </c>
      <c r="B4" s="3813">
        <f>+'Balances y Proyecciones'!$N$440</f>
        <v>0</v>
      </c>
      <c r="C4" s="3812">
        <f>+'Balances y Proyecciones'!T$487</f>
        <v>0</v>
      </c>
      <c r="D4" s="3812">
        <f>+'Balances y Proyecciones'!U$487</f>
        <v>0</v>
      </c>
      <c r="E4" s="3812">
        <f>+'Balances y Proyecciones'!V$487</f>
        <v>0</v>
      </c>
      <c r="F4" s="3812">
        <f>+'Balances y Proyecciones'!W$487</f>
        <v>0</v>
      </c>
      <c r="G4" s="3812">
        <f>+'Balances y Proyecciones'!X$487</f>
        <v>0</v>
      </c>
      <c r="H4" s="3812">
        <f>+'Balances y Proyecciones'!Y$487</f>
        <v>0</v>
      </c>
      <c r="I4" s="3812">
        <f>+'Balances y Proyecciones'!Z$487</f>
        <v>0</v>
      </c>
      <c r="J4" s="3812">
        <f>+'Balances y Proyecciones'!AA$487</f>
        <v>0</v>
      </c>
    </row>
    <row r="5" spans="1:10" ht="19" thickBot="1">
      <c r="A5" s="3801" t="s">
        <v>1348</v>
      </c>
      <c r="B5" s="3813">
        <f>+'Balances y Proyecciones'!$N$441</f>
        <v>0</v>
      </c>
      <c r="C5" s="3812">
        <f>+'Balances y Proyecciones'!T$488</f>
        <v>0</v>
      </c>
      <c r="D5" s="3812">
        <f>+'Balances y Proyecciones'!U$488</f>
        <v>0</v>
      </c>
      <c r="E5" s="3812">
        <f>+'Balances y Proyecciones'!V$488</f>
        <v>0</v>
      </c>
      <c r="F5" s="3812">
        <f>+'Balances y Proyecciones'!W$488</f>
        <v>0</v>
      </c>
      <c r="G5" s="3812">
        <f>+'Balances y Proyecciones'!X$488</f>
        <v>0</v>
      </c>
      <c r="H5" s="3812">
        <f>+'Balances y Proyecciones'!Y$488</f>
        <v>0</v>
      </c>
      <c r="I5" s="3812">
        <f>+'Balances y Proyecciones'!Z$488</f>
        <v>0</v>
      </c>
      <c r="J5" s="3812">
        <f>+'Balances y Proyecciones'!AA$488</f>
        <v>0</v>
      </c>
    </row>
    <row r="6" spans="1:10" ht="19" thickBot="1">
      <c r="A6" s="3801" t="s">
        <v>1360</v>
      </c>
      <c r="B6" s="3810">
        <f>+'Balances y Proyecciones'!$AY$725</f>
        <v>0</v>
      </c>
      <c r="C6" s="3809">
        <f>+'Balances y Proyecciones'!T$501</f>
        <v>0</v>
      </c>
      <c r="D6" s="3809">
        <f>+'Balances y Proyecciones'!U$501</f>
        <v>0</v>
      </c>
      <c r="E6" s="3809">
        <f>+'Balances y Proyecciones'!V$501</f>
        <v>0</v>
      </c>
      <c r="F6" s="3809">
        <f>+'Balances y Proyecciones'!W$501</f>
        <v>0</v>
      </c>
      <c r="G6" s="3809">
        <f>+'Balances y Proyecciones'!X$501</f>
        <v>0</v>
      </c>
      <c r="H6" s="3809">
        <f>+'Balances y Proyecciones'!Y$501</f>
        <v>0</v>
      </c>
      <c r="I6" s="3809">
        <f>+'Balances y Proyecciones'!Z$501</f>
        <v>0</v>
      </c>
      <c r="J6" s="3809">
        <f>+'Balances y Proyecciones'!AA$501</f>
        <v>0</v>
      </c>
    </row>
    <row r="7" spans="1:10" ht="19" thickBot="1">
      <c r="A7" s="3801" t="s">
        <v>1362</v>
      </c>
      <c r="B7" s="3810">
        <f>+'Balances y Proyecciones'!$AY$727</f>
        <v>0</v>
      </c>
      <c r="C7" s="3809">
        <f>+'Balances y Proyecciones'!T$503</f>
        <v>0</v>
      </c>
      <c r="D7" s="3809">
        <f>+'Balances y Proyecciones'!U$503</f>
        <v>0</v>
      </c>
      <c r="E7" s="3809">
        <f>+'Balances y Proyecciones'!V$503</f>
        <v>0</v>
      </c>
      <c r="F7" s="3809">
        <f>+'Balances y Proyecciones'!W$503</f>
        <v>0</v>
      </c>
      <c r="G7" s="3809">
        <f>+'Balances y Proyecciones'!X$503</f>
        <v>0</v>
      </c>
      <c r="H7" s="3809">
        <f>+'Balances y Proyecciones'!Y$503</f>
        <v>0</v>
      </c>
      <c r="I7" s="3809">
        <f>+'Balances y Proyecciones'!Z$503</f>
        <v>0</v>
      </c>
      <c r="J7" s="3809">
        <f>+'Balances y Proyecciones'!AA$503</f>
        <v>0</v>
      </c>
    </row>
    <row r="8" spans="1:10" ht="18.5">
      <c r="A8" s="3811" t="s">
        <v>1364</v>
      </c>
      <c r="B8" s="3818">
        <f>+'Balances y Proyecciones'!$N$459</f>
        <v>0</v>
      </c>
      <c r="C8" s="3817">
        <f>+'Balances y Proyecciones'!T$506</f>
        <v>0</v>
      </c>
      <c r="D8" s="3817">
        <f>+'Balances y Proyecciones'!U$506</f>
        <v>0</v>
      </c>
      <c r="E8" s="3817">
        <f>+'Balances y Proyecciones'!V$506</f>
        <v>0</v>
      </c>
      <c r="F8" s="3817">
        <f>+'Balances y Proyecciones'!W$506</f>
        <v>0</v>
      </c>
      <c r="G8" s="3817">
        <f>+'Balances y Proyecciones'!X$506</f>
        <v>0</v>
      </c>
      <c r="H8" s="3817">
        <f>+'Balances y Proyecciones'!Y$506</f>
        <v>0</v>
      </c>
      <c r="I8" s="3817">
        <f>+'Balances y Proyecciones'!Z$506</f>
        <v>0</v>
      </c>
      <c r="J8" s="3817">
        <f>+'Balances y Proyecciones'!AA$506</f>
        <v>0</v>
      </c>
    </row>
    <row r="9" spans="1:10" ht="15" thickBot="1">
      <c r="A9" s="3808"/>
      <c r="B9" s="3808"/>
      <c r="C9" s="3808"/>
      <c r="D9" s="3808"/>
      <c r="E9" s="3808"/>
      <c r="F9" s="3808"/>
      <c r="G9" s="3808"/>
      <c r="H9" s="3808"/>
      <c r="I9" s="3808"/>
      <c r="J9" s="3807"/>
    </row>
    <row r="10" spans="1:10" ht="19" thickBot="1">
      <c r="A10" s="3806" t="s">
        <v>2593</v>
      </c>
      <c r="B10" s="3804">
        <f t="shared" ref="B10:J10" si="1">+B2</f>
        <v>2019</v>
      </c>
      <c r="C10" s="3804">
        <f t="shared" si="1"/>
        <v>2020</v>
      </c>
      <c r="D10" s="3804">
        <f t="shared" si="1"/>
        <v>2021</v>
      </c>
      <c r="E10" s="3804">
        <f t="shared" si="1"/>
        <v>2022</v>
      </c>
      <c r="F10" s="3804">
        <f t="shared" si="1"/>
        <v>2023</v>
      </c>
      <c r="G10" s="3804">
        <f t="shared" si="1"/>
        <v>2024</v>
      </c>
      <c r="H10" s="3805">
        <f t="shared" si="1"/>
        <v>2025</v>
      </c>
      <c r="I10" s="3804">
        <f t="shared" si="1"/>
        <v>2026</v>
      </c>
      <c r="J10" s="3804">
        <f t="shared" si="1"/>
        <v>2027</v>
      </c>
    </row>
    <row r="11" spans="1:10" ht="19" thickBot="1">
      <c r="A11" s="3801" t="s">
        <v>881</v>
      </c>
      <c r="B11" s="3803">
        <f>+'Estados Financieros'!$G$458</f>
        <v>0</v>
      </c>
      <c r="C11" s="3802">
        <f>+'Balances y Proyecciones'!T$93</f>
        <v>0</v>
      </c>
      <c r="D11" s="3802">
        <f>+'Balances y Proyecciones'!U$93</f>
        <v>0</v>
      </c>
      <c r="E11" s="3802">
        <f>+'Balances y Proyecciones'!V$93</f>
        <v>0</v>
      </c>
      <c r="F11" s="3802">
        <f>+'Balances y Proyecciones'!W$93</f>
        <v>0</v>
      </c>
      <c r="G11" s="3802">
        <f>+'Balances y Proyecciones'!X$93</f>
        <v>0</v>
      </c>
      <c r="H11" s="3802">
        <f>+'Balances y Proyecciones'!Y$93</f>
        <v>0</v>
      </c>
      <c r="I11" s="3802">
        <f>+'Balances y Proyecciones'!Z$93</f>
        <v>0</v>
      </c>
      <c r="J11" s="3802">
        <f>+'Balances y Proyecciones'!AA$93</f>
        <v>0</v>
      </c>
    </row>
    <row r="12" spans="1:10" ht="19" thickBot="1">
      <c r="A12" s="3801" t="s">
        <v>1165</v>
      </c>
      <c r="B12" s="3803">
        <f>+'Balances y Proyecciones'!$N$151</f>
        <v>0</v>
      </c>
      <c r="C12" s="3802">
        <f>+'Balances y Proyecciones'!T$151</f>
        <v>0</v>
      </c>
      <c r="D12" s="3802">
        <f>+'Balances y Proyecciones'!U$151</f>
        <v>0</v>
      </c>
      <c r="E12" s="3802">
        <f>+'Balances y Proyecciones'!V$151</f>
        <v>0</v>
      </c>
      <c r="F12" s="3802">
        <f>+'Balances y Proyecciones'!W$151</f>
        <v>0</v>
      </c>
      <c r="G12" s="3802">
        <f>+'Balances y Proyecciones'!X$151</f>
        <v>0</v>
      </c>
      <c r="H12" s="3802">
        <f>+'Balances y Proyecciones'!Y$151</f>
        <v>0</v>
      </c>
      <c r="I12" s="3802">
        <f>+'Balances y Proyecciones'!Z$151</f>
        <v>0</v>
      </c>
      <c r="J12" s="3802">
        <f>+'Balances y Proyecciones'!AA$151</f>
        <v>0</v>
      </c>
    </row>
    <row r="13" spans="1:10" ht="19" thickBot="1">
      <c r="A13" s="3801" t="s">
        <v>1175</v>
      </c>
      <c r="B13" s="3803">
        <f>+'Balances y Proyecciones'!$N$157</f>
        <v>0</v>
      </c>
      <c r="C13" s="3802">
        <f>+'Balances y Proyecciones'!$T$157</f>
        <v>0</v>
      </c>
      <c r="D13" s="3802">
        <f>+'Balances y Proyecciones'!U$157</f>
        <v>0</v>
      </c>
      <c r="E13" s="3802">
        <f>+'Balances y Proyecciones'!V$157</f>
        <v>0</v>
      </c>
      <c r="F13" s="3802">
        <f>+'Balances y Proyecciones'!W$157</f>
        <v>0</v>
      </c>
      <c r="G13" s="3802">
        <f>+'Balances y Proyecciones'!X$157</f>
        <v>0</v>
      </c>
      <c r="H13" s="3802">
        <f>+'Balances y Proyecciones'!Y$157</f>
        <v>0</v>
      </c>
      <c r="I13" s="3802">
        <f>+'Balances y Proyecciones'!Z$157</f>
        <v>0</v>
      </c>
      <c r="J13" s="3802">
        <f>+'Balances y Proyecciones'!AA$157</f>
        <v>0</v>
      </c>
    </row>
    <row r="14" spans="1:10" ht="19" thickBot="1">
      <c r="A14" s="3801" t="s">
        <v>904</v>
      </c>
      <c r="B14" s="3803">
        <f>+'Balances y Proyecciones'!$N$18</f>
        <v>0</v>
      </c>
      <c r="C14" s="3802">
        <f>+'Balances y Proyecciones'!T$18</f>
        <v>0</v>
      </c>
      <c r="D14" s="3802">
        <f>+'Balances y Proyecciones'!U$18</f>
        <v>0</v>
      </c>
      <c r="E14" s="3802">
        <f>+'Balances y Proyecciones'!V$18</f>
        <v>0</v>
      </c>
      <c r="F14" s="3802">
        <f>+'Balances y Proyecciones'!W$18</f>
        <v>0</v>
      </c>
      <c r="G14" s="3802">
        <f>+'Balances y Proyecciones'!X$18</f>
        <v>0</v>
      </c>
      <c r="H14" s="3802">
        <f>+'Balances y Proyecciones'!Y$18</f>
        <v>0</v>
      </c>
      <c r="I14" s="3802">
        <f>+'Balances y Proyecciones'!Z$18</f>
        <v>0</v>
      </c>
      <c r="J14" s="3802">
        <f>+'Balances y Proyecciones'!AA$18</f>
        <v>0</v>
      </c>
    </row>
    <row r="15" spans="1:10" ht="19" thickBot="1">
      <c r="A15" s="3801" t="s">
        <v>2342</v>
      </c>
      <c r="B15" s="3800" t="e">
        <f t="shared" ref="B15:J15" si="2">+B11/(B20+B19)</f>
        <v>#DIV/0!</v>
      </c>
      <c r="C15" s="3799" t="e">
        <f t="shared" si="2"/>
        <v>#DIV/0!</v>
      </c>
      <c r="D15" s="3799" t="e">
        <f t="shared" si="2"/>
        <v>#DIV/0!</v>
      </c>
      <c r="E15" s="3799" t="e">
        <f t="shared" si="2"/>
        <v>#DIV/0!</v>
      </c>
      <c r="F15" s="3799" t="e">
        <f t="shared" si="2"/>
        <v>#DIV/0!</v>
      </c>
      <c r="G15" s="3799" t="e">
        <f t="shared" si="2"/>
        <v>#DIV/0!</v>
      </c>
      <c r="H15" s="3799" t="e">
        <f t="shared" si="2"/>
        <v>#DIV/0!</v>
      </c>
      <c r="I15" s="3799" t="e">
        <f t="shared" si="2"/>
        <v>#DIV/0!</v>
      </c>
      <c r="J15" s="3799" t="e">
        <f t="shared" si="2"/>
        <v>#DIV/0!</v>
      </c>
    </row>
    <row r="16" spans="1:10" ht="19" thickBot="1">
      <c r="A16" s="3801" t="s">
        <v>2592</v>
      </c>
      <c r="B16" s="3800" t="e">
        <f t="shared" ref="B16:J16" si="3">+(B21+B23)/B11</f>
        <v>#DIV/0!</v>
      </c>
      <c r="C16" s="3799" t="e">
        <f t="shared" si="3"/>
        <v>#DIV/0!</v>
      </c>
      <c r="D16" s="3799" t="e">
        <f t="shared" si="3"/>
        <v>#DIV/0!</v>
      </c>
      <c r="E16" s="3799" t="e">
        <f t="shared" si="3"/>
        <v>#DIV/0!</v>
      </c>
      <c r="F16" s="3799" t="e">
        <f t="shared" si="3"/>
        <v>#DIV/0!</v>
      </c>
      <c r="G16" s="3799" t="e">
        <f t="shared" si="3"/>
        <v>#DIV/0!</v>
      </c>
      <c r="H16" s="3799" t="e">
        <f t="shared" si="3"/>
        <v>#DIV/0!</v>
      </c>
      <c r="I16" s="3799" t="e">
        <f t="shared" si="3"/>
        <v>#DIV/0!</v>
      </c>
      <c r="J16" s="3799" t="e">
        <f t="shared" si="3"/>
        <v>#DIV/0!</v>
      </c>
    </row>
    <row r="17" spans="1:10" ht="19" thickBot="1">
      <c r="A17" s="3801" t="s">
        <v>2591</v>
      </c>
      <c r="B17" s="3800" t="e">
        <f t="shared" ref="B17:J17" si="4">+B11/B20</f>
        <v>#DIV/0!</v>
      </c>
      <c r="C17" s="3799" t="e">
        <f t="shared" si="4"/>
        <v>#DIV/0!</v>
      </c>
      <c r="D17" s="3799" t="e">
        <f t="shared" si="4"/>
        <v>#DIV/0!</v>
      </c>
      <c r="E17" s="3799" t="e">
        <f t="shared" si="4"/>
        <v>#DIV/0!</v>
      </c>
      <c r="F17" s="3799" t="e">
        <f t="shared" si="4"/>
        <v>#DIV/0!</v>
      </c>
      <c r="G17" s="3799" t="e">
        <f t="shared" si="4"/>
        <v>#DIV/0!</v>
      </c>
      <c r="H17" s="3799" t="e">
        <f t="shared" si="4"/>
        <v>#DIV/0!</v>
      </c>
      <c r="I17" s="3799" t="e">
        <f t="shared" si="4"/>
        <v>#DIV/0!</v>
      </c>
      <c r="J17" s="3799" t="e">
        <f t="shared" si="4"/>
        <v>#DIV/0!</v>
      </c>
    </row>
    <row r="19" spans="1:10">
      <c r="A19" s="3798" t="s">
        <v>1169</v>
      </c>
      <c r="B19" s="3795">
        <f>+'Estados Financieros'!$F$196</f>
        <v>0</v>
      </c>
      <c r="C19" s="3795">
        <f>+'Balances y Proyecciones'!T$153*-1</f>
        <v>0</v>
      </c>
      <c r="D19" s="3795">
        <f>+'Balances y Proyecciones'!U$153*-1</f>
        <v>0</v>
      </c>
      <c r="E19" s="3795">
        <f>+'Balances y Proyecciones'!V$153*-1</f>
        <v>0</v>
      </c>
      <c r="F19" s="3795">
        <f>+'Balances y Proyecciones'!W$153*-1</f>
        <v>0</v>
      </c>
      <c r="G19" s="3795">
        <f>+'Balances y Proyecciones'!X$153*-1</f>
        <v>0</v>
      </c>
      <c r="H19" s="3795">
        <f>+'Balances y Proyecciones'!Y$153*-1</f>
        <v>0</v>
      </c>
      <c r="I19" s="3795">
        <f>+'Balances y Proyecciones'!Z$153*-1</f>
        <v>0</v>
      </c>
      <c r="J19" s="3795">
        <f>+'Balances y Proyecciones'!AA$153*-1</f>
        <v>0</v>
      </c>
    </row>
    <row r="20" spans="1:10">
      <c r="A20" s="3797" t="s">
        <v>1173</v>
      </c>
      <c r="B20" s="3795">
        <f>+'Estados Financieros'!$G$439</f>
        <v>0</v>
      </c>
      <c r="C20" s="3795">
        <f>+'Balances y Proyecciones'!T$155*-1</f>
        <v>0</v>
      </c>
      <c r="D20" s="3795">
        <f>+'Balances y Proyecciones'!U$155*-1</f>
        <v>0</v>
      </c>
      <c r="E20" s="3795">
        <f>+'Balances y Proyecciones'!V$155*-1</f>
        <v>0</v>
      </c>
      <c r="F20" s="3795">
        <f>+'Balances y Proyecciones'!W$155*-1</f>
        <v>0</v>
      </c>
      <c r="G20" s="3795">
        <f>+'Balances y Proyecciones'!X$155*-1</f>
        <v>0</v>
      </c>
      <c r="H20" s="3795">
        <f>+'Balances y Proyecciones'!Y$155*-1</f>
        <v>0</v>
      </c>
      <c r="I20" s="3795">
        <f>+'Balances y Proyecciones'!Z$155*-1</f>
        <v>0</v>
      </c>
      <c r="J20" s="3795">
        <f>+'Balances y Proyecciones'!AA$155*-1</f>
        <v>0</v>
      </c>
    </row>
    <row r="21" spans="1:10">
      <c r="A21" s="3796" t="s">
        <v>1069</v>
      </c>
      <c r="B21" s="3795">
        <f>+'Estados Financieros'!$G$198</f>
        <v>0</v>
      </c>
      <c r="C21" s="3795">
        <f>+'Balances y Proyecciones'!T$36+'Balances y Proyecciones'!T$37</f>
        <v>0</v>
      </c>
      <c r="D21" s="3795">
        <f>+'Balances y Proyecciones'!U$36+'Balances y Proyecciones'!U$37</f>
        <v>0</v>
      </c>
      <c r="E21" s="3795">
        <f>+'Balances y Proyecciones'!V$36+'Balances y Proyecciones'!V$37</f>
        <v>0</v>
      </c>
      <c r="F21" s="3795">
        <f>+'Balances y Proyecciones'!W$36+'Balances y Proyecciones'!W$37</f>
        <v>0</v>
      </c>
      <c r="G21" s="3795">
        <f>+'Balances y Proyecciones'!X$36+'Balances y Proyecciones'!X$37</f>
        <v>0</v>
      </c>
      <c r="H21" s="3795">
        <f>+'Balances y Proyecciones'!Y$36+'Balances y Proyecciones'!Y$37</f>
        <v>0</v>
      </c>
      <c r="I21" s="3795">
        <f>+'Balances y Proyecciones'!Z$36+'Balances y Proyecciones'!Z$37</f>
        <v>0</v>
      </c>
      <c r="J21" s="3795">
        <f>+'Balances y Proyecciones'!AA$36+'Balances y Proyecciones'!AA$37</f>
        <v>0</v>
      </c>
    </row>
    <row r="22" spans="1:10">
      <c r="A22" s="3796" t="s">
        <v>1071</v>
      </c>
      <c r="B22" s="3795">
        <f>+'Estados Financieros'!$G$196</f>
        <v>0</v>
      </c>
      <c r="C22" s="3795">
        <f>+'Balances y Proyecciones'!T$37</f>
        <v>0</v>
      </c>
      <c r="D22" s="3795">
        <f>+'Balances y Proyecciones'!U$37</f>
        <v>0</v>
      </c>
      <c r="E22" s="3795">
        <f>+'Balances y Proyecciones'!V$37</f>
        <v>0</v>
      </c>
      <c r="F22" s="3795">
        <f>+'Balances y Proyecciones'!W$37</f>
        <v>0</v>
      </c>
      <c r="G22" s="3795">
        <f>+'Balances y Proyecciones'!X$37</f>
        <v>0</v>
      </c>
      <c r="H22" s="3795">
        <f>+'Balances y Proyecciones'!Y$37</f>
        <v>0</v>
      </c>
      <c r="I22" s="3795">
        <f>+'Balances y Proyecciones'!Z$37</f>
        <v>0</v>
      </c>
      <c r="J22" s="3795">
        <f>+'Balances y Proyecciones'!AA$37</f>
        <v>0</v>
      </c>
    </row>
    <row r="23" spans="1:10">
      <c r="A23" s="3796" t="s">
        <v>741</v>
      </c>
      <c r="B23" s="3795">
        <f>+'Estados Financieros'!$G$270</f>
        <v>0</v>
      </c>
      <c r="C23" s="3795">
        <f>+'Balances y Proyecciones'!T$49</f>
        <v>0</v>
      </c>
      <c r="D23" s="3795">
        <f>+'Balances y Proyecciones'!U$49</f>
        <v>0</v>
      </c>
      <c r="E23" s="3795">
        <f>+'Balances y Proyecciones'!V$49</f>
        <v>0</v>
      </c>
      <c r="F23" s="3795">
        <f>+'Balances y Proyecciones'!W$49</f>
        <v>0</v>
      </c>
      <c r="G23" s="3795">
        <f>+'Balances y Proyecciones'!X$49</f>
        <v>0</v>
      </c>
      <c r="H23" s="3795">
        <f>+'Balances y Proyecciones'!Y$49</f>
        <v>0</v>
      </c>
      <c r="I23" s="3795">
        <f>+'Balances y Proyecciones'!Z$49</f>
        <v>0</v>
      </c>
      <c r="J23" s="3795">
        <f>+'Balances y Proyecciones'!AA$49</f>
        <v>0</v>
      </c>
    </row>
    <row r="24" spans="1:10">
      <c r="A24" s="3796" t="s">
        <v>2518</v>
      </c>
      <c r="B24" s="3795"/>
      <c r="C24" s="3815">
        <f t="shared" ref="C24:J24" si="5">+IFERROR(((C21+C23)-(B21+B23))/(B21+B23),0)</f>
        <v>0</v>
      </c>
      <c r="D24" s="3815">
        <f t="shared" si="5"/>
        <v>0</v>
      </c>
      <c r="E24" s="3815">
        <f t="shared" si="5"/>
        <v>0</v>
      </c>
      <c r="F24" s="3815">
        <f t="shared" si="5"/>
        <v>0</v>
      </c>
      <c r="G24" s="3815">
        <f t="shared" si="5"/>
        <v>0</v>
      </c>
      <c r="H24" s="3815">
        <f t="shared" si="5"/>
        <v>0</v>
      </c>
      <c r="I24" s="3815">
        <f t="shared" si="5"/>
        <v>0</v>
      </c>
      <c r="J24" s="3815">
        <f t="shared" si="5"/>
        <v>0</v>
      </c>
    </row>
    <row r="25" spans="1:10">
      <c r="A25" s="3794"/>
      <c r="B25" s="3793"/>
      <c r="C25" s="3819"/>
      <c r="D25" s="3819"/>
      <c r="E25" s="3819"/>
      <c r="F25" s="3819"/>
      <c r="G25" s="3819"/>
      <c r="H25" s="3819"/>
      <c r="I25" s="3819"/>
      <c r="J25" s="3819"/>
    </row>
    <row r="26" spans="1:10" ht="15" thickBot="1">
      <c r="A26" s="3814" t="s">
        <v>2595</v>
      </c>
      <c r="B26" s="3793"/>
      <c r="C26" s="3793"/>
      <c r="D26" s="3793"/>
      <c r="E26" s="3793"/>
      <c r="F26" s="3793"/>
      <c r="G26" s="3793"/>
      <c r="H26" s="3793"/>
      <c r="I26" s="3793"/>
      <c r="J26" s="3793"/>
    </row>
    <row r="27" spans="1:10" ht="19" thickBot="1">
      <c r="A27" s="3806" t="s">
        <v>2594</v>
      </c>
      <c r="B27" s="3804">
        <f>+'Balances y Proyecciones'!$N$15</f>
        <v>2019</v>
      </c>
      <c r="C27" s="3804">
        <f t="shared" ref="C27:J27" si="6">+B27+1</f>
        <v>2020</v>
      </c>
      <c r="D27" s="3804">
        <f t="shared" si="6"/>
        <v>2021</v>
      </c>
      <c r="E27" s="3804">
        <f t="shared" si="6"/>
        <v>2022</v>
      </c>
      <c r="F27" s="3804">
        <f t="shared" si="6"/>
        <v>2023</v>
      </c>
      <c r="G27" s="3804">
        <f t="shared" si="6"/>
        <v>2024</v>
      </c>
      <c r="H27" s="3805">
        <f t="shared" si="6"/>
        <v>2025</v>
      </c>
      <c r="I27" s="3804">
        <f t="shared" si="6"/>
        <v>2026</v>
      </c>
      <c r="J27" s="3804">
        <f t="shared" si="6"/>
        <v>2027</v>
      </c>
    </row>
    <row r="28" spans="1:10" ht="19" thickBot="1">
      <c r="A28" s="3801" t="s">
        <v>1346</v>
      </c>
      <c r="B28" s="3813">
        <f t="shared" ref="B28:J28" si="7">+B3</f>
        <v>0</v>
      </c>
      <c r="C28" s="3812">
        <f t="shared" si="7"/>
        <v>0</v>
      </c>
      <c r="D28" s="3812">
        <f t="shared" si="7"/>
        <v>0</v>
      </c>
      <c r="E28" s="3812">
        <f t="shared" si="7"/>
        <v>0</v>
      </c>
      <c r="F28" s="3812">
        <f t="shared" si="7"/>
        <v>0</v>
      </c>
      <c r="G28" s="3812">
        <f t="shared" si="7"/>
        <v>0</v>
      </c>
      <c r="H28" s="3812">
        <f t="shared" si="7"/>
        <v>0</v>
      </c>
      <c r="I28" s="3812">
        <f t="shared" si="7"/>
        <v>0</v>
      </c>
      <c r="J28" s="3812">
        <f t="shared" si="7"/>
        <v>0</v>
      </c>
    </row>
    <row r="29" spans="1:10" ht="19" thickBot="1">
      <c r="A29" s="3801" t="s">
        <v>1347</v>
      </c>
      <c r="B29" s="3813">
        <f t="shared" ref="B29:J29" si="8">+B4</f>
        <v>0</v>
      </c>
      <c r="C29" s="3812">
        <f t="shared" si="8"/>
        <v>0</v>
      </c>
      <c r="D29" s="3812">
        <f t="shared" si="8"/>
        <v>0</v>
      </c>
      <c r="E29" s="3812">
        <f t="shared" si="8"/>
        <v>0</v>
      </c>
      <c r="F29" s="3812">
        <f t="shared" si="8"/>
        <v>0</v>
      </c>
      <c r="G29" s="3812">
        <f t="shared" si="8"/>
        <v>0</v>
      </c>
      <c r="H29" s="3812">
        <f t="shared" si="8"/>
        <v>0</v>
      </c>
      <c r="I29" s="3812">
        <f t="shared" si="8"/>
        <v>0</v>
      </c>
      <c r="J29" s="3812">
        <f t="shared" si="8"/>
        <v>0</v>
      </c>
    </row>
    <row r="30" spans="1:10" ht="19" thickBot="1">
      <c r="A30" s="3801" t="s">
        <v>1348</v>
      </c>
      <c r="B30" s="3813">
        <f t="shared" ref="B30:J30" si="9">+B5</f>
        <v>0</v>
      </c>
      <c r="C30" s="3812">
        <f t="shared" si="9"/>
        <v>0</v>
      </c>
      <c r="D30" s="3812">
        <f t="shared" si="9"/>
        <v>0</v>
      </c>
      <c r="E30" s="3812">
        <f t="shared" si="9"/>
        <v>0</v>
      </c>
      <c r="F30" s="3812">
        <f t="shared" si="9"/>
        <v>0</v>
      </c>
      <c r="G30" s="3812">
        <f t="shared" si="9"/>
        <v>0</v>
      </c>
      <c r="H30" s="3812">
        <f t="shared" si="9"/>
        <v>0</v>
      </c>
      <c r="I30" s="3812">
        <f t="shared" si="9"/>
        <v>0</v>
      </c>
      <c r="J30" s="3812">
        <f t="shared" si="9"/>
        <v>0</v>
      </c>
    </row>
    <row r="31" spans="1:10" ht="19" thickBot="1">
      <c r="A31" s="3801" t="s">
        <v>1360</v>
      </c>
      <c r="B31" s="3810">
        <f t="shared" ref="B31:J31" si="10">+B6</f>
        <v>0</v>
      </c>
      <c r="C31" s="3809">
        <f t="shared" si="10"/>
        <v>0</v>
      </c>
      <c r="D31" s="3809">
        <f t="shared" si="10"/>
        <v>0</v>
      </c>
      <c r="E31" s="3809">
        <f t="shared" si="10"/>
        <v>0</v>
      </c>
      <c r="F31" s="3809">
        <f t="shared" si="10"/>
        <v>0</v>
      </c>
      <c r="G31" s="3809">
        <f t="shared" si="10"/>
        <v>0</v>
      </c>
      <c r="H31" s="3809">
        <f t="shared" si="10"/>
        <v>0</v>
      </c>
      <c r="I31" s="3809">
        <f t="shared" si="10"/>
        <v>0</v>
      </c>
      <c r="J31" s="3809">
        <f t="shared" si="10"/>
        <v>0</v>
      </c>
    </row>
    <row r="32" spans="1:10" ht="19" thickBot="1">
      <c r="A32" s="3801" t="s">
        <v>1362</v>
      </c>
      <c r="B32" s="3810">
        <f t="shared" ref="B32:J32" si="11">+B7</f>
        <v>0</v>
      </c>
      <c r="C32" s="3809">
        <f t="shared" si="11"/>
        <v>0</v>
      </c>
      <c r="D32" s="3809">
        <f t="shared" si="11"/>
        <v>0</v>
      </c>
      <c r="E32" s="3809">
        <f t="shared" si="11"/>
        <v>0</v>
      </c>
      <c r="F32" s="3809">
        <f t="shared" si="11"/>
        <v>0</v>
      </c>
      <c r="G32" s="3809">
        <f t="shared" si="11"/>
        <v>0</v>
      </c>
      <c r="H32" s="3809">
        <f t="shared" si="11"/>
        <v>0</v>
      </c>
      <c r="I32" s="3809">
        <f t="shared" si="11"/>
        <v>0</v>
      </c>
      <c r="J32" s="3809">
        <f t="shared" si="11"/>
        <v>0</v>
      </c>
    </row>
    <row r="33" spans="1:10" ht="18.5">
      <c r="A33" s="3811" t="s">
        <v>1364</v>
      </c>
      <c r="B33" s="3818">
        <f t="shared" ref="B33:J33" si="12">+B8</f>
        <v>0</v>
      </c>
      <c r="C33" s="3817">
        <f t="shared" si="12"/>
        <v>0</v>
      </c>
      <c r="D33" s="3817">
        <f t="shared" si="12"/>
        <v>0</v>
      </c>
      <c r="E33" s="3817">
        <f t="shared" si="12"/>
        <v>0</v>
      </c>
      <c r="F33" s="3817">
        <f t="shared" si="12"/>
        <v>0</v>
      </c>
      <c r="G33" s="3817">
        <f t="shared" si="12"/>
        <v>0</v>
      </c>
      <c r="H33" s="3817">
        <f t="shared" si="12"/>
        <v>0</v>
      </c>
      <c r="I33" s="3817">
        <f t="shared" si="12"/>
        <v>0</v>
      </c>
      <c r="J33" s="3817">
        <f t="shared" si="12"/>
        <v>0</v>
      </c>
    </row>
    <row r="34" spans="1:10" ht="15" thickBot="1">
      <c r="A34" s="3808"/>
      <c r="B34" s="3808"/>
      <c r="C34" s="3808"/>
      <c r="D34" s="3808"/>
      <c r="E34" s="3808"/>
      <c r="F34" s="3808"/>
      <c r="G34" s="3808"/>
      <c r="H34" s="3808"/>
      <c r="I34" s="3808"/>
      <c r="J34" s="3807"/>
    </row>
    <row r="35" spans="1:10" ht="19" thickBot="1">
      <c r="A35" s="3806" t="s">
        <v>2593</v>
      </c>
      <c r="B35" s="3804">
        <f t="shared" ref="B35:J35" si="13">+B27</f>
        <v>2019</v>
      </c>
      <c r="C35" s="3804">
        <f t="shared" si="13"/>
        <v>2020</v>
      </c>
      <c r="D35" s="3804">
        <f t="shared" si="13"/>
        <v>2021</v>
      </c>
      <c r="E35" s="3804">
        <f t="shared" si="13"/>
        <v>2022</v>
      </c>
      <c r="F35" s="3804">
        <f t="shared" si="13"/>
        <v>2023</v>
      </c>
      <c r="G35" s="3804">
        <f t="shared" si="13"/>
        <v>2024</v>
      </c>
      <c r="H35" s="3805">
        <f t="shared" si="13"/>
        <v>2025</v>
      </c>
      <c r="I35" s="3804">
        <f t="shared" si="13"/>
        <v>2026</v>
      </c>
      <c r="J35" s="3804">
        <f t="shared" si="13"/>
        <v>2027</v>
      </c>
    </row>
    <row r="36" spans="1:10" ht="19" thickBot="1">
      <c r="A36" s="3801" t="s">
        <v>881</v>
      </c>
      <c r="B36" s="3803">
        <f>+B11*'Resumen de Cifras'!$C$1</f>
        <v>0</v>
      </c>
      <c r="C36" s="3802">
        <f>+C11*'Resumen de Cifras'!$C$1</f>
        <v>0</v>
      </c>
      <c r="D36" s="3802">
        <f>+D11*'Resumen de Cifras'!$C$1</f>
        <v>0</v>
      </c>
      <c r="E36" s="3802">
        <f>+E11*'Resumen de Cifras'!$C$1</f>
        <v>0</v>
      </c>
      <c r="F36" s="3802">
        <f>+F11*'Resumen de Cifras'!$C$1</f>
        <v>0</v>
      </c>
      <c r="G36" s="3802">
        <f>+G11*'Resumen de Cifras'!$C$1</f>
        <v>0</v>
      </c>
      <c r="H36" s="3802">
        <f>+H11*'Resumen de Cifras'!$C$1</f>
        <v>0</v>
      </c>
      <c r="I36" s="3802">
        <f>+I11*'Resumen de Cifras'!$C$1</f>
        <v>0</v>
      </c>
      <c r="J36" s="3802">
        <f>+J11*'Resumen de Cifras'!$C$1</f>
        <v>0</v>
      </c>
    </row>
    <row r="37" spans="1:10" ht="19" thickBot="1">
      <c r="A37" s="3801" t="s">
        <v>1165</v>
      </c>
      <c r="B37" s="3803">
        <f>+B12*'Resumen de Cifras'!$C$1</f>
        <v>0</v>
      </c>
      <c r="C37" s="3802">
        <f>+C12*'Resumen de Cifras'!$C$1</f>
        <v>0</v>
      </c>
      <c r="D37" s="3802">
        <f>+D12*'Resumen de Cifras'!$C$1</f>
        <v>0</v>
      </c>
      <c r="E37" s="3802">
        <f>+E12*'Resumen de Cifras'!$C$1</f>
        <v>0</v>
      </c>
      <c r="F37" s="3802">
        <f>+F12*'Resumen de Cifras'!$C$1</f>
        <v>0</v>
      </c>
      <c r="G37" s="3802">
        <f>+G12*'Resumen de Cifras'!$C$1</f>
        <v>0</v>
      </c>
      <c r="H37" s="3802">
        <f>+H12*'Resumen de Cifras'!$C$1</f>
        <v>0</v>
      </c>
      <c r="I37" s="3802">
        <f>+I12*'Resumen de Cifras'!$C$1</f>
        <v>0</v>
      </c>
      <c r="J37" s="3802">
        <f>+J12*'Resumen de Cifras'!$C$1</f>
        <v>0</v>
      </c>
    </row>
    <row r="38" spans="1:10" ht="19" thickBot="1">
      <c r="A38" s="3801" t="s">
        <v>1175</v>
      </c>
      <c r="B38" s="3803">
        <f>+B13*'Resumen de Cifras'!$C$1</f>
        <v>0</v>
      </c>
      <c r="C38" s="3802">
        <f>+C13*'Resumen de Cifras'!$C$1</f>
        <v>0</v>
      </c>
      <c r="D38" s="3802">
        <f>+D13*'Resumen de Cifras'!$C$1</f>
        <v>0</v>
      </c>
      <c r="E38" s="3802">
        <f>+E13*'Resumen de Cifras'!$C$1</f>
        <v>0</v>
      </c>
      <c r="F38" s="3802">
        <f>+F13*'Resumen de Cifras'!$C$1</f>
        <v>0</v>
      </c>
      <c r="G38" s="3802">
        <f>+G13*'Resumen de Cifras'!$C$1</f>
        <v>0</v>
      </c>
      <c r="H38" s="3802">
        <f>+H13*'Resumen de Cifras'!$C$1</f>
        <v>0</v>
      </c>
      <c r="I38" s="3802">
        <f>+I13*'Resumen de Cifras'!$C$1</f>
        <v>0</v>
      </c>
      <c r="J38" s="3802">
        <f>+J13*'Resumen de Cifras'!$C$1</f>
        <v>0</v>
      </c>
    </row>
    <row r="39" spans="1:10" ht="19" thickBot="1">
      <c r="A39" s="3801" t="s">
        <v>904</v>
      </c>
      <c r="B39" s="3803">
        <f>+B14*'Resumen de Cifras'!$C$1</f>
        <v>0</v>
      </c>
      <c r="C39" s="3802">
        <f>+C14*'Resumen de Cifras'!$C$1</f>
        <v>0</v>
      </c>
      <c r="D39" s="3802">
        <f>+D14*'Resumen de Cifras'!$C$1</f>
        <v>0</v>
      </c>
      <c r="E39" s="3802">
        <f>+E14*'Resumen de Cifras'!$C$1</f>
        <v>0</v>
      </c>
      <c r="F39" s="3802">
        <f>+F14*'Resumen de Cifras'!$C$1</f>
        <v>0</v>
      </c>
      <c r="G39" s="3802">
        <f>+G14*'Resumen de Cifras'!$C$1</f>
        <v>0</v>
      </c>
      <c r="H39" s="3802">
        <f>+H14*'Resumen de Cifras'!$C$1</f>
        <v>0</v>
      </c>
      <c r="I39" s="3802">
        <f>+I14*'Resumen de Cifras'!$C$1</f>
        <v>0</v>
      </c>
      <c r="J39" s="3802">
        <f>+J14*'Resumen de Cifras'!$C$1</f>
        <v>0</v>
      </c>
    </row>
    <row r="40" spans="1:10" ht="19" thickBot="1">
      <c r="A40" s="3801" t="s">
        <v>2342</v>
      </c>
      <c r="B40" s="3800" t="e">
        <f t="shared" ref="B40:J40" si="14">+B36/(B45+B44)</f>
        <v>#DIV/0!</v>
      </c>
      <c r="C40" s="3799" t="e">
        <f t="shared" si="14"/>
        <v>#DIV/0!</v>
      </c>
      <c r="D40" s="3799" t="e">
        <f t="shared" si="14"/>
        <v>#DIV/0!</v>
      </c>
      <c r="E40" s="3799" t="e">
        <f t="shared" si="14"/>
        <v>#DIV/0!</v>
      </c>
      <c r="F40" s="3799" t="e">
        <f t="shared" si="14"/>
        <v>#DIV/0!</v>
      </c>
      <c r="G40" s="3799" t="e">
        <f t="shared" si="14"/>
        <v>#DIV/0!</v>
      </c>
      <c r="H40" s="3799" t="e">
        <f t="shared" si="14"/>
        <v>#DIV/0!</v>
      </c>
      <c r="I40" s="3799" t="e">
        <f t="shared" si="14"/>
        <v>#DIV/0!</v>
      </c>
      <c r="J40" s="3799" t="e">
        <f t="shared" si="14"/>
        <v>#DIV/0!</v>
      </c>
    </row>
    <row r="41" spans="1:10" ht="19" thickBot="1">
      <c r="A41" s="3801" t="s">
        <v>2592</v>
      </c>
      <c r="B41" s="3800" t="e">
        <f t="shared" ref="B41:J41" si="15">+(B46+B48)/B36</f>
        <v>#DIV/0!</v>
      </c>
      <c r="C41" s="3799" t="e">
        <f t="shared" si="15"/>
        <v>#DIV/0!</v>
      </c>
      <c r="D41" s="3799" t="e">
        <f t="shared" si="15"/>
        <v>#DIV/0!</v>
      </c>
      <c r="E41" s="3799" t="e">
        <f t="shared" si="15"/>
        <v>#DIV/0!</v>
      </c>
      <c r="F41" s="3799" t="e">
        <f t="shared" si="15"/>
        <v>#DIV/0!</v>
      </c>
      <c r="G41" s="3799" t="e">
        <f t="shared" si="15"/>
        <v>#DIV/0!</v>
      </c>
      <c r="H41" s="3799" t="e">
        <f t="shared" si="15"/>
        <v>#DIV/0!</v>
      </c>
      <c r="I41" s="3799" t="e">
        <f t="shared" si="15"/>
        <v>#DIV/0!</v>
      </c>
      <c r="J41" s="3799" t="e">
        <f t="shared" si="15"/>
        <v>#DIV/0!</v>
      </c>
    </row>
    <row r="42" spans="1:10" ht="19" thickBot="1">
      <c r="A42" s="3801" t="s">
        <v>2591</v>
      </c>
      <c r="B42" s="3800" t="e">
        <f t="shared" ref="B42:J42" si="16">+B36/B45</f>
        <v>#DIV/0!</v>
      </c>
      <c r="C42" s="3799" t="e">
        <f t="shared" si="16"/>
        <v>#DIV/0!</v>
      </c>
      <c r="D42" s="3799" t="e">
        <f t="shared" si="16"/>
        <v>#DIV/0!</v>
      </c>
      <c r="E42" s="3799" t="e">
        <f t="shared" si="16"/>
        <v>#DIV/0!</v>
      </c>
      <c r="F42" s="3799" t="e">
        <f t="shared" si="16"/>
        <v>#DIV/0!</v>
      </c>
      <c r="G42" s="3799" t="e">
        <f t="shared" si="16"/>
        <v>#DIV/0!</v>
      </c>
      <c r="H42" s="3799" t="e">
        <f t="shared" si="16"/>
        <v>#DIV/0!</v>
      </c>
      <c r="I42" s="3799" t="e">
        <f t="shared" si="16"/>
        <v>#DIV/0!</v>
      </c>
      <c r="J42" s="3799" t="e">
        <f t="shared" si="16"/>
        <v>#DIV/0!</v>
      </c>
    </row>
    <row r="44" spans="1:10">
      <c r="A44" s="3798" t="s">
        <v>1169</v>
      </c>
      <c r="B44" s="3795">
        <f>+B19*'Resumen de Cifras'!$C$1</f>
        <v>0</v>
      </c>
      <c r="C44" s="3795">
        <f>+C19*'Resumen de Cifras'!$C$1</f>
        <v>0</v>
      </c>
      <c r="D44" s="3795">
        <f>+D19*'Resumen de Cifras'!$C$1</f>
        <v>0</v>
      </c>
      <c r="E44" s="3795">
        <f>+E19*'Resumen de Cifras'!$C$1</f>
        <v>0</v>
      </c>
      <c r="F44" s="3795">
        <f>+F19*'Resumen de Cifras'!$C$1</f>
        <v>0</v>
      </c>
      <c r="G44" s="3795">
        <f>+G19*'Resumen de Cifras'!$C$1</f>
        <v>0</v>
      </c>
      <c r="H44" s="3795">
        <f>+H19*'Resumen de Cifras'!$C$1</f>
        <v>0</v>
      </c>
      <c r="I44" s="3795">
        <f>+I19*'Resumen de Cifras'!$C$1</f>
        <v>0</v>
      </c>
      <c r="J44" s="3795">
        <f>+J19*'Resumen de Cifras'!$C$1</f>
        <v>0</v>
      </c>
    </row>
    <row r="45" spans="1:10">
      <c r="A45" s="3797" t="s">
        <v>1173</v>
      </c>
      <c r="B45" s="3795">
        <f>+B20*'Resumen de Cifras'!$C$1</f>
        <v>0</v>
      </c>
      <c r="C45" s="3795">
        <f>+C20*'Resumen de Cifras'!$C$1</f>
        <v>0</v>
      </c>
      <c r="D45" s="3795">
        <f>+D20*'Resumen de Cifras'!$C$1</f>
        <v>0</v>
      </c>
      <c r="E45" s="3795">
        <f>+E20*'Resumen de Cifras'!$C$1</f>
        <v>0</v>
      </c>
      <c r="F45" s="3795">
        <f>+F20*'Resumen de Cifras'!$C$1</f>
        <v>0</v>
      </c>
      <c r="G45" s="3795">
        <f>+G20*'Resumen de Cifras'!$C$1</f>
        <v>0</v>
      </c>
      <c r="H45" s="3795">
        <f>+H20*'Resumen de Cifras'!$C$1</f>
        <v>0</v>
      </c>
      <c r="I45" s="3795">
        <f>+I20*'Resumen de Cifras'!$C$1</f>
        <v>0</v>
      </c>
      <c r="J45" s="3795">
        <f>+J20*'Resumen de Cifras'!$C$1</f>
        <v>0</v>
      </c>
    </row>
    <row r="46" spans="1:10">
      <c r="A46" s="3796" t="s">
        <v>1069</v>
      </c>
      <c r="B46" s="3795">
        <f>+B21*'Resumen de Cifras'!$C$1</f>
        <v>0</v>
      </c>
      <c r="C46" s="3795">
        <f>+C21*'Resumen de Cifras'!$C$1</f>
        <v>0</v>
      </c>
      <c r="D46" s="3795">
        <f>+D21*'Resumen de Cifras'!$C$1</f>
        <v>0</v>
      </c>
      <c r="E46" s="3795">
        <f>+E21*'Resumen de Cifras'!$C$1</f>
        <v>0</v>
      </c>
      <c r="F46" s="3795">
        <f>+F21*'Resumen de Cifras'!$C$1</f>
        <v>0</v>
      </c>
      <c r="G46" s="3795">
        <f>+G21*'Resumen de Cifras'!$C$1</f>
        <v>0</v>
      </c>
      <c r="H46" s="3795">
        <f>+H21*'Resumen de Cifras'!$C$1</f>
        <v>0</v>
      </c>
      <c r="I46" s="3795">
        <f>+I21*'Resumen de Cifras'!$C$1</f>
        <v>0</v>
      </c>
      <c r="J46" s="3795">
        <f>+J21*'Resumen de Cifras'!$C$1</f>
        <v>0</v>
      </c>
    </row>
    <row r="47" spans="1:10">
      <c r="A47" s="3796" t="s">
        <v>1071</v>
      </c>
      <c r="B47" s="3795">
        <f>+B22*'Resumen de Cifras'!$C$1</f>
        <v>0</v>
      </c>
      <c r="C47" s="3795">
        <f>+C22*'Resumen de Cifras'!$C$1</f>
        <v>0</v>
      </c>
      <c r="D47" s="3795">
        <f>+D22*'Resumen de Cifras'!$C$1</f>
        <v>0</v>
      </c>
      <c r="E47" s="3795">
        <f>+E22*'Resumen de Cifras'!$C$1</f>
        <v>0</v>
      </c>
      <c r="F47" s="3795">
        <f>+F22*'Resumen de Cifras'!$C$1</f>
        <v>0</v>
      </c>
      <c r="G47" s="3795">
        <f>+G22*'Resumen de Cifras'!$C$1</f>
        <v>0</v>
      </c>
      <c r="H47" s="3795">
        <f>+H22*'Resumen de Cifras'!$C$1</f>
        <v>0</v>
      </c>
      <c r="I47" s="3795">
        <f>+I22*'Resumen de Cifras'!$C$1</f>
        <v>0</v>
      </c>
      <c r="J47" s="3795">
        <f>+J22*'Resumen de Cifras'!$C$1</f>
        <v>0</v>
      </c>
    </row>
    <row r="48" spans="1:10">
      <c r="A48" s="3796" t="s">
        <v>741</v>
      </c>
      <c r="B48" s="3795">
        <f>+B23*'Resumen de Cifras'!$C$1</f>
        <v>0</v>
      </c>
      <c r="C48" s="3795">
        <f>+C23*'Resumen de Cifras'!$C$1</f>
        <v>0</v>
      </c>
      <c r="D48" s="3795">
        <f>+D23*'Resumen de Cifras'!$C$1</f>
        <v>0</v>
      </c>
      <c r="E48" s="3795">
        <f>+E23*'Resumen de Cifras'!$C$1</f>
        <v>0</v>
      </c>
      <c r="F48" s="3795">
        <f>+F23*'Resumen de Cifras'!$C$1</f>
        <v>0</v>
      </c>
      <c r="G48" s="3795">
        <f>+G23*'Resumen de Cifras'!$C$1</f>
        <v>0</v>
      </c>
      <c r="H48" s="3795">
        <f>+H23*'Resumen de Cifras'!$C$1</f>
        <v>0</v>
      </c>
      <c r="I48" s="3795">
        <f>+I23*'Resumen de Cifras'!$C$1</f>
        <v>0</v>
      </c>
      <c r="J48" s="3795">
        <f>+J23*'Resumen de Cifras'!$C$1</f>
        <v>0</v>
      </c>
    </row>
    <row r="49" spans="1:10">
      <c r="A49" s="3796" t="s">
        <v>2518</v>
      </c>
      <c r="B49" s="3795"/>
      <c r="C49" s="3815">
        <f t="shared" ref="C49:J49" si="17">+IFERROR(((C46+C48)-(B46+B48))/(B46+B48),0)</f>
        <v>0</v>
      </c>
      <c r="D49" s="3815">
        <f t="shared" si="17"/>
        <v>0</v>
      </c>
      <c r="E49" s="3815">
        <f t="shared" si="17"/>
        <v>0</v>
      </c>
      <c r="F49" s="3815">
        <f t="shared" si="17"/>
        <v>0</v>
      </c>
      <c r="G49" s="3815">
        <f t="shared" si="17"/>
        <v>0</v>
      </c>
      <c r="H49" s="3815">
        <f t="shared" si="17"/>
        <v>0</v>
      </c>
      <c r="I49" s="3815">
        <f t="shared" si="17"/>
        <v>0</v>
      </c>
      <c r="J49" s="3815">
        <f t="shared" si="17"/>
        <v>0</v>
      </c>
    </row>
    <row r="50" spans="1:10" ht="15" thickBot="1">
      <c r="A50" s="3794"/>
      <c r="B50" s="3793"/>
      <c r="C50" s="3793"/>
      <c r="D50" s="3793"/>
      <c r="E50" s="3793"/>
      <c r="F50" s="3793"/>
      <c r="G50" s="3793"/>
      <c r="H50" s="3793"/>
      <c r="I50" s="3793"/>
      <c r="J50" s="3793"/>
    </row>
    <row r="51" spans="1:10" ht="15" thickBot="1">
      <c r="A51" s="3721" t="s">
        <v>2590</v>
      </c>
      <c r="B51" s="3792">
        <f>+C10</f>
        <v>2020</v>
      </c>
      <c r="C51" s="3792">
        <f>+D10</f>
        <v>2021</v>
      </c>
      <c r="D51" s="3792">
        <f>+E10</f>
        <v>2022</v>
      </c>
      <c r="E51" s="3792">
        <f>+F10</f>
        <v>2023</v>
      </c>
    </row>
    <row r="52" spans="1:10" ht="15" thickBot="1">
      <c r="A52" s="3791" t="s">
        <v>2589</v>
      </c>
      <c r="B52" s="3790" t="e">
        <f>+C17</f>
        <v>#DIV/0!</v>
      </c>
      <c r="C52" s="3790" t="e">
        <f>+D17</f>
        <v>#DIV/0!</v>
      </c>
      <c r="D52" s="3790" t="e">
        <f>+E17</f>
        <v>#DIV/0!</v>
      </c>
      <c r="E52" s="3790" t="e">
        <f>+F17</f>
        <v>#DIV/0!</v>
      </c>
    </row>
    <row r="53" spans="1:10" ht="15" thickBot="1">
      <c r="A53" s="3791" t="s">
        <v>2588</v>
      </c>
      <c r="B53" s="3790" t="e">
        <f>+C15</f>
        <v>#DIV/0!</v>
      </c>
      <c r="C53" s="3790" t="e">
        <f>+D15</f>
        <v>#DIV/0!</v>
      </c>
      <c r="D53" s="3790" t="e">
        <f>+E15</f>
        <v>#DIV/0!</v>
      </c>
      <c r="E53" s="3790" t="e">
        <f>+F15</f>
        <v>#DIV/0!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sheetPr codeName="Hoja56"/>
  <dimension ref="A1:AC158"/>
  <sheetViews>
    <sheetView showGridLines="0" zoomScale="40" zoomScaleNormal="40" workbookViewId="0"/>
  </sheetViews>
  <sheetFormatPr baseColWidth="10" defaultRowHeight="14.5"/>
  <cols>
    <col min="1" max="1" width="59.26953125" bestFit="1" customWidth="1"/>
    <col min="2" max="2" width="31" customWidth="1"/>
    <col min="3" max="3" width="29" customWidth="1"/>
    <col min="4" max="4" width="30.453125" customWidth="1"/>
    <col min="5" max="5" width="3.1796875" customWidth="1"/>
    <col min="6" max="6" width="78" bestFit="1" customWidth="1"/>
    <col min="7" max="7" width="32.81640625" customWidth="1"/>
    <col min="8" max="8" width="30" customWidth="1"/>
    <col min="9" max="9" width="31.7265625" customWidth="1"/>
    <col min="10" max="10" width="2.453125" customWidth="1"/>
    <col min="13" max="13" width="113.453125" customWidth="1"/>
    <col min="14" max="29" width="41.81640625" customWidth="1"/>
  </cols>
  <sheetData>
    <row r="1" spans="1:29" ht="34.5" customHeight="1" thickBot="1">
      <c r="A1" s="3900" t="s">
        <v>2635</v>
      </c>
      <c r="B1" s="3899">
        <f>1/24.6319</f>
        <v>4.0597761439434228E-2</v>
      </c>
      <c r="C1" s="3898">
        <f>+B1</f>
        <v>4.0597761439434228E-2</v>
      </c>
      <c r="D1" s="3897">
        <f>+C1</f>
        <v>4.0597761439434228E-2</v>
      </c>
      <c r="F1" s="3896" t="s">
        <v>25</v>
      </c>
    </row>
    <row r="2" spans="1:29" ht="37" customHeight="1" thickBot="1">
      <c r="A2" s="3895" t="s">
        <v>2626</v>
      </c>
      <c r="B2" s="3894">
        <v>12</v>
      </c>
      <c r="C2" s="3894">
        <v>12</v>
      </c>
      <c r="D2" s="3893">
        <v>12</v>
      </c>
      <c r="F2" s="3892" t="s">
        <v>2471</v>
      </c>
    </row>
    <row r="3" spans="1:29" ht="20.5" customHeight="1">
      <c r="A3" s="3891"/>
      <c r="B3" s="3891"/>
      <c r="C3" s="3891"/>
      <c r="D3" s="3891"/>
    </row>
    <row r="4" spans="1:29" ht="28">
      <c r="A4" s="3573" t="s">
        <v>899</v>
      </c>
      <c r="B4" s="3574" t="s">
        <v>2634</v>
      </c>
      <c r="C4" s="3574" t="s">
        <v>2634</v>
      </c>
      <c r="D4" s="3575" t="s">
        <v>2633</v>
      </c>
      <c r="E4" s="3890"/>
      <c r="F4" s="3573" t="s">
        <v>1592</v>
      </c>
      <c r="G4" s="3574" t="s">
        <v>2634</v>
      </c>
      <c r="H4" s="3574" t="s">
        <v>2634</v>
      </c>
      <c r="I4" s="3575" t="s">
        <v>2633</v>
      </c>
      <c r="M4" s="3572" t="s">
        <v>1595</v>
      </c>
      <c r="N4" s="2524">
        <f>+'Hoja de Trabajo'!O11</f>
        <v>2020</v>
      </c>
      <c r="O4" s="2524">
        <f>+'Hoja de Trabajo'!P11</f>
        <v>2021</v>
      </c>
      <c r="P4" s="2524">
        <f>+'Hoja de Trabajo'!Q11</f>
        <v>2022</v>
      </c>
      <c r="Q4" s="2524">
        <f>+'Hoja de Trabajo'!R11</f>
        <v>2023</v>
      </c>
      <c r="R4" s="2524">
        <f>+'Hoja de Trabajo'!S11</f>
        <v>2024</v>
      </c>
      <c r="S4" s="2524">
        <f>+'Hoja de Trabajo'!T11</f>
        <v>2025</v>
      </c>
      <c r="T4" s="2524">
        <f>+'Hoja de Trabajo'!U11</f>
        <v>2026</v>
      </c>
      <c r="U4" s="2524">
        <f>+'Hoja de Trabajo'!V11</f>
        <v>2027</v>
      </c>
      <c r="V4" s="2524">
        <f>+'Hoja de Trabajo'!W11</f>
        <v>2028</v>
      </c>
      <c r="W4" s="2524">
        <f>+'Hoja de Trabajo'!X11</f>
        <v>2029</v>
      </c>
      <c r="X4" s="2524">
        <f>+'Hoja de Trabajo'!Y11</f>
        <v>2030</v>
      </c>
      <c r="Y4" s="2524">
        <f>+'Hoja de Trabajo'!Z11</f>
        <v>2031</v>
      </c>
      <c r="Z4" s="2524">
        <f>+'Hoja de Trabajo'!AA11</f>
        <v>2032</v>
      </c>
      <c r="AA4" s="2524">
        <f>+'Hoja de Trabajo'!AB11</f>
        <v>2033</v>
      </c>
      <c r="AB4" s="2524">
        <f>+'Hoja de Trabajo'!AC11</f>
        <v>2034</v>
      </c>
      <c r="AC4" s="2524">
        <f>+'Hoja de Trabajo'!AD11</f>
        <v>2035</v>
      </c>
    </row>
    <row r="5" spans="1:29" ht="28">
      <c r="A5" s="2513"/>
      <c r="B5" s="2514" t="str">
        <f>+'Hoja de Trabajo'!$C$9</f>
        <v>Dic 17</v>
      </c>
      <c r="C5" s="2514" t="str">
        <f>+'Hoja de Trabajo'!$D$9</f>
        <v>Dic 18</v>
      </c>
      <c r="D5" s="3575" t="str">
        <f>+'Hoja de Trabajo'!$E$9</f>
        <v>Dic 19</v>
      </c>
      <c r="E5" s="2552"/>
      <c r="F5" s="2513"/>
      <c r="G5" s="2514" t="str">
        <f>+B5</f>
        <v>Dic 17</v>
      </c>
      <c r="H5" s="2514" t="str">
        <f>+C5</f>
        <v>Dic 18</v>
      </c>
      <c r="I5" s="3575" t="str">
        <f>+D5</f>
        <v>Dic 19</v>
      </c>
      <c r="M5" s="2531" t="s">
        <v>1596</v>
      </c>
      <c r="N5" s="3877">
        <f>+'Hoja de Trabajo'!O12</f>
        <v>0</v>
      </c>
      <c r="O5" s="3877">
        <f>+'Hoja de Trabajo'!P12</f>
        <v>0</v>
      </c>
      <c r="P5" s="3877">
        <f>+'Hoja de Trabajo'!Q12</f>
        <v>0</v>
      </c>
      <c r="Q5" s="3877">
        <f>+'Hoja de Trabajo'!R12</f>
        <v>0</v>
      </c>
      <c r="R5" s="3877">
        <f>+'Hoja de Trabajo'!S12</f>
        <v>0</v>
      </c>
      <c r="S5" s="3877">
        <f>+'Hoja de Trabajo'!T12</f>
        <v>0</v>
      </c>
      <c r="T5" s="3877">
        <f>+'Hoja de Trabajo'!U12</f>
        <v>0</v>
      </c>
      <c r="U5" s="3877">
        <f>+'Hoja de Trabajo'!V12</f>
        <v>0</v>
      </c>
      <c r="V5" s="3877">
        <f>+'Hoja de Trabajo'!W12</f>
        <v>0</v>
      </c>
      <c r="W5" s="3877">
        <f>+'Hoja de Trabajo'!X12</f>
        <v>0</v>
      </c>
      <c r="X5" s="3877">
        <f>+'Hoja de Trabajo'!Y12</f>
        <v>0</v>
      </c>
      <c r="Y5" s="3877">
        <f>+'Hoja de Trabajo'!Z12</f>
        <v>0</v>
      </c>
      <c r="Z5" s="3877">
        <f>+'Hoja de Trabajo'!AA12</f>
        <v>0</v>
      </c>
      <c r="AA5" s="3877">
        <f>+'Hoja de Trabajo'!AB12</f>
        <v>0</v>
      </c>
      <c r="AB5" s="3877">
        <f>+'Hoja de Trabajo'!AC12</f>
        <v>0</v>
      </c>
      <c r="AC5" s="3877">
        <f>+'Hoja de Trabajo'!AD12</f>
        <v>0</v>
      </c>
    </row>
    <row r="6" spans="1:29" ht="27.5">
      <c r="A6" s="2515" t="s">
        <v>2394</v>
      </c>
      <c r="B6" s="3854">
        <v>7</v>
      </c>
      <c r="C6" s="3854">
        <v>7</v>
      </c>
      <c r="D6" s="3854">
        <v>7</v>
      </c>
      <c r="E6" s="2552"/>
      <c r="F6" s="2516" t="s">
        <v>2632</v>
      </c>
      <c r="G6" s="3831">
        <f>IF($F$2="Dolares",('Hoja de Trabajo'!H10*$B$1),'Hoja de Trabajo'!H10)</f>
        <v>0</v>
      </c>
      <c r="H6" s="3831">
        <f>IF($F$2="Dolares",('Hoja de Trabajo'!I10*$B$1),'Hoja de Trabajo'!I10)</f>
        <v>0</v>
      </c>
      <c r="I6" s="3848">
        <f>IF($F$2="Dolares",('Hoja de Trabajo'!J10*$B$1),'Hoja de Trabajo'!J10)</f>
        <v>0</v>
      </c>
      <c r="M6" s="2535" t="s">
        <v>1597</v>
      </c>
      <c r="N6" s="2536">
        <f>+'Hoja de Trabajo'!O13</f>
        <v>0</v>
      </c>
      <c r="O6" s="2536">
        <f>+'Hoja de Trabajo'!P13</f>
        <v>0</v>
      </c>
      <c r="P6" s="2536">
        <f>+'Hoja de Trabajo'!Q13</f>
        <v>0</v>
      </c>
      <c r="Q6" s="2536">
        <f>+'Hoja de Trabajo'!R13</f>
        <v>0</v>
      </c>
      <c r="R6" s="2536">
        <f>+'Hoja de Trabajo'!S13</f>
        <v>0</v>
      </c>
      <c r="S6" s="2536">
        <f>+'Hoja de Trabajo'!T13</f>
        <v>0</v>
      </c>
      <c r="T6" s="2536">
        <f>+'Hoja de Trabajo'!U13</f>
        <v>0</v>
      </c>
      <c r="U6" s="2536">
        <f>+'Hoja de Trabajo'!V13</f>
        <v>0</v>
      </c>
      <c r="V6" s="2536">
        <f>+'Hoja de Trabajo'!W13</f>
        <v>0</v>
      </c>
      <c r="W6" s="2536">
        <f>+'Hoja de Trabajo'!X13</f>
        <v>0</v>
      </c>
      <c r="X6" s="2536">
        <f>+'Hoja de Trabajo'!Y13</f>
        <v>0</v>
      </c>
      <c r="Y6" s="2536">
        <f>+'Hoja de Trabajo'!Z13</f>
        <v>0</v>
      </c>
      <c r="Z6" s="2536">
        <f>+'Hoja de Trabajo'!AA13</f>
        <v>0</v>
      </c>
      <c r="AA6" s="2536">
        <f>+'Hoja de Trabajo'!AB13</f>
        <v>0</v>
      </c>
      <c r="AB6" s="2536">
        <f>+'Hoja de Trabajo'!AC13</f>
        <v>0</v>
      </c>
      <c r="AC6" s="2536">
        <f>+'Hoja de Trabajo'!AD13</f>
        <v>0</v>
      </c>
    </row>
    <row r="7" spans="1:29" ht="28">
      <c r="A7" s="2520" t="s">
        <v>541</v>
      </c>
      <c r="B7" s="2521"/>
      <c r="C7" s="2521"/>
      <c r="D7" s="2522"/>
      <c r="E7" s="2552"/>
      <c r="F7" s="2516" t="s">
        <v>1594</v>
      </c>
      <c r="G7" s="3831">
        <f>IF($F$2="Dolares",('Hoja de Trabajo'!H11*$B$1),'Hoja de Trabajo'!H11)</f>
        <v>0</v>
      </c>
      <c r="H7" s="3831">
        <f>IF($F$2="Dolares",('Hoja de Trabajo'!I11*$B$1),'Hoja de Trabajo'!I11)</f>
        <v>0</v>
      </c>
      <c r="I7" s="3848">
        <f>IF($F$2="Dolares",('Hoja de Trabajo'!J11*$B$1),'Hoja de Trabajo'!J11)</f>
        <v>0</v>
      </c>
      <c r="M7" s="2537" t="s">
        <v>881</v>
      </c>
      <c r="N7" s="3877">
        <f>+'Hoja de Trabajo'!O14</f>
        <v>0</v>
      </c>
      <c r="O7" s="3877">
        <f>+'Hoja de Trabajo'!P14</f>
        <v>0</v>
      </c>
      <c r="P7" s="3877">
        <f>+'Hoja de Trabajo'!Q14</f>
        <v>0</v>
      </c>
      <c r="Q7" s="3877">
        <f>+'Hoja de Trabajo'!R14</f>
        <v>0</v>
      </c>
      <c r="R7" s="3877">
        <f>+'Hoja de Trabajo'!S14</f>
        <v>0</v>
      </c>
      <c r="S7" s="3877">
        <f>+'Hoja de Trabajo'!T14</f>
        <v>0</v>
      </c>
      <c r="T7" s="3877">
        <f>+'Hoja de Trabajo'!U14</f>
        <v>0</v>
      </c>
      <c r="U7" s="3877">
        <f>+'Hoja de Trabajo'!V14</f>
        <v>0</v>
      </c>
      <c r="V7" s="3877">
        <f>+'Hoja de Trabajo'!W14</f>
        <v>0</v>
      </c>
      <c r="W7" s="3877">
        <f>+'Hoja de Trabajo'!X14</f>
        <v>0</v>
      </c>
      <c r="X7" s="3877">
        <f>+'Hoja de Trabajo'!Y14</f>
        <v>0</v>
      </c>
      <c r="Y7" s="3877">
        <f>+'Hoja de Trabajo'!Z14</f>
        <v>0</v>
      </c>
      <c r="Z7" s="3877">
        <f>+'Hoja de Trabajo'!AA14</f>
        <v>0</v>
      </c>
      <c r="AA7" s="3877">
        <f>+'Hoja de Trabajo'!AB14</f>
        <v>0</v>
      </c>
      <c r="AB7" s="3877">
        <f>+'Hoja de Trabajo'!AC14</f>
        <v>0</v>
      </c>
      <c r="AC7" s="3877">
        <f>+'Hoja de Trabajo'!AD14</f>
        <v>0</v>
      </c>
    </row>
    <row r="8" spans="1:29" ht="28">
      <c r="A8" s="2516" t="s">
        <v>543</v>
      </c>
      <c r="B8" s="3831">
        <f>IF($F$2="Dolares",('Hoja de Trabajo'!C12)*$B$1,'Hoja de Trabajo'!C12)</f>
        <v>0</v>
      </c>
      <c r="C8" s="3831">
        <f>IF($F$2="Dolares",('Hoja de Trabajo'!D12)*$B$1,'Hoja de Trabajo'!D12)</f>
        <v>0</v>
      </c>
      <c r="D8" s="3848">
        <f>IF($F$2="Dolares",('Hoja de Trabajo'!E12)*$B$1,'Hoja de Trabajo'!E12)</f>
        <v>0</v>
      </c>
      <c r="E8" s="2559"/>
      <c r="F8" s="2528" t="s">
        <v>1480</v>
      </c>
      <c r="G8" s="3837">
        <f>G6+G7</f>
        <v>0</v>
      </c>
      <c r="H8" s="3837">
        <f>H6+H7</f>
        <v>0</v>
      </c>
      <c r="I8" s="3836">
        <f>I6+I7</f>
        <v>0</v>
      </c>
      <c r="M8" s="2535" t="s">
        <v>882</v>
      </c>
      <c r="N8" s="2536">
        <f>+'Hoja de Trabajo'!O15</f>
        <v>0</v>
      </c>
      <c r="O8" s="2536">
        <f>+'Hoja de Trabajo'!P15</f>
        <v>0</v>
      </c>
      <c r="P8" s="2536">
        <f>+'Hoja de Trabajo'!Q15</f>
        <v>0</v>
      </c>
      <c r="Q8" s="2536">
        <f>+'Hoja de Trabajo'!R15</f>
        <v>0</v>
      </c>
      <c r="R8" s="2536">
        <f>+'Hoja de Trabajo'!S15</f>
        <v>0</v>
      </c>
      <c r="S8" s="2536">
        <f>+'Hoja de Trabajo'!T15</f>
        <v>0</v>
      </c>
      <c r="T8" s="2536">
        <f>+'Hoja de Trabajo'!U15</f>
        <v>0</v>
      </c>
      <c r="U8" s="2536">
        <f>+'Hoja de Trabajo'!V15</f>
        <v>0</v>
      </c>
      <c r="V8" s="2536">
        <f>+'Hoja de Trabajo'!W15</f>
        <v>0</v>
      </c>
      <c r="W8" s="2536">
        <f>+'Hoja de Trabajo'!X15</f>
        <v>0</v>
      </c>
      <c r="X8" s="2536">
        <f>+'Hoja de Trabajo'!Y15</f>
        <v>0</v>
      </c>
      <c r="Y8" s="2536">
        <f>+'Hoja de Trabajo'!Z15</f>
        <v>0</v>
      </c>
      <c r="Z8" s="2536">
        <f>+'Hoja de Trabajo'!AA15</f>
        <v>0</v>
      </c>
      <c r="AA8" s="2536">
        <f>+'Hoja de Trabajo'!AB15</f>
        <v>0</v>
      </c>
      <c r="AB8" s="2536">
        <f>+'Hoja de Trabajo'!AC15</f>
        <v>0</v>
      </c>
      <c r="AC8" s="2536">
        <f>+'Hoja de Trabajo'!AD15</f>
        <v>0</v>
      </c>
    </row>
    <row r="9" spans="1:29" ht="28">
      <c r="A9" s="2516" t="s">
        <v>2620</v>
      </c>
      <c r="B9" s="3831">
        <f>IF($F$2="Dolares",('Hoja de Trabajo'!C13)*$B$1,'Hoja de Trabajo'!C13)</f>
        <v>0</v>
      </c>
      <c r="C9" s="3831">
        <f>IF($F$2="Dolares",('Hoja de Trabajo'!D13)*$B$1,'Hoja de Trabajo'!D13)</f>
        <v>0</v>
      </c>
      <c r="D9" s="3848">
        <f>IF($F$2="Dolares",('Hoja de Trabajo'!E13)*$B$1,'Hoja de Trabajo'!E13)</f>
        <v>0</v>
      </c>
      <c r="E9" s="2559"/>
      <c r="F9" s="2528" t="s">
        <v>881</v>
      </c>
      <c r="G9" s="3837">
        <f>IF($F$2="Dolares",('Hoja de Trabajo'!H13*$B$1),'Hoja de Trabajo'!H13)</f>
        <v>0</v>
      </c>
      <c r="H9" s="3837">
        <f>IF($F$2="Dolares",('Hoja de Trabajo'!I13*$B$1),'Hoja de Trabajo'!I13)</f>
        <v>0</v>
      </c>
      <c r="I9" s="3836">
        <f>IF($F$2="Dolares",('Hoja de Trabajo'!J13*$B$1),'Hoja de Trabajo'!J13)</f>
        <v>0</v>
      </c>
      <c r="M9" s="2537" t="s">
        <v>1602</v>
      </c>
      <c r="N9" s="3888">
        <f>+'Hoja de Trabajo'!O16</f>
        <v>0</v>
      </c>
      <c r="O9" s="3888">
        <f>+'Hoja de Trabajo'!P16</f>
        <v>0</v>
      </c>
      <c r="P9" s="3888">
        <f>+'Hoja de Trabajo'!Q16</f>
        <v>0</v>
      </c>
      <c r="Q9" s="3888">
        <f>+'Hoja de Trabajo'!R16</f>
        <v>0</v>
      </c>
      <c r="R9" s="3888">
        <f>+'Hoja de Trabajo'!S16</f>
        <v>0</v>
      </c>
      <c r="S9" s="3888">
        <f>+'Hoja de Trabajo'!T16</f>
        <v>0</v>
      </c>
      <c r="T9" s="3888">
        <f>+'Hoja de Trabajo'!U16</f>
        <v>0</v>
      </c>
      <c r="U9" s="3888">
        <f>+'Hoja de Trabajo'!V16</f>
        <v>0</v>
      </c>
      <c r="V9" s="3888">
        <f>+'Hoja de Trabajo'!W16</f>
        <v>0</v>
      </c>
      <c r="W9" s="3888">
        <f>+'Hoja de Trabajo'!X16</f>
        <v>0</v>
      </c>
      <c r="X9" s="3888">
        <f>+'Hoja de Trabajo'!Y16</f>
        <v>0</v>
      </c>
      <c r="Y9" s="3888">
        <f>+'Hoja de Trabajo'!Z16</f>
        <v>0</v>
      </c>
      <c r="Z9" s="3888">
        <f>+'Hoja de Trabajo'!AA16</f>
        <v>0</v>
      </c>
      <c r="AA9" s="3888">
        <f>+'Hoja de Trabajo'!AB16</f>
        <v>0</v>
      </c>
      <c r="AB9" s="3888">
        <f>+'Hoja de Trabajo'!AC16</f>
        <v>0</v>
      </c>
      <c r="AC9" s="3888">
        <f>+'Hoja de Trabajo'!AD16</f>
        <v>0</v>
      </c>
    </row>
    <row r="10" spans="1:29" ht="27.5">
      <c r="A10" s="2516" t="s">
        <v>1598</v>
      </c>
      <c r="B10" s="3831">
        <f>IF($F$2="Dolares",('Hoja de Trabajo'!C14)*$B$1,'Hoja de Trabajo'!C14)</f>
        <v>0</v>
      </c>
      <c r="C10" s="3831">
        <f>IF($F$2="Dolares",('Hoja de Trabajo'!D14)*$B$1,'Hoja de Trabajo'!D14)</f>
        <v>0</v>
      </c>
      <c r="D10" s="3848">
        <f>IF($F$2="Dolares",('Hoja de Trabajo'!E14)*$B$1,'Hoja de Trabajo'!E14)</f>
        <v>0</v>
      </c>
      <c r="E10" s="2559"/>
      <c r="F10" s="2516" t="s">
        <v>1497</v>
      </c>
      <c r="G10" s="3831">
        <f>IF($F$2="Dolares",('Hoja de Trabajo'!H14*$B$1),'Hoja de Trabajo'!H14)</f>
        <v>0</v>
      </c>
      <c r="H10" s="3831">
        <f>IF($F$2="Dolares",('Hoja de Trabajo'!I14*$B$1),'Hoja de Trabajo'!I14)</f>
        <v>0</v>
      </c>
      <c r="I10" s="3848">
        <f>IF($F$2="Dolares",('Hoja de Trabajo'!J14*$B$1),'Hoja de Trabajo'!J14)</f>
        <v>0</v>
      </c>
      <c r="M10" s="2537" t="s">
        <v>811</v>
      </c>
      <c r="N10" s="3888">
        <f>+'Hoja de Trabajo'!O17</f>
        <v>0</v>
      </c>
      <c r="O10" s="3888">
        <f>+'Hoja de Trabajo'!P17</f>
        <v>0</v>
      </c>
      <c r="P10" s="3888">
        <f>+'Hoja de Trabajo'!Q17</f>
        <v>0</v>
      </c>
      <c r="Q10" s="3888">
        <f>+'Hoja de Trabajo'!R17</f>
        <v>0</v>
      </c>
      <c r="R10" s="3888">
        <f>+'Hoja de Trabajo'!S17</f>
        <v>0</v>
      </c>
      <c r="S10" s="3888">
        <f>+'Hoja de Trabajo'!T17</f>
        <v>0</v>
      </c>
      <c r="T10" s="3888">
        <f>+'Hoja de Trabajo'!U17</f>
        <v>0</v>
      </c>
      <c r="U10" s="3888">
        <f>+'Hoja de Trabajo'!V17</f>
        <v>0</v>
      </c>
      <c r="V10" s="3888">
        <f>+'Hoja de Trabajo'!W17</f>
        <v>0</v>
      </c>
      <c r="W10" s="3888">
        <f>+'Hoja de Trabajo'!X17</f>
        <v>0</v>
      </c>
      <c r="X10" s="3888">
        <f>+'Hoja de Trabajo'!Y17</f>
        <v>0</v>
      </c>
      <c r="Y10" s="3888">
        <f>+'Hoja de Trabajo'!Z17</f>
        <v>0</v>
      </c>
      <c r="Z10" s="3888">
        <f>+'Hoja de Trabajo'!AA17</f>
        <v>0</v>
      </c>
      <c r="AA10" s="3888">
        <f>+'Hoja de Trabajo'!AB17</f>
        <v>0</v>
      </c>
      <c r="AB10" s="3888">
        <f>+'Hoja de Trabajo'!AC17</f>
        <v>0</v>
      </c>
      <c r="AC10" s="3888">
        <f>+'Hoja de Trabajo'!AD17</f>
        <v>0</v>
      </c>
    </row>
    <row r="11" spans="1:29" ht="27.5">
      <c r="A11" s="2538" t="s">
        <v>2619</v>
      </c>
      <c r="B11" s="3831">
        <f>IF($F$2="Dolares",('Hoja de Trabajo'!C15)*$B$1,'Hoja de Trabajo'!C15)</f>
        <v>0</v>
      </c>
      <c r="C11" s="3831">
        <f>IF($F$2="Dolares",('Hoja de Trabajo'!D15)*$B$1,'Hoja de Trabajo'!D15)</f>
        <v>0</v>
      </c>
      <c r="D11" s="3848">
        <f>IF($F$2="Dolares",('Hoja de Trabajo'!E15)*$B$1,'Hoja de Trabajo'!E15)</f>
        <v>0</v>
      </c>
      <c r="E11" s="2559"/>
      <c r="F11" s="2516" t="s">
        <v>1600</v>
      </c>
      <c r="G11" s="3831">
        <f>IF($F$2="Dolares",('Hoja de Trabajo'!H15*$B$1),'Hoja de Trabajo'!H15)</f>
        <v>0</v>
      </c>
      <c r="H11" s="3831">
        <f>IF($F$2="Dolares",('Hoja de Trabajo'!I15*$B$1),'Hoja de Trabajo'!I15)</f>
        <v>0</v>
      </c>
      <c r="I11" s="3848">
        <f>IF($F$2="Dolares",('Hoja de Trabajo'!J15*$B$1),'Hoja de Trabajo'!J15)</f>
        <v>0</v>
      </c>
      <c r="M11" s="2537" t="s">
        <v>2625</v>
      </c>
      <c r="N11" s="3888">
        <f>+'Hoja de Trabajo'!O18</f>
        <v>0</v>
      </c>
      <c r="O11" s="3888">
        <f>+'Hoja de Trabajo'!P18</f>
        <v>0</v>
      </c>
      <c r="P11" s="3888">
        <f>+'Hoja de Trabajo'!Q18</f>
        <v>0</v>
      </c>
      <c r="Q11" s="3888">
        <f>+'Hoja de Trabajo'!R18</f>
        <v>0</v>
      </c>
      <c r="R11" s="3888">
        <f>+'Hoja de Trabajo'!S18</f>
        <v>0</v>
      </c>
      <c r="S11" s="3888">
        <f>+'Hoja de Trabajo'!T18</f>
        <v>0</v>
      </c>
      <c r="T11" s="3888">
        <f>+'Hoja de Trabajo'!U18</f>
        <v>0</v>
      </c>
      <c r="U11" s="3888">
        <f>+'Hoja de Trabajo'!V18</f>
        <v>0</v>
      </c>
      <c r="V11" s="3888">
        <f>+'Hoja de Trabajo'!W18</f>
        <v>0</v>
      </c>
      <c r="W11" s="3888">
        <f>+'Hoja de Trabajo'!X18</f>
        <v>0</v>
      </c>
      <c r="X11" s="3888">
        <f>+'Hoja de Trabajo'!Y18</f>
        <v>0</v>
      </c>
      <c r="Y11" s="3888">
        <f>+'Hoja de Trabajo'!Z18</f>
        <v>0</v>
      </c>
      <c r="Z11" s="3888">
        <f>+'Hoja de Trabajo'!AA18</f>
        <v>0</v>
      </c>
      <c r="AA11" s="3888">
        <f>+'Hoja de Trabajo'!AB18</f>
        <v>0</v>
      </c>
      <c r="AB11" s="3888">
        <f>+'Hoja de Trabajo'!AC18</f>
        <v>0</v>
      </c>
      <c r="AC11" s="3888">
        <f>+'Hoja de Trabajo'!AD18</f>
        <v>0</v>
      </c>
    </row>
    <row r="12" spans="1:29" ht="27.5">
      <c r="A12" s="2516" t="s">
        <v>2631</v>
      </c>
      <c r="B12" s="3831">
        <f>IF($F$2="Dolares",('Hoja de Trabajo'!C16)*$B$1,'Hoja de Trabajo'!C16)</f>
        <v>0</v>
      </c>
      <c r="C12" s="3831">
        <f>IF($F$2="Dolares",('Hoja de Trabajo'!D16)*$B$1,'Hoja de Trabajo'!D16)</f>
        <v>0</v>
      </c>
      <c r="D12" s="3848">
        <f>IF($F$2="Dolares",('Hoja de Trabajo'!E16)*$B$1,'Hoja de Trabajo'!E16)</f>
        <v>0</v>
      </c>
      <c r="E12" s="2559"/>
      <c r="F12" s="2516" t="s">
        <v>1601</v>
      </c>
      <c r="G12" s="3831">
        <f>IF($F$2="Dolares",('Hoja de Trabajo'!H16*$B$1),'Hoja de Trabajo'!H16)</f>
        <v>0</v>
      </c>
      <c r="H12" s="3831">
        <f>IF($F$2="Dolares",('Hoja de Trabajo'!I16*$B$1),'Hoja de Trabajo'!I16)</f>
        <v>0</v>
      </c>
      <c r="I12" s="3848">
        <f>IF($F$2="Dolares",('Hoja de Trabajo'!J16*$B$1),'Hoja de Trabajo'!J16)</f>
        <v>0</v>
      </c>
      <c r="M12" s="2537" t="s">
        <v>1608</v>
      </c>
      <c r="N12" s="3888">
        <f>+'Hoja de Trabajo'!O19</f>
        <v>0</v>
      </c>
      <c r="O12" s="3888">
        <f>+'Hoja de Trabajo'!P19</f>
        <v>0</v>
      </c>
      <c r="P12" s="3888">
        <f>+'Hoja de Trabajo'!Q19</f>
        <v>0</v>
      </c>
      <c r="Q12" s="3888">
        <f>+'Hoja de Trabajo'!R19</f>
        <v>0</v>
      </c>
      <c r="R12" s="3888">
        <f>+'Hoja de Trabajo'!S19</f>
        <v>0</v>
      </c>
      <c r="S12" s="3888">
        <f>+'Hoja de Trabajo'!T19</f>
        <v>0</v>
      </c>
      <c r="T12" s="3888">
        <f>+'Hoja de Trabajo'!U19</f>
        <v>0</v>
      </c>
      <c r="U12" s="3888">
        <f>+'Hoja de Trabajo'!V19</f>
        <v>0</v>
      </c>
      <c r="V12" s="3888">
        <f>+'Hoja de Trabajo'!W19</f>
        <v>0</v>
      </c>
      <c r="W12" s="3888">
        <f>+'Hoja de Trabajo'!X19</f>
        <v>0</v>
      </c>
      <c r="X12" s="3888">
        <f>+'Hoja de Trabajo'!Y19</f>
        <v>0</v>
      </c>
      <c r="Y12" s="3888">
        <f>+'Hoja de Trabajo'!Z19</f>
        <v>0</v>
      </c>
      <c r="Z12" s="3888">
        <f>+'Hoja de Trabajo'!AA19</f>
        <v>0</v>
      </c>
      <c r="AA12" s="3888">
        <f>+'Hoja de Trabajo'!AB19</f>
        <v>0</v>
      </c>
      <c r="AB12" s="3888">
        <f>+'Hoja de Trabajo'!AC19</f>
        <v>0</v>
      </c>
      <c r="AC12" s="3888">
        <f>+'Hoja de Trabajo'!AD19</f>
        <v>0</v>
      </c>
    </row>
    <row r="13" spans="1:29" ht="28">
      <c r="A13" s="2528" t="s">
        <v>1603</v>
      </c>
      <c r="B13" s="3837">
        <f>SUM(B8:B12)</f>
        <v>0</v>
      </c>
      <c r="C13" s="3837">
        <f>SUM(C8:C12)</f>
        <v>0</v>
      </c>
      <c r="D13" s="3836">
        <f>SUM(D8:D12)</f>
        <v>0</v>
      </c>
      <c r="E13" s="2552"/>
      <c r="F13" s="2516" t="s">
        <v>811</v>
      </c>
      <c r="G13" s="3831">
        <f>IF($F$2="Dolares",('Hoja de Trabajo'!H17*$B$1),'Hoja de Trabajo'!H17)</f>
        <v>0</v>
      </c>
      <c r="H13" s="3831">
        <f>IF($F$2="Dolares",('Hoja de Trabajo'!I17*$B$1),'Hoja de Trabajo'!I17)</f>
        <v>0</v>
      </c>
      <c r="I13" s="3848">
        <f>IF($F$2="Dolares",('Hoja de Trabajo'!J17*$B$1),'Hoja de Trabajo'!J17)</f>
        <v>0</v>
      </c>
      <c r="M13" s="2549" t="s">
        <v>1610</v>
      </c>
      <c r="N13" s="3889">
        <f t="shared" ref="N13:AC13" si="0">N7+N9+N10+N11+N12</f>
        <v>0</v>
      </c>
      <c r="O13" s="3889">
        <f t="shared" si="0"/>
        <v>0</v>
      </c>
      <c r="P13" s="3889">
        <f t="shared" si="0"/>
        <v>0</v>
      </c>
      <c r="Q13" s="3889">
        <f t="shared" si="0"/>
        <v>0</v>
      </c>
      <c r="R13" s="3889">
        <f t="shared" si="0"/>
        <v>0</v>
      </c>
      <c r="S13" s="3889">
        <f t="shared" si="0"/>
        <v>0</v>
      </c>
      <c r="T13" s="3889">
        <f t="shared" si="0"/>
        <v>0</v>
      </c>
      <c r="U13" s="3889">
        <f t="shared" si="0"/>
        <v>0</v>
      </c>
      <c r="V13" s="3889">
        <f t="shared" si="0"/>
        <v>0</v>
      </c>
      <c r="W13" s="3889">
        <f t="shared" si="0"/>
        <v>0</v>
      </c>
      <c r="X13" s="3889">
        <f t="shared" si="0"/>
        <v>0</v>
      </c>
      <c r="Y13" s="3889">
        <f t="shared" si="0"/>
        <v>0</v>
      </c>
      <c r="Z13" s="3889">
        <f t="shared" si="0"/>
        <v>0</v>
      </c>
      <c r="AA13" s="3889">
        <f t="shared" si="0"/>
        <v>0</v>
      </c>
      <c r="AB13" s="3889">
        <f t="shared" si="0"/>
        <v>0</v>
      </c>
      <c r="AC13" s="3889">
        <f t="shared" si="0"/>
        <v>0</v>
      </c>
    </row>
    <row r="14" spans="1:29" ht="28">
      <c r="A14" s="2516" t="s">
        <v>1604</v>
      </c>
      <c r="B14" s="3831">
        <f>IF($F$2="Dolares",('Hoja de Trabajo'!C18)*$B$1,'Hoja de Trabajo'!C18)</f>
        <v>0</v>
      </c>
      <c r="C14" s="3831">
        <f>IF($F$2="Dolares",('Hoja de Trabajo'!D18)*$B$1,'Hoja de Trabajo'!D18)</f>
        <v>0</v>
      </c>
      <c r="D14" s="3848">
        <f>IF($F$2="Dolares",('Hoja de Trabajo'!E18)*$B$1,'Hoja de Trabajo'!E18)</f>
        <v>0</v>
      </c>
      <c r="E14" s="2552"/>
      <c r="F14" s="2544" t="s">
        <v>1487</v>
      </c>
      <c r="G14" s="3847">
        <f>G8+G10+G11+G12+G13</f>
        <v>0</v>
      </c>
      <c r="H14" s="3847">
        <f>H8+H10+H11+H12+H13</f>
        <v>0</v>
      </c>
      <c r="I14" s="3871">
        <f>I8+I10+I11+I12+I13</f>
        <v>0</v>
      </c>
      <c r="M14" s="2537" t="s">
        <v>1613</v>
      </c>
      <c r="N14" s="3888">
        <f>+'Hoja de Trabajo'!O21</f>
        <v>0</v>
      </c>
      <c r="O14" s="3888">
        <f>+'Hoja de Trabajo'!P21</f>
        <v>0</v>
      </c>
      <c r="P14" s="3888">
        <f>+'Hoja de Trabajo'!Q21</f>
        <v>0</v>
      </c>
      <c r="Q14" s="3888">
        <f>+'Hoja de Trabajo'!R21</f>
        <v>0</v>
      </c>
      <c r="R14" s="3888">
        <f>+'Hoja de Trabajo'!S21</f>
        <v>0</v>
      </c>
      <c r="S14" s="3888">
        <f>+'Hoja de Trabajo'!T21</f>
        <v>0</v>
      </c>
      <c r="T14" s="3888">
        <f>+'Hoja de Trabajo'!U21</f>
        <v>0</v>
      </c>
      <c r="U14" s="3888">
        <f>+'Hoja de Trabajo'!V21</f>
        <v>0</v>
      </c>
      <c r="V14" s="3888">
        <f>+'Hoja de Trabajo'!W21</f>
        <v>0</v>
      </c>
      <c r="W14" s="3888">
        <f>+'Hoja de Trabajo'!X21</f>
        <v>0</v>
      </c>
      <c r="X14" s="3888">
        <f>+'Hoja de Trabajo'!Y21</f>
        <v>0</v>
      </c>
      <c r="Y14" s="3888">
        <f>+'Hoja de Trabajo'!Z21</f>
        <v>0</v>
      </c>
      <c r="Z14" s="3888">
        <f>+'Hoja de Trabajo'!AA21</f>
        <v>0</v>
      </c>
      <c r="AA14" s="3888">
        <f>+'Hoja de Trabajo'!AB21</f>
        <v>0</v>
      </c>
      <c r="AB14" s="3888">
        <f>+'Hoja de Trabajo'!AC21</f>
        <v>0</v>
      </c>
      <c r="AC14" s="3888">
        <f>+'Hoja de Trabajo'!AD21</f>
        <v>0</v>
      </c>
    </row>
    <row r="15" spans="1:29" ht="27.5">
      <c r="A15" s="2516" t="s">
        <v>1491</v>
      </c>
      <c r="B15" s="3831">
        <f>IF($F$2="Dolares",('Hoja de Trabajo'!C19)*$B$1,'Hoja de Trabajo'!C19)</f>
        <v>0</v>
      </c>
      <c r="C15" s="3831">
        <f>IF($F$2="Dolares",('Hoja de Trabajo'!D19)*$B$1,'Hoja de Trabajo'!D19)</f>
        <v>0</v>
      </c>
      <c r="D15" s="3848">
        <f>IF($F$2="Dolares",('Hoja de Trabajo'!E19)*$B$1,'Hoja de Trabajo'!E19)</f>
        <v>0</v>
      </c>
      <c r="E15" s="2552"/>
      <c r="F15" s="2499"/>
      <c r="G15" s="2499"/>
      <c r="H15" s="2499"/>
      <c r="I15" s="2634"/>
      <c r="M15" s="2537" t="s">
        <v>1615</v>
      </c>
      <c r="N15" s="3888">
        <f>+'Hoja de Trabajo'!O22</f>
        <v>0</v>
      </c>
      <c r="O15" s="3888">
        <f>+'Hoja de Trabajo'!P22</f>
        <v>0</v>
      </c>
      <c r="P15" s="3888">
        <f>+'Hoja de Trabajo'!Q22</f>
        <v>0</v>
      </c>
      <c r="Q15" s="3888">
        <f>+'Hoja de Trabajo'!R22</f>
        <v>0</v>
      </c>
      <c r="R15" s="3888">
        <f>+'Hoja de Trabajo'!S22</f>
        <v>0</v>
      </c>
      <c r="S15" s="3888">
        <f>+'Hoja de Trabajo'!T22</f>
        <v>0</v>
      </c>
      <c r="T15" s="3888">
        <f>+'Hoja de Trabajo'!U22</f>
        <v>0</v>
      </c>
      <c r="U15" s="3888">
        <f>+'Hoja de Trabajo'!V22</f>
        <v>0</v>
      </c>
      <c r="V15" s="3888">
        <f>+'Hoja de Trabajo'!W22</f>
        <v>0</v>
      </c>
      <c r="W15" s="3888">
        <f>+'Hoja de Trabajo'!X22</f>
        <v>0</v>
      </c>
      <c r="X15" s="3888">
        <f>+'Hoja de Trabajo'!Y22</f>
        <v>0</v>
      </c>
      <c r="Y15" s="3888">
        <f>+'Hoja de Trabajo'!Z22</f>
        <v>0</v>
      </c>
      <c r="Z15" s="3888">
        <f>+'Hoja de Trabajo'!AA22</f>
        <v>0</v>
      </c>
      <c r="AA15" s="3888">
        <f>+'Hoja de Trabajo'!AB22</f>
        <v>0</v>
      </c>
      <c r="AB15" s="3888">
        <f>+'Hoja de Trabajo'!AC22</f>
        <v>0</v>
      </c>
      <c r="AC15" s="3888">
        <f>+'Hoja de Trabajo'!AD22</f>
        <v>0</v>
      </c>
    </row>
    <row r="16" spans="1:29" ht="28">
      <c r="A16" s="2516" t="s">
        <v>1606</v>
      </c>
      <c r="B16" s="3831">
        <f>IF($F$2="Dolares",('Hoja de Trabajo'!C20)*$B$1,'Hoja de Trabajo'!C20)</f>
        <v>0</v>
      </c>
      <c r="C16" s="3831">
        <f>IF($F$2="Dolares",('Hoja de Trabajo'!D20)*$B$1,'Hoja de Trabajo'!D20)</f>
        <v>0</v>
      </c>
      <c r="D16" s="3848">
        <f>IF($F$2="Dolares",('Hoja de Trabajo'!E20)*$B$1,'Hoja de Trabajo'!E20)</f>
        <v>0</v>
      </c>
      <c r="E16" s="2552"/>
      <c r="F16" s="3573" t="s">
        <v>1607</v>
      </c>
      <c r="G16" s="3574"/>
      <c r="H16" s="3574"/>
      <c r="I16" s="3575"/>
      <c r="M16" s="2549" t="s">
        <v>1617</v>
      </c>
      <c r="N16" s="3889">
        <f t="shared" ref="N16:AC16" si="1">SUM(N13:N15)</f>
        <v>0</v>
      </c>
      <c r="O16" s="3889">
        <f t="shared" si="1"/>
        <v>0</v>
      </c>
      <c r="P16" s="3889">
        <f t="shared" si="1"/>
        <v>0</v>
      </c>
      <c r="Q16" s="3889">
        <f t="shared" si="1"/>
        <v>0</v>
      </c>
      <c r="R16" s="3889">
        <f t="shared" si="1"/>
        <v>0</v>
      </c>
      <c r="S16" s="3889">
        <f t="shared" si="1"/>
        <v>0</v>
      </c>
      <c r="T16" s="3889">
        <f t="shared" si="1"/>
        <v>0</v>
      </c>
      <c r="U16" s="3889">
        <f t="shared" si="1"/>
        <v>0</v>
      </c>
      <c r="V16" s="3889">
        <f t="shared" si="1"/>
        <v>0</v>
      </c>
      <c r="W16" s="3889">
        <f t="shared" si="1"/>
        <v>0</v>
      </c>
      <c r="X16" s="3889">
        <f t="shared" si="1"/>
        <v>0</v>
      </c>
      <c r="Y16" s="3889">
        <f t="shared" si="1"/>
        <v>0</v>
      </c>
      <c r="Z16" s="3889">
        <f t="shared" si="1"/>
        <v>0</v>
      </c>
      <c r="AA16" s="3889">
        <f t="shared" si="1"/>
        <v>0</v>
      </c>
      <c r="AB16" s="3889">
        <f t="shared" si="1"/>
        <v>0</v>
      </c>
      <c r="AC16" s="3889">
        <f t="shared" si="1"/>
        <v>0</v>
      </c>
    </row>
    <row r="17" spans="1:29" ht="28">
      <c r="A17" s="2516" t="s">
        <v>1609</v>
      </c>
      <c r="B17" s="3831">
        <f>IF($F$2="Dolares",('Hoja de Trabajo'!C21)*$B$1,'Hoja de Trabajo'!C21)</f>
        <v>0</v>
      </c>
      <c r="C17" s="3831">
        <f>IF($F$2="Dolares",('Hoja de Trabajo'!D21)*$B$1,'Hoja de Trabajo'!D21)</f>
        <v>0</v>
      </c>
      <c r="D17" s="3848">
        <f>IF($F$2="Dolares",('Hoja de Trabajo'!E21)*$B$1,'Hoja de Trabajo'!E21)</f>
        <v>0</v>
      </c>
      <c r="E17" s="2552"/>
      <c r="F17" s="2513"/>
      <c r="G17" s="2514" t="str">
        <f>+G5</f>
        <v>Dic 17</v>
      </c>
      <c r="H17" s="2514" t="str">
        <f>+H5</f>
        <v>Dic 18</v>
      </c>
      <c r="I17" s="2840" t="str">
        <f>+I5</f>
        <v>Dic 19</v>
      </c>
      <c r="M17" s="2537" t="s">
        <v>1497</v>
      </c>
      <c r="N17" s="3888">
        <f>+'Hoja de Trabajo'!O24</f>
        <v>0</v>
      </c>
      <c r="O17" s="3888">
        <f>+'Hoja de Trabajo'!P24</f>
        <v>0</v>
      </c>
      <c r="P17" s="3888">
        <f>+'Hoja de Trabajo'!Q24</f>
        <v>0</v>
      </c>
      <c r="Q17" s="3888">
        <f>+'Hoja de Trabajo'!R24</f>
        <v>0</v>
      </c>
      <c r="R17" s="3888">
        <f>+'Hoja de Trabajo'!S24</f>
        <v>0</v>
      </c>
      <c r="S17" s="3888">
        <f>+'Hoja de Trabajo'!T24</f>
        <v>0</v>
      </c>
      <c r="T17" s="3888">
        <f>+'Hoja de Trabajo'!U24</f>
        <v>0</v>
      </c>
      <c r="U17" s="3888">
        <f>+'Hoja de Trabajo'!V24</f>
        <v>0</v>
      </c>
      <c r="V17" s="3888">
        <f>+'Hoja de Trabajo'!W24</f>
        <v>0</v>
      </c>
      <c r="W17" s="3888">
        <f>+'Hoja de Trabajo'!X24</f>
        <v>0</v>
      </c>
      <c r="X17" s="3888">
        <f>+'Hoja de Trabajo'!Y24</f>
        <v>0</v>
      </c>
      <c r="Y17" s="3888">
        <f>+'Hoja de Trabajo'!Z24</f>
        <v>0</v>
      </c>
      <c r="Z17" s="3888">
        <f>+'Hoja de Trabajo'!AA24</f>
        <v>0</v>
      </c>
      <c r="AA17" s="3888">
        <f>+'Hoja de Trabajo'!AB24</f>
        <v>0</v>
      </c>
      <c r="AB17" s="3888">
        <f>+'Hoja de Trabajo'!AC24</f>
        <v>0</v>
      </c>
      <c r="AC17" s="3888">
        <f>+'Hoja de Trabajo'!AD24</f>
        <v>0</v>
      </c>
    </row>
    <row r="18" spans="1:29" ht="28">
      <c r="A18" s="2516" t="s">
        <v>1611</v>
      </c>
      <c r="B18" s="3831">
        <f>IF($F$2="Dolares",('Hoja de Trabajo'!C22)*$B$1,'Hoja de Trabajo'!C22)</f>
        <v>0</v>
      </c>
      <c r="C18" s="3831">
        <f>IF($F$2="Dolares",('Hoja de Trabajo'!D22)*$B$1,'Hoja de Trabajo'!D22)</f>
        <v>0</v>
      </c>
      <c r="D18" s="3848">
        <f>IF($F$2="Dolares",('Hoja de Trabajo'!E22)*$B$1,'Hoja de Trabajo'!E22)</f>
        <v>0</v>
      </c>
      <c r="E18" s="2552"/>
      <c r="F18" s="2551" t="s">
        <v>1612</v>
      </c>
      <c r="G18" s="2552"/>
      <c r="H18" s="2552"/>
      <c r="I18" s="2553"/>
      <c r="M18" s="2537" t="s">
        <v>1620</v>
      </c>
      <c r="N18" s="3888">
        <f>+'Hoja de Trabajo'!O25</f>
        <v>0</v>
      </c>
      <c r="O18" s="3888">
        <f>+'Hoja de Trabajo'!P25</f>
        <v>0</v>
      </c>
      <c r="P18" s="3888">
        <f>+'Hoja de Trabajo'!Q25</f>
        <v>0</v>
      </c>
      <c r="Q18" s="3888">
        <f>+'Hoja de Trabajo'!R25</f>
        <v>0</v>
      </c>
      <c r="R18" s="3888">
        <f>+'Hoja de Trabajo'!S25</f>
        <v>0</v>
      </c>
      <c r="S18" s="3888">
        <f>+'Hoja de Trabajo'!T25</f>
        <v>0</v>
      </c>
      <c r="T18" s="3888">
        <f>+'Hoja de Trabajo'!U25</f>
        <v>0</v>
      </c>
      <c r="U18" s="3888">
        <f>+'Hoja de Trabajo'!V25</f>
        <v>0</v>
      </c>
      <c r="V18" s="3888">
        <f>+'Hoja de Trabajo'!W25</f>
        <v>0</v>
      </c>
      <c r="W18" s="3888">
        <f>+'Hoja de Trabajo'!X25</f>
        <v>0</v>
      </c>
      <c r="X18" s="3888">
        <f>+'Hoja de Trabajo'!Y25</f>
        <v>0</v>
      </c>
      <c r="Y18" s="3888">
        <f>+'Hoja de Trabajo'!Z25</f>
        <v>0</v>
      </c>
      <c r="Z18" s="3888">
        <f>+'Hoja de Trabajo'!AA25</f>
        <v>0</v>
      </c>
      <c r="AA18" s="3888">
        <f>+'Hoja de Trabajo'!AB25</f>
        <v>0</v>
      </c>
      <c r="AB18" s="3888">
        <f>+'Hoja de Trabajo'!AC25</f>
        <v>0</v>
      </c>
      <c r="AC18" s="3888">
        <f>+'Hoja de Trabajo'!AD25</f>
        <v>0</v>
      </c>
    </row>
    <row r="19" spans="1:29" ht="28">
      <c r="A19" s="2528" t="s">
        <v>1614</v>
      </c>
      <c r="B19" s="3837">
        <f>SUM(B14:B18)</f>
        <v>0</v>
      </c>
      <c r="C19" s="3837">
        <f>SUM(C14:C18)</f>
        <v>0</v>
      </c>
      <c r="D19" s="3836">
        <f>SUM(D14:D18)</f>
        <v>0</v>
      </c>
      <c r="E19" s="2552"/>
      <c r="F19" s="2516" t="s">
        <v>2630</v>
      </c>
      <c r="G19" s="2554">
        <f>IFERROR(G8/G6,0)</f>
        <v>0</v>
      </c>
      <c r="H19" s="2554">
        <f>IFERROR(H8/H6,0)</f>
        <v>0</v>
      </c>
      <c r="I19" s="2555">
        <f>IFERROR(I8/I6,0)</f>
        <v>0</v>
      </c>
      <c r="M19" s="2537" t="s">
        <v>1622</v>
      </c>
      <c r="N19" s="3888">
        <f>+'Hoja de Trabajo'!O26</f>
        <v>0</v>
      </c>
      <c r="O19" s="3888">
        <f>+'Hoja de Trabajo'!P26</f>
        <v>0</v>
      </c>
      <c r="P19" s="3888">
        <f>+'Hoja de Trabajo'!Q26</f>
        <v>0</v>
      </c>
      <c r="Q19" s="3888">
        <f>+'Hoja de Trabajo'!R26</f>
        <v>0</v>
      </c>
      <c r="R19" s="3888">
        <f>+'Hoja de Trabajo'!S26</f>
        <v>0</v>
      </c>
      <c r="S19" s="3888">
        <f>+'Hoja de Trabajo'!T26</f>
        <v>0</v>
      </c>
      <c r="T19" s="3888">
        <f>+'Hoja de Trabajo'!U26</f>
        <v>0</v>
      </c>
      <c r="U19" s="3888">
        <f>+'Hoja de Trabajo'!V26</f>
        <v>0</v>
      </c>
      <c r="V19" s="3888">
        <f>+'Hoja de Trabajo'!W26</f>
        <v>0</v>
      </c>
      <c r="W19" s="3888">
        <f>+'Hoja de Trabajo'!X26</f>
        <v>0</v>
      </c>
      <c r="X19" s="3888">
        <f>+'Hoja de Trabajo'!Y26</f>
        <v>0</v>
      </c>
      <c r="Y19" s="3888">
        <f>+'Hoja de Trabajo'!Z26</f>
        <v>0</v>
      </c>
      <c r="Z19" s="3888">
        <f>+'Hoja de Trabajo'!AA26</f>
        <v>0</v>
      </c>
      <c r="AA19" s="3888">
        <f>+'Hoja de Trabajo'!AB26</f>
        <v>0</v>
      </c>
      <c r="AB19" s="3888">
        <f>+'Hoja de Trabajo'!AC26</f>
        <v>0</v>
      </c>
      <c r="AC19" s="3888">
        <f>+'Hoja de Trabajo'!AD26</f>
        <v>0</v>
      </c>
    </row>
    <row r="20" spans="1:29" ht="28">
      <c r="A20" s="3870" t="s">
        <v>671</v>
      </c>
      <c r="B20" s="3842">
        <f>B13+B19</f>
        <v>0</v>
      </c>
      <c r="C20" s="3842">
        <f>C13+C19</f>
        <v>0</v>
      </c>
      <c r="D20" s="3869">
        <f>D13+D19</f>
        <v>0</v>
      </c>
      <c r="E20" s="2552"/>
      <c r="F20" s="2516" t="s">
        <v>1616</v>
      </c>
      <c r="G20" s="2554">
        <f>IFERROR(G9/G6,0)</f>
        <v>0</v>
      </c>
      <c r="H20" s="2554">
        <f>IFERROR(H9/H6,0)</f>
        <v>0</v>
      </c>
      <c r="I20" s="2555">
        <f>IFERROR(I9/I6,0)</f>
        <v>0</v>
      </c>
      <c r="M20" s="2537" t="s">
        <v>1625</v>
      </c>
      <c r="N20" s="3888">
        <f>+'Hoja de Trabajo'!O27</f>
        <v>0</v>
      </c>
      <c r="O20" s="3888">
        <f>+'Hoja de Trabajo'!P27</f>
        <v>0</v>
      </c>
      <c r="P20" s="3888">
        <f>+'Hoja de Trabajo'!Q27</f>
        <v>0</v>
      </c>
      <c r="Q20" s="3888">
        <f>+'Hoja de Trabajo'!R27</f>
        <v>0</v>
      </c>
      <c r="R20" s="3888">
        <f>+'Hoja de Trabajo'!S27</f>
        <v>0</v>
      </c>
      <c r="S20" s="3888">
        <f>+'Hoja de Trabajo'!T27</f>
        <v>0</v>
      </c>
      <c r="T20" s="3888">
        <f>+'Hoja de Trabajo'!U27</f>
        <v>0</v>
      </c>
      <c r="U20" s="3888">
        <f>+'Hoja de Trabajo'!V27</f>
        <v>0</v>
      </c>
      <c r="V20" s="3888">
        <f>+'Hoja de Trabajo'!W27</f>
        <v>0</v>
      </c>
      <c r="W20" s="3888">
        <f>+'Hoja de Trabajo'!X27</f>
        <v>0</v>
      </c>
      <c r="X20" s="3888">
        <f>+'Hoja de Trabajo'!Y27</f>
        <v>0</v>
      </c>
      <c r="Y20" s="3888">
        <f>+'Hoja de Trabajo'!Z27</f>
        <v>0</v>
      </c>
      <c r="Z20" s="3888">
        <f>+'Hoja de Trabajo'!AA27</f>
        <v>0</v>
      </c>
      <c r="AA20" s="3888">
        <f>+'Hoja de Trabajo'!AB27</f>
        <v>0</v>
      </c>
      <c r="AB20" s="3888">
        <f>+'Hoja de Trabajo'!AC27</f>
        <v>0</v>
      </c>
      <c r="AC20" s="3888">
        <f>+'Hoja de Trabajo'!AD27</f>
        <v>0</v>
      </c>
    </row>
    <row r="21" spans="1:29" ht="28">
      <c r="A21" s="2551" t="s">
        <v>678</v>
      </c>
      <c r="B21" s="3833"/>
      <c r="C21" s="3833"/>
      <c r="D21" s="3832"/>
      <c r="E21" s="2552"/>
      <c r="F21" s="2516" t="s">
        <v>883</v>
      </c>
      <c r="G21" s="2554">
        <f>IFERROR(G14/G6,0)</f>
        <v>0</v>
      </c>
      <c r="H21" s="2554">
        <f>IFERROR(H14/H6,0)</f>
        <v>0</v>
      </c>
      <c r="I21" s="2555">
        <f>IFERROR(I14/I6,0)</f>
        <v>0</v>
      </c>
      <c r="M21" s="2549" t="s">
        <v>1628</v>
      </c>
      <c r="N21" s="3889">
        <f t="shared" ref="N21:AC21" si="2">SUM(N16:N20)</f>
        <v>0</v>
      </c>
      <c r="O21" s="3889">
        <f t="shared" si="2"/>
        <v>0</v>
      </c>
      <c r="P21" s="3889">
        <f t="shared" si="2"/>
        <v>0</v>
      </c>
      <c r="Q21" s="3889">
        <f t="shared" si="2"/>
        <v>0</v>
      </c>
      <c r="R21" s="3889">
        <f t="shared" si="2"/>
        <v>0</v>
      </c>
      <c r="S21" s="3889">
        <f t="shared" si="2"/>
        <v>0</v>
      </c>
      <c r="T21" s="3889">
        <f t="shared" si="2"/>
        <v>0</v>
      </c>
      <c r="U21" s="3889">
        <f t="shared" si="2"/>
        <v>0</v>
      </c>
      <c r="V21" s="3889">
        <f t="shared" si="2"/>
        <v>0</v>
      </c>
      <c r="W21" s="3889">
        <f t="shared" si="2"/>
        <v>0</v>
      </c>
      <c r="X21" s="3889">
        <f t="shared" si="2"/>
        <v>0</v>
      </c>
      <c r="Y21" s="3889">
        <f t="shared" si="2"/>
        <v>0</v>
      </c>
      <c r="Z21" s="3889">
        <f t="shared" si="2"/>
        <v>0</v>
      </c>
      <c r="AA21" s="3889">
        <f t="shared" si="2"/>
        <v>0</v>
      </c>
      <c r="AB21" s="3889">
        <f t="shared" si="2"/>
        <v>0</v>
      </c>
      <c r="AC21" s="3889">
        <f t="shared" si="2"/>
        <v>0</v>
      </c>
    </row>
    <row r="22" spans="1:29" ht="27.5">
      <c r="A22" s="2516" t="s">
        <v>1618</v>
      </c>
      <c r="B22" s="3831">
        <f>IF($F$2="Dolares",('Hoja de Trabajo'!C26)*$B$1,'Hoja de Trabajo'!C26)</f>
        <v>0</v>
      </c>
      <c r="C22" s="3831">
        <f>IF($F$2="Dolares",('Hoja de Trabajo'!D26)*$B$1,'Hoja de Trabajo'!D26)</f>
        <v>0</v>
      </c>
      <c r="D22" s="3848">
        <f>IF($F$2="Dolares",('Hoja de Trabajo'!E26)*$B$1,'Hoja de Trabajo'!E26)</f>
        <v>0</v>
      </c>
      <c r="E22" s="2552"/>
      <c r="F22" s="2516" t="s">
        <v>1619</v>
      </c>
      <c r="G22" s="2554" t="str">
        <f>IFERROR(((G14/B2)*12)/B38,"")</f>
        <v/>
      </c>
      <c r="H22" s="2554" t="str">
        <f>IFERROR(((H14/C2)*12)/C38,"")</f>
        <v/>
      </c>
      <c r="I22" s="2555" t="str">
        <f>IFERROR(((I14/D2)*12)/D38,"")</f>
        <v/>
      </c>
      <c r="M22" s="2537" t="s">
        <v>1495</v>
      </c>
      <c r="N22" s="3888">
        <f>+'Hoja de Trabajo'!O29</f>
        <v>0</v>
      </c>
      <c r="O22" s="3888">
        <f>+'Hoja de Trabajo'!P29</f>
        <v>0</v>
      </c>
      <c r="P22" s="3888">
        <f>+'Hoja de Trabajo'!Q29</f>
        <v>0</v>
      </c>
      <c r="Q22" s="3888">
        <f>+'Hoja de Trabajo'!R29</f>
        <v>0</v>
      </c>
      <c r="R22" s="3888">
        <f>+'Hoja de Trabajo'!S29</f>
        <v>0</v>
      </c>
      <c r="S22" s="3888">
        <f>+'Hoja de Trabajo'!T29</f>
        <v>0</v>
      </c>
      <c r="T22" s="3888">
        <f>+'Hoja de Trabajo'!U29</f>
        <v>0</v>
      </c>
      <c r="U22" s="3888">
        <f>+'Hoja de Trabajo'!V29</f>
        <v>0</v>
      </c>
      <c r="V22" s="3888">
        <f>+'Hoja de Trabajo'!W29</f>
        <v>0</v>
      </c>
      <c r="W22" s="3888">
        <f>+'Hoja de Trabajo'!X29</f>
        <v>0</v>
      </c>
      <c r="X22" s="3888">
        <f>+'Hoja de Trabajo'!Y29</f>
        <v>0</v>
      </c>
      <c r="Y22" s="3888">
        <f>+'Hoja de Trabajo'!Z29</f>
        <v>0</v>
      </c>
      <c r="Z22" s="3888">
        <f>+'Hoja de Trabajo'!AA29</f>
        <v>0</v>
      </c>
      <c r="AA22" s="3888">
        <f>+'Hoja de Trabajo'!AB29</f>
        <v>0</v>
      </c>
      <c r="AB22" s="3888">
        <f>+'Hoja de Trabajo'!AC29</f>
        <v>0</v>
      </c>
      <c r="AC22" s="3888">
        <f>+'Hoja de Trabajo'!AD29</f>
        <v>0</v>
      </c>
    </row>
    <row r="23" spans="1:29" ht="28">
      <c r="A23" s="2516" t="s">
        <v>2629</v>
      </c>
      <c r="B23" s="3831">
        <f>IF($F$2="Dolares",('Hoja de Trabajo'!C27)*$B$1,'Hoja de Trabajo'!C27)</f>
        <v>0</v>
      </c>
      <c r="C23" s="3831">
        <f>IF($F$2="Dolares",('Hoja de Trabajo'!D27)*$B$1,'Hoja de Trabajo'!D27)</f>
        <v>0</v>
      </c>
      <c r="D23" s="3848">
        <f>IF($F$2="Dolares",('Hoja de Trabajo'!E27)*$B$1,'Hoja de Trabajo'!E27)</f>
        <v>0</v>
      </c>
      <c r="E23" s="2552"/>
      <c r="F23" s="2551" t="s">
        <v>1621</v>
      </c>
      <c r="G23" s="2552"/>
      <c r="H23" s="2552"/>
      <c r="I23" s="2553"/>
      <c r="M23" s="2537" t="s">
        <v>529</v>
      </c>
      <c r="N23" s="3888">
        <f>+'Hoja de Trabajo'!O30</f>
        <v>0</v>
      </c>
      <c r="O23" s="3888">
        <f>+'Hoja de Trabajo'!P30</f>
        <v>0</v>
      </c>
      <c r="P23" s="3888">
        <f>+'Hoja de Trabajo'!Q30</f>
        <v>0</v>
      </c>
      <c r="Q23" s="3888">
        <f>+'Hoja de Trabajo'!R30</f>
        <v>0</v>
      </c>
      <c r="R23" s="3888">
        <f>+'Hoja de Trabajo'!S30</f>
        <v>0</v>
      </c>
      <c r="S23" s="3888">
        <f>+'Hoja de Trabajo'!T30</f>
        <v>0</v>
      </c>
      <c r="T23" s="3888">
        <f>+'Hoja de Trabajo'!U30</f>
        <v>0</v>
      </c>
      <c r="U23" s="3888">
        <f>+'Hoja de Trabajo'!V30</f>
        <v>0</v>
      </c>
      <c r="V23" s="3888">
        <f>+'Hoja de Trabajo'!W30</f>
        <v>0</v>
      </c>
      <c r="W23" s="3888">
        <f>+'Hoja de Trabajo'!X30</f>
        <v>0</v>
      </c>
      <c r="X23" s="3888">
        <f>+'Hoja de Trabajo'!Y30</f>
        <v>0</v>
      </c>
      <c r="Y23" s="3888">
        <f>+'Hoja de Trabajo'!Z30</f>
        <v>0</v>
      </c>
      <c r="Z23" s="3888">
        <f>+'Hoja de Trabajo'!AA30</f>
        <v>0</v>
      </c>
      <c r="AA23" s="3888">
        <f>+'Hoja de Trabajo'!AB30</f>
        <v>0</v>
      </c>
      <c r="AB23" s="3888">
        <f>+'Hoja de Trabajo'!AC30</f>
        <v>0</v>
      </c>
      <c r="AC23" s="3888">
        <f>+'Hoja de Trabajo'!AD30</f>
        <v>0</v>
      </c>
    </row>
    <row r="24" spans="1:29" ht="28">
      <c r="A24" s="2538" t="s">
        <v>1623</v>
      </c>
      <c r="B24" s="3831">
        <f>IF($F$2="Dolares",('Hoja de Trabajo'!C28)*$B$1,'Hoja de Trabajo'!C28)</f>
        <v>0</v>
      </c>
      <c r="C24" s="3831">
        <f>IF($F$2="Dolares",('Hoja de Trabajo'!D28)*$B$1,'Hoja de Trabajo'!D28)</f>
        <v>0</v>
      </c>
      <c r="D24" s="3848">
        <f>IF($F$2="Dolares",('Hoja de Trabajo'!E28)*$B$1,'Hoja de Trabajo'!E28)</f>
        <v>0</v>
      </c>
      <c r="E24" s="2552"/>
      <c r="F24" s="2538" t="s">
        <v>1624</v>
      </c>
      <c r="G24" s="2554" t="str">
        <f>+'Hoja de Trabajo'!H28</f>
        <v>N/A</v>
      </c>
      <c r="H24" s="2554" t="str">
        <f>IFERROR(((H6/C2)*12-G6)/G6,"")</f>
        <v/>
      </c>
      <c r="I24" s="2555" t="str">
        <f>IFERROR(((I6/D2)*12-H6)/H6,"")</f>
        <v/>
      </c>
      <c r="M24" s="2549" t="s">
        <v>1636</v>
      </c>
      <c r="N24" s="3889">
        <f t="shared" ref="N24:AC24" si="3">SUM(N21:N23)</f>
        <v>0</v>
      </c>
      <c r="O24" s="3889">
        <f t="shared" si="3"/>
        <v>0</v>
      </c>
      <c r="P24" s="3889">
        <f t="shared" si="3"/>
        <v>0</v>
      </c>
      <c r="Q24" s="3889">
        <f t="shared" si="3"/>
        <v>0</v>
      </c>
      <c r="R24" s="3889">
        <f t="shared" si="3"/>
        <v>0</v>
      </c>
      <c r="S24" s="3889">
        <f t="shared" si="3"/>
        <v>0</v>
      </c>
      <c r="T24" s="3889">
        <f t="shared" si="3"/>
        <v>0</v>
      </c>
      <c r="U24" s="3889">
        <f t="shared" si="3"/>
        <v>0</v>
      </c>
      <c r="V24" s="3889">
        <f t="shared" si="3"/>
        <v>0</v>
      </c>
      <c r="W24" s="3889">
        <f t="shared" si="3"/>
        <v>0</v>
      </c>
      <c r="X24" s="3889">
        <f t="shared" si="3"/>
        <v>0</v>
      </c>
      <c r="Y24" s="3889">
        <f t="shared" si="3"/>
        <v>0</v>
      </c>
      <c r="Z24" s="3889">
        <f t="shared" si="3"/>
        <v>0</v>
      </c>
      <c r="AA24" s="3889">
        <f t="shared" si="3"/>
        <v>0</v>
      </c>
      <c r="AB24" s="3889">
        <f t="shared" si="3"/>
        <v>0</v>
      </c>
      <c r="AC24" s="3889">
        <f t="shared" si="3"/>
        <v>0</v>
      </c>
    </row>
    <row r="25" spans="1:29" ht="27.5">
      <c r="A25" s="2516" t="s">
        <v>2628</v>
      </c>
      <c r="B25" s="3831">
        <f>IF($F$2="Dolares",('Hoja de Trabajo'!C29)*$B$1,'Hoja de Trabajo'!C29)</f>
        <v>0</v>
      </c>
      <c r="C25" s="3831">
        <f>IF($F$2="Dolares",('Hoja de Trabajo'!D29)*$B$1,'Hoja de Trabajo'!D29)</f>
        <v>0</v>
      </c>
      <c r="D25" s="3848">
        <f>IF($F$2="Dolares",('Hoja de Trabajo'!E29)*$B$1,'Hoja de Trabajo'!E29)</f>
        <v>0</v>
      </c>
      <c r="E25" s="2552"/>
      <c r="F25" s="2516" t="s">
        <v>1627</v>
      </c>
      <c r="G25" s="2561">
        <f>+'Hoja de Trabajo'!H29</f>
        <v>0</v>
      </c>
      <c r="H25" s="2561">
        <f>+'Hoja de Trabajo'!I29</f>
        <v>0</v>
      </c>
      <c r="I25" s="2562">
        <f>+'Hoja de Trabajo'!J29</f>
        <v>0</v>
      </c>
      <c r="M25" s="2537" t="s">
        <v>1503</v>
      </c>
      <c r="N25" s="3888">
        <f>+'Hoja de Trabajo'!O32</f>
        <v>0</v>
      </c>
      <c r="O25" s="3888">
        <f>+'Hoja de Trabajo'!P32</f>
        <v>0</v>
      </c>
      <c r="P25" s="3888">
        <f>+'Hoja de Trabajo'!Q32</f>
        <v>0</v>
      </c>
      <c r="Q25" s="3888">
        <f>+'Hoja de Trabajo'!R32</f>
        <v>0</v>
      </c>
      <c r="R25" s="3888">
        <f>+'Hoja de Trabajo'!S32</f>
        <v>0</v>
      </c>
      <c r="S25" s="3888">
        <f>+'Hoja de Trabajo'!T32</f>
        <v>0</v>
      </c>
      <c r="T25" s="3888">
        <f>+'Hoja de Trabajo'!U32</f>
        <v>0</v>
      </c>
      <c r="U25" s="3888">
        <f>+'Hoja de Trabajo'!V32</f>
        <v>0</v>
      </c>
      <c r="V25" s="3888">
        <f>+'Hoja de Trabajo'!W32</f>
        <v>0</v>
      </c>
      <c r="W25" s="3888">
        <f>+'Hoja de Trabajo'!X32</f>
        <v>0</v>
      </c>
      <c r="X25" s="3888">
        <f>+'Hoja de Trabajo'!Y32</f>
        <v>0</v>
      </c>
      <c r="Y25" s="3888">
        <f>+'Hoja de Trabajo'!Z32</f>
        <v>0</v>
      </c>
      <c r="Z25" s="3888">
        <f>+'Hoja de Trabajo'!AA32</f>
        <v>0</v>
      </c>
      <c r="AA25" s="3888">
        <f>+'Hoja de Trabajo'!AB32</f>
        <v>0</v>
      </c>
      <c r="AB25" s="3888">
        <f>+'Hoja de Trabajo'!AC32</f>
        <v>0</v>
      </c>
      <c r="AC25" s="3888">
        <f>+'Hoja de Trabajo'!AD32</f>
        <v>0</v>
      </c>
    </row>
    <row r="26" spans="1:29" ht="28">
      <c r="A26" s="2528" t="s">
        <v>1630</v>
      </c>
      <c r="B26" s="3837">
        <f>SUM(B22:B25)</f>
        <v>0</v>
      </c>
      <c r="C26" s="3837">
        <f>SUM(C22:C25)</f>
        <v>0</v>
      </c>
      <c r="D26" s="3836">
        <f>SUM(D22:D25)</f>
        <v>0</v>
      </c>
      <c r="E26" s="2552"/>
      <c r="F26" s="2516" t="s">
        <v>1631</v>
      </c>
      <c r="G26" s="2561">
        <f>+'Hoja de Trabajo'!H30</f>
        <v>0</v>
      </c>
      <c r="H26" s="2561">
        <f>+'Hoja de Trabajo'!I30</f>
        <v>0</v>
      </c>
      <c r="I26" s="2562">
        <f>+'Hoja de Trabajo'!J30</f>
        <v>0</v>
      </c>
      <c r="M26" s="2549" t="s">
        <v>1504</v>
      </c>
      <c r="N26" s="3889">
        <f t="shared" ref="N26:AC26" si="4">N24+N25</f>
        <v>0</v>
      </c>
      <c r="O26" s="3889">
        <f t="shared" si="4"/>
        <v>0</v>
      </c>
      <c r="P26" s="3889">
        <f t="shared" si="4"/>
        <v>0</v>
      </c>
      <c r="Q26" s="3889">
        <f t="shared" si="4"/>
        <v>0</v>
      </c>
      <c r="R26" s="3889">
        <f t="shared" si="4"/>
        <v>0</v>
      </c>
      <c r="S26" s="3889">
        <f t="shared" si="4"/>
        <v>0</v>
      </c>
      <c r="T26" s="3889">
        <f t="shared" si="4"/>
        <v>0</v>
      </c>
      <c r="U26" s="3889">
        <f t="shared" si="4"/>
        <v>0</v>
      </c>
      <c r="V26" s="3889">
        <f t="shared" si="4"/>
        <v>0</v>
      </c>
      <c r="W26" s="3889">
        <f t="shared" si="4"/>
        <v>0</v>
      </c>
      <c r="X26" s="3889">
        <f t="shared" si="4"/>
        <v>0</v>
      </c>
      <c r="Y26" s="3889">
        <f t="shared" si="4"/>
        <v>0</v>
      </c>
      <c r="Z26" s="3889">
        <f t="shared" si="4"/>
        <v>0</v>
      </c>
      <c r="AA26" s="3889">
        <f t="shared" si="4"/>
        <v>0</v>
      </c>
      <c r="AB26" s="3889">
        <f t="shared" si="4"/>
        <v>0</v>
      </c>
      <c r="AC26" s="3889">
        <f t="shared" si="4"/>
        <v>0</v>
      </c>
    </row>
    <row r="27" spans="1:29" ht="27.5">
      <c r="A27" s="2516" t="s">
        <v>1632</v>
      </c>
      <c r="B27" s="3831">
        <f>IF($F$2="Dolares",('Hoja de Trabajo'!C31)*$B$1,'Hoja de Trabajo'!C31)</f>
        <v>0</v>
      </c>
      <c r="C27" s="3831">
        <f>IF($F$2="Dolares",('Hoja de Trabajo'!D31)*$B$1,'Hoja de Trabajo'!D31)</f>
        <v>0</v>
      </c>
      <c r="D27" s="3848">
        <f>IF($F$2="Dolares",('Hoja de Trabajo'!E31)*$B$1,'Hoja de Trabajo'!E31)</f>
        <v>0</v>
      </c>
      <c r="E27" s="2552"/>
      <c r="F27" s="2516" t="s">
        <v>1633</v>
      </c>
      <c r="G27" s="2561">
        <f>+'Hoja de Trabajo'!H31</f>
        <v>0</v>
      </c>
      <c r="H27" s="2561">
        <f>+'Hoja de Trabajo'!I31</f>
        <v>0</v>
      </c>
      <c r="I27" s="2562">
        <f>+'Hoja de Trabajo'!J31</f>
        <v>0</v>
      </c>
      <c r="M27" s="2537" t="s">
        <v>1643</v>
      </c>
      <c r="N27" s="3888">
        <f>+'Hoja de Trabajo'!O34</f>
        <v>0</v>
      </c>
      <c r="O27" s="3888">
        <f>+'Hoja de Trabajo'!P34</f>
        <v>0</v>
      </c>
      <c r="P27" s="3888">
        <f>+'Hoja de Trabajo'!Q34</f>
        <v>0</v>
      </c>
      <c r="Q27" s="3888">
        <f>+'Hoja de Trabajo'!R34</f>
        <v>0</v>
      </c>
      <c r="R27" s="3888">
        <f>+'Hoja de Trabajo'!S34</f>
        <v>0</v>
      </c>
      <c r="S27" s="3888">
        <f>+'Hoja de Trabajo'!T34</f>
        <v>0</v>
      </c>
      <c r="T27" s="3888">
        <f>+'Hoja de Trabajo'!U34</f>
        <v>0</v>
      </c>
      <c r="U27" s="3888">
        <f>+'Hoja de Trabajo'!V34</f>
        <v>0</v>
      </c>
      <c r="V27" s="3888">
        <f>+'Hoja de Trabajo'!W34</f>
        <v>0</v>
      </c>
      <c r="W27" s="3888">
        <f>+'Hoja de Trabajo'!X34</f>
        <v>0</v>
      </c>
      <c r="X27" s="3888">
        <f>+'Hoja de Trabajo'!Y34</f>
        <v>0</v>
      </c>
      <c r="Y27" s="3888">
        <f>+'Hoja de Trabajo'!Z34</f>
        <v>0</v>
      </c>
      <c r="Z27" s="3888">
        <f>+'Hoja de Trabajo'!AA34</f>
        <v>0</v>
      </c>
      <c r="AA27" s="3888">
        <f>+'Hoja de Trabajo'!AB34</f>
        <v>0</v>
      </c>
      <c r="AB27" s="3888">
        <f>+'Hoja de Trabajo'!AC34</f>
        <v>0</v>
      </c>
      <c r="AC27" s="3888">
        <f>+'Hoja de Trabajo'!AD34</f>
        <v>0</v>
      </c>
    </row>
    <row r="28" spans="1:29" ht="27.5">
      <c r="A28" s="2516" t="s">
        <v>1634</v>
      </c>
      <c r="B28" s="3831">
        <f>IF($F$2="Dolares",('Hoja de Trabajo'!C32)*$B$1,'Hoja de Trabajo'!C32)</f>
        <v>0</v>
      </c>
      <c r="C28" s="3831">
        <f>IF($F$2="Dolares",('Hoja de Trabajo'!D32)*$B$1,'Hoja de Trabajo'!D32)</f>
        <v>0</v>
      </c>
      <c r="D28" s="3848">
        <f>IF($F$2="Dolares",('Hoja de Trabajo'!E32)*$B$1,'Hoja de Trabajo'!E32)</f>
        <v>0</v>
      </c>
      <c r="E28" s="2552"/>
      <c r="F28" s="2516" t="s">
        <v>1635</v>
      </c>
      <c r="G28" s="2561">
        <f>+'Hoja de Trabajo'!H32</f>
        <v>0</v>
      </c>
      <c r="H28" s="2561">
        <f>+'Hoja de Trabajo'!I32</f>
        <v>0</v>
      </c>
      <c r="I28" s="2562">
        <f>+'Hoja de Trabajo'!J32</f>
        <v>0</v>
      </c>
      <c r="M28" s="2537" t="s">
        <v>910</v>
      </c>
      <c r="N28" s="2571" t="e">
        <f t="shared" ref="N28:AC28" si="5">+N27/N7</f>
        <v>#DIV/0!</v>
      </c>
      <c r="O28" s="2571" t="e">
        <f t="shared" si="5"/>
        <v>#DIV/0!</v>
      </c>
      <c r="P28" s="2571" t="e">
        <f t="shared" si="5"/>
        <v>#DIV/0!</v>
      </c>
      <c r="Q28" s="2571" t="e">
        <f t="shared" si="5"/>
        <v>#DIV/0!</v>
      </c>
      <c r="R28" s="2571" t="e">
        <f t="shared" si="5"/>
        <v>#DIV/0!</v>
      </c>
      <c r="S28" s="2571" t="e">
        <f t="shared" si="5"/>
        <v>#DIV/0!</v>
      </c>
      <c r="T28" s="2571" t="e">
        <f t="shared" si="5"/>
        <v>#DIV/0!</v>
      </c>
      <c r="U28" s="2571" t="e">
        <f t="shared" si="5"/>
        <v>#DIV/0!</v>
      </c>
      <c r="V28" s="2571" t="e">
        <f t="shared" si="5"/>
        <v>#DIV/0!</v>
      </c>
      <c r="W28" s="2571" t="e">
        <f t="shared" si="5"/>
        <v>#DIV/0!</v>
      </c>
      <c r="X28" s="2571" t="e">
        <f t="shared" si="5"/>
        <v>#DIV/0!</v>
      </c>
      <c r="Y28" s="2571" t="e">
        <f t="shared" si="5"/>
        <v>#DIV/0!</v>
      </c>
      <c r="Z28" s="2571" t="e">
        <f t="shared" si="5"/>
        <v>#DIV/0!</v>
      </c>
      <c r="AA28" s="2571" t="e">
        <f t="shared" si="5"/>
        <v>#DIV/0!</v>
      </c>
      <c r="AB28" s="2571" t="e">
        <f t="shared" si="5"/>
        <v>#DIV/0!</v>
      </c>
      <c r="AC28" s="2571" t="e">
        <f t="shared" si="5"/>
        <v>#DIV/0!</v>
      </c>
    </row>
    <row r="29" spans="1:29" ht="28">
      <c r="A29" s="2528" t="s">
        <v>1638</v>
      </c>
      <c r="B29" s="3837">
        <f>SUM(B27:B28)</f>
        <v>0</v>
      </c>
      <c r="C29" s="3837">
        <f>SUM(C27:C28)</f>
        <v>0</v>
      </c>
      <c r="D29" s="3836">
        <f>SUM(D27:D28)</f>
        <v>0</v>
      </c>
      <c r="E29" s="2552"/>
      <c r="F29" s="2516" t="s">
        <v>1639</v>
      </c>
      <c r="G29" s="2561">
        <f>+'Hoja de Trabajo'!H33</f>
        <v>0</v>
      </c>
      <c r="H29" s="2561">
        <f>+'Hoja de Trabajo'!I33</f>
        <v>0</v>
      </c>
      <c r="I29" s="2562">
        <f>+'Hoja de Trabajo'!J33</f>
        <v>0</v>
      </c>
      <c r="M29" s="2537" t="s">
        <v>1652</v>
      </c>
      <c r="N29" s="2571" t="e">
        <f t="shared" ref="N29:AC29" si="6">+N7/-N17</f>
        <v>#DIV/0!</v>
      </c>
      <c r="O29" s="2571" t="e">
        <f t="shared" si="6"/>
        <v>#DIV/0!</v>
      </c>
      <c r="P29" s="2571" t="e">
        <f t="shared" si="6"/>
        <v>#DIV/0!</v>
      </c>
      <c r="Q29" s="2571" t="e">
        <f t="shared" si="6"/>
        <v>#DIV/0!</v>
      </c>
      <c r="R29" s="2571" t="e">
        <f t="shared" si="6"/>
        <v>#DIV/0!</v>
      </c>
      <c r="S29" s="2571" t="e">
        <f t="shared" si="6"/>
        <v>#DIV/0!</v>
      </c>
      <c r="T29" s="2571" t="e">
        <f t="shared" si="6"/>
        <v>#DIV/0!</v>
      </c>
      <c r="U29" s="2571" t="e">
        <f t="shared" si="6"/>
        <v>#DIV/0!</v>
      </c>
      <c r="V29" s="2571" t="e">
        <f t="shared" si="6"/>
        <v>#DIV/0!</v>
      </c>
      <c r="W29" s="2571" t="e">
        <f t="shared" si="6"/>
        <v>#DIV/0!</v>
      </c>
      <c r="X29" s="2571" t="e">
        <f t="shared" si="6"/>
        <v>#DIV/0!</v>
      </c>
      <c r="Y29" s="2571" t="e">
        <f t="shared" si="6"/>
        <v>#DIV/0!</v>
      </c>
      <c r="Z29" s="2571" t="e">
        <f t="shared" si="6"/>
        <v>#DIV/0!</v>
      </c>
      <c r="AA29" s="2571" t="e">
        <f t="shared" si="6"/>
        <v>#DIV/0!</v>
      </c>
      <c r="AB29" s="2571" t="e">
        <f t="shared" si="6"/>
        <v>#DIV/0!</v>
      </c>
      <c r="AC29" s="2571" t="e">
        <f t="shared" si="6"/>
        <v>#DIV/0!</v>
      </c>
    </row>
    <row r="30" spans="1:29" ht="28">
      <c r="A30" s="2556" t="s">
        <v>763</v>
      </c>
      <c r="B30" s="3835">
        <f>B26+B29</f>
        <v>0</v>
      </c>
      <c r="C30" s="3835">
        <f>C26+C29</f>
        <v>0</v>
      </c>
      <c r="D30" s="3834">
        <f>D26+D29</f>
        <v>0</v>
      </c>
      <c r="E30" s="2552"/>
      <c r="F30" s="2551" t="s">
        <v>1641</v>
      </c>
      <c r="G30" s="2552"/>
      <c r="H30" s="2552"/>
      <c r="I30" s="2553"/>
      <c r="M30" s="2600" t="s">
        <v>1657</v>
      </c>
      <c r="N30" s="2571" t="e">
        <f t="shared" ref="N30:AC30" si="7">+N13/(-N17-N18)</f>
        <v>#DIV/0!</v>
      </c>
      <c r="O30" s="2571" t="e">
        <f t="shared" si="7"/>
        <v>#DIV/0!</v>
      </c>
      <c r="P30" s="2571" t="e">
        <f t="shared" si="7"/>
        <v>#DIV/0!</v>
      </c>
      <c r="Q30" s="2571" t="e">
        <f t="shared" si="7"/>
        <v>#DIV/0!</v>
      </c>
      <c r="R30" s="2571" t="e">
        <f t="shared" si="7"/>
        <v>#DIV/0!</v>
      </c>
      <c r="S30" s="2571" t="e">
        <f t="shared" si="7"/>
        <v>#DIV/0!</v>
      </c>
      <c r="T30" s="2571" t="e">
        <f t="shared" si="7"/>
        <v>#DIV/0!</v>
      </c>
      <c r="U30" s="2571" t="e">
        <f t="shared" si="7"/>
        <v>#DIV/0!</v>
      </c>
      <c r="V30" s="2571" t="e">
        <f t="shared" si="7"/>
        <v>#DIV/0!</v>
      </c>
      <c r="W30" s="2571" t="e">
        <f t="shared" si="7"/>
        <v>#DIV/0!</v>
      </c>
      <c r="X30" s="2571" t="e">
        <f t="shared" si="7"/>
        <v>#DIV/0!</v>
      </c>
      <c r="Y30" s="2571" t="e">
        <f t="shared" si="7"/>
        <v>#DIV/0!</v>
      </c>
      <c r="Z30" s="2571" t="e">
        <f t="shared" si="7"/>
        <v>#DIV/0!</v>
      </c>
      <c r="AA30" s="2571" t="e">
        <f t="shared" si="7"/>
        <v>#DIV/0!</v>
      </c>
      <c r="AB30" s="2571" t="e">
        <f t="shared" si="7"/>
        <v>#DIV/0!</v>
      </c>
      <c r="AC30" s="2571" t="e">
        <f t="shared" si="7"/>
        <v>#DIV/0!</v>
      </c>
    </row>
    <row r="31" spans="1:29" ht="28">
      <c r="A31" s="2551" t="s">
        <v>764</v>
      </c>
      <c r="B31" s="3833"/>
      <c r="C31" s="3833"/>
      <c r="D31" s="3832"/>
      <c r="E31" s="2552"/>
      <c r="F31" s="2516" t="s">
        <v>2599</v>
      </c>
      <c r="G31" s="2554">
        <f>IFERROR(B30/B20,0)</f>
        <v>0</v>
      </c>
      <c r="H31" s="2554">
        <f>IFERROR(C30/C20,0)</f>
        <v>0</v>
      </c>
      <c r="I31" s="2555">
        <f>IFERROR(D30/D20,0)</f>
        <v>0</v>
      </c>
      <c r="M31" s="2600" t="s">
        <v>1663</v>
      </c>
      <c r="N31" s="3877"/>
      <c r="O31" s="3877"/>
      <c r="P31" s="3877"/>
      <c r="Q31" s="2499"/>
      <c r="R31" s="2618"/>
      <c r="S31" s="2618"/>
      <c r="T31" s="2618"/>
      <c r="U31" s="2618"/>
      <c r="V31" s="2618"/>
      <c r="W31" s="2618"/>
      <c r="X31" s="2618"/>
      <c r="Y31" s="2618"/>
      <c r="Z31" s="2618"/>
      <c r="AA31" s="2618"/>
      <c r="AB31" s="2618"/>
      <c r="AC31" s="2618"/>
    </row>
    <row r="32" spans="1:29" ht="27.5">
      <c r="A32" s="2516" t="s">
        <v>1645</v>
      </c>
      <c r="B32" s="3831">
        <f>IF($F$2="Dolares",('Hoja de Trabajo'!C36)*$B$1,'Hoja de Trabajo'!C36)</f>
        <v>0</v>
      </c>
      <c r="C32" s="3831">
        <f>IF($F$2="Dolares",('Hoja de Trabajo'!D36)*$B$1,'Hoja de Trabajo'!D36)</f>
        <v>0</v>
      </c>
      <c r="D32" s="3848">
        <f>IF($F$2="Dolares",('Hoja de Trabajo'!E36)*$B$1,'Hoja de Trabajo'!E36)</f>
        <v>0</v>
      </c>
      <c r="E32" s="2552"/>
      <c r="F32" s="2516" t="s">
        <v>2598</v>
      </c>
      <c r="G32" s="2554">
        <f>IFERROR((B22+B27)/B20,0)</f>
        <v>0</v>
      </c>
      <c r="H32" s="2554">
        <f>IFERROR((C22+C27)/C20,0)</f>
        <v>0</v>
      </c>
      <c r="I32" s="2555">
        <f>IFERROR((D22+D27)/D20,0)</f>
        <v>0</v>
      </c>
      <c r="M32" s="3876" t="s">
        <v>1667</v>
      </c>
      <c r="N32" s="3875"/>
      <c r="O32" s="3875"/>
      <c r="P32" s="3875"/>
      <c r="Q32" s="2499"/>
      <c r="R32" s="2499"/>
      <c r="S32" s="2499"/>
      <c r="T32" s="2499"/>
      <c r="U32" s="2499"/>
      <c r="V32" s="2499"/>
      <c r="W32" s="2499"/>
      <c r="X32" s="2499"/>
      <c r="Y32" s="2499"/>
      <c r="Z32" s="2499"/>
      <c r="AA32" s="2499"/>
      <c r="AB32" s="2499"/>
      <c r="AC32" s="2499"/>
    </row>
    <row r="33" spans="1:29" ht="27.5">
      <c r="A33" s="2578" t="s">
        <v>1651</v>
      </c>
      <c r="B33" s="3831">
        <f>IF($F$2="Dolares",('Hoja de Trabajo'!C37)*$B$1,'Hoja de Trabajo'!C37)</f>
        <v>0</v>
      </c>
      <c r="C33" s="3831">
        <f>IF($F$2="Dolares",('Hoja de Trabajo'!D37)*$B$1,'Hoja de Trabajo'!D37)</f>
        <v>0</v>
      </c>
      <c r="D33" s="3848">
        <f>IF($F$2="Dolares",('Hoja de Trabajo'!E37)*$B$1,'Hoja de Trabajo'!E37)</f>
        <v>0</v>
      </c>
      <c r="E33" s="3887"/>
      <c r="F33" s="2578" t="s">
        <v>915</v>
      </c>
      <c r="G33" s="2554">
        <f>IFERROR(($B$22+$B$27)/((G6/$B$2)*12),0)</f>
        <v>0</v>
      </c>
      <c r="H33" s="2554">
        <f>IFERROR(($C$22+$C$27)/((H6/$C$2)*12),)</f>
        <v>0</v>
      </c>
      <c r="I33" s="2555">
        <f>IFERROR(($D$22+$D$27)/((I6/$D$2)*12),0)</f>
        <v>0</v>
      </c>
      <c r="M33" s="2600" t="s">
        <v>1670</v>
      </c>
      <c r="N33" s="2571"/>
      <c r="O33" s="2571"/>
      <c r="P33" s="2571"/>
    </row>
    <row r="34" spans="1:29" ht="31">
      <c r="A34" s="2516" t="s">
        <v>1656</v>
      </c>
      <c r="B34" s="3831">
        <f>IF($F$2="Dolares",('Hoja de Trabajo'!C38)*$B$1,'Hoja de Trabajo'!C38)</f>
        <v>0</v>
      </c>
      <c r="C34" s="3831">
        <f>IF($F$2="Dolares",('Hoja de Trabajo'!D38)*$B$1,'Hoja de Trabajo'!D38)</f>
        <v>0</v>
      </c>
      <c r="D34" s="3848">
        <f>IF($F$2="Dolares",('Hoja de Trabajo'!E38)*$B$1,'Hoja de Trabajo'!E38)</f>
        <v>0</v>
      </c>
      <c r="E34" s="2552"/>
      <c r="F34" s="2516" t="s">
        <v>910</v>
      </c>
      <c r="G34" s="2598">
        <f>IFERROR(($B$22+$B$27)/((G9/$B$2)*12),0)</f>
        <v>0</v>
      </c>
      <c r="H34" s="2598">
        <f>IFERROR(($C$22+$C$27)/((H9/$C$2)*12),0)</f>
        <v>0</v>
      </c>
      <c r="I34" s="2599">
        <f>IFERROR(($D$22+$D$27)/((I9/$D$2)*12),0)</f>
        <v>0</v>
      </c>
      <c r="M34" s="3857" t="s">
        <v>2627</v>
      </c>
    </row>
    <row r="35" spans="1:29" ht="27.5">
      <c r="A35" s="2516" t="s">
        <v>1662</v>
      </c>
      <c r="B35" s="3831">
        <f>IF($F$2="Dolares",('Hoja de Trabajo'!C39)*$B$1,'Hoja de Trabajo'!C39)</f>
        <v>0</v>
      </c>
      <c r="C35" s="3831">
        <f>IF($F$2="Dolares",('Hoja de Trabajo'!D39)*$B$1,'Hoja de Trabajo'!D39)</f>
        <v>0</v>
      </c>
      <c r="D35" s="3848">
        <f>IF($F$2="Dolares",('Hoja de Trabajo'!E39)*$B$1,'Hoja de Trabajo'!E39)</f>
        <v>0</v>
      </c>
      <c r="E35" s="2552"/>
      <c r="F35" s="2516" t="s">
        <v>2622</v>
      </c>
      <c r="G35" s="2598">
        <f>IFERROR(($B$27)/((G9/$B$2)*12),0)</f>
        <v>0</v>
      </c>
      <c r="H35" s="2598">
        <f>IFERROR(($C$27)/((H9/$C$2)*12),0)</f>
        <v>0</v>
      </c>
      <c r="I35" s="2599">
        <f>IFERROR(($D$27)/((I9/$D$2)*12),0)</f>
        <v>0</v>
      </c>
    </row>
    <row r="36" spans="1:29" ht="28">
      <c r="A36" s="2516" t="s">
        <v>1611</v>
      </c>
      <c r="B36" s="3831">
        <f>IF($F$2="Dolares",('Hoja de Trabajo'!C40)*$B$1,'Hoja de Trabajo'!C40)</f>
        <v>0</v>
      </c>
      <c r="C36" s="3831">
        <f>IF($F$2="Dolares",('Hoja de Trabajo'!D40)*$B$1,'Hoja de Trabajo'!D40)</f>
        <v>0</v>
      </c>
      <c r="D36" s="3848">
        <f>IF($F$2="Dolares",('Hoja de Trabajo'!E40)*$B$1,'Hoja de Trabajo'!E40)</f>
        <v>0</v>
      </c>
      <c r="E36" s="2552"/>
      <c r="F36" s="2551" t="s">
        <v>1666</v>
      </c>
      <c r="G36" s="2598"/>
      <c r="H36" s="2598"/>
      <c r="I36" s="2599"/>
      <c r="M36" s="3572" t="s">
        <v>1595</v>
      </c>
      <c r="N36" s="2524">
        <f t="shared" ref="N36:AC36" si="8">+N4</f>
        <v>2020</v>
      </c>
      <c r="O36" s="2524">
        <f t="shared" si="8"/>
        <v>2021</v>
      </c>
      <c r="P36" s="2524">
        <f t="shared" si="8"/>
        <v>2022</v>
      </c>
      <c r="Q36" s="2524">
        <f t="shared" si="8"/>
        <v>2023</v>
      </c>
      <c r="R36" s="2524">
        <f t="shared" si="8"/>
        <v>2024</v>
      </c>
      <c r="S36" s="2524">
        <f t="shared" si="8"/>
        <v>2025</v>
      </c>
      <c r="T36" s="2524">
        <f t="shared" si="8"/>
        <v>2026</v>
      </c>
      <c r="U36" s="2524">
        <f t="shared" si="8"/>
        <v>2027</v>
      </c>
      <c r="V36" s="2524">
        <f t="shared" si="8"/>
        <v>2028</v>
      </c>
      <c r="W36" s="2524">
        <f t="shared" si="8"/>
        <v>2029</v>
      </c>
      <c r="X36" s="2524">
        <f t="shared" si="8"/>
        <v>2030</v>
      </c>
      <c r="Y36" s="2524">
        <f t="shared" si="8"/>
        <v>2031</v>
      </c>
      <c r="Z36" s="2524">
        <f t="shared" si="8"/>
        <v>2032</v>
      </c>
      <c r="AA36" s="2524">
        <f t="shared" si="8"/>
        <v>2033</v>
      </c>
      <c r="AB36" s="2524">
        <f t="shared" si="8"/>
        <v>2034</v>
      </c>
      <c r="AC36" s="2524">
        <f t="shared" si="8"/>
        <v>2035</v>
      </c>
    </row>
    <row r="37" spans="1:29" ht="27.5">
      <c r="A37" s="2633"/>
      <c r="B37" s="3829"/>
      <c r="C37" s="3829"/>
      <c r="D37" s="3828"/>
      <c r="E37" s="2552"/>
      <c r="F37" s="2516" t="s">
        <v>1669</v>
      </c>
      <c r="G37" s="2598">
        <f>IFERROR(G9/(G10*-1),0)</f>
        <v>0</v>
      </c>
      <c r="H37" s="2598">
        <f>IFERROR(H9/(H10*-1),0)</f>
        <v>0</v>
      </c>
      <c r="I37" s="2599">
        <f>IFERROR(I9/(I10*-1),0)</f>
        <v>0</v>
      </c>
      <c r="M37" s="2531" t="s">
        <v>1596</v>
      </c>
      <c r="N37" s="3877">
        <f>+N5*'Resumen de Cifras'!$C$1</f>
        <v>0</v>
      </c>
      <c r="O37" s="3877">
        <f>+O5*'Resumen de Cifras'!$C$1</f>
        <v>0</v>
      </c>
      <c r="P37" s="3877">
        <f>+P5*'Resumen de Cifras'!$C$1</f>
        <v>0</v>
      </c>
      <c r="Q37" s="3877">
        <f>+Q5*'Resumen de Cifras'!$C$1</f>
        <v>0</v>
      </c>
      <c r="R37" s="3877">
        <f>+R5*'Resumen de Cifras'!$C$1</f>
        <v>0</v>
      </c>
      <c r="S37" s="3877">
        <f>+S5*'Resumen de Cifras'!$C$1</f>
        <v>0</v>
      </c>
      <c r="T37" s="3877">
        <f>+T5*'Resumen de Cifras'!$C$1</f>
        <v>0</v>
      </c>
      <c r="U37" s="3877">
        <f>+U5*'Resumen de Cifras'!$C$1</f>
        <v>0</v>
      </c>
      <c r="V37" s="3877">
        <f>+V5*'Resumen de Cifras'!$C$1</f>
        <v>0</v>
      </c>
      <c r="W37" s="3877">
        <f>+W5*'Resumen de Cifras'!$C$1</f>
        <v>0</v>
      </c>
      <c r="X37" s="3877">
        <f>+X5*'Resumen de Cifras'!$C$1</f>
        <v>0</v>
      </c>
      <c r="Y37" s="3877">
        <f>+Y5*'Resumen de Cifras'!$C$1</f>
        <v>0</v>
      </c>
      <c r="Z37" s="3877">
        <f>+Z5*'Resumen de Cifras'!$C$1</f>
        <v>0</v>
      </c>
      <c r="AA37" s="3877">
        <f>+AA5*'Resumen de Cifras'!$C$1</f>
        <v>0</v>
      </c>
      <c r="AB37" s="3877">
        <f>+AB5*'Resumen de Cifras'!$C$1</f>
        <v>0</v>
      </c>
      <c r="AC37" s="3877">
        <f>+AC5*'Resumen de Cifras'!$C$1</f>
        <v>0</v>
      </c>
    </row>
    <row r="38" spans="1:29" ht="28">
      <c r="A38" s="2642" t="s">
        <v>793</v>
      </c>
      <c r="B38" s="3826">
        <f>SUM(B32:B36)</f>
        <v>0</v>
      </c>
      <c r="C38" s="3826">
        <f>SUM(C32:C36)</f>
        <v>0</v>
      </c>
      <c r="D38" s="3825">
        <f>SUM(D32:D36)</f>
        <v>0</v>
      </c>
      <c r="E38" s="3886"/>
      <c r="F38" s="2644" t="s">
        <v>2528</v>
      </c>
      <c r="G38" s="3885" t="s">
        <v>1260</v>
      </c>
      <c r="H38" s="3885" t="str">
        <f>IFERROR(VLOOKUP('Resumen de Cifras'!$F$38,Indicadores!$A$2:$F$41,MATCH(YEAR('Resumen de Cifras'!H$5),Indicadores!$A$19:$F$19,0),FALSE),"N/A")</f>
        <v>N/A</v>
      </c>
      <c r="I38" s="3884" t="str">
        <f>IFERROR(VLOOKUP('Resumen de Cifras'!$F$38,Indicadores!$A$2:$F$41,MATCH(YEAR('Resumen de Cifras'!I$5),Indicadores!$A$19:$F$19,0),FALSE),"N/A")</f>
        <v>N/A</v>
      </c>
      <c r="M38" s="2535" t="s">
        <v>1597</v>
      </c>
      <c r="N38" s="2536">
        <f t="shared" ref="N38:AC38" si="9">+N6</f>
        <v>0</v>
      </c>
      <c r="O38" s="2536">
        <f t="shared" si="9"/>
        <v>0</v>
      </c>
      <c r="P38" s="2536">
        <f t="shared" si="9"/>
        <v>0</v>
      </c>
      <c r="Q38" s="2536">
        <f t="shared" si="9"/>
        <v>0</v>
      </c>
      <c r="R38" s="2536">
        <f t="shared" si="9"/>
        <v>0</v>
      </c>
      <c r="S38" s="2536">
        <f t="shared" si="9"/>
        <v>0</v>
      </c>
      <c r="T38" s="2536">
        <f t="shared" si="9"/>
        <v>0</v>
      </c>
      <c r="U38" s="2536">
        <f t="shared" si="9"/>
        <v>0</v>
      </c>
      <c r="V38" s="2536">
        <f t="shared" si="9"/>
        <v>0</v>
      </c>
      <c r="W38" s="2536">
        <f t="shared" si="9"/>
        <v>0</v>
      </c>
      <c r="X38" s="2536">
        <f t="shared" si="9"/>
        <v>0</v>
      </c>
      <c r="Y38" s="2536">
        <f t="shared" si="9"/>
        <v>0</v>
      </c>
      <c r="Z38" s="2536">
        <f t="shared" si="9"/>
        <v>0</v>
      </c>
      <c r="AA38" s="2536">
        <f t="shared" si="9"/>
        <v>0</v>
      </c>
      <c r="AB38" s="2536">
        <f t="shared" si="9"/>
        <v>0</v>
      </c>
      <c r="AC38" s="2536">
        <f t="shared" si="9"/>
        <v>0</v>
      </c>
    </row>
    <row r="39" spans="1:29" ht="28" thickBot="1">
      <c r="M39" s="2537" t="s">
        <v>881</v>
      </c>
      <c r="N39" s="3877">
        <f>+N7*'Resumen de Cifras'!$C$1</f>
        <v>0</v>
      </c>
      <c r="O39" s="3877">
        <f>+O7*'Resumen de Cifras'!$C$1</f>
        <v>0</v>
      </c>
      <c r="P39" s="3877">
        <f>+P7*'Resumen de Cifras'!$C$1</f>
        <v>0</v>
      </c>
      <c r="Q39" s="3877">
        <f>+Q7*'Resumen de Cifras'!$C$1</f>
        <v>0</v>
      </c>
      <c r="R39" s="3877">
        <f>+R7*'Resumen de Cifras'!$C$1</f>
        <v>0</v>
      </c>
      <c r="S39" s="3877">
        <f>+S7*'Resumen de Cifras'!$C$1</f>
        <v>0</v>
      </c>
      <c r="T39" s="3877">
        <f>+T7*'Resumen de Cifras'!$C$1</f>
        <v>0</v>
      </c>
      <c r="U39" s="3877">
        <f>+U7*'Resumen de Cifras'!$C$1</f>
        <v>0</v>
      </c>
      <c r="V39" s="3877">
        <f>+V7*'Resumen de Cifras'!$C$1</f>
        <v>0</v>
      </c>
      <c r="W39" s="3877">
        <f>+W7*'Resumen de Cifras'!$C$1</f>
        <v>0</v>
      </c>
      <c r="X39" s="3877">
        <f>+X7*'Resumen de Cifras'!$C$1</f>
        <v>0</v>
      </c>
      <c r="Y39" s="3877">
        <f>+Y7*'Resumen de Cifras'!$C$1</f>
        <v>0</v>
      </c>
      <c r="Z39" s="3877">
        <f>+Z7*'Resumen de Cifras'!$C$1</f>
        <v>0</v>
      </c>
      <c r="AA39" s="3877">
        <f>+AA7*'Resumen de Cifras'!$C$1</f>
        <v>0</v>
      </c>
      <c r="AB39" s="3877">
        <f>+AB7*'Resumen de Cifras'!$C$1</f>
        <v>0</v>
      </c>
      <c r="AC39" s="3877">
        <f>+AC7*'Resumen de Cifras'!$C$1</f>
        <v>0</v>
      </c>
    </row>
    <row r="40" spans="1:29" ht="31.5" thickBot="1">
      <c r="A40" s="3822" t="s">
        <v>2597</v>
      </c>
      <c r="B40" s="3821">
        <f>+B20-B30-B38</f>
        <v>0</v>
      </c>
      <c r="C40" s="3821">
        <f>+C20-C30-C38</f>
        <v>0</v>
      </c>
      <c r="D40" s="3820">
        <f>+D20-D30-D38</f>
        <v>0</v>
      </c>
      <c r="M40" s="2535" t="s">
        <v>882</v>
      </c>
      <c r="N40" s="2536">
        <f t="shared" ref="N40:AC40" si="10">+N8</f>
        <v>0</v>
      </c>
      <c r="O40" s="2536">
        <f t="shared" si="10"/>
        <v>0</v>
      </c>
      <c r="P40" s="2536">
        <f t="shared" si="10"/>
        <v>0</v>
      </c>
      <c r="Q40" s="2536">
        <f t="shared" si="10"/>
        <v>0</v>
      </c>
      <c r="R40" s="2536">
        <f t="shared" si="10"/>
        <v>0</v>
      </c>
      <c r="S40" s="2536">
        <f t="shared" si="10"/>
        <v>0</v>
      </c>
      <c r="T40" s="2536">
        <f t="shared" si="10"/>
        <v>0</v>
      </c>
      <c r="U40" s="2536">
        <f t="shared" si="10"/>
        <v>0</v>
      </c>
      <c r="V40" s="2536">
        <f t="shared" si="10"/>
        <v>0</v>
      </c>
      <c r="W40" s="2536">
        <f t="shared" si="10"/>
        <v>0</v>
      </c>
      <c r="X40" s="2536">
        <f t="shared" si="10"/>
        <v>0</v>
      </c>
      <c r="Y40" s="2536">
        <f t="shared" si="10"/>
        <v>0</v>
      </c>
      <c r="Z40" s="2536">
        <f t="shared" si="10"/>
        <v>0</v>
      </c>
      <c r="AA40" s="2536">
        <f t="shared" si="10"/>
        <v>0</v>
      </c>
      <c r="AB40" s="2536">
        <f t="shared" si="10"/>
        <v>0</v>
      </c>
      <c r="AC40" s="2536">
        <f t="shared" si="10"/>
        <v>0</v>
      </c>
    </row>
    <row r="41" spans="1:29" ht="31.5" thickBot="1">
      <c r="A41" s="3857"/>
      <c r="B41" s="3857"/>
      <c r="C41" s="3857"/>
      <c r="D41" s="3857"/>
      <c r="M41" s="2537" t="s">
        <v>1602</v>
      </c>
      <c r="N41" s="3877">
        <f>+N9*'Resumen de Cifras'!$C$1</f>
        <v>0</v>
      </c>
      <c r="O41" s="3877">
        <f>+O9*'Resumen de Cifras'!$C$1</f>
        <v>0</v>
      </c>
      <c r="P41" s="3877">
        <f>+P9*'Resumen de Cifras'!$C$1</f>
        <v>0</v>
      </c>
      <c r="Q41" s="3877">
        <f>+Q9*'Resumen de Cifras'!$C$1</f>
        <v>0</v>
      </c>
      <c r="R41" s="3877">
        <f>+R9*'Resumen de Cifras'!$C$1</f>
        <v>0</v>
      </c>
      <c r="S41" s="3877">
        <f>+S9*'Resumen de Cifras'!$C$1</f>
        <v>0</v>
      </c>
      <c r="T41" s="3877">
        <f>+T9*'Resumen de Cifras'!$C$1</f>
        <v>0</v>
      </c>
      <c r="U41" s="3877">
        <f>+U9*'Resumen de Cifras'!$C$1</f>
        <v>0</v>
      </c>
      <c r="V41" s="3877">
        <f>+V9*'Resumen de Cifras'!$C$1</f>
        <v>0</v>
      </c>
      <c r="W41" s="3877">
        <f>+W9*'Resumen de Cifras'!$C$1</f>
        <v>0</v>
      </c>
      <c r="X41" s="3877">
        <f>+X9*'Resumen de Cifras'!$C$1</f>
        <v>0</v>
      </c>
      <c r="Y41" s="3877">
        <f>+Y9*'Resumen de Cifras'!$C$1</f>
        <v>0</v>
      </c>
      <c r="Z41" s="3877">
        <f>+Z9*'Resumen de Cifras'!$C$1</f>
        <v>0</v>
      </c>
      <c r="AA41" s="3877">
        <f>+AA9*'Resumen de Cifras'!$C$1</f>
        <v>0</v>
      </c>
      <c r="AB41" s="3877">
        <f>+AB9*'Resumen de Cifras'!$C$1</f>
        <v>0</v>
      </c>
      <c r="AC41" s="3877">
        <f>+AC9*'Resumen de Cifras'!$C$1</f>
        <v>0</v>
      </c>
    </row>
    <row r="42" spans="1:29" ht="34" thickBot="1">
      <c r="A42" s="3883" t="s">
        <v>2626</v>
      </c>
      <c r="B42" s="3882">
        <f>+D2</f>
        <v>12</v>
      </c>
      <c r="C42" s="3881"/>
      <c r="D42" s="3880">
        <f>+B42</f>
        <v>12</v>
      </c>
      <c r="I42" s="3879"/>
      <c r="M42" s="2537" t="s">
        <v>811</v>
      </c>
      <c r="N42" s="3877">
        <f>+N10*'Resumen de Cifras'!$C$1</f>
        <v>0</v>
      </c>
      <c r="O42" s="3877">
        <f>+O10*'Resumen de Cifras'!$C$1</f>
        <v>0</v>
      </c>
      <c r="P42" s="3877">
        <f>+P10*'Resumen de Cifras'!$C$1</f>
        <v>0</v>
      </c>
      <c r="Q42" s="3877">
        <f>+Q10*'Resumen de Cifras'!$C$1</f>
        <v>0</v>
      </c>
      <c r="R42" s="3877">
        <f>+R10*'Resumen de Cifras'!$C$1</f>
        <v>0</v>
      </c>
      <c r="S42" s="3877">
        <f>+S10*'Resumen de Cifras'!$C$1</f>
        <v>0</v>
      </c>
      <c r="T42" s="3877">
        <f>+T10*'Resumen de Cifras'!$C$1</f>
        <v>0</v>
      </c>
      <c r="U42" s="3877">
        <f>+U10*'Resumen de Cifras'!$C$1</f>
        <v>0</v>
      </c>
      <c r="V42" s="3877">
        <f>+V10*'Resumen de Cifras'!$C$1</f>
        <v>0</v>
      </c>
      <c r="W42" s="3877">
        <f>+W10*'Resumen de Cifras'!$C$1</f>
        <v>0</v>
      </c>
      <c r="X42" s="3877">
        <f>+X10*'Resumen de Cifras'!$C$1</f>
        <v>0</v>
      </c>
      <c r="Y42" s="3877">
        <f>+Y10*'Resumen de Cifras'!$C$1</f>
        <v>0</v>
      </c>
      <c r="Z42" s="3877">
        <f>+Z10*'Resumen de Cifras'!$C$1</f>
        <v>0</v>
      </c>
      <c r="AA42" s="3877">
        <f>+AA10*'Resumen de Cifras'!$C$1</f>
        <v>0</v>
      </c>
      <c r="AB42" s="3877">
        <f>+AB10*'Resumen de Cifras'!$C$1</f>
        <v>0</v>
      </c>
      <c r="AC42" s="3877">
        <f>+AC10*'Resumen de Cifras'!$C$1</f>
        <v>0</v>
      </c>
    </row>
    <row r="43" spans="1:29" ht="27.5">
      <c r="M43" s="2537" t="s">
        <v>2625</v>
      </c>
      <c r="N43" s="3877">
        <f>+N11*'Resumen de Cifras'!$C$1</f>
        <v>0</v>
      </c>
      <c r="O43" s="3877">
        <f>+O11*'Resumen de Cifras'!$C$1</f>
        <v>0</v>
      </c>
      <c r="P43" s="3877">
        <f>+P11*'Resumen de Cifras'!$C$1</f>
        <v>0</v>
      </c>
      <c r="Q43" s="3877">
        <f>+Q11*'Resumen de Cifras'!$C$1</f>
        <v>0</v>
      </c>
      <c r="R43" s="3877">
        <f>+R11*'Resumen de Cifras'!$C$1</f>
        <v>0</v>
      </c>
      <c r="S43" s="3877">
        <f>+S11*'Resumen de Cifras'!$C$1</f>
        <v>0</v>
      </c>
      <c r="T43" s="3877">
        <f>+T11*'Resumen de Cifras'!$C$1</f>
        <v>0</v>
      </c>
      <c r="U43" s="3877">
        <f>+U11*'Resumen de Cifras'!$C$1</f>
        <v>0</v>
      </c>
      <c r="V43" s="3877">
        <f>+V11*'Resumen de Cifras'!$C$1</f>
        <v>0</v>
      </c>
      <c r="W43" s="3877">
        <f>+W11*'Resumen de Cifras'!$C$1</f>
        <v>0</v>
      </c>
      <c r="X43" s="3877">
        <f>+X11*'Resumen de Cifras'!$C$1</f>
        <v>0</v>
      </c>
      <c r="Y43" s="3877">
        <f>+Y11*'Resumen de Cifras'!$C$1</f>
        <v>0</v>
      </c>
      <c r="Z43" s="3877">
        <f>+Z11*'Resumen de Cifras'!$C$1</f>
        <v>0</v>
      </c>
      <c r="AA43" s="3877">
        <f>+AA11*'Resumen de Cifras'!$C$1</f>
        <v>0</v>
      </c>
      <c r="AB43" s="3877">
        <f>+AB11*'Resumen de Cifras'!$C$1</f>
        <v>0</v>
      </c>
      <c r="AC43" s="3877">
        <f>+AC11*'Resumen de Cifras'!$C$1</f>
        <v>0</v>
      </c>
    </row>
    <row r="44" spans="1:29" ht="28">
      <c r="A44" s="3573" t="s">
        <v>899</v>
      </c>
      <c r="B44" s="3574"/>
      <c r="C44" s="3574"/>
      <c r="D44" s="3575"/>
      <c r="E44" s="2508"/>
      <c r="F44" s="3573" t="s">
        <v>1592</v>
      </c>
      <c r="G44" s="3574"/>
      <c r="H44" s="3574"/>
      <c r="I44" s="3575"/>
      <c r="M44" s="2537" t="s">
        <v>1608</v>
      </c>
      <c r="N44" s="3877">
        <f>+N12*'Resumen de Cifras'!$C$1</f>
        <v>0</v>
      </c>
      <c r="O44" s="3877">
        <f>+O12*'Resumen de Cifras'!$C$1</f>
        <v>0</v>
      </c>
      <c r="P44" s="3877">
        <f>+P12*'Resumen de Cifras'!$C$1</f>
        <v>0</v>
      </c>
      <c r="Q44" s="3877">
        <f>+Q12*'Resumen de Cifras'!$C$1</f>
        <v>0</v>
      </c>
      <c r="R44" s="3877">
        <f>+R12*'Resumen de Cifras'!$C$1</f>
        <v>0</v>
      </c>
      <c r="S44" s="3877">
        <f>+S12*'Resumen de Cifras'!$C$1</f>
        <v>0</v>
      </c>
      <c r="T44" s="3877">
        <f>+T12*'Resumen de Cifras'!$C$1</f>
        <v>0</v>
      </c>
      <c r="U44" s="3877">
        <f>+U12*'Resumen de Cifras'!$C$1</f>
        <v>0</v>
      </c>
      <c r="V44" s="3877">
        <f>+V12*'Resumen de Cifras'!$C$1</f>
        <v>0</v>
      </c>
      <c r="W44" s="3877">
        <f>+W12*'Resumen de Cifras'!$C$1</f>
        <v>0</v>
      </c>
      <c r="X44" s="3877">
        <f>+X12*'Resumen de Cifras'!$C$1</f>
        <v>0</v>
      </c>
      <c r="Y44" s="3877">
        <f>+Y12*'Resumen de Cifras'!$C$1</f>
        <v>0</v>
      </c>
      <c r="Z44" s="3877">
        <f>+Z12*'Resumen de Cifras'!$C$1</f>
        <v>0</v>
      </c>
      <c r="AA44" s="3877">
        <f>+AA12*'Resumen de Cifras'!$C$1</f>
        <v>0</v>
      </c>
      <c r="AB44" s="3877">
        <f>+AB12*'Resumen de Cifras'!$C$1</f>
        <v>0</v>
      </c>
      <c r="AC44" s="3877">
        <f>+AC12*'Resumen de Cifras'!$C$1</f>
        <v>0</v>
      </c>
    </row>
    <row r="45" spans="1:29" ht="28">
      <c r="A45" s="2513"/>
      <c r="B45" s="2514" t="str">
        <f>+'Hoja de Trabajo'!$C$48</f>
        <v>Jun 19</v>
      </c>
      <c r="C45" s="2514"/>
      <c r="D45" s="3575" t="str">
        <f>+'Hoja de Trabajo'!$E$48</f>
        <v>Jun 20</v>
      </c>
      <c r="E45" s="2508"/>
      <c r="F45" s="2513"/>
      <c r="G45" s="2514" t="str">
        <f>+B45</f>
        <v>Jun 19</v>
      </c>
      <c r="H45" s="2514"/>
      <c r="I45" s="3575" t="str">
        <f>+D45</f>
        <v>Jun 20</v>
      </c>
      <c r="M45" s="2549" t="s">
        <v>1610</v>
      </c>
      <c r="N45" s="3878">
        <f t="shared" ref="N45:AC45" si="11">N39+N41+N42+N43+N44</f>
        <v>0</v>
      </c>
      <c r="O45" s="3878">
        <f t="shared" si="11"/>
        <v>0</v>
      </c>
      <c r="P45" s="3878">
        <f t="shared" si="11"/>
        <v>0</v>
      </c>
      <c r="Q45" s="3878">
        <f t="shared" si="11"/>
        <v>0</v>
      </c>
      <c r="R45" s="3878">
        <f t="shared" si="11"/>
        <v>0</v>
      </c>
      <c r="S45" s="3878">
        <f t="shared" si="11"/>
        <v>0</v>
      </c>
      <c r="T45" s="3878">
        <f t="shared" si="11"/>
        <v>0</v>
      </c>
      <c r="U45" s="3878">
        <f t="shared" si="11"/>
        <v>0</v>
      </c>
      <c r="V45" s="3878">
        <f t="shared" si="11"/>
        <v>0</v>
      </c>
      <c r="W45" s="3878">
        <f t="shared" si="11"/>
        <v>0</v>
      </c>
      <c r="X45" s="3878">
        <f t="shared" si="11"/>
        <v>0</v>
      </c>
      <c r="Y45" s="3878">
        <f t="shared" si="11"/>
        <v>0</v>
      </c>
      <c r="Z45" s="3878">
        <f t="shared" si="11"/>
        <v>0</v>
      </c>
      <c r="AA45" s="3878">
        <f t="shared" si="11"/>
        <v>0</v>
      </c>
      <c r="AB45" s="3878">
        <f t="shared" si="11"/>
        <v>0</v>
      </c>
      <c r="AC45" s="3878">
        <f t="shared" si="11"/>
        <v>0</v>
      </c>
    </row>
    <row r="46" spans="1:29" ht="27.5">
      <c r="A46" s="2515" t="s">
        <v>2394</v>
      </c>
      <c r="B46" s="3854">
        <f>+C6</f>
        <v>7</v>
      </c>
      <c r="C46" s="3854"/>
      <c r="D46" s="3854">
        <f>+D6</f>
        <v>7</v>
      </c>
      <c r="E46" s="2508"/>
      <c r="F46" s="2516" t="s">
        <v>2611</v>
      </c>
      <c r="G46" s="3831">
        <f>IF($F$2="Dolares",('Hoja de Trabajo'!H49*$B$1),'Hoja de Trabajo'!H49)</f>
        <v>0</v>
      </c>
      <c r="H46" s="3831"/>
      <c r="I46" s="3848">
        <f>IF($F$2="Dolares",('Hoja de Trabajo'!J49*$B$1),'Hoja de Trabajo'!J49)</f>
        <v>0</v>
      </c>
      <c r="M46" s="2537" t="s">
        <v>1613</v>
      </c>
      <c r="N46" s="3877">
        <f>+N14*'Resumen de Cifras'!$C$1</f>
        <v>0</v>
      </c>
      <c r="O46" s="3877">
        <f>+O14*'Resumen de Cifras'!$C$1</f>
        <v>0</v>
      </c>
      <c r="P46" s="3877">
        <f>+P14*'Resumen de Cifras'!$C$1</f>
        <v>0</v>
      </c>
      <c r="Q46" s="3877">
        <f>+Q14*'Resumen de Cifras'!$C$1</f>
        <v>0</v>
      </c>
      <c r="R46" s="3877">
        <f>+R14*'Resumen de Cifras'!$C$1</f>
        <v>0</v>
      </c>
      <c r="S46" s="3877">
        <f>+S14*'Resumen de Cifras'!$C$1</f>
        <v>0</v>
      </c>
      <c r="T46" s="3877">
        <f>+T14*'Resumen de Cifras'!$C$1</f>
        <v>0</v>
      </c>
      <c r="U46" s="3877">
        <f>+U14*'Resumen de Cifras'!$C$1</f>
        <v>0</v>
      </c>
      <c r="V46" s="3877">
        <f>+V14*'Resumen de Cifras'!$C$1</f>
        <v>0</v>
      </c>
      <c r="W46" s="3877">
        <f>+W14*'Resumen de Cifras'!$C$1</f>
        <v>0</v>
      </c>
      <c r="X46" s="3877">
        <f>+X14*'Resumen de Cifras'!$C$1</f>
        <v>0</v>
      </c>
      <c r="Y46" s="3877">
        <f>+Y14*'Resumen de Cifras'!$C$1</f>
        <v>0</v>
      </c>
      <c r="Z46" s="3877">
        <f>+Z14*'Resumen de Cifras'!$C$1</f>
        <v>0</v>
      </c>
      <c r="AA46" s="3877">
        <f>+AA14*'Resumen de Cifras'!$C$1</f>
        <v>0</v>
      </c>
      <c r="AB46" s="3877">
        <f>+AB14*'Resumen de Cifras'!$C$1</f>
        <v>0</v>
      </c>
      <c r="AC46" s="3877">
        <f>+AC14*'Resumen de Cifras'!$C$1</f>
        <v>0</v>
      </c>
    </row>
    <row r="47" spans="1:29" ht="28">
      <c r="A47" s="2520" t="s">
        <v>541</v>
      </c>
      <c r="B47" s="2521"/>
      <c r="C47" s="2521"/>
      <c r="D47" s="2522"/>
      <c r="E47" s="2508"/>
      <c r="F47" s="2516" t="s">
        <v>1594</v>
      </c>
      <c r="G47" s="3831">
        <f>IF($F$2="Dolares",('Hoja de Trabajo'!H50*$B$1),'Hoja de Trabajo'!H50)</f>
        <v>0</v>
      </c>
      <c r="H47" s="3831"/>
      <c r="I47" s="3848">
        <f>IF($F$2="Dolares",('Hoja de Trabajo'!J50*$B$1),'Hoja de Trabajo'!J50)</f>
        <v>0</v>
      </c>
      <c r="M47" s="2537" t="s">
        <v>1615</v>
      </c>
      <c r="N47" s="3877">
        <f>+N15*'Resumen de Cifras'!$C$1</f>
        <v>0</v>
      </c>
      <c r="O47" s="3877">
        <f>+O15*'Resumen de Cifras'!$C$1</f>
        <v>0</v>
      </c>
      <c r="P47" s="3877">
        <f>+P15*'Resumen de Cifras'!$C$1</f>
        <v>0</v>
      </c>
      <c r="Q47" s="3877">
        <f>+Q15*'Resumen de Cifras'!$C$1</f>
        <v>0</v>
      </c>
      <c r="R47" s="3877">
        <f>+R15*'Resumen de Cifras'!$C$1</f>
        <v>0</v>
      </c>
      <c r="S47" s="3877">
        <f>+S15*'Resumen de Cifras'!$C$1</f>
        <v>0</v>
      </c>
      <c r="T47" s="3877">
        <f>+T15*'Resumen de Cifras'!$C$1</f>
        <v>0</v>
      </c>
      <c r="U47" s="3877">
        <f>+U15*'Resumen de Cifras'!$C$1</f>
        <v>0</v>
      </c>
      <c r="V47" s="3877">
        <f>+V15*'Resumen de Cifras'!$C$1</f>
        <v>0</v>
      </c>
      <c r="W47" s="3877">
        <f>+W15*'Resumen de Cifras'!$C$1</f>
        <v>0</v>
      </c>
      <c r="X47" s="3877">
        <f>+X15*'Resumen de Cifras'!$C$1</f>
        <v>0</v>
      </c>
      <c r="Y47" s="3877">
        <f>+Y15*'Resumen de Cifras'!$C$1</f>
        <v>0</v>
      </c>
      <c r="Z47" s="3877">
        <f>+Z15*'Resumen de Cifras'!$C$1</f>
        <v>0</v>
      </c>
      <c r="AA47" s="3877">
        <f>+AA15*'Resumen de Cifras'!$C$1</f>
        <v>0</v>
      </c>
      <c r="AB47" s="3877">
        <f>+AB15*'Resumen de Cifras'!$C$1</f>
        <v>0</v>
      </c>
      <c r="AC47" s="3877">
        <f>+AC15*'Resumen de Cifras'!$C$1</f>
        <v>0</v>
      </c>
    </row>
    <row r="48" spans="1:29" ht="28">
      <c r="A48" s="2516" t="s">
        <v>543</v>
      </c>
      <c r="B48" s="3831">
        <f>IF($F$2="Dolares",('Hoja de Trabajo'!C51*$B$1),'Hoja de Trabajo'!C51)</f>
        <v>0</v>
      </c>
      <c r="C48" s="3831"/>
      <c r="D48" s="3848">
        <f>IF($F$2="Dolares",('Hoja de Trabajo'!E51*$B$1),'Hoja de Trabajo'!E51)</f>
        <v>0</v>
      </c>
      <c r="E48" s="2559"/>
      <c r="F48" s="2528" t="s">
        <v>1480</v>
      </c>
      <c r="G48" s="3837">
        <f>G46+G47</f>
        <v>0</v>
      </c>
      <c r="H48" s="3837"/>
      <c r="I48" s="3836">
        <f>I46+I47</f>
        <v>0</v>
      </c>
      <c r="M48" s="2549" t="s">
        <v>1617</v>
      </c>
      <c r="N48" s="3878">
        <f t="shared" ref="N48:AC48" si="12">SUM(N45:N47)</f>
        <v>0</v>
      </c>
      <c r="O48" s="3878">
        <f t="shared" si="12"/>
        <v>0</v>
      </c>
      <c r="P48" s="3878">
        <f t="shared" si="12"/>
        <v>0</v>
      </c>
      <c r="Q48" s="3878">
        <f t="shared" si="12"/>
        <v>0</v>
      </c>
      <c r="R48" s="3878">
        <f t="shared" si="12"/>
        <v>0</v>
      </c>
      <c r="S48" s="3878">
        <f t="shared" si="12"/>
        <v>0</v>
      </c>
      <c r="T48" s="3878">
        <f t="shared" si="12"/>
        <v>0</v>
      </c>
      <c r="U48" s="3878">
        <f t="shared" si="12"/>
        <v>0</v>
      </c>
      <c r="V48" s="3878">
        <f t="shared" si="12"/>
        <v>0</v>
      </c>
      <c r="W48" s="3878">
        <f t="shared" si="12"/>
        <v>0</v>
      </c>
      <c r="X48" s="3878">
        <f t="shared" si="12"/>
        <v>0</v>
      </c>
      <c r="Y48" s="3878">
        <f t="shared" si="12"/>
        <v>0</v>
      </c>
      <c r="Z48" s="3878">
        <f t="shared" si="12"/>
        <v>0</v>
      </c>
      <c r="AA48" s="3878">
        <f t="shared" si="12"/>
        <v>0</v>
      </c>
      <c r="AB48" s="3878">
        <f t="shared" si="12"/>
        <v>0</v>
      </c>
      <c r="AC48" s="3878">
        <f t="shared" si="12"/>
        <v>0</v>
      </c>
    </row>
    <row r="49" spans="1:29" ht="28">
      <c r="A49" s="2516" t="s">
        <v>2620</v>
      </c>
      <c r="B49" s="3831">
        <f>IF($F$2="Dolares",('Hoja de Trabajo'!C52*$B$1),'Hoja de Trabajo'!C52)</f>
        <v>0</v>
      </c>
      <c r="C49" s="3831"/>
      <c r="D49" s="3848">
        <f>IF($F$2="Dolares",('Hoja de Trabajo'!E52*$B$1),'Hoja de Trabajo'!E52)</f>
        <v>0</v>
      </c>
      <c r="E49" s="2559"/>
      <c r="F49" s="2528" t="s">
        <v>881</v>
      </c>
      <c r="G49" s="3837">
        <f>IF($F$2="Dolares",('Hoja de Trabajo'!H52*$B$1),'Hoja de Trabajo'!H52)</f>
        <v>0</v>
      </c>
      <c r="H49" s="3837"/>
      <c r="I49" s="3836">
        <f>IF($F$2="Dolares",('Hoja de Trabajo'!J52*$B$1),'Hoja de Trabajo'!J52)</f>
        <v>0</v>
      </c>
      <c r="M49" s="2537" t="s">
        <v>1497</v>
      </c>
      <c r="N49" s="3877">
        <f>+N17*'Resumen de Cifras'!$C$1</f>
        <v>0</v>
      </c>
      <c r="O49" s="3877">
        <f>+O17*'Resumen de Cifras'!$C$1</f>
        <v>0</v>
      </c>
      <c r="P49" s="3877">
        <f>+P17*'Resumen de Cifras'!$C$1</f>
        <v>0</v>
      </c>
      <c r="Q49" s="3877">
        <f>+Q17*'Resumen de Cifras'!$C$1</f>
        <v>0</v>
      </c>
      <c r="R49" s="3877">
        <f>+R17*'Resumen de Cifras'!$C$1</f>
        <v>0</v>
      </c>
      <c r="S49" s="3877">
        <f>+S17*'Resumen de Cifras'!$C$1</f>
        <v>0</v>
      </c>
      <c r="T49" s="3877">
        <f>+T17*'Resumen de Cifras'!$C$1</f>
        <v>0</v>
      </c>
      <c r="U49" s="3877">
        <f>+U17*'Resumen de Cifras'!$C$1</f>
        <v>0</v>
      </c>
      <c r="V49" s="3877">
        <f>+V17*'Resumen de Cifras'!$C$1</f>
        <v>0</v>
      </c>
      <c r="W49" s="3877">
        <f>+W17*'Resumen de Cifras'!$C$1</f>
        <v>0</v>
      </c>
      <c r="X49" s="3877">
        <f>+X17*'Resumen de Cifras'!$C$1</f>
        <v>0</v>
      </c>
      <c r="Y49" s="3877">
        <f>+Y17*'Resumen de Cifras'!$C$1</f>
        <v>0</v>
      </c>
      <c r="Z49" s="3877">
        <f>+Z17*'Resumen de Cifras'!$C$1</f>
        <v>0</v>
      </c>
      <c r="AA49" s="3877">
        <f>+AA17*'Resumen de Cifras'!$C$1</f>
        <v>0</v>
      </c>
      <c r="AB49" s="3877">
        <f>+AB17*'Resumen de Cifras'!$C$1</f>
        <v>0</v>
      </c>
      <c r="AC49" s="3877">
        <f>+AC17*'Resumen de Cifras'!$C$1</f>
        <v>0</v>
      </c>
    </row>
    <row r="50" spans="1:29" ht="27.5">
      <c r="A50" s="2516" t="s">
        <v>1598</v>
      </c>
      <c r="B50" s="3831">
        <f>IF($F$2="Dolares",('Hoja de Trabajo'!C53*$B$1),'Hoja de Trabajo'!C53)</f>
        <v>0</v>
      </c>
      <c r="C50" s="3831"/>
      <c r="D50" s="3848">
        <f>IF($F$2="Dolares",('Hoja de Trabajo'!E53*$B$1),'Hoja de Trabajo'!E53)</f>
        <v>0</v>
      </c>
      <c r="E50" s="2559"/>
      <c r="F50" s="2516" t="s">
        <v>1497</v>
      </c>
      <c r="G50" s="3831">
        <f>IF($F$2="Dolares",('Hoja de Trabajo'!H53*$B$1),'Hoja de Trabajo'!H53)</f>
        <v>0</v>
      </c>
      <c r="H50" s="3831"/>
      <c r="I50" s="3848">
        <f>IF($F$2="Dolares",('Hoja de Trabajo'!J53*$B$1),'Hoja de Trabajo'!J53)</f>
        <v>0</v>
      </c>
      <c r="M50" s="2537" t="s">
        <v>1620</v>
      </c>
      <c r="N50" s="3877">
        <f>+N18*'Resumen de Cifras'!$C$1</f>
        <v>0</v>
      </c>
      <c r="O50" s="3877">
        <f>+O18*'Resumen de Cifras'!$C$1</f>
        <v>0</v>
      </c>
      <c r="P50" s="3877">
        <f>+P18*'Resumen de Cifras'!$C$1</f>
        <v>0</v>
      </c>
      <c r="Q50" s="3877">
        <f>+Q18*'Resumen de Cifras'!$C$1</f>
        <v>0</v>
      </c>
      <c r="R50" s="3877">
        <f>+R18*'Resumen de Cifras'!$C$1</f>
        <v>0</v>
      </c>
      <c r="S50" s="3877">
        <f>+S18*'Resumen de Cifras'!$C$1</f>
        <v>0</v>
      </c>
      <c r="T50" s="3877">
        <f>+T18*'Resumen de Cifras'!$C$1</f>
        <v>0</v>
      </c>
      <c r="U50" s="3877">
        <f>+U18*'Resumen de Cifras'!$C$1</f>
        <v>0</v>
      </c>
      <c r="V50" s="3877">
        <f>+V18*'Resumen de Cifras'!$C$1</f>
        <v>0</v>
      </c>
      <c r="W50" s="3877">
        <f>+W18*'Resumen de Cifras'!$C$1</f>
        <v>0</v>
      </c>
      <c r="X50" s="3877">
        <f>+X18*'Resumen de Cifras'!$C$1</f>
        <v>0</v>
      </c>
      <c r="Y50" s="3877">
        <f>+Y18*'Resumen de Cifras'!$C$1</f>
        <v>0</v>
      </c>
      <c r="Z50" s="3877">
        <f>+Z18*'Resumen de Cifras'!$C$1</f>
        <v>0</v>
      </c>
      <c r="AA50" s="3877">
        <f>+AA18*'Resumen de Cifras'!$C$1</f>
        <v>0</v>
      </c>
      <c r="AB50" s="3877">
        <f>+AB18*'Resumen de Cifras'!$C$1</f>
        <v>0</v>
      </c>
      <c r="AC50" s="3877">
        <f>+AC18*'Resumen de Cifras'!$C$1</f>
        <v>0</v>
      </c>
    </row>
    <row r="51" spans="1:29" ht="27.5">
      <c r="A51" s="2538" t="s">
        <v>2619</v>
      </c>
      <c r="B51" s="3831">
        <f>IF($F$2="Dolares",('Hoja de Trabajo'!C54*$B$1),'Hoja de Trabajo'!C54)</f>
        <v>0</v>
      </c>
      <c r="C51" s="3831"/>
      <c r="D51" s="3848">
        <f>IF($F$2="Dolares",('Hoja de Trabajo'!E54*$B$1),'Hoja de Trabajo'!E54)</f>
        <v>0</v>
      </c>
      <c r="E51" s="2559"/>
      <c r="F51" s="2516" t="s">
        <v>1600</v>
      </c>
      <c r="G51" s="3831">
        <f>IF($F$2="Dolares",('Hoja de Trabajo'!H54*$B$1),'Hoja de Trabajo'!H54)</f>
        <v>0</v>
      </c>
      <c r="H51" s="3831"/>
      <c r="I51" s="3848">
        <f>IF($F$2="Dolares",('Hoja de Trabajo'!J54*$B$1),'Hoja de Trabajo'!J54)</f>
        <v>0</v>
      </c>
      <c r="M51" s="2537" t="s">
        <v>1622</v>
      </c>
      <c r="N51" s="3877">
        <f>+N19*'Resumen de Cifras'!$C$1</f>
        <v>0</v>
      </c>
      <c r="O51" s="3877">
        <f>+O19*'Resumen de Cifras'!$C$1</f>
        <v>0</v>
      </c>
      <c r="P51" s="3877">
        <f>+P19*'Resumen de Cifras'!$C$1</f>
        <v>0</v>
      </c>
      <c r="Q51" s="3877">
        <f>+Q19*'Resumen de Cifras'!$C$1</f>
        <v>0</v>
      </c>
      <c r="R51" s="3877">
        <f>+R19*'Resumen de Cifras'!$C$1</f>
        <v>0</v>
      </c>
      <c r="S51" s="3877">
        <f>+S19*'Resumen de Cifras'!$C$1</f>
        <v>0</v>
      </c>
      <c r="T51" s="3877">
        <f>+T19*'Resumen de Cifras'!$C$1</f>
        <v>0</v>
      </c>
      <c r="U51" s="3877">
        <f>+U19*'Resumen de Cifras'!$C$1</f>
        <v>0</v>
      </c>
      <c r="V51" s="3877">
        <f>+V19*'Resumen de Cifras'!$C$1</f>
        <v>0</v>
      </c>
      <c r="W51" s="3877">
        <f>+W19*'Resumen de Cifras'!$C$1</f>
        <v>0</v>
      </c>
      <c r="X51" s="3877">
        <f>+X19*'Resumen de Cifras'!$C$1</f>
        <v>0</v>
      </c>
      <c r="Y51" s="3877">
        <f>+Y19*'Resumen de Cifras'!$C$1</f>
        <v>0</v>
      </c>
      <c r="Z51" s="3877">
        <f>+Z19*'Resumen de Cifras'!$C$1</f>
        <v>0</v>
      </c>
      <c r="AA51" s="3877">
        <f>+AA19*'Resumen de Cifras'!$C$1</f>
        <v>0</v>
      </c>
      <c r="AB51" s="3877">
        <f>+AB19*'Resumen de Cifras'!$C$1</f>
        <v>0</v>
      </c>
      <c r="AC51" s="3877">
        <f>+AC19*'Resumen de Cifras'!$C$1</f>
        <v>0</v>
      </c>
    </row>
    <row r="52" spans="1:29" ht="27.5">
      <c r="A52" s="2516" t="s">
        <v>663</v>
      </c>
      <c r="B52" s="3831">
        <f>IF($F$2="Dolares",('Hoja de Trabajo'!C55*$B$1),'Hoja de Trabajo'!C55)</f>
        <v>0</v>
      </c>
      <c r="C52" s="3831"/>
      <c r="D52" s="3848">
        <f>IF($F$2="Dolares",('Hoja de Trabajo'!E55*$B$1),'Hoja de Trabajo'!E55)</f>
        <v>0</v>
      </c>
      <c r="E52" s="2559"/>
      <c r="F52" s="2516" t="s">
        <v>1601</v>
      </c>
      <c r="G52" s="3831">
        <f>IF($F$2="Dolares",('Hoja de Trabajo'!H55*$B$1),'Hoja de Trabajo'!H55)</f>
        <v>0</v>
      </c>
      <c r="H52" s="3831"/>
      <c r="I52" s="3848">
        <f>IF($F$2="Dolares",('Hoja de Trabajo'!J55*$B$1),'Hoja de Trabajo'!J55)</f>
        <v>0</v>
      </c>
      <c r="M52" s="2537" t="s">
        <v>1625</v>
      </c>
      <c r="N52" s="3877">
        <f>+N20*'Resumen de Cifras'!$C$1</f>
        <v>0</v>
      </c>
      <c r="O52" s="3877">
        <f>+O20*'Resumen de Cifras'!$C$1</f>
        <v>0</v>
      </c>
      <c r="P52" s="3877">
        <f>+P20*'Resumen de Cifras'!$C$1</f>
        <v>0</v>
      </c>
      <c r="Q52" s="3877">
        <f>+Q20*'Resumen de Cifras'!$C$1</f>
        <v>0</v>
      </c>
      <c r="R52" s="3877">
        <f>+R20*'Resumen de Cifras'!$C$1</f>
        <v>0</v>
      </c>
      <c r="S52" s="3877">
        <f>+S20*'Resumen de Cifras'!$C$1</f>
        <v>0</v>
      </c>
      <c r="T52" s="3877">
        <f>+T20*'Resumen de Cifras'!$C$1</f>
        <v>0</v>
      </c>
      <c r="U52" s="3877">
        <f>+U20*'Resumen de Cifras'!$C$1</f>
        <v>0</v>
      </c>
      <c r="V52" s="3877">
        <f>+V20*'Resumen de Cifras'!$C$1</f>
        <v>0</v>
      </c>
      <c r="W52" s="3877">
        <f>+W20*'Resumen de Cifras'!$C$1</f>
        <v>0</v>
      </c>
      <c r="X52" s="3877">
        <f>+X20*'Resumen de Cifras'!$C$1</f>
        <v>0</v>
      </c>
      <c r="Y52" s="3877">
        <f>+Y20*'Resumen de Cifras'!$C$1</f>
        <v>0</v>
      </c>
      <c r="Z52" s="3877">
        <f>+Z20*'Resumen de Cifras'!$C$1</f>
        <v>0</v>
      </c>
      <c r="AA52" s="3877">
        <f>+AA20*'Resumen de Cifras'!$C$1</f>
        <v>0</v>
      </c>
      <c r="AB52" s="3877">
        <f>+AB20*'Resumen de Cifras'!$C$1</f>
        <v>0</v>
      </c>
      <c r="AC52" s="3877">
        <f>+AC20*'Resumen de Cifras'!$C$1</f>
        <v>0</v>
      </c>
    </row>
    <row r="53" spans="1:29" ht="28">
      <c r="A53" s="2528" t="s">
        <v>1603</v>
      </c>
      <c r="B53" s="3837">
        <f>SUM(B48:B52)</f>
        <v>0</v>
      </c>
      <c r="C53" s="3837"/>
      <c r="D53" s="3836">
        <f>SUM(D48:D52)</f>
        <v>0</v>
      </c>
      <c r="E53" s="2508"/>
      <c r="F53" s="2516" t="s">
        <v>811</v>
      </c>
      <c r="G53" s="3831">
        <f>IF($F$2="Dolares",('Hoja de Trabajo'!H56*$B$1),'Hoja de Trabajo'!H56)</f>
        <v>0</v>
      </c>
      <c r="H53" s="3831"/>
      <c r="I53" s="3848">
        <f>IF($F$2="Dolares",('Hoja de Trabajo'!J56*$B$1),'Hoja de Trabajo'!J56)</f>
        <v>0</v>
      </c>
      <c r="M53" s="2549" t="s">
        <v>1628</v>
      </c>
      <c r="N53" s="3878">
        <f t="shared" ref="N53:AC53" si="13">SUM(N48:N52)</f>
        <v>0</v>
      </c>
      <c r="O53" s="3878">
        <f t="shared" si="13"/>
        <v>0</v>
      </c>
      <c r="P53" s="3878">
        <f t="shared" si="13"/>
        <v>0</v>
      </c>
      <c r="Q53" s="3878">
        <f t="shared" si="13"/>
        <v>0</v>
      </c>
      <c r="R53" s="3878">
        <f t="shared" si="13"/>
        <v>0</v>
      </c>
      <c r="S53" s="3878">
        <f t="shared" si="13"/>
        <v>0</v>
      </c>
      <c r="T53" s="3878">
        <f t="shared" si="13"/>
        <v>0</v>
      </c>
      <c r="U53" s="3878">
        <f t="shared" si="13"/>
        <v>0</v>
      </c>
      <c r="V53" s="3878">
        <f t="shared" si="13"/>
        <v>0</v>
      </c>
      <c r="W53" s="3878">
        <f t="shared" si="13"/>
        <v>0</v>
      </c>
      <c r="X53" s="3878">
        <f t="shared" si="13"/>
        <v>0</v>
      </c>
      <c r="Y53" s="3878">
        <f t="shared" si="13"/>
        <v>0</v>
      </c>
      <c r="Z53" s="3878">
        <f t="shared" si="13"/>
        <v>0</v>
      </c>
      <c r="AA53" s="3878">
        <f t="shared" si="13"/>
        <v>0</v>
      </c>
      <c r="AB53" s="3878">
        <f t="shared" si="13"/>
        <v>0</v>
      </c>
      <c r="AC53" s="3878">
        <f t="shared" si="13"/>
        <v>0</v>
      </c>
    </row>
    <row r="54" spans="1:29" ht="28">
      <c r="A54" s="2516" t="s">
        <v>2618</v>
      </c>
      <c r="B54" s="3831">
        <f>IF($F$2="Dolares",('Hoja de Trabajo'!C57*$B$1),'Hoja de Trabajo'!C57)</f>
        <v>0</v>
      </c>
      <c r="C54" s="3831"/>
      <c r="D54" s="3848">
        <f>IF($F$2="Dolares",('Hoja de Trabajo'!E57*$B$1),'Hoja de Trabajo'!E57)</f>
        <v>0</v>
      </c>
      <c r="E54" s="2508"/>
      <c r="F54" s="2544" t="s">
        <v>1487</v>
      </c>
      <c r="G54" s="3847">
        <f>G48+G50+G51+G52+G53</f>
        <v>0</v>
      </c>
      <c r="H54" s="3847"/>
      <c r="I54" s="3871">
        <f>I48+I50+I51+I52+I53</f>
        <v>0</v>
      </c>
      <c r="M54" s="2537" t="s">
        <v>1495</v>
      </c>
      <c r="N54" s="3877">
        <f>+N22*'Resumen de Cifras'!$C$1</f>
        <v>0</v>
      </c>
      <c r="O54" s="3877">
        <f>+O22*'Resumen de Cifras'!$C$1</f>
        <v>0</v>
      </c>
      <c r="P54" s="3877">
        <f>+P22*'Resumen de Cifras'!$C$1</f>
        <v>0</v>
      </c>
      <c r="Q54" s="3877">
        <f>+Q22*'Resumen de Cifras'!$C$1</f>
        <v>0</v>
      </c>
      <c r="R54" s="3877">
        <f>+R22*'Resumen de Cifras'!$C$1</f>
        <v>0</v>
      </c>
      <c r="S54" s="3877">
        <f>+S22*'Resumen de Cifras'!$C$1</f>
        <v>0</v>
      </c>
      <c r="T54" s="3877">
        <f>+T22*'Resumen de Cifras'!$C$1</f>
        <v>0</v>
      </c>
      <c r="U54" s="3877">
        <f>+U22*'Resumen de Cifras'!$C$1</f>
        <v>0</v>
      </c>
      <c r="V54" s="3877">
        <f>+V22*'Resumen de Cifras'!$C$1</f>
        <v>0</v>
      </c>
      <c r="W54" s="3877">
        <f>+W22*'Resumen de Cifras'!$C$1</f>
        <v>0</v>
      </c>
      <c r="X54" s="3877">
        <f>+X22*'Resumen de Cifras'!$C$1</f>
        <v>0</v>
      </c>
      <c r="Y54" s="3877">
        <f>+Y22*'Resumen de Cifras'!$C$1</f>
        <v>0</v>
      </c>
      <c r="Z54" s="3877">
        <f>+Z22*'Resumen de Cifras'!$C$1</f>
        <v>0</v>
      </c>
      <c r="AA54" s="3877">
        <f>+AA22*'Resumen de Cifras'!$C$1</f>
        <v>0</v>
      </c>
      <c r="AB54" s="3877">
        <f>+AB22*'Resumen de Cifras'!$C$1</f>
        <v>0</v>
      </c>
      <c r="AC54" s="3877">
        <f>+AC22*'Resumen de Cifras'!$C$1</f>
        <v>0</v>
      </c>
    </row>
    <row r="55" spans="1:29" ht="27.5">
      <c r="A55" s="2516" t="s">
        <v>1491</v>
      </c>
      <c r="B55" s="3831">
        <f>IF($F$2="Dolares",('Hoja de Trabajo'!C58*$B$1),'Hoja de Trabajo'!C58)</f>
        <v>0</v>
      </c>
      <c r="C55" s="3831"/>
      <c r="D55" s="3848">
        <f>IF($F$2="Dolares",('Hoja de Trabajo'!E58*$B$1),'Hoja de Trabajo'!E58)</f>
        <v>0</v>
      </c>
      <c r="E55" s="2508"/>
      <c r="F55" s="2499"/>
      <c r="G55" s="2499"/>
      <c r="H55" s="2499"/>
      <c r="I55" s="2499"/>
      <c r="M55" s="2537" t="s">
        <v>529</v>
      </c>
      <c r="N55" s="3877">
        <f>+N23*'Resumen de Cifras'!$C$1</f>
        <v>0</v>
      </c>
      <c r="O55" s="3877">
        <f>+O23*'Resumen de Cifras'!$C$1</f>
        <v>0</v>
      </c>
      <c r="P55" s="3877">
        <f>+P23*'Resumen de Cifras'!$C$1</f>
        <v>0</v>
      </c>
      <c r="Q55" s="3877">
        <f>+Q23*'Resumen de Cifras'!$C$1</f>
        <v>0</v>
      </c>
      <c r="R55" s="3877">
        <f>+R23*'Resumen de Cifras'!$C$1</f>
        <v>0</v>
      </c>
      <c r="S55" s="3877">
        <f>+S23*'Resumen de Cifras'!$C$1</f>
        <v>0</v>
      </c>
      <c r="T55" s="3877">
        <f>+T23*'Resumen de Cifras'!$C$1</f>
        <v>0</v>
      </c>
      <c r="U55" s="3877">
        <f>+U23*'Resumen de Cifras'!$C$1</f>
        <v>0</v>
      </c>
      <c r="V55" s="3877">
        <f>+V23*'Resumen de Cifras'!$C$1</f>
        <v>0</v>
      </c>
      <c r="W55" s="3877">
        <f>+W23*'Resumen de Cifras'!$C$1</f>
        <v>0</v>
      </c>
      <c r="X55" s="3877">
        <f>+X23*'Resumen de Cifras'!$C$1</f>
        <v>0</v>
      </c>
      <c r="Y55" s="3877">
        <f>+Y23*'Resumen de Cifras'!$C$1</f>
        <v>0</v>
      </c>
      <c r="Z55" s="3877">
        <f>+Z23*'Resumen de Cifras'!$C$1</f>
        <v>0</v>
      </c>
      <c r="AA55" s="3877">
        <f>+AA23*'Resumen de Cifras'!$C$1</f>
        <v>0</v>
      </c>
      <c r="AB55" s="3877">
        <f>+AB23*'Resumen de Cifras'!$C$1</f>
        <v>0</v>
      </c>
      <c r="AC55" s="3877">
        <f>+AC23*'Resumen de Cifras'!$C$1</f>
        <v>0</v>
      </c>
    </row>
    <row r="56" spans="1:29" ht="28">
      <c r="A56" s="2516" t="s">
        <v>2617</v>
      </c>
      <c r="B56" s="3831">
        <f>IF($F$2="Dolares",('Hoja de Trabajo'!C59*$B$1),'Hoja de Trabajo'!C59)</f>
        <v>0</v>
      </c>
      <c r="C56" s="3831"/>
      <c r="D56" s="3848">
        <f>IF($F$2="Dolares",('Hoja de Trabajo'!E59*$B$1),'Hoja de Trabajo'!E59)</f>
        <v>0</v>
      </c>
      <c r="E56" s="2508"/>
      <c r="F56" s="3573" t="s">
        <v>1607</v>
      </c>
      <c r="G56" s="3574"/>
      <c r="H56" s="3574"/>
      <c r="I56" s="3575"/>
      <c r="M56" s="2549" t="s">
        <v>1636</v>
      </c>
      <c r="N56" s="3878">
        <f t="shared" ref="N56:AC56" si="14">SUM(N53:N55)</f>
        <v>0</v>
      </c>
      <c r="O56" s="3878">
        <f t="shared" si="14"/>
        <v>0</v>
      </c>
      <c r="P56" s="3878">
        <f t="shared" si="14"/>
        <v>0</v>
      </c>
      <c r="Q56" s="3878">
        <f t="shared" si="14"/>
        <v>0</v>
      </c>
      <c r="R56" s="3878">
        <f t="shared" si="14"/>
        <v>0</v>
      </c>
      <c r="S56" s="3878">
        <f t="shared" si="14"/>
        <v>0</v>
      </c>
      <c r="T56" s="3878">
        <f t="shared" si="14"/>
        <v>0</v>
      </c>
      <c r="U56" s="3878">
        <f t="shared" si="14"/>
        <v>0</v>
      </c>
      <c r="V56" s="3878">
        <f t="shared" si="14"/>
        <v>0</v>
      </c>
      <c r="W56" s="3878">
        <f t="shared" si="14"/>
        <v>0</v>
      </c>
      <c r="X56" s="3878">
        <f t="shared" si="14"/>
        <v>0</v>
      </c>
      <c r="Y56" s="3878">
        <f t="shared" si="14"/>
        <v>0</v>
      </c>
      <c r="Z56" s="3878">
        <f t="shared" si="14"/>
        <v>0</v>
      </c>
      <c r="AA56" s="3878">
        <f t="shared" si="14"/>
        <v>0</v>
      </c>
      <c r="AB56" s="3878">
        <f t="shared" si="14"/>
        <v>0</v>
      </c>
      <c r="AC56" s="3878">
        <f t="shared" si="14"/>
        <v>0</v>
      </c>
    </row>
    <row r="57" spans="1:29" ht="28">
      <c r="A57" s="2516" t="s">
        <v>1609</v>
      </c>
      <c r="B57" s="3831">
        <f>IF($F$2="Dolares",('Hoja de Trabajo'!C60*$B$1),'Hoja de Trabajo'!C60)</f>
        <v>0</v>
      </c>
      <c r="C57" s="3831"/>
      <c r="D57" s="3848">
        <f>IF($F$2="Dolares",('Hoja de Trabajo'!E60*$B$1),'Hoja de Trabajo'!E60)</f>
        <v>0</v>
      </c>
      <c r="E57" s="2508"/>
      <c r="F57" s="2513"/>
      <c r="G57" s="2514" t="str">
        <f>+G45</f>
        <v>Jun 19</v>
      </c>
      <c r="H57" s="2514"/>
      <c r="I57" s="2840" t="str">
        <f>+I45</f>
        <v>Jun 20</v>
      </c>
      <c r="M57" s="2537" t="s">
        <v>1503</v>
      </c>
      <c r="N57" s="3877">
        <f>+N25*'Resumen de Cifras'!$C$1</f>
        <v>0</v>
      </c>
      <c r="O57" s="3877">
        <f>+O25*'Resumen de Cifras'!$C$1</f>
        <v>0</v>
      </c>
      <c r="P57" s="3877">
        <f>+P25*'Resumen de Cifras'!$C$1</f>
        <v>0</v>
      </c>
      <c r="Q57" s="3877">
        <f>+Q25*'Resumen de Cifras'!$C$1</f>
        <v>0</v>
      </c>
      <c r="R57" s="3877">
        <f>+R25*'Resumen de Cifras'!$C$1</f>
        <v>0</v>
      </c>
      <c r="S57" s="3877">
        <f>+S25*'Resumen de Cifras'!$C$1</f>
        <v>0</v>
      </c>
      <c r="T57" s="3877">
        <f>+T25*'Resumen de Cifras'!$C$1</f>
        <v>0</v>
      </c>
      <c r="U57" s="3877">
        <f>+U25*'Resumen de Cifras'!$C$1</f>
        <v>0</v>
      </c>
      <c r="V57" s="3877">
        <f>+V25*'Resumen de Cifras'!$C$1</f>
        <v>0</v>
      </c>
      <c r="W57" s="3877">
        <f>+W25*'Resumen de Cifras'!$C$1</f>
        <v>0</v>
      </c>
      <c r="X57" s="3877">
        <f>+X25*'Resumen de Cifras'!$C$1</f>
        <v>0</v>
      </c>
      <c r="Y57" s="3877">
        <f>+Y25*'Resumen de Cifras'!$C$1</f>
        <v>0</v>
      </c>
      <c r="Z57" s="3877">
        <f>+Z25*'Resumen de Cifras'!$C$1</f>
        <v>0</v>
      </c>
      <c r="AA57" s="3877">
        <f>+AA25*'Resumen de Cifras'!$C$1</f>
        <v>0</v>
      </c>
      <c r="AB57" s="3877">
        <f>+AB25*'Resumen de Cifras'!$C$1</f>
        <v>0</v>
      </c>
      <c r="AC57" s="3877">
        <f>+AC25*'Resumen de Cifras'!$C$1</f>
        <v>0</v>
      </c>
    </row>
    <row r="58" spans="1:29" ht="28">
      <c r="A58" s="2516" t="s">
        <v>1611</v>
      </c>
      <c r="B58" s="3831">
        <f>IF($F$2="Dolares",('Hoja de Trabajo'!C61*$B$1),'Hoja de Trabajo'!C61)</f>
        <v>0</v>
      </c>
      <c r="C58" s="3831"/>
      <c r="D58" s="3848">
        <f>IF($F$2="Dolares",('Hoja de Trabajo'!E61*$B$1),'Hoja de Trabajo'!E61)</f>
        <v>0</v>
      </c>
      <c r="E58" s="2508"/>
      <c r="F58" s="2551" t="s">
        <v>1612</v>
      </c>
      <c r="G58" s="2552"/>
      <c r="H58" s="2552"/>
      <c r="I58" s="2553"/>
      <c r="M58" s="2549" t="s">
        <v>1504</v>
      </c>
      <c r="N58" s="3878">
        <f t="shared" ref="N58:AC58" si="15">N56+N57</f>
        <v>0</v>
      </c>
      <c r="O58" s="3878">
        <f t="shared" si="15"/>
        <v>0</v>
      </c>
      <c r="P58" s="3878">
        <f t="shared" si="15"/>
        <v>0</v>
      </c>
      <c r="Q58" s="3878">
        <f t="shared" si="15"/>
        <v>0</v>
      </c>
      <c r="R58" s="3878">
        <f t="shared" si="15"/>
        <v>0</v>
      </c>
      <c r="S58" s="3878">
        <f t="shared" si="15"/>
        <v>0</v>
      </c>
      <c r="T58" s="3878">
        <f t="shared" si="15"/>
        <v>0</v>
      </c>
      <c r="U58" s="3878">
        <f t="shared" si="15"/>
        <v>0</v>
      </c>
      <c r="V58" s="3878">
        <f t="shared" si="15"/>
        <v>0</v>
      </c>
      <c r="W58" s="3878">
        <f t="shared" si="15"/>
        <v>0</v>
      </c>
      <c r="X58" s="3878">
        <f t="shared" si="15"/>
        <v>0</v>
      </c>
      <c r="Y58" s="3878">
        <f t="shared" si="15"/>
        <v>0</v>
      </c>
      <c r="Z58" s="3878">
        <f t="shared" si="15"/>
        <v>0</v>
      </c>
      <c r="AA58" s="3878">
        <f t="shared" si="15"/>
        <v>0</v>
      </c>
      <c r="AB58" s="3878">
        <f t="shared" si="15"/>
        <v>0</v>
      </c>
      <c r="AC58" s="3878">
        <f t="shared" si="15"/>
        <v>0</v>
      </c>
    </row>
    <row r="59" spans="1:29" ht="28">
      <c r="A59" s="2528" t="s">
        <v>1614</v>
      </c>
      <c r="B59" s="3837">
        <f>SUM(B54:B58)</f>
        <v>0</v>
      </c>
      <c r="C59" s="3837"/>
      <c r="D59" s="3836">
        <f>SUM(D54:D58)</f>
        <v>0</v>
      </c>
      <c r="E59" s="2508"/>
      <c r="F59" s="2516" t="s">
        <v>880</v>
      </c>
      <c r="G59" s="2554">
        <f>IFERROR(G48/G46,0)</f>
        <v>0</v>
      </c>
      <c r="H59" s="2554"/>
      <c r="I59" s="2555">
        <f>IFERROR(I48/I46,0)</f>
        <v>0</v>
      </c>
      <c r="M59" s="2537" t="s">
        <v>1643</v>
      </c>
      <c r="N59" s="3877">
        <f>+N27*'Resumen de Cifras'!$C$1</f>
        <v>0</v>
      </c>
      <c r="O59" s="3877">
        <f>+O27*'Resumen de Cifras'!$C$1</f>
        <v>0</v>
      </c>
      <c r="P59" s="3877">
        <f>+P27*'Resumen de Cifras'!$C$1</f>
        <v>0</v>
      </c>
      <c r="Q59" s="3877">
        <f>+Q27*'Resumen de Cifras'!$C$1</f>
        <v>0</v>
      </c>
      <c r="R59" s="3877">
        <f>+R27*'Resumen de Cifras'!$C$1</f>
        <v>0</v>
      </c>
      <c r="S59" s="3877">
        <f>+S27*'Resumen de Cifras'!$C$1</f>
        <v>0</v>
      </c>
      <c r="T59" s="3877">
        <f>+T27*'Resumen de Cifras'!$C$1</f>
        <v>0</v>
      </c>
      <c r="U59" s="3877">
        <f>+U27*'Resumen de Cifras'!$C$1</f>
        <v>0</v>
      </c>
      <c r="V59" s="3877">
        <f>+V27*'Resumen de Cifras'!$C$1</f>
        <v>0</v>
      </c>
      <c r="W59" s="3877">
        <f>+W27*'Resumen de Cifras'!$C$1</f>
        <v>0</v>
      </c>
      <c r="X59" s="3877">
        <f>+X27*'Resumen de Cifras'!$C$1</f>
        <v>0</v>
      </c>
      <c r="Y59" s="3877">
        <f>+Y27*'Resumen de Cifras'!$C$1</f>
        <v>0</v>
      </c>
      <c r="Z59" s="3877">
        <f>+Z27*'Resumen de Cifras'!$C$1</f>
        <v>0</v>
      </c>
      <c r="AA59" s="3877">
        <f>+AA27*'Resumen de Cifras'!$C$1</f>
        <v>0</v>
      </c>
      <c r="AB59" s="3877">
        <f>+AB27*'Resumen de Cifras'!$C$1</f>
        <v>0</v>
      </c>
      <c r="AC59" s="3877">
        <f>+AC27*'Resumen de Cifras'!$C$1</f>
        <v>0</v>
      </c>
    </row>
    <row r="60" spans="1:29" ht="28">
      <c r="A60" s="3870" t="s">
        <v>671</v>
      </c>
      <c r="B60" s="3842">
        <f>B53+B59</f>
        <v>0</v>
      </c>
      <c r="C60" s="3842"/>
      <c r="D60" s="3869">
        <f>D53+D59</f>
        <v>0</v>
      </c>
      <c r="E60" s="2508"/>
      <c r="F60" s="2516" t="s">
        <v>2624</v>
      </c>
      <c r="G60" s="2554">
        <f>IFERROR(G49/G46,0)</f>
        <v>0</v>
      </c>
      <c r="H60" s="2554"/>
      <c r="I60" s="2555">
        <f>IFERROR(I49/I46,0)</f>
        <v>0</v>
      </c>
      <c r="M60" s="2537" t="s">
        <v>910</v>
      </c>
      <c r="N60" s="2571" t="e">
        <f t="shared" ref="N60:AC60" si="16">+N28</f>
        <v>#DIV/0!</v>
      </c>
      <c r="O60" s="2571" t="e">
        <f t="shared" si="16"/>
        <v>#DIV/0!</v>
      </c>
      <c r="P60" s="2571" t="e">
        <f t="shared" si="16"/>
        <v>#DIV/0!</v>
      </c>
      <c r="Q60" s="2571" t="e">
        <f t="shared" si="16"/>
        <v>#DIV/0!</v>
      </c>
      <c r="R60" s="2571" t="e">
        <f t="shared" si="16"/>
        <v>#DIV/0!</v>
      </c>
      <c r="S60" s="2571" t="e">
        <f t="shared" si="16"/>
        <v>#DIV/0!</v>
      </c>
      <c r="T60" s="2571" t="e">
        <f t="shared" si="16"/>
        <v>#DIV/0!</v>
      </c>
      <c r="U60" s="2571" t="e">
        <f t="shared" si="16"/>
        <v>#DIV/0!</v>
      </c>
      <c r="V60" s="2571" t="e">
        <f t="shared" si="16"/>
        <v>#DIV/0!</v>
      </c>
      <c r="W60" s="2571" t="e">
        <f t="shared" si="16"/>
        <v>#DIV/0!</v>
      </c>
      <c r="X60" s="2571" t="e">
        <f t="shared" si="16"/>
        <v>#DIV/0!</v>
      </c>
      <c r="Y60" s="2571" t="e">
        <f t="shared" si="16"/>
        <v>#DIV/0!</v>
      </c>
      <c r="Z60" s="2571" t="e">
        <f t="shared" si="16"/>
        <v>#DIV/0!</v>
      </c>
      <c r="AA60" s="2571" t="e">
        <f t="shared" si="16"/>
        <v>#DIV/0!</v>
      </c>
      <c r="AB60" s="2571" t="e">
        <f t="shared" si="16"/>
        <v>#DIV/0!</v>
      </c>
      <c r="AC60" s="2571" t="e">
        <f t="shared" si="16"/>
        <v>#DIV/0!</v>
      </c>
    </row>
    <row r="61" spans="1:29" ht="28">
      <c r="A61" s="2551" t="s">
        <v>678</v>
      </c>
      <c r="B61" s="3833"/>
      <c r="C61" s="3833"/>
      <c r="D61" s="3832"/>
      <c r="E61" s="2508"/>
      <c r="F61" s="2516" t="s">
        <v>883</v>
      </c>
      <c r="G61" s="2554">
        <f>IFERROR(G54/G46,0)</f>
        <v>0</v>
      </c>
      <c r="H61" s="2554"/>
      <c r="I61" s="2555">
        <f>IFERROR(I54/I46,0)</f>
        <v>0</v>
      </c>
      <c r="M61" s="2537" t="s">
        <v>1652</v>
      </c>
      <c r="N61" s="2571" t="e">
        <f t="shared" ref="N61:AC61" si="17">+N29</f>
        <v>#DIV/0!</v>
      </c>
      <c r="O61" s="2571" t="e">
        <f t="shared" si="17"/>
        <v>#DIV/0!</v>
      </c>
      <c r="P61" s="2571" t="e">
        <f t="shared" si="17"/>
        <v>#DIV/0!</v>
      </c>
      <c r="Q61" s="2571" t="e">
        <f t="shared" si="17"/>
        <v>#DIV/0!</v>
      </c>
      <c r="R61" s="2571" t="e">
        <f t="shared" si="17"/>
        <v>#DIV/0!</v>
      </c>
      <c r="S61" s="2571" t="e">
        <f t="shared" si="17"/>
        <v>#DIV/0!</v>
      </c>
      <c r="T61" s="2571" t="e">
        <f t="shared" si="17"/>
        <v>#DIV/0!</v>
      </c>
      <c r="U61" s="2571" t="e">
        <f t="shared" si="17"/>
        <v>#DIV/0!</v>
      </c>
      <c r="V61" s="2571" t="e">
        <f t="shared" si="17"/>
        <v>#DIV/0!</v>
      </c>
      <c r="W61" s="2571" t="e">
        <f t="shared" si="17"/>
        <v>#DIV/0!</v>
      </c>
      <c r="X61" s="2571" t="e">
        <f t="shared" si="17"/>
        <v>#DIV/0!</v>
      </c>
      <c r="Y61" s="2571" t="e">
        <f t="shared" si="17"/>
        <v>#DIV/0!</v>
      </c>
      <c r="Z61" s="2571" t="e">
        <f t="shared" si="17"/>
        <v>#DIV/0!</v>
      </c>
      <c r="AA61" s="2571" t="e">
        <f t="shared" si="17"/>
        <v>#DIV/0!</v>
      </c>
      <c r="AB61" s="2571" t="e">
        <f t="shared" si="17"/>
        <v>#DIV/0!</v>
      </c>
      <c r="AC61" s="2571" t="e">
        <f t="shared" si="17"/>
        <v>#DIV/0!</v>
      </c>
    </row>
    <row r="62" spans="1:29" ht="27.5">
      <c r="A62" s="2516" t="s">
        <v>2616</v>
      </c>
      <c r="B62" s="3831">
        <f>IF($F$2="Dolares",('Hoja de Trabajo'!C65*$B$1),'Hoja de Trabajo'!C65)</f>
        <v>0</v>
      </c>
      <c r="C62" s="3831"/>
      <c r="D62" s="3848">
        <f>IF($F$2="Dolares",('Hoja de Trabajo'!E65*$B$1),'Hoja de Trabajo'!E65)</f>
        <v>0</v>
      </c>
      <c r="E62" s="2508"/>
      <c r="F62" s="2516" t="s">
        <v>1619</v>
      </c>
      <c r="G62" s="2554" t="str">
        <f>IFERROR(((G54/B42)*12)/B78,"N/A")</f>
        <v>N/A</v>
      </c>
      <c r="H62" s="2554"/>
      <c r="I62" s="2555" t="str">
        <f>IFERROR(((I54/D42)*12)/D78,"N/A")</f>
        <v>N/A</v>
      </c>
      <c r="M62" s="2600" t="s">
        <v>1657</v>
      </c>
      <c r="N62" s="2571" t="e">
        <f t="shared" ref="N62:AC62" si="18">+N30</f>
        <v>#DIV/0!</v>
      </c>
      <c r="O62" s="2571" t="e">
        <f t="shared" si="18"/>
        <v>#DIV/0!</v>
      </c>
      <c r="P62" s="2571" t="e">
        <f t="shared" si="18"/>
        <v>#DIV/0!</v>
      </c>
      <c r="Q62" s="2571" t="e">
        <f t="shared" si="18"/>
        <v>#DIV/0!</v>
      </c>
      <c r="R62" s="2571" t="e">
        <f t="shared" si="18"/>
        <v>#DIV/0!</v>
      </c>
      <c r="S62" s="2571" t="e">
        <f t="shared" si="18"/>
        <v>#DIV/0!</v>
      </c>
      <c r="T62" s="2571" t="e">
        <f t="shared" si="18"/>
        <v>#DIV/0!</v>
      </c>
      <c r="U62" s="2571" t="e">
        <f t="shared" si="18"/>
        <v>#DIV/0!</v>
      </c>
      <c r="V62" s="2571" t="e">
        <f t="shared" si="18"/>
        <v>#DIV/0!</v>
      </c>
      <c r="W62" s="2571" t="e">
        <f t="shared" si="18"/>
        <v>#DIV/0!</v>
      </c>
      <c r="X62" s="2571" t="e">
        <f t="shared" si="18"/>
        <v>#DIV/0!</v>
      </c>
      <c r="Y62" s="2571" t="e">
        <f t="shared" si="18"/>
        <v>#DIV/0!</v>
      </c>
      <c r="Z62" s="2571" t="e">
        <f t="shared" si="18"/>
        <v>#DIV/0!</v>
      </c>
      <c r="AA62" s="2571" t="e">
        <f t="shared" si="18"/>
        <v>#DIV/0!</v>
      </c>
      <c r="AB62" s="2571" t="e">
        <f t="shared" si="18"/>
        <v>#DIV/0!</v>
      </c>
      <c r="AC62" s="2571" t="e">
        <f t="shared" si="18"/>
        <v>#DIV/0!</v>
      </c>
    </row>
    <row r="63" spans="1:29" ht="28">
      <c r="A63" s="2516" t="s">
        <v>2615</v>
      </c>
      <c r="B63" s="3831">
        <f>IF($F$2="Dolares",('Hoja de Trabajo'!C66*$B$1),'Hoja de Trabajo'!C66)</f>
        <v>0</v>
      </c>
      <c r="C63" s="3831"/>
      <c r="D63" s="3848">
        <f>IF($F$2="Dolares",('Hoja de Trabajo'!E66*$B$1),'Hoja de Trabajo'!E66)</f>
        <v>0</v>
      </c>
      <c r="E63" s="2508"/>
      <c r="F63" s="2551" t="s">
        <v>1621</v>
      </c>
      <c r="G63" s="2552"/>
      <c r="H63" s="2552"/>
      <c r="I63" s="2553"/>
      <c r="M63" s="2600" t="s">
        <v>2623</v>
      </c>
      <c r="N63" s="2571" t="e">
        <f>+'Proyecciones Cliente'!C15</f>
        <v>#DIV/0!</v>
      </c>
      <c r="O63" s="2571" t="e">
        <f>+'Proyecciones Cliente'!D15</f>
        <v>#DIV/0!</v>
      </c>
      <c r="P63" s="2571" t="e">
        <f>+'Proyecciones Cliente'!E15</f>
        <v>#DIV/0!</v>
      </c>
      <c r="Q63" s="2571" t="e">
        <f>+'Proyecciones Cliente'!F15</f>
        <v>#DIV/0!</v>
      </c>
      <c r="R63" s="2571" t="e">
        <f>+'Proyecciones Cliente'!G15</f>
        <v>#DIV/0!</v>
      </c>
      <c r="S63" s="2571" t="e">
        <f>+'Proyecciones Cliente'!H15</f>
        <v>#DIV/0!</v>
      </c>
      <c r="T63" s="2571" t="e">
        <f>+'Proyecciones Cliente'!I15</f>
        <v>#DIV/0!</v>
      </c>
      <c r="U63" s="2571" t="e">
        <f>+'Proyecciones Cliente'!J15</f>
        <v>#DIV/0!</v>
      </c>
      <c r="V63" s="2571">
        <f>+'Proyecciones Cliente'!K15</f>
        <v>0</v>
      </c>
      <c r="W63" s="2571">
        <f>+'Proyecciones Cliente'!L15</f>
        <v>0</v>
      </c>
      <c r="X63" s="2571">
        <f>+'Proyecciones Cliente'!M15</f>
        <v>0</v>
      </c>
      <c r="Y63" s="2571">
        <f>+'Proyecciones Cliente'!N15</f>
        <v>0</v>
      </c>
      <c r="Z63" s="2571">
        <f>+'Proyecciones Cliente'!O15</f>
        <v>0</v>
      </c>
      <c r="AA63" s="2571">
        <f>+'Proyecciones Cliente'!P15</f>
        <v>0</v>
      </c>
      <c r="AB63" s="2571">
        <f>+'Proyecciones Cliente'!Q15</f>
        <v>0</v>
      </c>
      <c r="AC63" s="2571">
        <f>+'Proyecciones Cliente'!R15</f>
        <v>0</v>
      </c>
    </row>
    <row r="64" spans="1:29" ht="27.5">
      <c r="A64" s="2538" t="s">
        <v>1623</v>
      </c>
      <c r="B64" s="3831">
        <f>IF($F$2="Dolares",('Hoja de Trabajo'!C67*$B$1),'Hoja de Trabajo'!C67)</f>
        <v>0</v>
      </c>
      <c r="C64" s="3831"/>
      <c r="D64" s="3848">
        <f>IF($F$2="Dolares",('Hoja de Trabajo'!E67*$B$1),'Hoja de Trabajo'!E67)</f>
        <v>0</v>
      </c>
      <c r="E64" s="2508"/>
      <c r="F64" s="2538" t="s">
        <v>1624</v>
      </c>
      <c r="G64" s="2554" t="s">
        <v>1260</v>
      </c>
      <c r="H64" s="2554"/>
      <c r="I64" s="2555" t="str">
        <f>+IFERROR((I46-G46)/G46,"N/A")</f>
        <v>N/A</v>
      </c>
      <c r="M64" s="2600" t="s">
        <v>1663</v>
      </c>
      <c r="N64" s="3875">
        <f t="shared" ref="N64:P66" si="19">+N31</f>
        <v>0</v>
      </c>
      <c r="O64" s="3875">
        <f t="shared" si="19"/>
        <v>0</v>
      </c>
      <c r="P64" s="3875">
        <f t="shared" si="19"/>
        <v>0</v>
      </c>
      <c r="Q64" s="2499"/>
      <c r="R64" s="2618"/>
      <c r="S64" s="2618"/>
      <c r="T64" s="2618"/>
      <c r="U64" s="2618"/>
      <c r="V64" s="2618"/>
      <c r="W64" s="2618"/>
      <c r="X64" s="2618"/>
      <c r="Y64" s="2618"/>
      <c r="Z64" s="2618"/>
      <c r="AA64" s="2618"/>
      <c r="AB64" s="2618"/>
      <c r="AC64" s="2618"/>
    </row>
    <row r="65" spans="1:29" ht="27.5">
      <c r="A65" s="2516" t="s">
        <v>2613</v>
      </c>
      <c r="B65" s="3831">
        <f>IF($F$2="Dolares",('Hoja de Trabajo'!C68*$B$1),'Hoja de Trabajo'!C68)</f>
        <v>0</v>
      </c>
      <c r="C65" s="3831"/>
      <c r="D65" s="3848">
        <f>IF($F$2="Dolares",('Hoja de Trabajo'!E68*$B$1),'Hoja de Trabajo'!E68)</f>
        <v>0</v>
      </c>
      <c r="E65" s="2508"/>
      <c r="F65" s="2516" t="s">
        <v>1627</v>
      </c>
      <c r="G65" s="2561">
        <f>+'Hoja de Trabajo'!H68</f>
        <v>0</v>
      </c>
      <c r="H65" s="2561"/>
      <c r="I65" s="2562">
        <f>+'Hoja de Trabajo'!J68</f>
        <v>0</v>
      </c>
      <c r="M65" s="3876" t="s">
        <v>1667</v>
      </c>
      <c r="N65" s="3875">
        <f t="shared" si="19"/>
        <v>0</v>
      </c>
      <c r="O65" s="3875">
        <f t="shared" si="19"/>
        <v>0</v>
      </c>
      <c r="P65" s="3875">
        <f t="shared" si="19"/>
        <v>0</v>
      </c>
      <c r="Q65" s="2499"/>
      <c r="R65" s="2499"/>
      <c r="S65" s="2499"/>
      <c r="T65" s="2499"/>
      <c r="U65" s="2499"/>
      <c r="V65" s="2499"/>
      <c r="W65" s="2499"/>
      <c r="X65" s="2499"/>
      <c r="Y65" s="2499"/>
      <c r="Z65" s="2499"/>
      <c r="AA65" s="2499"/>
      <c r="AB65" s="2499"/>
      <c r="AC65" s="2499"/>
    </row>
    <row r="66" spans="1:29" ht="28">
      <c r="A66" s="2528" t="s">
        <v>1630</v>
      </c>
      <c r="B66" s="3837">
        <f>SUM(B62:B65)</f>
        <v>0</v>
      </c>
      <c r="C66" s="3837"/>
      <c r="D66" s="3836">
        <f>SUM(D62:D65)</f>
        <v>0</v>
      </c>
      <c r="E66" s="2508"/>
      <c r="F66" s="2516" t="s">
        <v>1631</v>
      </c>
      <c r="G66" s="2561">
        <f>+'Hoja de Trabajo'!H69</f>
        <v>0</v>
      </c>
      <c r="H66" s="2561"/>
      <c r="I66" s="2562">
        <f>+'Hoja de Trabajo'!J69</f>
        <v>0</v>
      </c>
      <c r="M66" s="2600" t="s">
        <v>1670</v>
      </c>
      <c r="N66" s="2571">
        <f t="shared" si="19"/>
        <v>0</v>
      </c>
      <c r="O66" s="2571">
        <f t="shared" si="19"/>
        <v>0</v>
      </c>
      <c r="P66" s="2571">
        <f t="shared" si="19"/>
        <v>0</v>
      </c>
    </row>
    <row r="67" spans="1:29" ht="32.5" customHeight="1">
      <c r="A67" s="2516" t="s">
        <v>1632</v>
      </c>
      <c r="B67" s="3831">
        <f>IF($F$2="Dolares",('Hoja de Trabajo'!C70*$B$1),'Hoja de Trabajo'!C70)</f>
        <v>0</v>
      </c>
      <c r="C67" s="3831"/>
      <c r="D67" s="3848">
        <f>IF($F$2="Dolares",('Hoja de Trabajo'!E70*$B$1),'Hoja de Trabajo'!E70)</f>
        <v>0</v>
      </c>
      <c r="E67" s="2508"/>
      <c r="F67" s="2516" t="s">
        <v>1633</v>
      </c>
      <c r="G67" s="2561">
        <f>+G65+G66</f>
        <v>0</v>
      </c>
      <c r="H67" s="2561"/>
      <c r="I67" s="2562">
        <f>+I65+I66</f>
        <v>0</v>
      </c>
    </row>
    <row r="68" spans="1:29" ht="27.5">
      <c r="A68" s="2516" t="s">
        <v>1634</v>
      </c>
      <c r="B68" s="3831">
        <f>IF($F$2="Dolares",('Hoja de Trabajo'!C71*$B$1),'Hoja de Trabajo'!C71)</f>
        <v>0</v>
      </c>
      <c r="C68" s="3831"/>
      <c r="D68" s="3848">
        <f>IF($F$2="Dolares",('Hoja de Trabajo'!E71*$B$1),'Hoja de Trabajo'!E71)</f>
        <v>0</v>
      </c>
      <c r="E68" s="2508"/>
      <c r="F68" s="2516" t="s">
        <v>1635</v>
      </c>
      <c r="G68" s="2561">
        <f>+'Hoja de Trabajo'!H71</f>
        <v>0</v>
      </c>
      <c r="H68" s="2561"/>
      <c r="I68" s="2562">
        <f>+'Hoja de Trabajo'!J71</f>
        <v>0</v>
      </c>
    </row>
    <row r="69" spans="1:29" ht="28">
      <c r="A69" s="2528" t="s">
        <v>1638</v>
      </c>
      <c r="B69" s="3837">
        <f>SUM(B67:B68)</f>
        <v>0</v>
      </c>
      <c r="C69" s="3837"/>
      <c r="D69" s="3836">
        <f>SUM(D67:D68)</f>
        <v>0</v>
      </c>
      <c r="E69" s="2552"/>
      <c r="F69" s="2516" t="s">
        <v>1639</v>
      </c>
      <c r="G69" s="2561">
        <f>+G67-G68</f>
        <v>0</v>
      </c>
      <c r="H69" s="2561"/>
      <c r="I69" s="2562">
        <f>+I67-I68</f>
        <v>0</v>
      </c>
    </row>
    <row r="70" spans="1:29" ht="28">
      <c r="A70" s="2556" t="s">
        <v>763</v>
      </c>
      <c r="B70" s="3835">
        <f>B66+B69</f>
        <v>0</v>
      </c>
      <c r="C70" s="3835">
        <f>C66+C69</f>
        <v>0</v>
      </c>
      <c r="D70" s="3834">
        <f>D66+D69</f>
        <v>0</v>
      </c>
      <c r="E70" s="2508"/>
      <c r="F70" s="2551" t="s">
        <v>1641</v>
      </c>
      <c r="G70" s="2552"/>
      <c r="H70" s="2552"/>
      <c r="I70" s="2553"/>
    </row>
    <row r="71" spans="1:29" ht="28">
      <c r="A71" s="2551" t="s">
        <v>764</v>
      </c>
      <c r="B71" s="3833"/>
      <c r="C71" s="3833"/>
      <c r="D71" s="3832"/>
      <c r="E71" s="2508"/>
      <c r="F71" s="2516" t="s">
        <v>2599</v>
      </c>
      <c r="G71" s="2554">
        <f>IFERROR(B70/B60,0)</f>
        <v>0</v>
      </c>
      <c r="H71" s="2554"/>
      <c r="I71" s="2555">
        <f>IFERROR(D70/D60,0)</f>
        <v>0</v>
      </c>
    </row>
    <row r="72" spans="1:29" ht="27.5">
      <c r="A72" s="2516" t="s">
        <v>1645</v>
      </c>
      <c r="B72" s="3831">
        <f>IF($F$2="Dolares",('Hoja de Trabajo'!C75*$B$1),'Hoja de Trabajo'!C75)</f>
        <v>0</v>
      </c>
      <c r="C72" s="3831"/>
      <c r="D72" s="3848">
        <f>IF($F$2="Dolares",('Hoja de Trabajo'!E75*$B$1),'Hoja de Trabajo'!E75)</f>
        <v>0</v>
      </c>
      <c r="E72" s="2508"/>
      <c r="F72" s="2516" t="s">
        <v>2598</v>
      </c>
      <c r="G72" s="2554">
        <f>IFERROR((B62+B67)/B60,0)</f>
        <v>0</v>
      </c>
      <c r="H72" s="2554"/>
      <c r="I72" s="2555">
        <f>IFERROR((D62+D67)/D60,0)</f>
        <v>0</v>
      </c>
    </row>
    <row r="73" spans="1:29" ht="27.5">
      <c r="A73" s="2578" t="s">
        <v>1651</v>
      </c>
      <c r="B73" s="3831">
        <f>IF($F$2="Dolares",('Hoja de Trabajo'!C76*$B$1),'Hoja de Trabajo'!C76)</f>
        <v>0</v>
      </c>
      <c r="C73" s="3831"/>
      <c r="D73" s="3848">
        <f>IF($F$2="Dolares",('Hoja de Trabajo'!E76*$B$1),'Hoja de Trabajo'!E76)</f>
        <v>0</v>
      </c>
      <c r="E73" s="2581"/>
      <c r="F73" s="2578" t="s">
        <v>915</v>
      </c>
      <c r="G73" s="2554" t="str">
        <f>IFERROR((B62+B67)/((G46/B42)*12),"N/A")</f>
        <v>N/A</v>
      </c>
      <c r="H73" s="2554"/>
      <c r="I73" s="2555" t="str">
        <f>IFERROR((D62+D67)/((I46/D42)*12),"N/A")</f>
        <v>N/A</v>
      </c>
    </row>
    <row r="74" spans="1:29" ht="27.5">
      <c r="A74" s="2516" t="s">
        <v>1656</v>
      </c>
      <c r="B74" s="3831">
        <f>IF($F$2="Dolares",('Hoja de Trabajo'!C77*$B$1),'Hoja de Trabajo'!C77)</f>
        <v>0</v>
      </c>
      <c r="C74" s="3831"/>
      <c r="D74" s="3848">
        <f>IF($F$2="Dolares",('Hoja de Trabajo'!E77*$B$1),'Hoja de Trabajo'!E77)</f>
        <v>0</v>
      </c>
      <c r="E74" s="2508"/>
      <c r="F74" s="2516" t="s">
        <v>910</v>
      </c>
      <c r="G74" s="2598" t="str">
        <f>IFERROR((B62+B67)/((G49/B42)*12),"N/A")</f>
        <v>N/A</v>
      </c>
      <c r="H74" s="2598"/>
      <c r="I74" s="2599" t="str">
        <f>IFERROR((D62+D67)/((I49/D42)*12),"N/A")</f>
        <v>N/A</v>
      </c>
    </row>
    <row r="75" spans="1:29" ht="27.5">
      <c r="A75" s="2516" t="s">
        <v>1662</v>
      </c>
      <c r="B75" s="3831">
        <f>IF($F$2="Dolares",('Hoja de Trabajo'!C78*$B$1),'Hoja de Trabajo'!C78)</f>
        <v>0</v>
      </c>
      <c r="C75" s="3831"/>
      <c r="D75" s="3848">
        <f>IF($F$2="Dolares",('Hoja de Trabajo'!E78*$B$1),'Hoja de Trabajo'!E78)</f>
        <v>0</v>
      </c>
      <c r="E75" s="2508"/>
      <c r="F75" s="2516" t="s">
        <v>2622</v>
      </c>
      <c r="G75" s="2598" t="str">
        <f>IFERROR((B67)/G49,"N/A")</f>
        <v>N/A</v>
      </c>
      <c r="H75" s="2598"/>
      <c r="I75" s="2599" t="str">
        <f>IFERROR((D67)/((I49/D42)*12),"N/A")</f>
        <v>N/A</v>
      </c>
    </row>
    <row r="76" spans="1:29" ht="28">
      <c r="A76" s="2516" t="s">
        <v>1611</v>
      </c>
      <c r="B76" s="3831">
        <f>IF($F$2="Dolares",('Hoja de Trabajo'!C79*$B$1),'Hoja de Trabajo'!C79)</f>
        <v>0</v>
      </c>
      <c r="C76" s="3831"/>
      <c r="D76" s="3848">
        <f>IF($F$2="Dolares",('Hoja de Trabajo'!E79*$B$1),'Hoja de Trabajo'!E79)</f>
        <v>0</v>
      </c>
      <c r="E76" s="2508"/>
      <c r="F76" s="2551" t="s">
        <v>1666</v>
      </c>
      <c r="G76" s="2598"/>
      <c r="H76" s="2598"/>
      <c r="I76" s="2599"/>
    </row>
    <row r="77" spans="1:29" ht="27.5">
      <c r="A77" s="2633"/>
      <c r="B77" s="3829"/>
      <c r="C77" s="3829"/>
      <c r="D77" s="3828"/>
      <c r="E77" s="2508"/>
      <c r="F77" s="2516" t="s">
        <v>1669</v>
      </c>
      <c r="G77" s="2598">
        <f>IFERROR(G49/(G50*-1),0)</f>
        <v>0</v>
      </c>
      <c r="H77" s="2598"/>
      <c r="I77" s="2599">
        <f>IFERROR(I49/(I50*-1),0)</f>
        <v>0</v>
      </c>
    </row>
    <row r="78" spans="1:29" ht="28">
      <c r="A78" s="2642" t="s">
        <v>793</v>
      </c>
      <c r="B78" s="3826">
        <f>SUM(B72:B76)</f>
        <v>0</v>
      </c>
      <c r="C78" s="3826">
        <f>SUM(C72:C76)</f>
        <v>0</v>
      </c>
      <c r="D78" s="3825">
        <f>SUM(D72:D76)</f>
        <v>0</v>
      </c>
      <c r="E78" s="2643"/>
      <c r="F78" s="2644"/>
      <c r="G78" s="3874"/>
      <c r="H78" s="3874"/>
      <c r="I78" s="3873"/>
    </row>
    <row r="79" spans="1:29" ht="15" thickBot="1"/>
    <row r="80" spans="1:29" ht="31.5" thickBot="1">
      <c r="A80" s="3822" t="s">
        <v>2597</v>
      </c>
      <c r="B80" s="3821">
        <f>+B60-B70-B78</f>
        <v>0</v>
      </c>
      <c r="C80" s="3821">
        <f>+C60-C70-C78</f>
        <v>0</v>
      </c>
      <c r="D80" s="3820">
        <f>+D60-D70-D78</f>
        <v>0</v>
      </c>
    </row>
    <row r="82" spans="1:9" ht="21">
      <c r="A82" s="3872" t="s">
        <v>2621</v>
      </c>
    </row>
    <row r="84" spans="1:9" ht="28">
      <c r="A84" s="3573" t="s">
        <v>899</v>
      </c>
      <c r="B84" s="3574"/>
      <c r="C84" s="3574"/>
      <c r="D84" s="3575"/>
      <c r="E84" s="2508"/>
      <c r="F84" s="3573" t="s">
        <v>1592</v>
      </c>
      <c r="G84" s="3574"/>
      <c r="H84" s="3574"/>
      <c r="I84" s="3575"/>
    </row>
    <row r="85" spans="1:9" ht="28">
      <c r="A85" s="2513"/>
      <c r="B85" s="2514" t="str">
        <f>+'Hoja de Trabajo'!$C$9</f>
        <v>Dic 17</v>
      </c>
      <c r="C85" s="2514" t="str">
        <f>+'Hoja de Trabajo'!$D$9</f>
        <v>Dic 18</v>
      </c>
      <c r="D85" s="3575" t="str">
        <f>+'Hoja de Trabajo'!$E$9</f>
        <v>Dic 19</v>
      </c>
      <c r="E85" s="2508"/>
      <c r="F85" s="2513"/>
      <c r="G85" s="2514" t="str">
        <f>+B85</f>
        <v>Dic 17</v>
      </c>
      <c r="H85" s="2514" t="str">
        <f>+C85</f>
        <v>Dic 18</v>
      </c>
      <c r="I85" s="3575" t="str">
        <f>+D85</f>
        <v>Dic 19</v>
      </c>
    </row>
    <row r="86" spans="1:9" ht="27.5">
      <c r="A86" s="2515" t="s">
        <v>2394</v>
      </c>
      <c r="B86" s="3854">
        <f>+B6</f>
        <v>7</v>
      </c>
      <c r="C86" s="3854">
        <f>+C6</f>
        <v>7</v>
      </c>
      <c r="D86" s="3854">
        <f>+D6</f>
        <v>7</v>
      </c>
      <c r="E86" s="2508"/>
      <c r="F86" s="2516" t="s">
        <v>2611</v>
      </c>
      <c r="G86" s="3831"/>
      <c r="H86" s="3831"/>
      <c r="I86" s="3848"/>
    </row>
    <row r="87" spans="1:9" ht="28">
      <c r="A87" s="2520" t="s">
        <v>541</v>
      </c>
      <c r="B87" s="2521"/>
      <c r="C87" s="2521"/>
      <c r="D87" s="2522"/>
      <c r="E87" s="2508"/>
      <c r="F87" s="2516" t="s">
        <v>1594</v>
      </c>
      <c r="G87" s="3831"/>
      <c r="H87" s="3831"/>
      <c r="I87" s="3848"/>
    </row>
    <row r="88" spans="1:9" ht="28">
      <c r="A88" s="2516" t="s">
        <v>543</v>
      </c>
      <c r="B88" s="3831">
        <f>'Hoja de Trabajo'!C12</f>
        <v>0</v>
      </c>
      <c r="C88" s="3831">
        <f>'Hoja de Trabajo'!D12</f>
        <v>0</v>
      </c>
      <c r="D88" s="3848">
        <f>'Hoja de Trabajo'!E12</f>
        <v>0</v>
      </c>
      <c r="E88" s="2559"/>
      <c r="F88" s="2528" t="s">
        <v>1480</v>
      </c>
      <c r="G88" s="3837">
        <f>G86+G87</f>
        <v>0</v>
      </c>
      <c r="H88" s="3837">
        <f>H86+H87</f>
        <v>0</v>
      </c>
      <c r="I88" s="3836">
        <f>I86+I87</f>
        <v>0</v>
      </c>
    </row>
    <row r="89" spans="1:9" ht="27.5">
      <c r="A89" s="2516" t="s">
        <v>2620</v>
      </c>
      <c r="B89" s="3831">
        <f>'Hoja de Trabajo'!C13</f>
        <v>0</v>
      </c>
      <c r="C89" s="3831">
        <f>'Hoja de Trabajo'!D13</f>
        <v>0</v>
      </c>
      <c r="D89" s="3848">
        <f>'Hoja de Trabajo'!E13</f>
        <v>0</v>
      </c>
      <c r="E89" s="2559"/>
      <c r="F89" s="2516" t="s">
        <v>2610</v>
      </c>
      <c r="G89" s="3831"/>
      <c r="H89" s="3831"/>
      <c r="I89" s="3848"/>
    </row>
    <row r="90" spans="1:9" ht="27.5">
      <c r="A90" s="2516" t="s">
        <v>1598</v>
      </c>
      <c r="B90" s="3831">
        <f>'Hoja de Trabajo'!C14</f>
        <v>0</v>
      </c>
      <c r="C90" s="3831">
        <f>'Hoja de Trabajo'!D14</f>
        <v>0</v>
      </c>
      <c r="D90" s="3848">
        <f>'Hoja de Trabajo'!E14</f>
        <v>0</v>
      </c>
      <c r="E90" s="2559"/>
      <c r="F90" s="2516" t="s">
        <v>1497</v>
      </c>
      <c r="G90" s="3831"/>
      <c r="H90" s="3831"/>
      <c r="I90" s="3848"/>
    </row>
    <row r="91" spans="1:9" ht="28">
      <c r="A91" s="2538" t="s">
        <v>2619</v>
      </c>
      <c r="B91" s="3831">
        <f>'Hoja de Trabajo'!C15</f>
        <v>0</v>
      </c>
      <c r="C91" s="3831">
        <f>'Hoja de Trabajo'!D15</f>
        <v>0</v>
      </c>
      <c r="D91" s="3848">
        <f>'Hoja de Trabajo'!E15</f>
        <v>0</v>
      </c>
      <c r="E91" s="2559"/>
      <c r="F91" s="2528" t="s">
        <v>2609</v>
      </c>
      <c r="G91" s="3831">
        <f>+G89+G90</f>
        <v>0</v>
      </c>
      <c r="H91" s="3831">
        <f>+H89+H90</f>
        <v>0</v>
      </c>
      <c r="I91" s="3848">
        <f>+I89+I90</f>
        <v>0</v>
      </c>
    </row>
    <row r="92" spans="1:9" ht="27.5">
      <c r="A92" s="2516" t="s">
        <v>663</v>
      </c>
      <c r="B92" s="3831">
        <f>'Hoja de Trabajo'!C16</f>
        <v>0</v>
      </c>
      <c r="C92" s="3831">
        <f>'Hoja de Trabajo'!D16</f>
        <v>0</v>
      </c>
      <c r="D92" s="3848">
        <f>'Hoja de Trabajo'!E16</f>
        <v>0</v>
      </c>
      <c r="E92" s="2559"/>
      <c r="F92" s="2516" t="s">
        <v>2584</v>
      </c>
      <c r="G92" s="3831"/>
      <c r="H92" s="3831"/>
      <c r="I92" s="3848"/>
    </row>
    <row r="93" spans="1:9" ht="28">
      <c r="A93" s="2528" t="s">
        <v>1603</v>
      </c>
      <c r="B93" s="3837">
        <f>SUM(B88:B92)</f>
        <v>0</v>
      </c>
      <c r="C93" s="3837">
        <f>SUM(C88:C92)</f>
        <v>0</v>
      </c>
      <c r="D93" s="3836">
        <f>SUM(D88:D92)</f>
        <v>0</v>
      </c>
      <c r="E93" s="2508"/>
      <c r="F93" s="2528" t="s">
        <v>2608</v>
      </c>
      <c r="G93" s="3831">
        <f>+G88+G91+G92</f>
        <v>0</v>
      </c>
      <c r="H93" s="3831">
        <f>+H88+H91+H92</f>
        <v>0</v>
      </c>
      <c r="I93" s="3848">
        <f>+I88+I91+I92</f>
        <v>0</v>
      </c>
    </row>
    <row r="94" spans="1:9" ht="28">
      <c r="A94" s="2516" t="s">
        <v>2618</v>
      </c>
      <c r="B94" s="3831">
        <f>'Hoja de Trabajo'!C18</f>
        <v>0</v>
      </c>
      <c r="C94" s="3831">
        <f>'Hoja de Trabajo'!D18</f>
        <v>0</v>
      </c>
      <c r="D94" s="3848">
        <f>'Hoja de Trabajo'!E18</f>
        <v>0</v>
      </c>
      <c r="E94" s="2508"/>
      <c r="F94" s="2528" t="s">
        <v>2607</v>
      </c>
      <c r="G94" s="3837"/>
      <c r="H94" s="3837"/>
      <c r="I94" s="3836"/>
    </row>
    <row r="95" spans="1:9" ht="27.5">
      <c r="A95" s="2516" t="s">
        <v>1491</v>
      </c>
      <c r="B95" s="3831">
        <f>'Hoja de Trabajo'!C19</f>
        <v>0</v>
      </c>
      <c r="C95" s="3831">
        <f>'Hoja de Trabajo'!D19</f>
        <v>0</v>
      </c>
      <c r="D95" s="3848">
        <f>'Hoja de Trabajo'!E19</f>
        <v>0</v>
      </c>
      <c r="E95" s="2508"/>
      <c r="F95" s="2516" t="s">
        <v>2606</v>
      </c>
      <c r="G95" s="3831"/>
      <c r="H95" s="3831"/>
      <c r="I95" s="3848"/>
    </row>
    <row r="96" spans="1:9" ht="27.5">
      <c r="A96" s="2516" t="s">
        <v>2617</v>
      </c>
      <c r="B96" s="3831">
        <f>'Hoja de Trabajo'!C20</f>
        <v>0</v>
      </c>
      <c r="C96" s="3831">
        <f>'Hoja de Trabajo'!D20</f>
        <v>0</v>
      </c>
      <c r="D96" s="3848">
        <f>'Hoja de Trabajo'!E20</f>
        <v>0</v>
      </c>
      <c r="E96" s="2508"/>
      <c r="F96" s="2516" t="s">
        <v>811</v>
      </c>
      <c r="G96" s="3831"/>
      <c r="H96" s="3831"/>
      <c r="I96" s="3848"/>
    </row>
    <row r="97" spans="1:9" ht="28">
      <c r="A97" s="2516" t="s">
        <v>1609</v>
      </c>
      <c r="B97" s="3831">
        <f>'Hoja de Trabajo'!C21</f>
        <v>0</v>
      </c>
      <c r="C97" s="3831">
        <f>'Hoja de Trabajo'!D21</f>
        <v>0</v>
      </c>
      <c r="D97" s="3848">
        <f>'Hoja de Trabajo'!E21</f>
        <v>0</v>
      </c>
      <c r="E97" s="2508"/>
      <c r="F97" s="2544" t="s">
        <v>1487</v>
      </c>
      <c r="G97" s="3847">
        <f>+G88+G91+G92+G95+G96</f>
        <v>0</v>
      </c>
      <c r="H97" s="3847">
        <f>+H88+H91+H92+H95+H96</f>
        <v>0</v>
      </c>
      <c r="I97" s="3871">
        <f>+I88+I91+I92+I95+I96</f>
        <v>0</v>
      </c>
    </row>
    <row r="98" spans="1:9" ht="28">
      <c r="A98" s="2516" t="s">
        <v>1611</v>
      </c>
      <c r="B98" s="3831">
        <f>'Hoja de Trabajo'!C22</f>
        <v>0</v>
      </c>
      <c r="C98" s="3831">
        <f>'Hoja de Trabajo'!D22</f>
        <v>0</v>
      </c>
      <c r="D98" s="3848">
        <f>'Hoja de Trabajo'!E22</f>
        <v>0</v>
      </c>
      <c r="E98" s="2508"/>
      <c r="F98" s="3573" t="s">
        <v>1607</v>
      </c>
      <c r="G98" s="3574"/>
      <c r="H98" s="3574"/>
      <c r="I98" s="3575"/>
    </row>
    <row r="99" spans="1:9" ht="28.5" thickBot="1">
      <c r="A99" s="2528" t="s">
        <v>1614</v>
      </c>
      <c r="B99" s="3837">
        <f>SUM(B94:B98)</f>
        <v>0</v>
      </c>
      <c r="C99" s="3837">
        <f>SUM(C94:C98)</f>
        <v>0</v>
      </c>
      <c r="D99" s="3836">
        <f>SUM(D94:D98)</f>
        <v>0</v>
      </c>
      <c r="E99" s="2508"/>
      <c r="F99" s="2513"/>
      <c r="G99" s="2514" t="str">
        <f>+G85</f>
        <v>Dic 17</v>
      </c>
      <c r="H99" s="2514" t="str">
        <f>+H85</f>
        <v>Dic 18</v>
      </c>
      <c r="I99" s="2840" t="str">
        <f>+I85</f>
        <v>Dic 19</v>
      </c>
    </row>
    <row r="100" spans="1:9" ht="28">
      <c r="A100" s="3870" t="s">
        <v>671</v>
      </c>
      <c r="B100" s="3842">
        <f>B93+B99</f>
        <v>0</v>
      </c>
      <c r="C100" s="3842">
        <f>C93+C99</f>
        <v>0</v>
      </c>
      <c r="D100" s="3869">
        <f>D93+D99</f>
        <v>0</v>
      </c>
      <c r="E100" s="2508"/>
      <c r="F100" s="3868" t="s">
        <v>1612</v>
      </c>
      <c r="G100" s="3867"/>
      <c r="H100" s="3867"/>
      <c r="I100" s="3866"/>
    </row>
    <row r="101" spans="1:9" ht="28">
      <c r="A101" s="2551" t="s">
        <v>678</v>
      </c>
      <c r="B101" s="3833"/>
      <c r="C101" s="3833"/>
      <c r="D101" s="3832"/>
      <c r="E101" s="2508"/>
      <c r="F101" s="3827" t="s">
        <v>2605</v>
      </c>
      <c r="G101" s="2554" t="str">
        <f>IFERROR(G88/G86,"")</f>
        <v/>
      </c>
      <c r="H101" s="2554" t="str">
        <f>IFERROR(H88/H86,"")</f>
        <v/>
      </c>
      <c r="I101" s="3861" t="str">
        <f>IFERROR(I88/I86,"")</f>
        <v/>
      </c>
    </row>
    <row r="102" spans="1:9" ht="27.5">
      <c r="A102" s="2516" t="s">
        <v>2616</v>
      </c>
      <c r="B102" s="3831">
        <f>'Hoja de Trabajo'!C26</f>
        <v>0</v>
      </c>
      <c r="C102" s="3831">
        <f>'Hoja de Trabajo'!D26</f>
        <v>0</v>
      </c>
      <c r="D102" s="3848">
        <f>'Hoja de Trabajo'!E26</f>
        <v>0</v>
      </c>
      <c r="E102" s="2508"/>
      <c r="F102" s="3827" t="s">
        <v>2604</v>
      </c>
      <c r="G102" s="2554" t="str">
        <f>IFERROR(G91/G89,"")</f>
        <v/>
      </c>
      <c r="H102" s="2554" t="str">
        <f>IFERROR(H91/H89,"")</f>
        <v/>
      </c>
      <c r="I102" s="3861" t="str">
        <f>IFERROR(I91/I89,"")</f>
        <v/>
      </c>
    </row>
    <row r="103" spans="1:9" ht="27.5">
      <c r="A103" s="2516" t="s">
        <v>2615</v>
      </c>
      <c r="B103" s="3831">
        <f>'Hoja de Trabajo'!C27</f>
        <v>0</v>
      </c>
      <c r="C103" s="3831">
        <f>'Hoja de Trabajo'!D27</f>
        <v>0</v>
      </c>
      <c r="D103" s="3848">
        <f>'Hoja de Trabajo'!E27</f>
        <v>0</v>
      </c>
      <c r="E103" s="2508"/>
      <c r="F103" s="3827" t="s">
        <v>2614</v>
      </c>
      <c r="G103" s="2554" t="str">
        <f>IFERROR(G93/(G86+G89),"")</f>
        <v/>
      </c>
      <c r="H103" s="2554" t="str">
        <f>IFERROR(H93/(H86+H89),"")</f>
        <v/>
      </c>
      <c r="I103" s="3861" t="str">
        <f>IFERROR(I93/(I89+I86),"")</f>
        <v/>
      </c>
    </row>
    <row r="104" spans="1:9" ht="27.5">
      <c r="A104" s="2538" t="s">
        <v>1623</v>
      </c>
      <c r="B104" s="3831">
        <f>'Hoja de Trabajo'!C28</f>
        <v>0</v>
      </c>
      <c r="C104" s="3831">
        <f>'Hoja de Trabajo'!D28</f>
        <v>0</v>
      </c>
      <c r="D104" s="3848">
        <f>'Hoja de Trabajo'!E28</f>
        <v>0</v>
      </c>
      <c r="E104" s="2508"/>
      <c r="F104" s="3827" t="s">
        <v>882</v>
      </c>
      <c r="G104" s="2554" t="str">
        <f>IFERROR(G94/(G86+G89),"")</f>
        <v/>
      </c>
      <c r="H104" s="2554" t="str">
        <f>IFERROR(H94/(H86+H89),"")</f>
        <v/>
      </c>
      <c r="I104" s="3861" t="str">
        <f>IFERROR(I94/(I89+I86),"")</f>
        <v/>
      </c>
    </row>
    <row r="105" spans="1:9" ht="27.5">
      <c r="A105" s="2516" t="s">
        <v>2613</v>
      </c>
      <c r="B105" s="3831">
        <f>'Hoja de Trabajo'!C29</f>
        <v>0</v>
      </c>
      <c r="C105" s="3831">
        <f>'Hoja de Trabajo'!D29</f>
        <v>0</v>
      </c>
      <c r="D105" s="3848">
        <f>'Hoja de Trabajo'!E29</f>
        <v>0</v>
      </c>
      <c r="E105" s="2508"/>
      <c r="F105" s="3827" t="s">
        <v>883</v>
      </c>
      <c r="G105" s="2554" t="str">
        <f>IFERROR(G97/(G86+G89),"")</f>
        <v/>
      </c>
      <c r="H105" s="2554" t="str">
        <f>IFERROR(H97/(H86+H89),"")</f>
        <v/>
      </c>
      <c r="I105" s="3861" t="str">
        <f>IFERROR(I97/(I89+I86),"")</f>
        <v/>
      </c>
    </row>
    <row r="106" spans="1:9" ht="28">
      <c r="A106" s="2528" t="s">
        <v>1630</v>
      </c>
      <c r="B106" s="3837">
        <f>SUM(B102:B105)</f>
        <v>0</v>
      </c>
      <c r="C106" s="3837">
        <f>SUM(C102:C105)</f>
        <v>0</v>
      </c>
      <c r="D106" s="3836">
        <f>SUM(D102:D105)</f>
        <v>0</v>
      </c>
      <c r="E106" s="2508"/>
      <c r="F106" s="3863" t="s">
        <v>1621</v>
      </c>
      <c r="G106" s="2552"/>
      <c r="H106" s="2552"/>
      <c r="I106" s="3865"/>
    </row>
    <row r="107" spans="1:9" ht="27.5">
      <c r="A107" s="2516" t="s">
        <v>1632</v>
      </c>
      <c r="B107" s="3831">
        <f>'Hoja de Trabajo'!C31</f>
        <v>0</v>
      </c>
      <c r="C107" s="3831">
        <f>'Hoja de Trabajo'!D31</f>
        <v>0</v>
      </c>
      <c r="D107" s="3848">
        <f>'Hoja de Trabajo'!E31</f>
        <v>0</v>
      </c>
      <c r="E107" s="2508"/>
      <c r="F107" s="3827" t="s">
        <v>2602</v>
      </c>
      <c r="G107" s="3840"/>
      <c r="H107" s="3839" t="str">
        <f>+IFERROR((H86-G86)/G86,"")</f>
        <v/>
      </c>
      <c r="I107" s="3838" t="str">
        <f>+IFERROR((((I86/$D$2)*12)-H86)/H86,"")</f>
        <v/>
      </c>
    </row>
    <row r="108" spans="1:9" ht="27.5">
      <c r="A108" s="2516" t="s">
        <v>1634</v>
      </c>
      <c r="B108" s="3831">
        <f>'Hoja de Trabajo'!C32</f>
        <v>0</v>
      </c>
      <c r="C108" s="3831">
        <f>'Hoja de Trabajo'!D32</f>
        <v>0</v>
      </c>
      <c r="D108" s="3848">
        <f>'Hoja de Trabajo'!E32</f>
        <v>0</v>
      </c>
      <c r="E108" s="2508"/>
      <c r="F108" s="3827" t="s">
        <v>2601</v>
      </c>
      <c r="G108" s="3840"/>
      <c r="H108" s="3839" t="str">
        <f>+IFERROR((H89-G89)/G89,"")</f>
        <v/>
      </c>
      <c r="I108" s="3838" t="str">
        <f>+IFERROR((((I89/$D$2)*12)-H89)/H89,"")</f>
        <v/>
      </c>
    </row>
    <row r="109" spans="1:9" ht="28">
      <c r="A109" s="2528" t="s">
        <v>1638</v>
      </c>
      <c r="B109" s="3837">
        <f>SUM(B107:B108)</f>
        <v>0</v>
      </c>
      <c r="C109" s="3837">
        <f>SUM(C107:C108)</f>
        <v>0</v>
      </c>
      <c r="D109" s="3836">
        <f>SUM(D107:D108)</f>
        <v>0</v>
      </c>
      <c r="E109" s="2552"/>
      <c r="F109" s="3827" t="s">
        <v>1512</v>
      </c>
      <c r="G109" s="2561">
        <f t="shared" ref="G109:I110" si="20">+G25</f>
        <v>0</v>
      </c>
      <c r="H109" s="2561">
        <f t="shared" si="20"/>
        <v>0</v>
      </c>
      <c r="I109" s="3864">
        <f t="shared" si="20"/>
        <v>0</v>
      </c>
    </row>
    <row r="110" spans="1:9" ht="28">
      <c r="A110" s="2556" t="s">
        <v>763</v>
      </c>
      <c r="B110" s="3835">
        <f>B106+B109</f>
        <v>0</v>
      </c>
      <c r="C110" s="3835">
        <f>C106+C109</f>
        <v>0</v>
      </c>
      <c r="D110" s="3834">
        <f>D106+D109</f>
        <v>0</v>
      </c>
      <c r="E110" s="2508"/>
      <c r="F110" s="3827" t="s">
        <v>2600</v>
      </c>
      <c r="G110" s="2561">
        <f t="shared" si="20"/>
        <v>0</v>
      </c>
      <c r="H110" s="2561">
        <f t="shared" si="20"/>
        <v>0</v>
      </c>
      <c r="I110" s="3864">
        <f t="shared" si="20"/>
        <v>0</v>
      </c>
    </row>
    <row r="111" spans="1:9" ht="28">
      <c r="A111" s="2551" t="s">
        <v>764</v>
      </c>
      <c r="B111" s="3833"/>
      <c r="C111" s="3833"/>
      <c r="D111" s="3832"/>
      <c r="E111" s="2508"/>
      <c r="F111" s="3827" t="s">
        <v>1633</v>
      </c>
      <c r="G111" s="2561">
        <f>+G109+G110</f>
        <v>0</v>
      </c>
      <c r="H111" s="2561">
        <f>+H109+H110</f>
        <v>0</v>
      </c>
      <c r="I111" s="3864">
        <f>+I109+I110</f>
        <v>0</v>
      </c>
    </row>
    <row r="112" spans="1:9" ht="27.5">
      <c r="A112" s="2516" t="s">
        <v>1645</v>
      </c>
      <c r="B112" s="3831">
        <f>'Hoja de Trabajo'!C36</f>
        <v>0</v>
      </c>
      <c r="C112" s="3831">
        <f>'Hoja de Trabajo'!D36</f>
        <v>0</v>
      </c>
      <c r="D112" s="3848">
        <f>'Hoja de Trabajo'!E36</f>
        <v>0</v>
      </c>
      <c r="E112" s="2508"/>
      <c r="F112" s="3827" t="s">
        <v>1635</v>
      </c>
      <c r="G112" s="2561">
        <f>+G28</f>
        <v>0</v>
      </c>
      <c r="H112" s="2561">
        <f>+H28</f>
        <v>0</v>
      </c>
      <c r="I112" s="3864">
        <f>+I28</f>
        <v>0</v>
      </c>
    </row>
    <row r="113" spans="1:9" ht="27.5">
      <c r="A113" s="2578" t="s">
        <v>1651</v>
      </c>
      <c r="B113" s="3831">
        <f>'Hoja de Trabajo'!C37</f>
        <v>0</v>
      </c>
      <c r="C113" s="3831">
        <f>'Hoja de Trabajo'!D37</f>
        <v>0</v>
      </c>
      <c r="D113" s="3848">
        <f>'Hoja de Trabajo'!E37</f>
        <v>0</v>
      </c>
      <c r="E113" s="2581"/>
      <c r="F113" s="3827" t="s">
        <v>1639</v>
      </c>
      <c r="G113" s="2561">
        <f>+G111-G112</f>
        <v>0</v>
      </c>
      <c r="H113" s="2561">
        <f>+H111-H112</f>
        <v>0</v>
      </c>
      <c r="I113" s="3864">
        <f>+I111-I112</f>
        <v>0</v>
      </c>
    </row>
    <row r="114" spans="1:9" ht="28">
      <c r="A114" s="2516" t="s">
        <v>1656</v>
      </c>
      <c r="B114" s="3831">
        <f>'Hoja de Trabajo'!C38</f>
        <v>0</v>
      </c>
      <c r="C114" s="3831">
        <f>'Hoja de Trabajo'!D38</f>
        <v>0</v>
      </c>
      <c r="D114" s="3848">
        <f>'Hoja de Trabajo'!E38</f>
        <v>0</v>
      </c>
      <c r="E114" s="2508"/>
      <c r="F114" s="3863" t="s">
        <v>1641</v>
      </c>
      <c r="G114" s="2554"/>
      <c r="H114" s="2554"/>
      <c r="I114" s="3861"/>
    </row>
    <row r="115" spans="1:9" ht="27.5">
      <c r="A115" s="2516" t="s">
        <v>1662</v>
      </c>
      <c r="B115" s="3831">
        <f>'Hoja de Trabajo'!C39</f>
        <v>0</v>
      </c>
      <c r="C115" s="3831">
        <f>'Hoja de Trabajo'!D39</f>
        <v>0</v>
      </c>
      <c r="D115" s="3848">
        <f>'Hoja de Trabajo'!E39</f>
        <v>0</v>
      </c>
      <c r="E115" s="2508"/>
      <c r="F115" s="3862" t="s">
        <v>2599</v>
      </c>
      <c r="G115" s="2554">
        <f t="shared" ref="G115:I116" si="21">+G31</f>
        <v>0</v>
      </c>
      <c r="H115" s="2554">
        <f t="shared" si="21"/>
        <v>0</v>
      </c>
      <c r="I115" s="3861">
        <f t="shared" si="21"/>
        <v>0</v>
      </c>
    </row>
    <row r="116" spans="1:9" ht="27.5">
      <c r="A116" s="2516" t="s">
        <v>1611</v>
      </c>
      <c r="B116" s="3831">
        <f>'Hoja de Trabajo'!C40</f>
        <v>0</v>
      </c>
      <c r="C116" s="3831">
        <f>'Hoja de Trabajo'!D40</f>
        <v>0</v>
      </c>
      <c r="D116" s="3848">
        <f>'Hoja de Trabajo'!E40</f>
        <v>0</v>
      </c>
      <c r="E116" s="2508"/>
      <c r="F116" s="3862" t="s">
        <v>2598</v>
      </c>
      <c r="G116" s="2554">
        <f t="shared" si="21"/>
        <v>0</v>
      </c>
      <c r="H116" s="2554">
        <f t="shared" si="21"/>
        <v>0</v>
      </c>
      <c r="I116" s="3861">
        <f t="shared" si="21"/>
        <v>0</v>
      </c>
    </row>
    <row r="117" spans="1:9" ht="27.5">
      <c r="A117" s="2633"/>
      <c r="B117" s="3829"/>
      <c r="C117" s="3829"/>
      <c r="D117" s="3828"/>
      <c r="E117" s="2508"/>
      <c r="F117" s="3827" t="s">
        <v>910</v>
      </c>
      <c r="G117" s="2598">
        <f>+G34</f>
        <v>0</v>
      </c>
      <c r="H117" s="2598">
        <f>+H34</f>
        <v>0</v>
      </c>
      <c r="I117" s="3860">
        <f>+I34</f>
        <v>0</v>
      </c>
    </row>
    <row r="118" spans="1:9" ht="28.5" thickBot="1">
      <c r="A118" s="2642" t="s">
        <v>793</v>
      </c>
      <c r="B118" s="3826">
        <f>SUM(B112:B116)</f>
        <v>0</v>
      </c>
      <c r="C118" s="3826">
        <f>SUM(C112:C116)</f>
        <v>0</v>
      </c>
      <c r="D118" s="3825">
        <f>SUM(D112:D116)</f>
        <v>0</v>
      </c>
      <c r="E118" s="2643"/>
      <c r="F118" s="3824" t="s">
        <v>1669</v>
      </c>
      <c r="G118" s="3859">
        <f>+G37</f>
        <v>0</v>
      </c>
      <c r="H118" s="3859">
        <f>+H37</f>
        <v>0</v>
      </c>
      <c r="I118" s="3858">
        <f>+I37</f>
        <v>0</v>
      </c>
    </row>
    <row r="119" spans="1:9" ht="28" thickBot="1">
      <c r="F119" s="2552"/>
      <c r="G119" s="2598"/>
      <c r="H119" s="2598"/>
      <c r="I119" s="2598"/>
    </row>
    <row r="120" spans="1:9" ht="31.5" thickBot="1">
      <c r="A120" s="3822" t="s">
        <v>2597</v>
      </c>
      <c r="B120" s="3821">
        <f>+B100-B110-B118</f>
        <v>0</v>
      </c>
      <c r="C120" s="3821">
        <f>+C100-C110-C118</f>
        <v>0</v>
      </c>
      <c r="D120" s="3820">
        <f>+D100-D110-D118</f>
        <v>0</v>
      </c>
    </row>
    <row r="121" spans="1:9" ht="31">
      <c r="A121" s="3857" t="s">
        <v>2612</v>
      </c>
      <c r="B121" s="3857"/>
      <c r="C121" s="3857"/>
      <c r="D121" s="3857"/>
      <c r="E121" s="3856"/>
    </row>
    <row r="122" spans="1:9" ht="28">
      <c r="A122" s="3573" t="s">
        <v>899</v>
      </c>
      <c r="B122" s="3574"/>
      <c r="C122" s="3574"/>
      <c r="D122" s="3575"/>
      <c r="E122" s="2508"/>
      <c r="F122" s="3573" t="s">
        <v>1592</v>
      </c>
      <c r="G122" s="3574"/>
      <c r="H122" s="3574"/>
      <c r="I122" s="3575"/>
    </row>
    <row r="123" spans="1:9" ht="28">
      <c r="A123" s="2513"/>
      <c r="B123" s="2514" t="str">
        <f>+'Hoja de Trabajo'!$C$9</f>
        <v>Dic 17</v>
      </c>
      <c r="C123" s="2514" t="str">
        <f>+'Hoja de Trabajo'!$D$9</f>
        <v>Dic 18</v>
      </c>
      <c r="D123" s="3575" t="str">
        <f>+'Hoja de Trabajo'!$E$9</f>
        <v>Dic 19</v>
      </c>
      <c r="E123" s="2508"/>
      <c r="F123" s="2513"/>
      <c r="G123" s="2514" t="str">
        <f>+B123</f>
        <v>Dic 17</v>
      </c>
      <c r="H123" s="2514" t="str">
        <f>+C123</f>
        <v>Dic 18</v>
      </c>
      <c r="I123" s="3575" t="str">
        <f>+D123</f>
        <v>Dic 19</v>
      </c>
    </row>
    <row r="124" spans="1:9" ht="27.5">
      <c r="A124" s="3855" t="s">
        <v>2394</v>
      </c>
      <c r="B124" s="3854">
        <f>+B86</f>
        <v>7</v>
      </c>
      <c r="C124" s="3854">
        <f>+C86</f>
        <v>7</v>
      </c>
      <c r="D124" s="3853">
        <f>+D86</f>
        <v>7</v>
      </c>
      <c r="E124" s="2508"/>
      <c r="F124" s="2516" t="s">
        <v>2611</v>
      </c>
      <c r="G124" s="3831">
        <f t="shared" ref="G124:I125" si="22">+G86*$B$1</f>
        <v>0</v>
      </c>
      <c r="H124" s="3831">
        <f t="shared" si="22"/>
        <v>0</v>
      </c>
      <c r="I124" s="3848">
        <f t="shared" si="22"/>
        <v>0</v>
      </c>
    </row>
    <row r="125" spans="1:9" ht="28">
      <c r="A125" s="3852" t="s">
        <v>541</v>
      </c>
      <c r="B125" s="3851"/>
      <c r="C125" s="3851"/>
      <c r="D125" s="3850"/>
      <c r="E125" s="2508"/>
      <c r="F125" s="2516" t="s">
        <v>1594</v>
      </c>
      <c r="G125" s="3831">
        <f t="shared" si="22"/>
        <v>0</v>
      </c>
      <c r="H125" s="3831">
        <f t="shared" si="22"/>
        <v>0</v>
      </c>
      <c r="I125" s="3848">
        <f t="shared" si="22"/>
        <v>0</v>
      </c>
    </row>
    <row r="126" spans="1:9" ht="28">
      <c r="A126" s="3846" t="str">
        <f t="shared" ref="A126:A156" si="23">+A88</f>
        <v>Caja</v>
      </c>
      <c r="B126" s="3831">
        <f>+B88*'Resumen de Cifras'!$B$1</f>
        <v>0</v>
      </c>
      <c r="C126" s="3831">
        <f>+C88*'Resumen de Cifras'!$B$1</f>
        <v>0</v>
      </c>
      <c r="D126" s="3830">
        <f>+D88*'Resumen de Cifras'!$B$1</f>
        <v>0</v>
      </c>
      <c r="E126" s="2559"/>
      <c r="F126" s="2528" t="s">
        <v>1480</v>
      </c>
      <c r="G126" s="3837">
        <f>G124+G125</f>
        <v>0</v>
      </c>
      <c r="H126" s="3837">
        <f>H124+H125</f>
        <v>0</v>
      </c>
      <c r="I126" s="3836">
        <f>I124+I125</f>
        <v>0</v>
      </c>
    </row>
    <row r="127" spans="1:9" ht="27.5">
      <c r="A127" s="3846" t="str">
        <f t="shared" si="23"/>
        <v>Clientes (1)</v>
      </c>
      <c r="B127" s="3831">
        <f>+B89*'Resumen de Cifras'!$B$1</f>
        <v>0</v>
      </c>
      <c r="C127" s="3831">
        <f>+C89*'Resumen de Cifras'!$B$1</f>
        <v>0</v>
      </c>
      <c r="D127" s="3830">
        <f>+D89*'Resumen de Cifras'!$B$1</f>
        <v>0</v>
      </c>
      <c r="E127" s="2559"/>
      <c r="F127" s="2516" t="s">
        <v>2610</v>
      </c>
      <c r="G127" s="3831">
        <f t="shared" ref="G127:I128" si="24">+G89*$B$1</f>
        <v>0</v>
      </c>
      <c r="H127" s="3831">
        <f t="shared" si="24"/>
        <v>0</v>
      </c>
      <c r="I127" s="3848">
        <f t="shared" si="24"/>
        <v>0</v>
      </c>
    </row>
    <row r="128" spans="1:9" ht="27.5">
      <c r="A128" s="3846" t="str">
        <f t="shared" si="23"/>
        <v>Inventario</v>
      </c>
      <c r="B128" s="3831">
        <f>+B90*'Resumen de Cifras'!$B$1</f>
        <v>0</v>
      </c>
      <c r="C128" s="3831">
        <f>+C90*'Resumen de Cifras'!$B$1</f>
        <v>0</v>
      </c>
      <c r="D128" s="3830">
        <f>+D90*'Resumen de Cifras'!$B$1</f>
        <v>0</v>
      </c>
      <c r="E128" s="2559"/>
      <c r="F128" s="2516" t="s">
        <v>1497</v>
      </c>
      <c r="G128" s="3831">
        <f t="shared" si="24"/>
        <v>0</v>
      </c>
      <c r="H128" s="3831">
        <f t="shared" si="24"/>
        <v>0</v>
      </c>
      <c r="I128" s="3848">
        <f t="shared" si="24"/>
        <v>0</v>
      </c>
    </row>
    <row r="129" spans="1:9" ht="28">
      <c r="A129" s="3849" t="str">
        <f t="shared" si="23"/>
        <v>Cuentas por cobrar (2)</v>
      </c>
      <c r="B129" s="3831">
        <f>+B91*'Resumen de Cifras'!$B$1</f>
        <v>0</v>
      </c>
      <c r="C129" s="3831">
        <f>+C91*'Resumen de Cifras'!$B$1</f>
        <v>0</v>
      </c>
      <c r="D129" s="3830">
        <f>+D91*'Resumen de Cifras'!$B$1</f>
        <v>0</v>
      </c>
      <c r="E129" s="2559"/>
      <c r="F129" s="2528" t="s">
        <v>2609</v>
      </c>
      <c r="G129" s="3837">
        <f>+G127+G128</f>
        <v>0</v>
      </c>
      <c r="H129" s="3837">
        <f>+H127+H128</f>
        <v>0</v>
      </c>
      <c r="I129" s="3836">
        <f>+I127+I128</f>
        <v>0</v>
      </c>
    </row>
    <row r="130" spans="1:9" ht="27.5">
      <c r="A130" s="3846" t="str">
        <f t="shared" si="23"/>
        <v>Otros activos</v>
      </c>
      <c r="B130" s="3831">
        <f>+B92*'Resumen de Cifras'!$B$1</f>
        <v>0</v>
      </c>
      <c r="C130" s="3831">
        <f>+C92*'Resumen de Cifras'!$B$1</f>
        <v>0</v>
      </c>
      <c r="D130" s="3830">
        <f>+D92*'Resumen de Cifras'!$B$1</f>
        <v>0</v>
      </c>
      <c r="E130" s="2559"/>
      <c r="F130" s="2516" t="s">
        <v>2584</v>
      </c>
      <c r="G130" s="3831">
        <f>+G92*$B$1</f>
        <v>0</v>
      </c>
      <c r="H130" s="3831">
        <f>+H92*$B$1</f>
        <v>0</v>
      </c>
      <c r="I130" s="3848">
        <f>+I92*$B$1</f>
        <v>0</v>
      </c>
    </row>
    <row r="131" spans="1:9" ht="28">
      <c r="A131" s="3845" t="str">
        <f t="shared" si="23"/>
        <v>Total activo corriente</v>
      </c>
      <c r="B131" s="3837">
        <f>SUM(B126:B130)</f>
        <v>0</v>
      </c>
      <c r="C131" s="3837">
        <f>SUM(C126:C130)</f>
        <v>0</v>
      </c>
      <c r="D131" s="3844">
        <f>SUM(D126:D130)</f>
        <v>0</v>
      </c>
      <c r="E131" s="2508"/>
      <c r="F131" s="2528" t="s">
        <v>2608</v>
      </c>
      <c r="G131" s="3837">
        <f>+G126+G129+G130</f>
        <v>0</v>
      </c>
      <c r="H131" s="3837">
        <f>+H126+H129+H130</f>
        <v>0</v>
      </c>
      <c r="I131" s="3836">
        <f>+I126+I129+I130</f>
        <v>0</v>
      </c>
    </row>
    <row r="132" spans="1:9" ht="28">
      <c r="A132" s="3846" t="str">
        <f t="shared" si="23"/>
        <v>Propiedad planta y Equipo (3)</v>
      </c>
      <c r="B132" s="3831">
        <f>+B94*'Resumen de Cifras'!$B$1</f>
        <v>0</v>
      </c>
      <c r="C132" s="3831">
        <f>+C94*'Resumen de Cifras'!$B$1</f>
        <v>0</v>
      </c>
      <c r="D132" s="3830">
        <f>+D94*'Resumen de Cifras'!$B$1</f>
        <v>0</v>
      </c>
      <c r="E132" s="2508"/>
      <c r="F132" s="2528" t="s">
        <v>2607</v>
      </c>
      <c r="G132" s="3837">
        <f t="shared" ref="G132:I134" si="25">+G94*$B$1</f>
        <v>0</v>
      </c>
      <c r="H132" s="3837">
        <f t="shared" si="25"/>
        <v>0</v>
      </c>
      <c r="I132" s="3836">
        <f t="shared" si="25"/>
        <v>0</v>
      </c>
    </row>
    <row r="133" spans="1:9" ht="27.5">
      <c r="A133" s="3846" t="str">
        <f t="shared" si="23"/>
        <v>Inversiones Permanentes</v>
      </c>
      <c r="B133" s="3831">
        <f>+B95*'Resumen de Cifras'!$B$1</f>
        <v>0</v>
      </c>
      <c r="C133" s="3831">
        <f>+C95*'Resumen de Cifras'!$B$1</f>
        <v>0</v>
      </c>
      <c r="D133" s="3830">
        <f>+D95*'Resumen de Cifras'!$B$1</f>
        <v>0</v>
      </c>
      <c r="E133" s="2508"/>
      <c r="F133" s="2516" t="s">
        <v>2606</v>
      </c>
      <c r="G133" s="3831">
        <f t="shared" si="25"/>
        <v>0</v>
      </c>
      <c r="H133" s="3831">
        <f t="shared" si="25"/>
        <v>0</v>
      </c>
      <c r="I133" s="3848">
        <f t="shared" si="25"/>
        <v>0</v>
      </c>
    </row>
    <row r="134" spans="1:9" ht="27.5">
      <c r="A134" s="3846" t="str">
        <f t="shared" si="23"/>
        <v>Diferidos e Intangibles (4)</v>
      </c>
      <c r="B134" s="3831">
        <f>+B96*'Resumen de Cifras'!$B$1</f>
        <v>0</v>
      </c>
      <c r="C134" s="3831">
        <f>+C96*'Resumen de Cifras'!$B$1</f>
        <v>0</v>
      </c>
      <c r="D134" s="3830">
        <f>+D96*'Resumen de Cifras'!$B$1</f>
        <v>0</v>
      </c>
      <c r="E134" s="2508"/>
      <c r="F134" s="2516" t="s">
        <v>811</v>
      </c>
      <c r="G134" s="3831">
        <f t="shared" si="25"/>
        <v>0</v>
      </c>
      <c r="H134" s="3831">
        <f t="shared" si="25"/>
        <v>0</v>
      </c>
      <c r="I134" s="3848">
        <f t="shared" si="25"/>
        <v>0</v>
      </c>
    </row>
    <row r="135" spans="1:9" ht="28">
      <c r="A135" s="3846" t="str">
        <f t="shared" si="23"/>
        <v>Otros activos L.P.</v>
      </c>
      <c r="B135" s="3831">
        <f>+B97*'Resumen de Cifras'!$B$1</f>
        <v>0</v>
      </c>
      <c r="C135" s="3831">
        <f>+C97*'Resumen de Cifras'!$B$1</f>
        <v>0</v>
      </c>
      <c r="D135" s="3830">
        <f>+D97*'Resumen de Cifras'!$B$1</f>
        <v>0</v>
      </c>
      <c r="E135" s="2508"/>
      <c r="F135" s="2544" t="s">
        <v>1487</v>
      </c>
      <c r="G135" s="3847">
        <f>+G126+G129+G130+G133+G134</f>
        <v>0</v>
      </c>
      <c r="H135" s="3847">
        <f>+H126+H129+H130+H133+H134</f>
        <v>0</v>
      </c>
      <c r="I135" s="3847">
        <f>+I126+I129+I130+I133+I134</f>
        <v>0</v>
      </c>
    </row>
    <row r="136" spans="1:9" ht="28">
      <c r="A136" s="3846" t="str">
        <f t="shared" si="23"/>
        <v>Valorizaciones</v>
      </c>
      <c r="B136" s="3831">
        <f>+B98*'Resumen de Cifras'!$B$1</f>
        <v>0</v>
      </c>
      <c r="C136" s="3831">
        <f>+C98*'Resumen de Cifras'!$B$1</f>
        <v>0</v>
      </c>
      <c r="D136" s="3830">
        <f>+D98*'Resumen de Cifras'!$B$1</f>
        <v>0</v>
      </c>
      <c r="E136" s="2508"/>
      <c r="F136" s="3573" t="s">
        <v>1607</v>
      </c>
      <c r="G136" s="3574"/>
      <c r="H136" s="3574"/>
      <c r="I136" s="3575"/>
    </row>
    <row r="137" spans="1:9" ht="28">
      <c r="A137" s="3845" t="str">
        <f t="shared" si="23"/>
        <v>Total activo no corriente</v>
      </c>
      <c r="B137" s="3837">
        <f>SUM(B132:B136)</f>
        <v>0</v>
      </c>
      <c r="C137" s="3837">
        <f>SUM(C132:C136)</f>
        <v>0</v>
      </c>
      <c r="D137" s="3844">
        <f>SUM(D132:D136)</f>
        <v>0</v>
      </c>
      <c r="E137" s="2508"/>
      <c r="F137" s="2513"/>
      <c r="G137" s="2514" t="str">
        <f>+G123</f>
        <v>Dic 17</v>
      </c>
      <c r="H137" s="2514" t="str">
        <f>+H123</f>
        <v>Dic 18</v>
      </c>
      <c r="I137" s="2840" t="str">
        <f>+I123</f>
        <v>Dic 19</v>
      </c>
    </row>
    <row r="138" spans="1:9" ht="28">
      <c r="A138" s="3843" t="str">
        <f t="shared" si="23"/>
        <v>TOTAL ACTIVO</v>
      </c>
      <c r="B138" s="3842">
        <f>B131+B137</f>
        <v>0</v>
      </c>
      <c r="C138" s="3842">
        <f>C131+C137</f>
        <v>0</v>
      </c>
      <c r="D138" s="3841">
        <f>D131+D137</f>
        <v>0</v>
      </c>
      <c r="E138" s="2508"/>
      <c r="F138" s="2551" t="s">
        <v>1612</v>
      </c>
      <c r="G138" s="2552"/>
      <c r="H138" s="2552"/>
      <c r="I138" s="2553"/>
    </row>
    <row r="139" spans="1:9" ht="28">
      <c r="A139" s="2551" t="str">
        <f t="shared" si="23"/>
        <v>PASIVO</v>
      </c>
      <c r="B139" s="3833"/>
      <c r="C139" s="3833"/>
      <c r="D139" s="3832"/>
      <c r="E139" s="2508"/>
      <c r="F139" s="2516" t="s">
        <v>2605</v>
      </c>
      <c r="G139" s="2554" t="str">
        <f>IFERROR(G126/G124,"")</f>
        <v/>
      </c>
      <c r="H139" s="2554" t="str">
        <f>IFERROR(H126/H124,"")</f>
        <v/>
      </c>
      <c r="I139" s="2555" t="str">
        <f>IFERROR(I126/I124,"")</f>
        <v/>
      </c>
    </row>
    <row r="140" spans="1:9" ht="27.5">
      <c r="A140" s="2516" t="str">
        <f t="shared" si="23"/>
        <v>Obligaciones Financieras (5)</v>
      </c>
      <c r="B140" s="3831">
        <f>+B102*'Resumen de Cifras'!$B$1</f>
        <v>0</v>
      </c>
      <c r="C140" s="3831">
        <f>+C102*'Resumen de Cifras'!$B$1</f>
        <v>0</v>
      </c>
      <c r="D140" s="3830">
        <f>+D102*'Resumen de Cifras'!$B$1</f>
        <v>0</v>
      </c>
      <c r="E140" s="2508"/>
      <c r="F140" s="2516" t="s">
        <v>2604</v>
      </c>
      <c r="G140" s="2554" t="str">
        <f>IFERROR(G129/G127,"")</f>
        <v/>
      </c>
      <c r="H140" s="2554" t="str">
        <f>IFERROR(H129/H127,"")</f>
        <v/>
      </c>
      <c r="I140" s="2555" t="str">
        <f>IFERROR(I129/I127,"")</f>
        <v/>
      </c>
    </row>
    <row r="141" spans="1:9" ht="27.5">
      <c r="A141" s="2516" t="str">
        <f t="shared" si="23"/>
        <v>Proveedores (6)</v>
      </c>
      <c r="B141" s="3831">
        <f>+B103*'Resumen de Cifras'!$B$1</f>
        <v>0</v>
      </c>
      <c r="C141" s="3831">
        <f>+C103*'Resumen de Cifras'!$B$1</f>
        <v>0</v>
      </c>
      <c r="D141" s="3830">
        <f>+D103*'Resumen de Cifras'!$B$1</f>
        <v>0</v>
      </c>
      <c r="E141" s="2508"/>
      <c r="F141" s="2516" t="s">
        <v>2603</v>
      </c>
      <c r="G141" s="2554" t="str">
        <f>IFERROR(G131/(G124+G127),"")</f>
        <v/>
      </c>
      <c r="H141" s="2554" t="str">
        <f>IFERROR(H131/(H124+H127),"")</f>
        <v/>
      </c>
      <c r="I141" s="2555" t="str">
        <f>IFERROR(I131/(I127+I124),"")</f>
        <v/>
      </c>
    </row>
    <row r="142" spans="1:9" ht="27.5">
      <c r="A142" s="2538" t="str">
        <f t="shared" si="23"/>
        <v>Cuentas por pagar</v>
      </c>
      <c r="B142" s="3831">
        <f>+B104*'Resumen de Cifras'!$B$1</f>
        <v>0</v>
      </c>
      <c r="C142" s="3831">
        <f>+C104*'Resumen de Cifras'!$B$1</f>
        <v>0</v>
      </c>
      <c r="D142" s="3830">
        <f>+D104*'Resumen de Cifras'!$B$1</f>
        <v>0</v>
      </c>
      <c r="E142" s="2508"/>
      <c r="F142" s="2516" t="s">
        <v>882</v>
      </c>
      <c r="G142" s="2554" t="str">
        <f>IFERROR(G132/(G124+G127),"")</f>
        <v/>
      </c>
      <c r="H142" s="2554" t="str">
        <f>IFERROR(H132/(H124+H127),"")</f>
        <v/>
      </c>
      <c r="I142" s="2555" t="str">
        <f>IFERROR(I132/(I127+I124),"")</f>
        <v/>
      </c>
    </row>
    <row r="143" spans="1:9" ht="27.5">
      <c r="A143" s="2516" t="str">
        <f t="shared" si="23"/>
        <v>Otros Pasivos (7)</v>
      </c>
      <c r="B143" s="3831">
        <f>+B105*'Resumen de Cifras'!$B$1</f>
        <v>0</v>
      </c>
      <c r="C143" s="3831">
        <f>+C105*'Resumen de Cifras'!$B$1</f>
        <v>0</v>
      </c>
      <c r="D143" s="3830">
        <f>+D105*'Resumen de Cifras'!$B$1</f>
        <v>0</v>
      </c>
      <c r="E143" s="2508"/>
      <c r="F143" s="2516" t="s">
        <v>883</v>
      </c>
      <c r="G143" s="2554" t="str">
        <f>IFERROR(G135/(G124+G127),"")</f>
        <v/>
      </c>
      <c r="H143" s="2554" t="str">
        <f>IFERROR(H135/(H124+H127),"")</f>
        <v/>
      </c>
      <c r="I143" s="2555" t="str">
        <f>IFERROR(I135/(I127+I124),"")</f>
        <v/>
      </c>
    </row>
    <row r="144" spans="1:9" ht="28">
      <c r="A144" s="2528" t="str">
        <f t="shared" si="23"/>
        <v>Total pasivos corrientes</v>
      </c>
      <c r="B144" s="3837">
        <f>SUM(B140:B143)</f>
        <v>0</v>
      </c>
      <c r="C144" s="3837">
        <f>SUM(C140:C143)</f>
        <v>0</v>
      </c>
      <c r="D144" s="3836">
        <f>SUM(D140:D143)</f>
        <v>0</v>
      </c>
      <c r="E144" s="2508"/>
      <c r="F144" s="2551" t="s">
        <v>1621</v>
      </c>
      <c r="G144" s="2552"/>
      <c r="H144" s="2552"/>
      <c r="I144" s="2553"/>
    </row>
    <row r="145" spans="1:9" ht="27.5">
      <c r="A145" s="2516" t="str">
        <f t="shared" si="23"/>
        <v>Obligaciones Financieras L.P</v>
      </c>
      <c r="B145" s="3831">
        <f>+B107*'Resumen de Cifras'!$B$1</f>
        <v>0</v>
      </c>
      <c r="C145" s="3831">
        <f>+C107*'Resumen de Cifras'!$B$1</f>
        <v>0</v>
      </c>
      <c r="D145" s="3830">
        <f>+D107*'Resumen de Cifras'!$B$1</f>
        <v>0</v>
      </c>
      <c r="E145" s="2508"/>
      <c r="F145" s="2516" t="s">
        <v>2602</v>
      </c>
      <c r="G145" s="3840"/>
      <c r="H145" s="3839" t="str">
        <f>+IFERROR((H124-G124)/G124,"")</f>
        <v/>
      </c>
      <c r="I145" s="3838" t="str">
        <f>+IFERROR((((I124/$D$2)*12)-H124)/H124,"")</f>
        <v/>
      </c>
    </row>
    <row r="146" spans="1:9" ht="27.5">
      <c r="A146" s="2516" t="str">
        <f t="shared" si="23"/>
        <v>Otros Pasivos L.P.</v>
      </c>
      <c r="B146" s="3831">
        <f>+B108*'Resumen de Cifras'!$B$1</f>
        <v>0</v>
      </c>
      <c r="C146" s="3831">
        <f>+C108*'Resumen de Cifras'!$B$1</f>
        <v>0</v>
      </c>
      <c r="D146" s="3830">
        <f>+D108*'Resumen de Cifras'!$B$1</f>
        <v>0</v>
      </c>
      <c r="E146" s="2508"/>
      <c r="F146" s="2516" t="s">
        <v>2601</v>
      </c>
      <c r="G146" s="3840"/>
      <c r="H146" s="3839" t="str">
        <f>+IFERROR((H127-G127)/G127,"")</f>
        <v/>
      </c>
      <c r="I146" s="3838" t="str">
        <f>+IFERROR((((I127/$D$2)*12)-H127)/H127,"")</f>
        <v/>
      </c>
    </row>
    <row r="147" spans="1:9" ht="28">
      <c r="A147" s="2528" t="str">
        <f t="shared" si="23"/>
        <v>Total pasivos no corrientes</v>
      </c>
      <c r="B147" s="3837">
        <f>SUM(B145:B146)</f>
        <v>0</v>
      </c>
      <c r="C147" s="3837">
        <f>SUM(C145:C146)</f>
        <v>0</v>
      </c>
      <c r="D147" s="3836">
        <f>SUM(D145:D146)</f>
        <v>0</v>
      </c>
      <c r="E147" s="2552"/>
      <c r="F147" s="2516" t="s">
        <v>1512</v>
      </c>
      <c r="G147" s="2561">
        <f t="shared" ref="G147:I148" si="26">+G109</f>
        <v>0</v>
      </c>
      <c r="H147" s="2561">
        <f t="shared" si="26"/>
        <v>0</v>
      </c>
      <c r="I147" s="2562">
        <f t="shared" si="26"/>
        <v>0</v>
      </c>
    </row>
    <row r="148" spans="1:9" ht="28">
      <c r="A148" s="2556" t="str">
        <f t="shared" si="23"/>
        <v>TOTAL PASIVO</v>
      </c>
      <c r="B148" s="3835">
        <f>B144+B147</f>
        <v>0</v>
      </c>
      <c r="C148" s="3835">
        <f>C144+C147</f>
        <v>0</v>
      </c>
      <c r="D148" s="3834">
        <f>D144+D147</f>
        <v>0</v>
      </c>
      <c r="E148" s="2508"/>
      <c r="F148" s="2516" t="s">
        <v>2600</v>
      </c>
      <c r="G148" s="2561">
        <f t="shared" si="26"/>
        <v>0</v>
      </c>
      <c r="H148" s="2561">
        <f t="shared" si="26"/>
        <v>0</v>
      </c>
      <c r="I148" s="2562">
        <f t="shared" si="26"/>
        <v>0</v>
      </c>
    </row>
    <row r="149" spans="1:9" ht="28">
      <c r="A149" s="2551" t="str">
        <f t="shared" si="23"/>
        <v>PATRIMONIO</v>
      </c>
      <c r="B149" s="3833"/>
      <c r="C149" s="3833"/>
      <c r="D149" s="3832"/>
      <c r="E149" s="2508"/>
      <c r="F149" s="2516" t="s">
        <v>1633</v>
      </c>
      <c r="G149" s="2561">
        <f>+G147+G148</f>
        <v>0</v>
      </c>
      <c r="H149" s="2561">
        <f>+H147+H148</f>
        <v>0</v>
      </c>
      <c r="I149" s="2562">
        <f>+I147+I148</f>
        <v>0</v>
      </c>
    </row>
    <row r="150" spans="1:9" ht="27.5">
      <c r="A150" s="2516" t="str">
        <f t="shared" si="23"/>
        <v>Capital Pagado</v>
      </c>
      <c r="B150" s="3831">
        <f>+B112*'Resumen de Cifras'!$B$1</f>
        <v>0</v>
      </c>
      <c r="C150" s="3831">
        <f>+C112*'Resumen de Cifras'!$B$1</f>
        <v>0</v>
      </c>
      <c r="D150" s="3830">
        <f>+D112*'Resumen de Cifras'!$B$1</f>
        <v>0</v>
      </c>
      <c r="E150" s="2508"/>
      <c r="F150" s="2516" t="s">
        <v>1635</v>
      </c>
      <c r="G150" s="2561">
        <f>+G112</f>
        <v>0</v>
      </c>
      <c r="H150" s="2561">
        <f>+H112</f>
        <v>0</v>
      </c>
      <c r="I150" s="2562">
        <f>+I112</f>
        <v>0</v>
      </c>
    </row>
    <row r="151" spans="1:9" ht="27.5">
      <c r="A151" s="2578" t="str">
        <f t="shared" si="23"/>
        <v>Superávit de Capital</v>
      </c>
      <c r="B151" s="3831">
        <f>+B113*'Resumen de Cifras'!$B$1</f>
        <v>0</v>
      </c>
      <c r="C151" s="3831">
        <f>+C113*'Resumen de Cifras'!$B$1</f>
        <v>0</v>
      </c>
      <c r="D151" s="3830">
        <f>+D113*'Resumen de Cifras'!$B$1</f>
        <v>0</v>
      </c>
      <c r="E151" s="2581"/>
      <c r="F151" s="2516" t="s">
        <v>1639</v>
      </c>
      <c r="G151" s="2561">
        <f>+G149-G150</f>
        <v>0</v>
      </c>
      <c r="H151" s="2561">
        <f>+H149-H150</f>
        <v>0</v>
      </c>
      <c r="I151" s="2562">
        <f>+I149-I150</f>
        <v>0</v>
      </c>
    </row>
    <row r="152" spans="1:9" ht="28">
      <c r="A152" s="2516" t="str">
        <f t="shared" si="23"/>
        <v>Reservas</v>
      </c>
      <c r="B152" s="3831">
        <f>+B114*'Resumen de Cifras'!$B$1</f>
        <v>0</v>
      </c>
      <c r="C152" s="3831">
        <f>+C114*'Resumen de Cifras'!$B$1</f>
        <v>0</v>
      </c>
      <c r="D152" s="3830">
        <f>+D114*'Resumen de Cifras'!$B$1</f>
        <v>0</v>
      </c>
      <c r="E152" s="2508"/>
      <c r="F152" s="2551" t="s">
        <v>1641</v>
      </c>
      <c r="G152" s="2554"/>
      <c r="H152" s="2554"/>
      <c r="I152" s="2555"/>
    </row>
    <row r="153" spans="1:9" ht="27.5">
      <c r="A153" s="2516" t="str">
        <f t="shared" si="23"/>
        <v>Otros Patrimonio</v>
      </c>
      <c r="B153" s="3831">
        <f>+B115*'Resumen de Cifras'!$B$1</f>
        <v>0</v>
      </c>
      <c r="C153" s="3831">
        <f>+C115*'Resumen de Cifras'!$B$1</f>
        <v>0</v>
      </c>
      <c r="D153" s="3830">
        <f>+D115*'Resumen de Cifras'!$B$1</f>
        <v>0</v>
      </c>
      <c r="E153" s="2508"/>
      <c r="F153" s="2578" t="s">
        <v>2599</v>
      </c>
      <c r="G153" s="2554">
        <f t="shared" ref="G153:I156" si="27">+G115</f>
        <v>0</v>
      </c>
      <c r="H153" s="2554">
        <f t="shared" si="27"/>
        <v>0</v>
      </c>
      <c r="I153" s="2555">
        <f t="shared" si="27"/>
        <v>0</v>
      </c>
    </row>
    <row r="154" spans="1:9" ht="27.5">
      <c r="A154" s="2516" t="str">
        <f t="shared" si="23"/>
        <v>Valorizaciones</v>
      </c>
      <c r="B154" s="3831">
        <f>+B116*'Resumen de Cifras'!$B$1</f>
        <v>0</v>
      </c>
      <c r="C154" s="3831">
        <f>+C116*'Resumen de Cifras'!$B$1</f>
        <v>0</v>
      </c>
      <c r="D154" s="3830">
        <f>+D116*'Resumen de Cifras'!$B$1</f>
        <v>0</v>
      </c>
      <c r="E154" s="2508"/>
      <c r="F154" s="2578" t="s">
        <v>2598</v>
      </c>
      <c r="G154" s="2554">
        <f t="shared" si="27"/>
        <v>0</v>
      </c>
      <c r="H154" s="2554">
        <f t="shared" si="27"/>
        <v>0</v>
      </c>
      <c r="I154" s="2555">
        <f t="shared" si="27"/>
        <v>0</v>
      </c>
    </row>
    <row r="155" spans="1:9" ht="27.5">
      <c r="A155" s="2633">
        <f t="shared" si="23"/>
        <v>0</v>
      </c>
      <c r="B155" s="3829"/>
      <c r="C155" s="3829"/>
      <c r="D155" s="3828"/>
      <c r="E155" s="2508"/>
      <c r="F155" s="3827" t="s">
        <v>910</v>
      </c>
      <c r="G155" s="2598">
        <f t="shared" si="27"/>
        <v>0</v>
      </c>
      <c r="H155" s="2598">
        <f t="shared" si="27"/>
        <v>0</v>
      </c>
      <c r="I155" s="2599">
        <f t="shared" si="27"/>
        <v>0</v>
      </c>
    </row>
    <row r="156" spans="1:9" ht="28.5" thickBot="1">
      <c r="A156" s="2642" t="str">
        <f t="shared" si="23"/>
        <v>TOTAL PATRIMONIO</v>
      </c>
      <c r="B156" s="3826">
        <f>SUM(B150:B154)</f>
        <v>0</v>
      </c>
      <c r="C156" s="3826">
        <f>SUM(C150:C154)</f>
        <v>0</v>
      </c>
      <c r="D156" s="3825">
        <f>SUM(D150:D154)</f>
        <v>0</v>
      </c>
      <c r="E156" s="2643"/>
      <c r="F156" s="3824" t="s">
        <v>1669</v>
      </c>
      <c r="G156" s="3823">
        <f t="shared" si="27"/>
        <v>0</v>
      </c>
      <c r="H156" s="3823">
        <f t="shared" si="27"/>
        <v>0</v>
      </c>
      <c r="I156" s="3823">
        <f t="shared" si="27"/>
        <v>0</v>
      </c>
    </row>
    <row r="157" spans="1:9" ht="15" thickBot="1"/>
    <row r="158" spans="1:9" ht="31.5" thickBot="1">
      <c r="A158" s="3822" t="s">
        <v>2597</v>
      </c>
      <c r="B158" s="3821">
        <f>+B138-B148-B156</f>
        <v>0</v>
      </c>
      <c r="C158" s="3821">
        <f>+C138-C148-C156</f>
        <v>0</v>
      </c>
      <c r="D158" s="3820">
        <f>+D138-D148-D156</f>
        <v>0</v>
      </c>
    </row>
  </sheetData>
  <conditionalFormatting sqref="B6">
    <cfRule type="cellIs" dxfId="62" priority="23" operator="equal">
      <formula>0</formula>
    </cfRule>
  </conditionalFormatting>
  <conditionalFormatting sqref="D46">
    <cfRule type="cellIs" dxfId="61" priority="22" operator="equal">
      <formula>0</formula>
    </cfRule>
  </conditionalFormatting>
  <conditionalFormatting sqref="D6">
    <cfRule type="cellIs" dxfId="60" priority="21" operator="equal">
      <formula>0</formula>
    </cfRule>
  </conditionalFormatting>
  <conditionalFormatting sqref="B46">
    <cfRule type="cellIs" dxfId="59" priority="20" operator="equal">
      <formula>0</formula>
    </cfRule>
  </conditionalFormatting>
  <conditionalFormatting sqref="C124">
    <cfRule type="cellIs" dxfId="58" priority="19" operator="equal">
      <formula>0</formula>
    </cfRule>
  </conditionalFormatting>
  <conditionalFormatting sqref="D124">
    <cfRule type="cellIs" dxfId="57" priority="18" operator="equal">
      <formula>0</formula>
    </cfRule>
  </conditionalFormatting>
  <conditionalFormatting sqref="B86">
    <cfRule type="cellIs" dxfId="56" priority="17" operator="equal">
      <formula>0</formula>
    </cfRule>
  </conditionalFormatting>
  <conditionalFormatting sqref="B124">
    <cfRule type="cellIs" dxfId="55" priority="16" operator="equal">
      <formula>0</formula>
    </cfRule>
  </conditionalFormatting>
  <conditionalFormatting sqref="G86:I87 G89:I90 G92:I92">
    <cfRule type="containsBlanks" dxfId="54" priority="15">
      <formula>LEN(TRIM(G86))=0</formula>
    </cfRule>
  </conditionalFormatting>
  <conditionalFormatting sqref="G95:I95">
    <cfRule type="containsBlanks" dxfId="53" priority="14">
      <formula>LEN(TRIM(G95))=0</formula>
    </cfRule>
  </conditionalFormatting>
  <conditionalFormatting sqref="G96:I96">
    <cfRule type="containsBlanks" dxfId="52" priority="13">
      <formula>LEN(TRIM(G96))=0</formula>
    </cfRule>
  </conditionalFormatting>
  <conditionalFormatting sqref="G94:I94">
    <cfRule type="containsBlanks" dxfId="51" priority="12">
      <formula>LEN(TRIM(G94))=0</formula>
    </cfRule>
  </conditionalFormatting>
  <conditionalFormatting sqref="G108">
    <cfRule type="containsBlanks" dxfId="50" priority="11">
      <formula>LEN(TRIM(G108))=0</formula>
    </cfRule>
  </conditionalFormatting>
  <conditionalFormatting sqref="G107">
    <cfRule type="containsBlanks" dxfId="49" priority="10">
      <formula>LEN(TRIM(G107))=0</formula>
    </cfRule>
  </conditionalFormatting>
  <conditionalFormatting sqref="G124:I125 G127:I128 G130:I130">
    <cfRule type="containsBlanks" dxfId="48" priority="9">
      <formula>LEN(TRIM(G124))=0</formula>
    </cfRule>
  </conditionalFormatting>
  <conditionalFormatting sqref="G133:I133">
    <cfRule type="containsBlanks" dxfId="47" priority="8">
      <formula>LEN(TRIM(G133))=0</formula>
    </cfRule>
  </conditionalFormatting>
  <conditionalFormatting sqref="G146">
    <cfRule type="containsBlanks" dxfId="46" priority="7">
      <formula>LEN(TRIM(G146))=0</formula>
    </cfRule>
  </conditionalFormatting>
  <conditionalFormatting sqref="G145">
    <cfRule type="containsBlanks" dxfId="45" priority="6">
      <formula>LEN(TRIM(G145))=0</formula>
    </cfRule>
  </conditionalFormatting>
  <conditionalFormatting sqref="G134:I134">
    <cfRule type="containsBlanks" dxfId="44" priority="5">
      <formula>LEN(TRIM(G134))=0</formula>
    </cfRule>
  </conditionalFormatting>
  <conditionalFormatting sqref="G132:I132">
    <cfRule type="containsBlanks" dxfId="43" priority="4">
      <formula>LEN(TRIM(G132))=0</formula>
    </cfRule>
  </conditionalFormatting>
  <conditionalFormatting sqref="C86">
    <cfRule type="cellIs" dxfId="42" priority="3" operator="equal">
      <formula>0</formula>
    </cfRule>
  </conditionalFormatting>
  <conditionalFormatting sqref="D86">
    <cfRule type="cellIs" dxfId="41" priority="2" operator="equal">
      <formula>0</formula>
    </cfRule>
  </conditionalFormatting>
  <conditionalFormatting sqref="C6">
    <cfRule type="cellIs" dxfId="40" priority="1" operator="equal">
      <formula>0</formula>
    </cfRule>
  </conditionalFormatting>
  <dataValidations count="1">
    <dataValidation type="list" allowBlank="1" showInputMessage="1" showErrorMessage="1" sqref="F2">
      <formula1>"Dolares, Lempiras"</formula1>
    </dataValidation>
  </dataValidations>
  <pageMargins left="0.7" right="0.7" top="0.75" bottom="0.75" header="0.3" footer="0.3"/>
  <pageSetup orientation="portrait" r:id="rId1"/>
  <legacyDrawing r:id="rId2"/>
</worksheet>
</file>

<file path=xl/worksheets/sheet48.xml><?xml version="1.0" encoding="utf-8"?>
<worksheet xmlns="http://schemas.openxmlformats.org/spreadsheetml/2006/main" xmlns:r="http://schemas.openxmlformats.org/officeDocument/2006/relationships">
  <sheetPr codeName="Hoja57"/>
  <dimension ref="A1:S60"/>
  <sheetViews>
    <sheetView showGridLines="0" showRowColHeaders="0" zoomScale="70" zoomScaleNormal="70" workbookViewId="0">
      <selection activeCell="A9" sqref="A9"/>
    </sheetView>
  </sheetViews>
  <sheetFormatPr baseColWidth="10" defaultColWidth="11.453125" defaultRowHeight="14.5"/>
  <cols>
    <col min="1" max="1" width="53.7265625" style="3705" customWidth="1"/>
    <col min="2" max="4" width="14.6328125" style="3705" customWidth="1"/>
    <col min="5" max="5" width="14.6328125" style="3705" hidden="1" customWidth="1"/>
    <col min="6" max="6" width="7.1796875" style="3901" bestFit="1" customWidth="1"/>
    <col min="7" max="7" width="3.6328125" style="3705" customWidth="1"/>
    <col min="8" max="16384" width="11.453125" style="3705"/>
  </cols>
  <sheetData>
    <row r="1" spans="1:19" ht="15" thickBot="1">
      <c r="A1" s="3916" t="s">
        <v>25</v>
      </c>
      <c r="B1" s="3734">
        <f>+B3</f>
        <v>2017</v>
      </c>
      <c r="C1" s="3734">
        <f>+C3</f>
        <v>2018</v>
      </c>
      <c r="D1" s="3734">
        <f>+D3</f>
        <v>2019</v>
      </c>
      <c r="E1" s="3734">
        <f>+D1+1</f>
        <v>2020</v>
      </c>
      <c r="F1" s="3915"/>
      <c r="G1" s="3747"/>
      <c r="H1" s="3747"/>
      <c r="S1" s="3705" t="s">
        <v>2455</v>
      </c>
    </row>
    <row r="2" spans="1:19" ht="15" thickBot="1">
      <c r="A2" s="3914" t="s">
        <v>2471</v>
      </c>
      <c r="G2" s="3913"/>
      <c r="S2" s="3705" t="s">
        <v>2471</v>
      </c>
    </row>
    <row r="3" spans="1:19" ht="15" thickBot="1">
      <c r="A3" s="3912" t="s">
        <v>2637</v>
      </c>
      <c r="B3" s="3734">
        <f>+Indicadores!B2</f>
        <v>2017</v>
      </c>
      <c r="C3" s="3734">
        <f>+Indicadores!C2</f>
        <v>2018</v>
      </c>
      <c r="D3" s="3734">
        <f>+C3+1</f>
        <v>2019</v>
      </c>
      <c r="E3" s="3734" t="str">
        <f>+'Resumen de Cifras'!D5</f>
        <v>Dic 19</v>
      </c>
      <c r="F3" s="3910"/>
      <c r="G3" s="3753"/>
      <c r="H3" s="3753"/>
    </row>
    <row r="4" spans="1:19" ht="15" thickBot="1">
      <c r="A4" s="3909" t="s">
        <v>658</v>
      </c>
      <c r="B4" s="3904">
        <f>SUM(B5:B8)</f>
        <v>0</v>
      </c>
      <c r="C4" s="3904">
        <f>SUM(C5:C8)</f>
        <v>0</v>
      </c>
      <c r="D4" s="3904">
        <f>SUM(D5:D8)</f>
        <v>0</v>
      </c>
      <c r="E4" s="3904">
        <f>SUM(E5:E8)</f>
        <v>0</v>
      </c>
      <c r="F4" s="3902" t="s">
        <v>1258</v>
      </c>
      <c r="G4" s="3753"/>
      <c r="H4" s="3753"/>
    </row>
    <row r="5" spans="1:19" ht="15" thickBot="1">
      <c r="A5" s="3908" t="s">
        <v>606</v>
      </c>
      <c r="B5" s="3907">
        <f>IFERROR(INDEX('Estados Financieros'!$D$4:$I$191,MATCH($A5,'Estados Financieros'!$D$4:$D$191,0),MATCH(B$1,'Estados Financieros'!$D$4:$H$4,0)),0)</f>
        <v>0</v>
      </c>
      <c r="C5" s="3907">
        <f>IF($A$2="Dolares",IFERROR(INDEX('Estados Financieros'!$D$4:$I$191,MATCH($A5,'Estados Financieros'!$D$4:$D$191,0),MATCH(C$1,'Estados Financieros'!$D$4:$H$4,0)),0)*'Resumen de Cifras'!$B$1,IFERROR(INDEX('Estados Financieros'!$D$4:$I$191,MATCH($A5,'Estados Financieros'!$D$4:$D$191,0),MATCH(C$1,'Estados Financieros'!$D$4:$H$4,0)),0))</f>
        <v>0</v>
      </c>
      <c r="D5" s="3907">
        <f>IF($A$2="Dolares",IFERROR(INDEX('Estados Financieros'!$D$4:$I$191,MATCH($A5,'Estados Financieros'!$D$4:$D$191,0),MATCH(D$1,'Estados Financieros'!$D$4:$H$4,0)),0)*'Resumen de Cifras'!$B$1,IFERROR(INDEX('Estados Financieros'!$D$4:$I$191,MATCH($A5,'Estados Financieros'!$D$4:$D$191,0),MATCH(D$1,'Estados Financieros'!$D$4:$H$4,0)),0))</f>
        <v>0</v>
      </c>
      <c r="E5" s="3907">
        <f>IF($A$2="Dolares",IFERROR(INDEX('Estados Financieros'!$D$4:$I$191,MATCH($A5,'Estados Financieros'!$D$4:$D$191,0),MATCH(E$1,'Estados Financieros'!$D$4:$H$4,0)),0)*'Resumen de Cifras'!$B$1,IFERROR(INDEX('Estados Financieros'!$D$4:$I$191,MATCH($A5,'Estados Financieros'!$D$4:$D$191,0),MATCH(E$1,'Estados Financieros'!$D$4:$H$4,0)),0))</f>
        <v>0</v>
      </c>
      <c r="F5" s="3906">
        <f>IFERROR((E5/$E$4),0)</f>
        <v>0</v>
      </c>
      <c r="G5" s="3751"/>
      <c r="H5" s="3751"/>
    </row>
    <row r="6" spans="1:19" ht="15" thickBot="1">
      <c r="A6" s="3908" t="s">
        <v>579</v>
      </c>
      <c r="B6" s="3907">
        <f>IF($A$2="Dolares",IFERROR(INDEX('Estados Financieros'!$D$4:$I$191,MATCH($A6,'Estados Financieros'!$D$4:$D$191,0),MATCH(B$1,'Estados Financieros'!$D$4:$H$4,0)),0)*'Resumen de Cifras'!$B$1,IFERROR(INDEX('Estados Financieros'!$D$4:$I$191,MATCH($A6,'Estados Financieros'!$D$4:$D$191,0),MATCH(B$1,'Estados Financieros'!$D$4:$H$4,0)),0))</f>
        <v>0</v>
      </c>
      <c r="C6" s="3907">
        <f>IF($A$2="Dolares",IFERROR(INDEX('Estados Financieros'!$D$4:$I$191,MATCH($A6,'Estados Financieros'!$D$4:$D$191,0),MATCH(C$1,'Estados Financieros'!$D$4:$H$4,0)),0)*'Resumen de Cifras'!$B$1,IFERROR(INDEX('Estados Financieros'!$D$4:$I$191,MATCH($A6,'Estados Financieros'!$D$4:$D$191,0),MATCH(C$1,'Estados Financieros'!$D$4:$H$4,0)),0))</f>
        <v>0</v>
      </c>
      <c r="D6" s="3907">
        <f>IF($A$2="Dolares",IFERROR(INDEX('Estados Financieros'!$D$4:$I$191,MATCH($A6,'Estados Financieros'!$D$4:$D$191,0),MATCH(D$1,'Estados Financieros'!$D$4:$H$4,0)),0)*'Resumen de Cifras'!$B$1,IFERROR(INDEX('Estados Financieros'!$D$4:$I$191,MATCH($A6,'Estados Financieros'!$D$4:$D$191,0),MATCH(D$1,'Estados Financieros'!$D$4:$H$4,0)),0))</f>
        <v>0</v>
      </c>
      <c r="E6" s="3907">
        <f>IF($A$2="Dolares",IFERROR(INDEX('Estados Financieros'!$D$4:$I$191,MATCH($A6,'Estados Financieros'!$D$4:$D$191,0),MATCH(E$1,'Estados Financieros'!$D$4:$H$4,0)),0)*'Resumen de Cifras'!$B$1,IFERROR(INDEX('Estados Financieros'!$D$4:$I$191,MATCH($A6,'Estados Financieros'!$D$4:$D$191,0),MATCH(E$1,'Estados Financieros'!$D$4:$H$4,0)),0))</f>
        <v>0</v>
      </c>
      <c r="F6" s="3906">
        <f>IFERROR((E6/$E$4),0)</f>
        <v>0</v>
      </c>
      <c r="G6" s="3751"/>
      <c r="H6" s="3751"/>
    </row>
    <row r="7" spans="1:19" ht="15" thickBot="1">
      <c r="A7" s="3908" t="s">
        <v>584</v>
      </c>
      <c r="B7" s="3907">
        <f>IF($A$2="Dolares",IFERROR(INDEX('Estados Financieros'!$D$4:$I$191,MATCH($A7,'Estados Financieros'!$D$4:$D$191,0),MATCH(B$1,'Estados Financieros'!$D$4:$H$4,0)),0)*'Resumen de Cifras'!$B$1,IFERROR(INDEX('Estados Financieros'!$D$4:$I$191,MATCH($A7,'Estados Financieros'!$D$4:$D$191,0),MATCH(B$1,'Estados Financieros'!$D$4:$H$4,0)),0))</f>
        <v>0</v>
      </c>
      <c r="C7" s="3907">
        <f>IF($A$2="Dolares",IFERROR(INDEX('Estados Financieros'!$D$4:$I$191,MATCH($A7,'Estados Financieros'!$D$4:$D$191,0),MATCH(C$1,'Estados Financieros'!$D$4:$H$4,0)),0)*'Resumen de Cifras'!$B$1,IFERROR(INDEX('Estados Financieros'!$D$4:$I$191,MATCH($A7,'Estados Financieros'!$D$4:$D$191,0),MATCH(C$1,'Estados Financieros'!$D$4:$H$4,0)),0))</f>
        <v>0</v>
      </c>
      <c r="D7" s="3907">
        <f>IF($A$2="Dolares",IFERROR(INDEX('Estados Financieros'!$D$4:$I$191,MATCH($A7,'Estados Financieros'!$D$4:$D$191,0),MATCH(D$1,'Estados Financieros'!$D$4:$H$4,0)),0)*'Resumen de Cifras'!$B$1,IFERROR(INDEX('Estados Financieros'!$D$4:$I$191,MATCH($A7,'Estados Financieros'!$D$4:$D$191,0),MATCH(D$1,'Estados Financieros'!$D$4:$H$4,0)),0))</f>
        <v>0</v>
      </c>
      <c r="E7" s="3907">
        <f>IF($A$2="Dolares",IFERROR(INDEX('Estados Financieros'!$D$4:$I$191,MATCH($A7,'Estados Financieros'!$D$4:$D$191,0),MATCH(E$1,'Estados Financieros'!$D$4:$H$4,0)),0)*'Resumen de Cifras'!$B$1,IFERROR(INDEX('Estados Financieros'!$D$4:$I$191,MATCH($A7,'Estados Financieros'!$D$4:$D$191,0),MATCH(E$1,'Estados Financieros'!$D$4:$H$4,0)),0))</f>
        <v>0</v>
      </c>
      <c r="F7" s="3906">
        <f>IFERROR((E7/$E$4),0)</f>
        <v>0</v>
      </c>
      <c r="G7" s="3751"/>
      <c r="H7" s="3751"/>
    </row>
    <row r="8" spans="1:19" ht="15" thickBot="1">
      <c r="A8" s="3908" t="s">
        <v>601</v>
      </c>
      <c r="B8" s="3907">
        <f>IF($A$2="Dolares",IFERROR(INDEX('Estados Financieros'!$D$4:$I$191,MATCH($A8,'Estados Financieros'!$D$4:$D$191,0),MATCH(B$1,'Estados Financieros'!$D$4:$H$4,0)),0)*'Resumen de Cifras'!$B$1,IFERROR(INDEX('Estados Financieros'!$D$4:$I$191,MATCH($A8,'Estados Financieros'!$D$4:$D$191,0),MATCH(B$1,'Estados Financieros'!$D$4:$H$4,0)),0))</f>
        <v>0</v>
      </c>
      <c r="C8" s="3907">
        <f>IF($A$2="Dolares",IFERROR(INDEX('Estados Financieros'!$D$4:$I$191,MATCH($A8,'Estados Financieros'!$D$4:$D$191,0),MATCH(C$1,'Estados Financieros'!$D$4:$H$4,0)),0)*'Resumen de Cifras'!$B$1,IFERROR(INDEX('Estados Financieros'!$D$4:$I$191,MATCH($A8,'Estados Financieros'!$D$4:$D$191,0),MATCH(C$1,'Estados Financieros'!$D$4:$H$4,0)),0))</f>
        <v>0</v>
      </c>
      <c r="D8" s="3907">
        <f>IF($A$2="Dolares",IFERROR(INDEX('Estados Financieros'!$D$4:$I$191,MATCH($A8,'Estados Financieros'!$D$4:$D$191,0),MATCH(D$1,'Estados Financieros'!$D$4:$H$4,0)),0)*'Resumen de Cifras'!$B$1,IFERROR(INDEX('Estados Financieros'!$D$4:$I$191,MATCH($A8,'Estados Financieros'!$D$4:$D$191,0),MATCH(D$1,'Estados Financieros'!$D$4:$H$4,0)),0))</f>
        <v>0</v>
      </c>
      <c r="E8" s="3907">
        <f>IF($A$2="Dolares",IFERROR(INDEX('Estados Financieros'!$D$4:$I$191,MATCH($A8,'Estados Financieros'!$D$4:$D$191,0),MATCH(E$1,'Estados Financieros'!$D$4:$H$4,0)),0)*'Resumen de Cifras'!$B$1,IFERROR(INDEX('Estados Financieros'!$D$4:$I$191,MATCH($A8,'Estados Financieros'!$D$4:$D$191,0),MATCH(E$1,'Estados Financieros'!$D$4:$H$4,0)),0))</f>
        <v>0</v>
      </c>
      <c r="F8" s="3906">
        <f>IFERROR((E8/$E$4),0)</f>
        <v>0</v>
      </c>
      <c r="G8" s="3747"/>
      <c r="H8" s="3747"/>
    </row>
    <row r="9" spans="1:19" ht="15" thickBot="1">
      <c r="A9" s="3905" t="s">
        <v>2548</v>
      </c>
      <c r="B9" s="3904"/>
      <c r="C9" s="3904"/>
      <c r="D9" s="3903" t="e">
        <f>+(D4-C4)/C4</f>
        <v>#DIV/0!</v>
      </c>
      <c r="E9" s="3903" t="e">
        <f>+(E4-D4)/D4</f>
        <v>#DIV/0!</v>
      </c>
      <c r="F9" s="3902">
        <f>SUM(F5:F8)</f>
        <v>0</v>
      </c>
      <c r="G9" s="3913"/>
    </row>
    <row r="10" spans="1:19" ht="15" thickBot="1">
      <c r="A10" s="3912" t="s">
        <v>2637</v>
      </c>
      <c r="B10" s="3734">
        <f>+B3</f>
        <v>2017</v>
      </c>
      <c r="C10" s="3734">
        <f>+C3</f>
        <v>2018</v>
      </c>
      <c r="D10" s="3734">
        <f>+C10+1</f>
        <v>2019</v>
      </c>
      <c r="E10" s="3911" t="str">
        <f>+E3</f>
        <v>Dic 19</v>
      </c>
      <c r="F10" s="3910"/>
      <c r="G10" s="3753"/>
      <c r="H10" s="3753"/>
    </row>
    <row r="11" spans="1:19" ht="15" thickBot="1">
      <c r="A11" s="3909" t="s">
        <v>576</v>
      </c>
      <c r="B11" s="3904">
        <f>SUM(B12:B15)</f>
        <v>0</v>
      </c>
      <c r="C11" s="3904">
        <f>SUM(C12:C15)</f>
        <v>0</v>
      </c>
      <c r="D11" s="3904">
        <f>SUM(D12:D15)</f>
        <v>0</v>
      </c>
      <c r="E11" s="3904">
        <f>SUM(E12:E15)</f>
        <v>0</v>
      </c>
      <c r="F11" s="3902" t="s">
        <v>1258</v>
      </c>
      <c r="G11" s="3751"/>
      <c r="H11" s="3751"/>
    </row>
    <row r="12" spans="1:19" ht="15" thickBot="1">
      <c r="A12" s="3908" t="s">
        <v>577</v>
      </c>
      <c r="B12" s="3907">
        <f>IF($A$2="Dolares",IFERROR(INDEX('Estados Financieros'!$D$4:$I$191,MATCH($A12,'Estados Financieros'!$D$4:$D$191,0),MATCH(B$1,'Estados Financieros'!$D$4:$H$4,0)),0)*'Resumen de Cifras'!$B$1,IFERROR(INDEX('Estados Financieros'!$D$4:$I$191,MATCH($A12,'Estados Financieros'!$D$4:$D$191,0),MATCH(B$1,'Estados Financieros'!$D$4:$H$4,0)),0))</f>
        <v>0</v>
      </c>
      <c r="C12" s="3907">
        <f>IF($A$2="Dolares",IFERROR(INDEX('Estados Financieros'!$D$4:$I$191,MATCH($A12,'Estados Financieros'!$D$4:$D$191,0),MATCH(C$1,'Estados Financieros'!$D$4:$H$4,0)),0)*'Resumen de Cifras'!$B$1,IFERROR(INDEX('Estados Financieros'!$D$4:$I$191,MATCH($A12,'Estados Financieros'!$D$4:$D$191,0),MATCH(C$1,'Estados Financieros'!$D$4:$H$4,0)),0))</f>
        <v>0</v>
      </c>
      <c r="D12" s="3907">
        <f>IF($A$2="Dolares",IFERROR(INDEX('Estados Financieros'!$D$4:$I$191,MATCH($A12,'Estados Financieros'!$D$4:$D$191,0),MATCH(D$1,'Estados Financieros'!$D$4:$H$4,0)),0)*'Resumen de Cifras'!$B$1,IFERROR(INDEX('Estados Financieros'!$D$4:$I$191,MATCH($A12,'Estados Financieros'!$D$4:$D$191,0),MATCH(D$1,'Estados Financieros'!$D$4:$H$4,0)),0))</f>
        <v>0</v>
      </c>
      <c r="E12" s="3907">
        <f>IF($A$2="Dolares",IFERROR(INDEX('Estados Financieros'!$D$4:$I$191,MATCH($A12,'Estados Financieros'!$D$4:$D$191,0),MATCH(E$1,'Estados Financieros'!$D$4:$H$4,0)),0)*'Resumen de Cifras'!$B$1,IFERROR(INDEX('Estados Financieros'!$D$4:$I$191,MATCH($A12,'Estados Financieros'!$D$4:$D$191,0),MATCH(E$1,'Estados Financieros'!$D$4:$H$4,0)),0))</f>
        <v>0</v>
      </c>
      <c r="F12" s="3906">
        <f>IFERROR((E12/SUM($E$12:$E$13)),0)</f>
        <v>0</v>
      </c>
      <c r="G12" s="3751"/>
      <c r="H12" s="3751"/>
    </row>
    <row r="13" spans="1:19" ht="15" thickBot="1">
      <c r="A13" s="3908" t="s">
        <v>578</v>
      </c>
      <c r="B13" s="3907">
        <f>IF($A$2="Dolares",IFERROR(INDEX('Estados Financieros'!$D$4:$I$191,MATCH($A13,'Estados Financieros'!$D$4:$D$191,0),MATCH(B$1,'Estados Financieros'!$D$4:$H$4,0)),0)*'Resumen de Cifras'!$B$1,IFERROR(INDEX('Estados Financieros'!$D$4:$I$191,MATCH($A13,'Estados Financieros'!$D$4:$D$191,0),MATCH(B$1,'Estados Financieros'!$D$4:$H$4,0)),0))</f>
        <v>0</v>
      </c>
      <c r="C13" s="3907">
        <f>IF($A$2="Dolares",IFERROR(INDEX('Estados Financieros'!$D$4:$I$191,MATCH($A13,'Estados Financieros'!$D$4:$D$191,0),MATCH(C$1,'Estados Financieros'!$D$4:$H$4,0)),0)*'Resumen de Cifras'!$B$1,IFERROR(INDEX('Estados Financieros'!$D$4:$I$191,MATCH($A13,'Estados Financieros'!$D$4:$D$191,0),MATCH(C$1,'Estados Financieros'!$D$4:$H$4,0)),0))</f>
        <v>0</v>
      </c>
      <c r="D13" s="3907">
        <f>IF($A$2="Dolares",IFERROR(INDEX('Estados Financieros'!$D$4:$I$191,MATCH($A13,'Estados Financieros'!$D$4:$D$191,0),MATCH(D$1,'Estados Financieros'!$D$4:$H$4,0)),0)*'Resumen de Cifras'!$B$1,IFERROR(INDEX('Estados Financieros'!$D$4:$I$191,MATCH($A13,'Estados Financieros'!$D$4:$D$191,0),MATCH(D$1,'Estados Financieros'!$D$4:$H$4,0)),0))</f>
        <v>0</v>
      </c>
      <c r="E13" s="3907">
        <f>IF($A$2="Dolares",IFERROR(INDEX('Estados Financieros'!$D$4:$I$191,MATCH($A13,'Estados Financieros'!$D$4:$D$191,0),MATCH(E$1,'Estados Financieros'!$D$4:$H$4,0)),0)*'Resumen de Cifras'!$B$1,IFERROR(INDEX('Estados Financieros'!$D$4:$I$191,MATCH($A13,'Estados Financieros'!$D$4:$D$191,0),MATCH(E$1,'Estados Financieros'!$D$4:$H$4,0)),0))</f>
        <v>0</v>
      </c>
      <c r="F13" s="3906">
        <f>IFERROR((E13/SUM($E$12:$E$13)),0)</f>
        <v>0</v>
      </c>
      <c r="G13" s="3747"/>
      <c r="H13" s="3747"/>
    </row>
    <row r="14" spans="1:19" ht="15" thickBot="1">
      <c r="A14" s="3908"/>
      <c r="B14" s="3907">
        <f>IF($A$2="Dolares",IFERROR(INDEX('Estados Financieros'!$D$4:$I$191,MATCH($A14,'Estados Financieros'!$D$4:$D$191,0),MATCH(B$1,'Estados Financieros'!$D$4:$H$4,0)),0)*'Resumen de Cifras'!$B$1,IFERROR(INDEX('Estados Financieros'!$D$4:$I$191,MATCH($A14,'Estados Financieros'!$D$4:$D$191,0),MATCH(B$1,'Estados Financieros'!$D$4:$H$4,0)),0))</f>
        <v>0</v>
      </c>
      <c r="C14" s="3907">
        <f>IF($A$2="Dolares",IFERROR(INDEX('Estados Financieros'!$D$4:$I$191,MATCH($A14,'Estados Financieros'!$D$4:$D$191,0),MATCH(C$1,'Estados Financieros'!$D$4:$H$4,0)),0)*'Resumen de Cifras'!$B$1,IFERROR(INDEX('Estados Financieros'!$D$4:$I$191,MATCH($A14,'Estados Financieros'!$D$4:$D$191,0),MATCH(C$1,'Estados Financieros'!$D$4:$H$4,0)),0))</f>
        <v>0</v>
      </c>
      <c r="D14" s="3907">
        <f>IF($A$2="Dolares",IFERROR(INDEX('Estados Financieros'!$D$4:$I$191,MATCH($A14,'Estados Financieros'!$D$4:$D$191,0),MATCH(D$1,'Estados Financieros'!$D$4:$H$4,0)),0)*'Resumen de Cifras'!$B$1,IFERROR(INDEX('Estados Financieros'!$D$4:$I$191,MATCH($A14,'Estados Financieros'!$D$4:$D$191,0),MATCH(D$1,'Estados Financieros'!$D$4:$H$4,0)),0))</f>
        <v>0</v>
      </c>
      <c r="E14" s="3907">
        <f>IF($A$2="Dolares",IFERROR(INDEX('Estados Financieros'!$D$4:$I$191,MATCH($A14,'Estados Financieros'!$D$4:$D$191,0),MATCH(E$1,'Estados Financieros'!$D$4:$H$4,0)),0)*'Resumen de Cifras'!$B$1,IFERROR(INDEX('Estados Financieros'!$D$4:$I$191,MATCH($A14,'Estados Financieros'!$D$4:$D$191,0),MATCH(E$1,'Estados Financieros'!$D$4:$H$4,0)),0))</f>
        <v>0</v>
      </c>
      <c r="F14" s="3906">
        <f>IFERROR((E14/$E$11),0)</f>
        <v>0</v>
      </c>
      <c r="G14" s="3747"/>
      <c r="H14" s="3747"/>
    </row>
    <row r="15" spans="1:19" ht="15" thickBot="1">
      <c r="A15" s="3908" t="s">
        <v>589</v>
      </c>
      <c r="B15" s="3907">
        <f>IF($A$2="Dolares",IFERROR(INDEX('Estados Financieros'!$D$4:$I$191,MATCH($A15,'Estados Financieros'!$D$4:$D$191,0),MATCH(B$1,'Estados Financieros'!$D$4:$H$4,0)),0)*'Resumen de Cifras'!$B$1,IFERROR(INDEX('Estados Financieros'!$D$4:$I$191,MATCH($A15,'Estados Financieros'!$D$4:$D$191,0),MATCH(B$1,'Estados Financieros'!$D$4:$H$4,0)),0))</f>
        <v>0</v>
      </c>
      <c r="C15" s="3907">
        <f>IF($A$2="Dolares",IFERROR(INDEX('Estados Financieros'!$D$4:$I$191,MATCH($A15,'Estados Financieros'!$D$4:$D$191,0),MATCH(C$1,'Estados Financieros'!$D$4:$H$4,0)),0)*'Resumen de Cifras'!$B$1,IFERROR(INDEX('Estados Financieros'!$D$4:$I$191,MATCH($A15,'Estados Financieros'!$D$4:$D$191,0),MATCH(C$1,'Estados Financieros'!$D$4:$H$4,0)),0))</f>
        <v>0</v>
      </c>
      <c r="D15" s="3907">
        <f>IF($A$2="Dolares",IFERROR(INDEX('Estados Financieros'!$D$4:$I$191,MATCH($A15,'Estados Financieros'!$D$4:$D$191,0),MATCH(D$1,'Estados Financieros'!$D$4:$H$4,0)),0)*'Resumen de Cifras'!$B$1,IFERROR(INDEX('Estados Financieros'!$D$4:$I$191,MATCH($A15,'Estados Financieros'!$D$4:$D$191,0),MATCH(D$1,'Estados Financieros'!$D$4:$H$4,0)),0))</f>
        <v>0</v>
      </c>
      <c r="E15" s="3907">
        <f>IF($A$2="Dolares",IFERROR(INDEX('Estados Financieros'!$D$4:$I$191,MATCH($A15,'Estados Financieros'!$D$4:$D$191,0),MATCH(E$1,'Estados Financieros'!$D$4:$H$4,0)),0)*'Resumen de Cifras'!$B$1,IFERROR(INDEX('Estados Financieros'!$D$4:$I$191,MATCH($A15,'Estados Financieros'!$D$4:$D$191,0),MATCH(E$1,'Estados Financieros'!$D$4:$H$4,0)),0))</f>
        <v>0</v>
      </c>
      <c r="F15" s="3906">
        <f>IFERROR((E15/$E$11),0)</f>
        <v>0</v>
      </c>
      <c r="G15" s="3747"/>
      <c r="H15" s="3747"/>
    </row>
    <row r="16" spans="1:19" ht="15" thickBot="1">
      <c r="A16" s="3905" t="s">
        <v>2548</v>
      </c>
      <c r="B16" s="3904"/>
      <c r="C16" s="3904"/>
      <c r="D16" s="3903" t="e">
        <f>+(D11-C11)/C11</f>
        <v>#DIV/0!</v>
      </c>
      <c r="E16" s="3903" t="e">
        <f>+(E11-D11)/D11</f>
        <v>#DIV/0!</v>
      </c>
      <c r="F16" s="3902">
        <f>SUM(F12:F13)</f>
        <v>0</v>
      </c>
    </row>
    <row r="17" spans="1:6" ht="15" thickBot="1">
      <c r="A17" s="3912" t="s">
        <v>2637</v>
      </c>
      <c r="B17" s="3734">
        <f>+B10</f>
        <v>2017</v>
      </c>
      <c r="C17" s="3734">
        <f>+C10</f>
        <v>2018</v>
      </c>
      <c r="D17" s="3734">
        <f>+C17+1</f>
        <v>2019</v>
      </c>
      <c r="E17" s="3911" t="str">
        <f>+E10</f>
        <v>Dic 19</v>
      </c>
      <c r="F17" s="3910"/>
    </row>
    <row r="18" spans="1:6" ht="15" thickBot="1">
      <c r="A18" s="3909" t="s">
        <v>1061</v>
      </c>
      <c r="B18" s="3904">
        <f>SUM(B19:B26)</f>
        <v>0</v>
      </c>
      <c r="C18" s="3904">
        <f>SUM(C19:C26)</f>
        <v>0</v>
      </c>
      <c r="D18" s="3904">
        <f>SUM(D19:D26)</f>
        <v>0</v>
      </c>
      <c r="E18" s="3904">
        <f>SUM(E19:E26)</f>
        <v>0</v>
      </c>
      <c r="F18" s="3902" t="s">
        <v>1258</v>
      </c>
    </row>
    <row r="19" spans="1:6" ht="15" thickBot="1">
      <c r="A19" s="3908" t="s">
        <v>619</v>
      </c>
      <c r="B19" s="3907">
        <f>IF($A$2="Dolares",IFERROR(INDEX('Estados Financieros'!$D$4:$I$191,MATCH($A19,'Estados Financieros'!$D$4:$D$191,0),MATCH(B$1,'Estados Financieros'!$D$4:$H$4,0)),0)*'Resumen de Cifras'!$B$1,IFERROR(INDEX('Estados Financieros'!$D$4:$I$191,MATCH($A19,'Estados Financieros'!$D$4:$D$191,0),MATCH(B$1,'Estados Financieros'!$D$4:$H$4,0)),0))</f>
        <v>0</v>
      </c>
      <c r="C19" s="3907">
        <f>IF($A$2="Dolares",IFERROR(INDEX('Estados Financieros'!$D$100:$I$191,MATCH($A19,'Estados Financieros'!$D$100:$D$191,0),MATCH(C$1,'Estados Financieros'!$D$4:$H$4,0)),0)*'Resumen de Cifras'!$B$1,IFERROR(INDEX('Estados Financieros'!$D$100:$I$191,MATCH($A19,'Estados Financieros'!$D$100:$D$191,0),MATCH(C$1,'Estados Financieros'!$D$4:$H$4,0)),0))</f>
        <v>0</v>
      </c>
      <c r="D19" s="3907">
        <f>IF($A$2="Dolares",IFERROR(INDEX('Estados Financieros'!$D$100:$I$191,MATCH($A19,'Estados Financieros'!$D$100:$D$191,0),MATCH(D$1,'Estados Financieros'!$D$4:$H$4,0)),0)*'Resumen de Cifras'!$B$1,IFERROR(INDEX('Estados Financieros'!$D$100:$I$191,MATCH($A19,'Estados Financieros'!$D$100:$D$191,0),MATCH(D$1,'Estados Financieros'!$D$4:$H$4,0)),0))</f>
        <v>0</v>
      </c>
      <c r="E19" s="3907">
        <f>IF($A$2="Dolares",IFERROR(INDEX('Estados Financieros'!$D$100:$I$191,MATCH($A19,'Estados Financieros'!$D$100:$D$191,0),MATCH(E$1,'Estados Financieros'!$D$4:$H$4,0)),0)*'Resumen de Cifras'!$B$1,IFERROR(INDEX('Estados Financieros'!$D$100:$I$191,MATCH($A19,'Estados Financieros'!$D$100:$D$191,0),MATCH(E$1,'Estados Financieros'!$D$4:$H$4,0)),0))</f>
        <v>0</v>
      </c>
      <c r="F19" s="3906">
        <f t="shared" ref="F19:F26" si="0">IFERROR((D19/$D$18),0)</f>
        <v>0</v>
      </c>
    </row>
    <row r="20" spans="1:6" ht="15" thickBot="1">
      <c r="A20" s="3908" t="s">
        <v>620</v>
      </c>
      <c r="B20" s="3907">
        <f>IF($A$2="Dolares",IFERROR(INDEX('Estados Financieros'!$D$4:$I$191,MATCH($A20,'Estados Financieros'!$D$4:$D$191,0),MATCH(B$1,'Estados Financieros'!$D$4:$H$4,0)),0)*'Resumen de Cifras'!$B$1,IFERROR(INDEX('Estados Financieros'!$D$4:$I$191,MATCH($A20,'Estados Financieros'!$D$4:$D$191,0),MATCH(B$1,'Estados Financieros'!$D$4:$H$4,0)),0))</f>
        <v>0</v>
      </c>
      <c r="C20" s="3907">
        <f>IF($A$2="Dolares",IFERROR(INDEX('Estados Financieros'!$D$100:$I$191,MATCH($A20,'Estados Financieros'!$D$100:$D$191,0),MATCH(C$1,'Estados Financieros'!$D$4:$H$4,0)),0)*'Resumen de Cifras'!$B$1,IFERROR(INDEX('Estados Financieros'!$D$100:$I$191,MATCH($A20,'Estados Financieros'!$D$100:$D$191,0),MATCH(C$1,'Estados Financieros'!$D$4:$H$4,0)),0))</f>
        <v>0</v>
      </c>
      <c r="D20" s="3907">
        <f>IF($A$2="Dolares",IFERROR(INDEX('Estados Financieros'!$D$100:$I$191,MATCH($A20,'Estados Financieros'!$D$100:$D$191,0),MATCH(D$1,'Estados Financieros'!$D$4:$H$4,0)),0)*'Resumen de Cifras'!$B$1,IFERROR(INDEX('Estados Financieros'!$D$100:$I$191,MATCH($A20,'Estados Financieros'!$D$100:$D$191,0),MATCH(D$1,'Estados Financieros'!$D$4:$H$4,0)),0))</f>
        <v>0</v>
      </c>
      <c r="E20" s="3907">
        <f>IF($A$2="Dolares",IFERROR(INDEX('Estados Financieros'!$D$100:$I$191,MATCH($A20,'Estados Financieros'!$D$100:$D$191,0),MATCH(E$1,'Estados Financieros'!$D$4:$H$4,0)),0)*'Resumen de Cifras'!$B$1,IFERROR(INDEX('Estados Financieros'!$D$100:$I$191,MATCH($A20,'Estados Financieros'!$D$100:$D$191,0),MATCH(E$1,'Estados Financieros'!$D$4:$H$4,0)),0))</f>
        <v>0</v>
      </c>
      <c r="F20" s="3906">
        <f t="shared" si="0"/>
        <v>0</v>
      </c>
    </row>
    <row r="21" spans="1:6" ht="15" thickBot="1">
      <c r="A21" s="3908" t="s">
        <v>621</v>
      </c>
      <c r="B21" s="3907">
        <f>IF($A$2="Dolares",IFERROR(INDEX('Estados Financieros'!$D$4:$I$191,MATCH($A21,'Estados Financieros'!$D$4:$D$191,0),MATCH(B$1,'Estados Financieros'!$D$4:$H$4,0)),0)*'Resumen de Cifras'!$B$1,IFERROR(INDEX('Estados Financieros'!$D$4:$I$191,MATCH($A21,'Estados Financieros'!$D$4:$D$191,0),MATCH(B$1,'Estados Financieros'!$D$4:$H$4,0)),0))</f>
        <v>0</v>
      </c>
      <c r="C21" s="3907">
        <f>IF($A$2="Dolares",IFERROR(INDEX('Estados Financieros'!$D$100:$I$191,MATCH($A21,'Estados Financieros'!$D$100:$D$191,0),MATCH(C$1,'Estados Financieros'!$D$4:$H$4,0)),0)*'Resumen de Cifras'!$B$1,IFERROR(INDEX('Estados Financieros'!$D$100:$I$191,MATCH($A21,'Estados Financieros'!$D$100:$D$191,0),MATCH(C$1,'Estados Financieros'!$D$4:$H$4,0)),0))</f>
        <v>0</v>
      </c>
      <c r="D21" s="3907">
        <f>IF($A$2="Dolares",IFERROR(INDEX('Estados Financieros'!$D$100:$I$191,MATCH($A21,'Estados Financieros'!$D$100:$D$191,0),MATCH(D$1,'Estados Financieros'!$D$4:$H$4,0)),0)*'Resumen de Cifras'!$B$1,IFERROR(INDEX('Estados Financieros'!$D$100:$I$191,MATCH($A21,'Estados Financieros'!$D$100:$D$191,0),MATCH(D$1,'Estados Financieros'!$D$4:$H$4,0)),0))</f>
        <v>0</v>
      </c>
      <c r="E21" s="3907">
        <f>IF($A$2="Dolares",IFERROR(INDEX('Estados Financieros'!$D$100:$I$191,MATCH($A21,'Estados Financieros'!$D$100:$D$191,0),MATCH(E$1,'Estados Financieros'!$D$4:$H$4,0)),0)*'Resumen de Cifras'!$B$1,IFERROR(INDEX('Estados Financieros'!$D$100:$I$191,MATCH($A21,'Estados Financieros'!$D$100:$D$191,0),MATCH(E$1,'Estados Financieros'!$D$4:$H$4,0)),0))</f>
        <v>0</v>
      </c>
      <c r="F21" s="3906">
        <f t="shared" si="0"/>
        <v>0</v>
      </c>
    </row>
    <row r="22" spans="1:6" ht="15" thickBot="1">
      <c r="A22" s="3908" t="s">
        <v>622</v>
      </c>
      <c r="B22" s="3907">
        <f>IF($A$2="Dolares",IFERROR(INDEX('Estados Financieros'!$D$4:$I$191,MATCH($A22,'Estados Financieros'!$D$4:$D$191,0),MATCH(B$1,'Estados Financieros'!$D$4:$H$4,0)),0)*'Resumen de Cifras'!$B$1,IFERROR(INDEX('Estados Financieros'!$D$4:$I$191,MATCH($A22,'Estados Financieros'!$D$4:$D$191,0),MATCH(B$1,'Estados Financieros'!$D$4:$H$4,0)),0))</f>
        <v>0</v>
      </c>
      <c r="C22" s="3907">
        <f>IF($A$2="Dolares",IFERROR(INDEX('Estados Financieros'!$D$100:$I$191,MATCH($A22,'Estados Financieros'!$D$100:$D$191,0),MATCH(C$1,'Estados Financieros'!$D$4:$H$4,0)),0)*'Resumen de Cifras'!$B$1,IFERROR(INDEX('Estados Financieros'!$D$100:$I$191,MATCH($A22,'Estados Financieros'!$D$100:$D$191,0),MATCH(C$1,'Estados Financieros'!$D$4:$H$4,0)),0))</f>
        <v>0</v>
      </c>
      <c r="D22" s="3907">
        <f>IF($A$2="Dolares",IFERROR(INDEX('Estados Financieros'!$D$100:$I$191,MATCH($A22,'Estados Financieros'!$D$100:$D$191,0),MATCH(D$1,'Estados Financieros'!$D$4:$H$4,0)),0)*'Resumen de Cifras'!$B$1,IFERROR(INDEX('Estados Financieros'!$D$100:$I$191,MATCH($A22,'Estados Financieros'!$D$100:$D$191,0),MATCH(D$1,'Estados Financieros'!$D$4:$H$4,0)),0))</f>
        <v>0</v>
      </c>
      <c r="E22" s="3907">
        <f>IF($A$2="Dolares",IFERROR(INDEX('Estados Financieros'!$D$100:$I$191,MATCH($A22,'Estados Financieros'!$D$100:$D$191,0),MATCH(E$1,'Estados Financieros'!$D$4:$H$4,0)),0)*'Resumen de Cifras'!$B$1,IFERROR(INDEX('Estados Financieros'!$D$100:$I$191,MATCH($A22,'Estados Financieros'!$D$100:$D$191,0),MATCH(E$1,'Estados Financieros'!$D$4:$H$4,0)),0))</f>
        <v>0</v>
      </c>
      <c r="F22" s="3906">
        <f t="shared" si="0"/>
        <v>0</v>
      </c>
    </row>
    <row r="23" spans="1:6" ht="15" thickBot="1">
      <c r="A23" s="3908" t="s">
        <v>623</v>
      </c>
      <c r="B23" s="3907">
        <f>IF($A$2="Dolares",IFERROR(INDEX('Estados Financieros'!$D$4:$I$191,MATCH($A23,'Estados Financieros'!$D$4:$D$191,0),MATCH(B$1,'Estados Financieros'!$D$4:$H$4,0)),0)*'Resumen de Cifras'!$B$1,IFERROR(INDEX('Estados Financieros'!$D$4:$I$191,MATCH($A23,'Estados Financieros'!$D$4:$D$191,0),MATCH(B$1,'Estados Financieros'!$D$4:$H$4,0)),0))</f>
        <v>0</v>
      </c>
      <c r="C23" s="3907">
        <f>IF($A$2="Dolares",IFERROR(INDEX('Estados Financieros'!$D$100:$I$191,MATCH($A23,'Estados Financieros'!$D$100:$D$191,0),MATCH(C$1,'Estados Financieros'!$D$4:$H$4,0)),0)*'Resumen de Cifras'!$B$1,IFERROR(INDEX('Estados Financieros'!$D$100:$I$191,MATCH($A23,'Estados Financieros'!$D$100:$D$191,0),MATCH(C$1,'Estados Financieros'!$D$4:$H$4,0)),0))</f>
        <v>0</v>
      </c>
      <c r="D23" s="3907">
        <f>IF($A$2="Dolares",IFERROR(INDEX('Estados Financieros'!$D$100:$I$191,MATCH($A23,'Estados Financieros'!$D$100:$D$191,0),MATCH(D$1,'Estados Financieros'!$D$4:$H$4,0)),0)*'Resumen de Cifras'!$B$1,IFERROR(INDEX('Estados Financieros'!$D$100:$I$191,MATCH($A23,'Estados Financieros'!$D$100:$D$191,0),MATCH(D$1,'Estados Financieros'!$D$4:$H$4,0)),0))</f>
        <v>0</v>
      </c>
      <c r="E23" s="3907">
        <f>IF($A$2="Dolares",IFERROR(INDEX('Estados Financieros'!$D$100:$I$191,MATCH($A23,'Estados Financieros'!$D$100:$D$191,0),MATCH(E$1,'Estados Financieros'!$D$4:$H$4,0)),0)*'Resumen de Cifras'!$B$1,IFERROR(INDEX('Estados Financieros'!$D$100:$I$191,MATCH($A23,'Estados Financieros'!$D$100:$D$191,0),MATCH(E$1,'Estados Financieros'!$D$4:$H$4,0)),0))</f>
        <v>0</v>
      </c>
      <c r="F23" s="3906">
        <f t="shared" si="0"/>
        <v>0</v>
      </c>
    </row>
    <row r="24" spans="1:6" ht="15" thickBot="1">
      <c r="A24" s="3908" t="s">
        <v>453</v>
      </c>
      <c r="B24" s="3907">
        <f>IF($A$2="Dolares",IFERROR(INDEX('Estados Financieros'!$D$4:$I$191,MATCH($A24,'Estados Financieros'!$D$4:$D$191,0),MATCH(B$1,'Estados Financieros'!$D$4:$H$4,0)),0)*'Resumen de Cifras'!$B$1,IFERROR(INDEX('Estados Financieros'!$D$4:$I$191,MATCH($A24,'Estados Financieros'!$D$4:$D$191,0),MATCH(B$1,'Estados Financieros'!$D$4:$H$4,0)),0))</f>
        <v>0</v>
      </c>
      <c r="C24" s="3907">
        <f>IF($A$2="Dolares",IFERROR(INDEX('Estados Financieros'!$D$100:$I$191,MATCH($A24,'Estados Financieros'!$D$100:$D$191,0),MATCH(C$1,'Estados Financieros'!$D$4:$H$4,0)),0)*'Resumen de Cifras'!$B$1,IFERROR(INDEX('Estados Financieros'!$D$100:$I$191,MATCH($A24,'Estados Financieros'!$D$100:$D$191,0),MATCH(C$1,'Estados Financieros'!$D$4:$H$4,0)),0))</f>
        <v>0</v>
      </c>
      <c r="D24" s="3907">
        <f>IF($A$2="Dolares",IFERROR(INDEX('Estados Financieros'!$D$100:$I$191,MATCH($A24,'Estados Financieros'!$D$100:$D$191,0),MATCH(D$1,'Estados Financieros'!$D$4:$H$4,0)),0)*'Resumen de Cifras'!$B$1,IFERROR(INDEX('Estados Financieros'!$D$100:$I$191,MATCH($A24,'Estados Financieros'!$D$100:$D$191,0),MATCH(D$1,'Estados Financieros'!$D$4:$H$4,0)),0))</f>
        <v>0</v>
      </c>
      <c r="E24" s="3907">
        <f>IF($A$2="Dolares",IFERROR(INDEX('Estados Financieros'!$D$100:$I$191,MATCH($A24,'Estados Financieros'!$D$100:$D$191,0),MATCH(E$1,'Estados Financieros'!$D$4:$H$4,0)),0)*'Resumen de Cifras'!$B$1,IFERROR(INDEX('Estados Financieros'!$D$100:$I$191,MATCH($A24,'Estados Financieros'!$D$100:$D$191,0),MATCH(E$1,'Estados Financieros'!$D$4:$H$4,0)),0))</f>
        <v>0</v>
      </c>
      <c r="F24" s="3906">
        <f t="shared" si="0"/>
        <v>0</v>
      </c>
    </row>
    <row r="25" spans="1:6" ht="15" thickBot="1">
      <c r="A25" s="3908" t="s">
        <v>625</v>
      </c>
      <c r="B25" s="3907">
        <f>IF($A$2="Dolares",IFERROR(INDEX('Estados Financieros'!$D$4:$I$191,MATCH($A25,'Estados Financieros'!$D$4:$D$191,0),MATCH(B$1,'Estados Financieros'!$D$4:$H$4,0)),0)*'Resumen de Cifras'!$B$1,IFERROR(INDEX('Estados Financieros'!$D$4:$I$191,MATCH($A25,'Estados Financieros'!$D$4:$D$191,0),MATCH(B$1,'Estados Financieros'!$D$4:$H$4,0)),0))</f>
        <v>0</v>
      </c>
      <c r="C25" s="3907">
        <f>IF($A$2="Dolares",IFERROR(INDEX('Estados Financieros'!$D$100:$I$191,MATCH($A25,'Estados Financieros'!$D$100:$D$191,0),MATCH(C$1,'Estados Financieros'!$D$4:$H$4,0)),0)*'Resumen de Cifras'!$B$1,IFERROR(INDEX('Estados Financieros'!$D$100:$I$191,MATCH($A25,'Estados Financieros'!$D$100:$D$191,0),MATCH(C$1,'Estados Financieros'!$D$4:$H$4,0)),0))</f>
        <v>0</v>
      </c>
      <c r="D25" s="3907">
        <f>IF($A$2="Dolares",IFERROR(INDEX('Estados Financieros'!$D$100:$I$191,MATCH($A25,'Estados Financieros'!$D$100:$D$191,0),MATCH(D$1,'Estados Financieros'!$D$4:$H$4,0)),0)*'Resumen de Cifras'!$B$1,IFERROR(INDEX('Estados Financieros'!$D$100:$I$191,MATCH($A25,'Estados Financieros'!$D$100:$D$191,0),MATCH(D$1,'Estados Financieros'!$D$4:$H$4,0)),0))</f>
        <v>0</v>
      </c>
      <c r="E25" s="3907">
        <f>IF($A$2="Dolares",IFERROR(INDEX('Estados Financieros'!$D$100:$I$191,MATCH($A25,'Estados Financieros'!$D$100:$D$191,0),MATCH(E$1,'Estados Financieros'!$D$4:$H$4,0)),0)*'Resumen de Cifras'!$B$1,IFERROR(INDEX('Estados Financieros'!$D$100:$I$191,MATCH($A25,'Estados Financieros'!$D$100:$D$191,0),MATCH(E$1,'Estados Financieros'!$D$4:$H$4,0)),0))</f>
        <v>0</v>
      </c>
      <c r="F25" s="3906">
        <f t="shared" si="0"/>
        <v>0</v>
      </c>
    </row>
    <row r="26" spans="1:6" ht="15" thickBot="1">
      <c r="A26" s="3908" t="s">
        <v>631</v>
      </c>
      <c r="B26" s="3907">
        <f>IF($A$2="Dolares",IFERROR(INDEX('Estados Financieros'!$D$4:$I$191,MATCH($A26,'Estados Financieros'!$D$4:$D$191,0),MATCH(B$1,'Estados Financieros'!$D$4:$H$4,0)),0)*'Resumen de Cifras'!$B$1,IFERROR(INDEX('Estados Financieros'!$D$4:$I$191,MATCH($A26,'Estados Financieros'!$D$4:$D$191,0),MATCH(B$1,'Estados Financieros'!$D$4:$H$4,0)),0))</f>
        <v>0</v>
      </c>
      <c r="C26" s="3907">
        <f>IF($A$2="Dolares",IFERROR(INDEX('Estados Financieros'!$D$4:$I$191,MATCH($A26,'Estados Financieros'!$D$4:$D$191,0),MATCH(C$1,'Estados Financieros'!$D$4:$H$4,0)),0)*'Resumen de Cifras'!$B$1,IFERROR(INDEX('Estados Financieros'!$D$4:$I$191,MATCH($A26,'Estados Financieros'!$D$4:$D$191,0),MATCH(C$1,'Estados Financieros'!$D$4:$H$4,0)),0))</f>
        <v>0</v>
      </c>
      <c r="D26" s="3907">
        <f>IF($A$2="Dolares",IFERROR(INDEX('Estados Financieros'!$D$4:$I$191,MATCH($A26,'Estados Financieros'!$D$4:$D$191,0),MATCH(D$1,'Estados Financieros'!$D$4:$H$4,0)),0)*'Resumen de Cifras'!$B$1,IFERROR(INDEX('Estados Financieros'!$D$4:$I$191,MATCH($A26,'Estados Financieros'!$D$4:$D$191,0),MATCH(D$1,'Estados Financieros'!$D$4:$H$4,0)),0))</f>
        <v>0</v>
      </c>
      <c r="E26" s="3907">
        <f>IF($A$2="Dolares",IFERROR(INDEX('Estados Financieros'!$D$4:$I$191,MATCH($A26,'Estados Financieros'!$D$4:$D$191,0),MATCH(E$1,'Estados Financieros'!$D$4:$H$4,0)),0)*'Resumen de Cifras'!$B$1,IFERROR(INDEX('Estados Financieros'!$D$4:$I$191,MATCH($A26,'Estados Financieros'!$D$4:$D$191,0),MATCH(E$1,'Estados Financieros'!$D$4:$H$4,0)),0))</f>
        <v>0</v>
      </c>
      <c r="F26" s="3906">
        <f t="shared" si="0"/>
        <v>0</v>
      </c>
    </row>
    <row r="27" spans="1:6" ht="15" thickBot="1">
      <c r="A27" s="3905" t="s">
        <v>2548</v>
      </c>
      <c r="B27" s="3904"/>
      <c r="C27" s="3904"/>
      <c r="D27" s="3903" t="e">
        <f>+(D18-C18)/C18</f>
        <v>#DIV/0!</v>
      </c>
      <c r="E27" s="3903" t="e">
        <f>+(E18-D18)/D18</f>
        <v>#DIV/0!</v>
      </c>
      <c r="F27" s="3902">
        <f>SUM(F19:F26)</f>
        <v>0</v>
      </c>
    </row>
    <row r="28" spans="1:6" ht="15" thickBot="1">
      <c r="A28" s="3912" t="s">
        <v>2637</v>
      </c>
      <c r="B28" s="3734">
        <f>+B10</f>
        <v>2017</v>
      </c>
      <c r="C28" s="3734">
        <f>+C10</f>
        <v>2018</v>
      </c>
      <c r="D28" s="3734">
        <f>+C28+1</f>
        <v>2019</v>
      </c>
      <c r="E28" s="3911" t="str">
        <f>+E10</f>
        <v>Dic 19</v>
      </c>
      <c r="F28" s="3910"/>
    </row>
    <row r="29" spans="1:6" ht="15" thickBot="1">
      <c r="A29" s="3909" t="s">
        <v>2638</v>
      </c>
      <c r="B29" s="3904">
        <f>SUM(B30:B34)</f>
        <v>0</v>
      </c>
      <c r="C29" s="3904">
        <f>SUM(C30:C34)</f>
        <v>0</v>
      </c>
      <c r="D29" s="3904">
        <f>SUM(D30:D34)</f>
        <v>0</v>
      </c>
      <c r="E29" s="3904">
        <f>SUM(E30:E34)</f>
        <v>0</v>
      </c>
      <c r="F29" s="3902" t="s">
        <v>1258</v>
      </c>
    </row>
    <row r="30" spans="1:6" ht="15" thickBot="1">
      <c r="A30" s="3908" t="s">
        <v>663</v>
      </c>
      <c r="B30" s="3907">
        <f>IF($A$2="Dolares",IFERROR(INDEX('Estados Financieros'!$D$4:$I$191,MATCH($A30,'Estados Financieros'!$D$4:$D$191,0),MATCH(B$1,'Estados Financieros'!$D$4:$H$4,0)),0)*'Resumen de Cifras'!$B$1,IFERROR(INDEX('Estados Financieros'!$D$4:$I$191,MATCH($A30,'Estados Financieros'!$D$4:$D$191,0),MATCH(B$1,'Estados Financieros'!$D$4:$H$4,0)),0))</f>
        <v>0</v>
      </c>
      <c r="C30" s="3907">
        <f>IF($A$2="Dolares",IFERROR(INDEX('Estados Financieros'!$D$100:$I$191,MATCH($A30,'Estados Financieros'!$D$100:$D$191,0),MATCH(C$1,'Estados Financieros'!$D$4:$H$4,0)),0)*'Resumen de Cifras'!$B$1,IFERROR(INDEX('Estados Financieros'!$D$100:$I$191,MATCH($A30,'Estados Financieros'!$D$100:$D$191,0),MATCH(C$1,'Estados Financieros'!$D$4:$H$4,0)),0))</f>
        <v>0</v>
      </c>
      <c r="D30" s="3907">
        <f>IF($A$2="Dolares",IFERROR(INDEX('Estados Financieros'!$D$100:$I$191,MATCH($A30,'Estados Financieros'!$D$100:$D$191,0),MATCH(D$1,'Estados Financieros'!$D$4:$H$4,0)),0)*'Resumen de Cifras'!$B$1,IFERROR(INDEX('Estados Financieros'!$D$100:$I$191,MATCH($A30,'Estados Financieros'!$D$100:$D$191,0),MATCH(D$1,'Estados Financieros'!$D$4:$H$4,0)),0))</f>
        <v>0</v>
      </c>
      <c r="E30" s="3907">
        <f>IF($A$2="Dolares",IFERROR(INDEX('Estados Financieros'!$D$100:$I$191,MATCH($A30,'Estados Financieros'!$D$100:$D$191,0),MATCH(E$1,'Estados Financieros'!$D$4:$H$4,0)),0)*'Resumen de Cifras'!$B$1,IFERROR(INDEX('Estados Financieros'!$D$100:$I$191,MATCH($A30,'Estados Financieros'!$D$100:$D$191,0),MATCH(E$1,'Estados Financieros'!$D$4:$H$4,0)),0))</f>
        <v>0</v>
      </c>
      <c r="F30" s="3906">
        <f>IFERROR((E30/$E$29),0)</f>
        <v>0</v>
      </c>
    </row>
    <row r="31" spans="1:6" ht="15" thickBot="1">
      <c r="A31" s="3908" t="s">
        <v>577</v>
      </c>
      <c r="B31" s="3907">
        <f>IF($A$2="Dolares",IFERROR(INDEX('Estados Financieros'!$D$4:$I$191,MATCH($A31,'Estados Financieros'!$D$4:$D$191,0),MATCH(B$1,'Estados Financieros'!$D$4:$H$4,0)),0)*'Resumen de Cifras'!$B$1,IFERROR(INDEX('Estados Financieros'!$D$4:$I$191,MATCH($A31,'Estados Financieros'!$D$4:$D$191,0),MATCH(B$1,'Estados Financieros'!$D$4:$H$4,0)),0))</f>
        <v>0</v>
      </c>
      <c r="C31" s="3907">
        <f>IF($A$2="Dolares",IFERROR(INDEX('Estados Financieros'!$D$100:$I$191,MATCH($A31,'Estados Financieros'!$D$100:$D$191,0),MATCH(C$1,'Estados Financieros'!$D$4:$H$4,0)),0)*'Resumen de Cifras'!$B$1,IFERROR(INDEX('Estados Financieros'!$D$100:$I$191,MATCH($A31,'Estados Financieros'!$D$100:$D$191,0),MATCH(C$1,'Estados Financieros'!$D$4:$H$4,0)),0))</f>
        <v>0</v>
      </c>
      <c r="D31" s="3907">
        <f>IF($A$2="Dolares",IFERROR(INDEX('Estados Financieros'!$D$100:$I$191,MATCH($A31,'Estados Financieros'!$D$100:$D$191,0),MATCH(D$1,'Estados Financieros'!$D$4:$H$4,0)),0)*'Resumen de Cifras'!$B$1,IFERROR(INDEX('Estados Financieros'!$D$100:$I$191,MATCH($A31,'Estados Financieros'!$D$100:$D$191,0),MATCH(D$1,'Estados Financieros'!$D$4:$H$4,0)),0))</f>
        <v>0</v>
      </c>
      <c r="E31" s="3907">
        <f>IF($A$2="Dolares",IFERROR(INDEX('Estados Financieros'!$D$100:$I$191,MATCH($A31,'Estados Financieros'!$D$100:$D$191,0),MATCH(E$1,'Estados Financieros'!$D$4:$H$4,0)),0)*'Resumen de Cifras'!$B$1,IFERROR(INDEX('Estados Financieros'!$D$100:$I$191,MATCH($A31,'Estados Financieros'!$D$100:$D$191,0),MATCH(E$1,'Estados Financieros'!$D$4:$H$4,0)),0))</f>
        <v>0</v>
      </c>
      <c r="F31" s="3906">
        <f>IFERROR((E31/$E$29),0)</f>
        <v>0</v>
      </c>
    </row>
    <row r="32" spans="1:6" ht="15" thickBot="1">
      <c r="A32" s="3908" t="s">
        <v>567</v>
      </c>
      <c r="B32" s="3907">
        <f>IF($A$2="Dolares",IFERROR(INDEX('Estados Financieros'!$D$4:$I$191,MATCH($A32,'Estados Financieros'!$D$4:$D$191,0),MATCH(B$1,'Estados Financieros'!$D$4:$H$4,0)),0)*'Resumen de Cifras'!$B$1,IFERROR(INDEX('Estados Financieros'!$D$4:$I$191,MATCH($A32,'Estados Financieros'!$D$4:$D$191,0),MATCH(B$1,'Estados Financieros'!$D$4:$H$4,0)),0))</f>
        <v>0</v>
      </c>
      <c r="C32" s="3907">
        <f>IF($A$2="Dolares",IFERROR(INDEX('Estados Financieros'!$D$100:$I$191,MATCH($A32,'Estados Financieros'!$D$100:$D$191,0),MATCH(C$1,'Estados Financieros'!$D$4:$H$4,0)),0)*'Resumen de Cifras'!$B$1,IFERROR(INDEX('Estados Financieros'!$D$100:$I$191,MATCH($A32,'Estados Financieros'!$D$100:$D$191,0),MATCH(C$1,'Estados Financieros'!$D$4:$H$4,0)),0))</f>
        <v>0</v>
      </c>
      <c r="D32" s="3907">
        <f>IF($A$2="Dolares",IFERROR(INDEX('Estados Financieros'!$D$100:$I$191,MATCH($A32,'Estados Financieros'!$D$100:$D$191,0),MATCH(D$1,'Estados Financieros'!$D$4:$H$4,0)),0)*'Resumen de Cifras'!$B$1,IFERROR(INDEX('Estados Financieros'!$D$100:$I$191,MATCH($A32,'Estados Financieros'!$D$100:$D$191,0),MATCH(D$1,'Estados Financieros'!$D$4:$H$4,0)),0))</f>
        <v>0</v>
      </c>
      <c r="E32" s="3907">
        <f>IF($A$2="Dolares",IFERROR(INDEX('Estados Financieros'!$D$100:$I$191,MATCH($A32,'Estados Financieros'!$D$100:$D$191,0),MATCH(E$1,'Estados Financieros'!$D$4:$H$4,0)),0)*'Resumen de Cifras'!$B$1,IFERROR(INDEX('Estados Financieros'!$D$100:$I$191,MATCH($A32,'Estados Financieros'!$D$100:$D$191,0),MATCH(E$1,'Estados Financieros'!$D$4:$H$4,0)),0))</f>
        <v>0</v>
      </c>
      <c r="F32" s="3906">
        <f>IFERROR((E32/$E$29),0)</f>
        <v>0</v>
      </c>
    </row>
    <row r="33" spans="1:6" ht="15" thickBot="1">
      <c r="A33" s="3908" t="s">
        <v>584</v>
      </c>
      <c r="B33" s="3907">
        <f>IF($A$2="Dolares",IFERROR(INDEX('Estados Financieros'!$D$4:$I$191,MATCH($A33,'Estados Financieros'!$D$4:$D$191,0),MATCH(B$1,'Estados Financieros'!$D$4:$H$4,0)),0)*'Resumen de Cifras'!$B$1,IFERROR(INDEX('Estados Financieros'!$D$4:$I$191,MATCH($A33,'Estados Financieros'!$D$4:$D$191,0),MATCH(B$1,'Estados Financieros'!$D$4:$H$4,0)),0))</f>
        <v>0</v>
      </c>
      <c r="C33" s="3907">
        <f>IF($A$2="Dolares",IFERROR(INDEX('Estados Financieros'!$D$100:$I$191,MATCH($A33,'Estados Financieros'!$D$100:$D$191,0),MATCH(C$1,'Estados Financieros'!$D$4:$H$4,0)),0)*'Resumen de Cifras'!$B$1,IFERROR(INDEX('Estados Financieros'!$D$100:$I$191,MATCH($A33,'Estados Financieros'!$D$100:$D$191,0),MATCH(C$1,'Estados Financieros'!$D$4:$H$4,0)),0))</f>
        <v>0</v>
      </c>
      <c r="D33" s="3907">
        <f>IF($A$2="Dolares",IFERROR(INDEX('Estados Financieros'!$D$100:$I$191,MATCH($A33,'Estados Financieros'!$D$100:$D$191,0),MATCH(D$1,'Estados Financieros'!$D$4:$H$4,0)),0)*'Resumen de Cifras'!$B$1,IFERROR(INDEX('Estados Financieros'!$D$100:$I$191,MATCH($A33,'Estados Financieros'!$D$100:$D$191,0),MATCH(D$1,'Estados Financieros'!$D$4:$H$4,0)),0))</f>
        <v>0</v>
      </c>
      <c r="E33" s="3907">
        <f>IF($A$2="Dolares",IFERROR(INDEX('Estados Financieros'!$D$100:$I$191,MATCH($A33,'Estados Financieros'!$D$100:$D$191,0),MATCH(E$1,'Estados Financieros'!$D$4:$H$4,0)),0)*'Resumen de Cifras'!$B$1,IFERROR(INDEX('Estados Financieros'!$D$100:$I$191,MATCH($A33,'Estados Financieros'!$D$100:$D$191,0),MATCH(E$1,'Estados Financieros'!$D$4:$H$4,0)),0))</f>
        <v>0</v>
      </c>
      <c r="F33" s="3906">
        <f>IFERROR((E33/$E$29),0)</f>
        <v>0</v>
      </c>
    </row>
    <row r="34" spans="1:6" ht="15" thickBot="1">
      <c r="A34" s="3908" t="s">
        <v>603</v>
      </c>
      <c r="B34" s="3907">
        <f>IF($A$2="Dolares",IFERROR(INDEX('Estados Financieros'!$D$4:$I$191,MATCH($A34,'Estados Financieros'!$D$4:$D$191,0),MATCH(B$1,'Estados Financieros'!$D$4:$H$4,0)),0)*'Resumen de Cifras'!$B$1,IFERROR(INDEX('Estados Financieros'!$D$4:$I$191,MATCH($A34,'Estados Financieros'!$D$4:$D$191,0),MATCH(B$1,'Estados Financieros'!$D$4:$H$4,0)),0))</f>
        <v>0</v>
      </c>
      <c r="C34" s="3907">
        <f>IF($A$2="Dolares",IFERROR(INDEX('Estados Financieros'!$D$100:$I$191,MATCH($A34,'Estados Financieros'!$D$100:$D$191,0),MATCH(C$1,'Estados Financieros'!$D$4:$H$4,0)),0)*'Resumen de Cifras'!$B$1,IFERROR(INDEX('Estados Financieros'!$D$100:$I$191,MATCH($A34,'Estados Financieros'!$D$100:$D$191,0),MATCH(C$1,'Estados Financieros'!$D$4:$H$4,0)),0))</f>
        <v>0</v>
      </c>
      <c r="D34" s="3907">
        <f>IF($A$2="Dolares",IFERROR(INDEX('Estados Financieros'!$D$100:$I$191,MATCH($A34,'Estados Financieros'!$D$100:$D$191,0),MATCH(D$1,'Estados Financieros'!$D$4:$H$4,0)),0)*'Resumen de Cifras'!$B$1,IFERROR(INDEX('Estados Financieros'!$D$100:$I$191,MATCH($A34,'Estados Financieros'!$D$100:$D$191,0),MATCH(D$1,'Estados Financieros'!$D$4:$H$4,0)),0))</f>
        <v>0</v>
      </c>
      <c r="E34" s="3907">
        <f>IF($A$2="Dolares",IFERROR(INDEX('Estados Financieros'!$D$100:$I$191,MATCH($A34,'Estados Financieros'!$D$100:$D$191,0),MATCH(E$1,'Estados Financieros'!$D$4:$H$4,0)),0)*'Resumen de Cifras'!$B$1,IFERROR(INDEX('Estados Financieros'!$D$100:$I$191,MATCH($A34,'Estados Financieros'!$D$100:$D$191,0),MATCH(E$1,'Estados Financieros'!$D$4:$H$4,0)),0))</f>
        <v>0</v>
      </c>
      <c r="F34" s="3906">
        <f>IFERROR((E34/$E$29),0)</f>
        <v>0</v>
      </c>
    </row>
    <row r="35" spans="1:6" ht="15" thickBot="1">
      <c r="A35" s="3905" t="s">
        <v>2548</v>
      </c>
      <c r="B35" s="3904"/>
      <c r="C35" s="3904"/>
      <c r="D35" s="3903" t="e">
        <f>+(D29-C29)/C29</f>
        <v>#DIV/0!</v>
      </c>
      <c r="E35" s="3903" t="e">
        <f>+(E29-D29)/D29</f>
        <v>#DIV/0!</v>
      </c>
      <c r="F35" s="3902">
        <f>SUM(F30:F34)</f>
        <v>0</v>
      </c>
    </row>
    <row r="36" spans="1:6" ht="15" thickBot="1">
      <c r="A36" s="3912" t="s">
        <v>2637</v>
      </c>
      <c r="B36" s="3734">
        <f>+B10</f>
        <v>2017</v>
      </c>
      <c r="C36" s="3734">
        <f>+C10</f>
        <v>2018</v>
      </c>
      <c r="D36" s="3734">
        <f>+C36+1</f>
        <v>2019</v>
      </c>
      <c r="E36" s="3911" t="str">
        <f>+E10</f>
        <v>Dic 19</v>
      </c>
      <c r="F36" s="3910"/>
    </row>
    <row r="37" spans="1:6" ht="15" thickBot="1">
      <c r="A37" s="3909" t="s">
        <v>689</v>
      </c>
      <c r="B37" s="3904">
        <f>SUM(B38:B43)</f>
        <v>0</v>
      </c>
      <c r="C37" s="3904">
        <f>SUM(C38:C43)</f>
        <v>0</v>
      </c>
      <c r="D37" s="3904">
        <f>SUM(D38:D43)</f>
        <v>0</v>
      </c>
      <c r="E37" s="3904">
        <f>SUM(E38:E43)</f>
        <v>0</v>
      </c>
      <c r="F37" s="3902" t="s">
        <v>1258</v>
      </c>
    </row>
    <row r="38" spans="1:6" ht="15" thickBot="1">
      <c r="A38" s="3908" t="s">
        <v>691</v>
      </c>
      <c r="B38" s="3907">
        <f>IF($A$2="Dolares",IFERROR(INDEX('Estados Financieros'!$D$205:$H$458,MATCH($A38,'Estados Financieros'!$D$205:$D$458,0),MATCH(B$1,'Estados Financieros'!$D$4:$H$4,0)),0)*'Resumen de Cifras'!$B$1,IFERROR(INDEX('Estados Financieros'!$D$205:$H$458,MATCH($A38,'Estados Financieros'!$D$205:$D$458,0),MATCH(B$1,'Estados Financieros'!$D$4:$H$4,0)),0))</f>
        <v>0</v>
      </c>
      <c r="C38" s="3907">
        <f>IF($A$2="Dolares",IFERROR(INDEX('Estados Financieros'!$D$206:$I$338,MATCH($A38,'Estados Financieros'!$D$206:$D$338,0),MATCH(C$1,'Estados Financieros'!$D$4:$H$4,0)),0)*'Resumen de Cifras'!$B$1,IFERROR(INDEX('Estados Financieros'!$D$206:$I$338,MATCH($A38,'Estados Financieros'!$D$206:$D$338,0),MATCH(C$1,'Estados Financieros'!$D$4:$H$4,0)),0))</f>
        <v>0</v>
      </c>
      <c r="D38" s="3907">
        <f>IF($A$2="Dolares",IFERROR(INDEX('Estados Financieros'!$D$206:$I$338,MATCH($A38,'Estados Financieros'!$D$206:$D$338,0),MATCH(D$1,'Estados Financieros'!$D$4:$H$4,0)),0)*'Resumen de Cifras'!$B$1,IFERROR(INDEX('Estados Financieros'!$D$206:$I$338,MATCH($A38,'Estados Financieros'!$D$206:$D$338,0),MATCH(D$1,'Estados Financieros'!$D$4:$H$4,0)),0))</f>
        <v>0</v>
      </c>
      <c r="E38" s="3907">
        <f>IF($A$2="Dolares",IFERROR(INDEX('Estados Financieros'!$D$206:$I$338,MATCH($A38,'Estados Financieros'!$D$206:$D$338,0),MATCH(E$1,'Estados Financieros'!$D$4:$H$4,0)),0)*'Resumen de Cifras'!$B$1,IFERROR(INDEX('Estados Financieros'!$D$206:$I$338,MATCH($A38,'Estados Financieros'!$D$206:$D$338,0),MATCH(E$1,'Estados Financieros'!$D$4:$H$4,0)),0))</f>
        <v>0</v>
      </c>
      <c r="F38" s="3906">
        <f t="shared" ref="F38:F43" si="1">IFERROR((E38/$E$37),0)</f>
        <v>0</v>
      </c>
    </row>
    <row r="39" spans="1:6" ht="15" thickBot="1">
      <c r="A39" s="3908" t="s">
        <v>698</v>
      </c>
      <c r="B39" s="3907">
        <f>IF($A$2="Dolares",IFERROR(INDEX('Estados Financieros'!$D$205:$H$458,MATCH($A39,'Estados Financieros'!$D$205:$D$458,0),MATCH(B$1,'Estados Financieros'!$D$4:$H$4,0)),0)*'Resumen de Cifras'!$B$1,IFERROR(INDEX('Estados Financieros'!$D$205:$H$458,MATCH($A39,'Estados Financieros'!$D$205:$D$458,0),MATCH(B$1,'Estados Financieros'!$D$4:$H$4,0)),0))</f>
        <v>0</v>
      </c>
      <c r="C39" s="3907">
        <f>IF($A$2="Dolares",IFERROR(INDEX('Estados Financieros'!$D$206:$I$338,MATCH($A39,'Estados Financieros'!$D$206:$D$338,0),MATCH(C$1,'Estados Financieros'!$D$4:$H$4,0)),0)*'Resumen de Cifras'!$B$1,IFERROR(INDEX('Estados Financieros'!$D$206:$I$338,MATCH($A39,'Estados Financieros'!$D$206:$D$338,0),MATCH(C$1,'Estados Financieros'!$D$4:$H$4,0)),0))</f>
        <v>0</v>
      </c>
      <c r="D39" s="3907">
        <f>IF($A$2="Dolares",IFERROR(INDEX('Estados Financieros'!$D$206:$I$338,MATCH($A39,'Estados Financieros'!$D$206:$D$338,0),MATCH(D$1,'Estados Financieros'!$D$4:$H$4,0)),0)*'Resumen de Cifras'!$B$1,IFERROR(INDEX('Estados Financieros'!$D$206:$I$338,MATCH($A39,'Estados Financieros'!$D$206:$D$338,0),MATCH(D$1,'Estados Financieros'!$D$4:$H$4,0)),0))</f>
        <v>0</v>
      </c>
      <c r="E39" s="3907">
        <f>IF($A$2="Dolares",IFERROR(INDEX('Estados Financieros'!$D$206:$I$338,MATCH($A39,'Estados Financieros'!$D$206:$D$338,0),MATCH(E$1,'Estados Financieros'!$D$4:$H$4,0)),0)*'Resumen de Cifras'!$B$1,IFERROR(INDEX('Estados Financieros'!$D$206:$I$338,MATCH($A39,'Estados Financieros'!$D$206:$D$338,0),MATCH(E$1,'Estados Financieros'!$D$4:$H$4,0)),0))</f>
        <v>0</v>
      </c>
      <c r="F39" s="3906">
        <f t="shared" si="1"/>
        <v>0</v>
      </c>
    </row>
    <row r="40" spans="1:6" ht="15" thickBot="1">
      <c r="A40" s="3908" t="s">
        <v>699</v>
      </c>
      <c r="B40" s="3907">
        <f>IF($A$2="Dolares",IFERROR(INDEX('Estados Financieros'!$D$205:$H$458,MATCH($A40,'Estados Financieros'!$D$205:$D$458,0),MATCH(B$1,'Estados Financieros'!$D$4:$H$4,0)),0)*'Resumen de Cifras'!$B$1,IFERROR(INDEX('Estados Financieros'!$D$205:$H$458,MATCH($A40,'Estados Financieros'!$D$205:$D$458,0),MATCH(B$1,'Estados Financieros'!$D$4:$H$4,0)),0))</f>
        <v>0</v>
      </c>
      <c r="C40" s="3907">
        <f>IF($A$2="Dolares",IFERROR(INDEX('Estados Financieros'!$D$206:$I$338,MATCH($A40,'Estados Financieros'!$D$206:$D$338,0),MATCH(C$1,'Estados Financieros'!$D$4:$H$4,0)),0)*'Resumen de Cifras'!$B$1,IFERROR(INDEX('Estados Financieros'!$D$206:$I$338,MATCH($A40,'Estados Financieros'!$D$206:$D$338,0),MATCH(C$1,'Estados Financieros'!$D$4:$H$4,0)),0))</f>
        <v>0</v>
      </c>
      <c r="D40" s="3907">
        <f>IF($A$2="Dolares",IFERROR(INDEX('Estados Financieros'!$D$206:$I$338,MATCH($A40,'Estados Financieros'!$D$206:$D$338,0),MATCH(D$1,'Estados Financieros'!$D$4:$H$4,0)),0)*'Resumen de Cifras'!$B$1,IFERROR(INDEX('Estados Financieros'!$D$206:$I$338,MATCH($A40,'Estados Financieros'!$D$206:$D$338,0),MATCH(D$1,'Estados Financieros'!$D$4:$H$4,0)),0))</f>
        <v>0</v>
      </c>
      <c r="E40" s="3907">
        <f>IF($A$2="Dolares",IFERROR(INDEX('Estados Financieros'!$D$206:$I$338,MATCH($A40,'Estados Financieros'!$D$206:$D$338,0),MATCH(E$1,'Estados Financieros'!$D$4:$H$4,0)),0)*'Resumen de Cifras'!$B$1,IFERROR(INDEX('Estados Financieros'!$D$206:$I$338,MATCH($A40,'Estados Financieros'!$D$206:$D$338,0),MATCH(E$1,'Estados Financieros'!$D$4:$H$4,0)),0))</f>
        <v>0</v>
      </c>
      <c r="F40" s="3906">
        <f t="shared" si="1"/>
        <v>0</v>
      </c>
    </row>
    <row r="41" spans="1:6" ht="15" thickBot="1">
      <c r="A41" s="3908" t="s">
        <v>702</v>
      </c>
      <c r="B41" s="3907">
        <f>IF($A$2="Dolares",IFERROR(INDEX('Estados Financieros'!$D$205:$H$458,MATCH($A41,'Estados Financieros'!$D$205:$D$458,0),MATCH(B$1,'Estados Financieros'!$D$4:$H$4,0)),0)*'Resumen de Cifras'!$B$1,IFERROR(INDEX('Estados Financieros'!$D$205:$H$458,MATCH($A41,'Estados Financieros'!$D$205:$D$458,0),MATCH(B$1,'Estados Financieros'!$D$4:$H$4,0)),0))</f>
        <v>0</v>
      </c>
      <c r="C41" s="3907">
        <f>IF($A$2="Dolares",IFERROR(INDEX('Estados Financieros'!$D$206:$I$338,MATCH($A41,'Estados Financieros'!$D$206:$D$338,0),MATCH(C$1,'Estados Financieros'!$D$4:$H$4,0)),0)*'Resumen de Cifras'!$B$1,IFERROR(INDEX('Estados Financieros'!$D$206:$I$338,MATCH($A41,'Estados Financieros'!$D$206:$D$338,0),MATCH(C$1,'Estados Financieros'!$D$4:$H$4,0)),0))</f>
        <v>0</v>
      </c>
      <c r="D41" s="3907">
        <f>IF($A$2="Dolares",IFERROR(INDEX('Estados Financieros'!$D$206:$I$338,MATCH($A41,'Estados Financieros'!$D$206:$D$338,0),MATCH(D$1,'Estados Financieros'!$D$4:$H$4,0)),0)*'Resumen de Cifras'!$B$1,IFERROR(INDEX('Estados Financieros'!$D$206:$I$338,MATCH($A41,'Estados Financieros'!$D$206:$D$338,0),MATCH(D$1,'Estados Financieros'!$D$4:$H$4,0)),0))</f>
        <v>0</v>
      </c>
      <c r="E41" s="3907">
        <f>IF($A$2="Dolares",IFERROR(INDEX('Estados Financieros'!$D$206:$I$338,MATCH($A41,'Estados Financieros'!$D$206:$D$338,0),MATCH(E$1,'Estados Financieros'!$D$4:$H$4,0)),0)*'Resumen de Cifras'!$B$1,IFERROR(INDEX('Estados Financieros'!$D$206:$I$338,MATCH($A41,'Estados Financieros'!$D$206:$D$338,0),MATCH(E$1,'Estados Financieros'!$D$4:$H$4,0)),0))</f>
        <v>0</v>
      </c>
      <c r="F41" s="3906">
        <f t="shared" si="1"/>
        <v>0</v>
      </c>
    </row>
    <row r="42" spans="1:6" ht="15" thickBot="1">
      <c r="A42" s="3908" t="s">
        <v>571</v>
      </c>
      <c r="B42" s="3907">
        <f>IF($A$2="Dolares",IFERROR(INDEX('Estados Financieros'!$D$205:$H$458,MATCH($A42,'Estados Financieros'!$D$205:$D$458,0),MATCH(B$1,'Estados Financieros'!$D$4:$H$4,0)),0)*'Resumen de Cifras'!$B$1,IFERROR(INDEX('Estados Financieros'!$D$205:$H$458,MATCH($A42,'Estados Financieros'!$D$205:$D$458,0),MATCH(B$1,'Estados Financieros'!$D$4:$H$4,0)),0))</f>
        <v>0</v>
      </c>
      <c r="C42" s="3907">
        <f>IF($A$2="Dolares",IFERROR(INDEX('Estados Financieros'!$D$206:$I$338,MATCH($A42,'Estados Financieros'!$D$206:$D$338,0),MATCH(C$1,'Estados Financieros'!$D$4:$H$4,0)),0)*'Resumen de Cifras'!$B$1,IFERROR(INDEX('Estados Financieros'!$D$206:$I$338,MATCH($A42,'Estados Financieros'!$D$206:$D$338,0),MATCH(C$1,'Estados Financieros'!$D$4:$H$4,0)),0))</f>
        <v>0</v>
      </c>
      <c r="D42" s="3907">
        <f>IF($A$2="Dolares",IFERROR(INDEX('Estados Financieros'!$D$206:$I$338,MATCH($A42,'Estados Financieros'!$D$206:$D$338,0),MATCH(D$1,'Estados Financieros'!$D$4:$H$4,0)),0)*'Resumen de Cifras'!$B$1,IFERROR(INDEX('Estados Financieros'!$D$206:$I$338,MATCH($A42,'Estados Financieros'!$D$206:$D$338,0),MATCH(D$1,'Estados Financieros'!$D$4:$H$4,0)),0))</f>
        <v>0</v>
      </c>
      <c r="E42" s="3907">
        <f>IF($A$2="Dolares",IFERROR(INDEX('Estados Financieros'!$D$206:$I$338,MATCH($A42,'Estados Financieros'!$D$206:$D$338,0),MATCH(E$1,'Estados Financieros'!$D$4:$H$4,0)),0)*'Resumen de Cifras'!$B$1,IFERROR(INDEX('Estados Financieros'!$D$206:$I$338,MATCH($A42,'Estados Financieros'!$D$206:$D$338,0),MATCH(E$1,'Estados Financieros'!$D$4:$H$4,0)),0))</f>
        <v>0</v>
      </c>
      <c r="F42" s="3906">
        <f t="shared" si="1"/>
        <v>0</v>
      </c>
    </row>
    <row r="43" spans="1:6" ht="15" thickBot="1">
      <c r="A43" s="3908" t="s">
        <v>701</v>
      </c>
      <c r="B43" s="3907">
        <f>IF($A$2="Dolares",IFERROR(INDEX('Estados Financieros'!$D$205:$H$458,MATCH($A43,'Estados Financieros'!$D$205:$D$458,0),MATCH(B$1,'Estados Financieros'!$D$4:$H$4,0)),0)*'Resumen de Cifras'!$B$1,IFERROR(INDEX('Estados Financieros'!$D$205:$H$458,MATCH($A43,'Estados Financieros'!$D$205:$D$458,0),MATCH(B$1,'Estados Financieros'!$D$4:$H$4,0)),0))</f>
        <v>0</v>
      </c>
      <c r="C43" s="3907">
        <f>IF($A$2="Dolares",IFERROR(INDEX('Estados Financieros'!$D$206:$I$338,MATCH($A43,'Estados Financieros'!$D$206:$D$338,0),MATCH(C$1,'Estados Financieros'!$D$4:$H$4,0)),0)*'Resumen de Cifras'!$B$1,IFERROR(INDEX('Estados Financieros'!$D$206:$I$338,MATCH($A43,'Estados Financieros'!$D$206:$D$338,0),MATCH(C$1,'Estados Financieros'!$D$4:$H$4,0)),0))</f>
        <v>0</v>
      </c>
      <c r="D43" s="3907">
        <f>IF($A$2="Dolares",IFERROR(INDEX('Estados Financieros'!$D$206:$I$338,MATCH($A43,'Estados Financieros'!$D$206:$D$338,0),MATCH(D$1,'Estados Financieros'!$D$4:$H$4,0)),0)*'Resumen de Cifras'!$B$1,IFERROR(INDEX('Estados Financieros'!$D$206:$I$338,MATCH($A43,'Estados Financieros'!$D$206:$D$338,0),MATCH(D$1,'Estados Financieros'!$D$4:$H$4,0)),0))</f>
        <v>0</v>
      </c>
      <c r="E43" s="3907">
        <f>IF($A$2="Dolares",IFERROR(INDEX('Estados Financieros'!$D$206:$I$338,MATCH($A43,'Estados Financieros'!$D$206:$D$338,0),MATCH(E$1,'Estados Financieros'!$D$4:$H$4,0)),0)*'Resumen de Cifras'!$B$1,IFERROR(INDEX('Estados Financieros'!$D$206:$I$338,MATCH($A43,'Estados Financieros'!$D$206:$D$338,0),MATCH(E$1,'Estados Financieros'!$D$4:$H$4,0)),0))</f>
        <v>0</v>
      </c>
      <c r="F43" s="3906">
        <f t="shared" si="1"/>
        <v>0</v>
      </c>
    </row>
    <row r="44" spans="1:6" ht="15" thickBot="1">
      <c r="A44" s="3905" t="s">
        <v>2548</v>
      </c>
      <c r="B44" s="3904"/>
      <c r="C44" s="3904"/>
      <c r="D44" s="3903" t="e">
        <f>+(D37-C37)/C37</f>
        <v>#DIV/0!</v>
      </c>
      <c r="E44" s="3903" t="e">
        <f>+(E37-D37)/D37</f>
        <v>#DIV/0!</v>
      </c>
      <c r="F44" s="3902">
        <f>SUM(F38:F43)</f>
        <v>0</v>
      </c>
    </row>
    <row r="45" spans="1:6" ht="15" thickBot="1">
      <c r="A45" s="3912" t="s">
        <v>2637</v>
      </c>
      <c r="B45" s="3734">
        <f>+B36</f>
        <v>2017</v>
      </c>
      <c r="C45" s="3734">
        <f>+C36</f>
        <v>2018</v>
      </c>
      <c r="D45" s="3734">
        <f>+C45+1</f>
        <v>2019</v>
      </c>
      <c r="E45" s="3911" t="str">
        <f>+E36</f>
        <v>Dic 19</v>
      </c>
      <c r="F45" s="3910"/>
    </row>
    <row r="46" spans="1:6" ht="15" thickBot="1">
      <c r="A46" s="3909" t="s">
        <v>931</v>
      </c>
      <c r="B46" s="3904">
        <f>SUM(B47:B51)</f>
        <v>0</v>
      </c>
      <c r="C46" s="3904">
        <f>SUM(C47:C51)</f>
        <v>0</v>
      </c>
      <c r="D46" s="3904">
        <f>SUM(D47:D51)</f>
        <v>0</v>
      </c>
      <c r="E46" s="3904">
        <f>SUM(E47:E51)</f>
        <v>0</v>
      </c>
      <c r="F46" s="3902" t="s">
        <v>1258</v>
      </c>
    </row>
    <row r="47" spans="1:6" ht="15" thickBot="1">
      <c r="A47" s="3908" t="s">
        <v>705</v>
      </c>
      <c r="B47" s="3907">
        <f>IF($A$2="Dolares",IFERROR(INDEX('Estados Financieros'!$D$234:$H$458,MATCH($A47,'Estados Financieros'!$D$234:$D$458,0),MATCH(B$1,'Estados Financieros'!$D$4:$H$4,0)),0)*'Resumen de Cifras'!$B$1,IFERROR(INDEX('Estados Financieros'!$D$234:$H$458,MATCH($A47,'Estados Financieros'!$D$234:$D$458,0),MATCH(B$1,'Estados Financieros'!$D$4:$H$4,0)),0))</f>
        <v>0</v>
      </c>
      <c r="C47" s="3907">
        <f>IF($A$2="Dolares",IFERROR(INDEX('Estados Financieros'!$D$206:$I$338,MATCH($A47,'Estados Financieros'!$D$206:$D$338,0),MATCH(C$1,'Estados Financieros'!$D$4:$H$4,0)),0)*'Resumen de Cifras'!$B$1,IFERROR(INDEX('Estados Financieros'!$D$206:$I$338,MATCH($A47,'Estados Financieros'!$D$206:$D$338,0),MATCH(C$1,'Estados Financieros'!$D$4:$H$4,0)),0))</f>
        <v>0</v>
      </c>
      <c r="D47" s="3907">
        <f>IF($A$2="Dolares",IFERROR(INDEX('Estados Financieros'!$D$206:$I$338,MATCH($A47,'Estados Financieros'!$D$206:$D$338,0),MATCH(D$1,'Estados Financieros'!$D$4:$H$4,0)),0)*'Resumen de Cifras'!$B$1,IFERROR(INDEX('Estados Financieros'!$D$206:$I$338,MATCH($A47,'Estados Financieros'!$D$206:$D$338,0),MATCH(D$1,'Estados Financieros'!$D$4:$H$4,0)),0))</f>
        <v>0</v>
      </c>
      <c r="E47" s="3907">
        <f>IF($A$2="Dolares",IFERROR(INDEX('Estados Financieros'!$D$206:$I$338,MATCH($A47,'Estados Financieros'!$D$206:$D$338,0),MATCH(E$1,'Estados Financieros'!$D$4:$H$4,0)),0)*'Resumen de Cifras'!$B$1,IFERROR(INDEX('Estados Financieros'!$D$206:$I$338,MATCH($A47,'Estados Financieros'!$D$206:$D$338,0),MATCH(E$1,'Estados Financieros'!$D$4:$H$4,0)),0))</f>
        <v>0</v>
      </c>
      <c r="F47" s="3906">
        <f>IFERROR((E47/$E$46),0)</f>
        <v>0</v>
      </c>
    </row>
    <row r="48" spans="1:6" ht="15" thickBot="1">
      <c r="A48" s="3908" t="s">
        <v>718</v>
      </c>
      <c r="B48" s="3907">
        <f>IF($A$2="Dolares",IFERROR(INDEX('Estados Financieros'!$D$234:$H$458,MATCH($A48,'Estados Financieros'!$D$234:$D$458,0),MATCH(B$1,'Estados Financieros'!$D$4:$H$4,0)),0)*'Resumen de Cifras'!$B$1,IFERROR(INDEX('Estados Financieros'!$D$234:$H$458,MATCH($A48,'Estados Financieros'!$D$234:$D$458,0),MATCH(B$1,'Estados Financieros'!$D$4:$H$4,0)),0))</f>
        <v>0</v>
      </c>
      <c r="C48" s="3907">
        <f>IF($A$2="Dolares",IFERROR(INDEX('Estados Financieros'!$D$206:$I$338,MATCH($A48,'Estados Financieros'!$D$206:$D$338,0),MATCH(C$1,'Estados Financieros'!$D$4:$H$4,0)),0)*'Resumen de Cifras'!$B$1,IFERROR(INDEX('Estados Financieros'!$D$206:$I$338,MATCH($A48,'Estados Financieros'!$D$206:$D$338,0),MATCH(C$1,'Estados Financieros'!$D$4:$H$4,0)),0))</f>
        <v>0</v>
      </c>
      <c r="D48" s="3907">
        <f>IF($A$2="Dolares",IFERROR(INDEX('Estados Financieros'!$D$206:$I$338,MATCH($A48,'Estados Financieros'!$D$206:$D$338,0),MATCH(D$1,'Estados Financieros'!$D$4:$H$4,0)),0)*'Resumen de Cifras'!$B$1,IFERROR(INDEX('Estados Financieros'!$D$206:$I$338,MATCH($A48,'Estados Financieros'!$D$206:$D$338,0),MATCH(D$1,'Estados Financieros'!$D$4:$H$4,0)),0))</f>
        <v>0</v>
      </c>
      <c r="E48" s="3907">
        <f>IF($A$2="Dolares",IFERROR(INDEX('Estados Financieros'!$D$206:$I$338,MATCH($A48,'Estados Financieros'!$D$206:$D$338,0),MATCH(E$1,'Estados Financieros'!$D$4:$H$4,0)),0)*'Resumen de Cifras'!$B$1,IFERROR(INDEX('Estados Financieros'!$D$206:$I$338,MATCH($A48,'Estados Financieros'!$D$206:$D$338,0),MATCH(E$1,'Estados Financieros'!$D$4:$H$4,0)),0))</f>
        <v>0</v>
      </c>
      <c r="F48" s="3906">
        <f>IFERROR((E48/$E$46),0)</f>
        <v>0</v>
      </c>
    </row>
    <row r="49" spans="1:6" ht="15" thickBot="1">
      <c r="A49" s="3908" t="s">
        <v>729</v>
      </c>
      <c r="B49" s="3907">
        <f>IF($A$2="Dolares",IFERROR(INDEX('Estados Financieros'!$D$234:$H$458,MATCH($A49,'Estados Financieros'!$D$234:$D$458,0),MATCH(B$1,'Estados Financieros'!$D$4:$H$4,0)),0)*'Resumen de Cifras'!$B$1,IFERROR(INDEX('Estados Financieros'!$D$234:$H$458,MATCH($A49,'Estados Financieros'!$D$234:$D$458,0),MATCH(B$1,'Estados Financieros'!$D$4:$H$4,0)),0))</f>
        <v>0</v>
      </c>
      <c r="C49" s="3907">
        <f>IF($A$2="Dolares",IFERROR(INDEX('Estados Financieros'!$D$206:$I$338,MATCH($A49,'Estados Financieros'!$D$206:$D$338,0),MATCH(C$1,'Estados Financieros'!$D$4:$H$4,0)),0)*'Resumen de Cifras'!$B$1,IFERROR(INDEX('Estados Financieros'!$D$206:$I$338,MATCH($A49,'Estados Financieros'!$D$206:$D$338,0),MATCH(C$1,'Estados Financieros'!$D$4:$H$4,0)),0))</f>
        <v>0</v>
      </c>
      <c r="D49" s="3907">
        <f>IF($A$2="Dolares",IFERROR(INDEX('Estados Financieros'!$D$206:$I$338,MATCH($A49,'Estados Financieros'!$D$206:$D$338,0),MATCH(D$1,'Estados Financieros'!$D$4:$H$4,0)),0)*'Resumen de Cifras'!$B$1,IFERROR(INDEX('Estados Financieros'!$D$206:$I$338,MATCH($A49,'Estados Financieros'!$D$206:$D$338,0),MATCH(D$1,'Estados Financieros'!$D$4:$H$4,0)),0))</f>
        <v>0</v>
      </c>
      <c r="E49" s="3907">
        <f>IF($A$2="Dolares",IFERROR(INDEX('Estados Financieros'!$D$206:$I$338,MATCH($A49,'Estados Financieros'!$D$206:$D$338,0),MATCH(E$1,'Estados Financieros'!$D$4:$H$4,0)),0)*'Resumen de Cifras'!$B$1,IFERROR(INDEX('Estados Financieros'!$D$206:$I$338,MATCH($A49,'Estados Financieros'!$D$206:$D$338,0),MATCH(E$1,'Estados Financieros'!$D$4:$H$4,0)),0))</f>
        <v>0</v>
      </c>
      <c r="F49" s="3906">
        <f>IFERROR((E49/$E$37),0)</f>
        <v>0</v>
      </c>
    </row>
    <row r="50" spans="1:6" ht="15" thickBot="1">
      <c r="A50" s="3908" t="s">
        <v>453</v>
      </c>
      <c r="B50" s="3907">
        <f>IF($A$2="Dolares",IFERROR(INDEX('Estados Financieros'!$D$234:$H$458,MATCH($A50,'Estados Financieros'!$D$234:$D$458,0),MATCH(B$1,'Estados Financieros'!$D$4:$H$4,0)),0)*'Resumen de Cifras'!$B$1,IFERROR(INDEX('Estados Financieros'!$D$234:$H$458,MATCH($A50,'Estados Financieros'!$D$234:$D$458,0),MATCH(B$1,'Estados Financieros'!$D$4:$H$4,0)),0))</f>
        <v>0</v>
      </c>
      <c r="C50" s="3907">
        <f>IF($A$2="Dolares",IFERROR(INDEX('Estados Financieros'!$D$206:$I$338,MATCH($A50,'Estados Financieros'!$D$206:$D$338,0),MATCH(C$1,'Estados Financieros'!$D$4:$H$4,0)),0)*'Resumen de Cifras'!$B$1,IFERROR(INDEX('Estados Financieros'!$D$206:$I$338,MATCH($A50,'Estados Financieros'!$D$206:$D$338,0),MATCH(C$1,'Estados Financieros'!$D$4:$H$4,0)),0))</f>
        <v>0</v>
      </c>
      <c r="D50" s="3907">
        <f>IF($A$2="Dolares",IFERROR(INDEX('Estados Financieros'!$D$206:$I$338,MATCH($A50,'Estados Financieros'!$D$206:$D$338,0),MATCH(D$1,'Estados Financieros'!$D$4:$H$4,0)),0)*'Resumen de Cifras'!$B$1,IFERROR(INDEX('Estados Financieros'!$D$206:$I$338,MATCH($A50,'Estados Financieros'!$D$206:$D$338,0),MATCH(D$1,'Estados Financieros'!$D$4:$H$4,0)),0))</f>
        <v>0</v>
      </c>
      <c r="E50" s="3907">
        <f>IF($A$2="Dolares",IFERROR(INDEX('Estados Financieros'!$D$206:$I$338,MATCH($A50,'Estados Financieros'!$D$206:$D$338,0),MATCH(E$1,'Estados Financieros'!$D$4:$H$4,0)),0)*'Resumen de Cifras'!$B$1,IFERROR(INDEX('Estados Financieros'!$D$206:$I$338,MATCH($A50,'Estados Financieros'!$D$206:$D$338,0),MATCH(E$1,'Estados Financieros'!$D$4:$H$4,0)),0))</f>
        <v>0</v>
      </c>
      <c r="F50" s="3906">
        <f>IFERROR((E50/$E$37),0)</f>
        <v>0</v>
      </c>
    </row>
    <row r="51" spans="1:6" ht="15" thickBot="1">
      <c r="A51" s="3908"/>
      <c r="B51" s="3907">
        <f>IF($A$2="Dolares",IFERROR(INDEX('Estados Financieros'!$D$234:$H$458,MATCH($A51,'Estados Financieros'!$D$234:$D$458,0),MATCH(B$1,'Estados Financieros'!$D$4:$H$4,0)),0)*'Resumen de Cifras'!$B$1,IFERROR(INDEX('Estados Financieros'!$D$234:$H$458,MATCH($A51,'Estados Financieros'!$D$234:$D$458,0),MATCH(B$1,'Estados Financieros'!$D$4:$H$4,0)),0))</f>
        <v>0</v>
      </c>
      <c r="C51" s="3907">
        <f>IF($A$2="Dolares",IFERROR(INDEX('Estados Financieros'!$D$206:$I$338,MATCH($A51,'Estados Financieros'!$D$206:$D$338,0),MATCH(C$1,'Estados Financieros'!$D$4:$H$4,0)),0)*'Resumen de Cifras'!$B$1,IFERROR(INDEX('Estados Financieros'!$D$206:$I$338,MATCH($A51,'Estados Financieros'!$D$206:$D$338,0),MATCH(C$1,'Estados Financieros'!$D$4:$H$4,0)),0))</f>
        <v>0</v>
      </c>
      <c r="D51" s="3907">
        <f>IF($A$2="Dolares",IFERROR(INDEX('Estados Financieros'!$D$206:$I$338,MATCH($A51,'Estados Financieros'!$D$206:$D$338,0),MATCH(D$1,'Estados Financieros'!$D$4:$H$4,0)),0)*'Resumen de Cifras'!$B$1,IFERROR(INDEX('Estados Financieros'!$D$206:$I$338,MATCH($A51,'Estados Financieros'!$D$206:$D$338,0),MATCH(D$1,'Estados Financieros'!$D$4:$H$4,0)),0))</f>
        <v>0</v>
      </c>
      <c r="E51" s="3907">
        <f>IF($A$2="Dolares",IFERROR(INDEX('Estados Financieros'!$D$206:$I$338,MATCH($A51,'Estados Financieros'!$D$206:$D$338,0),MATCH(E$1,'Estados Financieros'!$D$4:$H$4,0)),0)*'Resumen de Cifras'!$B$1,IFERROR(INDEX('Estados Financieros'!$D$206:$I$338,MATCH($A51,'Estados Financieros'!$D$206:$D$338,0),MATCH(E$1,'Estados Financieros'!$D$4:$H$4,0)),0))</f>
        <v>0</v>
      </c>
      <c r="F51" s="3906">
        <f>IFERROR((E51/$E$37),0)</f>
        <v>0</v>
      </c>
    </row>
    <row r="52" spans="1:6" ht="15" thickBot="1">
      <c r="A52" s="3905" t="s">
        <v>2548</v>
      </c>
      <c r="B52" s="3904"/>
      <c r="C52" s="3904"/>
      <c r="D52" s="3903" t="e">
        <f>+(D46-C46)/C46</f>
        <v>#DIV/0!</v>
      </c>
      <c r="E52" s="3903" t="e">
        <f>+(E46-D46)/D46</f>
        <v>#DIV/0!</v>
      </c>
      <c r="F52" s="3902">
        <f>SUM(F47:F51)</f>
        <v>0</v>
      </c>
    </row>
    <row r="53" spans="1:6" ht="15" thickBot="1">
      <c r="A53" s="3912" t="s">
        <v>2637</v>
      </c>
      <c r="B53" s="3734">
        <f>+B45</f>
        <v>2017</v>
      </c>
      <c r="C53" s="3734">
        <f>+C45</f>
        <v>2018</v>
      </c>
      <c r="D53" s="3734">
        <f>+C53+1</f>
        <v>2019</v>
      </c>
      <c r="E53" s="3911" t="str">
        <f>+E45</f>
        <v>Dic 19</v>
      </c>
      <c r="F53" s="3910"/>
    </row>
    <row r="54" spans="1:6" ht="15" thickBot="1">
      <c r="A54" s="3909" t="s">
        <v>2636</v>
      </c>
      <c r="B54" s="3904">
        <f>SUM(B55:B59)</f>
        <v>0</v>
      </c>
      <c r="C54" s="3904">
        <f>SUM(C55:C59)</f>
        <v>0</v>
      </c>
      <c r="D54" s="3904">
        <f>SUM(D55:D59)</f>
        <v>5440</v>
      </c>
      <c r="E54" s="3904">
        <f>SUM(E55:E59)</f>
        <v>0</v>
      </c>
      <c r="F54" s="3902" t="s">
        <v>1258</v>
      </c>
    </row>
    <row r="55" spans="1:6" ht="15" thickBot="1">
      <c r="A55" s="3908" t="s">
        <v>691</v>
      </c>
      <c r="B55" s="3907">
        <f>IF($A$2="Dolares",IFERROR(INDEX('Estados Financieros'!$D$274:$H$458,MATCH($A55,'Estados Financieros'!$D$274:$D$458,0),MATCH(B$1,'Estados Financieros'!$D$4:$H$4,0)),0)*'Resumen de Cifras'!$B$1,IFERROR(INDEX('Estados Financieros'!$D$274:$H$458,MATCH($A55,'Estados Financieros'!$D$274:$D$458,0),MATCH(B$1,'Estados Financieros'!$D$4:$H$4,0)),0))</f>
        <v>0</v>
      </c>
      <c r="C55" s="3907">
        <f>IF($A$2="Dolares",IFERROR(INDEX('Estados Financieros'!$D$206:$I$338,MATCH($A55,'Estados Financieros'!$D$206:$D$338,0),MATCH(C$1,'Estados Financieros'!$D$4:$H$4,0)),0)*'Resumen de Cifras'!$B$1,IFERROR(INDEX('Estados Financieros'!$D$206:$I$338,MATCH($A55,'Estados Financieros'!$D$206:$D$338,0),MATCH(C$1,'Estados Financieros'!$D$4:$H$4,0)),0))</f>
        <v>0</v>
      </c>
      <c r="D55" s="3907">
        <v>5440</v>
      </c>
      <c r="E55" s="3907">
        <f>IF($A$2="Dolares",IFERROR(INDEX('Estados Financieros'!$D$206:$I$338,MATCH($A55,'Estados Financieros'!$D$206:$D$338,0),MATCH(E$1,'Estados Financieros'!$D$4:$H$4,0)),0)*'Resumen de Cifras'!$B$1,IFERROR(INDEX('Estados Financieros'!$D$206:$I$338,MATCH($A55,'Estados Financieros'!$D$206:$D$338,0),MATCH(E$1,'Estados Financieros'!$D$4:$H$4,0)),0))</f>
        <v>0</v>
      </c>
      <c r="F55" s="3906">
        <f>IFERROR((E55/$E$54),0)</f>
        <v>0</v>
      </c>
    </row>
    <row r="56" spans="1:6" ht="15" thickBot="1">
      <c r="A56" s="3908" t="s">
        <v>702</v>
      </c>
      <c r="B56" s="3907">
        <f>IF($A$2="Dolares",IFERROR(INDEX('Estados Financieros'!$D$274:$H$458,MATCH($A56,'Estados Financieros'!$D$274:$D$458,0),MATCH(B$1,'Estados Financieros'!$D$4:$H$4,0)),0)*'Resumen de Cifras'!$B$1,IFERROR(INDEX('Estados Financieros'!$D$274:$H$458,MATCH($A56,'Estados Financieros'!$D$274:$D$458,0),MATCH(B$1,'Estados Financieros'!$D$4:$H$4,0)),0))</f>
        <v>0</v>
      </c>
      <c r="C56" s="3907">
        <f>IF($A$2="Dolares",IFERROR(INDEX('Estados Financieros'!$D$274:$H$458,MATCH($A56,'Estados Financieros'!$D$274:$D$458,0),MATCH(C$1,'Estados Financieros'!$D$4:$H$4,0)),0)*'Resumen de Cifras'!$B$1,IFERROR(INDEX('Estados Financieros'!$D$274:$H$458,MATCH($A56,'Estados Financieros'!$D$274:$D$458,0),MATCH(C$1,'Estados Financieros'!$D$4:$H$4,0)),0))</f>
        <v>0</v>
      </c>
      <c r="D56" s="3907">
        <f>IF($A$2="Dolares",IFERROR(INDEX('Estados Financieros'!$D$274:$H$458,MATCH($A56,'Estados Financieros'!$D$274:$D$458,0),MATCH(D$1,'Estados Financieros'!$D$4:$H$4,0)),0)*'Resumen de Cifras'!$B$1,IFERROR(INDEX('Estados Financieros'!$D$274:$H$458,MATCH($A56,'Estados Financieros'!$D$274:$D$458,0),MATCH(D$1,'Estados Financieros'!$D$4:$H$4,0)),0))</f>
        <v>0</v>
      </c>
      <c r="E56" s="3907">
        <f>IF($A$2="Dolares",IFERROR(INDEX('Estados Financieros'!$D$206:$I$338,MATCH($A56,'Estados Financieros'!$D$206:$D$338,0),MATCH(E$1,'Estados Financieros'!$D$4:$H$4,0)),0)*'Resumen de Cifras'!$B$1,IFERROR(INDEX('Estados Financieros'!$D$206:$I$338,MATCH($A56,'Estados Financieros'!$D$206:$D$338,0),MATCH(E$1,'Estados Financieros'!$D$4:$H$4,0)),0))</f>
        <v>0</v>
      </c>
      <c r="F56" s="3906">
        <f>IFERROR((E56/$E$54),0)</f>
        <v>0</v>
      </c>
    </row>
    <row r="57" spans="1:6" ht="15" thickBot="1">
      <c r="A57" s="3908" t="s">
        <v>711</v>
      </c>
      <c r="B57" s="3907">
        <f>IF($A$2="Dolares",IFERROR(INDEX('Estados Financieros'!$D$274:$H$458,MATCH($A57,'Estados Financieros'!$D$274:$D$458,0),MATCH(B$1,'Estados Financieros'!$D$4:$H$4,0)),0)*'Resumen de Cifras'!$B$1,IFERROR(INDEX('Estados Financieros'!$D$274:$H$458,MATCH($A57,'Estados Financieros'!$D$274:$D$458,0),MATCH(B$1,'Estados Financieros'!$D$4:$H$4,0)),0))</f>
        <v>0</v>
      </c>
      <c r="C57" s="3907">
        <f>IF($A$2="Dolares",IFERROR(INDEX('Estados Financieros'!$D$206:$I$338,MATCH($A57,'Estados Financieros'!$D$206:$D$338,0),MATCH(C$1,'Estados Financieros'!$D$4:$H$4,0)),0)*'Resumen de Cifras'!$B$1,IFERROR(INDEX('Estados Financieros'!$D$206:$I$338,MATCH($A57,'Estados Financieros'!$D$206:$D$338,0),MATCH(C$1,'Estados Financieros'!$D$4:$H$4,0)),0))</f>
        <v>0</v>
      </c>
      <c r="D57" s="3907">
        <f>IF($A$2="Dolares",IFERROR(INDEX('Estados Financieros'!$D$206:$I$338,MATCH($A57,'Estados Financieros'!$D$206:$D$338,0),MATCH(D$1,'Estados Financieros'!$D$4:$H$4,0)),0)*'Resumen de Cifras'!$B$1,IFERROR(INDEX('Estados Financieros'!$D$206:$I$338,MATCH($A57,'Estados Financieros'!$D$206:$D$338,0),MATCH(D$1,'Estados Financieros'!$D$4:$H$4,0)),0))</f>
        <v>0</v>
      </c>
      <c r="E57" s="3907">
        <f>IF($A$2="Dolares",IFERROR(INDEX('Estados Financieros'!$D$206:$I$338,MATCH($A57,'Estados Financieros'!$D$206:$D$338,0),MATCH(E$1,'Estados Financieros'!$D$4:$H$4,0)),0)*'Resumen de Cifras'!$B$1,IFERROR(INDEX('Estados Financieros'!$D$206:$I$338,MATCH($A57,'Estados Financieros'!$D$206:$D$338,0),MATCH(E$1,'Estados Financieros'!$D$4:$H$4,0)),0))</f>
        <v>0</v>
      </c>
      <c r="F57" s="3906">
        <f>IFERROR((E57/$E$54),0)</f>
        <v>0</v>
      </c>
    </row>
    <row r="58" spans="1:6" ht="15" thickBot="1">
      <c r="A58" s="3908" t="s">
        <v>453</v>
      </c>
      <c r="B58" s="3907">
        <f>IF($A$2="Dolares",IFERROR(INDEX('Estados Financieros'!$D$274:$H$458,MATCH($A58,'Estados Financieros'!$D$274:$D$458,0),MATCH(B$1,'Estados Financieros'!$D$4:$H$4,0)),0)*'Resumen de Cifras'!$B$1,IFERROR(INDEX('Estados Financieros'!$D$274:$H$458,MATCH($A58,'Estados Financieros'!$D$274:$D$458,0),MATCH(B$1,'Estados Financieros'!$D$4:$H$4,0)),0))</f>
        <v>0</v>
      </c>
      <c r="C58" s="3907">
        <f>IF($A$2="Dolares",IFERROR(INDEX('Estados Financieros'!$D$206:$I$338,MATCH($A58,'Estados Financieros'!$D$206:$D$338,0),MATCH(C$1,'Estados Financieros'!$D$4:$H$4,0)),0)*'Resumen de Cifras'!$B$1,IFERROR(INDEX('Estados Financieros'!$D$206:$I$338,MATCH($A58,'Estados Financieros'!$D$206:$D$338,0),MATCH(C$1,'Estados Financieros'!$D$4:$H$4,0)),0))</f>
        <v>0</v>
      </c>
      <c r="D58" s="3907">
        <f>IF($A$2="Dolares",IFERROR(INDEX('Estados Financieros'!$D$206:$I$338,MATCH($A58,'Estados Financieros'!$D$206:$D$338,0),MATCH(D$1,'Estados Financieros'!$D$4:$H$4,0)),0)*'Resumen de Cifras'!$B$1,IFERROR(INDEX('Estados Financieros'!$D$206:$I$338,MATCH($A58,'Estados Financieros'!$D$206:$D$338,0),MATCH(D$1,'Estados Financieros'!$D$4:$H$4,0)),0))</f>
        <v>0</v>
      </c>
      <c r="E58" s="3907">
        <f>IF($A$2="Dolares",IFERROR(INDEX('Estados Financieros'!$D$206:$I$338,MATCH($A58,'Estados Financieros'!$D$206:$D$338,0),MATCH(E$1,'Estados Financieros'!$D$4:$H$4,0)),0)*'Resumen de Cifras'!$B$1,IFERROR(INDEX('Estados Financieros'!$D$206:$I$338,MATCH($A58,'Estados Financieros'!$D$206:$D$338,0),MATCH(E$1,'Estados Financieros'!$D$4:$H$4,0)),0))</f>
        <v>0</v>
      </c>
      <c r="F58" s="3906">
        <f>IFERROR((E58/$E$54),0)</f>
        <v>0</v>
      </c>
    </row>
    <row r="59" spans="1:6" ht="15" thickBot="1">
      <c r="A59" s="3908"/>
      <c r="B59" s="3907">
        <f>IF($A$2="Dolares",IFERROR(INDEX('Estados Financieros'!$D$274:$H$458,MATCH($A59,'Estados Financieros'!$D$274:$D$458,0),MATCH(B$1,'Estados Financieros'!$D$4:$H$4,0)),0)*'Resumen de Cifras'!$B$1,IFERROR(INDEX('Estados Financieros'!$D$274:$H$458,MATCH($A59,'Estados Financieros'!$D$274:$D$458,0),MATCH(B$1,'Estados Financieros'!$D$4:$H$4,0)),0))</f>
        <v>0</v>
      </c>
      <c r="C59" s="3907">
        <f>IF($A$2="Dolares",IFERROR(INDEX('Estados Financieros'!$D$206:$I$338,MATCH($A59,'Estados Financieros'!$D$206:$D$338,0),MATCH(C$1,'Estados Financieros'!$D$4:$H$4,0)),0)*'Resumen de Cifras'!$B$1,IFERROR(INDEX('Estados Financieros'!$D$206:$I$338,MATCH($A59,'Estados Financieros'!$D$206:$D$338,0),MATCH(C$1,'Estados Financieros'!$D$4:$H$4,0)),0))</f>
        <v>0</v>
      </c>
      <c r="D59" s="3907">
        <f>IF($A$2="Dolares",IFERROR(INDEX('Estados Financieros'!$D$206:$I$338,MATCH($A59,'Estados Financieros'!$D$206:$D$338,0),MATCH(D$1,'Estados Financieros'!$D$4:$H$4,0)),0)*'Resumen de Cifras'!$B$1,IFERROR(INDEX('Estados Financieros'!$D$206:$I$338,MATCH($A59,'Estados Financieros'!$D$206:$D$338,0),MATCH(D$1,'Estados Financieros'!$D$4:$H$4,0)),0))</f>
        <v>0</v>
      </c>
      <c r="E59" s="3907">
        <f>IF($A$2="Dolares",IFERROR(INDEX('Estados Financieros'!$D$206:$I$338,MATCH($A59,'Estados Financieros'!$D$206:$D$338,0),MATCH(E$1,'Estados Financieros'!$D$4:$H$4,0)),0)*'Resumen de Cifras'!$B$1,IFERROR(INDEX('Estados Financieros'!$D$206:$I$338,MATCH($A59,'Estados Financieros'!$D$206:$D$338,0),MATCH(E$1,'Estados Financieros'!$D$4:$H$4,0)),0))</f>
        <v>0</v>
      </c>
      <c r="F59" s="3906">
        <f>IFERROR((E59/$E$54),0)</f>
        <v>0</v>
      </c>
    </row>
    <row r="60" spans="1:6" ht="15" thickBot="1">
      <c r="A60" s="3905" t="s">
        <v>2548</v>
      </c>
      <c r="B60" s="3904"/>
      <c r="C60" s="3904"/>
      <c r="D60" s="3903" t="e">
        <f>+(D54-C54)/C54</f>
        <v>#DIV/0!</v>
      </c>
      <c r="E60" s="3903">
        <f>+(E54-D54)/D54</f>
        <v>-1</v>
      </c>
      <c r="F60" s="3902">
        <f>SUM(F55:F59)</f>
        <v>0</v>
      </c>
    </row>
  </sheetData>
  <dataValidations count="1">
    <dataValidation type="list" allowBlank="1" showInputMessage="1" showErrorMessage="1" sqref="A2">
      <formula1>$S$1:$S$2</formula1>
    </dataValidation>
  </dataValidation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sheetPr codeName="Hoja59"/>
  <dimension ref="A1:I83"/>
  <sheetViews>
    <sheetView showGridLines="0" topLeftCell="B1" zoomScale="90" zoomScaleNormal="90" workbookViewId="0">
      <selection activeCell="B1" sqref="A1:XFD1"/>
    </sheetView>
  </sheetViews>
  <sheetFormatPr baseColWidth="10" defaultRowHeight="13" customHeight="1"/>
  <cols>
    <col min="1" max="1" width="2.7265625" style="70" hidden="1" customWidth="1"/>
    <col min="2" max="2" width="2.6328125" style="70" bestFit="1" customWidth="1"/>
    <col min="3" max="3" width="60" style="70" bestFit="1" customWidth="1"/>
    <col min="4" max="4" width="10.90625" style="3917" customWidth="1"/>
    <col min="5" max="5" width="10.90625" style="70" customWidth="1"/>
    <col min="6" max="16384" width="10.90625" style="70"/>
  </cols>
  <sheetData>
    <row r="1" spans="1:9" ht="13" customHeight="1" thickBot="1">
      <c r="A1" s="70">
        <v>1</v>
      </c>
      <c r="B1" s="70">
        <v>1</v>
      </c>
      <c r="C1" s="3937" t="s">
        <v>1531</v>
      </c>
      <c r="D1" s="3936">
        <f>+'Estados Financieros'!E4</f>
        <v>2017</v>
      </c>
      <c r="E1" s="3936">
        <f>+'Estados Financieros'!F4</f>
        <v>2018</v>
      </c>
      <c r="F1" s="3936">
        <f>+'Estados Financieros'!G4</f>
        <v>2019</v>
      </c>
      <c r="G1" s="3936" t="str">
        <f>+'Estados Financieros'!H4</f>
        <v>2020</v>
      </c>
      <c r="H1" s="3940" t="s">
        <v>2662</v>
      </c>
      <c r="I1" s="3940"/>
    </row>
    <row r="2" spans="1:9" ht="13" customHeight="1" thickBot="1">
      <c r="A2" s="70">
        <v>2</v>
      </c>
      <c r="B2" s="70">
        <v>2</v>
      </c>
      <c r="C2" s="3937" t="s">
        <v>2661</v>
      </c>
      <c r="D2" s="3939">
        <f>+'Estados Financieros'!E7</f>
        <v>360</v>
      </c>
      <c r="E2" s="3938">
        <f>+'Estados Financieros'!F7</f>
        <v>360</v>
      </c>
      <c r="F2" s="3938">
        <f>+'Estados Financieros'!G7</f>
        <v>360</v>
      </c>
      <c r="G2" s="3938">
        <f>+'Estados Financieros'!H7</f>
        <v>180</v>
      </c>
    </row>
    <row r="3" spans="1:9" ht="13" customHeight="1" thickBot="1">
      <c r="A3" s="70">
        <v>3</v>
      </c>
      <c r="B3" s="70">
        <v>3</v>
      </c>
      <c r="C3" s="3937" t="s">
        <v>2660</v>
      </c>
      <c r="D3" s="3936" t="str">
        <f>+'Estados Financieros'!E6</f>
        <v>12</v>
      </c>
      <c r="E3" s="3936" t="str">
        <f>+'Estados Financieros'!F6</f>
        <v>12</v>
      </c>
      <c r="F3" s="3936" t="str">
        <f>+'Estados Financieros'!G6</f>
        <v>12</v>
      </c>
      <c r="G3" s="3936" t="str">
        <f>+'Estados Financieros'!H6</f>
        <v>06</v>
      </c>
    </row>
    <row r="4" spans="1:9" ht="13" customHeight="1" thickBot="1">
      <c r="A4" s="70">
        <v>4</v>
      </c>
      <c r="B4" s="70">
        <v>4</v>
      </c>
      <c r="C4" s="3935" t="s">
        <v>826</v>
      </c>
      <c r="D4" s="3928">
        <f>IF($I$1="Dolares",'Balances y Proyecciones'!E136*'Resumen de Cifras'!$B$1,'Balances y Proyecciones'!E136)</f>
        <v>0</v>
      </c>
      <c r="E4" s="3927">
        <f>IF($I$1="Dolares",'Balances y Proyecciones'!H136*'Resumen de Cifras'!$B$1,'Balances y Proyecciones'!H136)</f>
        <v>0</v>
      </c>
      <c r="F4" s="3927">
        <f>IF($I$1="Dolares",'Balances y Proyecciones'!N136*'Resumen de Cifras'!$B$1,'Balances y Proyecciones'!N136)</f>
        <v>0</v>
      </c>
      <c r="G4" s="3927">
        <f>IF($I$1="Dolares",'Balances y Proyecciones'!Q136*'Resumen de Cifras'!$B$1,'Balances y Proyecciones'!Q136)</f>
        <v>0</v>
      </c>
    </row>
    <row r="5" spans="1:9" ht="13" customHeight="1" thickBot="1">
      <c r="A5" s="70">
        <v>5</v>
      </c>
      <c r="B5" s="70" t="str">
        <f>IF(OR(D5&lt;&gt;0,E5&lt;&gt;0,F5&lt;&gt;0,G5&lt;&gt;0),A5,"")</f>
        <v/>
      </c>
      <c r="C5" s="3923" t="s">
        <v>1150</v>
      </c>
      <c r="D5" s="3933">
        <f>+'Balances y Proyecciones'!E137</f>
        <v>0</v>
      </c>
      <c r="E5" s="3930">
        <f>+'Balances y Proyecciones'!H137</f>
        <v>0</v>
      </c>
      <c r="F5" s="3930">
        <f>+'Balances y Proyecciones'!N137</f>
        <v>0</v>
      </c>
      <c r="G5" s="3930">
        <f>+'Balances y Proyecciones'!Q137</f>
        <v>0</v>
      </c>
    </row>
    <row r="6" spans="1:9" ht="13" customHeight="1" thickBot="1">
      <c r="A6" s="70">
        <v>6</v>
      </c>
      <c r="B6" s="70">
        <v>6</v>
      </c>
      <c r="C6" s="3929" t="s">
        <v>881</v>
      </c>
      <c r="D6" s="3928">
        <f>IF($I$1="Dolares",'Balances y Proyecciones'!E138*'Resumen de Cifras'!$B$1,'Balances y Proyecciones'!E138)</f>
        <v>0</v>
      </c>
      <c r="E6" s="3927">
        <f>IF($I$1="Dolares",'Balances y Proyecciones'!H138*'Resumen de Cifras'!$B$1,'Balances y Proyecciones'!H138)</f>
        <v>0</v>
      </c>
      <c r="F6" s="3927">
        <f>IF($I$1="Dolares",'Balances y Proyecciones'!N138*'Resumen de Cifras'!$B$1,'Balances y Proyecciones'!N138)</f>
        <v>0</v>
      </c>
      <c r="G6" s="3927">
        <f>IF($I$1="Dolares",'Balances y Proyecciones'!Q138*'Resumen de Cifras'!$B$1,'Balances y Proyecciones'!Q138)</f>
        <v>0</v>
      </c>
    </row>
    <row r="7" spans="1:9" ht="13" customHeight="1" thickBot="1">
      <c r="A7" s="70">
        <v>7</v>
      </c>
      <c r="B7" s="70" t="str">
        <f>IF(OR(D7&lt;&gt;0,E7&lt;&gt;0,F7&lt;&gt;0,G7&lt;&gt;0),A7,"")</f>
        <v/>
      </c>
      <c r="C7" s="3923" t="s">
        <v>1151</v>
      </c>
      <c r="D7" s="3922">
        <f>IF($I$1="Dolares",'Balances y Proyecciones'!E139*'Resumen de Cifras'!$B$1,'Balances y Proyecciones'!E139)</f>
        <v>0</v>
      </c>
      <c r="E7" s="3921">
        <f>IF($I$1="Dolares",'Balances y Proyecciones'!H139*'Resumen de Cifras'!$B$1,'Balances y Proyecciones'!H139)</f>
        <v>0</v>
      </c>
      <c r="F7" s="3921">
        <f>IF($I$1="Dolares",'Balances y Proyecciones'!N139*'Resumen de Cifras'!$B$1,'Balances y Proyecciones'!N139)</f>
        <v>0</v>
      </c>
      <c r="G7" s="3921">
        <f>IF($I$1="Dolares",'Balances y Proyecciones'!Q139*'Resumen de Cifras'!$B$1,'Balances y Proyecciones'!Q139)</f>
        <v>0</v>
      </c>
    </row>
    <row r="8" spans="1:9" ht="13" customHeight="1" thickBot="1">
      <c r="A8" s="70">
        <v>8</v>
      </c>
      <c r="B8" s="70" t="str">
        <f>IF(OR(D8&lt;&gt;0,E8&lt;&gt;0,F8&lt;&gt;0,G8&lt;&gt;0),A8,"")</f>
        <v/>
      </c>
      <c r="C8" s="3923" t="s">
        <v>2659</v>
      </c>
      <c r="D8" s="3933">
        <f>+'Balances y Proyecciones'!E140</f>
        <v>0</v>
      </c>
      <c r="E8" s="3930">
        <f>+'Balances y Proyecciones'!H140</f>
        <v>0</v>
      </c>
      <c r="F8" s="3930">
        <f>+'Balances y Proyecciones'!N140</f>
        <v>0</v>
      </c>
      <c r="G8" s="3930">
        <f>+'Balances y Proyecciones'!Q140</f>
        <v>0</v>
      </c>
    </row>
    <row r="9" spans="1:9" ht="13" customHeight="1" thickBot="1">
      <c r="A9" s="70">
        <v>9</v>
      </c>
      <c r="B9" s="70">
        <v>9</v>
      </c>
      <c r="C9" s="3926" t="s">
        <v>1152</v>
      </c>
      <c r="D9" s="3925">
        <f>IF($I$1="Dolares",'Balances y Proyecciones'!E141*'Resumen de Cifras'!$B$1,'Balances y Proyecciones'!E141)</f>
        <v>0</v>
      </c>
      <c r="E9" s="3925">
        <f>IF($I$1="Dolares",'Balances y Proyecciones'!H141*'Resumen de Cifras'!$B$1,'Balances y Proyecciones'!H141)</f>
        <v>0</v>
      </c>
      <c r="F9" s="3925">
        <f>IF($I$1="Dolares",'Balances y Proyecciones'!N141*'Resumen de Cifras'!$B$1,'Balances y Proyecciones'!N141)</f>
        <v>0</v>
      </c>
      <c r="G9" s="3925">
        <f>IF($I$1="Dolares",'Balances y Proyecciones'!Q141*'Resumen de Cifras'!$B$1,'Balances y Proyecciones'!Q141)</f>
        <v>0</v>
      </c>
    </row>
    <row r="10" spans="1:9" ht="13" customHeight="1" thickBot="1">
      <c r="A10" s="70">
        <v>10</v>
      </c>
      <c r="B10" s="70" t="str">
        <f t="shared" ref="B10:B17" si="0">IF(OR(D10&lt;&gt;0,E10&lt;&gt;0,F10&lt;&gt;0,G10&lt;&gt;0),A10,"")</f>
        <v/>
      </c>
      <c r="C10" s="3923" t="s">
        <v>1153</v>
      </c>
      <c r="D10" s="3922">
        <f>IF($I$1="Dolares",'Balances y Proyecciones'!E142*'Resumen de Cifras'!$B$1,'Balances y Proyecciones'!E142)</f>
        <v>0</v>
      </c>
      <c r="E10" s="3921">
        <f>IF($I$1="Dolares",'Balances y Proyecciones'!H142*'Resumen de Cifras'!$B$1,'Balances y Proyecciones'!H142)</f>
        <v>0</v>
      </c>
      <c r="F10" s="3921">
        <f>IF($I$1="Dolares",'Balances y Proyecciones'!N142*'Resumen de Cifras'!$B$1,'Balances y Proyecciones'!N142)</f>
        <v>0</v>
      </c>
      <c r="G10" s="3921">
        <f>IF($I$1="Dolares",'Balances y Proyecciones'!Q142*'Resumen de Cifras'!$B$1,'Balances y Proyecciones'!Q142)</f>
        <v>0</v>
      </c>
    </row>
    <row r="11" spans="1:9" ht="13" customHeight="1" thickBot="1">
      <c r="A11" s="70">
        <v>11</v>
      </c>
      <c r="B11" s="70" t="str">
        <f t="shared" si="0"/>
        <v/>
      </c>
      <c r="C11" s="3923" t="s">
        <v>1154</v>
      </c>
      <c r="D11" s="3922">
        <f>IF($I$1="Dolares",'Balances y Proyecciones'!E143*'Resumen de Cifras'!$B$1,'Balances y Proyecciones'!E143)</f>
        <v>0</v>
      </c>
      <c r="E11" s="3921">
        <f>IF($I$1="Dolares",'Balances y Proyecciones'!H143*'Resumen de Cifras'!$B$1,'Balances y Proyecciones'!H143)</f>
        <v>0</v>
      </c>
      <c r="F11" s="3921">
        <f>IF($I$1="Dolares",'Balances y Proyecciones'!N143*'Resumen de Cifras'!$B$1,'Balances y Proyecciones'!N143)</f>
        <v>0</v>
      </c>
      <c r="G11" s="3921">
        <f>IF($I$1="Dolares",'Balances y Proyecciones'!Q143*'Resumen de Cifras'!$B$1,'Balances y Proyecciones'!Q143)</f>
        <v>0</v>
      </c>
    </row>
    <row r="12" spans="1:9" ht="13" customHeight="1" thickBot="1">
      <c r="A12" s="70">
        <v>12</v>
      </c>
      <c r="B12" s="70" t="str">
        <f t="shared" si="0"/>
        <v/>
      </c>
      <c r="C12" s="3934" t="s">
        <v>1155</v>
      </c>
      <c r="D12" s="3930">
        <f>+'Balances y Proyecciones'!E144</f>
        <v>0</v>
      </c>
      <c r="E12" s="3930">
        <f>+'Balances y Proyecciones'!H144</f>
        <v>0</v>
      </c>
      <c r="F12" s="3930">
        <f>+'Balances y Proyecciones'!N144</f>
        <v>0</v>
      </c>
      <c r="G12" s="3930">
        <f>+'Balances y Proyecciones'!Q144</f>
        <v>0</v>
      </c>
    </row>
    <row r="13" spans="1:9" ht="13" customHeight="1" thickBot="1">
      <c r="A13" s="70">
        <v>13</v>
      </c>
      <c r="B13" s="70" t="str">
        <f t="shared" si="0"/>
        <v/>
      </c>
      <c r="C13" s="3923" t="s">
        <v>1156</v>
      </c>
      <c r="D13" s="3922">
        <f>IF($I$1="Dolares",'Balances y Proyecciones'!E145*'Resumen de Cifras'!$B$1,'Balances y Proyecciones'!E145)</f>
        <v>0</v>
      </c>
      <c r="E13" s="3921">
        <f>IF($I$1="Dolares",'Balances y Proyecciones'!H145*'Resumen de Cifras'!$B$1,'Balances y Proyecciones'!H145)</f>
        <v>0</v>
      </c>
      <c r="F13" s="3921">
        <f>IF($I$1="Dolares",'Balances y Proyecciones'!N145*'Resumen de Cifras'!$B$1,'Balances y Proyecciones'!N145)</f>
        <v>0</v>
      </c>
      <c r="G13" s="3921">
        <f>IF($I$1="Dolares",'Balances y Proyecciones'!Q145*'Resumen de Cifras'!$B$1,'Balances y Proyecciones'!Q145)</f>
        <v>0</v>
      </c>
    </row>
    <row r="14" spans="1:9" ht="13" customHeight="1" thickBot="1">
      <c r="A14" s="70">
        <v>14</v>
      </c>
      <c r="B14" s="70" t="str">
        <f t="shared" si="0"/>
        <v/>
      </c>
      <c r="C14" s="3934" t="s">
        <v>1158</v>
      </c>
      <c r="D14" s="3930">
        <f>+'Balances y Proyecciones'!E146</f>
        <v>0</v>
      </c>
      <c r="E14" s="3930">
        <f>+'Balances y Proyecciones'!H146</f>
        <v>0</v>
      </c>
      <c r="F14" s="3930">
        <f>+'Balances y Proyecciones'!N146</f>
        <v>0</v>
      </c>
      <c r="G14" s="3930">
        <f>+'Balances y Proyecciones'!Q146</f>
        <v>0</v>
      </c>
    </row>
    <row r="15" spans="1:9" ht="13" customHeight="1" thickBot="1">
      <c r="A15" s="70">
        <v>15</v>
      </c>
      <c r="B15" s="70" t="str">
        <f t="shared" si="0"/>
        <v/>
      </c>
      <c r="C15" s="3923" t="s">
        <v>1160</v>
      </c>
      <c r="D15" s="3922">
        <f>IF($I$1="Dolares",'Balances y Proyecciones'!E147*'Resumen de Cifras'!$B$1,'Balances y Proyecciones'!E147)</f>
        <v>0</v>
      </c>
      <c r="E15" s="3921">
        <f>IF($I$1="Dolares",'Balances y Proyecciones'!H147*'Resumen de Cifras'!$B$1,'Balances y Proyecciones'!H147)</f>
        <v>0</v>
      </c>
      <c r="F15" s="3921">
        <f>IF($I$1="Dolares",'Balances y Proyecciones'!N147*'Resumen de Cifras'!$B$1,'Balances y Proyecciones'!N147)</f>
        <v>0</v>
      </c>
      <c r="G15" s="3921">
        <f>IF($I$1="Dolares",'Balances y Proyecciones'!Q147*'Resumen de Cifras'!$B$1,'Balances y Proyecciones'!Q147)</f>
        <v>0</v>
      </c>
    </row>
    <row r="16" spans="1:9" ht="13" customHeight="1" thickBot="1">
      <c r="A16" s="70">
        <v>16</v>
      </c>
      <c r="B16" s="70" t="str">
        <f t="shared" si="0"/>
        <v/>
      </c>
      <c r="C16" s="3934" t="s">
        <v>1162</v>
      </c>
      <c r="D16" s="3930">
        <f>+'Balances y Proyecciones'!E148</f>
        <v>0</v>
      </c>
      <c r="E16" s="3930">
        <f>+'Balances y Proyecciones'!H148</f>
        <v>0</v>
      </c>
      <c r="F16" s="3930">
        <f>+'Balances y Proyecciones'!N148</f>
        <v>0</v>
      </c>
      <c r="G16" s="3930">
        <f>+'Balances y Proyecciones'!Q148</f>
        <v>0</v>
      </c>
    </row>
    <row r="17" spans="1:7" ht="13" customHeight="1" thickBot="1">
      <c r="A17" s="70">
        <v>17</v>
      </c>
      <c r="B17" s="70" t="str">
        <f t="shared" si="0"/>
        <v/>
      </c>
      <c r="C17" s="3923" t="s">
        <v>1163</v>
      </c>
      <c r="D17" s="3922">
        <f>IF($I$1="Dolares",'Balances y Proyecciones'!E149*'Resumen de Cifras'!$B$1,'Balances y Proyecciones'!E149)</f>
        <v>0</v>
      </c>
      <c r="E17" s="3921">
        <f>IF($I$1="Dolares",'Balances y Proyecciones'!H149*'Resumen de Cifras'!$B$1,'Balances y Proyecciones'!H149)</f>
        <v>0</v>
      </c>
      <c r="F17" s="3921">
        <f>IF($I$1="Dolares",'Balances y Proyecciones'!N149*'Resumen de Cifras'!$B$1,'Balances y Proyecciones'!N149)</f>
        <v>0</v>
      </c>
      <c r="G17" s="3921">
        <f>IF($I$1="Dolares",'Balances y Proyecciones'!Q149*'Resumen de Cifras'!$B$1,'Balances y Proyecciones'!Q149)</f>
        <v>0</v>
      </c>
    </row>
    <row r="18" spans="1:7" ht="13" customHeight="1" thickBot="1">
      <c r="A18" s="70">
        <v>18</v>
      </c>
      <c r="B18" s="70">
        <v>18</v>
      </c>
      <c r="C18" s="3926" t="s">
        <v>1164</v>
      </c>
      <c r="D18" s="3925">
        <f>IF($I$1="Dolares",'Balances y Proyecciones'!E150*'Resumen de Cifras'!$B$1,'Balances y Proyecciones'!E150)</f>
        <v>0</v>
      </c>
      <c r="E18" s="3925">
        <f>IF($I$1="Dolares",'Balances y Proyecciones'!H150*'Resumen de Cifras'!$B$1,'Balances y Proyecciones'!H150)</f>
        <v>0</v>
      </c>
      <c r="F18" s="3925">
        <f>IF($I$1="Dolares",'Balances y Proyecciones'!N150*'Resumen de Cifras'!$B$1,'Balances y Proyecciones'!N150)</f>
        <v>0</v>
      </c>
      <c r="G18" s="3925">
        <f>IF($I$1="Dolares",'Balances y Proyecciones'!Q150*'Resumen de Cifras'!$B$1,'Balances y Proyecciones'!Q150)</f>
        <v>0</v>
      </c>
    </row>
    <row r="19" spans="1:7" ht="13" customHeight="1" thickBot="1">
      <c r="A19" s="70">
        <v>19</v>
      </c>
      <c r="B19" s="70">
        <v>19</v>
      </c>
      <c r="C19" s="3926" t="s">
        <v>1165</v>
      </c>
      <c r="D19" s="3925">
        <f>IF($I$1="Dolares",'Balances y Proyecciones'!E151*'Resumen de Cifras'!$B$1,'Balances y Proyecciones'!E151)</f>
        <v>0</v>
      </c>
      <c r="E19" s="3925">
        <f>IF($I$1="Dolares",'Balances y Proyecciones'!H151*'Resumen de Cifras'!$B$1,'Balances y Proyecciones'!H151)</f>
        <v>0</v>
      </c>
      <c r="F19" s="3925">
        <f>IF($I$1="Dolares",'Balances y Proyecciones'!N151*'Resumen de Cifras'!$B$1,'Balances y Proyecciones'!N151)</f>
        <v>0</v>
      </c>
      <c r="G19" s="3925">
        <f>IF($I$1="Dolares",'Balances y Proyecciones'!Q151*'Resumen de Cifras'!$B$1,'Balances y Proyecciones'!Q151)</f>
        <v>0</v>
      </c>
    </row>
    <row r="20" spans="1:7" ht="13" customHeight="1" thickBot="1">
      <c r="A20" s="70">
        <v>20</v>
      </c>
      <c r="B20" s="70" t="str">
        <f>IF(OR(D20&lt;&gt;0,E20&lt;&gt;0,F20&lt;&gt;0,G20&lt;&gt;0),A20,"")</f>
        <v/>
      </c>
      <c r="C20" s="3934" t="s">
        <v>1167</v>
      </c>
      <c r="D20" s="3930">
        <f>+'Balances y Proyecciones'!E152</f>
        <v>0</v>
      </c>
      <c r="E20" s="3930">
        <f>+'Balances y Proyecciones'!H152</f>
        <v>0</v>
      </c>
      <c r="F20" s="3930">
        <f>+'Balances y Proyecciones'!N152</f>
        <v>0</v>
      </c>
      <c r="G20" s="3930">
        <f>+'Balances y Proyecciones'!Q152</f>
        <v>0</v>
      </c>
    </row>
    <row r="21" spans="1:7" ht="13" customHeight="1" thickBot="1">
      <c r="A21" s="70">
        <v>21</v>
      </c>
      <c r="B21" s="70" t="str">
        <f>IF(OR(D21&lt;&gt;0,E21&lt;&gt;0,F21&lt;&gt;0,G21&lt;&gt;0),A21,"")</f>
        <v/>
      </c>
      <c r="C21" s="3923" t="s">
        <v>1169</v>
      </c>
      <c r="D21" s="3933">
        <f>+'Balances y Proyecciones'!E153</f>
        <v>0</v>
      </c>
      <c r="E21" s="3930">
        <f>+'Balances y Proyecciones'!H153</f>
        <v>0</v>
      </c>
      <c r="F21" s="3930">
        <f>+'Balances y Proyecciones'!N153</f>
        <v>0</v>
      </c>
      <c r="G21" s="3930">
        <f>+'Balances y Proyecciones'!Q153</f>
        <v>0</v>
      </c>
    </row>
    <row r="22" spans="1:7" ht="13" customHeight="1" thickBot="1">
      <c r="A22" s="70">
        <v>22</v>
      </c>
      <c r="B22" s="70" t="str">
        <f>IF(OR(D22&lt;&gt;0,E22&lt;&gt;0,F22&lt;&gt;0,G22&lt;&gt;0),A22,"")</f>
        <v/>
      </c>
      <c r="C22" s="3934" t="s">
        <v>1171</v>
      </c>
      <c r="D22" s="3930">
        <f>+'Balances y Proyecciones'!E154</f>
        <v>0</v>
      </c>
      <c r="E22" s="3930">
        <f>+'Balances y Proyecciones'!H154</f>
        <v>0</v>
      </c>
      <c r="F22" s="3930">
        <f>+'Balances y Proyecciones'!N154</f>
        <v>0</v>
      </c>
      <c r="G22" s="3930">
        <f>+'Balances y Proyecciones'!Q154</f>
        <v>0</v>
      </c>
    </row>
    <row r="23" spans="1:7" ht="13" customHeight="1" thickBot="1">
      <c r="A23" s="70">
        <v>23</v>
      </c>
      <c r="B23" s="70" t="str">
        <f>IF(OR(D23&lt;&gt;0,E23&lt;&gt;0,F23&lt;&gt;0,G23&lt;&gt;0),A23,"")</f>
        <v/>
      </c>
      <c r="C23" s="3923" t="s">
        <v>1173</v>
      </c>
      <c r="D23" s="3922">
        <f>IF($I$1="Dolares",'Balances y Proyecciones'!E155*'Resumen de Cifras'!$B$1,'Balances y Proyecciones'!E155)</f>
        <v>0</v>
      </c>
      <c r="E23" s="3921">
        <f>IF($I$1="Dolares",'Balances y Proyecciones'!H155*'Resumen de Cifras'!$B$1,'Balances y Proyecciones'!H155)</f>
        <v>0</v>
      </c>
      <c r="F23" s="3921">
        <f>IF($I$1="Dolares",'Balances y Proyecciones'!N155*'Resumen de Cifras'!$B$1,'Balances y Proyecciones'!N155)</f>
        <v>0</v>
      </c>
      <c r="G23" s="3921">
        <f>IF($I$1="Dolares",'Balances y Proyecciones'!Q155*'Resumen de Cifras'!$B$1,'Balances y Proyecciones'!Q155)</f>
        <v>0</v>
      </c>
    </row>
    <row r="24" spans="1:7" ht="13" customHeight="1" thickBot="1">
      <c r="A24" s="70">
        <v>24</v>
      </c>
      <c r="B24" s="70">
        <v>24</v>
      </c>
      <c r="C24" s="3929" t="s">
        <v>1174</v>
      </c>
      <c r="D24" s="3928">
        <f>IF($I$1="Dolares",'Balances y Proyecciones'!E156*'Resumen de Cifras'!$B$1,'Balances y Proyecciones'!E156)</f>
        <v>0</v>
      </c>
      <c r="E24" s="3927">
        <f>IF($I$1="Dolares",'Balances y Proyecciones'!H156*'Resumen de Cifras'!$B$1,'Balances y Proyecciones'!H156)</f>
        <v>0</v>
      </c>
      <c r="F24" s="3927">
        <f>IF($I$1="Dolares",'Balances y Proyecciones'!N156*'Resumen de Cifras'!$B$1,'Balances y Proyecciones'!N156)</f>
        <v>0</v>
      </c>
      <c r="G24" s="3927">
        <f>IF($I$1="Dolares",'Balances y Proyecciones'!Q156*'Resumen de Cifras'!$B$1,'Balances y Proyecciones'!Q156)</f>
        <v>0</v>
      </c>
    </row>
    <row r="25" spans="1:7" ht="13" customHeight="1" thickBot="1">
      <c r="A25" s="70">
        <v>25</v>
      </c>
      <c r="B25" s="70">
        <v>25</v>
      </c>
      <c r="C25" s="3926" t="s">
        <v>1175</v>
      </c>
      <c r="D25" s="3925">
        <f>IF($I$1="Dolares",'Balances y Proyecciones'!E157*'Resumen de Cifras'!$B$1,'Balances y Proyecciones'!E157)</f>
        <v>0</v>
      </c>
      <c r="E25" s="3925">
        <f>IF($I$1="Dolares",'Balances y Proyecciones'!H157*'Resumen de Cifras'!$B$1,'Balances y Proyecciones'!H157)</f>
        <v>0</v>
      </c>
      <c r="F25" s="3925">
        <f>IF($I$1="Dolares",'Balances y Proyecciones'!N157*'Resumen de Cifras'!$B$1,'Balances y Proyecciones'!N157)</f>
        <v>0</v>
      </c>
      <c r="G25" s="3925">
        <f>IF($I$1="Dolares",'Balances y Proyecciones'!Q157*'Resumen de Cifras'!$B$1,'Balances y Proyecciones'!Q157)</f>
        <v>0</v>
      </c>
    </row>
    <row r="26" spans="1:7" ht="13" customHeight="1" thickBot="1">
      <c r="A26" s="70">
        <v>26</v>
      </c>
      <c r="B26" s="70" t="str">
        <f t="shared" ref="B26:B32" si="1">IF(OR(D26&lt;&gt;0,E26&lt;&gt;0,F26&lt;&gt;0,G26&lt;&gt;0),A26,"")</f>
        <v/>
      </c>
      <c r="C26" s="3934" t="s">
        <v>1176</v>
      </c>
      <c r="D26" s="3921">
        <f>IF($I$1="Dolares",'Balances y Proyecciones'!E158*'Resumen de Cifras'!$B$1,'Balances y Proyecciones'!E158)</f>
        <v>0</v>
      </c>
      <c r="E26" s="3921">
        <f>IF($I$1="Dolares",'Balances y Proyecciones'!H158*'Resumen de Cifras'!$B$1,'Balances y Proyecciones'!H158)</f>
        <v>0</v>
      </c>
      <c r="F26" s="3921">
        <f>IF($I$1="Dolares",'Balances y Proyecciones'!N158*'Resumen de Cifras'!$B$1,'Balances y Proyecciones'!N158)</f>
        <v>0</v>
      </c>
      <c r="G26" s="3921">
        <f>IF($I$1="Dolares",'Balances y Proyecciones'!Q158*'Resumen de Cifras'!$B$1,'Balances y Proyecciones'!Q158)</f>
        <v>0</v>
      </c>
    </row>
    <row r="27" spans="1:7" ht="13" customHeight="1" thickBot="1">
      <c r="A27" s="70">
        <v>27</v>
      </c>
      <c r="B27" s="70" t="str">
        <f t="shared" si="1"/>
        <v/>
      </c>
      <c r="C27" s="3923" t="s">
        <v>1178</v>
      </c>
      <c r="D27" s="3933">
        <f>+'Balances y Proyecciones'!E159</f>
        <v>0</v>
      </c>
      <c r="E27" s="3930">
        <f>+'Balances y Proyecciones'!H159</f>
        <v>0</v>
      </c>
      <c r="F27" s="3930">
        <f>+'Balances y Proyecciones'!N159</f>
        <v>0</v>
      </c>
      <c r="G27" s="3930">
        <f>+'Balances y Proyecciones'!Q159</f>
        <v>0</v>
      </c>
    </row>
    <row r="28" spans="1:7" ht="13" customHeight="1" thickBot="1">
      <c r="A28" s="70">
        <v>28</v>
      </c>
      <c r="B28" s="70" t="str">
        <f t="shared" si="1"/>
        <v/>
      </c>
      <c r="C28" s="3932" t="s">
        <v>1180</v>
      </c>
      <c r="D28" s="3930">
        <f>+'Balances y Proyecciones'!E160</f>
        <v>0</v>
      </c>
      <c r="E28" s="3930">
        <f>+'Balances y Proyecciones'!H160</f>
        <v>0</v>
      </c>
      <c r="F28" s="3930">
        <f>+'Balances y Proyecciones'!N160</f>
        <v>0</v>
      </c>
      <c r="G28" s="3930">
        <f>+'Balances y Proyecciones'!Q160</f>
        <v>0</v>
      </c>
    </row>
    <row r="29" spans="1:7" ht="13" customHeight="1" thickBot="1">
      <c r="A29" s="70">
        <v>29</v>
      </c>
      <c r="B29" s="70" t="str">
        <f t="shared" si="1"/>
        <v/>
      </c>
      <c r="C29" s="3923" t="s">
        <v>2658</v>
      </c>
      <c r="D29" s="3930">
        <f>+'Balances y Proyecciones'!E161</f>
        <v>0</v>
      </c>
      <c r="E29" s="3930">
        <f>+'Balances y Proyecciones'!H161</f>
        <v>0</v>
      </c>
      <c r="F29" s="3930">
        <f>+'Balances y Proyecciones'!N161</f>
        <v>0</v>
      </c>
      <c r="G29" s="3930">
        <f>+'Balances y Proyecciones'!Q161</f>
        <v>0</v>
      </c>
    </row>
    <row r="30" spans="1:7" ht="13" customHeight="1" thickBot="1">
      <c r="A30" s="70">
        <v>30</v>
      </c>
      <c r="B30" s="70" t="str">
        <f t="shared" si="1"/>
        <v/>
      </c>
      <c r="C30" s="3931" t="s">
        <v>2657</v>
      </c>
      <c r="D30" s="3930">
        <f>+'Balances y Proyecciones'!E162</f>
        <v>0</v>
      </c>
      <c r="E30" s="3930">
        <f>+'Balances y Proyecciones'!H162</f>
        <v>0</v>
      </c>
      <c r="F30" s="3930">
        <f>+'Balances y Proyecciones'!N162</f>
        <v>0</v>
      </c>
      <c r="G30" s="3930">
        <f>+'Balances y Proyecciones'!Q162</f>
        <v>0</v>
      </c>
    </row>
    <row r="31" spans="1:7" ht="13" customHeight="1" thickBot="1">
      <c r="A31" s="70">
        <v>31</v>
      </c>
      <c r="B31" s="70" t="str">
        <f t="shared" si="1"/>
        <v/>
      </c>
      <c r="C31" s="3923" t="s">
        <v>2656</v>
      </c>
      <c r="D31" s="3922">
        <f>IF($I$1="Dolares",'Balances y Proyecciones'!E163*'Resumen de Cifras'!$B$1,'Balances y Proyecciones'!E163)</f>
        <v>0</v>
      </c>
      <c r="E31" s="3921">
        <f>IF($I$1="Dolares",'Balances y Proyecciones'!H163*'Resumen de Cifras'!$B$1,'Balances y Proyecciones'!H163)</f>
        <v>0</v>
      </c>
      <c r="F31" s="3921">
        <f>IF($I$1="Dolares",'Balances y Proyecciones'!N163*'Resumen de Cifras'!$B$1,'Balances y Proyecciones'!N163)</f>
        <v>0</v>
      </c>
      <c r="G31" s="3921">
        <f>IF($I$1="Dolares",'Balances y Proyecciones'!Q163*'Resumen de Cifras'!$B$1,'Balances y Proyecciones'!Q163)</f>
        <v>0</v>
      </c>
    </row>
    <row r="32" spans="1:7" ht="13" customHeight="1" thickBot="1">
      <c r="A32" s="70">
        <v>32</v>
      </c>
      <c r="B32" s="70" t="str">
        <f t="shared" si="1"/>
        <v/>
      </c>
      <c r="C32" s="3934" t="s">
        <v>2655</v>
      </c>
      <c r="D32" s="3930">
        <f>+'Balances y Proyecciones'!E164</f>
        <v>0</v>
      </c>
      <c r="E32" s="3930">
        <f>+'Balances y Proyecciones'!H164</f>
        <v>0</v>
      </c>
      <c r="F32" s="3930">
        <f>+'Balances y Proyecciones'!N164</f>
        <v>0</v>
      </c>
      <c r="G32" s="3930">
        <f>+'Balances y Proyecciones'!Q164</f>
        <v>0</v>
      </c>
    </row>
    <row r="33" spans="1:7" ht="13" customHeight="1" thickBot="1">
      <c r="A33" s="70">
        <v>33</v>
      </c>
      <c r="B33" s="70">
        <v>33</v>
      </c>
      <c r="C33" s="3929" t="s">
        <v>1182</v>
      </c>
      <c r="D33" s="3928">
        <f>IF($I$1="Dolares",'Balances y Proyecciones'!E165*'Resumen de Cifras'!$B$1,'Balances y Proyecciones'!E165)</f>
        <v>0</v>
      </c>
      <c r="E33" s="3927">
        <f>IF($I$1="Dolares",'Balances y Proyecciones'!H165*'Resumen de Cifras'!$B$1,'Balances y Proyecciones'!H165)</f>
        <v>0</v>
      </c>
      <c r="F33" s="3927">
        <f>IF($I$1="Dolares",'Balances y Proyecciones'!N165*'Resumen de Cifras'!$B$1,'Balances y Proyecciones'!N165)</f>
        <v>0</v>
      </c>
      <c r="G33" s="3927">
        <f>IF($I$1="Dolares",'Balances y Proyecciones'!Q165*'Resumen de Cifras'!$B$1,'Balances y Proyecciones'!Q165)</f>
        <v>0</v>
      </c>
    </row>
    <row r="34" spans="1:7" ht="13" customHeight="1" thickBot="1">
      <c r="A34" s="70">
        <v>34</v>
      </c>
      <c r="B34" s="70" t="str">
        <f t="shared" ref="B34:B39" si="2">IF(OR(D34&lt;&gt;0,E34&lt;&gt;0,F34&lt;&gt;0,G34&lt;&gt;0),A34,"")</f>
        <v/>
      </c>
      <c r="C34" s="3932" t="s">
        <v>2654</v>
      </c>
      <c r="D34" s="3930">
        <f>+'Balances y Proyecciones'!E166</f>
        <v>0</v>
      </c>
      <c r="E34" s="3930">
        <f>+'Balances y Proyecciones'!H166</f>
        <v>0</v>
      </c>
      <c r="F34" s="3930">
        <f>+'Balances y Proyecciones'!N166</f>
        <v>0</v>
      </c>
      <c r="G34" s="3930">
        <f>+'Balances y Proyecciones'!Q166</f>
        <v>0</v>
      </c>
    </row>
    <row r="35" spans="1:7" ht="13" customHeight="1" thickBot="1">
      <c r="A35" s="70">
        <v>35</v>
      </c>
      <c r="B35" s="70" t="str">
        <f t="shared" si="2"/>
        <v/>
      </c>
      <c r="C35" s="3923" t="s">
        <v>2653</v>
      </c>
      <c r="D35" s="3930">
        <f>+'Balances y Proyecciones'!E167</f>
        <v>0</v>
      </c>
      <c r="E35" s="3930">
        <f>+'Balances y Proyecciones'!H167</f>
        <v>0</v>
      </c>
      <c r="F35" s="3930">
        <f>+'Balances y Proyecciones'!N167</f>
        <v>0</v>
      </c>
      <c r="G35" s="3930">
        <f>+'Balances y Proyecciones'!Q167</f>
        <v>0</v>
      </c>
    </row>
    <row r="36" spans="1:7" ht="13" customHeight="1" thickBot="1">
      <c r="A36" s="70">
        <v>36</v>
      </c>
      <c r="B36" s="70" t="str">
        <f t="shared" si="2"/>
        <v/>
      </c>
      <c r="C36" s="3931" t="s">
        <v>2652</v>
      </c>
      <c r="D36" s="3930">
        <f>+'Balances y Proyecciones'!E168</f>
        <v>0</v>
      </c>
      <c r="E36" s="3930">
        <f>+'Balances y Proyecciones'!H168</f>
        <v>0</v>
      </c>
      <c r="F36" s="3930">
        <f>+'Balances y Proyecciones'!N168</f>
        <v>0</v>
      </c>
      <c r="G36" s="3930">
        <f>+'Balances y Proyecciones'!Q168</f>
        <v>0</v>
      </c>
    </row>
    <row r="37" spans="1:7" ht="13" customHeight="1" thickBot="1">
      <c r="A37" s="70">
        <v>37</v>
      </c>
      <c r="B37" s="70" t="str">
        <f t="shared" si="2"/>
        <v/>
      </c>
      <c r="C37" s="3923" t="s">
        <v>2651</v>
      </c>
      <c r="D37" s="3933">
        <f>+'Balances y Proyecciones'!E169</f>
        <v>0</v>
      </c>
      <c r="E37" s="3930">
        <f>+'Balances y Proyecciones'!H169</f>
        <v>0</v>
      </c>
      <c r="F37" s="3930">
        <f>+'Balances y Proyecciones'!N169</f>
        <v>0</v>
      </c>
      <c r="G37" s="3930">
        <f>+'Balances y Proyecciones'!Q169</f>
        <v>0</v>
      </c>
    </row>
    <row r="38" spans="1:7" ht="13" customHeight="1" thickBot="1">
      <c r="A38" s="70">
        <v>38</v>
      </c>
      <c r="B38" s="70" t="str">
        <f t="shared" si="2"/>
        <v/>
      </c>
      <c r="C38" s="3934" t="s">
        <v>2650</v>
      </c>
      <c r="D38" s="3930">
        <f>+'Balances y Proyecciones'!E170</f>
        <v>0</v>
      </c>
      <c r="E38" s="3930">
        <f>+'Balances y Proyecciones'!H170</f>
        <v>0</v>
      </c>
      <c r="F38" s="3930">
        <f>+'Balances y Proyecciones'!N170</f>
        <v>0</v>
      </c>
      <c r="G38" s="3930">
        <f>+'Balances y Proyecciones'!Q170</f>
        <v>0</v>
      </c>
    </row>
    <row r="39" spans="1:7" ht="13" customHeight="1" thickBot="1">
      <c r="A39" s="70">
        <v>39</v>
      </c>
      <c r="B39" s="70" t="str">
        <f t="shared" si="2"/>
        <v/>
      </c>
      <c r="C39" s="3923" t="s">
        <v>2649</v>
      </c>
      <c r="D39" s="3922">
        <f>IF($I$1="Dolares",'Balances y Proyecciones'!E171*'Resumen de Cifras'!$B$1,'Balances y Proyecciones'!E171)</f>
        <v>0</v>
      </c>
      <c r="E39" s="3921">
        <f>IF($I$1="Dolares",'Balances y Proyecciones'!H171*'Resumen de Cifras'!$B$1,'Balances y Proyecciones'!H171)</f>
        <v>0</v>
      </c>
      <c r="F39" s="3921">
        <f>IF($I$1="Dolares",'Balances y Proyecciones'!N171*'Resumen de Cifras'!$B$1,'Balances y Proyecciones'!N171)</f>
        <v>0</v>
      </c>
      <c r="G39" s="3921">
        <f>IF($I$1="Dolares",'Balances y Proyecciones'!Q171*'Resumen de Cifras'!$B$1,'Balances y Proyecciones'!Q171)</f>
        <v>0</v>
      </c>
    </row>
    <row r="40" spans="1:7" ht="13" customHeight="1" thickBot="1">
      <c r="A40" s="70">
        <v>40</v>
      </c>
      <c r="B40" s="70">
        <v>40</v>
      </c>
      <c r="C40" s="3929" t="s">
        <v>1189</v>
      </c>
      <c r="D40" s="3928">
        <f>IF($I$1="Dolares",'Balances y Proyecciones'!E172*'Resumen de Cifras'!$B$1,'Balances y Proyecciones'!E172)</f>
        <v>0</v>
      </c>
      <c r="E40" s="3927">
        <f>IF($I$1="Dolares",'Balances y Proyecciones'!H172*'Resumen de Cifras'!$B$1,'Balances y Proyecciones'!H172)</f>
        <v>0</v>
      </c>
      <c r="F40" s="3927">
        <f>IF($I$1="Dolares",'Balances y Proyecciones'!N172*'Resumen de Cifras'!$B$1,'Balances y Proyecciones'!N172)</f>
        <v>0</v>
      </c>
      <c r="G40" s="3927">
        <f>IF($I$1="Dolares",'Balances y Proyecciones'!Q172*'Resumen de Cifras'!$B$1,'Balances y Proyecciones'!Q172)</f>
        <v>0</v>
      </c>
    </row>
    <row r="41" spans="1:7" ht="13" customHeight="1" thickBot="1">
      <c r="A41" s="70">
        <v>41</v>
      </c>
      <c r="B41" s="70" t="str">
        <f t="shared" ref="B41:B47" si="3">IF(OR(D41&lt;&gt;0,E41&lt;&gt;0,F41&lt;&gt;0,G41&lt;&gt;0),A41,"")</f>
        <v/>
      </c>
      <c r="C41" s="3932" t="s">
        <v>1190</v>
      </c>
      <c r="D41" s="3921">
        <f>IF($I$1="Dolares",'Balances y Proyecciones'!E173*'Resumen de Cifras'!$B$1,'Balances y Proyecciones'!E173)</f>
        <v>0</v>
      </c>
      <c r="E41" s="3921">
        <f>IF($I$1="Dolares",'Balances y Proyecciones'!H173*'Resumen de Cifras'!$B$1,'Balances y Proyecciones'!H173)</f>
        <v>0</v>
      </c>
      <c r="F41" s="3921">
        <f>IF($I$1="Dolares",'Balances y Proyecciones'!N173*'Resumen de Cifras'!$B$1,'Balances y Proyecciones'!N173)</f>
        <v>0</v>
      </c>
      <c r="G41" s="3921">
        <f>IF($I$1="Dolares",'Balances y Proyecciones'!Q173*'Resumen de Cifras'!$B$1,'Balances y Proyecciones'!Q173)</f>
        <v>0</v>
      </c>
    </row>
    <row r="42" spans="1:7" ht="13" customHeight="1" thickBot="1">
      <c r="A42" s="70">
        <v>42</v>
      </c>
      <c r="B42" s="70" t="str">
        <f t="shared" si="3"/>
        <v/>
      </c>
      <c r="C42" s="3923" t="s">
        <v>1192</v>
      </c>
      <c r="D42" s="3930">
        <f>+'Balances y Proyecciones'!E174</f>
        <v>0</v>
      </c>
      <c r="E42" s="3930">
        <f>+'Balances y Proyecciones'!H174</f>
        <v>0</v>
      </c>
      <c r="F42" s="3930">
        <f>+'Balances y Proyecciones'!N174</f>
        <v>0</v>
      </c>
      <c r="G42" s="3930">
        <f>+'Balances y Proyecciones'!Q174</f>
        <v>0</v>
      </c>
    </row>
    <row r="43" spans="1:7" ht="13" customHeight="1" thickBot="1">
      <c r="A43" s="70">
        <v>43</v>
      </c>
      <c r="B43" s="70" t="str">
        <f t="shared" si="3"/>
        <v/>
      </c>
      <c r="C43" s="3923" t="s">
        <v>1465</v>
      </c>
      <c r="D43" s="3930">
        <f>+'Balances y Proyecciones'!E175</f>
        <v>0</v>
      </c>
      <c r="E43" s="3930">
        <f>+'Balances y Proyecciones'!H175</f>
        <v>0</v>
      </c>
      <c r="F43" s="3930">
        <f>+'Balances y Proyecciones'!N175</f>
        <v>0</v>
      </c>
      <c r="G43" s="3930">
        <f>+'Balances y Proyecciones'!Q175</f>
        <v>0</v>
      </c>
    </row>
    <row r="44" spans="1:7" ht="13" customHeight="1" thickBot="1">
      <c r="A44" s="70">
        <v>44</v>
      </c>
      <c r="B44" s="70" t="str">
        <f t="shared" si="3"/>
        <v/>
      </c>
      <c r="C44" s="3923" t="s">
        <v>1466</v>
      </c>
      <c r="D44" s="3930">
        <f>+'Balances y Proyecciones'!E176</f>
        <v>0</v>
      </c>
      <c r="E44" s="3930">
        <f>+'Balances y Proyecciones'!H176</f>
        <v>0</v>
      </c>
      <c r="F44" s="3930">
        <f>+'Balances y Proyecciones'!N176</f>
        <v>0</v>
      </c>
      <c r="G44" s="3930">
        <f>+'Balances y Proyecciones'!Q176</f>
        <v>0</v>
      </c>
    </row>
    <row r="45" spans="1:7" ht="13" customHeight="1" thickBot="1">
      <c r="A45" s="70">
        <v>45</v>
      </c>
      <c r="B45" s="70" t="str">
        <f t="shared" si="3"/>
        <v/>
      </c>
      <c r="C45" s="3923" t="s">
        <v>1467</v>
      </c>
      <c r="D45" s="3930">
        <f>+'Balances y Proyecciones'!E177</f>
        <v>0</v>
      </c>
      <c r="E45" s="3930">
        <f>+'Balances y Proyecciones'!H177</f>
        <v>0</v>
      </c>
      <c r="F45" s="3930">
        <f>+'Balances y Proyecciones'!N177</f>
        <v>0</v>
      </c>
      <c r="G45" s="3930">
        <f>+'Balances y Proyecciones'!Q177</f>
        <v>0</v>
      </c>
    </row>
    <row r="46" spans="1:7" ht="13" customHeight="1" thickBot="1">
      <c r="A46" s="70">
        <v>46</v>
      </c>
      <c r="B46" s="70" t="str">
        <f t="shared" si="3"/>
        <v/>
      </c>
      <c r="C46" s="3931" t="s">
        <v>2648</v>
      </c>
      <c r="D46" s="3930">
        <f>+'Balances y Proyecciones'!E178</f>
        <v>0</v>
      </c>
      <c r="E46" s="3930">
        <f>+'Balances y Proyecciones'!H178</f>
        <v>0</v>
      </c>
      <c r="F46" s="3930">
        <f>+'Balances y Proyecciones'!N178</f>
        <v>0</v>
      </c>
      <c r="G46" s="3930">
        <f>+'Balances y Proyecciones'!Q178</f>
        <v>0</v>
      </c>
    </row>
    <row r="47" spans="1:7" ht="13" customHeight="1" thickBot="1">
      <c r="A47" s="70">
        <v>47</v>
      </c>
      <c r="B47" s="70" t="str">
        <f t="shared" si="3"/>
        <v/>
      </c>
      <c r="C47" s="3923" t="s">
        <v>1198</v>
      </c>
      <c r="D47" s="3933">
        <f>+'Balances y Proyecciones'!E179</f>
        <v>0</v>
      </c>
      <c r="E47" s="3930">
        <f>+'Balances y Proyecciones'!H179</f>
        <v>0</v>
      </c>
      <c r="F47" s="3930">
        <f>+'Balances y Proyecciones'!N179</f>
        <v>0</v>
      </c>
      <c r="G47" s="3930">
        <f>+'Balances y Proyecciones'!Q179</f>
        <v>0</v>
      </c>
    </row>
    <row r="48" spans="1:7" ht="13" customHeight="1" thickBot="1">
      <c r="A48" s="70">
        <v>48</v>
      </c>
      <c r="B48" s="70">
        <v>48</v>
      </c>
      <c r="C48" s="3929" t="s">
        <v>1199</v>
      </c>
      <c r="D48" s="3928">
        <f>IF($I$1="Dolares",'Balances y Proyecciones'!E180*'Resumen de Cifras'!$B$1,'Balances y Proyecciones'!E180)</f>
        <v>0</v>
      </c>
      <c r="E48" s="3927">
        <f>IF($I$1="Dolares",'Balances y Proyecciones'!H180*'Resumen de Cifras'!$B$1,'Balances y Proyecciones'!H180)</f>
        <v>0</v>
      </c>
      <c r="F48" s="3927">
        <f>IF($I$1="Dolares",'Balances y Proyecciones'!N180*'Resumen de Cifras'!$B$1,'Balances y Proyecciones'!N180)</f>
        <v>0</v>
      </c>
      <c r="G48" s="3927">
        <f>IF($I$1="Dolares",'Balances y Proyecciones'!Q180*'Resumen de Cifras'!$B$1,'Balances y Proyecciones'!Q180)</f>
        <v>0</v>
      </c>
    </row>
    <row r="49" spans="1:7" ht="13" customHeight="1" thickBot="1">
      <c r="A49" s="70">
        <v>49</v>
      </c>
      <c r="B49" s="70">
        <v>49</v>
      </c>
      <c r="C49" s="3926" t="s">
        <v>1200</v>
      </c>
      <c r="D49" s="3925">
        <f>IF($I$1="Dolares",'Balances y Proyecciones'!E181*'Resumen de Cifras'!$B$1,'Balances y Proyecciones'!E181)</f>
        <v>0</v>
      </c>
      <c r="E49" s="3925">
        <f>IF($I$1="Dolares",'Balances y Proyecciones'!H181*'Resumen de Cifras'!$B$1,'Balances y Proyecciones'!H181)</f>
        <v>0</v>
      </c>
      <c r="F49" s="3925">
        <f>IF($I$1="Dolares",'Balances y Proyecciones'!N181*'Resumen de Cifras'!$B$1,'Balances y Proyecciones'!N181)</f>
        <v>0</v>
      </c>
      <c r="G49" s="3925">
        <f>IF($I$1="Dolares",'Balances y Proyecciones'!Q181*'Resumen de Cifras'!$B$1,'Balances y Proyecciones'!Q181)</f>
        <v>0</v>
      </c>
    </row>
    <row r="50" spans="1:7" ht="13" customHeight="1" thickBot="1">
      <c r="A50" s="70">
        <v>50</v>
      </c>
      <c r="B50" s="70" t="str">
        <f>IF(OR(D50&lt;&gt;0,E50&lt;&gt;0,F50&lt;&gt;0,G50&lt;&gt;0),A50,"")</f>
        <v/>
      </c>
      <c r="C50" s="3923" t="s">
        <v>1201</v>
      </c>
      <c r="D50" s="3922">
        <f>IF($I$1="Dolares",'Balances y Proyecciones'!E182*'Resumen de Cifras'!$B$1,'Balances y Proyecciones'!E182)</f>
        <v>0</v>
      </c>
      <c r="E50" s="3921">
        <f>IF($I$1="Dolares",'Balances y Proyecciones'!H182*'Resumen de Cifras'!$B$1,'Balances y Proyecciones'!H182)</f>
        <v>0</v>
      </c>
      <c r="F50" s="3921">
        <f>IF($I$1="Dolares",'Balances y Proyecciones'!N182*'Resumen de Cifras'!$B$1,'Balances y Proyecciones'!N182)</f>
        <v>0</v>
      </c>
      <c r="G50" s="3921">
        <f>IF($I$1="Dolares",'Balances y Proyecciones'!Q182*'Resumen de Cifras'!$B$1,'Balances y Proyecciones'!Q182)</f>
        <v>0</v>
      </c>
    </row>
    <row r="51" spans="1:7" ht="13" customHeight="1" thickBot="1">
      <c r="A51" s="70">
        <v>51</v>
      </c>
      <c r="B51" s="70" t="str">
        <f>IF(OR(D51&lt;&gt;0,E51&lt;&gt;0,F51&lt;&gt;0,G51&lt;&gt;0),A51,"")</f>
        <v/>
      </c>
      <c r="C51" s="3932" t="s">
        <v>2647</v>
      </c>
      <c r="D51" s="3930">
        <f>+'Balances y Proyecciones'!E183</f>
        <v>0</v>
      </c>
      <c r="E51" s="3930">
        <f>+'Balances y Proyecciones'!H183</f>
        <v>0</v>
      </c>
      <c r="F51" s="3930">
        <f>+'Balances y Proyecciones'!N183</f>
        <v>0</v>
      </c>
      <c r="G51" s="3930">
        <f>+'Balances y Proyecciones'!Q183</f>
        <v>0</v>
      </c>
    </row>
    <row r="52" spans="1:7" ht="13" customHeight="1" thickBot="1">
      <c r="A52" s="70">
        <v>52</v>
      </c>
      <c r="B52" s="70" t="str">
        <f>IF(OR(D52&lt;&gt;0,E52&lt;&gt;0,F52&lt;&gt;0,G52&lt;&gt;0),A52,"")</f>
        <v/>
      </c>
      <c r="C52" s="3931" t="s">
        <v>2646</v>
      </c>
      <c r="D52" s="3930">
        <f>+'Balances y Proyecciones'!E184</f>
        <v>0</v>
      </c>
      <c r="E52" s="3930">
        <f>+'Balances y Proyecciones'!H184</f>
        <v>0</v>
      </c>
      <c r="F52" s="3930">
        <f>+'Balances y Proyecciones'!N184</f>
        <v>0</v>
      </c>
      <c r="G52" s="3930">
        <f>+'Balances y Proyecciones'!Q184</f>
        <v>0</v>
      </c>
    </row>
    <row r="53" spans="1:7" ht="13" customHeight="1" thickBot="1">
      <c r="A53" s="70">
        <v>53</v>
      </c>
      <c r="B53" s="70">
        <v>53</v>
      </c>
      <c r="C53" s="3929" t="s">
        <v>1204</v>
      </c>
      <c r="D53" s="3928">
        <f>IF($I$1="Dolares",'Balances y Proyecciones'!E185*'Resumen de Cifras'!$B$1,'Balances y Proyecciones'!E185)</f>
        <v>0</v>
      </c>
      <c r="E53" s="3927">
        <f>IF($I$1="Dolares",'Balances y Proyecciones'!H185*'Resumen de Cifras'!$B$1,'Balances y Proyecciones'!H185)</f>
        <v>0</v>
      </c>
      <c r="F53" s="3927">
        <f>IF($I$1="Dolares",'Balances y Proyecciones'!N185*'Resumen de Cifras'!$B$1,'Balances y Proyecciones'!N185)</f>
        <v>0</v>
      </c>
      <c r="G53" s="3927">
        <f>IF($I$1="Dolares",'Balances y Proyecciones'!Q185*'Resumen de Cifras'!$B$1,'Balances y Proyecciones'!Q185)</f>
        <v>0</v>
      </c>
    </row>
    <row r="54" spans="1:7" ht="13" customHeight="1" thickBot="1">
      <c r="A54" s="70">
        <v>54</v>
      </c>
      <c r="B54" s="70" t="str">
        <f>IF(OR(D54&lt;&gt;0,E54&lt;&gt;0,F54&lt;&gt;0,G54&lt;&gt;0),A54,"")</f>
        <v/>
      </c>
      <c r="C54" s="3932" t="s">
        <v>2645</v>
      </c>
      <c r="D54" s="3930">
        <f>+'Balances y Proyecciones'!E186</f>
        <v>0</v>
      </c>
      <c r="E54" s="3930">
        <f>+'Balances y Proyecciones'!H186</f>
        <v>0</v>
      </c>
      <c r="F54" s="3930">
        <f>+'Balances y Proyecciones'!N186</f>
        <v>0</v>
      </c>
      <c r="G54" s="3930">
        <f>+'Balances y Proyecciones'!Q186</f>
        <v>0</v>
      </c>
    </row>
    <row r="55" spans="1:7" ht="13" customHeight="1" thickBot="1">
      <c r="A55" s="70">
        <v>55</v>
      </c>
      <c r="B55" s="70" t="str">
        <f>IF(OR(D55&lt;&gt;0,E55&lt;&gt;0,F55&lt;&gt;0,G55&lt;&gt;0),A55,"")</f>
        <v/>
      </c>
      <c r="C55" s="3931" t="s">
        <v>2644</v>
      </c>
      <c r="D55" s="3930">
        <f>+'Balances y Proyecciones'!E187</f>
        <v>0</v>
      </c>
      <c r="E55" s="3930">
        <f>+'Balances y Proyecciones'!H187</f>
        <v>0</v>
      </c>
      <c r="F55" s="3930">
        <f>+'Balances y Proyecciones'!N187</f>
        <v>0</v>
      </c>
      <c r="G55" s="3930">
        <f>+'Balances y Proyecciones'!Q187</f>
        <v>0</v>
      </c>
    </row>
    <row r="56" spans="1:7" ht="13" customHeight="1" thickBot="1">
      <c r="A56" s="70">
        <v>56</v>
      </c>
      <c r="B56" s="70" t="str">
        <f>IF(OR(D56&lt;&gt;0,E56&lt;&gt;0,F56&lt;&gt;0,G56&lt;&gt;0),A56,"")</f>
        <v/>
      </c>
      <c r="C56" s="3923" t="s">
        <v>2643</v>
      </c>
      <c r="D56" s="3922">
        <f>IF($I$1="Dolares",'Balances y Proyecciones'!E188*'Resumen de Cifras'!$B$1,'Balances y Proyecciones'!E188)</f>
        <v>0</v>
      </c>
      <c r="E56" s="3921">
        <f>IF($I$1="Dolares",'Balances y Proyecciones'!H188*'Resumen de Cifras'!$B$1,'Balances y Proyecciones'!H188)</f>
        <v>0</v>
      </c>
      <c r="F56" s="3921">
        <f>IF($I$1="Dolares",'Balances y Proyecciones'!N188*'Resumen de Cifras'!$B$1,'Balances y Proyecciones'!N188)</f>
        <v>0</v>
      </c>
      <c r="G56" s="3921">
        <f>IF($I$1="Dolares",'Balances y Proyecciones'!Q188*'Resumen de Cifras'!$B$1,'Balances y Proyecciones'!Q188)</f>
        <v>0</v>
      </c>
    </row>
    <row r="57" spans="1:7" ht="13" customHeight="1" thickBot="1">
      <c r="A57" s="70">
        <v>57</v>
      </c>
      <c r="B57" s="70" t="str">
        <f>IF(OR(D57&lt;&gt;0,E57&lt;&gt;0,F57&lt;&gt;0,G57&lt;&gt;0),A57,"")</f>
        <v/>
      </c>
      <c r="C57" s="3923" t="s">
        <v>2642</v>
      </c>
      <c r="D57" s="3933">
        <f>+'Balances y Proyecciones'!E189</f>
        <v>0</v>
      </c>
      <c r="E57" s="3930">
        <f>+'Balances y Proyecciones'!H189</f>
        <v>0</v>
      </c>
      <c r="F57" s="3930">
        <f>+'Balances y Proyecciones'!N189</f>
        <v>0</v>
      </c>
      <c r="G57" s="3930">
        <f>+'Balances y Proyecciones'!Q189</f>
        <v>0</v>
      </c>
    </row>
    <row r="58" spans="1:7" ht="13" customHeight="1" thickBot="1">
      <c r="A58" s="70">
        <v>58</v>
      </c>
      <c r="B58" s="70">
        <v>58</v>
      </c>
      <c r="C58" s="3929" t="s">
        <v>1209</v>
      </c>
      <c r="D58" s="3928">
        <f>IF($I$1="Dolares",'Balances y Proyecciones'!E190*'Resumen de Cifras'!$B$1,'Balances y Proyecciones'!E190)</f>
        <v>0</v>
      </c>
      <c r="E58" s="3927">
        <f>IF($I$1="Dolares",'Balances y Proyecciones'!H190*'Resumen de Cifras'!$B$1,'Balances y Proyecciones'!H190)</f>
        <v>0</v>
      </c>
      <c r="F58" s="3927">
        <f>IF($I$1="Dolares",'Balances y Proyecciones'!N190*'Resumen de Cifras'!$B$1,'Balances y Proyecciones'!N190)</f>
        <v>0</v>
      </c>
      <c r="G58" s="3927">
        <f>IF($I$1="Dolares",'Balances y Proyecciones'!Q190*'Resumen de Cifras'!$B$1,'Balances y Proyecciones'!Q190)</f>
        <v>0</v>
      </c>
    </row>
    <row r="59" spans="1:7" ht="13" customHeight="1" thickBot="1">
      <c r="A59" s="70">
        <v>59</v>
      </c>
      <c r="B59" s="70">
        <v>59</v>
      </c>
      <c r="C59" s="3926" t="s">
        <v>1210</v>
      </c>
      <c r="D59" s="3925">
        <f>IF($I$1="Dolares",'Balances y Proyecciones'!E191*'Resumen de Cifras'!$B$1,'Balances y Proyecciones'!E191)</f>
        <v>0</v>
      </c>
      <c r="E59" s="3925">
        <f>IF($I$1="Dolares",'Balances y Proyecciones'!H191*'Resumen de Cifras'!$B$1,'Balances y Proyecciones'!H191)</f>
        <v>0</v>
      </c>
      <c r="F59" s="3925">
        <f>IF($I$1="Dolares",'Balances y Proyecciones'!N191*'Resumen de Cifras'!$B$1,'Balances y Proyecciones'!N191)</f>
        <v>0</v>
      </c>
      <c r="G59" s="3925">
        <f>IF($I$1="Dolares",'Balances y Proyecciones'!Q191*'Resumen de Cifras'!$B$1,'Balances y Proyecciones'!Q191)</f>
        <v>0</v>
      </c>
    </row>
    <row r="60" spans="1:7" ht="13" customHeight="1" thickBot="1">
      <c r="A60" s="70">
        <v>60</v>
      </c>
      <c r="B60" s="70" t="str">
        <f>IF(OR(D60&lt;&gt;0,E60&lt;&gt;0,F60&lt;&gt;0,G60&lt;&gt;0),A60,"")</f>
        <v/>
      </c>
      <c r="C60" s="3923" t="s">
        <v>1211</v>
      </c>
      <c r="D60" s="3922">
        <f>IF($I$1="Dolares",'Balances y Proyecciones'!E192*'Resumen de Cifras'!$B$1,'Balances y Proyecciones'!E192)</f>
        <v>0</v>
      </c>
      <c r="E60" s="3921">
        <f>IF($I$1="Dolares",'Balances y Proyecciones'!H192*'Resumen de Cifras'!$B$1,'Balances y Proyecciones'!H192)</f>
        <v>0</v>
      </c>
      <c r="F60" s="3921">
        <f>IF($I$1="Dolares",'Balances y Proyecciones'!N192*'Resumen de Cifras'!$B$1,'Balances y Proyecciones'!N192)</f>
        <v>0</v>
      </c>
      <c r="G60" s="3921">
        <f>IF($I$1="Dolares",'Balances y Proyecciones'!Q192*'Resumen de Cifras'!$B$1,'Balances y Proyecciones'!Q192)</f>
        <v>0</v>
      </c>
    </row>
    <row r="61" spans="1:7" ht="13" customHeight="1" thickBot="1">
      <c r="A61" s="70">
        <v>61</v>
      </c>
      <c r="B61" s="70" t="str">
        <f>IF(OR(D61&lt;&gt;0,E61&lt;&gt;0,F61&lt;&gt;0,G61&lt;&gt;0),A61,"")</f>
        <v/>
      </c>
      <c r="C61" s="3932" t="s">
        <v>1212</v>
      </c>
      <c r="D61" s="3921">
        <f>IF($I$1="Dolares",'Balances y Proyecciones'!E193*'Resumen de Cifras'!$B$1,'Balances y Proyecciones'!E193)</f>
        <v>0</v>
      </c>
      <c r="E61" s="3921">
        <f>IF($I$1="Dolares",'Balances y Proyecciones'!H193*'Resumen de Cifras'!$B$1,'Balances y Proyecciones'!H193)</f>
        <v>0</v>
      </c>
      <c r="F61" s="3921">
        <f>IF($I$1="Dolares",'Balances y Proyecciones'!N193*'Resumen de Cifras'!$B$1,'Balances y Proyecciones'!N193)</f>
        <v>0</v>
      </c>
      <c r="G61" s="3921">
        <f>IF($I$1="Dolares",'Balances y Proyecciones'!Q193*'Resumen de Cifras'!$B$1,'Balances y Proyecciones'!Q193)</f>
        <v>0</v>
      </c>
    </row>
    <row r="62" spans="1:7" ht="13" customHeight="1" thickBot="1">
      <c r="A62" s="70">
        <v>62</v>
      </c>
      <c r="B62" s="70" t="str">
        <f>IF(OR(D62&lt;&gt;0,E62&lt;&gt;0,F62&lt;&gt;0,G62&lt;&gt;0),A62,"")</f>
        <v/>
      </c>
      <c r="C62" s="3931" t="s">
        <v>1214</v>
      </c>
      <c r="D62" s="3930">
        <f>+'Balances y Proyecciones'!E194</f>
        <v>0</v>
      </c>
      <c r="E62" s="3930">
        <f>+'Balances y Proyecciones'!H194</f>
        <v>0</v>
      </c>
      <c r="F62" s="3930">
        <f>+'Balances y Proyecciones'!N194</f>
        <v>0</v>
      </c>
      <c r="G62" s="3930">
        <f>+'Balances y Proyecciones'!Q194</f>
        <v>0</v>
      </c>
    </row>
    <row r="63" spans="1:7" ht="13" customHeight="1" thickBot="1">
      <c r="A63" s="70">
        <v>63</v>
      </c>
      <c r="B63" s="70" t="str">
        <f>IF(OR(D63&lt;&gt;0,E63&lt;&gt;0,F63&lt;&gt;0,G63&lt;&gt;0),A63,"")</f>
        <v/>
      </c>
      <c r="C63" s="3923" t="s">
        <v>1216</v>
      </c>
      <c r="D63" s="3933">
        <f>+'Balances y Proyecciones'!E195</f>
        <v>0</v>
      </c>
      <c r="E63" s="3930">
        <f>+'Balances y Proyecciones'!H195</f>
        <v>0</v>
      </c>
      <c r="F63" s="3930">
        <f>+'Balances y Proyecciones'!N195</f>
        <v>0</v>
      </c>
      <c r="G63" s="3930">
        <f>+'Balances y Proyecciones'!Q195</f>
        <v>0</v>
      </c>
    </row>
    <row r="64" spans="1:7" ht="13" customHeight="1" thickBot="1">
      <c r="A64" s="70">
        <v>64</v>
      </c>
      <c r="B64" s="70">
        <v>64</v>
      </c>
      <c r="C64" s="3929" t="s">
        <v>1217</v>
      </c>
      <c r="D64" s="3928">
        <f>IF($I$1="Dolares",'Balances y Proyecciones'!E196*'Resumen de Cifras'!$B$1,'Balances y Proyecciones'!E196)</f>
        <v>0</v>
      </c>
      <c r="E64" s="3927">
        <f>IF($I$1="Dolares",'Balances y Proyecciones'!H196*'Resumen de Cifras'!$B$1,'Balances y Proyecciones'!H196)</f>
        <v>0</v>
      </c>
      <c r="F64" s="3927">
        <f>IF($I$1="Dolares",'Balances y Proyecciones'!N196*'Resumen de Cifras'!$B$1,'Balances y Proyecciones'!N196)</f>
        <v>0</v>
      </c>
      <c r="G64" s="3927">
        <f>IF($I$1="Dolares",'Balances y Proyecciones'!Q196*'Resumen de Cifras'!$B$1,'Balances y Proyecciones'!Q196)</f>
        <v>0</v>
      </c>
    </row>
    <row r="65" spans="1:8" ht="13" customHeight="1" thickBot="1">
      <c r="A65" s="70">
        <v>65</v>
      </c>
      <c r="B65" s="70" t="str">
        <f t="shared" ref="B65:B76" si="4">IF(OR(D65&lt;&gt;0,E65&lt;&gt;0,F65&lt;&gt;0,G65&lt;&gt;0),A65,"")</f>
        <v/>
      </c>
      <c r="C65" s="3932" t="s">
        <v>1218</v>
      </c>
      <c r="D65" s="3930">
        <f>+'Balances y Proyecciones'!E197</f>
        <v>0</v>
      </c>
      <c r="E65" s="3930">
        <f>+'Balances y Proyecciones'!H197</f>
        <v>0</v>
      </c>
      <c r="F65" s="3930">
        <f>+'Balances y Proyecciones'!N197</f>
        <v>0</v>
      </c>
      <c r="G65" s="3930">
        <f>+'Balances y Proyecciones'!Q197</f>
        <v>0</v>
      </c>
    </row>
    <row r="66" spans="1:8" ht="13" customHeight="1" thickBot="1">
      <c r="A66" s="70">
        <v>66</v>
      </c>
      <c r="B66" s="70" t="str">
        <f t="shared" si="4"/>
        <v/>
      </c>
      <c r="C66" s="3923" t="s">
        <v>1219</v>
      </c>
      <c r="D66" s="3930">
        <f>+'Balances y Proyecciones'!E198</f>
        <v>0</v>
      </c>
      <c r="E66" s="3930">
        <f>+'Balances y Proyecciones'!H198</f>
        <v>0</v>
      </c>
      <c r="F66" s="3930">
        <f>+'Balances y Proyecciones'!N198</f>
        <v>0</v>
      </c>
      <c r="G66" s="3930">
        <f>+'Balances y Proyecciones'!Q198</f>
        <v>0</v>
      </c>
    </row>
    <row r="67" spans="1:8" ht="13" customHeight="1" thickBot="1">
      <c r="A67" s="70">
        <v>67</v>
      </c>
      <c r="B67" s="70" t="str">
        <f t="shared" si="4"/>
        <v/>
      </c>
      <c r="C67" s="3923" t="s">
        <v>1220</v>
      </c>
      <c r="D67" s="3930">
        <f>+'Balances y Proyecciones'!E199</f>
        <v>0</v>
      </c>
      <c r="E67" s="3930">
        <f>+'Balances y Proyecciones'!H199</f>
        <v>0</v>
      </c>
      <c r="F67" s="3930">
        <f>+'Balances y Proyecciones'!N199</f>
        <v>0</v>
      </c>
      <c r="G67" s="3930">
        <f>+'Balances y Proyecciones'!Q199</f>
        <v>0</v>
      </c>
    </row>
    <row r="68" spans="1:8" ht="13" customHeight="1" thickBot="1">
      <c r="A68" s="70">
        <v>68</v>
      </c>
      <c r="B68" s="70" t="str">
        <f t="shared" si="4"/>
        <v/>
      </c>
      <c r="C68" s="3923" t="s">
        <v>1222</v>
      </c>
      <c r="D68" s="3930">
        <f>+'Balances y Proyecciones'!E200</f>
        <v>0</v>
      </c>
      <c r="E68" s="3930">
        <f>+'Balances y Proyecciones'!H200</f>
        <v>0</v>
      </c>
      <c r="F68" s="3930">
        <f>+'Balances y Proyecciones'!N200</f>
        <v>0</v>
      </c>
      <c r="G68" s="3930">
        <f>+'Balances y Proyecciones'!Q200</f>
        <v>0</v>
      </c>
    </row>
    <row r="69" spans="1:8" ht="13" customHeight="1" thickBot="1">
      <c r="A69" s="70">
        <v>69</v>
      </c>
      <c r="B69" s="70" t="str">
        <f t="shared" si="4"/>
        <v/>
      </c>
      <c r="C69" s="3923" t="s">
        <v>1224</v>
      </c>
      <c r="D69" s="3930">
        <f>+'Balances y Proyecciones'!E201</f>
        <v>0</v>
      </c>
      <c r="E69" s="3930">
        <f>+'Balances y Proyecciones'!H201</f>
        <v>0</v>
      </c>
      <c r="F69" s="3930">
        <f>+'Balances y Proyecciones'!N201</f>
        <v>0</v>
      </c>
      <c r="G69" s="3930">
        <f>+'Balances y Proyecciones'!Q201</f>
        <v>0</v>
      </c>
    </row>
    <row r="70" spans="1:8" ht="13" customHeight="1" thickBot="1">
      <c r="A70" s="70">
        <v>70</v>
      </c>
      <c r="B70" s="70" t="str">
        <f t="shared" si="4"/>
        <v/>
      </c>
      <c r="C70" s="3923" t="s">
        <v>1226</v>
      </c>
      <c r="D70" s="3930">
        <f>+'Balances y Proyecciones'!E202</f>
        <v>0</v>
      </c>
      <c r="E70" s="3930">
        <f>+'Balances y Proyecciones'!H202</f>
        <v>0</v>
      </c>
      <c r="F70" s="3930">
        <f>+'Balances y Proyecciones'!N202</f>
        <v>0</v>
      </c>
      <c r="G70" s="3930">
        <f>+'Balances y Proyecciones'!Q202</f>
        <v>0</v>
      </c>
    </row>
    <row r="71" spans="1:8" ht="13" customHeight="1" thickBot="1">
      <c r="A71" s="70">
        <v>71</v>
      </c>
      <c r="B71" s="70" t="str">
        <f t="shared" si="4"/>
        <v/>
      </c>
      <c r="C71" s="3923" t="s">
        <v>1228</v>
      </c>
      <c r="D71" s="3930">
        <f>+'Balances y Proyecciones'!E203</f>
        <v>0</v>
      </c>
      <c r="E71" s="3930">
        <f>+'Balances y Proyecciones'!H203</f>
        <v>0</v>
      </c>
      <c r="F71" s="3930">
        <f>+'Balances y Proyecciones'!N203</f>
        <v>0</v>
      </c>
      <c r="G71" s="3930">
        <f>+'Balances y Proyecciones'!Q203</f>
        <v>0</v>
      </c>
    </row>
    <row r="72" spans="1:8" ht="13" customHeight="1" thickBot="1">
      <c r="A72" s="70">
        <v>72</v>
      </c>
      <c r="B72" s="70" t="str">
        <f t="shared" si="4"/>
        <v/>
      </c>
      <c r="C72" s="3923" t="s">
        <v>1230</v>
      </c>
      <c r="D72" s="3930">
        <f>+'Balances y Proyecciones'!E204</f>
        <v>0</v>
      </c>
      <c r="E72" s="3930">
        <f>+'Balances y Proyecciones'!H204</f>
        <v>0</v>
      </c>
      <c r="F72" s="3930">
        <f>+'Balances y Proyecciones'!N204</f>
        <v>0</v>
      </c>
      <c r="G72" s="3930">
        <f>+'Balances y Proyecciones'!Q204</f>
        <v>0</v>
      </c>
    </row>
    <row r="73" spans="1:8" ht="13" customHeight="1" thickBot="1">
      <c r="A73" s="70">
        <v>73</v>
      </c>
      <c r="B73" s="70" t="str">
        <f t="shared" si="4"/>
        <v/>
      </c>
      <c r="C73" s="3923" t="s">
        <v>1232</v>
      </c>
      <c r="D73" s="3930">
        <f>+'Balances y Proyecciones'!E205</f>
        <v>0</v>
      </c>
      <c r="E73" s="3930">
        <f>+'Balances y Proyecciones'!H205</f>
        <v>0</v>
      </c>
      <c r="F73" s="3930">
        <f>+'Balances y Proyecciones'!N205</f>
        <v>0</v>
      </c>
      <c r="G73" s="3930">
        <f>+'Balances y Proyecciones'!Q205</f>
        <v>0</v>
      </c>
    </row>
    <row r="74" spans="1:8" ht="13" customHeight="1" thickBot="1">
      <c r="A74" s="70">
        <v>74</v>
      </c>
      <c r="B74" s="70" t="str">
        <f t="shared" si="4"/>
        <v/>
      </c>
      <c r="C74" s="3923" t="s">
        <v>1234</v>
      </c>
      <c r="D74" s="3930">
        <f>+'Balances y Proyecciones'!E206</f>
        <v>0</v>
      </c>
      <c r="E74" s="3930">
        <f>+'Balances y Proyecciones'!H206</f>
        <v>0</v>
      </c>
      <c r="F74" s="3930">
        <f>+'Balances y Proyecciones'!N206</f>
        <v>0</v>
      </c>
      <c r="G74" s="3930">
        <f>+'Balances y Proyecciones'!Q206</f>
        <v>0</v>
      </c>
    </row>
    <row r="75" spans="1:8" ht="13" customHeight="1" thickBot="1">
      <c r="A75" s="70">
        <v>75</v>
      </c>
      <c r="B75" s="70" t="str">
        <f t="shared" si="4"/>
        <v/>
      </c>
      <c r="C75" s="3923" t="s">
        <v>1236</v>
      </c>
      <c r="D75" s="3930">
        <f>+'Balances y Proyecciones'!E207</f>
        <v>0</v>
      </c>
      <c r="E75" s="3930">
        <f>+'Balances y Proyecciones'!H207</f>
        <v>0</v>
      </c>
      <c r="F75" s="3930">
        <f>+'Balances y Proyecciones'!N207</f>
        <v>0</v>
      </c>
      <c r="G75" s="3930">
        <f>+'Balances y Proyecciones'!Q207</f>
        <v>0</v>
      </c>
    </row>
    <row r="76" spans="1:8" ht="13" customHeight="1" thickBot="1">
      <c r="A76" s="70">
        <v>76</v>
      </c>
      <c r="B76" s="70" t="str">
        <f t="shared" si="4"/>
        <v/>
      </c>
      <c r="C76" s="3931" t="s">
        <v>1238</v>
      </c>
      <c r="D76" s="3930">
        <f>+'Balances y Proyecciones'!E208</f>
        <v>0</v>
      </c>
      <c r="E76" s="3930">
        <f>+'Balances y Proyecciones'!H208</f>
        <v>0</v>
      </c>
      <c r="F76" s="3930">
        <f>+'Balances y Proyecciones'!N208</f>
        <v>0</v>
      </c>
      <c r="G76" s="3930">
        <f>+'Balances y Proyecciones'!Q208</f>
        <v>0</v>
      </c>
    </row>
    <row r="77" spans="1:8" ht="13" customHeight="1" thickBot="1">
      <c r="A77" s="70">
        <v>77</v>
      </c>
      <c r="B77" s="70">
        <v>77</v>
      </c>
      <c r="C77" s="3929" t="s">
        <v>1239</v>
      </c>
      <c r="D77" s="3928">
        <f>IF($I$1="Dolares",'Balances y Proyecciones'!E209*'Resumen de Cifras'!$B$1,'Balances y Proyecciones'!E209)</f>
        <v>0</v>
      </c>
      <c r="E77" s="3927">
        <f>IF($I$1="Dolares",'Balances y Proyecciones'!H209*'Resumen de Cifras'!$B$1,'Balances y Proyecciones'!H209)</f>
        <v>0</v>
      </c>
      <c r="F77" s="3927">
        <f>IF($I$1="Dolares",'Balances y Proyecciones'!N209*'Resumen de Cifras'!$B$1,'Balances y Proyecciones'!N209)</f>
        <v>0</v>
      </c>
      <c r="G77" s="3927">
        <f>IF($I$1="Dolares",'Balances y Proyecciones'!Q209*'Resumen de Cifras'!$B$1,'Balances y Proyecciones'!Q209)</f>
        <v>0</v>
      </c>
    </row>
    <row r="78" spans="1:8" ht="13" customHeight="1" thickBot="1">
      <c r="A78" s="70">
        <v>78</v>
      </c>
      <c r="B78" s="70">
        <v>78</v>
      </c>
      <c r="C78" s="3926" t="s">
        <v>1240</v>
      </c>
      <c r="D78" s="3925">
        <f>IF($I$1="Dolares",'Balances y Proyecciones'!E210*'Resumen de Cifras'!$B$1,'Balances y Proyecciones'!E210)</f>
        <v>0</v>
      </c>
      <c r="E78" s="3925">
        <f>IF($I$1="Dolares",'Balances y Proyecciones'!H210*'Resumen de Cifras'!$B$1,'Balances y Proyecciones'!H210)</f>
        <v>0</v>
      </c>
      <c r="F78" s="3925">
        <f>IF($I$1="Dolares",'Balances y Proyecciones'!N210*'Resumen de Cifras'!$B$1,'Balances y Proyecciones'!N210)</f>
        <v>0</v>
      </c>
      <c r="G78" s="3925">
        <f>IF($I$1="Dolares",'Balances y Proyecciones'!Q210*'Resumen de Cifras'!$B$1,'Balances y Proyecciones'!Q210)</f>
        <v>0</v>
      </c>
    </row>
    <row r="79" spans="1:8" ht="13" customHeight="1" thickBot="1">
      <c r="A79" s="70">
        <v>79</v>
      </c>
      <c r="B79" s="70">
        <v>79</v>
      </c>
      <c r="C79" s="3926" t="s">
        <v>2641</v>
      </c>
      <c r="D79" s="3925">
        <f>IF($I$1="Dolares",'Balances y Proyecciones'!E211*'Resumen de Cifras'!$B$1,'Balances y Proyecciones'!E211)</f>
        <v>0</v>
      </c>
      <c r="E79" s="3925">
        <f>IF($I$1="Dolares",'Balances y Proyecciones'!H211*'Resumen de Cifras'!$B$1,'Balances y Proyecciones'!H211)</f>
        <v>0</v>
      </c>
      <c r="F79" s="3925">
        <f>IF($I$1="Dolares",'Balances y Proyecciones'!N211*'Resumen de Cifras'!$B$1,'Balances y Proyecciones'!N211)</f>
        <v>0</v>
      </c>
      <c r="G79" s="3925">
        <f>IF($I$1="Dolares",'Balances y Proyecciones'!Q211*'Resumen de Cifras'!$B$1,'Balances y Proyecciones'!Q211)</f>
        <v>0</v>
      </c>
      <c r="H79" s="3924"/>
    </row>
    <row r="80" spans="1:8" ht="13" customHeight="1" thickBot="1">
      <c r="A80" s="70">
        <v>80</v>
      </c>
      <c r="B80" s="70" t="str">
        <f>IF(OR(D80&lt;&gt;0,E80&lt;&gt;0,F80&lt;&gt;0,G80&lt;&gt;0),A80,"")</f>
        <v/>
      </c>
      <c r="C80" s="3923" t="s">
        <v>1242</v>
      </c>
      <c r="D80" s="3922">
        <f>IF($I$1="Dolares",'Balances y Proyecciones'!E212*'Resumen de Cifras'!$B$1,'Balances y Proyecciones'!E212)</f>
        <v>0</v>
      </c>
      <c r="E80" s="3921">
        <f>IF($I$1="Dolares",'Balances y Proyecciones'!H212*'Resumen de Cifras'!$B$1,'Balances y Proyecciones'!H212)</f>
        <v>0</v>
      </c>
      <c r="F80" s="3921">
        <f>IF($I$1="Dolares",'Balances y Proyecciones'!N212*'Resumen de Cifras'!$B$1,'Balances y Proyecciones'!N212)</f>
        <v>0</v>
      </c>
      <c r="G80" s="3921">
        <f>IF($I$1="Dolares",'Balances y Proyecciones'!Q212*'Resumen de Cifras'!$B$1,'Balances y Proyecciones'!Q212)</f>
        <v>0</v>
      </c>
    </row>
    <row r="81" spans="1:7" ht="13" customHeight="1" thickBot="1">
      <c r="A81" s="70">
        <v>81</v>
      </c>
      <c r="B81" s="70">
        <v>81</v>
      </c>
      <c r="C81" s="3919" t="s">
        <v>1243</v>
      </c>
      <c r="D81" s="3918">
        <f>IF($I$1="Dolares",'Balances y Proyecciones'!E213*'Resumen de Cifras'!$B$1,'Balances y Proyecciones'!E213)</f>
        <v>0</v>
      </c>
      <c r="E81" s="3918">
        <f>IF($I$1="Dolares",'Balances y Proyecciones'!H213*'Resumen de Cifras'!$B$1,'Balances y Proyecciones'!H213)</f>
        <v>0</v>
      </c>
      <c r="F81" s="3918">
        <f>IF($I$1="Dolares",'Balances y Proyecciones'!N213*'Resumen de Cifras'!$B$1,'Balances y Proyecciones'!N213)</f>
        <v>0</v>
      </c>
      <c r="G81" s="3918">
        <f>IF($I$1="Dolares",'Balances y Proyecciones'!Q213*'Resumen de Cifras'!$B$1,'Balances y Proyecciones'!Q213)</f>
        <v>0</v>
      </c>
    </row>
    <row r="82" spans="1:7" ht="13" customHeight="1" thickBot="1">
      <c r="B82" s="70">
        <v>82</v>
      </c>
      <c r="C82" s="3920" t="s">
        <v>2640</v>
      </c>
    </row>
    <row r="83" spans="1:7" ht="13" customHeight="1" thickBot="1">
      <c r="B83" s="70">
        <v>83</v>
      </c>
      <c r="C83" s="3919" t="s">
        <v>2639</v>
      </c>
      <c r="D83" s="3918">
        <f>IF($I$1="Dolares",'Estados Financieros'!E19*'Resumen de Cifras'!$B$1,'Estados Financieros'!E19)</f>
        <v>0</v>
      </c>
      <c r="E83" s="3918">
        <f>IF($I$1="Dolares",'Estados Financieros'!F19*'Resumen de Cifras'!$B$1,'Estados Financieros'!F19)</f>
        <v>0</v>
      </c>
      <c r="F83" s="3918">
        <f>IF($I$1="Dolares",'Estados Financieros'!G19*'Resumen de Cifras'!$B$1,'Estados Financieros'!G19)</f>
        <v>0</v>
      </c>
      <c r="G83" s="3918">
        <f>IF($I$1="Dolares",'Estados Financieros'!H19*'Resumen de Cifras'!$B$1,'Estados Financieros'!H19)</f>
        <v>0</v>
      </c>
    </row>
  </sheetData>
  <dataConsolidate topLabels="1"/>
  <dataValidations count="1">
    <dataValidation type="list" allowBlank="1" showInputMessage="1" showErrorMessage="1" sqref="I1">
      <formula1>"Lempiras, Dolares"</formula1>
    </dataValidation>
  </dataValidation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sheetPr codeName="Hoja60"/>
  <dimension ref="A1:I35"/>
  <sheetViews>
    <sheetView showGridLines="0" zoomScale="70" zoomScaleNormal="70" workbookViewId="0">
      <selection activeCell="D6" sqref="D6"/>
    </sheetView>
  </sheetViews>
  <sheetFormatPr baseColWidth="10" defaultRowHeight="14.5"/>
  <cols>
    <col min="1" max="1" width="35.7265625" customWidth="1"/>
    <col min="2" max="3" width="14.453125" style="3460" customWidth="1"/>
    <col min="4" max="4" width="2.08984375" customWidth="1"/>
    <col min="5" max="5" width="14.453125" style="3460" customWidth="1"/>
    <col min="6" max="6" width="2.08984375" customWidth="1"/>
    <col min="7" max="7" width="5" style="3460" customWidth="1"/>
    <col min="9" max="9" width="37.54296875" customWidth="1"/>
  </cols>
  <sheetData>
    <row r="1" spans="1:7" ht="18.5">
      <c r="A1" s="3953" t="s">
        <v>2673</v>
      </c>
      <c r="B1" s="4066">
        <f>IF('Flujo Historico'!G3=360,'Flujo Historico'!G1,'Flujo Historico'!F1)</f>
        <v>2019</v>
      </c>
      <c r="C1" s="4066"/>
      <c r="E1" s="3953"/>
      <c r="G1" s="4065"/>
    </row>
    <row r="2" spans="1:7" ht="19" thickBot="1">
      <c r="A2" s="3953" t="s">
        <v>2594</v>
      </c>
      <c r="B2" s="3953" t="s">
        <v>2672</v>
      </c>
      <c r="C2" s="3953" t="s">
        <v>2671</v>
      </c>
      <c r="E2" s="3953" t="s">
        <v>2670</v>
      </c>
      <c r="G2" s="4065"/>
    </row>
    <row r="3" spans="1:7" ht="19" thickBot="1">
      <c r="A3" s="3959" t="s">
        <v>1593</v>
      </c>
      <c r="B3" s="3965"/>
      <c r="C3" s="3964" t="e">
        <f>INDEX(Indicadores!$A$2:$E$40,MATCH(Comparativo!$A3,Indicadores!$A$2:$A$40,0),MATCH(Comparativo!$B$1,Indicadores!$A$2:$E$2,0))</f>
        <v>#N/A</v>
      </c>
      <c r="E3" s="3963" t="e">
        <f>+(C3-B3)/B3</f>
        <v>#N/A</v>
      </c>
      <c r="G3" s="3944"/>
    </row>
    <row r="4" spans="1:7" ht="19" thickBot="1">
      <c r="A4" s="3947" t="s">
        <v>2547</v>
      </c>
      <c r="B4" s="3950"/>
      <c r="C4" s="3962">
        <f>INDEX(Indicadores!$A$2:$E$40,MATCH(Comparativo!$A4,Indicadores!$A$2:$A$40,0),MATCH(Comparativo!$B$1,Indicadores!$A$2:$E$2,0))</f>
        <v>0</v>
      </c>
      <c r="E4" s="3950">
        <f>+C4-B4</f>
        <v>0</v>
      </c>
      <c r="G4" s="3944"/>
    </row>
    <row r="5" spans="1:7" ht="19" thickBot="1">
      <c r="A5" s="3947" t="s">
        <v>2669</v>
      </c>
      <c r="B5" s="3950"/>
      <c r="C5" s="3962" t="e">
        <f>INDEX(Indicadores!$A$2:$E$40,MATCH(Comparativo!$A5,Indicadores!$A$2:$A$40,0),MATCH(Comparativo!$B$1,Indicadores!$A$2:$E$2,0))</f>
        <v>#DIV/0!</v>
      </c>
      <c r="E5" s="3950" t="e">
        <f>+C5-B5</f>
        <v>#DIV/0!</v>
      </c>
      <c r="G5" s="3944"/>
    </row>
    <row r="6" spans="1:7" ht="37.5" thickBot="1">
      <c r="A6" s="3961" t="s">
        <v>2668</v>
      </c>
      <c r="B6" s="3944"/>
      <c r="C6" s="3960" t="e">
        <f>INDEX(Indicadores!$A$2:$E$40,MATCH(Comparativo!$A6,Indicadores!$A$2:$A$40,0),MATCH(Comparativo!$B$1,Indicadores!$A$2:$E$2,0))</f>
        <v>#N/A</v>
      </c>
      <c r="E6" s="3944" t="e">
        <f>+C6-B6</f>
        <v>#N/A</v>
      </c>
      <c r="G6" s="3944"/>
    </row>
    <row r="7" spans="1:7" ht="19" thickBot="1">
      <c r="A7" s="3959" t="s">
        <v>2667</v>
      </c>
      <c r="B7" s="3958"/>
      <c r="C7" s="3957" t="e">
        <f>100%-C5-C6</f>
        <v>#DIV/0!</v>
      </c>
      <c r="E7" s="3956" t="e">
        <f>+C7-B7</f>
        <v>#DIV/0!</v>
      </c>
      <c r="G7" s="3944"/>
    </row>
    <row r="8" spans="1:7" ht="19" thickBot="1">
      <c r="A8" s="3947" t="s">
        <v>2666</v>
      </c>
      <c r="B8" s="3945"/>
      <c r="C8" s="3946" t="e">
        <f>INDEX(Indicadores!$A$2:$E$40,MATCH(Comparativo!$A8,Indicadores!$A$2:$A$40,0),MATCH(Comparativo!$B$1,Indicadores!$A$2:$E$2,0))</f>
        <v>#N/A</v>
      </c>
      <c r="E8" s="3945" t="e">
        <f>+B8-C8</f>
        <v>#N/A</v>
      </c>
      <c r="G8" s="3944"/>
    </row>
    <row r="9" spans="1:7" ht="19" thickBot="1">
      <c r="A9" s="3947" t="s">
        <v>2665</v>
      </c>
      <c r="B9" s="3945"/>
      <c r="C9" s="3946" t="e">
        <f>INDEX(Indicadores!$A$2:$E$40,MATCH(Comparativo!$A9,Indicadores!$A$2:$A$40,0),MATCH(Comparativo!$B$1,Indicadores!$A$2:$E$2,0))</f>
        <v>#N/A</v>
      </c>
      <c r="E9" s="3945" t="e">
        <f>+B9-C9</f>
        <v>#N/A</v>
      </c>
      <c r="G9" s="3944"/>
    </row>
    <row r="10" spans="1:7" ht="19" thickBot="1">
      <c r="A10" s="3947" t="s">
        <v>2664</v>
      </c>
      <c r="B10" s="3945"/>
      <c r="C10" s="3946" t="e">
        <f>INDEX(Indicadores!$A$2:$E$40,MATCH(Comparativo!$A10,Indicadores!$A$2:$A$40,0),MATCH(Comparativo!$B$1,Indicadores!$A$2:$E$2,0))</f>
        <v>#N/A</v>
      </c>
      <c r="E10" s="3945" t="e">
        <f>+B10-C10</f>
        <v>#N/A</v>
      </c>
      <c r="G10" s="3944"/>
    </row>
    <row r="11" spans="1:7" ht="18.5">
      <c r="A11" s="3955"/>
      <c r="B11" s="3954"/>
      <c r="C11" s="3954"/>
      <c r="E11" s="3954"/>
      <c r="G11" s="3954"/>
    </row>
    <row r="12" spans="1:7" ht="18.5">
      <c r="A12" s="3953" t="s">
        <v>453</v>
      </c>
      <c r="B12" s="3952"/>
      <c r="C12" s="3952"/>
      <c r="E12" s="3952"/>
      <c r="G12" s="3951"/>
    </row>
    <row r="13" spans="1:7" ht="19" thickBot="1">
      <c r="A13" s="3947" t="s">
        <v>1487</v>
      </c>
      <c r="B13" s="3945"/>
      <c r="C13" s="3946">
        <f>INDEX('Estados Financieros'!B385:I456,MATCH(Comparativo!A13,'Estados Financieros'!B385:B456,0),MATCH(Comparativo!B1:B1,'Estados Financieros'!B4:I4,0))</f>
        <v>0</v>
      </c>
      <c r="E13" s="3950" t="e">
        <f>+(C13-B13)/B13</f>
        <v>#DIV/0!</v>
      </c>
      <c r="G13" s="3944"/>
    </row>
    <row r="14" spans="1:7" ht="19" thickBot="1">
      <c r="A14" s="3947" t="s">
        <v>2663</v>
      </c>
      <c r="B14" s="3948" t="e">
        <f>+B13/B3</f>
        <v>#DIV/0!</v>
      </c>
      <c r="C14" s="3949" t="e">
        <f>+C13/C3</f>
        <v>#N/A</v>
      </c>
      <c r="E14" s="3948" t="e">
        <f>+C14-B14</f>
        <v>#N/A</v>
      </c>
      <c r="G14" s="3944"/>
    </row>
    <row r="15" spans="1:7" ht="19" thickBot="1">
      <c r="A15" s="3947" t="s">
        <v>852</v>
      </c>
      <c r="B15" s="3945"/>
      <c r="C15" s="3946">
        <f>INDEX(Indicadores!$A$2:$E$40,MATCH(Comparativo!$A15,Indicadores!$A$2:$A$40,0),MATCH(Comparativo!$B$1,Indicadores!$A$2:$E$2,0))</f>
        <v>0</v>
      </c>
      <c r="E15" s="3950" t="e">
        <f>+(C15-B15)/B15</f>
        <v>#DIV/0!</v>
      </c>
      <c r="G15" s="3944"/>
    </row>
    <row r="16" spans="1:7" ht="19" thickBot="1">
      <c r="A16" s="3947" t="s">
        <v>1616</v>
      </c>
      <c r="B16" s="3948" t="e">
        <f>+B15/B3</f>
        <v>#DIV/0!</v>
      </c>
      <c r="C16" s="3949" t="e">
        <f>+C15/C3</f>
        <v>#N/A</v>
      </c>
      <c r="D16" s="3879"/>
      <c r="E16" s="3948" t="e">
        <f>+(C16-B16)/B16</f>
        <v>#N/A</v>
      </c>
      <c r="G16" s="3944"/>
    </row>
    <row r="17" spans="1:9" ht="19" thickBot="1">
      <c r="A17" s="3947" t="s">
        <v>2528</v>
      </c>
      <c r="B17" s="3945"/>
      <c r="C17" s="3946" t="str">
        <f>INDEX(Indicadores!$A$2:$E$40,MATCH(Comparativo!$A17,Indicadores!$A$2:$A$40,0),MATCH(Comparativo!$B$1,Indicadores!$A$2:$E$2,0))</f>
        <v>N/A</v>
      </c>
      <c r="E17" s="3945" t="e">
        <f>+B17-C17</f>
        <v>#VALUE!</v>
      </c>
      <c r="G17" s="3944"/>
    </row>
    <row r="18" spans="1:9" ht="19" thickBot="1">
      <c r="A18" s="3947" t="s">
        <v>1708</v>
      </c>
      <c r="B18" s="3945"/>
      <c r="C18" s="3946" t="e">
        <f>INDEX(Indicadores!$A$2:$E$40,MATCH(Comparativo!$A18,Indicadores!$A$2:$A$40,0),MATCH(Comparativo!$B$1,Indicadores!$A$2:$E$2,0))</f>
        <v>#N/A</v>
      </c>
      <c r="E18" s="3945" t="e">
        <f>+B18-C18</f>
        <v>#N/A</v>
      </c>
      <c r="G18" s="3944"/>
    </row>
    <row r="23" spans="1:9">
      <c r="B23" s="3943"/>
      <c r="E23" s="3943"/>
      <c r="G23" s="3943"/>
      <c r="H23" s="3943"/>
      <c r="I23" s="3943"/>
    </row>
    <row r="24" spans="1:9">
      <c r="A24" s="70"/>
      <c r="B24" s="3941"/>
    </row>
    <row r="25" spans="1:9">
      <c r="A25" s="70"/>
      <c r="B25" s="3941"/>
    </row>
    <row r="26" spans="1:9">
      <c r="A26" s="70"/>
      <c r="B26" s="3941"/>
    </row>
    <row r="27" spans="1:9">
      <c r="A27" s="70"/>
      <c r="B27" s="3941"/>
    </row>
    <row r="28" spans="1:9">
      <c r="A28" s="70"/>
      <c r="B28" s="3942"/>
    </row>
    <row r="29" spans="1:9">
      <c r="A29" s="70"/>
      <c r="B29" s="3941"/>
    </row>
    <row r="30" spans="1:9">
      <c r="A30" s="70"/>
      <c r="B30" s="3941"/>
    </row>
    <row r="31" spans="1:9">
      <c r="A31" s="70"/>
      <c r="B31" s="3941"/>
    </row>
    <row r="32" spans="1:9">
      <c r="A32" s="70"/>
      <c r="B32" s="3941"/>
    </row>
    <row r="33" spans="1:2" customFormat="1">
      <c r="A33" s="70"/>
      <c r="B33" s="3941"/>
    </row>
    <row r="34" spans="1:2" customFormat="1">
      <c r="A34" s="70"/>
      <c r="B34" s="3941"/>
    </row>
    <row r="35" spans="1:2" customFormat="1">
      <c r="A35" s="70"/>
      <c r="B35" s="3941"/>
    </row>
  </sheetData>
  <mergeCells count="2">
    <mergeCell ref="G1:G2"/>
    <mergeCell ref="B1:C1"/>
  </mergeCell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sheetPr codeName="Hoja37"/>
  <dimension ref="A1:I481"/>
  <sheetViews>
    <sheetView showGridLines="0" showRowColHeaders="0" zoomScale="70" zoomScaleNormal="70" workbookViewId="0">
      <selection activeCell="E9" sqref="E9"/>
    </sheetView>
  </sheetViews>
  <sheetFormatPr baseColWidth="10" defaultRowHeight="14.5"/>
  <cols>
    <col min="1" max="1" width="2.54296875" style="166" customWidth="1"/>
    <col min="2" max="3" width="4" style="166" customWidth="1"/>
    <col min="4" max="4" width="75.7265625" bestFit="1" customWidth="1"/>
    <col min="5" max="8" width="29.453125" customWidth="1"/>
    <col min="9" max="9" width="29.453125" style="70" customWidth="1"/>
  </cols>
  <sheetData>
    <row r="1" spans="1:9" s="5" customFormat="1" ht="28.5" customHeight="1">
      <c r="A1" s="27"/>
      <c r="B1" s="27"/>
      <c r="C1" s="27"/>
      <c r="D1"/>
      <c r="E1"/>
      <c r="F1"/>
      <c r="G1"/>
      <c r="H1"/>
      <c r="I1" s="28" t="e">
        <f>#REF!</f>
        <v>#REF!</v>
      </c>
    </row>
    <row r="2" spans="1:9" s="5" customFormat="1" ht="28.5" customHeight="1" thickBot="1">
      <c r="A2" s="27"/>
      <c r="B2" s="27"/>
      <c r="C2" s="27"/>
      <c r="D2" s="4041" t="str">
        <f>'Estados Financieros'!D2:G2</f>
        <v xml:space="preserve">0.000 </v>
      </c>
      <c r="E2" s="4041"/>
      <c r="F2" s="4041"/>
      <c r="G2" s="4041"/>
      <c r="H2" s="30"/>
      <c r="I2" s="31"/>
    </row>
    <row r="3" spans="1:9" s="5" customFormat="1" ht="16.5" customHeight="1" thickBot="1">
      <c r="A3" s="27"/>
      <c r="B3" s="27"/>
      <c r="C3" s="27"/>
      <c r="D3" s="32" t="s">
        <v>2165</v>
      </c>
      <c r="E3" s="33" t="s">
        <v>533</v>
      </c>
      <c r="F3" s="34" t="s">
        <v>533</v>
      </c>
      <c r="G3" s="34" t="s">
        <v>533</v>
      </c>
      <c r="H3" s="34" t="s">
        <v>534</v>
      </c>
      <c r="I3" s="35" t="s">
        <v>535</v>
      </c>
    </row>
    <row r="4" spans="1:9" s="5" customFormat="1" ht="21">
      <c r="A4" s="27"/>
      <c r="B4" s="27"/>
      <c r="C4" s="27"/>
      <c r="D4" s="36" t="s">
        <v>536</v>
      </c>
      <c r="E4" s="37">
        <f>'Estados Financieros'!E4</f>
        <v>2017</v>
      </c>
      <c r="F4" s="38">
        <f>'Estados Financieros'!F4</f>
        <v>2018</v>
      </c>
      <c r="G4" s="39">
        <f>'Estados Financieros'!G4</f>
        <v>2019</v>
      </c>
      <c r="H4" s="39" t="str">
        <f>'Estados Financieros'!H4</f>
        <v>2020</v>
      </c>
      <c r="I4" s="39">
        <f>'Estados Financieros'!I4</f>
        <v>2019</v>
      </c>
    </row>
    <row r="5" spans="1:9" s="5" customFormat="1" ht="21">
      <c r="A5" s="27"/>
      <c r="B5" s="27"/>
      <c r="C5" s="27"/>
      <c r="D5" s="3457" t="s">
        <v>2166</v>
      </c>
      <c r="E5" s="37" t="str">
        <f>'Estados Financieros'!E5</f>
        <v>No Auditados</v>
      </c>
      <c r="F5" s="38" t="str">
        <f>'Estados Financieros'!F5</f>
        <v>No Auditados</v>
      </c>
      <c r="G5" s="3458" t="str">
        <f>'Estados Financieros'!G5</f>
        <v>No Auditados</v>
      </c>
      <c r="H5" s="3458"/>
      <c r="I5" s="3458"/>
    </row>
    <row r="6" spans="1:9" s="5" customFormat="1" ht="21">
      <c r="A6" s="27"/>
      <c r="B6" s="27"/>
      <c r="C6" s="27"/>
      <c r="D6" s="40" t="s">
        <v>538</v>
      </c>
      <c r="E6" s="41" t="str">
        <f>'Estados Financieros'!E6</f>
        <v>12</v>
      </c>
      <c r="F6" s="41" t="str">
        <f>'Estados Financieros'!F6</f>
        <v>12</v>
      </c>
      <c r="G6" s="41" t="str">
        <f>'Estados Financieros'!G6</f>
        <v>12</v>
      </c>
      <c r="H6" s="42" t="str">
        <f>'Estados Financieros'!H6</f>
        <v>06</v>
      </c>
      <c r="I6" s="42" t="str">
        <f>'Estados Financieros'!I6</f>
        <v>06</v>
      </c>
    </row>
    <row r="7" spans="1:9" s="5" customFormat="1" ht="21">
      <c r="A7" s="27"/>
      <c r="B7" s="27"/>
      <c r="C7" s="27"/>
      <c r="D7" s="40" t="s">
        <v>539</v>
      </c>
      <c r="E7" s="41">
        <f>'Estados Financieros'!E7</f>
        <v>360</v>
      </c>
      <c r="F7" s="41">
        <f>'Estados Financieros'!F7</f>
        <v>360</v>
      </c>
      <c r="G7" s="41">
        <f>'Estados Financieros'!G7</f>
        <v>360</v>
      </c>
      <c r="H7" s="41">
        <f>'Estados Financieros'!H7</f>
        <v>180</v>
      </c>
      <c r="I7" s="41">
        <f>'Estados Financieros'!I7</f>
        <v>180</v>
      </c>
    </row>
    <row r="8" spans="1:9" s="5" customFormat="1" ht="16.5" customHeight="1" thickBot="1">
      <c r="A8" s="27"/>
      <c r="B8" s="27"/>
      <c r="C8" s="27"/>
      <c r="D8" s="43" t="s">
        <v>540</v>
      </c>
      <c r="E8" s="44" t="str">
        <f>'Estados Financieros'!E8</f>
        <v>Diciembre</v>
      </c>
      <c r="F8" s="44" t="str">
        <f>'Estados Financieros'!F8</f>
        <v>Diciembre</v>
      </c>
      <c r="G8" s="44" t="str">
        <f>'Estados Financieros'!G8</f>
        <v>Diciembre</v>
      </c>
      <c r="H8" s="44" t="str">
        <f>'Estados Financieros'!H8</f>
        <v>Junio</v>
      </c>
      <c r="I8" s="44" t="str">
        <f>'Estados Financieros'!I8</f>
        <v>Junio</v>
      </c>
    </row>
    <row r="9" spans="1:9" s="52" customFormat="1" ht="16.5" customHeight="1">
      <c r="A9" s="45"/>
      <c r="B9" s="46" t="s">
        <v>541</v>
      </c>
      <c r="C9" s="46"/>
      <c r="D9" s="46"/>
      <c r="E9" s="3468" t="str">
        <f>'Estados Financieros'!E9</f>
        <v>Tasas:  = 0, -  = 0, -  = 0,</v>
      </c>
      <c r="F9" s="47"/>
      <c r="G9" s="48"/>
      <c r="H9" s="49" t="s">
        <v>532</v>
      </c>
      <c r="I9" s="50" t="s">
        <v>532</v>
      </c>
    </row>
    <row r="10" spans="1:9" s="52" customFormat="1" ht="16.5" customHeight="1">
      <c r="A10" s="45"/>
      <c r="B10" s="53" t="s">
        <v>1426</v>
      </c>
      <c r="C10" s="54" t="s">
        <v>542</v>
      </c>
      <c r="D10" s="55"/>
      <c r="E10" s="56"/>
      <c r="F10" s="56"/>
      <c r="G10" s="56"/>
      <c r="H10" s="56"/>
      <c r="I10" s="57"/>
    </row>
    <row r="11" spans="1:9" s="64" customFormat="1" ht="15.75" customHeight="1">
      <c r="A11" s="58"/>
      <c r="B11" s="59"/>
      <c r="C11" s="47"/>
      <c r="D11" s="60" t="s">
        <v>543</v>
      </c>
      <c r="E11" s="3431">
        <f>'Estados Financieros'!E18</f>
        <v>0</v>
      </c>
      <c r="F11" s="3431">
        <f>'Estados Financieros'!F18</f>
        <v>0</v>
      </c>
      <c r="G11" s="3431">
        <f>'Estados Financieros'!G18</f>
        <v>0</v>
      </c>
      <c r="H11" s="3431">
        <f>'Estados Financieros'!H18</f>
        <v>0</v>
      </c>
      <c r="I11" s="3430">
        <f>'Estados Financieros'!I18</f>
        <v>0</v>
      </c>
    </row>
    <row r="12" spans="1:9" s="64" customFormat="1" ht="15.75" customHeight="1">
      <c r="A12" s="58"/>
      <c r="B12" s="59"/>
      <c r="C12" s="47"/>
      <c r="D12" s="65" t="s">
        <v>545</v>
      </c>
      <c r="E12" s="3431">
        <f>'Estados Financieros'!E19</f>
        <v>0</v>
      </c>
      <c r="F12" s="3431">
        <f>'Estados Financieros'!F19</f>
        <v>0</v>
      </c>
      <c r="G12" s="3431">
        <f>'Estados Financieros'!G19</f>
        <v>0</v>
      </c>
      <c r="H12" s="3431">
        <f>'Estados Financieros'!H19</f>
        <v>0</v>
      </c>
      <c r="I12" s="3430">
        <f>'Estados Financieros'!I19</f>
        <v>0</v>
      </c>
    </row>
    <row r="13" spans="1:9" s="64" customFormat="1" ht="19">
      <c r="A13" s="58"/>
      <c r="B13" s="59"/>
      <c r="C13" s="47"/>
      <c r="D13" s="65" t="s">
        <v>549</v>
      </c>
      <c r="E13" s="3431">
        <f>'Estados Financieros'!E20</f>
        <v>0</v>
      </c>
      <c r="F13" s="3431">
        <f>'Estados Financieros'!F20</f>
        <v>0</v>
      </c>
      <c r="G13" s="3431">
        <f>'Estados Financieros'!G20</f>
        <v>0</v>
      </c>
      <c r="H13" s="3431">
        <f>'Estados Financieros'!H20</f>
        <v>0</v>
      </c>
      <c r="I13" s="3430">
        <f>'Estados Financieros'!I20</f>
        <v>0</v>
      </c>
    </row>
    <row r="14" spans="1:9" s="64" customFormat="1" ht="19">
      <c r="A14" s="58"/>
      <c r="B14" s="59"/>
      <c r="C14" s="47"/>
      <c r="D14" s="65" t="s">
        <v>550</v>
      </c>
      <c r="E14" s="3431">
        <f>'Estados Financieros'!E21</f>
        <v>0</v>
      </c>
      <c r="F14" s="3431">
        <f>'Estados Financieros'!F21</f>
        <v>0</v>
      </c>
      <c r="G14" s="3431">
        <f>'Estados Financieros'!G21</f>
        <v>0</v>
      </c>
      <c r="H14" s="3431">
        <f>'Estados Financieros'!H21</f>
        <v>0</v>
      </c>
      <c r="I14" s="3430">
        <f>'Estados Financieros'!I21</f>
        <v>0</v>
      </c>
    </row>
    <row r="15" spans="1:9" s="64" customFormat="1" ht="19">
      <c r="A15" s="58"/>
      <c r="B15" s="59"/>
      <c r="C15" s="47"/>
      <c r="D15" s="65" t="s">
        <v>551</v>
      </c>
      <c r="E15" s="3431">
        <f>'Estados Financieros'!E22</f>
        <v>0</v>
      </c>
      <c r="F15" s="3431">
        <f>'Estados Financieros'!F22</f>
        <v>0</v>
      </c>
      <c r="G15" s="3431">
        <f>'Estados Financieros'!G22</f>
        <v>0</v>
      </c>
      <c r="H15" s="3431">
        <f>'Estados Financieros'!H22</f>
        <v>0</v>
      </c>
      <c r="I15" s="3430">
        <f>'Estados Financieros'!I22</f>
        <v>0</v>
      </c>
    </row>
    <row r="16" spans="1:9" s="64" customFormat="1" ht="19">
      <c r="A16" s="58"/>
      <c r="B16" s="59"/>
      <c r="C16" s="66" t="s">
        <v>552</v>
      </c>
      <c r="D16" s="67"/>
      <c r="E16" s="3435">
        <f>'Estados Financieros'!E23</f>
        <v>0</v>
      </c>
      <c r="F16" s="3435">
        <f>'Estados Financieros'!F23</f>
        <v>0</v>
      </c>
      <c r="G16" s="3435">
        <f>'Estados Financieros'!G23</f>
        <v>0</v>
      </c>
      <c r="H16" s="3435">
        <f>'Estados Financieros'!H23</f>
        <v>0</v>
      </c>
      <c r="I16" s="3434">
        <f>'Estados Financieros'!I23</f>
        <v>0</v>
      </c>
    </row>
    <row r="17" spans="1:9" s="64" customFormat="1" ht="19">
      <c r="A17" s="58"/>
      <c r="B17" s="53"/>
      <c r="C17" s="54" t="s">
        <v>553</v>
      </c>
      <c r="D17" s="71"/>
      <c r="E17" s="3433"/>
      <c r="F17" s="3433"/>
      <c r="G17" s="3433"/>
      <c r="H17" s="3433"/>
      <c r="I17" s="3432"/>
    </row>
    <row r="18" spans="1:9" s="64" customFormat="1" ht="19">
      <c r="A18" s="58"/>
      <c r="B18" s="59"/>
      <c r="C18" s="47"/>
      <c r="D18" s="60" t="s">
        <v>554</v>
      </c>
      <c r="E18" s="3431">
        <f>'Estados Financieros'!E25</f>
        <v>0</v>
      </c>
      <c r="F18" s="3431">
        <f>'Estados Financieros'!F25</f>
        <v>0</v>
      </c>
      <c r="G18" s="3431">
        <f>'Estados Financieros'!G25</f>
        <v>0</v>
      </c>
      <c r="H18" s="3431">
        <f>'Estados Financieros'!H25</f>
        <v>0</v>
      </c>
      <c r="I18" s="3430">
        <f>'Estados Financieros'!I25</f>
        <v>0</v>
      </c>
    </row>
    <row r="19" spans="1:9" s="64" customFormat="1" ht="19">
      <c r="A19" s="58"/>
      <c r="B19" s="59"/>
      <c r="C19" s="47"/>
      <c r="D19" s="65" t="s">
        <v>555</v>
      </c>
      <c r="E19" s="3431">
        <f>'Estados Financieros'!E26</f>
        <v>0</v>
      </c>
      <c r="F19" s="3431">
        <f>'Estados Financieros'!F26</f>
        <v>0</v>
      </c>
      <c r="G19" s="3431">
        <f>'Estados Financieros'!G26</f>
        <v>0</v>
      </c>
      <c r="H19" s="3431">
        <f>'Estados Financieros'!H26</f>
        <v>0</v>
      </c>
      <c r="I19" s="3430">
        <f>'Estados Financieros'!I26</f>
        <v>0</v>
      </c>
    </row>
    <row r="20" spans="1:9" s="64" customFormat="1" ht="19">
      <c r="A20" s="58"/>
      <c r="B20" s="59"/>
      <c r="C20" s="47"/>
      <c r="D20" s="65" t="s">
        <v>556</v>
      </c>
      <c r="E20" s="3431">
        <f>'Estados Financieros'!E27</f>
        <v>0</v>
      </c>
      <c r="F20" s="3431">
        <f>'Estados Financieros'!F27</f>
        <v>0</v>
      </c>
      <c r="G20" s="3431">
        <f>'Estados Financieros'!G27</f>
        <v>0</v>
      </c>
      <c r="H20" s="3431">
        <f>'Estados Financieros'!H27</f>
        <v>0</v>
      </c>
      <c r="I20" s="3430">
        <f>'Estados Financieros'!I27</f>
        <v>0</v>
      </c>
    </row>
    <row r="21" spans="1:9" s="64" customFormat="1" ht="19">
      <c r="A21" s="58"/>
      <c r="B21" s="59"/>
      <c r="C21" s="47"/>
      <c r="D21" s="65" t="s">
        <v>557</v>
      </c>
      <c r="E21" s="3431">
        <f>'Estados Financieros'!E28</f>
        <v>0</v>
      </c>
      <c r="F21" s="3431">
        <f>'Estados Financieros'!F28</f>
        <v>0</v>
      </c>
      <c r="G21" s="3431">
        <f>'Estados Financieros'!G28</f>
        <v>0</v>
      </c>
      <c r="H21" s="3431">
        <f>'Estados Financieros'!H28</f>
        <v>0</v>
      </c>
      <c r="I21" s="3430">
        <f>'Estados Financieros'!I28</f>
        <v>0</v>
      </c>
    </row>
    <row r="22" spans="1:9" s="64" customFormat="1" ht="19">
      <c r="A22" s="58"/>
      <c r="B22" s="59"/>
      <c r="C22" s="47"/>
      <c r="D22" s="65" t="s">
        <v>558</v>
      </c>
      <c r="E22" s="3431">
        <f>'Estados Financieros'!E29</f>
        <v>0</v>
      </c>
      <c r="F22" s="3431">
        <f>'Estados Financieros'!F29</f>
        <v>0</v>
      </c>
      <c r="G22" s="3431">
        <f>'Estados Financieros'!G29</f>
        <v>0</v>
      </c>
      <c r="H22" s="3431">
        <f>'Estados Financieros'!H29</f>
        <v>0</v>
      </c>
      <c r="I22" s="3430">
        <f>'Estados Financieros'!I29</f>
        <v>0</v>
      </c>
    </row>
    <row r="23" spans="1:9" s="64" customFormat="1" ht="19">
      <c r="A23" s="58"/>
      <c r="B23" s="59"/>
      <c r="C23" s="47"/>
      <c r="D23" s="65" t="s">
        <v>559</v>
      </c>
      <c r="E23" s="3431">
        <f>'Estados Financieros'!E30</f>
        <v>0</v>
      </c>
      <c r="F23" s="3431">
        <f>'Estados Financieros'!F30</f>
        <v>0</v>
      </c>
      <c r="G23" s="3431">
        <f>'Estados Financieros'!G30</f>
        <v>0</v>
      </c>
      <c r="H23" s="3431">
        <f>'Estados Financieros'!H30</f>
        <v>0</v>
      </c>
      <c r="I23" s="3430">
        <f>'Estados Financieros'!I30</f>
        <v>0</v>
      </c>
    </row>
    <row r="24" spans="1:9" s="64" customFormat="1" ht="19">
      <c r="A24" s="58"/>
      <c r="B24" s="59"/>
      <c r="C24" s="47"/>
      <c r="D24" s="65" t="s">
        <v>560</v>
      </c>
      <c r="E24" s="3431">
        <f>'Estados Financieros'!E31</f>
        <v>0</v>
      </c>
      <c r="F24" s="3431">
        <f>'Estados Financieros'!F31</f>
        <v>0</v>
      </c>
      <c r="G24" s="3431">
        <f>'Estados Financieros'!G31</f>
        <v>0</v>
      </c>
      <c r="H24" s="3431">
        <f>'Estados Financieros'!H31</f>
        <v>0</v>
      </c>
      <c r="I24" s="3430">
        <f>'Estados Financieros'!I31</f>
        <v>0</v>
      </c>
    </row>
    <row r="25" spans="1:9" s="64" customFormat="1" ht="19">
      <c r="A25" s="58"/>
      <c r="B25" s="59"/>
      <c r="C25" s="47"/>
      <c r="D25" s="65" t="s">
        <v>561</v>
      </c>
      <c r="E25" s="3431">
        <f>'Estados Financieros'!E32</f>
        <v>0</v>
      </c>
      <c r="F25" s="3431">
        <f>'Estados Financieros'!F32</f>
        <v>0</v>
      </c>
      <c r="G25" s="3431">
        <f>'Estados Financieros'!G32</f>
        <v>0</v>
      </c>
      <c r="H25" s="3431">
        <f>'Estados Financieros'!H32</f>
        <v>0</v>
      </c>
      <c r="I25" s="3430">
        <f>'Estados Financieros'!I32</f>
        <v>0</v>
      </c>
    </row>
    <row r="26" spans="1:9" s="64" customFormat="1" ht="19">
      <c r="A26" s="58"/>
      <c r="B26" s="59"/>
      <c r="C26" s="66" t="s">
        <v>563</v>
      </c>
      <c r="D26" s="67"/>
      <c r="E26" s="3435">
        <f>'Estados Financieros'!E33</f>
        <v>0</v>
      </c>
      <c r="F26" s="3435">
        <f>'Estados Financieros'!F33</f>
        <v>0</v>
      </c>
      <c r="G26" s="3435">
        <f>'Estados Financieros'!G33</f>
        <v>0</v>
      </c>
      <c r="H26" s="3435">
        <f>'Estados Financieros'!H33</f>
        <v>0</v>
      </c>
      <c r="I26" s="3434">
        <f>'Estados Financieros'!I33</f>
        <v>0</v>
      </c>
    </row>
    <row r="27" spans="1:9" s="64" customFormat="1" ht="19">
      <c r="A27" s="58"/>
      <c r="B27" s="53"/>
      <c r="C27" s="54" t="s">
        <v>565</v>
      </c>
      <c r="D27" s="71"/>
      <c r="E27" s="3433"/>
      <c r="F27" s="3433"/>
      <c r="G27" s="3433"/>
      <c r="H27" s="3433"/>
      <c r="I27" s="3432"/>
    </row>
    <row r="28" spans="1:9" s="64" customFormat="1" ht="19">
      <c r="A28" s="58"/>
      <c r="B28" s="59"/>
      <c r="C28" s="47"/>
      <c r="D28" s="60" t="s">
        <v>567</v>
      </c>
      <c r="E28" s="3431">
        <f>'Estados Financieros'!E35</f>
        <v>0</v>
      </c>
      <c r="F28" s="3431">
        <f>'Estados Financieros'!F35</f>
        <v>0</v>
      </c>
      <c r="G28" s="3431">
        <f>'Estados Financieros'!G35</f>
        <v>0</v>
      </c>
      <c r="H28" s="3431">
        <f>'Estados Financieros'!H35</f>
        <v>0</v>
      </c>
      <c r="I28" s="3430">
        <f>'Estados Financieros'!I35</f>
        <v>0</v>
      </c>
    </row>
    <row r="29" spans="1:9" s="64" customFormat="1" ht="19">
      <c r="A29" s="58"/>
      <c r="B29" s="59"/>
      <c r="C29" s="47"/>
      <c r="D29" s="65" t="s">
        <v>569</v>
      </c>
      <c r="E29" s="3431">
        <f>'Estados Financieros'!E36</f>
        <v>0</v>
      </c>
      <c r="F29" s="3431">
        <f>'Estados Financieros'!F36</f>
        <v>0</v>
      </c>
      <c r="G29" s="3431">
        <f>'Estados Financieros'!G36</f>
        <v>0</v>
      </c>
      <c r="H29" s="3431">
        <f>'Estados Financieros'!H36</f>
        <v>0</v>
      </c>
      <c r="I29" s="3430">
        <f>'Estados Financieros'!I36</f>
        <v>0</v>
      </c>
    </row>
    <row r="30" spans="1:9" s="64" customFormat="1" ht="19">
      <c r="A30" s="58"/>
      <c r="B30" s="59"/>
      <c r="C30" s="47"/>
      <c r="D30" s="65" t="s">
        <v>571</v>
      </c>
      <c r="E30" s="3431">
        <f>'Estados Financieros'!E37</f>
        <v>0</v>
      </c>
      <c r="F30" s="3431">
        <f>'Estados Financieros'!F37</f>
        <v>0</v>
      </c>
      <c r="G30" s="3431">
        <f>'Estados Financieros'!G37</f>
        <v>0</v>
      </c>
      <c r="H30" s="3431">
        <f>'Estados Financieros'!H37</f>
        <v>0</v>
      </c>
      <c r="I30" s="3430">
        <f>'Estados Financieros'!I37</f>
        <v>0</v>
      </c>
    </row>
    <row r="31" spans="1:9" s="64" customFormat="1" ht="19">
      <c r="A31" s="58"/>
      <c r="B31" s="59"/>
      <c r="C31" s="47"/>
      <c r="D31" s="65" t="s">
        <v>573</v>
      </c>
      <c r="E31" s="3431">
        <f>'Estados Financieros'!E38</f>
        <v>0</v>
      </c>
      <c r="F31" s="3431">
        <f>'Estados Financieros'!F38</f>
        <v>0</v>
      </c>
      <c r="G31" s="3431">
        <f>'Estados Financieros'!G38</f>
        <v>0</v>
      </c>
      <c r="H31" s="3431">
        <f>'Estados Financieros'!H38</f>
        <v>0</v>
      </c>
      <c r="I31" s="3430">
        <f>'Estados Financieros'!I38</f>
        <v>0</v>
      </c>
    </row>
    <row r="32" spans="1:9" s="64" customFormat="1" ht="19">
      <c r="A32" s="58"/>
      <c r="B32" s="59"/>
      <c r="C32" s="47"/>
      <c r="D32" s="74" t="s">
        <v>574</v>
      </c>
      <c r="E32" s="3431">
        <f>'Estados Financieros'!E39</f>
        <v>0</v>
      </c>
      <c r="F32" s="3431">
        <f>'Estados Financieros'!F39</f>
        <v>0</v>
      </c>
      <c r="G32" s="3431">
        <f>'Estados Financieros'!G39</f>
        <v>0</v>
      </c>
      <c r="H32" s="3431">
        <f>'Estados Financieros'!H39</f>
        <v>0</v>
      </c>
      <c r="I32" s="3430">
        <f>'Estados Financieros'!I39</f>
        <v>0</v>
      </c>
    </row>
    <row r="33" spans="1:9" s="64" customFormat="1" ht="19">
      <c r="A33" s="58"/>
      <c r="B33" s="59"/>
      <c r="C33" s="66" t="s">
        <v>575</v>
      </c>
      <c r="D33" s="67"/>
      <c r="E33" s="3435">
        <f>'Estados Financieros'!E40</f>
        <v>0</v>
      </c>
      <c r="F33" s="3435">
        <f>'Estados Financieros'!F40</f>
        <v>0</v>
      </c>
      <c r="G33" s="3435">
        <f>'Estados Financieros'!G40</f>
        <v>0</v>
      </c>
      <c r="H33" s="3435">
        <f>'Estados Financieros'!H40</f>
        <v>0</v>
      </c>
      <c r="I33" s="3434">
        <f>'Estados Financieros'!I40</f>
        <v>0</v>
      </c>
    </row>
    <row r="34" spans="1:9" s="64" customFormat="1" ht="19">
      <c r="A34" s="58"/>
      <c r="B34" s="53"/>
      <c r="C34" s="54" t="s">
        <v>576</v>
      </c>
      <c r="D34" s="71"/>
      <c r="E34" s="3433"/>
      <c r="F34" s="3433"/>
      <c r="G34" s="3433"/>
      <c r="H34" s="3433"/>
      <c r="I34" s="3432"/>
    </row>
    <row r="35" spans="1:9" s="64" customFormat="1" ht="19">
      <c r="A35" s="58"/>
      <c r="B35" s="59"/>
      <c r="C35" s="47"/>
      <c r="D35" s="60" t="s">
        <v>577</v>
      </c>
      <c r="E35" s="3431">
        <f>'Estados Financieros'!E42</f>
        <v>0</v>
      </c>
      <c r="F35" s="3431">
        <f>'Estados Financieros'!F42</f>
        <v>0</v>
      </c>
      <c r="G35" s="3431">
        <f>'Estados Financieros'!G42</f>
        <v>0</v>
      </c>
      <c r="H35" s="3431">
        <f>'Estados Financieros'!H42</f>
        <v>0</v>
      </c>
      <c r="I35" s="3430">
        <f>'Estados Financieros'!I42</f>
        <v>0</v>
      </c>
    </row>
    <row r="36" spans="1:9" s="64" customFormat="1" ht="19">
      <c r="A36" s="58"/>
      <c r="B36" s="59"/>
      <c r="C36" s="47"/>
      <c r="D36" s="65" t="s">
        <v>578</v>
      </c>
      <c r="E36" s="3429">
        <f>'Estados Financieros'!E43</f>
        <v>0</v>
      </c>
      <c r="F36" s="3429">
        <f>'Estados Financieros'!F43</f>
        <v>0</v>
      </c>
      <c r="G36" s="3429">
        <f>'Estados Financieros'!G43</f>
        <v>0</v>
      </c>
      <c r="H36" s="3429">
        <f>'Estados Financieros'!H43</f>
        <v>0</v>
      </c>
      <c r="I36" s="3428">
        <f>'Estados Financieros'!I43</f>
        <v>0</v>
      </c>
    </row>
    <row r="37" spans="1:9" s="64" customFormat="1" ht="19">
      <c r="A37" s="58"/>
      <c r="B37" s="59"/>
      <c r="C37" s="47"/>
      <c r="D37" s="65" t="s">
        <v>579</v>
      </c>
      <c r="E37" s="3429">
        <f>'Estados Financieros'!E44</f>
        <v>0</v>
      </c>
      <c r="F37" s="3429">
        <f>'Estados Financieros'!F44</f>
        <v>0</v>
      </c>
      <c r="G37" s="3429">
        <f>'Estados Financieros'!G44</f>
        <v>0</v>
      </c>
      <c r="H37" s="3429">
        <f>'Estados Financieros'!H44</f>
        <v>0</v>
      </c>
      <c r="I37" s="3428">
        <f>'Estados Financieros'!I44</f>
        <v>0</v>
      </c>
    </row>
    <row r="38" spans="1:9" s="64" customFormat="1" ht="19">
      <c r="A38" s="58"/>
      <c r="B38" s="59"/>
      <c r="C38" s="47"/>
      <c r="D38" s="65" t="s">
        <v>580</v>
      </c>
      <c r="E38" s="3429">
        <f>'Estados Financieros'!E45</f>
        <v>0</v>
      </c>
      <c r="F38" s="3429">
        <f>'Estados Financieros'!F45</f>
        <v>0</v>
      </c>
      <c r="G38" s="3429">
        <f>'Estados Financieros'!G45</f>
        <v>0</v>
      </c>
      <c r="H38" s="3429">
        <f>'Estados Financieros'!H45</f>
        <v>0</v>
      </c>
      <c r="I38" s="3428">
        <f>'Estados Financieros'!I45</f>
        <v>0</v>
      </c>
    </row>
    <row r="39" spans="1:9" s="64" customFormat="1" ht="19">
      <c r="A39" s="58"/>
      <c r="B39" s="59"/>
      <c r="C39" s="47"/>
      <c r="D39" s="65" t="s">
        <v>581</v>
      </c>
      <c r="E39" s="3429">
        <f>'Estados Financieros'!E46</f>
        <v>0</v>
      </c>
      <c r="F39" s="3429">
        <f>'Estados Financieros'!F46</f>
        <v>0</v>
      </c>
      <c r="G39" s="3429">
        <f>'Estados Financieros'!G46</f>
        <v>0</v>
      </c>
      <c r="H39" s="3429">
        <f>'Estados Financieros'!H46</f>
        <v>0</v>
      </c>
      <c r="I39" s="3428">
        <f>'Estados Financieros'!I46</f>
        <v>0</v>
      </c>
    </row>
    <row r="40" spans="1:9" s="64" customFormat="1" ht="19">
      <c r="A40" s="58"/>
      <c r="B40" s="59"/>
      <c r="C40" s="47"/>
      <c r="D40" s="65" t="s">
        <v>582</v>
      </c>
      <c r="E40" s="3429">
        <f>'Estados Financieros'!E47</f>
        <v>0</v>
      </c>
      <c r="F40" s="3429">
        <f>'Estados Financieros'!F47</f>
        <v>0</v>
      </c>
      <c r="G40" s="3429">
        <f>'Estados Financieros'!G47</f>
        <v>0</v>
      </c>
      <c r="H40" s="3429">
        <f>'Estados Financieros'!H47</f>
        <v>0</v>
      </c>
      <c r="I40" s="3428">
        <f>'Estados Financieros'!I47</f>
        <v>0</v>
      </c>
    </row>
    <row r="41" spans="1:9" s="64" customFormat="1" ht="19">
      <c r="A41" s="58"/>
      <c r="B41" s="59"/>
      <c r="C41" s="47"/>
      <c r="D41" s="65" t="s">
        <v>583</v>
      </c>
      <c r="E41" s="3429">
        <f>'Estados Financieros'!E48</f>
        <v>0</v>
      </c>
      <c r="F41" s="3429">
        <f>'Estados Financieros'!F48</f>
        <v>0</v>
      </c>
      <c r="G41" s="3429">
        <f>'Estados Financieros'!G48</f>
        <v>0</v>
      </c>
      <c r="H41" s="3429">
        <f>'Estados Financieros'!H48</f>
        <v>0</v>
      </c>
      <c r="I41" s="3428">
        <f>'Estados Financieros'!I48</f>
        <v>0</v>
      </c>
    </row>
    <row r="42" spans="1:9" s="64" customFormat="1" ht="19">
      <c r="A42" s="58"/>
      <c r="B42" s="59"/>
      <c r="C42" s="47"/>
      <c r="D42" s="65" t="s">
        <v>584</v>
      </c>
      <c r="E42" s="3429">
        <f>'Estados Financieros'!E49</f>
        <v>0</v>
      </c>
      <c r="F42" s="3429">
        <f>'Estados Financieros'!F49</f>
        <v>0</v>
      </c>
      <c r="G42" s="3429">
        <f>'Estados Financieros'!G49</f>
        <v>0</v>
      </c>
      <c r="H42" s="3429">
        <f>'Estados Financieros'!H49</f>
        <v>0</v>
      </c>
      <c r="I42" s="3428">
        <f>'Estados Financieros'!I49</f>
        <v>0</v>
      </c>
    </row>
    <row r="43" spans="1:9" s="64" customFormat="1" ht="19">
      <c r="A43" s="58"/>
      <c r="B43" s="59"/>
      <c r="C43" s="47"/>
      <c r="D43" s="65" t="s">
        <v>585</v>
      </c>
      <c r="E43" s="3429">
        <f>'Estados Financieros'!E50</f>
        <v>0</v>
      </c>
      <c r="F43" s="3429">
        <f>'Estados Financieros'!F50</f>
        <v>0</v>
      </c>
      <c r="G43" s="3429">
        <f>'Estados Financieros'!G50</f>
        <v>0</v>
      </c>
      <c r="H43" s="3429">
        <f>'Estados Financieros'!H50</f>
        <v>0</v>
      </c>
      <c r="I43" s="3428">
        <f>'Estados Financieros'!I50</f>
        <v>0</v>
      </c>
    </row>
    <row r="44" spans="1:9" s="64" customFormat="1" ht="19">
      <c r="A44" s="58"/>
      <c r="B44" s="59"/>
      <c r="C44" s="47"/>
      <c r="D44" s="65" t="s">
        <v>586</v>
      </c>
      <c r="E44" s="3429">
        <f>'Estados Financieros'!E51</f>
        <v>0</v>
      </c>
      <c r="F44" s="3429">
        <f>'Estados Financieros'!F51</f>
        <v>0</v>
      </c>
      <c r="G44" s="3429">
        <f>'Estados Financieros'!G51</f>
        <v>0</v>
      </c>
      <c r="H44" s="3429">
        <f>'Estados Financieros'!H51</f>
        <v>0</v>
      </c>
      <c r="I44" s="3428">
        <f>'Estados Financieros'!I51</f>
        <v>0</v>
      </c>
    </row>
    <row r="45" spans="1:9" s="64" customFormat="1" ht="19">
      <c r="A45" s="58"/>
      <c r="B45" s="59"/>
      <c r="C45" s="47"/>
      <c r="D45" s="65" t="s">
        <v>587</v>
      </c>
      <c r="E45" s="3429">
        <f>'Estados Financieros'!E52</f>
        <v>0</v>
      </c>
      <c r="F45" s="3429">
        <f>'Estados Financieros'!F52</f>
        <v>0</v>
      </c>
      <c r="G45" s="3429">
        <f>'Estados Financieros'!G52</f>
        <v>0</v>
      </c>
      <c r="H45" s="3429">
        <f>'Estados Financieros'!H52</f>
        <v>0</v>
      </c>
      <c r="I45" s="3428">
        <f>'Estados Financieros'!I52</f>
        <v>0</v>
      </c>
    </row>
    <row r="46" spans="1:9" s="64" customFormat="1" ht="19">
      <c r="A46" s="58"/>
      <c r="B46" s="59"/>
      <c r="C46" s="47"/>
      <c r="D46" s="65" t="s">
        <v>588</v>
      </c>
      <c r="E46" s="3429">
        <f>'Estados Financieros'!E53</f>
        <v>0</v>
      </c>
      <c r="F46" s="3429">
        <f>'Estados Financieros'!F53</f>
        <v>0</v>
      </c>
      <c r="G46" s="3429">
        <f>'Estados Financieros'!G53</f>
        <v>0</v>
      </c>
      <c r="H46" s="3429">
        <f>'Estados Financieros'!H53</f>
        <v>0</v>
      </c>
      <c r="I46" s="3428">
        <f>'Estados Financieros'!I53</f>
        <v>0</v>
      </c>
    </row>
    <row r="47" spans="1:9" s="64" customFormat="1" ht="19">
      <c r="A47" s="58"/>
      <c r="B47" s="59"/>
      <c r="C47" s="47"/>
      <c r="D47" s="65" t="s">
        <v>589</v>
      </c>
      <c r="E47" s="3429">
        <f>'Estados Financieros'!E54</f>
        <v>0</v>
      </c>
      <c r="F47" s="3429">
        <f>'Estados Financieros'!F54</f>
        <v>0</v>
      </c>
      <c r="G47" s="3429">
        <f>'Estados Financieros'!G54</f>
        <v>0</v>
      </c>
      <c r="H47" s="3429">
        <f>'Estados Financieros'!H54</f>
        <v>0</v>
      </c>
      <c r="I47" s="3428">
        <f>'Estados Financieros'!I54</f>
        <v>0</v>
      </c>
    </row>
    <row r="48" spans="1:9" s="64" customFormat="1" ht="19">
      <c r="A48" s="58"/>
      <c r="B48" s="59"/>
      <c r="C48" s="47"/>
      <c r="D48" s="65" t="s">
        <v>574</v>
      </c>
      <c r="E48" s="3429">
        <f>'Estados Financieros'!E55</f>
        <v>0</v>
      </c>
      <c r="F48" s="3429">
        <f>'Estados Financieros'!F55</f>
        <v>0</v>
      </c>
      <c r="G48" s="3429">
        <f>'Estados Financieros'!G55</f>
        <v>0</v>
      </c>
      <c r="H48" s="3429">
        <f>'Estados Financieros'!H55</f>
        <v>0</v>
      </c>
      <c r="I48" s="3428">
        <f>'Estados Financieros'!I55</f>
        <v>0</v>
      </c>
    </row>
    <row r="49" spans="1:9" s="64" customFormat="1" ht="19">
      <c r="A49" s="58"/>
      <c r="B49" s="59"/>
      <c r="C49" s="66" t="s">
        <v>590</v>
      </c>
      <c r="D49" s="67"/>
      <c r="E49" s="3435">
        <f>'Estados Financieros'!E56</f>
        <v>0</v>
      </c>
      <c r="F49" s="3435">
        <f>'Estados Financieros'!F56</f>
        <v>0</v>
      </c>
      <c r="G49" s="3435">
        <f>'Estados Financieros'!G56</f>
        <v>0</v>
      </c>
      <c r="H49" s="3435">
        <f>'Estados Financieros'!H56</f>
        <v>0</v>
      </c>
      <c r="I49" s="3434">
        <f>'Estados Financieros'!I56</f>
        <v>0</v>
      </c>
    </row>
    <row r="50" spans="1:9" s="64" customFormat="1" ht="19">
      <c r="A50" s="58"/>
      <c r="B50" s="53"/>
      <c r="C50" s="54" t="s">
        <v>591</v>
      </c>
      <c r="D50" s="71"/>
      <c r="E50" s="3433"/>
      <c r="F50" s="3433"/>
      <c r="G50" s="3433"/>
      <c r="H50" s="3433"/>
      <c r="I50" s="3432"/>
    </row>
    <row r="51" spans="1:9" s="64" customFormat="1" ht="19">
      <c r="A51" s="58"/>
      <c r="B51" s="59"/>
      <c r="C51" s="47"/>
      <c r="D51" s="60" t="s">
        <v>592</v>
      </c>
      <c r="E51" s="3431">
        <f>'Estados Financieros'!E58</f>
        <v>0</v>
      </c>
      <c r="F51" s="3431">
        <f>'Estados Financieros'!F58</f>
        <v>0</v>
      </c>
      <c r="G51" s="3431">
        <f>'Estados Financieros'!G58</f>
        <v>0</v>
      </c>
      <c r="H51" s="3431">
        <f>'Estados Financieros'!H58</f>
        <v>0</v>
      </c>
      <c r="I51" s="3430">
        <f>'Estados Financieros'!I58</f>
        <v>0</v>
      </c>
    </row>
    <row r="52" spans="1:9" s="64" customFormat="1" ht="19">
      <c r="A52" s="58"/>
      <c r="B52" s="59"/>
      <c r="C52" s="47"/>
      <c r="D52" s="65" t="s">
        <v>593</v>
      </c>
      <c r="E52" s="3429">
        <f>'Estados Financieros'!E59</f>
        <v>0</v>
      </c>
      <c r="F52" s="3429">
        <f>'Estados Financieros'!F59</f>
        <v>0</v>
      </c>
      <c r="G52" s="3429">
        <f>'Estados Financieros'!G59</f>
        <v>0</v>
      </c>
      <c r="H52" s="3429">
        <f>'Estados Financieros'!H59</f>
        <v>0</v>
      </c>
      <c r="I52" s="3428">
        <f>'Estados Financieros'!I59</f>
        <v>0</v>
      </c>
    </row>
    <row r="53" spans="1:9" s="64" customFormat="1" ht="19">
      <c r="A53" s="58"/>
      <c r="B53" s="59"/>
      <c r="C53" s="47"/>
      <c r="D53" s="65" t="s">
        <v>594</v>
      </c>
      <c r="E53" s="3429">
        <f>'Estados Financieros'!E60</f>
        <v>0</v>
      </c>
      <c r="F53" s="3429">
        <f>'Estados Financieros'!F60</f>
        <v>0</v>
      </c>
      <c r="G53" s="3429">
        <f>'Estados Financieros'!G60</f>
        <v>0</v>
      </c>
      <c r="H53" s="3429">
        <f>'Estados Financieros'!H60</f>
        <v>0</v>
      </c>
      <c r="I53" s="3428">
        <f>'Estados Financieros'!I60</f>
        <v>0</v>
      </c>
    </row>
    <row r="54" spans="1:9" s="64" customFormat="1" ht="19">
      <c r="A54" s="58"/>
      <c r="B54" s="59"/>
      <c r="C54" s="47"/>
      <c r="D54" s="65" t="s">
        <v>595</v>
      </c>
      <c r="E54" s="3429">
        <f>'Estados Financieros'!E61</f>
        <v>0</v>
      </c>
      <c r="F54" s="3429">
        <f>'Estados Financieros'!F61</f>
        <v>0</v>
      </c>
      <c r="G54" s="3429">
        <f>'Estados Financieros'!G61</f>
        <v>0</v>
      </c>
      <c r="H54" s="3429">
        <f>'Estados Financieros'!H61</f>
        <v>0</v>
      </c>
      <c r="I54" s="3428">
        <f>'Estados Financieros'!I61</f>
        <v>0</v>
      </c>
    </row>
    <row r="55" spans="1:9" s="64" customFormat="1" ht="19">
      <c r="A55" s="58"/>
      <c r="B55" s="59"/>
      <c r="C55" s="47"/>
      <c r="D55" s="65" t="s">
        <v>596</v>
      </c>
      <c r="E55" s="3429">
        <f>'Estados Financieros'!E62</f>
        <v>0</v>
      </c>
      <c r="F55" s="3429">
        <f>'Estados Financieros'!F62</f>
        <v>0</v>
      </c>
      <c r="G55" s="3429">
        <f>'Estados Financieros'!G62</f>
        <v>0</v>
      </c>
      <c r="H55" s="3429">
        <f>'Estados Financieros'!H62</f>
        <v>0</v>
      </c>
      <c r="I55" s="3428">
        <f>'Estados Financieros'!I62</f>
        <v>0</v>
      </c>
    </row>
    <row r="56" spans="1:9" s="64" customFormat="1" ht="19">
      <c r="A56" s="58"/>
      <c r="B56" s="59"/>
      <c r="C56" s="47"/>
      <c r="D56" s="65" t="s">
        <v>597</v>
      </c>
      <c r="E56" s="3429">
        <f>'Estados Financieros'!E63</f>
        <v>0</v>
      </c>
      <c r="F56" s="3429">
        <f>'Estados Financieros'!F63</f>
        <v>0</v>
      </c>
      <c r="G56" s="3429">
        <f>'Estados Financieros'!G63</f>
        <v>0</v>
      </c>
      <c r="H56" s="3429">
        <f>'Estados Financieros'!H63</f>
        <v>0</v>
      </c>
      <c r="I56" s="3428">
        <f>'Estados Financieros'!I63</f>
        <v>0</v>
      </c>
    </row>
    <row r="57" spans="1:9" s="64" customFormat="1" ht="19">
      <c r="A57" s="58"/>
      <c r="B57" s="59"/>
      <c r="C57" s="47"/>
      <c r="D57" s="65" t="s">
        <v>453</v>
      </c>
      <c r="E57" s="3429">
        <f>'Estados Financieros'!E64</f>
        <v>0</v>
      </c>
      <c r="F57" s="3429">
        <f>'Estados Financieros'!F64</f>
        <v>0</v>
      </c>
      <c r="G57" s="3429">
        <f>'Estados Financieros'!G64</f>
        <v>0</v>
      </c>
      <c r="H57" s="3429">
        <f>'Estados Financieros'!H64</f>
        <v>0</v>
      </c>
      <c r="I57" s="3428">
        <f>'Estados Financieros'!I64</f>
        <v>0</v>
      </c>
    </row>
    <row r="58" spans="1:9" s="64" customFormat="1" ht="19" customHeight="1">
      <c r="A58" s="58"/>
      <c r="B58" s="59"/>
      <c r="C58" s="47"/>
      <c r="D58" s="65"/>
      <c r="E58" s="3429"/>
      <c r="F58" s="3429"/>
      <c r="G58" s="3429"/>
      <c r="H58" s="3429"/>
      <c r="I58" s="3428"/>
    </row>
    <row r="59" spans="1:9" s="64" customFormat="1" ht="19" customHeight="1">
      <c r="A59" s="58"/>
      <c r="B59" s="59"/>
      <c r="C59" s="47"/>
      <c r="D59" s="65"/>
      <c r="E59" s="3429"/>
      <c r="F59" s="3429"/>
      <c r="G59" s="3429"/>
      <c r="H59" s="3429"/>
      <c r="I59" s="3428"/>
    </row>
    <row r="60" spans="1:9" s="64" customFormat="1" ht="19" customHeight="1">
      <c r="A60" s="58"/>
      <c r="B60" s="59"/>
      <c r="C60" s="47"/>
      <c r="D60" s="65"/>
      <c r="E60" s="3429"/>
      <c r="F60" s="3429"/>
      <c r="G60" s="3429"/>
      <c r="H60" s="3429"/>
      <c r="I60" s="3428"/>
    </row>
    <row r="61" spans="1:9" s="64" customFormat="1" ht="19">
      <c r="A61" s="58"/>
      <c r="B61" s="59"/>
      <c r="C61" s="47"/>
      <c r="D61" s="65" t="s">
        <v>598</v>
      </c>
      <c r="E61" s="3429">
        <f>'Estados Financieros'!E68</f>
        <v>0</v>
      </c>
      <c r="F61" s="3429">
        <f>'Estados Financieros'!F68</f>
        <v>0</v>
      </c>
      <c r="G61" s="3429">
        <f>'Estados Financieros'!G68</f>
        <v>0</v>
      </c>
      <c r="H61" s="3429">
        <f>'Estados Financieros'!H68</f>
        <v>0</v>
      </c>
      <c r="I61" s="3428">
        <f>'Estados Financieros'!I68</f>
        <v>0</v>
      </c>
    </row>
    <row r="62" spans="1:9" s="64" customFormat="1" ht="19">
      <c r="A62" s="58"/>
      <c r="B62" s="59"/>
      <c r="C62" s="47"/>
      <c r="D62" s="65" t="s">
        <v>560</v>
      </c>
      <c r="E62" s="3429">
        <f>'Estados Financieros'!E69</f>
        <v>0</v>
      </c>
      <c r="F62" s="3429">
        <f>'Estados Financieros'!F69</f>
        <v>0</v>
      </c>
      <c r="G62" s="3429">
        <f>'Estados Financieros'!G69</f>
        <v>0</v>
      </c>
      <c r="H62" s="3429">
        <f>'Estados Financieros'!H69</f>
        <v>0</v>
      </c>
      <c r="I62" s="3428">
        <f>'Estados Financieros'!I69</f>
        <v>0</v>
      </c>
    </row>
    <row r="63" spans="1:9" s="64" customFormat="1" ht="19">
      <c r="A63" s="58"/>
      <c r="B63" s="59"/>
      <c r="C63" s="47"/>
      <c r="D63" s="74" t="s">
        <v>574</v>
      </c>
      <c r="E63" s="3429">
        <f>'Estados Financieros'!E70</f>
        <v>0</v>
      </c>
      <c r="F63" s="3429">
        <f>'Estados Financieros'!F70</f>
        <v>0</v>
      </c>
      <c r="G63" s="3429">
        <f>'Estados Financieros'!G70</f>
        <v>0</v>
      </c>
      <c r="H63" s="3429">
        <f>'Estados Financieros'!H70</f>
        <v>0</v>
      </c>
      <c r="I63" s="3428">
        <f>'Estados Financieros'!I70</f>
        <v>0</v>
      </c>
    </row>
    <row r="64" spans="1:9" s="64" customFormat="1" ht="19">
      <c r="A64" s="58"/>
      <c r="B64" s="59"/>
      <c r="C64" s="66" t="s">
        <v>599</v>
      </c>
      <c r="D64" s="67"/>
      <c r="E64" s="3435">
        <f>'Estados Financieros'!E71</f>
        <v>0</v>
      </c>
      <c r="F64" s="3435">
        <f>'Estados Financieros'!F71</f>
        <v>0</v>
      </c>
      <c r="G64" s="3435">
        <f>'Estados Financieros'!G71</f>
        <v>0</v>
      </c>
      <c r="H64" s="3435">
        <f>'Estados Financieros'!H71</f>
        <v>0</v>
      </c>
      <c r="I64" s="3434">
        <f>'Estados Financieros'!I71</f>
        <v>0</v>
      </c>
    </row>
    <row r="65" spans="1:9" s="64" customFormat="1" ht="19">
      <c r="A65" s="58"/>
      <c r="B65" s="53"/>
      <c r="C65" s="54" t="s">
        <v>600</v>
      </c>
      <c r="D65" s="71"/>
      <c r="E65" s="3433"/>
      <c r="F65" s="3433"/>
      <c r="G65" s="3433"/>
      <c r="H65" s="3433"/>
      <c r="I65" s="3432"/>
    </row>
    <row r="66" spans="1:9" s="64" customFormat="1" ht="19">
      <c r="A66" s="58"/>
      <c r="B66" s="59"/>
      <c r="C66" s="77"/>
      <c r="D66" s="60" t="s">
        <v>601</v>
      </c>
      <c r="E66" s="3431">
        <f>'Estados Financieros'!E73</f>
        <v>0</v>
      </c>
      <c r="F66" s="3431">
        <f>'Estados Financieros'!F73</f>
        <v>0</v>
      </c>
      <c r="G66" s="3431">
        <f>'Estados Financieros'!G73</f>
        <v>0</v>
      </c>
      <c r="H66" s="3431">
        <f>'Estados Financieros'!H73</f>
        <v>0</v>
      </c>
      <c r="I66" s="3430">
        <f>'Estados Financieros'!I73</f>
        <v>0</v>
      </c>
    </row>
    <row r="67" spans="1:9" s="64" customFormat="1" ht="19">
      <c r="A67" s="58"/>
      <c r="B67" s="59"/>
      <c r="C67" s="47"/>
      <c r="D67" s="65" t="s">
        <v>602</v>
      </c>
      <c r="E67" s="3429">
        <f>'Estados Financieros'!E74</f>
        <v>0</v>
      </c>
      <c r="F67" s="3429">
        <f>'Estados Financieros'!F74</f>
        <v>0</v>
      </c>
      <c r="G67" s="3429">
        <f>'Estados Financieros'!G74</f>
        <v>0</v>
      </c>
      <c r="H67" s="3429">
        <f>'Estados Financieros'!H74</f>
        <v>0</v>
      </c>
      <c r="I67" s="3428">
        <f>'Estados Financieros'!I74</f>
        <v>0</v>
      </c>
    </row>
    <row r="68" spans="1:9" s="64" customFormat="1" ht="19" customHeight="1">
      <c r="A68" s="58"/>
      <c r="B68" s="59"/>
      <c r="C68" s="47"/>
      <c r="D68" s="65"/>
      <c r="E68" s="3429"/>
      <c r="F68" s="3429"/>
      <c r="G68" s="3429"/>
      <c r="H68" s="3429"/>
      <c r="I68" s="3428"/>
    </row>
    <row r="69" spans="1:9" s="64" customFormat="1" ht="19">
      <c r="A69" s="58"/>
      <c r="B69" s="59"/>
      <c r="C69" s="47"/>
      <c r="D69" s="65" t="s">
        <v>453</v>
      </c>
      <c r="E69" s="3429">
        <f>'Estados Financieros'!E76</f>
        <v>0</v>
      </c>
      <c r="F69" s="3429">
        <f>'Estados Financieros'!F76</f>
        <v>0</v>
      </c>
      <c r="G69" s="3429">
        <f>'Estados Financieros'!G76</f>
        <v>0</v>
      </c>
      <c r="H69" s="3429">
        <f>'Estados Financieros'!H76</f>
        <v>0</v>
      </c>
      <c r="I69" s="3428">
        <f>'Estados Financieros'!I76</f>
        <v>0</v>
      </c>
    </row>
    <row r="70" spans="1:9" s="64" customFormat="1" ht="19" customHeight="1">
      <c r="A70" s="58"/>
      <c r="B70" s="59"/>
      <c r="C70" s="47"/>
      <c r="D70" s="65"/>
      <c r="E70" s="3429"/>
      <c r="F70" s="3429"/>
      <c r="G70" s="3429"/>
      <c r="H70" s="3429"/>
      <c r="I70" s="3428"/>
    </row>
    <row r="71" spans="1:9" s="64" customFormat="1" ht="19" customHeight="1">
      <c r="A71" s="58"/>
      <c r="B71" s="59"/>
      <c r="C71" s="47"/>
      <c r="D71" s="65"/>
      <c r="E71" s="3429"/>
      <c r="F71" s="3429"/>
      <c r="G71" s="3429"/>
      <c r="H71" s="3429"/>
      <c r="I71" s="3428"/>
    </row>
    <row r="72" spans="1:9" s="64" customFormat="1" ht="19" customHeight="1">
      <c r="A72" s="58"/>
      <c r="B72" s="59"/>
      <c r="C72" s="47"/>
      <c r="D72" s="65"/>
      <c r="E72" s="3429"/>
      <c r="F72" s="3429"/>
      <c r="G72" s="3429"/>
      <c r="H72" s="3429"/>
      <c r="I72" s="3428"/>
    </row>
    <row r="73" spans="1:9" s="64" customFormat="1" ht="19">
      <c r="A73" s="58"/>
      <c r="B73" s="59"/>
      <c r="C73" s="47"/>
      <c r="D73" s="65" t="s">
        <v>598</v>
      </c>
      <c r="E73" s="3429">
        <f>'Estados Financieros'!E80</f>
        <v>0</v>
      </c>
      <c r="F73" s="3429">
        <f>'Estados Financieros'!F80</f>
        <v>0</v>
      </c>
      <c r="G73" s="3429">
        <f>'Estados Financieros'!G80</f>
        <v>0</v>
      </c>
      <c r="H73" s="3429">
        <f>'Estados Financieros'!H80</f>
        <v>0</v>
      </c>
      <c r="I73" s="3428">
        <f>'Estados Financieros'!I80</f>
        <v>0</v>
      </c>
    </row>
    <row r="74" spans="1:9" s="64" customFormat="1" ht="19">
      <c r="A74" s="58"/>
      <c r="B74" s="59"/>
      <c r="C74" s="47"/>
      <c r="D74" s="65" t="s">
        <v>560</v>
      </c>
      <c r="E74" s="3429">
        <f>'Estados Financieros'!E81</f>
        <v>0</v>
      </c>
      <c r="F74" s="3429">
        <f>'Estados Financieros'!F81</f>
        <v>0</v>
      </c>
      <c r="G74" s="3429">
        <f>'Estados Financieros'!G81</f>
        <v>0</v>
      </c>
      <c r="H74" s="3429">
        <f>'Estados Financieros'!H81</f>
        <v>0</v>
      </c>
      <c r="I74" s="3428">
        <f>'Estados Financieros'!I81</f>
        <v>0</v>
      </c>
    </row>
    <row r="75" spans="1:9" s="64" customFormat="1" ht="19">
      <c r="A75" s="58"/>
      <c r="B75" s="59"/>
      <c r="C75" s="47"/>
      <c r="D75" s="65" t="s">
        <v>603</v>
      </c>
      <c r="E75" s="3429">
        <f>'Estados Financieros'!E82</f>
        <v>0</v>
      </c>
      <c r="F75" s="3429">
        <f>'Estados Financieros'!F82</f>
        <v>0</v>
      </c>
      <c r="G75" s="3429">
        <f>'Estados Financieros'!G82</f>
        <v>0</v>
      </c>
      <c r="H75" s="3429">
        <f>'Estados Financieros'!H82</f>
        <v>0</v>
      </c>
      <c r="I75" s="3428">
        <f>'Estados Financieros'!I82</f>
        <v>0</v>
      </c>
    </row>
    <row r="76" spans="1:9" s="64" customFormat="1" ht="19">
      <c r="A76" s="58"/>
      <c r="B76" s="59"/>
      <c r="C76" s="66" t="s">
        <v>604</v>
      </c>
      <c r="D76" s="67"/>
      <c r="E76" s="3435">
        <f>'Estados Financieros'!E83</f>
        <v>0</v>
      </c>
      <c r="F76" s="3435">
        <f>'Estados Financieros'!F83</f>
        <v>0</v>
      </c>
      <c r="G76" s="3435">
        <f>'Estados Financieros'!G83</f>
        <v>0</v>
      </c>
      <c r="H76" s="3435">
        <f>'Estados Financieros'!H83</f>
        <v>0</v>
      </c>
      <c r="I76" s="3434">
        <f>'Estados Financieros'!I83</f>
        <v>0</v>
      </c>
    </row>
    <row r="77" spans="1:9" s="64" customFormat="1" ht="19">
      <c r="A77" s="58"/>
      <c r="B77" s="53"/>
      <c r="C77" s="54" t="s">
        <v>605</v>
      </c>
      <c r="D77" s="71"/>
      <c r="E77" s="3433"/>
      <c r="F77" s="3433"/>
      <c r="G77" s="3433"/>
      <c r="H77" s="3433"/>
      <c r="I77" s="3432"/>
    </row>
    <row r="78" spans="1:9" s="64" customFormat="1" ht="19">
      <c r="A78" s="58"/>
      <c r="B78" s="59"/>
      <c r="C78" s="47"/>
      <c r="D78" s="60" t="s">
        <v>606</v>
      </c>
      <c r="E78" s="3431">
        <f>'Estados Financieros'!E85</f>
        <v>0</v>
      </c>
      <c r="F78" s="3431">
        <f>'Estados Financieros'!F85</f>
        <v>0</v>
      </c>
      <c r="G78" s="3431">
        <f>'Estados Financieros'!G85</f>
        <v>0</v>
      </c>
      <c r="H78" s="3431">
        <f>'Estados Financieros'!H85</f>
        <v>0</v>
      </c>
      <c r="I78" s="3430">
        <f>'Estados Financieros'!I85</f>
        <v>0</v>
      </c>
    </row>
    <row r="79" spans="1:9" s="64" customFormat="1" ht="19">
      <c r="A79" s="58"/>
      <c r="B79" s="59"/>
      <c r="C79" s="47"/>
      <c r="D79" s="65" t="s">
        <v>607</v>
      </c>
      <c r="E79" s="3429">
        <f>'Estados Financieros'!E86</f>
        <v>0</v>
      </c>
      <c r="F79" s="3429">
        <f>'Estados Financieros'!F86</f>
        <v>0</v>
      </c>
      <c r="G79" s="3429">
        <f>'Estados Financieros'!G86</f>
        <v>0</v>
      </c>
      <c r="H79" s="3429">
        <f>'Estados Financieros'!H86</f>
        <v>0</v>
      </c>
      <c r="I79" s="3428">
        <f>'Estados Financieros'!I86</f>
        <v>0</v>
      </c>
    </row>
    <row r="80" spans="1:9" s="64" customFormat="1" ht="19">
      <c r="A80" s="58"/>
      <c r="B80" s="59"/>
      <c r="C80" s="47"/>
      <c r="D80" s="65" t="s">
        <v>608</v>
      </c>
      <c r="E80" s="3429">
        <f>'Estados Financieros'!E87</f>
        <v>0</v>
      </c>
      <c r="F80" s="3429">
        <f>'Estados Financieros'!F87</f>
        <v>0</v>
      </c>
      <c r="G80" s="3429">
        <f>'Estados Financieros'!G87</f>
        <v>0</v>
      </c>
      <c r="H80" s="3429">
        <f>'Estados Financieros'!H87</f>
        <v>0</v>
      </c>
      <c r="I80" s="3428">
        <f>'Estados Financieros'!I87</f>
        <v>0</v>
      </c>
    </row>
    <row r="81" spans="1:9" s="64" customFormat="1" ht="19">
      <c r="A81" s="58"/>
      <c r="B81" s="59"/>
      <c r="C81" s="47"/>
      <c r="D81" s="65" t="s">
        <v>609</v>
      </c>
      <c r="E81" s="3429">
        <f>'Estados Financieros'!E88</f>
        <v>0</v>
      </c>
      <c r="F81" s="3429">
        <f>'Estados Financieros'!F88</f>
        <v>0</v>
      </c>
      <c r="G81" s="3429">
        <f>'Estados Financieros'!G88</f>
        <v>0</v>
      </c>
      <c r="H81" s="3429">
        <f>'Estados Financieros'!H88</f>
        <v>0</v>
      </c>
      <c r="I81" s="3428">
        <f>'Estados Financieros'!I88</f>
        <v>0</v>
      </c>
    </row>
    <row r="82" spans="1:9" s="64" customFormat="1" ht="19" customHeight="1">
      <c r="A82" s="58"/>
      <c r="B82" s="59"/>
      <c r="C82" s="47"/>
      <c r="D82" s="65"/>
      <c r="E82" s="3429"/>
      <c r="F82" s="3429"/>
      <c r="G82" s="3429"/>
      <c r="H82" s="3429"/>
      <c r="I82" s="3428"/>
    </row>
    <row r="83" spans="1:9" s="64" customFormat="1" ht="19">
      <c r="A83" s="58"/>
      <c r="B83" s="59"/>
      <c r="C83" s="47"/>
      <c r="D83" s="65" t="s">
        <v>560</v>
      </c>
      <c r="E83" s="3429">
        <f>'Estados Financieros'!E90</f>
        <v>0</v>
      </c>
      <c r="F83" s="3429">
        <f>'Estados Financieros'!F90</f>
        <v>0</v>
      </c>
      <c r="G83" s="3429">
        <f>'Estados Financieros'!G90</f>
        <v>0</v>
      </c>
      <c r="H83" s="3429">
        <f>'Estados Financieros'!H90</f>
        <v>0</v>
      </c>
      <c r="I83" s="3428">
        <f>'Estados Financieros'!I90</f>
        <v>0</v>
      </c>
    </row>
    <row r="84" spans="1:9" s="64" customFormat="1" ht="19">
      <c r="A84" s="58"/>
      <c r="B84" s="59"/>
      <c r="C84" s="66" t="s">
        <v>610</v>
      </c>
      <c r="D84" s="67"/>
      <c r="E84" s="3435">
        <f>'Estados Financieros'!E91</f>
        <v>0</v>
      </c>
      <c r="F84" s="3435">
        <f>'Estados Financieros'!F91</f>
        <v>0</v>
      </c>
      <c r="G84" s="3435">
        <f>'Estados Financieros'!G91</f>
        <v>0</v>
      </c>
      <c r="H84" s="3435">
        <f>'Estados Financieros'!H91</f>
        <v>0</v>
      </c>
      <c r="I84" s="3434">
        <f>'Estados Financieros'!I91</f>
        <v>0</v>
      </c>
    </row>
    <row r="85" spans="1:9" s="64" customFormat="1" ht="19">
      <c r="A85" s="58"/>
      <c r="B85" s="53"/>
      <c r="C85" s="54" t="s">
        <v>611</v>
      </c>
      <c r="D85" s="71"/>
      <c r="E85" s="3433"/>
      <c r="F85" s="3433"/>
      <c r="G85" s="3433"/>
      <c r="H85" s="3433"/>
      <c r="I85" s="3432"/>
    </row>
    <row r="86" spans="1:9" s="64" customFormat="1" ht="19">
      <c r="A86" s="58"/>
      <c r="B86" s="59"/>
      <c r="C86" s="47"/>
      <c r="D86" s="74" t="s">
        <v>612</v>
      </c>
      <c r="E86" s="3431">
        <f>'Estados Financieros'!E93</f>
        <v>0</v>
      </c>
      <c r="F86" s="3431">
        <f>'Estados Financieros'!F93</f>
        <v>0</v>
      </c>
      <c r="G86" s="3431">
        <f>'Estados Financieros'!G93</f>
        <v>0</v>
      </c>
      <c r="H86" s="3431">
        <f>'Estados Financieros'!H93</f>
        <v>0</v>
      </c>
      <c r="I86" s="3430">
        <f>'Estados Financieros'!I93</f>
        <v>0</v>
      </c>
    </row>
    <row r="87" spans="1:9" s="64" customFormat="1" ht="19" customHeight="1">
      <c r="A87" s="58"/>
      <c r="B87" s="59"/>
      <c r="C87" s="47"/>
      <c r="D87" s="65"/>
      <c r="E87" s="3429"/>
      <c r="F87" s="3429"/>
      <c r="G87" s="3429"/>
      <c r="H87" s="3429"/>
      <c r="I87" s="3428"/>
    </row>
    <row r="88" spans="1:9" s="64" customFormat="1" ht="19">
      <c r="A88" s="58"/>
      <c r="B88" s="59"/>
      <c r="C88" s="47"/>
      <c r="D88" s="74" t="s">
        <v>613</v>
      </c>
      <c r="E88" s="3429">
        <f>'Estados Financieros'!E95</f>
        <v>0</v>
      </c>
      <c r="F88" s="3429">
        <f>'Estados Financieros'!F95</f>
        <v>0</v>
      </c>
      <c r="G88" s="3429">
        <f>'Estados Financieros'!G95</f>
        <v>0</v>
      </c>
      <c r="H88" s="3429">
        <f>'Estados Financieros'!H95</f>
        <v>0</v>
      </c>
      <c r="I88" s="3428">
        <f>'Estados Financieros'!I95</f>
        <v>0</v>
      </c>
    </row>
    <row r="89" spans="1:9" s="64" customFormat="1" ht="19" customHeight="1">
      <c r="A89" s="58"/>
      <c r="B89" s="59"/>
      <c r="C89" s="47"/>
      <c r="D89" s="65"/>
      <c r="E89" s="3429"/>
      <c r="F89" s="3429"/>
      <c r="G89" s="3450"/>
      <c r="H89" s="3450"/>
      <c r="I89" s="3448"/>
    </row>
    <row r="90" spans="1:9" s="64" customFormat="1" ht="19">
      <c r="A90" s="58"/>
      <c r="B90" s="59"/>
      <c r="C90" s="80" t="s">
        <v>614</v>
      </c>
      <c r="D90" s="81"/>
      <c r="E90" s="3437">
        <f>'Estados Financieros'!E97</f>
        <v>0</v>
      </c>
      <c r="F90" s="3437">
        <f>'Estados Financieros'!F97</f>
        <v>0</v>
      </c>
      <c r="G90" s="3437">
        <f>'Estados Financieros'!G97</f>
        <v>0</v>
      </c>
      <c r="H90" s="3437">
        <f>'Estados Financieros'!H97</f>
        <v>0</v>
      </c>
      <c r="I90" s="3436">
        <f>'Estados Financieros'!I97</f>
        <v>0</v>
      </c>
    </row>
    <row r="91" spans="1:9" s="64" customFormat="1" ht="19">
      <c r="A91" s="58"/>
      <c r="B91" s="84"/>
      <c r="C91" s="85" t="s">
        <v>615</v>
      </c>
      <c r="D91" s="86"/>
      <c r="E91" s="3422">
        <f>'Estados Financieros'!E98</f>
        <v>0</v>
      </c>
      <c r="F91" s="3422">
        <f>'Estados Financieros'!F98</f>
        <v>0</v>
      </c>
      <c r="G91" s="3422">
        <f>'Estados Financieros'!G98</f>
        <v>0</v>
      </c>
      <c r="H91" s="3422">
        <f>'Estados Financieros'!H98</f>
        <v>0</v>
      </c>
      <c r="I91" s="3421">
        <f>'Estados Financieros'!I98</f>
        <v>0</v>
      </c>
    </row>
    <row r="92" spans="1:9" s="64" customFormat="1" ht="19">
      <c r="A92" s="58"/>
      <c r="B92" s="53"/>
      <c r="C92" s="54" t="s">
        <v>616</v>
      </c>
      <c r="D92" s="89"/>
      <c r="E92" s="3439"/>
      <c r="F92" s="3439"/>
      <c r="G92" s="3439"/>
      <c r="H92" s="3439"/>
      <c r="I92" s="3445"/>
    </row>
    <row r="93" spans="1:9" s="64" customFormat="1" ht="19">
      <c r="A93" s="58"/>
      <c r="B93" s="59"/>
      <c r="C93" s="47"/>
      <c r="D93" s="60" t="s">
        <v>617</v>
      </c>
      <c r="E93" s="3431">
        <f>'Estados Financieros'!E100</f>
        <v>0</v>
      </c>
      <c r="F93" s="3431">
        <f>'Estados Financieros'!F100</f>
        <v>0</v>
      </c>
      <c r="G93" s="3431">
        <f>'Estados Financieros'!G100</f>
        <v>0</v>
      </c>
      <c r="H93" s="3431">
        <f>'Estados Financieros'!H100</f>
        <v>0</v>
      </c>
      <c r="I93" s="3430">
        <f>'Estados Financieros'!I100</f>
        <v>0</v>
      </c>
    </row>
    <row r="94" spans="1:9" s="64" customFormat="1" ht="19">
      <c r="A94" s="58"/>
      <c r="B94" s="59"/>
      <c r="C94" s="47"/>
      <c r="D94" s="65" t="s">
        <v>618</v>
      </c>
      <c r="E94" s="3429">
        <f>'Estados Financieros'!E101</f>
        <v>0</v>
      </c>
      <c r="F94" s="3429">
        <f>'Estados Financieros'!F101</f>
        <v>0</v>
      </c>
      <c r="G94" s="3429">
        <f>'Estados Financieros'!G101</f>
        <v>0</v>
      </c>
      <c r="H94" s="3429">
        <f>'Estados Financieros'!H101</f>
        <v>0</v>
      </c>
      <c r="I94" s="3428">
        <f>'Estados Financieros'!I101</f>
        <v>0</v>
      </c>
    </row>
    <row r="95" spans="1:9" s="64" customFormat="1" ht="19">
      <c r="A95" s="58"/>
      <c r="B95" s="59"/>
      <c r="C95" s="47"/>
      <c r="D95" s="65" t="s">
        <v>619</v>
      </c>
      <c r="E95" s="3429">
        <f>'Estados Financieros'!E102</f>
        <v>0</v>
      </c>
      <c r="F95" s="3429">
        <f>'Estados Financieros'!F102</f>
        <v>0</v>
      </c>
      <c r="G95" s="3429">
        <f>'Estados Financieros'!G102</f>
        <v>0</v>
      </c>
      <c r="H95" s="3429">
        <f>'Estados Financieros'!H102</f>
        <v>0</v>
      </c>
      <c r="I95" s="3428">
        <f>'Estados Financieros'!I102</f>
        <v>0</v>
      </c>
    </row>
    <row r="96" spans="1:9" s="64" customFormat="1" ht="19">
      <c r="A96" s="58"/>
      <c r="B96" s="59"/>
      <c r="C96" s="47"/>
      <c r="D96" s="65" t="s">
        <v>362</v>
      </c>
      <c r="E96" s="3429">
        <f>'Estados Financieros'!E103</f>
        <v>0</v>
      </c>
      <c r="F96" s="3429">
        <f>'Estados Financieros'!F103</f>
        <v>0</v>
      </c>
      <c r="G96" s="3429">
        <f>'Estados Financieros'!G103</f>
        <v>0</v>
      </c>
      <c r="H96" s="3429">
        <f>'Estados Financieros'!H103</f>
        <v>0</v>
      </c>
      <c r="I96" s="3428">
        <f>'Estados Financieros'!I103</f>
        <v>0</v>
      </c>
    </row>
    <row r="97" spans="1:9" s="64" customFormat="1" ht="19">
      <c r="A97" s="58"/>
      <c r="B97" s="59"/>
      <c r="C97" s="47"/>
      <c r="D97" s="65" t="s">
        <v>620</v>
      </c>
      <c r="E97" s="3429">
        <f>'Estados Financieros'!E104</f>
        <v>0</v>
      </c>
      <c r="F97" s="3429">
        <f>'Estados Financieros'!F104</f>
        <v>0</v>
      </c>
      <c r="G97" s="3429">
        <f>'Estados Financieros'!G104</f>
        <v>0</v>
      </c>
      <c r="H97" s="3429">
        <f>'Estados Financieros'!H104</f>
        <v>0</v>
      </c>
      <c r="I97" s="3428">
        <f>'Estados Financieros'!I104</f>
        <v>0</v>
      </c>
    </row>
    <row r="98" spans="1:9" s="64" customFormat="1" ht="19">
      <c r="A98" s="58"/>
      <c r="B98" s="59"/>
      <c r="C98" s="47"/>
      <c r="D98" s="65" t="s">
        <v>621</v>
      </c>
      <c r="E98" s="3429">
        <f>'Estados Financieros'!E105</f>
        <v>0</v>
      </c>
      <c r="F98" s="3429">
        <f>'Estados Financieros'!F105</f>
        <v>0</v>
      </c>
      <c r="G98" s="3429">
        <f>'Estados Financieros'!G105</f>
        <v>0</v>
      </c>
      <c r="H98" s="3429">
        <f>'Estados Financieros'!H105</f>
        <v>0</v>
      </c>
      <c r="I98" s="3428">
        <f>'Estados Financieros'!I105</f>
        <v>0</v>
      </c>
    </row>
    <row r="99" spans="1:9" s="64" customFormat="1" ht="19">
      <c r="A99" s="58"/>
      <c r="B99" s="59"/>
      <c r="C99" s="47"/>
      <c r="D99" s="65" t="s">
        <v>622</v>
      </c>
      <c r="E99" s="3429">
        <f>'Estados Financieros'!E106</f>
        <v>0</v>
      </c>
      <c r="F99" s="3429">
        <f>'Estados Financieros'!F106</f>
        <v>0</v>
      </c>
      <c r="G99" s="3429">
        <f>'Estados Financieros'!G106</f>
        <v>0</v>
      </c>
      <c r="H99" s="3429">
        <f>'Estados Financieros'!H106</f>
        <v>0</v>
      </c>
      <c r="I99" s="3428">
        <f>'Estados Financieros'!I106</f>
        <v>0</v>
      </c>
    </row>
    <row r="100" spans="1:9" s="64" customFormat="1" ht="19">
      <c r="A100" s="58"/>
      <c r="B100" s="59"/>
      <c r="C100" s="47"/>
      <c r="D100" s="65" t="s">
        <v>623</v>
      </c>
      <c r="E100" s="3429">
        <f>'Estados Financieros'!E107</f>
        <v>0</v>
      </c>
      <c r="F100" s="3429">
        <f>'Estados Financieros'!F107</f>
        <v>0</v>
      </c>
      <c r="G100" s="3429">
        <f>'Estados Financieros'!G107</f>
        <v>0</v>
      </c>
      <c r="H100" s="3429">
        <f>'Estados Financieros'!H107</f>
        <v>0</v>
      </c>
      <c r="I100" s="3428">
        <f>'Estados Financieros'!I107</f>
        <v>0</v>
      </c>
    </row>
    <row r="101" spans="1:9" s="64" customFormat="1" ht="19">
      <c r="A101" s="58"/>
      <c r="B101" s="59"/>
      <c r="C101" s="47"/>
      <c r="D101" s="65" t="s">
        <v>624</v>
      </c>
      <c r="E101" s="3429">
        <f>'Estados Financieros'!E108</f>
        <v>0</v>
      </c>
      <c r="F101" s="3429">
        <f>'Estados Financieros'!F108</f>
        <v>0</v>
      </c>
      <c r="G101" s="3429">
        <f>'Estados Financieros'!G108</f>
        <v>0</v>
      </c>
      <c r="H101" s="3429">
        <f>'Estados Financieros'!H108</f>
        <v>0</v>
      </c>
      <c r="I101" s="3428">
        <f>'Estados Financieros'!I108</f>
        <v>0</v>
      </c>
    </row>
    <row r="102" spans="1:9" s="64" customFormat="1" ht="19">
      <c r="A102" s="58"/>
      <c r="B102" s="59"/>
      <c r="C102" s="47"/>
      <c r="D102" s="65" t="s">
        <v>625</v>
      </c>
      <c r="E102" s="3429">
        <f>'Estados Financieros'!E109</f>
        <v>0</v>
      </c>
      <c r="F102" s="3429">
        <f>'Estados Financieros'!F109</f>
        <v>0</v>
      </c>
      <c r="G102" s="3429">
        <f>'Estados Financieros'!G109</f>
        <v>0</v>
      </c>
      <c r="H102" s="3429">
        <f>'Estados Financieros'!H109</f>
        <v>0</v>
      </c>
      <c r="I102" s="3428">
        <f>'Estados Financieros'!I109</f>
        <v>0</v>
      </c>
    </row>
    <row r="103" spans="1:9" s="64" customFormat="1" ht="19">
      <c r="A103" s="58"/>
      <c r="B103" s="59"/>
      <c r="C103" s="47"/>
      <c r="D103" s="65" t="s">
        <v>626</v>
      </c>
      <c r="E103" s="3429">
        <f>'Estados Financieros'!E110</f>
        <v>0</v>
      </c>
      <c r="F103" s="3429">
        <f>'Estados Financieros'!F110</f>
        <v>0</v>
      </c>
      <c r="G103" s="3429">
        <f>'Estados Financieros'!G110</f>
        <v>0</v>
      </c>
      <c r="H103" s="3429">
        <f>'Estados Financieros'!H110</f>
        <v>0</v>
      </c>
      <c r="I103" s="3428">
        <f>'Estados Financieros'!I110</f>
        <v>0</v>
      </c>
    </row>
    <row r="104" spans="1:9" s="64" customFormat="1" ht="19">
      <c r="A104" s="58"/>
      <c r="B104" s="59"/>
      <c r="C104" s="47"/>
      <c r="D104" s="65" t="s">
        <v>627</v>
      </c>
      <c r="E104" s="3429">
        <f>'Estados Financieros'!E111</f>
        <v>0</v>
      </c>
      <c r="F104" s="3429">
        <f>'Estados Financieros'!F111</f>
        <v>0</v>
      </c>
      <c r="G104" s="3429">
        <f>'Estados Financieros'!G111</f>
        <v>0</v>
      </c>
      <c r="H104" s="3429">
        <f>'Estados Financieros'!H111</f>
        <v>0</v>
      </c>
      <c r="I104" s="3428">
        <f>'Estados Financieros'!I111</f>
        <v>0</v>
      </c>
    </row>
    <row r="105" spans="1:9" s="64" customFormat="1" ht="19">
      <c r="A105" s="58"/>
      <c r="B105" s="59"/>
      <c r="C105" s="47"/>
      <c r="D105" s="65" t="s">
        <v>628</v>
      </c>
      <c r="E105" s="3429">
        <f>'Estados Financieros'!E112</f>
        <v>0</v>
      </c>
      <c r="F105" s="3429">
        <f>'Estados Financieros'!F112</f>
        <v>0</v>
      </c>
      <c r="G105" s="3429">
        <f>'Estados Financieros'!G112</f>
        <v>0</v>
      </c>
      <c r="H105" s="3429">
        <f>'Estados Financieros'!H112</f>
        <v>0</v>
      </c>
      <c r="I105" s="3428">
        <f>'Estados Financieros'!I112</f>
        <v>0</v>
      </c>
    </row>
    <row r="106" spans="1:9" s="64" customFormat="1" ht="19">
      <c r="A106" s="58"/>
      <c r="B106" s="59"/>
      <c r="C106" s="47"/>
      <c r="D106" s="65" t="s">
        <v>629</v>
      </c>
      <c r="E106" s="3429">
        <f>'Estados Financieros'!E113</f>
        <v>0</v>
      </c>
      <c r="F106" s="3429">
        <f>'Estados Financieros'!F113</f>
        <v>0</v>
      </c>
      <c r="G106" s="3429">
        <f>'Estados Financieros'!G113</f>
        <v>0</v>
      </c>
      <c r="H106" s="3429">
        <f>'Estados Financieros'!H113</f>
        <v>0</v>
      </c>
      <c r="I106" s="3428">
        <f>'Estados Financieros'!I113</f>
        <v>0</v>
      </c>
    </row>
    <row r="107" spans="1:9" s="64" customFormat="1" ht="19">
      <c r="A107" s="58"/>
      <c r="B107" s="59"/>
      <c r="C107" s="47"/>
      <c r="D107" s="65" t="s">
        <v>630</v>
      </c>
      <c r="E107" s="3429">
        <f>'Estados Financieros'!E114</f>
        <v>0</v>
      </c>
      <c r="F107" s="3429">
        <f>'Estados Financieros'!F114</f>
        <v>0</v>
      </c>
      <c r="G107" s="3429">
        <f>'Estados Financieros'!G114</f>
        <v>0</v>
      </c>
      <c r="H107" s="3429">
        <f>'Estados Financieros'!H114</f>
        <v>0</v>
      </c>
      <c r="I107" s="3428">
        <f>'Estados Financieros'!I114</f>
        <v>0</v>
      </c>
    </row>
    <row r="108" spans="1:9" s="64" customFormat="1" ht="19">
      <c r="A108" s="58"/>
      <c r="B108" s="59"/>
      <c r="C108" s="47"/>
      <c r="D108" s="65" t="s">
        <v>453</v>
      </c>
      <c r="E108" s="3429">
        <f>'Estados Financieros'!E115</f>
        <v>0</v>
      </c>
      <c r="F108" s="3429">
        <f>'Estados Financieros'!F115</f>
        <v>0</v>
      </c>
      <c r="G108" s="3429">
        <f>'Estados Financieros'!G115</f>
        <v>0</v>
      </c>
      <c r="H108" s="3429">
        <f>'Estados Financieros'!H115</f>
        <v>0</v>
      </c>
      <c r="I108" s="3428">
        <f>'Estados Financieros'!I115</f>
        <v>0</v>
      </c>
    </row>
    <row r="109" spans="1:9" s="64" customFormat="1" ht="19">
      <c r="A109" s="58"/>
      <c r="B109" s="59"/>
      <c r="C109" s="47"/>
      <c r="D109" s="65" t="s">
        <v>631</v>
      </c>
      <c r="E109" s="3429">
        <f>'Estados Financieros'!E116</f>
        <v>0</v>
      </c>
      <c r="F109" s="3429">
        <f>'Estados Financieros'!F116</f>
        <v>0</v>
      </c>
      <c r="G109" s="3429">
        <f>'Estados Financieros'!G116</f>
        <v>0</v>
      </c>
      <c r="H109" s="3429">
        <f>'Estados Financieros'!H116</f>
        <v>0</v>
      </c>
      <c r="I109" s="3428">
        <f>'Estados Financieros'!I116</f>
        <v>0</v>
      </c>
    </row>
    <row r="110" spans="1:9" s="64" customFormat="1" ht="19">
      <c r="A110" s="58"/>
      <c r="B110" s="59"/>
      <c r="C110" s="47"/>
      <c r="D110" s="65" t="s">
        <v>632</v>
      </c>
      <c r="E110" s="3429">
        <f>'Estados Financieros'!E117</f>
        <v>0</v>
      </c>
      <c r="F110" s="3429">
        <f>'Estados Financieros'!F117</f>
        <v>0</v>
      </c>
      <c r="G110" s="3429">
        <f>'Estados Financieros'!G117</f>
        <v>0</v>
      </c>
      <c r="H110" s="3429">
        <f>'Estados Financieros'!H117</f>
        <v>0</v>
      </c>
      <c r="I110" s="3428">
        <f>'Estados Financieros'!I117</f>
        <v>0</v>
      </c>
    </row>
    <row r="111" spans="1:9" s="64" customFormat="1" ht="19">
      <c r="A111" s="58"/>
      <c r="B111" s="59"/>
      <c r="C111" s="47"/>
      <c r="D111" s="65" t="s">
        <v>560</v>
      </c>
      <c r="E111" s="3429">
        <f>'Estados Financieros'!E118</f>
        <v>0</v>
      </c>
      <c r="F111" s="3429">
        <f>'Estados Financieros'!F118</f>
        <v>0</v>
      </c>
      <c r="G111" s="3429">
        <f>'Estados Financieros'!G118</f>
        <v>0</v>
      </c>
      <c r="H111" s="3429">
        <f>'Estados Financieros'!H118</f>
        <v>0</v>
      </c>
      <c r="I111" s="3428">
        <f>'Estados Financieros'!I118</f>
        <v>0</v>
      </c>
    </row>
    <row r="112" spans="1:9" s="64" customFormat="1" ht="19">
      <c r="A112" s="58"/>
      <c r="B112" s="59"/>
      <c r="C112" s="47"/>
      <c r="D112" s="65" t="s">
        <v>603</v>
      </c>
      <c r="E112" s="3429">
        <f>'Estados Financieros'!E119</f>
        <v>0</v>
      </c>
      <c r="F112" s="3429">
        <f>'Estados Financieros'!F119</f>
        <v>0</v>
      </c>
      <c r="G112" s="3429">
        <f>'Estados Financieros'!G119</f>
        <v>0</v>
      </c>
      <c r="H112" s="3429">
        <f>'Estados Financieros'!H119</f>
        <v>0</v>
      </c>
      <c r="I112" s="3428">
        <f>'Estados Financieros'!I119</f>
        <v>0</v>
      </c>
    </row>
    <row r="113" spans="1:9" s="64" customFormat="1" ht="19">
      <c r="A113" s="58"/>
      <c r="B113" s="59"/>
      <c r="C113" s="66" t="s">
        <v>633</v>
      </c>
      <c r="D113" s="67"/>
      <c r="E113" s="3435">
        <f>'Estados Financieros'!E120</f>
        <v>0</v>
      </c>
      <c r="F113" s="3435">
        <f>'Estados Financieros'!F120</f>
        <v>0</v>
      </c>
      <c r="G113" s="3435">
        <f>'Estados Financieros'!G120</f>
        <v>0</v>
      </c>
      <c r="H113" s="3435">
        <f>'Estados Financieros'!H120</f>
        <v>0</v>
      </c>
      <c r="I113" s="3434">
        <f>'Estados Financieros'!I120</f>
        <v>0</v>
      </c>
    </row>
    <row r="114" spans="1:9" s="64" customFormat="1" ht="19">
      <c r="A114" s="58"/>
      <c r="B114" s="53"/>
      <c r="C114" s="54" t="s">
        <v>634</v>
      </c>
      <c r="D114" s="71"/>
      <c r="E114" s="3433"/>
      <c r="F114" s="3433"/>
      <c r="G114" s="3433"/>
      <c r="H114" s="3433"/>
      <c r="I114" s="3432"/>
    </row>
    <row r="115" spans="1:9" s="64" customFormat="1" ht="19">
      <c r="A115" s="58"/>
      <c r="B115" s="59"/>
      <c r="C115" s="47"/>
      <c r="D115" s="60" t="s">
        <v>567</v>
      </c>
      <c r="E115" s="3431">
        <f>'Estados Financieros'!E122</f>
        <v>0</v>
      </c>
      <c r="F115" s="3431">
        <f>'Estados Financieros'!F122</f>
        <v>0</v>
      </c>
      <c r="G115" s="3431">
        <f>'Estados Financieros'!G122</f>
        <v>0</v>
      </c>
      <c r="H115" s="3431">
        <f>'Estados Financieros'!H122</f>
        <v>0</v>
      </c>
      <c r="I115" s="3430">
        <f>'Estados Financieros'!I122</f>
        <v>0</v>
      </c>
    </row>
    <row r="116" spans="1:9" s="64" customFormat="1" ht="19">
      <c r="A116" s="58"/>
      <c r="B116" s="59"/>
      <c r="C116" s="47"/>
      <c r="D116" s="65" t="s">
        <v>569</v>
      </c>
      <c r="E116" s="3429">
        <f>'Estados Financieros'!E123</f>
        <v>0</v>
      </c>
      <c r="F116" s="3429">
        <f>'Estados Financieros'!F123</f>
        <v>0</v>
      </c>
      <c r="G116" s="3429">
        <f>'Estados Financieros'!G123</f>
        <v>0</v>
      </c>
      <c r="H116" s="3429">
        <f>'Estados Financieros'!H123</f>
        <v>0</v>
      </c>
      <c r="I116" s="3428">
        <f>'Estados Financieros'!I123</f>
        <v>0</v>
      </c>
    </row>
    <row r="117" spans="1:9" s="64" customFormat="1" ht="19">
      <c r="A117" s="58"/>
      <c r="B117" s="59"/>
      <c r="C117" s="47"/>
      <c r="D117" s="65" t="s">
        <v>571</v>
      </c>
      <c r="E117" s="3429">
        <f>'Estados Financieros'!E124</f>
        <v>0</v>
      </c>
      <c r="F117" s="3429">
        <f>'Estados Financieros'!F124</f>
        <v>0</v>
      </c>
      <c r="G117" s="3429">
        <f>'Estados Financieros'!G124</f>
        <v>0</v>
      </c>
      <c r="H117" s="3429">
        <f>'Estados Financieros'!H124</f>
        <v>0</v>
      </c>
      <c r="I117" s="3428">
        <f>'Estados Financieros'!I124</f>
        <v>0</v>
      </c>
    </row>
    <row r="118" spans="1:9" s="64" customFormat="1" ht="19">
      <c r="A118" s="58"/>
      <c r="B118" s="59"/>
      <c r="C118" s="47"/>
      <c r="D118" s="65" t="s">
        <v>635</v>
      </c>
      <c r="E118" s="3429">
        <f>'Estados Financieros'!E125</f>
        <v>0</v>
      </c>
      <c r="F118" s="3429">
        <f>'Estados Financieros'!F125</f>
        <v>0</v>
      </c>
      <c r="G118" s="3429">
        <f>'Estados Financieros'!G125</f>
        <v>0</v>
      </c>
      <c r="H118" s="3429">
        <f>'Estados Financieros'!H125</f>
        <v>0</v>
      </c>
      <c r="I118" s="3428">
        <f>'Estados Financieros'!I125</f>
        <v>0</v>
      </c>
    </row>
    <row r="119" spans="1:9" s="64" customFormat="1" ht="19">
      <c r="A119" s="58"/>
      <c r="B119" s="59"/>
      <c r="C119" s="47"/>
      <c r="D119" s="65" t="s">
        <v>577</v>
      </c>
      <c r="E119" s="3429">
        <f>'Estados Financieros'!E126</f>
        <v>0</v>
      </c>
      <c r="F119" s="3429">
        <f>'Estados Financieros'!F126</f>
        <v>0</v>
      </c>
      <c r="G119" s="3429">
        <f>'Estados Financieros'!G126</f>
        <v>0</v>
      </c>
      <c r="H119" s="3429">
        <f>'Estados Financieros'!H126</f>
        <v>0</v>
      </c>
      <c r="I119" s="3428">
        <f>'Estados Financieros'!I126</f>
        <v>0</v>
      </c>
    </row>
    <row r="120" spans="1:9" s="64" customFormat="1" ht="19">
      <c r="A120" s="58"/>
      <c r="B120" s="59"/>
      <c r="C120" s="47"/>
      <c r="D120" s="65" t="s">
        <v>578</v>
      </c>
      <c r="E120" s="3429">
        <f>'Estados Financieros'!E127</f>
        <v>0</v>
      </c>
      <c r="F120" s="3429">
        <f>'Estados Financieros'!F127</f>
        <v>0</v>
      </c>
      <c r="G120" s="3429">
        <f>'Estados Financieros'!G127</f>
        <v>0</v>
      </c>
      <c r="H120" s="3429">
        <f>'Estados Financieros'!H127</f>
        <v>0</v>
      </c>
      <c r="I120" s="3428">
        <f>'Estados Financieros'!I127</f>
        <v>0</v>
      </c>
    </row>
    <row r="121" spans="1:9" s="64" customFormat="1" ht="19">
      <c r="A121" s="58"/>
      <c r="B121" s="59"/>
      <c r="C121" s="47"/>
      <c r="D121" s="65" t="s">
        <v>579</v>
      </c>
      <c r="E121" s="3429">
        <f>'Estados Financieros'!E128</f>
        <v>0</v>
      </c>
      <c r="F121" s="3429">
        <f>'Estados Financieros'!F128</f>
        <v>0</v>
      </c>
      <c r="G121" s="3429">
        <f>'Estados Financieros'!G128</f>
        <v>0</v>
      </c>
      <c r="H121" s="3429">
        <f>'Estados Financieros'!H128</f>
        <v>0</v>
      </c>
      <c r="I121" s="3428">
        <f>'Estados Financieros'!I128</f>
        <v>0</v>
      </c>
    </row>
    <row r="122" spans="1:9" s="64" customFormat="1" ht="19">
      <c r="A122" s="58"/>
      <c r="B122" s="59"/>
      <c r="C122" s="47"/>
      <c r="D122" s="65" t="s">
        <v>580</v>
      </c>
      <c r="E122" s="3429">
        <f>'Estados Financieros'!E129</f>
        <v>0</v>
      </c>
      <c r="F122" s="3429">
        <f>'Estados Financieros'!F129</f>
        <v>0</v>
      </c>
      <c r="G122" s="3429">
        <f>'Estados Financieros'!G129</f>
        <v>0</v>
      </c>
      <c r="H122" s="3429">
        <f>'Estados Financieros'!H129</f>
        <v>0</v>
      </c>
      <c r="I122" s="3428">
        <f>'Estados Financieros'!I129</f>
        <v>0</v>
      </c>
    </row>
    <row r="123" spans="1:9" s="64" customFormat="1" ht="19">
      <c r="A123" s="58"/>
      <c r="B123" s="59"/>
      <c r="C123" s="47"/>
      <c r="D123" s="65" t="s">
        <v>581</v>
      </c>
      <c r="E123" s="3429">
        <f>'Estados Financieros'!E130</f>
        <v>0</v>
      </c>
      <c r="F123" s="3429">
        <f>'Estados Financieros'!F130</f>
        <v>0</v>
      </c>
      <c r="G123" s="3429">
        <f>'Estados Financieros'!G130</f>
        <v>0</v>
      </c>
      <c r="H123" s="3429">
        <f>'Estados Financieros'!H130</f>
        <v>0</v>
      </c>
      <c r="I123" s="3428">
        <f>'Estados Financieros'!I130</f>
        <v>0</v>
      </c>
    </row>
    <row r="124" spans="1:9" s="64" customFormat="1" ht="19">
      <c r="A124" s="58"/>
      <c r="B124" s="59"/>
      <c r="C124" s="47"/>
      <c r="D124" s="65" t="s">
        <v>582</v>
      </c>
      <c r="E124" s="3429">
        <f>'Estados Financieros'!E131</f>
        <v>0</v>
      </c>
      <c r="F124" s="3429">
        <f>'Estados Financieros'!F131</f>
        <v>0</v>
      </c>
      <c r="G124" s="3429">
        <f>'Estados Financieros'!G131</f>
        <v>0</v>
      </c>
      <c r="H124" s="3429">
        <f>'Estados Financieros'!H131</f>
        <v>0</v>
      </c>
      <c r="I124" s="3428">
        <f>'Estados Financieros'!I131</f>
        <v>0</v>
      </c>
    </row>
    <row r="125" spans="1:9" s="64" customFormat="1" ht="19">
      <c r="A125" s="58"/>
      <c r="B125" s="59"/>
      <c r="C125" s="47"/>
      <c r="D125" s="65" t="s">
        <v>583</v>
      </c>
      <c r="E125" s="3429">
        <f>'Estados Financieros'!E132</f>
        <v>0</v>
      </c>
      <c r="F125" s="3429">
        <f>'Estados Financieros'!F132</f>
        <v>0</v>
      </c>
      <c r="G125" s="3429">
        <f>'Estados Financieros'!G132</f>
        <v>0</v>
      </c>
      <c r="H125" s="3429">
        <f>'Estados Financieros'!H132</f>
        <v>0</v>
      </c>
      <c r="I125" s="3428">
        <f>'Estados Financieros'!I132</f>
        <v>0</v>
      </c>
    </row>
    <row r="126" spans="1:9" s="64" customFormat="1" ht="19">
      <c r="A126" s="58"/>
      <c r="B126" s="59"/>
      <c r="C126" s="47"/>
      <c r="D126" s="65" t="s">
        <v>584</v>
      </c>
      <c r="E126" s="3429">
        <f>'Estados Financieros'!E133</f>
        <v>0</v>
      </c>
      <c r="F126" s="3429">
        <f>'Estados Financieros'!F133</f>
        <v>0</v>
      </c>
      <c r="G126" s="3429">
        <f>'Estados Financieros'!G133</f>
        <v>0</v>
      </c>
      <c r="H126" s="3429">
        <f>'Estados Financieros'!H133</f>
        <v>0</v>
      </c>
      <c r="I126" s="3428">
        <f>'Estados Financieros'!I133</f>
        <v>0</v>
      </c>
    </row>
    <row r="127" spans="1:9" s="64" customFormat="1" ht="19">
      <c r="A127" s="58"/>
      <c r="B127" s="59"/>
      <c r="C127" s="47"/>
      <c r="D127" s="65" t="s">
        <v>585</v>
      </c>
      <c r="E127" s="3429">
        <f>'Estados Financieros'!E134</f>
        <v>0</v>
      </c>
      <c r="F127" s="3429">
        <f>'Estados Financieros'!F134</f>
        <v>0</v>
      </c>
      <c r="G127" s="3429">
        <f>'Estados Financieros'!G134</f>
        <v>0</v>
      </c>
      <c r="H127" s="3429">
        <f>'Estados Financieros'!H134</f>
        <v>0</v>
      </c>
      <c r="I127" s="3428">
        <f>'Estados Financieros'!I134</f>
        <v>0</v>
      </c>
    </row>
    <row r="128" spans="1:9" s="64" customFormat="1" ht="19">
      <c r="A128" s="58"/>
      <c r="B128" s="59"/>
      <c r="C128" s="47"/>
      <c r="D128" s="65" t="s">
        <v>586</v>
      </c>
      <c r="E128" s="3429">
        <f>'Estados Financieros'!E135</f>
        <v>0</v>
      </c>
      <c r="F128" s="3429">
        <f>'Estados Financieros'!F135</f>
        <v>0</v>
      </c>
      <c r="G128" s="3429">
        <f>'Estados Financieros'!G135</f>
        <v>0</v>
      </c>
      <c r="H128" s="3429">
        <f>'Estados Financieros'!H135</f>
        <v>0</v>
      </c>
      <c r="I128" s="3428">
        <f>'Estados Financieros'!I135</f>
        <v>0</v>
      </c>
    </row>
    <row r="129" spans="1:9" s="64" customFormat="1" ht="19">
      <c r="A129" s="58"/>
      <c r="B129" s="59"/>
      <c r="C129" s="47"/>
      <c r="D129" s="65" t="s">
        <v>636</v>
      </c>
      <c r="E129" s="3429">
        <f>'Estados Financieros'!E136</f>
        <v>0</v>
      </c>
      <c r="F129" s="3429">
        <f>'Estados Financieros'!F136</f>
        <v>0</v>
      </c>
      <c r="G129" s="3429">
        <f>'Estados Financieros'!G136</f>
        <v>0</v>
      </c>
      <c r="H129" s="3429">
        <f>'Estados Financieros'!H136</f>
        <v>0</v>
      </c>
      <c r="I129" s="3428">
        <f>'Estados Financieros'!I136</f>
        <v>0</v>
      </c>
    </row>
    <row r="130" spans="1:9" s="64" customFormat="1" ht="19">
      <c r="A130" s="58"/>
      <c r="B130" s="59"/>
      <c r="C130" s="47"/>
      <c r="D130" s="65" t="s">
        <v>637</v>
      </c>
      <c r="E130" s="3429">
        <f>'Estados Financieros'!E137</f>
        <v>0</v>
      </c>
      <c r="F130" s="3429">
        <f>'Estados Financieros'!F137</f>
        <v>0</v>
      </c>
      <c r="G130" s="3429">
        <f>'Estados Financieros'!G137</f>
        <v>0</v>
      </c>
      <c r="H130" s="3429">
        <f>'Estados Financieros'!H137</f>
        <v>0</v>
      </c>
      <c r="I130" s="3428">
        <f>'Estados Financieros'!I137</f>
        <v>0</v>
      </c>
    </row>
    <row r="131" spans="1:9" s="64" customFormat="1" ht="19">
      <c r="A131" s="58"/>
      <c r="B131" s="59"/>
      <c r="C131" s="47"/>
      <c r="D131" s="65" t="s">
        <v>638</v>
      </c>
      <c r="E131" s="3429">
        <f>'Estados Financieros'!E138</f>
        <v>0</v>
      </c>
      <c r="F131" s="3429">
        <f>'Estados Financieros'!F138</f>
        <v>0</v>
      </c>
      <c r="G131" s="3429">
        <f>'Estados Financieros'!G138</f>
        <v>0</v>
      </c>
      <c r="H131" s="3429">
        <f>'Estados Financieros'!H138</f>
        <v>0</v>
      </c>
      <c r="I131" s="3428">
        <f>'Estados Financieros'!I138</f>
        <v>0</v>
      </c>
    </row>
    <row r="132" spans="1:9" s="64" customFormat="1" ht="19">
      <c r="A132" s="58"/>
      <c r="B132" s="59"/>
      <c r="C132" s="47"/>
      <c r="D132" s="65" t="s">
        <v>588</v>
      </c>
      <c r="E132" s="3429">
        <f>'Estados Financieros'!E139</f>
        <v>0</v>
      </c>
      <c r="F132" s="3429">
        <f>'Estados Financieros'!F139</f>
        <v>0</v>
      </c>
      <c r="G132" s="3429">
        <f>'Estados Financieros'!G139</f>
        <v>0</v>
      </c>
      <c r="H132" s="3429">
        <f>'Estados Financieros'!H139</f>
        <v>0</v>
      </c>
      <c r="I132" s="3428">
        <f>'Estados Financieros'!I139</f>
        <v>0</v>
      </c>
    </row>
    <row r="133" spans="1:9" s="64" customFormat="1" ht="19" customHeight="1">
      <c r="A133" s="58"/>
      <c r="B133" s="59"/>
      <c r="C133" s="47"/>
      <c r="D133" s="65"/>
      <c r="E133" s="3429"/>
      <c r="F133" s="3429"/>
      <c r="G133" s="3429"/>
      <c r="H133" s="3429"/>
      <c r="I133" s="3428"/>
    </row>
    <row r="134" spans="1:9" s="64" customFormat="1" ht="19">
      <c r="A134" s="58"/>
      <c r="B134" s="59"/>
      <c r="C134" s="47"/>
      <c r="D134" s="65" t="s">
        <v>603</v>
      </c>
      <c r="E134" s="3429">
        <f>'Estados Financieros'!E141</f>
        <v>0</v>
      </c>
      <c r="F134" s="3429">
        <f>'Estados Financieros'!F141</f>
        <v>0</v>
      </c>
      <c r="G134" s="3429">
        <f>'Estados Financieros'!G141</f>
        <v>0</v>
      </c>
      <c r="H134" s="3429">
        <f>'Estados Financieros'!H141</f>
        <v>0</v>
      </c>
      <c r="I134" s="3428">
        <f>'Estados Financieros'!I141</f>
        <v>0</v>
      </c>
    </row>
    <row r="135" spans="1:9" s="64" customFormat="1" ht="19">
      <c r="A135" s="58"/>
      <c r="B135" s="59"/>
      <c r="C135" s="66" t="s">
        <v>639</v>
      </c>
      <c r="D135" s="67"/>
      <c r="E135" s="3435">
        <f>'Estados Financieros'!E142</f>
        <v>0</v>
      </c>
      <c r="F135" s="3435">
        <f>'Estados Financieros'!F142</f>
        <v>0</v>
      </c>
      <c r="G135" s="3435">
        <f>'Estados Financieros'!G142</f>
        <v>0</v>
      </c>
      <c r="H135" s="3435">
        <f>'Estados Financieros'!H142</f>
        <v>0</v>
      </c>
      <c r="I135" s="3434">
        <f>'Estados Financieros'!I142</f>
        <v>0</v>
      </c>
    </row>
    <row r="136" spans="1:9" s="64" customFormat="1" ht="19">
      <c r="A136" s="58"/>
      <c r="B136" s="53"/>
      <c r="C136" s="54" t="s">
        <v>640</v>
      </c>
      <c r="D136" s="71"/>
      <c r="E136" s="3433"/>
      <c r="F136" s="3433"/>
      <c r="G136" s="3433"/>
      <c r="H136" s="3433"/>
      <c r="I136" s="3432"/>
    </row>
    <row r="137" spans="1:9" s="64" customFormat="1" ht="19">
      <c r="A137" s="58"/>
      <c r="B137" s="59"/>
      <c r="C137" s="47"/>
      <c r="D137" s="60" t="s">
        <v>641</v>
      </c>
      <c r="E137" s="3431">
        <f>'Estados Financieros'!E144</f>
        <v>0</v>
      </c>
      <c r="F137" s="3431">
        <f>'Estados Financieros'!F144</f>
        <v>0</v>
      </c>
      <c r="G137" s="3431">
        <f>'Estados Financieros'!G144</f>
        <v>0</v>
      </c>
      <c r="H137" s="3431">
        <f>'Estados Financieros'!H144</f>
        <v>0</v>
      </c>
      <c r="I137" s="3430">
        <f>'Estados Financieros'!I144</f>
        <v>0</v>
      </c>
    </row>
    <row r="138" spans="1:9" s="64" customFormat="1" ht="19">
      <c r="A138" s="58"/>
      <c r="B138" s="59"/>
      <c r="C138" s="47"/>
      <c r="D138" s="65" t="s">
        <v>642</v>
      </c>
      <c r="E138" s="3429">
        <f>'Estados Financieros'!E145</f>
        <v>0</v>
      </c>
      <c r="F138" s="3429">
        <f>'Estados Financieros'!F145</f>
        <v>0</v>
      </c>
      <c r="G138" s="3429">
        <f>'Estados Financieros'!G145</f>
        <v>0</v>
      </c>
      <c r="H138" s="3429">
        <f>'Estados Financieros'!H145</f>
        <v>0</v>
      </c>
      <c r="I138" s="3428">
        <f>'Estados Financieros'!I145</f>
        <v>0</v>
      </c>
    </row>
    <row r="139" spans="1:9" s="64" customFormat="1" ht="19">
      <c r="A139" s="58"/>
      <c r="B139" s="59"/>
      <c r="C139" s="47"/>
      <c r="D139" s="65" t="s">
        <v>554</v>
      </c>
      <c r="E139" s="3429">
        <f>'Estados Financieros'!E146</f>
        <v>0</v>
      </c>
      <c r="F139" s="3429">
        <f>'Estados Financieros'!F146</f>
        <v>0</v>
      </c>
      <c r="G139" s="3429">
        <f>'Estados Financieros'!G146</f>
        <v>0</v>
      </c>
      <c r="H139" s="3429">
        <f>'Estados Financieros'!H146</f>
        <v>0</v>
      </c>
      <c r="I139" s="3428">
        <f>'Estados Financieros'!I146</f>
        <v>0</v>
      </c>
    </row>
    <row r="140" spans="1:9" s="64" customFormat="1" ht="19">
      <c r="A140" s="58"/>
      <c r="B140" s="59"/>
      <c r="C140" s="47"/>
      <c r="D140" s="65" t="s">
        <v>643</v>
      </c>
      <c r="E140" s="3429">
        <f>'Estados Financieros'!E147</f>
        <v>0</v>
      </c>
      <c r="F140" s="3429">
        <f>'Estados Financieros'!F147</f>
        <v>0</v>
      </c>
      <c r="G140" s="3429">
        <f>'Estados Financieros'!G147</f>
        <v>0</v>
      </c>
      <c r="H140" s="3429">
        <f>'Estados Financieros'!H147</f>
        <v>0</v>
      </c>
      <c r="I140" s="3428">
        <f>'Estados Financieros'!I147</f>
        <v>0</v>
      </c>
    </row>
    <row r="141" spans="1:9" s="64" customFormat="1" ht="19">
      <c r="A141" s="58"/>
      <c r="B141" s="59"/>
      <c r="C141" s="47"/>
      <c r="D141" s="65" t="s">
        <v>644</v>
      </c>
      <c r="E141" s="3429">
        <f>'Estados Financieros'!E148</f>
        <v>0</v>
      </c>
      <c r="F141" s="3429">
        <f>'Estados Financieros'!F148</f>
        <v>0</v>
      </c>
      <c r="G141" s="3429">
        <f>'Estados Financieros'!G148</f>
        <v>0</v>
      </c>
      <c r="H141" s="3429">
        <f>'Estados Financieros'!H148</f>
        <v>0</v>
      </c>
      <c r="I141" s="3428">
        <f>'Estados Financieros'!I148</f>
        <v>0</v>
      </c>
    </row>
    <row r="142" spans="1:9" s="64" customFormat="1" ht="19">
      <c r="A142" s="58"/>
      <c r="B142" s="59"/>
      <c r="C142" s="47"/>
      <c r="D142" s="65" t="s">
        <v>645</v>
      </c>
      <c r="E142" s="3429">
        <f>'Estados Financieros'!E149</f>
        <v>0</v>
      </c>
      <c r="F142" s="3429">
        <f>'Estados Financieros'!F149</f>
        <v>0</v>
      </c>
      <c r="G142" s="3429">
        <f>'Estados Financieros'!G149</f>
        <v>0</v>
      </c>
      <c r="H142" s="3429">
        <f>'Estados Financieros'!H149</f>
        <v>0</v>
      </c>
      <c r="I142" s="3428">
        <f>'Estados Financieros'!I149</f>
        <v>0</v>
      </c>
    </row>
    <row r="143" spans="1:9" s="64" customFormat="1" ht="19">
      <c r="A143" s="58"/>
      <c r="B143" s="59"/>
      <c r="C143" s="47"/>
      <c r="D143" s="74" t="s">
        <v>646</v>
      </c>
      <c r="E143" s="3429">
        <f>'Estados Financieros'!E150</f>
        <v>0</v>
      </c>
      <c r="F143" s="3429">
        <f>'Estados Financieros'!F150</f>
        <v>0</v>
      </c>
      <c r="G143" s="3429">
        <f>'Estados Financieros'!G150</f>
        <v>0</v>
      </c>
      <c r="H143" s="3429">
        <f>'Estados Financieros'!H150</f>
        <v>0</v>
      </c>
      <c r="I143" s="3428">
        <f>'Estados Financieros'!I150</f>
        <v>0</v>
      </c>
    </row>
    <row r="144" spans="1:9" s="64" customFormat="1" ht="19">
      <c r="A144" s="58"/>
      <c r="B144" s="59"/>
      <c r="C144" s="47"/>
      <c r="D144" s="74" t="s">
        <v>647</v>
      </c>
      <c r="E144" s="3429">
        <f>'Estados Financieros'!E151</f>
        <v>0</v>
      </c>
      <c r="F144" s="3429">
        <f>'Estados Financieros'!F151</f>
        <v>0</v>
      </c>
      <c r="G144" s="3429">
        <f>'Estados Financieros'!G151</f>
        <v>0</v>
      </c>
      <c r="H144" s="3429">
        <f>'Estados Financieros'!H151</f>
        <v>0</v>
      </c>
      <c r="I144" s="3428">
        <f>'Estados Financieros'!I151</f>
        <v>0</v>
      </c>
    </row>
    <row r="145" spans="1:9" s="64" customFormat="1" ht="19">
      <c r="A145" s="58"/>
      <c r="B145" s="59"/>
      <c r="C145" s="47"/>
      <c r="D145" s="65" t="s">
        <v>603</v>
      </c>
      <c r="E145" s="3429">
        <f>'Estados Financieros'!E152</f>
        <v>0</v>
      </c>
      <c r="F145" s="3429">
        <f>'Estados Financieros'!F152</f>
        <v>0</v>
      </c>
      <c r="G145" s="3429">
        <f>'Estados Financieros'!G152</f>
        <v>0</v>
      </c>
      <c r="H145" s="3429">
        <f>'Estados Financieros'!H152</f>
        <v>0</v>
      </c>
      <c r="I145" s="3428">
        <f>'Estados Financieros'!I152</f>
        <v>0</v>
      </c>
    </row>
    <row r="146" spans="1:9" s="64" customFormat="1" ht="19">
      <c r="A146" s="58"/>
      <c r="B146" s="59"/>
      <c r="C146" s="66" t="s">
        <v>648</v>
      </c>
      <c r="D146" s="67"/>
      <c r="E146" s="3435">
        <f>'Estados Financieros'!E153</f>
        <v>0</v>
      </c>
      <c r="F146" s="3435">
        <f>'Estados Financieros'!F153</f>
        <v>0</v>
      </c>
      <c r="G146" s="3435">
        <f>'Estados Financieros'!G153</f>
        <v>0</v>
      </c>
      <c r="H146" s="3435">
        <f>'Estados Financieros'!H153</f>
        <v>0</v>
      </c>
      <c r="I146" s="3434">
        <f>'Estados Financieros'!I153</f>
        <v>0</v>
      </c>
    </row>
    <row r="147" spans="1:9" s="64" customFormat="1" ht="19">
      <c r="A147" s="58"/>
      <c r="B147" s="53"/>
      <c r="C147" s="54" t="s">
        <v>649</v>
      </c>
      <c r="D147" s="71"/>
      <c r="E147" s="3433"/>
      <c r="F147" s="3433"/>
      <c r="G147" s="3433"/>
      <c r="H147" s="3433"/>
      <c r="I147" s="3432"/>
    </row>
    <row r="148" spans="1:9" s="64" customFormat="1" ht="19">
      <c r="A148" s="58"/>
      <c r="B148" s="59"/>
      <c r="C148" s="47"/>
      <c r="D148" s="60" t="s">
        <v>606</v>
      </c>
      <c r="E148" s="3431">
        <f>'Estados Financieros'!E155</f>
        <v>0</v>
      </c>
      <c r="F148" s="3431">
        <f>'Estados Financieros'!F155</f>
        <v>0</v>
      </c>
      <c r="G148" s="3431">
        <f>'Estados Financieros'!G155</f>
        <v>0</v>
      </c>
      <c r="H148" s="3431">
        <f>'Estados Financieros'!H155</f>
        <v>0</v>
      </c>
      <c r="I148" s="3430">
        <f>'Estados Financieros'!I155</f>
        <v>0</v>
      </c>
    </row>
    <row r="149" spans="1:9" s="64" customFormat="1" ht="19">
      <c r="A149" s="58"/>
      <c r="B149" s="59"/>
      <c r="C149" s="47"/>
      <c r="D149" s="65" t="s">
        <v>607</v>
      </c>
      <c r="E149" s="3429">
        <f>'Estados Financieros'!E156</f>
        <v>0</v>
      </c>
      <c r="F149" s="3429">
        <f>'Estados Financieros'!F156</f>
        <v>0</v>
      </c>
      <c r="G149" s="3429">
        <f>'Estados Financieros'!G156</f>
        <v>0</v>
      </c>
      <c r="H149" s="3429">
        <f>'Estados Financieros'!H156</f>
        <v>0</v>
      </c>
      <c r="I149" s="3428">
        <f>'Estados Financieros'!I156</f>
        <v>0</v>
      </c>
    </row>
    <row r="150" spans="1:9" s="64" customFormat="1" ht="19">
      <c r="A150" s="58"/>
      <c r="B150" s="59"/>
      <c r="C150" s="47"/>
      <c r="D150" s="65" t="s">
        <v>608</v>
      </c>
      <c r="E150" s="3429">
        <f>'Estados Financieros'!E157</f>
        <v>0</v>
      </c>
      <c r="F150" s="3429">
        <f>'Estados Financieros'!F157</f>
        <v>0</v>
      </c>
      <c r="G150" s="3429">
        <f>'Estados Financieros'!G157</f>
        <v>0</v>
      </c>
      <c r="H150" s="3429">
        <f>'Estados Financieros'!H157</f>
        <v>0</v>
      </c>
      <c r="I150" s="3428">
        <f>'Estados Financieros'!I157</f>
        <v>0</v>
      </c>
    </row>
    <row r="151" spans="1:9" s="64" customFormat="1" ht="19">
      <c r="A151" s="58"/>
      <c r="B151" s="59"/>
      <c r="C151" s="47"/>
      <c r="D151" s="74" t="s">
        <v>650</v>
      </c>
      <c r="E151" s="3429">
        <f>'Estados Financieros'!E158</f>
        <v>0</v>
      </c>
      <c r="F151" s="3429">
        <f>'Estados Financieros'!F158</f>
        <v>0</v>
      </c>
      <c r="G151" s="3429">
        <f>'Estados Financieros'!G158</f>
        <v>0</v>
      </c>
      <c r="H151" s="3429">
        <f>'Estados Financieros'!H158</f>
        <v>0</v>
      </c>
      <c r="I151" s="3428">
        <f>'Estados Financieros'!I158</f>
        <v>0</v>
      </c>
    </row>
    <row r="152" spans="1:9" s="64" customFormat="1" ht="19">
      <c r="A152" s="58"/>
      <c r="B152" s="59"/>
      <c r="C152" s="47"/>
      <c r="D152" s="74" t="s">
        <v>609</v>
      </c>
      <c r="E152" s="3429">
        <f>'Estados Financieros'!E159</f>
        <v>0</v>
      </c>
      <c r="F152" s="3429">
        <f>'Estados Financieros'!F159</f>
        <v>0</v>
      </c>
      <c r="G152" s="3429">
        <f>'Estados Financieros'!G159</f>
        <v>0</v>
      </c>
      <c r="H152" s="3429">
        <f>'Estados Financieros'!H159</f>
        <v>0</v>
      </c>
      <c r="I152" s="3428">
        <f>'Estados Financieros'!I159</f>
        <v>0</v>
      </c>
    </row>
    <row r="153" spans="1:9" s="64" customFormat="1" ht="19">
      <c r="A153" s="58"/>
      <c r="B153" s="59"/>
      <c r="C153" s="47"/>
      <c r="D153" s="65" t="s">
        <v>632</v>
      </c>
      <c r="E153" s="3429">
        <f>'Estados Financieros'!E160</f>
        <v>0</v>
      </c>
      <c r="F153" s="3429">
        <f>'Estados Financieros'!F160</f>
        <v>0</v>
      </c>
      <c r="G153" s="3429">
        <f>'Estados Financieros'!G160</f>
        <v>0</v>
      </c>
      <c r="H153" s="3429">
        <f>'Estados Financieros'!H160</f>
        <v>0</v>
      </c>
      <c r="I153" s="3428">
        <f>'Estados Financieros'!I160</f>
        <v>0</v>
      </c>
    </row>
    <row r="154" spans="1:9" s="64" customFormat="1" ht="19">
      <c r="A154" s="58"/>
      <c r="B154" s="59"/>
      <c r="C154" s="66" t="s">
        <v>651</v>
      </c>
      <c r="D154" s="67"/>
      <c r="E154" s="3435">
        <f>'Estados Financieros'!E161</f>
        <v>0</v>
      </c>
      <c r="F154" s="3435">
        <f>'Estados Financieros'!F161</f>
        <v>0</v>
      </c>
      <c r="G154" s="3435">
        <f>'Estados Financieros'!G161</f>
        <v>0</v>
      </c>
      <c r="H154" s="3435">
        <f>'Estados Financieros'!H161</f>
        <v>0</v>
      </c>
      <c r="I154" s="3434">
        <f>'Estados Financieros'!I161</f>
        <v>0</v>
      </c>
    </row>
    <row r="155" spans="1:9" s="64" customFormat="1" ht="19">
      <c r="A155" s="58"/>
      <c r="B155" s="53"/>
      <c r="C155" s="54" t="s">
        <v>652</v>
      </c>
      <c r="D155" s="71"/>
      <c r="E155" s="3433"/>
      <c r="F155" s="3433"/>
      <c r="G155" s="3433"/>
      <c r="H155" s="3433"/>
      <c r="I155" s="3432"/>
    </row>
    <row r="156" spans="1:9" s="64" customFormat="1" ht="19">
      <c r="A156" s="58"/>
      <c r="B156" s="59"/>
      <c r="C156" s="47"/>
      <c r="D156" s="60" t="s">
        <v>653</v>
      </c>
      <c r="E156" s="3431">
        <f>'Estados Financieros'!E163</f>
        <v>0</v>
      </c>
      <c r="F156" s="3431">
        <f>'Estados Financieros'!F163</f>
        <v>0</v>
      </c>
      <c r="G156" s="3431">
        <f>'Estados Financieros'!G163</f>
        <v>0</v>
      </c>
      <c r="H156" s="3431">
        <f>'Estados Financieros'!H163</f>
        <v>0</v>
      </c>
      <c r="I156" s="3430">
        <f>'Estados Financieros'!I163</f>
        <v>0</v>
      </c>
    </row>
    <row r="157" spans="1:9" s="64" customFormat="1" ht="19">
      <c r="A157" s="58"/>
      <c r="B157" s="59"/>
      <c r="C157" s="47"/>
      <c r="D157" s="65" t="s">
        <v>654</v>
      </c>
      <c r="E157" s="3429">
        <f>'Estados Financieros'!E164</f>
        <v>0</v>
      </c>
      <c r="F157" s="3429">
        <f>'Estados Financieros'!F164</f>
        <v>0</v>
      </c>
      <c r="G157" s="3429">
        <f>'Estados Financieros'!G164</f>
        <v>0</v>
      </c>
      <c r="H157" s="3429">
        <f>'Estados Financieros'!H164</f>
        <v>0</v>
      </c>
      <c r="I157" s="3428">
        <f>'Estados Financieros'!I164</f>
        <v>0</v>
      </c>
    </row>
    <row r="158" spans="1:9" s="64" customFormat="1" ht="19">
      <c r="A158" s="58"/>
      <c r="B158" s="59"/>
      <c r="C158" s="47"/>
      <c r="D158" s="65" t="s">
        <v>655</v>
      </c>
      <c r="E158" s="3429">
        <f>'Estados Financieros'!E165</f>
        <v>0</v>
      </c>
      <c r="F158" s="3429">
        <f>'Estados Financieros'!F165</f>
        <v>0</v>
      </c>
      <c r="G158" s="3429">
        <f>'Estados Financieros'!G165</f>
        <v>0</v>
      </c>
      <c r="H158" s="3429">
        <f>'Estados Financieros'!H165</f>
        <v>0</v>
      </c>
      <c r="I158" s="3428">
        <f>'Estados Financieros'!I165</f>
        <v>0</v>
      </c>
    </row>
    <row r="159" spans="1:9" s="64" customFormat="1" ht="19">
      <c r="A159" s="58"/>
      <c r="B159" s="59"/>
      <c r="C159" s="47"/>
      <c r="D159" s="65" t="s">
        <v>453</v>
      </c>
      <c r="E159" s="3429">
        <f>'Estados Financieros'!E166</f>
        <v>0</v>
      </c>
      <c r="F159" s="3429">
        <f>'Estados Financieros'!F166</f>
        <v>0</v>
      </c>
      <c r="G159" s="3429">
        <f>'Estados Financieros'!G166</f>
        <v>0</v>
      </c>
      <c r="H159" s="3429">
        <f>'Estados Financieros'!H166</f>
        <v>0</v>
      </c>
      <c r="I159" s="3428">
        <f>'Estados Financieros'!I166</f>
        <v>0</v>
      </c>
    </row>
    <row r="160" spans="1:9" s="64" customFormat="1" ht="19">
      <c r="A160" s="58"/>
      <c r="B160" s="59"/>
      <c r="C160" s="47"/>
      <c r="D160" s="65" t="s">
        <v>656</v>
      </c>
      <c r="E160" s="3429">
        <f>'Estados Financieros'!E167</f>
        <v>0</v>
      </c>
      <c r="F160" s="3429">
        <f>'Estados Financieros'!F167</f>
        <v>0</v>
      </c>
      <c r="G160" s="3429">
        <f>'Estados Financieros'!G167</f>
        <v>0</v>
      </c>
      <c r="H160" s="3429">
        <f>'Estados Financieros'!H167</f>
        <v>0</v>
      </c>
      <c r="I160" s="3428">
        <f>'Estados Financieros'!I167</f>
        <v>0</v>
      </c>
    </row>
    <row r="161" spans="1:9" s="64" customFormat="1" ht="19">
      <c r="A161" s="58"/>
      <c r="B161" s="59"/>
      <c r="C161" s="47"/>
      <c r="D161" s="65" t="s">
        <v>560</v>
      </c>
      <c r="E161" s="3429">
        <f>'Estados Financieros'!E168</f>
        <v>0</v>
      </c>
      <c r="F161" s="3429">
        <f>'Estados Financieros'!F168</f>
        <v>0</v>
      </c>
      <c r="G161" s="3429">
        <f>'Estados Financieros'!G168</f>
        <v>0</v>
      </c>
      <c r="H161" s="3429">
        <f>'Estados Financieros'!H168</f>
        <v>0</v>
      </c>
      <c r="I161" s="3428">
        <f>'Estados Financieros'!I168</f>
        <v>0</v>
      </c>
    </row>
    <row r="162" spans="1:9" s="64" customFormat="1" ht="19">
      <c r="A162" s="58"/>
      <c r="B162" s="59"/>
      <c r="C162" s="47"/>
      <c r="D162" s="65" t="s">
        <v>603</v>
      </c>
      <c r="E162" s="3429">
        <f>'Estados Financieros'!E169</f>
        <v>0</v>
      </c>
      <c r="F162" s="3429">
        <f>'Estados Financieros'!F169</f>
        <v>0</v>
      </c>
      <c r="G162" s="3429">
        <f>'Estados Financieros'!G169</f>
        <v>0</v>
      </c>
      <c r="H162" s="3429">
        <f>'Estados Financieros'!H169</f>
        <v>0</v>
      </c>
      <c r="I162" s="3428">
        <f>'Estados Financieros'!I169</f>
        <v>0</v>
      </c>
    </row>
    <row r="163" spans="1:9" s="64" customFormat="1" ht="19">
      <c r="A163" s="58"/>
      <c r="B163" s="59"/>
      <c r="C163" s="66" t="s">
        <v>657</v>
      </c>
      <c r="D163" s="67"/>
      <c r="E163" s="3435">
        <f>'Estados Financieros'!E170</f>
        <v>0</v>
      </c>
      <c r="F163" s="3435">
        <f>'Estados Financieros'!F170</f>
        <v>0</v>
      </c>
      <c r="G163" s="3435">
        <f>'Estados Financieros'!G170</f>
        <v>0</v>
      </c>
      <c r="H163" s="3435">
        <f>'Estados Financieros'!H170</f>
        <v>0</v>
      </c>
      <c r="I163" s="3434">
        <f>'Estados Financieros'!I170</f>
        <v>0</v>
      </c>
    </row>
    <row r="164" spans="1:9" s="64" customFormat="1" ht="19">
      <c r="A164" s="58"/>
      <c r="B164" s="53"/>
      <c r="C164" s="54" t="s">
        <v>658</v>
      </c>
      <c r="D164" s="71"/>
      <c r="E164" s="3433"/>
      <c r="F164" s="3433"/>
      <c r="G164" s="3433"/>
      <c r="H164" s="3433"/>
      <c r="I164" s="3432"/>
    </row>
    <row r="165" spans="1:9" s="64" customFormat="1" ht="19">
      <c r="A165" s="58"/>
      <c r="B165" s="59"/>
      <c r="C165" s="47"/>
      <c r="D165" s="74" t="s">
        <v>659</v>
      </c>
      <c r="E165" s="3431">
        <f>'Estados Financieros'!E172</f>
        <v>0</v>
      </c>
      <c r="F165" s="3431">
        <f>'Estados Financieros'!F172</f>
        <v>0</v>
      </c>
      <c r="G165" s="3431">
        <f>'Estados Financieros'!G172</f>
        <v>0</v>
      </c>
      <c r="H165" s="3431">
        <f>'Estados Financieros'!H172</f>
        <v>0</v>
      </c>
      <c r="I165" s="3430">
        <f>'Estados Financieros'!I172</f>
        <v>0</v>
      </c>
    </row>
    <row r="166" spans="1:9" s="64" customFormat="1" ht="19">
      <c r="A166" s="58"/>
      <c r="B166" s="59"/>
      <c r="C166" s="47"/>
      <c r="D166" s="74" t="s">
        <v>660</v>
      </c>
      <c r="E166" s="3429">
        <f>'Estados Financieros'!E173</f>
        <v>0</v>
      </c>
      <c r="F166" s="3429">
        <f>'Estados Financieros'!F173</f>
        <v>0</v>
      </c>
      <c r="G166" s="3429">
        <f>'Estados Financieros'!G173</f>
        <v>0</v>
      </c>
      <c r="H166" s="3429">
        <f>'Estados Financieros'!H173</f>
        <v>0</v>
      </c>
      <c r="I166" s="3428">
        <f>'Estados Financieros'!I173</f>
        <v>0</v>
      </c>
    </row>
    <row r="167" spans="1:9" s="64" customFormat="1" ht="19">
      <c r="A167" s="58"/>
      <c r="B167" s="59"/>
      <c r="C167" s="47"/>
      <c r="D167" s="74" t="s">
        <v>661</v>
      </c>
      <c r="E167" s="3429">
        <f>'Estados Financieros'!E174</f>
        <v>0</v>
      </c>
      <c r="F167" s="3429">
        <f>'Estados Financieros'!F174</f>
        <v>0</v>
      </c>
      <c r="G167" s="3429">
        <f>'Estados Financieros'!G174</f>
        <v>0</v>
      </c>
      <c r="H167" s="3429">
        <f>'Estados Financieros'!H174</f>
        <v>0</v>
      </c>
      <c r="I167" s="3428">
        <f>'Estados Financieros'!I174</f>
        <v>0</v>
      </c>
    </row>
    <row r="168" spans="1:9" s="64" customFormat="1" ht="19">
      <c r="A168" s="58"/>
      <c r="B168" s="59"/>
      <c r="C168" s="47"/>
      <c r="D168" s="74" t="s">
        <v>662</v>
      </c>
      <c r="E168" s="3429">
        <f>'Estados Financieros'!E175</f>
        <v>0</v>
      </c>
      <c r="F168" s="3429">
        <f>'Estados Financieros'!F175</f>
        <v>0</v>
      </c>
      <c r="G168" s="3429">
        <f>'Estados Financieros'!G175</f>
        <v>0</v>
      </c>
      <c r="H168" s="3429">
        <f>'Estados Financieros'!H175</f>
        <v>0</v>
      </c>
      <c r="I168" s="3428">
        <f>'Estados Financieros'!I175</f>
        <v>0</v>
      </c>
    </row>
    <row r="169" spans="1:9" s="64" customFormat="1" ht="19">
      <c r="A169" s="58"/>
      <c r="B169" s="59"/>
      <c r="C169" s="47"/>
      <c r="D169" s="74" t="s">
        <v>663</v>
      </c>
      <c r="E169" s="3429">
        <f>'Estados Financieros'!E176</f>
        <v>0</v>
      </c>
      <c r="F169" s="3429">
        <f>'Estados Financieros'!F176</f>
        <v>0</v>
      </c>
      <c r="G169" s="3429">
        <f>'Estados Financieros'!G176</f>
        <v>0</v>
      </c>
      <c r="H169" s="3429">
        <f>'Estados Financieros'!H176</f>
        <v>0</v>
      </c>
      <c r="I169" s="3428">
        <f>'Estados Financieros'!I176</f>
        <v>0</v>
      </c>
    </row>
    <row r="170" spans="1:9" s="64" customFormat="1" ht="19">
      <c r="A170" s="58"/>
      <c r="B170" s="59"/>
      <c r="C170" s="66" t="s">
        <v>664</v>
      </c>
      <c r="D170" s="67"/>
      <c r="E170" s="3435">
        <f>'Estados Financieros'!E177</f>
        <v>0</v>
      </c>
      <c r="F170" s="3435">
        <f>'Estados Financieros'!F177</f>
        <v>0</v>
      </c>
      <c r="G170" s="3435">
        <f>'Estados Financieros'!G177</f>
        <v>0</v>
      </c>
      <c r="H170" s="3435">
        <f>'Estados Financieros'!H177</f>
        <v>0</v>
      </c>
      <c r="I170" s="3434">
        <f>'Estados Financieros'!I177</f>
        <v>0</v>
      </c>
    </row>
    <row r="171" spans="1:9" s="64" customFormat="1" ht="19">
      <c r="A171" s="58"/>
      <c r="B171" s="53"/>
      <c r="C171" s="54" t="s">
        <v>665</v>
      </c>
      <c r="D171" s="71"/>
      <c r="E171" s="3433"/>
      <c r="F171" s="3433"/>
      <c r="G171" s="3433"/>
      <c r="H171" s="3433"/>
      <c r="I171" s="3432"/>
    </row>
    <row r="172" spans="1:9" s="64" customFormat="1" ht="19">
      <c r="A172" s="58"/>
      <c r="B172" s="59"/>
      <c r="C172" s="47"/>
      <c r="D172" s="60" t="s">
        <v>666</v>
      </c>
      <c r="E172" s="3431">
        <f>'Estados Financieros'!E179</f>
        <v>0</v>
      </c>
      <c r="F172" s="3431">
        <f>'Estados Financieros'!F179</f>
        <v>0</v>
      </c>
      <c r="G172" s="3431">
        <f>'Estados Financieros'!G179</f>
        <v>0</v>
      </c>
      <c r="H172" s="3431">
        <f>'Estados Financieros'!H179</f>
        <v>0</v>
      </c>
      <c r="I172" s="3430">
        <f>'Estados Financieros'!I179</f>
        <v>0</v>
      </c>
    </row>
    <row r="173" spans="1:9" s="64" customFormat="1" ht="19">
      <c r="A173" s="58"/>
      <c r="B173" s="59"/>
      <c r="C173" s="47"/>
      <c r="D173" s="65" t="s">
        <v>667</v>
      </c>
      <c r="E173" s="3429">
        <f>'Estados Financieros'!E180</f>
        <v>0</v>
      </c>
      <c r="F173" s="3429">
        <f>'Estados Financieros'!F180</f>
        <v>0</v>
      </c>
      <c r="G173" s="3429">
        <f>'Estados Financieros'!G180</f>
        <v>0</v>
      </c>
      <c r="H173" s="3429">
        <f>'Estados Financieros'!H180</f>
        <v>0</v>
      </c>
      <c r="I173" s="3428">
        <f>'Estados Financieros'!I180</f>
        <v>0</v>
      </c>
    </row>
    <row r="174" spans="1:9" s="64" customFormat="1" ht="19">
      <c r="A174" s="58"/>
      <c r="B174" s="59"/>
      <c r="C174" s="47"/>
      <c r="D174" s="65" t="s">
        <v>668</v>
      </c>
      <c r="E174" s="3429">
        <f>'Estados Financieros'!E181</f>
        <v>0</v>
      </c>
      <c r="F174" s="3429">
        <f>'Estados Financieros'!F181</f>
        <v>0</v>
      </c>
      <c r="G174" s="3429">
        <f>'Estados Financieros'!G181</f>
        <v>0</v>
      </c>
      <c r="H174" s="3429">
        <f>'Estados Financieros'!H181</f>
        <v>0</v>
      </c>
      <c r="I174" s="3428">
        <f>'Estados Financieros'!I181</f>
        <v>0</v>
      </c>
    </row>
    <row r="175" spans="1:9" s="64" customFormat="1" ht="19" customHeight="1">
      <c r="A175" s="58"/>
      <c r="B175" s="59"/>
      <c r="C175" s="47"/>
      <c r="D175" s="65"/>
      <c r="E175" s="3429"/>
      <c r="F175" s="3429"/>
      <c r="G175" s="3450"/>
      <c r="H175" s="3450"/>
      <c r="I175" s="3448"/>
    </row>
    <row r="176" spans="1:9" s="64" customFormat="1" ht="19">
      <c r="A176" s="58"/>
      <c r="B176" s="59"/>
      <c r="C176" s="66" t="s">
        <v>669</v>
      </c>
      <c r="D176" s="67"/>
      <c r="E176" s="3454">
        <f>'Estados Financieros'!E183</f>
        <v>0</v>
      </c>
      <c r="F176" s="3454">
        <f>'Estados Financieros'!F183</f>
        <v>0</v>
      </c>
      <c r="G176" s="3454">
        <f>'Estados Financieros'!G183</f>
        <v>0</v>
      </c>
      <c r="H176" s="3454">
        <f>'Estados Financieros'!H183</f>
        <v>0</v>
      </c>
      <c r="I176" s="3453">
        <f>'Estados Financieros'!I183</f>
        <v>0</v>
      </c>
    </row>
    <row r="177" spans="1:9" s="64" customFormat="1" ht="19">
      <c r="A177" s="58"/>
      <c r="B177" s="84"/>
      <c r="C177" s="94" t="s">
        <v>670</v>
      </c>
      <c r="D177" s="95"/>
      <c r="E177" s="3444">
        <f>'Estados Financieros'!E184</f>
        <v>0</v>
      </c>
      <c r="F177" s="3444">
        <f>'Estados Financieros'!F184</f>
        <v>0</v>
      </c>
      <c r="G177" s="3444">
        <f>'Estados Financieros'!G184</f>
        <v>0</v>
      </c>
      <c r="H177" s="3444">
        <f>'Estados Financieros'!H184</f>
        <v>0</v>
      </c>
      <c r="I177" s="3443">
        <f>'Estados Financieros'!I184</f>
        <v>0</v>
      </c>
    </row>
    <row r="178" spans="1:9" s="64" customFormat="1" ht="19">
      <c r="A178" s="58"/>
      <c r="B178" s="94" t="s">
        <v>671</v>
      </c>
      <c r="C178" s="98"/>
      <c r="D178" s="95"/>
      <c r="E178" s="3444">
        <f>'Estados Financieros'!E185</f>
        <v>0</v>
      </c>
      <c r="F178" s="3444">
        <f>'Estados Financieros'!F185</f>
        <v>0</v>
      </c>
      <c r="G178" s="3444">
        <f>'Estados Financieros'!G185</f>
        <v>0</v>
      </c>
      <c r="H178" s="3444">
        <f>'Estados Financieros'!H185</f>
        <v>0</v>
      </c>
      <c r="I178" s="3443">
        <f>'Estados Financieros'!I185</f>
        <v>0</v>
      </c>
    </row>
    <row r="179" spans="1:9" s="100" customFormat="1" ht="19">
      <c r="A179" s="58"/>
      <c r="B179" s="53"/>
      <c r="C179" s="54" t="s">
        <v>672</v>
      </c>
      <c r="D179" s="71"/>
      <c r="E179" s="3433"/>
      <c r="F179" s="3433"/>
      <c r="G179" s="3433"/>
      <c r="H179" s="3433"/>
      <c r="I179" s="3432"/>
    </row>
    <row r="180" spans="1:9" s="64" customFormat="1" ht="19">
      <c r="A180" s="58"/>
      <c r="B180" s="59"/>
      <c r="C180" s="47"/>
      <c r="D180" s="60" t="s">
        <v>673</v>
      </c>
      <c r="E180" s="3431">
        <f>'Estados Financieros'!E187</f>
        <v>0</v>
      </c>
      <c r="F180" s="3431">
        <f>'Estados Financieros'!F187</f>
        <v>0</v>
      </c>
      <c r="G180" s="3431">
        <f>'Estados Financieros'!G187</f>
        <v>0</v>
      </c>
      <c r="H180" s="3431">
        <f>'Estados Financieros'!H187</f>
        <v>0</v>
      </c>
      <c r="I180" s="3430">
        <f>'Estados Financieros'!I187</f>
        <v>0</v>
      </c>
    </row>
    <row r="181" spans="1:9" s="64" customFormat="1" ht="19">
      <c r="A181" s="58"/>
      <c r="B181" s="59"/>
      <c r="C181" s="47"/>
      <c r="D181" s="65" t="s">
        <v>674</v>
      </c>
      <c r="E181" s="3429">
        <f>'Estados Financieros'!E188</f>
        <v>0</v>
      </c>
      <c r="F181" s="3429">
        <f>'Estados Financieros'!F188</f>
        <v>0</v>
      </c>
      <c r="G181" s="3429">
        <f>'Estados Financieros'!G188</f>
        <v>0</v>
      </c>
      <c r="H181" s="3429">
        <f>'Estados Financieros'!H188</f>
        <v>0</v>
      </c>
      <c r="I181" s="3428">
        <f>'Estados Financieros'!I188</f>
        <v>0</v>
      </c>
    </row>
    <row r="182" spans="1:9" s="64" customFormat="1" ht="19">
      <c r="A182" s="58"/>
      <c r="B182" s="59"/>
      <c r="C182" s="47"/>
      <c r="D182" s="65" t="s">
        <v>675</v>
      </c>
      <c r="E182" s="3429">
        <f>'Estados Financieros'!E189</f>
        <v>0</v>
      </c>
      <c r="F182" s="3429">
        <f>'Estados Financieros'!F189</f>
        <v>0</v>
      </c>
      <c r="G182" s="3429">
        <f>'Estados Financieros'!G189</f>
        <v>0</v>
      </c>
      <c r="H182" s="3429">
        <f>'Estados Financieros'!H189</f>
        <v>0</v>
      </c>
      <c r="I182" s="3428">
        <f>'Estados Financieros'!I189</f>
        <v>0</v>
      </c>
    </row>
    <row r="183" spans="1:9" s="64" customFormat="1" ht="19">
      <c r="A183" s="58"/>
      <c r="B183" s="59"/>
      <c r="C183" s="47"/>
      <c r="D183" s="101" t="s">
        <v>676</v>
      </c>
      <c r="E183" s="3425">
        <f>'Estados Financieros'!E190</f>
        <v>0</v>
      </c>
      <c r="F183" s="3425">
        <f>'Estados Financieros'!F190</f>
        <v>0</v>
      </c>
      <c r="G183" s="3425">
        <f>'Estados Financieros'!G190</f>
        <v>0</v>
      </c>
      <c r="H183" s="3425">
        <f>'Estados Financieros'!H190</f>
        <v>0</v>
      </c>
      <c r="I183" s="3423">
        <f>'Estados Financieros'!I190</f>
        <v>0</v>
      </c>
    </row>
    <row r="184" spans="1:9" s="64" customFormat="1" ht="19">
      <c r="A184" s="58"/>
      <c r="B184" s="59"/>
      <c r="C184" s="94" t="s">
        <v>677</v>
      </c>
      <c r="D184" s="95"/>
      <c r="E184" s="3422">
        <f>'Estados Financieros'!E191</f>
        <v>0</v>
      </c>
      <c r="F184" s="3422">
        <f>'Estados Financieros'!F191</f>
        <v>0</v>
      </c>
      <c r="G184" s="3422">
        <f>'Estados Financieros'!G191</f>
        <v>0</v>
      </c>
      <c r="H184" s="3422">
        <f>'Estados Financieros'!H191</f>
        <v>0</v>
      </c>
      <c r="I184" s="3421">
        <f>'Estados Financieros'!I191</f>
        <v>0</v>
      </c>
    </row>
    <row r="185" spans="1:9" s="64" customFormat="1" ht="19">
      <c r="A185" s="58"/>
      <c r="B185" s="84"/>
      <c r="C185" s="47"/>
      <c r="D185" s="104"/>
      <c r="E185" s="3441"/>
      <c r="F185" s="3441"/>
      <c r="G185" s="3441"/>
      <c r="H185" s="3441"/>
      <c r="I185" s="3442"/>
    </row>
    <row r="186" spans="1:9" s="64" customFormat="1" ht="20.5">
      <c r="A186" s="58"/>
      <c r="B186" s="46" t="s">
        <v>678</v>
      </c>
      <c r="C186" s="46"/>
      <c r="D186" s="107"/>
      <c r="E186" s="3441"/>
      <c r="F186" s="3441"/>
      <c r="G186" s="3441"/>
      <c r="H186" s="3441"/>
      <c r="I186" s="3442"/>
    </row>
    <row r="187" spans="1:9" s="64" customFormat="1" ht="20.5">
      <c r="A187" s="58"/>
      <c r="B187" s="84"/>
      <c r="C187" s="46" t="s">
        <v>679</v>
      </c>
      <c r="D187" s="107"/>
      <c r="E187" s="3441"/>
      <c r="F187" s="3441"/>
      <c r="G187" s="3441"/>
      <c r="H187" s="3441"/>
      <c r="I187" s="3442"/>
    </row>
    <row r="188" spans="1:9" s="64" customFormat="1" ht="19">
      <c r="A188" s="58"/>
      <c r="B188" s="53"/>
      <c r="C188" s="54" t="s">
        <v>680</v>
      </c>
      <c r="D188" s="89"/>
      <c r="E188" s="3439"/>
      <c r="F188" s="3439"/>
      <c r="G188" s="3439"/>
      <c r="H188" s="3439"/>
      <c r="I188" s="3445"/>
    </row>
    <row r="189" spans="1:9" s="64" customFormat="1" ht="19">
      <c r="A189" s="58"/>
      <c r="B189" s="59"/>
      <c r="C189" s="47"/>
      <c r="D189" s="60" t="s">
        <v>681</v>
      </c>
      <c r="E189" s="3431">
        <f>'Estados Financieros'!E196</f>
        <v>0</v>
      </c>
      <c r="F189" s="3431">
        <f>'Estados Financieros'!F196</f>
        <v>0</v>
      </c>
      <c r="G189" s="3431">
        <f>'Estados Financieros'!G196</f>
        <v>0</v>
      </c>
      <c r="H189" s="3431">
        <f>'Estados Financieros'!H196</f>
        <v>0</v>
      </c>
      <c r="I189" s="3430">
        <f>'Estados Financieros'!I196</f>
        <v>0</v>
      </c>
    </row>
    <row r="190" spans="1:9" s="64" customFormat="1" ht="19">
      <c r="A190" s="58"/>
      <c r="B190" s="59"/>
      <c r="C190" s="47"/>
      <c r="D190" s="65" t="s">
        <v>682</v>
      </c>
      <c r="E190" s="3429">
        <f>'Estados Financieros'!E197</f>
        <v>0</v>
      </c>
      <c r="F190" s="3429">
        <f>'Estados Financieros'!F197</f>
        <v>0</v>
      </c>
      <c r="G190" s="3429">
        <f>'Estados Financieros'!G197</f>
        <v>0</v>
      </c>
      <c r="H190" s="3429">
        <f>'Estados Financieros'!H197</f>
        <v>0</v>
      </c>
      <c r="I190" s="3428">
        <f>'Estados Financieros'!I197</f>
        <v>0</v>
      </c>
    </row>
    <row r="191" spans="1:9" s="64" customFormat="1" ht="19">
      <c r="A191" s="58"/>
      <c r="B191" s="59"/>
      <c r="C191" s="47"/>
      <c r="D191" s="65" t="s">
        <v>683</v>
      </c>
      <c r="E191" s="3429">
        <f>'Estados Financieros'!E198</f>
        <v>0</v>
      </c>
      <c r="F191" s="3429">
        <f>'Estados Financieros'!F198</f>
        <v>0</v>
      </c>
      <c r="G191" s="3429">
        <f>'Estados Financieros'!G198</f>
        <v>0</v>
      </c>
      <c r="H191" s="3429">
        <f>'Estados Financieros'!H198</f>
        <v>0</v>
      </c>
      <c r="I191" s="3428">
        <f>'Estados Financieros'!I198</f>
        <v>0</v>
      </c>
    </row>
    <row r="192" spans="1:9" s="64" customFormat="1" ht="19">
      <c r="A192" s="58"/>
      <c r="B192" s="59"/>
      <c r="C192" s="66" t="s">
        <v>684</v>
      </c>
      <c r="D192" s="67"/>
      <c r="E192" s="3435">
        <f>'Estados Financieros'!E199</f>
        <v>0</v>
      </c>
      <c r="F192" s="3435">
        <f>'Estados Financieros'!F199</f>
        <v>0</v>
      </c>
      <c r="G192" s="3435">
        <f>'Estados Financieros'!G199</f>
        <v>0</v>
      </c>
      <c r="H192" s="3435">
        <f>'Estados Financieros'!H199</f>
        <v>0</v>
      </c>
      <c r="I192" s="3434">
        <f>'Estados Financieros'!I199</f>
        <v>0</v>
      </c>
    </row>
    <row r="193" spans="1:9" s="64" customFormat="1" ht="19">
      <c r="A193" s="58"/>
      <c r="B193" s="53"/>
      <c r="C193" s="54" t="s">
        <v>685</v>
      </c>
      <c r="D193" s="71"/>
      <c r="E193" s="3433"/>
      <c r="F193" s="3433"/>
      <c r="G193" s="3433"/>
      <c r="H193" s="3433"/>
      <c r="I193" s="3432"/>
    </row>
    <row r="194" spans="1:9" s="64" customFormat="1" ht="19">
      <c r="A194" s="58"/>
      <c r="B194" s="59"/>
      <c r="C194" s="47"/>
      <c r="D194" s="60" t="s">
        <v>686</v>
      </c>
      <c r="E194" s="3431">
        <f>'Estados Financieros'!E201</f>
        <v>0</v>
      </c>
      <c r="F194" s="3431">
        <f>'Estados Financieros'!F201</f>
        <v>0</v>
      </c>
      <c r="G194" s="3431">
        <f>'Estados Financieros'!G201</f>
        <v>0</v>
      </c>
      <c r="H194" s="3431">
        <f>'Estados Financieros'!H201</f>
        <v>0</v>
      </c>
      <c r="I194" s="3430">
        <f>'Estados Financieros'!I201</f>
        <v>0</v>
      </c>
    </row>
    <row r="195" spans="1:9" s="64" customFormat="1" ht="19">
      <c r="A195" s="58"/>
      <c r="B195" s="59"/>
      <c r="C195" s="47"/>
      <c r="D195" s="65" t="s">
        <v>687</v>
      </c>
      <c r="E195" s="3429">
        <f>'Estados Financieros'!E202</f>
        <v>0</v>
      </c>
      <c r="F195" s="3429">
        <f>'Estados Financieros'!F202</f>
        <v>0</v>
      </c>
      <c r="G195" s="3429">
        <f>'Estados Financieros'!G202</f>
        <v>0</v>
      </c>
      <c r="H195" s="3429">
        <f>'Estados Financieros'!H202</f>
        <v>0</v>
      </c>
      <c r="I195" s="3428">
        <f>'Estados Financieros'!I202</f>
        <v>0</v>
      </c>
    </row>
    <row r="196" spans="1:9" s="64" customFormat="1" ht="19">
      <c r="A196" s="58"/>
      <c r="B196" s="59"/>
      <c r="C196" s="47"/>
      <c r="D196" s="101" t="s">
        <v>571</v>
      </c>
      <c r="E196" s="3425">
        <f>'Estados Financieros'!E203</f>
        <v>0</v>
      </c>
      <c r="F196" s="3425">
        <f>'Estados Financieros'!F203</f>
        <v>0</v>
      </c>
      <c r="G196" s="3425">
        <f>'Estados Financieros'!G203</f>
        <v>0</v>
      </c>
      <c r="H196" s="3425">
        <f>'Estados Financieros'!H203</f>
        <v>0</v>
      </c>
      <c r="I196" s="3423">
        <f>'Estados Financieros'!I203</f>
        <v>0</v>
      </c>
    </row>
    <row r="197" spans="1:9" s="64" customFormat="1" ht="19">
      <c r="A197" s="58"/>
      <c r="B197" s="59"/>
      <c r="C197" s="66" t="s">
        <v>688</v>
      </c>
      <c r="D197" s="67"/>
      <c r="E197" s="3435">
        <f>'Estados Financieros'!E204</f>
        <v>0</v>
      </c>
      <c r="F197" s="3435">
        <f>'Estados Financieros'!F204</f>
        <v>0</v>
      </c>
      <c r="G197" s="3435">
        <f>'Estados Financieros'!G204</f>
        <v>0</v>
      </c>
      <c r="H197" s="3435">
        <f>'Estados Financieros'!H204</f>
        <v>0</v>
      </c>
      <c r="I197" s="3434">
        <f>'Estados Financieros'!I204</f>
        <v>0</v>
      </c>
    </row>
    <row r="198" spans="1:9" s="64" customFormat="1" ht="19">
      <c r="A198" s="58"/>
      <c r="B198" s="53"/>
      <c r="C198" s="54" t="s">
        <v>689</v>
      </c>
      <c r="D198" s="71"/>
      <c r="E198" s="3433"/>
      <c r="F198" s="3433"/>
      <c r="G198" s="3433"/>
      <c r="H198" s="3433"/>
      <c r="I198" s="3432"/>
    </row>
    <row r="199" spans="1:9" s="64" customFormat="1" ht="19">
      <c r="A199" s="58"/>
      <c r="B199" s="59"/>
      <c r="C199" s="47"/>
      <c r="D199" s="60" t="s">
        <v>571</v>
      </c>
      <c r="E199" s="3431">
        <f>'Estados Financieros'!E206</f>
        <v>0</v>
      </c>
      <c r="F199" s="3431">
        <f>'Estados Financieros'!F206</f>
        <v>0</v>
      </c>
      <c r="G199" s="3431">
        <f>'Estados Financieros'!G206</f>
        <v>0</v>
      </c>
      <c r="H199" s="3431">
        <f>'Estados Financieros'!H206</f>
        <v>0</v>
      </c>
      <c r="I199" s="3430">
        <f>'Estados Financieros'!I206</f>
        <v>0</v>
      </c>
    </row>
    <row r="200" spans="1:9" s="64" customFormat="1" ht="19">
      <c r="A200" s="58"/>
      <c r="B200" s="59"/>
      <c r="C200" s="47"/>
      <c r="D200" s="65" t="s">
        <v>690</v>
      </c>
      <c r="E200" s="3429">
        <f>'Estados Financieros'!E207</f>
        <v>0</v>
      </c>
      <c r="F200" s="3429">
        <f>'Estados Financieros'!F207</f>
        <v>0</v>
      </c>
      <c r="G200" s="3429">
        <f>'Estados Financieros'!G207</f>
        <v>0</v>
      </c>
      <c r="H200" s="3429">
        <f>'Estados Financieros'!H207</f>
        <v>0</v>
      </c>
      <c r="I200" s="3428">
        <f>'Estados Financieros'!I207</f>
        <v>0</v>
      </c>
    </row>
    <row r="201" spans="1:9" s="64" customFormat="1" ht="19">
      <c r="A201" s="58"/>
      <c r="B201" s="59"/>
      <c r="C201" s="47"/>
      <c r="D201" s="65" t="s">
        <v>691</v>
      </c>
      <c r="E201" s="3429">
        <f>'Estados Financieros'!E208</f>
        <v>0</v>
      </c>
      <c r="F201" s="3429">
        <f>'Estados Financieros'!F208</f>
        <v>0</v>
      </c>
      <c r="G201" s="3429">
        <f>'Estados Financieros'!G208</f>
        <v>0</v>
      </c>
      <c r="H201" s="3429">
        <f>'Estados Financieros'!H208</f>
        <v>0</v>
      </c>
      <c r="I201" s="3428">
        <f>'Estados Financieros'!I208</f>
        <v>0</v>
      </c>
    </row>
    <row r="202" spans="1:9" s="64" customFormat="1" ht="19">
      <c r="A202" s="58"/>
      <c r="B202" s="59"/>
      <c r="C202" s="47"/>
      <c r="D202" s="65" t="s">
        <v>692</v>
      </c>
      <c r="E202" s="3429">
        <f>'Estados Financieros'!E209</f>
        <v>0</v>
      </c>
      <c r="F202" s="3429">
        <f>'Estados Financieros'!F209</f>
        <v>0</v>
      </c>
      <c r="G202" s="3429">
        <f>'Estados Financieros'!G209</f>
        <v>0</v>
      </c>
      <c r="H202" s="3429">
        <f>'Estados Financieros'!H209</f>
        <v>0</v>
      </c>
      <c r="I202" s="3428">
        <f>'Estados Financieros'!I209</f>
        <v>0</v>
      </c>
    </row>
    <row r="203" spans="1:9" s="64" customFormat="1" ht="19">
      <c r="A203" s="58"/>
      <c r="B203" s="59"/>
      <c r="C203" s="47"/>
      <c r="D203" s="65" t="s">
        <v>693</v>
      </c>
      <c r="E203" s="3429">
        <f>'Estados Financieros'!E210</f>
        <v>0</v>
      </c>
      <c r="F203" s="3429">
        <f>'Estados Financieros'!F210</f>
        <v>0</v>
      </c>
      <c r="G203" s="3429">
        <f>'Estados Financieros'!G210</f>
        <v>0</v>
      </c>
      <c r="H203" s="3429">
        <f>'Estados Financieros'!H210</f>
        <v>0</v>
      </c>
      <c r="I203" s="3428">
        <f>'Estados Financieros'!I210</f>
        <v>0</v>
      </c>
    </row>
    <row r="204" spans="1:9" s="64" customFormat="1" ht="19">
      <c r="A204" s="58"/>
      <c r="B204" s="59"/>
      <c r="C204" s="47"/>
      <c r="D204" s="65" t="s">
        <v>694</v>
      </c>
      <c r="E204" s="3429">
        <f>'Estados Financieros'!E211</f>
        <v>0</v>
      </c>
      <c r="F204" s="3429">
        <f>'Estados Financieros'!F211</f>
        <v>0</v>
      </c>
      <c r="G204" s="3429">
        <f>'Estados Financieros'!G211</f>
        <v>0</v>
      </c>
      <c r="H204" s="3429">
        <f>'Estados Financieros'!H211</f>
        <v>0</v>
      </c>
      <c r="I204" s="3428">
        <f>'Estados Financieros'!I211</f>
        <v>0</v>
      </c>
    </row>
    <row r="205" spans="1:9" s="64" customFormat="1" ht="19">
      <c r="A205" s="58"/>
      <c r="B205" s="59"/>
      <c r="C205" s="47"/>
      <c r="D205" s="65" t="s">
        <v>695</v>
      </c>
      <c r="E205" s="3429">
        <f>'Estados Financieros'!E212</f>
        <v>0</v>
      </c>
      <c r="F205" s="3429">
        <f>'Estados Financieros'!F212</f>
        <v>0</v>
      </c>
      <c r="G205" s="3429">
        <f>'Estados Financieros'!G212</f>
        <v>0</v>
      </c>
      <c r="H205" s="3429">
        <f>'Estados Financieros'!H212</f>
        <v>0</v>
      </c>
      <c r="I205" s="3428">
        <f>'Estados Financieros'!I212</f>
        <v>0</v>
      </c>
    </row>
    <row r="206" spans="1:9" s="64" customFormat="1" ht="19">
      <c r="A206" s="58"/>
      <c r="B206" s="59"/>
      <c r="C206" s="47"/>
      <c r="D206" s="65" t="s">
        <v>696</v>
      </c>
      <c r="E206" s="3429">
        <f>'Estados Financieros'!E213</f>
        <v>0</v>
      </c>
      <c r="F206" s="3429">
        <f>'Estados Financieros'!F213</f>
        <v>0</v>
      </c>
      <c r="G206" s="3429">
        <f>'Estados Financieros'!G213</f>
        <v>0</v>
      </c>
      <c r="H206" s="3429">
        <f>'Estados Financieros'!H213</f>
        <v>0</v>
      </c>
      <c r="I206" s="3428">
        <f>'Estados Financieros'!I213</f>
        <v>0</v>
      </c>
    </row>
    <row r="207" spans="1:9" s="64" customFormat="1" ht="19">
      <c r="A207" s="58"/>
      <c r="B207" s="59"/>
      <c r="C207" s="47"/>
      <c r="D207" s="65" t="s">
        <v>697</v>
      </c>
      <c r="E207" s="3429">
        <f>'Estados Financieros'!E214</f>
        <v>0</v>
      </c>
      <c r="F207" s="3429">
        <f>'Estados Financieros'!F214</f>
        <v>0</v>
      </c>
      <c r="G207" s="3429">
        <f>'Estados Financieros'!G214</f>
        <v>0</v>
      </c>
      <c r="H207" s="3429">
        <f>'Estados Financieros'!H214</f>
        <v>0</v>
      </c>
      <c r="I207" s="3428">
        <f>'Estados Financieros'!I214</f>
        <v>0</v>
      </c>
    </row>
    <row r="208" spans="1:9" s="64" customFormat="1" ht="19">
      <c r="A208" s="58"/>
      <c r="B208" s="59"/>
      <c r="C208" s="47"/>
      <c r="D208" s="65" t="s">
        <v>698</v>
      </c>
      <c r="E208" s="3429">
        <f>'Estados Financieros'!E215</f>
        <v>0</v>
      </c>
      <c r="F208" s="3429">
        <f>'Estados Financieros'!F215</f>
        <v>0</v>
      </c>
      <c r="G208" s="3429">
        <f>'Estados Financieros'!G215</f>
        <v>0</v>
      </c>
      <c r="H208" s="3429">
        <f>'Estados Financieros'!H215</f>
        <v>0</v>
      </c>
      <c r="I208" s="3428">
        <f>'Estados Financieros'!I215</f>
        <v>0</v>
      </c>
    </row>
    <row r="209" spans="1:9" s="64" customFormat="1" ht="19">
      <c r="A209" s="58"/>
      <c r="B209" s="59"/>
      <c r="C209" s="47"/>
      <c r="D209" s="65" t="s">
        <v>699</v>
      </c>
      <c r="E209" s="3429">
        <f>'Estados Financieros'!E216</f>
        <v>0</v>
      </c>
      <c r="F209" s="3429">
        <f>'Estados Financieros'!F216</f>
        <v>0</v>
      </c>
      <c r="G209" s="3429">
        <f>'Estados Financieros'!G216</f>
        <v>0</v>
      </c>
      <c r="H209" s="3429">
        <f>'Estados Financieros'!H216</f>
        <v>0</v>
      </c>
      <c r="I209" s="3428">
        <f>'Estados Financieros'!I216</f>
        <v>0</v>
      </c>
    </row>
    <row r="210" spans="1:9" s="64" customFormat="1" ht="19">
      <c r="A210" s="58"/>
      <c r="B210" s="59"/>
      <c r="C210" s="47"/>
      <c r="D210" s="65" t="s">
        <v>700</v>
      </c>
      <c r="E210" s="3429">
        <f>'Estados Financieros'!E217</f>
        <v>0</v>
      </c>
      <c r="F210" s="3429">
        <f>'Estados Financieros'!F217</f>
        <v>0</v>
      </c>
      <c r="G210" s="3429">
        <f>'Estados Financieros'!G217</f>
        <v>0</v>
      </c>
      <c r="H210" s="3429">
        <f>'Estados Financieros'!H217</f>
        <v>0</v>
      </c>
      <c r="I210" s="3428">
        <f>'Estados Financieros'!I217</f>
        <v>0</v>
      </c>
    </row>
    <row r="211" spans="1:9" s="64" customFormat="1" ht="19">
      <c r="A211" s="58"/>
      <c r="B211" s="59"/>
      <c r="C211" s="47"/>
      <c r="D211" s="65" t="s">
        <v>701</v>
      </c>
      <c r="E211" s="3429">
        <f>'Estados Financieros'!E218</f>
        <v>0</v>
      </c>
      <c r="F211" s="3429">
        <f>'Estados Financieros'!F218</f>
        <v>0</v>
      </c>
      <c r="G211" s="3429">
        <f>'Estados Financieros'!G218</f>
        <v>0</v>
      </c>
      <c r="H211" s="3429">
        <f>'Estados Financieros'!H218</f>
        <v>0</v>
      </c>
      <c r="I211" s="3428">
        <f>'Estados Financieros'!I218</f>
        <v>0</v>
      </c>
    </row>
    <row r="212" spans="1:9" s="64" customFormat="1" ht="19">
      <c r="A212" s="58"/>
      <c r="B212" s="59"/>
      <c r="C212" s="47"/>
      <c r="D212" s="65" t="s">
        <v>702</v>
      </c>
      <c r="E212" s="3429">
        <f>'Estados Financieros'!E219</f>
        <v>0</v>
      </c>
      <c r="F212" s="3429">
        <f>'Estados Financieros'!F219</f>
        <v>0</v>
      </c>
      <c r="G212" s="3429">
        <f>'Estados Financieros'!G219</f>
        <v>0</v>
      </c>
      <c r="H212" s="3429">
        <f>'Estados Financieros'!H219</f>
        <v>0</v>
      </c>
      <c r="I212" s="3428">
        <f>'Estados Financieros'!I219</f>
        <v>0</v>
      </c>
    </row>
    <row r="213" spans="1:9" s="64" customFormat="1" ht="19" customHeight="1">
      <c r="A213" s="58"/>
      <c r="B213" s="59"/>
      <c r="C213" s="47"/>
      <c r="D213" s="65"/>
      <c r="E213" s="3429"/>
      <c r="F213" s="3429"/>
      <c r="G213" s="3450"/>
      <c r="H213" s="3450"/>
      <c r="I213" s="3448"/>
    </row>
    <row r="214" spans="1:9" s="64" customFormat="1" ht="19">
      <c r="A214" s="58"/>
      <c r="B214" s="59"/>
      <c r="C214" s="66" t="s">
        <v>703</v>
      </c>
      <c r="D214" s="67"/>
      <c r="E214" s="3435">
        <f>'Estados Financieros'!E221</f>
        <v>0</v>
      </c>
      <c r="F214" s="3435">
        <f>'Estados Financieros'!F221</f>
        <v>0</v>
      </c>
      <c r="G214" s="3435">
        <f>'Estados Financieros'!G221</f>
        <v>0</v>
      </c>
      <c r="H214" s="3435">
        <f>'Estados Financieros'!H221</f>
        <v>0</v>
      </c>
      <c r="I214" s="3434">
        <f>'Estados Financieros'!I221</f>
        <v>0</v>
      </c>
    </row>
    <row r="215" spans="1:9" s="64" customFormat="1" ht="19">
      <c r="A215" s="58"/>
      <c r="B215" s="53"/>
      <c r="C215" s="54" t="s">
        <v>704</v>
      </c>
      <c r="D215" s="71"/>
      <c r="E215" s="3433"/>
      <c r="F215" s="3433"/>
      <c r="G215" s="3433"/>
      <c r="H215" s="3433"/>
      <c r="I215" s="3432"/>
    </row>
    <row r="216" spans="1:9" s="64" customFormat="1" ht="19">
      <c r="A216" s="58"/>
      <c r="B216" s="59"/>
      <c r="C216" s="47"/>
      <c r="D216" s="60" t="s">
        <v>705</v>
      </c>
      <c r="E216" s="3431">
        <f>'Estados Financieros'!E223</f>
        <v>0</v>
      </c>
      <c r="F216" s="3431">
        <f>'Estados Financieros'!F223</f>
        <v>0</v>
      </c>
      <c r="G216" s="3431">
        <f>'Estados Financieros'!G223</f>
        <v>0</v>
      </c>
      <c r="H216" s="3431">
        <f>'Estados Financieros'!H223</f>
        <v>0</v>
      </c>
      <c r="I216" s="3430">
        <f>'Estados Financieros'!I223</f>
        <v>0</v>
      </c>
    </row>
    <row r="217" spans="1:9" s="64" customFormat="1" ht="19">
      <c r="A217" s="58"/>
      <c r="B217" s="59"/>
      <c r="C217" s="47"/>
      <c r="D217" s="65" t="s">
        <v>706</v>
      </c>
      <c r="E217" s="3429">
        <f>'Estados Financieros'!E224</f>
        <v>0</v>
      </c>
      <c r="F217" s="3429">
        <f>'Estados Financieros'!F224</f>
        <v>0</v>
      </c>
      <c r="G217" s="3429">
        <f>'Estados Financieros'!G224</f>
        <v>0</v>
      </c>
      <c r="H217" s="3429">
        <f>'Estados Financieros'!H224</f>
        <v>0</v>
      </c>
      <c r="I217" s="3428">
        <f>'Estados Financieros'!I224</f>
        <v>0</v>
      </c>
    </row>
    <row r="218" spans="1:9" s="64" customFormat="1" ht="19">
      <c r="A218" s="58"/>
      <c r="B218" s="59"/>
      <c r="C218" s="47"/>
      <c r="D218" s="65" t="s">
        <v>707</v>
      </c>
      <c r="E218" s="3429">
        <f>'Estados Financieros'!E225</f>
        <v>0</v>
      </c>
      <c r="F218" s="3429">
        <f>'Estados Financieros'!F225</f>
        <v>0</v>
      </c>
      <c r="G218" s="3429">
        <f>'Estados Financieros'!G225</f>
        <v>0</v>
      </c>
      <c r="H218" s="3429">
        <f>'Estados Financieros'!H225</f>
        <v>0</v>
      </c>
      <c r="I218" s="3428">
        <f>'Estados Financieros'!I225</f>
        <v>0</v>
      </c>
    </row>
    <row r="219" spans="1:9" s="64" customFormat="1" ht="19">
      <c r="A219" s="58"/>
      <c r="B219" s="59"/>
      <c r="C219" s="47"/>
      <c r="D219" s="65" t="s">
        <v>453</v>
      </c>
      <c r="E219" s="3429">
        <f>'Estados Financieros'!E226</f>
        <v>0</v>
      </c>
      <c r="F219" s="3429">
        <f>'Estados Financieros'!F226</f>
        <v>0</v>
      </c>
      <c r="G219" s="3429">
        <f>'Estados Financieros'!G226</f>
        <v>0</v>
      </c>
      <c r="H219" s="3429">
        <f>'Estados Financieros'!H226</f>
        <v>0</v>
      </c>
      <c r="I219" s="3428">
        <f>'Estados Financieros'!I226</f>
        <v>0</v>
      </c>
    </row>
    <row r="220" spans="1:9" s="64" customFormat="1" ht="19" customHeight="1">
      <c r="A220" s="58"/>
      <c r="B220" s="59"/>
      <c r="C220" s="47"/>
      <c r="D220" s="65"/>
      <c r="E220" s="3429"/>
      <c r="F220" s="3429"/>
      <c r="G220" s="3450"/>
      <c r="H220" s="3450"/>
      <c r="I220" s="3448"/>
    </row>
    <row r="221" spans="1:9" s="64" customFormat="1" ht="19" customHeight="1">
      <c r="A221" s="58"/>
      <c r="B221" s="59"/>
      <c r="C221" s="47"/>
      <c r="D221" s="65"/>
      <c r="E221" s="3429"/>
      <c r="F221" s="3429"/>
      <c r="G221" s="3450"/>
      <c r="H221" s="3450"/>
      <c r="I221" s="3448"/>
    </row>
    <row r="222" spans="1:9" s="64" customFormat="1" ht="19" customHeight="1">
      <c r="A222" s="58"/>
      <c r="B222" s="59"/>
      <c r="C222" s="47"/>
      <c r="D222" s="65"/>
      <c r="E222" s="3429"/>
      <c r="F222" s="3429"/>
      <c r="G222" s="3450"/>
      <c r="H222" s="3450"/>
      <c r="I222" s="3448"/>
    </row>
    <row r="223" spans="1:9" s="64" customFormat="1" ht="19" customHeight="1">
      <c r="A223" s="58"/>
      <c r="B223" s="59"/>
      <c r="C223" s="47"/>
      <c r="D223" s="65"/>
      <c r="E223" s="3429"/>
      <c r="F223" s="3429"/>
      <c r="G223" s="3450"/>
      <c r="H223" s="3450"/>
      <c r="I223" s="3448"/>
    </row>
    <row r="224" spans="1:9" s="64" customFormat="1" ht="19" customHeight="1">
      <c r="A224" s="58"/>
      <c r="B224" s="59"/>
      <c r="C224" s="47"/>
      <c r="D224" s="65"/>
      <c r="E224" s="3429"/>
      <c r="F224" s="3429"/>
      <c r="G224" s="3450"/>
      <c r="H224" s="3450"/>
      <c r="I224" s="3448"/>
    </row>
    <row r="225" spans="1:9" s="64" customFormat="1" ht="19" customHeight="1">
      <c r="A225" s="58"/>
      <c r="B225" s="59"/>
      <c r="C225" s="47"/>
      <c r="D225" s="65"/>
      <c r="E225" s="3429"/>
      <c r="F225" s="3429"/>
      <c r="G225" s="3450"/>
      <c r="H225" s="3450"/>
      <c r="I225" s="3448"/>
    </row>
    <row r="226" spans="1:9" s="64" customFormat="1" ht="19">
      <c r="A226" s="58"/>
      <c r="B226" s="59"/>
      <c r="C226" s="66" t="s">
        <v>708</v>
      </c>
      <c r="D226" s="67"/>
      <c r="E226" s="3435">
        <f>'Estados Financieros'!E233</f>
        <v>0</v>
      </c>
      <c r="F226" s="3435">
        <f>'Estados Financieros'!F233</f>
        <v>0</v>
      </c>
      <c r="G226" s="3435">
        <f>'Estados Financieros'!G233</f>
        <v>0</v>
      </c>
      <c r="H226" s="3435">
        <f>'Estados Financieros'!H233</f>
        <v>0</v>
      </c>
      <c r="I226" s="3434">
        <f>'Estados Financieros'!I233</f>
        <v>0</v>
      </c>
    </row>
    <row r="227" spans="1:9" s="64" customFormat="1" ht="19">
      <c r="A227" s="58"/>
      <c r="B227" s="53"/>
      <c r="C227" s="54" t="s">
        <v>709</v>
      </c>
      <c r="D227" s="71"/>
      <c r="E227" s="3433"/>
      <c r="F227" s="3433"/>
      <c r="G227" s="3433"/>
      <c r="H227" s="3433"/>
      <c r="I227" s="3432"/>
    </row>
    <row r="228" spans="1:9" s="64" customFormat="1" ht="19">
      <c r="A228" s="58"/>
      <c r="B228" s="59"/>
      <c r="C228" s="47"/>
      <c r="D228" s="60" t="s">
        <v>710</v>
      </c>
      <c r="E228" s="3431">
        <f>'Estados Financieros'!E235</f>
        <v>0</v>
      </c>
      <c r="F228" s="3431">
        <f>'Estados Financieros'!F235</f>
        <v>0</v>
      </c>
      <c r="G228" s="3431">
        <f>'Estados Financieros'!G235</f>
        <v>0</v>
      </c>
      <c r="H228" s="3431">
        <f>'Estados Financieros'!H235</f>
        <v>0</v>
      </c>
      <c r="I228" s="3430">
        <f>'Estados Financieros'!I235</f>
        <v>0</v>
      </c>
    </row>
    <row r="229" spans="1:9" s="64" customFormat="1" ht="19">
      <c r="A229" s="58"/>
      <c r="B229" s="59"/>
      <c r="C229" s="47"/>
      <c r="D229" s="65" t="s">
        <v>711</v>
      </c>
      <c r="E229" s="3429">
        <f>'Estados Financieros'!E236</f>
        <v>0</v>
      </c>
      <c r="F229" s="3429">
        <f>'Estados Financieros'!F236</f>
        <v>0</v>
      </c>
      <c r="G229" s="3429">
        <f>'Estados Financieros'!G236</f>
        <v>0</v>
      </c>
      <c r="H229" s="3429">
        <f>'Estados Financieros'!H236</f>
        <v>0</v>
      </c>
      <c r="I229" s="3428">
        <f>'Estados Financieros'!I236</f>
        <v>0</v>
      </c>
    </row>
    <row r="230" spans="1:9" s="64" customFormat="1" ht="19">
      <c r="A230" s="58"/>
      <c r="B230" s="59"/>
      <c r="C230" s="47"/>
      <c r="D230" s="65" t="s">
        <v>712</v>
      </c>
      <c r="E230" s="3429">
        <f>'Estados Financieros'!E237</f>
        <v>0</v>
      </c>
      <c r="F230" s="3429">
        <f>'Estados Financieros'!F237</f>
        <v>0</v>
      </c>
      <c r="G230" s="3429">
        <f>'Estados Financieros'!G237</f>
        <v>0</v>
      </c>
      <c r="H230" s="3429">
        <f>'Estados Financieros'!H237</f>
        <v>0</v>
      </c>
      <c r="I230" s="3428">
        <f>'Estados Financieros'!I237</f>
        <v>0</v>
      </c>
    </row>
    <row r="231" spans="1:9" s="64" customFormat="1" ht="19">
      <c r="A231" s="58"/>
      <c r="B231" s="59"/>
      <c r="C231" s="47"/>
      <c r="D231" s="65" t="s">
        <v>713</v>
      </c>
      <c r="E231" s="3429">
        <f>'Estados Financieros'!E238</f>
        <v>0</v>
      </c>
      <c r="F231" s="3429">
        <f>'Estados Financieros'!F238</f>
        <v>0</v>
      </c>
      <c r="G231" s="3429">
        <f>'Estados Financieros'!G238</f>
        <v>0</v>
      </c>
      <c r="H231" s="3429">
        <f>'Estados Financieros'!H238</f>
        <v>0</v>
      </c>
      <c r="I231" s="3428">
        <f>'Estados Financieros'!I238</f>
        <v>0</v>
      </c>
    </row>
    <row r="232" spans="1:9" s="64" customFormat="1" ht="19">
      <c r="A232" s="58"/>
      <c r="B232" s="59"/>
      <c r="C232" s="47"/>
      <c r="D232" s="65" t="s">
        <v>714</v>
      </c>
      <c r="E232" s="3429">
        <f>'Estados Financieros'!E239</f>
        <v>0</v>
      </c>
      <c r="F232" s="3429">
        <f>'Estados Financieros'!F239</f>
        <v>0</v>
      </c>
      <c r="G232" s="3429">
        <f>'Estados Financieros'!G239</f>
        <v>0</v>
      </c>
      <c r="H232" s="3429">
        <f>'Estados Financieros'!H239</f>
        <v>0</v>
      </c>
      <c r="I232" s="3428">
        <f>'Estados Financieros'!I239</f>
        <v>0</v>
      </c>
    </row>
    <row r="233" spans="1:9" s="64" customFormat="1" ht="19">
      <c r="A233" s="58"/>
      <c r="B233" s="59"/>
      <c r="C233" s="47"/>
      <c r="D233" s="65" t="s">
        <v>715</v>
      </c>
      <c r="E233" s="3429">
        <f>'Estados Financieros'!E240</f>
        <v>0</v>
      </c>
      <c r="F233" s="3429">
        <f>'Estados Financieros'!F240</f>
        <v>0</v>
      </c>
      <c r="G233" s="3429">
        <f>'Estados Financieros'!G240</f>
        <v>0</v>
      </c>
      <c r="H233" s="3429">
        <f>'Estados Financieros'!H240</f>
        <v>0</v>
      </c>
      <c r="I233" s="3428">
        <f>'Estados Financieros'!I240</f>
        <v>0</v>
      </c>
    </row>
    <row r="234" spans="1:9" s="64" customFormat="1" ht="19">
      <c r="A234" s="58"/>
      <c r="B234" s="59"/>
      <c r="C234" s="66" t="s">
        <v>716</v>
      </c>
      <c r="D234" s="67"/>
      <c r="E234" s="3435">
        <f>'Estados Financieros'!E241</f>
        <v>0</v>
      </c>
      <c r="F234" s="3435">
        <f>'Estados Financieros'!F241</f>
        <v>0</v>
      </c>
      <c r="G234" s="3435">
        <f>'Estados Financieros'!G241</f>
        <v>0</v>
      </c>
      <c r="H234" s="3435">
        <f>'Estados Financieros'!H241</f>
        <v>0</v>
      </c>
      <c r="I234" s="3434">
        <f>'Estados Financieros'!I241</f>
        <v>0</v>
      </c>
    </row>
    <row r="235" spans="1:9" s="64" customFormat="1" ht="19">
      <c r="A235" s="58"/>
      <c r="B235" s="53"/>
      <c r="C235" s="54" t="s">
        <v>717</v>
      </c>
      <c r="D235" s="71"/>
      <c r="E235" s="3433"/>
      <c r="F235" s="3433"/>
      <c r="G235" s="3433"/>
      <c r="H235" s="3433"/>
      <c r="I235" s="3432"/>
    </row>
    <row r="236" spans="1:9" s="64" customFormat="1" ht="19">
      <c r="A236" s="58"/>
      <c r="B236" s="59"/>
      <c r="C236" s="47"/>
      <c r="D236" s="60" t="s">
        <v>718</v>
      </c>
      <c r="E236" s="3431">
        <f>'Estados Financieros'!E243</f>
        <v>0</v>
      </c>
      <c r="F236" s="3431">
        <f>'Estados Financieros'!F243</f>
        <v>0</v>
      </c>
      <c r="G236" s="3431">
        <f>'Estados Financieros'!G243</f>
        <v>0</v>
      </c>
      <c r="H236" s="3431">
        <f>'Estados Financieros'!H243</f>
        <v>0</v>
      </c>
      <c r="I236" s="3430">
        <f>'Estados Financieros'!I243</f>
        <v>0</v>
      </c>
    </row>
    <row r="237" spans="1:9" s="64" customFormat="1" ht="19">
      <c r="A237" s="58"/>
      <c r="B237" s="59"/>
      <c r="C237" s="47"/>
      <c r="D237" s="65" t="s">
        <v>719</v>
      </c>
      <c r="E237" s="3429">
        <f>'Estados Financieros'!E244</f>
        <v>0</v>
      </c>
      <c r="F237" s="3429">
        <f>'Estados Financieros'!F244</f>
        <v>0</v>
      </c>
      <c r="G237" s="3429">
        <f>'Estados Financieros'!G244</f>
        <v>0</v>
      </c>
      <c r="H237" s="3429">
        <f>'Estados Financieros'!H244</f>
        <v>0</v>
      </c>
      <c r="I237" s="3428">
        <f>'Estados Financieros'!I244</f>
        <v>0</v>
      </c>
    </row>
    <row r="238" spans="1:9" s="64" customFormat="1" ht="19">
      <c r="A238" s="58"/>
      <c r="B238" s="59"/>
      <c r="C238" s="47"/>
      <c r="D238" s="65" t="s">
        <v>720</v>
      </c>
      <c r="E238" s="3429">
        <f>'Estados Financieros'!E245</f>
        <v>0</v>
      </c>
      <c r="F238" s="3429">
        <f>'Estados Financieros'!F245</f>
        <v>0</v>
      </c>
      <c r="G238" s="3429">
        <f>'Estados Financieros'!G245</f>
        <v>0</v>
      </c>
      <c r="H238" s="3429">
        <f>'Estados Financieros'!H245</f>
        <v>0</v>
      </c>
      <c r="I238" s="3428">
        <f>'Estados Financieros'!I245</f>
        <v>0</v>
      </c>
    </row>
    <row r="239" spans="1:9" s="64" customFormat="1" ht="19">
      <c r="A239" s="58"/>
      <c r="B239" s="59"/>
      <c r="C239" s="47"/>
      <c r="D239" s="65" t="s">
        <v>721</v>
      </c>
      <c r="E239" s="3429">
        <f>'Estados Financieros'!E246</f>
        <v>0</v>
      </c>
      <c r="F239" s="3429">
        <f>'Estados Financieros'!F246</f>
        <v>0</v>
      </c>
      <c r="G239" s="3429">
        <f>'Estados Financieros'!G246</f>
        <v>0</v>
      </c>
      <c r="H239" s="3429">
        <f>'Estados Financieros'!H246</f>
        <v>0</v>
      </c>
      <c r="I239" s="3428">
        <f>'Estados Financieros'!I246</f>
        <v>0</v>
      </c>
    </row>
    <row r="240" spans="1:9" s="64" customFormat="1" ht="19">
      <c r="A240" s="58"/>
      <c r="B240" s="59"/>
      <c r="C240" s="47"/>
      <c r="D240" s="65" t="s">
        <v>722</v>
      </c>
      <c r="E240" s="3429">
        <f>'Estados Financieros'!E247</f>
        <v>0</v>
      </c>
      <c r="F240" s="3429">
        <f>'Estados Financieros'!F247</f>
        <v>0</v>
      </c>
      <c r="G240" s="3429">
        <f>'Estados Financieros'!G247</f>
        <v>0</v>
      </c>
      <c r="H240" s="3429">
        <f>'Estados Financieros'!H247</f>
        <v>0</v>
      </c>
      <c r="I240" s="3428">
        <f>'Estados Financieros'!I247</f>
        <v>0</v>
      </c>
    </row>
    <row r="241" spans="1:9" s="64" customFormat="1" ht="19">
      <c r="A241" s="58"/>
      <c r="B241" s="59"/>
      <c r="C241" s="47"/>
      <c r="D241" s="65" t="s">
        <v>723</v>
      </c>
      <c r="E241" s="3429">
        <f>'Estados Financieros'!E248</f>
        <v>0</v>
      </c>
      <c r="F241" s="3429">
        <f>'Estados Financieros'!F248</f>
        <v>0</v>
      </c>
      <c r="G241" s="3429">
        <f>'Estados Financieros'!G248</f>
        <v>0</v>
      </c>
      <c r="H241" s="3429">
        <f>'Estados Financieros'!H248</f>
        <v>0</v>
      </c>
      <c r="I241" s="3428">
        <f>'Estados Financieros'!I248</f>
        <v>0</v>
      </c>
    </row>
    <row r="242" spans="1:9" s="64" customFormat="1" ht="19">
      <c r="A242" s="58"/>
      <c r="B242" s="59"/>
      <c r="C242" s="47"/>
      <c r="D242" s="65" t="s">
        <v>724</v>
      </c>
      <c r="E242" s="3429">
        <f>'Estados Financieros'!E249</f>
        <v>0</v>
      </c>
      <c r="F242" s="3429">
        <f>'Estados Financieros'!F249</f>
        <v>0</v>
      </c>
      <c r="G242" s="3429">
        <f>'Estados Financieros'!G249</f>
        <v>0</v>
      </c>
      <c r="H242" s="3429">
        <f>'Estados Financieros'!H249</f>
        <v>0</v>
      </c>
      <c r="I242" s="3428">
        <f>'Estados Financieros'!I249</f>
        <v>0</v>
      </c>
    </row>
    <row r="243" spans="1:9" s="64" customFormat="1" ht="19">
      <c r="A243" s="58"/>
      <c r="B243" s="59"/>
      <c r="C243" s="47"/>
      <c r="D243" s="65" t="s">
        <v>725</v>
      </c>
      <c r="E243" s="3429">
        <f>'Estados Financieros'!E250</f>
        <v>0</v>
      </c>
      <c r="F243" s="3429">
        <f>'Estados Financieros'!F250</f>
        <v>0</v>
      </c>
      <c r="G243" s="3429">
        <f>'Estados Financieros'!G250</f>
        <v>0</v>
      </c>
      <c r="H243" s="3429">
        <f>'Estados Financieros'!H250</f>
        <v>0</v>
      </c>
      <c r="I243" s="3428">
        <f>'Estados Financieros'!I250</f>
        <v>0</v>
      </c>
    </row>
    <row r="244" spans="1:9" s="64" customFormat="1" ht="19">
      <c r="A244" s="58"/>
      <c r="B244" s="59"/>
      <c r="C244" s="47"/>
      <c r="D244" s="65" t="s">
        <v>726</v>
      </c>
      <c r="E244" s="3429">
        <f>'Estados Financieros'!E251</f>
        <v>0</v>
      </c>
      <c r="F244" s="3429">
        <f>'Estados Financieros'!F251</f>
        <v>0</v>
      </c>
      <c r="G244" s="3429">
        <f>'Estados Financieros'!G251</f>
        <v>0</v>
      </c>
      <c r="H244" s="3429">
        <f>'Estados Financieros'!H251</f>
        <v>0</v>
      </c>
      <c r="I244" s="3428">
        <f>'Estados Financieros'!I251</f>
        <v>0</v>
      </c>
    </row>
    <row r="245" spans="1:9" s="64" customFormat="1" ht="19">
      <c r="A245" s="58"/>
      <c r="B245" s="59"/>
      <c r="C245" s="66" t="s">
        <v>727</v>
      </c>
      <c r="D245" s="67"/>
      <c r="E245" s="3435">
        <f>'Estados Financieros'!E252</f>
        <v>0</v>
      </c>
      <c r="F245" s="3435">
        <f>'Estados Financieros'!F252</f>
        <v>0</v>
      </c>
      <c r="G245" s="3435">
        <f>'Estados Financieros'!G252</f>
        <v>0</v>
      </c>
      <c r="H245" s="3435">
        <f>'Estados Financieros'!H252</f>
        <v>0</v>
      </c>
      <c r="I245" s="3434">
        <f>'Estados Financieros'!I252</f>
        <v>0</v>
      </c>
    </row>
    <row r="246" spans="1:9" s="64" customFormat="1" ht="19">
      <c r="A246" s="58"/>
      <c r="B246" s="53"/>
      <c r="C246" s="54" t="s">
        <v>728</v>
      </c>
      <c r="D246" s="71"/>
      <c r="E246" s="3433"/>
      <c r="F246" s="3433"/>
      <c r="G246" s="3433"/>
      <c r="H246" s="3433"/>
      <c r="I246" s="3432"/>
    </row>
    <row r="247" spans="1:9" s="64" customFormat="1" ht="19">
      <c r="A247" s="58"/>
      <c r="B247" s="59"/>
      <c r="C247" s="47"/>
      <c r="D247" s="60" t="s">
        <v>729</v>
      </c>
      <c r="E247" s="3431">
        <f>'Estados Financieros'!E254</f>
        <v>0</v>
      </c>
      <c r="F247" s="3431">
        <f>'Estados Financieros'!F254</f>
        <v>0</v>
      </c>
      <c r="G247" s="3431">
        <f>'Estados Financieros'!G254</f>
        <v>0</v>
      </c>
      <c r="H247" s="3431">
        <f>'Estados Financieros'!H254</f>
        <v>0</v>
      </c>
      <c r="I247" s="3430">
        <f>'Estados Financieros'!I254</f>
        <v>0</v>
      </c>
    </row>
    <row r="248" spans="1:9" s="64" customFormat="1" ht="19">
      <c r="A248" s="58"/>
      <c r="B248" s="59"/>
      <c r="C248" s="47"/>
      <c r="D248" s="65" t="s">
        <v>730</v>
      </c>
      <c r="E248" s="3429">
        <f>'Estados Financieros'!E255</f>
        <v>0</v>
      </c>
      <c r="F248" s="3429">
        <f>'Estados Financieros'!F255</f>
        <v>0</v>
      </c>
      <c r="G248" s="3429">
        <f>'Estados Financieros'!G255</f>
        <v>0</v>
      </c>
      <c r="H248" s="3429">
        <f>'Estados Financieros'!H255</f>
        <v>0</v>
      </c>
      <c r="I248" s="3428">
        <f>'Estados Financieros'!I255</f>
        <v>0</v>
      </c>
    </row>
    <row r="249" spans="1:9" s="64" customFormat="1" ht="19">
      <c r="A249" s="58"/>
      <c r="B249" s="59"/>
      <c r="C249" s="47"/>
      <c r="D249" s="65" t="s">
        <v>731</v>
      </c>
      <c r="E249" s="3429">
        <f>'Estados Financieros'!E256</f>
        <v>0</v>
      </c>
      <c r="F249" s="3429">
        <f>'Estados Financieros'!F256</f>
        <v>0</v>
      </c>
      <c r="G249" s="3429">
        <f>'Estados Financieros'!G256</f>
        <v>0</v>
      </c>
      <c r="H249" s="3429">
        <f>'Estados Financieros'!H256</f>
        <v>0</v>
      </c>
      <c r="I249" s="3428">
        <f>'Estados Financieros'!I256</f>
        <v>0</v>
      </c>
    </row>
    <row r="250" spans="1:9" s="64" customFormat="1" ht="19">
      <c r="A250" s="58"/>
      <c r="B250" s="59"/>
      <c r="C250" s="47"/>
      <c r="D250" s="65" t="s">
        <v>453</v>
      </c>
      <c r="E250" s="3429">
        <f>'Estados Financieros'!E257</f>
        <v>0</v>
      </c>
      <c r="F250" s="3429">
        <f>'Estados Financieros'!F257</f>
        <v>0</v>
      </c>
      <c r="G250" s="3429">
        <f>'Estados Financieros'!G257</f>
        <v>0</v>
      </c>
      <c r="H250" s="3429">
        <f>'Estados Financieros'!H257</f>
        <v>0</v>
      </c>
      <c r="I250" s="3428">
        <f>'Estados Financieros'!I257</f>
        <v>0</v>
      </c>
    </row>
    <row r="251" spans="1:9" s="64" customFormat="1" ht="19" customHeight="1">
      <c r="A251" s="58"/>
      <c r="B251" s="59"/>
      <c r="C251" s="47"/>
      <c r="D251" s="65"/>
      <c r="E251" s="3429"/>
      <c r="F251" s="3429"/>
      <c r="G251" s="3450"/>
      <c r="H251" s="3450"/>
      <c r="I251" s="3448"/>
    </row>
    <row r="252" spans="1:9" s="64" customFormat="1" ht="19" customHeight="1">
      <c r="A252" s="58"/>
      <c r="B252" s="59"/>
      <c r="C252" s="47"/>
      <c r="D252" s="65"/>
      <c r="E252" s="3429"/>
      <c r="F252" s="3429"/>
      <c r="G252" s="3450"/>
      <c r="H252" s="3450"/>
      <c r="I252" s="3448"/>
    </row>
    <row r="253" spans="1:9" s="64" customFormat="1" ht="19">
      <c r="A253" s="58"/>
      <c r="B253" s="59"/>
      <c r="C253" s="66" t="s">
        <v>732</v>
      </c>
      <c r="D253" s="67"/>
      <c r="E253" s="3435">
        <f>'Estados Financieros'!E260</f>
        <v>0</v>
      </c>
      <c r="F253" s="3435">
        <f>'Estados Financieros'!F260</f>
        <v>0</v>
      </c>
      <c r="G253" s="3435">
        <f>'Estados Financieros'!G260</f>
        <v>0</v>
      </c>
      <c r="H253" s="3435">
        <f>'Estados Financieros'!H260</f>
        <v>0</v>
      </c>
      <c r="I253" s="3434">
        <f>'Estados Financieros'!I260</f>
        <v>0</v>
      </c>
    </row>
    <row r="254" spans="1:9" s="64" customFormat="1" ht="19">
      <c r="A254" s="58"/>
      <c r="B254" s="53"/>
      <c r="C254" s="54" t="s">
        <v>733</v>
      </c>
      <c r="D254" s="71"/>
      <c r="E254" s="3433"/>
      <c r="F254" s="3433"/>
      <c r="G254" s="3433"/>
      <c r="H254" s="3433"/>
      <c r="I254" s="3432"/>
    </row>
    <row r="255" spans="1:9" s="64" customFormat="1" ht="19">
      <c r="A255" s="58"/>
      <c r="B255" s="59"/>
      <c r="C255" s="47"/>
      <c r="D255" s="108" t="s">
        <v>734</v>
      </c>
      <c r="E255" s="3431">
        <f>'Estados Financieros'!E262</f>
        <v>0</v>
      </c>
      <c r="F255" s="3431">
        <f>'Estados Financieros'!F262</f>
        <v>0</v>
      </c>
      <c r="G255" s="3431">
        <f>'Estados Financieros'!G262</f>
        <v>0</v>
      </c>
      <c r="H255" s="3431">
        <f>'Estados Financieros'!H262</f>
        <v>0</v>
      </c>
      <c r="I255" s="3430">
        <f>'Estados Financieros'!I262</f>
        <v>0</v>
      </c>
    </row>
    <row r="256" spans="1:9" s="64" customFormat="1" ht="19">
      <c r="A256" s="58"/>
      <c r="B256" s="59"/>
      <c r="C256" s="47"/>
      <c r="D256" s="74" t="s">
        <v>735</v>
      </c>
      <c r="E256" s="3429">
        <f>'Estados Financieros'!E263</f>
        <v>0</v>
      </c>
      <c r="F256" s="3429">
        <f>'Estados Financieros'!F263</f>
        <v>0</v>
      </c>
      <c r="G256" s="3429">
        <f>'Estados Financieros'!G263</f>
        <v>0</v>
      </c>
      <c r="H256" s="3429">
        <f>'Estados Financieros'!H263</f>
        <v>0</v>
      </c>
      <c r="I256" s="3428">
        <f>'Estados Financieros'!I263</f>
        <v>0</v>
      </c>
    </row>
    <row r="257" spans="1:9" s="64" customFormat="1" ht="19">
      <c r="A257" s="58"/>
      <c r="B257" s="59"/>
      <c r="C257" s="47"/>
      <c r="D257" s="74" t="s">
        <v>736</v>
      </c>
      <c r="E257" s="3429">
        <f>'Estados Financieros'!E264</f>
        <v>0</v>
      </c>
      <c r="F257" s="3429">
        <f>'Estados Financieros'!F264</f>
        <v>0</v>
      </c>
      <c r="G257" s="3429">
        <f>'Estados Financieros'!G264</f>
        <v>0</v>
      </c>
      <c r="H257" s="3429">
        <f>'Estados Financieros'!H264</f>
        <v>0</v>
      </c>
      <c r="I257" s="3428">
        <f>'Estados Financieros'!I264</f>
        <v>0</v>
      </c>
    </row>
    <row r="258" spans="1:9" s="64" customFormat="1" ht="19">
      <c r="A258" s="58"/>
      <c r="B258" s="59"/>
      <c r="C258" s="47"/>
      <c r="D258" s="74" t="s">
        <v>737</v>
      </c>
      <c r="E258" s="3429">
        <f>'Estados Financieros'!E265</f>
        <v>0</v>
      </c>
      <c r="F258" s="3429">
        <f>'Estados Financieros'!F265</f>
        <v>0</v>
      </c>
      <c r="G258" s="3429">
        <f>'Estados Financieros'!G265</f>
        <v>0</v>
      </c>
      <c r="H258" s="3429">
        <f>'Estados Financieros'!H265</f>
        <v>0</v>
      </c>
      <c r="I258" s="3428">
        <f>'Estados Financieros'!I265</f>
        <v>0</v>
      </c>
    </row>
    <row r="259" spans="1:9" s="64" customFormat="1" ht="19">
      <c r="A259" s="58"/>
      <c r="B259" s="59"/>
      <c r="C259" s="47"/>
      <c r="D259" s="74" t="s">
        <v>453</v>
      </c>
      <c r="E259" s="3429">
        <f>'Estados Financieros'!E266</f>
        <v>0</v>
      </c>
      <c r="F259" s="3429">
        <f>'Estados Financieros'!F266</f>
        <v>0</v>
      </c>
      <c r="G259" s="3429">
        <f>'Estados Financieros'!G266</f>
        <v>0</v>
      </c>
      <c r="H259" s="3429">
        <f>'Estados Financieros'!H266</f>
        <v>0</v>
      </c>
      <c r="I259" s="3428">
        <f>'Estados Financieros'!I266</f>
        <v>0</v>
      </c>
    </row>
    <row r="260" spans="1:9" s="64" customFormat="1" ht="19">
      <c r="A260" s="58"/>
      <c r="B260" s="59"/>
      <c r="C260" s="80" t="s">
        <v>738</v>
      </c>
      <c r="D260" s="81"/>
      <c r="E260" s="3437">
        <f>'Estados Financieros'!E267</f>
        <v>0</v>
      </c>
      <c r="F260" s="3437">
        <f>'Estados Financieros'!F267</f>
        <v>0</v>
      </c>
      <c r="G260" s="3437">
        <f>'Estados Financieros'!G267</f>
        <v>0</v>
      </c>
      <c r="H260" s="3437">
        <f>'Estados Financieros'!H267</f>
        <v>0</v>
      </c>
      <c r="I260" s="3436">
        <f>'Estados Financieros'!I267</f>
        <v>0</v>
      </c>
    </row>
    <row r="261" spans="1:9" s="64" customFormat="1" ht="19">
      <c r="A261" s="58"/>
      <c r="B261" s="84"/>
      <c r="C261" s="94" t="s">
        <v>739</v>
      </c>
      <c r="D261" s="95"/>
      <c r="E261" s="3422">
        <f>'Estados Financieros'!E268</f>
        <v>0</v>
      </c>
      <c r="F261" s="3422">
        <f>'Estados Financieros'!F268</f>
        <v>0</v>
      </c>
      <c r="G261" s="3422">
        <f>'Estados Financieros'!G268</f>
        <v>0</v>
      </c>
      <c r="H261" s="3422">
        <f>'Estados Financieros'!H268</f>
        <v>0</v>
      </c>
      <c r="I261" s="3421">
        <f>'Estados Financieros'!I268</f>
        <v>0</v>
      </c>
    </row>
    <row r="262" spans="1:9" s="64" customFormat="1" ht="20.5">
      <c r="A262" s="58"/>
      <c r="B262" s="84"/>
      <c r="C262" s="46" t="s">
        <v>740</v>
      </c>
      <c r="D262" s="107"/>
      <c r="E262" s="3441"/>
      <c r="F262" s="3441"/>
      <c r="G262" s="3441"/>
      <c r="H262" s="3441"/>
      <c r="I262" s="3442"/>
    </row>
    <row r="263" spans="1:9" s="64" customFormat="1" ht="19">
      <c r="A263" s="58"/>
      <c r="B263" s="53"/>
      <c r="C263" s="54" t="s">
        <v>741</v>
      </c>
      <c r="D263" s="89"/>
      <c r="E263" s="3439"/>
      <c r="F263" s="3439"/>
      <c r="G263" s="3439"/>
      <c r="H263" s="3439"/>
      <c r="I263" s="3445"/>
    </row>
    <row r="264" spans="1:9" s="64" customFormat="1" ht="19">
      <c r="A264" s="58"/>
      <c r="B264" s="59"/>
      <c r="C264" s="47"/>
      <c r="D264" s="60" t="s">
        <v>742</v>
      </c>
      <c r="E264" s="3431">
        <f>'Estados Financieros'!E271</f>
        <v>0</v>
      </c>
      <c r="F264" s="3431">
        <f>'Estados Financieros'!F271</f>
        <v>0</v>
      </c>
      <c r="G264" s="3431">
        <f>'Estados Financieros'!G271</f>
        <v>0</v>
      </c>
      <c r="H264" s="3431">
        <f>'Estados Financieros'!H271</f>
        <v>0</v>
      </c>
      <c r="I264" s="3430">
        <f>'Estados Financieros'!I271</f>
        <v>0</v>
      </c>
    </row>
    <row r="265" spans="1:9" s="64" customFormat="1" ht="19">
      <c r="A265" s="58"/>
      <c r="B265" s="59"/>
      <c r="C265" s="47"/>
      <c r="D265" s="65" t="s">
        <v>554</v>
      </c>
      <c r="E265" s="3429">
        <f>'Estados Financieros'!E272</f>
        <v>0</v>
      </c>
      <c r="F265" s="3429">
        <f>'Estados Financieros'!F272</f>
        <v>0</v>
      </c>
      <c r="G265" s="3429">
        <f>'Estados Financieros'!G272</f>
        <v>0</v>
      </c>
      <c r="H265" s="3429">
        <f>'Estados Financieros'!H272</f>
        <v>0</v>
      </c>
      <c r="I265" s="3428">
        <f>'Estados Financieros'!I272</f>
        <v>0</v>
      </c>
    </row>
    <row r="266" spans="1:9" s="64" customFormat="1" ht="19">
      <c r="A266" s="58"/>
      <c r="B266" s="59"/>
      <c r="C266" s="66" t="s">
        <v>743</v>
      </c>
      <c r="D266" s="67"/>
      <c r="E266" s="3435">
        <f>'Estados Financieros'!E273</f>
        <v>0</v>
      </c>
      <c r="F266" s="3435">
        <f>'Estados Financieros'!F273</f>
        <v>0</v>
      </c>
      <c r="G266" s="3435">
        <f>'Estados Financieros'!G273</f>
        <v>0</v>
      </c>
      <c r="H266" s="3435">
        <f>'Estados Financieros'!H273</f>
        <v>0</v>
      </c>
      <c r="I266" s="3434">
        <f>'Estados Financieros'!I273</f>
        <v>0</v>
      </c>
    </row>
    <row r="267" spans="1:9" s="64" customFormat="1" ht="19">
      <c r="A267" s="58"/>
      <c r="B267" s="53"/>
      <c r="C267" s="54" t="s">
        <v>744</v>
      </c>
      <c r="D267" s="71"/>
      <c r="E267" s="3433"/>
      <c r="F267" s="3433"/>
      <c r="G267" s="3433"/>
      <c r="H267" s="3433"/>
      <c r="I267" s="3432"/>
    </row>
    <row r="268" spans="1:9" s="64" customFormat="1" ht="19">
      <c r="A268" s="58"/>
      <c r="B268" s="59"/>
      <c r="C268" s="47"/>
      <c r="D268" s="60" t="s">
        <v>686</v>
      </c>
      <c r="E268" s="3431">
        <f>'Estados Financieros'!E275</f>
        <v>0</v>
      </c>
      <c r="F268" s="3431">
        <f>'Estados Financieros'!F275</f>
        <v>0</v>
      </c>
      <c r="G268" s="3431">
        <f>'Estados Financieros'!G275</f>
        <v>0</v>
      </c>
      <c r="H268" s="3431">
        <f>'Estados Financieros'!H275</f>
        <v>0</v>
      </c>
      <c r="I268" s="3430">
        <f>'Estados Financieros'!I275</f>
        <v>0</v>
      </c>
    </row>
    <row r="269" spans="1:9" s="64" customFormat="1" ht="19">
      <c r="A269" s="58"/>
      <c r="B269" s="59"/>
      <c r="C269" s="47"/>
      <c r="D269" s="65" t="s">
        <v>687</v>
      </c>
      <c r="E269" s="3429">
        <f>'Estados Financieros'!E276</f>
        <v>0</v>
      </c>
      <c r="F269" s="3429">
        <f>'Estados Financieros'!F276</f>
        <v>0</v>
      </c>
      <c r="G269" s="3429">
        <f>'Estados Financieros'!G276</f>
        <v>0</v>
      </c>
      <c r="H269" s="3429">
        <f>'Estados Financieros'!H276</f>
        <v>0</v>
      </c>
      <c r="I269" s="3428">
        <f>'Estados Financieros'!I276</f>
        <v>0</v>
      </c>
    </row>
    <row r="270" spans="1:9" s="64" customFormat="1" ht="19">
      <c r="A270" s="58"/>
      <c r="B270" s="59"/>
      <c r="C270" s="47"/>
      <c r="D270" s="65" t="s">
        <v>571</v>
      </c>
      <c r="E270" s="3429">
        <f>'Estados Financieros'!E277</f>
        <v>0</v>
      </c>
      <c r="F270" s="3429">
        <f>'Estados Financieros'!F277</f>
        <v>0</v>
      </c>
      <c r="G270" s="3429">
        <f>'Estados Financieros'!G277</f>
        <v>0</v>
      </c>
      <c r="H270" s="3429">
        <f>'Estados Financieros'!H277</f>
        <v>0</v>
      </c>
      <c r="I270" s="3428">
        <f>'Estados Financieros'!I277</f>
        <v>0</v>
      </c>
    </row>
    <row r="271" spans="1:9" s="64" customFormat="1" ht="19">
      <c r="A271" s="58"/>
      <c r="B271" s="59"/>
      <c r="C271" s="47"/>
      <c r="D271" s="65" t="s">
        <v>690</v>
      </c>
      <c r="E271" s="3429">
        <f>'Estados Financieros'!E278</f>
        <v>0</v>
      </c>
      <c r="F271" s="3429">
        <f>'Estados Financieros'!F278</f>
        <v>0</v>
      </c>
      <c r="G271" s="3429">
        <f>'Estados Financieros'!G278</f>
        <v>0</v>
      </c>
      <c r="H271" s="3429">
        <f>'Estados Financieros'!H278</f>
        <v>0</v>
      </c>
      <c r="I271" s="3428">
        <f>'Estados Financieros'!I278</f>
        <v>0</v>
      </c>
    </row>
    <row r="272" spans="1:9" s="64" customFormat="1" ht="19">
      <c r="A272" s="58"/>
      <c r="B272" s="59"/>
      <c r="C272" s="47"/>
      <c r="D272" s="65" t="s">
        <v>691</v>
      </c>
      <c r="E272" s="3429">
        <f>'Estados Financieros'!E279</f>
        <v>0</v>
      </c>
      <c r="F272" s="3429">
        <f>'Estados Financieros'!F279</f>
        <v>0</v>
      </c>
      <c r="G272" s="3429">
        <f>'Estados Financieros'!G279</f>
        <v>0</v>
      </c>
      <c r="H272" s="3429">
        <f>'Estados Financieros'!H279</f>
        <v>0</v>
      </c>
      <c r="I272" s="3428">
        <f>'Estados Financieros'!I279</f>
        <v>0</v>
      </c>
    </row>
    <row r="273" spans="1:9" s="64" customFormat="1" ht="19">
      <c r="A273" s="58"/>
      <c r="B273" s="59"/>
      <c r="C273" s="47"/>
      <c r="D273" s="65" t="s">
        <v>692</v>
      </c>
      <c r="E273" s="3429">
        <f>'Estados Financieros'!E280</f>
        <v>0</v>
      </c>
      <c r="F273" s="3429">
        <f>'Estados Financieros'!F280</f>
        <v>0</v>
      </c>
      <c r="G273" s="3429">
        <f>'Estados Financieros'!G280</f>
        <v>0</v>
      </c>
      <c r="H273" s="3429">
        <f>'Estados Financieros'!H280</f>
        <v>0</v>
      </c>
      <c r="I273" s="3428">
        <f>'Estados Financieros'!I280</f>
        <v>0</v>
      </c>
    </row>
    <row r="274" spans="1:9" s="64" customFormat="1" ht="19">
      <c r="A274" s="58"/>
      <c r="B274" s="59"/>
      <c r="C274" s="47"/>
      <c r="D274" s="65" t="s">
        <v>693</v>
      </c>
      <c r="E274" s="3429">
        <f>'Estados Financieros'!E281</f>
        <v>0</v>
      </c>
      <c r="F274" s="3429">
        <f>'Estados Financieros'!F281</f>
        <v>0</v>
      </c>
      <c r="G274" s="3429">
        <f>'Estados Financieros'!G281</f>
        <v>0</v>
      </c>
      <c r="H274" s="3429">
        <f>'Estados Financieros'!H281</f>
        <v>0</v>
      </c>
      <c r="I274" s="3428">
        <f>'Estados Financieros'!I281</f>
        <v>0</v>
      </c>
    </row>
    <row r="275" spans="1:9" s="64" customFormat="1" ht="19">
      <c r="A275" s="58"/>
      <c r="B275" s="59"/>
      <c r="C275" s="47"/>
      <c r="D275" s="65" t="s">
        <v>694</v>
      </c>
      <c r="E275" s="3429">
        <f>'Estados Financieros'!E282</f>
        <v>0</v>
      </c>
      <c r="F275" s="3429">
        <f>'Estados Financieros'!F282</f>
        <v>0</v>
      </c>
      <c r="G275" s="3429">
        <f>'Estados Financieros'!G282</f>
        <v>0</v>
      </c>
      <c r="H275" s="3429">
        <f>'Estados Financieros'!H282</f>
        <v>0</v>
      </c>
      <c r="I275" s="3428">
        <f>'Estados Financieros'!I282</f>
        <v>0</v>
      </c>
    </row>
    <row r="276" spans="1:9" s="64" customFormat="1" ht="19">
      <c r="A276" s="58"/>
      <c r="B276" s="59"/>
      <c r="C276" s="47"/>
      <c r="D276" s="65" t="s">
        <v>695</v>
      </c>
      <c r="E276" s="3429">
        <f>'Estados Financieros'!E283</f>
        <v>0</v>
      </c>
      <c r="F276" s="3429">
        <f>'Estados Financieros'!F283</f>
        <v>0</v>
      </c>
      <c r="G276" s="3429">
        <f>'Estados Financieros'!G283</f>
        <v>0</v>
      </c>
      <c r="H276" s="3429">
        <f>'Estados Financieros'!H283</f>
        <v>0</v>
      </c>
      <c r="I276" s="3428">
        <f>'Estados Financieros'!I283</f>
        <v>0</v>
      </c>
    </row>
    <row r="277" spans="1:9" s="64" customFormat="1" ht="19">
      <c r="A277" s="58"/>
      <c r="B277" s="59"/>
      <c r="C277" s="47"/>
      <c r="D277" s="65" t="s">
        <v>696</v>
      </c>
      <c r="E277" s="3429">
        <f>'Estados Financieros'!E284</f>
        <v>0</v>
      </c>
      <c r="F277" s="3429">
        <f>'Estados Financieros'!F284</f>
        <v>0</v>
      </c>
      <c r="G277" s="3429">
        <f>'Estados Financieros'!G284</f>
        <v>0</v>
      </c>
      <c r="H277" s="3429">
        <f>'Estados Financieros'!H284</f>
        <v>0</v>
      </c>
      <c r="I277" s="3428">
        <f>'Estados Financieros'!I284</f>
        <v>0</v>
      </c>
    </row>
    <row r="278" spans="1:9" s="64" customFormat="1" ht="19">
      <c r="A278" s="58"/>
      <c r="B278" s="59"/>
      <c r="C278" s="47"/>
      <c r="D278" s="65" t="s">
        <v>697</v>
      </c>
      <c r="E278" s="3429">
        <f>'Estados Financieros'!E285</f>
        <v>0</v>
      </c>
      <c r="F278" s="3429">
        <f>'Estados Financieros'!F285</f>
        <v>0</v>
      </c>
      <c r="G278" s="3429">
        <f>'Estados Financieros'!G285</f>
        <v>0</v>
      </c>
      <c r="H278" s="3429">
        <f>'Estados Financieros'!H285</f>
        <v>0</v>
      </c>
      <c r="I278" s="3428">
        <f>'Estados Financieros'!I285</f>
        <v>0</v>
      </c>
    </row>
    <row r="279" spans="1:9" s="64" customFormat="1" ht="19">
      <c r="A279" s="58"/>
      <c r="B279" s="59"/>
      <c r="C279" s="47"/>
      <c r="D279" s="65" t="s">
        <v>698</v>
      </c>
      <c r="E279" s="3429">
        <f>'Estados Financieros'!E286</f>
        <v>0</v>
      </c>
      <c r="F279" s="3429">
        <f>'Estados Financieros'!F286</f>
        <v>0</v>
      </c>
      <c r="G279" s="3429">
        <f>'Estados Financieros'!G286</f>
        <v>0</v>
      </c>
      <c r="H279" s="3429">
        <f>'Estados Financieros'!H286</f>
        <v>0</v>
      </c>
      <c r="I279" s="3428">
        <f>'Estados Financieros'!I286</f>
        <v>0</v>
      </c>
    </row>
    <row r="280" spans="1:9" s="64" customFormat="1" ht="19">
      <c r="A280" s="58"/>
      <c r="B280" s="59"/>
      <c r="C280" s="47"/>
      <c r="D280" s="65" t="s">
        <v>745</v>
      </c>
      <c r="E280" s="3429">
        <f>'Estados Financieros'!E287</f>
        <v>0</v>
      </c>
      <c r="F280" s="3429">
        <f>'Estados Financieros'!F287</f>
        <v>0</v>
      </c>
      <c r="G280" s="3429">
        <f>'Estados Financieros'!G287</f>
        <v>0</v>
      </c>
      <c r="H280" s="3429">
        <f>'Estados Financieros'!H287</f>
        <v>0</v>
      </c>
      <c r="I280" s="3428">
        <f>'Estados Financieros'!I287</f>
        <v>0</v>
      </c>
    </row>
    <row r="281" spans="1:9" s="64" customFormat="1" ht="19">
      <c r="A281" s="58"/>
      <c r="B281" s="59"/>
      <c r="C281" s="47"/>
      <c r="D281" s="65" t="s">
        <v>701</v>
      </c>
      <c r="E281" s="3429">
        <f>'Estados Financieros'!E288</f>
        <v>0</v>
      </c>
      <c r="F281" s="3429">
        <f>'Estados Financieros'!F288</f>
        <v>0</v>
      </c>
      <c r="G281" s="3429">
        <f>'Estados Financieros'!G288</f>
        <v>0</v>
      </c>
      <c r="H281" s="3429">
        <f>'Estados Financieros'!H288</f>
        <v>0</v>
      </c>
      <c r="I281" s="3428">
        <f>'Estados Financieros'!I288</f>
        <v>0</v>
      </c>
    </row>
    <row r="282" spans="1:9" s="64" customFormat="1" ht="19">
      <c r="A282" s="58"/>
      <c r="B282" s="59"/>
      <c r="C282" s="47"/>
      <c r="D282" s="65" t="s">
        <v>702</v>
      </c>
      <c r="E282" s="3429">
        <f>'Estados Financieros'!E289</f>
        <v>0</v>
      </c>
      <c r="F282" s="3429">
        <f>'Estados Financieros'!F289</f>
        <v>0</v>
      </c>
      <c r="G282" s="3429">
        <f>'Estados Financieros'!G289</f>
        <v>0</v>
      </c>
      <c r="H282" s="3429">
        <f>'Estados Financieros'!H289</f>
        <v>0</v>
      </c>
      <c r="I282" s="3428">
        <f>'Estados Financieros'!I289</f>
        <v>0</v>
      </c>
    </row>
    <row r="283" spans="1:9" s="64" customFormat="1" ht="19">
      <c r="A283" s="58"/>
      <c r="B283" s="59"/>
      <c r="C283" s="66" t="s">
        <v>746</v>
      </c>
      <c r="D283" s="67"/>
      <c r="E283" s="3435">
        <f>'Estados Financieros'!E290</f>
        <v>0</v>
      </c>
      <c r="F283" s="3435">
        <f>'Estados Financieros'!F290</f>
        <v>0</v>
      </c>
      <c r="G283" s="3435">
        <f>'Estados Financieros'!G290</f>
        <v>0</v>
      </c>
      <c r="H283" s="3435">
        <f>'Estados Financieros'!H290</f>
        <v>0</v>
      </c>
      <c r="I283" s="3434">
        <f>'Estados Financieros'!I290</f>
        <v>0</v>
      </c>
    </row>
    <row r="284" spans="1:9" s="64" customFormat="1" ht="19">
      <c r="A284" s="58"/>
      <c r="B284" s="53"/>
      <c r="C284" s="54" t="s">
        <v>747</v>
      </c>
      <c r="D284" s="71"/>
      <c r="E284" s="3433"/>
      <c r="F284" s="3433"/>
      <c r="G284" s="3433"/>
      <c r="H284" s="3433"/>
      <c r="I284" s="3432"/>
    </row>
    <row r="285" spans="1:9" s="64" customFormat="1" ht="19">
      <c r="A285" s="58"/>
      <c r="B285" s="59"/>
      <c r="C285" s="47"/>
      <c r="D285" s="60" t="s">
        <v>748</v>
      </c>
      <c r="E285" s="3431">
        <f>'Estados Financieros'!E292</f>
        <v>0</v>
      </c>
      <c r="F285" s="3431">
        <f>'Estados Financieros'!F292</f>
        <v>0</v>
      </c>
      <c r="G285" s="3431">
        <f>'Estados Financieros'!G292</f>
        <v>0</v>
      </c>
      <c r="H285" s="3431">
        <f>'Estados Financieros'!H292</f>
        <v>0</v>
      </c>
      <c r="I285" s="3430">
        <f>'Estados Financieros'!I292</f>
        <v>0</v>
      </c>
    </row>
    <row r="286" spans="1:9" s="64" customFormat="1" ht="19">
      <c r="A286" s="58"/>
      <c r="B286" s="59"/>
      <c r="C286" s="47"/>
      <c r="D286" s="65" t="s">
        <v>706</v>
      </c>
      <c r="E286" s="3429">
        <f>'Estados Financieros'!E293</f>
        <v>0</v>
      </c>
      <c r="F286" s="3429">
        <f>'Estados Financieros'!F293</f>
        <v>0</v>
      </c>
      <c r="G286" s="3429">
        <f>'Estados Financieros'!G293</f>
        <v>0</v>
      </c>
      <c r="H286" s="3429">
        <f>'Estados Financieros'!H293</f>
        <v>0</v>
      </c>
      <c r="I286" s="3428">
        <f>'Estados Financieros'!I293</f>
        <v>0</v>
      </c>
    </row>
    <row r="287" spans="1:9" s="64" customFormat="1" ht="19">
      <c r="A287" s="58"/>
      <c r="B287" s="59"/>
      <c r="C287" s="47"/>
      <c r="D287" s="65" t="s">
        <v>707</v>
      </c>
      <c r="E287" s="3429">
        <f>'Estados Financieros'!E294</f>
        <v>0</v>
      </c>
      <c r="F287" s="3429">
        <f>'Estados Financieros'!F294</f>
        <v>0</v>
      </c>
      <c r="G287" s="3429">
        <f>'Estados Financieros'!G294</f>
        <v>0</v>
      </c>
      <c r="H287" s="3429">
        <f>'Estados Financieros'!H294</f>
        <v>0</v>
      </c>
      <c r="I287" s="3428">
        <f>'Estados Financieros'!I294</f>
        <v>0</v>
      </c>
    </row>
    <row r="288" spans="1:9" s="64" customFormat="1" ht="19">
      <c r="A288" s="58"/>
      <c r="B288" s="59"/>
      <c r="C288" s="47"/>
      <c r="D288" s="65" t="s">
        <v>453</v>
      </c>
      <c r="E288" s="3429">
        <f>'Estados Financieros'!E295</f>
        <v>0</v>
      </c>
      <c r="F288" s="3429">
        <f>'Estados Financieros'!F295</f>
        <v>0</v>
      </c>
      <c r="G288" s="3429">
        <f>'Estados Financieros'!G295</f>
        <v>0</v>
      </c>
      <c r="H288" s="3429">
        <f>'Estados Financieros'!H295</f>
        <v>0</v>
      </c>
      <c r="I288" s="3428">
        <f>'Estados Financieros'!I295</f>
        <v>0</v>
      </c>
    </row>
    <row r="289" spans="1:9" s="64" customFormat="1" ht="19" customHeight="1">
      <c r="A289" s="58"/>
      <c r="B289" s="59"/>
      <c r="C289" s="47"/>
      <c r="D289" s="65"/>
      <c r="E289" s="3429"/>
      <c r="F289" s="3429"/>
      <c r="G289" s="3450"/>
      <c r="H289" s="3450"/>
      <c r="I289" s="3448"/>
    </row>
    <row r="290" spans="1:9" s="64" customFormat="1" ht="19" customHeight="1">
      <c r="A290" s="58"/>
      <c r="B290" s="59"/>
      <c r="C290" s="47"/>
      <c r="D290" s="65"/>
      <c r="E290" s="3429"/>
      <c r="F290" s="3429"/>
      <c r="G290" s="3450"/>
      <c r="H290" s="3450"/>
      <c r="I290" s="3448"/>
    </row>
    <row r="291" spans="1:9" s="64" customFormat="1" ht="19" customHeight="1">
      <c r="A291" s="58"/>
      <c r="B291" s="59"/>
      <c r="C291" s="47"/>
      <c r="D291" s="65"/>
      <c r="E291" s="3429"/>
      <c r="F291" s="3429"/>
      <c r="G291" s="3450"/>
      <c r="H291" s="3450"/>
      <c r="I291" s="3448"/>
    </row>
    <row r="292" spans="1:9" s="64" customFormat="1" ht="19" customHeight="1">
      <c r="A292" s="58"/>
      <c r="B292" s="59"/>
      <c r="C292" s="47"/>
      <c r="D292" s="65"/>
      <c r="E292" s="3429"/>
      <c r="F292" s="3429"/>
      <c r="G292" s="3450"/>
      <c r="H292" s="3450"/>
      <c r="I292" s="3448"/>
    </row>
    <row r="293" spans="1:9" s="64" customFormat="1" ht="19" customHeight="1">
      <c r="A293" s="58"/>
      <c r="B293" s="59"/>
      <c r="C293" s="47"/>
      <c r="D293" s="65"/>
      <c r="E293" s="3429"/>
      <c r="F293" s="3429"/>
      <c r="G293" s="3450"/>
      <c r="H293" s="3450"/>
      <c r="I293" s="3448"/>
    </row>
    <row r="294" spans="1:9" s="64" customFormat="1" ht="19" customHeight="1">
      <c r="A294" s="58"/>
      <c r="B294" s="59"/>
      <c r="C294" s="47"/>
      <c r="D294" s="65"/>
      <c r="E294" s="3429"/>
      <c r="F294" s="3429"/>
      <c r="G294" s="3450"/>
      <c r="H294" s="3450"/>
      <c r="I294" s="3448"/>
    </row>
    <row r="295" spans="1:9" s="64" customFormat="1" ht="19">
      <c r="A295" s="58"/>
      <c r="B295" s="59"/>
      <c r="C295" s="66" t="s">
        <v>749</v>
      </c>
      <c r="D295" s="67"/>
      <c r="E295" s="3435">
        <f>'Estados Financieros'!E302</f>
        <v>0</v>
      </c>
      <c r="F295" s="3435">
        <f>'Estados Financieros'!F302</f>
        <v>0</v>
      </c>
      <c r="G295" s="3435">
        <f>'Estados Financieros'!G302</f>
        <v>0</v>
      </c>
      <c r="H295" s="3435">
        <f>'Estados Financieros'!H302</f>
        <v>0</v>
      </c>
      <c r="I295" s="3434">
        <f>'Estados Financieros'!I302</f>
        <v>0</v>
      </c>
    </row>
    <row r="296" spans="1:9" s="64" customFormat="1" ht="19">
      <c r="A296" s="58"/>
      <c r="B296" s="53"/>
      <c r="C296" s="54" t="s">
        <v>750</v>
      </c>
      <c r="D296" s="71"/>
      <c r="E296" s="3433"/>
      <c r="F296" s="3433"/>
      <c r="G296" s="3433"/>
      <c r="H296" s="3433"/>
      <c r="I296" s="3432"/>
    </row>
    <row r="297" spans="1:9" s="64" customFormat="1" ht="19">
      <c r="A297" s="58"/>
      <c r="B297" s="59"/>
      <c r="C297" s="47"/>
      <c r="D297" s="60" t="s">
        <v>710</v>
      </c>
      <c r="E297" s="3431">
        <f>'Estados Financieros'!E304</f>
        <v>0</v>
      </c>
      <c r="F297" s="3431">
        <f>'Estados Financieros'!F304</f>
        <v>0</v>
      </c>
      <c r="G297" s="3431">
        <f>'Estados Financieros'!G304</f>
        <v>0</v>
      </c>
      <c r="H297" s="3431">
        <f>'Estados Financieros'!H304</f>
        <v>0</v>
      </c>
      <c r="I297" s="3430">
        <f>'Estados Financieros'!I304</f>
        <v>0</v>
      </c>
    </row>
    <row r="298" spans="1:9" s="64" customFormat="1" ht="19">
      <c r="A298" s="58"/>
      <c r="B298" s="59"/>
      <c r="C298" s="47"/>
      <c r="D298" s="65" t="s">
        <v>711</v>
      </c>
      <c r="E298" s="3429">
        <f>'Estados Financieros'!E305</f>
        <v>0</v>
      </c>
      <c r="F298" s="3429">
        <f>'Estados Financieros'!F305</f>
        <v>0</v>
      </c>
      <c r="G298" s="3429">
        <f>'Estados Financieros'!G305</f>
        <v>0</v>
      </c>
      <c r="H298" s="3429">
        <f>'Estados Financieros'!H305</f>
        <v>0</v>
      </c>
      <c r="I298" s="3428">
        <f>'Estados Financieros'!I305</f>
        <v>0</v>
      </c>
    </row>
    <row r="299" spans="1:9" s="64" customFormat="1" ht="19">
      <c r="A299" s="58"/>
      <c r="B299" s="59"/>
      <c r="C299" s="47"/>
      <c r="D299" s="65" t="s">
        <v>712</v>
      </c>
      <c r="E299" s="3429">
        <f>'Estados Financieros'!E306</f>
        <v>0</v>
      </c>
      <c r="F299" s="3429">
        <f>'Estados Financieros'!F306</f>
        <v>0</v>
      </c>
      <c r="G299" s="3429">
        <f>'Estados Financieros'!G306</f>
        <v>0</v>
      </c>
      <c r="H299" s="3429">
        <f>'Estados Financieros'!H306</f>
        <v>0</v>
      </c>
      <c r="I299" s="3428">
        <f>'Estados Financieros'!I306</f>
        <v>0</v>
      </c>
    </row>
    <row r="300" spans="1:9" s="64" customFormat="1" ht="19">
      <c r="A300" s="58"/>
      <c r="B300" s="59"/>
      <c r="C300" s="47"/>
      <c r="D300" s="65" t="s">
        <v>713</v>
      </c>
      <c r="E300" s="3429">
        <f>'Estados Financieros'!E307</f>
        <v>0</v>
      </c>
      <c r="F300" s="3429">
        <f>'Estados Financieros'!F307</f>
        <v>0</v>
      </c>
      <c r="G300" s="3429">
        <f>'Estados Financieros'!G307</f>
        <v>0</v>
      </c>
      <c r="H300" s="3429">
        <f>'Estados Financieros'!H307</f>
        <v>0</v>
      </c>
      <c r="I300" s="3428">
        <f>'Estados Financieros'!I307</f>
        <v>0</v>
      </c>
    </row>
    <row r="301" spans="1:9" s="64" customFormat="1" ht="19">
      <c r="A301" s="58"/>
      <c r="B301" s="59"/>
      <c r="C301" s="47"/>
      <c r="D301" s="65" t="s">
        <v>714</v>
      </c>
      <c r="E301" s="3429">
        <f>'Estados Financieros'!E308</f>
        <v>0</v>
      </c>
      <c r="F301" s="3429">
        <f>'Estados Financieros'!F308</f>
        <v>0</v>
      </c>
      <c r="G301" s="3429">
        <f>'Estados Financieros'!G308</f>
        <v>0</v>
      </c>
      <c r="H301" s="3429">
        <f>'Estados Financieros'!H308</f>
        <v>0</v>
      </c>
      <c r="I301" s="3428">
        <f>'Estados Financieros'!I308</f>
        <v>0</v>
      </c>
    </row>
    <row r="302" spans="1:9" s="64" customFormat="1" ht="19">
      <c r="A302" s="58"/>
      <c r="B302" s="59"/>
      <c r="C302" s="47"/>
      <c r="D302" s="65" t="s">
        <v>715</v>
      </c>
      <c r="E302" s="3429">
        <f>'Estados Financieros'!E309</f>
        <v>0</v>
      </c>
      <c r="F302" s="3429">
        <f>'Estados Financieros'!F309</f>
        <v>0</v>
      </c>
      <c r="G302" s="3429">
        <f>'Estados Financieros'!G309</f>
        <v>0</v>
      </c>
      <c r="H302" s="3429">
        <f>'Estados Financieros'!H309</f>
        <v>0</v>
      </c>
      <c r="I302" s="3428">
        <f>'Estados Financieros'!I309</f>
        <v>0</v>
      </c>
    </row>
    <row r="303" spans="1:9" s="64" customFormat="1" ht="19">
      <c r="A303" s="58"/>
      <c r="B303" s="59"/>
      <c r="C303" s="66" t="s">
        <v>751</v>
      </c>
      <c r="D303" s="67"/>
      <c r="E303" s="3435">
        <f>'Estados Financieros'!E310</f>
        <v>0</v>
      </c>
      <c r="F303" s="3435">
        <f>'Estados Financieros'!F310</f>
        <v>0</v>
      </c>
      <c r="G303" s="3435">
        <f>'Estados Financieros'!G310</f>
        <v>0</v>
      </c>
      <c r="H303" s="3435">
        <f>'Estados Financieros'!H310</f>
        <v>0</v>
      </c>
      <c r="I303" s="3434">
        <f>'Estados Financieros'!I310</f>
        <v>0</v>
      </c>
    </row>
    <row r="304" spans="1:9" s="64" customFormat="1" ht="19">
      <c r="A304" s="58"/>
      <c r="B304" s="53"/>
      <c r="C304" s="54" t="s">
        <v>752</v>
      </c>
      <c r="D304" s="71"/>
      <c r="E304" s="3433"/>
      <c r="F304" s="3433"/>
      <c r="G304" s="3433"/>
      <c r="H304" s="3433"/>
      <c r="I304" s="3432"/>
    </row>
    <row r="305" spans="1:9" s="64" customFormat="1" ht="19">
      <c r="A305" s="58"/>
      <c r="B305" s="59"/>
      <c r="C305" s="47"/>
      <c r="D305" s="60" t="s">
        <v>718</v>
      </c>
      <c r="E305" s="3431">
        <f>'Estados Financieros'!E312</f>
        <v>0</v>
      </c>
      <c r="F305" s="3431">
        <f>'Estados Financieros'!F312</f>
        <v>0</v>
      </c>
      <c r="G305" s="3431">
        <f>'Estados Financieros'!G312</f>
        <v>0</v>
      </c>
      <c r="H305" s="3431">
        <f>'Estados Financieros'!H312</f>
        <v>0</v>
      </c>
      <c r="I305" s="3430">
        <f>'Estados Financieros'!I312</f>
        <v>0</v>
      </c>
    </row>
    <row r="306" spans="1:9" s="64" customFormat="1" ht="19">
      <c r="A306" s="58"/>
      <c r="B306" s="59"/>
      <c r="C306" s="47"/>
      <c r="D306" s="65" t="s">
        <v>719</v>
      </c>
      <c r="E306" s="3429">
        <f>'Estados Financieros'!E313</f>
        <v>0</v>
      </c>
      <c r="F306" s="3429">
        <f>'Estados Financieros'!F313</f>
        <v>0</v>
      </c>
      <c r="G306" s="3429">
        <f>'Estados Financieros'!G313</f>
        <v>0</v>
      </c>
      <c r="H306" s="3429">
        <f>'Estados Financieros'!H313</f>
        <v>0</v>
      </c>
      <c r="I306" s="3428">
        <f>'Estados Financieros'!I313</f>
        <v>0</v>
      </c>
    </row>
    <row r="307" spans="1:9" s="64" customFormat="1" ht="19">
      <c r="A307" s="58"/>
      <c r="B307" s="59"/>
      <c r="C307" s="47"/>
      <c r="D307" s="65" t="s">
        <v>720</v>
      </c>
      <c r="E307" s="3429">
        <f>'Estados Financieros'!E314</f>
        <v>0</v>
      </c>
      <c r="F307" s="3429">
        <f>'Estados Financieros'!F314</f>
        <v>0</v>
      </c>
      <c r="G307" s="3429">
        <f>'Estados Financieros'!G314</f>
        <v>0</v>
      </c>
      <c r="H307" s="3429">
        <f>'Estados Financieros'!H314</f>
        <v>0</v>
      </c>
      <c r="I307" s="3428">
        <f>'Estados Financieros'!I314</f>
        <v>0</v>
      </c>
    </row>
    <row r="308" spans="1:9" s="64" customFormat="1" ht="19">
      <c r="A308" s="58"/>
      <c r="B308" s="59"/>
      <c r="C308" s="47"/>
      <c r="D308" s="65" t="s">
        <v>721</v>
      </c>
      <c r="E308" s="3429">
        <f>'Estados Financieros'!E315</f>
        <v>0</v>
      </c>
      <c r="F308" s="3429">
        <f>'Estados Financieros'!F315</f>
        <v>0</v>
      </c>
      <c r="G308" s="3429">
        <f>'Estados Financieros'!G315</f>
        <v>0</v>
      </c>
      <c r="H308" s="3429">
        <f>'Estados Financieros'!H315</f>
        <v>0</v>
      </c>
      <c r="I308" s="3428">
        <f>'Estados Financieros'!I315</f>
        <v>0</v>
      </c>
    </row>
    <row r="309" spans="1:9" s="64" customFormat="1" ht="19">
      <c r="A309" s="58"/>
      <c r="B309" s="59"/>
      <c r="C309" s="47"/>
      <c r="D309" s="65" t="s">
        <v>722</v>
      </c>
      <c r="E309" s="3429">
        <f>'Estados Financieros'!E316</f>
        <v>0</v>
      </c>
      <c r="F309" s="3429">
        <f>'Estados Financieros'!F316</f>
        <v>0</v>
      </c>
      <c r="G309" s="3429">
        <f>'Estados Financieros'!G316</f>
        <v>0</v>
      </c>
      <c r="H309" s="3429">
        <f>'Estados Financieros'!H316</f>
        <v>0</v>
      </c>
      <c r="I309" s="3428">
        <f>'Estados Financieros'!I316</f>
        <v>0</v>
      </c>
    </row>
    <row r="310" spans="1:9" s="64" customFormat="1" ht="19">
      <c r="A310" s="58"/>
      <c r="B310" s="59"/>
      <c r="C310" s="47"/>
      <c r="D310" s="65" t="s">
        <v>723</v>
      </c>
      <c r="E310" s="3429">
        <f>'Estados Financieros'!E317</f>
        <v>0</v>
      </c>
      <c r="F310" s="3429">
        <f>'Estados Financieros'!F317</f>
        <v>0</v>
      </c>
      <c r="G310" s="3429">
        <f>'Estados Financieros'!G317</f>
        <v>0</v>
      </c>
      <c r="H310" s="3429">
        <f>'Estados Financieros'!H317</f>
        <v>0</v>
      </c>
      <c r="I310" s="3428">
        <f>'Estados Financieros'!I317</f>
        <v>0</v>
      </c>
    </row>
    <row r="311" spans="1:9" s="64" customFormat="1" ht="19">
      <c r="A311" s="58"/>
      <c r="B311" s="59"/>
      <c r="C311" s="47"/>
      <c r="D311" s="65" t="s">
        <v>724</v>
      </c>
      <c r="E311" s="3429">
        <f>'Estados Financieros'!E318</f>
        <v>0</v>
      </c>
      <c r="F311" s="3429">
        <f>'Estados Financieros'!F318</f>
        <v>0</v>
      </c>
      <c r="G311" s="3429">
        <f>'Estados Financieros'!G318</f>
        <v>0</v>
      </c>
      <c r="H311" s="3429">
        <f>'Estados Financieros'!H318</f>
        <v>0</v>
      </c>
      <c r="I311" s="3428">
        <f>'Estados Financieros'!I318</f>
        <v>0</v>
      </c>
    </row>
    <row r="312" spans="1:9" s="64" customFormat="1" ht="19">
      <c r="A312" s="58"/>
      <c r="B312" s="59"/>
      <c r="C312" s="47"/>
      <c r="D312" s="65" t="s">
        <v>725</v>
      </c>
      <c r="E312" s="3429">
        <f>'Estados Financieros'!E319</f>
        <v>0</v>
      </c>
      <c r="F312" s="3429">
        <f>'Estados Financieros'!F319</f>
        <v>0</v>
      </c>
      <c r="G312" s="3429">
        <f>'Estados Financieros'!G319</f>
        <v>0</v>
      </c>
      <c r="H312" s="3429">
        <f>'Estados Financieros'!H319</f>
        <v>0</v>
      </c>
      <c r="I312" s="3428">
        <f>'Estados Financieros'!I319</f>
        <v>0</v>
      </c>
    </row>
    <row r="313" spans="1:9" s="64" customFormat="1" ht="19">
      <c r="A313" s="58"/>
      <c r="B313" s="59"/>
      <c r="C313" s="47"/>
      <c r="D313" s="65" t="s">
        <v>726</v>
      </c>
      <c r="E313" s="3429">
        <f>'Estados Financieros'!E320</f>
        <v>0</v>
      </c>
      <c r="F313" s="3429">
        <f>'Estados Financieros'!F320</f>
        <v>0</v>
      </c>
      <c r="G313" s="3429">
        <f>'Estados Financieros'!G320</f>
        <v>0</v>
      </c>
      <c r="H313" s="3429">
        <f>'Estados Financieros'!H320</f>
        <v>0</v>
      </c>
      <c r="I313" s="3428">
        <f>'Estados Financieros'!I320</f>
        <v>0</v>
      </c>
    </row>
    <row r="314" spans="1:9" s="64" customFormat="1" ht="19">
      <c r="A314" s="58"/>
      <c r="B314" s="59"/>
      <c r="C314" s="66" t="s">
        <v>753</v>
      </c>
      <c r="D314" s="67"/>
      <c r="E314" s="3435">
        <f>'Estados Financieros'!E321</f>
        <v>0</v>
      </c>
      <c r="F314" s="3435">
        <f>'Estados Financieros'!F321</f>
        <v>0</v>
      </c>
      <c r="G314" s="3435">
        <f>'Estados Financieros'!G321</f>
        <v>0</v>
      </c>
      <c r="H314" s="3435">
        <f>'Estados Financieros'!H321</f>
        <v>0</v>
      </c>
      <c r="I314" s="3434">
        <f>'Estados Financieros'!I321</f>
        <v>0</v>
      </c>
    </row>
    <row r="315" spans="1:9" s="64" customFormat="1" ht="19">
      <c r="A315" s="58"/>
      <c r="B315" s="53"/>
      <c r="C315" s="54" t="s">
        <v>754</v>
      </c>
      <c r="D315" s="71"/>
      <c r="E315" s="3433"/>
      <c r="F315" s="3433"/>
      <c r="G315" s="3433"/>
      <c r="H315" s="3433"/>
      <c r="I315" s="3432"/>
    </row>
    <row r="316" spans="1:9" s="64" customFormat="1" ht="19">
      <c r="A316" s="58"/>
      <c r="B316" s="59"/>
      <c r="C316" s="47"/>
      <c r="D316" s="60" t="s">
        <v>729</v>
      </c>
      <c r="E316" s="3431">
        <f>'Estados Financieros'!E323</f>
        <v>0</v>
      </c>
      <c r="F316" s="3431">
        <f>'Estados Financieros'!F323</f>
        <v>0</v>
      </c>
      <c r="G316" s="3431">
        <f>'Estados Financieros'!G323</f>
        <v>0</v>
      </c>
      <c r="H316" s="3431">
        <f>'Estados Financieros'!H323</f>
        <v>0</v>
      </c>
      <c r="I316" s="3430">
        <f>'Estados Financieros'!I323</f>
        <v>0</v>
      </c>
    </row>
    <row r="317" spans="1:9" s="64" customFormat="1" ht="19">
      <c r="A317" s="58"/>
      <c r="B317" s="59"/>
      <c r="C317" s="47"/>
      <c r="D317" s="65" t="s">
        <v>730</v>
      </c>
      <c r="E317" s="3429">
        <f>'Estados Financieros'!E324</f>
        <v>0</v>
      </c>
      <c r="F317" s="3429">
        <f>'Estados Financieros'!F324</f>
        <v>0</v>
      </c>
      <c r="G317" s="3429">
        <f>'Estados Financieros'!G324</f>
        <v>0</v>
      </c>
      <c r="H317" s="3429">
        <f>'Estados Financieros'!H324</f>
        <v>0</v>
      </c>
      <c r="I317" s="3428">
        <f>'Estados Financieros'!I324</f>
        <v>0</v>
      </c>
    </row>
    <row r="318" spans="1:9" s="64" customFormat="1" ht="19">
      <c r="A318" s="58"/>
      <c r="B318" s="59"/>
      <c r="C318" s="47"/>
      <c r="D318" s="65" t="s">
        <v>755</v>
      </c>
      <c r="E318" s="3429">
        <f>'Estados Financieros'!E325</f>
        <v>0</v>
      </c>
      <c r="F318" s="3429">
        <f>'Estados Financieros'!F325</f>
        <v>0</v>
      </c>
      <c r="G318" s="3429">
        <f>'Estados Financieros'!G325</f>
        <v>0</v>
      </c>
      <c r="H318" s="3429">
        <f>'Estados Financieros'!H325</f>
        <v>0</v>
      </c>
      <c r="I318" s="3428">
        <f>'Estados Financieros'!I325</f>
        <v>0</v>
      </c>
    </row>
    <row r="319" spans="1:9" s="64" customFormat="1" ht="19">
      <c r="A319" s="58"/>
      <c r="B319" s="59"/>
      <c r="C319" s="47"/>
      <c r="D319" s="74" t="s">
        <v>650</v>
      </c>
      <c r="E319" s="3429">
        <f>'Estados Financieros'!E326</f>
        <v>0</v>
      </c>
      <c r="F319" s="3429">
        <f>'Estados Financieros'!F326</f>
        <v>0</v>
      </c>
      <c r="G319" s="3429">
        <f>'Estados Financieros'!G326</f>
        <v>0</v>
      </c>
      <c r="H319" s="3429">
        <f>'Estados Financieros'!H326</f>
        <v>0</v>
      </c>
      <c r="I319" s="3428">
        <f>'Estados Financieros'!I326</f>
        <v>0</v>
      </c>
    </row>
    <row r="320" spans="1:9" s="64" customFormat="1" ht="19">
      <c r="A320" s="58"/>
      <c r="B320" s="59"/>
      <c r="C320" s="47"/>
      <c r="D320" s="65" t="s">
        <v>453</v>
      </c>
      <c r="E320" s="3429">
        <f>'Estados Financieros'!E327</f>
        <v>0</v>
      </c>
      <c r="F320" s="3429">
        <f>'Estados Financieros'!F327</f>
        <v>0</v>
      </c>
      <c r="G320" s="3429">
        <f>'Estados Financieros'!G327</f>
        <v>0</v>
      </c>
      <c r="H320" s="3429">
        <f>'Estados Financieros'!H327</f>
        <v>0</v>
      </c>
      <c r="I320" s="3428">
        <f>'Estados Financieros'!I327</f>
        <v>0</v>
      </c>
    </row>
    <row r="321" spans="1:9" s="64" customFormat="1" ht="19" customHeight="1">
      <c r="A321" s="58"/>
      <c r="B321" s="59"/>
      <c r="C321" s="47"/>
      <c r="D321" s="65"/>
      <c r="E321" s="3429"/>
      <c r="F321" s="3429"/>
      <c r="G321" s="3450"/>
      <c r="H321" s="3450"/>
      <c r="I321" s="3448"/>
    </row>
    <row r="322" spans="1:9" s="64" customFormat="1" ht="19">
      <c r="A322" s="58"/>
      <c r="B322" s="59"/>
      <c r="C322" s="66" t="s">
        <v>756</v>
      </c>
      <c r="D322" s="67"/>
      <c r="E322" s="3435">
        <f>'Estados Financieros'!E329</f>
        <v>0</v>
      </c>
      <c r="F322" s="3435">
        <f>'Estados Financieros'!F329</f>
        <v>0</v>
      </c>
      <c r="G322" s="3435">
        <f>'Estados Financieros'!G329</f>
        <v>0</v>
      </c>
      <c r="H322" s="3435">
        <f>'Estados Financieros'!H329</f>
        <v>0</v>
      </c>
      <c r="I322" s="3434">
        <f>'Estados Financieros'!I329</f>
        <v>0</v>
      </c>
    </row>
    <row r="323" spans="1:9" s="64" customFormat="1" ht="19">
      <c r="A323" s="58"/>
      <c r="B323" s="53"/>
      <c r="C323" s="54" t="s">
        <v>757</v>
      </c>
      <c r="D323" s="71"/>
      <c r="E323" s="3433"/>
      <c r="F323" s="3433"/>
      <c r="G323" s="3433"/>
      <c r="H323" s="3433"/>
      <c r="I323" s="3432"/>
    </row>
    <row r="324" spans="1:9" s="64" customFormat="1" ht="19" customHeight="1">
      <c r="A324" s="58"/>
      <c r="B324" s="59"/>
      <c r="C324" s="47"/>
      <c r="D324" s="60"/>
      <c r="E324" s="3431"/>
      <c r="F324" s="3431"/>
      <c r="G324" s="3452"/>
      <c r="H324" s="3452"/>
      <c r="I324" s="3451"/>
    </row>
    <row r="325" spans="1:9" s="64" customFormat="1" ht="19">
      <c r="A325" s="58"/>
      <c r="B325" s="59"/>
      <c r="C325" s="47"/>
      <c r="D325" s="65" t="s">
        <v>758</v>
      </c>
      <c r="E325" s="3429">
        <f>'Estados Financieros'!E332</f>
        <v>0</v>
      </c>
      <c r="F325" s="3429">
        <f>'Estados Financieros'!F332</f>
        <v>0</v>
      </c>
      <c r="G325" s="3429">
        <f>'Estados Financieros'!G332</f>
        <v>0</v>
      </c>
      <c r="H325" s="3429">
        <f>'Estados Financieros'!H332</f>
        <v>0</v>
      </c>
      <c r="I325" s="3428">
        <f>'Estados Financieros'!I332</f>
        <v>0</v>
      </c>
    </row>
    <row r="326" spans="1:9" s="64" customFormat="1" ht="19" customHeight="1">
      <c r="A326" s="58"/>
      <c r="B326" s="59"/>
      <c r="C326" s="47"/>
      <c r="D326" s="65"/>
      <c r="E326" s="3429"/>
      <c r="F326" s="3429"/>
      <c r="G326" s="3429"/>
      <c r="H326" s="3429"/>
      <c r="I326" s="3428"/>
    </row>
    <row r="327" spans="1:9" s="64" customFormat="1" ht="19">
      <c r="A327" s="58"/>
      <c r="B327" s="59"/>
      <c r="C327" s="47"/>
      <c r="D327" s="65" t="s">
        <v>759</v>
      </c>
      <c r="E327" s="3429">
        <f>'Estados Financieros'!E334</f>
        <v>0</v>
      </c>
      <c r="F327" s="3429">
        <f>'Estados Financieros'!F334</f>
        <v>0</v>
      </c>
      <c r="G327" s="3429">
        <f>'Estados Financieros'!G334</f>
        <v>0</v>
      </c>
      <c r="H327" s="3429">
        <f>'Estados Financieros'!H334</f>
        <v>0</v>
      </c>
      <c r="I327" s="3428">
        <f>'Estados Financieros'!I334</f>
        <v>0</v>
      </c>
    </row>
    <row r="328" spans="1:9" s="64" customFormat="1" ht="19">
      <c r="A328" s="58"/>
      <c r="B328" s="59"/>
      <c r="C328" s="47"/>
      <c r="D328" s="74" t="s">
        <v>760</v>
      </c>
      <c r="E328" s="3429">
        <f>'Estados Financieros'!E335</f>
        <v>0</v>
      </c>
      <c r="F328" s="3429">
        <f>'Estados Financieros'!F335</f>
        <v>0</v>
      </c>
      <c r="G328" s="3429">
        <f>'Estados Financieros'!G335</f>
        <v>0</v>
      </c>
      <c r="H328" s="3429">
        <f>'Estados Financieros'!H335</f>
        <v>0</v>
      </c>
      <c r="I328" s="3428">
        <f>'Estados Financieros'!I335</f>
        <v>0</v>
      </c>
    </row>
    <row r="329" spans="1:9" s="64" customFormat="1" ht="19">
      <c r="A329" s="58"/>
      <c r="B329" s="59"/>
      <c r="C329" s="80" t="s">
        <v>761</v>
      </c>
      <c r="D329" s="81"/>
      <c r="E329" s="3437">
        <f>'Estados Financieros'!E336</f>
        <v>0</v>
      </c>
      <c r="F329" s="3437">
        <f>'Estados Financieros'!F336</f>
        <v>0</v>
      </c>
      <c r="G329" s="3437">
        <f>'Estados Financieros'!G336</f>
        <v>0</v>
      </c>
      <c r="H329" s="3437">
        <f>'Estados Financieros'!H336</f>
        <v>0</v>
      </c>
      <c r="I329" s="3436">
        <f>'Estados Financieros'!I336</f>
        <v>0</v>
      </c>
    </row>
    <row r="330" spans="1:9" s="64" customFormat="1" ht="19">
      <c r="A330" s="58"/>
      <c r="B330" s="84"/>
      <c r="C330" s="94" t="s">
        <v>762</v>
      </c>
      <c r="D330" s="95"/>
      <c r="E330" s="3422">
        <f>'Estados Financieros'!E337</f>
        <v>0</v>
      </c>
      <c r="F330" s="3422">
        <f>'Estados Financieros'!F337</f>
        <v>0</v>
      </c>
      <c r="G330" s="3422">
        <f>'Estados Financieros'!G337</f>
        <v>0</v>
      </c>
      <c r="H330" s="3422">
        <f>'Estados Financieros'!H337</f>
        <v>0</v>
      </c>
      <c r="I330" s="3421">
        <f>'Estados Financieros'!I337</f>
        <v>0</v>
      </c>
    </row>
    <row r="331" spans="1:9" s="64" customFormat="1" ht="19">
      <c r="A331" s="58"/>
      <c r="B331" s="94" t="s">
        <v>763</v>
      </c>
      <c r="C331" s="98"/>
      <c r="D331" s="95"/>
      <c r="E331" s="3422">
        <f>'Estados Financieros'!E338</f>
        <v>0</v>
      </c>
      <c r="F331" s="3422">
        <f>'Estados Financieros'!F338</f>
        <v>0</v>
      </c>
      <c r="G331" s="3422">
        <f>'Estados Financieros'!G338</f>
        <v>0</v>
      </c>
      <c r="H331" s="3422">
        <f>'Estados Financieros'!H338</f>
        <v>0</v>
      </c>
      <c r="I331" s="3421">
        <f>'Estados Financieros'!I338</f>
        <v>0</v>
      </c>
    </row>
    <row r="332" spans="1:9" s="100" customFormat="1" ht="19">
      <c r="A332" s="58"/>
      <c r="B332" s="84"/>
      <c r="C332" s="47"/>
      <c r="D332" s="104"/>
      <c r="E332" s="3441"/>
      <c r="F332" s="3441"/>
      <c r="G332" s="3441"/>
      <c r="H332" s="3441"/>
      <c r="I332" s="3442"/>
    </row>
    <row r="333" spans="1:9" s="100" customFormat="1" ht="20.5">
      <c r="A333" s="58"/>
      <c r="B333" s="46" t="s">
        <v>764</v>
      </c>
      <c r="C333" s="46"/>
      <c r="D333" s="107"/>
      <c r="E333" s="3441"/>
      <c r="F333" s="3441"/>
      <c r="G333" s="3441"/>
      <c r="H333" s="3441"/>
      <c r="I333" s="3442"/>
    </row>
    <row r="334" spans="1:9" s="100" customFormat="1" ht="19">
      <c r="A334" s="58"/>
      <c r="B334" s="53"/>
      <c r="C334" s="54" t="s">
        <v>765</v>
      </c>
      <c r="D334" s="89"/>
      <c r="E334" s="3439"/>
      <c r="F334" s="3439"/>
      <c r="G334" s="3439"/>
      <c r="H334" s="3439"/>
      <c r="I334" s="3445"/>
    </row>
    <row r="335" spans="1:9" s="64" customFormat="1" ht="19">
      <c r="A335" s="58"/>
      <c r="B335" s="59"/>
      <c r="C335" s="47"/>
      <c r="D335" s="60" t="s">
        <v>766</v>
      </c>
      <c r="E335" s="3431">
        <f>'Estados Financieros'!E342</f>
        <v>0</v>
      </c>
      <c r="F335" s="3431">
        <f>'Estados Financieros'!F342</f>
        <v>0</v>
      </c>
      <c r="G335" s="3431">
        <f>'Estados Financieros'!G342</f>
        <v>0</v>
      </c>
      <c r="H335" s="3431">
        <f>'Estados Financieros'!H342</f>
        <v>0</v>
      </c>
      <c r="I335" s="3430">
        <f>'Estados Financieros'!I342</f>
        <v>0</v>
      </c>
    </row>
    <row r="336" spans="1:9" s="64" customFormat="1" ht="19">
      <c r="A336" s="58"/>
      <c r="B336" s="59"/>
      <c r="C336" s="47"/>
      <c r="D336" s="65" t="s">
        <v>767</v>
      </c>
      <c r="E336" s="3429">
        <f>'Estados Financieros'!E343</f>
        <v>0</v>
      </c>
      <c r="F336" s="3429">
        <f>'Estados Financieros'!F343</f>
        <v>0</v>
      </c>
      <c r="G336" s="3429">
        <f>'Estados Financieros'!G343</f>
        <v>0</v>
      </c>
      <c r="H336" s="3429">
        <f>'Estados Financieros'!H343</f>
        <v>0</v>
      </c>
      <c r="I336" s="3428">
        <f>'Estados Financieros'!I343</f>
        <v>0</v>
      </c>
    </row>
    <row r="337" spans="1:9" s="64" customFormat="1" ht="19">
      <c r="A337" s="58"/>
      <c r="B337" s="59"/>
      <c r="C337" s="47"/>
      <c r="D337" s="65" t="s">
        <v>768</v>
      </c>
      <c r="E337" s="3429">
        <f>'Estados Financieros'!E344</f>
        <v>0</v>
      </c>
      <c r="F337" s="3429">
        <f>'Estados Financieros'!F344</f>
        <v>0</v>
      </c>
      <c r="G337" s="3429">
        <f>'Estados Financieros'!G344</f>
        <v>0</v>
      </c>
      <c r="H337" s="3429">
        <f>'Estados Financieros'!H344</f>
        <v>0</v>
      </c>
      <c r="I337" s="3428">
        <f>'Estados Financieros'!I344</f>
        <v>0</v>
      </c>
    </row>
    <row r="338" spans="1:9" s="64" customFormat="1" ht="19">
      <c r="A338" s="58"/>
      <c r="B338" s="59"/>
      <c r="C338" s="47"/>
      <c r="D338" s="65" t="s">
        <v>769</v>
      </c>
      <c r="E338" s="3429">
        <f>'Estados Financieros'!E345</f>
        <v>0</v>
      </c>
      <c r="F338" s="3429">
        <f>'Estados Financieros'!F345</f>
        <v>0</v>
      </c>
      <c r="G338" s="3429">
        <f>'Estados Financieros'!G345</f>
        <v>0</v>
      </c>
      <c r="H338" s="3429">
        <f>'Estados Financieros'!H345</f>
        <v>0</v>
      </c>
      <c r="I338" s="3428">
        <f>'Estados Financieros'!I345</f>
        <v>0</v>
      </c>
    </row>
    <row r="339" spans="1:9" s="64" customFormat="1" ht="19">
      <c r="A339" s="58"/>
      <c r="B339" s="59"/>
      <c r="C339" s="47"/>
      <c r="D339" s="65" t="s">
        <v>770</v>
      </c>
      <c r="E339" s="3429">
        <f>'Estados Financieros'!E346</f>
        <v>0</v>
      </c>
      <c r="F339" s="3429">
        <f>'Estados Financieros'!F346</f>
        <v>0</v>
      </c>
      <c r="G339" s="3429">
        <f>'Estados Financieros'!G346</f>
        <v>0</v>
      </c>
      <c r="H339" s="3429">
        <f>'Estados Financieros'!H346</f>
        <v>0</v>
      </c>
      <c r="I339" s="3428">
        <f>'Estados Financieros'!I346</f>
        <v>0</v>
      </c>
    </row>
    <row r="340" spans="1:9" s="64" customFormat="1" ht="19">
      <c r="A340" s="58"/>
      <c r="B340" s="59"/>
      <c r="C340" s="47"/>
      <c r="D340" s="65" t="s">
        <v>771</v>
      </c>
      <c r="E340" s="3429">
        <f>'Estados Financieros'!E347</f>
        <v>0</v>
      </c>
      <c r="F340" s="3429">
        <f>'Estados Financieros'!F347</f>
        <v>0</v>
      </c>
      <c r="G340" s="3429">
        <f>'Estados Financieros'!G347</f>
        <v>0</v>
      </c>
      <c r="H340" s="3429">
        <f>'Estados Financieros'!H347</f>
        <v>0</v>
      </c>
      <c r="I340" s="3428">
        <f>'Estados Financieros'!I347</f>
        <v>0</v>
      </c>
    </row>
    <row r="341" spans="1:9" s="64" customFormat="1" ht="19">
      <c r="A341" s="58"/>
      <c r="B341" s="59"/>
      <c r="C341" s="47"/>
      <c r="D341" s="65" t="s">
        <v>772</v>
      </c>
      <c r="E341" s="3429">
        <f>'Estados Financieros'!E348</f>
        <v>0</v>
      </c>
      <c r="F341" s="3429">
        <f>'Estados Financieros'!F348</f>
        <v>0</v>
      </c>
      <c r="G341" s="3429">
        <f>'Estados Financieros'!G348</f>
        <v>0</v>
      </c>
      <c r="H341" s="3429">
        <f>'Estados Financieros'!H348</f>
        <v>0</v>
      </c>
      <c r="I341" s="3428">
        <f>'Estados Financieros'!I348</f>
        <v>0</v>
      </c>
    </row>
    <row r="342" spans="1:9" s="64" customFormat="1" ht="19">
      <c r="A342" s="58"/>
      <c r="B342" s="59"/>
      <c r="C342" s="66" t="s">
        <v>773</v>
      </c>
      <c r="D342" s="67"/>
      <c r="E342" s="3435">
        <f>'Estados Financieros'!E349</f>
        <v>0</v>
      </c>
      <c r="F342" s="3435">
        <f>'Estados Financieros'!F349</f>
        <v>0</v>
      </c>
      <c r="G342" s="3435">
        <f>'Estados Financieros'!G349</f>
        <v>0</v>
      </c>
      <c r="H342" s="3435">
        <f>'Estados Financieros'!H349</f>
        <v>0</v>
      </c>
      <c r="I342" s="3434">
        <f>'Estados Financieros'!I349</f>
        <v>0</v>
      </c>
    </row>
    <row r="343" spans="1:9" s="64" customFormat="1" ht="19">
      <c r="A343" s="58"/>
      <c r="B343" s="53"/>
      <c r="C343" s="54" t="s">
        <v>774</v>
      </c>
      <c r="D343" s="71"/>
      <c r="E343" s="3433"/>
      <c r="F343" s="3433"/>
      <c r="G343" s="3433"/>
      <c r="H343" s="3433"/>
      <c r="I343" s="3432"/>
    </row>
    <row r="344" spans="1:9" s="64" customFormat="1" ht="19">
      <c r="A344" s="58"/>
      <c r="B344" s="59"/>
      <c r="C344" s="47"/>
      <c r="D344" s="60" t="s">
        <v>775</v>
      </c>
      <c r="E344" s="3431">
        <f>'Estados Financieros'!E351</f>
        <v>0</v>
      </c>
      <c r="F344" s="3431">
        <f>'Estados Financieros'!F351</f>
        <v>0</v>
      </c>
      <c r="G344" s="3431">
        <f>'Estados Financieros'!G351</f>
        <v>0</v>
      </c>
      <c r="H344" s="3431">
        <f>'Estados Financieros'!H351</f>
        <v>0</v>
      </c>
      <c r="I344" s="3430">
        <f>'Estados Financieros'!I351</f>
        <v>0</v>
      </c>
    </row>
    <row r="345" spans="1:9" s="64" customFormat="1" ht="19">
      <c r="A345" s="58"/>
      <c r="B345" s="59"/>
      <c r="C345" s="47"/>
      <c r="D345" s="65" t="s">
        <v>776</v>
      </c>
      <c r="E345" s="3429">
        <f>'Estados Financieros'!E352</f>
        <v>0</v>
      </c>
      <c r="F345" s="3429">
        <f>'Estados Financieros'!F352</f>
        <v>0</v>
      </c>
      <c r="G345" s="3429">
        <f>'Estados Financieros'!G352</f>
        <v>0</v>
      </c>
      <c r="H345" s="3429">
        <f>'Estados Financieros'!H352</f>
        <v>0</v>
      </c>
      <c r="I345" s="3428">
        <f>'Estados Financieros'!I352</f>
        <v>0</v>
      </c>
    </row>
    <row r="346" spans="1:9" s="64" customFormat="1" ht="19">
      <c r="A346" s="58"/>
      <c r="B346" s="59"/>
      <c r="C346" s="47"/>
      <c r="D346" s="65" t="s">
        <v>653</v>
      </c>
      <c r="E346" s="3429">
        <f>'Estados Financieros'!E353</f>
        <v>0</v>
      </c>
      <c r="F346" s="3429">
        <f>'Estados Financieros'!F353</f>
        <v>0</v>
      </c>
      <c r="G346" s="3429">
        <f>'Estados Financieros'!G353</f>
        <v>0</v>
      </c>
      <c r="H346" s="3429">
        <f>'Estados Financieros'!H353</f>
        <v>0</v>
      </c>
      <c r="I346" s="3428">
        <f>'Estados Financieros'!I353</f>
        <v>0</v>
      </c>
    </row>
    <row r="347" spans="1:9" s="64" customFormat="1" ht="19">
      <c r="A347" s="58"/>
      <c r="B347" s="59"/>
      <c r="C347" s="47"/>
      <c r="D347" s="65" t="s">
        <v>655</v>
      </c>
      <c r="E347" s="3429">
        <f>'Estados Financieros'!E354</f>
        <v>0</v>
      </c>
      <c r="F347" s="3429">
        <f>'Estados Financieros'!F354</f>
        <v>0</v>
      </c>
      <c r="G347" s="3429">
        <f>'Estados Financieros'!G354</f>
        <v>0</v>
      </c>
      <c r="H347" s="3429">
        <f>'Estados Financieros'!H354</f>
        <v>0</v>
      </c>
      <c r="I347" s="3428">
        <f>'Estados Financieros'!I354</f>
        <v>0</v>
      </c>
    </row>
    <row r="348" spans="1:9" s="64" customFormat="1" ht="19">
      <c r="A348" s="58"/>
      <c r="B348" s="59"/>
      <c r="C348" s="47"/>
      <c r="D348" s="65" t="s">
        <v>777</v>
      </c>
      <c r="E348" s="3429">
        <f>'Estados Financieros'!E355</f>
        <v>0</v>
      </c>
      <c r="F348" s="3429">
        <f>'Estados Financieros'!F355</f>
        <v>0</v>
      </c>
      <c r="G348" s="3429">
        <f>'Estados Financieros'!G355</f>
        <v>0</v>
      </c>
      <c r="H348" s="3429">
        <f>'Estados Financieros'!H355</f>
        <v>0</v>
      </c>
      <c r="I348" s="3428">
        <f>'Estados Financieros'!I355</f>
        <v>0</v>
      </c>
    </row>
    <row r="349" spans="1:9" s="64" customFormat="1" ht="19" customHeight="1">
      <c r="A349" s="58"/>
      <c r="B349" s="59"/>
      <c r="C349" s="47"/>
      <c r="D349" s="65"/>
      <c r="E349" s="3429"/>
      <c r="F349" s="3429"/>
      <c r="G349" s="3450"/>
      <c r="H349" s="3450"/>
      <c r="I349" s="3448"/>
    </row>
    <row r="350" spans="1:9" s="64" customFormat="1" ht="19">
      <c r="A350" s="58"/>
      <c r="B350" s="59"/>
      <c r="C350" s="66" t="s">
        <v>778</v>
      </c>
      <c r="D350" s="67"/>
      <c r="E350" s="3435">
        <f>'Estados Financieros'!E357</f>
        <v>0</v>
      </c>
      <c r="F350" s="3435">
        <f>'Estados Financieros'!F357</f>
        <v>0</v>
      </c>
      <c r="G350" s="3435">
        <f>'Estados Financieros'!G357</f>
        <v>0</v>
      </c>
      <c r="H350" s="3435">
        <f>'Estados Financieros'!H357</f>
        <v>0</v>
      </c>
      <c r="I350" s="3434">
        <f>'Estados Financieros'!I357</f>
        <v>0</v>
      </c>
    </row>
    <row r="351" spans="1:9" s="64" customFormat="1" ht="19">
      <c r="A351" s="58"/>
      <c r="B351" s="53"/>
      <c r="C351" s="54" t="s">
        <v>779</v>
      </c>
      <c r="D351" s="71"/>
      <c r="E351" s="3433"/>
      <c r="F351" s="3433"/>
      <c r="G351" s="3433"/>
      <c r="H351" s="3433"/>
      <c r="I351" s="3432"/>
    </row>
    <row r="352" spans="1:9" s="64" customFormat="1" ht="19">
      <c r="A352" s="58"/>
      <c r="B352" s="59"/>
      <c r="C352" s="47"/>
      <c r="D352" s="60" t="s">
        <v>780</v>
      </c>
      <c r="E352" s="3431">
        <f>'Estados Financieros'!E359</f>
        <v>0</v>
      </c>
      <c r="F352" s="3431">
        <f>'Estados Financieros'!F359</f>
        <v>0</v>
      </c>
      <c r="G352" s="3431">
        <f>'Estados Financieros'!G359</f>
        <v>0</v>
      </c>
      <c r="H352" s="3431">
        <f>'Estados Financieros'!H359</f>
        <v>0</v>
      </c>
      <c r="I352" s="3430">
        <f>'Estados Financieros'!I359</f>
        <v>0</v>
      </c>
    </row>
    <row r="353" spans="1:9" s="64" customFormat="1" ht="19">
      <c r="A353" s="58"/>
      <c r="B353" s="59"/>
      <c r="C353" s="47"/>
      <c r="D353" s="65" t="s">
        <v>781</v>
      </c>
      <c r="E353" s="3429">
        <f>'Estados Financieros'!E360</f>
        <v>0</v>
      </c>
      <c r="F353" s="3429">
        <f>'Estados Financieros'!F360</f>
        <v>0</v>
      </c>
      <c r="G353" s="3429">
        <f>'Estados Financieros'!G360</f>
        <v>0</v>
      </c>
      <c r="H353" s="3429">
        <f>'Estados Financieros'!H360</f>
        <v>0</v>
      </c>
      <c r="I353" s="3428">
        <f>'Estados Financieros'!I360</f>
        <v>0</v>
      </c>
    </row>
    <row r="354" spans="1:9" s="64" customFormat="1" ht="19">
      <c r="A354" s="58"/>
      <c r="B354" s="59"/>
      <c r="C354" s="47"/>
      <c r="D354" s="65" t="s">
        <v>782</v>
      </c>
      <c r="E354" s="3429">
        <f>'Estados Financieros'!E361</f>
        <v>0</v>
      </c>
      <c r="F354" s="3429">
        <f>'Estados Financieros'!F361</f>
        <v>0</v>
      </c>
      <c r="G354" s="3429">
        <f>'Estados Financieros'!G361</f>
        <v>0</v>
      </c>
      <c r="H354" s="3429">
        <f>'Estados Financieros'!H361</f>
        <v>0</v>
      </c>
      <c r="I354" s="3428">
        <f>'Estados Financieros'!I361</f>
        <v>0</v>
      </c>
    </row>
    <row r="355" spans="1:9" s="64" customFormat="1" ht="19">
      <c r="A355" s="58"/>
      <c r="B355" s="59"/>
      <c r="C355" s="66" t="s">
        <v>783</v>
      </c>
      <c r="D355" s="67"/>
      <c r="E355" s="3435">
        <f>'Estados Financieros'!E362</f>
        <v>0</v>
      </c>
      <c r="F355" s="3435">
        <f>'Estados Financieros'!F362</f>
        <v>0</v>
      </c>
      <c r="G355" s="3435">
        <f>'Estados Financieros'!G362</f>
        <v>0</v>
      </c>
      <c r="H355" s="3435">
        <f>'Estados Financieros'!H362</f>
        <v>0</v>
      </c>
      <c r="I355" s="3434">
        <f>'Estados Financieros'!I362</f>
        <v>0</v>
      </c>
    </row>
    <row r="356" spans="1:9" s="64" customFormat="1" ht="19">
      <c r="A356" s="58"/>
      <c r="B356" s="53"/>
      <c r="C356" s="54" t="s">
        <v>784</v>
      </c>
      <c r="D356" s="71"/>
      <c r="E356" s="3433">
        <f>'Estados Financieros'!E363</f>
        <v>0</v>
      </c>
      <c r="F356" s="3433">
        <f>'Estados Financieros'!F363</f>
        <v>0</v>
      </c>
      <c r="G356" s="3433">
        <f>'Estados Financieros'!G363</f>
        <v>0</v>
      </c>
      <c r="H356" s="3433">
        <f>'Estados Financieros'!H363</f>
        <v>0</v>
      </c>
      <c r="I356" s="3432">
        <f>'Estados Financieros'!I363</f>
        <v>0</v>
      </c>
    </row>
    <row r="357" spans="1:9" s="64" customFormat="1" ht="19">
      <c r="A357" s="58"/>
      <c r="B357" s="59"/>
      <c r="C357" s="47"/>
      <c r="D357" s="74" t="s">
        <v>785</v>
      </c>
      <c r="E357" s="3431">
        <f>'Estados Financieros'!E364</f>
        <v>0</v>
      </c>
      <c r="F357" s="3431">
        <f>'Estados Financieros'!F364</f>
        <v>0</v>
      </c>
      <c r="G357" s="3431">
        <f>'Estados Financieros'!G364</f>
        <v>0</v>
      </c>
      <c r="H357" s="3431">
        <f>'Estados Financieros'!H364</f>
        <v>0</v>
      </c>
      <c r="I357" s="3430">
        <f>'Estados Financieros'!I364</f>
        <v>0</v>
      </c>
    </row>
    <row r="358" spans="1:9" s="64" customFormat="1" ht="19">
      <c r="A358" s="58"/>
      <c r="B358" s="59"/>
      <c r="C358" s="47"/>
      <c r="D358" s="74" t="s">
        <v>786</v>
      </c>
      <c r="E358" s="3429">
        <f>'Estados Financieros'!E365</f>
        <v>0</v>
      </c>
      <c r="F358" s="3429">
        <f>'Estados Financieros'!F365</f>
        <v>0</v>
      </c>
      <c r="G358" s="3429">
        <f>'Estados Financieros'!G365</f>
        <v>0</v>
      </c>
      <c r="H358" s="3429">
        <f>'Estados Financieros'!H365</f>
        <v>0</v>
      </c>
      <c r="I358" s="3428">
        <f>'Estados Financieros'!I365</f>
        <v>0</v>
      </c>
    </row>
    <row r="359" spans="1:9" s="64" customFormat="1" ht="19" customHeight="1">
      <c r="A359" s="58"/>
      <c r="B359" s="59"/>
      <c r="C359" s="47"/>
      <c r="D359" s="74"/>
      <c r="E359" s="3429"/>
      <c r="F359" s="3429"/>
      <c r="G359" s="3429"/>
      <c r="H359" s="3429"/>
      <c r="I359" s="3428"/>
    </row>
    <row r="360" spans="1:9" s="64" customFormat="1" ht="19">
      <c r="A360" s="58"/>
      <c r="B360" s="59"/>
      <c r="C360" s="47"/>
      <c r="D360" s="74" t="s">
        <v>787</v>
      </c>
      <c r="E360" s="3429">
        <f>'Estados Financieros'!E367</f>
        <v>0</v>
      </c>
      <c r="F360" s="3429">
        <f>'Estados Financieros'!F367</f>
        <v>0</v>
      </c>
      <c r="G360" s="3429">
        <f>'Estados Financieros'!G367</f>
        <v>0</v>
      </c>
      <c r="H360" s="3429">
        <f>'Estados Financieros'!H367</f>
        <v>0</v>
      </c>
      <c r="I360" s="3428">
        <f>'Estados Financieros'!I367</f>
        <v>0</v>
      </c>
    </row>
    <row r="361" spans="1:9" s="64" customFormat="1" ht="19">
      <c r="A361" s="58"/>
      <c r="B361" s="59"/>
      <c r="C361" s="66" t="s">
        <v>788</v>
      </c>
      <c r="D361" s="111"/>
      <c r="E361" s="3427">
        <f>'Estados Financieros'!E368</f>
        <v>0</v>
      </c>
      <c r="F361" s="3427">
        <f>'Estados Financieros'!F368</f>
        <v>0</v>
      </c>
      <c r="G361" s="3427">
        <f>'Estados Financieros'!G368</f>
        <v>0</v>
      </c>
      <c r="H361" s="3427">
        <f>'Estados Financieros'!H368</f>
        <v>0</v>
      </c>
      <c r="I361" s="3426">
        <f>'Estados Financieros'!I368</f>
        <v>0</v>
      </c>
    </row>
    <row r="362" spans="1:9" s="64" customFormat="1" ht="19">
      <c r="A362" s="58"/>
      <c r="B362" s="59"/>
      <c r="C362" s="47"/>
      <c r="D362" s="65" t="s">
        <v>789</v>
      </c>
      <c r="E362" s="3429">
        <f>'Estados Financieros'!E369</f>
        <v>0</v>
      </c>
      <c r="F362" s="3429">
        <f>'Estados Financieros'!F369</f>
        <v>0</v>
      </c>
      <c r="G362" s="3429">
        <f>'Estados Financieros'!G369</f>
        <v>0</v>
      </c>
      <c r="H362" s="3429">
        <f>'Estados Financieros'!H369</f>
        <v>0</v>
      </c>
      <c r="I362" s="3428">
        <f>'Estados Financieros'!I369</f>
        <v>0</v>
      </c>
    </row>
    <row r="363" spans="1:9" s="64" customFormat="1" ht="19">
      <c r="A363" s="58"/>
      <c r="B363" s="59"/>
      <c r="C363" s="47"/>
      <c r="D363" s="65" t="s">
        <v>790</v>
      </c>
      <c r="E363" s="3449">
        <f>'Estados Financieros'!E370</f>
        <v>0</v>
      </c>
      <c r="F363" s="3449">
        <f>'Estados Financieros'!F370</f>
        <v>0</v>
      </c>
      <c r="G363" s="3449">
        <f>'Estados Financieros'!G370</f>
        <v>0</v>
      </c>
      <c r="H363" s="3449">
        <f>'Estados Financieros'!H370</f>
        <v>0</v>
      </c>
      <c r="I363" s="3448">
        <f>'Estados Financieros'!I370</f>
        <v>0</v>
      </c>
    </row>
    <row r="364" spans="1:9" s="64" customFormat="1" ht="19">
      <c r="A364" s="58"/>
      <c r="B364" s="59"/>
      <c r="C364" s="47"/>
      <c r="D364" s="65" t="s">
        <v>791</v>
      </c>
      <c r="E364" s="3429">
        <f>'Estados Financieros'!E371</f>
        <v>0</v>
      </c>
      <c r="F364" s="3429">
        <f>'Estados Financieros'!F371</f>
        <v>0</v>
      </c>
      <c r="G364" s="3429">
        <f>'Estados Financieros'!G371</f>
        <v>0</v>
      </c>
      <c r="H364" s="3429">
        <f>'Estados Financieros'!H371</f>
        <v>0</v>
      </c>
      <c r="I364" s="3428">
        <f>'Estados Financieros'!I371</f>
        <v>0</v>
      </c>
    </row>
    <row r="365" spans="1:9" s="64" customFormat="1" ht="19">
      <c r="A365" s="58"/>
      <c r="B365" s="59"/>
      <c r="C365" s="47"/>
      <c r="D365" s="115" t="s">
        <v>792</v>
      </c>
      <c r="E365" s="3447">
        <f>'Estados Financieros'!E372</f>
        <v>0</v>
      </c>
      <c r="F365" s="3447">
        <f>'Estados Financieros'!F372</f>
        <v>0</v>
      </c>
      <c r="G365" s="3447">
        <f>'Estados Financieros'!G372</f>
        <v>0</v>
      </c>
      <c r="H365" s="3447">
        <f>'Estados Financieros'!H372</f>
        <v>0</v>
      </c>
      <c r="I365" s="3446">
        <f>'Estados Financieros'!I372</f>
        <v>0</v>
      </c>
    </row>
    <row r="366" spans="1:9" s="64" customFormat="1" ht="19">
      <c r="A366" s="58"/>
      <c r="B366" s="94" t="s">
        <v>793</v>
      </c>
      <c r="C366" s="98"/>
      <c r="D366" s="95"/>
      <c r="E366" s="3444">
        <f>'Estados Financieros'!E373</f>
        <v>0</v>
      </c>
      <c r="F366" s="3444">
        <f>'Estados Financieros'!F373</f>
        <v>0</v>
      </c>
      <c r="G366" s="3422">
        <f>'Estados Financieros'!G373</f>
        <v>0</v>
      </c>
      <c r="H366" s="3422">
        <f>'Estados Financieros'!H373</f>
        <v>0</v>
      </c>
      <c r="I366" s="3443">
        <f>'Estados Financieros'!I373</f>
        <v>0</v>
      </c>
    </row>
    <row r="367" spans="1:9" s="64" customFormat="1" ht="19">
      <c r="A367" s="58"/>
      <c r="B367" s="94" t="s">
        <v>794</v>
      </c>
      <c r="C367" s="98"/>
      <c r="D367" s="95"/>
      <c r="E367" s="3444">
        <f>'Estados Financieros'!E374</f>
        <v>0</v>
      </c>
      <c r="F367" s="3444">
        <f>'Estados Financieros'!F374</f>
        <v>0</v>
      </c>
      <c r="G367" s="3422">
        <f>'Estados Financieros'!G374</f>
        <v>0</v>
      </c>
      <c r="H367" s="3422">
        <f>'Estados Financieros'!H374</f>
        <v>0</v>
      </c>
      <c r="I367" s="3443">
        <f>'Estados Financieros'!I374</f>
        <v>0</v>
      </c>
    </row>
    <row r="368" spans="1:9" s="100" customFormat="1" ht="19">
      <c r="A368" s="58"/>
      <c r="B368" s="53"/>
      <c r="C368" s="54" t="s">
        <v>672</v>
      </c>
      <c r="D368" s="89"/>
      <c r="E368" s="3439"/>
      <c r="F368" s="3439"/>
      <c r="G368" s="3439"/>
      <c r="H368" s="3439"/>
      <c r="I368" s="3445"/>
    </row>
    <row r="369" spans="1:9" s="64" customFormat="1" ht="19">
      <c r="A369" s="58"/>
      <c r="B369" s="59"/>
      <c r="C369" s="47"/>
      <c r="D369" s="60" t="s">
        <v>795</v>
      </c>
      <c r="E369" s="3431">
        <f>'Estados Financieros'!E376</f>
        <v>0</v>
      </c>
      <c r="F369" s="3431">
        <f>'Estados Financieros'!F376</f>
        <v>0</v>
      </c>
      <c r="G369" s="3431">
        <f>'Estados Financieros'!G376</f>
        <v>0</v>
      </c>
      <c r="H369" s="3431">
        <f>'Estados Financieros'!H376</f>
        <v>0</v>
      </c>
      <c r="I369" s="3430">
        <f>'Estados Financieros'!I376</f>
        <v>0</v>
      </c>
    </row>
    <row r="370" spans="1:9" s="64" customFormat="1" ht="19">
      <c r="A370" s="58"/>
      <c r="B370" s="59"/>
      <c r="C370" s="47"/>
      <c r="D370" s="65" t="s">
        <v>796</v>
      </c>
      <c r="E370" s="3429">
        <f>'Estados Financieros'!E377</f>
        <v>0</v>
      </c>
      <c r="F370" s="3429">
        <f>'Estados Financieros'!F377</f>
        <v>0</v>
      </c>
      <c r="G370" s="3429">
        <f>'Estados Financieros'!G377</f>
        <v>0</v>
      </c>
      <c r="H370" s="3429">
        <f>'Estados Financieros'!H377</f>
        <v>0</v>
      </c>
      <c r="I370" s="3428">
        <f>'Estados Financieros'!I377</f>
        <v>0</v>
      </c>
    </row>
    <row r="371" spans="1:9" s="64" customFormat="1" ht="19">
      <c r="A371" s="58"/>
      <c r="B371" s="59"/>
      <c r="C371" s="47"/>
      <c r="D371" s="65" t="s">
        <v>797</v>
      </c>
      <c r="E371" s="3429">
        <f>'Estados Financieros'!E378</f>
        <v>0</v>
      </c>
      <c r="F371" s="3429">
        <f>'Estados Financieros'!F378</f>
        <v>0</v>
      </c>
      <c r="G371" s="3429">
        <f>'Estados Financieros'!G378</f>
        <v>0</v>
      </c>
      <c r="H371" s="3429">
        <f>'Estados Financieros'!H378</f>
        <v>0</v>
      </c>
      <c r="I371" s="3428">
        <f>'Estados Financieros'!I378</f>
        <v>0</v>
      </c>
    </row>
    <row r="372" spans="1:9" s="64" customFormat="1" ht="19">
      <c r="A372" s="58"/>
      <c r="B372" s="59"/>
      <c r="C372" s="47"/>
      <c r="D372" s="101" t="s">
        <v>798</v>
      </c>
      <c r="E372" s="3425">
        <f>'Estados Financieros'!E379</f>
        <v>0</v>
      </c>
      <c r="F372" s="3425">
        <f>'Estados Financieros'!F379</f>
        <v>0</v>
      </c>
      <c r="G372" s="3425">
        <f>'Estados Financieros'!G379</f>
        <v>0</v>
      </c>
      <c r="H372" s="3425">
        <f>'Estados Financieros'!H379</f>
        <v>0</v>
      </c>
      <c r="I372" s="3423">
        <f>'Estados Financieros'!I379</f>
        <v>0</v>
      </c>
    </row>
    <row r="373" spans="1:9" s="64" customFormat="1" ht="19">
      <c r="A373" s="58"/>
      <c r="B373" s="59"/>
      <c r="C373" s="94" t="s">
        <v>677</v>
      </c>
      <c r="D373" s="95"/>
      <c r="E373" s="3444">
        <f>'Estados Financieros'!E380</f>
        <v>0</v>
      </c>
      <c r="F373" s="3444">
        <f>'Estados Financieros'!F380</f>
        <v>0</v>
      </c>
      <c r="G373" s="3422">
        <f>'Estados Financieros'!G380</f>
        <v>0</v>
      </c>
      <c r="H373" s="3422">
        <f>'Estados Financieros'!H380</f>
        <v>0</v>
      </c>
      <c r="I373" s="3443">
        <f>'Estados Financieros'!I380</f>
        <v>0</v>
      </c>
    </row>
    <row r="374" spans="1:9" s="64" customFormat="1" ht="19">
      <c r="A374" s="58"/>
      <c r="B374" s="84"/>
      <c r="C374" s="47"/>
      <c r="D374" s="104"/>
      <c r="E374" s="3441"/>
      <c r="F374" s="3441"/>
      <c r="G374" s="3441"/>
      <c r="H374" s="3441"/>
      <c r="I374" s="3442"/>
    </row>
    <row r="375" spans="1:9" s="64" customFormat="1">
      <c r="A375" s="27"/>
      <c r="B375" s="27"/>
      <c r="C375" s="27"/>
      <c r="D375" s="118" t="s">
        <v>799</v>
      </c>
      <c r="E375" s="149" t="str">
        <f>'Estados Financieros'!E10</f>
        <v>OK</v>
      </c>
      <c r="F375" s="149" t="str">
        <f>'Estados Financieros'!F10</f>
        <v>OK</v>
      </c>
      <c r="G375" s="149" t="str">
        <f>'Estados Financieros'!G10</f>
        <v>OK</v>
      </c>
      <c r="H375" s="149" t="str">
        <f>'Estados Financieros'!H10</f>
        <v>OK</v>
      </c>
      <c r="I375" s="150" t="str">
        <f>'Estados Financieros'!I10</f>
        <v>OK</v>
      </c>
    </row>
    <row r="376" spans="1:9" s="64" customFormat="1">
      <c r="A376" s="27"/>
      <c r="B376" s="27"/>
      <c r="C376" s="27"/>
      <c r="D376" s="121" t="s">
        <v>800</v>
      </c>
      <c r="E376" s="3411">
        <f>'Estados Financieros'!E11</f>
        <v>0</v>
      </c>
      <c r="F376" s="3411">
        <f>'Estados Financieros'!F11</f>
        <v>0</v>
      </c>
      <c r="G376" s="3411">
        <f>'Estados Financieros'!G11</f>
        <v>0</v>
      </c>
      <c r="H376" s="3411">
        <f>'Estados Financieros'!H11</f>
        <v>0</v>
      </c>
      <c r="I376" s="3410">
        <f>'Estados Financieros'!I11</f>
        <v>0</v>
      </c>
    </row>
    <row r="377" spans="1:9" s="64" customFormat="1" ht="19">
      <c r="A377" s="58"/>
      <c r="B377" s="84"/>
      <c r="C377" s="47"/>
      <c r="D377" s="104"/>
      <c r="E377" s="3441"/>
      <c r="F377" s="3441"/>
      <c r="G377" s="3441"/>
      <c r="H377" s="3441"/>
      <c r="I377" s="3440"/>
    </row>
    <row r="378" spans="1:9" s="64" customFormat="1" ht="23">
      <c r="A378" s="58"/>
      <c r="B378" s="125" t="s">
        <v>801</v>
      </c>
      <c r="C378" s="47"/>
      <c r="D378" s="126"/>
      <c r="E378" s="3441"/>
      <c r="F378" s="3441"/>
      <c r="G378" s="3441"/>
      <c r="H378" s="3441"/>
      <c r="I378" s="3440"/>
    </row>
    <row r="379" spans="1:9" s="64" customFormat="1" ht="19">
      <c r="A379" s="58"/>
      <c r="B379" s="54" t="s">
        <v>802</v>
      </c>
      <c r="C379" s="47"/>
      <c r="D379" s="89"/>
      <c r="E379" s="3439"/>
      <c r="F379" s="3439"/>
      <c r="G379" s="3439"/>
      <c r="H379" s="3439"/>
      <c r="I379" s="3438"/>
    </row>
    <row r="380" spans="1:9" s="64" customFormat="1" ht="19">
      <c r="A380" s="58"/>
      <c r="B380" s="59"/>
      <c r="C380" s="47"/>
      <c r="D380" s="60" t="s">
        <v>803</v>
      </c>
      <c r="E380" s="3431">
        <f>'Estados Financieros'!E385</f>
        <v>0</v>
      </c>
      <c r="F380" s="3431">
        <f>'Estados Financieros'!F385</f>
        <v>0</v>
      </c>
      <c r="G380" s="3431">
        <f>'Estados Financieros'!G385</f>
        <v>0</v>
      </c>
      <c r="H380" s="3431">
        <f>'Estados Financieros'!H385</f>
        <v>0</v>
      </c>
      <c r="I380" s="3430">
        <f>'Estados Financieros'!I385</f>
        <v>0</v>
      </c>
    </row>
    <row r="381" spans="1:9" s="64" customFormat="1" ht="19">
      <c r="A381" s="58"/>
      <c r="B381" s="59"/>
      <c r="C381" s="47"/>
      <c r="D381" s="65" t="s">
        <v>804</v>
      </c>
      <c r="E381" s="3429">
        <f>'Estados Financieros'!E386</f>
        <v>0</v>
      </c>
      <c r="F381" s="3429">
        <f>'Estados Financieros'!F386</f>
        <v>0</v>
      </c>
      <c r="G381" s="3429">
        <f>'Estados Financieros'!G386</f>
        <v>0</v>
      </c>
      <c r="H381" s="3429">
        <f>'Estados Financieros'!H386</f>
        <v>0</v>
      </c>
      <c r="I381" s="3428">
        <f>'Estados Financieros'!I386</f>
        <v>0</v>
      </c>
    </row>
    <row r="382" spans="1:9" s="64" customFormat="1" ht="19">
      <c r="A382" s="58"/>
      <c r="B382" s="59"/>
      <c r="C382" s="47"/>
      <c r="D382" s="65" t="s">
        <v>805</v>
      </c>
      <c r="E382" s="3429">
        <f>'Estados Financieros'!E387</f>
        <v>0</v>
      </c>
      <c r="F382" s="3429">
        <f>'Estados Financieros'!F387</f>
        <v>0</v>
      </c>
      <c r="G382" s="3429">
        <f>'Estados Financieros'!G387</f>
        <v>0</v>
      </c>
      <c r="H382" s="3429">
        <f>'Estados Financieros'!H387</f>
        <v>0</v>
      </c>
      <c r="I382" s="3428">
        <f>'Estados Financieros'!I387</f>
        <v>0</v>
      </c>
    </row>
    <row r="383" spans="1:9" s="64" customFormat="1" ht="19" customHeight="1">
      <c r="A383" s="27"/>
      <c r="B383" s="59"/>
      <c r="C383" s="47"/>
      <c r="D383" s="101" t="s">
        <v>806</v>
      </c>
      <c r="E383" s="3425">
        <f>'Estados Financieros'!E388</f>
        <v>0</v>
      </c>
      <c r="F383" s="3425">
        <f>'Estados Financieros'!F388</f>
        <v>0</v>
      </c>
      <c r="G383" s="3425">
        <f>'Estados Financieros'!G388</f>
        <v>0</v>
      </c>
      <c r="H383" s="3425">
        <f>'Estados Financieros'!H388</f>
        <v>0</v>
      </c>
      <c r="I383" s="3423">
        <f>'Estados Financieros'!I388</f>
        <v>0</v>
      </c>
    </row>
    <row r="384" spans="1:9" s="64" customFormat="1" ht="19">
      <c r="A384" s="58"/>
      <c r="B384" s="94" t="s">
        <v>807</v>
      </c>
      <c r="C384" s="128"/>
      <c r="D384" s="95"/>
      <c r="E384" s="3422">
        <f>'Estados Financieros'!E389</f>
        <v>0</v>
      </c>
      <c r="F384" s="3422">
        <f>'Estados Financieros'!F389</f>
        <v>0</v>
      </c>
      <c r="G384" s="3422">
        <f>'Estados Financieros'!G389</f>
        <v>0</v>
      </c>
      <c r="H384" s="3422">
        <f>'Estados Financieros'!H389</f>
        <v>0</v>
      </c>
      <c r="I384" s="3421">
        <f>'Estados Financieros'!I389</f>
        <v>0</v>
      </c>
    </row>
    <row r="385" spans="1:9" s="64" customFormat="1" ht="19">
      <c r="A385" s="58"/>
      <c r="B385" s="53"/>
      <c r="C385" s="129" t="s">
        <v>808</v>
      </c>
      <c r="D385" s="71"/>
      <c r="E385" s="3433"/>
      <c r="F385" s="3433"/>
      <c r="G385" s="3433"/>
      <c r="H385" s="3433"/>
      <c r="I385" s="3432"/>
    </row>
    <row r="386" spans="1:9" s="64" customFormat="1" ht="19">
      <c r="A386" s="58"/>
      <c r="B386" s="59"/>
      <c r="C386" s="47"/>
      <c r="D386" s="60" t="s">
        <v>809</v>
      </c>
      <c r="E386" s="3431">
        <f>'Estados Financieros'!E391</f>
        <v>0</v>
      </c>
      <c r="F386" s="3431">
        <f>'Estados Financieros'!F391</f>
        <v>0</v>
      </c>
      <c r="G386" s="3431">
        <f>'Estados Financieros'!G391</f>
        <v>0</v>
      </c>
      <c r="H386" s="3431">
        <f>'Estados Financieros'!H391</f>
        <v>0</v>
      </c>
      <c r="I386" s="3430">
        <f>'Estados Financieros'!I391</f>
        <v>0</v>
      </c>
    </row>
    <row r="387" spans="1:9" s="64" customFormat="1" ht="19">
      <c r="A387" s="58"/>
      <c r="B387" s="59"/>
      <c r="C387" s="47"/>
      <c r="D387" s="65" t="s">
        <v>810</v>
      </c>
      <c r="E387" s="3429">
        <f>'Estados Financieros'!E392</f>
        <v>0</v>
      </c>
      <c r="F387" s="3429">
        <f>'Estados Financieros'!F392</f>
        <v>0</v>
      </c>
      <c r="G387" s="3429">
        <f>'Estados Financieros'!G392</f>
        <v>0</v>
      </c>
      <c r="H387" s="3429">
        <f>'Estados Financieros'!H392</f>
        <v>0</v>
      </c>
      <c r="I387" s="3428">
        <f>'Estados Financieros'!I392</f>
        <v>0</v>
      </c>
    </row>
    <row r="388" spans="1:9" s="64" customFormat="1" ht="19">
      <c r="A388" s="58"/>
      <c r="B388" s="59"/>
      <c r="C388" s="47"/>
      <c r="D388" s="65" t="s">
        <v>811</v>
      </c>
      <c r="E388" s="3429">
        <f>'Estados Financieros'!E393</f>
        <v>0</v>
      </c>
      <c r="F388" s="3429">
        <f>'Estados Financieros'!F393</f>
        <v>0</v>
      </c>
      <c r="G388" s="3429">
        <f>'Estados Financieros'!G393</f>
        <v>0</v>
      </c>
      <c r="H388" s="3429">
        <f>'Estados Financieros'!H393</f>
        <v>0</v>
      </c>
      <c r="I388" s="3428">
        <f>'Estados Financieros'!I393</f>
        <v>0</v>
      </c>
    </row>
    <row r="389" spans="1:9" s="64" customFormat="1" ht="19">
      <c r="A389" s="58"/>
      <c r="B389" s="59"/>
      <c r="C389" s="47"/>
      <c r="D389" s="65" t="s">
        <v>812</v>
      </c>
      <c r="E389" s="3429">
        <f>'Estados Financieros'!E394</f>
        <v>0</v>
      </c>
      <c r="F389" s="3429">
        <f>'Estados Financieros'!F394</f>
        <v>0</v>
      </c>
      <c r="G389" s="3429">
        <f>'Estados Financieros'!G394</f>
        <v>0</v>
      </c>
      <c r="H389" s="3429">
        <f>'Estados Financieros'!H394</f>
        <v>0</v>
      </c>
      <c r="I389" s="3428">
        <f>'Estados Financieros'!I394</f>
        <v>0</v>
      </c>
    </row>
    <row r="390" spans="1:9" s="64" customFormat="1" ht="19">
      <c r="A390" s="58"/>
      <c r="B390" s="59"/>
      <c r="C390" s="47"/>
      <c r="D390" s="65" t="s">
        <v>813</v>
      </c>
      <c r="E390" s="3429">
        <f>'Estados Financieros'!E395</f>
        <v>0</v>
      </c>
      <c r="F390" s="3429">
        <f>'Estados Financieros'!F395</f>
        <v>0</v>
      </c>
      <c r="G390" s="3429">
        <f>'Estados Financieros'!G395</f>
        <v>0</v>
      </c>
      <c r="H390" s="3429">
        <f>'Estados Financieros'!H395</f>
        <v>0</v>
      </c>
      <c r="I390" s="3428">
        <f>'Estados Financieros'!I395</f>
        <v>0</v>
      </c>
    </row>
    <row r="391" spans="1:9" s="64" customFormat="1" ht="19">
      <c r="A391" s="58"/>
      <c r="B391" s="59"/>
      <c r="C391" s="47"/>
      <c r="D391" s="65" t="s">
        <v>814</v>
      </c>
      <c r="E391" s="3429">
        <f>'Estados Financieros'!E396</f>
        <v>0</v>
      </c>
      <c r="F391" s="3429">
        <f>'Estados Financieros'!F396</f>
        <v>0</v>
      </c>
      <c r="G391" s="3429">
        <f>'Estados Financieros'!G396</f>
        <v>0</v>
      </c>
      <c r="H391" s="3429">
        <f>'Estados Financieros'!H396</f>
        <v>0</v>
      </c>
      <c r="I391" s="3428">
        <f>'Estados Financieros'!I396</f>
        <v>0</v>
      </c>
    </row>
    <row r="392" spans="1:9" s="64" customFormat="1" ht="19">
      <c r="A392" s="58"/>
      <c r="B392" s="59"/>
      <c r="C392" s="47"/>
      <c r="D392" s="65" t="s">
        <v>469</v>
      </c>
      <c r="E392" s="3429">
        <f>'Estados Financieros'!E397</f>
        <v>0</v>
      </c>
      <c r="F392" s="3429">
        <f>'Estados Financieros'!F397</f>
        <v>0</v>
      </c>
      <c r="G392" s="3429">
        <f>'Estados Financieros'!G397</f>
        <v>0</v>
      </c>
      <c r="H392" s="3429">
        <f>'Estados Financieros'!H397</f>
        <v>0</v>
      </c>
      <c r="I392" s="3428">
        <f>'Estados Financieros'!I397</f>
        <v>0</v>
      </c>
    </row>
    <row r="393" spans="1:9" s="64" customFormat="1" ht="19">
      <c r="A393" s="58"/>
      <c r="B393" s="59"/>
      <c r="C393" s="47"/>
      <c r="D393" s="65" t="s">
        <v>815</v>
      </c>
      <c r="E393" s="3429">
        <f>'Estados Financieros'!E398</f>
        <v>0</v>
      </c>
      <c r="F393" s="3429">
        <f>'Estados Financieros'!F398</f>
        <v>0</v>
      </c>
      <c r="G393" s="3429">
        <f>'Estados Financieros'!G398</f>
        <v>0</v>
      </c>
      <c r="H393" s="3429">
        <f>'Estados Financieros'!H398</f>
        <v>0</v>
      </c>
      <c r="I393" s="3428">
        <f>'Estados Financieros'!I398</f>
        <v>0</v>
      </c>
    </row>
    <row r="394" spans="1:9" s="64" customFormat="1" ht="19">
      <c r="A394" s="58"/>
      <c r="B394" s="59"/>
      <c r="C394" s="47"/>
      <c r="D394" s="65" t="s">
        <v>816</v>
      </c>
      <c r="E394" s="3429">
        <f>'Estados Financieros'!E399</f>
        <v>0</v>
      </c>
      <c r="F394" s="3429">
        <f>'Estados Financieros'!F399</f>
        <v>0</v>
      </c>
      <c r="G394" s="3429">
        <f>'Estados Financieros'!G399</f>
        <v>0</v>
      </c>
      <c r="H394" s="3429">
        <f>'Estados Financieros'!H399</f>
        <v>0</v>
      </c>
      <c r="I394" s="3428">
        <f>'Estados Financieros'!I399</f>
        <v>0</v>
      </c>
    </row>
    <row r="395" spans="1:9" s="64" customFormat="1" ht="19">
      <c r="A395" s="58"/>
      <c r="B395" s="59"/>
      <c r="C395" s="47"/>
      <c r="D395" s="65" t="s">
        <v>817</v>
      </c>
      <c r="E395" s="3429">
        <f>'Estados Financieros'!E400</f>
        <v>0</v>
      </c>
      <c r="F395" s="3429">
        <f>'Estados Financieros'!F400</f>
        <v>0</v>
      </c>
      <c r="G395" s="3429">
        <f>'Estados Financieros'!G400</f>
        <v>0</v>
      </c>
      <c r="H395" s="3429">
        <f>'Estados Financieros'!H400</f>
        <v>0</v>
      </c>
      <c r="I395" s="3428">
        <f>'Estados Financieros'!I400</f>
        <v>0</v>
      </c>
    </row>
    <row r="396" spans="1:9" s="64" customFormat="1" ht="19">
      <c r="A396" s="58"/>
      <c r="B396" s="59"/>
      <c r="C396" s="47"/>
      <c r="D396" s="65" t="s">
        <v>818</v>
      </c>
      <c r="E396" s="3429">
        <f>'Estados Financieros'!E401</f>
        <v>0</v>
      </c>
      <c r="F396" s="3429">
        <f>'Estados Financieros'!F401</f>
        <v>0</v>
      </c>
      <c r="G396" s="3429">
        <f>'Estados Financieros'!G401</f>
        <v>0</v>
      </c>
      <c r="H396" s="3429">
        <f>'Estados Financieros'!H401</f>
        <v>0</v>
      </c>
      <c r="I396" s="3428">
        <f>'Estados Financieros'!I401</f>
        <v>0</v>
      </c>
    </row>
    <row r="397" spans="1:9" s="64" customFormat="1" ht="19">
      <c r="A397" s="58"/>
      <c r="B397" s="59"/>
      <c r="C397" s="47"/>
      <c r="D397" s="65" t="s">
        <v>819</v>
      </c>
      <c r="E397" s="3429">
        <f>'Estados Financieros'!E402</f>
        <v>0</v>
      </c>
      <c r="F397" s="3429">
        <f>'Estados Financieros'!F402</f>
        <v>0</v>
      </c>
      <c r="G397" s="3429">
        <f>'Estados Financieros'!G402</f>
        <v>0</v>
      </c>
      <c r="H397" s="3429">
        <f>'Estados Financieros'!H402</f>
        <v>0</v>
      </c>
      <c r="I397" s="3428">
        <f>'Estados Financieros'!I402</f>
        <v>0</v>
      </c>
    </row>
    <row r="398" spans="1:9" s="64" customFormat="1" ht="19">
      <c r="A398" s="58"/>
      <c r="B398" s="59"/>
      <c r="C398" s="47"/>
      <c r="D398" s="65" t="s">
        <v>598</v>
      </c>
      <c r="E398" s="3429">
        <f>'Estados Financieros'!E403</f>
        <v>0</v>
      </c>
      <c r="F398" s="3429">
        <f>'Estados Financieros'!F403</f>
        <v>0</v>
      </c>
      <c r="G398" s="3429">
        <f>'Estados Financieros'!G403</f>
        <v>0</v>
      </c>
      <c r="H398" s="3429">
        <f>'Estados Financieros'!H403</f>
        <v>0</v>
      </c>
      <c r="I398" s="3428">
        <f>'Estados Financieros'!I403</f>
        <v>0</v>
      </c>
    </row>
    <row r="399" spans="1:9" s="64" customFormat="1" ht="19">
      <c r="A399" s="27"/>
      <c r="B399" s="59"/>
      <c r="C399" s="47"/>
      <c r="D399" s="65" t="s">
        <v>820</v>
      </c>
      <c r="E399" s="3429">
        <f>'Estados Financieros'!E404</f>
        <v>0</v>
      </c>
      <c r="F399" s="3429">
        <f>'Estados Financieros'!F404</f>
        <v>0</v>
      </c>
      <c r="G399" s="3429">
        <f>'Estados Financieros'!G404</f>
        <v>0</v>
      </c>
      <c r="H399" s="3429">
        <f>'Estados Financieros'!H404</f>
        <v>0</v>
      </c>
      <c r="I399" s="3428">
        <f>'Estados Financieros'!I404</f>
        <v>0</v>
      </c>
    </row>
    <row r="400" spans="1:9" s="64" customFormat="1" ht="19">
      <c r="A400" s="58"/>
      <c r="B400" s="59"/>
      <c r="C400" s="47"/>
      <c r="D400" s="74" t="s">
        <v>574</v>
      </c>
      <c r="E400" s="3429">
        <f>'Estados Financieros'!E405</f>
        <v>0</v>
      </c>
      <c r="F400" s="3429">
        <f>'Estados Financieros'!F405</f>
        <v>0</v>
      </c>
      <c r="G400" s="3429">
        <f>'Estados Financieros'!G405</f>
        <v>0</v>
      </c>
      <c r="H400" s="3429">
        <f>'Estados Financieros'!H405</f>
        <v>0</v>
      </c>
      <c r="I400" s="3428">
        <f>'Estados Financieros'!I405</f>
        <v>0</v>
      </c>
    </row>
    <row r="401" spans="1:9" s="64" customFormat="1" ht="19">
      <c r="A401" s="58"/>
      <c r="B401" s="59"/>
      <c r="C401" s="66" t="s">
        <v>821</v>
      </c>
      <c r="D401" s="67"/>
      <c r="E401" s="3435">
        <f>'Estados Financieros'!E406</f>
        <v>0</v>
      </c>
      <c r="F401" s="3435">
        <f>'Estados Financieros'!F406</f>
        <v>0</v>
      </c>
      <c r="G401" s="3435">
        <f>'Estados Financieros'!G406</f>
        <v>0</v>
      </c>
      <c r="H401" s="3435">
        <f>'Estados Financieros'!H406</f>
        <v>0</v>
      </c>
      <c r="I401" s="3434">
        <f>'Estados Financieros'!I406</f>
        <v>0</v>
      </c>
    </row>
    <row r="402" spans="1:9" s="64" customFormat="1" ht="19">
      <c r="A402" s="58"/>
      <c r="B402" s="53"/>
      <c r="C402" s="54" t="s">
        <v>822</v>
      </c>
      <c r="D402" s="71"/>
      <c r="E402" s="3433"/>
      <c r="F402" s="3433"/>
      <c r="G402" s="3433"/>
      <c r="H402" s="3433"/>
      <c r="I402" s="3432"/>
    </row>
    <row r="403" spans="1:9" s="64" customFormat="1" ht="19">
      <c r="A403" s="58"/>
      <c r="B403" s="59"/>
      <c r="C403" s="47"/>
      <c r="D403" s="60" t="s">
        <v>809</v>
      </c>
      <c r="E403" s="3431">
        <f>'Estados Financieros'!E408</f>
        <v>0</v>
      </c>
      <c r="F403" s="3431">
        <f>'Estados Financieros'!F408</f>
        <v>0</v>
      </c>
      <c r="G403" s="3431">
        <f>'Estados Financieros'!G408</f>
        <v>0</v>
      </c>
      <c r="H403" s="3431">
        <f>'Estados Financieros'!H408</f>
        <v>0</v>
      </c>
      <c r="I403" s="3430">
        <f>'Estados Financieros'!I408</f>
        <v>0</v>
      </c>
    </row>
    <row r="404" spans="1:9" s="64" customFormat="1" ht="19">
      <c r="A404" s="58"/>
      <c r="B404" s="59"/>
      <c r="C404" s="47"/>
      <c r="D404" s="65" t="s">
        <v>810</v>
      </c>
      <c r="E404" s="3429">
        <f>'Estados Financieros'!E409</f>
        <v>0</v>
      </c>
      <c r="F404" s="3429">
        <f>'Estados Financieros'!F409</f>
        <v>0</v>
      </c>
      <c r="G404" s="3429">
        <f>'Estados Financieros'!G409</f>
        <v>0</v>
      </c>
      <c r="H404" s="3429">
        <f>'Estados Financieros'!H409</f>
        <v>0</v>
      </c>
      <c r="I404" s="3428">
        <f>'Estados Financieros'!I409</f>
        <v>0</v>
      </c>
    </row>
    <row r="405" spans="1:9" s="64" customFormat="1" ht="19">
      <c r="A405" s="58"/>
      <c r="B405" s="59"/>
      <c r="C405" s="47"/>
      <c r="D405" s="65" t="s">
        <v>811</v>
      </c>
      <c r="E405" s="3429">
        <f>'Estados Financieros'!E410</f>
        <v>0</v>
      </c>
      <c r="F405" s="3429">
        <f>'Estados Financieros'!F410</f>
        <v>0</v>
      </c>
      <c r="G405" s="3429">
        <f>'Estados Financieros'!G410</f>
        <v>0</v>
      </c>
      <c r="H405" s="3429">
        <f>'Estados Financieros'!H410</f>
        <v>0</v>
      </c>
      <c r="I405" s="3428">
        <f>'Estados Financieros'!I410</f>
        <v>0</v>
      </c>
    </row>
    <row r="406" spans="1:9" s="64" customFormat="1" ht="19">
      <c r="A406" s="58"/>
      <c r="B406" s="59"/>
      <c r="C406" s="47"/>
      <c r="D406" s="65" t="s">
        <v>812</v>
      </c>
      <c r="E406" s="3429">
        <f>'Estados Financieros'!E411</f>
        <v>0</v>
      </c>
      <c r="F406" s="3429">
        <f>'Estados Financieros'!F411</f>
        <v>0</v>
      </c>
      <c r="G406" s="3429">
        <f>'Estados Financieros'!G411</f>
        <v>0</v>
      </c>
      <c r="H406" s="3429">
        <f>'Estados Financieros'!H411</f>
        <v>0</v>
      </c>
      <c r="I406" s="3428">
        <f>'Estados Financieros'!I411</f>
        <v>0</v>
      </c>
    </row>
    <row r="407" spans="1:9" s="64" customFormat="1" ht="19">
      <c r="A407" s="58"/>
      <c r="B407" s="59"/>
      <c r="C407" s="47"/>
      <c r="D407" s="65" t="s">
        <v>813</v>
      </c>
      <c r="E407" s="3429">
        <f>'Estados Financieros'!E412</f>
        <v>0</v>
      </c>
      <c r="F407" s="3429">
        <f>'Estados Financieros'!F412</f>
        <v>0</v>
      </c>
      <c r="G407" s="3429">
        <f>'Estados Financieros'!G412</f>
        <v>0</v>
      </c>
      <c r="H407" s="3429">
        <f>'Estados Financieros'!H412</f>
        <v>0</v>
      </c>
      <c r="I407" s="3428">
        <f>'Estados Financieros'!I412</f>
        <v>0</v>
      </c>
    </row>
    <row r="408" spans="1:9" s="64" customFormat="1" ht="19">
      <c r="A408" s="58"/>
      <c r="B408" s="59"/>
      <c r="C408" s="47"/>
      <c r="D408" s="65" t="s">
        <v>814</v>
      </c>
      <c r="E408" s="3429">
        <f>'Estados Financieros'!E413</f>
        <v>0</v>
      </c>
      <c r="F408" s="3429">
        <f>'Estados Financieros'!F413</f>
        <v>0</v>
      </c>
      <c r="G408" s="3429">
        <f>'Estados Financieros'!G413</f>
        <v>0</v>
      </c>
      <c r="H408" s="3429">
        <f>'Estados Financieros'!H413</f>
        <v>0</v>
      </c>
      <c r="I408" s="3428">
        <f>'Estados Financieros'!I413</f>
        <v>0</v>
      </c>
    </row>
    <row r="409" spans="1:9" s="64" customFormat="1" ht="19">
      <c r="A409" s="58"/>
      <c r="B409" s="59"/>
      <c r="C409" s="47"/>
      <c r="D409" s="65" t="s">
        <v>469</v>
      </c>
      <c r="E409" s="3429">
        <f>'Estados Financieros'!E414</f>
        <v>0</v>
      </c>
      <c r="F409" s="3429">
        <f>'Estados Financieros'!F414</f>
        <v>0</v>
      </c>
      <c r="G409" s="3429">
        <f>'Estados Financieros'!G414</f>
        <v>0</v>
      </c>
      <c r="H409" s="3429">
        <f>'Estados Financieros'!H414</f>
        <v>0</v>
      </c>
      <c r="I409" s="3428">
        <f>'Estados Financieros'!I414</f>
        <v>0</v>
      </c>
    </row>
    <row r="410" spans="1:9" s="64" customFormat="1" ht="19">
      <c r="A410" s="58"/>
      <c r="B410" s="59"/>
      <c r="C410" s="47"/>
      <c r="D410" s="65" t="s">
        <v>815</v>
      </c>
      <c r="E410" s="3429">
        <f>'Estados Financieros'!E415</f>
        <v>0</v>
      </c>
      <c r="F410" s="3429">
        <f>'Estados Financieros'!F415</f>
        <v>0</v>
      </c>
      <c r="G410" s="3429">
        <f>'Estados Financieros'!G415</f>
        <v>0</v>
      </c>
      <c r="H410" s="3429">
        <f>'Estados Financieros'!H415</f>
        <v>0</v>
      </c>
      <c r="I410" s="3428">
        <f>'Estados Financieros'!I415</f>
        <v>0</v>
      </c>
    </row>
    <row r="411" spans="1:9" s="64" customFormat="1" ht="19">
      <c r="A411" s="58"/>
      <c r="B411" s="59"/>
      <c r="C411" s="47"/>
      <c r="D411" s="65" t="s">
        <v>816</v>
      </c>
      <c r="E411" s="3429">
        <f>'Estados Financieros'!E416</f>
        <v>0</v>
      </c>
      <c r="F411" s="3429">
        <f>'Estados Financieros'!F416</f>
        <v>0</v>
      </c>
      <c r="G411" s="3429">
        <f>'Estados Financieros'!G416</f>
        <v>0</v>
      </c>
      <c r="H411" s="3429">
        <f>'Estados Financieros'!H416</f>
        <v>0</v>
      </c>
      <c r="I411" s="3428">
        <f>'Estados Financieros'!I416</f>
        <v>0</v>
      </c>
    </row>
    <row r="412" spans="1:9" s="64" customFormat="1" ht="19">
      <c r="A412" s="58"/>
      <c r="B412" s="59"/>
      <c r="C412" s="47"/>
      <c r="D412" s="65" t="s">
        <v>817</v>
      </c>
      <c r="E412" s="3429">
        <f>'Estados Financieros'!E417</f>
        <v>0</v>
      </c>
      <c r="F412" s="3429">
        <f>'Estados Financieros'!F417</f>
        <v>0</v>
      </c>
      <c r="G412" s="3429">
        <f>'Estados Financieros'!G417</f>
        <v>0</v>
      </c>
      <c r="H412" s="3429">
        <f>'Estados Financieros'!H417</f>
        <v>0</v>
      </c>
      <c r="I412" s="3428">
        <f>'Estados Financieros'!I417</f>
        <v>0</v>
      </c>
    </row>
    <row r="413" spans="1:9" s="64" customFormat="1" ht="19">
      <c r="A413" s="58"/>
      <c r="B413" s="59"/>
      <c r="C413" s="47"/>
      <c r="D413" s="65" t="s">
        <v>818</v>
      </c>
      <c r="E413" s="3429">
        <f>'Estados Financieros'!E418</f>
        <v>0</v>
      </c>
      <c r="F413" s="3429">
        <f>'Estados Financieros'!F418</f>
        <v>0</v>
      </c>
      <c r="G413" s="3429">
        <f>'Estados Financieros'!G418</f>
        <v>0</v>
      </c>
      <c r="H413" s="3429">
        <f>'Estados Financieros'!H418</f>
        <v>0</v>
      </c>
      <c r="I413" s="3428">
        <f>'Estados Financieros'!I418</f>
        <v>0</v>
      </c>
    </row>
    <row r="414" spans="1:9" s="64" customFormat="1" ht="19">
      <c r="A414" s="58"/>
      <c r="B414" s="59"/>
      <c r="C414" s="47"/>
      <c r="D414" s="65" t="s">
        <v>819</v>
      </c>
      <c r="E414" s="3429">
        <f>'Estados Financieros'!E419</f>
        <v>0</v>
      </c>
      <c r="F414" s="3429">
        <f>'Estados Financieros'!F419</f>
        <v>0</v>
      </c>
      <c r="G414" s="3429">
        <f>'Estados Financieros'!G419</f>
        <v>0</v>
      </c>
      <c r="H414" s="3429">
        <f>'Estados Financieros'!H419</f>
        <v>0</v>
      </c>
      <c r="I414" s="3428">
        <f>'Estados Financieros'!I419</f>
        <v>0</v>
      </c>
    </row>
    <row r="415" spans="1:9" s="64" customFormat="1" ht="19" customHeight="1">
      <c r="A415" s="58"/>
      <c r="B415" s="59"/>
      <c r="C415" s="47"/>
      <c r="D415" s="65" t="s">
        <v>598</v>
      </c>
      <c r="E415" s="3429">
        <f>'Estados Financieros'!E420</f>
        <v>0</v>
      </c>
      <c r="F415" s="3429">
        <f>'Estados Financieros'!F420</f>
        <v>0</v>
      </c>
      <c r="G415" s="3429">
        <f>'Estados Financieros'!G420</f>
        <v>0</v>
      </c>
      <c r="H415" s="3429">
        <f>'Estados Financieros'!H420</f>
        <v>0</v>
      </c>
      <c r="I415" s="3428">
        <f>'Estados Financieros'!I420</f>
        <v>0</v>
      </c>
    </row>
    <row r="416" spans="1:9" s="64" customFormat="1" ht="19" customHeight="1">
      <c r="A416" s="58"/>
      <c r="B416" s="59"/>
      <c r="C416" s="47"/>
      <c r="D416" s="65" t="s">
        <v>823</v>
      </c>
      <c r="E416" s="3429">
        <f>'Estados Financieros'!E421</f>
        <v>0</v>
      </c>
      <c r="F416" s="3429">
        <f>'Estados Financieros'!F421</f>
        <v>0</v>
      </c>
      <c r="G416" s="3429">
        <f>'Estados Financieros'!G421</f>
        <v>0</v>
      </c>
      <c r="H416" s="3429">
        <f>'Estados Financieros'!H421</f>
        <v>0</v>
      </c>
      <c r="I416" s="3428">
        <f>'Estados Financieros'!I421</f>
        <v>0</v>
      </c>
    </row>
    <row r="417" spans="1:9" s="64" customFormat="1" ht="19">
      <c r="A417" s="58"/>
      <c r="B417" s="59"/>
      <c r="C417" s="47"/>
      <c r="D417" s="74" t="s">
        <v>824</v>
      </c>
      <c r="E417" s="3429">
        <f>'Estados Financieros'!E422</f>
        <v>0</v>
      </c>
      <c r="F417" s="3429">
        <f>'Estados Financieros'!F422</f>
        <v>0</v>
      </c>
      <c r="G417" s="3429">
        <f>'Estados Financieros'!G422</f>
        <v>0</v>
      </c>
      <c r="H417" s="3429">
        <f>'Estados Financieros'!H422</f>
        <v>0</v>
      </c>
      <c r="I417" s="3428">
        <f>'Estados Financieros'!I422</f>
        <v>0</v>
      </c>
    </row>
    <row r="418" spans="1:9" s="64" customFormat="1" ht="19">
      <c r="A418" s="58"/>
      <c r="B418" s="59"/>
      <c r="C418" s="80" t="s">
        <v>825</v>
      </c>
      <c r="D418" s="81"/>
      <c r="E418" s="3437">
        <f>'Estados Financieros'!E423</f>
        <v>0</v>
      </c>
      <c r="F418" s="3437">
        <f>'Estados Financieros'!F423</f>
        <v>0</v>
      </c>
      <c r="G418" s="3437">
        <f>'Estados Financieros'!G423</f>
        <v>0</v>
      </c>
      <c r="H418" s="3437">
        <f>'Estados Financieros'!H423</f>
        <v>0</v>
      </c>
      <c r="I418" s="3436">
        <f>'Estados Financieros'!I423</f>
        <v>0</v>
      </c>
    </row>
    <row r="419" spans="1:9" s="64" customFormat="1" ht="19">
      <c r="A419" s="58"/>
      <c r="B419" s="94" t="s">
        <v>826</v>
      </c>
      <c r="C419" s="128"/>
      <c r="D419" s="95"/>
      <c r="E419" s="3422">
        <f>'Estados Financieros'!E424</f>
        <v>0</v>
      </c>
      <c r="F419" s="3422">
        <f>'Estados Financieros'!F424</f>
        <v>0</v>
      </c>
      <c r="G419" s="3422">
        <f>'Estados Financieros'!G424</f>
        <v>0</v>
      </c>
      <c r="H419" s="3422">
        <f>'Estados Financieros'!H424</f>
        <v>0</v>
      </c>
      <c r="I419" s="3421">
        <f>'Estados Financieros'!I424</f>
        <v>0</v>
      </c>
    </row>
    <row r="420" spans="1:9" s="64" customFormat="1" ht="19">
      <c r="A420" s="58"/>
      <c r="B420" s="53"/>
      <c r="C420" s="129" t="s">
        <v>827</v>
      </c>
      <c r="D420" s="71"/>
      <c r="E420" s="3433"/>
      <c r="F420" s="3433"/>
      <c r="G420" s="3433"/>
      <c r="H420" s="3433"/>
      <c r="I420" s="3432"/>
    </row>
    <row r="421" spans="1:9" s="64" customFormat="1" ht="19">
      <c r="A421" s="58"/>
      <c r="B421" s="59"/>
      <c r="C421" s="47"/>
      <c r="D421" s="60" t="s">
        <v>828</v>
      </c>
      <c r="E421" s="3431">
        <f>'Estados Financieros'!E426</f>
        <v>0</v>
      </c>
      <c r="F421" s="3431">
        <f>'Estados Financieros'!F426</f>
        <v>0</v>
      </c>
      <c r="G421" s="3431">
        <f>'Estados Financieros'!G426</f>
        <v>0</v>
      </c>
      <c r="H421" s="3431">
        <f>'Estados Financieros'!H426</f>
        <v>0</v>
      </c>
      <c r="I421" s="3430">
        <f>'Estados Financieros'!I426</f>
        <v>0</v>
      </c>
    </row>
    <row r="422" spans="1:9" s="64" customFormat="1" ht="19">
      <c r="A422" s="58"/>
      <c r="B422" s="59"/>
      <c r="C422" s="47"/>
      <c r="D422" s="65" t="s">
        <v>829</v>
      </c>
      <c r="E422" s="3429">
        <f>'Estados Financieros'!E427</f>
        <v>0</v>
      </c>
      <c r="F422" s="3429">
        <f>'Estados Financieros'!F427</f>
        <v>0</v>
      </c>
      <c r="G422" s="3429">
        <f>'Estados Financieros'!G427</f>
        <v>0</v>
      </c>
      <c r="H422" s="3429">
        <f>'Estados Financieros'!H427</f>
        <v>0</v>
      </c>
      <c r="I422" s="3428">
        <f>'Estados Financieros'!I427</f>
        <v>0</v>
      </c>
    </row>
    <row r="423" spans="1:9" s="64" customFormat="1" ht="19">
      <c r="A423" s="58"/>
      <c r="B423" s="59"/>
      <c r="C423" s="47"/>
      <c r="D423" s="65" t="s">
        <v>830</v>
      </c>
      <c r="E423" s="3429">
        <f>'Estados Financieros'!E428</f>
        <v>0</v>
      </c>
      <c r="F423" s="3429">
        <f>'Estados Financieros'!F428</f>
        <v>0</v>
      </c>
      <c r="G423" s="3429">
        <f>'Estados Financieros'!G428</f>
        <v>0</v>
      </c>
      <c r="H423" s="3429">
        <f>'Estados Financieros'!H428</f>
        <v>0</v>
      </c>
      <c r="I423" s="3428">
        <f>'Estados Financieros'!I428</f>
        <v>0</v>
      </c>
    </row>
    <row r="424" spans="1:9" s="64" customFormat="1" ht="19">
      <c r="A424" s="58"/>
      <c r="B424" s="59"/>
      <c r="C424" s="47"/>
      <c r="D424" s="65" t="s">
        <v>831</v>
      </c>
      <c r="E424" s="3429">
        <f>'Estados Financieros'!E429</f>
        <v>0</v>
      </c>
      <c r="F424" s="3429">
        <f>'Estados Financieros'!F429</f>
        <v>0</v>
      </c>
      <c r="G424" s="3429">
        <f>'Estados Financieros'!G429</f>
        <v>0</v>
      </c>
      <c r="H424" s="3429">
        <f>'Estados Financieros'!H429</f>
        <v>0</v>
      </c>
      <c r="I424" s="3428">
        <f>'Estados Financieros'!I429</f>
        <v>0</v>
      </c>
    </row>
    <row r="425" spans="1:9" s="64" customFormat="1" ht="19">
      <c r="A425" s="58"/>
      <c r="B425" s="59"/>
      <c r="C425" s="47"/>
      <c r="D425" s="65" t="s">
        <v>832</v>
      </c>
      <c r="E425" s="3429">
        <f>'Estados Financieros'!E430</f>
        <v>0</v>
      </c>
      <c r="F425" s="3429">
        <f>'Estados Financieros'!F430</f>
        <v>0</v>
      </c>
      <c r="G425" s="3429">
        <f>'Estados Financieros'!G430</f>
        <v>0</v>
      </c>
      <c r="H425" s="3429">
        <f>'Estados Financieros'!H430</f>
        <v>0</v>
      </c>
      <c r="I425" s="3428">
        <f>'Estados Financieros'!I430</f>
        <v>0</v>
      </c>
    </row>
    <row r="426" spans="1:9" s="64" customFormat="1" ht="19">
      <c r="A426" s="58"/>
      <c r="B426" s="59"/>
      <c r="C426" s="47"/>
      <c r="D426" s="65" t="s">
        <v>812</v>
      </c>
      <c r="E426" s="3429">
        <f>'Estados Financieros'!E431</f>
        <v>0</v>
      </c>
      <c r="F426" s="3429">
        <f>'Estados Financieros'!F431</f>
        <v>0</v>
      </c>
      <c r="G426" s="3429">
        <f>'Estados Financieros'!G431</f>
        <v>0</v>
      </c>
      <c r="H426" s="3429">
        <f>'Estados Financieros'!H431</f>
        <v>0</v>
      </c>
      <c r="I426" s="3428">
        <f>'Estados Financieros'!I431</f>
        <v>0</v>
      </c>
    </row>
    <row r="427" spans="1:9" s="64" customFormat="1" ht="19">
      <c r="A427" s="58"/>
      <c r="B427" s="59"/>
      <c r="C427" s="47"/>
      <c r="D427" s="65" t="s">
        <v>833</v>
      </c>
      <c r="E427" s="3429">
        <f>'Estados Financieros'!E432</f>
        <v>0</v>
      </c>
      <c r="F427" s="3429">
        <f>'Estados Financieros'!F432</f>
        <v>0</v>
      </c>
      <c r="G427" s="3429">
        <f>'Estados Financieros'!G432</f>
        <v>0</v>
      </c>
      <c r="H427" s="3429">
        <f>'Estados Financieros'!H432</f>
        <v>0</v>
      </c>
      <c r="I427" s="3428">
        <f>'Estados Financieros'!I432</f>
        <v>0</v>
      </c>
    </row>
    <row r="428" spans="1:9" s="64" customFormat="1" ht="19">
      <c r="A428" s="58"/>
      <c r="B428" s="59"/>
      <c r="C428" s="47"/>
      <c r="D428" s="65" t="s">
        <v>469</v>
      </c>
      <c r="E428" s="3429">
        <f>'Estados Financieros'!E433</f>
        <v>0</v>
      </c>
      <c r="F428" s="3429">
        <f>'Estados Financieros'!F433</f>
        <v>0</v>
      </c>
      <c r="G428" s="3429">
        <f>'Estados Financieros'!G433</f>
        <v>0</v>
      </c>
      <c r="H428" s="3429">
        <f>'Estados Financieros'!H433</f>
        <v>0</v>
      </c>
      <c r="I428" s="3428">
        <f>'Estados Financieros'!I433</f>
        <v>0</v>
      </c>
    </row>
    <row r="429" spans="1:9" s="64" customFormat="1" ht="19">
      <c r="A429" s="58"/>
      <c r="B429" s="59"/>
      <c r="C429" s="47"/>
      <c r="D429" s="65" t="s">
        <v>834</v>
      </c>
      <c r="E429" s="3429">
        <f>'Estados Financieros'!E434</f>
        <v>0</v>
      </c>
      <c r="F429" s="3429">
        <f>'Estados Financieros'!F434</f>
        <v>0</v>
      </c>
      <c r="G429" s="3429">
        <f>'Estados Financieros'!G434</f>
        <v>0</v>
      </c>
      <c r="H429" s="3429">
        <f>'Estados Financieros'!H434</f>
        <v>0</v>
      </c>
      <c r="I429" s="3428">
        <f>'Estados Financieros'!I434</f>
        <v>0</v>
      </c>
    </row>
    <row r="430" spans="1:9" s="131" customFormat="1" ht="19">
      <c r="A430" s="58"/>
      <c r="B430" s="59"/>
      <c r="C430" s="47"/>
      <c r="D430" s="65" t="s">
        <v>835</v>
      </c>
      <c r="E430" s="3429">
        <f>'Estados Financieros'!E435</f>
        <v>0</v>
      </c>
      <c r="F430" s="3429">
        <f>'Estados Financieros'!F435</f>
        <v>0</v>
      </c>
      <c r="G430" s="3429">
        <f>'Estados Financieros'!G435</f>
        <v>0</v>
      </c>
      <c r="H430" s="3429">
        <f>'Estados Financieros'!H435</f>
        <v>0</v>
      </c>
      <c r="I430" s="3428">
        <f>'Estados Financieros'!I435</f>
        <v>0</v>
      </c>
    </row>
    <row r="431" spans="1:9" s="64" customFormat="1" ht="19">
      <c r="A431" s="58"/>
      <c r="B431" s="59"/>
      <c r="C431" s="47"/>
      <c r="D431" s="65" t="s">
        <v>529</v>
      </c>
      <c r="E431" s="3429">
        <f>'Estados Financieros'!E436</f>
        <v>0</v>
      </c>
      <c r="F431" s="3429">
        <f>'Estados Financieros'!F436</f>
        <v>0</v>
      </c>
      <c r="G431" s="3429">
        <f>'Estados Financieros'!G436</f>
        <v>0</v>
      </c>
      <c r="H431" s="3429">
        <f>'Estados Financieros'!H436</f>
        <v>0</v>
      </c>
      <c r="I431" s="3428">
        <f>'Estados Financieros'!I436</f>
        <v>0</v>
      </c>
    </row>
    <row r="432" spans="1:9" s="64" customFormat="1" ht="19">
      <c r="A432" s="58"/>
      <c r="B432" s="59"/>
      <c r="C432" s="47"/>
      <c r="D432" s="65" t="s">
        <v>819</v>
      </c>
      <c r="E432" s="3429">
        <f>'Estados Financieros'!E437</f>
        <v>0</v>
      </c>
      <c r="F432" s="3429">
        <f>'Estados Financieros'!F437</f>
        <v>0</v>
      </c>
      <c r="G432" s="3429">
        <f>'Estados Financieros'!G437</f>
        <v>0</v>
      </c>
      <c r="H432" s="3429">
        <f>'Estados Financieros'!H437</f>
        <v>0</v>
      </c>
      <c r="I432" s="3428">
        <f>'Estados Financieros'!I437</f>
        <v>0</v>
      </c>
    </row>
    <row r="433" spans="1:9" s="64" customFormat="1" ht="19">
      <c r="A433" s="58"/>
      <c r="B433" s="59"/>
      <c r="C433" s="66" t="s">
        <v>836</v>
      </c>
      <c r="D433" s="67"/>
      <c r="E433" s="3435">
        <f>'Estados Financieros'!E438</f>
        <v>0</v>
      </c>
      <c r="F433" s="3435">
        <f>'Estados Financieros'!F438</f>
        <v>0</v>
      </c>
      <c r="G433" s="3435">
        <f>'Estados Financieros'!G438</f>
        <v>0</v>
      </c>
      <c r="H433" s="3435">
        <f>'Estados Financieros'!H438</f>
        <v>0</v>
      </c>
      <c r="I433" s="3434">
        <f>'Estados Financieros'!I438</f>
        <v>0</v>
      </c>
    </row>
    <row r="434" spans="1:9" s="64" customFormat="1" ht="19">
      <c r="A434" s="58"/>
      <c r="B434" s="53"/>
      <c r="C434" s="54" t="s">
        <v>837</v>
      </c>
      <c r="D434" s="71"/>
      <c r="E434" s="3433"/>
      <c r="F434" s="3433"/>
      <c r="G434" s="3433"/>
      <c r="H434" s="3433"/>
      <c r="I434" s="3432"/>
    </row>
    <row r="435" spans="1:9" s="64" customFormat="1" ht="19">
      <c r="A435" s="58"/>
      <c r="B435" s="59"/>
      <c r="C435" s="47"/>
      <c r="D435" s="60" t="s">
        <v>838</v>
      </c>
      <c r="E435" s="3431">
        <f>'Estados Financieros'!E440</f>
        <v>0</v>
      </c>
      <c r="F435" s="3431">
        <f>'Estados Financieros'!F440</f>
        <v>0</v>
      </c>
      <c r="G435" s="3431">
        <f>'Estados Financieros'!G440</f>
        <v>0</v>
      </c>
      <c r="H435" s="3431">
        <f>'Estados Financieros'!H440</f>
        <v>0</v>
      </c>
      <c r="I435" s="3430">
        <f>'Estados Financieros'!I440</f>
        <v>0</v>
      </c>
    </row>
    <row r="436" spans="1:9" s="64" customFormat="1" ht="19">
      <c r="A436" s="58"/>
      <c r="B436" s="59"/>
      <c r="C436" s="47"/>
      <c r="D436" s="65" t="s">
        <v>829</v>
      </c>
      <c r="E436" s="3429">
        <f>'Estados Financieros'!E441</f>
        <v>0</v>
      </c>
      <c r="F436" s="3429">
        <f>'Estados Financieros'!F441</f>
        <v>0</v>
      </c>
      <c r="G436" s="3429">
        <f>'Estados Financieros'!G441</f>
        <v>0</v>
      </c>
      <c r="H436" s="3429">
        <f>'Estados Financieros'!H441</f>
        <v>0</v>
      </c>
      <c r="I436" s="3428">
        <f>'Estados Financieros'!I441</f>
        <v>0</v>
      </c>
    </row>
    <row r="437" spans="1:9" s="64" customFormat="1" ht="19">
      <c r="A437" s="58"/>
      <c r="B437" s="59"/>
      <c r="C437" s="47"/>
      <c r="D437" s="65" t="s">
        <v>839</v>
      </c>
      <c r="E437" s="3429">
        <f>'Estados Financieros'!E442</f>
        <v>0</v>
      </c>
      <c r="F437" s="3429">
        <f>'Estados Financieros'!F442</f>
        <v>0</v>
      </c>
      <c r="G437" s="3429">
        <f>'Estados Financieros'!G442</f>
        <v>0</v>
      </c>
      <c r="H437" s="3429">
        <f>'Estados Financieros'!H442</f>
        <v>0</v>
      </c>
      <c r="I437" s="3428">
        <f>'Estados Financieros'!I442</f>
        <v>0</v>
      </c>
    </row>
    <row r="438" spans="1:9" s="64" customFormat="1" ht="19">
      <c r="A438" s="58"/>
      <c r="B438" s="59"/>
      <c r="C438" s="47"/>
      <c r="D438" s="65" t="s">
        <v>840</v>
      </c>
      <c r="E438" s="3429">
        <f>'Estados Financieros'!E443</f>
        <v>0</v>
      </c>
      <c r="F438" s="3429">
        <f>'Estados Financieros'!F443</f>
        <v>0</v>
      </c>
      <c r="G438" s="3429">
        <f>'Estados Financieros'!G443</f>
        <v>0</v>
      </c>
      <c r="H438" s="3429">
        <f>'Estados Financieros'!H443</f>
        <v>0</v>
      </c>
      <c r="I438" s="3428">
        <f>'Estados Financieros'!I443</f>
        <v>0</v>
      </c>
    </row>
    <row r="439" spans="1:9" s="64" customFormat="1" ht="19">
      <c r="A439" s="58"/>
      <c r="B439" s="59"/>
      <c r="C439" s="47"/>
      <c r="D439" s="65" t="s">
        <v>831</v>
      </c>
      <c r="E439" s="3429">
        <f>'Estados Financieros'!E444</f>
        <v>0</v>
      </c>
      <c r="F439" s="3429">
        <f>'Estados Financieros'!F444</f>
        <v>0</v>
      </c>
      <c r="G439" s="3429">
        <f>'Estados Financieros'!G444</f>
        <v>0</v>
      </c>
      <c r="H439" s="3429">
        <f>'Estados Financieros'!H444</f>
        <v>0</v>
      </c>
      <c r="I439" s="3428">
        <f>'Estados Financieros'!I444</f>
        <v>0</v>
      </c>
    </row>
    <row r="440" spans="1:9" s="64" customFormat="1" ht="19">
      <c r="A440" s="58"/>
      <c r="B440" s="59"/>
      <c r="C440" s="47"/>
      <c r="D440" s="65" t="s">
        <v>841</v>
      </c>
      <c r="E440" s="3429">
        <f>'Estados Financieros'!E445</f>
        <v>0</v>
      </c>
      <c r="F440" s="3429">
        <f>'Estados Financieros'!F445</f>
        <v>0</v>
      </c>
      <c r="G440" s="3429">
        <f>'Estados Financieros'!G445</f>
        <v>0</v>
      </c>
      <c r="H440" s="3429">
        <f>'Estados Financieros'!H445</f>
        <v>0</v>
      </c>
      <c r="I440" s="3428">
        <f>'Estados Financieros'!I445</f>
        <v>0</v>
      </c>
    </row>
    <row r="441" spans="1:9" s="64" customFormat="1" ht="19">
      <c r="A441" s="58"/>
      <c r="B441" s="59"/>
      <c r="C441" s="47"/>
      <c r="D441" s="65" t="s">
        <v>842</v>
      </c>
      <c r="E441" s="3429">
        <f>'Estados Financieros'!E446</f>
        <v>0</v>
      </c>
      <c r="F441" s="3429">
        <f>'Estados Financieros'!F446</f>
        <v>0</v>
      </c>
      <c r="G441" s="3429">
        <f>'Estados Financieros'!G446</f>
        <v>0</v>
      </c>
      <c r="H441" s="3429">
        <f>'Estados Financieros'!H446</f>
        <v>0</v>
      </c>
      <c r="I441" s="3428">
        <f>'Estados Financieros'!I446</f>
        <v>0</v>
      </c>
    </row>
    <row r="442" spans="1:9" s="64" customFormat="1" ht="19">
      <c r="A442" s="58"/>
      <c r="B442" s="59"/>
      <c r="C442" s="47"/>
      <c r="D442" s="65" t="s">
        <v>843</v>
      </c>
      <c r="E442" s="3429">
        <f>'Estados Financieros'!E447</f>
        <v>0</v>
      </c>
      <c r="F442" s="3429">
        <f>'Estados Financieros'!F447</f>
        <v>0</v>
      </c>
      <c r="G442" s="3429">
        <f>'Estados Financieros'!G447</f>
        <v>0</v>
      </c>
      <c r="H442" s="3429">
        <f>'Estados Financieros'!H447</f>
        <v>0</v>
      </c>
      <c r="I442" s="3428">
        <f>'Estados Financieros'!I447</f>
        <v>0</v>
      </c>
    </row>
    <row r="443" spans="1:9" s="64" customFormat="1" ht="19">
      <c r="A443" s="58"/>
      <c r="B443" s="59"/>
      <c r="C443" s="47"/>
      <c r="D443" s="65" t="s">
        <v>844</v>
      </c>
      <c r="E443" s="3429">
        <f>'Estados Financieros'!E448</f>
        <v>0</v>
      </c>
      <c r="F443" s="3429">
        <f>'Estados Financieros'!F448</f>
        <v>0</v>
      </c>
      <c r="G443" s="3429">
        <f>'Estados Financieros'!G448</f>
        <v>0</v>
      </c>
      <c r="H443" s="3429">
        <f>'Estados Financieros'!H448</f>
        <v>0</v>
      </c>
      <c r="I443" s="3428">
        <f>'Estados Financieros'!I448</f>
        <v>0</v>
      </c>
    </row>
    <row r="444" spans="1:9" s="64" customFormat="1" ht="19">
      <c r="A444" s="58"/>
      <c r="B444" s="59"/>
      <c r="C444" s="47"/>
      <c r="D444" s="65" t="s">
        <v>845</v>
      </c>
      <c r="E444" s="3429">
        <f>'Estados Financieros'!E449</f>
        <v>0</v>
      </c>
      <c r="F444" s="3429">
        <f>'Estados Financieros'!F449</f>
        <v>0</v>
      </c>
      <c r="G444" s="3429">
        <f>'Estados Financieros'!G449</f>
        <v>0</v>
      </c>
      <c r="H444" s="3429">
        <f>'Estados Financieros'!H449</f>
        <v>0</v>
      </c>
      <c r="I444" s="3428">
        <f>'Estados Financieros'!I449</f>
        <v>0</v>
      </c>
    </row>
    <row r="445" spans="1:9" s="64" customFormat="1" ht="19">
      <c r="A445" s="58"/>
      <c r="B445" s="59"/>
      <c r="C445" s="47"/>
      <c r="D445" s="65" t="s">
        <v>776</v>
      </c>
      <c r="E445" s="3429">
        <f>'Estados Financieros'!E450</f>
        <v>0</v>
      </c>
      <c r="F445" s="3429">
        <f>'Estados Financieros'!F450</f>
        <v>0</v>
      </c>
      <c r="G445" s="3429">
        <f>'Estados Financieros'!G450</f>
        <v>0</v>
      </c>
      <c r="H445" s="3429">
        <f>'Estados Financieros'!H450</f>
        <v>0</v>
      </c>
      <c r="I445" s="3428">
        <f>'Estados Financieros'!I450</f>
        <v>0</v>
      </c>
    </row>
    <row r="446" spans="1:9" s="64" customFormat="1" ht="19">
      <c r="A446" s="58"/>
      <c r="B446" s="59"/>
      <c r="C446" s="47"/>
      <c r="D446" s="65" t="s">
        <v>846</v>
      </c>
      <c r="E446" s="3429">
        <f>'Estados Financieros'!E451</f>
        <v>0</v>
      </c>
      <c r="F446" s="3429">
        <f>'Estados Financieros'!F451</f>
        <v>0</v>
      </c>
      <c r="G446" s="3429">
        <f>'Estados Financieros'!G451</f>
        <v>0</v>
      </c>
      <c r="H446" s="3429">
        <f>'Estados Financieros'!H451</f>
        <v>0</v>
      </c>
      <c r="I446" s="3428">
        <f>'Estados Financieros'!I451</f>
        <v>0</v>
      </c>
    </row>
    <row r="447" spans="1:9" s="64" customFormat="1" ht="19">
      <c r="A447" s="58"/>
      <c r="B447" s="59"/>
      <c r="C447" s="66" t="s">
        <v>847</v>
      </c>
      <c r="D447" s="111"/>
      <c r="E447" s="3427">
        <f>'Estados Financieros'!E452</f>
        <v>0</v>
      </c>
      <c r="F447" s="3427">
        <f>'Estados Financieros'!F452</f>
        <v>0</v>
      </c>
      <c r="G447" s="3427">
        <f>'Estados Financieros'!G452</f>
        <v>0</v>
      </c>
      <c r="H447" s="3427">
        <f>'Estados Financieros'!H452</f>
        <v>0</v>
      </c>
      <c r="I447" s="3426">
        <f>'Estados Financieros'!I452</f>
        <v>0</v>
      </c>
    </row>
    <row r="448" spans="1:9" s="64" customFormat="1" ht="19">
      <c r="A448" s="58"/>
      <c r="B448" s="59"/>
      <c r="C448" s="47"/>
      <c r="D448" s="101" t="s">
        <v>848</v>
      </c>
      <c r="E448" s="3425">
        <f>'Estados Financieros'!E453</f>
        <v>0</v>
      </c>
      <c r="F448" s="3425">
        <f>'Estados Financieros'!F453</f>
        <v>0</v>
      </c>
      <c r="G448" s="3425">
        <f>'Estados Financieros'!G453</f>
        <v>0</v>
      </c>
      <c r="H448" s="3425">
        <f>'Estados Financieros'!H453</f>
        <v>0</v>
      </c>
      <c r="I448" s="3423">
        <f>'Estados Financieros'!I453</f>
        <v>0</v>
      </c>
    </row>
    <row r="449" spans="1:9" s="64" customFormat="1" ht="19">
      <c r="A449" s="27"/>
      <c r="B449" s="94" t="s">
        <v>849</v>
      </c>
      <c r="C449" s="128"/>
      <c r="D449" s="95"/>
      <c r="E449" s="3422">
        <f>'Estados Financieros'!E454</f>
        <v>0</v>
      </c>
      <c r="F449" s="3422">
        <f>'Estados Financieros'!F454</f>
        <v>0</v>
      </c>
      <c r="G449" s="3422">
        <f>'Estados Financieros'!G454</f>
        <v>0</v>
      </c>
      <c r="H449" s="3422">
        <f>'Estados Financieros'!H454</f>
        <v>0</v>
      </c>
      <c r="I449" s="3421">
        <f>'Estados Financieros'!I454</f>
        <v>0</v>
      </c>
    </row>
    <row r="450" spans="1:9" s="64" customFormat="1" ht="19">
      <c r="A450" s="58"/>
      <c r="B450" s="59"/>
      <c r="C450" s="47"/>
      <c r="D450" s="132" t="s">
        <v>811</v>
      </c>
      <c r="E450" s="3425">
        <f>'Estados Financieros'!E455</f>
        <v>0</v>
      </c>
      <c r="F450" s="3425">
        <f>'Estados Financieros'!F455</f>
        <v>0</v>
      </c>
      <c r="G450" s="3424">
        <f>'Estados Financieros'!G455</f>
        <v>0</v>
      </c>
      <c r="H450" s="3424">
        <f>'Estados Financieros'!H455</f>
        <v>0</v>
      </c>
      <c r="I450" s="3423">
        <f>'Estados Financieros'!I455</f>
        <v>0</v>
      </c>
    </row>
    <row r="451" spans="1:9" s="64" customFormat="1" ht="19">
      <c r="A451" s="58"/>
      <c r="B451" s="94" t="s">
        <v>850</v>
      </c>
      <c r="C451" s="128"/>
      <c r="D451" s="95"/>
      <c r="E451" s="3422">
        <f>'Estados Financieros'!E456</f>
        <v>0</v>
      </c>
      <c r="F451" s="3422">
        <f>'Estados Financieros'!F456</f>
        <v>0</v>
      </c>
      <c r="G451" s="3422">
        <f>'Estados Financieros'!G456</f>
        <v>0</v>
      </c>
      <c r="H451" s="3422">
        <f>'Estados Financieros'!H456</f>
        <v>0</v>
      </c>
      <c r="I451" s="3421">
        <f>'Estados Financieros'!I456</f>
        <v>0</v>
      </c>
    </row>
    <row r="452" spans="1:9" s="64" customFormat="1" ht="19">
      <c r="A452" s="27"/>
      <c r="B452" s="134" t="s">
        <v>851</v>
      </c>
      <c r="C452" s="135"/>
      <c r="D452" s="136"/>
      <c r="E452" s="3420">
        <f>'Estados Financieros'!E457</f>
        <v>0</v>
      </c>
      <c r="F452" s="3419">
        <f>'Estados Financieros'!F457</f>
        <v>0</v>
      </c>
      <c r="G452" s="3419">
        <f>'Estados Financieros'!G457</f>
        <v>0</v>
      </c>
      <c r="H452" s="3419">
        <f>'Estados Financieros'!H457</f>
        <v>0</v>
      </c>
      <c r="I452" s="3418">
        <f>'Estados Financieros'!I457</f>
        <v>0</v>
      </c>
    </row>
    <row r="453" spans="1:9" s="64" customFormat="1" ht="19.5">
      <c r="A453" s="27"/>
      <c r="B453" s="27"/>
      <c r="C453" s="27"/>
      <c r="E453" s="3417"/>
      <c r="F453" s="3417"/>
      <c r="G453" s="3417"/>
      <c r="H453" s="3417"/>
      <c r="I453" s="3416"/>
    </row>
    <row r="454" spans="1:9" ht="21">
      <c r="A454" s="142"/>
      <c r="B454" s="142"/>
      <c r="C454" s="142"/>
      <c r="D454" s="143" t="s">
        <v>852</v>
      </c>
      <c r="E454" s="3415">
        <f>'Estados Financieros'!E459</f>
        <v>0</v>
      </c>
      <c r="F454" s="3415">
        <f>'Estados Financieros'!F459</f>
        <v>0</v>
      </c>
      <c r="G454" s="3415">
        <f>'Estados Financieros'!G459</f>
        <v>0</v>
      </c>
      <c r="H454" s="3415">
        <f>'Estados Financieros'!H459</f>
        <v>0</v>
      </c>
      <c r="I454" s="3414">
        <f>'Estados Financieros'!I459</f>
        <v>0</v>
      </c>
    </row>
    <row r="455" spans="1:9">
      <c r="A455" s="142"/>
      <c r="B455" s="142"/>
      <c r="C455" s="142"/>
      <c r="D455" s="5"/>
      <c r="E455" s="3413"/>
      <c r="F455" s="3413"/>
      <c r="G455" s="3413"/>
      <c r="H455" s="3413"/>
      <c r="I455" s="3412"/>
    </row>
    <row r="456" spans="1:9" s="64" customFormat="1">
      <c r="A456" s="27"/>
      <c r="B456" s="27"/>
      <c r="C456" s="27"/>
      <c r="D456" s="148" t="s">
        <v>853</v>
      </c>
      <c r="E456" s="149" t="str">
        <f>'Estados Financieros'!E12</f>
        <v>OK</v>
      </c>
      <c r="F456" s="149" t="str">
        <f>'Estados Financieros'!F12</f>
        <v>OK</v>
      </c>
      <c r="G456" s="149" t="str">
        <f>'Estados Financieros'!G12</f>
        <v>OK</v>
      </c>
      <c r="H456" s="149" t="str">
        <f>'Estados Financieros'!H12</f>
        <v>OK</v>
      </c>
      <c r="I456" s="150" t="str">
        <f>'Estados Financieros'!I12</f>
        <v>OK</v>
      </c>
    </row>
    <row r="457" spans="1:9" s="64" customFormat="1" ht="14.5" customHeight="1">
      <c r="A457" s="27"/>
      <c r="B457" s="27"/>
      <c r="C457" s="27"/>
      <c r="D457" s="154" t="s">
        <v>854</v>
      </c>
      <c r="E457" s="4069" t="str">
        <f>'Estados Financieros'!E461</f>
        <v>OK</v>
      </c>
      <c r="F457" s="4069" t="str">
        <f>'Estados Financieros'!F461</f>
        <v>OK</v>
      </c>
      <c r="G457" s="4069" t="str">
        <f>'Estados Financieros'!G461</f>
        <v>OK</v>
      </c>
      <c r="H457" s="4069" t="str">
        <f>'Estados Financieros'!H461</f>
        <v>OK</v>
      </c>
      <c r="I457" s="4067" t="str">
        <f>'Estados Financieros'!I461</f>
        <v>OK</v>
      </c>
    </row>
    <row r="458" spans="1:9" s="64" customFormat="1" ht="14.5" customHeight="1">
      <c r="A458" s="27"/>
      <c r="B458" s="27"/>
      <c r="C458" s="27"/>
      <c r="D458" s="154" t="s">
        <v>856</v>
      </c>
      <c r="E458" s="4070">
        <v>0</v>
      </c>
      <c r="F458" s="4070">
        <v>0</v>
      </c>
      <c r="G458" s="4070">
        <v>0</v>
      </c>
      <c r="H458" s="4070">
        <v>0</v>
      </c>
      <c r="I458" s="4068">
        <v>0</v>
      </c>
    </row>
    <row r="459" spans="1:9" s="64" customFormat="1">
      <c r="A459" s="27"/>
      <c r="B459" s="27"/>
      <c r="C459" s="27"/>
      <c r="D459" s="148" t="s">
        <v>857</v>
      </c>
      <c r="E459" s="149" t="str">
        <f>'Estados Financieros'!E14</f>
        <v>OK</v>
      </c>
      <c r="F459" s="149" t="str">
        <f>'Estados Financieros'!F14</f>
        <v>OK</v>
      </c>
      <c r="G459" s="149" t="str">
        <f>'Estados Financieros'!G14</f>
        <v>OK</v>
      </c>
      <c r="H459" s="149" t="str">
        <f>'Estados Financieros'!H14</f>
        <v>OK</v>
      </c>
      <c r="I459" s="150" t="str">
        <f>'Estados Financieros'!I14</f>
        <v>OK</v>
      </c>
    </row>
    <row r="460" spans="1:9" s="64" customFormat="1">
      <c r="A460" s="27"/>
      <c r="B460" s="27"/>
      <c r="C460" s="27"/>
      <c r="D460" s="151" t="s">
        <v>858</v>
      </c>
      <c r="E460" s="3411">
        <f>'Estados Financieros'!E15</f>
        <v>0</v>
      </c>
      <c r="F460" s="3411">
        <f>'Estados Financieros'!F15</f>
        <v>0</v>
      </c>
      <c r="G460" s="3411">
        <f>'Estados Financieros'!G15</f>
        <v>0</v>
      </c>
      <c r="H460" s="3411">
        <f>'Estados Financieros'!H15</f>
        <v>0</v>
      </c>
      <c r="I460" s="3410">
        <f>'Estados Financieros'!I15</f>
        <v>0</v>
      </c>
    </row>
    <row r="461" spans="1:9">
      <c r="E461" s="3405"/>
      <c r="F461" s="3405"/>
      <c r="G461" s="3405"/>
      <c r="H461" s="3405"/>
      <c r="I461" s="3409"/>
    </row>
    <row r="462" spans="1:9">
      <c r="E462" s="3405"/>
      <c r="F462" s="3405"/>
      <c r="G462" s="3405"/>
      <c r="H462" s="3405"/>
      <c r="I462" s="3409"/>
    </row>
    <row r="463" spans="1:9">
      <c r="E463" s="3405"/>
      <c r="F463" s="3405"/>
      <c r="G463" s="3405"/>
      <c r="H463" s="3405"/>
      <c r="I463" s="3409"/>
    </row>
    <row r="464" spans="1:9">
      <c r="E464" s="3405"/>
      <c r="F464" s="3405"/>
      <c r="G464" s="3405"/>
      <c r="H464" s="3405"/>
      <c r="I464" s="3409"/>
    </row>
    <row r="465" spans="1:9">
      <c r="E465" s="3405"/>
      <c r="F465" s="3405"/>
      <c r="G465" s="3405"/>
      <c r="H465" s="3405"/>
      <c r="I465" s="3409"/>
    </row>
    <row r="466" spans="1:9">
      <c r="A466"/>
      <c r="B466"/>
      <c r="C466"/>
      <c r="E466" s="3405"/>
      <c r="F466" s="3405"/>
      <c r="G466" s="3405"/>
      <c r="H466" s="3405"/>
      <c r="I466" s="3409"/>
    </row>
    <row r="467" spans="1:9">
      <c r="A467"/>
      <c r="B467"/>
      <c r="C467"/>
      <c r="E467" s="3405"/>
      <c r="F467" s="3405"/>
      <c r="G467" s="3405"/>
      <c r="H467" s="3405"/>
      <c r="I467" s="3409"/>
    </row>
    <row r="468" spans="1:9">
      <c r="A468"/>
      <c r="B468"/>
      <c r="C468"/>
      <c r="E468" s="3405"/>
      <c r="F468" s="3405"/>
      <c r="G468" s="3405"/>
      <c r="H468" s="3405"/>
      <c r="I468" s="3409"/>
    </row>
    <row r="469" spans="1:9">
      <c r="A469"/>
      <c r="B469"/>
      <c r="C469"/>
      <c r="E469" s="3405"/>
      <c r="F469" s="3405"/>
      <c r="G469" s="3405"/>
      <c r="H469" s="3405"/>
      <c r="I469" s="3409"/>
    </row>
    <row r="470" spans="1:9">
      <c r="A470"/>
      <c r="B470"/>
      <c r="C470"/>
      <c r="E470" s="3405"/>
      <c r="F470" s="3405"/>
      <c r="G470" s="3405"/>
      <c r="H470" s="3405"/>
      <c r="I470" s="3409"/>
    </row>
    <row r="471" spans="1:9">
      <c r="A471"/>
      <c r="B471"/>
      <c r="C471"/>
      <c r="E471" s="3405"/>
      <c r="F471" s="3405"/>
      <c r="G471" s="3405"/>
      <c r="H471" s="3405"/>
      <c r="I471" s="3409"/>
    </row>
    <row r="472" spans="1:9">
      <c r="A472"/>
      <c r="B472"/>
      <c r="C472"/>
      <c r="E472" s="3405"/>
      <c r="F472" s="3405"/>
      <c r="G472" s="3405"/>
      <c r="H472" s="3405"/>
      <c r="I472" s="3409"/>
    </row>
    <row r="473" spans="1:9">
      <c r="A473"/>
      <c r="B473"/>
      <c r="C473"/>
      <c r="E473" s="3405"/>
      <c r="F473" s="3405"/>
      <c r="G473" s="3405"/>
      <c r="H473" s="3405"/>
      <c r="I473" s="3409"/>
    </row>
    <row r="474" spans="1:9">
      <c r="A474"/>
      <c r="B474"/>
      <c r="C474"/>
      <c r="E474" s="3405"/>
      <c r="F474" s="3405"/>
      <c r="G474" s="3405"/>
      <c r="H474" s="3405"/>
      <c r="I474" s="3409"/>
    </row>
    <row r="475" spans="1:9">
      <c r="A475"/>
      <c r="B475"/>
      <c r="C475"/>
      <c r="E475" s="3405"/>
      <c r="F475" s="3405"/>
      <c r="G475" s="3405"/>
      <c r="H475" s="3405"/>
      <c r="I475" s="3409"/>
    </row>
    <row r="476" spans="1:9">
      <c r="A476"/>
      <c r="B476"/>
      <c r="C476"/>
      <c r="E476" s="3405"/>
      <c r="F476" s="3405"/>
      <c r="G476" s="3405"/>
      <c r="H476" s="3405"/>
      <c r="I476" s="3409"/>
    </row>
    <row r="477" spans="1:9">
      <c r="A477"/>
      <c r="B477"/>
      <c r="C477"/>
      <c r="E477" s="3405"/>
      <c r="F477" s="3405"/>
      <c r="G477" s="3405"/>
      <c r="H477" s="3405"/>
      <c r="I477" s="3409"/>
    </row>
    <row r="478" spans="1:9">
      <c r="A478"/>
      <c r="B478"/>
      <c r="C478"/>
      <c r="E478" s="3405"/>
      <c r="F478" s="3405"/>
      <c r="G478" s="3405"/>
      <c r="H478" s="3405"/>
      <c r="I478" s="3409"/>
    </row>
    <row r="479" spans="1:9">
      <c r="A479"/>
      <c r="B479"/>
      <c r="C479"/>
      <c r="E479" s="3405"/>
      <c r="F479" s="3405"/>
      <c r="G479" s="3405"/>
      <c r="H479" s="3405"/>
      <c r="I479" s="3409"/>
    </row>
    <row r="480" spans="1:9">
      <c r="A480"/>
      <c r="B480"/>
      <c r="C480"/>
      <c r="E480" s="3405"/>
      <c r="F480" s="3405"/>
      <c r="G480" s="3405"/>
      <c r="H480" s="3405"/>
      <c r="I480" s="3409"/>
    </row>
    <row r="481" spans="1:9">
      <c r="A481"/>
      <c r="B481"/>
      <c r="C481"/>
      <c r="E481" s="3405"/>
      <c r="F481" s="3405"/>
      <c r="G481" s="3405"/>
      <c r="H481" s="3405"/>
      <c r="I481" s="3409"/>
    </row>
  </sheetData>
  <mergeCells count="6">
    <mergeCell ref="I457:I458"/>
    <mergeCell ref="D2:G2"/>
    <mergeCell ref="E457:E458"/>
    <mergeCell ref="F457:F458"/>
    <mergeCell ref="G457:G458"/>
    <mergeCell ref="H457:H458"/>
  </mergeCells>
  <conditionalFormatting sqref="E459:I460 E375:I376 E456:I457">
    <cfRule type="containsText" dxfId="39" priority="3" operator="containsText" text="Descuadrado">
      <formula>NOT(ISERROR(SEARCH("Descuadrado",E375)))</formula>
    </cfRule>
    <cfRule type="containsText" dxfId="38" priority="4" stopIfTrue="1" operator="containsText" text="OK">
      <formula>NOT(ISERROR(SEARCH("OK",E375)))</formula>
    </cfRule>
  </conditionalFormatting>
  <conditionalFormatting sqref="D256">
    <cfRule type="cellIs" dxfId="37" priority="2" stopIfTrue="1" operator="equal">
      <formula>"Anticipos Recibidos de Clientes"</formula>
    </cfRule>
  </conditionalFormatting>
  <conditionalFormatting sqref="D424 D437:D438">
    <cfRule type="expression" dxfId="36" priority="1" stopIfTrue="1">
      <formula>$D$254="Anticipos Recibidos de Clientes"</formula>
    </cfRule>
  </conditionalFormatting>
  <dataValidations disablePrompts="1" count="16">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formula1>0</formula1>
      <formula2>999999999999</formula2>
    </dataValidation>
    <dataValidation type="decimal" operator="greaterThan" allowBlank="1" showInputMessage="1" showErrorMessage="1" error="Debe digitar un número válido" sqref="F450:I45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formula1>0</formula1>
      <formula2>999999999999</formula2>
    </dataValidation>
    <dataValidation type="list" allowBlank="1" showInputMessage="1" showErrorMessage="1" sqref="H10">
      <formula1>#REF!</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452:I452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E342:E343 E349 E351 E355:E356 E359 E366:E368 E377:H379 I377:I381 I332:I351 I355:I374">
      <formula1>-999999999999</formula1>
      <formula2>999999999999</formula2>
    </dataValidation>
  </dataValidations>
  <pageMargins left="0.7" right="0.7" top="0.75" bottom="0.75" header="0.3" footer="0.3"/>
  <pageSetup orientation="portrait" horizontalDpi="0" verticalDpi="0" r:id="rId1"/>
  <drawing r:id="rId2"/>
</worksheet>
</file>

<file path=xl/worksheets/sheet52.xml><?xml version="1.0" encoding="utf-8"?>
<worksheet xmlns="http://schemas.openxmlformats.org/spreadsheetml/2006/main" xmlns:r="http://schemas.openxmlformats.org/officeDocument/2006/relationships">
  <sheetPr codeName="Hoja39"/>
  <dimension ref="A1:AA153"/>
  <sheetViews>
    <sheetView showGridLines="0" showRowColHeaders="0" zoomScale="50" zoomScaleNormal="50" workbookViewId="0">
      <selection activeCell="D8" sqref="D8"/>
    </sheetView>
  </sheetViews>
  <sheetFormatPr baseColWidth="10" defaultColWidth="11.453125" defaultRowHeight="20" customHeight="1" zeroHeight="1"/>
  <cols>
    <col min="1" max="1" width="47.81640625" style="169" customWidth="1"/>
    <col min="2" max="7" width="27.7265625" style="169" customWidth="1"/>
    <col min="8" max="8" width="2.1796875" style="169" customWidth="1"/>
    <col min="9" max="9" width="4.81640625" style="169" customWidth="1"/>
    <col min="10" max="10" width="71.81640625" style="169" customWidth="1"/>
    <col min="11" max="13" width="24.453125" style="169" customWidth="1"/>
    <col min="14" max="15" width="22.453125" style="169" customWidth="1"/>
    <col min="16" max="18" width="21" style="169" customWidth="1"/>
    <col min="19" max="20" width="19.7265625" style="169" customWidth="1"/>
    <col min="21" max="21" width="9.7265625" style="169" customWidth="1"/>
    <col min="22" max="22" width="12.7265625" style="169" customWidth="1"/>
    <col min="23" max="16384" width="11.453125" style="169"/>
  </cols>
  <sheetData>
    <row r="1" spans="1:20" ht="28">
      <c r="A1" s="167"/>
      <c r="B1" s="168" t="s">
        <v>863</v>
      </c>
    </row>
    <row r="2" spans="1:20" ht="30" thickBot="1">
      <c r="A2" s="170"/>
      <c r="B2" s="171">
        <f>Fortalezas!A2</f>
        <v>0</v>
      </c>
      <c r="L2" s="172" t="str">
        <f>"Resumen_"&amp;'RC'!D6</f>
        <v>Resumen_0</v>
      </c>
    </row>
    <row r="3" spans="1:20" s="176" customFormat="1" ht="45">
      <c r="A3" s="173" t="str">
        <f>'Balances y Proyecciones'!B14</f>
        <v/>
      </c>
      <c r="B3" s="173"/>
      <c r="C3" s="173"/>
      <c r="D3" s="173"/>
      <c r="E3" s="173"/>
      <c r="F3" s="173"/>
      <c r="G3" s="173"/>
      <c r="H3" s="173"/>
      <c r="I3" s="173"/>
      <c r="J3" s="173"/>
      <c r="K3" s="173"/>
      <c r="L3" s="173"/>
      <c r="M3" s="173"/>
      <c r="N3" s="173"/>
      <c r="O3" s="173"/>
      <c r="P3" s="173"/>
      <c r="Q3" s="173"/>
      <c r="R3" s="174"/>
      <c r="S3" s="174"/>
      <c r="T3" s="175"/>
    </row>
    <row r="4" spans="1:20" s="176" customFormat="1" ht="30">
      <c r="A4" s="177" t="str">
        <f ca="1">IF(MID(TEXT(NOW(),"dd-mmm-yy hh:mm"),8,2)="yy",TEXT(NOW(),"dd-mmm-aa hh:mm"),TEXT(NOW(),"dd-mmm-yy hh:mm"))</f>
        <v>04-oct-23 09:27</v>
      </c>
      <c r="B4" s="178"/>
      <c r="C4" s="178"/>
      <c r="D4" s="178"/>
      <c r="E4" s="178"/>
      <c r="F4" s="178"/>
      <c r="G4" s="178"/>
      <c r="H4" s="178"/>
      <c r="I4" s="178"/>
      <c r="J4" s="178"/>
      <c r="K4" s="178" t="s">
        <v>864</v>
      </c>
      <c r="L4" s="178" t="s">
        <v>865</v>
      </c>
      <c r="M4" s="178" t="s">
        <v>865</v>
      </c>
      <c r="N4" s="178"/>
      <c r="O4" s="178"/>
      <c r="P4" s="178"/>
      <c r="Q4" s="178"/>
      <c r="R4" s="169"/>
      <c r="S4" s="169"/>
      <c r="T4" s="179" t="str">
        <f>'Balances y Proyecciones'!C13</f>
        <v xml:space="preserve">Miles de </v>
      </c>
    </row>
    <row r="5" spans="1:20" s="176" customFormat="1" ht="30">
      <c r="A5" s="3467"/>
      <c r="B5" s="180"/>
      <c r="C5" s="3472" t="str">
        <f>'Estados Financieros'!E9</f>
        <v>Tasas:  = 0, -  = 0, -  = 0,</v>
      </c>
      <c r="D5" s="180"/>
      <c r="E5" s="180"/>
      <c r="F5" s="180"/>
      <c r="G5" s="181"/>
      <c r="I5" s="182" t="s">
        <v>801</v>
      </c>
      <c r="J5" s="183"/>
      <c r="K5" s="184">
        <f>C6</f>
        <v>2017</v>
      </c>
      <c r="L5" s="185">
        <f>IF(OR(K5=A86,K5=0),A87,IF(K5=A87,A89,""))</f>
        <v>2018</v>
      </c>
      <c r="M5" s="186">
        <f>IF(OR(K5=A86,K5=0),A89,A90)</f>
        <v>2019</v>
      </c>
      <c r="N5" s="187" t="s">
        <v>866</v>
      </c>
      <c r="O5" s="188"/>
      <c r="P5" s="187" t="s">
        <v>867</v>
      </c>
      <c r="Q5" s="189"/>
      <c r="R5" s="190"/>
      <c r="S5" s="191"/>
      <c r="T5" s="192"/>
    </row>
    <row r="6" spans="1:20" s="176" customFormat="1" ht="25">
      <c r="A6" s="4071" t="s">
        <v>868</v>
      </c>
      <c r="B6" s="4072"/>
      <c r="C6" s="193">
        <f>'Balances y Proyecciones'!E428</f>
        <v>2017</v>
      </c>
      <c r="D6" s="193">
        <f>'Balances y Proyecciones'!H428</f>
        <v>2018</v>
      </c>
      <c r="E6" s="193">
        <f>'Balances y Proyecciones'!N428</f>
        <v>2019</v>
      </c>
      <c r="F6" s="194" t="str">
        <f ca="1">IF(AND(MONTH(NOW())&lt;=6,YEAR(NOW())=('Balances y Proyecciones'!Q428)),"Proy. "&amp;TEXT('Balances y Proyecciones'!Q428,"#.#0"),'Balances y Proyecciones'!Q428)</f>
        <v>2020</v>
      </c>
      <c r="G6" s="195" t="str">
        <f>"Proy. 2.0"&amp;RIGHT('Balances y Proyecciones'!U428,2)</f>
        <v>Proy. 2.021</v>
      </c>
      <c r="I6" s="196" t="s">
        <v>869</v>
      </c>
      <c r="J6" s="197"/>
      <c r="K6" s="198" t="str">
        <f>IF(ISERROR(VLOOKUP(K$5,$A$86:$C$90,2,0))=TRUE,"",VLOOKUP(K$5,$A$86:$C$90,2,0))</f>
        <v>Diciembre</v>
      </c>
      <c r="L6" s="199" t="str">
        <f>IF(ISERROR(VLOOKUP(L$5,$A$86:$C$90,2,0))=TRUE,"",VLOOKUP(L$5,$A$86:$C$90,2,0))</f>
        <v>Diciembre</v>
      </c>
      <c r="M6" s="200" t="str">
        <f>IF(ISERROR(VLOOKUP(M$5,$A$86:$C$90,2,0))=TRUE,"",VLOOKUP(M$5,$A$86:$C$90,2,0))</f>
        <v>Diciembre</v>
      </c>
      <c r="N6" s="201" t="str">
        <f>IF(OR(K5=0,L5=0,L5=""),"",IF($K$5=$A$88,LEFT(K6,1)&amp;". "&amp;RIGHT(K5,2)&amp;" / "&amp;LEFT(L6,1)&amp;". "&amp;RIGHT(L5,2),RIGHT(K5,2)&amp;" / "&amp;RIGHT(L5,2)))</f>
        <v>17 / 18</v>
      </c>
      <c r="O6" s="202" t="str">
        <f>IF($K$5=$A$88,IF(OR(K5=0,M5=0),"",LEFT(K6,1)&amp;". "&amp;RIGHT(K5,2)&amp;" / "&amp;LEFT(M6,1)&amp;". "&amp;RIGHT(M5,2)),IF(OR(L5=0,M5=0),"",RIGHT(L5,2)&amp;" / "&amp;RIGHT(M5,2)))</f>
        <v>18 / 19</v>
      </c>
      <c r="P6" s="203" t="str">
        <f>IF(K5=0,"",LEFT(K6,3)&amp;". "&amp;RIGHT(K5,2))</f>
        <v>Dic. 17</v>
      </c>
      <c r="Q6" s="204" t="str">
        <f>IF(OR(L5=0,L5=""),"",LEFT(L6,3)&amp;". "&amp;RIGHT(L5,2))</f>
        <v>Dic. 18</v>
      </c>
      <c r="R6" s="205" t="str">
        <f>IF(M5=0,"",LEFT(M6,3)&amp;". "&amp;RIGHT(M5,2))</f>
        <v>Dic. 19</v>
      </c>
      <c r="S6" s="206"/>
      <c r="T6" s="207"/>
    </row>
    <row r="7" spans="1:20" s="176" customFormat="1" ht="25">
      <c r="A7" s="208" t="s">
        <v>870</v>
      </c>
      <c r="B7" s="209"/>
      <c r="C7" s="210">
        <f>IF($B$2="Costa Rica",'Balances y Proyecciones'!$E$579,IF($B$2="El Salvador",'Balances y Proyecciones'!$E$587,IF($B$2="Honduras",'Balances y Proyecciones'!$E$595,IF($B$2="Panamá",'Balances y Proyecciones'!$E$603,'Balances y Proyecciones'!$E$429))))</f>
        <v>3.6999999999999998E-2</v>
      </c>
      <c r="D7" s="210">
        <f>IF($B$2="Costa Rica",'Balances y Proyecciones'!$H$579,IF($B$2="El Salvador",'Balances y Proyecciones'!$H$587,IF($B$2="Honduras",'Balances y Proyecciones'!$H$595,IF($B$2="Panamá",'Balances y Proyecciones'!$H$603,'Balances y Proyecciones'!$H$429))))</f>
        <v>2.4400000000000002E-2</v>
      </c>
      <c r="E7" s="210">
        <f>IF($B$2="Costa Rica",'Balances y Proyecciones'!$N$579,IF($B$2="El Salvador",'Balances y Proyecciones'!$N$587,IF($B$2="Honduras",'Balances y Proyecciones'!$N$595,IF($B$2="Panamá",'Balances y Proyecciones'!$N$603,'Balances y Proyecciones'!$N$429))))</f>
        <v>3.6600000000000001E-2</v>
      </c>
      <c r="F7" s="210">
        <f>IF($B$2="Costa Rica",'Balances y Proyecciones'!$T$579,IF($B$2="El Salvador",'Balances y Proyecciones'!$T$587,IF($B$2="Honduras",'Balances y Proyecciones'!$T$595,IF($B$2="Panamá",'Balances y Proyecciones'!$T$603,'Balances y Proyecciones'!$T$429))))</f>
        <v>6.7699999999999996E-2</v>
      </c>
      <c r="G7" s="210">
        <f>IF($B$2="Costa Rica",'Balances y Proyecciones'!$U$579,IF($B$2="El Salvador",'Balances y Proyecciones'!$U$587,IF($B$2="Honduras",'Balances y Proyecciones'!$U$595,IF($B$2="Panamá",'Balances y Proyecciones'!$U$603,'Balances y Proyecciones'!$U$429))))</f>
        <v>3.6400000000000002E-2</v>
      </c>
      <c r="I7" s="211" t="s">
        <v>871</v>
      </c>
      <c r="J7" s="212"/>
      <c r="K7" s="213">
        <f>IF(ISERROR(VLOOKUP(K$5,$A$86:$C$90,3,0))=TRUE,"",VLOOKUP(K$5,$A$86:$C$90,3,0))</f>
        <v>360</v>
      </c>
      <c r="L7" s="214">
        <f>IF(ISERROR(VLOOKUP(L$5,$A$86:$C$90,3,0))=TRUE,"",VLOOKUP(L$5,$A$86:$C$90,3,0))</f>
        <v>360</v>
      </c>
      <c r="M7" s="215">
        <f>IF(ISERROR(VLOOKUP(M$5,$A$86:$C$90,3,0))=TRUE,"",VLOOKUP(M$5,$A$86:$C$90,3,0))</f>
        <v>360</v>
      </c>
      <c r="N7" s="216"/>
      <c r="O7" s="217"/>
      <c r="P7" s="216"/>
      <c r="Q7" s="218"/>
      <c r="R7" s="217"/>
      <c r="S7" s="219"/>
      <c r="T7" s="207"/>
    </row>
    <row r="8" spans="1:20" s="176" customFormat="1" ht="25">
      <c r="A8" s="208" t="s">
        <v>872</v>
      </c>
      <c r="B8" s="209"/>
      <c r="C8" s="210">
        <f>IF($B$2="Costa Rica",'Balances y Proyecciones'!$E$580,IF($B$2="El Salvador",'Balances y Proyecciones'!$E$588,IF($B$2="Honduras",'Balances y Proyecciones'!$E$596,IF($B$2="Panamá",'Balances y Proyecciones'!$E$604,'Balances y Proyecciones'!$E$430))))</f>
        <v>-0.13397724183117241</v>
      </c>
      <c r="D8" s="210">
        <f>IF($B$2="Costa Rica",'Balances y Proyecciones'!$H$580,IF($B$2="El Salvador",'Balances y Proyecciones'!$H$588,IF($B$2="Honduras",'Balances y Proyecciones'!$H$596,IF($B$2="Panamá",'Balances y Proyecciones'!$H$604,'Balances y Proyecciones'!$H$430))))</f>
        <v>-9.0066906845084921E-2</v>
      </c>
      <c r="E8" s="210">
        <f>IF($B$2="Costa Rica",'Balances y Proyecciones'!$N$580,IF($B$2="El Salvador",'Balances y Proyecciones'!$N$588,IF($B$2="Honduras",'Balances y Proyecciones'!$N$596,IF($B$2="Panamá",'Balances y Proyecciones'!$N$604,'Balances y Proyecciones'!$N$430))))</f>
        <v>0.32480404320537187</v>
      </c>
      <c r="F8" s="210">
        <f>IF($B$2="Costa Rica",'Balances y Proyecciones'!$T$580,IF($B$2="El Salvador",'Balances y Proyecciones'!$T$588,IF($B$2="Honduras",'Balances y Proyecciones'!$T$596,IF($B$2="Panamá",'Balances y Proyecciones'!$T$604,'Balances y Proyecciones'!$T$430))))</f>
        <v>0.38507704050111063</v>
      </c>
      <c r="G8" s="210">
        <f>IF($B$2="Costa Rica",'Balances y Proyecciones'!$U$580,IF($B$2="El Salvador",'Balances y Proyecciones'!$U$588,IF($B$2="Honduras",'Balances y Proyecciones'!$U$596,IF($B$2="Panamá",'Balances y Proyecciones'!$U$604,'Balances y Proyecciones'!$U$430))))</f>
        <v>-0.13692170398303674</v>
      </c>
      <c r="I8" s="220"/>
      <c r="J8" s="221" t="s">
        <v>873</v>
      </c>
      <c r="K8" s="222">
        <f>IF(OR(K$5=0,AND(K$5&lt;&gt;$A$86,K$5&lt;&gt;$A$87,K$5&lt;&gt;$A$88)),0,IF(K$5=$A$86,'Balances y Proyecciones'!E71,IF(K$5=$A$87,'Balances y Proyecciones'!H71,'Balances y Proyecciones'!K71)))</f>
        <v>0</v>
      </c>
      <c r="L8" s="223">
        <f>IF(OR(L$5=0,AND(L$5&lt;&gt;$A$87,L$5&lt;&gt;$A$89)),0,IF(L$5=$A$87,'Balances y Proyecciones'!H71,'Balances y Proyecciones'!N71))</f>
        <v>0</v>
      </c>
      <c r="M8" s="224">
        <f>IF(OR(M$5=0,AND(M$5&lt;&gt;$A$89,M$5&lt;&gt;$A$90)),0,IF(M$5=$A$89,'Balances y Proyecciones'!N71,'Balances y Proyecciones'!Q71))</f>
        <v>0</v>
      </c>
      <c r="N8" s="225" t="str">
        <f t="shared" ref="N8:N24" si="0">IF(OR(K8=0,K$7=0,L$7=0,L$7=""),"",(L8*360/L$7)/(K8*360/K$7)-1)</f>
        <v/>
      </c>
      <c r="O8" s="226" t="str">
        <f t="shared" ref="O8:O24" si="1">IF($K$5=$A$88,IF(OR(K8=0,K$7=0,M$7=0),"",(M8*360/M$7)/(K8*360/K$7)-1),IF(OR(L8=0,L$7=0,M$7=0),"",(M8*360/M$7)/(L8*360/L$7)-1))</f>
        <v/>
      </c>
      <c r="P8" s="227" t="str">
        <f t="shared" ref="P8:P24" si="2">IF(K$8=0,"",K8/K$8)</f>
        <v/>
      </c>
      <c r="Q8" s="228" t="str">
        <f t="shared" ref="Q8:Q24" si="3">IF(L$8=0,"",L8/L$8)</f>
        <v/>
      </c>
      <c r="R8" s="226" t="str">
        <f t="shared" ref="R8:R24" si="4">IF(M$8=0,"",M8/M$8)</f>
        <v/>
      </c>
      <c r="S8" s="219"/>
      <c r="T8" s="207"/>
    </row>
    <row r="9" spans="1:20" s="176" customFormat="1" ht="25">
      <c r="A9" s="208" t="s">
        <v>874</v>
      </c>
      <c r="B9" s="209"/>
      <c r="C9" s="210">
        <f>IF($B$2="Costa Rica",'Balances y Proyecciones'!$E$581,IF($B$2="El Salvador",'Balances y Proyecciones'!$E$589,IF($B$2="Honduras",'Balances y Proyecciones'!$E$597,IF($B$2="Panamá",'Balances y Proyecciones'!$E$605,'Balances y Proyecciones'!$E$431))))</f>
        <v>4.0399999999999998E-2</v>
      </c>
      <c r="D9" s="210">
        <f>IF($B$2="Costa Rica",'Balances y Proyecciones'!$H$581,IF($B$2="El Salvador",'Balances y Proyecciones'!$H$589,IF($B$2="Honduras",'Balances y Proyecciones'!$H$597,IF($B$2="Panamá",'Balances y Proyecciones'!$H$605,'Balances y Proyecciones'!$H$431))))</f>
        <v>4.9299999999999997E-2</v>
      </c>
      <c r="E9" s="210">
        <f>IF($B$2="Costa Rica",'Balances y Proyecciones'!$N$581,IF($B$2="El Salvador",'Balances y Proyecciones'!$N$589,IF($B$2="Honduras",'Balances y Proyecciones'!$N$597,IF($B$2="Panamá",'Balances y Proyecciones'!$N$605,'Balances y Proyecciones'!$N$431))))</f>
        <v>4.5499999999999999E-2</v>
      </c>
      <c r="F9" s="210">
        <f>IF($B$2="Costa Rica",'Balances y Proyecciones'!$T$581,IF($B$2="El Salvador",'Balances y Proyecciones'!$T$589,IF($B$2="Honduras",'Balances y Proyecciones'!$T$597,IF($B$2="Panamá",'Balances y Proyecciones'!$T$605,'Balances y Proyecciones'!$T$431))))</f>
        <v>2.7900000000000001E-2</v>
      </c>
      <c r="G9" s="210">
        <f>IF($B$2="Costa Rica",'Balances y Proyecciones'!$U$581,IF($B$2="El Salvador",'Balances y Proyecciones'!$U$589,IF($B$2="Honduras",'Balances y Proyecciones'!$U$597,IF($B$2="Panamá",'Balances y Proyecciones'!$U$605,'Balances y Proyecciones'!$U$431))))</f>
        <v>2.8500000000000001E-2</v>
      </c>
      <c r="I9" s="229"/>
      <c r="J9" s="221" t="s">
        <v>875</v>
      </c>
      <c r="K9" s="230">
        <f>IF(OR(K$5=0,AND(K$5&lt;&gt;$A$86,K$5&lt;&gt;$A$87,K$5&lt;&gt;$A$88)),0,IF(K$5=$A$86,'Balances y Proyecciones'!E72,IF(K$5=$A$87,'Balances y Proyecciones'!H72,'Balances y Proyecciones'!K72)))</f>
        <v>0</v>
      </c>
      <c r="L9" s="231">
        <f>IF(OR(L$5=0,AND(L$5&lt;&gt;$A$87,L$5&lt;&gt;$A$89)),0,IF(L$5=$A$87,'Balances y Proyecciones'!H72,'Balances y Proyecciones'!N72))</f>
        <v>0</v>
      </c>
      <c r="M9" s="231">
        <f>IF(OR(M$5=0,AND(M$5&lt;&gt;$A$89,M$5&lt;&gt;$A$90)),0,IF(M$5=$A$89,'Balances y Proyecciones'!N72,'Balances y Proyecciones'!Q72))</f>
        <v>0</v>
      </c>
      <c r="N9" s="225" t="str">
        <f t="shared" si="0"/>
        <v/>
      </c>
      <c r="O9" s="226" t="str">
        <f t="shared" si="1"/>
        <v/>
      </c>
      <c r="P9" s="227" t="str">
        <f t="shared" si="2"/>
        <v/>
      </c>
      <c r="Q9" s="228" t="str">
        <f t="shared" si="3"/>
        <v/>
      </c>
      <c r="R9" s="226" t="str">
        <f t="shared" si="4"/>
        <v/>
      </c>
      <c r="S9" s="219"/>
      <c r="T9" s="207"/>
    </row>
    <row r="10" spans="1:20" s="176" customFormat="1" ht="25">
      <c r="A10" s="232">
        <f>IF($B$2="Colombia","TRM (COP POR 1 USD)",IF($B$2="El Salvador","USD  Dólar",IF($B$2="Honduras","LEMPIRAS POR 1 USD",IF($B$2="Panamá","USD  Dólar",IF($B$2="Costa Rica","COLONES POR 1 USD",0)))))</f>
        <v>0</v>
      </c>
      <c r="B10" s="233"/>
      <c r="C10" s="234">
        <f>IF($B$2="Costa Rica",'Balances y Proyecciones'!$E$582,IF($B$2="El Salvador",'Balances y Proyecciones'!$E$590,IF($B$2="Honduras",'Balances y Proyecciones'!$E$598,IF($B$2="Panamá",'Balances y Proyecciones'!$E$606,'Balances y Proyecciones'!$E$432))))</f>
        <v>1943</v>
      </c>
      <c r="D10" s="234">
        <f>IF($B$2="Costa Rica",'Balances y Proyecciones'!$H$582,IF($B$2="El Salvador",'Balances y Proyecciones'!$H$590,IF($B$2="Honduras",'Balances y Proyecciones'!$H$598,IF($B$2="Panamá",'Balances y Proyecciones'!$H$606,'Balances y Proyecciones'!$H$432))))</f>
        <v>1768</v>
      </c>
      <c r="E10" s="234">
        <f>IF($B$2="Costa Rica",'Balances y Proyecciones'!$N$582,IF($B$2="El Salvador",'Balances y Proyecciones'!$N$590,IF($B$2="Honduras",'Balances y Proyecciones'!$N$598,IF($B$2="Panamá",'Balances y Proyecciones'!$N$606,'Balances y Proyecciones'!$N$432))))</f>
        <v>2342.2535483870975</v>
      </c>
      <c r="F10" s="234">
        <f>IF($B$2="Costa Rica",'Balances y Proyecciones'!$T$582,IF($B$2="El Salvador",'Balances y Proyecciones'!$T$590,IF($B$2="Honduras",'Balances y Proyecciones'!$T$598,IF($B$2="Panamá",'Balances y Proyecciones'!$T$606,'Balances y Proyecciones'!$T$432))))</f>
        <v>3244.2016129032259</v>
      </c>
      <c r="G10" s="234">
        <f>IF($B$2="Costa Rica",'Balances y Proyecciones'!$U$582,IF($B$2="El Salvador",'Balances y Proyecciones'!$U$590,IF($B$2="Honduras",'Balances y Proyecciones'!$U$598,IF($B$2="Panamá",'Balances y Proyecciones'!$U$606,'Balances y Proyecciones'!$U$432))))</f>
        <v>2800</v>
      </c>
      <c r="I10" s="235" t="s">
        <v>807</v>
      </c>
      <c r="J10" s="236"/>
      <c r="K10" s="237">
        <f>SUM(K8,-K9)</f>
        <v>0</v>
      </c>
      <c r="L10" s="238">
        <f>SUM(L8,-L9)</f>
        <v>0</v>
      </c>
      <c r="M10" s="238">
        <f>SUM(M8,-M9)</f>
        <v>0</v>
      </c>
      <c r="N10" s="239" t="str">
        <f t="shared" si="0"/>
        <v/>
      </c>
      <c r="O10" s="240" t="str">
        <f t="shared" si="1"/>
        <v/>
      </c>
      <c r="P10" s="239" t="str">
        <f t="shared" si="2"/>
        <v/>
      </c>
      <c r="Q10" s="241" t="str">
        <f t="shared" si="3"/>
        <v/>
      </c>
      <c r="R10" s="240" t="str">
        <f t="shared" si="4"/>
        <v/>
      </c>
      <c r="S10" s="219"/>
      <c r="T10" s="207"/>
    </row>
    <row r="11" spans="1:20" s="176" customFormat="1" ht="25">
      <c r="A11" s="242" t="s">
        <v>876</v>
      </c>
      <c r="B11" s="243"/>
      <c r="C11" s="244">
        <f t="shared" ref="C11:E12" si="5">K5</f>
        <v>2017</v>
      </c>
      <c r="D11" s="244">
        <f t="shared" si="5"/>
        <v>2018</v>
      </c>
      <c r="E11" s="244">
        <f t="shared" si="5"/>
        <v>2019</v>
      </c>
      <c r="F11" s="245"/>
      <c r="G11" s="246"/>
      <c r="I11" s="229"/>
      <c r="J11" s="247" t="s">
        <v>877</v>
      </c>
      <c r="K11" s="230">
        <f>IF(OR(K$5=0,AND(K$5&lt;&gt;$A$86,K$5&lt;&gt;$A$87,K$5&lt;&gt;$A$88)),0,IF(K$5=$A$86,'Balances y Proyecciones'!E74,IF(K$5=$A$87,'Balances y Proyecciones'!H74,'Balances y Proyecciones'!K74)))</f>
        <v>0</v>
      </c>
      <c r="L11" s="231">
        <f>IF(OR(L$5=0,AND(L$5&lt;&gt;$A$87,L$5&lt;&gt;$A$89)),0,IF(L$5=$A$87,'Balances y Proyecciones'!H74,'Balances y Proyecciones'!N74))</f>
        <v>0</v>
      </c>
      <c r="M11" s="231">
        <f>IF(OR(M$5=0,AND(M$5&lt;&gt;$A$89,M$5&lt;&gt;$A$90)),0,IF(M$5=$A$89,'Balances y Proyecciones'!N74,'Balances y Proyecciones'!Q74))</f>
        <v>0</v>
      </c>
      <c r="N11" s="225" t="str">
        <f t="shared" si="0"/>
        <v/>
      </c>
      <c r="O11" s="226" t="str">
        <f t="shared" si="1"/>
        <v/>
      </c>
      <c r="P11" s="225" t="str">
        <f t="shared" si="2"/>
        <v/>
      </c>
      <c r="Q11" s="228" t="str">
        <f t="shared" si="3"/>
        <v/>
      </c>
      <c r="R11" s="226" t="str">
        <f t="shared" si="4"/>
        <v/>
      </c>
      <c r="S11" s="219"/>
      <c r="T11" s="207"/>
    </row>
    <row r="12" spans="1:20" s="176" customFormat="1" ht="25">
      <c r="A12" s="248" t="s">
        <v>531</v>
      </c>
      <c r="B12" s="249"/>
      <c r="C12" s="244" t="str">
        <f t="shared" si="5"/>
        <v>Diciembre</v>
      </c>
      <c r="D12" s="244" t="str">
        <f t="shared" si="5"/>
        <v>Diciembre</v>
      </c>
      <c r="E12" s="244" t="str">
        <f t="shared" si="5"/>
        <v>Diciembre</v>
      </c>
      <c r="F12" s="250"/>
      <c r="G12" s="251"/>
      <c r="I12" s="235" t="s">
        <v>826</v>
      </c>
      <c r="J12" s="252"/>
      <c r="K12" s="237">
        <f>K10-K11</f>
        <v>0</v>
      </c>
      <c r="L12" s="238">
        <f>L10-L11</f>
        <v>0</v>
      </c>
      <c r="M12" s="238">
        <f>M10-M11</f>
        <v>0</v>
      </c>
      <c r="N12" s="239" t="str">
        <f t="shared" si="0"/>
        <v/>
      </c>
      <c r="O12" s="240" t="str">
        <f t="shared" si="1"/>
        <v/>
      </c>
      <c r="P12" s="239" t="str">
        <f t="shared" si="2"/>
        <v/>
      </c>
      <c r="Q12" s="241" t="str">
        <f t="shared" si="3"/>
        <v/>
      </c>
      <c r="R12" s="240" t="str">
        <f t="shared" si="4"/>
        <v/>
      </c>
      <c r="S12" s="219"/>
      <c r="T12" s="207"/>
    </row>
    <row r="13" spans="1:20" s="176" customFormat="1" ht="25">
      <c r="A13" s="253" t="s">
        <v>878</v>
      </c>
      <c r="B13" s="250"/>
      <c r="C13" s="254" t="str">
        <f>P10</f>
        <v/>
      </c>
      <c r="D13" s="254" t="str">
        <f>Q10</f>
        <v/>
      </c>
      <c r="E13" s="254" t="str">
        <f>R10</f>
        <v/>
      </c>
      <c r="F13" s="255"/>
      <c r="G13" s="256"/>
      <c r="I13" s="229"/>
      <c r="J13" s="247" t="s">
        <v>879</v>
      </c>
      <c r="K13" s="230">
        <f>IF(OR(K$5=0,AND(K$5&lt;&gt;$A$86,K$5&lt;&gt;$A$87,K$5&lt;&gt;$A$88)),0,IF(K$5=$A$86,'Balances y Proyecciones'!E90+'Balances y Proyecciones'!E91+'Balances y Proyecciones'!E92,IF(K$5=$A$87,'Balances y Proyecciones'!H90+'Balances y Proyecciones'!H91+'Balances y Proyecciones'!H92,'Balances y Proyecciones'!K90+'Balances y Proyecciones'!K91+'Balances y Proyecciones'!K92)))</f>
        <v>0</v>
      </c>
      <c r="L13" s="231">
        <f>IF(OR(L$5=0,AND(L$5&lt;&gt;$A$87,L$5&lt;&gt;$A$89)),0,IF(L$5=$A$87,'Balances y Proyecciones'!H90+'Balances y Proyecciones'!H91+'Balances y Proyecciones'!H92,'Balances y Proyecciones'!N90+'Balances y Proyecciones'!N91+'Balances y Proyecciones'!N92))</f>
        <v>0</v>
      </c>
      <c r="M13" s="231">
        <f>IF(OR(M$5=0,AND(M$5&lt;&gt;$A$89,M$5&lt;&gt;$A$90)),0,IF(M$5=$A$89,'Balances y Proyecciones'!N90+'Balances y Proyecciones'!N91+'Balances y Proyecciones'!N92,'Balances y Proyecciones'!Q90+'Balances y Proyecciones'!Q91+'Balances y Proyecciones'!Q92))</f>
        <v>0</v>
      </c>
      <c r="N13" s="225" t="str">
        <f t="shared" si="0"/>
        <v/>
      </c>
      <c r="O13" s="226" t="str">
        <f t="shared" si="1"/>
        <v/>
      </c>
      <c r="P13" s="225" t="str">
        <f t="shared" si="2"/>
        <v/>
      </c>
      <c r="Q13" s="228" t="str">
        <f t="shared" si="3"/>
        <v/>
      </c>
      <c r="R13" s="226" t="str">
        <f t="shared" si="4"/>
        <v/>
      </c>
      <c r="S13" s="219"/>
      <c r="T13" s="207"/>
    </row>
    <row r="14" spans="1:20" s="176" customFormat="1" ht="25">
      <c r="A14" s="253" t="s">
        <v>880</v>
      </c>
      <c r="B14" s="250"/>
      <c r="C14" s="254" t="str">
        <f>P12</f>
        <v/>
      </c>
      <c r="D14" s="254" t="str">
        <f>Q12</f>
        <v/>
      </c>
      <c r="E14" s="254" t="str">
        <f>R12</f>
        <v/>
      </c>
      <c r="F14" s="257"/>
      <c r="G14" s="256"/>
      <c r="I14" s="235" t="s">
        <v>881</v>
      </c>
      <c r="J14" s="252"/>
      <c r="K14" s="237">
        <f>K12+K13</f>
        <v>0</v>
      </c>
      <c r="L14" s="238">
        <f>L12+L13</f>
        <v>0</v>
      </c>
      <c r="M14" s="238">
        <f>M12+M13</f>
        <v>0</v>
      </c>
      <c r="N14" s="239" t="str">
        <f t="shared" si="0"/>
        <v/>
      </c>
      <c r="O14" s="240" t="str">
        <f t="shared" si="1"/>
        <v/>
      </c>
      <c r="P14" s="239" t="str">
        <f t="shared" si="2"/>
        <v/>
      </c>
      <c r="Q14" s="241" t="str">
        <f t="shared" si="3"/>
        <v/>
      </c>
      <c r="R14" s="240" t="str">
        <f t="shared" si="4"/>
        <v/>
      </c>
      <c r="S14" s="219"/>
      <c r="T14" s="207"/>
    </row>
    <row r="15" spans="1:20" s="176" customFormat="1" ht="25">
      <c r="A15" s="253" t="s">
        <v>882</v>
      </c>
      <c r="B15" s="250"/>
      <c r="C15" s="254" t="str">
        <f>IF(OR(K$5=0,AND(K$5&lt;&gt;$A$86,K$5&lt;&gt;$A$87,K$5&lt;&gt;$A$88)),0,IF(C34="ND","ND",IF(K$5=$A$86,'Balances y Proyecciones'!AP747,IF(K$5=$A$87,'Balances y Proyecciones'!AS747,'Balances y Proyecciones'!AV747))))</f>
        <v>ND</v>
      </c>
      <c r="D15" s="254" t="str">
        <f>IF(OR(L$5=0,AND(L$5&lt;&gt;$A$87,L$5&lt;&gt;$A$89)),0,IF(D34="ND","ND",IF(L$5=$A$87,'Balances y Proyecciones'!AS747,'Balances y Proyecciones'!AY747)))</f>
        <v>ND</v>
      </c>
      <c r="E15" s="254" t="str">
        <f>IF(OR(M$5=0,AND(M$5&lt;&gt;$A$89,M$5&lt;&gt;$A$90)),0,IF(E34="ND","ND",IF(M$5=$A$89,'Balances y Proyecciones'!AY747,'Balances y Proyecciones'!BB747)))</f>
        <v>ND</v>
      </c>
      <c r="F15" s="255"/>
      <c r="G15" s="256"/>
      <c r="I15" s="229"/>
      <c r="J15" s="221" t="s">
        <v>827</v>
      </c>
      <c r="K15" s="230"/>
      <c r="L15" s="231"/>
      <c r="M15" s="231"/>
      <c r="N15" s="225" t="str">
        <f t="shared" si="0"/>
        <v/>
      </c>
      <c r="O15" s="226" t="str">
        <f t="shared" si="1"/>
        <v/>
      </c>
      <c r="P15" s="225" t="str">
        <f t="shared" si="2"/>
        <v/>
      </c>
      <c r="Q15" s="228" t="str">
        <f t="shared" si="3"/>
        <v/>
      </c>
      <c r="R15" s="226" t="str">
        <f t="shared" si="4"/>
        <v/>
      </c>
      <c r="S15" s="219"/>
      <c r="T15" s="207"/>
    </row>
    <row r="16" spans="1:20" s="176" customFormat="1" ht="25">
      <c r="A16" s="253" t="s">
        <v>883</v>
      </c>
      <c r="B16" s="250"/>
      <c r="C16" s="254" t="str">
        <f>P24</f>
        <v/>
      </c>
      <c r="D16" s="254" t="str">
        <f>Q24</f>
        <v/>
      </c>
      <c r="E16" s="254" t="str">
        <f>R24</f>
        <v/>
      </c>
      <c r="F16" s="255"/>
      <c r="G16" s="256"/>
      <c r="I16" s="229"/>
      <c r="J16" s="258" t="s">
        <v>884</v>
      </c>
      <c r="K16" s="230">
        <f>IF(OR(K$5=0,AND(K$5&lt;&gt;$A$86,K$5&lt;&gt;$A$87,K$5&lt;&gt;$A$88)),0,IF(K$5=$A$86,'Balances y Proyecciones'!E81,IF(K$5=$A$87,'Balances y Proyecciones'!H81,'Balances y Proyecciones'!K81)))</f>
        <v>0</v>
      </c>
      <c r="L16" s="231">
        <f>IF(OR(L$5=0,AND(L$5&lt;&gt;$A$87,L$5&lt;&gt;$A$89)),0,IF(L$5=$A$87,'Balances y Proyecciones'!H81,'Balances y Proyecciones'!N81))</f>
        <v>0</v>
      </c>
      <c r="M16" s="231">
        <f>IF(OR(M$5=0,AND(M$5&lt;&gt;$A$89,M$5&lt;&gt;$A$90)),0,IF(M$5=$A$89,'Balances y Proyecciones'!N81,'Balances y Proyecciones'!Q81))</f>
        <v>0</v>
      </c>
      <c r="N16" s="225" t="str">
        <f t="shared" si="0"/>
        <v/>
      </c>
      <c r="O16" s="226" t="str">
        <f t="shared" si="1"/>
        <v/>
      </c>
      <c r="P16" s="225" t="str">
        <f t="shared" si="2"/>
        <v/>
      </c>
      <c r="Q16" s="228" t="str">
        <f t="shared" si="3"/>
        <v/>
      </c>
      <c r="R16" s="226" t="str">
        <f t="shared" si="4"/>
        <v/>
      </c>
      <c r="S16" s="219"/>
      <c r="T16" s="207"/>
    </row>
    <row r="17" spans="1:27" s="176" customFormat="1" ht="29.25" customHeight="1">
      <c r="A17" s="253" t="s">
        <v>885</v>
      </c>
      <c r="B17" s="250"/>
      <c r="C17" s="254" t="str">
        <f>IF(OR(K$5=0,AND(K$5&lt;&gt;$A$86,K$5&lt;&gt;$A$87,K$5&lt;&gt;$A$88)),0,IF(K$5=$A$86,IF('Balances y Proyecciones'!E67=0,"",'Balances y Proyecciones'!E89/'Balances y Proyecciones'!E67),IF(K$5=$A$87,IF('Balances y Proyecciones'!H67=0,"",'Balances y Proyecciones'!H89/'Balances y Proyecciones'!H67),IF('Balances y Proyecciones'!K67=0,"",('Balances y Proyecciones'!K89*360/'Balances y Proyecciones'!K17)/'Balances y Proyecciones'!K67))))</f>
        <v/>
      </c>
      <c r="D17" s="254" t="str">
        <f>IF(OR(L$5=0,AND(L$5&lt;&gt;$A$87,L$5&lt;&gt;$A$89)),0,IF(L$5=$A$87,IF('Balances y Proyecciones'!H67=0,"",'Balances y Proyecciones'!H89*360/'Balances y Proyecciones'!H17/'Balances y Proyecciones'!H67),IF('Balances y Proyecciones'!N67=0,"",'Balances y Proyecciones'!N89*360/'Balances y Proyecciones'!N17/'Balances y Proyecciones'!N67)))</f>
        <v/>
      </c>
      <c r="E17" s="254" t="str">
        <f>IF(OR(M$5=0,AND(M$5&lt;&gt;$A$89,M$5&lt;&gt;$A$90)),0,IF(M$5=$A$89,IF('Balances y Proyecciones'!N67=0,"",'Balances y Proyecciones'!N89/'Balances y Proyecciones'!N67),IF('Balances y Proyecciones'!Q67=0,"",('Balances y Proyecciones'!Q89*360/'Balances y Proyecciones'!Q17)/'Balances y Proyecciones'!Q67)))</f>
        <v/>
      </c>
      <c r="F17" s="255"/>
      <c r="G17" s="256"/>
      <c r="I17" s="229"/>
      <c r="J17" s="258" t="s">
        <v>886</v>
      </c>
      <c r="K17" s="230">
        <f>IF(OR(K$5=0,AND(K$5&lt;&gt;$A$86,K$5&lt;&gt;$A$87,K$5&lt;&gt;$A$88)),0,IF(K$5=$A$86,SUM('Balances y Proyecciones'!E79,IF('Balances y Proyecciones'!E82&gt;=0,'Balances y Proyecciones'!E82,0),IF('Balances y Proyecciones'!E83&gt;=0,'Balances y Proyecciones'!E83,0),IF('Balances y Proyecciones'!E84&gt;=0,'Balances y Proyecciones'!E84,0),'Balances y Proyecciones'!E85),IF(K$5=$A$87,SUM('Balances y Proyecciones'!H79,IF('Balances y Proyecciones'!H82&gt;=0,'Balances y Proyecciones'!H82,0),IF('Balances y Proyecciones'!H83&gt;=0,'Balances y Proyecciones'!H83,0),IF('Balances y Proyecciones'!H84&gt;=0,'Balances y Proyecciones'!H84,0),'Balances y Proyecciones'!H85),SUM('Balances y Proyecciones'!K79,IF('Balances y Proyecciones'!K82&gt;=0,'Balances y Proyecciones'!K82,0),IF('Balances y Proyecciones'!K83&gt;=0,'Balances y Proyecciones'!K83,0),IF('Balances y Proyecciones'!K84&gt;=0,'Balances y Proyecciones'!K84,0),'Balances y Proyecciones'!K85))))</f>
        <v>0</v>
      </c>
      <c r="L17" s="231">
        <f>IF(OR(L$5=0,AND(L$5&lt;&gt;$A$87,L$5&lt;&gt;$A$89)),0,IF(L$5=$A$87,SUM('Balances y Proyecciones'!H79,IF('Balances y Proyecciones'!H82&gt;=0,'Balances y Proyecciones'!H82,0),IF('Balances y Proyecciones'!H83&gt;=0,'Balances y Proyecciones'!H83,0),IF('Balances y Proyecciones'!H84&gt;=0,'Balances y Proyecciones'!H84,0),'Balances y Proyecciones'!H85),SUM('Balances y Proyecciones'!N79,IF('Balances y Proyecciones'!N82&gt;=0,'Balances y Proyecciones'!N82,0),IF('Balances y Proyecciones'!N83&gt;=0,'Balances y Proyecciones'!N83,0),IF('Balances y Proyecciones'!N84&gt;=0,'Balances y Proyecciones'!N84,0),'Balances y Proyecciones'!N85)))</f>
        <v>0</v>
      </c>
      <c r="M17" s="231">
        <f>IF(OR(M$5=0,AND(M$5&lt;&gt;$A$89,M$5&lt;&gt;$A$90)),0,IF(M$5=$A$89,SUM('Balances y Proyecciones'!N79,IF('Balances y Proyecciones'!N82&gt;=0,'Balances y Proyecciones'!N82,0),IF('Balances y Proyecciones'!N83&gt;=0,'Balances y Proyecciones'!N83,0),IF('Balances y Proyecciones'!N84&gt;=0,'Balances y Proyecciones'!N84,0),'Balances y Proyecciones'!N85),SUM('Balances y Proyecciones'!Q79,IF('Balances y Proyecciones'!Q82&gt;=0,'Balances y Proyecciones'!Q82,0),IF('Balances y Proyecciones'!Q83&gt;=0,'Balances y Proyecciones'!Q83,0),IF('Balances y Proyecciones'!Q84&gt;=0,'Balances y Proyecciones'!Q84,0),'Balances y Proyecciones'!Q85)))</f>
        <v>0</v>
      </c>
      <c r="N17" s="225" t="str">
        <f t="shared" si="0"/>
        <v/>
      </c>
      <c r="O17" s="226" t="str">
        <f t="shared" si="1"/>
        <v/>
      </c>
      <c r="P17" s="225" t="str">
        <f t="shared" si="2"/>
        <v/>
      </c>
      <c r="Q17" s="228" t="str">
        <f t="shared" si="3"/>
        <v/>
      </c>
      <c r="R17" s="226" t="str">
        <f t="shared" si="4"/>
        <v/>
      </c>
      <c r="S17" s="219"/>
      <c r="T17" s="207"/>
    </row>
    <row r="18" spans="1:27" s="176" customFormat="1" ht="29.25" customHeight="1">
      <c r="A18" s="253" t="s">
        <v>887</v>
      </c>
      <c r="B18" s="250"/>
      <c r="C18" s="254" t="str">
        <f>IF(OR(K$5=0,AND(K$5&lt;&gt;$A$86,K$5&lt;&gt;$A$87,K$5&lt;&gt;$A$88)),0,IF(K$5=$A$86,IF('Balances y Proyecciones'!E34=0,"",'Balances y Proyecciones'!E89/'Balances y Proyecciones'!E34),IF(K$5=$A$87,IF('Balances y Proyecciones'!H34=0,"",'Balances y Proyecciones'!H89/'Balances y Proyecciones'!H34),IF('Balances y Proyecciones'!K34=0,"",('Balances y Proyecciones'!K89*360/'Balances y Proyecciones'!K17)/'Balances y Proyecciones'!K34))))</f>
        <v/>
      </c>
      <c r="D18" s="254" t="str">
        <f>IF(OR(L$5=0,AND(L$5&lt;&gt;$A$87,L$5&lt;&gt;$A$89)),0,IF(L$5=$A$87,IF('Balances y Proyecciones'!H34=0,"",'Balances y Proyecciones'!H89*360/'Balances y Proyecciones'!H17/'Balances y Proyecciones'!H34),IF('Balances y Proyecciones'!N34=0,"",'Balances y Proyecciones'!N89*360/'Balances y Proyecciones'!N17/'Balances y Proyecciones'!N34)))</f>
        <v/>
      </c>
      <c r="E18" s="254" t="str">
        <f>IF(OR(M$5=0,AND(M$5&lt;&gt;$A$89,M$5&lt;&gt;$A$90)),0,IF(M$5=$A$89,IF('Balances y Proyecciones'!N34=0,"",('Balances y Proyecciones'!N89*360/'Balances y Proyecciones'!N17)/'Balances y Proyecciones'!N34),IF('Balances y Proyecciones'!Q34=0,"",('Balances y Proyecciones'!Q89*360/'Balances y Proyecciones'!Q17)/'Balances y Proyecciones'!Q34)))</f>
        <v/>
      </c>
      <c r="F18" s="255"/>
      <c r="G18" s="256"/>
      <c r="I18" s="229"/>
      <c r="J18" s="221" t="s">
        <v>837</v>
      </c>
      <c r="K18" s="230"/>
      <c r="L18" s="231"/>
      <c r="M18" s="231"/>
      <c r="N18" s="225" t="str">
        <f t="shared" si="0"/>
        <v/>
      </c>
      <c r="O18" s="226" t="str">
        <f t="shared" si="1"/>
        <v/>
      </c>
      <c r="P18" s="225" t="str">
        <f t="shared" si="2"/>
        <v/>
      </c>
      <c r="Q18" s="228" t="str">
        <f t="shared" si="3"/>
        <v/>
      </c>
      <c r="R18" s="226" t="str">
        <f t="shared" si="4"/>
        <v/>
      </c>
      <c r="S18" s="219"/>
      <c r="T18" s="207"/>
    </row>
    <row r="19" spans="1:27" s="176" customFormat="1" ht="29.25" customHeight="1">
      <c r="A19" s="248" t="s">
        <v>530</v>
      </c>
      <c r="B19" s="249"/>
      <c r="C19" s="259"/>
      <c r="D19" s="259"/>
      <c r="E19" s="259"/>
      <c r="F19" s="260"/>
      <c r="G19" s="261"/>
      <c r="I19" s="229"/>
      <c r="J19" s="258" t="s">
        <v>884</v>
      </c>
      <c r="K19" s="230">
        <f>IF(OR(K$5=0,AND(K$5&lt;&gt;$A$86,K$5&lt;&gt;$A$87,K$5&lt;&gt;$A$88)),0,IF(K$5=$A$86,'Balances y Proyecciones'!E76,IF(K$5=$A$87,'Balances y Proyecciones'!H76,'Balances y Proyecciones'!K76)))</f>
        <v>0</v>
      </c>
      <c r="L19" s="231">
        <f>IF(OR(L$5=0,AND(L$5&lt;&gt;$A$87,L$5&lt;&gt;$A$89)),0,IF(L$5=$A$87,'Balances y Proyecciones'!H76,'Balances y Proyecciones'!N76))</f>
        <v>0</v>
      </c>
      <c r="M19" s="231">
        <f>IF(OR(M$5=0,AND(M$5&lt;&gt;$A$89,M$5&lt;&gt;$A$90)),0,IF(M$5=$A$89,'Balances y Proyecciones'!N76,'Balances y Proyecciones'!Q76))</f>
        <v>0</v>
      </c>
      <c r="N19" s="225" t="str">
        <f t="shared" si="0"/>
        <v/>
      </c>
      <c r="O19" s="226" t="str">
        <f t="shared" si="1"/>
        <v/>
      </c>
      <c r="P19" s="225" t="str">
        <f t="shared" si="2"/>
        <v/>
      </c>
      <c r="Q19" s="228" t="str">
        <f t="shared" si="3"/>
        <v/>
      </c>
      <c r="R19" s="226" t="str">
        <f t="shared" si="4"/>
        <v/>
      </c>
      <c r="S19" s="219"/>
      <c r="T19" s="207"/>
    </row>
    <row r="20" spans="1:27" s="176" customFormat="1" ht="29.25" customHeight="1">
      <c r="A20" s="253" t="s">
        <v>888</v>
      </c>
      <c r="B20" s="250"/>
      <c r="C20" s="262">
        <f>IF(OR(K$5=0,AND(K$5&lt;&gt;$A$86,K$5&lt;&gt;$A$87,K$5&lt;&gt;$A$88)),0,IF(K$5=$A$86,'Balances y Proyecciones'!AP735,IF(K$5=$A$87,'Balances y Proyecciones'!AS735,'Balances y Proyecciones'!AV735)))</f>
        <v>0</v>
      </c>
      <c r="D20" s="262">
        <f>IF(OR(L$5=0,AND(L$5&lt;&gt;$A$87,L$5&lt;&gt;$A$89)),0,IF(L$5=$A$87,'Balances y Proyecciones'!AS735,'Balances y Proyecciones'!AY735))</f>
        <v>0</v>
      </c>
      <c r="E20" s="262">
        <f>IF(OR(M$5=0,AND(M$5&lt;&gt;$A$89,M$5&lt;&gt;$A$90)),0,IF(M$5=$A$89,'Balances y Proyecciones'!AY735,'Balances y Proyecciones'!BB735))</f>
        <v>0</v>
      </c>
      <c r="F20" s="263"/>
      <c r="G20" s="264"/>
      <c r="I20" s="229"/>
      <c r="J20" s="258" t="s">
        <v>886</v>
      </c>
      <c r="K20" s="230">
        <f>IF(OR(K$5=0,AND(K$5&lt;&gt;$A$86,K$5&lt;&gt;$A$87,K$5&lt;&gt;$A$88)),0,IF(K$5=$A$86,SUM('Balances y Proyecciones'!E80,IF('Balances y Proyecciones'!E82&lt;0,-'Balances y Proyecciones'!E82,0),IF('Balances y Proyecciones'!E83&lt;0,-'Balances y Proyecciones'!E83,0),IF('Balances y Proyecciones'!E84&lt;0,-'Balances y Proyecciones'!E84,0),'Balances y Proyecciones'!E86),IF(K$5=$A$87,SUM('Balances y Proyecciones'!H80,IF('Balances y Proyecciones'!H82&lt;0,-'Balances y Proyecciones'!H82,0),IF('Balances y Proyecciones'!H83&lt;0,-'Balances y Proyecciones'!H83,0),IF('Balances y Proyecciones'!H84&lt;0,-'Balances y Proyecciones'!H84,0),'Balances y Proyecciones'!H86),SUM('Balances y Proyecciones'!K80,IF('Balances y Proyecciones'!K82&lt;0,-'Balances y Proyecciones'!K82,0),IF('Balances y Proyecciones'!K83&lt;0,-'Balances y Proyecciones'!K83,0),IF('Balances y Proyecciones'!K84&lt;0,-'Balances y Proyecciones'!K84,0),'Balances y Proyecciones'!K86))))</f>
        <v>0</v>
      </c>
      <c r="L20" s="231">
        <f>IF(OR(L$5=0,AND(L$5&lt;&gt;$A$87,L$5&lt;&gt;$A$89)),0,IF(L$5=$A$87,SUM('Balances y Proyecciones'!H80,IF('Balances y Proyecciones'!H82&lt;0,-'Balances y Proyecciones'!H82,0),IF('Balances y Proyecciones'!H83&lt;0,-'Balances y Proyecciones'!H83,0),IF('Balances y Proyecciones'!H84&lt;0,-'Balances y Proyecciones'!H84,0),'Balances y Proyecciones'!H86),SUM('Balances y Proyecciones'!N80,IF('Balances y Proyecciones'!N82&lt;0,-'Balances y Proyecciones'!N82,0),IF('Balances y Proyecciones'!N83&lt;0,-'Balances y Proyecciones'!N83,0),IF('Balances y Proyecciones'!N84&lt;0,-'Balances y Proyecciones'!N84,0),'Balances y Proyecciones'!N86)))</f>
        <v>0</v>
      </c>
      <c r="M20" s="265">
        <f>IF(OR(M$5=0,AND(M$5&lt;&gt;$A$89,M$5&lt;&gt;$A$90)),0,IF(M$5=$A$89,SUM('Balances y Proyecciones'!N80,IF('Balances y Proyecciones'!N82&lt;0,-'Balances y Proyecciones'!N82,0),IF('Balances y Proyecciones'!N83&lt;0,-'Balances y Proyecciones'!N83,0),IF('Balances y Proyecciones'!N84&lt;0,-'Balances y Proyecciones'!N84,0),'Balances y Proyecciones'!N86),SUM('Balances y Proyecciones'!Q80,IF('Balances y Proyecciones'!Q82&lt;0,-'Balances y Proyecciones'!Q82,0),IF('Balances y Proyecciones'!Q83&lt;0,-'Balances y Proyecciones'!Q83,0),IF('Balances y Proyecciones'!Q84&lt;0,-'Balances y Proyecciones'!Q84,0),'Balances y Proyecciones'!Q86)))</f>
        <v>0</v>
      </c>
      <c r="N20" s="225" t="str">
        <f t="shared" si="0"/>
        <v/>
      </c>
      <c r="O20" s="226" t="str">
        <f t="shared" si="1"/>
        <v/>
      </c>
      <c r="P20" s="225" t="str">
        <f t="shared" si="2"/>
        <v/>
      </c>
      <c r="Q20" s="228" t="str">
        <f t="shared" si="3"/>
        <v/>
      </c>
      <c r="R20" s="226" t="str">
        <f t="shared" si="4"/>
        <v/>
      </c>
      <c r="S20" s="219"/>
      <c r="T20" s="207"/>
    </row>
    <row r="21" spans="1:27" s="176" customFormat="1" ht="29.25" customHeight="1">
      <c r="A21" s="253" t="s">
        <v>889</v>
      </c>
      <c r="B21" s="250"/>
      <c r="C21" s="262">
        <f>IF(OR(K$5=0,AND(K$5&lt;&gt;$A$86,K$5&lt;&gt;$A$87,K$5&lt;&gt;$A$88)),0,IF(K$5=$A$86,'Balances y Proyecciones'!AP736,IF(K$5=$A$87,'Balances y Proyecciones'!AS736,'Balances y Proyecciones'!AV736)))</f>
        <v>0</v>
      </c>
      <c r="D21" s="262">
        <f>IF(OR(L$5=0,AND(L$5&lt;&gt;$A$87,L$5&lt;&gt;$A$89)),0,IF(L$5=$A$87,'Balances y Proyecciones'!AS736,'Balances y Proyecciones'!AY736))</f>
        <v>0</v>
      </c>
      <c r="E21" s="262">
        <f>IF(OR(M$5=0,AND(M$5&lt;&gt;$A$89,M$5&lt;&gt;$A$90)),0,IF(M$5=$A$89,'Balances y Proyecciones'!AY736,'Balances y Proyecciones'!BB736))</f>
        <v>0</v>
      </c>
      <c r="F21" s="263"/>
      <c r="G21" s="264"/>
      <c r="I21" s="229"/>
      <c r="J21" s="221" t="s">
        <v>890</v>
      </c>
      <c r="K21" s="230">
        <f>IF(OR(K$5=0,AND(K$5&lt;&gt;$A$86,K$5&lt;&gt;$A$87,K$5&lt;&gt;$A$88)),0,IF(K$5=$A$86,'Balances y Proyecciones'!E78,IF(K$5=$A$87,'Balances y Proyecciones'!H78,'Balances y Proyecciones'!K78)))</f>
        <v>0</v>
      </c>
      <c r="L21" s="231">
        <f>IF(OR(L$5=0,AND(L$5&lt;&gt;$A$87,L$5&lt;&gt;$A$89)),0,IF(L$5=$A$87,'Balances y Proyecciones'!H78,'Balances y Proyecciones'!N78))</f>
        <v>0</v>
      </c>
      <c r="M21" s="231">
        <f>IF(OR(M$5=0,AND(M$5&lt;&gt;$A$89,M$5&lt;&gt;$A$90)),0,IF(M$5=$A$89,'Balances y Proyecciones'!N78,'Balances y Proyecciones'!Q78))</f>
        <v>0</v>
      </c>
      <c r="N21" s="225" t="str">
        <f t="shared" si="0"/>
        <v/>
      </c>
      <c r="O21" s="226" t="str">
        <f t="shared" si="1"/>
        <v/>
      </c>
      <c r="P21" s="225" t="str">
        <f t="shared" si="2"/>
        <v/>
      </c>
      <c r="Q21" s="228" t="str">
        <f t="shared" si="3"/>
        <v/>
      </c>
      <c r="R21" s="226" t="str">
        <f t="shared" si="4"/>
        <v/>
      </c>
      <c r="S21" s="219"/>
      <c r="T21" s="207"/>
    </row>
    <row r="22" spans="1:27" s="176" customFormat="1" ht="29.25" customHeight="1">
      <c r="A22" s="253" t="s">
        <v>891</v>
      </c>
      <c r="B22" s="250"/>
      <c r="C22" s="266">
        <f>IF(OR(K$5=0,AND(K$5&lt;&gt;$A$86,K$5&lt;&gt;$A$87,K$5&lt;&gt;$A$88)),0,IF(K$5=$A$86,'Balances y Proyecciones'!AP733,IF(K$5=$A$87,'Balances y Proyecciones'!AS733,'Balances y Proyecciones'!AV733)))</f>
        <v>0</v>
      </c>
      <c r="D22" s="266">
        <f>IF(OR(L$5=0,AND(L$5&lt;&gt;$A$87,L$5&lt;&gt;$A$89)),0,IF(L$5=$A$87,'Balances y Proyecciones'!AS733,'Balances y Proyecciones'!AY733))</f>
        <v>0</v>
      </c>
      <c r="E22" s="266">
        <f>IF(OR(M$5=0,AND(M$5&lt;&gt;$A$89,M$5&lt;&gt;$A$90)),0,IF(M$5=$A$89,'Balances y Proyecciones'!AY733,'Balances y Proyecciones'!BB733))</f>
        <v>0</v>
      </c>
      <c r="F22" s="263"/>
      <c r="G22" s="264"/>
      <c r="I22" s="235" t="s">
        <v>849</v>
      </c>
      <c r="J22" s="252"/>
      <c r="K22" s="237">
        <f>K12+K16+K17-K19-K20+K21</f>
        <v>0</v>
      </c>
      <c r="L22" s="238">
        <f>L12+L16+L17-L19-L20+L21</f>
        <v>0</v>
      </c>
      <c r="M22" s="238">
        <f>M12+M16+M17-M19-M20+M21</f>
        <v>0</v>
      </c>
      <c r="N22" s="239" t="str">
        <f t="shared" si="0"/>
        <v/>
      </c>
      <c r="O22" s="240" t="str">
        <f t="shared" si="1"/>
        <v/>
      </c>
      <c r="P22" s="239" t="str">
        <f t="shared" si="2"/>
        <v/>
      </c>
      <c r="Q22" s="241" t="str">
        <f t="shared" si="3"/>
        <v/>
      </c>
      <c r="R22" s="240" t="str">
        <f t="shared" si="4"/>
        <v/>
      </c>
      <c r="S22" s="219"/>
      <c r="T22" s="207"/>
    </row>
    <row r="23" spans="1:27" s="176" customFormat="1" ht="29.25" customHeight="1">
      <c r="A23" s="253" t="s">
        <v>892</v>
      </c>
      <c r="B23" s="250"/>
      <c r="C23" s="266">
        <f>IF(OR(K$5=0,AND(K$5&lt;&gt;$A$86,K$5&lt;&gt;$A$87,K$5&lt;&gt;$A$88)),0,IF(K$5=$A$86,'Balances y Proyecciones'!AP734,IF(K$5=$A$87,'Balances y Proyecciones'!AS734,'Balances y Proyecciones'!AV734)))</f>
        <v>0</v>
      </c>
      <c r="D23" s="266">
        <f>IF(OR(L$5=0,AND(L$5&lt;&gt;$A$87,L$5&lt;&gt;$A$89)),0,IF(L$5=$A$87,'Balances y Proyecciones'!AS734,'Balances y Proyecciones'!AY734))</f>
        <v>0</v>
      </c>
      <c r="E23" s="266">
        <f>IF(OR(M$5=0,AND(M$5&lt;&gt;$A$89,M$5&lt;&gt;$A$90)),0,IF(M$5=$A$89,'Balances y Proyecciones'!AY734,'Balances y Proyecciones'!BB734))</f>
        <v>0</v>
      </c>
      <c r="F23" s="267"/>
      <c r="G23" s="268"/>
      <c r="I23" s="269"/>
      <c r="J23" s="221" t="s">
        <v>893</v>
      </c>
      <c r="K23" s="230">
        <f>IF(OR(K$5=0,AND(K$5&lt;&gt;$A$86,K$5&lt;&gt;$A$87,K$5&lt;&gt;$A$88)),0,IF(K$5=$A$86,'Balances y Proyecciones'!E88,IF(K$5=$A$87,'Balances y Proyecciones'!H88,'Balances y Proyecciones'!K88)))</f>
        <v>0</v>
      </c>
      <c r="L23" s="231">
        <f>IF(OR(L$5=0,AND(L$5&lt;&gt;$A$87,L$5&lt;&gt;$A$89)),0,IF(L$5=$A$87,'Balances y Proyecciones'!H88,'Balances y Proyecciones'!N88))</f>
        <v>0</v>
      </c>
      <c r="M23" s="231">
        <f>IF(OR(M$5=0,AND(M$5&lt;&gt;$A$89,M$5&lt;&gt;$A$90)),0,IF(M$5=$A$89,'Balances y Proyecciones'!N88,'Balances y Proyecciones'!Q88))</f>
        <v>0</v>
      </c>
      <c r="N23" s="225" t="str">
        <f t="shared" si="0"/>
        <v/>
      </c>
      <c r="O23" s="226" t="str">
        <f t="shared" si="1"/>
        <v/>
      </c>
      <c r="P23" s="225" t="str">
        <f t="shared" si="2"/>
        <v/>
      </c>
      <c r="Q23" s="228" t="str">
        <f t="shared" si="3"/>
        <v/>
      </c>
      <c r="R23" s="226" t="str">
        <f t="shared" si="4"/>
        <v/>
      </c>
      <c r="S23" s="219"/>
      <c r="T23" s="207"/>
    </row>
    <row r="24" spans="1:27" s="176" customFormat="1" ht="29.25" customHeight="1">
      <c r="A24" s="248" t="s">
        <v>894</v>
      </c>
      <c r="B24" s="249"/>
      <c r="C24" s="270"/>
      <c r="D24" s="270"/>
      <c r="E24" s="270"/>
      <c r="F24" s="250"/>
      <c r="G24" s="251"/>
      <c r="I24" s="271" t="s">
        <v>895</v>
      </c>
      <c r="J24" s="272"/>
      <c r="K24" s="273">
        <f>K22-K23</f>
        <v>0</v>
      </c>
      <c r="L24" s="274">
        <f>L22-L23</f>
        <v>0</v>
      </c>
      <c r="M24" s="274">
        <f>M22-M23</f>
        <v>0</v>
      </c>
      <c r="N24" s="275" t="str">
        <f t="shared" si="0"/>
        <v/>
      </c>
      <c r="O24" s="276" t="str">
        <f t="shared" si="1"/>
        <v/>
      </c>
      <c r="P24" s="275" t="str">
        <f t="shared" si="2"/>
        <v/>
      </c>
      <c r="Q24" s="277" t="str">
        <f t="shared" si="3"/>
        <v/>
      </c>
      <c r="R24" s="276" t="str">
        <f t="shared" si="4"/>
        <v/>
      </c>
      <c r="S24" s="278"/>
      <c r="T24" s="279"/>
    </row>
    <row r="25" spans="1:27" s="176" customFormat="1" ht="29.25" customHeight="1">
      <c r="A25" s="253" t="s">
        <v>896</v>
      </c>
      <c r="B25" s="280"/>
      <c r="C25" s="266">
        <f>IF(OR(K$5=0,AND(K$5&lt;&gt;$A$86,K$5&lt;&gt;$A$87,K$5&lt;&gt;$A$88)),0,IF(K$5=$A$86,'Balances y Proyecciones'!AP725,IF(K$5=$A$87,'Balances y Proyecciones'!AS725,'Balances y Proyecciones'!AV725)))</f>
        <v>0</v>
      </c>
      <c r="D25" s="266">
        <f>IF(OR(L$5=0,AND(L$5&lt;&gt;$A$87,L$5&lt;&gt;$A$89)),0,IF(L$5=$A$87,'Balances y Proyecciones'!AS725,'Balances y Proyecciones'!AY725))</f>
        <v>0</v>
      </c>
      <c r="E25" s="266">
        <f>IF(OR(M$5=0,AND(M$5&lt;&gt;$A$89,M$5&lt;&gt;$A$90)),0,IF(M$5=$A$89,'Balances y Proyecciones'!AY725,'Balances y Proyecciones'!BB725))</f>
        <v>0</v>
      </c>
      <c r="F25" s="281"/>
      <c r="G25" s="282"/>
      <c r="I25" s="169"/>
      <c r="J25" s="169"/>
      <c r="K25" s="169"/>
      <c r="L25" s="169"/>
      <c r="M25" s="169"/>
      <c r="N25" s="169"/>
      <c r="O25" s="169"/>
      <c r="P25" s="169"/>
      <c r="Q25" s="169"/>
      <c r="R25" s="169"/>
      <c r="S25" s="169"/>
      <c r="T25" s="169"/>
    </row>
    <row r="26" spans="1:27" s="176" customFormat="1" ht="29.25" customHeight="1">
      <c r="A26" s="253" t="s">
        <v>897</v>
      </c>
      <c r="B26" s="280"/>
      <c r="C26" s="266">
        <f>IF(OR(K$5=0,AND(K$5&lt;&gt;$A$86,K$5&lt;&gt;$A$87,K$5&lt;&gt;$A$88)),0,IF(K$5=$A$86,'Balances y Proyecciones'!AP727,IF(K$5=$A$87,'Balances y Proyecciones'!AS727,'Balances y Proyecciones'!AV727)))</f>
        <v>0</v>
      </c>
      <c r="D26" s="266">
        <f>IF(OR(L$5=0,AND(L$5&lt;&gt;$A$87,L$5&lt;&gt;$A$89)),0,IF(L$5=$A$87,'Balances y Proyecciones'!AS727,'Balances y Proyecciones'!AY727))</f>
        <v>0</v>
      </c>
      <c r="E26" s="266">
        <f>IF(OR(M$5=0,AND(M$5&lt;&gt;$A$89,M$5&lt;&gt;$A$90)),0,IF(M$5=$A$89,'Balances y Proyecciones'!AY727,'Balances y Proyecciones'!BB727))</f>
        <v>0</v>
      </c>
      <c r="F26" s="281"/>
      <c r="G26" s="282"/>
      <c r="I26" s="169"/>
      <c r="J26" s="169"/>
      <c r="K26" s="169"/>
      <c r="L26" s="169"/>
      <c r="M26" s="169"/>
      <c r="N26" s="169"/>
      <c r="O26" s="169"/>
      <c r="P26" s="169"/>
      <c r="Q26" s="169"/>
      <c r="R26" s="169"/>
      <c r="S26" s="169"/>
      <c r="T26" s="169"/>
    </row>
    <row r="27" spans="1:27" s="176" customFormat="1" ht="29.25" customHeight="1">
      <c r="A27" s="253" t="s">
        <v>898</v>
      </c>
      <c r="B27" s="280"/>
      <c r="C27" s="266">
        <f>IF(OR(C25="",C26="",C28=""),"",SUM(C25:C26))</f>
        <v>0</v>
      </c>
      <c r="D27" s="266">
        <f>IF(OR(D25="",D26="",D28=""),"",SUM(D25:D26))</f>
        <v>0</v>
      </c>
      <c r="E27" s="266">
        <f>IF(OR(E25="",E26="",E28=""),"",SUM(E25:E26))</f>
        <v>0</v>
      </c>
      <c r="F27" s="281"/>
      <c r="G27" s="282"/>
      <c r="I27" s="283" t="s">
        <v>899</v>
      </c>
      <c r="J27" s="284"/>
      <c r="K27" s="285"/>
      <c r="L27" s="286"/>
      <c r="M27" s="286"/>
      <c r="N27" s="287"/>
      <c r="O27" s="288"/>
      <c r="P27" s="289"/>
      <c r="Q27" s="287"/>
      <c r="R27" s="290"/>
      <c r="S27" s="291" t="s">
        <v>900</v>
      </c>
      <c r="T27" s="292" t="s">
        <v>901</v>
      </c>
    </row>
    <row r="28" spans="1:27" s="176" customFormat="1" ht="29.25" customHeight="1">
      <c r="A28" s="253" t="s">
        <v>902</v>
      </c>
      <c r="B28" s="280"/>
      <c r="C28" s="266">
        <f>IF(OR(K$5=0,AND(K$5&lt;&gt;$A$86,K$5&lt;&gt;$A$87,K$5&lt;&gt;$A$88)),0,IF(K$5=$A$86,'Balances y Proyecciones'!AP730,IF(K$5=$A$87,'Balances y Proyecciones'!AS730,'Balances y Proyecciones'!AV730)))</f>
        <v>0</v>
      </c>
      <c r="D28" s="266">
        <f>IF(OR(L$5=0,AND(L$5&lt;&gt;$A$87,L$5&lt;&gt;$A$89)),0,IF(L$5=$A$87,'Balances y Proyecciones'!AS730,'Balances y Proyecciones'!AY730))</f>
        <v>0</v>
      </c>
      <c r="E28" s="266">
        <f>IF(OR(M$5=0,AND(M$5&lt;&gt;$A$89,M$5&lt;&gt;$A$90)),0,IF(M$5=$A$89,'Balances y Proyecciones'!AY730,'Balances y Proyecciones'!BB730))</f>
        <v>0</v>
      </c>
      <c r="F28" s="281"/>
      <c r="G28" s="282"/>
      <c r="I28" s="293" t="s">
        <v>541</v>
      </c>
      <c r="J28" s="294"/>
      <c r="K28" s="295"/>
      <c r="L28" s="296"/>
      <c r="M28" s="296"/>
      <c r="N28" s="297"/>
      <c r="O28" s="298"/>
      <c r="P28" s="299"/>
      <c r="Q28" s="298"/>
      <c r="R28" s="298"/>
      <c r="S28" s="300" t="str">
        <f>IF($K$5=$A$88,RIGHT(K5,2)&amp;" / "&amp;RIGHT(M5,2),RIGHT(L5,2)&amp;" / "&amp;RIGHT(M5,2))</f>
        <v>18 / 19</v>
      </c>
      <c r="T28" s="301"/>
    </row>
    <row r="29" spans="1:27" s="176" customFormat="1" ht="29.25" customHeight="1">
      <c r="A29" s="253" t="s">
        <v>903</v>
      </c>
      <c r="B29" s="280"/>
      <c r="C29" s="266">
        <f>IF(OR(C25="",C26="",C28=""),"",SUM(C25:C26,-C28))</f>
        <v>0</v>
      </c>
      <c r="D29" s="266">
        <f>IF(OR(D25="",D26="",D28=""),"",SUM(D25:D26,-D28))</f>
        <v>0</v>
      </c>
      <c r="E29" s="266">
        <f>IF(OR(E25="",E26="",E28=""),"",SUM(E25:E26,-E28))</f>
        <v>0</v>
      </c>
      <c r="F29" s="169"/>
      <c r="G29" s="302"/>
      <c r="I29" s="303"/>
      <c r="J29" s="221" t="s">
        <v>904</v>
      </c>
      <c r="K29" s="230">
        <f>IF(OR(K$5=0,AND(K$5&lt;&gt;$A$86,K$5&lt;&gt;$A$87,K$5&lt;&gt;$A$88)),0,IF(K$5=$A$86,'Balances y Proyecciones'!E18,IF(K$5=$A$87,'Balances y Proyecciones'!H18,'Balances y Proyecciones'!K18)))</f>
        <v>0</v>
      </c>
      <c r="L29" s="231">
        <f>IF(OR(L$5=0,AND(L$5&lt;&gt;$A$87,L$5&lt;&gt;$A$89)),0,IF(L$5=$A$87,'Balances y Proyecciones'!H18,'Balances y Proyecciones'!N18))</f>
        <v>0</v>
      </c>
      <c r="M29" s="231">
        <f>IF(OR(M$5=0,AND(M$5&lt;&gt;$A$89,M$5&lt;&gt;$A$90)),0,IF(M$5=$A$89,'Balances y Proyecciones'!N18,'Balances y Proyecciones'!Q18))</f>
        <v>0</v>
      </c>
      <c r="N29" s="225" t="str">
        <f t="shared" ref="N29:N43" si="6">IF(OR(K29=0,K29="",$L$5=""),"",L29/K29-1)</f>
        <v/>
      </c>
      <c r="O29" s="226" t="str">
        <f t="shared" ref="O29:O43" si="7">IF($K$5=$A$88,IF(OR(K29=0,K29=""),"",M29/K29-1),IF(OR(L29=0,L29=""),"",M29/L29-1))</f>
        <v/>
      </c>
      <c r="P29" s="227" t="str">
        <f t="shared" ref="P29:P42" si="8">IF(OR(K$42=0,K$42=""),"",K29/K$42)</f>
        <v/>
      </c>
      <c r="Q29" s="228" t="str">
        <f t="shared" ref="Q29:Q42" si="9">IF(OR(L$42=0,L$42=""),"",L29/L$42)</f>
        <v/>
      </c>
      <c r="R29" s="226" t="str">
        <f t="shared" ref="R29:R42" si="10">IF(OR(M$42=0,M$42=""),"",M29/M$42)</f>
        <v/>
      </c>
      <c r="S29" s="304">
        <f>IF($K$5=$A$88,IF(M29-K29&lt;0,-(M29-K29),0),IF(M29-L29&lt;0,-(M29-L29),0))</f>
        <v>0</v>
      </c>
      <c r="T29" s="305">
        <f>IF($K$5=$A$88,IF(M29-K29&gt;0,M29-K29,0),IF(M29-L29&gt;0,M29-L29,0))</f>
        <v>0</v>
      </c>
    </row>
    <row r="30" spans="1:27" s="176" customFormat="1" ht="29.25" customHeight="1">
      <c r="A30" s="306" t="s">
        <v>905</v>
      </c>
      <c r="B30" s="169"/>
      <c r="C30" s="307"/>
      <c r="D30" s="307"/>
      <c r="E30" s="307"/>
      <c r="F30" s="250"/>
      <c r="G30" s="251"/>
      <c r="I30" s="303"/>
      <c r="J30" s="247" t="s">
        <v>565</v>
      </c>
      <c r="K30" s="230">
        <f>IF(OR(K$5=0,AND(K$5&lt;&gt;$A$86,K$5&lt;&gt;$A$87,K$5&lt;&gt;$A$88)),0,IF(K$5=$A$86,SUM('Balances y Proyecciones'!E19:E20),IF(K$5=$A$87,SUM('Balances y Proyecciones'!H19:H20),SUM('Balances y Proyecciones'!K19:K20))))</f>
        <v>0</v>
      </c>
      <c r="L30" s="231">
        <f>IF(OR(L$5=0,AND(L$5&lt;&gt;$A$87,L$5&lt;&gt;$A$89)),0,IF(L$5=$A$87,SUM('Balances y Proyecciones'!H19:H20),SUM('Balances y Proyecciones'!N19:N20)))</f>
        <v>0</v>
      </c>
      <c r="M30" s="231">
        <f>IF(OR(M$5=0,AND(M$5&lt;&gt;$A$89,M$5&lt;&gt;$A$90)),0,IF(M$5=$A$89,SUM('Balances y Proyecciones'!N19:N20),SUM('Balances y Proyecciones'!Q19:Q20)))</f>
        <v>0</v>
      </c>
      <c r="N30" s="225" t="str">
        <f t="shared" si="6"/>
        <v/>
      </c>
      <c r="O30" s="226" t="str">
        <f t="shared" si="7"/>
        <v/>
      </c>
      <c r="P30" s="227" t="str">
        <f t="shared" si="8"/>
        <v/>
      </c>
      <c r="Q30" s="228" t="str">
        <f t="shared" si="9"/>
        <v/>
      </c>
      <c r="R30" s="226" t="str">
        <f t="shared" si="10"/>
        <v/>
      </c>
      <c r="S30" s="304">
        <f>IF($K$5=$A$88,IF(M30-K30&lt;0,-(M30-K30),0),IF(M30-L30&lt;0,-(M30-L30),0))</f>
        <v>0</v>
      </c>
      <c r="T30" s="305">
        <f>IF($K$5=$A$88,IF(M30-K30&gt;0,M30-K30,0),IF(M30-L30&gt;0,M30-L30,0))</f>
        <v>0</v>
      </c>
    </row>
    <row r="31" spans="1:27" s="176" customFormat="1" ht="29.25" customHeight="1">
      <c r="A31" s="253" t="s">
        <v>906</v>
      </c>
      <c r="B31" s="250"/>
      <c r="C31" s="254">
        <f>IF(OR(K$5=0,AND(K$5&lt;&gt;$A$86,K$5&lt;&gt;$A$87,K$5&lt;&gt;$A$88)),0,IF(K$5=$A$86,'Balances y Proyecciones'!AP750,IF(K$5=$A$87,'Balances y Proyecciones'!AS750,'Balances y Proyecciones'!AV750)))</f>
        <v>0</v>
      </c>
      <c r="D31" s="254">
        <f>IF(OR(L$5=0,AND(L$5&lt;&gt;$A$87,L$5&lt;&gt;$A$89)),0,IF(L$5=$A$87,'Balances y Proyecciones'!AS750,'Balances y Proyecciones'!AY750))</f>
        <v>0</v>
      </c>
      <c r="E31" s="254">
        <f>IF(OR(M$5=0,AND(M$5&lt;&gt;$A$89,M$5&lt;&gt;$A$90)),0,IF(M$5=$A$89,'Balances y Proyecciones'!AY750,'Balances y Proyecciones'!BB750))</f>
        <v>0</v>
      </c>
      <c r="F31" s="255"/>
      <c r="G31" s="256"/>
      <c r="I31" s="303"/>
      <c r="J31" s="308" t="s">
        <v>576</v>
      </c>
      <c r="K31" s="230">
        <f>IF(OR(K$5=0,AND(K$5&lt;&gt;$A$86,K$5&lt;&gt;$A$87,K$5&lt;&gt;$A$88)),0,IF(K$5=$A$86,'Balances y Proyecciones'!E24,IF(K$5=$A$87,'Balances y Proyecciones'!H24,'Balances y Proyecciones'!K24)))</f>
        <v>0</v>
      </c>
      <c r="L31" s="231">
        <f>IF(OR(L$5=0,AND(L$5&lt;&gt;$A$87,L$5&lt;&gt;$A$89)),0,IF(L$5=$A$87,'Balances y Proyecciones'!H24,'Balances y Proyecciones'!N24))</f>
        <v>0</v>
      </c>
      <c r="M31" s="231">
        <f>IF(OR(M$5=0,AND(M$5&lt;&gt;$A$89,M$5&lt;&gt;$A$90)),0,IF(M$5=$A$89,'Balances y Proyecciones'!N24,'Balances y Proyecciones'!Q24))</f>
        <v>0</v>
      </c>
      <c r="N31" s="225" t="str">
        <f t="shared" si="6"/>
        <v/>
      </c>
      <c r="O31" s="226" t="str">
        <f t="shared" si="7"/>
        <v/>
      </c>
      <c r="P31" s="309" t="str">
        <f t="shared" si="8"/>
        <v/>
      </c>
      <c r="Q31" s="228" t="str">
        <f t="shared" si="9"/>
        <v/>
      </c>
      <c r="R31" s="226" t="str">
        <f t="shared" si="10"/>
        <v/>
      </c>
      <c r="S31" s="304">
        <f>IF($K$5=$A$88,IF(M31-K31&lt;0,-(M31-K31),0),IF(M31-L31&lt;0,-(M31-L31),0))</f>
        <v>0</v>
      </c>
      <c r="T31" s="305">
        <f>IF($K$5=$A$88,IF(M31-K31&gt;0,M31-K31,0),IF(M31-L31&gt;0,M31-L31,0))</f>
        <v>0</v>
      </c>
    </row>
    <row r="32" spans="1:27" s="176" customFormat="1" ht="29.25" customHeight="1">
      <c r="A32" s="253" t="s">
        <v>907</v>
      </c>
      <c r="B32" s="250"/>
      <c r="C32" s="254">
        <f>IF(OR(K$5=0,AND(K$5&lt;&gt;$A$86,K$5&lt;&gt;$A$87,K$5&lt;&gt;$A$88)),0,IF(K$5=$A$86,'Balances y Proyecciones'!AP751,IF(K$5=$A$87,'Balances y Proyecciones'!AS751,'Balances y Proyecciones'!AV751)))</f>
        <v>0</v>
      </c>
      <c r="D32" s="254">
        <f>IF(OR(L$5=0,AND(L$5&lt;&gt;$A$87,L$5&lt;&gt;$A$89)),0,IF(L$5=$A$87,'Balances y Proyecciones'!AS751,'Balances y Proyecciones'!AY751))</f>
        <v>0</v>
      </c>
      <c r="E32" s="254">
        <f>IF(OR(M$5=0,AND(M$5&lt;&gt;$A$89,M$5&lt;&gt;$A$90)),0,IF(M$5=$A$89,'Balances y Proyecciones'!AY751,'Balances y Proyecciones'!BB751))</f>
        <v>0</v>
      </c>
      <c r="F32" s="255"/>
      <c r="G32" s="256"/>
      <c r="I32" s="303"/>
      <c r="J32" s="308" t="s">
        <v>908</v>
      </c>
      <c r="K32" s="230">
        <f>IF(OR(K$5=0,AND(K$5&lt;&gt;$A$86,K$5&lt;&gt;$A$87,K$5&lt;&gt;$A$88)),0,IF(K$5=$A$86,SUM('Balances y Proyecciones'!E21:E22),IF(K$5=$A$87,SUM('Balances y Proyecciones'!H21:H22),SUM('Balances y Proyecciones'!K21:K22))))</f>
        <v>0</v>
      </c>
      <c r="L32" s="231">
        <f>IF(OR(L$5=0,AND(L$5&lt;&gt;$A$87,L$5&lt;&gt;$A$89)),0,IF(L$5=$A$87,SUM('Balances y Proyecciones'!H21:H22),SUM('Balances y Proyecciones'!N21:N22)))</f>
        <v>0</v>
      </c>
      <c r="M32" s="231">
        <f>IF(OR(M$5=0,AND(M$5&lt;&gt;$A$89,M$5&lt;&gt;$A$90)),0,IF(M$5=$A$89,SUM('Balances y Proyecciones'!N21:N22),SUM('Balances y Proyecciones'!Q21:Q22)))</f>
        <v>0</v>
      </c>
      <c r="N32" s="225" t="str">
        <f t="shared" si="6"/>
        <v/>
      </c>
      <c r="O32" s="226" t="str">
        <f t="shared" si="7"/>
        <v/>
      </c>
      <c r="P32" s="227" t="str">
        <f t="shared" si="8"/>
        <v/>
      </c>
      <c r="Q32" s="228" t="str">
        <f t="shared" si="9"/>
        <v/>
      </c>
      <c r="R32" s="226" t="str">
        <f t="shared" si="10"/>
        <v/>
      </c>
      <c r="S32" s="304">
        <f>IF($K$5=$A$88,IF(M32-K32&lt;0,-(M32-K32),0),IF(M32-L32&lt;0,-(M32-L32),0))</f>
        <v>0</v>
      </c>
      <c r="T32" s="305">
        <f>IF($K$5=$A$88,IF(M32-K32&gt;0,M32-K32,0),IF(M32-L32&gt;0,M32-L32,0))</f>
        <v>0</v>
      </c>
      <c r="Y32" s="310"/>
      <c r="Z32" s="310"/>
      <c r="AA32" s="310"/>
    </row>
    <row r="33" spans="1:27" s="176" customFormat="1" ht="29.25" customHeight="1">
      <c r="A33" s="253" t="s">
        <v>909</v>
      </c>
      <c r="B33" s="250"/>
      <c r="C33" s="254" t="str">
        <f>IF(OR(K$5=0,AND(K$5&lt;&gt;$A$86,K$5&lt;&gt;$A$87,K$5&lt;&gt;$A$88)),0,IF(K$5=$A$86,IF('Balances y Proyecciones'!AP703=0,"",('Balances y Proyecciones'!AP704+'Balances y Proyecciones'!AP657)/'Balances y Proyecciones'!AP703),IF(K$5=$A$87,IF('Balances y Proyecciones'!AS703=0,"",('Balances y Proyecciones'!AS704+'Balances y Proyecciones'!AS657)/'Balances y Proyecciones'!AS703),IF('Balances y Proyecciones'!AV703=0,"",('Balances y Proyecciones'!AV704+'Balances y Proyecciones'!AV657)/'Balances y Proyecciones'!AV703))))</f>
        <v/>
      </c>
      <c r="D33" s="254" t="str">
        <f>IF(OR(L$5=0,AND(L$5&lt;&gt;$A$87,L$5&lt;&gt;$A$89)),0,IF(L$5=$A$87,IF('Balances y Proyecciones'!AS703=0,"",('Balances y Proyecciones'!AS704+'Balances y Proyecciones'!AS657)/'Balances y Proyecciones'!AS703),IF('Balances y Proyecciones'!AY703=0,"",('Balances y Proyecciones'!AY704+'Balances y Proyecciones'!AY657)/'Balances y Proyecciones'!AY703)))</f>
        <v/>
      </c>
      <c r="E33" s="254" t="str">
        <f>IF(OR(M$5=0,AND(M$5&lt;&gt;$A$89,M$5&lt;&gt;$A$90)),0,IF(M$5=$A$89,IF('Balances y Proyecciones'!AY703=0,"",('Balances y Proyecciones'!AY704+'Balances y Proyecciones'!AY657)/'Balances y Proyecciones'!AY703),IF('Balances y Proyecciones'!BB703=0,"",('Balances y Proyecciones'!BB704+'Balances y Proyecciones'!BB657)/'Balances y Proyecciones'!BB703)))</f>
        <v/>
      </c>
      <c r="F33" s="255"/>
      <c r="G33" s="256"/>
      <c r="I33" s="303"/>
      <c r="J33" s="247" t="s">
        <v>611</v>
      </c>
      <c r="K33" s="230">
        <f>IF(OR(K$5=0,AND(K$5&lt;&gt;$A$86,K$5&lt;&gt;$A$87,K$5&lt;&gt;$A$88)),0,IF(K$5=$A$86,'Balances y Proyecciones'!E23+'Balances y Proyecciones'!E25,IF(K$5=$A$87,'Balances y Proyecciones'!H23+'Balances y Proyecciones'!H25,'Balances y Proyecciones'!K23+'Balances y Proyecciones'!K25)))</f>
        <v>0</v>
      </c>
      <c r="L33" s="231">
        <f>IF(OR(L$5=0,AND(L$5&lt;&gt;$A$87,L$5&lt;&gt;$A$89)),0,IF(L$5=$A$87,'Balances y Proyecciones'!H23+'Balances y Proyecciones'!H25,'Balances y Proyecciones'!N23+'Balances y Proyecciones'!N25))</f>
        <v>0</v>
      </c>
      <c r="M33" s="231">
        <f>IF(OR(M$5=0,AND(M$5&lt;&gt;$A$89,M$5&lt;&gt;$A$90)),0,IF(M$5=$A$89,'Balances y Proyecciones'!N23+'Balances y Proyecciones'!N25,'Balances y Proyecciones'!Q23+'Balances y Proyecciones'!Q25))</f>
        <v>0</v>
      </c>
      <c r="N33" s="225" t="str">
        <f t="shared" si="6"/>
        <v/>
      </c>
      <c r="O33" s="226" t="str">
        <f t="shared" si="7"/>
        <v/>
      </c>
      <c r="P33" s="227" t="str">
        <f t="shared" si="8"/>
        <v/>
      </c>
      <c r="Q33" s="228" t="str">
        <f t="shared" si="9"/>
        <v/>
      </c>
      <c r="R33" s="226" t="str">
        <f t="shared" si="10"/>
        <v/>
      </c>
      <c r="S33" s="304">
        <f>IF($K$5=$A$88,IF(M33-K33&lt;0,-(M33-K33),0),IF(M33-L33&lt;0,-(M33-L33),0))</f>
        <v>0</v>
      </c>
      <c r="T33" s="305">
        <f>IF($K$5=$A$88,IF(M33-K33&gt;0,M33-K33,0),IF(M33-L33&gt;0,M33-L33,0))</f>
        <v>0</v>
      </c>
      <c r="Y33" s="310"/>
      <c r="Z33" s="311"/>
      <c r="AA33" s="311"/>
    </row>
    <row r="34" spans="1:27" s="176" customFormat="1" ht="29.25" customHeight="1">
      <c r="A34" s="253" t="s">
        <v>910</v>
      </c>
      <c r="B34" s="250"/>
      <c r="C34" s="312" t="str">
        <f>IF(OR(K$5=0,AND(K$5&lt;&gt;$A$86,K$5&lt;&gt;$A$87,K$5&lt;&gt;$A$88)),0,IF(C112="ND","ND",IF(K$5=$A$86,'Balances y Proyecciones'!AP745,IF(K$5=$A$87,'Balances y Proyecciones'!AS745,'Balances y Proyecciones'!AV745))))</f>
        <v>ND</v>
      </c>
      <c r="D34" s="312" t="str">
        <f>IF(OR(L$5=0,AND(L$5&lt;&gt;$A$87,L$5&lt;&gt;$A$89)),0,IF(D112="ND","ND",IF(L$5=$A$87,'Balances y Proyecciones'!AS745,'Balances y Proyecciones'!AY745)))</f>
        <v>ND</v>
      </c>
      <c r="E34" s="312" t="str">
        <f>IF(OR(M$5=0,AND(M$5&lt;&gt;$A$89,M$5&lt;&gt;$A$90)),0,IF(E112="ND","ND",IF(M$5=$A$89,'Balances y Proyecciones'!AY745,'Balances y Proyecciones'!BB745)))</f>
        <v>ND</v>
      </c>
      <c r="F34" s="257"/>
      <c r="G34" s="256"/>
      <c r="I34" s="313" t="s">
        <v>615</v>
      </c>
      <c r="J34" s="252"/>
      <c r="K34" s="237">
        <f>SUM(K29:K33)</f>
        <v>0</v>
      </c>
      <c r="L34" s="238">
        <f>SUM(L29:L33)</f>
        <v>0</v>
      </c>
      <c r="M34" s="238">
        <f>SUM(M29:M33)</f>
        <v>0</v>
      </c>
      <c r="N34" s="239" t="str">
        <f t="shared" si="6"/>
        <v/>
      </c>
      <c r="O34" s="240" t="str">
        <f t="shared" si="7"/>
        <v/>
      </c>
      <c r="P34" s="314" t="str">
        <f t="shared" si="8"/>
        <v/>
      </c>
      <c r="Q34" s="241" t="str">
        <f t="shared" si="9"/>
        <v/>
      </c>
      <c r="R34" s="240" t="str">
        <f t="shared" si="10"/>
        <v/>
      </c>
      <c r="S34" s="315"/>
      <c r="T34" s="316"/>
      <c r="Y34" s="310"/>
      <c r="Z34" s="311"/>
      <c r="AA34" s="311"/>
    </row>
    <row r="35" spans="1:27" s="176" customFormat="1" ht="29.25" customHeight="1">
      <c r="A35" s="253" t="s">
        <v>911</v>
      </c>
      <c r="B35" s="250"/>
      <c r="C35" s="312" t="str">
        <f>IF(OR(K$5=0,AND(K$5&lt;&gt;$A$86,K$5&lt;&gt;$A$87,K$5&lt;&gt;$A$88)),0,IF(C112="ND","ND",IF(K$5=$A$86,'Balances y Proyecciones'!AP746,IF(K$5=$A$87,'Balances y Proyecciones'!AS746,'Balances y Proyecciones'!AV746))))</f>
        <v>ND</v>
      </c>
      <c r="D35" s="312" t="str">
        <f>IF(OR(L$5=0,AND(L$5&lt;&gt;$A$87,L$5&lt;&gt;$A$89)),0,IF(D112="ND","ND",IF(L$5=$A$87,'Balances y Proyecciones'!AS746,'Balances y Proyecciones'!AY746)))</f>
        <v>ND</v>
      </c>
      <c r="E35" s="312" t="str">
        <f>IF(OR(M$5=0,AND(M$5&lt;&gt;$A$89,M$5&lt;&gt;$A$90)),0,IF(E112="ND","ND",IF(M$5=$A$89,'Balances y Proyecciones'!AY746,'Balances y Proyecciones'!BB746)))</f>
        <v>ND</v>
      </c>
      <c r="F35" s="257"/>
      <c r="G35" s="256"/>
      <c r="I35" s="303"/>
      <c r="J35" s="247" t="s">
        <v>616</v>
      </c>
      <c r="K35" s="230">
        <f>IF(OR(K$5=0,AND(K$5&lt;&gt;$A$86,K$5&lt;&gt;$A$87,K$5&lt;&gt;$A$88)),0,IF(K$5=$A$86,SUM('Balances y Proyecciones'!E28:E29),IF(K$5=$A$87,SUM('Balances y Proyecciones'!H28:H29),SUM('Balances y Proyecciones'!K28:K29))))</f>
        <v>0</v>
      </c>
      <c r="L35" s="231">
        <f>IF(OR(L$5=0,AND(L$5&lt;&gt;$A$87,L$5&lt;&gt;$A$89)),0,IF(L$5=$A$87,SUM('Balances y Proyecciones'!H28:H29),SUM('Balances y Proyecciones'!N28:N29)))</f>
        <v>0</v>
      </c>
      <c r="M35" s="231">
        <f>IF(OR(M$5=0,AND(M$5&lt;&gt;$A$89,M$5&lt;&gt;$A$90)),0,IF(M$5=$A$89,SUM('Balances y Proyecciones'!N28:N29),SUM('Balances y Proyecciones'!Q28:Q29)))</f>
        <v>0</v>
      </c>
      <c r="N35" s="225" t="str">
        <f t="shared" si="6"/>
        <v/>
      </c>
      <c r="O35" s="226" t="str">
        <f t="shared" si="7"/>
        <v/>
      </c>
      <c r="P35" s="227" t="str">
        <f t="shared" si="8"/>
        <v/>
      </c>
      <c r="Q35" s="228" t="str">
        <f t="shared" si="9"/>
        <v/>
      </c>
      <c r="R35" s="226" t="str">
        <f t="shared" si="10"/>
        <v/>
      </c>
      <c r="S35" s="304">
        <f>IF($K$5=$A$88,IF(M35-K35&lt;0,-(M35-K35),0),IF(M35-L35&lt;0,-(M35-L35),0))</f>
        <v>0</v>
      </c>
      <c r="T35" s="305">
        <f>IF($K$5=$A$88,IF(M35-K35&gt;0,M35-K35,0),IF(M35-L35&gt;0,M35-L35,0))</f>
        <v>0</v>
      </c>
      <c r="Y35" s="310"/>
      <c r="Z35" s="311"/>
      <c r="AA35" s="311"/>
    </row>
    <row r="36" spans="1:27" s="176" customFormat="1" ht="29.25" customHeight="1">
      <c r="A36" s="253" t="s">
        <v>912</v>
      </c>
      <c r="B36" s="250"/>
      <c r="C36" s="312">
        <f>IF(OR(K$5=0,AND(K$5&lt;&gt;$A$86,K$5&lt;&gt;$A$87,K$5&lt;&gt;$A$88)),0,IF(K$5=$A$86,'Balances y Proyecciones'!AP752,IF(K$5=$A$87,'Balances y Proyecciones'!AS752,'Balances y Proyecciones'!AV752)))</f>
        <v>0</v>
      </c>
      <c r="D36" s="312">
        <f>IF(OR(L$5=0,AND(L$5&lt;&gt;$A$87,L$5&lt;&gt;$A$89)),0,IF(L$5=$A$87,'Balances y Proyecciones'!AS752,'Balances y Proyecciones'!AY752))</f>
        <v>0</v>
      </c>
      <c r="E36" s="312">
        <f>IF(OR(M$5=0,AND(M$5&lt;&gt;$A$89,M$5&lt;&gt;$A$90)),0,IF(M$5=$A$89,'Balances y Proyecciones'!AY752,'Balances y Proyecciones'!BB752))</f>
        <v>0</v>
      </c>
      <c r="F36" s="257"/>
      <c r="G36" s="256"/>
      <c r="I36" s="303"/>
      <c r="J36" s="247" t="s">
        <v>640</v>
      </c>
      <c r="K36" s="230">
        <f>IF(OR(K$5=0,AND(K$5&lt;&gt;$A$86,K$5&lt;&gt;$A$87,K$5&lt;&gt;$A$88)),0,IF(K$5=$A$86,'Balances y Proyecciones'!E27,IF(K$5=$A$87,'Balances y Proyecciones'!H27,'Balances y Proyecciones'!K27)))</f>
        <v>0</v>
      </c>
      <c r="L36" s="231">
        <f>IF(OR(L$5=0,AND(L$5&lt;&gt;$A$87,L$5&lt;&gt;$A$89)),0,IF(L$5=$A$87,'Balances y Proyecciones'!H27,'Balances y Proyecciones'!N27))</f>
        <v>0</v>
      </c>
      <c r="M36" s="231">
        <f>IF(OR(M$5=0,AND(M$5&lt;&gt;$A$89,M$5&lt;&gt;$A$90)),0,IF(M$5=$A$89,'Balances y Proyecciones'!N27,'Balances y Proyecciones'!Q27))</f>
        <v>0</v>
      </c>
      <c r="N36" s="225" t="str">
        <f t="shared" si="6"/>
        <v/>
      </c>
      <c r="O36" s="226" t="str">
        <f t="shared" si="7"/>
        <v/>
      </c>
      <c r="P36" s="227" t="str">
        <f t="shared" si="8"/>
        <v/>
      </c>
      <c r="Q36" s="228" t="str">
        <f t="shared" si="9"/>
        <v/>
      </c>
      <c r="R36" s="226" t="str">
        <f t="shared" si="10"/>
        <v/>
      </c>
      <c r="S36" s="304">
        <f>IF($K$5=$A$88,IF(M36-K36&lt;0,-(M36-K36),0),IF(M36-L36&lt;0,-(M36-L36),0))</f>
        <v>0</v>
      </c>
      <c r="T36" s="305">
        <f>IF($K$5=$A$88,IF(M36-K36&gt;0,M36-K36,0),IF(M36-L36&gt;0,M36-L36,0))</f>
        <v>0</v>
      </c>
    </row>
    <row r="37" spans="1:27" s="176" customFormat="1" ht="29.25" customHeight="1">
      <c r="A37" s="253" t="s">
        <v>913</v>
      </c>
      <c r="B37" s="250"/>
      <c r="C37" s="254" t="str">
        <f>P52</f>
        <v/>
      </c>
      <c r="D37" s="254" t="str">
        <f>Q52</f>
        <v/>
      </c>
      <c r="E37" s="254" t="str">
        <f>R52</f>
        <v/>
      </c>
      <c r="F37" s="255"/>
      <c r="G37" s="256"/>
      <c r="I37" s="303"/>
      <c r="J37" s="308" t="s">
        <v>605</v>
      </c>
      <c r="K37" s="230">
        <f>IF(OR(K$5=0,AND(K$5&lt;&gt;$A$86,K$5&lt;&gt;$A$87,K$5&lt;&gt;$A$88)),0,IF(K$5=$A$86,'Balances y Proyecciones'!E31,IF(K$5=$A$87,'Balances y Proyecciones'!H31,'Balances y Proyecciones'!K31)))</f>
        <v>0</v>
      </c>
      <c r="L37" s="231">
        <f>IF(OR(L$5=0,AND(L$5&lt;&gt;$A$87,L$5&lt;&gt;$A$89)),0,IF(L$5=$A$87,'Balances y Proyecciones'!H31,'Balances y Proyecciones'!N31))</f>
        <v>0</v>
      </c>
      <c r="M37" s="231">
        <f>IF(OR(M$5=0,AND(M$5&lt;&gt;$A$89,M$5&lt;&gt;$A$90)),0,IF(M$5=$A$89,'Balances y Proyecciones'!N31,'Balances y Proyecciones'!Q31))</f>
        <v>0</v>
      </c>
      <c r="N37" s="225" t="str">
        <f t="shared" si="6"/>
        <v/>
      </c>
      <c r="O37" s="226" t="str">
        <f t="shared" si="7"/>
        <v/>
      </c>
      <c r="P37" s="309" t="str">
        <f t="shared" si="8"/>
        <v/>
      </c>
      <c r="Q37" s="228" t="str">
        <f t="shared" si="9"/>
        <v/>
      </c>
      <c r="R37" s="226" t="str">
        <f t="shared" si="10"/>
        <v/>
      </c>
      <c r="S37" s="304">
        <f>IF($K$5=$A$88,IF(M37-K37&lt;0,-(M37-K37),0),IF(M37-L37&lt;0,-(M37-L37),0))</f>
        <v>0</v>
      </c>
      <c r="T37" s="305">
        <f>IF($K$5=$A$88,IF(M37-K37&gt;0,M37-K37,0),IF(M37-L37&gt;0,M37-L37,0))</f>
        <v>0</v>
      </c>
    </row>
    <row r="38" spans="1:27" s="176" customFormat="1" ht="29.25" customHeight="1">
      <c r="A38" s="253" t="s">
        <v>914</v>
      </c>
      <c r="B38" s="250"/>
      <c r="C38" s="254" t="str">
        <f>IF(SUM(K45,K53)=0,"",K45/SUM(K45,K53))</f>
        <v/>
      </c>
      <c r="D38" s="254" t="str">
        <f>IF(SUM(L45,L53)=0,"",L45/SUM(L45,L53))</f>
        <v/>
      </c>
      <c r="E38" s="254" t="str">
        <f>IF(SUM(M45,M53)=0,"",M45/SUM(M45,M53))</f>
        <v/>
      </c>
      <c r="F38" s="255"/>
      <c r="G38" s="256"/>
      <c r="I38" s="303"/>
      <c r="J38" s="317" t="s">
        <v>652</v>
      </c>
      <c r="K38" s="230">
        <f>IF(OR(K$5=0,AND(K$5&lt;&gt;$A$86,K$5&lt;&gt;$A$87,K$5&lt;&gt;$A$88)),0,IF(K$5=$A$86,'Balances y Proyecciones'!E30,IF(K$5=$A$87,'Balances y Proyecciones'!H30,'Balances y Proyecciones'!K30)))</f>
        <v>0</v>
      </c>
      <c r="L38" s="231">
        <f>IF(OR(L$5=0,AND(L$5&lt;&gt;$A$87,L$5&lt;&gt;$A$89)),0,IF(L$5=$A$87,'Balances y Proyecciones'!H30,'Balances y Proyecciones'!N30))</f>
        <v>0</v>
      </c>
      <c r="M38" s="231">
        <f>IF(OR(M$5=0,AND(M$5&lt;&gt;$A$89,M$5&lt;&gt;$A$90)),0,IF(M$5=$A$89,'Balances y Proyecciones'!N30,'Balances y Proyecciones'!Q30))</f>
        <v>0</v>
      </c>
      <c r="N38" s="225" t="str">
        <f t="shared" si="6"/>
        <v/>
      </c>
      <c r="O38" s="226" t="str">
        <f t="shared" si="7"/>
        <v/>
      </c>
      <c r="P38" s="309" t="str">
        <f t="shared" si="8"/>
        <v/>
      </c>
      <c r="Q38" s="228" t="str">
        <f t="shared" si="9"/>
        <v/>
      </c>
      <c r="R38" s="226" t="str">
        <f t="shared" si="10"/>
        <v/>
      </c>
      <c r="S38" s="304">
        <f>IF($K$5=$A$88,IF(M38-K38&lt;0,-(M38-K38),0),IF(M38-L38&lt;0,-(M38-L38),0))</f>
        <v>0</v>
      </c>
      <c r="T38" s="305">
        <f>IF($K$5=$A$88,IF(M38-K38&gt;0,M38-K38,0),IF(M38-L38&gt;0,M38-L38,0))</f>
        <v>0</v>
      </c>
    </row>
    <row r="39" spans="1:27" s="176" customFormat="1" ht="29.25" customHeight="1">
      <c r="A39" s="253" t="s">
        <v>915</v>
      </c>
      <c r="B39" s="250"/>
      <c r="C39" s="254">
        <f>IF(OR(K$5=0,AND(K$5&lt;&gt;$A$86,K$5&lt;&gt;$A$87,K$5&lt;&gt;$A$88)),0,IF(K$5=$A$86,'Balances y Proyecciones'!AP743,IF(K$5=$A$87,'Balances y Proyecciones'!AS743,'Balances y Proyecciones'!AV743)))</f>
        <v>0</v>
      </c>
      <c r="D39" s="254">
        <f>IF(OR(L$5=0,AND(L$5&lt;&gt;$A$87,L$5&lt;&gt;$A$89)),0,IF(L$5=$A$87,'Balances y Proyecciones'!AS743,'Balances y Proyecciones'!AY743))</f>
        <v>0</v>
      </c>
      <c r="E39" s="254">
        <f>IF(OR(M$5=0,AND(M$5&lt;&gt;$A$89,M$5&lt;&gt;$A$90)),0,IF(M$5=$A$89,'Balances y Proyecciones'!AY743,'Balances y Proyecciones'!BB743))</f>
        <v>0</v>
      </c>
      <c r="F39" s="255"/>
      <c r="G39" s="256"/>
      <c r="I39" s="303"/>
      <c r="J39" s="247" t="s">
        <v>916</v>
      </c>
      <c r="K39" s="230">
        <f>IF(OR(K$5=0,AND(K$5&lt;&gt;$A$86,K$5&lt;&gt;$A$87,K$5&lt;&gt;$A$88)),0,IF(K$5=$A$86,'Balances y Proyecciones'!E32,IF(K$5=$A$87,'Balances y Proyecciones'!H32,'Balances y Proyecciones'!K32)))</f>
        <v>0</v>
      </c>
      <c r="L39" s="231">
        <f>IF(OR(L$5=0,AND(L$5&lt;&gt;$A$87,L$5&lt;&gt;$A$89)),0,IF(L$5=$A$87,'Balances y Proyecciones'!H32,'Balances y Proyecciones'!N32))</f>
        <v>0</v>
      </c>
      <c r="M39" s="265">
        <f>IF(OR(M$5=0,AND(M$5&lt;&gt;$A$89,M$5&lt;&gt;$A$90)),0,IF(M$5=$A$89,'Balances y Proyecciones'!N32,'Balances y Proyecciones'!Q32))</f>
        <v>0</v>
      </c>
      <c r="N39" s="225" t="str">
        <f t="shared" si="6"/>
        <v/>
      </c>
      <c r="O39" s="226" t="str">
        <f t="shared" si="7"/>
        <v/>
      </c>
      <c r="P39" s="227" t="str">
        <f t="shared" si="8"/>
        <v/>
      </c>
      <c r="Q39" s="228" t="str">
        <f t="shared" si="9"/>
        <v/>
      </c>
      <c r="R39" s="226" t="str">
        <f t="shared" si="10"/>
        <v/>
      </c>
      <c r="S39" s="304">
        <f>IF($K$5=$A$88,IF(M39-K39&lt;0,-(M39-K39),0),IF(M39-L39&lt;0,-(M39-L39),0))</f>
        <v>0</v>
      </c>
      <c r="T39" s="305">
        <f>IF($K$5=$A$88,IF(M39-K39&gt;0,M39-K39,0),IF(M39-L39&gt;0,M39-L39,0))</f>
        <v>0</v>
      </c>
    </row>
    <row r="40" spans="1:27" s="176" customFormat="1" ht="29.25" customHeight="1">
      <c r="A40" s="248" t="s">
        <v>917</v>
      </c>
      <c r="B40" s="249"/>
      <c r="C40" s="259"/>
      <c r="D40" s="259"/>
      <c r="E40" s="259"/>
      <c r="F40" s="318"/>
      <c r="G40" s="302"/>
      <c r="I40" s="303"/>
      <c r="J40" s="247" t="s">
        <v>665</v>
      </c>
      <c r="K40" s="230">
        <f>IF(OR(K$5=0,AND(K$5&lt;&gt;$A$86,K$5&lt;&gt;$A$87,K$5&lt;&gt;$A$88)),0,IF(K$5=$A$86,'Balances y Proyecciones'!E33,IF(K$5=$A$87,'Balances y Proyecciones'!H33,'Balances y Proyecciones'!K33)))</f>
        <v>0</v>
      </c>
      <c r="L40" s="231">
        <f>IF(OR(L$5=0,AND(L$5&lt;&gt;$A$87,L$5&lt;&gt;$A$89)),0,IF(L$5=$A$87,'Balances y Proyecciones'!H33,'Balances y Proyecciones'!N33))</f>
        <v>0</v>
      </c>
      <c r="M40" s="231">
        <f>IF(OR(M$5=0,AND(M$5&lt;&gt;$A$89,M$5&lt;&gt;$A$90)),0,IF(M$5=$A$89,'Balances y Proyecciones'!N33,'Balances y Proyecciones'!Q33))</f>
        <v>0</v>
      </c>
      <c r="N40" s="225" t="str">
        <f t="shared" si="6"/>
        <v/>
      </c>
      <c r="O40" s="226" t="str">
        <f t="shared" si="7"/>
        <v/>
      </c>
      <c r="P40" s="227" t="str">
        <f t="shared" si="8"/>
        <v/>
      </c>
      <c r="Q40" s="228" t="str">
        <f t="shared" si="9"/>
        <v/>
      </c>
      <c r="R40" s="226" t="str">
        <f t="shared" si="10"/>
        <v/>
      </c>
      <c r="S40" s="304"/>
      <c r="T40" s="305"/>
    </row>
    <row r="41" spans="1:27" s="176" customFormat="1" ht="29.25" customHeight="1">
      <c r="A41" s="319" t="s">
        <v>918</v>
      </c>
      <c r="B41" s="260"/>
      <c r="C41" s="320" t="str">
        <f>IF(OR(K$5=0,AND(K$5&lt;&gt;$A$86,K$5&lt;&gt;$A$87,K$5&lt;&gt;$A$88)),0,IF(C112="ND","ND",IF(K$5=$A$86,'Balances y Proyecciones'!AP737,IF(K$5=$A$87,'Balances y Proyecciones'!AS737,'Balances y Proyecciones'!AV737))))</f>
        <v>ND</v>
      </c>
      <c r="D41" s="320" t="str">
        <f>IF(OR(L$5=0,AND(L$5&lt;&gt;$A$87,L$5&lt;&gt;$A$89)),0,IF(D112="ND","ND",IF(L$5=$A$87,'Balances y Proyecciones'!AS737,'Balances y Proyecciones'!AY737)))</f>
        <v>ND</v>
      </c>
      <c r="E41" s="320" t="str">
        <f>IF(OR(M$5=0,AND(M$5&lt;&gt;$A$89,M$5&lt;&gt;$A$90)),0,IF(E112="ND","ND",IF(M$5=$A$89,'Balances y Proyecciones'!AY737,'Balances y Proyecciones'!BB737)))</f>
        <v>ND</v>
      </c>
      <c r="F41" s="321"/>
      <c r="G41" s="268"/>
      <c r="I41" s="322" t="s">
        <v>670</v>
      </c>
      <c r="J41" s="323"/>
      <c r="K41" s="324">
        <f>SUM(K35:K40)</f>
        <v>0</v>
      </c>
      <c r="L41" s="325">
        <f>SUM(L35:L40)</f>
        <v>0</v>
      </c>
      <c r="M41" s="325">
        <f>SUM(M35:M40)</f>
        <v>0</v>
      </c>
      <c r="N41" s="326" t="str">
        <f t="shared" si="6"/>
        <v/>
      </c>
      <c r="O41" s="327" t="str">
        <f t="shared" si="7"/>
        <v/>
      </c>
      <c r="P41" s="328" t="str">
        <f t="shared" si="8"/>
        <v/>
      </c>
      <c r="Q41" s="329" t="str">
        <f t="shared" si="9"/>
        <v/>
      </c>
      <c r="R41" s="327" t="str">
        <f t="shared" si="10"/>
        <v/>
      </c>
      <c r="S41" s="330"/>
      <c r="T41" s="331"/>
    </row>
    <row r="42" spans="1:27" s="176" customFormat="1" ht="29.25" customHeight="1">
      <c r="A42" s="319" t="s">
        <v>919</v>
      </c>
      <c r="B42" s="260"/>
      <c r="C42" s="320" t="str">
        <f>IF(OR(K$5=0,AND(K$5&lt;&gt;$A$86,K$5&lt;&gt;$A$87,K$5&lt;&gt;$A$88)),0,IF(K$5=$A$86,'Balances y Proyecciones'!AP738,IF(K$5=$A$87,'Balances y Proyecciones'!AS738,'Balances y Proyecciones'!AV738)))</f>
        <v>N/A</v>
      </c>
      <c r="D42" s="320" t="str">
        <f>IF(OR(L$5=0,AND(L$5&lt;&gt;$A$87,L$5&lt;&gt;$A$89)),0,IF(L$5=$A$87,'Balances y Proyecciones'!AS738,'Balances y Proyecciones'!AY738))</f>
        <v>N/A</v>
      </c>
      <c r="E42" s="320" t="str">
        <f>IF(OR(M$5=0,AND(M$5&lt;&gt;$A$89,M$5&lt;&gt;$A$90)),0,IF(M$5=$A$89,'Balances y Proyecciones'!AY738,'Balances y Proyecciones'!BB738))</f>
        <v>N/A</v>
      </c>
      <c r="F42" s="321"/>
      <c r="G42" s="268"/>
      <c r="H42" s="169"/>
      <c r="I42" s="332" t="s">
        <v>671</v>
      </c>
      <c r="J42" s="333"/>
      <c r="K42" s="334">
        <f>SUM(K34,K41)</f>
        <v>0</v>
      </c>
      <c r="L42" s="335">
        <f>SUM(L34,L41)</f>
        <v>0</v>
      </c>
      <c r="M42" s="335">
        <f>SUM(M34,M41)</f>
        <v>0</v>
      </c>
      <c r="N42" s="336" t="str">
        <f t="shared" si="6"/>
        <v/>
      </c>
      <c r="O42" s="337" t="str">
        <f t="shared" si="7"/>
        <v/>
      </c>
      <c r="P42" s="338" t="str">
        <f t="shared" si="8"/>
        <v/>
      </c>
      <c r="Q42" s="339" t="str">
        <f t="shared" si="9"/>
        <v/>
      </c>
      <c r="R42" s="337" t="str">
        <f t="shared" si="10"/>
        <v/>
      </c>
      <c r="S42" s="340"/>
      <c r="T42" s="341"/>
    </row>
    <row r="43" spans="1:27" s="176" customFormat="1" ht="29.25" customHeight="1">
      <c r="A43" s="319" t="s">
        <v>920</v>
      </c>
      <c r="B43" s="260"/>
      <c r="C43" s="254" t="str">
        <f>C109</f>
        <v/>
      </c>
      <c r="D43" s="254" t="str">
        <f>D109</f>
        <v/>
      </c>
      <c r="E43" s="254" t="str">
        <f>E109</f>
        <v/>
      </c>
      <c r="F43" s="255"/>
      <c r="G43" s="342"/>
      <c r="I43" s="303"/>
      <c r="J43" s="308" t="s">
        <v>921</v>
      </c>
      <c r="K43" s="230">
        <f>IF(OR(K$5=0,AND(K$5&lt;&gt;$A$86,K$5&lt;&gt;$A$87,K$5&lt;&gt;$A$88)),0,IF(K$5=$A$86,'Estados Financieros'!E189-'Estados Financieros'!E188,IF(K$5=$A$87,'Estados Financieros'!F189-'Estados Financieros'!F188,'Estados Financieros'!I189-'Estados Financieros'!I188)))</f>
        <v>0</v>
      </c>
      <c r="L43" s="231">
        <f>IF(OR(L$5=0,AND(L$5&lt;&gt;$A$87,L$5&lt;&gt;$A$89)),0,IF(L$5=$A$87,'Estados Financieros'!F189-'Estados Financieros'!F188,'Estados Financieros'!G189-'Estados Financieros'!G188))</f>
        <v>0</v>
      </c>
      <c r="M43" s="231">
        <f>IF(OR(M$5=0,AND(M$5&lt;&gt;$A$89,M$5&lt;&gt;$A$90)),0,IF(M$5=$A$89,'Estados Financieros'!G189-'Estados Financieros'!G188,'Estados Financieros'!H189-'Estados Financieros'!H188))</f>
        <v>0</v>
      </c>
      <c r="N43" s="225" t="str">
        <f t="shared" si="6"/>
        <v/>
      </c>
      <c r="O43" s="226" t="str">
        <f t="shared" si="7"/>
        <v/>
      </c>
      <c r="P43" s="227" t="str">
        <f>IF(OR(K$28=0,K$28=""),"",K43/K$28)</f>
        <v/>
      </c>
      <c r="Q43" s="228" t="str">
        <f>IF(OR(L$28=0,L$28=""),"",L43/L$28)</f>
        <v/>
      </c>
      <c r="R43" s="226" t="str">
        <f>IF(M$28=0,"",M43/M$28)</f>
        <v/>
      </c>
      <c r="S43" s="343"/>
      <c r="T43" s="224"/>
    </row>
    <row r="44" spans="1:27" s="176" customFormat="1" ht="29.25" customHeight="1">
      <c r="A44" s="344" t="s">
        <v>922</v>
      </c>
      <c r="B44" s="345"/>
      <c r="C44" s="346">
        <f>IF(OR(K$5=0,AND(K$5&lt;&gt;$A$86,K$5&lt;&gt;$A$87,K$5&lt;&gt;$A$88)),0,IF(K$5=$A$86,'Balances y Proyecciones'!AP741,IF(K$5=$A$87,'Balances y Proyecciones'!AS741,'Balances y Proyecciones'!AV741)))</f>
        <v>0</v>
      </c>
      <c r="D44" s="346">
        <f>IF(OR(L$5=0,AND(L$5&lt;&gt;$A$87,L$5&lt;&gt;$A$89)),0,IF(L$5=$A$87,'Balances y Proyecciones'!AS741,'Balances y Proyecciones'!AY741))</f>
        <v>0</v>
      </c>
      <c r="E44" s="346">
        <f>IF(OR(M$5=0,AND(M$5&lt;&gt;$A$89,M$5&lt;&gt;$A$90)),0,IF(M$5=$A$89,'Balances y Proyecciones'!AY741,'Balances y Proyecciones'!BB741))</f>
        <v>0</v>
      </c>
      <c r="F44" s="347"/>
      <c r="G44" s="268"/>
      <c r="I44" s="348" t="s">
        <v>678</v>
      </c>
      <c r="J44" s="349"/>
      <c r="K44" s="350"/>
      <c r="L44" s="351"/>
      <c r="M44" s="351"/>
      <c r="N44" s="352"/>
      <c r="O44" s="352"/>
      <c r="P44" s="353"/>
      <c r="Q44" s="352"/>
      <c r="R44" s="352"/>
      <c r="S44" s="354"/>
      <c r="T44" s="355"/>
    </row>
    <row r="45" spans="1:27" s="176" customFormat="1" ht="29.25" customHeight="1">
      <c r="A45" s="248" t="s">
        <v>923</v>
      </c>
      <c r="B45" s="249"/>
      <c r="C45" s="356"/>
      <c r="D45" s="357"/>
      <c r="E45" s="357"/>
      <c r="F45" s="358"/>
      <c r="G45" s="342"/>
      <c r="I45" s="303"/>
      <c r="J45" s="308" t="s">
        <v>680</v>
      </c>
      <c r="K45" s="230">
        <f>IF(OR(K$5=0,AND(K$5&lt;&gt;$A$86,K$5&lt;&gt;$A$87,K$5&lt;&gt;$A$88)),0,IF(K$5=$A$86,SUM('Balances y Proyecciones'!E36:E39),IF(K$5=$A$87,SUM('Balances y Proyecciones'!H36:H39),SUM('Balances y Proyecciones'!K36:K39))))</f>
        <v>0</v>
      </c>
      <c r="L45" s="231">
        <f>IF(OR(L$5=0,AND(L$5&lt;&gt;$A$87,L$5&lt;&gt;$A$89)),0,IF(L$5=$A$87,SUM('Balances y Proyecciones'!H36:H39),SUM('Balances y Proyecciones'!N36:N39)))</f>
        <v>0</v>
      </c>
      <c r="M45" s="359">
        <f>IF(OR(M$5=0,AND(M$5&lt;&gt;$A$89,M$5&lt;&gt;$A$90)),0,IF(M$5=$A$89,SUM('Balances y Proyecciones'!N36:N39),SUM('Balances y Proyecciones'!Q36:Q39)))</f>
        <v>0</v>
      </c>
      <c r="N45" s="225" t="str">
        <f t="shared" ref="N45:N59" si="11">IF(OR(K45=0,K45="",$L$5=""),"",L45/K45-1)</f>
        <v/>
      </c>
      <c r="O45" s="226" t="str">
        <f t="shared" ref="O45:O59" si="12">IF($K$5=$A$88,IF(OR(K45=0,K45=""),"",M45/K45-1),IF(OR(L45=0,L45=""),"",M45/L45-1))</f>
        <v/>
      </c>
      <c r="P45" s="227" t="str">
        <f t="shared" ref="P45:P59" si="13">IF(OR(K$59=0,K$59=""),"",K45/K$59)</f>
        <v/>
      </c>
      <c r="Q45" s="228" t="str">
        <f t="shared" ref="Q45:Q59" si="14">IF(OR(L$59=0,L$59=""),"",L45/L$59)</f>
        <v/>
      </c>
      <c r="R45" s="226" t="str">
        <f t="shared" ref="R45:R59" si="15">IF(OR(M$59=0,M$59=""),"",M45/M$59)</f>
        <v/>
      </c>
      <c r="S45" s="304">
        <f t="shared" ref="S45:S51" si="16">IF($K$5=$A$88,IF(M45-K45&gt;0,M45-K45,0),IF(M45-L45&gt;0,M45-L45,0))</f>
        <v>0</v>
      </c>
      <c r="T45" s="305">
        <f t="shared" ref="T45:T51" si="17">IF($K$5=$A$88,IF(M45-K45&lt;0,-(M45-K45),0),IF(M45-L45&lt;0,-(M45-L45),0))</f>
        <v>0</v>
      </c>
    </row>
    <row r="46" spans="1:27" s="176" customFormat="1" ht="29.25" customHeight="1">
      <c r="A46" s="319" t="s">
        <v>924</v>
      </c>
      <c r="B46" s="260"/>
      <c r="C46" s="360" t="str">
        <f>IF(OR(K$5=0,AND(K$5&lt;&gt;$A$86,K$5&lt;&gt;$A$87,K$5&lt;&gt;$A$88)),0,IF(K$5=$A$86,IF('Balances y Proyecciones'!AP709=0,"",'Balances y Proyecciones'!AP710/'Balances y Proyecciones'!AP709),IF(K$5=$A$87,IF('Balances y Proyecciones'!AS709=0,"",'Balances y Proyecciones'!AS710/'Balances y Proyecciones'!AS709),IF('Balances y Proyecciones'!AV709=0,"",'Balances y Proyecciones'!AV710/'Balances y Proyecciones'!AV709))))</f>
        <v/>
      </c>
      <c r="D46" s="360" t="str">
        <f>IF(OR(L$5=0,AND(L$5&lt;&gt;$A$87,L$5&lt;&gt;$A$89)),0,IF(L$5=$A$87,IF('Balances y Proyecciones'!AS709=0,"",'Balances y Proyecciones'!AS710/'Balances y Proyecciones'!AS709),IF('Balances y Proyecciones'!AY709=0,"",'Balances y Proyecciones'!AY710/'Balances y Proyecciones'!AY709)))</f>
        <v/>
      </c>
      <c r="E46" s="360" t="str">
        <f>IF(OR(M$5=0,AND(M$5&lt;&gt;$A$89,M$5&lt;&gt;$A$90)),0,IF(M$5=$A$89,IF('Balances y Proyecciones'!AY709=0,"",'Balances y Proyecciones'!AY710/'Balances y Proyecciones'!AY709),IF('Balances y Proyecciones'!BB709=0,"",'Balances y Proyecciones'!BB710/'Balances y Proyecciones'!BB709)))</f>
        <v/>
      </c>
      <c r="F46" s="169"/>
      <c r="G46" s="302"/>
      <c r="I46" s="303"/>
      <c r="J46" s="308" t="s">
        <v>685</v>
      </c>
      <c r="K46" s="230">
        <f>IF(OR(K$5=0,AND(K$5&lt;&gt;$A$86,K$5&lt;&gt;$A$87,K$5&lt;&gt;$A$88)),0,IF(K$5=$A$86,'Balances y Proyecciones'!E40,IF(K$5=$A$87,'Balances y Proyecciones'!H40,'Balances y Proyecciones'!K40)))</f>
        <v>0</v>
      </c>
      <c r="L46" s="231">
        <f>IF(OR(L$5=0,AND(L$5&lt;&gt;$A$87,L$5&lt;&gt;$A$89)),0,IF(L$5=$A$87,'Balances y Proyecciones'!H40,'Balances y Proyecciones'!N40))</f>
        <v>0</v>
      </c>
      <c r="M46" s="359">
        <f>IF(OR(M$5=0,AND(M$5&lt;&gt;$A$89,M$5&lt;&gt;$A$90)),0,IF(M$5=$A$89,'Balances y Proyecciones'!N40,'Balances y Proyecciones'!Q40))</f>
        <v>0</v>
      </c>
      <c r="N46" s="225" t="str">
        <f t="shared" si="11"/>
        <v/>
      </c>
      <c r="O46" s="226" t="str">
        <f t="shared" si="12"/>
        <v/>
      </c>
      <c r="P46" s="227" t="str">
        <f t="shared" si="13"/>
        <v/>
      </c>
      <c r="Q46" s="228" t="str">
        <f t="shared" si="14"/>
        <v/>
      </c>
      <c r="R46" s="226" t="str">
        <f t="shared" si="15"/>
        <v/>
      </c>
      <c r="S46" s="304">
        <f t="shared" si="16"/>
        <v>0</v>
      </c>
      <c r="T46" s="305">
        <f t="shared" si="17"/>
        <v>0</v>
      </c>
    </row>
    <row r="47" spans="1:27" s="176" customFormat="1" ht="29.25" customHeight="1">
      <c r="A47" s="361" t="s">
        <v>925</v>
      </c>
      <c r="B47" s="260"/>
      <c r="C47" s="362"/>
      <c r="D47" s="362"/>
      <c r="E47" s="362"/>
      <c r="F47" s="363"/>
      <c r="G47" s="302"/>
      <c r="H47" s="364"/>
      <c r="I47" s="303"/>
      <c r="J47" s="247" t="s">
        <v>689</v>
      </c>
      <c r="K47" s="230">
        <f>IF(OR(K$5=0,AND(K$5&lt;&gt;$A$86,K$5&lt;&gt;$A$87,K$5&lt;&gt;$A$88)),0,IF(K$5=$A$86,'Balances y Proyecciones'!E44,IF(K$5=$A$87,'Balances y Proyecciones'!H44,'Balances y Proyecciones'!K44)))</f>
        <v>0</v>
      </c>
      <c r="L47" s="231">
        <f>IF(OR(L$5=0,AND(L$5&lt;&gt;$A$87,L$5&lt;&gt;$A$89)),0,IF(L$5=$A$87,'Balances y Proyecciones'!H44,'Balances y Proyecciones'!N44))</f>
        <v>0</v>
      </c>
      <c r="M47" s="265">
        <f>IF(OR(M$5=0,AND(M$5&lt;&gt;$A$89,M$5&lt;&gt;$A$90)),0,IF(M$5=$A$89,'Balances y Proyecciones'!N44,'Balances y Proyecciones'!Q44))</f>
        <v>0</v>
      </c>
      <c r="N47" s="225" t="str">
        <f t="shared" si="11"/>
        <v/>
      </c>
      <c r="O47" s="226" t="str">
        <f t="shared" si="12"/>
        <v/>
      </c>
      <c r="P47" s="227" t="str">
        <f t="shared" si="13"/>
        <v/>
      </c>
      <c r="Q47" s="228" t="str">
        <f t="shared" si="14"/>
        <v/>
      </c>
      <c r="R47" s="226" t="str">
        <f t="shared" si="15"/>
        <v/>
      </c>
      <c r="S47" s="304">
        <f t="shared" si="16"/>
        <v>0</v>
      </c>
      <c r="T47" s="305">
        <f t="shared" si="17"/>
        <v>0</v>
      </c>
    </row>
    <row r="48" spans="1:27" s="176" customFormat="1" ht="29.25" customHeight="1">
      <c r="A48" s="319" t="s">
        <v>926</v>
      </c>
      <c r="B48" s="318"/>
      <c r="C48" s="365">
        <f>Presentación!E5</f>
        <v>0</v>
      </c>
      <c r="D48" s="365">
        <f>IF(L5=A87,C124,IF(L5=A89,D124,"N/D"))</f>
        <v>0</v>
      </c>
      <c r="E48" s="365">
        <f>IF(M5=A89,D124,E124)</f>
        <v>0</v>
      </c>
      <c r="F48" s="366"/>
      <c r="G48" s="302"/>
      <c r="H48" s="364"/>
      <c r="I48" s="303"/>
      <c r="J48" s="221" t="s">
        <v>704</v>
      </c>
      <c r="K48" s="230">
        <f>IF(OR(K$5=0,AND(K$5&lt;&gt;$A$86,K$5&lt;&gt;$A$87,K$5&lt;&gt;$A$88)),0,IF(K$5=$A$86,'Balances y Proyecciones'!E42,IF(K$5=$A$87,'Balances y Proyecciones'!H42,'Balances y Proyecciones'!K42)))</f>
        <v>0</v>
      </c>
      <c r="L48" s="231">
        <f>IF(OR(L$5=0,AND(L$5&lt;&gt;$A$87,L$5&lt;&gt;$A$89)),0,IF(L$5=$A$87,'Balances y Proyecciones'!H42,'Balances y Proyecciones'!N42))</f>
        <v>0</v>
      </c>
      <c r="M48" s="359">
        <f>IF(OR(M$5=0,AND(M$5&lt;&gt;$A$89,M$5&lt;&gt;$A$90)),0,IF(M$5=$A$89,'Balances y Proyecciones'!N42,'Balances y Proyecciones'!Q42))</f>
        <v>0</v>
      </c>
      <c r="N48" s="225" t="str">
        <f t="shared" si="11"/>
        <v/>
      </c>
      <c r="O48" s="226" t="str">
        <f t="shared" si="12"/>
        <v/>
      </c>
      <c r="P48" s="227" t="str">
        <f t="shared" si="13"/>
        <v/>
      </c>
      <c r="Q48" s="228" t="str">
        <f t="shared" si="14"/>
        <v/>
      </c>
      <c r="R48" s="226" t="str">
        <f t="shared" si="15"/>
        <v/>
      </c>
      <c r="S48" s="304">
        <f t="shared" si="16"/>
        <v>0</v>
      </c>
      <c r="T48" s="305">
        <f t="shared" si="17"/>
        <v>0</v>
      </c>
    </row>
    <row r="49" spans="1:23" s="176" customFormat="1" ht="25">
      <c r="A49" s="319" t="s">
        <v>927</v>
      </c>
      <c r="B49" s="169"/>
      <c r="C49" s="367">
        <f>IFERROR(HLOOKUP($C$11,$C$116:$E$117,2),"N/D")</f>
        <v>0</v>
      </c>
      <c r="D49" s="367">
        <f>IFERROR(HLOOKUP($D$11,$C$116:$E$117,2),"N/D")</f>
        <v>0</v>
      </c>
      <c r="E49" s="367">
        <f>IFERROR(HLOOKUP($E$11,$C$116:$E$117,2),E117)</f>
        <v>0</v>
      </c>
      <c r="F49" s="366"/>
      <c r="G49" s="368"/>
      <c r="H49" s="369"/>
      <c r="I49" s="303"/>
      <c r="J49" s="308" t="s">
        <v>709</v>
      </c>
      <c r="K49" s="230">
        <f>IF(OR(K$5=0,AND(K$5&lt;&gt;$A$86,K$5&lt;&gt;$A$87,K$5&lt;&gt;$A$88)),0,IF(K$5=$A$86,'Balances y Proyecciones'!E41,IF(K$5=$A$87,'Balances y Proyecciones'!H41,'Balances y Proyecciones'!K41)))</f>
        <v>0</v>
      </c>
      <c r="L49" s="231">
        <f>IF(OR(L$5=0,AND(L$5&lt;&gt;$A$87,L$5&lt;&gt;$A$89)),0,IF(L$5=$A$87,'Balances y Proyecciones'!H41,'Balances y Proyecciones'!N41))</f>
        <v>0</v>
      </c>
      <c r="M49" s="359">
        <f>IF(OR(M$5=0,AND(M$5&lt;&gt;$A$89,M$5&lt;&gt;$A$90)),0,IF(M$5=$A$89,'Balances y Proyecciones'!N41,'Balances y Proyecciones'!Q41))</f>
        <v>0</v>
      </c>
      <c r="N49" s="225" t="str">
        <f t="shared" si="11"/>
        <v/>
      </c>
      <c r="O49" s="226" t="str">
        <f t="shared" si="12"/>
        <v/>
      </c>
      <c r="P49" s="309" t="str">
        <f t="shared" si="13"/>
        <v/>
      </c>
      <c r="Q49" s="228" t="str">
        <f t="shared" si="14"/>
        <v/>
      </c>
      <c r="R49" s="226" t="str">
        <f t="shared" si="15"/>
        <v/>
      </c>
      <c r="S49" s="304">
        <f t="shared" si="16"/>
        <v>0</v>
      </c>
      <c r="T49" s="305">
        <f t="shared" si="17"/>
        <v>0</v>
      </c>
    </row>
    <row r="50" spans="1:23" s="176" customFormat="1" ht="25">
      <c r="A50" s="370" t="str">
        <f>"PARÁMETROS DE APROBACIÓN - LÍMITES DIRECTOS (CON RESPECTO A CIFRAS A CIERRE DE 2."&amp;RIGHT(E76,3)&amp;")"</f>
        <v>PARÁMETROS DE APROBACIÓN - LÍMITES DIRECTOS (CON RESPECTO A CIFRAS A CIERRE DE 2.019)</v>
      </c>
      <c r="B50" s="371"/>
      <c r="C50" s="371"/>
      <c r="D50" s="371"/>
      <c r="E50" s="371"/>
      <c r="F50" s="371"/>
      <c r="G50" s="372"/>
      <c r="H50" s="373"/>
      <c r="I50" s="303"/>
      <c r="J50" s="247" t="s">
        <v>717</v>
      </c>
      <c r="K50" s="230">
        <f>IF(OR(K$5=0,AND(K$5&lt;&gt;$A$86,K$5&lt;&gt;$A$87,K$5&lt;&gt;$A$88)),0,IF(K$5=$A$86,'Balances y Proyecciones'!E46,IF(K$5=$A$87,'Balances y Proyecciones'!H46,'Balances y Proyecciones'!K46)))</f>
        <v>0</v>
      </c>
      <c r="L50" s="231">
        <f>IF(OR(L$5=0,AND(L$5&lt;&gt;$A$87,L$5&lt;&gt;$A$89)),0,IF(L$5=$A$87,'Balances y Proyecciones'!H46,'Balances y Proyecciones'!N46))</f>
        <v>0</v>
      </c>
      <c r="M50" s="359">
        <f>IF(OR(M$5=0,AND(M$5&lt;&gt;$A$89,M$5&lt;&gt;$A$90)),0,IF(M$5=$A$89,'Balances y Proyecciones'!N46,'Balances y Proyecciones'!Q46))</f>
        <v>0</v>
      </c>
      <c r="N50" s="225" t="str">
        <f t="shared" si="11"/>
        <v/>
      </c>
      <c r="O50" s="226" t="str">
        <f t="shared" si="12"/>
        <v/>
      </c>
      <c r="P50" s="227" t="str">
        <f t="shared" si="13"/>
        <v/>
      </c>
      <c r="Q50" s="228" t="str">
        <f t="shared" si="14"/>
        <v/>
      </c>
      <c r="R50" s="226" t="str">
        <f t="shared" si="15"/>
        <v/>
      </c>
      <c r="S50" s="304">
        <f t="shared" si="16"/>
        <v>0</v>
      </c>
      <c r="T50" s="305">
        <f t="shared" si="17"/>
        <v>0</v>
      </c>
    </row>
    <row r="51" spans="1:23" s="176" customFormat="1" ht="25">
      <c r="A51" s="374" t="s">
        <v>928</v>
      </c>
      <c r="B51" s="375">
        <f>10%*M8</f>
        <v>0</v>
      </c>
      <c r="C51" s="376" t="s">
        <v>929</v>
      </c>
      <c r="D51" s="377">
        <f>5%*M42</f>
        <v>0</v>
      </c>
      <c r="E51" s="378"/>
      <c r="F51" s="379" t="s">
        <v>930</v>
      </c>
      <c r="G51" s="377">
        <f>20%*M69</f>
        <v>0</v>
      </c>
      <c r="H51" s="380">
        <f>CIFIN!A15</f>
        <v>113</v>
      </c>
      <c r="I51" s="303"/>
      <c r="J51" s="308" t="s">
        <v>931</v>
      </c>
      <c r="K51" s="230">
        <f>IF(OR(K$5=0,AND(K$5&lt;&gt;$A$86,K$5&lt;&gt;$A$87,K$5&lt;&gt;$A$88)),0,IF(K$5=$A$86,'Balances y Proyecciones'!E43+'Balances y Proyecciones'!E45+'Balances y Proyecciones'!E47,IF(K$5=$A$87,'Balances y Proyecciones'!H43+'Balances y Proyecciones'!H45+'Balances y Proyecciones'!H47,'Balances y Proyecciones'!K43+'Balances y Proyecciones'!K45+'Balances y Proyecciones'!K47)))</f>
        <v>0</v>
      </c>
      <c r="L51" s="231">
        <f>IF(OR(L$5=0,AND(L$5&lt;&gt;$A$87,L$5&lt;&gt;$A$89)),0,IF(L$5=$A$87,'Balances y Proyecciones'!H43+'Balances y Proyecciones'!H45+'Balances y Proyecciones'!H47,'Balances y Proyecciones'!N43+'Balances y Proyecciones'!N45+'Balances y Proyecciones'!N47))</f>
        <v>0</v>
      </c>
      <c r="M51" s="359">
        <f>IF(OR(M$5=0,AND(M$5&lt;&gt;$A$89,M$5&lt;&gt;$A$90)),0,IF(M$5=$A$89,'Balances y Proyecciones'!N43+'Balances y Proyecciones'!N45+'Balances y Proyecciones'!N47,'Balances y Proyecciones'!Q43+'Balances y Proyecciones'!Q45+'Balances y Proyecciones'!Q47))</f>
        <v>0</v>
      </c>
      <c r="N51" s="225" t="str">
        <f t="shared" si="11"/>
        <v/>
      </c>
      <c r="O51" s="226" t="str">
        <f t="shared" si="12"/>
        <v/>
      </c>
      <c r="P51" s="227" t="str">
        <f t="shared" si="13"/>
        <v/>
      </c>
      <c r="Q51" s="228" t="str">
        <f t="shared" si="14"/>
        <v/>
      </c>
      <c r="R51" s="226" t="str">
        <f t="shared" si="15"/>
        <v/>
      </c>
      <c r="S51" s="304">
        <f t="shared" si="16"/>
        <v>0</v>
      </c>
      <c r="T51" s="305">
        <f t="shared" si="17"/>
        <v>0</v>
      </c>
    </row>
    <row r="52" spans="1:23" s="176" customFormat="1" ht="25">
      <c r="A52" s="381" t="s">
        <v>932</v>
      </c>
      <c r="B52" s="382"/>
      <c r="C52" s="382"/>
      <c r="D52" s="382"/>
      <c r="E52" s="382"/>
      <c r="F52" s="382"/>
      <c r="G52" s="383"/>
      <c r="H52" s="384">
        <f>CIFIN!A16</f>
        <v>114</v>
      </c>
      <c r="I52" s="235" t="s">
        <v>739</v>
      </c>
      <c r="J52" s="252"/>
      <c r="K52" s="237">
        <f>SUM(K45:K51)</f>
        <v>0</v>
      </c>
      <c r="L52" s="238">
        <f>SUM(L45:L51)</f>
        <v>0</v>
      </c>
      <c r="M52" s="385">
        <f>SUM(M45:M51)</f>
        <v>0</v>
      </c>
      <c r="N52" s="239" t="str">
        <f t="shared" si="11"/>
        <v/>
      </c>
      <c r="O52" s="240" t="str">
        <f t="shared" si="12"/>
        <v/>
      </c>
      <c r="P52" s="314" t="str">
        <f t="shared" si="13"/>
        <v/>
      </c>
      <c r="Q52" s="241" t="str">
        <f t="shared" si="14"/>
        <v/>
      </c>
      <c r="R52" s="240" t="str">
        <f t="shared" si="15"/>
        <v/>
      </c>
      <c r="S52" s="315"/>
      <c r="T52" s="316"/>
      <c r="W52"/>
    </row>
    <row r="53" spans="1:23" s="176" customFormat="1" ht="23">
      <c r="A53" s="386" t="s">
        <v>933</v>
      </c>
      <c r="B53" s="387">
        <f>CIFIN!G50</f>
        <v>0</v>
      </c>
      <c r="C53" s="387">
        <f>CIFIN!G30</f>
        <v>0</v>
      </c>
      <c r="D53" s="388">
        <f>CIFIN!G10</f>
        <v>0</v>
      </c>
      <c r="E53" s="389" t="s">
        <v>934</v>
      </c>
      <c r="F53" s="386" t="s">
        <v>935</v>
      </c>
      <c r="G53" s="390" t="s">
        <v>936</v>
      </c>
      <c r="H53" s="384">
        <f>CIFIN!A17</f>
        <v>115</v>
      </c>
      <c r="I53" s="303"/>
      <c r="J53" s="247" t="s">
        <v>741</v>
      </c>
      <c r="K53" s="230">
        <f>IF(OR(K$5=0,AND(K$5&lt;&gt;$A$86,K$5&lt;&gt;$A$87,K$5&lt;&gt;$A$88)),0,IF(K$5=$A$86,SUM('Balances y Proyecciones'!E49:E51),IF(K$5=$A$87,SUM('Balances y Proyecciones'!H49:H51),SUM('Balances y Proyecciones'!K49:K51))))</f>
        <v>0</v>
      </c>
      <c r="L53" s="231">
        <f>IF(OR(L$5=0,AND(L$5&lt;&gt;$A$87,L$5&lt;&gt;$A$89)),0,IF(L$5=$A$87,SUM('Balances y Proyecciones'!H49:H51),SUM('Balances y Proyecciones'!N49:N51)))</f>
        <v>0</v>
      </c>
      <c r="M53" s="359">
        <f>IF(OR(M$5=0,AND(M$5&lt;&gt;$A$89,M$5&lt;&gt;$A$90)),0,IF(M$5=$A$89,SUM('Balances y Proyecciones'!N49:N51),SUM('Balances y Proyecciones'!Q49:Q51)))</f>
        <v>0</v>
      </c>
      <c r="N53" s="225" t="str">
        <f t="shared" si="11"/>
        <v/>
      </c>
      <c r="O53" s="226" t="str">
        <f t="shared" si="12"/>
        <v/>
      </c>
      <c r="P53" s="227" t="str">
        <f t="shared" si="13"/>
        <v/>
      </c>
      <c r="Q53" s="228" t="str">
        <f t="shared" si="14"/>
        <v/>
      </c>
      <c r="R53" s="226" t="str">
        <f t="shared" si="15"/>
        <v/>
      </c>
      <c r="S53" s="304">
        <f>IF($K$5=$A$88,IF(M53-K53&gt;0,M53-K53,0),IF(M53-L53&gt;0,M53-L53,0))</f>
        <v>0</v>
      </c>
      <c r="T53" s="305">
        <f>IF($K$5=$A$88,IF(M53-K53&lt;0,-(M53-K53),0),IF(M53-L53&lt;0,-(M53-L53),0))</f>
        <v>0</v>
      </c>
      <c r="W53"/>
    </row>
    <row r="54" spans="1:23" s="176" customFormat="1" ht="23">
      <c r="A54" s="391" t="str">
        <f>IF(CIFIN!B13=0,"",CIFIN!B13)</f>
        <v/>
      </c>
      <c r="B54" s="392" t="str">
        <f>IFERROR(VLOOKUP(A54,CIFIN!$B$53:$D$67,3,0),"")</f>
        <v/>
      </c>
      <c r="C54" s="393" t="str">
        <f>IFERROR(VLOOKUP(A54,CIFIN!$B$33:$D$47,3,0),"")</f>
        <v/>
      </c>
      <c r="D54" s="394" t="str">
        <f>IF(CIFIN!D13=0,"",CIFIN!D13)</f>
        <v/>
      </c>
      <c r="E54" s="395"/>
      <c r="F54" s="396" t="str">
        <f>IF(CIFIN!H13=0,"",CIFIN!H13)</f>
        <v/>
      </c>
      <c r="G54" s="397" t="str">
        <f>IF(CIFIN!C13=0,"",CIFIN!C13)</f>
        <v/>
      </c>
      <c r="H54" s="384">
        <f>CIFIN!A18</f>
        <v>116</v>
      </c>
      <c r="I54" s="303"/>
      <c r="J54" s="247" t="s">
        <v>747</v>
      </c>
      <c r="K54" s="230">
        <f>IF(OR(K$5=0,AND(K$5&lt;&gt;$A$86,K$5&lt;&gt;$A$87,K$5&lt;&gt;$A$88)),0,IF(K$5=$A$86,'Balances y Proyecciones'!E55,IF(K$5=$A$87,'Balances y Proyecciones'!H55,'Balances y Proyecciones'!K55)))</f>
        <v>0</v>
      </c>
      <c r="L54" s="231">
        <f>IF(OR(L$5=0,AND(L$5&lt;&gt;$A$87,L$5&lt;&gt;$A$89)),0,IF(L$5=$A$87,'Balances y Proyecciones'!H55,'Balances y Proyecciones'!N55))</f>
        <v>0</v>
      </c>
      <c r="M54" s="359">
        <f>IF(OR(M$5=0,AND(M$5&lt;&gt;$A$89,M$5&lt;&gt;$A$90)),0,IF(M$5=$A$89,'Balances y Proyecciones'!N55,'Balances y Proyecciones'!Q55))</f>
        <v>0</v>
      </c>
      <c r="N54" s="225" t="str">
        <f t="shared" si="11"/>
        <v/>
      </c>
      <c r="O54" s="226" t="str">
        <f t="shared" si="12"/>
        <v/>
      </c>
      <c r="P54" s="309" t="str">
        <f t="shared" si="13"/>
        <v/>
      </c>
      <c r="Q54" s="228" t="str">
        <f t="shared" si="14"/>
        <v/>
      </c>
      <c r="R54" s="226" t="str">
        <f t="shared" si="15"/>
        <v/>
      </c>
      <c r="S54" s="304">
        <f>IF($K$5=$A$88,IF(M54-K54&gt;0,M54-K54,0),IF(M54-L54&gt;0,M54-L54,0))</f>
        <v>0</v>
      </c>
      <c r="T54" s="305">
        <f>IF($K$5=$A$88,IF(M54-K54&lt;0,-(M54-K54),0),IF(M54-L54&lt;0,-(M54-L54),0))</f>
        <v>0</v>
      </c>
      <c r="W54"/>
    </row>
    <row r="55" spans="1:23" s="176" customFormat="1" ht="23">
      <c r="A55" s="391" t="str">
        <f>IF(CIFIN!B14=0,"",CIFIN!B14)</f>
        <v/>
      </c>
      <c r="B55" s="392" t="str">
        <f>IFERROR(VLOOKUP(A55,CIFIN!$B$53:$D$67,3,0),"")</f>
        <v/>
      </c>
      <c r="C55" s="393" t="str">
        <f>IFERROR(VLOOKUP(A55,CIFIN!$B$33:$D$47,3,0),"")</f>
        <v/>
      </c>
      <c r="D55" s="394" t="str">
        <f>IF(CIFIN!D14=0,"",CIFIN!D14)</f>
        <v/>
      </c>
      <c r="E55" s="395"/>
      <c r="F55" s="396" t="str">
        <f>IF(CIFIN!H14=0,"",CIFIN!H14)</f>
        <v/>
      </c>
      <c r="G55" s="397" t="str">
        <f>IF(CIFIN!C14=0,"",CIFIN!C14)</f>
        <v/>
      </c>
      <c r="H55" s="384">
        <f>CIFIN!A19</f>
        <v>117</v>
      </c>
      <c r="I55" s="303"/>
      <c r="J55" s="398" t="s">
        <v>750</v>
      </c>
      <c r="K55" s="230">
        <f>IF(OR(K$5=0,AND(K$5&lt;&gt;$A$86,K$5&lt;&gt;$A$87,K$5&lt;&gt;$A$88)),0,IF(K$5=$A$86,SUM('Balances y Proyecciones'!E52:E53),IF(K$5=$A$87,SUM('Balances y Proyecciones'!H52:H53),SUM('Balances y Proyecciones'!K52:K53))))</f>
        <v>0</v>
      </c>
      <c r="L55" s="231">
        <f>IF(OR(L$5=0,AND(L$5&lt;&gt;$A$87,L$5&lt;&gt;$A$89)),0,IF(L$5=$A$87,SUM('Balances y Proyecciones'!H52:H53),SUM('Balances y Proyecciones'!N52:N53)))</f>
        <v>0</v>
      </c>
      <c r="M55" s="359">
        <f>IF(OR(M$5=0,AND(M$5&lt;&gt;$A$89,M$5&lt;&gt;$A$90)),0,IF(M$5=$A$89,SUM('Balances y Proyecciones'!N52:N53),SUM('Balances y Proyecciones'!Q52:Q53)))</f>
        <v>0</v>
      </c>
      <c r="N55" s="227" t="str">
        <f t="shared" si="11"/>
        <v/>
      </c>
      <c r="O55" s="399" t="str">
        <f t="shared" si="12"/>
        <v/>
      </c>
      <c r="P55" s="227" t="str">
        <f t="shared" si="13"/>
        <v/>
      </c>
      <c r="Q55" s="400" t="str">
        <f t="shared" si="14"/>
        <v/>
      </c>
      <c r="R55" s="399" t="str">
        <f t="shared" si="15"/>
        <v/>
      </c>
      <c r="S55" s="304">
        <f>IF($K$5=$A$88,IF(M55-K55&gt;0,M55-K55,0),IF(M55-L55&gt;0,M55-L55,0))</f>
        <v>0</v>
      </c>
      <c r="T55" s="305">
        <f>IF($K$5=$A$88,IF(M55-K55&lt;0,-(M55-K55),0),IF(M55-L55&lt;0,-(M55-L55),0))</f>
        <v>0</v>
      </c>
      <c r="W55"/>
    </row>
    <row r="56" spans="1:23" s="176" customFormat="1" ht="23">
      <c r="A56" s="391" t="str">
        <f>IF(CIFIN!B15=0,"",CIFIN!B15)</f>
        <v/>
      </c>
      <c r="B56" s="392" t="str">
        <f>IFERROR(VLOOKUP(A56,CIFIN!$B$53:$D$67,3,0),"")</f>
        <v/>
      </c>
      <c r="C56" s="393" t="str">
        <f>IFERROR(VLOOKUP(A56,CIFIN!$B$33:$D$47,3,0),"")</f>
        <v/>
      </c>
      <c r="D56" s="394" t="str">
        <f>IF(CIFIN!D15=0,"",CIFIN!D15)</f>
        <v/>
      </c>
      <c r="E56" s="395"/>
      <c r="F56" s="396" t="str">
        <f>IF(CIFIN!H15=0,"",CIFIN!H15)</f>
        <v/>
      </c>
      <c r="G56" s="397" t="str">
        <f>IF(CIFIN!C15=0,"",CIFIN!C15)</f>
        <v/>
      </c>
      <c r="H56" s="384">
        <f>CIFIN!A20</f>
        <v>118</v>
      </c>
      <c r="I56" s="303"/>
      <c r="J56" s="398" t="s">
        <v>752</v>
      </c>
      <c r="K56" s="230">
        <f>IF(OR(K$5=0,AND(K$5&lt;&gt;$A$86,K$5&lt;&gt;$A$87,K$5&lt;&gt;$A$88)),0,IF(K$5=$A$86,'Balances y Proyecciones'!E56,IF(K$5=$A$87,'Balances y Proyecciones'!H56,'Balances y Proyecciones'!K56)))</f>
        <v>0</v>
      </c>
      <c r="L56" s="231">
        <f>IF(OR(L$5=0,AND(L$5&lt;&gt;$A$87,L$5&lt;&gt;$A$89)),0,IF(L$5=$A$87,'Balances y Proyecciones'!H56,'Balances y Proyecciones'!N56))</f>
        <v>0</v>
      </c>
      <c r="M56" s="359">
        <f>IF(OR(M$5=0,AND(M$5&lt;&gt;$A$89,M$5&lt;&gt;$A$90)),0,IF(M$5=$A$89,'Balances y Proyecciones'!N56,'Balances y Proyecciones'!Q56))</f>
        <v>0</v>
      </c>
      <c r="N56" s="225" t="str">
        <f t="shared" si="11"/>
        <v/>
      </c>
      <c r="O56" s="226" t="str">
        <f t="shared" si="12"/>
        <v/>
      </c>
      <c r="P56" s="225" t="str">
        <f t="shared" si="13"/>
        <v/>
      </c>
      <c r="Q56" s="228" t="str">
        <f t="shared" si="14"/>
        <v/>
      </c>
      <c r="R56" s="401" t="str">
        <f t="shared" si="15"/>
        <v/>
      </c>
      <c r="S56" s="304">
        <f>IF($K$5=$A$88,IF(M56-K56&gt;0,M56-K56,0),IF(M56-L56&gt;0,M56-L56,0))</f>
        <v>0</v>
      </c>
      <c r="T56" s="305">
        <f>IF($K$5=$A$88,IF(M56-K56&lt;0,-(M56-K56),0),IF(M56-L56&lt;0,-(M56-L56),0))</f>
        <v>0</v>
      </c>
      <c r="W56"/>
    </row>
    <row r="57" spans="1:23" s="176" customFormat="1" ht="23">
      <c r="A57" s="391" t="str">
        <f>IF(CIFIN!B16=0,"",CIFIN!B16)</f>
        <v/>
      </c>
      <c r="B57" s="392" t="str">
        <f>IFERROR(VLOOKUP(A57,CIFIN!$B$53:$D$67,3,0),"")</f>
        <v/>
      </c>
      <c r="C57" s="393" t="str">
        <f>IFERROR(VLOOKUP(A57,CIFIN!$B$33:$D$47,3,0),"")</f>
        <v/>
      </c>
      <c r="D57" s="394" t="str">
        <f>IF(CIFIN!D16=0,"",CIFIN!D16)</f>
        <v/>
      </c>
      <c r="E57" s="395"/>
      <c r="F57" s="396" t="str">
        <f>IF(CIFIN!H16=0,"",CIFIN!H16)</f>
        <v/>
      </c>
      <c r="G57" s="397" t="str">
        <f>IF(CIFIN!C16=0,"",CIFIN!C16)</f>
        <v/>
      </c>
      <c r="H57" s="384">
        <f>CIFIN!A21</f>
        <v>119</v>
      </c>
      <c r="I57" s="303"/>
      <c r="J57" s="398" t="s">
        <v>757</v>
      </c>
      <c r="K57" s="230">
        <f>IF(OR(K$5=0,AND(K$5&lt;&gt;$A$86,K$5&lt;&gt;$A$87,K$5&lt;&gt;$A$88)),0,IF(K$5=$A$86,'Balances y Proyecciones'!E54+'Balances y Proyecciones'!E57,IF(K$5=$A$87,'Balances y Proyecciones'!H54+'Balances y Proyecciones'!H57,'Balances y Proyecciones'!K54+'Balances y Proyecciones'!K57)))</f>
        <v>0</v>
      </c>
      <c r="L57" s="231">
        <f>IF(OR(L$5=0,AND(L$5&lt;&gt;$A$87,L$5&lt;&gt;$A$89)),0,IF(L$5=$A$87,'Balances y Proyecciones'!H54+'Balances y Proyecciones'!H57,'Balances y Proyecciones'!N54+'Balances y Proyecciones'!N57))</f>
        <v>0</v>
      </c>
      <c r="M57" s="359">
        <f>IF(OR(M$5=0,AND(M$5&lt;&gt;$A$89,M$5&lt;&gt;$A$90)),0,IF(M$5=$A$89,'Balances y Proyecciones'!N54+'Balances y Proyecciones'!N57,'Balances y Proyecciones'!Q54+'Balances y Proyecciones'!Q57))</f>
        <v>0</v>
      </c>
      <c r="N57" s="227" t="str">
        <f t="shared" si="11"/>
        <v/>
      </c>
      <c r="O57" s="399" t="str">
        <f t="shared" si="12"/>
        <v/>
      </c>
      <c r="P57" s="227" t="str">
        <f t="shared" si="13"/>
        <v/>
      </c>
      <c r="Q57" s="400" t="str">
        <f t="shared" si="14"/>
        <v/>
      </c>
      <c r="R57" s="399" t="str">
        <f t="shared" si="15"/>
        <v/>
      </c>
      <c r="S57" s="304">
        <f>IF($K$5=$A$88,IF(M57-K57&gt;0,M57-K57,0),IF(M57-L57&gt;0,M57-L57,0))</f>
        <v>0</v>
      </c>
      <c r="T57" s="305">
        <f>IF($K$5=$A$88,IF(M57-K57&lt;0,-(M57-K57),0),IF(M57-L57&lt;0,-(M57-L57),0))</f>
        <v>0</v>
      </c>
      <c r="W57"/>
    </row>
    <row r="58" spans="1:23" s="176" customFormat="1" ht="25">
      <c r="A58" s="391" t="str">
        <f>IF(CIFIN!B17=0,"",CIFIN!B17)</f>
        <v/>
      </c>
      <c r="B58" s="392" t="str">
        <f>IFERROR(VLOOKUP(A58,CIFIN!$B$53:$D$67,3,0),"")</f>
        <v/>
      </c>
      <c r="C58" s="393" t="str">
        <f>IFERROR(VLOOKUP(A58,CIFIN!$B$33:$D$47,3,0),"")</f>
        <v/>
      </c>
      <c r="D58" s="394" t="str">
        <f>IF(CIFIN!D17=0,"",CIFIN!D17)</f>
        <v/>
      </c>
      <c r="E58" s="395"/>
      <c r="F58" s="396" t="str">
        <f>IF(CIFIN!H17=0,"",CIFIN!H17)</f>
        <v/>
      </c>
      <c r="G58" s="397" t="str">
        <f>IF(CIFIN!C17=0,"",CIFIN!C17)</f>
        <v/>
      </c>
      <c r="H58" s="384">
        <f>CIFIN!A22</f>
        <v>120</v>
      </c>
      <c r="I58" s="402" t="s">
        <v>762</v>
      </c>
      <c r="J58" s="403"/>
      <c r="K58" s="324">
        <f>SUM(K53:K57)</f>
        <v>0</v>
      </c>
      <c r="L58" s="325">
        <f>SUM(L53:L57)</f>
        <v>0</v>
      </c>
      <c r="M58" s="404">
        <f>SUM(M53:M57)</f>
        <v>0</v>
      </c>
      <c r="N58" s="328" t="str">
        <f t="shared" si="11"/>
        <v/>
      </c>
      <c r="O58" s="405" t="str">
        <f t="shared" si="12"/>
        <v/>
      </c>
      <c r="P58" s="328" t="str">
        <f t="shared" si="13"/>
        <v/>
      </c>
      <c r="Q58" s="406" t="str">
        <f t="shared" si="14"/>
        <v/>
      </c>
      <c r="R58" s="405" t="str">
        <f t="shared" si="15"/>
        <v/>
      </c>
      <c r="S58" s="330"/>
      <c r="T58" s="331"/>
      <c r="W58"/>
    </row>
    <row r="59" spans="1:23" s="176" customFormat="1" ht="25">
      <c r="A59" s="391" t="str">
        <f>IF(CIFIN!B18=0,"",CIFIN!B18)</f>
        <v/>
      </c>
      <c r="B59" s="392" t="str">
        <f>IFERROR(VLOOKUP(A59,CIFIN!$B$53:$D$67,3,0),"")</f>
        <v/>
      </c>
      <c r="C59" s="393" t="str">
        <f>IFERROR(VLOOKUP(A59,CIFIN!$B$33:$D$47,3,0),"")</f>
        <v/>
      </c>
      <c r="D59" s="394" t="str">
        <f>IF(CIFIN!D18=0,"",CIFIN!D18)</f>
        <v/>
      </c>
      <c r="E59" s="395"/>
      <c r="F59" s="396" t="str">
        <f>IF(CIFIN!H18=0,"",CIFIN!H18)</f>
        <v/>
      </c>
      <c r="G59" s="397" t="str">
        <f>IF(CIFIN!C18=0,"",CIFIN!C18)</f>
        <v/>
      </c>
      <c r="H59" s="384">
        <f>CIFIN!A23</f>
        <v>121</v>
      </c>
      <c r="I59" s="407" t="s">
        <v>763</v>
      </c>
      <c r="J59" s="408"/>
      <c r="K59" s="334">
        <f>SUM(K52,K58)</f>
        <v>0</v>
      </c>
      <c r="L59" s="335">
        <f>SUM(L52,L58)</f>
        <v>0</v>
      </c>
      <c r="M59" s="409">
        <f>SUM(M52,M58)</f>
        <v>0</v>
      </c>
      <c r="N59" s="410" t="str">
        <f t="shared" si="11"/>
        <v/>
      </c>
      <c r="O59" s="411" t="str">
        <f t="shared" si="12"/>
        <v/>
      </c>
      <c r="P59" s="410" t="str">
        <f t="shared" si="13"/>
        <v/>
      </c>
      <c r="Q59" s="412" t="str">
        <f t="shared" si="14"/>
        <v/>
      </c>
      <c r="R59" s="411" t="str">
        <f t="shared" si="15"/>
        <v/>
      </c>
      <c r="S59" s="340"/>
      <c r="T59" s="341"/>
      <c r="W59"/>
    </row>
    <row r="60" spans="1:23" s="176" customFormat="1" ht="25">
      <c r="A60" s="391" t="str">
        <f>IF(CIFIN!B19=0,"",CIFIN!B19)</f>
        <v/>
      </c>
      <c r="B60" s="392" t="str">
        <f>IFERROR(VLOOKUP(A60,CIFIN!$B$53:$D$67,3,0),"")</f>
        <v/>
      </c>
      <c r="C60" s="393" t="str">
        <f>IFERROR(VLOOKUP(A60,CIFIN!$B$33:$D$47,3,0),"")</f>
        <v/>
      </c>
      <c r="D60" s="394" t="str">
        <f>IF(CIFIN!D19=0,"",CIFIN!D19)</f>
        <v/>
      </c>
      <c r="E60" s="395"/>
      <c r="F60" s="396" t="str">
        <f>IF(CIFIN!H19=0,"",CIFIN!H19)</f>
        <v/>
      </c>
      <c r="G60" s="397" t="str">
        <f>IF(CIFIN!C19=0,"",CIFIN!C19)</f>
        <v/>
      </c>
      <c r="H60" s="384">
        <f>CIFIN!A24</f>
        <v>122</v>
      </c>
      <c r="I60" s="413" t="s">
        <v>764</v>
      </c>
      <c r="J60" s="414"/>
      <c r="K60" s="415"/>
      <c r="L60" s="416"/>
      <c r="M60" s="416"/>
      <c r="N60" s="416"/>
      <c r="O60" s="416"/>
      <c r="P60" s="416"/>
      <c r="Q60" s="416"/>
      <c r="R60" s="416"/>
      <c r="S60" s="417" t="s">
        <v>937</v>
      </c>
      <c r="T60" s="418"/>
      <c r="W60"/>
    </row>
    <row r="61" spans="1:23" s="176" customFormat="1" ht="23">
      <c r="A61" s="391" t="str">
        <f>IF(CIFIN!B20=0,"",CIFIN!B20)</f>
        <v/>
      </c>
      <c r="B61" s="392" t="str">
        <f>IFERROR(VLOOKUP(A61,CIFIN!$B$53:$D$67,3,0),"")</f>
        <v/>
      </c>
      <c r="C61" s="393" t="str">
        <f>IFERROR(VLOOKUP(A61,CIFIN!$B$33:$D$47,3,0),"")</f>
        <v/>
      </c>
      <c r="D61" s="394" t="str">
        <f>IF(CIFIN!D20=0,"",CIFIN!D20)</f>
        <v/>
      </c>
      <c r="E61" s="395"/>
      <c r="F61" s="396" t="str">
        <f>IF(CIFIN!H20=0,"",CIFIN!H20)</f>
        <v/>
      </c>
      <c r="G61" s="397" t="str">
        <f>IF(CIFIN!C20=0,"",CIFIN!C20)</f>
        <v/>
      </c>
      <c r="H61" s="384">
        <f>CIFIN!A25</f>
        <v>123</v>
      </c>
      <c r="I61" s="303"/>
      <c r="J61" s="398" t="s">
        <v>938</v>
      </c>
      <c r="K61" s="230">
        <f>IF(OR(K$5=0,AND(K$5&lt;&gt;$A$86,K$5&lt;&gt;$A$87,K$5&lt;&gt;$A$88)),0,IF(K$5=$A$86,'Balances y Proyecciones'!E60,IF(K$5=$A$87,'Balances y Proyecciones'!H60,'Balances y Proyecciones'!K60)))</f>
        <v>0</v>
      </c>
      <c r="L61" s="231">
        <f>IF(OR(L$5=0,AND(L$5&lt;&gt;$A$87,L$5&lt;&gt;$A$89)),0,IF(L$5=$A$87,'Balances y Proyecciones'!H60,'Balances y Proyecciones'!N60))</f>
        <v>0</v>
      </c>
      <c r="M61" s="359">
        <f>IF(OR(M$5=0,AND(M$5&lt;&gt;$A$89,M$5&lt;&gt;$A$90)),0,IF(M$5=$A$89,'Balances y Proyecciones'!N60,'Balances y Proyecciones'!Q60))</f>
        <v>0</v>
      </c>
      <c r="N61" s="227" t="str">
        <f t="shared" ref="N61:N70" si="18">IF(OR(K61=0,K61="",$L$5=""),"",L61/K61-1)</f>
        <v/>
      </c>
      <c r="O61" s="399" t="str">
        <f t="shared" ref="O61:O70" si="19">IF($K$5=$A$88,IF(OR(K61=0,K61=""),"",M61/K61-1),IF(OR(L61=0,L61=""),"",M61/L61-1))</f>
        <v/>
      </c>
      <c r="P61" s="227" t="str">
        <f t="shared" ref="P61:P69" si="20">IF(OR(K$69=0,K$69=""),"",K61/K$69)</f>
        <v/>
      </c>
      <c r="Q61" s="400" t="str">
        <f t="shared" ref="Q61:Q69" si="21">IF(OR(L$69=0,L$69=""),"",L61/L$69)</f>
        <v/>
      </c>
      <c r="R61" s="399" t="str">
        <f t="shared" ref="R61:R69" si="22">IF(OR(M$69=0,M$69=""),"",M61/M$69)</f>
        <v/>
      </c>
      <c r="S61" s="419" t="s">
        <v>939</v>
      </c>
      <c r="T61" s="420"/>
      <c r="W61"/>
    </row>
    <row r="62" spans="1:23" s="176" customFormat="1" ht="23">
      <c r="A62" s="391" t="str">
        <f>IF(CIFIN!B21=0,"",CIFIN!B21)</f>
        <v/>
      </c>
      <c r="B62" s="392" t="str">
        <f>IFERROR(VLOOKUP(A62,CIFIN!$B$53:$D$67,3,0),"")</f>
        <v/>
      </c>
      <c r="C62" s="393" t="str">
        <f>IFERROR(VLOOKUP(A62,CIFIN!$B$33:$D$47,3,0),"")</f>
        <v/>
      </c>
      <c r="D62" s="394" t="str">
        <f>IF(CIFIN!D21=0,"",CIFIN!D21)</f>
        <v/>
      </c>
      <c r="E62" s="395"/>
      <c r="F62" s="396" t="str">
        <f>IF(CIFIN!H21=0,"",CIFIN!H21)</f>
        <v/>
      </c>
      <c r="G62" s="397" t="str">
        <f>IF(CIFIN!C21=0,"",CIFIN!C21)</f>
        <v/>
      </c>
      <c r="H62" s="384">
        <f>CIFIN!A26</f>
        <v>124</v>
      </c>
      <c r="I62" s="303"/>
      <c r="J62" s="398" t="s">
        <v>774</v>
      </c>
      <c r="K62" s="230">
        <f>IF(OR(K$5=0,AND(K$5&lt;&gt;$A$86,K$5&lt;&gt;$A$87,K$5&lt;&gt;$A$88)),0,IF(K$5=$A$86,'Balances y Proyecciones'!E61,IF(K$5=$A$87,'Balances y Proyecciones'!H61,'Balances y Proyecciones'!K61)))</f>
        <v>0</v>
      </c>
      <c r="L62" s="231">
        <f>IF(OR(L$5=0,AND(L$5&lt;&gt;$A$87,L$5&lt;&gt;$A$89)),0,IF(L$5=$A$87,'Balances y Proyecciones'!H61,'Balances y Proyecciones'!N61))</f>
        <v>0</v>
      </c>
      <c r="M62" s="359">
        <f>IF(OR(M$5=0,AND(M$5&lt;&gt;$A$89,M$5&lt;&gt;$A$90)),0,IF(M$5=$A$89,'Balances y Proyecciones'!N61,'Balances y Proyecciones'!Q61))</f>
        <v>0</v>
      </c>
      <c r="N62" s="227" t="str">
        <f t="shared" si="18"/>
        <v/>
      </c>
      <c r="O62" s="399" t="str">
        <f t="shared" si="19"/>
        <v/>
      </c>
      <c r="P62" s="227" t="str">
        <f t="shared" si="20"/>
        <v/>
      </c>
      <c r="Q62" s="400" t="str">
        <f t="shared" si="21"/>
        <v/>
      </c>
      <c r="R62" s="399" t="str">
        <f t="shared" si="22"/>
        <v/>
      </c>
      <c r="S62" s="421">
        <f>IF(OR(M$5=0,AND(M$5&lt;&gt;$A$89,M$5&lt;&gt;$A$90)),0,IF(M$5=$A$89,IF('Balances y Proyecciones'!N221&gt;0,'Balances y Proyecciones'!N221,0),IF('Balances y Proyecciones'!Q221&gt;0,'Balances y Proyecciones'!Q221,0)))</f>
        <v>0</v>
      </c>
      <c r="T62" s="422">
        <f>IF(OR(M$5=0,AND(M$5&lt;&gt;$A$89,M$5&lt;&gt;$A$90)),0,IF(M$5=$A$89,IF('Balances y Proyecciones'!N221&lt;=0,-'Balances y Proyecciones'!N221,0),IF('Balances y Proyecciones'!Q221&lt;=0,-'Balances y Proyecciones'!Q221,0)))</f>
        <v>0</v>
      </c>
      <c r="W62"/>
    </row>
    <row r="63" spans="1:23" s="176" customFormat="1" ht="23">
      <c r="A63" s="391" t="str">
        <f>IF(CIFIN!B22=0,"",CIFIN!B22)</f>
        <v/>
      </c>
      <c r="B63" s="392" t="str">
        <f>IFERROR(VLOOKUP(A63,CIFIN!$B$53:$D$67,3,0),"")</f>
        <v/>
      </c>
      <c r="C63" s="393" t="str">
        <f>IFERROR(VLOOKUP(A63,CIFIN!$B$33:$D$47,3,0),"")</f>
        <v/>
      </c>
      <c r="D63" s="394" t="str">
        <f>IF(CIFIN!D22=0,"",CIFIN!D22)</f>
        <v/>
      </c>
      <c r="E63" s="395"/>
      <c r="F63" s="396" t="str">
        <f>IF(CIFIN!H22=0,"",CIFIN!H22)</f>
        <v/>
      </c>
      <c r="G63" s="397" t="str">
        <f>IF(CIFIN!C22=0,"",CIFIN!C22)</f>
        <v/>
      </c>
      <c r="H63" s="384">
        <f>CIFIN!A27</f>
        <v>125</v>
      </c>
      <c r="I63" s="303"/>
      <c r="J63" s="398" t="s">
        <v>940</v>
      </c>
      <c r="K63" s="230">
        <f>IF(OR(K$5=0,AND(K$5&lt;&gt;$A$86,K$5&lt;&gt;$A$87,K$5&lt;&gt;$A$88)),0,IF(K$5=$A$86,'Balances y Proyecciones'!E62,IF(K$5=$A$87,'Balances y Proyecciones'!H62,'Balances y Proyecciones'!K62)))</f>
        <v>0</v>
      </c>
      <c r="L63" s="231">
        <f>IF(OR(L$5=0,AND(L$5&lt;&gt;$A$87,L$5&lt;&gt;$A$89)),0,IF(L$5=$A$87,'Balances y Proyecciones'!H62,'Balances y Proyecciones'!N62))</f>
        <v>0</v>
      </c>
      <c r="M63" s="359">
        <f>IF(OR(M$5=0,AND(M$5&lt;&gt;$A$89,M$5&lt;&gt;$A$90)),0,IF(M$5=$A$89,'Balances y Proyecciones'!N62,'Balances y Proyecciones'!Q62))</f>
        <v>0</v>
      </c>
      <c r="N63" s="227" t="str">
        <f t="shared" si="18"/>
        <v/>
      </c>
      <c r="O63" s="399" t="str">
        <f t="shared" si="19"/>
        <v/>
      </c>
      <c r="P63" s="227" t="str">
        <f t="shared" si="20"/>
        <v/>
      </c>
      <c r="Q63" s="400" t="str">
        <f t="shared" si="21"/>
        <v/>
      </c>
      <c r="R63" s="399" t="str">
        <f t="shared" si="22"/>
        <v/>
      </c>
      <c r="S63" s="419" t="s">
        <v>941</v>
      </c>
      <c r="T63" s="420"/>
      <c r="W63"/>
    </row>
    <row r="64" spans="1:23" s="176" customFormat="1" ht="23">
      <c r="A64" s="391" t="str">
        <f>IF(CIFIN!B23=0,"",CIFIN!B23)</f>
        <v/>
      </c>
      <c r="B64" s="392" t="str">
        <f>IFERROR(VLOOKUP(A64,CIFIN!$B$53:$D$67,3,0),"")</f>
        <v/>
      </c>
      <c r="C64" s="393" t="str">
        <f>IFERROR(VLOOKUP(A64,CIFIN!$B$33:$D$47,3,0),"")</f>
        <v/>
      </c>
      <c r="D64" s="394" t="str">
        <f>IF(CIFIN!D23=0,"",CIFIN!D23)</f>
        <v/>
      </c>
      <c r="E64" s="395"/>
      <c r="F64" s="396" t="str">
        <f>IF(CIFIN!H23=0,"",CIFIN!H23)</f>
        <v/>
      </c>
      <c r="G64" s="397" t="str">
        <f>IF(CIFIN!C23=0,"",CIFIN!C23)</f>
        <v/>
      </c>
      <c r="H64" s="384">
        <f>CIFIN!A28</f>
        <v>0</v>
      </c>
      <c r="I64" s="303"/>
      <c r="J64" s="398" t="s">
        <v>942</v>
      </c>
      <c r="K64" s="230">
        <f>IF(OR(K$5=0,AND(K$5&lt;&gt;$A$86,K$5&lt;&gt;$A$87,K$5&lt;&gt;$A$88)),0,IF(K$5=$A$86,'Balances y Proyecciones'!E63,IF(K$5=$A$87,'Balances y Proyecciones'!H63,'Balances y Proyecciones'!K63)))</f>
        <v>0</v>
      </c>
      <c r="L64" s="231">
        <f>IF(OR(L$5=0,AND(L$5&lt;&gt;$A$87,L$5&lt;&gt;$A$89)),0,IF(L$5=$A$87,'Balances y Proyecciones'!H63,'Balances y Proyecciones'!N63))</f>
        <v>0</v>
      </c>
      <c r="M64" s="359">
        <f>IF(OR(M$5=0,AND(M$5&lt;&gt;$A$89,M$5&lt;&gt;$A$90)),0,IF(M$5=$A$89,'Balances y Proyecciones'!N63,'Balances y Proyecciones'!Q63))</f>
        <v>0</v>
      </c>
      <c r="N64" s="227" t="str">
        <f t="shared" si="18"/>
        <v/>
      </c>
      <c r="O64" s="399" t="str">
        <f t="shared" si="19"/>
        <v/>
      </c>
      <c r="P64" s="227" t="str">
        <f t="shared" si="20"/>
        <v/>
      </c>
      <c r="Q64" s="400" t="str">
        <f t="shared" si="21"/>
        <v/>
      </c>
      <c r="R64" s="399" t="str">
        <f t="shared" si="22"/>
        <v/>
      </c>
      <c r="S64" s="421">
        <f>IF(OR(M$5=0,AND(M$5&lt;&gt;$A$89,M$5&lt;&gt;$A$90)),0,IF(M$5=$A$89,IF('Balances y Proyecciones'!N231&lt;0,-'Balances y Proyecciones'!N231,0),IF('Balances y Proyecciones'!Q231&lt;0,-'Balances y Proyecciones'!Q231,0)))</f>
        <v>0</v>
      </c>
      <c r="T64" s="422">
        <f>IF(OR(M$5=0,AND(M$5&lt;&gt;$A$89,M$5&lt;&gt;$A$90)),0,IF(M$5=$A$89,IF('Balances y Proyecciones'!N231&gt;0,'Balances y Proyecciones'!N231,0),IF('Balances y Proyecciones'!Q231&gt;0,'Balances y Proyecciones'!Q231,0)))</f>
        <v>0</v>
      </c>
      <c r="W64"/>
    </row>
    <row r="65" spans="1:23" s="176" customFormat="1" ht="23">
      <c r="A65" s="391" t="str">
        <f>IF(CIFIN!B24=0,"",CIFIN!B24)</f>
        <v/>
      </c>
      <c r="B65" s="392" t="str">
        <f>IFERROR(VLOOKUP(A65,CIFIN!$B$53:$D$67,3,0),"")</f>
        <v/>
      </c>
      <c r="C65" s="393" t="str">
        <f>IFERROR(VLOOKUP(A65,CIFIN!$B$33:$D$47,3,0),"")</f>
        <v/>
      </c>
      <c r="D65" s="394" t="str">
        <f>IF(CIFIN!D24=0,"",CIFIN!D24)</f>
        <v/>
      </c>
      <c r="E65" s="395"/>
      <c r="F65" s="396" t="str">
        <f>IF(CIFIN!H24=0,"",CIFIN!H24)</f>
        <v/>
      </c>
      <c r="G65" s="397" t="str">
        <f>IF(CIFIN!C24=0,"",CIFIN!C24)</f>
        <v/>
      </c>
      <c r="H65" s="3408">
        <f>CIFIN!A29</f>
        <v>0</v>
      </c>
      <c r="I65" s="303"/>
      <c r="J65" s="398" t="s">
        <v>943</v>
      </c>
      <c r="K65" s="230">
        <f>IF(OR(K$5=0,AND(K$5&lt;&gt;$A$86,K$5&lt;&gt;$A$87,K$5&lt;&gt;$A$88)),0,IF(K$5=$A$86,'Balances y Proyecciones'!E64,IF(K$5=$A$87,'Balances y Proyecciones'!H64,'Balances y Proyecciones'!K64)))</f>
        <v>0</v>
      </c>
      <c r="L65" s="231">
        <f>IF(OR(L$5=0,AND(L$5&lt;&gt;$A$87,L$5&lt;&gt;$A$89)),0,IF(L$5=$A$87,'Balances y Proyecciones'!H64,'Balances y Proyecciones'!N64))</f>
        <v>0</v>
      </c>
      <c r="M65" s="359">
        <f>IF(OR(M$5=0,AND(M$5&lt;&gt;$A$89,M$5&lt;&gt;$A$90)),0,IF(M$5=$A$89,'Balances y Proyecciones'!N64,'Balances y Proyecciones'!Q64))</f>
        <v>0</v>
      </c>
      <c r="N65" s="227" t="str">
        <f t="shared" si="18"/>
        <v/>
      </c>
      <c r="O65" s="399" t="str">
        <f t="shared" si="19"/>
        <v/>
      </c>
      <c r="P65" s="227" t="str">
        <f t="shared" si="20"/>
        <v/>
      </c>
      <c r="Q65" s="400" t="str">
        <f t="shared" si="21"/>
        <v/>
      </c>
      <c r="R65" s="399" t="str">
        <f t="shared" si="22"/>
        <v/>
      </c>
      <c r="S65" s="419" t="s">
        <v>944</v>
      </c>
      <c r="T65" s="420"/>
      <c r="W65"/>
    </row>
    <row r="66" spans="1:23" s="176" customFormat="1" ht="23">
      <c r="A66" s="391" t="str">
        <f>IF(CIFIN!B25=0,"",CIFIN!B25)</f>
        <v/>
      </c>
      <c r="B66" s="392" t="str">
        <f>IFERROR(VLOOKUP(A66,CIFIN!$B$53:$D$67,3,0),"")</f>
        <v/>
      </c>
      <c r="C66" s="393" t="str">
        <f>IFERROR(VLOOKUP(A66,CIFIN!$B$33:$D$47,3,0),"")</f>
        <v/>
      </c>
      <c r="D66" s="394" t="str">
        <f>IF(CIFIN!D25=0,"",CIFIN!D25)</f>
        <v/>
      </c>
      <c r="E66" s="395"/>
      <c r="F66" s="396" t="str">
        <f>IF(CIFIN!H25=0,"",CIFIN!H25)</f>
        <v/>
      </c>
      <c r="G66" s="397" t="str">
        <f>IF(CIFIN!C25=0,"",CIFIN!C25)</f>
        <v/>
      </c>
      <c r="H66" s="384">
        <f>CIFIN!A30</f>
        <v>0</v>
      </c>
      <c r="I66" s="303"/>
      <c r="J66" s="398" t="s">
        <v>945</v>
      </c>
      <c r="K66" s="230">
        <f>IF(OR(K$5=0,AND(K$5&lt;&gt;$A$86,K$5&lt;&gt;$A$87,K$5&lt;&gt;$A$88)),0,IF(K$5=$A$86,'Balances y Proyecciones'!E65,IF(K$5=$A$87,'Balances y Proyecciones'!H65,'Balances y Proyecciones'!K65)))</f>
        <v>0</v>
      </c>
      <c r="L66" s="231">
        <f>IF(OR(L$5=0,AND(L$5&lt;&gt;$A$87,L$5&lt;&gt;$A$89)),0,IF(L$5=$A$87,'Balances y Proyecciones'!H65,'Balances y Proyecciones'!N65))</f>
        <v>0</v>
      </c>
      <c r="M66" s="359">
        <f>IF(OR(M$5=0,AND(M$5&lt;&gt;$A$89,M$5&lt;&gt;$A$90)),0,IF(M$5=$A$89,'Balances y Proyecciones'!N65,'Balances y Proyecciones'!Q65))</f>
        <v>0</v>
      </c>
      <c r="N66" s="227" t="str">
        <f t="shared" si="18"/>
        <v/>
      </c>
      <c r="O66" s="399" t="str">
        <f t="shared" si="19"/>
        <v/>
      </c>
      <c r="P66" s="227" t="str">
        <f t="shared" si="20"/>
        <v/>
      </c>
      <c r="Q66" s="400" t="str">
        <f t="shared" si="21"/>
        <v/>
      </c>
      <c r="R66" s="399" t="str">
        <f t="shared" si="22"/>
        <v/>
      </c>
      <c r="S66" s="421"/>
      <c r="T66" s="422">
        <f>IF(OR(M$5=0,AND(M$5&lt;&gt;$A$89,M$5&lt;&gt;$A$90)),0,IF(M$5=$A$89,IF('Balances y Proyecciones'!N233&gt;0,'Balances y Proyecciones'!N233,0),IF('Balances y Proyecciones'!Q233&gt;0,'Balances y Proyecciones'!Q233,0)))</f>
        <v>0</v>
      </c>
      <c r="W66"/>
    </row>
    <row r="67" spans="1:23" s="176" customFormat="1" ht="23">
      <c r="A67" s="391" t="str">
        <f>IF(CIFIN!B26=0,"",CIFIN!B26)</f>
        <v/>
      </c>
      <c r="B67" s="392" t="str">
        <f>IFERROR(VLOOKUP(A67,CIFIN!$B$53:$D$67,3,0),"")</f>
        <v/>
      </c>
      <c r="C67" s="393" t="str">
        <f>IFERROR(VLOOKUP(A67,CIFIN!$B$33:$D$47,3,0),"")</f>
        <v/>
      </c>
      <c r="D67" s="394" t="str">
        <f>IF(CIFIN!D26=0,"",CIFIN!D26)</f>
        <v/>
      </c>
      <c r="E67" s="395"/>
      <c r="F67" s="396" t="str">
        <f>IF(CIFIN!H26=0,"",CIFIN!H26)</f>
        <v/>
      </c>
      <c r="G67" s="397" t="str">
        <f>IF(CIFIN!C26=0,"",CIFIN!C26)</f>
        <v/>
      </c>
      <c r="H67" s="384">
        <f>CIFIN!A31</f>
        <v>0</v>
      </c>
      <c r="I67" s="303"/>
      <c r="J67" s="398" t="s">
        <v>946</v>
      </c>
      <c r="K67" s="230">
        <f>IF(OR(K$5=0,AND(K$5&lt;&gt;$A$86,K$5&lt;&gt;$A$87,K$5&lt;&gt;$A$88)),0,IF(K$5=$A$86,'Balances y Proyecciones'!E66,IF(K$5=$A$87,'Balances y Proyecciones'!H66,'Balances y Proyecciones'!K66)))</f>
        <v>0</v>
      </c>
      <c r="L67" s="231">
        <f>IF(OR(L$5=0,AND(L$5&lt;&gt;$A$87,L$5&lt;&gt;$A$89)),0,IF(L$5=$A$87,'Balances y Proyecciones'!H66,'Balances y Proyecciones'!N66))</f>
        <v>0</v>
      </c>
      <c r="M67" s="359">
        <f>IF(OR(M$5=0,AND(M$5&lt;&gt;$A$89,M$5&lt;&gt;$A$90)),0,IF(M$5=$A$89,'Balances y Proyecciones'!N66,'Balances y Proyecciones'!Q66))</f>
        <v>0</v>
      </c>
      <c r="N67" s="227" t="str">
        <f t="shared" si="18"/>
        <v/>
      </c>
      <c r="O67" s="399" t="str">
        <f t="shared" si="19"/>
        <v/>
      </c>
      <c r="P67" s="227" t="str">
        <f t="shared" si="20"/>
        <v/>
      </c>
      <c r="Q67" s="400" t="str">
        <f t="shared" si="21"/>
        <v/>
      </c>
      <c r="R67" s="399" t="str">
        <f t="shared" si="22"/>
        <v/>
      </c>
      <c r="S67" s="419" t="s">
        <v>947</v>
      </c>
      <c r="T67" s="420"/>
      <c r="W67"/>
    </row>
    <row r="68" spans="1:23" s="176" customFormat="1" ht="23">
      <c r="A68" s="391" t="str">
        <f>IF(CIFIN!B27=0,"",CIFIN!B27)</f>
        <v/>
      </c>
      <c r="B68" s="392" t="str">
        <f>IFERROR(VLOOKUP(A68,CIFIN!$B$53:$D$67,3,0),"")</f>
        <v/>
      </c>
      <c r="C68" s="393" t="str">
        <f>IFERROR(VLOOKUP(A68,CIFIN!$B$33:$D$47,3,0),"")</f>
        <v/>
      </c>
      <c r="D68" s="394" t="str">
        <f>IF(CIFIN!D27=0,"",CIFIN!D27)</f>
        <v/>
      </c>
      <c r="E68" s="395"/>
      <c r="F68" s="396" t="str">
        <f>IF(CIFIN!H27=0,"",CIFIN!H27)</f>
        <v/>
      </c>
      <c r="G68" s="397" t="str">
        <f>IF(CIFIN!C27=0,"",CIFIN!C27)</f>
        <v/>
      </c>
      <c r="H68" s="423">
        <f>CIFIN!A32</f>
        <v>0</v>
      </c>
      <c r="I68" s="303"/>
      <c r="J68" s="398" t="s">
        <v>948</v>
      </c>
      <c r="K68" s="230">
        <f>K40</f>
        <v>0</v>
      </c>
      <c r="L68" s="231">
        <f>L40</f>
        <v>0</v>
      </c>
      <c r="M68" s="359">
        <f>M40</f>
        <v>0</v>
      </c>
      <c r="N68" s="227" t="str">
        <f t="shared" si="18"/>
        <v/>
      </c>
      <c r="O68" s="399" t="str">
        <f t="shared" si="19"/>
        <v/>
      </c>
      <c r="P68" s="227" t="str">
        <f t="shared" si="20"/>
        <v/>
      </c>
      <c r="Q68" s="400" t="str">
        <f t="shared" si="21"/>
        <v/>
      </c>
      <c r="R68" s="399" t="str">
        <f t="shared" si="22"/>
        <v/>
      </c>
      <c r="S68" s="421">
        <f>IF(M65&gt;0,M65,0)</f>
        <v>0</v>
      </c>
      <c r="T68" s="422">
        <f>IF(M65&lt;0,-M65,0)</f>
        <v>0</v>
      </c>
      <c r="W68"/>
    </row>
    <row r="69" spans="1:23" s="176" customFormat="1" ht="25">
      <c r="A69" s="391"/>
      <c r="B69" s="392"/>
      <c r="C69" s="393"/>
      <c r="D69" s="394"/>
      <c r="E69" s="395"/>
      <c r="F69" s="424"/>
      <c r="G69" s="425"/>
      <c r="H69" s="423">
        <f>CIFIN!A33</f>
        <v>221</v>
      </c>
      <c r="I69" s="402" t="s">
        <v>793</v>
      </c>
      <c r="J69" s="403"/>
      <c r="K69" s="324">
        <f>SUM(K61:K68)</f>
        <v>0</v>
      </c>
      <c r="L69" s="325">
        <f>SUM(L61:L68)</f>
        <v>0</v>
      </c>
      <c r="M69" s="404">
        <f>SUM(M61:M68)</f>
        <v>0</v>
      </c>
      <c r="N69" s="328" t="str">
        <f t="shared" si="18"/>
        <v/>
      </c>
      <c r="O69" s="405" t="str">
        <f t="shared" si="19"/>
        <v/>
      </c>
      <c r="P69" s="328" t="str">
        <f t="shared" si="20"/>
        <v/>
      </c>
      <c r="Q69" s="406" t="str">
        <f t="shared" si="21"/>
        <v/>
      </c>
      <c r="R69" s="405" t="str">
        <f t="shared" si="22"/>
        <v/>
      </c>
      <c r="S69" s="419" t="s">
        <v>949</v>
      </c>
      <c r="T69" s="420"/>
      <c r="W69"/>
    </row>
    <row r="70" spans="1:23" s="176" customFormat="1" ht="25">
      <c r="A70" s="426" t="s">
        <v>229</v>
      </c>
      <c r="B70" s="427">
        <f>SUM(B54:B69)</f>
        <v>0</v>
      </c>
      <c r="C70" s="427">
        <f>SUM(C54:C69)</f>
        <v>0</v>
      </c>
      <c r="D70" s="428">
        <f>SUM(D54:D69)</f>
        <v>0</v>
      </c>
      <c r="E70" s="429"/>
      <c r="F70" s="430"/>
      <c r="G70" s="431"/>
      <c r="H70" s="432"/>
      <c r="I70" s="433" t="s">
        <v>794</v>
      </c>
      <c r="J70" s="434"/>
      <c r="K70" s="334">
        <f>SUM(K59,K69)</f>
        <v>0</v>
      </c>
      <c r="L70" s="335">
        <f>SUM(L59,L69)</f>
        <v>0</v>
      </c>
      <c r="M70" s="409">
        <f>SUM(M59,M69)</f>
        <v>0</v>
      </c>
      <c r="N70" s="338" t="str">
        <f t="shared" si="18"/>
        <v/>
      </c>
      <c r="O70" s="435" t="str">
        <f t="shared" si="19"/>
        <v/>
      </c>
      <c r="P70" s="338"/>
      <c r="Q70" s="436"/>
      <c r="R70" s="435"/>
      <c r="S70" s="421">
        <f>IF(OR(M$5=0,AND(M$5&lt;&gt;$A$89,M$5&lt;&gt;$A$90)),0,IF(M$5=$A$89,IF('Balances y Proyecciones'!N228&gt;0,'Balances y Proyecciones'!N228,0),IF('Balances y Proyecciones'!Q228&gt;0,'Balances y Proyecciones'!Q228,0)))</f>
        <v>0</v>
      </c>
      <c r="T70" s="422">
        <f>IF(OR(M$5=0,AND(M$5&lt;&gt;$A$89,M$5&lt;&gt;$A$90)),0,IF(M$5=$A$89,IF('Balances y Proyecciones'!N228&lt;=0,-'Balances y Proyecciones'!N228,0),IF('Balances y Proyecciones'!Q228&lt;=0,-'Balances y Proyecciones'!Q228,0)))</f>
        <v>0</v>
      </c>
      <c r="W70"/>
    </row>
    <row r="71" spans="1:23" s="176" customFormat="1" ht="25">
      <c r="A71" s="437"/>
      <c r="B71" s="438"/>
      <c r="C71" s="438"/>
      <c r="D71" s="438"/>
      <c r="E71" s="438"/>
      <c r="F71" s="439" t="str">
        <f>"DIFERENCIA CON PASIVO FINANCIERO A "&amp;LEFT(M6,3)&amp;". 2.0"&amp;RIGHT(M5,2)&amp;":"</f>
        <v>DIFERENCIA CON PASIVO FINANCIERO A Dic. 2.019:</v>
      </c>
      <c r="G71" s="440">
        <f>SUM(B70,E70)-SUM(M45,M53)</f>
        <v>0</v>
      </c>
      <c r="H71" s="169"/>
      <c r="I71" s="407"/>
      <c r="J71" s="408"/>
      <c r="K71" s="441"/>
      <c r="L71" s="442"/>
      <c r="M71" s="443"/>
      <c r="N71" s="410"/>
      <c r="O71" s="411"/>
      <c r="P71" s="410"/>
      <c r="Q71" s="412"/>
      <c r="R71" s="411"/>
      <c r="S71" s="421"/>
      <c r="T71" s="422"/>
      <c r="W71"/>
    </row>
    <row r="72" spans="1:23" s="176" customFormat="1" ht="23">
      <c r="A72" s="444" t="s">
        <v>950</v>
      </c>
      <c r="B72" s="445"/>
      <c r="C72" s="445"/>
      <c r="D72" s="445"/>
      <c r="E72" s="445"/>
      <c r="F72" s="445"/>
      <c r="G72" s="446"/>
      <c r="H72" s="447"/>
      <c r="I72" s="303"/>
      <c r="J72" s="398" t="s">
        <v>951</v>
      </c>
      <c r="K72" s="448">
        <f>IF(OR(K$5=0,AND(K$5&lt;&gt;$A$86,K$5&lt;&gt;$A$87,K$5&lt;&gt;$A$88)),0,IF(K$5=$A$86,'Estados Financieros'!E188,IF(K$5=$A$87,'Estados Financieros'!F188,'Estados Financieros'!I188)))</f>
        <v>0</v>
      </c>
      <c r="L72" s="449">
        <f>IF(OR(L$5=0,AND(L$5&lt;&gt;$A$87,L$5&lt;&gt;$A$89)),0,IF(L$5=$A$87,'Estados Financieros'!F188,'Estados Financieros'!G188))</f>
        <v>0</v>
      </c>
      <c r="M72" s="450">
        <f>IF(OR(M$5=0,AND(M$5&lt;&gt;$A$89,M$5&lt;&gt;$A$90)),0,IF(M$5=$A$89,'Estados Financieros'!G188,'Estados Financieros'!H188))</f>
        <v>0</v>
      </c>
      <c r="N72" s="227" t="str">
        <f>IF(OR(K72=0,K72="",$L$5=""),"",L72/K72-1)</f>
        <v/>
      </c>
      <c r="O72" s="399" t="str">
        <f>IF($K$5=$A$88,IF(OR(K72=0,K72=""),"",M72/K72-1),IF(OR(L72=0,L72=""),"",M72/L72-1))</f>
        <v/>
      </c>
      <c r="Q72" s="400"/>
      <c r="R72" s="399"/>
      <c r="S72" s="419">
        <f>IF(AND($K$5=$A$88,'Balances y Proyecciones'!$C$3&lt;&gt;'Balances y Proyecciones'!$L$913,'Balances y Proyecciones'!$C$3&lt;&gt;"",'Balances y Proyecciones'!Q234&lt;&gt;0),"RES. "&amp;LEFT('Balances y Proyecciones'!K16,3)&amp;". "&amp;RIGHT('Balances y Proyecciones'!K15,2)&amp;" - "&amp;LEFT('Balances y Proyecciones'!N16,3)&amp;". "&amp;RIGHT('Balances y Proyecciones'!N15,2),0)</f>
        <v>0</v>
      </c>
      <c r="T72" s="420"/>
      <c r="W72"/>
    </row>
    <row r="73" spans="1:23" s="176" customFormat="1" ht="23">
      <c r="A73" s="451" t="s">
        <v>952</v>
      </c>
      <c r="B73" s="452" t="str">
        <f>IF($C$70+$E$70=0,"",(SUMIF($H$51:$H$69,"A",$C$54:$C$69)+SUMIF($H$51:$H$69,"A",$E$54:$E$69))/($C$70+$E$70))</f>
        <v/>
      </c>
      <c r="C73" s="453"/>
      <c r="D73" s="454" t="s">
        <v>953</v>
      </c>
      <c r="E73" s="453"/>
      <c r="F73" s="453"/>
      <c r="G73" s="455" t="str">
        <f>IF($C$70+$E$70=0,"",(SUMIF($H$51:$H$69,"E",$C$54:$C$69)+SUMIF($H$51:$H$69,"E",$E$54:$E$69))/($C$70+$E$70))</f>
        <v/>
      </c>
      <c r="H73" s="447"/>
      <c r="I73" s="456"/>
      <c r="J73" s="457"/>
      <c r="K73" s="458"/>
      <c r="L73" s="459"/>
      <c r="M73" s="459"/>
      <c r="N73" s="458"/>
      <c r="O73" s="459"/>
      <c r="P73" s="459"/>
      <c r="Q73" s="460"/>
      <c r="R73" s="460"/>
      <c r="S73" s="461">
        <f>IF(AND($K$5=$A$88,'Balances y Proyecciones'!$C$3&lt;&gt;'Balances y Proyecciones'!$L$913,'Balances y Proyecciones'!$C$3&lt;&gt;"",'Balances y Proyecciones'!Q234&gt;=0),'Balances y Proyecciones'!Q234,0)</f>
        <v>0</v>
      </c>
      <c r="T73" s="462">
        <f>IF(AND($K$5=$A$88,'Balances y Proyecciones'!$C$3&lt;&gt;'Balances y Proyecciones'!$L$913,'Balances y Proyecciones'!$C$3&lt;&gt;"",'Balances y Proyecciones'!Q234&lt;0),-'Balances y Proyecciones'!Q234,0)</f>
        <v>0</v>
      </c>
      <c r="W73"/>
    </row>
    <row r="74" spans="1:23" s="176" customFormat="1" ht="25">
      <c r="A74" s="463" t="s">
        <v>954</v>
      </c>
      <c r="B74" s="464" t="str">
        <f>IF($C$70+$E$70=0,"",(SUMIF($H$51:$H$69,"B",$C$54:$C$69)+SUMIF($H$51:$H$69,"B",$E$54:$E$69))/($C$70+$E$70))</f>
        <v/>
      </c>
      <c r="C74" s="465"/>
      <c r="D74" s="466" t="s">
        <v>955</v>
      </c>
      <c r="E74" s="465"/>
      <c r="F74" s="465"/>
      <c r="G74" s="455" t="str">
        <f>IF($C$70+$E$70=0,"",(SUMIF($H$51:$H$69,"O",$C$54:$C$69)+SUMIF($H$51:$H$69,"O",$E$54:$E$69))/($C$70+$E$70))</f>
        <v/>
      </c>
      <c r="H74" s="467"/>
      <c r="I74" s="468" t="s">
        <v>956</v>
      </c>
      <c r="J74" s="469"/>
      <c r="K74" s="470"/>
      <c r="L74" s="470"/>
      <c r="M74" s="470"/>
      <c r="N74" s="470"/>
      <c r="O74" s="470"/>
      <c r="P74" s="470"/>
      <c r="Q74" s="470"/>
      <c r="R74" s="471"/>
      <c r="S74" s="472">
        <f>SUM(S29:S33,S35:S40,S45:S51,S53:S57,S70,S64,S62,S66,S68,S73)</f>
        <v>0</v>
      </c>
      <c r="T74" s="473">
        <f>SUM(T29:T33,T35:T40,T45:T51,T53:T57,T70,T64,T62,T66,T68,T73)</f>
        <v>0</v>
      </c>
      <c r="W74"/>
    </row>
    <row r="75" spans="1:23" s="176" customFormat="1" ht="23">
      <c r="A75" s="206"/>
      <c r="B75" s="474"/>
      <c r="C75" s="475"/>
      <c r="D75" s="206"/>
      <c r="E75" s="475"/>
      <c r="F75" s="475"/>
      <c r="G75" s="476"/>
      <c r="H75" s="477"/>
      <c r="I75" s="478"/>
      <c r="J75" s="478"/>
      <c r="K75" s="169"/>
      <c r="L75" s="169"/>
      <c r="M75" s="169"/>
      <c r="N75" s="169"/>
      <c r="O75" s="169"/>
      <c r="P75" s="169"/>
      <c r="Q75" s="478"/>
      <c r="R75" s="478"/>
      <c r="S75" s="478"/>
      <c r="T75" s="479"/>
    </row>
    <row r="76" spans="1:23" s="176" customFormat="1">
      <c r="A76" s="480" t="s">
        <v>957</v>
      </c>
      <c r="B76" s="481">
        <f>'Balances y Proyecciones'!$E$15</f>
        <v>2017</v>
      </c>
      <c r="C76" s="481">
        <f>'Balances y Proyecciones'!$H$15</f>
        <v>2018</v>
      </c>
      <c r="D76" s="481" t="str">
        <f>"Corte 2.0"&amp;RIGHT('Balances y Proyecciones'!$K$15,2)</f>
        <v>Corte 2.019</v>
      </c>
      <c r="E76" s="481">
        <f>'Balances y Proyecciones'!$N$15</f>
        <v>2019</v>
      </c>
      <c r="F76" s="481" t="str">
        <f>"Corte 2.0"&amp;RIGHT('Balances y Proyecciones'!$Q$15,2)</f>
        <v>Corte 2.020</v>
      </c>
      <c r="G76" s="481" t="str">
        <f>"Proy. 2.0"&amp;RIGHT('Balances y Proyecciones'!$T$15,2)</f>
        <v>Proy. 2.020</v>
      </c>
      <c r="H76" s="482"/>
      <c r="I76" s="483"/>
      <c r="J76" s="483"/>
      <c r="K76" s="481">
        <f>'Balances y Proyecciones'!$E$15</f>
        <v>2017</v>
      </c>
      <c r="L76" s="481">
        <f>'Balances y Proyecciones'!$H$15</f>
        <v>2018</v>
      </c>
      <c r="M76" s="481" t="str">
        <f>"Corte 2.0"&amp;RIGHT('Balances y Proyecciones'!$K$15,2)</f>
        <v>Corte 2.019</v>
      </c>
      <c r="N76" s="481">
        <f>'Balances y Proyecciones'!$N$15</f>
        <v>2019</v>
      </c>
      <c r="O76" s="481" t="str">
        <f>"Corte 2.0"&amp;RIGHT('Balances y Proyecciones'!$Q$15,2)</f>
        <v>Corte 2.020</v>
      </c>
      <c r="P76" s="481" t="str">
        <f>"Proy. 2.0"&amp;RIGHT('Balances y Proyecciones'!$T$15,2)</f>
        <v>Proy. 2.020</v>
      </c>
      <c r="Q76" s="484"/>
      <c r="R76" s="484"/>
      <c r="S76" s="484"/>
      <c r="T76" s="479"/>
    </row>
    <row r="77" spans="1:23" s="479" customFormat="1">
      <c r="A77" s="485" t="s">
        <v>958</v>
      </c>
      <c r="B77" s="486">
        <f>'Balances y Proyecciones'!E71</f>
        <v>0</v>
      </c>
      <c r="C77" s="486">
        <f>'Balances y Proyecciones'!H71</f>
        <v>0</v>
      </c>
      <c r="D77" s="486">
        <f>'Balances y Proyecciones'!K71</f>
        <v>0</v>
      </c>
      <c r="E77" s="486">
        <f>'Balances y Proyecciones'!N71</f>
        <v>0</v>
      </c>
      <c r="F77" s="486">
        <f>'Balances y Proyecciones'!Q71</f>
        <v>0</v>
      </c>
      <c r="G77" s="486">
        <f>'Balances y Proyecciones'!T71</f>
        <v>0</v>
      </c>
      <c r="H77" s="485"/>
      <c r="I77" s="485"/>
      <c r="J77" s="485" t="s">
        <v>959</v>
      </c>
      <c r="K77" s="486">
        <f>'Balances y Proyecciones'!E26</f>
        <v>0</v>
      </c>
      <c r="L77" s="486">
        <f>'Balances y Proyecciones'!H26</f>
        <v>0</v>
      </c>
      <c r="M77" s="486">
        <f>'Balances y Proyecciones'!K26</f>
        <v>0</v>
      </c>
      <c r="N77" s="486">
        <f>'Balances y Proyecciones'!N26</f>
        <v>0</v>
      </c>
      <c r="O77" s="486">
        <f>'Balances y Proyecciones'!Q26</f>
        <v>0</v>
      </c>
      <c r="P77" s="486">
        <f>'Balances y Proyecciones'!T26</f>
        <v>0</v>
      </c>
      <c r="U77" s="484"/>
    </row>
    <row r="78" spans="1:23" s="479" customFormat="1">
      <c r="A78" s="485" t="s">
        <v>960</v>
      </c>
      <c r="B78" s="486">
        <f>'Balances y Proyecciones'!E89</f>
        <v>0</v>
      </c>
      <c r="C78" s="486">
        <f>'Balances y Proyecciones'!H89</f>
        <v>0</v>
      </c>
      <c r="D78" s="486">
        <f>'Balances y Proyecciones'!K89</f>
        <v>0</v>
      </c>
      <c r="E78" s="486">
        <f>'Balances y Proyecciones'!N89</f>
        <v>0</v>
      </c>
      <c r="F78" s="486">
        <f>'Balances y Proyecciones'!Q89</f>
        <v>0</v>
      </c>
      <c r="G78" s="486">
        <f>'Balances y Proyecciones'!T89</f>
        <v>0</v>
      </c>
      <c r="H78" s="483"/>
      <c r="I78" s="485"/>
      <c r="J78" s="485" t="s">
        <v>961</v>
      </c>
      <c r="K78" s="486">
        <f>SUM('Balances y Proyecciones'!E27:E32)</f>
        <v>0</v>
      </c>
      <c r="L78" s="486">
        <f>SUM('Balances y Proyecciones'!H27:H32)</f>
        <v>0</v>
      </c>
      <c r="M78" s="486">
        <f>SUM('Balances y Proyecciones'!K27:K32)</f>
        <v>0</v>
      </c>
      <c r="N78" s="486">
        <f>SUM('Balances y Proyecciones'!N27:N32)</f>
        <v>0</v>
      </c>
      <c r="O78" s="486">
        <f>SUM('Balances y Proyecciones'!Q27:Q32)</f>
        <v>0</v>
      </c>
      <c r="P78" s="486">
        <f>SUM('Balances y Proyecciones'!T27:T32)</f>
        <v>0</v>
      </c>
      <c r="U78" s="484"/>
    </row>
    <row r="79" spans="1:23" s="479" customFormat="1">
      <c r="A79" s="485" t="s">
        <v>962</v>
      </c>
      <c r="B79" s="486">
        <f>'Balances y Proyecciones'!E75</f>
        <v>0</v>
      </c>
      <c r="C79" s="486">
        <f>'Balances y Proyecciones'!H75</f>
        <v>0</v>
      </c>
      <c r="D79" s="486">
        <f>'Balances y Proyecciones'!K75</f>
        <v>0</v>
      </c>
      <c r="E79" s="486">
        <f>'Balances y Proyecciones'!N75</f>
        <v>0</v>
      </c>
      <c r="F79" s="486">
        <f>'Balances y Proyecciones'!Q75</f>
        <v>0</v>
      </c>
      <c r="G79" s="486">
        <f>'Balances y Proyecciones'!T75</f>
        <v>0</v>
      </c>
      <c r="H79" s="485"/>
      <c r="I79" s="485"/>
      <c r="J79" s="485" t="s">
        <v>963</v>
      </c>
      <c r="K79" s="486">
        <f>'Balances y Proyecciones'!E48</f>
        <v>0</v>
      </c>
      <c r="L79" s="486">
        <f>'Balances y Proyecciones'!H48</f>
        <v>0</v>
      </c>
      <c r="M79" s="486">
        <f>'Balances y Proyecciones'!K48</f>
        <v>0</v>
      </c>
      <c r="N79" s="486">
        <f>'Balances y Proyecciones'!N48</f>
        <v>0</v>
      </c>
      <c r="O79" s="486">
        <f>'Balances y Proyecciones'!Q48</f>
        <v>0</v>
      </c>
      <c r="P79" s="486">
        <f>'Balances y Proyecciones'!T48</f>
        <v>0</v>
      </c>
    </row>
    <row r="80" spans="1:23" s="479" customFormat="1">
      <c r="A80" s="485" t="s">
        <v>964</v>
      </c>
      <c r="B80" s="486">
        <f>'Balances y Proyecciones'!E34</f>
        <v>0</v>
      </c>
      <c r="C80" s="486">
        <f>'Balances y Proyecciones'!H34</f>
        <v>0</v>
      </c>
      <c r="D80" s="486">
        <f>'Balances y Proyecciones'!K34</f>
        <v>0</v>
      </c>
      <c r="E80" s="486">
        <f>'Balances y Proyecciones'!N34</f>
        <v>0</v>
      </c>
      <c r="F80" s="486">
        <f>'Balances y Proyecciones'!Q34</f>
        <v>0</v>
      </c>
      <c r="G80" s="486">
        <f>'Balances y Proyecciones'!T34</f>
        <v>0</v>
      </c>
      <c r="H80" s="485"/>
      <c r="I80" s="485"/>
      <c r="J80" s="485" t="s">
        <v>965</v>
      </c>
      <c r="K80" s="486">
        <f>'Balances y Proyecciones'!E58</f>
        <v>0</v>
      </c>
      <c r="L80" s="486">
        <f>'Balances y Proyecciones'!H58</f>
        <v>0</v>
      </c>
      <c r="M80" s="486">
        <f>'Balances y Proyecciones'!K58</f>
        <v>0</v>
      </c>
      <c r="N80" s="486">
        <f>'Balances y Proyecciones'!N58</f>
        <v>0</v>
      </c>
      <c r="O80" s="486">
        <f>'Balances y Proyecciones'!Q58</f>
        <v>0</v>
      </c>
      <c r="P80" s="486">
        <f>'Balances y Proyecciones'!T58</f>
        <v>0</v>
      </c>
    </row>
    <row r="81" spans="1:20" s="479" customFormat="1">
      <c r="A81" s="485" t="s">
        <v>966</v>
      </c>
      <c r="B81" s="486">
        <f>'Balances y Proyecciones'!E59</f>
        <v>0</v>
      </c>
      <c r="C81" s="486">
        <f>'Balances y Proyecciones'!H59</f>
        <v>0</v>
      </c>
      <c r="D81" s="486">
        <f>'Balances y Proyecciones'!K59</f>
        <v>0</v>
      </c>
      <c r="E81" s="486">
        <f>'Balances y Proyecciones'!N59</f>
        <v>0</v>
      </c>
      <c r="F81" s="486">
        <f>'Balances y Proyecciones'!Q59</f>
        <v>0</v>
      </c>
      <c r="G81" s="486">
        <f>'Balances y Proyecciones'!T59</f>
        <v>0</v>
      </c>
      <c r="H81" s="485"/>
      <c r="I81" s="485"/>
      <c r="J81" s="485" t="s">
        <v>967</v>
      </c>
      <c r="K81" s="486">
        <f>'Balances y Proyecciones'!AP704</f>
        <v>0</v>
      </c>
      <c r="L81" s="486">
        <f>'Balances y Proyecciones'!AS704</f>
        <v>0</v>
      </c>
      <c r="M81" s="486">
        <f>'Balances y Proyecciones'!AV704</f>
        <v>0</v>
      </c>
      <c r="N81" s="486">
        <f>'Balances y Proyecciones'!AY704</f>
        <v>0</v>
      </c>
      <c r="O81" s="486">
        <f>'Balances y Proyecciones'!BB704</f>
        <v>0</v>
      </c>
      <c r="P81" s="486">
        <f>'Balances y Proyecciones'!BE704</f>
        <v>0</v>
      </c>
    </row>
    <row r="82" spans="1:20" s="479" customFormat="1">
      <c r="A82" s="307" t="s">
        <v>968</v>
      </c>
      <c r="B82" s="486">
        <f>'Balances y Proyecciones'!E67</f>
        <v>0</v>
      </c>
      <c r="C82" s="486">
        <f>'Balances y Proyecciones'!H67</f>
        <v>0</v>
      </c>
      <c r="D82" s="486">
        <f>'Balances y Proyecciones'!K67</f>
        <v>0</v>
      </c>
      <c r="E82" s="486">
        <f>'Balances y Proyecciones'!N67</f>
        <v>0</v>
      </c>
      <c r="F82" s="486">
        <f>'Balances y Proyecciones'!Q67</f>
        <v>0</v>
      </c>
      <c r="G82" s="486">
        <f>'Balances y Proyecciones'!T67</f>
        <v>0</v>
      </c>
      <c r="H82" s="485"/>
      <c r="I82" s="487"/>
      <c r="J82" s="307" t="s">
        <v>969</v>
      </c>
      <c r="K82" s="486">
        <f>'Balances y Proyecciones'!AP747</f>
        <v>0</v>
      </c>
      <c r="L82" s="486">
        <f>'Balances y Proyecciones'!AS747</f>
        <v>0</v>
      </c>
      <c r="M82" s="486">
        <f>'Balances y Proyecciones'!AV747</f>
        <v>0</v>
      </c>
      <c r="N82" s="486">
        <f>'Balances y Proyecciones'!AY747</f>
        <v>0</v>
      </c>
      <c r="O82" s="486">
        <f>'Balances y Proyecciones'!BB747</f>
        <v>0</v>
      </c>
      <c r="P82" s="486">
        <f>'Balances y Proyecciones'!BE747</f>
        <v>0</v>
      </c>
      <c r="Q82" s="169"/>
      <c r="R82" s="169"/>
      <c r="S82" s="169"/>
      <c r="T82" s="169"/>
    </row>
    <row r="83" spans="1:20" s="479" customFormat="1">
      <c r="A83" s="307" t="s">
        <v>970</v>
      </c>
      <c r="B83" s="488">
        <f>'Balances y Proyecciones'!AP751</f>
        <v>0</v>
      </c>
      <c r="C83" s="488">
        <f>'Balances y Proyecciones'!AS751</f>
        <v>0</v>
      </c>
      <c r="D83" s="488">
        <f>'Balances y Proyecciones'!AV751</f>
        <v>0</v>
      </c>
      <c r="E83" s="488">
        <f>'Balances y Proyecciones'!AY751</f>
        <v>0</v>
      </c>
      <c r="F83" s="488">
        <f>'Balances y Proyecciones'!BB751</f>
        <v>0</v>
      </c>
      <c r="G83" s="488">
        <f>'Balances y Proyecciones'!BE751</f>
        <v>0</v>
      </c>
      <c r="H83" s="485"/>
      <c r="I83" s="487"/>
      <c r="J83" s="307" t="s">
        <v>971</v>
      </c>
      <c r="K83" s="488">
        <f>'Balances y Proyecciones'!AP743</f>
        <v>0</v>
      </c>
      <c r="L83" s="488">
        <f>'Balances y Proyecciones'!AS743</f>
        <v>0</v>
      </c>
      <c r="M83" s="488">
        <f>'Balances y Proyecciones'!AV743</f>
        <v>0</v>
      </c>
      <c r="N83" s="488">
        <f>'Balances y Proyecciones'!AY743</f>
        <v>0</v>
      </c>
      <c r="O83" s="488">
        <f>'Balances y Proyecciones'!BB743</f>
        <v>0</v>
      </c>
      <c r="P83" s="488">
        <f>'Balances y Proyecciones'!BE743</f>
        <v>0</v>
      </c>
      <c r="Q83" s="169"/>
      <c r="R83" s="169"/>
      <c r="S83" s="169"/>
      <c r="T83" s="169"/>
    </row>
    <row r="84" spans="1:20">
      <c r="A84" s="307"/>
      <c r="B84" s="307"/>
      <c r="C84" s="307"/>
      <c r="D84" s="307"/>
      <c r="E84" s="307"/>
      <c r="F84" s="307"/>
      <c r="G84" s="307"/>
      <c r="H84" s="307"/>
      <c r="I84" s="307"/>
      <c r="J84" s="307"/>
      <c r="K84" s="307"/>
      <c r="L84" s="307"/>
      <c r="M84" s="307"/>
      <c r="N84" s="307"/>
      <c r="O84" s="307"/>
      <c r="P84" s="307"/>
    </row>
    <row r="85" spans="1:20">
      <c r="A85" s="489" t="s">
        <v>972</v>
      </c>
      <c r="B85" s="490"/>
      <c r="C85" s="490"/>
      <c r="D85" s="307"/>
      <c r="E85" s="489" t="s">
        <v>973</v>
      </c>
      <c r="F85" s="307"/>
      <c r="G85" s="307"/>
      <c r="H85" s="307"/>
      <c r="I85" s="307"/>
      <c r="J85" s="489" t="s">
        <v>974</v>
      </c>
      <c r="K85" s="307"/>
      <c r="L85" s="307"/>
      <c r="M85" s="307"/>
      <c r="N85" s="489" t="s">
        <v>975</v>
      </c>
      <c r="O85" s="307"/>
      <c r="P85" s="489" t="s">
        <v>976</v>
      </c>
      <c r="S85" s="491"/>
    </row>
    <row r="86" spans="1:20">
      <c r="A86" s="307">
        <f>'Balances y Proyecciones'!E15</f>
        <v>2017</v>
      </c>
      <c r="B86" s="307" t="str">
        <f>'Balances y Proyecciones'!E16</f>
        <v>Diciembre</v>
      </c>
      <c r="C86" s="307">
        <f>'Balances y Proyecciones'!E17</f>
        <v>360</v>
      </c>
      <c r="D86" s="307"/>
      <c r="E86" s="307" t="s">
        <v>933</v>
      </c>
      <c r="F86" s="307">
        <v>1</v>
      </c>
      <c r="G86" s="307" t="str">
        <f ca="1">MID(RIGHT(CELL("DIRECCION",CIFIN!B14),4),1,1)</f>
        <v>B</v>
      </c>
      <c r="H86" s="307"/>
      <c r="I86" s="486">
        <v>1</v>
      </c>
      <c r="J86" s="492"/>
      <c r="K86" s="493">
        <f>ROW(CIFIN!B15)</f>
        <v>15</v>
      </c>
      <c r="L86" s="493">
        <f>ROW(CIFIN!B30)</f>
        <v>30</v>
      </c>
      <c r="M86" s="307"/>
      <c r="N86" s="307">
        <v>1</v>
      </c>
      <c r="O86" s="307" t="str">
        <f ca="1">MID(CELL("DIRECCION",A53),2,1)</f>
        <v>A</v>
      </c>
      <c r="P86" s="169">
        <f>ROW(A54)</f>
        <v>54</v>
      </c>
    </row>
    <row r="87" spans="1:20">
      <c r="A87" s="307">
        <f>'Balances y Proyecciones'!H15</f>
        <v>2018</v>
      </c>
      <c r="B87" s="307" t="str">
        <f>'Balances y Proyecciones'!H16</f>
        <v>Diciembre</v>
      </c>
      <c r="C87" s="307">
        <f>'Balances y Proyecciones'!H17</f>
        <v>360</v>
      </c>
      <c r="D87" s="307"/>
      <c r="E87" s="307" t="s">
        <v>977</v>
      </c>
      <c r="F87" s="307">
        <v>2</v>
      </c>
      <c r="G87" s="307" t="str">
        <f ca="1">MID(RIGHT(CELL("DIRECCION",CIFIN!A14),4),1,1)</f>
        <v>A</v>
      </c>
      <c r="H87" s="307"/>
      <c r="I87" s="486">
        <v>2</v>
      </c>
      <c r="J87" s="492"/>
      <c r="K87" s="493" t="e">
        <f>ROW(CIFIN!#REF!)</f>
        <v>#REF!</v>
      </c>
      <c r="L87" s="493" t="e">
        <f>ROW(CIFIN!#REF!)</f>
        <v>#REF!</v>
      </c>
      <c r="M87" s="307"/>
      <c r="N87" s="307">
        <v>2</v>
      </c>
      <c r="O87" s="307" t="str">
        <f ca="1">MID(CELL("DIRECCION",H50),2,1)</f>
        <v>H</v>
      </c>
      <c r="P87" s="307"/>
    </row>
    <row r="88" spans="1:20">
      <c r="A88" s="494" t="str">
        <f>"CORTE 2.0"&amp;RIGHT('Balances y Proyecciones'!K15,2)</f>
        <v>CORTE 2.019</v>
      </c>
      <c r="B88" s="307" t="str">
        <f>'Balances y Proyecciones'!K16</f>
        <v>Junio</v>
      </c>
      <c r="C88" s="307">
        <f>'Balances y Proyecciones'!K17</f>
        <v>180</v>
      </c>
      <c r="D88" s="307"/>
      <c r="E88" s="307" t="str">
        <f>"M/L "&amp;IF(RIGHT(TEXT(D53,"mmm-yy"),2)="yy",TEXT(D53,"mmm-aa"),TEXT(D53,"mmm-yy"))</f>
        <v>M/L ene-00</v>
      </c>
      <c r="F88" s="307">
        <v>3</v>
      </c>
      <c r="G88" s="307" t="str">
        <f ca="1">MID(RIGHT(CELL("DIRECCION",CIFIN!C14),4),1,1)</f>
        <v>C</v>
      </c>
      <c r="H88" s="307"/>
      <c r="I88" s="486">
        <v>3</v>
      </c>
      <c r="J88" s="492"/>
      <c r="K88" s="493" t="e">
        <f>ROW(CIFIN!#REF!)</f>
        <v>#REF!</v>
      </c>
      <c r="L88" s="493" t="e">
        <f>ROW(CIFIN!#REF!)</f>
        <v>#REF!</v>
      </c>
      <c r="M88" s="307"/>
      <c r="N88" s="307">
        <v>3</v>
      </c>
      <c r="O88" s="307" t="str">
        <f ca="1">MID(CELL("DIRECCION",D53),2,1)</f>
        <v>D</v>
      </c>
      <c r="P88" s="489" t="s">
        <v>978</v>
      </c>
    </row>
    <row r="89" spans="1:20">
      <c r="A89" s="494">
        <f>'Balances y Proyecciones'!N15</f>
        <v>2019</v>
      </c>
      <c r="B89" s="307" t="str">
        <f>'Balances y Proyecciones'!N16</f>
        <v>Diciembre</v>
      </c>
      <c r="C89" s="495">
        <f>'Balances y Proyecciones'!N17</f>
        <v>360</v>
      </c>
      <c r="D89" s="495"/>
      <c r="E89" s="307" t="str">
        <f>"M/E "&amp;IF(RIGHT(TEXT(E53,"mmm-yy"),2)="yy",TEXT(E53,"mmm-aa"),TEXT(E53,"mmm-yy"))</f>
        <v>M/E Tendencia</v>
      </c>
      <c r="F89" s="307">
        <v>4</v>
      </c>
      <c r="G89" s="307" t="str">
        <f ca="1">MID(RIGHT(CELL("DIRECCION",CIFIN!D14),4),1,1)</f>
        <v>D</v>
      </c>
      <c r="H89" s="307"/>
      <c r="I89" s="486">
        <v>4</v>
      </c>
      <c r="J89" s="492"/>
      <c r="K89" s="493" t="e">
        <f>ROW(CIFIN!#REF!)</f>
        <v>#REF!</v>
      </c>
      <c r="L89" s="493" t="e">
        <f>ROW(CIFIN!#REF!)</f>
        <v>#REF!</v>
      </c>
      <c r="M89" s="307"/>
      <c r="N89" s="307">
        <v>4</v>
      </c>
      <c r="O89" s="307" t="str">
        <f ca="1">MID(CELL("DIRECCION",E53),2,1)</f>
        <v>E</v>
      </c>
      <c r="P89" s="169">
        <f>ROW(A69)</f>
        <v>69</v>
      </c>
    </row>
    <row r="90" spans="1:20">
      <c r="A90" s="494" t="str">
        <f>"CORTE 2.0"&amp;RIGHT('Balances y Proyecciones'!Q15,2)</f>
        <v>CORTE 2.020</v>
      </c>
      <c r="B90" s="307" t="str">
        <f>'Balances y Proyecciones'!Q16</f>
        <v>Junio</v>
      </c>
      <c r="C90" s="495">
        <f>'Balances y Proyecciones'!Q17</f>
        <v>360</v>
      </c>
      <c r="D90" s="495"/>
      <c r="E90" s="307" t="str">
        <f>"M/L "&amp;IF(RIGHT(TEXT(B53,"mmm-yy"),2)="yy",TEXT(B53,"mmm-aa"),TEXT(B53,"mmm-yy"))</f>
        <v>M/L ene-00</v>
      </c>
      <c r="F90" s="307">
        <v>5</v>
      </c>
      <c r="G90" s="307" t="str">
        <f ca="1">MID(RIGHT(CELL("DIRECCION",CIFIN!G14),4),1,1)</f>
        <v>G</v>
      </c>
      <c r="H90" s="307"/>
      <c r="I90" s="486">
        <v>5</v>
      </c>
      <c r="J90" s="492"/>
      <c r="K90" s="493" t="e">
        <f>ROW(CIFIN!#REF!)</f>
        <v>#REF!</v>
      </c>
      <c r="L90" s="493" t="e">
        <f>ROW(CIFIN!#REF!)</f>
        <v>#REF!</v>
      </c>
      <c r="M90" s="307"/>
      <c r="N90" s="307">
        <v>5</v>
      </c>
      <c r="O90" s="307" t="str">
        <f ca="1">MID(CELL("DIRECCION",B53),2,1)</f>
        <v>B</v>
      </c>
      <c r="P90" s="307"/>
    </row>
    <row r="91" spans="1:20">
      <c r="A91" s="494"/>
      <c r="B91" s="307"/>
      <c r="C91" s="495"/>
      <c r="D91" s="495"/>
      <c r="E91" s="307" t="str">
        <f>"M/E "&amp;IF(RIGHT(TEXT(E53,"mmm-yy"),2)="yy",TEXT(E53,"mmm-aa"),TEXT(E53,"mmm-yy"))</f>
        <v>M/E Tendencia</v>
      </c>
      <c r="F91" s="307">
        <v>6</v>
      </c>
      <c r="G91" s="307" t="str">
        <f ca="1">MID(RIGHT(CELL("DIRECCION",CIFIN!H14),4),1,1)</f>
        <v>H</v>
      </c>
      <c r="H91" s="307"/>
      <c r="I91" s="486">
        <v>6</v>
      </c>
      <c r="J91" s="492"/>
      <c r="K91" s="493" t="e">
        <f>ROW(CIFIN!#REF!)</f>
        <v>#REF!</v>
      </c>
      <c r="L91" s="493" t="e">
        <f>ROW(CIFIN!#REF!)</f>
        <v>#REF!</v>
      </c>
      <c r="M91" s="307"/>
      <c r="N91" s="307">
        <v>6</v>
      </c>
      <c r="O91" s="307" t="str">
        <f ca="1">MID(CELL("DIRECCION",E53),2,1)</f>
        <v>E</v>
      </c>
      <c r="P91" s="489"/>
    </row>
    <row r="92" spans="1:20">
      <c r="A92" s="496"/>
      <c r="B92" s="307"/>
      <c r="C92" s="495"/>
      <c r="D92" s="495"/>
      <c r="E92" s="307" t="s">
        <v>935</v>
      </c>
      <c r="F92" s="307">
        <v>7</v>
      </c>
      <c r="G92" s="307" t="str">
        <f ca="1">MID(RIGHT(CELL("DIRECCION",CIFIN!J14),4),1,1)</f>
        <v>J</v>
      </c>
      <c r="H92" s="307"/>
      <c r="I92" s="486">
        <v>7</v>
      </c>
      <c r="J92" s="492"/>
      <c r="K92" s="493" t="e">
        <f>ROW(CIFIN!#REF!)</f>
        <v>#REF!</v>
      </c>
      <c r="L92" s="493" t="e">
        <f>ROW(CIFIN!#REF!)</f>
        <v>#REF!</v>
      </c>
      <c r="M92" s="307"/>
      <c r="N92" s="307">
        <v>7</v>
      </c>
      <c r="O92" s="307" t="str">
        <f ca="1">MID(CELL("DIRECCION",F53),2,1)</f>
        <v>F</v>
      </c>
      <c r="P92" s="307"/>
    </row>
    <row r="93" spans="1:20">
      <c r="A93" s="307"/>
      <c r="B93" s="307"/>
      <c r="C93" s="307"/>
      <c r="D93" s="307"/>
      <c r="E93" s="307" t="s">
        <v>936</v>
      </c>
      <c r="F93" s="307">
        <v>8</v>
      </c>
      <c r="G93" s="307" t="e">
        <f ca="1">MID(RIGHT(CELL("DIRECCION",CIFIN!#REF!),4),1,1)</f>
        <v>#REF!</v>
      </c>
      <c r="H93" s="307"/>
      <c r="I93" s="486">
        <v>8</v>
      </c>
      <c r="J93" s="492"/>
      <c r="K93" s="493" t="e">
        <f>ROW(CIFIN!#REF!)</f>
        <v>#REF!</v>
      </c>
      <c r="L93" s="493" t="e">
        <f>ROW(CIFIN!#REF!)</f>
        <v>#REF!</v>
      </c>
      <c r="M93" s="307"/>
      <c r="N93" s="307">
        <v>8</v>
      </c>
      <c r="O93" s="307" t="str">
        <f ca="1">MID(CELL("DIRECCION",G53),2,1)</f>
        <v>G</v>
      </c>
      <c r="P93" s="307"/>
    </row>
    <row r="94" spans="1:20">
      <c r="A94" s="494"/>
      <c r="B94" s="497"/>
      <c r="C94" s="490"/>
      <c r="D94" s="497"/>
      <c r="E94" s="307"/>
      <c r="F94" s="307"/>
      <c r="G94" s="307"/>
      <c r="H94" s="307"/>
      <c r="I94" s="486">
        <v>9</v>
      </c>
      <c r="J94" s="492"/>
      <c r="K94" s="493" t="e">
        <f>ROW(CIFIN!#REF!)</f>
        <v>#REF!</v>
      </c>
      <c r="L94" s="493" t="e">
        <f>ROW(CIFIN!#REF!)</f>
        <v>#REF!</v>
      </c>
      <c r="M94" s="307"/>
      <c r="N94" s="307"/>
      <c r="O94" s="307"/>
      <c r="P94" s="307"/>
    </row>
    <row r="95" spans="1:20">
      <c r="A95" s="494"/>
      <c r="B95" s="497"/>
      <c r="C95" s="490"/>
      <c r="D95" s="497"/>
      <c r="E95" s="307"/>
      <c r="F95" s="307"/>
      <c r="G95" s="307"/>
      <c r="H95" s="307"/>
      <c r="I95" s="486">
        <v>10</v>
      </c>
      <c r="J95" s="492"/>
      <c r="K95" s="493" t="e">
        <f>ROW(CIFIN!#REF!)</f>
        <v>#REF!</v>
      </c>
      <c r="L95" s="493" t="e">
        <f>ROW(CIFIN!#REF!)</f>
        <v>#REF!</v>
      </c>
      <c r="M95" s="307"/>
      <c r="N95" s="307"/>
      <c r="O95" s="307"/>
      <c r="P95" s="307"/>
    </row>
    <row r="96" spans="1:20">
      <c r="A96" s="494"/>
      <c r="B96" s="498"/>
      <c r="C96" s="490"/>
      <c r="D96" s="498"/>
      <c r="E96" s="307"/>
      <c r="F96" s="307"/>
      <c r="G96" s="307"/>
      <c r="H96" s="307"/>
      <c r="I96" s="307"/>
      <c r="J96" s="307"/>
      <c r="K96" s="307"/>
      <c r="L96" s="307"/>
      <c r="M96" s="307"/>
      <c r="N96" s="307"/>
      <c r="O96" s="307"/>
      <c r="P96" s="307"/>
    </row>
    <row r="97" spans="1:19">
      <c r="A97" s="499"/>
      <c r="B97" s="307"/>
      <c r="C97" s="307"/>
      <c r="D97" s="307"/>
      <c r="E97" s="307"/>
      <c r="F97" s="307"/>
      <c r="G97" s="307"/>
      <c r="H97" s="307"/>
      <c r="I97" s="307"/>
      <c r="J97" s="307"/>
      <c r="K97" s="307"/>
      <c r="L97" s="307"/>
      <c r="M97" s="307"/>
      <c r="N97" s="307"/>
      <c r="O97" s="307"/>
      <c r="P97" s="307"/>
    </row>
    <row r="98" spans="1:19">
      <c r="A98" s="499"/>
      <c r="B98" s="307"/>
      <c r="C98" s="307"/>
      <c r="D98" s="307"/>
      <c r="E98" s="307"/>
      <c r="F98" s="489" t="s">
        <v>979</v>
      </c>
      <c r="G98" s="307"/>
      <c r="I98" s="307"/>
      <c r="J98" s="307"/>
      <c r="K98" s="307"/>
      <c r="L98" s="307"/>
      <c r="M98" s="307"/>
      <c r="N98" s="307"/>
      <c r="O98" s="307"/>
      <c r="P98" s="307"/>
    </row>
    <row r="99" spans="1:19">
      <c r="A99" s="307"/>
      <c r="B99" s="307"/>
      <c r="C99" s="307"/>
      <c r="D99" s="307"/>
      <c r="E99" s="486" t="s">
        <v>980</v>
      </c>
      <c r="F99" s="500">
        <v>1</v>
      </c>
      <c r="G99" s="500" t="str">
        <f ca="1">VLOOKUP(F99,$F$86:$G$93,2,0)</f>
        <v>B</v>
      </c>
      <c r="I99" s="501" t="str">
        <f ca="1">VLOOKUP(F99,$N$86:$O$93,2,0)</f>
        <v>A</v>
      </c>
      <c r="J99" s="307"/>
      <c r="K99" s="489" t="s">
        <v>981</v>
      </c>
      <c r="L99" s="307"/>
      <c r="M99" s="307"/>
      <c r="N99" s="307"/>
      <c r="O99" s="307"/>
      <c r="P99" s="307"/>
    </row>
    <row r="100" spans="1:19">
      <c r="A100" s="307"/>
      <c r="B100" s="307"/>
      <c r="C100" s="307"/>
      <c r="D100" s="307"/>
      <c r="E100" s="486" t="s">
        <v>982</v>
      </c>
      <c r="F100" s="500">
        <v>1</v>
      </c>
      <c r="G100" s="500">
        <f>VLOOKUP(F100,$I$86:$L$95,3,0)</f>
        <v>15</v>
      </c>
      <c r="H100" s="307"/>
      <c r="I100" s="501">
        <f>VLOOKUP(F100,$I$86:$L$95,4,0)</f>
        <v>30</v>
      </c>
      <c r="J100" s="307"/>
      <c r="K100" s="169" t="e">
        <f ca="1">CELL("DIRECCION",_Res01)</f>
        <v>#NAME?</v>
      </c>
      <c r="L100" s="307"/>
      <c r="M100" s="307"/>
      <c r="N100" s="307"/>
      <c r="O100" s="307"/>
      <c r="P100" s="307"/>
    </row>
    <row r="101" spans="1:19">
      <c r="A101" s="307"/>
      <c r="B101" s="307"/>
      <c r="C101" s="307"/>
      <c r="D101" s="307"/>
      <c r="E101" s="307"/>
      <c r="F101" s="502"/>
      <c r="G101" s="307"/>
      <c r="H101" s="489"/>
      <c r="I101" s="307"/>
      <c r="J101" s="307"/>
      <c r="K101" s="307"/>
      <c r="L101" s="307"/>
      <c r="M101" s="307"/>
      <c r="N101" s="307"/>
      <c r="O101" s="307"/>
      <c r="P101" s="307"/>
    </row>
    <row r="102" spans="1:19">
      <c r="A102" s="489" t="s">
        <v>983</v>
      </c>
      <c r="B102" s="307"/>
      <c r="C102" s="307"/>
      <c r="D102" s="307"/>
      <c r="E102" s="307"/>
      <c r="F102" s="503"/>
      <c r="G102" s="307"/>
      <c r="H102" s="489"/>
      <c r="I102" s="307"/>
      <c r="J102" s="307"/>
      <c r="K102" s="307"/>
      <c r="L102" s="307"/>
      <c r="M102" s="307"/>
      <c r="N102" s="307"/>
      <c r="O102" s="307"/>
      <c r="P102" s="307"/>
    </row>
    <row r="103" spans="1:19">
      <c r="A103" s="307"/>
      <c r="B103" s="307"/>
      <c r="C103" s="504">
        <f>C11</f>
        <v>2017</v>
      </c>
      <c r="D103" s="504">
        <f>D11</f>
        <v>2018</v>
      </c>
      <c r="E103" s="504">
        <f>E11</f>
        <v>2019</v>
      </c>
      <c r="F103" s="307"/>
      <c r="G103" s="307"/>
      <c r="H103" s="307"/>
      <c r="I103" s="307"/>
      <c r="J103" s="307"/>
      <c r="K103" s="307"/>
      <c r="L103" s="307"/>
      <c r="M103" s="307"/>
      <c r="N103" s="307"/>
      <c r="O103" s="307"/>
      <c r="P103" s="307"/>
    </row>
    <row r="104" spans="1:19">
      <c r="A104" s="307" t="s">
        <v>2154</v>
      </c>
      <c r="B104" s="307"/>
      <c r="C104" s="505" t="str">
        <f>IF(OR(K$5=0,AND(K$5&lt;&gt;$A$86,K$5&lt;&gt;$A$87,K$5&lt;&gt;$A$88)),0,IF(K$5=$A$86,IF('Balances y Proyecciones'!E71=0,"",'Balances y Proyecciones'!E89/'Balances y Proyecciones'!E71),IF(K$5=A$87,IF('Balances y Proyecciones'!H71=0,"",'Balances y Proyecciones'!H89/'Balances y Proyecciones'!H71),IF('Balances y Proyecciones'!K71=0,"",'Balances y Proyecciones'!K89/'Balances y Proyecciones'!K71))))</f>
        <v/>
      </c>
      <c r="D104" s="505" t="str">
        <f>IF(OR(L$5=0,AND(L$5&lt;&gt;$A$87,L$5&lt;&gt;$A$89)),0,IF(L$5=$A$87,IF('Balances y Proyecciones'!H71=0,"",'Balances y Proyecciones'!H89/'Balances y Proyecciones'!H71),IF('Balances y Proyecciones'!N71=0,"",'Balances y Proyecciones'!N89/'Balances y Proyecciones'!N71)))</f>
        <v/>
      </c>
      <c r="E104" s="505" t="str">
        <f>IF(OR(M$5=0,AND(M$5&lt;&gt;$A$89,M$5&lt;&gt;$A$90)),0,IF(M$5=$A$89,IF('Balances y Proyecciones'!N71=0,"",'Balances y Proyecciones'!N89/'Balances y Proyecciones'!N71),IF('Balances y Proyecciones'!Q71=0,"",'Balances y Proyecciones'!Q89/'Balances y Proyecciones'!Q71)))</f>
        <v/>
      </c>
      <c r="F104" s="307"/>
      <c r="G104" s="307"/>
      <c r="H104" s="307"/>
      <c r="I104" s="307"/>
      <c r="J104" s="307"/>
      <c r="K104" s="307"/>
      <c r="L104" s="307"/>
      <c r="M104" s="307"/>
      <c r="N104" s="307"/>
      <c r="O104" s="307"/>
      <c r="P104" s="307"/>
    </row>
    <row r="105" spans="1:19">
      <c r="A105" s="307" t="s">
        <v>2155</v>
      </c>
      <c r="B105" s="307"/>
      <c r="C105" s="505" t="str">
        <f>IF(OR(K$5=0,AND(K$5&lt;&gt;$A$86,K$5&lt;&gt;$A$87,K$5&lt;&gt;$A$88)),0,IF(K$5=$A$86,IF('Balances y Proyecciones'!C89=0,"",'Balances y Proyecciones'!E233/'Balances y Proyecciones'!C89),IF(K$5=A$87,IF('Balances y Proyecciones'!E89=0,"",'Balances y Proyecciones'!H233/'Balances y Proyecciones'!E89),IF('Balances y Proyecciones'!H89=0,"",'Balances y Proyecciones'!K233/'Balances y Proyecciones'!H89))))</f>
        <v/>
      </c>
      <c r="D105" s="505" t="str">
        <f>IF(OR(L$5=0,AND(L$5&lt;&gt;$A$87,L$5&lt;&gt;$A$89)),0,IF(L$5=$A$87,IF('Balances y Proyecciones'!E89=0,"",'Balances y Proyecciones'!H233/'Balances y Proyecciones'!E89),IF('Balances y Proyecciones'!H89=0,"",'Balances y Proyecciones'!N233/'Balances y Proyecciones'!H89)))</f>
        <v/>
      </c>
      <c r="E105" s="505" t="str">
        <f>IF(OR(M$5=0,AND(M$5&lt;&gt;$A$89,M$5&lt;&gt;$A$90)),0,IF(M$5=$A$89,IF('Balances y Proyecciones'!H89=0,"",'Balances y Proyecciones'!N233/'Balances y Proyecciones'!H89),IF(IF(OR('Balances y Proyecciones'!$C$3='Balances y Proyecciones'!$L$913,'Balances y Proyecciones'!$C$3=""),'Balances y Proyecciones'!N89,'Balances y Proyecciones'!K89)=0,"",-'Balances y Proyecciones'!Q140/IF(OR('Balances y Proyecciones'!$C$3='Balances y Proyecciones'!$L$913,'Balances y Proyecciones'!$C$3=""),'Balances y Proyecciones'!N89,'Balances y Proyecciones'!K89))))</f>
        <v/>
      </c>
      <c r="F105" s="307"/>
      <c r="G105" s="307"/>
      <c r="H105" s="307"/>
      <c r="I105" s="307"/>
      <c r="J105" s="307"/>
      <c r="K105" s="307"/>
      <c r="L105" s="307"/>
      <c r="M105" s="307"/>
      <c r="N105" s="307"/>
      <c r="O105" s="307"/>
      <c r="P105" s="307"/>
    </row>
    <row r="106" spans="1:19">
      <c r="A106" s="307" t="s">
        <v>2156</v>
      </c>
      <c r="B106" s="307"/>
      <c r="C106" s="506" t="str">
        <f>IF(OR(K$5=0,AND(K$5&lt;&gt;$A$86,K$5&lt;&gt;$A$87,K$5&lt;&gt;$A$88)),0,IF(K$5=$A$86,IF(SUM('Balances y Proyecciones'!E60:E61)=0,"",'Balances y Proyecciones'!AP704/SUM('Balances y Proyecciones'!E60:E61)),IF(K$5=A$87,IF(SUM('Balances y Proyecciones'!H60:H61)=0,"",'Balances y Proyecciones'!AS704/SUM('Balances y Proyecciones'!H60:H61)),IF(SUM('Balances y Proyecciones'!K60:K61)=0,"",'Balances y Proyecciones'!AV704/SUM('Balances y Proyecciones'!K60:K61)))))</f>
        <v/>
      </c>
      <c r="D106" s="506" t="str">
        <f>IF(OR(L$5=0,AND(L$5&lt;&gt;$A$87,L$5&lt;&gt;$A$89)),0,IF(L$5=$A$87,IF(SUM('Balances y Proyecciones'!H60:H61)=0,"",'Balances y Proyecciones'!AS704/SUM('Balances y Proyecciones'!H60:H61)),IF(SUM('Balances y Proyecciones'!N60:N61)=0,"",'Balances y Proyecciones'!AY704/SUM('Balances y Proyecciones'!N60:N61))))</f>
        <v/>
      </c>
      <c r="E106" s="506" t="str">
        <f>IF(OR(M$5=0,AND(M$5&lt;&gt;$A$89,M$5&lt;&gt;$A$90)),0,IF(M$5=$A$89,IF(SUM('Balances y Proyecciones'!N60:N61)=0,"",'Balances y Proyecciones'!AY704/SUM('Balances y Proyecciones'!N60:N61)),IF(SUM('Balances y Proyecciones'!Q60:Q61)=0,"",'Balances y Proyecciones'!BB704/SUM('Balances y Proyecciones'!Q60:Q61))))</f>
        <v/>
      </c>
      <c r="F106" s="307"/>
      <c r="G106" s="307"/>
      <c r="H106" s="307"/>
      <c r="I106" s="307"/>
      <c r="J106" s="307"/>
      <c r="K106" s="307"/>
      <c r="L106" s="307"/>
      <c r="M106" s="307"/>
      <c r="N106" s="307"/>
      <c r="O106" s="307"/>
      <c r="P106" s="307"/>
    </row>
    <row r="107" spans="1:19">
      <c r="A107" s="307" t="s">
        <v>2157</v>
      </c>
      <c r="B107" s="307"/>
      <c r="C107" s="506" t="str">
        <f>IF(OR(K$5=0,AND(K$5&lt;&gt;$A$86,K$5&lt;&gt;$A$87,K$5&lt;&gt;$A$88)),0,IF(K$5=$A$86,IF('Balances y Proyecciones'!E34=0,"",'Balances y Proyecciones'!E71/'Balances y Proyecciones'!E34),IF(K$5=A$87,IF('Balances y Proyecciones'!H34=0,"",'Balances y Proyecciones'!H71/'Balances y Proyecciones'!H34),IF('Balances y Proyecciones'!K34=0,"",'Balances y Proyecciones'!K71/'Balances y Proyecciones'!K34))))</f>
        <v/>
      </c>
      <c r="D107" s="506" t="str">
        <f>IF(OR(L$5=0,AND(L$5&lt;&gt;$A$87,L$5&lt;&gt;$A$89)),0,IF(L$5=$A$87,IF('Balances y Proyecciones'!H34=0,"",'Balances y Proyecciones'!H71/'Balances y Proyecciones'!H34),IF('Balances y Proyecciones'!N34=0,"",'Balances y Proyecciones'!N71/'Balances y Proyecciones'!N34)))</f>
        <v/>
      </c>
      <c r="E107" s="506" t="str">
        <f>IF(OR(M$5=0,AND(M$5&lt;&gt;$A$89,M$5&lt;&gt;$A$90)),0,IF(M$5=$A$89,IF('Balances y Proyecciones'!N34=0,"",'Balances y Proyecciones'!N71/'Balances y Proyecciones'!N34),IF('Balances y Proyecciones'!Q34=0,"",'Balances y Proyecciones'!Q71/'Balances y Proyecciones'!Q34)))</f>
        <v/>
      </c>
      <c r="F107" s="307"/>
      <c r="G107" s="307"/>
      <c r="H107" s="307"/>
      <c r="I107" s="307"/>
      <c r="J107" s="307"/>
      <c r="K107" s="307"/>
      <c r="L107" s="307"/>
      <c r="M107" s="307"/>
      <c r="N107" s="307"/>
      <c r="O107" s="307"/>
      <c r="P107" s="307"/>
      <c r="S107" s="507"/>
    </row>
    <row r="108" spans="1:19">
      <c r="A108" s="307"/>
      <c r="B108" s="307"/>
      <c r="C108" s="307"/>
      <c r="D108" s="307"/>
      <c r="E108" s="307"/>
      <c r="F108" s="503"/>
      <c r="G108" s="307"/>
      <c r="H108" s="307"/>
      <c r="I108" s="307"/>
      <c r="J108" s="307"/>
      <c r="K108" s="307"/>
      <c r="L108" s="307"/>
      <c r="M108" s="307"/>
      <c r="N108" s="307"/>
      <c r="O108" s="307"/>
      <c r="P108" s="307"/>
      <c r="S108" s="507"/>
    </row>
    <row r="109" spans="1:19">
      <c r="A109" s="307" t="s">
        <v>984</v>
      </c>
      <c r="B109" s="307"/>
      <c r="C109" s="505" t="str">
        <f>IF(OR(C104="",C105="",C106="",C107="",C104=0,C105=1,C106=1,C107=0),"",(C104*(1-C105)*(1+C106))/((1/C107)-(C104*(1-C105)*(1+C106))))</f>
        <v/>
      </c>
      <c r="D109" s="505" t="str">
        <f>IF(OR(D104="",D105="",D106="",D107="",D104=0,D105=1,D106=1,D107=0),"",(D104*(1-D105)*(1+D106))/((1/D107)-(D104*(1-D105)*(1+D106))))</f>
        <v/>
      </c>
      <c r="E109" s="505" t="str">
        <f>IF(OR(E104="",E105="",E106="",E107="",E104=0,E105=1,E106=1,E107=0),"",(E104*(1-E105)*(1+E106))/((1/E107)-(E104*(1-E105)*(1+E106))))</f>
        <v/>
      </c>
      <c r="F109" s="307"/>
      <c r="G109" s="307"/>
      <c r="H109" s="307"/>
      <c r="I109" s="307"/>
      <c r="J109" s="307"/>
      <c r="K109" s="307"/>
      <c r="L109" s="307"/>
      <c r="M109" s="307"/>
      <c r="N109" s="307"/>
      <c r="O109" s="307"/>
      <c r="P109" s="307"/>
    </row>
    <row r="110" spans="1:19" ht="22.5">
      <c r="A110" s="508" t="s">
        <v>985</v>
      </c>
      <c r="B110" s="307"/>
      <c r="C110" s="307"/>
      <c r="D110" s="307"/>
      <c r="E110" s="307"/>
      <c r="F110" s="503"/>
      <c r="G110" s="307"/>
      <c r="H110" s="307"/>
      <c r="I110" s="307"/>
      <c r="J110" s="307"/>
      <c r="K110" s="307"/>
      <c r="L110" s="307"/>
      <c r="M110" s="307"/>
      <c r="N110" s="307"/>
      <c r="O110" s="307"/>
      <c r="P110" s="307"/>
    </row>
    <row r="111" spans="1:19" ht="33.5">
      <c r="A111" s="509" t="s">
        <v>986</v>
      </c>
      <c r="B111" s="307"/>
      <c r="C111" s="307">
        <f>+C11</f>
        <v>2017</v>
      </c>
      <c r="D111" s="307">
        <f>+D11</f>
        <v>2018</v>
      </c>
      <c r="E111" s="307">
        <f>+E11</f>
        <v>2019</v>
      </c>
      <c r="F111" s="503"/>
      <c r="G111" s="307"/>
      <c r="H111" s="307"/>
      <c r="I111" s="307"/>
      <c r="J111" s="307"/>
      <c r="K111" s="307"/>
      <c r="L111" s="307"/>
      <c r="M111" s="307"/>
      <c r="N111" s="307"/>
      <c r="O111" s="307"/>
      <c r="P111" s="307"/>
    </row>
    <row r="112" spans="1:19" ht="25">
      <c r="A112" s="510" t="str">
        <f>"EBITDA ("&amp;IF('Balances y Proyecciones'!$V$913='Balances y Proyecciones'!$CC$838,"USD Miles","$MM")&amp;")"</f>
        <v>EBITDA ($MM)</v>
      </c>
      <c r="B112" s="511"/>
      <c r="C112" s="512" t="str">
        <f>IF(OR(K$5=0,AND(K$5&lt;&gt;$A$86,K$5&lt;&gt;$A$87,K$5&lt;&gt;$A$88)),0,IF(K$5=$A$86,IF('Balances y Proyecciones'!AP683=K12,"ND",'Balances y Proyecciones'!AP683),IF(K$5=$A$87,IF('Balances y Proyecciones'!AS683=K12,"ND",'Balances y Proyecciones'!AS683),IF('Balances y Proyecciones'!AV683=K12,"ND",'Balances y Proyecciones'!AV683))))</f>
        <v>ND</v>
      </c>
      <c r="D112" s="512" t="str">
        <f>IF(OR(L$5=0,AND(L$5&lt;&gt;$A$87,L$5&lt;&gt;$A$89)),0,IF(L$5=$A$87,IF('Balances y Proyecciones'!AS683=L12,"ND",'Balances y Proyecciones'!AS683),IF('Balances y Proyecciones'!AY683=L12,"ND",'Balances y Proyecciones'!AY683)))</f>
        <v>ND</v>
      </c>
      <c r="E112" s="513" t="str">
        <f>IF(OR(M$5=0,AND(M$5&lt;&gt;$A$89,M$5&lt;&gt;$A$90)),0,IF(M$5=$A$89,IF('Balances y Proyecciones'!AY683=M12,"ND",'Balances y Proyecciones'!AY683),IF('Balances y Proyecciones'!BB683=M12,"ND",'Balances y Proyecciones'!BB683)))</f>
        <v>ND</v>
      </c>
      <c r="F112" s="503"/>
      <c r="G112" s="307"/>
      <c r="H112" s="307"/>
      <c r="I112" s="307"/>
      <c r="J112" s="307"/>
      <c r="K112" s="307"/>
      <c r="L112" s="307"/>
      <c r="M112" s="307"/>
      <c r="N112" s="307"/>
      <c r="O112" s="307"/>
      <c r="P112" s="307"/>
    </row>
    <row r="113" spans="1:16" ht="25">
      <c r="A113" s="208"/>
      <c r="B113" s="490"/>
      <c r="C113" s="514"/>
      <c r="D113" s="514"/>
      <c r="E113" s="514"/>
      <c r="F113" s="307"/>
      <c r="G113" s="307"/>
      <c r="H113" s="307"/>
      <c r="I113" s="307"/>
      <c r="J113" s="307"/>
      <c r="K113" s="307"/>
      <c r="L113" s="307"/>
      <c r="M113" s="307"/>
      <c r="N113" s="307"/>
      <c r="O113" s="307"/>
      <c r="P113" s="307"/>
    </row>
    <row r="114" spans="1:16">
      <c r="A114" s="307"/>
      <c r="B114" s="307"/>
      <c r="C114" s="489"/>
      <c r="D114" s="489"/>
      <c r="E114" s="489"/>
      <c r="F114" s="307"/>
      <c r="G114" s="307"/>
      <c r="H114" s="307"/>
      <c r="I114" s="307"/>
      <c r="J114" s="307"/>
      <c r="K114" s="307"/>
      <c r="L114" s="307"/>
      <c r="M114" s="307"/>
      <c r="N114" s="307"/>
      <c r="O114" s="307"/>
      <c r="P114" s="307"/>
    </row>
    <row r="115" spans="1:16">
      <c r="F115" s="515"/>
      <c r="G115" s="307"/>
      <c r="H115" s="307"/>
      <c r="I115" s="307"/>
      <c r="J115" s="307"/>
      <c r="K115" s="307"/>
      <c r="L115" s="307"/>
      <c r="M115" s="307"/>
      <c r="N115" s="307"/>
      <c r="O115" s="307"/>
      <c r="P115" s="307"/>
    </row>
    <row r="116" spans="1:16">
      <c r="C116" s="501">
        <v>2011</v>
      </c>
      <c r="D116" s="501">
        <v>2012</v>
      </c>
      <c r="E116" s="501">
        <v>2013</v>
      </c>
      <c r="F116" s="515"/>
      <c r="G116" s="307"/>
      <c r="H116" s="307"/>
      <c r="I116" s="307"/>
      <c r="J116" s="307"/>
      <c r="K116" s="307"/>
      <c r="L116" s="307"/>
      <c r="M116" s="307"/>
      <c r="N116" s="307"/>
      <c r="O116" s="307"/>
      <c r="P116" s="307"/>
    </row>
    <row r="117" spans="1:16">
      <c r="A117" s="169" t="s">
        <v>927</v>
      </c>
      <c r="F117" s="516"/>
      <c r="G117" s="307"/>
      <c r="H117" s="307"/>
      <c r="I117" s="307"/>
      <c r="J117" s="307"/>
      <c r="K117" s="307"/>
      <c r="L117" s="307"/>
      <c r="M117" s="307"/>
      <c r="N117" s="307"/>
      <c r="O117" s="307"/>
      <c r="P117" s="307"/>
    </row>
    <row r="118" spans="1:16">
      <c r="G118" s="307"/>
      <c r="H118" s="307"/>
      <c r="I118" s="307"/>
      <c r="J118" s="307"/>
      <c r="K118" s="307"/>
      <c r="L118" s="307"/>
      <c r="M118" s="307"/>
      <c r="N118" s="307"/>
      <c r="O118" s="307"/>
      <c r="P118" s="307"/>
    </row>
    <row r="119" spans="1:16">
      <c r="F119" s="515"/>
      <c r="G119" s="307"/>
      <c r="H119" s="307"/>
      <c r="I119" s="307"/>
      <c r="J119" s="307"/>
      <c r="K119" s="307"/>
      <c r="L119" s="307"/>
      <c r="M119" s="307"/>
      <c r="N119" s="307"/>
      <c r="O119" s="307"/>
      <c r="P119" s="307"/>
    </row>
    <row r="120" spans="1:16">
      <c r="B120" s="517" t="str">
        <f>+'Estados Financieros'!E3</f>
        <v>Información Anual</v>
      </c>
      <c r="C120" s="517" t="str">
        <f>+'Estados Financieros'!F3</f>
        <v>Información Anual</v>
      </c>
      <c r="D120" s="517" t="str">
        <f>+'Estados Financieros'!G3</f>
        <v>Información Anual</v>
      </c>
      <c r="E120" s="517" t="str">
        <f>+'Estados Financieros'!H3</f>
        <v>Ultima Inf. Mensual Nueva</v>
      </c>
      <c r="F120" s="517" t="str">
        <f>+'Estados Financieros'!I3</f>
        <v>Información Mensual Histórica</v>
      </c>
      <c r="G120" s="307"/>
      <c r="H120" s="307"/>
      <c r="I120" s="307"/>
      <c r="J120" s="307"/>
      <c r="K120" s="307"/>
      <c r="L120" s="307"/>
      <c r="M120" s="307"/>
      <c r="N120" s="307"/>
      <c r="O120" s="307"/>
      <c r="P120" s="307"/>
    </row>
    <row r="121" spans="1:16">
      <c r="B121" s="169" t="str">
        <f>+'Estados Financieros'!E6</f>
        <v>12</v>
      </c>
      <c r="C121" s="169" t="str">
        <f>+'Estados Financieros'!F6</f>
        <v>12</v>
      </c>
      <c r="D121" s="169" t="str">
        <f>+'Estados Financieros'!G6</f>
        <v>12</v>
      </c>
      <c r="E121" s="169" t="str">
        <f>+'Estados Financieros'!H6</f>
        <v>06</v>
      </c>
      <c r="F121" s="515" t="str">
        <f>+'Estados Financieros'!I6</f>
        <v>06</v>
      </c>
      <c r="G121" s="307"/>
      <c r="H121" s="307"/>
      <c r="I121" s="307"/>
      <c r="J121" s="307"/>
      <c r="K121" s="307"/>
      <c r="L121" s="307"/>
      <c r="M121" s="307"/>
      <c r="N121" s="307"/>
      <c r="O121" s="307"/>
      <c r="P121" s="307"/>
    </row>
    <row r="122" spans="1:16">
      <c r="B122" s="169" t="e">
        <f>VLOOKUP(B121,'Estados Financieros'!$AA$3:$AC$22,3,0)</f>
        <v>#N/A</v>
      </c>
      <c r="C122" s="169" t="e">
        <f>VLOOKUP(C121,'Estados Financieros'!$AA$3:$AC$22,3,0)</f>
        <v>#N/A</v>
      </c>
      <c r="D122" s="169" t="e">
        <f>VLOOKUP(D121,'Estados Financieros'!$AA$3:$AC$22,3,0)</f>
        <v>#N/A</v>
      </c>
      <c r="E122" s="169" t="e">
        <f>VLOOKUP(E121,'Estados Financieros'!$AA$3:$AC$22,3,0)</f>
        <v>#N/A</v>
      </c>
      <c r="F122" s="169" t="e">
        <f>VLOOKUP(F121,'Estados Financieros'!$AA$3:$AC$22,3,0)</f>
        <v>#N/A</v>
      </c>
      <c r="G122" s="307"/>
      <c r="H122" s="307"/>
      <c r="I122" s="307"/>
      <c r="J122" s="307"/>
      <c r="K122" s="307"/>
      <c r="L122" s="307"/>
      <c r="M122" s="307"/>
      <c r="N122" s="307"/>
      <c r="O122" s="307"/>
      <c r="P122" s="307"/>
    </row>
    <row r="123" spans="1:16">
      <c r="F123" s="516"/>
      <c r="G123" s="307"/>
      <c r="H123" s="307"/>
      <c r="I123" s="307"/>
      <c r="J123" s="307"/>
      <c r="K123" s="307"/>
      <c r="L123" s="307"/>
      <c r="M123" s="307"/>
      <c r="N123" s="307"/>
      <c r="O123" s="307"/>
      <c r="P123" s="307"/>
    </row>
    <row r="124" spans="1:16">
      <c r="A124" s="169" t="s">
        <v>987</v>
      </c>
      <c r="G124" s="307"/>
      <c r="I124" s="307"/>
      <c r="J124" s="307"/>
      <c r="K124" s="307"/>
      <c r="L124" s="307"/>
      <c r="M124" s="307"/>
      <c r="N124" s="307"/>
      <c r="O124" s="307"/>
      <c r="P124" s="307"/>
    </row>
    <row r="125" spans="1:16">
      <c r="F125" s="515"/>
    </row>
    <row r="126" spans="1:16" ht="20.5" thickBot="1">
      <c r="F126" s="515"/>
    </row>
    <row r="127" spans="1:16" ht="40">
      <c r="B127" s="518" t="s">
        <v>988</v>
      </c>
      <c r="C127" s="519" t="s">
        <v>989</v>
      </c>
      <c r="D127" s="519" t="s">
        <v>990</v>
      </c>
      <c r="E127" s="519" t="s">
        <v>991</v>
      </c>
      <c r="F127" s="520" t="s">
        <v>992</v>
      </c>
      <c r="G127" s="520" t="s">
        <v>993</v>
      </c>
    </row>
    <row r="128" spans="1:16">
      <c r="B128" s="521"/>
      <c r="C128" s="522" t="s">
        <v>994</v>
      </c>
      <c r="D128" s="522" t="s">
        <v>995</v>
      </c>
      <c r="E128" s="522" t="s">
        <v>996</v>
      </c>
      <c r="F128" s="523" t="s">
        <v>997</v>
      </c>
      <c r="G128" s="524" t="s">
        <v>998</v>
      </c>
    </row>
    <row r="129" spans="2:7">
      <c r="B129" s="521"/>
      <c r="C129" s="522" t="s">
        <v>999</v>
      </c>
      <c r="D129" s="522" t="s">
        <v>1000</v>
      </c>
      <c r="E129" s="522" t="s">
        <v>1001</v>
      </c>
      <c r="F129" s="523" t="s">
        <v>1002</v>
      </c>
      <c r="G129" s="524" t="s">
        <v>1003</v>
      </c>
    </row>
    <row r="130" spans="2:7">
      <c r="B130" s="521"/>
      <c r="C130" s="522" t="s">
        <v>1004</v>
      </c>
      <c r="D130" s="522" t="s">
        <v>1005</v>
      </c>
      <c r="E130" s="522" t="s">
        <v>1006</v>
      </c>
      <c r="F130" s="523" t="s">
        <v>1007</v>
      </c>
      <c r="G130" s="524" t="s">
        <v>1008</v>
      </c>
    </row>
    <row r="131" spans="2:7">
      <c r="B131" s="521"/>
      <c r="C131" s="522" t="s">
        <v>1009</v>
      </c>
      <c r="D131" s="522" t="s">
        <v>1010</v>
      </c>
      <c r="E131" s="522" t="s">
        <v>1011</v>
      </c>
      <c r="F131" s="523" t="s">
        <v>1012</v>
      </c>
      <c r="G131" s="524" t="s">
        <v>1013</v>
      </c>
    </row>
    <row r="132" spans="2:7">
      <c r="B132" s="521"/>
      <c r="C132" s="522" t="s">
        <v>1014</v>
      </c>
      <c r="D132" s="522" t="s">
        <v>1015</v>
      </c>
      <c r="E132" s="522" t="s">
        <v>1016</v>
      </c>
      <c r="F132" s="523" t="s">
        <v>1017</v>
      </c>
      <c r="G132" s="524" t="s">
        <v>1018</v>
      </c>
    </row>
    <row r="133" spans="2:7">
      <c r="B133" s="521"/>
      <c r="C133" s="522" t="s">
        <v>1019</v>
      </c>
      <c r="D133" s="522" t="s">
        <v>1020</v>
      </c>
      <c r="E133" s="522" t="s">
        <v>1021</v>
      </c>
      <c r="F133" s="523" t="s">
        <v>1022</v>
      </c>
      <c r="G133" s="524" t="s">
        <v>1023</v>
      </c>
    </row>
    <row r="134" spans="2:7">
      <c r="B134" s="521"/>
      <c r="C134" s="522" t="s">
        <v>1024</v>
      </c>
      <c r="D134" s="522" t="s">
        <v>1025</v>
      </c>
      <c r="E134" s="522" t="s">
        <v>1026</v>
      </c>
      <c r="F134" s="523" t="s">
        <v>1027</v>
      </c>
      <c r="G134" s="524" t="s">
        <v>1028</v>
      </c>
    </row>
    <row r="135" spans="2:7">
      <c r="B135" s="521"/>
      <c r="C135" s="522" t="s">
        <v>1029</v>
      </c>
      <c r="D135" s="522" t="s">
        <v>1030</v>
      </c>
      <c r="E135" s="522" t="s">
        <v>1031</v>
      </c>
      <c r="F135" s="523" t="s">
        <v>1032</v>
      </c>
      <c r="G135" s="524" t="s">
        <v>1033</v>
      </c>
    </row>
    <row r="136" spans="2:7">
      <c r="B136" s="521"/>
      <c r="C136" s="522" t="s">
        <v>1034</v>
      </c>
      <c r="D136" s="522" t="s">
        <v>1035</v>
      </c>
      <c r="E136" s="522" t="s">
        <v>1036</v>
      </c>
      <c r="F136" s="523" t="s">
        <v>1037</v>
      </c>
      <c r="G136" s="524" t="s">
        <v>1038</v>
      </c>
    </row>
    <row r="137" spans="2:7" ht="20.5" thickBot="1">
      <c r="B137" s="525"/>
      <c r="C137" s="526" t="s">
        <v>1039</v>
      </c>
      <c r="D137" s="526" t="s">
        <v>1040</v>
      </c>
      <c r="E137" s="526" t="s">
        <v>1041</v>
      </c>
      <c r="F137" s="527" t="s">
        <v>1042</v>
      </c>
      <c r="G137" s="528" t="s">
        <v>1043</v>
      </c>
    </row>
    <row r="138" spans="2:7">
      <c r="F138" s="516"/>
    </row>
    <row r="139" spans="2:7">
      <c r="F139" s="515"/>
    </row>
    <row r="140" spans="2:7">
      <c r="F140" s="515"/>
    </row>
    <row r="141" spans="2:7">
      <c r="F141" s="515"/>
    </row>
    <row r="142" spans="2:7">
      <c r="F142" s="515"/>
    </row>
    <row r="143" spans="2:7">
      <c r="F143" s="515"/>
    </row>
    <row r="144" spans="2:7">
      <c r="F144" s="516"/>
    </row>
    <row r="145" spans="6:6">
      <c r="F145" s="515"/>
    </row>
    <row r="146" spans="6:6">
      <c r="F146" s="515"/>
    </row>
    <row r="147" spans="6:6">
      <c r="F147" s="516"/>
    </row>
    <row r="148" spans="6:6">
      <c r="F148" s="529"/>
    </row>
    <row r="149" spans="6:6">
      <c r="F149" s="515"/>
    </row>
    <row r="150" spans="6:6">
      <c r="F150" s="516"/>
    </row>
    <row r="151" spans="6:6"/>
    <row r="152" spans="6:6"/>
    <row r="153" spans="6:6"/>
  </sheetData>
  <sheetProtection password="D5B5" sheet="1" objects="1" scenarios="1"/>
  <mergeCells count="1">
    <mergeCell ref="A6:B6"/>
  </mergeCells>
  <dataValidations disablePrompts="1" count="1">
    <dataValidation type="list" allowBlank="1" showInputMessage="1" showErrorMessage="1" sqref="K5">
      <formula1>$A$86:$A$88</formula1>
    </dataValidation>
  </dataValidation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Hoja40"/>
  <dimension ref="A1:EB1045"/>
  <sheetViews>
    <sheetView showGridLines="0" showRowColHeaders="0" zoomScale="70" zoomScaleNormal="70" workbookViewId="0">
      <pane ySplit="17" topLeftCell="A18" activePane="bottomLeft" state="frozen"/>
      <selection pane="bottomLeft" activeCell="A18" sqref="A18"/>
    </sheetView>
  </sheetViews>
  <sheetFormatPr baseColWidth="10" defaultColWidth="0" defaultRowHeight="14.5" zeroHeight="1"/>
  <cols>
    <col min="1" max="1" width="5.54296875" customWidth="1"/>
    <col min="2" max="2" width="76.54296875" customWidth="1"/>
    <col min="3" max="3" width="17.08984375" customWidth="1"/>
    <col min="4" max="4" width="7.90625" customWidth="1"/>
    <col min="5" max="5" width="18.6328125" bestFit="1" customWidth="1"/>
    <col min="6" max="6" width="5.54296875" customWidth="1"/>
    <col min="7" max="13" width="15.26953125" customWidth="1"/>
    <col min="14" max="18" width="15.1796875" customWidth="1"/>
    <col min="19" max="19" width="11.7265625" customWidth="1"/>
    <col min="20" max="20" width="4" bestFit="1" customWidth="1"/>
    <col min="21" max="21" width="4.26953125" bestFit="1" customWidth="1"/>
    <col min="22" max="22" width="12.1796875" bestFit="1" customWidth="1"/>
    <col min="23" max="35" width="8.1796875" customWidth="1"/>
    <col min="36" max="49" width="14.7265625" bestFit="1" customWidth="1"/>
    <col min="50" max="54" width="13.81640625" customWidth="1"/>
    <col min="55" max="55" width="69.7265625" bestFit="1" customWidth="1"/>
    <col min="56" max="56" width="19" customWidth="1"/>
    <col min="57" max="57" width="10" customWidth="1"/>
    <col min="58" max="59" width="18.54296875" bestFit="1" customWidth="1"/>
    <col min="60" max="60" width="9" bestFit="1" customWidth="1"/>
    <col min="61" max="61" width="19" customWidth="1"/>
    <col min="62" max="62" width="12.81640625" customWidth="1"/>
    <col min="63" max="63" width="12.54296875" customWidth="1"/>
    <col min="64" max="64" width="16.1796875" customWidth="1"/>
    <col min="65" max="66" width="9" bestFit="1" customWidth="1"/>
    <col min="67" max="67" width="16.26953125" customWidth="1"/>
    <col min="68" max="69" width="9" bestFit="1" customWidth="1"/>
    <col min="70" max="70" width="15.54296875" bestFit="1" customWidth="1"/>
    <col min="71" max="72" width="10.81640625" bestFit="1" customWidth="1"/>
    <col min="73" max="73" width="15.54296875" bestFit="1" customWidth="1"/>
    <col min="74" max="75" width="10.81640625" bestFit="1" customWidth="1"/>
    <col min="76" max="76" width="15.54296875" bestFit="1" customWidth="1"/>
    <col min="77" max="78" width="10.81640625" bestFit="1" customWidth="1"/>
    <col min="79" max="79" width="15.54296875" bestFit="1" customWidth="1"/>
    <col min="80" max="81" width="10.81640625" bestFit="1" customWidth="1"/>
    <col min="82" max="82" width="15.54296875" bestFit="1" customWidth="1"/>
    <col min="83" max="84" width="10.81640625" bestFit="1" customWidth="1"/>
    <col min="85" max="85" width="15.54296875" bestFit="1" customWidth="1"/>
    <col min="86" max="87" width="10.81640625" bestFit="1" customWidth="1"/>
    <col min="88" max="88" width="16.81640625" bestFit="1" customWidth="1"/>
    <col min="89" max="90" width="10.81640625" bestFit="1" customWidth="1"/>
    <col min="91" max="91" width="16.26953125" bestFit="1" customWidth="1"/>
    <col min="92" max="93" width="10.81640625" bestFit="1" customWidth="1"/>
    <col min="94" max="94" width="16.81640625" bestFit="1" customWidth="1"/>
    <col min="95" max="96" width="10.81640625" bestFit="1" customWidth="1"/>
    <col min="97" max="97" width="16.26953125" bestFit="1" customWidth="1"/>
    <col min="98" max="98" width="10.81640625" bestFit="1" customWidth="1"/>
    <col min="99" max="99" width="8.453125" bestFit="1" customWidth="1"/>
    <col min="100" max="100" width="16.81640625" bestFit="1" customWidth="1"/>
    <col min="101" max="102" width="10.81640625" bestFit="1" customWidth="1"/>
    <col min="103" max="103" width="16.81640625" bestFit="1" customWidth="1"/>
    <col min="104" max="105" width="10.81640625" bestFit="1" customWidth="1"/>
    <col min="106" max="107" width="13.81640625" customWidth="1"/>
    <col min="108" max="132" width="0" hidden="1" customWidth="1"/>
    <col min="133" max="16384" width="11.453125" hidden="1"/>
  </cols>
  <sheetData>
    <row r="1" spans="1:36" s="533" customFormat="1">
      <c r="A1"/>
      <c r="B1"/>
      <c r="C1" s="530"/>
      <c r="D1" s="530"/>
      <c r="E1" s="530"/>
      <c r="F1" s="531"/>
      <c r="G1" s="531"/>
      <c r="H1" s="531"/>
      <c r="I1" s="531"/>
      <c r="J1" s="531"/>
      <c r="K1" s="531"/>
      <c r="L1" s="531"/>
      <c r="M1" s="531"/>
      <c r="N1" s="531"/>
      <c r="O1" s="531"/>
      <c r="P1" s="531"/>
      <c r="Q1" s="532"/>
      <c r="R1" s="532"/>
      <c r="AG1"/>
      <c r="AH1"/>
      <c r="AI1"/>
    </row>
    <row r="2" spans="1:36" s="533" customFormat="1" hidden="1">
      <c r="A2"/>
      <c r="B2"/>
      <c r="C2" s="530"/>
      <c r="D2" s="530"/>
      <c r="E2" s="530"/>
      <c r="F2" s="531"/>
      <c r="G2" s="531"/>
      <c r="H2" s="531"/>
      <c r="I2" s="531"/>
      <c r="J2" s="531"/>
      <c r="K2" s="531"/>
      <c r="L2" s="531"/>
      <c r="M2" s="531"/>
      <c r="N2" s="531"/>
      <c r="O2" s="531"/>
      <c r="P2" s="531"/>
      <c r="Q2" s="532"/>
      <c r="R2" s="532"/>
      <c r="AG2"/>
      <c r="AH2"/>
      <c r="AI2"/>
    </row>
    <row r="3" spans="1:36" s="533" customFormat="1" hidden="1">
      <c r="A3"/>
      <c r="B3"/>
      <c r="C3" s="530"/>
      <c r="D3" s="530"/>
      <c r="E3" s="530"/>
      <c r="F3" s="531"/>
      <c r="G3" s="531"/>
      <c r="H3" s="531"/>
      <c r="I3" s="531"/>
      <c r="J3" s="531"/>
      <c r="K3" s="531"/>
      <c r="L3" s="531"/>
      <c r="M3" s="531"/>
      <c r="N3" s="531"/>
      <c r="O3" s="531"/>
      <c r="P3" s="531"/>
      <c r="Q3" s="532"/>
      <c r="R3" s="532"/>
      <c r="AG3"/>
      <c r="AH3"/>
      <c r="AI3"/>
    </row>
    <row r="4" spans="1:36" s="533" customFormat="1" hidden="1">
      <c r="A4"/>
      <c r="B4"/>
      <c r="C4" s="530"/>
      <c r="D4" s="530"/>
      <c r="E4" s="530"/>
      <c r="F4" s="531"/>
      <c r="G4" s="531"/>
      <c r="H4" s="531"/>
      <c r="I4" s="531"/>
      <c r="J4" s="531"/>
      <c r="K4" s="531"/>
      <c r="L4" s="531"/>
      <c r="M4" s="531"/>
      <c r="N4" s="531"/>
      <c r="O4" s="531"/>
      <c r="P4" s="531"/>
      <c r="Q4" s="532"/>
      <c r="R4" s="532"/>
      <c r="AG4"/>
      <c r="AH4"/>
      <c r="AI4"/>
    </row>
    <row r="5" spans="1:36" s="533" customFormat="1" hidden="1">
      <c r="A5"/>
      <c r="B5"/>
      <c r="C5" s="530"/>
      <c r="D5" s="530"/>
      <c r="E5" s="530"/>
      <c r="F5" s="531"/>
      <c r="G5" s="531"/>
      <c r="H5" s="531"/>
      <c r="I5" s="531"/>
      <c r="J5" s="531"/>
      <c r="K5" s="531"/>
      <c r="L5" s="531"/>
      <c r="M5" s="531"/>
      <c r="N5" s="531"/>
      <c r="O5" s="531"/>
      <c r="P5" s="531"/>
      <c r="Q5" s="532"/>
      <c r="R5" s="532"/>
      <c r="AG5"/>
      <c r="AH5"/>
      <c r="AI5"/>
    </row>
    <row r="6" spans="1:36" s="533" customFormat="1" hidden="1">
      <c r="A6"/>
      <c r="B6"/>
      <c r="C6" s="530"/>
      <c r="D6" s="530"/>
      <c r="E6" s="530"/>
      <c r="F6" s="531"/>
      <c r="G6" s="531"/>
      <c r="H6" s="531"/>
      <c r="I6" s="531"/>
      <c r="J6" s="531"/>
      <c r="K6" s="531"/>
      <c r="L6" s="531"/>
      <c r="M6" s="531"/>
      <c r="N6" s="531"/>
      <c r="O6" s="531"/>
      <c r="P6" s="531"/>
      <c r="Q6" s="532"/>
      <c r="R6" s="532"/>
      <c r="AG6"/>
      <c r="AH6"/>
      <c r="AI6"/>
    </row>
    <row r="7" spans="1:36" s="533" customFormat="1" hidden="1">
      <c r="A7"/>
      <c r="B7"/>
      <c r="C7" s="534"/>
      <c r="D7" s="534"/>
      <c r="E7" s="534"/>
      <c r="F7" s="534"/>
      <c r="G7" s="534"/>
      <c r="H7" s="534"/>
      <c r="I7" s="534"/>
      <c r="J7" s="534"/>
      <c r="K7" s="534"/>
      <c r="L7" s="534"/>
      <c r="M7" s="534"/>
      <c r="N7" s="534"/>
      <c r="O7" s="531"/>
      <c r="P7" s="531"/>
      <c r="Q7" s="532"/>
      <c r="R7" s="532"/>
      <c r="AG7"/>
      <c r="AH7"/>
      <c r="AI7"/>
    </row>
    <row r="8" spans="1:36" s="533" customFormat="1" hidden="1">
      <c r="A8"/>
      <c r="B8"/>
      <c r="C8" s="534"/>
      <c r="D8" s="534"/>
      <c r="E8" s="534"/>
      <c r="F8" s="534"/>
      <c r="G8" s="534"/>
      <c r="H8" s="534"/>
      <c r="I8" s="534"/>
      <c r="J8" s="534"/>
      <c r="K8" s="534"/>
      <c r="L8" s="534"/>
      <c r="M8" s="534"/>
      <c r="N8" s="534"/>
      <c r="O8" s="531"/>
      <c r="P8" s="531"/>
      <c r="Q8" s="532"/>
      <c r="R8" s="532"/>
      <c r="AG8"/>
      <c r="AH8"/>
      <c r="AI8"/>
    </row>
    <row r="9" spans="1:36" s="533" customFormat="1" hidden="1">
      <c r="A9"/>
      <c r="B9"/>
      <c r="C9" s="534"/>
      <c r="D9" s="534"/>
      <c r="E9" s="534"/>
      <c r="F9" s="534"/>
      <c r="G9" s="534"/>
      <c r="H9" s="534"/>
      <c r="I9" s="534"/>
      <c r="J9" s="534"/>
      <c r="K9" s="534"/>
      <c r="L9" s="534"/>
      <c r="M9" s="534"/>
      <c r="N9" s="534"/>
      <c r="O9" s="531"/>
      <c r="P9" s="531"/>
      <c r="Q9" s="532"/>
      <c r="R9" s="532"/>
      <c r="AG9"/>
      <c r="AH9"/>
      <c r="AI9"/>
    </row>
    <row r="10" spans="1:36" s="536" customFormat="1" hidden="1">
      <c r="A10"/>
      <c r="B10"/>
      <c r="C10" s="534"/>
      <c r="D10" s="534"/>
      <c r="E10" s="534"/>
      <c r="F10" s="534"/>
      <c r="G10" s="534"/>
      <c r="H10" s="534"/>
      <c r="I10" s="534"/>
      <c r="J10" s="534"/>
      <c r="K10" s="534"/>
      <c r="L10" s="534"/>
      <c r="M10" s="534"/>
      <c r="N10" s="534"/>
      <c r="O10" s="535"/>
      <c r="P10" s="535"/>
      <c r="Q10" s="535"/>
      <c r="R10" s="535"/>
      <c r="AG10"/>
      <c r="AH10"/>
      <c r="AI10"/>
    </row>
    <row r="11" spans="1:36" s="533" customFormat="1" hidden="1">
      <c r="A11" s="537"/>
      <c r="B11" s="531"/>
      <c r="C11" s="534"/>
      <c r="D11" s="534"/>
      <c r="E11" s="534"/>
      <c r="F11" s="531"/>
      <c r="G11" s="531"/>
      <c r="H11" s="531"/>
      <c r="I11" s="531"/>
      <c r="J11" s="531"/>
      <c r="K11" s="531"/>
      <c r="L11" s="531"/>
      <c r="M11" s="531"/>
      <c r="N11" s="531"/>
      <c r="O11" s="531"/>
      <c r="P11" s="531"/>
      <c r="Q11" s="531"/>
      <c r="R11" s="531"/>
      <c r="AG11"/>
      <c r="AH11"/>
      <c r="AI11"/>
    </row>
    <row r="12" spans="1:36" s="533" customFormat="1" ht="19.5" customHeight="1">
      <c r="A12" s="537"/>
      <c r="B12" s="531"/>
      <c r="C12" s="538">
        <f>'Balances y Proyecciones'!C12</f>
        <v>0</v>
      </c>
      <c r="D12" s="538"/>
      <c r="E12" s="538"/>
      <c r="F12" s="539"/>
      <c r="G12" s="533">
        <f>IF(SUM(G13:R13)&lt;&gt;1,1,0)</f>
        <v>0</v>
      </c>
      <c r="H12" s="531"/>
      <c r="I12" s="530"/>
      <c r="J12" s="530"/>
      <c r="K12" s="530"/>
      <c r="L12" s="530"/>
      <c r="M12" s="530"/>
      <c r="N12" s="530"/>
      <c r="O12" s="530"/>
      <c r="P12" s="530"/>
      <c r="Q12" s="530"/>
      <c r="R12" s="531"/>
      <c r="AG12"/>
      <c r="AH12"/>
      <c r="AI12"/>
      <c r="AJ12"/>
    </row>
    <row r="13" spans="1:36" s="533" customFormat="1" ht="15.5">
      <c r="A13" s="537"/>
      <c r="B13" s="540" t="str">
        <f>'Balances y Proyecciones'!B13</f>
        <v>ANEXO - ESTADOS FINANCIEROS0</v>
      </c>
      <c r="C13" s="538" t="str">
        <f>'Balances y Proyecciones'!C13</f>
        <v xml:space="preserve">Miles de </v>
      </c>
      <c r="D13" s="538">
        <f>'Balances y Proyecciones'!E13</f>
        <v>0</v>
      </c>
      <c r="E13" s="541">
        <f>IF($J$241="SI","ESCENARIO "&amp;$I$242,0)</f>
        <v>0</v>
      </c>
      <c r="G13" s="542">
        <f t="shared" ref="G13:R13" si="0">1/12</f>
        <v>8.3333333333333329E-2</v>
      </c>
      <c r="H13" s="542">
        <f t="shared" si="0"/>
        <v>8.3333333333333329E-2</v>
      </c>
      <c r="I13" s="542">
        <f t="shared" si="0"/>
        <v>8.3333333333333329E-2</v>
      </c>
      <c r="J13" s="542">
        <f t="shared" si="0"/>
        <v>8.3333333333333329E-2</v>
      </c>
      <c r="K13" s="542">
        <f t="shared" si="0"/>
        <v>8.3333333333333329E-2</v>
      </c>
      <c r="L13" s="542">
        <f t="shared" si="0"/>
        <v>8.3333333333333329E-2</v>
      </c>
      <c r="M13" s="542">
        <f t="shared" si="0"/>
        <v>8.3333333333333329E-2</v>
      </c>
      <c r="N13" s="542">
        <f t="shared" si="0"/>
        <v>8.3333333333333329E-2</v>
      </c>
      <c r="O13" s="542">
        <f t="shared" si="0"/>
        <v>8.3333333333333329E-2</v>
      </c>
      <c r="P13" s="542">
        <f t="shared" si="0"/>
        <v>8.3333333333333329E-2</v>
      </c>
      <c r="Q13" s="542">
        <f t="shared" si="0"/>
        <v>8.3333333333333329E-2</v>
      </c>
      <c r="R13" s="542">
        <f t="shared" si="0"/>
        <v>8.3333333333333329E-2</v>
      </c>
      <c r="AG13"/>
      <c r="AH13"/>
      <c r="AI13"/>
    </row>
    <row r="14" spans="1:36" s="533" customFormat="1" ht="15.5">
      <c r="A14" s="537"/>
      <c r="B14" s="543" t="str">
        <f>Presentación!A5</f>
        <v/>
      </c>
      <c r="C14" s="531"/>
      <c r="E14" s="544" t="str">
        <f>'Balances y Proyecciones'!T14</f>
        <v>PROYECTADO</v>
      </c>
      <c r="F14" s="545"/>
      <c r="G14" s="546" t="s">
        <v>1044</v>
      </c>
      <c r="H14" s="546" t="s">
        <v>1044</v>
      </c>
      <c r="I14" s="546" t="s">
        <v>1044</v>
      </c>
      <c r="J14" s="546" t="s">
        <v>1044</v>
      </c>
      <c r="K14" s="546" t="s">
        <v>1044</v>
      </c>
      <c r="L14" s="546" t="s">
        <v>1044</v>
      </c>
      <c r="M14" s="546" t="s">
        <v>1044</v>
      </c>
      <c r="N14" s="546" t="s">
        <v>1044</v>
      </c>
      <c r="O14" s="546" t="s">
        <v>1044</v>
      </c>
      <c r="P14" s="546" t="s">
        <v>1044</v>
      </c>
      <c r="Q14" s="546" t="s">
        <v>1044</v>
      </c>
      <c r="R14" s="546" t="s">
        <v>1044</v>
      </c>
      <c r="AG14"/>
      <c r="AH14"/>
      <c r="AI14"/>
    </row>
    <row r="15" spans="1:36" s="533" customFormat="1" ht="20">
      <c r="A15" s="547"/>
      <c r="B15" s="548" t="s">
        <v>536</v>
      </c>
      <c r="C15" s="549">
        <f>'Balances y Proyecciones'!N15</f>
        <v>2019</v>
      </c>
      <c r="D15" s="545"/>
      <c r="E15" s="550">
        <f>'Balances y Proyecciones'!T15</f>
        <v>2020</v>
      </c>
      <c r="F15" s="551"/>
      <c r="G15" s="552">
        <f t="shared" ref="G15:R16" si="1">W31</f>
        <v>2020</v>
      </c>
      <c r="H15" s="552">
        <f t="shared" si="1"/>
        <v>2020</v>
      </c>
      <c r="I15" s="552">
        <f t="shared" si="1"/>
        <v>2020</v>
      </c>
      <c r="J15" s="552">
        <f t="shared" si="1"/>
        <v>2020</v>
      </c>
      <c r="K15" s="552">
        <f t="shared" si="1"/>
        <v>2020</v>
      </c>
      <c r="L15" s="552">
        <f t="shared" si="1"/>
        <v>2020</v>
      </c>
      <c r="M15" s="552">
        <f t="shared" si="1"/>
        <v>2020</v>
      </c>
      <c r="N15" s="552">
        <f t="shared" si="1"/>
        <v>2020</v>
      </c>
      <c r="O15" s="552">
        <f t="shared" si="1"/>
        <v>2020</v>
      </c>
      <c r="P15" s="552">
        <f t="shared" si="1"/>
        <v>2020</v>
      </c>
      <c r="Q15" s="552">
        <f t="shared" si="1"/>
        <v>2020</v>
      </c>
      <c r="R15" s="552">
        <f t="shared" si="1"/>
        <v>2020</v>
      </c>
      <c r="AG15"/>
      <c r="AH15"/>
      <c r="AI15"/>
    </row>
    <row r="16" spans="1:36" s="533" customFormat="1" ht="20">
      <c r="A16" s="547"/>
      <c r="B16" s="553" t="s">
        <v>1045</v>
      </c>
      <c r="C16" s="554" t="str">
        <f>'Balances y Proyecciones'!N16</f>
        <v>Diciembre</v>
      </c>
      <c r="D16" s="551"/>
      <c r="E16" s="555" t="str">
        <f>'Balances y Proyecciones'!T16</f>
        <v>DICIEMBRE</v>
      </c>
      <c r="F16" s="545"/>
      <c r="G16" s="554" t="str">
        <f t="shared" si="1"/>
        <v>Enero</v>
      </c>
      <c r="H16" s="554" t="str">
        <f t="shared" si="1"/>
        <v>Febrero</v>
      </c>
      <c r="I16" s="554" t="str">
        <f t="shared" si="1"/>
        <v>Marzo</v>
      </c>
      <c r="J16" s="554" t="str">
        <f t="shared" si="1"/>
        <v>Abril</v>
      </c>
      <c r="K16" s="554" t="str">
        <f t="shared" si="1"/>
        <v>Mayo</v>
      </c>
      <c r="L16" s="554" t="str">
        <f t="shared" si="1"/>
        <v>Junio</v>
      </c>
      <c r="M16" s="554" t="str">
        <f t="shared" si="1"/>
        <v>Julio</v>
      </c>
      <c r="N16" s="554" t="str">
        <f t="shared" si="1"/>
        <v>Agosto</v>
      </c>
      <c r="O16" s="554" t="str">
        <f t="shared" si="1"/>
        <v>Septiembre</v>
      </c>
      <c r="P16" s="554" t="str">
        <f t="shared" si="1"/>
        <v>Octubre</v>
      </c>
      <c r="Q16" s="554" t="str">
        <f t="shared" si="1"/>
        <v>Noviembre</v>
      </c>
      <c r="R16" s="554" t="str">
        <f t="shared" si="1"/>
        <v>Diciembre</v>
      </c>
      <c r="U16" s="533">
        <v>1</v>
      </c>
      <c r="V16" s="533" t="s">
        <v>60</v>
      </c>
      <c r="W16" s="533">
        <v>1</v>
      </c>
      <c r="X16" s="533">
        <v>2</v>
      </c>
      <c r="AG16"/>
      <c r="AH16"/>
      <c r="AI16"/>
    </row>
    <row r="17" spans="1:35" s="533" customFormat="1">
      <c r="A17" s="547"/>
      <c r="B17" s="548" t="s">
        <v>871</v>
      </c>
      <c r="C17" s="556">
        <f>'Balances y Proyecciones'!N17</f>
        <v>360</v>
      </c>
      <c r="D17" s="545"/>
      <c r="E17" s="556">
        <f>'Balances y Proyecciones'!T17</f>
        <v>360</v>
      </c>
      <c r="F17" s="557"/>
      <c r="G17" s="556">
        <v>360</v>
      </c>
      <c r="H17" s="556">
        <v>360</v>
      </c>
      <c r="I17" s="556">
        <v>360</v>
      </c>
      <c r="J17" s="556">
        <v>360</v>
      </c>
      <c r="K17" s="556">
        <v>360</v>
      </c>
      <c r="L17" s="556">
        <v>360</v>
      </c>
      <c r="M17" s="556">
        <v>360</v>
      </c>
      <c r="N17" s="556">
        <v>360</v>
      </c>
      <c r="O17" s="556">
        <v>360</v>
      </c>
      <c r="P17" s="556">
        <v>360</v>
      </c>
      <c r="Q17" s="556">
        <v>360</v>
      </c>
      <c r="R17" s="556">
        <v>360</v>
      </c>
      <c r="U17" s="533">
        <v>2</v>
      </c>
      <c r="V17" s="533" t="s">
        <v>63</v>
      </c>
      <c r="W17" s="533">
        <v>2</v>
      </c>
      <c r="X17" s="533">
        <v>3</v>
      </c>
      <c r="AG17"/>
      <c r="AH17"/>
      <c r="AI17"/>
    </row>
    <row r="18" spans="1:35" s="533" customFormat="1">
      <c r="A18" s="558">
        <v>1</v>
      </c>
      <c r="B18" s="559" t="s">
        <v>904</v>
      </c>
      <c r="C18" s="560">
        <f>'Balances y Proyecciones'!N18</f>
        <v>0</v>
      </c>
      <c r="D18" s="557"/>
      <c r="E18" s="560">
        <f>'Balances y Proyecciones'!T18</f>
        <v>0</v>
      </c>
      <c r="F18" s="561"/>
      <c r="G18" s="562">
        <f t="shared" ref="G18:R25" si="2">IF($G$12=1,"Error %",$E18*G$13)</f>
        <v>0</v>
      </c>
      <c r="H18" s="562">
        <f t="shared" si="2"/>
        <v>0</v>
      </c>
      <c r="I18" s="562">
        <f t="shared" si="2"/>
        <v>0</v>
      </c>
      <c r="J18" s="562">
        <f t="shared" si="2"/>
        <v>0</v>
      </c>
      <c r="K18" s="562">
        <f t="shared" si="2"/>
        <v>0</v>
      </c>
      <c r="L18" s="562">
        <f t="shared" si="2"/>
        <v>0</v>
      </c>
      <c r="M18" s="562">
        <f t="shared" si="2"/>
        <v>0</v>
      </c>
      <c r="N18" s="562">
        <f t="shared" si="2"/>
        <v>0</v>
      </c>
      <c r="O18" s="562">
        <f t="shared" si="2"/>
        <v>0</v>
      </c>
      <c r="P18" s="562">
        <f t="shared" si="2"/>
        <v>0</v>
      </c>
      <c r="Q18" s="562">
        <f t="shared" si="2"/>
        <v>0</v>
      </c>
      <c r="R18" s="562">
        <f t="shared" si="2"/>
        <v>0</v>
      </c>
      <c r="U18" s="533">
        <v>3</v>
      </c>
      <c r="V18" s="533" t="s">
        <v>65</v>
      </c>
      <c r="W18" s="533">
        <v>3</v>
      </c>
      <c r="X18" s="533">
        <v>4</v>
      </c>
      <c r="AG18"/>
      <c r="AH18"/>
      <c r="AI18"/>
    </row>
    <row r="19" spans="1:35" s="536" customFormat="1">
      <c r="A19" s="563" t="s">
        <v>1046</v>
      </c>
      <c r="B19" s="564" t="s">
        <v>565</v>
      </c>
      <c r="C19" s="565">
        <f>'Balances y Proyecciones'!N19</f>
        <v>0</v>
      </c>
      <c r="D19" s="561"/>
      <c r="E19" s="565">
        <f>'Balances y Proyecciones'!T19</f>
        <v>0</v>
      </c>
      <c r="F19" s="561"/>
      <c r="G19" s="566">
        <f t="shared" si="2"/>
        <v>0</v>
      </c>
      <c r="H19" s="566">
        <f t="shared" si="2"/>
        <v>0</v>
      </c>
      <c r="I19" s="566">
        <f t="shared" si="2"/>
        <v>0</v>
      </c>
      <c r="J19" s="566">
        <f t="shared" si="2"/>
        <v>0</v>
      </c>
      <c r="K19" s="566">
        <f t="shared" si="2"/>
        <v>0</v>
      </c>
      <c r="L19" s="566">
        <f t="shared" si="2"/>
        <v>0</v>
      </c>
      <c r="M19" s="566">
        <f t="shared" si="2"/>
        <v>0</v>
      </c>
      <c r="N19" s="566">
        <f t="shared" si="2"/>
        <v>0</v>
      </c>
      <c r="O19" s="566">
        <f t="shared" si="2"/>
        <v>0</v>
      </c>
      <c r="P19" s="566">
        <f t="shared" si="2"/>
        <v>0</v>
      </c>
      <c r="Q19" s="566">
        <f t="shared" si="2"/>
        <v>0</v>
      </c>
      <c r="R19" s="566">
        <f t="shared" si="2"/>
        <v>0</v>
      </c>
      <c r="U19" s="533">
        <v>4</v>
      </c>
      <c r="V19" s="533" t="s">
        <v>68</v>
      </c>
      <c r="W19" s="533">
        <v>4</v>
      </c>
      <c r="X19" s="533">
        <v>5</v>
      </c>
      <c r="AG19"/>
      <c r="AH19"/>
      <c r="AI19"/>
    </row>
    <row r="20" spans="1:35" s="536" customFormat="1">
      <c r="A20" s="563" t="s">
        <v>1047</v>
      </c>
      <c r="B20" s="564" t="s">
        <v>1048</v>
      </c>
      <c r="C20" s="565">
        <f>'Balances y Proyecciones'!N20</f>
        <v>0</v>
      </c>
      <c r="D20" s="561"/>
      <c r="E20" s="565">
        <f>'Balances y Proyecciones'!T20</f>
        <v>0</v>
      </c>
      <c r="F20" s="561"/>
      <c r="G20" s="566">
        <f t="shared" si="2"/>
        <v>0</v>
      </c>
      <c r="H20" s="566">
        <f t="shared" si="2"/>
        <v>0</v>
      </c>
      <c r="I20" s="566">
        <f t="shared" si="2"/>
        <v>0</v>
      </c>
      <c r="J20" s="566">
        <f t="shared" si="2"/>
        <v>0</v>
      </c>
      <c r="K20" s="566">
        <f t="shared" si="2"/>
        <v>0</v>
      </c>
      <c r="L20" s="566">
        <f t="shared" si="2"/>
        <v>0</v>
      </c>
      <c r="M20" s="566">
        <f t="shared" si="2"/>
        <v>0</v>
      </c>
      <c r="N20" s="566">
        <f t="shared" si="2"/>
        <v>0</v>
      </c>
      <c r="O20" s="566">
        <f t="shared" si="2"/>
        <v>0</v>
      </c>
      <c r="P20" s="566">
        <f t="shared" si="2"/>
        <v>0</v>
      </c>
      <c r="Q20" s="566">
        <f t="shared" si="2"/>
        <v>0</v>
      </c>
      <c r="R20" s="566">
        <f t="shared" si="2"/>
        <v>0</v>
      </c>
      <c r="U20" s="533">
        <v>5</v>
      </c>
      <c r="V20" s="533" t="s">
        <v>70</v>
      </c>
      <c r="W20" s="533">
        <v>5</v>
      </c>
      <c r="X20" s="533">
        <v>6</v>
      </c>
      <c r="AG20"/>
      <c r="AH20"/>
      <c r="AI20"/>
    </row>
    <row r="21" spans="1:35" s="536" customFormat="1">
      <c r="A21" s="563" t="s">
        <v>1049</v>
      </c>
      <c r="B21" s="564" t="s">
        <v>1050</v>
      </c>
      <c r="C21" s="565">
        <f>'Balances y Proyecciones'!N21</f>
        <v>0</v>
      </c>
      <c r="D21" s="561"/>
      <c r="E21" s="565">
        <f>'Balances y Proyecciones'!T21</f>
        <v>0</v>
      </c>
      <c r="F21" s="561"/>
      <c r="G21" s="566">
        <f t="shared" si="2"/>
        <v>0</v>
      </c>
      <c r="H21" s="566">
        <f t="shared" si="2"/>
        <v>0</v>
      </c>
      <c r="I21" s="566">
        <f t="shared" si="2"/>
        <v>0</v>
      </c>
      <c r="J21" s="566">
        <f t="shared" si="2"/>
        <v>0</v>
      </c>
      <c r="K21" s="566">
        <f t="shared" si="2"/>
        <v>0</v>
      </c>
      <c r="L21" s="566">
        <f t="shared" si="2"/>
        <v>0</v>
      </c>
      <c r="M21" s="566">
        <f t="shared" si="2"/>
        <v>0</v>
      </c>
      <c r="N21" s="566">
        <f t="shared" si="2"/>
        <v>0</v>
      </c>
      <c r="O21" s="566">
        <f t="shared" si="2"/>
        <v>0</v>
      </c>
      <c r="P21" s="566">
        <f t="shared" si="2"/>
        <v>0</v>
      </c>
      <c r="Q21" s="566">
        <f t="shared" si="2"/>
        <v>0</v>
      </c>
      <c r="R21" s="566">
        <f t="shared" si="2"/>
        <v>0</v>
      </c>
      <c r="U21" s="533">
        <v>6</v>
      </c>
      <c r="V21" s="533" t="s">
        <v>72</v>
      </c>
      <c r="W21" s="533">
        <v>6</v>
      </c>
      <c r="X21" s="533">
        <v>7</v>
      </c>
      <c r="AG21"/>
      <c r="AH21"/>
      <c r="AI21"/>
    </row>
    <row r="22" spans="1:35" s="536" customFormat="1">
      <c r="A22" s="563" t="s">
        <v>1051</v>
      </c>
      <c r="B22" s="564" t="s">
        <v>1052</v>
      </c>
      <c r="C22" s="565">
        <f>'Balances y Proyecciones'!N22</f>
        <v>0</v>
      </c>
      <c r="D22" s="561"/>
      <c r="E22" s="565">
        <f>'Balances y Proyecciones'!T22</f>
        <v>0</v>
      </c>
      <c r="F22" s="561"/>
      <c r="G22" s="566">
        <f t="shared" si="2"/>
        <v>0</v>
      </c>
      <c r="H22" s="566">
        <f t="shared" si="2"/>
        <v>0</v>
      </c>
      <c r="I22" s="566">
        <f t="shared" si="2"/>
        <v>0</v>
      </c>
      <c r="J22" s="566">
        <f t="shared" si="2"/>
        <v>0</v>
      </c>
      <c r="K22" s="566">
        <f t="shared" si="2"/>
        <v>0</v>
      </c>
      <c r="L22" s="566">
        <f t="shared" si="2"/>
        <v>0</v>
      </c>
      <c r="M22" s="566">
        <f t="shared" si="2"/>
        <v>0</v>
      </c>
      <c r="N22" s="566">
        <f t="shared" si="2"/>
        <v>0</v>
      </c>
      <c r="O22" s="566">
        <f t="shared" si="2"/>
        <v>0</v>
      </c>
      <c r="P22" s="566">
        <f t="shared" si="2"/>
        <v>0</v>
      </c>
      <c r="Q22" s="566">
        <f t="shared" si="2"/>
        <v>0</v>
      </c>
      <c r="R22" s="566">
        <f t="shared" si="2"/>
        <v>0</v>
      </c>
      <c r="U22" s="533">
        <v>7</v>
      </c>
      <c r="V22" s="533" t="s">
        <v>74</v>
      </c>
      <c r="W22" s="533">
        <v>7</v>
      </c>
      <c r="X22" s="533">
        <v>8</v>
      </c>
      <c r="AG22"/>
      <c r="AH22"/>
      <c r="AI22"/>
    </row>
    <row r="23" spans="1:35" s="533" customFormat="1">
      <c r="A23" s="567">
        <v>4</v>
      </c>
      <c r="B23" s="568" t="s">
        <v>1053</v>
      </c>
      <c r="C23" s="565">
        <f>'Balances y Proyecciones'!N23</f>
        <v>0</v>
      </c>
      <c r="D23" s="561"/>
      <c r="E23" s="565">
        <f>'Balances y Proyecciones'!T23</f>
        <v>0</v>
      </c>
      <c r="F23" s="561"/>
      <c r="G23" s="569">
        <f t="shared" si="2"/>
        <v>0</v>
      </c>
      <c r="H23" s="569">
        <f t="shared" si="2"/>
        <v>0</v>
      </c>
      <c r="I23" s="569">
        <f t="shared" si="2"/>
        <v>0</v>
      </c>
      <c r="J23" s="569">
        <f t="shared" si="2"/>
        <v>0</v>
      </c>
      <c r="K23" s="569">
        <f t="shared" si="2"/>
        <v>0</v>
      </c>
      <c r="L23" s="569">
        <f t="shared" si="2"/>
        <v>0</v>
      </c>
      <c r="M23" s="569">
        <f t="shared" si="2"/>
        <v>0</v>
      </c>
      <c r="N23" s="569">
        <f t="shared" si="2"/>
        <v>0</v>
      </c>
      <c r="O23" s="569">
        <f t="shared" si="2"/>
        <v>0</v>
      </c>
      <c r="P23" s="569">
        <f t="shared" si="2"/>
        <v>0</v>
      </c>
      <c r="Q23" s="569">
        <f t="shared" si="2"/>
        <v>0</v>
      </c>
      <c r="R23" s="569">
        <f t="shared" si="2"/>
        <v>0</v>
      </c>
      <c r="U23" s="533">
        <v>8</v>
      </c>
      <c r="V23" s="533" t="s">
        <v>77</v>
      </c>
      <c r="W23" s="533">
        <v>8</v>
      </c>
      <c r="X23" s="533">
        <v>9</v>
      </c>
      <c r="AG23"/>
      <c r="AH23"/>
      <c r="AI23"/>
    </row>
    <row r="24" spans="1:35" s="533" customFormat="1">
      <c r="A24" s="570" t="s">
        <v>1054</v>
      </c>
      <c r="B24" s="564" t="s">
        <v>1055</v>
      </c>
      <c r="C24" s="565">
        <f>'Balances y Proyecciones'!N24</f>
        <v>0</v>
      </c>
      <c r="D24" s="561"/>
      <c r="E24" s="565">
        <f>'Balances y Proyecciones'!T24</f>
        <v>0</v>
      </c>
      <c r="F24" s="561"/>
      <c r="G24" s="571">
        <f t="shared" si="2"/>
        <v>0</v>
      </c>
      <c r="H24" s="571">
        <f t="shared" si="2"/>
        <v>0</v>
      </c>
      <c r="I24" s="571">
        <f t="shared" si="2"/>
        <v>0</v>
      </c>
      <c r="J24" s="571">
        <f t="shared" si="2"/>
        <v>0</v>
      </c>
      <c r="K24" s="571">
        <f t="shared" si="2"/>
        <v>0</v>
      </c>
      <c r="L24" s="571">
        <f t="shared" si="2"/>
        <v>0</v>
      </c>
      <c r="M24" s="571">
        <f t="shared" si="2"/>
        <v>0</v>
      </c>
      <c r="N24" s="571">
        <f t="shared" si="2"/>
        <v>0</v>
      </c>
      <c r="O24" s="571">
        <f t="shared" si="2"/>
        <v>0</v>
      </c>
      <c r="P24" s="571">
        <f t="shared" si="2"/>
        <v>0</v>
      </c>
      <c r="Q24" s="571">
        <f t="shared" si="2"/>
        <v>0</v>
      </c>
      <c r="R24" s="571">
        <f t="shared" si="2"/>
        <v>0</v>
      </c>
      <c r="U24" s="533">
        <v>9</v>
      </c>
      <c r="V24" s="533" t="s">
        <v>79</v>
      </c>
      <c r="W24" s="533">
        <v>9</v>
      </c>
      <c r="X24" s="533">
        <v>10</v>
      </c>
      <c r="AG24"/>
      <c r="AH24"/>
      <c r="AI24"/>
    </row>
    <row r="25" spans="1:35" s="533" customFormat="1">
      <c r="A25" s="572" t="s">
        <v>1056</v>
      </c>
      <c r="B25" s="573" t="s">
        <v>1057</v>
      </c>
      <c r="C25" s="574">
        <f>'Balances y Proyecciones'!N25</f>
        <v>0</v>
      </c>
      <c r="D25" s="561"/>
      <c r="E25" s="574">
        <f>'Balances y Proyecciones'!T25</f>
        <v>0</v>
      </c>
      <c r="F25" s="561"/>
      <c r="G25" s="575">
        <f t="shared" si="2"/>
        <v>0</v>
      </c>
      <c r="H25" s="575">
        <f t="shared" si="2"/>
        <v>0</v>
      </c>
      <c r="I25" s="575">
        <f t="shared" si="2"/>
        <v>0</v>
      </c>
      <c r="J25" s="575">
        <f t="shared" si="2"/>
        <v>0</v>
      </c>
      <c r="K25" s="575">
        <f t="shared" si="2"/>
        <v>0</v>
      </c>
      <c r="L25" s="575">
        <f t="shared" si="2"/>
        <v>0</v>
      </c>
      <c r="M25" s="575">
        <f t="shared" si="2"/>
        <v>0</v>
      </c>
      <c r="N25" s="575">
        <f t="shared" si="2"/>
        <v>0</v>
      </c>
      <c r="O25" s="575">
        <f t="shared" si="2"/>
        <v>0</v>
      </c>
      <c r="P25" s="575">
        <f t="shared" si="2"/>
        <v>0</v>
      </c>
      <c r="Q25" s="575">
        <f t="shared" si="2"/>
        <v>0</v>
      </c>
      <c r="R25" s="575">
        <f t="shared" si="2"/>
        <v>0</v>
      </c>
      <c r="U25" s="533">
        <v>10</v>
      </c>
      <c r="V25" s="533" t="s">
        <v>81</v>
      </c>
      <c r="W25" s="533">
        <v>10</v>
      </c>
      <c r="X25" s="533">
        <v>11</v>
      </c>
      <c r="AG25"/>
      <c r="AH25"/>
      <c r="AI25"/>
    </row>
    <row r="26" spans="1:35" s="533" customFormat="1">
      <c r="A26" s="547"/>
      <c r="B26" s="548" t="s">
        <v>1058</v>
      </c>
      <c r="C26" s="576">
        <f>'Balances y Proyecciones'!N26</f>
        <v>0</v>
      </c>
      <c r="D26" s="561"/>
      <c r="E26" s="576">
        <f>'Balances y Proyecciones'!T26</f>
        <v>0</v>
      </c>
      <c r="F26" s="561"/>
      <c r="G26" s="577">
        <f t="shared" ref="G26:R26" si="3">SUM(G18:G25)</f>
        <v>0</v>
      </c>
      <c r="H26" s="577">
        <f t="shared" si="3"/>
        <v>0</v>
      </c>
      <c r="I26" s="577">
        <f t="shared" si="3"/>
        <v>0</v>
      </c>
      <c r="J26" s="577">
        <f t="shared" si="3"/>
        <v>0</v>
      </c>
      <c r="K26" s="577">
        <f t="shared" si="3"/>
        <v>0</v>
      </c>
      <c r="L26" s="577">
        <f t="shared" si="3"/>
        <v>0</v>
      </c>
      <c r="M26" s="577">
        <f t="shared" si="3"/>
        <v>0</v>
      </c>
      <c r="N26" s="577">
        <f t="shared" si="3"/>
        <v>0</v>
      </c>
      <c r="O26" s="577">
        <f t="shared" si="3"/>
        <v>0</v>
      </c>
      <c r="P26" s="577">
        <f t="shared" si="3"/>
        <v>0</v>
      </c>
      <c r="Q26" s="577">
        <f t="shared" si="3"/>
        <v>0</v>
      </c>
      <c r="R26" s="577">
        <f t="shared" si="3"/>
        <v>0</v>
      </c>
      <c r="U26" s="533">
        <v>11</v>
      </c>
      <c r="V26" s="533" t="s">
        <v>83</v>
      </c>
      <c r="W26" s="533">
        <v>11</v>
      </c>
      <c r="X26" s="533">
        <v>12</v>
      </c>
      <c r="AG26"/>
      <c r="AH26"/>
      <c r="AI26"/>
    </row>
    <row r="27" spans="1:35" s="533" customFormat="1">
      <c r="A27" s="558">
        <v>6</v>
      </c>
      <c r="B27" s="578" t="s">
        <v>1059</v>
      </c>
      <c r="C27" s="579">
        <f>'Balances y Proyecciones'!N27</f>
        <v>0</v>
      </c>
      <c r="D27" s="561"/>
      <c r="E27" s="579">
        <f>'Balances y Proyecciones'!T27</f>
        <v>0</v>
      </c>
      <c r="F27" s="561"/>
      <c r="G27" s="580">
        <f t="shared" ref="G27:R33" si="4">IF($G$12=1,"Error %",$E27*G$13)</f>
        <v>0</v>
      </c>
      <c r="H27" s="580">
        <f t="shared" si="4"/>
        <v>0</v>
      </c>
      <c r="I27" s="580">
        <f t="shared" si="4"/>
        <v>0</v>
      </c>
      <c r="J27" s="580">
        <f t="shared" si="4"/>
        <v>0</v>
      </c>
      <c r="K27" s="580">
        <f t="shared" si="4"/>
        <v>0</v>
      </c>
      <c r="L27" s="580">
        <f t="shared" si="4"/>
        <v>0</v>
      </c>
      <c r="M27" s="580">
        <f t="shared" si="4"/>
        <v>0</v>
      </c>
      <c r="N27" s="580">
        <f t="shared" si="4"/>
        <v>0</v>
      </c>
      <c r="O27" s="580">
        <f t="shared" si="4"/>
        <v>0</v>
      </c>
      <c r="P27" s="580">
        <f t="shared" si="4"/>
        <v>0</v>
      </c>
      <c r="Q27" s="580">
        <f t="shared" si="4"/>
        <v>0</v>
      </c>
      <c r="R27" s="580">
        <f t="shared" si="4"/>
        <v>0</v>
      </c>
      <c r="U27" s="533">
        <v>12</v>
      </c>
      <c r="V27" s="533" t="s">
        <v>85</v>
      </c>
      <c r="W27" s="533">
        <v>12</v>
      </c>
      <c r="X27" s="533">
        <v>1</v>
      </c>
      <c r="AG27"/>
      <c r="AH27"/>
      <c r="AI27"/>
    </row>
    <row r="28" spans="1:35" s="533" customFormat="1">
      <c r="A28" s="570" t="s">
        <v>1060</v>
      </c>
      <c r="B28" s="568" t="s">
        <v>1061</v>
      </c>
      <c r="C28" s="565">
        <f>'Balances y Proyecciones'!N28</f>
        <v>0</v>
      </c>
      <c r="D28" s="561"/>
      <c r="E28" s="565">
        <f>'Balances y Proyecciones'!T28</f>
        <v>0</v>
      </c>
      <c r="F28" s="561"/>
      <c r="G28" s="581">
        <f t="shared" si="4"/>
        <v>0</v>
      </c>
      <c r="H28" s="581">
        <f t="shared" si="4"/>
        <v>0</v>
      </c>
      <c r="I28" s="581">
        <f t="shared" si="4"/>
        <v>0</v>
      </c>
      <c r="J28" s="581">
        <f t="shared" si="4"/>
        <v>0</v>
      </c>
      <c r="K28" s="581">
        <f t="shared" si="4"/>
        <v>0</v>
      </c>
      <c r="L28" s="581">
        <f t="shared" si="4"/>
        <v>0</v>
      </c>
      <c r="M28" s="581">
        <f t="shared" si="4"/>
        <v>0</v>
      </c>
      <c r="N28" s="581">
        <f t="shared" si="4"/>
        <v>0</v>
      </c>
      <c r="O28" s="581">
        <f t="shared" si="4"/>
        <v>0</v>
      </c>
      <c r="P28" s="581">
        <f t="shared" si="4"/>
        <v>0</v>
      </c>
      <c r="Q28" s="581">
        <f t="shared" si="4"/>
        <v>0</v>
      </c>
      <c r="R28" s="581">
        <f t="shared" si="4"/>
        <v>0</v>
      </c>
      <c r="AG28"/>
      <c r="AH28"/>
      <c r="AI28"/>
    </row>
    <row r="29" spans="1:35" s="533" customFormat="1">
      <c r="A29" s="570" t="s">
        <v>1062</v>
      </c>
      <c r="B29" s="568" t="s">
        <v>1063</v>
      </c>
      <c r="C29" s="565">
        <f>'Balances y Proyecciones'!N29</f>
        <v>0</v>
      </c>
      <c r="D29" s="561"/>
      <c r="E29" s="565">
        <f>'Balances y Proyecciones'!T29</f>
        <v>0</v>
      </c>
      <c r="F29" s="561"/>
      <c r="G29" s="566">
        <f t="shared" si="4"/>
        <v>0</v>
      </c>
      <c r="H29" s="566">
        <f t="shared" si="4"/>
        <v>0</v>
      </c>
      <c r="I29" s="566">
        <f t="shared" si="4"/>
        <v>0</v>
      </c>
      <c r="J29" s="566">
        <f t="shared" si="4"/>
        <v>0</v>
      </c>
      <c r="K29" s="566">
        <f t="shared" si="4"/>
        <v>0</v>
      </c>
      <c r="L29" s="566">
        <f t="shared" si="4"/>
        <v>0</v>
      </c>
      <c r="M29" s="566">
        <f t="shared" si="4"/>
        <v>0</v>
      </c>
      <c r="N29" s="566">
        <f t="shared" si="4"/>
        <v>0</v>
      </c>
      <c r="O29" s="566">
        <f t="shared" si="4"/>
        <v>0</v>
      </c>
      <c r="P29" s="566">
        <f t="shared" si="4"/>
        <v>0</v>
      </c>
      <c r="Q29" s="566">
        <f t="shared" si="4"/>
        <v>0</v>
      </c>
      <c r="R29" s="566">
        <f t="shared" si="4"/>
        <v>0</v>
      </c>
      <c r="V29" s="533">
        <f>VLOOKUP(C16,V16:W27,2,0)</f>
        <v>12</v>
      </c>
      <c r="W29" s="533">
        <f>IF(V29=12,1,VLOOKUP(V29,W16:X27,2,0))</f>
        <v>1</v>
      </c>
      <c r="X29" s="533">
        <f t="shared" ref="X29:AH29" si="5">IF(W29=12,1,W29+1)</f>
        <v>2</v>
      </c>
      <c r="Y29" s="533">
        <f t="shared" si="5"/>
        <v>3</v>
      </c>
      <c r="Z29" s="533">
        <f t="shared" si="5"/>
        <v>4</v>
      </c>
      <c r="AA29" s="533">
        <f t="shared" si="5"/>
        <v>5</v>
      </c>
      <c r="AB29" s="533">
        <f t="shared" si="5"/>
        <v>6</v>
      </c>
      <c r="AC29" s="533">
        <f t="shared" si="5"/>
        <v>7</v>
      </c>
      <c r="AD29" s="533">
        <f t="shared" si="5"/>
        <v>8</v>
      </c>
      <c r="AE29" s="533">
        <f t="shared" si="5"/>
        <v>9</v>
      </c>
      <c r="AF29" s="533">
        <f t="shared" si="5"/>
        <v>10</v>
      </c>
      <c r="AG29" s="533">
        <f t="shared" si="5"/>
        <v>11</v>
      </c>
      <c r="AH29" s="533">
        <f t="shared" si="5"/>
        <v>12</v>
      </c>
      <c r="AI29"/>
    </row>
    <row r="30" spans="1:35" s="533" customFormat="1">
      <c r="A30" s="567">
        <v>8</v>
      </c>
      <c r="B30" s="568" t="s">
        <v>1064</v>
      </c>
      <c r="C30" s="565">
        <f>'Balances y Proyecciones'!N30</f>
        <v>0</v>
      </c>
      <c r="D30" s="561"/>
      <c r="E30" s="565">
        <f>'Balances y Proyecciones'!T30</f>
        <v>0</v>
      </c>
      <c r="F30" s="561"/>
      <c r="G30" s="566">
        <f t="shared" si="4"/>
        <v>0</v>
      </c>
      <c r="H30" s="566">
        <f t="shared" si="4"/>
        <v>0</v>
      </c>
      <c r="I30" s="566">
        <f t="shared" si="4"/>
        <v>0</v>
      </c>
      <c r="J30" s="566">
        <f t="shared" si="4"/>
        <v>0</v>
      </c>
      <c r="K30" s="566">
        <f t="shared" si="4"/>
        <v>0</v>
      </c>
      <c r="L30" s="566">
        <f t="shared" si="4"/>
        <v>0</v>
      </c>
      <c r="M30" s="566">
        <f t="shared" si="4"/>
        <v>0</v>
      </c>
      <c r="N30" s="566">
        <f t="shared" si="4"/>
        <v>0</v>
      </c>
      <c r="O30" s="566">
        <f t="shared" si="4"/>
        <v>0</v>
      </c>
      <c r="P30" s="566">
        <f t="shared" si="4"/>
        <v>0</v>
      </c>
      <c r="Q30" s="566">
        <f t="shared" si="4"/>
        <v>0</v>
      </c>
      <c r="R30" s="566">
        <f t="shared" si="4"/>
        <v>0</v>
      </c>
      <c r="W30" s="533">
        <v>0</v>
      </c>
      <c r="X30" s="533">
        <f t="shared" ref="X30:AH30" si="6">IF(OR(W29=12,W30=1),1,0)</f>
        <v>0</v>
      </c>
      <c r="Y30" s="533">
        <f t="shared" si="6"/>
        <v>0</v>
      </c>
      <c r="Z30" s="533">
        <f t="shared" si="6"/>
        <v>0</v>
      </c>
      <c r="AA30" s="533">
        <f t="shared" si="6"/>
        <v>0</v>
      </c>
      <c r="AB30" s="533">
        <f t="shared" si="6"/>
        <v>0</v>
      </c>
      <c r="AC30" s="533">
        <f t="shared" si="6"/>
        <v>0</v>
      </c>
      <c r="AD30" s="533">
        <f t="shared" si="6"/>
        <v>0</v>
      </c>
      <c r="AE30" s="533">
        <f t="shared" si="6"/>
        <v>0</v>
      </c>
      <c r="AF30" s="533">
        <f t="shared" si="6"/>
        <v>0</v>
      </c>
      <c r="AG30" s="533">
        <f t="shared" si="6"/>
        <v>0</v>
      </c>
      <c r="AH30" s="533">
        <f t="shared" si="6"/>
        <v>0</v>
      </c>
      <c r="AI30"/>
    </row>
    <row r="31" spans="1:35" s="533" customFormat="1">
      <c r="A31" s="567">
        <v>9</v>
      </c>
      <c r="B31" s="568" t="s">
        <v>1065</v>
      </c>
      <c r="C31" s="565">
        <f>'Balances y Proyecciones'!N31</f>
        <v>0</v>
      </c>
      <c r="D31" s="561"/>
      <c r="E31" s="565">
        <f>'Balances y Proyecciones'!T31</f>
        <v>0</v>
      </c>
      <c r="F31" s="561"/>
      <c r="G31" s="569">
        <f t="shared" si="4"/>
        <v>0</v>
      </c>
      <c r="H31" s="569">
        <f t="shared" si="4"/>
        <v>0</v>
      </c>
      <c r="I31" s="569">
        <f t="shared" si="4"/>
        <v>0</v>
      </c>
      <c r="J31" s="569">
        <f t="shared" si="4"/>
        <v>0</v>
      </c>
      <c r="K31" s="569">
        <f t="shared" si="4"/>
        <v>0</v>
      </c>
      <c r="L31" s="569">
        <f t="shared" si="4"/>
        <v>0</v>
      </c>
      <c r="M31" s="569">
        <f t="shared" si="4"/>
        <v>0</v>
      </c>
      <c r="N31" s="569">
        <f t="shared" si="4"/>
        <v>0</v>
      </c>
      <c r="O31" s="569">
        <f t="shared" si="4"/>
        <v>0</v>
      </c>
      <c r="P31" s="569">
        <f t="shared" si="4"/>
        <v>0</v>
      </c>
      <c r="Q31" s="569">
        <f t="shared" si="4"/>
        <v>0</v>
      </c>
      <c r="R31" s="569">
        <f t="shared" si="4"/>
        <v>0</v>
      </c>
      <c r="W31" s="533">
        <f t="shared" ref="W31:AH31" si="7">$C$15+1+W30</f>
        <v>2020</v>
      </c>
      <c r="X31" s="533">
        <f t="shared" si="7"/>
        <v>2020</v>
      </c>
      <c r="Y31" s="533">
        <f t="shared" si="7"/>
        <v>2020</v>
      </c>
      <c r="Z31" s="533">
        <f t="shared" si="7"/>
        <v>2020</v>
      </c>
      <c r="AA31" s="533">
        <f t="shared" si="7"/>
        <v>2020</v>
      </c>
      <c r="AB31" s="533">
        <f t="shared" si="7"/>
        <v>2020</v>
      </c>
      <c r="AC31" s="533">
        <f t="shared" si="7"/>
        <v>2020</v>
      </c>
      <c r="AD31" s="533">
        <f t="shared" si="7"/>
        <v>2020</v>
      </c>
      <c r="AE31" s="533">
        <f t="shared" si="7"/>
        <v>2020</v>
      </c>
      <c r="AF31" s="533">
        <f t="shared" si="7"/>
        <v>2020</v>
      </c>
      <c r="AG31" s="533">
        <f t="shared" si="7"/>
        <v>2020</v>
      </c>
      <c r="AH31" s="533">
        <f t="shared" si="7"/>
        <v>2020</v>
      </c>
      <c r="AI31"/>
    </row>
    <row r="32" spans="1:35" s="533" customFormat="1">
      <c r="A32" s="567">
        <v>10</v>
      </c>
      <c r="B32" s="568" t="s">
        <v>1066</v>
      </c>
      <c r="C32" s="565">
        <f>'Balances y Proyecciones'!N32</f>
        <v>0</v>
      </c>
      <c r="D32" s="561"/>
      <c r="E32" s="565">
        <f>'Balances y Proyecciones'!T32</f>
        <v>0</v>
      </c>
      <c r="F32" s="561"/>
      <c r="G32" s="571">
        <f t="shared" si="4"/>
        <v>0</v>
      </c>
      <c r="H32" s="571">
        <f t="shared" si="4"/>
        <v>0</v>
      </c>
      <c r="I32" s="571">
        <f t="shared" si="4"/>
        <v>0</v>
      </c>
      <c r="J32" s="571">
        <f t="shared" si="4"/>
        <v>0</v>
      </c>
      <c r="K32" s="571">
        <f t="shared" si="4"/>
        <v>0</v>
      </c>
      <c r="L32" s="571">
        <f t="shared" si="4"/>
        <v>0</v>
      </c>
      <c r="M32" s="571">
        <f t="shared" si="4"/>
        <v>0</v>
      </c>
      <c r="N32" s="571">
        <f t="shared" si="4"/>
        <v>0</v>
      </c>
      <c r="O32" s="571">
        <f t="shared" si="4"/>
        <v>0</v>
      </c>
      <c r="P32" s="571">
        <f t="shared" si="4"/>
        <v>0</v>
      </c>
      <c r="Q32" s="571">
        <f t="shared" si="4"/>
        <v>0</v>
      </c>
      <c r="R32" s="571">
        <f t="shared" si="4"/>
        <v>0</v>
      </c>
      <c r="W32" s="533" t="str">
        <f t="shared" ref="W32:AH32" si="8">VLOOKUP(W29,$U$16:$V$27,2,0)</f>
        <v>Enero</v>
      </c>
      <c r="X32" s="533" t="str">
        <f t="shared" si="8"/>
        <v>Febrero</v>
      </c>
      <c r="Y32" s="533" t="str">
        <f t="shared" si="8"/>
        <v>Marzo</v>
      </c>
      <c r="Z32" s="533" t="str">
        <f t="shared" si="8"/>
        <v>Abril</v>
      </c>
      <c r="AA32" s="533" t="str">
        <f t="shared" si="8"/>
        <v>Mayo</v>
      </c>
      <c r="AB32" s="533" t="str">
        <f t="shared" si="8"/>
        <v>Junio</v>
      </c>
      <c r="AC32" s="533" t="str">
        <f t="shared" si="8"/>
        <v>Julio</v>
      </c>
      <c r="AD32" s="533" t="str">
        <f t="shared" si="8"/>
        <v>Agosto</v>
      </c>
      <c r="AE32" s="533" t="str">
        <f t="shared" si="8"/>
        <v>Septiembre</v>
      </c>
      <c r="AF32" s="533" t="str">
        <f t="shared" si="8"/>
        <v>Octubre</v>
      </c>
      <c r="AG32" s="533" t="str">
        <f t="shared" si="8"/>
        <v>Noviembre</v>
      </c>
      <c r="AH32" s="533" t="str">
        <f t="shared" si="8"/>
        <v>Diciembre</v>
      </c>
      <c r="AI32"/>
    </row>
    <row r="33" spans="1:35" s="536" customFormat="1">
      <c r="A33" s="582">
        <v>11</v>
      </c>
      <c r="B33" s="573" t="s">
        <v>665</v>
      </c>
      <c r="C33" s="574">
        <f>'Balances y Proyecciones'!N33</f>
        <v>0</v>
      </c>
      <c r="D33" s="561"/>
      <c r="E33" s="574">
        <f>'Balances y Proyecciones'!T33</f>
        <v>0</v>
      </c>
      <c r="F33" s="561"/>
      <c r="G33" s="575">
        <f t="shared" si="4"/>
        <v>0</v>
      </c>
      <c r="H33" s="575">
        <f t="shared" si="4"/>
        <v>0</v>
      </c>
      <c r="I33" s="575">
        <f t="shared" si="4"/>
        <v>0</v>
      </c>
      <c r="J33" s="575">
        <f t="shared" si="4"/>
        <v>0</v>
      </c>
      <c r="K33" s="575">
        <f t="shared" si="4"/>
        <v>0</v>
      </c>
      <c r="L33" s="575">
        <f t="shared" si="4"/>
        <v>0</v>
      </c>
      <c r="M33" s="575">
        <f t="shared" si="4"/>
        <v>0</v>
      </c>
      <c r="N33" s="575">
        <f t="shared" si="4"/>
        <v>0</v>
      </c>
      <c r="O33" s="575">
        <f t="shared" si="4"/>
        <v>0</v>
      </c>
      <c r="P33" s="575">
        <f t="shared" si="4"/>
        <v>0</v>
      </c>
      <c r="Q33" s="575">
        <f t="shared" si="4"/>
        <v>0</v>
      </c>
      <c r="R33" s="575">
        <f t="shared" si="4"/>
        <v>0</v>
      </c>
      <c r="AG33"/>
      <c r="AH33"/>
      <c r="AI33"/>
    </row>
    <row r="34" spans="1:35" s="536" customFormat="1">
      <c r="A34" s="547"/>
      <c r="B34" s="583" t="s">
        <v>1067</v>
      </c>
      <c r="C34" s="584">
        <f>'Balances y Proyecciones'!N34</f>
        <v>0</v>
      </c>
      <c r="D34" s="561"/>
      <c r="E34" s="584">
        <f>'Balances y Proyecciones'!T34</f>
        <v>0</v>
      </c>
      <c r="F34" s="561"/>
      <c r="G34" s="585">
        <f t="shared" ref="G34:R34" si="9">SUM(G26:G32)</f>
        <v>0</v>
      </c>
      <c r="H34" s="585">
        <f t="shared" si="9"/>
        <v>0</v>
      </c>
      <c r="I34" s="585">
        <f t="shared" si="9"/>
        <v>0</v>
      </c>
      <c r="J34" s="585">
        <f t="shared" si="9"/>
        <v>0</v>
      </c>
      <c r="K34" s="585">
        <f t="shared" si="9"/>
        <v>0</v>
      </c>
      <c r="L34" s="585">
        <f t="shared" si="9"/>
        <v>0</v>
      </c>
      <c r="M34" s="585">
        <f t="shared" si="9"/>
        <v>0</v>
      </c>
      <c r="N34" s="585">
        <f t="shared" si="9"/>
        <v>0</v>
      </c>
      <c r="O34" s="585">
        <f t="shared" si="9"/>
        <v>0</v>
      </c>
      <c r="P34" s="585">
        <f t="shared" si="9"/>
        <v>0</v>
      </c>
      <c r="Q34" s="585">
        <f t="shared" si="9"/>
        <v>0</v>
      </c>
      <c r="R34" s="585">
        <f t="shared" si="9"/>
        <v>0</v>
      </c>
      <c r="AG34"/>
      <c r="AH34"/>
      <c r="AI34"/>
    </row>
    <row r="35" spans="1:35" s="536" customFormat="1">
      <c r="A35" s="547"/>
      <c r="B35" s="583" t="s">
        <v>1068</v>
      </c>
      <c r="C35" s="584">
        <f>'Balances y Proyecciones'!N35</f>
        <v>0</v>
      </c>
      <c r="D35" s="561"/>
      <c r="E35" s="584">
        <f>'Balances y Proyecciones'!T35</f>
        <v>0</v>
      </c>
      <c r="F35" s="561"/>
      <c r="G35" s="585">
        <f t="shared" ref="G35:R35" si="10">G33+G34</f>
        <v>0</v>
      </c>
      <c r="H35" s="585">
        <f t="shared" si="10"/>
        <v>0</v>
      </c>
      <c r="I35" s="585">
        <f t="shared" si="10"/>
        <v>0</v>
      </c>
      <c r="J35" s="585">
        <f t="shared" si="10"/>
        <v>0</v>
      </c>
      <c r="K35" s="585">
        <f t="shared" si="10"/>
        <v>0</v>
      </c>
      <c r="L35" s="585">
        <f t="shared" si="10"/>
        <v>0</v>
      </c>
      <c r="M35" s="585">
        <f t="shared" si="10"/>
        <v>0</v>
      </c>
      <c r="N35" s="585">
        <f t="shared" si="10"/>
        <v>0</v>
      </c>
      <c r="O35" s="585">
        <f t="shared" si="10"/>
        <v>0</v>
      </c>
      <c r="P35" s="585">
        <f t="shared" si="10"/>
        <v>0</v>
      </c>
      <c r="Q35" s="585">
        <f t="shared" si="10"/>
        <v>0</v>
      </c>
      <c r="R35" s="585">
        <f t="shared" si="10"/>
        <v>0</v>
      </c>
      <c r="AG35"/>
      <c r="AH35"/>
      <c r="AI35"/>
    </row>
    <row r="36" spans="1:35" s="536" customFormat="1">
      <c r="A36" s="558">
        <v>12</v>
      </c>
      <c r="B36" s="578" t="s">
        <v>1069</v>
      </c>
      <c r="C36" s="579">
        <f>'Balances y Proyecciones'!N36</f>
        <v>0</v>
      </c>
      <c r="D36" s="561"/>
      <c r="E36" s="579">
        <f>'Balances y Proyecciones'!T36</f>
        <v>0</v>
      </c>
      <c r="F36" s="561"/>
      <c r="G36" s="586">
        <f t="shared" ref="G36:R47" si="11">IF($G$12=1,"Error %",$E36*G$13)</f>
        <v>0</v>
      </c>
      <c r="H36" s="586">
        <f t="shared" si="11"/>
        <v>0</v>
      </c>
      <c r="I36" s="586">
        <f t="shared" si="11"/>
        <v>0</v>
      </c>
      <c r="J36" s="586">
        <f t="shared" si="11"/>
        <v>0</v>
      </c>
      <c r="K36" s="586">
        <f t="shared" si="11"/>
        <v>0</v>
      </c>
      <c r="L36" s="586">
        <f t="shared" si="11"/>
        <v>0</v>
      </c>
      <c r="M36" s="586">
        <f t="shared" si="11"/>
        <v>0</v>
      </c>
      <c r="N36" s="586">
        <f t="shared" si="11"/>
        <v>0</v>
      </c>
      <c r="O36" s="586">
        <f t="shared" si="11"/>
        <v>0</v>
      </c>
      <c r="P36" s="586">
        <f t="shared" si="11"/>
        <v>0</v>
      </c>
      <c r="Q36" s="586">
        <f t="shared" si="11"/>
        <v>0</v>
      </c>
      <c r="R36" s="586">
        <f t="shared" si="11"/>
        <v>0</v>
      </c>
      <c r="AG36"/>
      <c r="AH36"/>
      <c r="AI36"/>
    </row>
    <row r="37" spans="1:35" s="536" customFormat="1">
      <c r="A37" s="570" t="s">
        <v>1070</v>
      </c>
      <c r="B37" s="568" t="s">
        <v>1071</v>
      </c>
      <c r="C37" s="565"/>
      <c r="D37" s="561"/>
      <c r="E37" s="565">
        <f>'Balances y Proyecciones'!T37</f>
        <v>0</v>
      </c>
      <c r="F37" s="561"/>
      <c r="G37" s="566">
        <f t="shared" si="11"/>
        <v>0</v>
      </c>
      <c r="H37" s="566">
        <f t="shared" si="11"/>
        <v>0</v>
      </c>
      <c r="I37" s="566">
        <f t="shared" si="11"/>
        <v>0</v>
      </c>
      <c r="J37" s="566">
        <f t="shared" si="11"/>
        <v>0</v>
      </c>
      <c r="K37" s="566">
        <f t="shared" si="11"/>
        <v>0</v>
      </c>
      <c r="L37" s="566">
        <f t="shared" si="11"/>
        <v>0</v>
      </c>
      <c r="M37" s="566">
        <f t="shared" si="11"/>
        <v>0</v>
      </c>
      <c r="N37" s="566">
        <f t="shared" si="11"/>
        <v>0</v>
      </c>
      <c r="O37" s="566">
        <f t="shared" si="11"/>
        <v>0</v>
      </c>
      <c r="P37" s="566">
        <f t="shared" si="11"/>
        <v>0</v>
      </c>
      <c r="Q37" s="566">
        <f t="shared" si="11"/>
        <v>0</v>
      </c>
      <c r="R37" s="566">
        <f t="shared" si="11"/>
        <v>0</v>
      </c>
      <c r="AG37"/>
      <c r="AH37"/>
      <c r="AI37"/>
    </row>
    <row r="38" spans="1:35" s="536" customFormat="1">
      <c r="A38" s="570" t="s">
        <v>1072</v>
      </c>
      <c r="B38" s="568" t="s">
        <v>1073</v>
      </c>
      <c r="C38" s="565">
        <f>'Balances y Proyecciones'!N38</f>
        <v>0</v>
      </c>
      <c r="D38" s="561"/>
      <c r="E38" s="565">
        <f>'Balances y Proyecciones'!T38</f>
        <v>0</v>
      </c>
      <c r="F38" s="561"/>
      <c r="G38" s="566">
        <f t="shared" si="11"/>
        <v>0</v>
      </c>
      <c r="H38" s="566">
        <f t="shared" si="11"/>
        <v>0</v>
      </c>
      <c r="I38" s="566">
        <f t="shared" si="11"/>
        <v>0</v>
      </c>
      <c r="J38" s="566">
        <f t="shared" si="11"/>
        <v>0</v>
      </c>
      <c r="K38" s="566">
        <f t="shared" si="11"/>
        <v>0</v>
      </c>
      <c r="L38" s="566">
        <f t="shared" si="11"/>
        <v>0</v>
      </c>
      <c r="M38" s="566">
        <f t="shared" si="11"/>
        <v>0</v>
      </c>
      <c r="N38" s="566">
        <f t="shared" si="11"/>
        <v>0</v>
      </c>
      <c r="O38" s="566">
        <f t="shared" si="11"/>
        <v>0</v>
      </c>
      <c r="P38" s="566">
        <f t="shared" si="11"/>
        <v>0</v>
      </c>
      <c r="Q38" s="566">
        <f t="shared" si="11"/>
        <v>0</v>
      </c>
      <c r="R38" s="566">
        <f t="shared" si="11"/>
        <v>0</v>
      </c>
      <c r="AG38"/>
      <c r="AH38"/>
      <c r="AI38"/>
    </row>
    <row r="39" spans="1:35" s="536" customFormat="1">
      <c r="A39" s="570" t="s">
        <v>1074</v>
      </c>
      <c r="B39" s="568" t="s">
        <v>1075</v>
      </c>
      <c r="C39" s="565"/>
      <c r="D39" s="561"/>
      <c r="E39" s="565">
        <f>'Balances y Proyecciones'!T39</f>
        <v>0</v>
      </c>
      <c r="F39" s="561"/>
      <c r="G39" s="566">
        <f t="shared" si="11"/>
        <v>0</v>
      </c>
      <c r="H39" s="566">
        <f t="shared" si="11"/>
        <v>0</v>
      </c>
      <c r="I39" s="566">
        <f t="shared" si="11"/>
        <v>0</v>
      </c>
      <c r="J39" s="566">
        <f t="shared" si="11"/>
        <v>0</v>
      </c>
      <c r="K39" s="566">
        <f t="shared" si="11"/>
        <v>0</v>
      </c>
      <c r="L39" s="566">
        <f t="shared" si="11"/>
        <v>0</v>
      </c>
      <c r="M39" s="566">
        <f t="shared" si="11"/>
        <v>0</v>
      </c>
      <c r="N39" s="566">
        <f t="shared" si="11"/>
        <v>0</v>
      </c>
      <c r="O39" s="566">
        <f t="shared" si="11"/>
        <v>0</v>
      </c>
      <c r="P39" s="566">
        <f t="shared" si="11"/>
        <v>0</v>
      </c>
      <c r="Q39" s="566">
        <f t="shared" si="11"/>
        <v>0</v>
      </c>
      <c r="R39" s="566">
        <f t="shared" si="11"/>
        <v>0</v>
      </c>
      <c r="AG39"/>
      <c r="AH39"/>
      <c r="AI39"/>
    </row>
    <row r="40" spans="1:35" s="536" customFormat="1">
      <c r="A40" s="567">
        <v>14</v>
      </c>
      <c r="B40" s="568" t="s">
        <v>685</v>
      </c>
      <c r="C40" s="565">
        <f>'Balances y Proyecciones'!N40</f>
        <v>0</v>
      </c>
      <c r="D40" s="561"/>
      <c r="E40" s="565">
        <f>'Balances y Proyecciones'!T40</f>
        <v>0</v>
      </c>
      <c r="F40" s="561"/>
      <c r="G40" s="566">
        <f t="shared" si="11"/>
        <v>0</v>
      </c>
      <c r="H40" s="566">
        <f t="shared" si="11"/>
        <v>0</v>
      </c>
      <c r="I40" s="566">
        <f t="shared" si="11"/>
        <v>0</v>
      </c>
      <c r="J40" s="566">
        <f t="shared" si="11"/>
        <v>0</v>
      </c>
      <c r="K40" s="566">
        <f t="shared" si="11"/>
        <v>0</v>
      </c>
      <c r="L40" s="566">
        <f t="shared" si="11"/>
        <v>0</v>
      </c>
      <c r="M40" s="566">
        <f t="shared" si="11"/>
        <v>0</v>
      </c>
      <c r="N40" s="566">
        <f t="shared" si="11"/>
        <v>0</v>
      </c>
      <c r="O40" s="566">
        <f t="shared" si="11"/>
        <v>0</v>
      </c>
      <c r="P40" s="566">
        <f t="shared" si="11"/>
        <v>0</v>
      </c>
      <c r="Q40" s="566">
        <f t="shared" si="11"/>
        <v>0</v>
      </c>
      <c r="R40" s="566">
        <f t="shared" si="11"/>
        <v>0</v>
      </c>
      <c r="AG40"/>
      <c r="AH40"/>
      <c r="AI40"/>
    </row>
    <row r="41" spans="1:35" s="536" customFormat="1">
      <c r="A41" s="567">
        <v>15</v>
      </c>
      <c r="B41" s="568" t="s">
        <v>1076</v>
      </c>
      <c r="C41" s="565">
        <f>'Balances y Proyecciones'!N41</f>
        <v>0</v>
      </c>
      <c r="D41" s="561"/>
      <c r="E41" s="565">
        <f>'Balances y Proyecciones'!T41</f>
        <v>0</v>
      </c>
      <c r="F41" s="561"/>
      <c r="G41" s="566">
        <f t="shared" si="11"/>
        <v>0</v>
      </c>
      <c r="H41" s="566">
        <f t="shared" si="11"/>
        <v>0</v>
      </c>
      <c r="I41" s="566">
        <f t="shared" si="11"/>
        <v>0</v>
      </c>
      <c r="J41" s="566">
        <f t="shared" si="11"/>
        <v>0</v>
      </c>
      <c r="K41" s="566">
        <f t="shared" si="11"/>
        <v>0</v>
      </c>
      <c r="L41" s="566">
        <f t="shared" si="11"/>
        <v>0</v>
      </c>
      <c r="M41" s="566">
        <f t="shared" si="11"/>
        <v>0</v>
      </c>
      <c r="N41" s="566">
        <f t="shared" si="11"/>
        <v>0</v>
      </c>
      <c r="O41" s="566">
        <f t="shared" si="11"/>
        <v>0</v>
      </c>
      <c r="P41" s="566">
        <f t="shared" si="11"/>
        <v>0</v>
      </c>
      <c r="Q41" s="566">
        <f t="shared" si="11"/>
        <v>0</v>
      </c>
      <c r="R41" s="566">
        <f t="shared" si="11"/>
        <v>0</v>
      </c>
      <c r="AG41"/>
      <c r="AH41"/>
      <c r="AI41"/>
    </row>
    <row r="42" spans="1:35" s="536" customFormat="1">
      <c r="A42" s="567">
        <v>16</v>
      </c>
      <c r="B42" s="568" t="s">
        <v>1077</v>
      </c>
      <c r="C42" s="565">
        <f>'Balances y Proyecciones'!N42</f>
        <v>0</v>
      </c>
      <c r="D42" s="561"/>
      <c r="E42" s="565">
        <f>'Balances y Proyecciones'!T42</f>
        <v>0</v>
      </c>
      <c r="F42" s="561"/>
      <c r="G42" s="569">
        <f t="shared" si="11"/>
        <v>0</v>
      </c>
      <c r="H42" s="569">
        <f t="shared" si="11"/>
        <v>0</v>
      </c>
      <c r="I42" s="569">
        <f t="shared" si="11"/>
        <v>0</v>
      </c>
      <c r="J42" s="569">
        <f t="shared" si="11"/>
        <v>0</v>
      </c>
      <c r="K42" s="569">
        <f t="shared" si="11"/>
        <v>0</v>
      </c>
      <c r="L42" s="569">
        <f t="shared" si="11"/>
        <v>0</v>
      </c>
      <c r="M42" s="569">
        <f t="shared" si="11"/>
        <v>0</v>
      </c>
      <c r="N42" s="569">
        <f t="shared" si="11"/>
        <v>0</v>
      </c>
      <c r="O42" s="569">
        <f t="shared" si="11"/>
        <v>0</v>
      </c>
      <c r="P42" s="569">
        <f t="shared" si="11"/>
        <v>0</v>
      </c>
      <c r="Q42" s="569">
        <f t="shared" si="11"/>
        <v>0</v>
      </c>
      <c r="R42" s="569">
        <f t="shared" si="11"/>
        <v>0</v>
      </c>
      <c r="AG42"/>
      <c r="AH42"/>
      <c r="AI42"/>
    </row>
    <row r="43" spans="1:35" s="536" customFormat="1">
      <c r="A43" s="567">
        <v>17</v>
      </c>
      <c r="B43" s="568" t="s">
        <v>1078</v>
      </c>
      <c r="C43" s="565">
        <f>'Balances y Proyecciones'!N43</f>
        <v>0</v>
      </c>
      <c r="D43" s="561"/>
      <c r="E43" s="565">
        <f>'Balances y Proyecciones'!T43</f>
        <v>0</v>
      </c>
      <c r="F43" s="561"/>
      <c r="G43" s="587">
        <f t="shared" si="11"/>
        <v>0</v>
      </c>
      <c r="H43" s="587">
        <f t="shared" si="11"/>
        <v>0</v>
      </c>
      <c r="I43" s="587">
        <f t="shared" si="11"/>
        <v>0</v>
      </c>
      <c r="J43" s="587">
        <f t="shared" si="11"/>
        <v>0</v>
      </c>
      <c r="K43" s="587">
        <f t="shared" si="11"/>
        <v>0</v>
      </c>
      <c r="L43" s="587">
        <f t="shared" si="11"/>
        <v>0</v>
      </c>
      <c r="M43" s="587">
        <f t="shared" si="11"/>
        <v>0</v>
      </c>
      <c r="N43" s="587">
        <f t="shared" si="11"/>
        <v>0</v>
      </c>
      <c r="O43" s="587">
        <f t="shared" si="11"/>
        <v>0</v>
      </c>
      <c r="P43" s="587">
        <f t="shared" si="11"/>
        <v>0</v>
      </c>
      <c r="Q43" s="587">
        <f t="shared" si="11"/>
        <v>0</v>
      </c>
      <c r="R43" s="587">
        <f t="shared" si="11"/>
        <v>0</v>
      </c>
      <c r="AG43"/>
      <c r="AH43"/>
      <c r="AI43"/>
    </row>
    <row r="44" spans="1:35" s="536" customFormat="1">
      <c r="A44" s="567">
        <v>18</v>
      </c>
      <c r="B44" s="564" t="s">
        <v>689</v>
      </c>
      <c r="C44" s="565">
        <f>'Balances y Proyecciones'!N44</f>
        <v>0</v>
      </c>
      <c r="D44" s="561"/>
      <c r="E44" s="565">
        <f>'Balances y Proyecciones'!T44</f>
        <v>0</v>
      </c>
      <c r="F44" s="561"/>
      <c r="G44" s="588">
        <f t="shared" si="11"/>
        <v>0</v>
      </c>
      <c r="H44" s="588">
        <f t="shared" si="11"/>
        <v>0</v>
      </c>
      <c r="I44" s="588">
        <f t="shared" si="11"/>
        <v>0</v>
      </c>
      <c r="J44" s="588">
        <f t="shared" si="11"/>
        <v>0</v>
      </c>
      <c r="K44" s="588">
        <f t="shared" si="11"/>
        <v>0</v>
      </c>
      <c r="L44" s="588">
        <f t="shared" si="11"/>
        <v>0</v>
      </c>
      <c r="M44" s="588">
        <f t="shared" si="11"/>
        <v>0</v>
      </c>
      <c r="N44" s="588">
        <f t="shared" si="11"/>
        <v>0</v>
      </c>
      <c r="O44" s="588">
        <f t="shared" si="11"/>
        <v>0</v>
      </c>
      <c r="P44" s="588">
        <f t="shared" si="11"/>
        <v>0</v>
      </c>
      <c r="Q44" s="588">
        <f t="shared" si="11"/>
        <v>0</v>
      </c>
      <c r="R44" s="588">
        <f t="shared" si="11"/>
        <v>0</v>
      </c>
      <c r="AG44"/>
      <c r="AH44"/>
      <c r="AI44"/>
    </row>
    <row r="45" spans="1:35" s="536" customFormat="1">
      <c r="A45" s="567">
        <v>19</v>
      </c>
      <c r="B45" s="568" t="s">
        <v>1079</v>
      </c>
      <c r="C45" s="565">
        <f>'Balances y Proyecciones'!N45</f>
        <v>0</v>
      </c>
      <c r="D45" s="561"/>
      <c r="E45" s="565">
        <f>'Balances y Proyecciones'!T45</f>
        <v>0</v>
      </c>
      <c r="F45" s="561"/>
      <c r="G45" s="587">
        <f t="shared" si="11"/>
        <v>0</v>
      </c>
      <c r="H45" s="587">
        <f t="shared" si="11"/>
        <v>0</v>
      </c>
      <c r="I45" s="587">
        <f t="shared" si="11"/>
        <v>0</v>
      </c>
      <c r="J45" s="587">
        <f t="shared" si="11"/>
        <v>0</v>
      </c>
      <c r="K45" s="587">
        <f t="shared" si="11"/>
        <v>0</v>
      </c>
      <c r="L45" s="587">
        <f t="shared" si="11"/>
        <v>0</v>
      </c>
      <c r="M45" s="587">
        <f t="shared" si="11"/>
        <v>0</v>
      </c>
      <c r="N45" s="587">
        <f t="shared" si="11"/>
        <v>0</v>
      </c>
      <c r="O45" s="587">
        <f t="shared" si="11"/>
        <v>0</v>
      </c>
      <c r="P45" s="587">
        <f t="shared" si="11"/>
        <v>0</v>
      </c>
      <c r="Q45" s="587">
        <f t="shared" si="11"/>
        <v>0</v>
      </c>
      <c r="R45" s="587">
        <f t="shared" si="11"/>
        <v>0</v>
      </c>
      <c r="AG45"/>
      <c r="AH45"/>
      <c r="AI45"/>
    </row>
    <row r="46" spans="1:35" s="536" customFormat="1">
      <c r="A46" s="570" t="s">
        <v>1080</v>
      </c>
      <c r="B46" s="568" t="s">
        <v>717</v>
      </c>
      <c r="C46" s="565">
        <f>'Balances y Proyecciones'!N46</f>
        <v>0</v>
      </c>
      <c r="D46" s="561"/>
      <c r="E46" s="565">
        <f>'Balances y Proyecciones'!T46</f>
        <v>0</v>
      </c>
      <c r="F46" s="561"/>
      <c r="G46" s="588">
        <f t="shared" si="11"/>
        <v>0</v>
      </c>
      <c r="H46" s="588">
        <f t="shared" si="11"/>
        <v>0</v>
      </c>
      <c r="I46" s="588">
        <f t="shared" si="11"/>
        <v>0</v>
      </c>
      <c r="J46" s="588">
        <f t="shared" si="11"/>
        <v>0</v>
      </c>
      <c r="K46" s="588">
        <f t="shared" si="11"/>
        <v>0</v>
      </c>
      <c r="L46" s="588">
        <f t="shared" si="11"/>
        <v>0</v>
      </c>
      <c r="M46" s="588">
        <f t="shared" si="11"/>
        <v>0</v>
      </c>
      <c r="N46" s="588">
        <f t="shared" si="11"/>
        <v>0</v>
      </c>
      <c r="O46" s="588">
        <f t="shared" si="11"/>
        <v>0</v>
      </c>
      <c r="P46" s="588">
        <f t="shared" si="11"/>
        <v>0</v>
      </c>
      <c r="Q46" s="588">
        <f t="shared" si="11"/>
        <v>0</v>
      </c>
      <c r="R46" s="588">
        <f t="shared" si="11"/>
        <v>0</v>
      </c>
      <c r="AG46"/>
      <c r="AH46"/>
      <c r="AI46"/>
    </row>
    <row r="47" spans="1:35" s="536" customFormat="1">
      <c r="A47" s="572" t="s">
        <v>1081</v>
      </c>
      <c r="B47" s="573" t="s">
        <v>1057</v>
      </c>
      <c r="C47" s="574">
        <f>'Balances y Proyecciones'!N47</f>
        <v>0</v>
      </c>
      <c r="D47" s="561"/>
      <c r="E47" s="574">
        <f>'Balances y Proyecciones'!T47</f>
        <v>0</v>
      </c>
      <c r="F47" s="561"/>
      <c r="G47" s="589">
        <f t="shared" si="11"/>
        <v>0</v>
      </c>
      <c r="H47" s="589">
        <f t="shared" si="11"/>
        <v>0</v>
      </c>
      <c r="I47" s="589">
        <f t="shared" si="11"/>
        <v>0</v>
      </c>
      <c r="J47" s="589">
        <f t="shared" si="11"/>
        <v>0</v>
      </c>
      <c r="K47" s="589">
        <f t="shared" si="11"/>
        <v>0</v>
      </c>
      <c r="L47" s="589">
        <f t="shared" si="11"/>
        <v>0</v>
      </c>
      <c r="M47" s="589">
        <f t="shared" si="11"/>
        <v>0</v>
      </c>
      <c r="N47" s="589">
        <f t="shared" si="11"/>
        <v>0</v>
      </c>
      <c r="O47" s="589">
        <f t="shared" si="11"/>
        <v>0</v>
      </c>
      <c r="P47" s="589">
        <f t="shared" si="11"/>
        <v>0</v>
      </c>
      <c r="Q47" s="589">
        <f t="shared" si="11"/>
        <v>0</v>
      </c>
      <c r="R47" s="589">
        <f t="shared" si="11"/>
        <v>0</v>
      </c>
      <c r="AG47"/>
      <c r="AH47"/>
      <c r="AI47"/>
    </row>
    <row r="48" spans="1:35" s="536" customFormat="1">
      <c r="A48" s="547"/>
      <c r="B48" s="548" t="s">
        <v>679</v>
      </c>
      <c r="C48" s="576">
        <f>'Balances y Proyecciones'!N48</f>
        <v>0</v>
      </c>
      <c r="D48" s="561"/>
      <c r="E48" s="576">
        <f>'Balances y Proyecciones'!T48</f>
        <v>0</v>
      </c>
      <c r="F48" s="561"/>
      <c r="G48" s="577">
        <f t="shared" ref="G48:R48" si="12">SUM(G36:G47)</f>
        <v>0</v>
      </c>
      <c r="H48" s="577">
        <f t="shared" si="12"/>
        <v>0</v>
      </c>
      <c r="I48" s="577">
        <f t="shared" si="12"/>
        <v>0</v>
      </c>
      <c r="J48" s="577">
        <f t="shared" si="12"/>
        <v>0</v>
      </c>
      <c r="K48" s="577">
        <f t="shared" si="12"/>
        <v>0</v>
      </c>
      <c r="L48" s="577">
        <f t="shared" si="12"/>
        <v>0</v>
      </c>
      <c r="M48" s="577">
        <f t="shared" si="12"/>
        <v>0</v>
      </c>
      <c r="N48" s="577">
        <f t="shared" si="12"/>
        <v>0</v>
      </c>
      <c r="O48" s="577">
        <f t="shared" si="12"/>
        <v>0</v>
      </c>
      <c r="P48" s="577">
        <f t="shared" si="12"/>
        <v>0</v>
      </c>
      <c r="Q48" s="577">
        <f t="shared" si="12"/>
        <v>0</v>
      </c>
      <c r="R48" s="577">
        <f t="shared" si="12"/>
        <v>0</v>
      </c>
      <c r="AG48"/>
      <c r="AH48"/>
      <c r="AI48"/>
    </row>
    <row r="49" spans="1:35" s="536" customFormat="1">
      <c r="A49" s="590" t="s">
        <v>1082</v>
      </c>
      <c r="B49" s="578" t="s">
        <v>741</v>
      </c>
      <c r="C49" s="579">
        <f>'Balances y Proyecciones'!N49</f>
        <v>0</v>
      </c>
      <c r="D49" s="561"/>
      <c r="E49" s="579">
        <f>'Balances y Proyecciones'!T49</f>
        <v>0</v>
      </c>
      <c r="F49" s="561"/>
      <c r="G49" s="581">
        <f t="shared" ref="G49:R57" si="13">IF($G$12=1,"Error %",$E49*G$13)</f>
        <v>0</v>
      </c>
      <c r="H49" s="581">
        <f t="shared" si="13"/>
        <v>0</v>
      </c>
      <c r="I49" s="581">
        <f t="shared" si="13"/>
        <v>0</v>
      </c>
      <c r="J49" s="581">
        <f t="shared" si="13"/>
        <v>0</v>
      </c>
      <c r="K49" s="581">
        <f t="shared" si="13"/>
        <v>0</v>
      </c>
      <c r="L49" s="581">
        <f t="shared" si="13"/>
        <v>0</v>
      </c>
      <c r="M49" s="581">
        <f t="shared" si="13"/>
        <v>0</v>
      </c>
      <c r="N49" s="581">
        <f t="shared" si="13"/>
        <v>0</v>
      </c>
      <c r="O49" s="581">
        <f t="shared" si="13"/>
        <v>0</v>
      </c>
      <c r="P49" s="581">
        <f t="shared" si="13"/>
        <v>0</v>
      </c>
      <c r="Q49" s="581">
        <f t="shared" si="13"/>
        <v>0</v>
      </c>
      <c r="R49" s="581">
        <f t="shared" si="13"/>
        <v>0</v>
      </c>
      <c r="S49" s="533"/>
      <c r="T49" s="533"/>
      <c r="U49" s="533"/>
      <c r="V49" s="533"/>
      <c r="W49" s="533"/>
      <c r="AG49"/>
      <c r="AH49"/>
      <c r="AI49"/>
    </row>
    <row r="50" spans="1:35" s="536" customFormat="1">
      <c r="A50" s="570" t="s">
        <v>1083</v>
      </c>
      <c r="B50" s="568" t="s">
        <v>1084</v>
      </c>
      <c r="C50" s="565">
        <f>'Balances y Proyecciones'!N50</f>
        <v>0</v>
      </c>
      <c r="D50" s="561"/>
      <c r="E50" s="565">
        <f>'Balances y Proyecciones'!T50</f>
        <v>0</v>
      </c>
      <c r="F50" s="561"/>
      <c r="G50" s="566">
        <f t="shared" si="13"/>
        <v>0</v>
      </c>
      <c r="H50" s="566">
        <f t="shared" si="13"/>
        <v>0</v>
      </c>
      <c r="I50" s="566">
        <f t="shared" si="13"/>
        <v>0</v>
      </c>
      <c r="J50" s="566">
        <f t="shared" si="13"/>
        <v>0</v>
      </c>
      <c r="K50" s="566">
        <f t="shared" si="13"/>
        <v>0</v>
      </c>
      <c r="L50" s="566">
        <f t="shared" si="13"/>
        <v>0</v>
      </c>
      <c r="M50" s="566">
        <f t="shared" si="13"/>
        <v>0</v>
      </c>
      <c r="N50" s="566">
        <f t="shared" si="13"/>
        <v>0</v>
      </c>
      <c r="O50" s="566">
        <f t="shared" si="13"/>
        <v>0</v>
      </c>
      <c r="P50" s="566">
        <f t="shared" si="13"/>
        <v>0</v>
      </c>
      <c r="Q50" s="566">
        <f t="shared" si="13"/>
        <v>0</v>
      </c>
      <c r="R50" s="566">
        <f t="shared" si="13"/>
        <v>0</v>
      </c>
      <c r="S50" s="533"/>
      <c r="T50" s="533"/>
      <c r="U50" s="533"/>
      <c r="V50" s="533"/>
      <c r="W50" s="533"/>
      <c r="AG50"/>
      <c r="AH50"/>
      <c r="AI50"/>
    </row>
    <row r="51" spans="1:35" s="536" customFormat="1">
      <c r="A51" s="570" t="s">
        <v>1085</v>
      </c>
      <c r="B51" s="568" t="s">
        <v>1086</v>
      </c>
      <c r="C51" s="565"/>
      <c r="D51" s="561"/>
      <c r="E51" s="565">
        <f>'Balances y Proyecciones'!T51</f>
        <v>0</v>
      </c>
      <c r="F51" s="561"/>
      <c r="G51" s="569">
        <f t="shared" si="13"/>
        <v>0</v>
      </c>
      <c r="H51" s="569">
        <f t="shared" si="13"/>
        <v>0</v>
      </c>
      <c r="I51" s="569">
        <f t="shared" si="13"/>
        <v>0</v>
      </c>
      <c r="J51" s="569">
        <f t="shared" si="13"/>
        <v>0</v>
      </c>
      <c r="K51" s="569">
        <f t="shared" si="13"/>
        <v>0</v>
      </c>
      <c r="L51" s="569">
        <f t="shared" si="13"/>
        <v>0</v>
      </c>
      <c r="M51" s="569">
        <f t="shared" si="13"/>
        <v>0</v>
      </c>
      <c r="N51" s="569">
        <f t="shared" si="13"/>
        <v>0</v>
      </c>
      <c r="O51" s="569">
        <f t="shared" si="13"/>
        <v>0</v>
      </c>
      <c r="P51" s="569">
        <f t="shared" si="13"/>
        <v>0</v>
      </c>
      <c r="Q51" s="569">
        <f t="shared" si="13"/>
        <v>0</v>
      </c>
      <c r="R51" s="569">
        <f t="shared" si="13"/>
        <v>0</v>
      </c>
      <c r="S51" s="533"/>
      <c r="T51" s="533"/>
      <c r="U51" s="533"/>
      <c r="V51" s="533"/>
      <c r="W51" s="533"/>
      <c r="AG51"/>
      <c r="AH51"/>
      <c r="AI51"/>
    </row>
    <row r="52" spans="1:35" s="536" customFormat="1">
      <c r="A52" s="570" t="s">
        <v>1087</v>
      </c>
      <c r="B52" s="568" t="s">
        <v>1088</v>
      </c>
      <c r="C52" s="565">
        <f>'Balances y Proyecciones'!N52</f>
        <v>0</v>
      </c>
      <c r="D52" s="561"/>
      <c r="E52" s="565">
        <f>'Balances y Proyecciones'!T52</f>
        <v>0</v>
      </c>
      <c r="F52" s="561"/>
      <c r="G52" s="571">
        <f t="shared" si="13"/>
        <v>0</v>
      </c>
      <c r="H52" s="571">
        <f t="shared" si="13"/>
        <v>0</v>
      </c>
      <c r="I52" s="571">
        <f t="shared" si="13"/>
        <v>0</v>
      </c>
      <c r="J52" s="571">
        <f t="shared" si="13"/>
        <v>0</v>
      </c>
      <c r="K52" s="571">
        <f t="shared" si="13"/>
        <v>0</v>
      </c>
      <c r="L52" s="571">
        <f t="shared" si="13"/>
        <v>0</v>
      </c>
      <c r="M52" s="571">
        <f t="shared" si="13"/>
        <v>0</v>
      </c>
      <c r="N52" s="571">
        <f t="shared" si="13"/>
        <v>0</v>
      </c>
      <c r="O52" s="571">
        <f t="shared" si="13"/>
        <v>0</v>
      </c>
      <c r="P52" s="571">
        <f t="shared" si="13"/>
        <v>0</v>
      </c>
      <c r="Q52" s="571">
        <f t="shared" si="13"/>
        <v>0</v>
      </c>
      <c r="R52" s="571">
        <f t="shared" si="13"/>
        <v>0</v>
      </c>
      <c r="S52" s="533"/>
      <c r="T52" s="533"/>
      <c r="U52" s="533"/>
      <c r="V52" s="533"/>
      <c r="W52" s="533"/>
      <c r="AG52"/>
      <c r="AH52"/>
      <c r="AI52"/>
    </row>
    <row r="53" spans="1:35" s="536" customFormat="1">
      <c r="A53" s="570" t="s">
        <v>1089</v>
      </c>
      <c r="B53" s="568" t="s">
        <v>1090</v>
      </c>
      <c r="C53" s="565">
        <f>'Balances y Proyecciones'!N53</f>
        <v>0</v>
      </c>
      <c r="D53" s="561"/>
      <c r="E53" s="565">
        <f>'Balances y Proyecciones'!T53</f>
        <v>0</v>
      </c>
      <c r="F53" s="561"/>
      <c r="G53" s="591">
        <f t="shared" si="13"/>
        <v>0</v>
      </c>
      <c r="H53" s="591">
        <f t="shared" si="13"/>
        <v>0</v>
      </c>
      <c r="I53" s="591">
        <f t="shared" si="13"/>
        <v>0</v>
      </c>
      <c r="J53" s="591">
        <f t="shared" si="13"/>
        <v>0</v>
      </c>
      <c r="K53" s="591">
        <f t="shared" si="13"/>
        <v>0</v>
      </c>
      <c r="L53" s="591">
        <f t="shared" si="13"/>
        <v>0</v>
      </c>
      <c r="M53" s="591">
        <f t="shared" si="13"/>
        <v>0</v>
      </c>
      <c r="N53" s="591">
        <f t="shared" si="13"/>
        <v>0</v>
      </c>
      <c r="O53" s="591">
        <f t="shared" si="13"/>
        <v>0</v>
      </c>
      <c r="P53" s="591">
        <f t="shared" si="13"/>
        <v>0</v>
      </c>
      <c r="Q53" s="591">
        <f t="shared" si="13"/>
        <v>0</v>
      </c>
      <c r="R53" s="591">
        <f t="shared" si="13"/>
        <v>0</v>
      </c>
      <c r="S53" s="533"/>
      <c r="T53" s="531"/>
      <c r="U53" s="531"/>
      <c r="V53" s="531"/>
      <c r="W53" s="531"/>
      <c r="AG53"/>
      <c r="AH53"/>
      <c r="AI53"/>
    </row>
    <row r="54" spans="1:35" s="536" customFormat="1">
      <c r="A54" s="567">
        <v>23</v>
      </c>
      <c r="B54" s="568" t="s">
        <v>1091</v>
      </c>
      <c r="C54" s="565">
        <f>'Balances y Proyecciones'!N54</f>
        <v>0</v>
      </c>
      <c r="D54" s="561"/>
      <c r="E54" s="565">
        <f>'Balances y Proyecciones'!T54</f>
        <v>0</v>
      </c>
      <c r="F54" s="561"/>
      <c r="G54" s="591">
        <f t="shared" si="13"/>
        <v>0</v>
      </c>
      <c r="H54" s="591">
        <f t="shared" si="13"/>
        <v>0</v>
      </c>
      <c r="I54" s="591">
        <f t="shared" si="13"/>
        <v>0</v>
      </c>
      <c r="J54" s="591">
        <f t="shared" si="13"/>
        <v>0</v>
      </c>
      <c r="K54" s="591">
        <f t="shared" si="13"/>
        <v>0</v>
      </c>
      <c r="L54" s="591">
        <f t="shared" si="13"/>
        <v>0</v>
      </c>
      <c r="M54" s="591">
        <f t="shared" si="13"/>
        <v>0</v>
      </c>
      <c r="N54" s="591">
        <f t="shared" si="13"/>
        <v>0</v>
      </c>
      <c r="O54" s="591">
        <f t="shared" si="13"/>
        <v>0</v>
      </c>
      <c r="P54" s="591">
        <f t="shared" si="13"/>
        <v>0</v>
      </c>
      <c r="Q54" s="591">
        <f t="shared" si="13"/>
        <v>0</v>
      </c>
      <c r="R54" s="591">
        <f t="shared" si="13"/>
        <v>0</v>
      </c>
      <c r="S54" s="531"/>
      <c r="T54" s="592"/>
      <c r="U54" s="592"/>
      <c r="V54" s="592"/>
      <c r="W54" s="531"/>
      <c r="AG54"/>
      <c r="AH54"/>
      <c r="AI54"/>
    </row>
    <row r="55" spans="1:35" s="536" customFormat="1">
      <c r="A55" s="567">
        <v>24</v>
      </c>
      <c r="B55" s="568" t="s">
        <v>1092</v>
      </c>
      <c r="C55" s="565">
        <f>'Balances y Proyecciones'!N55</f>
        <v>0</v>
      </c>
      <c r="D55" s="561"/>
      <c r="E55" s="565">
        <f>'Balances y Proyecciones'!T55</f>
        <v>0</v>
      </c>
      <c r="F55" s="561"/>
      <c r="G55" s="591">
        <f t="shared" si="13"/>
        <v>0</v>
      </c>
      <c r="H55" s="591">
        <f t="shared" si="13"/>
        <v>0</v>
      </c>
      <c r="I55" s="591">
        <f t="shared" si="13"/>
        <v>0</v>
      </c>
      <c r="J55" s="591">
        <f t="shared" si="13"/>
        <v>0</v>
      </c>
      <c r="K55" s="591">
        <f t="shared" si="13"/>
        <v>0</v>
      </c>
      <c r="L55" s="591">
        <f t="shared" si="13"/>
        <v>0</v>
      </c>
      <c r="M55" s="591">
        <f t="shared" si="13"/>
        <v>0</v>
      </c>
      <c r="N55" s="591">
        <f t="shared" si="13"/>
        <v>0</v>
      </c>
      <c r="O55" s="591">
        <f t="shared" si="13"/>
        <v>0</v>
      </c>
      <c r="P55" s="591">
        <f t="shared" si="13"/>
        <v>0</v>
      </c>
      <c r="Q55" s="591">
        <f t="shared" si="13"/>
        <v>0</v>
      </c>
      <c r="R55" s="591">
        <f t="shared" si="13"/>
        <v>0</v>
      </c>
      <c r="S55" s="531"/>
      <c r="T55" s="592"/>
      <c r="U55" s="592"/>
      <c r="V55" s="592"/>
      <c r="W55" s="531"/>
      <c r="AG55"/>
      <c r="AH55"/>
      <c r="AI55"/>
    </row>
    <row r="56" spans="1:35" s="536" customFormat="1">
      <c r="A56" s="570" t="s">
        <v>1093</v>
      </c>
      <c r="B56" s="568" t="s">
        <v>1094</v>
      </c>
      <c r="C56" s="565">
        <f>'Balances y Proyecciones'!N56</f>
        <v>0</v>
      </c>
      <c r="D56" s="561"/>
      <c r="E56" s="565">
        <f>'Balances y Proyecciones'!T56</f>
        <v>0</v>
      </c>
      <c r="F56" s="561"/>
      <c r="G56" s="591">
        <f t="shared" si="13"/>
        <v>0</v>
      </c>
      <c r="H56" s="591">
        <f t="shared" si="13"/>
        <v>0</v>
      </c>
      <c r="I56" s="591">
        <f t="shared" si="13"/>
        <v>0</v>
      </c>
      <c r="J56" s="591">
        <f t="shared" si="13"/>
        <v>0</v>
      </c>
      <c r="K56" s="591">
        <f t="shared" si="13"/>
        <v>0</v>
      </c>
      <c r="L56" s="591">
        <f t="shared" si="13"/>
        <v>0</v>
      </c>
      <c r="M56" s="591">
        <f t="shared" si="13"/>
        <v>0</v>
      </c>
      <c r="N56" s="591">
        <f t="shared" si="13"/>
        <v>0</v>
      </c>
      <c r="O56" s="591">
        <f t="shared" si="13"/>
        <v>0</v>
      </c>
      <c r="P56" s="591">
        <f t="shared" si="13"/>
        <v>0</v>
      </c>
      <c r="Q56" s="591">
        <f t="shared" si="13"/>
        <v>0</v>
      </c>
      <c r="R56" s="591">
        <f t="shared" si="13"/>
        <v>0</v>
      </c>
      <c r="S56" s="531"/>
      <c r="T56" s="531"/>
      <c r="U56" s="533"/>
      <c r="V56" s="533"/>
      <c r="W56" s="533"/>
      <c r="AG56"/>
      <c r="AH56"/>
      <c r="AI56"/>
    </row>
    <row r="57" spans="1:35" s="536" customFormat="1">
      <c r="A57" s="572" t="s">
        <v>1095</v>
      </c>
      <c r="B57" s="593" t="s">
        <v>1096</v>
      </c>
      <c r="C57" s="574">
        <f>'Balances y Proyecciones'!N57</f>
        <v>0</v>
      </c>
      <c r="D57" s="561"/>
      <c r="E57" s="574">
        <f>'Balances y Proyecciones'!T57</f>
        <v>0</v>
      </c>
      <c r="F57" s="561"/>
      <c r="G57" s="575">
        <f t="shared" si="13"/>
        <v>0</v>
      </c>
      <c r="H57" s="575">
        <f t="shared" si="13"/>
        <v>0</v>
      </c>
      <c r="I57" s="575">
        <f t="shared" si="13"/>
        <v>0</v>
      </c>
      <c r="J57" s="575">
        <f t="shared" si="13"/>
        <v>0</v>
      </c>
      <c r="K57" s="575">
        <f t="shared" si="13"/>
        <v>0</v>
      </c>
      <c r="L57" s="575">
        <f t="shared" si="13"/>
        <v>0</v>
      </c>
      <c r="M57" s="575">
        <f t="shared" si="13"/>
        <v>0</v>
      </c>
      <c r="N57" s="575">
        <f t="shared" si="13"/>
        <v>0</v>
      </c>
      <c r="O57" s="575">
        <f t="shared" si="13"/>
        <v>0</v>
      </c>
      <c r="P57" s="575">
        <f t="shared" si="13"/>
        <v>0</v>
      </c>
      <c r="Q57" s="575">
        <f t="shared" si="13"/>
        <v>0</v>
      </c>
      <c r="R57" s="575">
        <f t="shared" si="13"/>
        <v>0</v>
      </c>
      <c r="S57" s="531"/>
      <c r="T57" s="531"/>
      <c r="U57" s="533"/>
      <c r="V57" s="533"/>
      <c r="W57" s="533"/>
      <c r="AG57"/>
      <c r="AH57"/>
      <c r="AI57"/>
    </row>
    <row r="58" spans="1:35" s="536" customFormat="1">
      <c r="A58" s="547"/>
      <c r="B58" s="548" t="s">
        <v>1097</v>
      </c>
      <c r="C58" s="576">
        <f>'Balances y Proyecciones'!N58</f>
        <v>0</v>
      </c>
      <c r="D58" s="561"/>
      <c r="E58" s="576">
        <f>'Balances y Proyecciones'!T58</f>
        <v>0</v>
      </c>
      <c r="F58" s="561"/>
      <c r="G58" s="577">
        <f t="shared" ref="G58:R58" si="14">SUM(G49:G57)</f>
        <v>0</v>
      </c>
      <c r="H58" s="577">
        <f t="shared" si="14"/>
        <v>0</v>
      </c>
      <c r="I58" s="577">
        <f t="shared" si="14"/>
        <v>0</v>
      </c>
      <c r="J58" s="577">
        <f t="shared" si="14"/>
        <v>0</v>
      </c>
      <c r="K58" s="577">
        <f t="shared" si="14"/>
        <v>0</v>
      </c>
      <c r="L58" s="577">
        <f t="shared" si="14"/>
        <v>0</v>
      </c>
      <c r="M58" s="577">
        <f t="shared" si="14"/>
        <v>0</v>
      </c>
      <c r="N58" s="577">
        <f t="shared" si="14"/>
        <v>0</v>
      </c>
      <c r="O58" s="577">
        <f t="shared" si="14"/>
        <v>0</v>
      </c>
      <c r="P58" s="577">
        <f t="shared" si="14"/>
        <v>0</v>
      </c>
      <c r="Q58" s="577">
        <f t="shared" si="14"/>
        <v>0</v>
      </c>
      <c r="R58" s="577">
        <f t="shared" si="14"/>
        <v>0</v>
      </c>
      <c r="S58" s="531"/>
      <c r="T58" s="531"/>
      <c r="U58" s="533"/>
      <c r="V58" s="533"/>
      <c r="W58" s="533"/>
      <c r="AG58"/>
      <c r="AH58"/>
      <c r="AI58"/>
    </row>
    <row r="59" spans="1:35" s="536" customFormat="1">
      <c r="A59" s="547"/>
      <c r="B59" s="583" t="s">
        <v>1098</v>
      </c>
      <c r="C59" s="584">
        <f>'Balances y Proyecciones'!N59</f>
        <v>0</v>
      </c>
      <c r="D59" s="561"/>
      <c r="E59" s="584">
        <f>'Balances y Proyecciones'!T59</f>
        <v>0</v>
      </c>
      <c r="F59" s="561"/>
      <c r="G59" s="585">
        <f t="shared" ref="G59:R59" si="15">G58+G48</f>
        <v>0</v>
      </c>
      <c r="H59" s="585">
        <f t="shared" si="15"/>
        <v>0</v>
      </c>
      <c r="I59" s="585">
        <f t="shared" si="15"/>
        <v>0</v>
      </c>
      <c r="J59" s="585">
        <f t="shared" si="15"/>
        <v>0</v>
      </c>
      <c r="K59" s="585">
        <f t="shared" si="15"/>
        <v>0</v>
      </c>
      <c r="L59" s="585">
        <f t="shared" si="15"/>
        <v>0</v>
      </c>
      <c r="M59" s="585">
        <f t="shared" si="15"/>
        <v>0</v>
      </c>
      <c r="N59" s="585">
        <f t="shared" si="15"/>
        <v>0</v>
      </c>
      <c r="O59" s="585">
        <f t="shared" si="15"/>
        <v>0</v>
      </c>
      <c r="P59" s="585">
        <f t="shared" si="15"/>
        <v>0</v>
      </c>
      <c r="Q59" s="585">
        <f t="shared" si="15"/>
        <v>0</v>
      </c>
      <c r="R59" s="585">
        <f t="shared" si="15"/>
        <v>0</v>
      </c>
      <c r="S59" s="531"/>
      <c r="T59" s="531"/>
      <c r="U59" s="533"/>
      <c r="V59" s="533"/>
      <c r="W59" s="533"/>
      <c r="AG59"/>
      <c r="AH59"/>
      <c r="AI59"/>
    </row>
    <row r="60" spans="1:35" s="536" customFormat="1">
      <c r="A60" s="558">
        <v>26</v>
      </c>
      <c r="B60" s="578" t="s">
        <v>938</v>
      </c>
      <c r="C60" s="579">
        <f>'Balances y Proyecciones'!N60</f>
        <v>0</v>
      </c>
      <c r="D60" s="561"/>
      <c r="E60" s="579">
        <f>'Balances y Proyecciones'!T60</f>
        <v>0</v>
      </c>
      <c r="F60" s="561"/>
      <c r="G60" s="594">
        <f t="shared" ref="G60:R66" si="16">IF($G$12=1,"Error %",$E60*G$13)</f>
        <v>0</v>
      </c>
      <c r="H60" s="594">
        <f t="shared" si="16"/>
        <v>0</v>
      </c>
      <c r="I60" s="594">
        <f t="shared" si="16"/>
        <v>0</v>
      </c>
      <c r="J60" s="594">
        <f t="shared" si="16"/>
        <v>0</v>
      </c>
      <c r="K60" s="594">
        <f t="shared" si="16"/>
        <v>0</v>
      </c>
      <c r="L60" s="594">
        <f t="shared" si="16"/>
        <v>0</v>
      </c>
      <c r="M60" s="594">
        <f t="shared" si="16"/>
        <v>0</v>
      </c>
      <c r="N60" s="594">
        <f t="shared" si="16"/>
        <v>0</v>
      </c>
      <c r="O60" s="594">
        <f t="shared" si="16"/>
        <v>0</v>
      </c>
      <c r="P60" s="594">
        <f t="shared" si="16"/>
        <v>0</v>
      </c>
      <c r="Q60" s="594">
        <f t="shared" si="16"/>
        <v>0</v>
      </c>
      <c r="R60" s="594">
        <f t="shared" si="16"/>
        <v>0</v>
      </c>
      <c r="S60" s="531"/>
      <c r="T60" s="531"/>
      <c r="U60" s="533"/>
      <c r="V60" s="533"/>
      <c r="W60" s="533"/>
      <c r="AG60"/>
      <c r="AH60"/>
      <c r="AI60"/>
    </row>
    <row r="61" spans="1:35" s="536" customFormat="1">
      <c r="A61" s="567">
        <v>27</v>
      </c>
      <c r="B61" s="568" t="s">
        <v>1099</v>
      </c>
      <c r="C61" s="565">
        <f>'Balances y Proyecciones'!N61</f>
        <v>0</v>
      </c>
      <c r="D61" s="561"/>
      <c r="E61" s="565">
        <f>'Balances y Proyecciones'!T61</f>
        <v>0</v>
      </c>
      <c r="F61" s="561"/>
      <c r="G61" s="566">
        <f t="shared" si="16"/>
        <v>0</v>
      </c>
      <c r="H61" s="566">
        <f t="shared" si="16"/>
        <v>0</v>
      </c>
      <c r="I61" s="566">
        <f t="shared" si="16"/>
        <v>0</v>
      </c>
      <c r="J61" s="566">
        <f t="shared" si="16"/>
        <v>0</v>
      </c>
      <c r="K61" s="566">
        <f t="shared" si="16"/>
        <v>0</v>
      </c>
      <c r="L61" s="566">
        <f t="shared" si="16"/>
        <v>0</v>
      </c>
      <c r="M61" s="566">
        <f t="shared" si="16"/>
        <v>0</v>
      </c>
      <c r="N61" s="566">
        <f t="shared" si="16"/>
        <v>0</v>
      </c>
      <c r="O61" s="566">
        <f t="shared" si="16"/>
        <v>0</v>
      </c>
      <c r="P61" s="566">
        <f t="shared" si="16"/>
        <v>0</v>
      </c>
      <c r="Q61" s="566">
        <f t="shared" si="16"/>
        <v>0</v>
      </c>
      <c r="R61" s="566">
        <f t="shared" si="16"/>
        <v>0</v>
      </c>
      <c r="S61" s="531"/>
      <c r="T61" s="531"/>
      <c r="U61" s="533"/>
      <c r="V61" s="533"/>
      <c r="W61" s="533"/>
      <c r="AG61"/>
      <c r="AH61"/>
      <c r="AI61"/>
    </row>
    <row r="62" spans="1:35" s="536" customFormat="1">
      <c r="A62" s="567">
        <v>28</v>
      </c>
      <c r="B62" s="568" t="s">
        <v>940</v>
      </c>
      <c r="C62" s="565">
        <f>'Balances y Proyecciones'!N62</f>
        <v>0</v>
      </c>
      <c r="D62" s="561"/>
      <c r="E62" s="565">
        <f>'Balances y Proyecciones'!T62</f>
        <v>0</v>
      </c>
      <c r="F62" s="561"/>
      <c r="G62" s="566">
        <f t="shared" si="16"/>
        <v>0</v>
      </c>
      <c r="H62" s="566">
        <f t="shared" si="16"/>
        <v>0</v>
      </c>
      <c r="I62" s="566">
        <f t="shared" si="16"/>
        <v>0</v>
      </c>
      <c r="J62" s="566">
        <f t="shared" si="16"/>
        <v>0</v>
      </c>
      <c r="K62" s="566">
        <f t="shared" si="16"/>
        <v>0</v>
      </c>
      <c r="L62" s="566">
        <f t="shared" si="16"/>
        <v>0</v>
      </c>
      <c r="M62" s="566">
        <f t="shared" si="16"/>
        <v>0</v>
      </c>
      <c r="N62" s="566">
        <f t="shared" si="16"/>
        <v>0</v>
      </c>
      <c r="O62" s="566">
        <f t="shared" si="16"/>
        <v>0</v>
      </c>
      <c r="P62" s="566">
        <f t="shared" si="16"/>
        <v>0</v>
      </c>
      <c r="Q62" s="566">
        <f t="shared" si="16"/>
        <v>0</v>
      </c>
      <c r="R62" s="566">
        <f t="shared" si="16"/>
        <v>0</v>
      </c>
      <c r="S62" s="531"/>
      <c r="T62" s="531"/>
      <c r="U62" s="533"/>
      <c r="V62" s="533"/>
      <c r="W62" s="533"/>
      <c r="AG62"/>
      <c r="AH62"/>
      <c r="AI62"/>
    </row>
    <row r="63" spans="1:35" s="536" customFormat="1">
      <c r="A63" s="567">
        <v>29</v>
      </c>
      <c r="B63" s="568" t="s">
        <v>1100</v>
      </c>
      <c r="C63" s="565">
        <f>'Balances y Proyecciones'!N63</f>
        <v>0</v>
      </c>
      <c r="D63" s="561"/>
      <c r="E63" s="565">
        <f>'Balances y Proyecciones'!T63</f>
        <v>0</v>
      </c>
      <c r="F63" s="561"/>
      <c r="G63" s="595">
        <f t="shared" si="16"/>
        <v>0</v>
      </c>
      <c r="H63" s="566">
        <f t="shared" si="16"/>
        <v>0</v>
      </c>
      <c r="I63" s="566">
        <f t="shared" si="16"/>
        <v>0</v>
      </c>
      <c r="J63" s="566">
        <f t="shared" si="16"/>
        <v>0</v>
      </c>
      <c r="K63" s="566">
        <f t="shared" si="16"/>
        <v>0</v>
      </c>
      <c r="L63" s="566">
        <f t="shared" si="16"/>
        <v>0</v>
      </c>
      <c r="M63" s="566">
        <f t="shared" si="16"/>
        <v>0</v>
      </c>
      <c r="N63" s="566">
        <f t="shared" si="16"/>
        <v>0</v>
      </c>
      <c r="O63" s="566">
        <f t="shared" si="16"/>
        <v>0</v>
      </c>
      <c r="P63" s="566">
        <f t="shared" si="16"/>
        <v>0</v>
      </c>
      <c r="Q63" s="566">
        <f t="shared" si="16"/>
        <v>0</v>
      </c>
      <c r="R63" s="566">
        <f t="shared" si="16"/>
        <v>0</v>
      </c>
      <c r="S63" s="531"/>
      <c r="T63" s="531"/>
      <c r="U63" s="533"/>
      <c r="V63" s="533"/>
      <c r="W63" s="533"/>
      <c r="AG63"/>
      <c r="AH63"/>
      <c r="AI63"/>
    </row>
    <row r="64" spans="1:35" s="536" customFormat="1">
      <c r="A64" s="567">
        <v>30</v>
      </c>
      <c r="B64" s="568" t="s">
        <v>943</v>
      </c>
      <c r="C64" s="565">
        <f>'Balances y Proyecciones'!N64</f>
        <v>0</v>
      </c>
      <c r="D64" s="561"/>
      <c r="E64" s="565">
        <f>'Balances y Proyecciones'!T64</f>
        <v>0</v>
      </c>
      <c r="F64" s="561"/>
      <c r="G64" s="566">
        <f t="shared" si="16"/>
        <v>0</v>
      </c>
      <c r="H64" s="566">
        <f t="shared" si="16"/>
        <v>0</v>
      </c>
      <c r="I64" s="566">
        <f t="shared" si="16"/>
        <v>0</v>
      </c>
      <c r="J64" s="566">
        <f t="shared" si="16"/>
        <v>0</v>
      </c>
      <c r="K64" s="566">
        <f t="shared" si="16"/>
        <v>0</v>
      </c>
      <c r="L64" s="566">
        <f t="shared" si="16"/>
        <v>0</v>
      </c>
      <c r="M64" s="566">
        <f t="shared" si="16"/>
        <v>0</v>
      </c>
      <c r="N64" s="566">
        <f t="shared" si="16"/>
        <v>0</v>
      </c>
      <c r="O64" s="566">
        <f t="shared" si="16"/>
        <v>0</v>
      </c>
      <c r="P64" s="566">
        <f t="shared" si="16"/>
        <v>0</v>
      </c>
      <c r="Q64" s="566">
        <f t="shared" si="16"/>
        <v>0</v>
      </c>
      <c r="R64" s="566">
        <f t="shared" si="16"/>
        <v>0</v>
      </c>
      <c r="S64" s="531"/>
      <c r="T64" s="531"/>
      <c r="U64" s="533"/>
      <c r="V64" s="533"/>
      <c r="W64" s="533"/>
      <c r="AG64"/>
      <c r="AH64"/>
      <c r="AI64"/>
    </row>
    <row r="65" spans="1:46" s="536" customFormat="1">
      <c r="A65" s="567">
        <v>31</v>
      </c>
      <c r="B65" s="568" t="s">
        <v>945</v>
      </c>
      <c r="C65" s="565">
        <f>'Balances y Proyecciones'!N65</f>
        <v>0</v>
      </c>
      <c r="D65" s="561"/>
      <c r="E65" s="565">
        <f>'Balances y Proyecciones'!T65</f>
        <v>0</v>
      </c>
      <c r="F65" s="561"/>
      <c r="G65" s="566">
        <f t="shared" si="16"/>
        <v>0</v>
      </c>
      <c r="H65" s="566">
        <f t="shared" si="16"/>
        <v>0</v>
      </c>
      <c r="I65" s="566">
        <f t="shared" si="16"/>
        <v>0</v>
      </c>
      <c r="J65" s="566">
        <f t="shared" si="16"/>
        <v>0</v>
      </c>
      <c r="K65" s="566">
        <f t="shared" si="16"/>
        <v>0</v>
      </c>
      <c r="L65" s="566">
        <f t="shared" si="16"/>
        <v>0</v>
      </c>
      <c r="M65" s="566">
        <f t="shared" si="16"/>
        <v>0</v>
      </c>
      <c r="N65" s="566">
        <f t="shared" si="16"/>
        <v>0</v>
      </c>
      <c r="O65" s="566">
        <f t="shared" si="16"/>
        <v>0</v>
      </c>
      <c r="P65" s="566">
        <f t="shared" si="16"/>
        <v>0</v>
      </c>
      <c r="Q65" s="566">
        <f t="shared" si="16"/>
        <v>0</v>
      </c>
      <c r="R65" s="566">
        <f t="shared" si="16"/>
        <v>0</v>
      </c>
      <c r="S65" s="531"/>
      <c r="T65" s="531"/>
      <c r="U65" s="533"/>
      <c r="V65" s="533"/>
      <c r="W65" s="533"/>
      <c r="X65" s="533"/>
      <c r="Y65" s="533"/>
      <c r="Z65" s="533"/>
      <c r="AA65" s="533"/>
      <c r="AB65" s="533"/>
      <c r="AC65" s="533"/>
      <c r="AD65" s="533"/>
      <c r="AE65" s="533"/>
      <c r="AF65" s="533"/>
      <c r="AG65"/>
      <c r="AH65"/>
      <c r="AI65"/>
      <c r="AJ65" s="533"/>
      <c r="AK65" s="533"/>
      <c r="AL65" s="533"/>
      <c r="AM65" s="533"/>
      <c r="AN65" s="533"/>
      <c r="AO65" s="533"/>
      <c r="AP65" s="533"/>
      <c r="AQ65" s="533"/>
      <c r="AR65" s="533"/>
      <c r="AS65" s="533"/>
      <c r="AT65" s="533"/>
    </row>
    <row r="66" spans="1:46" s="536" customFormat="1">
      <c r="A66" s="582">
        <v>32</v>
      </c>
      <c r="B66" s="573" t="s">
        <v>946</v>
      </c>
      <c r="C66" s="574">
        <f>'Balances y Proyecciones'!N66</f>
        <v>0</v>
      </c>
      <c r="D66" s="561"/>
      <c r="E66" s="574">
        <f>'Balances y Proyecciones'!T66</f>
        <v>0</v>
      </c>
      <c r="F66" s="561"/>
      <c r="G66" s="596">
        <f t="shared" si="16"/>
        <v>0</v>
      </c>
      <c r="H66" s="596">
        <f t="shared" si="16"/>
        <v>0</v>
      </c>
      <c r="I66" s="596">
        <f t="shared" si="16"/>
        <v>0</v>
      </c>
      <c r="J66" s="596">
        <f t="shared" si="16"/>
        <v>0</v>
      </c>
      <c r="K66" s="596">
        <f t="shared" si="16"/>
        <v>0</v>
      </c>
      <c r="L66" s="596">
        <f t="shared" si="16"/>
        <v>0</v>
      </c>
      <c r="M66" s="596">
        <f t="shared" si="16"/>
        <v>0</v>
      </c>
      <c r="N66" s="596">
        <f t="shared" si="16"/>
        <v>0</v>
      </c>
      <c r="O66" s="596">
        <f t="shared" si="16"/>
        <v>0</v>
      </c>
      <c r="P66" s="596">
        <f t="shared" si="16"/>
        <v>0</v>
      </c>
      <c r="Q66" s="596">
        <f t="shared" si="16"/>
        <v>0</v>
      </c>
      <c r="R66" s="596">
        <f t="shared" si="16"/>
        <v>0</v>
      </c>
      <c r="S66" s="531"/>
      <c r="T66" s="531"/>
      <c r="U66" s="533"/>
      <c r="V66" s="533"/>
      <c r="W66" s="533"/>
      <c r="X66" s="533"/>
      <c r="Y66" s="533"/>
      <c r="Z66" s="533"/>
      <c r="AA66" s="533"/>
      <c r="AB66" s="533"/>
      <c r="AC66" s="533"/>
      <c r="AD66" s="533"/>
      <c r="AE66" s="533"/>
      <c r="AF66" s="533"/>
      <c r="AG66"/>
      <c r="AH66"/>
      <c r="AI66"/>
      <c r="AJ66" s="533"/>
      <c r="AK66" s="533"/>
      <c r="AL66" s="533"/>
      <c r="AM66" s="533"/>
      <c r="AN66" s="533"/>
      <c r="AO66" s="533"/>
      <c r="AP66" s="533"/>
      <c r="AQ66" s="533"/>
      <c r="AR66" s="533"/>
      <c r="AS66" s="533"/>
      <c r="AT66" s="533"/>
    </row>
    <row r="67" spans="1:46" s="536" customFormat="1">
      <c r="A67" s="547"/>
      <c r="B67" s="583" t="s">
        <v>764</v>
      </c>
      <c r="C67" s="584">
        <f>'Balances y Proyecciones'!N67</f>
        <v>0</v>
      </c>
      <c r="D67" s="561"/>
      <c r="E67" s="584">
        <f>'Balances y Proyecciones'!T67</f>
        <v>0</v>
      </c>
      <c r="F67" s="561"/>
      <c r="G67" s="585">
        <f t="shared" ref="G67:R67" si="17">SUM(G60:G66)</f>
        <v>0</v>
      </c>
      <c r="H67" s="585">
        <f t="shared" si="17"/>
        <v>0</v>
      </c>
      <c r="I67" s="585">
        <f t="shared" si="17"/>
        <v>0</v>
      </c>
      <c r="J67" s="585">
        <f t="shared" si="17"/>
        <v>0</v>
      </c>
      <c r="K67" s="585">
        <f t="shared" si="17"/>
        <v>0</v>
      </c>
      <c r="L67" s="585">
        <f t="shared" si="17"/>
        <v>0</v>
      </c>
      <c r="M67" s="585">
        <f t="shared" si="17"/>
        <v>0</v>
      </c>
      <c r="N67" s="585">
        <f t="shared" si="17"/>
        <v>0</v>
      </c>
      <c r="O67" s="585">
        <f t="shared" si="17"/>
        <v>0</v>
      </c>
      <c r="P67" s="585">
        <f t="shared" si="17"/>
        <v>0</v>
      </c>
      <c r="Q67" s="585">
        <f t="shared" si="17"/>
        <v>0</v>
      </c>
      <c r="R67" s="585">
        <f t="shared" si="17"/>
        <v>0</v>
      </c>
      <c r="S67" s="531"/>
      <c r="T67" s="531"/>
      <c r="U67" s="533"/>
      <c r="V67" s="533"/>
      <c r="W67" s="533"/>
      <c r="X67" s="533"/>
      <c r="Y67" s="533"/>
      <c r="Z67" s="533"/>
      <c r="AA67" s="533"/>
      <c r="AB67" s="533"/>
      <c r="AC67" s="533"/>
      <c r="AD67" s="533"/>
      <c r="AE67" s="533"/>
      <c r="AF67" s="533"/>
      <c r="AG67"/>
      <c r="AH67"/>
      <c r="AI67"/>
      <c r="AJ67" s="533"/>
      <c r="AK67" s="533"/>
      <c r="AL67" s="533"/>
      <c r="AM67" s="533"/>
      <c r="AN67" s="533"/>
      <c r="AO67" s="533"/>
      <c r="AP67" s="533"/>
      <c r="AQ67" s="533"/>
      <c r="AR67" s="533"/>
      <c r="AS67" s="533"/>
      <c r="AT67" s="533"/>
    </row>
    <row r="68" spans="1:46" s="536" customFormat="1">
      <c r="A68" s="558">
        <v>33</v>
      </c>
      <c r="B68" s="597" t="s">
        <v>672</v>
      </c>
      <c r="C68" s="598">
        <f>'Balances y Proyecciones'!N68</f>
        <v>0</v>
      </c>
      <c r="D68" s="561"/>
      <c r="E68" s="598">
        <f>'Balances y Proyecciones'!T68</f>
        <v>0</v>
      </c>
      <c r="F68" s="561"/>
      <c r="G68" s="599">
        <f t="shared" ref="G68:R69" si="18">IF($G$12=1,"Error %",$E68*G$13)</f>
        <v>0</v>
      </c>
      <c r="H68" s="599">
        <f t="shared" si="18"/>
        <v>0</v>
      </c>
      <c r="I68" s="599">
        <f t="shared" si="18"/>
        <v>0</v>
      </c>
      <c r="J68" s="599">
        <f t="shared" si="18"/>
        <v>0</v>
      </c>
      <c r="K68" s="599">
        <f t="shared" si="18"/>
        <v>0</v>
      </c>
      <c r="L68" s="599">
        <f t="shared" si="18"/>
        <v>0</v>
      </c>
      <c r="M68" s="599">
        <f t="shared" si="18"/>
        <v>0</v>
      </c>
      <c r="N68" s="599">
        <f t="shared" si="18"/>
        <v>0</v>
      </c>
      <c r="O68" s="599">
        <f t="shared" si="18"/>
        <v>0</v>
      </c>
      <c r="P68" s="599">
        <f t="shared" si="18"/>
        <v>0</v>
      </c>
      <c r="Q68" s="599">
        <f t="shared" si="18"/>
        <v>0</v>
      </c>
      <c r="R68" s="599">
        <f t="shared" si="18"/>
        <v>0</v>
      </c>
      <c r="S68" s="531"/>
      <c r="T68" s="531"/>
      <c r="U68" s="533"/>
      <c r="V68" s="533"/>
      <c r="W68" s="533"/>
      <c r="X68" s="533"/>
      <c r="Y68" s="533"/>
      <c r="Z68" s="533"/>
      <c r="AA68" s="533"/>
      <c r="AB68" s="533"/>
      <c r="AC68" s="533"/>
      <c r="AD68" s="533"/>
      <c r="AE68" s="533"/>
      <c r="AF68" s="533"/>
      <c r="AG68"/>
      <c r="AH68"/>
      <c r="AI68"/>
      <c r="AJ68" s="533"/>
      <c r="AK68" s="533"/>
      <c r="AL68" s="533"/>
      <c r="AM68" s="533"/>
      <c r="AN68" s="533"/>
      <c r="AO68" s="533"/>
      <c r="AP68" s="533"/>
      <c r="AQ68" s="533"/>
      <c r="AR68" s="533"/>
      <c r="AS68" s="533"/>
      <c r="AT68" s="533"/>
    </row>
    <row r="69" spans="1:46" s="536" customFormat="1">
      <c r="A69" s="582">
        <v>34</v>
      </c>
      <c r="B69" s="600" t="s">
        <v>1101</v>
      </c>
      <c r="C69" s="601">
        <f>'Balances y Proyecciones'!N69</f>
        <v>0</v>
      </c>
      <c r="D69" s="561"/>
      <c r="E69" s="601">
        <f>'Balances y Proyecciones'!T69</f>
        <v>0</v>
      </c>
      <c r="F69" s="561"/>
      <c r="G69" s="602">
        <f t="shared" si="18"/>
        <v>0</v>
      </c>
      <c r="H69" s="602">
        <f t="shared" si="18"/>
        <v>0</v>
      </c>
      <c r="I69" s="602">
        <f t="shared" si="18"/>
        <v>0</v>
      </c>
      <c r="J69" s="602">
        <f t="shared" si="18"/>
        <v>0</v>
      </c>
      <c r="K69" s="602">
        <f t="shared" si="18"/>
        <v>0</v>
      </c>
      <c r="L69" s="602">
        <f t="shared" si="18"/>
        <v>0</v>
      </c>
      <c r="M69" s="602">
        <f t="shared" si="18"/>
        <v>0</v>
      </c>
      <c r="N69" s="602">
        <f t="shared" si="18"/>
        <v>0</v>
      </c>
      <c r="O69" s="602">
        <f t="shared" si="18"/>
        <v>0</v>
      </c>
      <c r="P69" s="602">
        <f t="shared" si="18"/>
        <v>0</v>
      </c>
      <c r="Q69" s="602">
        <f t="shared" si="18"/>
        <v>0</v>
      </c>
      <c r="R69" s="602">
        <f t="shared" si="18"/>
        <v>0</v>
      </c>
      <c r="S69" s="531"/>
      <c r="T69" s="531"/>
      <c r="U69" s="533"/>
      <c r="V69" s="533"/>
      <c r="W69" s="533"/>
      <c r="X69" s="533"/>
      <c r="Y69" s="533"/>
      <c r="Z69" s="533"/>
      <c r="AA69" s="533"/>
      <c r="AB69" s="533"/>
      <c r="AC69" s="533"/>
      <c r="AD69" s="533"/>
      <c r="AE69" s="533"/>
      <c r="AF69" s="533"/>
      <c r="AG69"/>
      <c r="AH69"/>
      <c r="AI69"/>
      <c r="AJ69" s="533"/>
      <c r="AK69" s="533"/>
      <c r="AL69" s="533"/>
      <c r="AM69" s="533"/>
      <c r="AN69" s="533"/>
      <c r="AO69" s="533"/>
      <c r="AP69" s="533"/>
      <c r="AQ69" s="533"/>
      <c r="AR69" s="533"/>
      <c r="AS69" s="533"/>
      <c r="AT69" s="533"/>
    </row>
    <row r="70" spans="1:46" s="536" customFormat="1">
      <c r="A70" s="547"/>
      <c r="B70" s="603" t="s">
        <v>1102</v>
      </c>
      <c r="C70" s="604">
        <f>'Balances y Proyecciones'!N70</f>
        <v>0</v>
      </c>
      <c r="D70" s="561"/>
      <c r="E70" s="604">
        <f>'Balances y Proyecciones'!T70</f>
        <v>0</v>
      </c>
      <c r="F70" s="605"/>
      <c r="G70" s="606">
        <f t="shared" ref="G70:R70" si="19">-G34+G59+G67</f>
        <v>0</v>
      </c>
      <c r="H70" s="606">
        <f t="shared" si="19"/>
        <v>0</v>
      </c>
      <c r="I70" s="606">
        <f t="shared" si="19"/>
        <v>0</v>
      </c>
      <c r="J70" s="606">
        <f t="shared" si="19"/>
        <v>0</v>
      </c>
      <c r="K70" s="606">
        <f t="shared" si="19"/>
        <v>0</v>
      </c>
      <c r="L70" s="606">
        <f t="shared" si="19"/>
        <v>0</v>
      </c>
      <c r="M70" s="606">
        <f t="shared" si="19"/>
        <v>0</v>
      </c>
      <c r="N70" s="606">
        <f t="shared" si="19"/>
        <v>0</v>
      </c>
      <c r="O70" s="606">
        <f t="shared" si="19"/>
        <v>0</v>
      </c>
      <c r="P70" s="606">
        <f t="shared" si="19"/>
        <v>0</v>
      </c>
      <c r="Q70" s="606">
        <f t="shared" si="19"/>
        <v>0</v>
      </c>
      <c r="R70" s="606">
        <f t="shared" si="19"/>
        <v>0</v>
      </c>
      <c r="S70" s="531"/>
      <c r="T70" s="531"/>
      <c r="U70" s="533"/>
      <c r="V70" s="533"/>
      <c r="W70" s="533"/>
      <c r="X70" s="533"/>
      <c r="Y70" s="533"/>
      <c r="Z70" s="533"/>
      <c r="AA70" s="533"/>
      <c r="AB70" s="533"/>
      <c r="AC70" s="533"/>
      <c r="AD70" s="533"/>
      <c r="AE70" s="533"/>
      <c r="AF70" s="533"/>
      <c r="AG70"/>
      <c r="AH70"/>
      <c r="AI70"/>
      <c r="AJ70" s="533"/>
      <c r="AK70" s="533"/>
      <c r="AL70" s="533"/>
      <c r="AM70" s="533"/>
      <c r="AN70" s="533"/>
      <c r="AO70" s="533"/>
      <c r="AP70" s="533"/>
      <c r="AQ70" s="533"/>
      <c r="AR70" s="533"/>
      <c r="AS70" s="533"/>
      <c r="AT70" s="533"/>
    </row>
    <row r="71" spans="1:46" s="536" customFormat="1">
      <c r="A71" s="607">
        <v>35</v>
      </c>
      <c r="B71" s="608" t="s">
        <v>1103</v>
      </c>
      <c r="C71" s="579">
        <f>'Balances y Proyecciones'!N71</f>
        <v>0</v>
      </c>
      <c r="D71" s="605"/>
      <c r="E71" s="579">
        <f>'Balances y Proyecciones'!T71</f>
        <v>0</v>
      </c>
      <c r="F71" s="561"/>
      <c r="G71" s="581">
        <f t="shared" ref="G71:R72" si="20">IF($G$12=1,"Error %",$E71*G$13)</f>
        <v>0</v>
      </c>
      <c r="H71" s="581">
        <f t="shared" si="20"/>
        <v>0</v>
      </c>
      <c r="I71" s="581">
        <f t="shared" si="20"/>
        <v>0</v>
      </c>
      <c r="J71" s="581">
        <f t="shared" si="20"/>
        <v>0</v>
      </c>
      <c r="K71" s="581">
        <f t="shared" si="20"/>
        <v>0</v>
      </c>
      <c r="L71" s="581">
        <f t="shared" si="20"/>
        <v>0</v>
      </c>
      <c r="M71" s="581">
        <f t="shared" si="20"/>
        <v>0</v>
      </c>
      <c r="N71" s="581">
        <f t="shared" si="20"/>
        <v>0</v>
      </c>
      <c r="O71" s="581">
        <f t="shared" si="20"/>
        <v>0</v>
      </c>
      <c r="P71" s="581">
        <f t="shared" si="20"/>
        <v>0</v>
      </c>
      <c r="Q71" s="581">
        <f t="shared" si="20"/>
        <v>0</v>
      </c>
      <c r="R71" s="581">
        <f t="shared" si="20"/>
        <v>0</v>
      </c>
      <c r="S71" s="535"/>
      <c r="T71" s="535"/>
      <c r="AG71"/>
      <c r="AH71"/>
      <c r="AI71"/>
    </row>
    <row r="72" spans="1:46" s="536" customFormat="1">
      <c r="A72" s="582">
        <v>36</v>
      </c>
      <c r="B72" s="573" t="s">
        <v>875</v>
      </c>
      <c r="C72" s="574">
        <f>'Balances y Proyecciones'!N72</f>
        <v>0</v>
      </c>
      <c r="D72" s="561"/>
      <c r="E72" s="574">
        <f>'Balances y Proyecciones'!T72</f>
        <v>0</v>
      </c>
      <c r="F72" s="561"/>
      <c r="G72" s="569">
        <f t="shared" si="20"/>
        <v>0</v>
      </c>
      <c r="H72" s="569">
        <f t="shared" si="20"/>
        <v>0</v>
      </c>
      <c r="I72" s="569">
        <f t="shared" si="20"/>
        <v>0</v>
      </c>
      <c r="J72" s="569">
        <f t="shared" si="20"/>
        <v>0</v>
      </c>
      <c r="K72" s="569">
        <f t="shared" si="20"/>
        <v>0</v>
      </c>
      <c r="L72" s="569">
        <f t="shared" si="20"/>
        <v>0</v>
      </c>
      <c r="M72" s="569">
        <f t="shared" si="20"/>
        <v>0</v>
      </c>
      <c r="N72" s="569">
        <f t="shared" si="20"/>
        <v>0</v>
      </c>
      <c r="O72" s="569">
        <f t="shared" si="20"/>
        <v>0</v>
      </c>
      <c r="P72" s="569">
        <f t="shared" si="20"/>
        <v>0</v>
      </c>
      <c r="Q72" s="569">
        <f t="shared" si="20"/>
        <v>0</v>
      </c>
      <c r="R72" s="569">
        <f t="shared" si="20"/>
        <v>0</v>
      </c>
      <c r="S72" s="531"/>
      <c r="T72" s="531"/>
      <c r="U72" s="533"/>
      <c r="V72" s="533"/>
      <c r="W72" s="533"/>
      <c r="X72" s="533"/>
      <c r="Y72" s="533"/>
      <c r="Z72" s="533"/>
      <c r="AA72" s="533"/>
      <c r="AB72" s="533"/>
      <c r="AC72" s="533"/>
      <c r="AD72" s="533"/>
      <c r="AE72" s="533"/>
      <c r="AF72" s="533"/>
      <c r="AG72"/>
      <c r="AH72"/>
      <c r="AI72"/>
      <c r="AJ72" s="533"/>
      <c r="AK72" s="533"/>
      <c r="AL72" s="533"/>
      <c r="AM72" s="533"/>
      <c r="AN72" s="533"/>
      <c r="AO72" s="533"/>
      <c r="AP72" s="533"/>
      <c r="AQ72" s="533"/>
      <c r="AR72" s="533"/>
      <c r="AS72" s="533"/>
      <c r="AT72" s="533"/>
    </row>
    <row r="73" spans="1:46" s="536" customFormat="1">
      <c r="A73" s="547"/>
      <c r="B73" s="583" t="s">
        <v>807</v>
      </c>
      <c r="C73" s="584">
        <f>'Balances y Proyecciones'!N73</f>
        <v>0</v>
      </c>
      <c r="D73" s="561"/>
      <c r="E73" s="584">
        <f>'Balances y Proyecciones'!T73</f>
        <v>0</v>
      </c>
      <c r="F73" s="561"/>
      <c r="G73" s="585">
        <f t="shared" ref="G73:R73" si="21">G71-G72</f>
        <v>0</v>
      </c>
      <c r="H73" s="585">
        <f t="shared" si="21"/>
        <v>0</v>
      </c>
      <c r="I73" s="585">
        <f t="shared" si="21"/>
        <v>0</v>
      </c>
      <c r="J73" s="585">
        <f t="shared" si="21"/>
        <v>0</v>
      </c>
      <c r="K73" s="585">
        <f t="shared" si="21"/>
        <v>0</v>
      </c>
      <c r="L73" s="585">
        <f t="shared" si="21"/>
        <v>0</v>
      </c>
      <c r="M73" s="585">
        <f t="shared" si="21"/>
        <v>0</v>
      </c>
      <c r="N73" s="585">
        <f t="shared" si="21"/>
        <v>0</v>
      </c>
      <c r="O73" s="585">
        <f t="shared" si="21"/>
        <v>0</v>
      </c>
      <c r="P73" s="585">
        <f t="shared" si="21"/>
        <v>0</v>
      </c>
      <c r="Q73" s="585">
        <f t="shared" si="21"/>
        <v>0</v>
      </c>
      <c r="R73" s="585">
        <f t="shared" si="21"/>
        <v>0</v>
      </c>
      <c r="S73" s="531"/>
      <c r="T73" s="531"/>
      <c r="U73" s="533"/>
      <c r="V73" s="533"/>
      <c r="W73" s="533"/>
      <c r="X73" s="533"/>
      <c r="Y73" s="533"/>
      <c r="Z73" s="533"/>
      <c r="AA73" s="533"/>
      <c r="AB73" s="533"/>
      <c r="AC73" s="533"/>
      <c r="AD73" s="533"/>
      <c r="AE73" s="533"/>
      <c r="AF73" s="533"/>
      <c r="AG73"/>
      <c r="AH73"/>
      <c r="AI73"/>
      <c r="AJ73" s="533"/>
      <c r="AK73" s="533"/>
      <c r="AL73" s="533"/>
      <c r="AM73" s="533"/>
      <c r="AN73" s="533"/>
      <c r="AO73" s="533"/>
      <c r="AP73" s="533"/>
      <c r="AQ73" s="533"/>
      <c r="AR73" s="533"/>
      <c r="AS73" s="533"/>
      <c r="AT73" s="533"/>
    </row>
    <row r="74" spans="1:46" s="536" customFormat="1">
      <c r="A74" s="609">
        <v>37</v>
      </c>
      <c r="B74" s="610" t="s">
        <v>1104</v>
      </c>
      <c r="C74" s="611">
        <f>'Balances y Proyecciones'!N74</f>
        <v>0</v>
      </c>
      <c r="D74" s="561"/>
      <c r="E74" s="611">
        <f>'Balances y Proyecciones'!T74</f>
        <v>0</v>
      </c>
      <c r="F74" s="561"/>
      <c r="G74" s="588">
        <f t="shared" ref="G74:R74" si="22">IF($G$12=1,"Error %",$E74*G$13)</f>
        <v>0</v>
      </c>
      <c r="H74" s="588">
        <f t="shared" si="22"/>
        <v>0</v>
      </c>
      <c r="I74" s="588">
        <f t="shared" si="22"/>
        <v>0</v>
      </c>
      <c r="J74" s="588">
        <f t="shared" si="22"/>
        <v>0</v>
      </c>
      <c r="K74" s="588">
        <f t="shared" si="22"/>
        <v>0</v>
      </c>
      <c r="L74" s="588">
        <f t="shared" si="22"/>
        <v>0</v>
      </c>
      <c r="M74" s="588">
        <f t="shared" si="22"/>
        <v>0</v>
      </c>
      <c r="N74" s="588">
        <f t="shared" si="22"/>
        <v>0</v>
      </c>
      <c r="O74" s="588">
        <f t="shared" si="22"/>
        <v>0</v>
      </c>
      <c r="P74" s="588">
        <f t="shared" si="22"/>
        <v>0</v>
      </c>
      <c r="Q74" s="588">
        <f t="shared" si="22"/>
        <v>0</v>
      </c>
      <c r="R74" s="588">
        <f t="shared" si="22"/>
        <v>0</v>
      </c>
      <c r="S74" s="531"/>
      <c r="T74" s="531"/>
      <c r="U74" s="533"/>
      <c r="V74" s="533"/>
      <c r="W74" s="533"/>
      <c r="X74" s="533"/>
      <c r="Y74" s="533"/>
      <c r="Z74" s="533"/>
      <c r="AA74" s="533"/>
      <c r="AB74" s="533"/>
      <c r="AC74" s="533"/>
      <c r="AD74" s="533"/>
      <c r="AE74" s="533"/>
      <c r="AF74" s="533"/>
      <c r="AG74"/>
      <c r="AH74"/>
      <c r="AI74"/>
      <c r="AJ74" s="533"/>
      <c r="AK74" s="533"/>
      <c r="AL74" s="533"/>
      <c r="AM74" s="533"/>
      <c r="AN74" s="533"/>
      <c r="AO74" s="533"/>
      <c r="AP74" s="533"/>
      <c r="AQ74" s="533"/>
      <c r="AR74" s="533"/>
      <c r="AS74" s="533"/>
      <c r="AT74" s="533"/>
    </row>
    <row r="75" spans="1:46" s="536" customFormat="1">
      <c r="A75" s="547"/>
      <c r="B75" s="583" t="s">
        <v>1105</v>
      </c>
      <c r="C75" s="584">
        <f>'Balances y Proyecciones'!N75</f>
        <v>0</v>
      </c>
      <c r="D75" s="561"/>
      <c r="E75" s="584">
        <f>'Balances y Proyecciones'!T75</f>
        <v>0</v>
      </c>
      <c r="F75" s="561"/>
      <c r="G75" s="585">
        <f t="shared" ref="G75:R75" si="23">G73-G74</f>
        <v>0</v>
      </c>
      <c r="H75" s="585">
        <f t="shared" si="23"/>
        <v>0</v>
      </c>
      <c r="I75" s="585">
        <f t="shared" si="23"/>
        <v>0</v>
      </c>
      <c r="J75" s="585">
        <f t="shared" si="23"/>
        <v>0</v>
      </c>
      <c r="K75" s="585">
        <f t="shared" si="23"/>
        <v>0</v>
      </c>
      <c r="L75" s="585">
        <f t="shared" si="23"/>
        <v>0</v>
      </c>
      <c r="M75" s="585">
        <f t="shared" si="23"/>
        <v>0</v>
      </c>
      <c r="N75" s="585">
        <f t="shared" si="23"/>
        <v>0</v>
      </c>
      <c r="O75" s="585">
        <f t="shared" si="23"/>
        <v>0</v>
      </c>
      <c r="P75" s="585">
        <f t="shared" si="23"/>
        <v>0</v>
      </c>
      <c r="Q75" s="585">
        <f t="shared" si="23"/>
        <v>0</v>
      </c>
      <c r="R75" s="585">
        <f t="shared" si="23"/>
        <v>0</v>
      </c>
      <c r="S75" s="531"/>
      <c r="T75" s="531"/>
      <c r="U75" s="533"/>
      <c r="V75" s="533"/>
      <c r="W75" s="533"/>
      <c r="X75" s="533"/>
      <c r="Y75" s="533"/>
      <c r="Z75" s="533"/>
      <c r="AA75" s="533"/>
      <c r="AB75" s="533"/>
      <c r="AC75" s="533"/>
      <c r="AD75" s="533"/>
      <c r="AE75" s="533"/>
      <c r="AF75" s="533"/>
      <c r="AG75"/>
      <c r="AH75"/>
      <c r="AI75"/>
      <c r="AJ75" s="533"/>
      <c r="AK75" s="533"/>
      <c r="AL75" s="533"/>
      <c r="AM75" s="533"/>
      <c r="AN75" s="533"/>
      <c r="AO75" s="533"/>
      <c r="AP75" s="533"/>
      <c r="AQ75" s="533"/>
      <c r="AR75" s="533"/>
      <c r="AS75" s="533"/>
      <c r="AT75" s="533"/>
    </row>
    <row r="76" spans="1:46" s="617" customFormat="1">
      <c r="A76" s="612">
        <v>38</v>
      </c>
      <c r="B76" s="613" t="s">
        <v>1106</v>
      </c>
      <c r="C76" s="614">
        <f>'Balances y Proyecciones'!N76</f>
        <v>0</v>
      </c>
      <c r="D76" s="561"/>
      <c r="E76" s="614">
        <f>'Balances y Proyecciones'!T76</f>
        <v>0</v>
      </c>
      <c r="F76" s="561"/>
      <c r="G76" s="615">
        <f t="shared" ref="G76:R86" si="24">IF($G$12=1,"Error %",$E76*G$13)</f>
        <v>0</v>
      </c>
      <c r="H76" s="615">
        <f t="shared" si="24"/>
        <v>0</v>
      </c>
      <c r="I76" s="615">
        <f t="shared" si="24"/>
        <v>0</v>
      </c>
      <c r="J76" s="615">
        <f t="shared" si="24"/>
        <v>0</v>
      </c>
      <c r="K76" s="615">
        <f t="shared" si="24"/>
        <v>0</v>
      </c>
      <c r="L76" s="615">
        <f t="shared" si="24"/>
        <v>0</v>
      </c>
      <c r="M76" s="615">
        <f t="shared" si="24"/>
        <v>0</v>
      </c>
      <c r="N76" s="615">
        <f t="shared" si="24"/>
        <v>0</v>
      </c>
      <c r="O76" s="615">
        <f t="shared" si="24"/>
        <v>0</v>
      </c>
      <c r="P76" s="615">
        <f t="shared" si="24"/>
        <v>0</v>
      </c>
      <c r="Q76" s="615">
        <f t="shared" si="24"/>
        <v>0</v>
      </c>
      <c r="R76" s="615">
        <f t="shared" si="24"/>
        <v>0</v>
      </c>
      <c r="S76" s="616"/>
      <c r="T76" s="616"/>
      <c r="AG76"/>
      <c r="AH76"/>
      <c r="AI76"/>
    </row>
    <row r="77" spans="1:46" s="536" customFormat="1">
      <c r="A77" s="567">
        <v>39</v>
      </c>
      <c r="B77" s="568" t="s">
        <v>1107</v>
      </c>
      <c r="C77" s="565">
        <f>'Balances y Proyecciones'!N77</f>
        <v>0</v>
      </c>
      <c r="D77" s="561"/>
      <c r="E77" s="565">
        <f>'Balances y Proyecciones'!T77</f>
        <v>0</v>
      </c>
      <c r="F77" s="561"/>
      <c r="G77" s="587">
        <f t="shared" si="24"/>
        <v>0</v>
      </c>
      <c r="H77" s="587">
        <f t="shared" si="24"/>
        <v>0</v>
      </c>
      <c r="I77" s="587">
        <f t="shared" si="24"/>
        <v>0</v>
      </c>
      <c r="J77" s="587">
        <f t="shared" si="24"/>
        <v>0</v>
      </c>
      <c r="K77" s="587">
        <f t="shared" si="24"/>
        <v>0</v>
      </c>
      <c r="L77" s="587">
        <f t="shared" si="24"/>
        <v>0</v>
      </c>
      <c r="M77" s="587">
        <f t="shared" si="24"/>
        <v>0</v>
      </c>
      <c r="N77" s="587">
        <f t="shared" si="24"/>
        <v>0</v>
      </c>
      <c r="O77" s="587">
        <f t="shared" si="24"/>
        <v>0</v>
      </c>
      <c r="P77" s="587">
        <f t="shared" si="24"/>
        <v>0</v>
      </c>
      <c r="Q77" s="587">
        <f t="shared" si="24"/>
        <v>0</v>
      </c>
      <c r="R77" s="587">
        <f t="shared" si="24"/>
        <v>0</v>
      </c>
      <c r="S77" s="531"/>
      <c r="T77" s="531"/>
      <c r="U77" s="533"/>
      <c r="V77" s="533"/>
      <c r="W77" s="533"/>
      <c r="X77" s="533"/>
      <c r="Y77" s="533"/>
      <c r="Z77" s="533"/>
      <c r="AA77" s="533"/>
      <c r="AB77" s="533"/>
      <c r="AC77" s="533"/>
      <c r="AD77" s="533"/>
      <c r="AE77" s="533"/>
      <c r="AF77" s="533"/>
      <c r="AG77"/>
      <c r="AH77"/>
      <c r="AI77"/>
      <c r="AJ77" s="533"/>
      <c r="AK77" s="533"/>
      <c r="AL77" s="533"/>
      <c r="AM77" s="533"/>
      <c r="AN77" s="533"/>
      <c r="AO77" s="533"/>
      <c r="AP77" s="533"/>
      <c r="AQ77" s="533"/>
      <c r="AR77" s="533"/>
      <c r="AS77" s="533"/>
      <c r="AT77" s="533"/>
    </row>
    <row r="78" spans="1:46" s="536" customFormat="1">
      <c r="A78" s="567">
        <v>40</v>
      </c>
      <c r="B78" s="568" t="s">
        <v>1108</v>
      </c>
      <c r="C78" s="565">
        <f>'Balances y Proyecciones'!N78</f>
        <v>0</v>
      </c>
      <c r="D78" s="561"/>
      <c r="E78" s="565">
        <f>'Balances y Proyecciones'!T78</f>
        <v>0</v>
      </c>
      <c r="F78" s="561"/>
      <c r="G78" s="588">
        <f t="shared" si="24"/>
        <v>0</v>
      </c>
      <c r="H78" s="588">
        <f t="shared" si="24"/>
        <v>0</v>
      </c>
      <c r="I78" s="588">
        <f t="shared" si="24"/>
        <v>0</v>
      </c>
      <c r="J78" s="588">
        <f t="shared" si="24"/>
        <v>0</v>
      </c>
      <c r="K78" s="588">
        <f t="shared" si="24"/>
        <v>0</v>
      </c>
      <c r="L78" s="588">
        <f t="shared" si="24"/>
        <v>0</v>
      </c>
      <c r="M78" s="588">
        <f t="shared" si="24"/>
        <v>0</v>
      </c>
      <c r="N78" s="588">
        <f t="shared" si="24"/>
        <v>0</v>
      </c>
      <c r="O78" s="588">
        <f t="shared" si="24"/>
        <v>0</v>
      </c>
      <c r="P78" s="588">
        <f t="shared" si="24"/>
        <v>0</v>
      </c>
      <c r="Q78" s="588">
        <f t="shared" si="24"/>
        <v>0</v>
      </c>
      <c r="R78" s="588">
        <f t="shared" si="24"/>
        <v>0</v>
      </c>
      <c r="S78" s="531"/>
      <c r="T78" s="531"/>
      <c r="U78" s="533"/>
      <c r="V78" s="533"/>
      <c r="W78" s="533"/>
      <c r="X78" s="533"/>
      <c r="Y78" s="533"/>
      <c r="Z78" s="533"/>
      <c r="AA78" s="533"/>
      <c r="AB78" s="533"/>
      <c r="AC78" s="533"/>
      <c r="AD78" s="533"/>
      <c r="AE78" s="533"/>
      <c r="AF78" s="533"/>
      <c r="AG78"/>
      <c r="AH78"/>
      <c r="AI78"/>
      <c r="AJ78" s="533"/>
      <c r="AK78" s="533"/>
      <c r="AL78" s="533"/>
      <c r="AM78" s="533"/>
      <c r="AN78" s="533"/>
      <c r="AO78" s="533"/>
      <c r="AP78" s="533"/>
      <c r="AQ78" s="533"/>
      <c r="AR78" s="533"/>
      <c r="AS78" s="533"/>
      <c r="AT78" s="533"/>
    </row>
    <row r="79" spans="1:46" s="536" customFormat="1">
      <c r="A79" s="570" t="s">
        <v>1109</v>
      </c>
      <c r="B79" s="618" t="s">
        <v>1110</v>
      </c>
      <c r="C79" s="565"/>
      <c r="D79" s="561"/>
      <c r="E79" s="565">
        <f>'Balances y Proyecciones'!T79</f>
        <v>0</v>
      </c>
      <c r="F79" s="561"/>
      <c r="G79" s="571">
        <f t="shared" si="24"/>
        <v>0</v>
      </c>
      <c r="H79" s="571">
        <f t="shared" si="24"/>
        <v>0</v>
      </c>
      <c r="I79" s="571">
        <f t="shared" si="24"/>
        <v>0</v>
      </c>
      <c r="J79" s="571">
        <f t="shared" si="24"/>
        <v>0</v>
      </c>
      <c r="K79" s="571">
        <f t="shared" si="24"/>
        <v>0</v>
      </c>
      <c r="L79" s="571">
        <f t="shared" si="24"/>
        <v>0</v>
      </c>
      <c r="M79" s="571">
        <f t="shared" si="24"/>
        <v>0</v>
      </c>
      <c r="N79" s="571">
        <f t="shared" si="24"/>
        <v>0</v>
      </c>
      <c r="O79" s="571">
        <f t="shared" si="24"/>
        <v>0</v>
      </c>
      <c r="P79" s="571">
        <f t="shared" si="24"/>
        <v>0</v>
      </c>
      <c r="Q79" s="571">
        <f t="shared" si="24"/>
        <v>0</v>
      </c>
      <c r="R79" s="571">
        <f t="shared" si="24"/>
        <v>0</v>
      </c>
      <c r="S79" s="531"/>
      <c r="T79" s="531"/>
      <c r="U79" s="533"/>
      <c r="V79" s="533"/>
      <c r="W79" s="533"/>
      <c r="X79" s="533"/>
      <c r="Y79" s="533"/>
      <c r="Z79" s="533"/>
      <c r="AA79" s="533"/>
      <c r="AB79" s="533"/>
      <c r="AC79" s="533"/>
      <c r="AD79" s="533"/>
      <c r="AE79" s="533"/>
      <c r="AF79" s="533"/>
      <c r="AG79"/>
      <c r="AH79"/>
      <c r="AI79"/>
      <c r="AJ79" s="533"/>
      <c r="AK79" s="533"/>
      <c r="AL79" s="533"/>
      <c r="AM79" s="533"/>
      <c r="AN79" s="533"/>
      <c r="AO79" s="533"/>
      <c r="AP79" s="533"/>
      <c r="AQ79" s="533"/>
      <c r="AR79" s="533"/>
      <c r="AS79" s="533"/>
      <c r="AT79" s="533"/>
    </row>
    <row r="80" spans="1:46" s="536" customFormat="1">
      <c r="A80" s="570" t="s">
        <v>1111</v>
      </c>
      <c r="B80" s="618" t="s">
        <v>1112</v>
      </c>
      <c r="C80" s="565"/>
      <c r="D80" s="561"/>
      <c r="E80" s="565">
        <f>'Balances y Proyecciones'!T80</f>
        <v>0</v>
      </c>
      <c r="F80" s="561"/>
      <c r="G80" s="619">
        <f t="shared" si="24"/>
        <v>0</v>
      </c>
      <c r="H80" s="619">
        <f t="shared" si="24"/>
        <v>0</v>
      </c>
      <c r="I80" s="619">
        <f t="shared" si="24"/>
        <v>0</v>
      </c>
      <c r="J80" s="619">
        <f t="shared" si="24"/>
        <v>0</v>
      </c>
      <c r="K80" s="619">
        <f t="shared" si="24"/>
        <v>0</v>
      </c>
      <c r="L80" s="619">
        <f t="shared" si="24"/>
        <v>0</v>
      </c>
      <c r="M80" s="619">
        <f t="shared" si="24"/>
        <v>0</v>
      </c>
      <c r="N80" s="619">
        <f t="shared" si="24"/>
        <v>0</v>
      </c>
      <c r="O80" s="619">
        <f t="shared" si="24"/>
        <v>0</v>
      </c>
      <c r="P80" s="619">
        <f t="shared" si="24"/>
        <v>0</v>
      </c>
      <c r="Q80" s="619">
        <f t="shared" si="24"/>
        <v>0</v>
      </c>
      <c r="R80" s="619">
        <f t="shared" si="24"/>
        <v>0</v>
      </c>
      <c r="S80" s="531"/>
      <c r="T80" s="531"/>
      <c r="U80" s="533"/>
      <c r="V80" s="533"/>
      <c r="W80" s="533"/>
      <c r="X80" s="533"/>
      <c r="Y80" s="533"/>
      <c r="Z80" s="533"/>
      <c r="AA80" s="533"/>
      <c r="AB80" s="533"/>
      <c r="AC80" s="533"/>
      <c r="AD80" s="533"/>
      <c r="AE80" s="533"/>
      <c r="AF80" s="533"/>
      <c r="AG80"/>
      <c r="AH80"/>
      <c r="AI80"/>
      <c r="AJ80" s="533"/>
      <c r="AK80" s="533"/>
      <c r="AL80" s="533"/>
      <c r="AM80" s="533"/>
      <c r="AN80" s="533"/>
      <c r="AO80" s="533"/>
      <c r="AP80" s="533"/>
      <c r="AQ80" s="533"/>
      <c r="AR80" s="533"/>
      <c r="AS80" s="533"/>
      <c r="AT80" s="533"/>
    </row>
    <row r="81" spans="1:46" s="536" customFormat="1">
      <c r="A81" s="563" t="s">
        <v>1113</v>
      </c>
      <c r="B81" s="564" t="s">
        <v>1114</v>
      </c>
      <c r="C81" s="620">
        <f>'Balances y Proyecciones'!N81</f>
        <v>0</v>
      </c>
      <c r="D81" s="561"/>
      <c r="E81" s="620">
        <f>'Balances y Proyecciones'!T81</f>
        <v>0</v>
      </c>
      <c r="F81" s="561"/>
      <c r="G81" s="581">
        <f t="shared" si="24"/>
        <v>0</v>
      </c>
      <c r="H81" s="581">
        <f t="shared" si="24"/>
        <v>0</v>
      </c>
      <c r="I81" s="581">
        <f t="shared" si="24"/>
        <v>0</v>
      </c>
      <c r="J81" s="581">
        <f t="shared" si="24"/>
        <v>0</v>
      </c>
      <c r="K81" s="581">
        <f t="shared" si="24"/>
        <v>0</v>
      </c>
      <c r="L81" s="581">
        <f t="shared" si="24"/>
        <v>0</v>
      </c>
      <c r="M81" s="581">
        <f t="shared" si="24"/>
        <v>0</v>
      </c>
      <c r="N81" s="581">
        <f t="shared" si="24"/>
        <v>0</v>
      </c>
      <c r="O81" s="581">
        <f t="shared" si="24"/>
        <v>0</v>
      </c>
      <c r="P81" s="581">
        <f t="shared" si="24"/>
        <v>0</v>
      </c>
      <c r="Q81" s="581">
        <f t="shared" si="24"/>
        <v>0</v>
      </c>
      <c r="R81" s="581">
        <f t="shared" si="24"/>
        <v>0</v>
      </c>
      <c r="S81" s="535"/>
      <c r="T81" s="535"/>
      <c r="AG81"/>
      <c r="AH81"/>
      <c r="AI81"/>
    </row>
    <row r="82" spans="1:46" s="536" customFormat="1">
      <c r="A82" s="570" t="s">
        <v>1115</v>
      </c>
      <c r="B82" s="568" t="s">
        <v>1116</v>
      </c>
      <c r="C82" s="566">
        <f>'Balances y Proyecciones'!N82</f>
        <v>0</v>
      </c>
      <c r="D82" s="561"/>
      <c r="E82" s="566">
        <f>'Balances y Proyecciones'!T82</f>
        <v>0</v>
      </c>
      <c r="F82" s="561"/>
      <c r="G82" s="566">
        <f t="shared" si="24"/>
        <v>0</v>
      </c>
      <c r="H82" s="566">
        <f t="shared" si="24"/>
        <v>0</v>
      </c>
      <c r="I82" s="566">
        <f t="shared" si="24"/>
        <v>0</v>
      </c>
      <c r="J82" s="566">
        <f t="shared" si="24"/>
        <v>0</v>
      </c>
      <c r="K82" s="566">
        <f t="shared" si="24"/>
        <v>0</v>
      </c>
      <c r="L82" s="566">
        <f t="shared" si="24"/>
        <v>0</v>
      </c>
      <c r="M82" s="566">
        <f t="shared" si="24"/>
        <v>0</v>
      </c>
      <c r="N82" s="566">
        <f t="shared" si="24"/>
        <v>0</v>
      </c>
      <c r="O82" s="566">
        <f t="shared" si="24"/>
        <v>0</v>
      </c>
      <c r="P82" s="566">
        <f t="shared" si="24"/>
        <v>0</v>
      </c>
      <c r="Q82" s="566">
        <f t="shared" si="24"/>
        <v>0</v>
      </c>
      <c r="R82" s="566">
        <f t="shared" si="24"/>
        <v>0</v>
      </c>
      <c r="S82" s="531"/>
      <c r="T82" s="531"/>
      <c r="U82" s="533"/>
      <c r="V82" s="533"/>
      <c r="W82" s="533"/>
      <c r="X82" s="533"/>
      <c r="Y82" s="533"/>
      <c r="Z82" s="533"/>
      <c r="AA82" s="533"/>
      <c r="AB82" s="533"/>
      <c r="AC82" s="533"/>
      <c r="AD82" s="533"/>
      <c r="AE82" s="533"/>
      <c r="AF82" s="533"/>
      <c r="AG82"/>
      <c r="AH82"/>
      <c r="AI82"/>
      <c r="AJ82" s="533"/>
      <c r="AK82" s="533"/>
      <c r="AL82" s="533"/>
      <c r="AM82" s="533"/>
      <c r="AN82" s="533"/>
      <c r="AO82" s="533"/>
      <c r="AP82" s="533"/>
      <c r="AQ82" s="533"/>
      <c r="AR82" s="533"/>
      <c r="AS82" s="533"/>
      <c r="AT82" s="533"/>
    </row>
    <row r="83" spans="1:46" s="536" customFormat="1">
      <c r="A83" s="570" t="s">
        <v>1117</v>
      </c>
      <c r="B83" s="568" t="s">
        <v>1118</v>
      </c>
      <c r="C83" s="566">
        <f>'Balances y Proyecciones'!N83</f>
        <v>0</v>
      </c>
      <c r="D83" s="561"/>
      <c r="E83" s="566">
        <f>'Balances y Proyecciones'!T83</f>
        <v>0</v>
      </c>
      <c r="F83" s="561"/>
      <c r="G83" s="566">
        <f t="shared" si="24"/>
        <v>0</v>
      </c>
      <c r="H83" s="566">
        <f t="shared" si="24"/>
        <v>0</v>
      </c>
      <c r="I83" s="566">
        <f t="shared" si="24"/>
        <v>0</v>
      </c>
      <c r="J83" s="566">
        <f t="shared" si="24"/>
        <v>0</v>
      </c>
      <c r="K83" s="566">
        <f t="shared" si="24"/>
        <v>0</v>
      </c>
      <c r="L83" s="566">
        <f t="shared" si="24"/>
        <v>0</v>
      </c>
      <c r="M83" s="566">
        <f t="shared" si="24"/>
        <v>0</v>
      </c>
      <c r="N83" s="566">
        <f t="shared" si="24"/>
        <v>0</v>
      </c>
      <c r="O83" s="566">
        <f t="shared" si="24"/>
        <v>0</v>
      </c>
      <c r="P83" s="566">
        <f t="shared" si="24"/>
        <v>0</v>
      </c>
      <c r="Q83" s="566">
        <f t="shared" si="24"/>
        <v>0</v>
      </c>
      <c r="R83" s="566">
        <f t="shared" si="24"/>
        <v>0</v>
      </c>
      <c r="S83" s="531"/>
      <c r="T83" s="531"/>
      <c r="U83" s="533"/>
      <c r="V83" s="533"/>
      <c r="W83" s="533"/>
      <c r="X83" s="533"/>
      <c r="Y83" s="533"/>
      <c r="Z83" s="533"/>
      <c r="AA83" s="533"/>
      <c r="AB83" s="533"/>
      <c r="AC83" s="533"/>
      <c r="AD83" s="533"/>
      <c r="AE83" s="533"/>
      <c r="AF83" s="533"/>
      <c r="AG83"/>
      <c r="AH83"/>
      <c r="AI83"/>
      <c r="AJ83" s="533"/>
      <c r="AK83" s="533"/>
      <c r="AL83" s="533"/>
      <c r="AM83" s="533"/>
      <c r="AN83" s="533"/>
      <c r="AO83" s="533"/>
      <c r="AP83" s="533"/>
      <c r="AQ83" s="533"/>
      <c r="AR83" s="533"/>
      <c r="AS83" s="533"/>
      <c r="AT83" s="533"/>
    </row>
    <row r="84" spans="1:46" s="536" customFormat="1">
      <c r="A84" s="570" t="s">
        <v>1119</v>
      </c>
      <c r="B84" s="568" t="s">
        <v>1120</v>
      </c>
      <c r="C84" s="566">
        <f>'Balances y Proyecciones'!N84</f>
        <v>0</v>
      </c>
      <c r="D84" s="561"/>
      <c r="E84" s="566">
        <f>'Balances y Proyecciones'!T84</f>
        <v>0</v>
      </c>
      <c r="F84" s="561"/>
      <c r="G84" s="566">
        <f t="shared" si="24"/>
        <v>0</v>
      </c>
      <c r="H84" s="566">
        <f t="shared" si="24"/>
        <v>0</v>
      </c>
      <c r="I84" s="566">
        <f t="shared" si="24"/>
        <v>0</v>
      </c>
      <c r="J84" s="566">
        <f t="shared" si="24"/>
        <v>0</v>
      </c>
      <c r="K84" s="566">
        <f t="shared" si="24"/>
        <v>0</v>
      </c>
      <c r="L84" s="566">
        <f t="shared" si="24"/>
        <v>0</v>
      </c>
      <c r="M84" s="566">
        <f t="shared" si="24"/>
        <v>0</v>
      </c>
      <c r="N84" s="566">
        <f t="shared" si="24"/>
        <v>0</v>
      </c>
      <c r="O84" s="566">
        <f t="shared" si="24"/>
        <v>0</v>
      </c>
      <c r="P84" s="566">
        <f t="shared" si="24"/>
        <v>0</v>
      </c>
      <c r="Q84" s="566">
        <f t="shared" si="24"/>
        <v>0</v>
      </c>
      <c r="R84" s="566">
        <f t="shared" si="24"/>
        <v>0</v>
      </c>
      <c r="S84" s="531"/>
      <c r="T84" s="531"/>
      <c r="U84" s="533"/>
      <c r="V84" s="533"/>
      <c r="W84" s="533"/>
      <c r="X84" s="533"/>
      <c r="Y84" s="533"/>
      <c r="Z84" s="533"/>
      <c r="AA84" s="533"/>
      <c r="AB84" s="533"/>
      <c r="AC84" s="533"/>
      <c r="AD84" s="533"/>
      <c r="AE84" s="533"/>
      <c r="AF84" s="533"/>
      <c r="AG84"/>
      <c r="AH84"/>
      <c r="AI84"/>
      <c r="AJ84" s="533"/>
      <c r="AK84" s="533"/>
      <c r="AL84" s="533"/>
      <c r="AM84" s="533"/>
      <c r="AN84" s="533"/>
      <c r="AO84" s="533"/>
      <c r="AP84" s="533"/>
      <c r="AQ84" s="533"/>
      <c r="AR84" s="533"/>
      <c r="AS84" s="533"/>
      <c r="AT84" s="533"/>
    </row>
    <row r="85" spans="1:46" s="536" customFormat="1">
      <c r="A85" s="570" t="s">
        <v>1121</v>
      </c>
      <c r="B85" s="568" t="s">
        <v>1122</v>
      </c>
      <c r="C85" s="621">
        <f>'Balances y Proyecciones'!N85</f>
        <v>0</v>
      </c>
      <c r="D85" s="561"/>
      <c r="E85" s="621">
        <f>'Balances y Proyecciones'!T85</f>
        <v>0</v>
      </c>
      <c r="F85" s="561"/>
      <c r="G85" s="566">
        <f t="shared" si="24"/>
        <v>0</v>
      </c>
      <c r="H85" s="566">
        <f t="shared" si="24"/>
        <v>0</v>
      </c>
      <c r="I85" s="566">
        <f t="shared" si="24"/>
        <v>0</v>
      </c>
      <c r="J85" s="566">
        <f t="shared" si="24"/>
        <v>0</v>
      </c>
      <c r="K85" s="566">
        <f t="shared" si="24"/>
        <v>0</v>
      </c>
      <c r="L85" s="566">
        <f t="shared" si="24"/>
        <v>0</v>
      </c>
      <c r="M85" s="566">
        <f t="shared" si="24"/>
        <v>0</v>
      </c>
      <c r="N85" s="566">
        <f t="shared" si="24"/>
        <v>0</v>
      </c>
      <c r="O85" s="566">
        <f t="shared" si="24"/>
        <v>0</v>
      </c>
      <c r="P85" s="566">
        <f t="shared" si="24"/>
        <v>0</v>
      </c>
      <c r="Q85" s="566">
        <f t="shared" si="24"/>
        <v>0</v>
      </c>
      <c r="R85" s="566">
        <f t="shared" si="24"/>
        <v>0</v>
      </c>
      <c r="S85" s="531"/>
      <c r="T85" s="531"/>
      <c r="U85" s="533"/>
      <c r="V85" s="533"/>
      <c r="W85" s="533"/>
      <c r="X85" s="533"/>
      <c r="Y85" s="533"/>
      <c r="Z85" s="533"/>
      <c r="AA85" s="533"/>
      <c r="AB85" s="533"/>
      <c r="AC85" s="533"/>
      <c r="AD85" s="533"/>
      <c r="AE85" s="533"/>
      <c r="AF85" s="533"/>
      <c r="AG85"/>
      <c r="AH85"/>
      <c r="AI85"/>
      <c r="AJ85" s="533"/>
      <c r="AK85" s="533"/>
      <c r="AL85" s="533"/>
      <c r="AM85" s="533"/>
      <c r="AN85" s="533"/>
      <c r="AO85" s="533"/>
      <c r="AP85" s="533"/>
      <c r="AQ85" s="533"/>
      <c r="AR85" s="533"/>
      <c r="AS85" s="533"/>
      <c r="AT85" s="533"/>
    </row>
    <row r="86" spans="1:46" s="617" customFormat="1">
      <c r="A86" s="622" t="s">
        <v>1123</v>
      </c>
      <c r="B86" s="623" t="s">
        <v>1124</v>
      </c>
      <c r="C86" s="569">
        <f>'Balances y Proyecciones'!N86</f>
        <v>0</v>
      </c>
      <c r="D86" s="561"/>
      <c r="E86" s="569">
        <f>'Balances y Proyecciones'!T86</f>
        <v>0</v>
      </c>
      <c r="F86" s="561"/>
      <c r="G86" s="624">
        <f t="shared" si="24"/>
        <v>0</v>
      </c>
      <c r="H86" s="624">
        <f t="shared" si="24"/>
        <v>0</v>
      </c>
      <c r="I86" s="624">
        <f t="shared" si="24"/>
        <v>0</v>
      </c>
      <c r="J86" s="624">
        <f t="shared" si="24"/>
        <v>0</v>
      </c>
      <c r="K86" s="624">
        <f t="shared" si="24"/>
        <v>0</v>
      </c>
      <c r="L86" s="624">
        <f t="shared" si="24"/>
        <v>0</v>
      </c>
      <c r="M86" s="624">
        <f t="shared" si="24"/>
        <v>0</v>
      </c>
      <c r="N86" s="624">
        <f t="shared" si="24"/>
        <v>0</v>
      </c>
      <c r="O86" s="624">
        <f t="shared" si="24"/>
        <v>0</v>
      </c>
      <c r="P86" s="624">
        <f t="shared" si="24"/>
        <v>0</v>
      </c>
      <c r="Q86" s="624">
        <f t="shared" si="24"/>
        <v>0</v>
      </c>
      <c r="R86" s="624">
        <f t="shared" si="24"/>
        <v>0</v>
      </c>
      <c r="S86" s="616"/>
      <c r="T86" s="616"/>
      <c r="AG86"/>
      <c r="AH86"/>
      <c r="AI86"/>
    </row>
    <row r="87" spans="1:46" s="536" customFormat="1" ht="13">
      <c r="A87" s="547"/>
      <c r="B87" s="548" t="s">
        <v>1125</v>
      </c>
      <c r="C87" s="577">
        <f>'Balances y Proyecciones'!N87</f>
        <v>0</v>
      </c>
      <c r="D87" s="561"/>
      <c r="E87" s="577">
        <f>'Balances y Proyecciones'!T87</f>
        <v>0</v>
      </c>
      <c r="F87" s="561"/>
      <c r="G87" s="577">
        <f t="shared" ref="G87:R87" si="25">G75-G76+G77+G78+G79-G80+G81+G82+G83+G84+G85-G86</f>
        <v>0</v>
      </c>
      <c r="H87" s="577">
        <f t="shared" si="25"/>
        <v>0</v>
      </c>
      <c r="I87" s="577">
        <f t="shared" si="25"/>
        <v>0</v>
      </c>
      <c r="J87" s="577">
        <f t="shared" si="25"/>
        <v>0</v>
      </c>
      <c r="K87" s="577">
        <f t="shared" si="25"/>
        <v>0</v>
      </c>
      <c r="L87" s="577">
        <f t="shared" si="25"/>
        <v>0</v>
      </c>
      <c r="M87" s="577">
        <f t="shared" si="25"/>
        <v>0</v>
      </c>
      <c r="N87" s="577">
        <f t="shared" si="25"/>
        <v>0</v>
      </c>
      <c r="O87" s="577">
        <f t="shared" si="25"/>
        <v>0</v>
      </c>
      <c r="P87" s="577">
        <f t="shared" si="25"/>
        <v>0</v>
      </c>
      <c r="Q87" s="577">
        <f t="shared" si="25"/>
        <v>0</v>
      </c>
      <c r="R87" s="577">
        <f t="shared" si="25"/>
        <v>0</v>
      </c>
      <c r="S87" s="531"/>
      <c r="T87" s="531"/>
      <c r="U87" s="533"/>
      <c r="V87" s="533"/>
      <c r="W87" s="533"/>
      <c r="X87" s="533"/>
      <c r="Y87" s="533"/>
      <c r="Z87" s="533"/>
      <c r="AA87" s="533"/>
      <c r="AB87" s="533"/>
      <c r="AC87" s="533"/>
      <c r="AD87" s="533"/>
      <c r="AE87" s="533"/>
      <c r="AF87" s="533"/>
      <c r="AG87" s="533"/>
      <c r="AH87" s="533"/>
      <c r="AI87" s="533"/>
      <c r="AJ87" s="533"/>
      <c r="AK87" s="533"/>
      <c r="AL87" s="533"/>
      <c r="AM87" s="533"/>
      <c r="AN87" s="533"/>
      <c r="AO87" s="533"/>
      <c r="AP87" s="533"/>
      <c r="AQ87" s="533"/>
      <c r="AR87" s="533"/>
      <c r="AS87" s="533"/>
      <c r="AT87" s="533"/>
    </row>
    <row r="88" spans="1:46" s="536" customFormat="1" ht="12.5">
      <c r="A88" s="609">
        <v>42</v>
      </c>
      <c r="B88" s="610" t="s">
        <v>1126</v>
      </c>
      <c r="C88" s="588">
        <f>'Balances y Proyecciones'!N88</f>
        <v>0</v>
      </c>
      <c r="D88" s="561"/>
      <c r="E88" s="588">
        <f>'Balances y Proyecciones'!T88</f>
        <v>0</v>
      </c>
      <c r="F88" s="561"/>
      <c r="G88" s="588">
        <f t="shared" ref="G88:R88" si="26">IF($G$12=1,"Error %",$E88*G$13)</f>
        <v>0</v>
      </c>
      <c r="H88" s="588">
        <f t="shared" si="26"/>
        <v>0</v>
      </c>
      <c r="I88" s="588">
        <f t="shared" si="26"/>
        <v>0</v>
      </c>
      <c r="J88" s="588">
        <f t="shared" si="26"/>
        <v>0</v>
      </c>
      <c r="K88" s="588">
        <f t="shared" si="26"/>
        <v>0</v>
      </c>
      <c r="L88" s="588">
        <f t="shared" si="26"/>
        <v>0</v>
      </c>
      <c r="M88" s="588">
        <f t="shared" si="26"/>
        <v>0</v>
      </c>
      <c r="N88" s="588">
        <f t="shared" si="26"/>
        <v>0</v>
      </c>
      <c r="O88" s="588">
        <f t="shared" si="26"/>
        <v>0</v>
      </c>
      <c r="P88" s="588">
        <f t="shared" si="26"/>
        <v>0</v>
      </c>
      <c r="Q88" s="588">
        <f t="shared" si="26"/>
        <v>0</v>
      </c>
      <c r="R88" s="588">
        <f t="shared" si="26"/>
        <v>0</v>
      </c>
      <c r="S88" s="531"/>
      <c r="T88" s="531"/>
      <c r="U88" s="533"/>
      <c r="V88" s="533"/>
      <c r="W88" s="533"/>
      <c r="X88" s="533"/>
      <c r="Y88" s="533"/>
      <c r="Z88" s="533"/>
      <c r="AA88" s="533"/>
      <c r="AB88" s="533"/>
      <c r="AC88" s="533"/>
      <c r="AD88" s="533"/>
      <c r="AE88" s="533"/>
      <c r="AF88" s="533"/>
      <c r="AG88" s="533"/>
      <c r="AH88" s="533"/>
      <c r="AI88" s="533"/>
      <c r="AJ88" s="533"/>
      <c r="AK88" s="533"/>
      <c r="AL88" s="533"/>
      <c r="AM88" s="533"/>
      <c r="AN88" s="533"/>
      <c r="AO88" s="533"/>
      <c r="AP88" s="533"/>
      <c r="AQ88" s="533"/>
      <c r="AR88" s="533"/>
      <c r="AS88" s="533"/>
      <c r="AT88" s="533"/>
    </row>
    <row r="89" spans="1:46" s="536" customFormat="1" ht="13">
      <c r="A89" s="547"/>
      <c r="B89" s="583" t="s">
        <v>850</v>
      </c>
      <c r="C89" s="584">
        <f>'Balances y Proyecciones'!N89</f>
        <v>0</v>
      </c>
      <c r="D89" s="561"/>
      <c r="E89" s="584">
        <f>'Balances y Proyecciones'!T89</f>
        <v>0</v>
      </c>
      <c r="F89" s="561"/>
      <c r="G89" s="585">
        <f t="shared" ref="G89:R89" si="27">G87-G88</f>
        <v>0</v>
      </c>
      <c r="H89" s="585">
        <f t="shared" si="27"/>
        <v>0</v>
      </c>
      <c r="I89" s="585">
        <f t="shared" si="27"/>
        <v>0</v>
      </c>
      <c r="J89" s="585">
        <f t="shared" si="27"/>
        <v>0</v>
      </c>
      <c r="K89" s="585">
        <f t="shared" si="27"/>
        <v>0</v>
      </c>
      <c r="L89" s="585">
        <f t="shared" si="27"/>
        <v>0</v>
      </c>
      <c r="M89" s="585">
        <f t="shared" si="27"/>
        <v>0</v>
      </c>
      <c r="N89" s="585">
        <f t="shared" si="27"/>
        <v>0</v>
      </c>
      <c r="O89" s="585">
        <f t="shared" si="27"/>
        <v>0</v>
      </c>
      <c r="P89" s="585">
        <f t="shared" si="27"/>
        <v>0</v>
      </c>
      <c r="Q89" s="585">
        <f t="shared" si="27"/>
        <v>0</v>
      </c>
      <c r="R89" s="585">
        <f t="shared" si="27"/>
        <v>0</v>
      </c>
      <c r="S89" s="625"/>
      <c r="T89" s="625"/>
      <c r="U89" s="531"/>
      <c r="V89" s="531"/>
      <c r="W89" s="531"/>
      <c r="X89" s="533"/>
      <c r="Y89" s="533"/>
      <c r="Z89" s="533"/>
      <c r="AA89" s="533"/>
      <c r="AB89" s="533"/>
      <c r="AC89" s="533"/>
      <c r="AD89" s="533"/>
      <c r="AE89" s="533"/>
      <c r="AF89" s="533"/>
      <c r="AG89" s="533"/>
      <c r="AH89" s="533"/>
      <c r="AI89" s="533"/>
      <c r="AJ89" s="533"/>
      <c r="AK89" s="533"/>
      <c r="AL89" s="533"/>
      <c r="AM89" s="533"/>
      <c r="AN89" s="533"/>
      <c r="AO89" s="533"/>
      <c r="AP89" s="533"/>
      <c r="AQ89" s="533"/>
      <c r="AR89" s="533"/>
      <c r="AS89" s="533"/>
      <c r="AT89" s="533"/>
    </row>
    <row r="90" spans="1:46" s="536" customFormat="1" ht="12.5">
      <c r="A90" s="558">
        <v>43</v>
      </c>
      <c r="B90" s="578" t="s">
        <v>1127</v>
      </c>
      <c r="C90" s="626">
        <f>'Balances y Proyecciones'!N90</f>
        <v>0</v>
      </c>
      <c r="D90" s="561"/>
      <c r="E90" s="626">
        <f>'Balances y Proyecciones'!T90</f>
        <v>0</v>
      </c>
      <c r="F90" s="627"/>
      <c r="G90" s="628">
        <f t="shared" ref="G90:R92" si="28">IF($G$12=1,"Error %",$E90*G$13)</f>
        <v>0</v>
      </c>
      <c r="H90" s="628">
        <f t="shared" si="28"/>
        <v>0</v>
      </c>
      <c r="I90" s="628">
        <f t="shared" si="28"/>
        <v>0</v>
      </c>
      <c r="J90" s="628">
        <f t="shared" si="28"/>
        <v>0</v>
      </c>
      <c r="K90" s="628">
        <f t="shared" si="28"/>
        <v>0</v>
      </c>
      <c r="L90" s="628">
        <f t="shared" si="28"/>
        <v>0</v>
      </c>
      <c r="M90" s="628">
        <f t="shared" si="28"/>
        <v>0</v>
      </c>
      <c r="N90" s="628">
        <f t="shared" si="28"/>
        <v>0</v>
      </c>
      <c r="O90" s="628">
        <f t="shared" si="28"/>
        <v>0</v>
      </c>
      <c r="P90" s="628">
        <f t="shared" si="28"/>
        <v>0</v>
      </c>
      <c r="Q90" s="628">
        <f t="shared" si="28"/>
        <v>0</v>
      </c>
      <c r="R90" s="628">
        <f t="shared" si="28"/>
        <v>0</v>
      </c>
      <c r="S90" s="625"/>
      <c r="T90" s="625"/>
      <c r="U90" s="531"/>
      <c r="V90" s="531"/>
      <c r="W90" s="531"/>
      <c r="X90" s="533"/>
      <c r="Y90" s="533"/>
      <c r="Z90" s="533"/>
      <c r="AA90" s="533"/>
      <c r="AB90" s="533"/>
      <c r="AC90" s="533"/>
      <c r="AD90" s="533"/>
      <c r="AE90" s="533"/>
      <c r="AF90" s="533"/>
      <c r="AG90" s="533"/>
      <c r="AH90" s="533"/>
      <c r="AI90" s="533"/>
      <c r="AJ90" s="533"/>
      <c r="AK90" s="533"/>
      <c r="AL90" s="533"/>
      <c r="AM90" s="533"/>
      <c r="AN90" s="533"/>
      <c r="AO90" s="533"/>
      <c r="AP90" s="533"/>
      <c r="AQ90" s="533"/>
      <c r="AR90" s="533"/>
      <c r="AS90" s="533"/>
      <c r="AT90" s="533"/>
    </row>
    <row r="91" spans="1:46" s="536" customFormat="1" ht="12.5">
      <c r="A91" s="567">
        <v>44</v>
      </c>
      <c r="B91" s="568" t="s">
        <v>1128</v>
      </c>
      <c r="C91" s="629">
        <f>'Balances y Proyecciones'!N91</f>
        <v>0</v>
      </c>
      <c r="D91" s="627"/>
      <c r="E91" s="629">
        <f>'Balances y Proyecciones'!T91</f>
        <v>0</v>
      </c>
      <c r="F91" s="627"/>
      <c r="G91" s="630">
        <f t="shared" si="28"/>
        <v>0</v>
      </c>
      <c r="H91" s="630">
        <f t="shared" si="28"/>
        <v>0</v>
      </c>
      <c r="I91" s="630">
        <f t="shared" si="28"/>
        <v>0</v>
      </c>
      <c r="J91" s="630">
        <f t="shared" si="28"/>
        <v>0</v>
      </c>
      <c r="K91" s="630">
        <f t="shared" si="28"/>
        <v>0</v>
      </c>
      <c r="L91" s="630">
        <f t="shared" si="28"/>
        <v>0</v>
      </c>
      <c r="M91" s="630">
        <f t="shared" si="28"/>
        <v>0</v>
      </c>
      <c r="N91" s="630">
        <f t="shared" si="28"/>
        <v>0</v>
      </c>
      <c r="O91" s="630">
        <f t="shared" si="28"/>
        <v>0</v>
      </c>
      <c r="P91" s="630">
        <f t="shared" si="28"/>
        <v>0</v>
      </c>
      <c r="Q91" s="630">
        <f t="shared" si="28"/>
        <v>0</v>
      </c>
      <c r="R91" s="630">
        <f t="shared" si="28"/>
        <v>0</v>
      </c>
      <c r="S91" s="625"/>
      <c r="T91" s="625"/>
      <c r="U91" s="531"/>
      <c r="V91" s="531"/>
      <c r="W91" s="531"/>
      <c r="X91" s="533"/>
      <c r="Y91" s="533"/>
      <c r="Z91" s="533"/>
      <c r="AA91" s="533"/>
      <c r="AB91" s="533"/>
      <c r="AC91" s="533"/>
      <c r="AD91" s="533"/>
      <c r="AE91" s="533"/>
      <c r="AF91" s="533"/>
      <c r="AG91" s="533"/>
      <c r="AH91" s="533"/>
      <c r="AI91" s="533"/>
      <c r="AJ91" s="533"/>
      <c r="AK91" s="533"/>
      <c r="AL91" s="533"/>
      <c r="AM91" s="533"/>
      <c r="AN91" s="533"/>
      <c r="AO91" s="533"/>
      <c r="AP91" s="533"/>
      <c r="AQ91" s="533"/>
      <c r="AR91" s="533"/>
      <c r="AS91" s="533"/>
      <c r="AT91" s="533"/>
    </row>
    <row r="92" spans="1:46" s="536" customFormat="1" ht="12.5">
      <c r="A92" s="567">
        <v>45</v>
      </c>
      <c r="B92" s="573" t="s">
        <v>1129</v>
      </c>
      <c r="C92" s="631">
        <f>'Balances y Proyecciones'!N92</f>
        <v>0</v>
      </c>
      <c r="D92" s="627"/>
      <c r="E92" s="631">
        <f>'Balances y Proyecciones'!T92</f>
        <v>0</v>
      </c>
      <c r="F92" s="627"/>
      <c r="G92" s="569">
        <f t="shared" si="28"/>
        <v>0</v>
      </c>
      <c r="H92" s="632">
        <f t="shared" si="28"/>
        <v>0</v>
      </c>
      <c r="I92" s="632">
        <f t="shared" si="28"/>
        <v>0</v>
      </c>
      <c r="J92" s="632">
        <f t="shared" si="28"/>
        <v>0</v>
      </c>
      <c r="K92" s="632">
        <f t="shared" si="28"/>
        <v>0</v>
      </c>
      <c r="L92" s="632">
        <f t="shared" si="28"/>
        <v>0</v>
      </c>
      <c r="M92" s="632">
        <f t="shared" si="28"/>
        <v>0</v>
      </c>
      <c r="N92" s="632">
        <f t="shared" si="28"/>
        <v>0</v>
      </c>
      <c r="O92" s="632">
        <f t="shared" si="28"/>
        <v>0</v>
      </c>
      <c r="P92" s="632">
        <f t="shared" si="28"/>
        <v>0</v>
      </c>
      <c r="Q92" s="632">
        <f t="shared" si="28"/>
        <v>0</v>
      </c>
      <c r="R92" s="632">
        <f t="shared" si="28"/>
        <v>0</v>
      </c>
      <c r="S92" s="625"/>
      <c r="T92" s="625"/>
      <c r="U92" s="531"/>
      <c r="V92" s="531"/>
      <c r="W92" s="531"/>
      <c r="X92" s="533"/>
      <c r="Y92" s="533"/>
      <c r="Z92" s="533"/>
      <c r="AA92" s="533"/>
      <c r="AB92" s="533"/>
      <c r="AC92" s="533"/>
      <c r="AD92" s="533"/>
      <c r="AE92" s="533"/>
      <c r="AF92" s="533"/>
      <c r="AG92" s="533"/>
      <c r="AH92" s="533"/>
      <c r="AI92" s="533"/>
      <c r="AJ92" s="533"/>
      <c r="AK92" s="533"/>
      <c r="AL92" s="533"/>
      <c r="AM92" s="533"/>
      <c r="AN92" s="533"/>
      <c r="AO92" s="533"/>
      <c r="AP92" s="533"/>
      <c r="AQ92" s="533"/>
      <c r="AR92" s="533"/>
      <c r="AS92" s="533"/>
      <c r="AT92" s="533"/>
    </row>
    <row r="93" spans="1:46" s="536" customFormat="1" ht="12.5">
      <c r="A93" s="582">
        <v>46</v>
      </c>
      <c r="B93" s="633" t="s">
        <v>881</v>
      </c>
      <c r="C93" s="634">
        <f>'Balances y Proyecciones'!N93</f>
        <v>0</v>
      </c>
      <c r="D93" s="627"/>
      <c r="E93" s="635">
        <f>'Balances y Proyecciones'!T93</f>
        <v>0</v>
      </c>
      <c r="F93" s="561"/>
      <c r="G93" s="634">
        <f t="shared" ref="G93:R93" si="29">G75+SUM(G90:G92)</f>
        <v>0</v>
      </c>
      <c r="H93" s="634">
        <f t="shared" si="29"/>
        <v>0</v>
      </c>
      <c r="I93" s="634">
        <f t="shared" si="29"/>
        <v>0</v>
      </c>
      <c r="J93" s="634">
        <f t="shared" si="29"/>
        <v>0</v>
      </c>
      <c r="K93" s="634">
        <f t="shared" si="29"/>
        <v>0</v>
      </c>
      <c r="L93" s="634">
        <f t="shared" si="29"/>
        <v>0</v>
      </c>
      <c r="M93" s="634">
        <f t="shared" si="29"/>
        <v>0</v>
      </c>
      <c r="N93" s="634">
        <f t="shared" si="29"/>
        <v>0</v>
      </c>
      <c r="O93" s="634">
        <f t="shared" si="29"/>
        <v>0</v>
      </c>
      <c r="P93" s="634">
        <f t="shared" si="29"/>
        <v>0</v>
      </c>
      <c r="Q93" s="634">
        <f t="shared" si="29"/>
        <v>0</v>
      </c>
      <c r="R93" s="634">
        <f t="shared" si="29"/>
        <v>0</v>
      </c>
      <c r="S93" s="625"/>
      <c r="T93" s="625"/>
      <c r="U93" s="533"/>
      <c r="V93" s="533"/>
      <c r="W93" s="533"/>
      <c r="X93" s="533"/>
      <c r="Y93" s="533"/>
      <c r="Z93" s="533"/>
      <c r="AA93" s="533"/>
      <c r="AB93" s="533"/>
      <c r="AC93" s="533"/>
      <c r="AD93" s="533"/>
      <c r="AE93" s="533"/>
      <c r="AF93" s="533"/>
      <c r="AG93" s="533"/>
      <c r="AH93" s="533"/>
      <c r="AI93" s="533"/>
      <c r="AJ93" s="533"/>
      <c r="AK93" s="533"/>
      <c r="AL93" s="533"/>
      <c r="AM93" s="533"/>
      <c r="AN93" s="533"/>
      <c r="AO93" s="533"/>
      <c r="AP93" s="533"/>
      <c r="AQ93" s="533"/>
      <c r="AR93" s="533"/>
      <c r="AS93" s="533"/>
      <c r="AT93" s="533"/>
    </row>
    <row r="94" spans="1:46" s="536" customFormat="1" ht="12.5">
      <c r="A94" s="636"/>
      <c r="B94" s="548" t="s">
        <v>1130</v>
      </c>
      <c r="C94" s="637">
        <f>'Balances y Proyecciones'!N94</f>
        <v>0</v>
      </c>
      <c r="D94" s="561"/>
      <c r="E94" s="638">
        <f>'Balances y Proyecciones'!T94</f>
        <v>0</v>
      </c>
      <c r="F94" s="561"/>
      <c r="G94" s="637">
        <f t="shared" ref="G94:R94" si="30">(G28-G114+G29+G115)-(C28-C114+C29+C115)+G90-(C114-C115)</f>
        <v>0</v>
      </c>
      <c r="H94" s="637">
        <f t="shared" si="30"/>
        <v>0</v>
      </c>
      <c r="I94" s="637">
        <f t="shared" si="30"/>
        <v>0</v>
      </c>
      <c r="J94" s="637">
        <f t="shared" si="30"/>
        <v>0</v>
      </c>
      <c r="K94" s="637">
        <f t="shared" si="30"/>
        <v>0</v>
      </c>
      <c r="L94" s="637">
        <f t="shared" si="30"/>
        <v>0</v>
      </c>
      <c r="M94" s="637">
        <f t="shared" si="30"/>
        <v>0</v>
      </c>
      <c r="N94" s="637">
        <f t="shared" si="30"/>
        <v>0</v>
      </c>
      <c r="O94" s="637">
        <f t="shared" si="30"/>
        <v>0</v>
      </c>
      <c r="P94" s="637">
        <f t="shared" si="30"/>
        <v>0</v>
      </c>
      <c r="Q94" s="637">
        <f t="shared" si="30"/>
        <v>0</v>
      </c>
      <c r="R94" s="637">
        <f t="shared" si="30"/>
        <v>0</v>
      </c>
    </row>
    <row r="95" spans="1:46" s="536" customFormat="1" ht="12.5">
      <c r="A95" s="636"/>
      <c r="B95" s="548" t="s">
        <v>1131</v>
      </c>
      <c r="C95" s="637">
        <f>'Balances y Proyecciones'!N95</f>
        <v>0</v>
      </c>
      <c r="D95" s="561"/>
      <c r="E95" s="639">
        <f>'Balances y Proyecciones'!T95</f>
        <v>0</v>
      </c>
      <c r="F95" s="561"/>
      <c r="G95" s="637">
        <f t="shared" ref="G95:R95" si="31">(G28-G114)-(C28-C114)-(C114-C115)</f>
        <v>0</v>
      </c>
      <c r="H95" s="637">
        <f t="shared" si="31"/>
        <v>0</v>
      </c>
      <c r="I95" s="637">
        <f t="shared" si="31"/>
        <v>0</v>
      </c>
      <c r="J95" s="637">
        <f t="shared" si="31"/>
        <v>0</v>
      </c>
      <c r="K95" s="637">
        <f t="shared" si="31"/>
        <v>0</v>
      </c>
      <c r="L95" s="637">
        <f t="shared" si="31"/>
        <v>0</v>
      </c>
      <c r="M95" s="637">
        <f t="shared" si="31"/>
        <v>0</v>
      </c>
      <c r="N95" s="637">
        <f t="shared" si="31"/>
        <v>0</v>
      </c>
      <c r="O95" s="637">
        <f t="shared" si="31"/>
        <v>0</v>
      </c>
      <c r="P95" s="637">
        <f t="shared" si="31"/>
        <v>0</v>
      </c>
      <c r="Q95" s="637">
        <f t="shared" si="31"/>
        <v>0</v>
      </c>
      <c r="R95" s="637">
        <f t="shared" si="31"/>
        <v>0</v>
      </c>
    </row>
    <row r="96" spans="1:46" s="536" customFormat="1" ht="13">
      <c r="A96" s="547"/>
      <c r="B96" s="640"/>
      <c r="C96" s="641"/>
      <c r="D96" s="561"/>
      <c r="E96" s="641"/>
      <c r="F96" s="545"/>
      <c r="G96" s="642"/>
      <c r="H96" s="531"/>
      <c r="I96" s="530"/>
      <c r="J96" s="530"/>
      <c r="K96" s="530"/>
      <c r="L96" s="530"/>
      <c r="M96" s="530"/>
      <c r="N96" s="530"/>
      <c r="O96" s="530"/>
      <c r="P96" s="530"/>
      <c r="Q96" s="530"/>
      <c r="R96" s="643"/>
      <c r="S96" s="625"/>
      <c r="T96" s="625"/>
      <c r="U96" s="531"/>
      <c r="V96" s="531"/>
      <c r="W96" s="531"/>
      <c r="X96" s="533"/>
      <c r="Y96" s="533"/>
      <c r="Z96" s="533"/>
      <c r="AA96" s="533"/>
      <c r="AB96" s="533"/>
      <c r="AC96" s="533"/>
      <c r="AD96" s="533"/>
      <c r="AE96" s="533"/>
      <c r="AF96" s="533"/>
      <c r="AG96" s="533"/>
      <c r="AH96" s="533"/>
      <c r="AI96" s="533"/>
      <c r="AJ96" s="533"/>
      <c r="AK96" s="533"/>
      <c r="AL96" s="533"/>
      <c r="AM96" s="533"/>
      <c r="AN96" s="533"/>
      <c r="AO96" s="533"/>
      <c r="AP96" s="533"/>
      <c r="AQ96" s="533"/>
      <c r="AR96" s="533"/>
      <c r="AS96" s="533"/>
      <c r="AT96" s="533"/>
    </row>
    <row r="97" spans="1:23" s="535" customFormat="1" ht="13">
      <c r="A97" s="644"/>
      <c r="B97" s="645" t="s">
        <v>1132</v>
      </c>
      <c r="C97" s="646"/>
      <c r="D97" s="545"/>
      <c r="E97" s="647"/>
      <c r="F97" s="648"/>
      <c r="G97" s="649"/>
    </row>
    <row r="98" spans="1:23" s="535" customFormat="1" ht="13">
      <c r="A98" s="644"/>
      <c r="B98" s="645" t="s">
        <v>1133</v>
      </c>
      <c r="C98" s="646"/>
      <c r="D98" s="648"/>
      <c r="E98" s="647"/>
      <c r="F98" s="648"/>
      <c r="G98" s="649"/>
    </row>
    <row r="99" spans="1:23" s="535" customFormat="1" ht="13">
      <c r="A99" s="644" t="s">
        <v>1134</v>
      </c>
      <c r="B99" s="650"/>
      <c r="C99" s="541"/>
      <c r="D99" s="648"/>
      <c r="E99" s="541"/>
      <c r="G99" s="649"/>
      <c r="I99" s="534"/>
      <c r="J99" s="534"/>
      <c r="K99" s="534"/>
      <c r="L99" s="534"/>
      <c r="M99" s="534"/>
      <c r="N99" s="534"/>
      <c r="O99" s="534"/>
      <c r="P99" s="534"/>
      <c r="Q99" s="534"/>
      <c r="R99" s="651"/>
    </row>
    <row r="100" spans="1:23" s="535" customFormat="1" ht="13">
      <c r="A100" s="644"/>
      <c r="B100" s="652" t="s">
        <v>1135</v>
      </c>
      <c r="C100" s="541"/>
      <c r="E100" s="541"/>
      <c r="G100" s="649"/>
      <c r="R100" s="651"/>
    </row>
    <row r="101" spans="1:23" s="535" customFormat="1" ht="13">
      <c r="A101" s="644"/>
      <c r="B101" s="652"/>
      <c r="C101" s="541"/>
      <c r="E101" s="541"/>
      <c r="G101" s="649"/>
      <c r="R101" s="651"/>
    </row>
    <row r="102" spans="1:23" s="535" customFormat="1" ht="13">
      <c r="A102" s="644"/>
      <c r="B102" s="652"/>
      <c r="C102" s="541"/>
      <c r="E102" s="541"/>
      <c r="G102" s="649"/>
      <c r="I102" s="534"/>
      <c r="J102" s="534"/>
      <c r="K102" s="534"/>
      <c r="L102" s="534"/>
      <c r="M102" s="534"/>
      <c r="N102" s="534"/>
      <c r="O102" s="534"/>
      <c r="P102" s="534"/>
      <c r="Q102" s="534"/>
      <c r="R102" s="651"/>
    </row>
    <row r="103" spans="1:23" s="535" customFormat="1" ht="13">
      <c r="A103" s="644"/>
      <c r="B103" s="652"/>
      <c r="C103" s="541"/>
      <c r="E103" s="541"/>
      <c r="G103" s="649"/>
      <c r="I103" s="534"/>
      <c r="J103" s="534"/>
      <c r="K103" s="534"/>
      <c r="L103" s="534"/>
      <c r="M103" s="534"/>
      <c r="N103" s="534"/>
      <c r="O103" s="534"/>
      <c r="P103" s="534"/>
      <c r="Q103" s="534"/>
      <c r="R103" s="651"/>
    </row>
    <row r="104" spans="1:23" s="535" customFormat="1" ht="13">
      <c r="A104" s="644"/>
      <c r="B104" s="652"/>
      <c r="C104" s="541"/>
      <c r="E104" s="541"/>
      <c r="G104" s="649"/>
      <c r="I104" s="534"/>
      <c r="J104" s="534"/>
      <c r="K104" s="534"/>
      <c r="L104" s="534"/>
      <c r="M104" s="534"/>
      <c r="N104" s="534"/>
      <c r="O104" s="534"/>
      <c r="P104" s="534"/>
      <c r="Q104" s="534"/>
      <c r="R104" s="651"/>
    </row>
    <row r="105" spans="1:23" s="535" customFormat="1" ht="13">
      <c r="A105" s="644"/>
      <c r="B105" s="652"/>
      <c r="C105" s="653"/>
      <c r="E105" s="653"/>
      <c r="G105" s="649"/>
      <c r="I105" s="534"/>
      <c r="J105" s="534"/>
      <c r="K105" s="534"/>
      <c r="L105" s="534"/>
      <c r="M105" s="534"/>
      <c r="N105" s="534"/>
      <c r="O105" s="534"/>
      <c r="P105" s="534"/>
      <c r="Q105" s="534"/>
      <c r="R105" s="651"/>
    </row>
    <row r="106" spans="1:23" s="535" customFormat="1" ht="13">
      <c r="A106" s="644"/>
      <c r="B106" s="652"/>
      <c r="C106" s="541"/>
      <c r="E106" s="541"/>
      <c r="G106" s="649"/>
      <c r="I106" s="534"/>
      <c r="J106" s="534"/>
      <c r="K106" s="534"/>
      <c r="L106" s="534"/>
      <c r="M106" s="534"/>
      <c r="N106" s="534"/>
      <c r="O106" s="534"/>
      <c r="P106" s="534"/>
      <c r="Q106" s="534"/>
      <c r="R106" s="651"/>
    </row>
    <row r="107" spans="1:23" s="535" customFormat="1" ht="13">
      <c r="A107" s="644"/>
      <c r="B107" s="652"/>
      <c r="C107" s="541"/>
      <c r="E107" s="541"/>
      <c r="G107" s="649"/>
      <c r="I107" s="534"/>
      <c r="J107" s="534"/>
      <c r="K107" s="534"/>
      <c r="L107" s="534"/>
      <c r="M107" s="534"/>
      <c r="N107" s="534"/>
      <c r="O107" s="534"/>
      <c r="P107" s="534"/>
      <c r="Q107" s="534"/>
      <c r="R107" s="651"/>
    </row>
    <row r="108" spans="1:23" s="535" customFormat="1" ht="13">
      <c r="A108" s="644"/>
      <c r="B108" s="652"/>
      <c r="C108" s="541"/>
      <c r="E108" s="541"/>
      <c r="G108" s="649"/>
      <c r="I108" s="534"/>
      <c r="J108" s="534"/>
      <c r="K108" s="534"/>
      <c r="L108" s="534"/>
      <c r="M108" s="534"/>
      <c r="N108" s="534"/>
      <c r="O108" s="534"/>
      <c r="P108" s="534"/>
      <c r="Q108" s="534"/>
      <c r="R108" s="651"/>
    </row>
    <row r="109" spans="1:23" s="535" customFormat="1" ht="13">
      <c r="A109" s="644"/>
      <c r="B109" s="652"/>
      <c r="C109" s="541"/>
      <c r="E109" s="654" t="str">
        <f>'Balances y Proyecciones'!T109</f>
        <v>PAAG PROYECTADO</v>
      </c>
      <c r="G109" s="655" t="s">
        <v>1136</v>
      </c>
      <c r="H109" s="656"/>
      <c r="I109" s="657"/>
      <c r="J109" s="657"/>
      <c r="K109" s="657"/>
      <c r="L109" s="657"/>
      <c r="M109" s="657"/>
      <c r="N109" s="657"/>
      <c r="O109" s="657"/>
      <c r="P109" s="657"/>
      <c r="Q109" s="657"/>
      <c r="R109" s="651"/>
    </row>
    <row r="110" spans="1:23" s="535" customFormat="1" ht="13">
      <c r="A110" s="644"/>
      <c r="B110" s="652"/>
      <c r="C110" s="541"/>
      <c r="E110" s="658"/>
      <c r="G110" s="659"/>
      <c r="H110" s="659"/>
      <c r="I110" s="659"/>
      <c r="J110" s="659"/>
      <c r="K110" s="659"/>
      <c r="L110" s="659"/>
      <c r="M110" s="659"/>
      <c r="N110" s="659"/>
      <c r="O110" s="659"/>
      <c r="P110" s="659"/>
      <c r="Q110" s="659"/>
      <c r="R110" s="659"/>
    </row>
    <row r="111" spans="1:23" s="531" customFormat="1" ht="13">
      <c r="A111" s="537"/>
      <c r="B111" s="660"/>
      <c r="D111" s="535"/>
      <c r="E111" s="661"/>
      <c r="F111" s="535"/>
      <c r="G111" s="642"/>
      <c r="I111" s="530"/>
      <c r="J111" s="530"/>
      <c r="K111" s="530"/>
      <c r="L111" s="530"/>
      <c r="M111" s="530"/>
      <c r="N111" s="530"/>
      <c r="O111" s="530"/>
      <c r="P111" s="530"/>
      <c r="Q111" s="530"/>
      <c r="R111" s="530"/>
    </row>
    <row r="112" spans="1:23" s="666" customFormat="1" ht="14">
      <c r="A112" s="662"/>
      <c r="B112" s="663" t="s">
        <v>1137</v>
      </c>
      <c r="C112" s="664">
        <f>'Balances y Proyecciones'!N112</f>
        <v>2019</v>
      </c>
      <c r="D112" s="535"/>
      <c r="E112" s="665">
        <f>'Balances y Proyecciones'!T112</f>
        <v>2020</v>
      </c>
      <c r="F112" s="545"/>
      <c r="G112" s="549">
        <f t="shared" ref="G112:R112" si="32">G15</f>
        <v>2020</v>
      </c>
      <c r="H112" s="549">
        <f t="shared" si="32"/>
        <v>2020</v>
      </c>
      <c r="I112" s="549">
        <f t="shared" si="32"/>
        <v>2020</v>
      </c>
      <c r="J112" s="549">
        <f t="shared" si="32"/>
        <v>2020</v>
      </c>
      <c r="K112" s="549">
        <f t="shared" si="32"/>
        <v>2020</v>
      </c>
      <c r="L112" s="549">
        <f t="shared" si="32"/>
        <v>2020</v>
      </c>
      <c r="M112" s="549">
        <f t="shared" si="32"/>
        <v>2020</v>
      </c>
      <c r="N112" s="549">
        <f t="shared" si="32"/>
        <v>2020</v>
      </c>
      <c r="O112" s="549">
        <f t="shared" si="32"/>
        <v>2020</v>
      </c>
      <c r="P112" s="549">
        <f t="shared" si="32"/>
        <v>2020</v>
      </c>
      <c r="Q112" s="549">
        <f t="shared" si="32"/>
        <v>2020</v>
      </c>
      <c r="R112" s="549">
        <f t="shared" si="32"/>
        <v>2020</v>
      </c>
      <c r="U112" s="667"/>
      <c r="V112" s="667"/>
      <c r="W112" s="667"/>
    </row>
    <row r="113" spans="1:23" s="536" customFormat="1" ht="13">
      <c r="A113" s="537"/>
      <c r="B113" s="668" t="s">
        <v>1138</v>
      </c>
      <c r="C113" s="560">
        <f>'Balances y Proyecciones'!N113</f>
        <v>0</v>
      </c>
      <c r="D113" s="545"/>
      <c r="E113" s="669">
        <f>'Balances y Proyecciones'!T113</f>
        <v>0</v>
      </c>
      <c r="F113" s="545"/>
      <c r="G113" s="670"/>
      <c r="H113" s="670"/>
      <c r="I113" s="670"/>
      <c r="J113" s="670"/>
      <c r="K113" s="670"/>
      <c r="L113" s="670"/>
      <c r="M113" s="670"/>
      <c r="N113" s="670"/>
      <c r="O113" s="670"/>
      <c r="P113" s="670"/>
      <c r="Q113" s="670"/>
      <c r="R113" s="670"/>
      <c r="S113" s="625"/>
      <c r="T113" s="625"/>
      <c r="U113" s="531"/>
      <c r="V113" s="531"/>
      <c r="W113" s="531"/>
    </row>
    <row r="114" spans="1:23" s="536" customFormat="1" ht="13">
      <c r="A114" s="537"/>
      <c r="B114" s="671" t="s">
        <v>1139</v>
      </c>
      <c r="C114" s="672">
        <f>'Balances y Proyecciones'!N114</f>
        <v>0</v>
      </c>
      <c r="D114" s="545"/>
      <c r="E114" s="669">
        <f>'Balances y Proyecciones'!T114</f>
        <v>0</v>
      </c>
      <c r="F114" s="545"/>
      <c r="G114" s="673"/>
      <c r="H114" s="673"/>
      <c r="I114" s="673"/>
      <c r="J114" s="673"/>
      <c r="K114" s="673"/>
      <c r="L114" s="673"/>
      <c r="M114" s="673"/>
      <c r="N114" s="673"/>
      <c r="O114" s="673"/>
      <c r="P114" s="673"/>
      <c r="Q114" s="673"/>
      <c r="R114" s="673"/>
      <c r="S114" s="625"/>
      <c r="T114" s="625"/>
      <c r="U114" s="531"/>
      <c r="V114" s="531"/>
      <c r="W114" s="531"/>
    </row>
    <row r="115" spans="1:23" s="536" customFormat="1" ht="13">
      <c r="A115" s="537"/>
      <c r="B115" s="671" t="s">
        <v>1140</v>
      </c>
      <c r="C115" s="672">
        <f>'Balances y Proyecciones'!N115</f>
        <v>0</v>
      </c>
      <c r="D115" s="545"/>
      <c r="E115" s="669">
        <f>'Balances y Proyecciones'!T115</f>
        <v>0</v>
      </c>
      <c r="F115" s="545"/>
      <c r="G115" s="673"/>
      <c r="H115" s="673"/>
      <c r="I115" s="673"/>
      <c r="J115" s="673"/>
      <c r="K115" s="673"/>
      <c r="L115" s="673"/>
      <c r="M115" s="673"/>
      <c r="N115" s="673"/>
      <c r="O115" s="673"/>
      <c r="P115" s="673"/>
      <c r="Q115" s="673"/>
      <c r="R115" s="673"/>
      <c r="S115" s="625"/>
      <c r="T115" s="625"/>
      <c r="U115" s="531"/>
      <c r="V115" s="531"/>
      <c r="W115" s="531"/>
    </row>
    <row r="116" spans="1:23" s="536" customFormat="1" ht="13">
      <c r="A116" s="537"/>
      <c r="B116" s="564" t="s">
        <v>1141</v>
      </c>
      <c r="C116" s="672">
        <f>'Balances y Proyecciones'!N116</f>
        <v>0</v>
      </c>
      <c r="D116" s="545"/>
      <c r="E116" s="669">
        <f>'Balances y Proyecciones'!T116</f>
        <v>0</v>
      </c>
      <c r="F116" s="545"/>
      <c r="G116" s="673"/>
      <c r="H116" s="673"/>
      <c r="I116" s="673"/>
      <c r="J116" s="673"/>
      <c r="K116" s="673"/>
      <c r="L116" s="673"/>
      <c r="M116" s="673"/>
      <c r="N116" s="673"/>
      <c r="O116" s="673"/>
      <c r="P116" s="673"/>
      <c r="Q116" s="673"/>
      <c r="R116" s="673"/>
      <c r="S116" s="625"/>
      <c r="T116" s="625"/>
      <c r="U116" s="531"/>
      <c r="V116" s="531"/>
      <c r="W116" s="531"/>
    </row>
    <row r="117" spans="1:23" s="536" customFormat="1" ht="13">
      <c r="A117" s="537"/>
      <c r="B117" s="564" t="s">
        <v>1142</v>
      </c>
      <c r="C117" s="672">
        <f>'Balances y Proyecciones'!N117</f>
        <v>0</v>
      </c>
      <c r="D117" s="545"/>
      <c r="E117" s="669">
        <f>'Balances y Proyecciones'!T117</f>
        <v>0</v>
      </c>
      <c r="F117" s="545"/>
      <c r="G117" s="673"/>
      <c r="H117" s="673"/>
      <c r="I117" s="673"/>
      <c r="J117" s="673"/>
      <c r="K117" s="673"/>
      <c r="L117" s="673"/>
      <c r="M117" s="673"/>
      <c r="N117" s="673"/>
      <c r="O117" s="673"/>
      <c r="P117" s="673"/>
      <c r="Q117" s="673"/>
      <c r="R117" s="673"/>
      <c r="S117" s="625"/>
      <c r="T117" s="625"/>
      <c r="U117" s="531"/>
      <c r="V117" s="531"/>
      <c r="W117" s="531"/>
    </row>
    <row r="118" spans="1:23" s="536" customFormat="1" ht="13">
      <c r="A118" s="537"/>
      <c r="B118" s="671" t="s">
        <v>1143</v>
      </c>
      <c r="C118" s="672">
        <f>'Balances y Proyecciones'!N118</f>
        <v>0</v>
      </c>
      <c r="D118" s="545"/>
      <c r="E118" s="669">
        <f>'Balances y Proyecciones'!T118</f>
        <v>0</v>
      </c>
      <c r="F118" s="545"/>
      <c r="G118" s="673"/>
      <c r="H118" s="673"/>
      <c r="I118" s="673"/>
      <c r="J118" s="673"/>
      <c r="K118" s="673"/>
      <c r="L118" s="673"/>
      <c r="M118" s="673"/>
      <c r="N118" s="673"/>
      <c r="O118" s="673"/>
      <c r="P118" s="673"/>
      <c r="Q118" s="673"/>
      <c r="R118" s="673"/>
      <c r="S118" s="625"/>
      <c r="T118" s="625"/>
      <c r="U118" s="531"/>
      <c r="V118" s="531"/>
      <c r="W118" s="531"/>
    </row>
    <row r="119" spans="1:23" s="536" customFormat="1" ht="13">
      <c r="A119" s="537"/>
      <c r="B119" s="564" t="s">
        <v>1144</v>
      </c>
      <c r="C119" s="672">
        <f>'Balances y Proyecciones'!N119</f>
        <v>0</v>
      </c>
      <c r="D119" s="545"/>
      <c r="E119" s="669">
        <f>'Balances y Proyecciones'!T119</f>
        <v>0</v>
      </c>
      <c r="F119" s="545"/>
      <c r="G119" s="673"/>
      <c r="H119" s="673"/>
      <c r="I119" s="673"/>
      <c r="J119" s="673"/>
      <c r="K119" s="673"/>
      <c r="L119" s="673"/>
      <c r="M119" s="673"/>
      <c r="N119" s="673"/>
      <c r="O119" s="673"/>
      <c r="P119" s="673"/>
      <c r="Q119" s="673"/>
      <c r="R119" s="673"/>
      <c r="S119" s="625"/>
      <c r="T119" s="625"/>
      <c r="U119" s="531"/>
      <c r="V119" s="531"/>
      <c r="W119" s="531"/>
    </row>
    <row r="120" spans="1:23" s="536" customFormat="1" ht="13">
      <c r="A120" s="537"/>
      <c r="B120" s="564" t="s">
        <v>1145</v>
      </c>
      <c r="C120" s="672">
        <f>'Balances y Proyecciones'!N120</f>
        <v>0</v>
      </c>
      <c r="D120" s="545"/>
      <c r="E120" s="669">
        <f>'Balances y Proyecciones'!T120</f>
        <v>0</v>
      </c>
      <c r="F120" s="545"/>
      <c r="G120" s="673"/>
      <c r="H120" s="673"/>
      <c r="I120" s="673"/>
      <c r="J120" s="673"/>
      <c r="K120" s="673"/>
      <c r="L120" s="673"/>
      <c r="M120" s="673"/>
      <c r="N120" s="673"/>
      <c r="O120" s="673"/>
      <c r="P120" s="673"/>
      <c r="Q120" s="673"/>
      <c r="R120" s="673"/>
      <c r="S120" s="625"/>
      <c r="T120" s="625"/>
      <c r="U120" s="531"/>
      <c r="V120" s="531"/>
      <c r="W120" s="531"/>
    </row>
    <row r="121" spans="1:23" s="536" customFormat="1" ht="13">
      <c r="A121" s="537"/>
      <c r="B121" s="671" t="s">
        <v>1146</v>
      </c>
      <c r="C121" s="672">
        <f>'Balances y Proyecciones'!N121</f>
        <v>0</v>
      </c>
      <c r="D121" s="545"/>
      <c r="E121" s="669">
        <f>'Balances y Proyecciones'!T121</f>
        <v>0</v>
      </c>
      <c r="F121" s="545"/>
      <c r="G121" s="673"/>
      <c r="H121" s="673"/>
      <c r="I121" s="673"/>
      <c r="J121" s="673"/>
      <c r="K121" s="673"/>
      <c r="L121" s="673"/>
      <c r="M121" s="673"/>
      <c r="N121" s="673"/>
      <c r="O121" s="673"/>
      <c r="P121" s="673"/>
      <c r="Q121" s="673"/>
      <c r="R121" s="673"/>
      <c r="S121" s="625"/>
      <c r="T121" s="625"/>
      <c r="U121" s="531"/>
      <c r="V121" s="531"/>
      <c r="W121" s="531"/>
    </row>
    <row r="122" spans="1:23" s="536" customFormat="1" ht="13">
      <c r="A122" s="537"/>
      <c r="B122" s="671" t="s">
        <v>1147</v>
      </c>
      <c r="C122" s="674">
        <f>'Balances y Proyecciones'!N122</f>
        <v>0</v>
      </c>
      <c r="D122" s="545"/>
      <c r="E122" s="675">
        <f>'Balances y Proyecciones'!T122</f>
        <v>0</v>
      </c>
      <c r="F122" s="545"/>
      <c r="G122" s="676"/>
      <c r="H122" s="676"/>
      <c r="I122" s="676"/>
      <c r="J122" s="676"/>
      <c r="K122" s="676"/>
      <c r="L122" s="676"/>
      <c r="M122" s="676"/>
      <c r="N122" s="676"/>
      <c r="O122" s="676"/>
      <c r="P122" s="676"/>
      <c r="Q122" s="676"/>
      <c r="R122" s="676"/>
      <c r="S122" s="625"/>
      <c r="T122" s="625"/>
      <c r="U122" s="531"/>
      <c r="V122" s="531"/>
      <c r="W122" s="531"/>
    </row>
    <row r="123" spans="1:23" s="536" customFormat="1" ht="13">
      <c r="A123" s="537"/>
      <c r="B123" s="677" t="s">
        <v>945</v>
      </c>
      <c r="C123" s="678">
        <f>'Balances y Proyecciones'!N123</f>
        <v>0</v>
      </c>
      <c r="D123" s="545"/>
      <c r="E123" s="675">
        <f>'Balances y Proyecciones'!T123</f>
        <v>0</v>
      </c>
      <c r="F123" s="545"/>
      <c r="G123" s="678">
        <f>IF($G$12=1,"Error %",$E123*G$13)</f>
        <v>0</v>
      </c>
      <c r="H123" s="678">
        <f t="shared" ref="H123:R123" si="33">IF(G123=0,0,H228)</f>
        <v>0</v>
      </c>
      <c r="I123" s="678">
        <f t="shared" si="33"/>
        <v>0</v>
      </c>
      <c r="J123" s="678">
        <f t="shared" si="33"/>
        <v>0</v>
      </c>
      <c r="K123" s="678">
        <f t="shared" si="33"/>
        <v>0</v>
      </c>
      <c r="L123" s="678">
        <f t="shared" si="33"/>
        <v>0</v>
      </c>
      <c r="M123" s="678">
        <f t="shared" si="33"/>
        <v>0</v>
      </c>
      <c r="N123" s="678">
        <f t="shared" si="33"/>
        <v>0</v>
      </c>
      <c r="O123" s="678">
        <f t="shared" si="33"/>
        <v>0</v>
      </c>
      <c r="P123" s="678">
        <f t="shared" si="33"/>
        <v>0</v>
      </c>
      <c r="Q123" s="678">
        <f t="shared" si="33"/>
        <v>0</v>
      </c>
      <c r="R123" s="678">
        <f t="shared" si="33"/>
        <v>0</v>
      </c>
      <c r="S123" s="625"/>
      <c r="T123" s="625"/>
      <c r="U123" s="531"/>
      <c r="V123" s="531"/>
      <c r="W123" s="531"/>
    </row>
    <row r="124" spans="1:23" s="666" customFormat="1" ht="13">
      <c r="A124" s="662"/>
      <c r="B124" s="679" t="s">
        <v>1107</v>
      </c>
      <c r="C124" s="680">
        <f>'Balances y Proyecciones'!N124</f>
        <v>0</v>
      </c>
      <c r="D124" s="545"/>
      <c r="E124" s="681">
        <f>'Balances y Proyecciones'!T124</f>
        <v>0</v>
      </c>
      <c r="F124" s="545"/>
      <c r="G124" s="680">
        <f t="shared" ref="G124:R124" si="34">G113+G114-G115+G116-G117+G118+G119-G120+G121-G122-G123</f>
        <v>0</v>
      </c>
      <c r="H124" s="680">
        <f t="shared" si="34"/>
        <v>0</v>
      </c>
      <c r="I124" s="680">
        <f t="shared" si="34"/>
        <v>0</v>
      </c>
      <c r="J124" s="680">
        <f t="shared" si="34"/>
        <v>0</v>
      </c>
      <c r="K124" s="680">
        <f t="shared" si="34"/>
        <v>0</v>
      </c>
      <c r="L124" s="680">
        <f t="shared" si="34"/>
        <v>0</v>
      </c>
      <c r="M124" s="680">
        <f t="shared" si="34"/>
        <v>0</v>
      </c>
      <c r="N124" s="680">
        <f t="shared" si="34"/>
        <v>0</v>
      </c>
      <c r="O124" s="680">
        <f t="shared" si="34"/>
        <v>0</v>
      </c>
      <c r="P124" s="680">
        <f t="shared" si="34"/>
        <v>0</v>
      </c>
      <c r="Q124" s="680">
        <f t="shared" si="34"/>
        <v>0</v>
      </c>
      <c r="R124" s="680">
        <f t="shared" si="34"/>
        <v>0</v>
      </c>
      <c r="U124" s="667"/>
      <c r="V124" s="667"/>
      <c r="W124" s="667"/>
    </row>
    <row r="125" spans="1:23" s="536" customFormat="1" ht="13">
      <c r="A125" s="537"/>
      <c r="B125" s="682" t="s">
        <v>1148</v>
      </c>
      <c r="C125" s="683">
        <f>'Balances y Proyecciones'!N125</f>
        <v>0</v>
      </c>
      <c r="D125" s="545"/>
      <c r="E125" s="684">
        <f>'Balances y Proyecciones'!T125</f>
        <v>0</v>
      </c>
      <c r="F125" s="545"/>
      <c r="G125" s="683">
        <f t="shared" ref="G125:R125" si="35">G124</f>
        <v>0</v>
      </c>
      <c r="H125" s="683">
        <f t="shared" si="35"/>
        <v>0</v>
      </c>
      <c r="I125" s="683">
        <f t="shared" si="35"/>
        <v>0</v>
      </c>
      <c r="J125" s="683">
        <f t="shared" si="35"/>
        <v>0</v>
      </c>
      <c r="K125" s="683">
        <f t="shared" si="35"/>
        <v>0</v>
      </c>
      <c r="L125" s="683">
        <f t="shared" si="35"/>
        <v>0</v>
      </c>
      <c r="M125" s="683">
        <f t="shared" si="35"/>
        <v>0</v>
      </c>
      <c r="N125" s="683">
        <f t="shared" si="35"/>
        <v>0</v>
      </c>
      <c r="O125" s="683">
        <f t="shared" si="35"/>
        <v>0</v>
      </c>
      <c r="P125" s="683">
        <f t="shared" si="35"/>
        <v>0</v>
      </c>
      <c r="Q125" s="683">
        <f t="shared" si="35"/>
        <v>0</v>
      </c>
      <c r="R125" s="683">
        <f t="shared" si="35"/>
        <v>0</v>
      </c>
      <c r="S125" s="625"/>
      <c r="T125" s="625"/>
      <c r="U125" s="531"/>
      <c r="V125" s="531"/>
      <c r="W125" s="531"/>
    </row>
    <row r="126" spans="1:23" s="536" customFormat="1" ht="13">
      <c r="A126" s="537"/>
      <c r="B126" s="685" t="s">
        <v>1149</v>
      </c>
      <c r="C126" s="686">
        <f>'Balances y Proyecciones'!N126</f>
        <v>0</v>
      </c>
      <c r="D126" s="545"/>
      <c r="E126" s="687">
        <f>'Balances y Proyecciones'!T126</f>
        <v>0</v>
      </c>
      <c r="F126" s="545"/>
      <c r="G126" s="686">
        <f t="shared" ref="G126:R126" si="36">G124-G77</f>
        <v>0</v>
      </c>
      <c r="H126" s="686">
        <f t="shared" si="36"/>
        <v>0</v>
      </c>
      <c r="I126" s="686">
        <f t="shared" si="36"/>
        <v>0</v>
      </c>
      <c r="J126" s="686">
        <f t="shared" si="36"/>
        <v>0</v>
      </c>
      <c r="K126" s="686">
        <f t="shared" si="36"/>
        <v>0</v>
      </c>
      <c r="L126" s="686">
        <f t="shared" si="36"/>
        <v>0</v>
      </c>
      <c r="M126" s="686">
        <f t="shared" si="36"/>
        <v>0</v>
      </c>
      <c r="N126" s="686">
        <f t="shared" si="36"/>
        <v>0</v>
      </c>
      <c r="O126" s="686">
        <f t="shared" si="36"/>
        <v>0</v>
      </c>
      <c r="P126" s="686">
        <f t="shared" si="36"/>
        <v>0</v>
      </c>
      <c r="Q126" s="686">
        <f t="shared" si="36"/>
        <v>0</v>
      </c>
      <c r="R126" s="686">
        <f t="shared" si="36"/>
        <v>0</v>
      </c>
      <c r="S126" s="625"/>
      <c r="T126" s="625"/>
      <c r="U126" s="531"/>
      <c r="V126" s="531"/>
      <c r="W126" s="531"/>
    </row>
    <row r="127" spans="1:23" s="536" customFormat="1" ht="13">
      <c r="A127" s="537"/>
      <c r="B127" s="660"/>
      <c r="C127" s="531"/>
      <c r="D127" s="545"/>
      <c r="E127" s="531"/>
      <c r="F127" s="545"/>
      <c r="G127" s="642"/>
      <c r="H127" s="531"/>
      <c r="I127" s="530"/>
      <c r="J127" s="530"/>
      <c r="K127" s="530"/>
      <c r="L127" s="530"/>
      <c r="M127" s="530"/>
      <c r="N127" s="530"/>
      <c r="O127" s="530"/>
      <c r="P127" s="530"/>
      <c r="Q127" s="530"/>
      <c r="R127" s="643"/>
      <c r="S127" s="625"/>
      <c r="T127" s="625"/>
      <c r="U127" s="531"/>
      <c r="V127" s="531"/>
      <c r="W127" s="531"/>
    </row>
    <row r="128" spans="1:23" s="536" customFormat="1" ht="13">
      <c r="A128" s="537"/>
      <c r="B128" s="660"/>
      <c r="C128" s="530"/>
      <c r="D128" s="545"/>
      <c r="E128" s="530"/>
      <c r="F128" s="545"/>
      <c r="G128" s="688"/>
      <c r="H128" s="531"/>
      <c r="I128" s="531"/>
      <c r="J128" s="531"/>
      <c r="K128" s="531"/>
      <c r="L128" s="531"/>
      <c r="M128" s="531"/>
      <c r="N128" s="531"/>
      <c r="O128" s="531"/>
      <c r="P128" s="531"/>
      <c r="Q128" s="531"/>
      <c r="R128" s="531"/>
      <c r="S128" s="625"/>
      <c r="T128" s="625"/>
      <c r="U128" s="533"/>
      <c r="V128" s="533"/>
      <c r="W128" s="533"/>
    </row>
    <row r="129" spans="1:18" s="536" customFormat="1" ht="13">
      <c r="A129" s="644"/>
      <c r="B129" s="689"/>
      <c r="C129" s="690"/>
      <c r="D129" s="545"/>
      <c r="E129" s="690"/>
      <c r="F129" s="545"/>
      <c r="G129" s="691"/>
      <c r="H129" s="690"/>
      <c r="I129" s="692"/>
      <c r="J129" s="692"/>
      <c r="K129" s="692"/>
      <c r="L129" s="692"/>
      <c r="M129" s="692"/>
      <c r="N129" s="692"/>
      <c r="O129" s="692"/>
      <c r="P129" s="692"/>
      <c r="Q129" s="692"/>
      <c r="R129" s="535"/>
    </row>
    <row r="130" spans="1:18" s="536" customFormat="1" ht="13">
      <c r="A130" s="644"/>
      <c r="B130" s="689"/>
      <c r="C130" s="690"/>
      <c r="D130" s="545"/>
      <c r="E130" s="690"/>
      <c r="F130" s="545"/>
      <c r="G130" s="691"/>
      <c r="H130" s="690"/>
      <c r="I130" s="692"/>
      <c r="J130" s="692"/>
      <c r="K130" s="692"/>
      <c r="L130" s="692"/>
      <c r="M130" s="692"/>
      <c r="N130" s="692"/>
      <c r="O130" s="692"/>
      <c r="P130" s="692"/>
      <c r="Q130" s="692"/>
      <c r="R130" s="535"/>
    </row>
    <row r="131" spans="1:18" s="536" customFormat="1" ht="13">
      <c r="A131" s="644"/>
      <c r="B131" s="693"/>
      <c r="C131" s="535"/>
      <c r="D131" s="545"/>
      <c r="E131" s="535"/>
      <c r="F131" s="545"/>
      <c r="G131" s="649"/>
      <c r="H131" s="535"/>
      <c r="I131" s="534"/>
      <c r="J131" s="534"/>
      <c r="K131" s="534"/>
      <c r="L131" s="534"/>
      <c r="M131" s="534"/>
      <c r="N131" s="534"/>
      <c r="O131" s="534"/>
      <c r="P131" s="534"/>
      <c r="Q131" s="534"/>
      <c r="R131" s="535"/>
    </row>
    <row r="132" spans="1:18" s="536" customFormat="1" ht="14">
      <c r="A132" s="644"/>
      <c r="B132" s="694" t="str">
        <f>B14</f>
        <v/>
      </c>
      <c r="C132" s="535"/>
      <c r="D132" s="545"/>
      <c r="E132" s="535"/>
      <c r="F132" s="545"/>
      <c r="G132" s="695">
        <f>IF($J$241="SI","ESCENARIO "&amp;$I$242,0)</f>
        <v>0</v>
      </c>
      <c r="H132" s="535"/>
      <c r="I132" s="534"/>
      <c r="J132" s="534"/>
      <c r="K132" s="534"/>
      <c r="L132" s="534"/>
      <c r="M132" s="534"/>
      <c r="N132" s="534"/>
      <c r="O132" s="534"/>
      <c r="P132" s="534"/>
      <c r="Q132" s="534"/>
      <c r="R132" s="696"/>
    </row>
    <row r="133" spans="1:18" s="536" customFormat="1" ht="13">
      <c r="A133" s="644"/>
      <c r="B133" s="697">
        <f ca="1">NOW()</f>
        <v>45203.393931018516</v>
      </c>
      <c r="C133" s="698"/>
      <c r="D133" s="545"/>
      <c r="E133" s="699" t="str">
        <f>'Balances y Proyecciones'!T133</f>
        <v>PROYECTADO</v>
      </c>
      <c r="F133" s="545"/>
      <c r="G133" s="700" t="s">
        <v>1044</v>
      </c>
      <c r="H133" s="700" t="s">
        <v>1044</v>
      </c>
      <c r="I133" s="700" t="s">
        <v>1044</v>
      </c>
      <c r="J133" s="700" t="s">
        <v>1044</v>
      </c>
      <c r="K133" s="700" t="s">
        <v>1044</v>
      </c>
      <c r="L133" s="700" t="s">
        <v>1044</v>
      </c>
      <c r="M133" s="700" t="s">
        <v>1044</v>
      </c>
      <c r="N133" s="700" t="s">
        <v>1044</v>
      </c>
      <c r="O133" s="700" t="s">
        <v>1044</v>
      </c>
      <c r="P133" s="700" t="s">
        <v>1044</v>
      </c>
      <c r="Q133" s="700" t="s">
        <v>1044</v>
      </c>
      <c r="R133" s="700" t="s">
        <v>1044</v>
      </c>
    </row>
    <row r="134" spans="1:18" s="536" customFormat="1" ht="14">
      <c r="A134" s="644"/>
      <c r="B134" s="701" t="e">
        <f>"FLUJO DE CAJA "&amp;IF(#REF!&lt;&gt;#REF!," - CORTE "&amp;#REF!,0)</f>
        <v>#REF!</v>
      </c>
      <c r="C134" s="702">
        <f>'Balances y Proyecciones'!N134</f>
        <v>2019</v>
      </c>
      <c r="D134" s="545"/>
      <c r="E134" s="703">
        <f>'Balances y Proyecciones'!T134</f>
        <v>2020</v>
      </c>
      <c r="F134" s="545"/>
      <c r="G134" s="704">
        <f t="shared" ref="G134:R134" si="37">G15</f>
        <v>2020</v>
      </c>
      <c r="H134" s="704">
        <f t="shared" si="37"/>
        <v>2020</v>
      </c>
      <c r="I134" s="704">
        <f t="shared" si="37"/>
        <v>2020</v>
      </c>
      <c r="J134" s="704">
        <f t="shared" si="37"/>
        <v>2020</v>
      </c>
      <c r="K134" s="704">
        <f t="shared" si="37"/>
        <v>2020</v>
      </c>
      <c r="L134" s="704">
        <f t="shared" si="37"/>
        <v>2020</v>
      </c>
      <c r="M134" s="704">
        <f t="shared" si="37"/>
        <v>2020</v>
      </c>
      <c r="N134" s="704">
        <f t="shared" si="37"/>
        <v>2020</v>
      </c>
      <c r="O134" s="704">
        <f t="shared" si="37"/>
        <v>2020</v>
      </c>
      <c r="P134" s="704">
        <f t="shared" si="37"/>
        <v>2020</v>
      </c>
      <c r="Q134" s="704">
        <f t="shared" si="37"/>
        <v>2020</v>
      </c>
      <c r="R134" s="704">
        <f t="shared" si="37"/>
        <v>2020</v>
      </c>
    </row>
    <row r="135" spans="1:18" s="536" customFormat="1" ht="14">
      <c r="A135" s="644"/>
      <c r="B135" s="705" t="s">
        <v>871</v>
      </c>
      <c r="C135" s="704">
        <f>'Balances y Proyecciones'!N135</f>
        <v>360</v>
      </c>
      <c r="D135" s="545"/>
      <c r="E135" s="703">
        <f>'Balances y Proyecciones'!T135</f>
        <v>360</v>
      </c>
      <c r="F135" s="545"/>
      <c r="G135" s="704">
        <f t="shared" ref="G135:R135" si="38">G17</f>
        <v>360</v>
      </c>
      <c r="H135" s="704">
        <f t="shared" si="38"/>
        <v>360</v>
      </c>
      <c r="I135" s="704">
        <f t="shared" si="38"/>
        <v>360</v>
      </c>
      <c r="J135" s="704">
        <f t="shared" si="38"/>
        <v>360</v>
      </c>
      <c r="K135" s="704">
        <f t="shared" si="38"/>
        <v>360</v>
      </c>
      <c r="L135" s="704">
        <f t="shared" si="38"/>
        <v>360</v>
      </c>
      <c r="M135" s="704">
        <f t="shared" si="38"/>
        <v>360</v>
      </c>
      <c r="N135" s="704">
        <f t="shared" si="38"/>
        <v>360</v>
      </c>
      <c r="O135" s="704">
        <f t="shared" si="38"/>
        <v>360</v>
      </c>
      <c r="P135" s="704">
        <f t="shared" si="38"/>
        <v>360</v>
      </c>
      <c r="Q135" s="704">
        <f t="shared" si="38"/>
        <v>360</v>
      </c>
      <c r="R135" s="704">
        <f t="shared" si="38"/>
        <v>360</v>
      </c>
    </row>
    <row r="136" spans="1:18" s="536" customFormat="1" ht="12.5">
      <c r="A136" s="706">
        <v>1</v>
      </c>
      <c r="B136" s="707" t="s">
        <v>826</v>
      </c>
      <c r="C136" s="708">
        <f>'Balances y Proyecciones'!N136</f>
        <v>0</v>
      </c>
      <c r="D136" s="545"/>
      <c r="E136" s="709">
        <f>'Balances y Proyecciones'!T136</f>
        <v>0</v>
      </c>
      <c r="F136" s="545"/>
      <c r="G136" s="710">
        <f t="shared" ref="G136:G167" si="39">IF($G$12=1,"Error %",$E136*G$13)</f>
        <v>0</v>
      </c>
      <c r="H136" s="710">
        <f t="shared" ref="H136:R136" si="40">H75</f>
        <v>0</v>
      </c>
      <c r="I136" s="710">
        <f t="shared" si="40"/>
        <v>0</v>
      </c>
      <c r="J136" s="710">
        <f t="shared" si="40"/>
        <v>0</v>
      </c>
      <c r="K136" s="710">
        <f t="shared" si="40"/>
        <v>0</v>
      </c>
      <c r="L136" s="710">
        <f t="shared" si="40"/>
        <v>0</v>
      </c>
      <c r="M136" s="710">
        <f t="shared" si="40"/>
        <v>0</v>
      </c>
      <c r="N136" s="710">
        <f t="shared" si="40"/>
        <v>0</v>
      </c>
      <c r="O136" s="710">
        <f t="shared" si="40"/>
        <v>0</v>
      </c>
      <c r="P136" s="710">
        <f t="shared" si="40"/>
        <v>0</v>
      </c>
      <c r="Q136" s="710">
        <f t="shared" si="40"/>
        <v>0</v>
      </c>
      <c r="R136" s="710">
        <f t="shared" si="40"/>
        <v>0</v>
      </c>
    </row>
    <row r="137" spans="1:18" s="536" customFormat="1" ht="12.5">
      <c r="A137" s="711">
        <v>2</v>
      </c>
      <c r="B137" s="712" t="s">
        <v>1150</v>
      </c>
      <c r="C137" s="713">
        <f>'Balances y Proyecciones'!N137</f>
        <v>0</v>
      </c>
      <c r="D137" s="545"/>
      <c r="E137" s="709">
        <f>'Balances y Proyecciones'!T137</f>
        <v>0</v>
      </c>
      <c r="F137" s="545"/>
      <c r="G137" s="714">
        <f t="shared" si="39"/>
        <v>0</v>
      </c>
      <c r="H137" s="714">
        <f t="shared" ref="H137:R137" si="41">SUM(H90:H92)</f>
        <v>0</v>
      </c>
      <c r="I137" s="714">
        <f t="shared" si="41"/>
        <v>0</v>
      </c>
      <c r="J137" s="714">
        <f t="shared" si="41"/>
        <v>0</v>
      </c>
      <c r="K137" s="714">
        <f t="shared" si="41"/>
        <v>0</v>
      </c>
      <c r="L137" s="714">
        <f t="shared" si="41"/>
        <v>0</v>
      </c>
      <c r="M137" s="714">
        <f t="shared" si="41"/>
        <v>0</v>
      </c>
      <c r="N137" s="714">
        <f t="shared" si="41"/>
        <v>0</v>
      </c>
      <c r="O137" s="714">
        <f t="shared" si="41"/>
        <v>0</v>
      </c>
      <c r="P137" s="714">
        <f t="shared" si="41"/>
        <v>0</v>
      </c>
      <c r="Q137" s="714">
        <f t="shared" si="41"/>
        <v>0</v>
      </c>
      <c r="R137" s="714">
        <f t="shared" si="41"/>
        <v>0</v>
      </c>
    </row>
    <row r="138" spans="1:18" s="721" customFormat="1" ht="13">
      <c r="A138" s="715"/>
      <c r="B138" s="716" t="s">
        <v>881</v>
      </c>
      <c r="C138" s="717">
        <f>'Balances y Proyecciones'!N138</f>
        <v>0</v>
      </c>
      <c r="D138" s="545"/>
      <c r="E138" s="718">
        <f>'Balances y Proyecciones'!T138</f>
        <v>0</v>
      </c>
      <c r="F138" s="719"/>
      <c r="G138" s="720">
        <f t="shared" si="39"/>
        <v>0</v>
      </c>
      <c r="H138" s="720">
        <f t="shared" ref="H138:R138" si="42">H136+H137</f>
        <v>0</v>
      </c>
      <c r="I138" s="720">
        <f t="shared" si="42"/>
        <v>0</v>
      </c>
      <c r="J138" s="720">
        <f t="shared" si="42"/>
        <v>0</v>
      </c>
      <c r="K138" s="720">
        <f t="shared" si="42"/>
        <v>0</v>
      </c>
      <c r="L138" s="720">
        <f t="shared" si="42"/>
        <v>0</v>
      </c>
      <c r="M138" s="720">
        <f t="shared" si="42"/>
        <v>0</v>
      </c>
      <c r="N138" s="720">
        <f t="shared" si="42"/>
        <v>0</v>
      </c>
      <c r="O138" s="720">
        <f t="shared" si="42"/>
        <v>0</v>
      </c>
      <c r="P138" s="720">
        <f t="shared" si="42"/>
        <v>0</v>
      </c>
      <c r="Q138" s="720">
        <f t="shared" si="42"/>
        <v>0</v>
      </c>
      <c r="R138" s="720">
        <f t="shared" si="42"/>
        <v>0</v>
      </c>
    </row>
    <row r="139" spans="1:18" s="721" customFormat="1" ht="13">
      <c r="A139" s="706">
        <v>3</v>
      </c>
      <c r="B139" s="722" t="s">
        <v>1151</v>
      </c>
      <c r="C139" s="710">
        <f>'Balances y Proyecciones'!N139</f>
        <v>0</v>
      </c>
      <c r="D139" s="719"/>
      <c r="E139" s="723">
        <f>'Balances y Proyecciones'!T139</f>
        <v>0</v>
      </c>
      <c r="F139" s="719"/>
      <c r="G139" s="710">
        <f t="shared" si="39"/>
        <v>0</v>
      </c>
      <c r="H139" s="710">
        <f t="shared" ref="H139:R139" si="43">-G88</f>
        <v>0</v>
      </c>
      <c r="I139" s="710">
        <f t="shared" si="43"/>
        <v>0</v>
      </c>
      <c r="J139" s="710">
        <f t="shared" si="43"/>
        <v>0</v>
      </c>
      <c r="K139" s="710">
        <f t="shared" si="43"/>
        <v>0</v>
      </c>
      <c r="L139" s="710">
        <f t="shared" si="43"/>
        <v>0</v>
      </c>
      <c r="M139" s="710">
        <f t="shared" si="43"/>
        <v>0</v>
      </c>
      <c r="N139" s="710">
        <f t="shared" si="43"/>
        <v>0</v>
      </c>
      <c r="O139" s="710">
        <f t="shared" si="43"/>
        <v>0</v>
      </c>
      <c r="P139" s="710">
        <f t="shared" si="43"/>
        <v>0</v>
      </c>
      <c r="Q139" s="710">
        <f t="shared" si="43"/>
        <v>0</v>
      </c>
      <c r="R139" s="710">
        <f t="shared" si="43"/>
        <v>0</v>
      </c>
    </row>
    <row r="140" spans="1:18" s="726" customFormat="1" ht="11.5">
      <c r="A140" s="711">
        <v>4</v>
      </c>
      <c r="B140" s="724" t="e">
        <f>"-  DIVIDENDOS PAGADOS "&amp;IF(AND(#REF!=#REF!,#REF!&lt;&gt;0),CONCATENATE("+ RESULTADO ",LEFT(#REF!,3),". '",RIGHT(TEXT(#REF!,"0.00"),2)," A ",LEFT(C16,3),". '",RIGHT(TEXT(C15,"0.00"),2)," (PARA EL FLUJO DE ",LEFT(#REF!,3),". '",RIGHT(TEXT(#REF!,"0.00"),2),")"),0)</f>
        <v>#REF!</v>
      </c>
      <c r="C140" s="714">
        <f>'Balances y Proyecciones'!N140</f>
        <v>0</v>
      </c>
      <c r="D140" s="719"/>
      <c r="E140" s="723">
        <f>'Balances y Proyecciones'!T140</f>
        <v>0</v>
      </c>
      <c r="F140" s="725"/>
      <c r="G140" s="714">
        <f t="shared" si="39"/>
        <v>0</v>
      </c>
      <c r="H140" s="714">
        <f t="shared" ref="H140:R140" si="44">-H233</f>
        <v>0</v>
      </c>
      <c r="I140" s="714">
        <f t="shared" si="44"/>
        <v>0</v>
      </c>
      <c r="J140" s="714">
        <f t="shared" si="44"/>
        <v>0</v>
      </c>
      <c r="K140" s="714">
        <f t="shared" si="44"/>
        <v>0</v>
      </c>
      <c r="L140" s="714">
        <f t="shared" si="44"/>
        <v>0</v>
      </c>
      <c r="M140" s="714">
        <f t="shared" si="44"/>
        <v>0</v>
      </c>
      <c r="N140" s="714">
        <f t="shared" si="44"/>
        <v>0</v>
      </c>
      <c r="O140" s="714">
        <f t="shared" si="44"/>
        <v>0</v>
      </c>
      <c r="P140" s="714">
        <f t="shared" si="44"/>
        <v>0</v>
      </c>
      <c r="Q140" s="714">
        <f t="shared" si="44"/>
        <v>0</v>
      </c>
      <c r="R140" s="714">
        <f t="shared" si="44"/>
        <v>0</v>
      </c>
    </row>
    <row r="141" spans="1:18" s="726" customFormat="1" ht="11.5">
      <c r="A141" s="727"/>
      <c r="B141" s="728" t="s">
        <v>1152</v>
      </c>
      <c r="C141" s="729">
        <f>'Balances y Proyecciones'!N141</f>
        <v>0</v>
      </c>
      <c r="D141" s="725"/>
      <c r="E141" s="730">
        <f>'Balances y Proyecciones'!T141</f>
        <v>0</v>
      </c>
      <c r="F141" s="731"/>
      <c r="G141" s="729">
        <f t="shared" si="39"/>
        <v>0</v>
      </c>
      <c r="H141" s="729">
        <f t="shared" ref="H141:R141" si="45">H138+H139+H140</f>
        <v>0</v>
      </c>
      <c r="I141" s="729">
        <f t="shared" si="45"/>
        <v>0</v>
      </c>
      <c r="J141" s="729">
        <f t="shared" si="45"/>
        <v>0</v>
      </c>
      <c r="K141" s="729">
        <f t="shared" si="45"/>
        <v>0</v>
      </c>
      <c r="L141" s="729">
        <f t="shared" si="45"/>
        <v>0</v>
      </c>
      <c r="M141" s="729">
        <f t="shared" si="45"/>
        <v>0</v>
      </c>
      <c r="N141" s="729">
        <f t="shared" si="45"/>
        <v>0</v>
      </c>
      <c r="O141" s="729">
        <f t="shared" si="45"/>
        <v>0</v>
      </c>
      <c r="P141" s="729">
        <f t="shared" si="45"/>
        <v>0</v>
      </c>
      <c r="Q141" s="729">
        <f t="shared" si="45"/>
        <v>0</v>
      </c>
      <c r="R141" s="729">
        <f t="shared" si="45"/>
        <v>0</v>
      </c>
    </row>
    <row r="142" spans="1:18" s="536" customFormat="1" ht="12.5">
      <c r="A142" s="706">
        <v>5</v>
      </c>
      <c r="B142" s="722" t="s">
        <v>1153</v>
      </c>
      <c r="C142" s="708">
        <f>'Balances y Proyecciones'!N142</f>
        <v>0</v>
      </c>
      <c r="D142" s="731"/>
      <c r="E142" s="709">
        <f>'Balances y Proyecciones'!T142</f>
        <v>0</v>
      </c>
      <c r="F142" s="545"/>
      <c r="G142" s="710">
        <f t="shared" si="39"/>
        <v>0</v>
      </c>
      <c r="H142" s="710">
        <f t="shared" ref="H142:R142" si="46">-(H19-G19)</f>
        <v>0</v>
      </c>
      <c r="I142" s="710">
        <f t="shared" si="46"/>
        <v>0</v>
      </c>
      <c r="J142" s="710">
        <f t="shared" si="46"/>
        <v>0</v>
      </c>
      <c r="K142" s="710">
        <f t="shared" si="46"/>
        <v>0</v>
      </c>
      <c r="L142" s="710">
        <f t="shared" si="46"/>
        <v>0</v>
      </c>
      <c r="M142" s="710">
        <f t="shared" si="46"/>
        <v>0</v>
      </c>
      <c r="N142" s="710">
        <f t="shared" si="46"/>
        <v>0</v>
      </c>
      <c r="O142" s="710">
        <f t="shared" si="46"/>
        <v>0</v>
      </c>
      <c r="P142" s="710">
        <f t="shared" si="46"/>
        <v>0</v>
      </c>
      <c r="Q142" s="710">
        <f t="shared" si="46"/>
        <v>0</v>
      </c>
      <c r="R142" s="710">
        <f t="shared" si="46"/>
        <v>0</v>
      </c>
    </row>
    <row r="143" spans="1:18" s="536" customFormat="1" ht="12.5">
      <c r="A143" s="732">
        <v>6</v>
      </c>
      <c r="B143" s="733" t="s">
        <v>1154</v>
      </c>
      <c r="C143" s="734">
        <f>'Balances y Proyecciones'!N143</f>
        <v>0</v>
      </c>
      <c r="D143" s="545"/>
      <c r="E143" s="709">
        <f>'Balances y Proyecciones'!T143</f>
        <v>0</v>
      </c>
      <c r="F143" s="545"/>
      <c r="G143" s="735">
        <f t="shared" si="39"/>
        <v>0</v>
      </c>
      <c r="H143" s="735">
        <f t="shared" ref="H143:R143" si="47">-(H21-H113-G21+G113)</f>
        <v>0</v>
      </c>
      <c r="I143" s="735">
        <f t="shared" si="47"/>
        <v>0</v>
      </c>
      <c r="J143" s="735">
        <f t="shared" si="47"/>
        <v>0</v>
      </c>
      <c r="K143" s="735">
        <f t="shared" si="47"/>
        <v>0</v>
      </c>
      <c r="L143" s="735">
        <f t="shared" si="47"/>
        <v>0</v>
      </c>
      <c r="M143" s="735">
        <f t="shared" si="47"/>
        <v>0</v>
      </c>
      <c r="N143" s="735">
        <f t="shared" si="47"/>
        <v>0</v>
      </c>
      <c r="O143" s="735">
        <f t="shared" si="47"/>
        <v>0</v>
      </c>
      <c r="P143" s="735">
        <f t="shared" si="47"/>
        <v>0</v>
      </c>
      <c r="Q143" s="735">
        <f t="shared" si="47"/>
        <v>0</v>
      </c>
      <c r="R143" s="735">
        <f t="shared" si="47"/>
        <v>0</v>
      </c>
    </row>
    <row r="144" spans="1:18" s="536" customFormat="1" ht="12.5">
      <c r="A144" s="732">
        <v>7</v>
      </c>
      <c r="B144" s="733" t="s">
        <v>1155</v>
      </c>
      <c r="C144" s="734">
        <f>'Balances y Proyecciones'!N144</f>
        <v>0</v>
      </c>
      <c r="D144" s="545"/>
      <c r="E144" s="709">
        <f>'Balances y Proyecciones'!T144</f>
        <v>0</v>
      </c>
      <c r="F144" s="545"/>
      <c r="G144" s="735">
        <f t="shared" si="39"/>
        <v>0</v>
      </c>
      <c r="H144" s="735">
        <f t="shared" ref="H144:R144" si="48">-(H23-G23)</f>
        <v>0</v>
      </c>
      <c r="I144" s="735">
        <f t="shared" si="48"/>
        <v>0</v>
      </c>
      <c r="J144" s="735">
        <f t="shared" si="48"/>
        <v>0</v>
      </c>
      <c r="K144" s="735">
        <f t="shared" si="48"/>
        <v>0</v>
      </c>
      <c r="L144" s="735">
        <f t="shared" si="48"/>
        <v>0</v>
      </c>
      <c r="M144" s="735">
        <f t="shared" si="48"/>
        <v>0</v>
      </c>
      <c r="N144" s="735">
        <f t="shared" si="48"/>
        <v>0</v>
      </c>
      <c r="O144" s="735">
        <f t="shared" si="48"/>
        <v>0</v>
      </c>
      <c r="P144" s="735">
        <f t="shared" si="48"/>
        <v>0</v>
      </c>
      <c r="Q144" s="735">
        <f t="shared" si="48"/>
        <v>0</v>
      </c>
      <c r="R144" s="735">
        <f t="shared" si="48"/>
        <v>0</v>
      </c>
    </row>
    <row r="145" spans="1:18" s="536" customFormat="1" ht="12.5">
      <c r="A145" s="732">
        <v>8</v>
      </c>
      <c r="B145" s="733" t="s">
        <v>1156</v>
      </c>
      <c r="C145" s="734">
        <f>'Balances y Proyecciones'!N145</f>
        <v>0</v>
      </c>
      <c r="D145" s="545"/>
      <c r="E145" s="709">
        <f>'Balances y Proyecciones'!T145</f>
        <v>0</v>
      </c>
      <c r="F145" s="545"/>
      <c r="G145" s="735">
        <f t="shared" si="39"/>
        <v>0</v>
      </c>
      <c r="H145" s="735">
        <f t="shared" ref="H145:R145" si="49">H40-G40</f>
        <v>0</v>
      </c>
      <c r="I145" s="735">
        <f t="shared" si="49"/>
        <v>0</v>
      </c>
      <c r="J145" s="735">
        <f t="shared" si="49"/>
        <v>0</v>
      </c>
      <c r="K145" s="735">
        <f t="shared" si="49"/>
        <v>0</v>
      </c>
      <c r="L145" s="735">
        <f t="shared" si="49"/>
        <v>0</v>
      </c>
      <c r="M145" s="735">
        <f t="shared" si="49"/>
        <v>0</v>
      </c>
      <c r="N145" s="735">
        <f t="shared" si="49"/>
        <v>0</v>
      </c>
      <c r="O145" s="735">
        <f t="shared" si="49"/>
        <v>0</v>
      </c>
      <c r="P145" s="735">
        <f t="shared" si="49"/>
        <v>0</v>
      </c>
      <c r="Q145" s="735">
        <f t="shared" si="49"/>
        <v>0</v>
      </c>
      <c r="R145" s="735">
        <f t="shared" si="49"/>
        <v>0</v>
      </c>
    </row>
    <row r="146" spans="1:18" s="742" customFormat="1" ht="13">
      <c r="A146" s="736" t="s">
        <v>1157</v>
      </c>
      <c r="B146" s="737" t="s">
        <v>1158</v>
      </c>
      <c r="C146" s="738">
        <f>'Balances y Proyecciones'!N146</f>
        <v>0</v>
      </c>
      <c r="D146" s="545"/>
      <c r="E146" s="739">
        <f>'Balances y Proyecciones'!T146</f>
        <v>0</v>
      </c>
      <c r="F146" s="740"/>
      <c r="G146" s="741">
        <f t="shared" si="39"/>
        <v>0</v>
      </c>
      <c r="H146" s="741">
        <f t="shared" ref="H146:R146" si="50">H41-G41</f>
        <v>0</v>
      </c>
      <c r="I146" s="741">
        <f t="shared" si="50"/>
        <v>0</v>
      </c>
      <c r="J146" s="741">
        <f t="shared" si="50"/>
        <v>0</v>
      </c>
      <c r="K146" s="741">
        <f t="shared" si="50"/>
        <v>0</v>
      </c>
      <c r="L146" s="741">
        <f t="shared" si="50"/>
        <v>0</v>
      </c>
      <c r="M146" s="741">
        <f t="shared" si="50"/>
        <v>0</v>
      </c>
      <c r="N146" s="741">
        <f t="shared" si="50"/>
        <v>0</v>
      </c>
      <c r="O146" s="741">
        <f t="shared" si="50"/>
        <v>0</v>
      </c>
      <c r="P146" s="741">
        <f t="shared" si="50"/>
        <v>0</v>
      </c>
      <c r="Q146" s="741">
        <f t="shared" si="50"/>
        <v>0</v>
      </c>
      <c r="R146" s="741">
        <f t="shared" si="50"/>
        <v>0</v>
      </c>
    </row>
    <row r="147" spans="1:18" s="742" customFormat="1" ht="13">
      <c r="A147" s="736" t="s">
        <v>1159</v>
      </c>
      <c r="B147" s="737" t="s">
        <v>1160</v>
      </c>
      <c r="C147" s="738">
        <f>'Balances y Proyecciones'!N147</f>
        <v>0</v>
      </c>
      <c r="D147" s="740"/>
      <c r="E147" s="739">
        <f>'Balances y Proyecciones'!T147</f>
        <v>0</v>
      </c>
      <c r="F147" s="743"/>
      <c r="G147" s="741">
        <f t="shared" si="39"/>
        <v>0</v>
      </c>
      <c r="H147" s="741">
        <f t="shared" ref="H147:R147" si="51">H42-G42-(H88-G88)</f>
        <v>0</v>
      </c>
      <c r="I147" s="741">
        <f t="shared" si="51"/>
        <v>0</v>
      </c>
      <c r="J147" s="741">
        <f t="shared" si="51"/>
        <v>0</v>
      </c>
      <c r="K147" s="741">
        <f t="shared" si="51"/>
        <v>0</v>
      </c>
      <c r="L147" s="741">
        <f t="shared" si="51"/>
        <v>0</v>
      </c>
      <c r="M147" s="741">
        <f t="shared" si="51"/>
        <v>0</v>
      </c>
      <c r="N147" s="741">
        <f t="shared" si="51"/>
        <v>0</v>
      </c>
      <c r="O147" s="741">
        <f t="shared" si="51"/>
        <v>0</v>
      </c>
      <c r="P147" s="741">
        <f t="shared" si="51"/>
        <v>0</v>
      </c>
      <c r="Q147" s="741">
        <f t="shared" si="51"/>
        <v>0</v>
      </c>
      <c r="R147" s="741">
        <f t="shared" si="51"/>
        <v>0</v>
      </c>
    </row>
    <row r="148" spans="1:18" s="742" customFormat="1" ht="13">
      <c r="A148" s="736" t="s">
        <v>1161</v>
      </c>
      <c r="B148" s="737" t="s">
        <v>1162</v>
      </c>
      <c r="C148" s="738">
        <f>'Balances y Proyecciones'!N148</f>
        <v>0</v>
      </c>
      <c r="D148" s="743"/>
      <c r="E148" s="739">
        <f>'Balances y Proyecciones'!T148</f>
        <v>0</v>
      </c>
      <c r="F148" s="740"/>
      <c r="G148" s="741">
        <f t="shared" si="39"/>
        <v>0</v>
      </c>
      <c r="H148" s="741">
        <f t="shared" ref="H148:R148" si="52">H44-G44</f>
        <v>0</v>
      </c>
      <c r="I148" s="741">
        <f t="shared" si="52"/>
        <v>0</v>
      </c>
      <c r="J148" s="741">
        <f t="shared" si="52"/>
        <v>0</v>
      </c>
      <c r="K148" s="741">
        <f t="shared" si="52"/>
        <v>0</v>
      </c>
      <c r="L148" s="741">
        <f t="shared" si="52"/>
        <v>0</v>
      </c>
      <c r="M148" s="741">
        <f t="shared" si="52"/>
        <v>0</v>
      </c>
      <c r="N148" s="741">
        <f t="shared" si="52"/>
        <v>0</v>
      </c>
      <c r="O148" s="741">
        <f t="shared" si="52"/>
        <v>0</v>
      </c>
      <c r="P148" s="741">
        <f t="shared" si="52"/>
        <v>0</v>
      </c>
      <c r="Q148" s="741">
        <f t="shared" si="52"/>
        <v>0</v>
      </c>
      <c r="R148" s="741">
        <f t="shared" si="52"/>
        <v>0</v>
      </c>
    </row>
    <row r="149" spans="1:18" s="721" customFormat="1" ht="13">
      <c r="A149" s="711">
        <v>9</v>
      </c>
      <c r="B149" s="744" t="s">
        <v>1163</v>
      </c>
      <c r="C149" s="745">
        <f>'Balances y Proyecciones'!N149</f>
        <v>0</v>
      </c>
      <c r="D149" s="740"/>
      <c r="E149" s="746">
        <f>'Balances y Proyecciones'!T149</f>
        <v>0</v>
      </c>
      <c r="F149" s="747"/>
      <c r="G149" s="748">
        <f t="shared" si="39"/>
        <v>0</v>
      </c>
      <c r="H149" s="748">
        <f t="shared" ref="H149:R149" si="53">SUM(H146:H148)</f>
        <v>0</v>
      </c>
      <c r="I149" s="748">
        <f t="shared" si="53"/>
        <v>0</v>
      </c>
      <c r="J149" s="748">
        <f t="shared" si="53"/>
        <v>0</v>
      </c>
      <c r="K149" s="748">
        <f t="shared" si="53"/>
        <v>0</v>
      </c>
      <c r="L149" s="748">
        <f t="shared" si="53"/>
        <v>0</v>
      </c>
      <c r="M149" s="748">
        <f t="shared" si="53"/>
        <v>0</v>
      </c>
      <c r="N149" s="748">
        <f t="shared" si="53"/>
        <v>0</v>
      </c>
      <c r="O149" s="748">
        <f t="shared" si="53"/>
        <v>0</v>
      </c>
      <c r="P149" s="748">
        <f t="shared" si="53"/>
        <v>0</v>
      </c>
      <c r="Q149" s="748">
        <f t="shared" si="53"/>
        <v>0</v>
      </c>
      <c r="R149" s="748">
        <f t="shared" si="53"/>
        <v>0</v>
      </c>
    </row>
    <row r="150" spans="1:18" s="753" customFormat="1" ht="13">
      <c r="A150" s="749"/>
      <c r="B150" s="728" t="s">
        <v>1164</v>
      </c>
      <c r="C150" s="750">
        <f>'Balances y Proyecciones'!N150</f>
        <v>0</v>
      </c>
      <c r="D150" s="747"/>
      <c r="E150" s="751">
        <f>'Balances y Proyecciones'!T150</f>
        <v>0</v>
      </c>
      <c r="F150" s="752"/>
      <c r="G150" s="729">
        <f t="shared" si="39"/>
        <v>0</v>
      </c>
      <c r="H150" s="729">
        <f t="shared" ref="H150:R150" si="54">SUM(H142:H145)+H149</f>
        <v>0</v>
      </c>
      <c r="I150" s="729">
        <f t="shared" si="54"/>
        <v>0</v>
      </c>
      <c r="J150" s="729">
        <f t="shared" si="54"/>
        <v>0</v>
      </c>
      <c r="K150" s="729">
        <f t="shared" si="54"/>
        <v>0</v>
      </c>
      <c r="L150" s="729">
        <f t="shared" si="54"/>
        <v>0</v>
      </c>
      <c r="M150" s="729">
        <f t="shared" si="54"/>
        <v>0</v>
      </c>
      <c r="N150" s="729">
        <f t="shared" si="54"/>
        <v>0</v>
      </c>
      <c r="O150" s="729">
        <f t="shared" si="54"/>
        <v>0</v>
      </c>
      <c r="P150" s="729">
        <f t="shared" si="54"/>
        <v>0</v>
      </c>
      <c r="Q150" s="729">
        <f t="shared" si="54"/>
        <v>0</v>
      </c>
      <c r="R150" s="729">
        <f t="shared" si="54"/>
        <v>0</v>
      </c>
    </row>
    <row r="151" spans="1:18" s="536" customFormat="1" ht="13">
      <c r="A151" s="644"/>
      <c r="B151" s="754" t="s">
        <v>1165</v>
      </c>
      <c r="C151" s="755">
        <f>'Balances y Proyecciones'!N151</f>
        <v>0</v>
      </c>
      <c r="D151" s="752"/>
      <c r="E151" s="756">
        <f>'Balances y Proyecciones'!T151</f>
        <v>0</v>
      </c>
      <c r="F151" s="545"/>
      <c r="G151" s="757">
        <f t="shared" si="39"/>
        <v>0</v>
      </c>
      <c r="H151" s="757">
        <f t="shared" ref="H151:R151" si="55">H141+H150</f>
        <v>0</v>
      </c>
      <c r="I151" s="757">
        <f t="shared" si="55"/>
        <v>0</v>
      </c>
      <c r="J151" s="757">
        <f t="shared" si="55"/>
        <v>0</v>
      </c>
      <c r="K151" s="757">
        <f t="shared" si="55"/>
        <v>0</v>
      </c>
      <c r="L151" s="757">
        <f t="shared" si="55"/>
        <v>0</v>
      </c>
      <c r="M151" s="757">
        <f t="shared" si="55"/>
        <v>0</v>
      </c>
      <c r="N151" s="757">
        <f t="shared" si="55"/>
        <v>0</v>
      </c>
      <c r="O151" s="757">
        <f t="shared" si="55"/>
        <v>0</v>
      </c>
      <c r="P151" s="757">
        <f t="shared" si="55"/>
        <v>0</v>
      </c>
      <c r="Q151" s="757">
        <f t="shared" si="55"/>
        <v>0</v>
      </c>
      <c r="R151" s="757">
        <f t="shared" si="55"/>
        <v>0</v>
      </c>
    </row>
    <row r="152" spans="1:18" s="726" customFormat="1" ht="12">
      <c r="A152" s="758" t="s">
        <v>1166</v>
      </c>
      <c r="B152" s="759" t="s">
        <v>1167</v>
      </c>
      <c r="C152" s="760">
        <f>'Balances y Proyecciones'!N152</f>
        <v>0</v>
      </c>
      <c r="D152" s="545"/>
      <c r="E152" s="761">
        <f>'Balances y Proyecciones'!T152</f>
        <v>0</v>
      </c>
      <c r="F152" s="731"/>
      <c r="G152" s="762">
        <f t="shared" si="39"/>
        <v>0</v>
      </c>
      <c r="H152" s="710">
        <f t="shared" ref="H152:R152" si="56">IF(H36-G36&lt;0,H36-G36,0)</f>
        <v>0</v>
      </c>
      <c r="I152" s="710">
        <f t="shared" si="56"/>
        <v>0</v>
      </c>
      <c r="J152" s="710">
        <f t="shared" si="56"/>
        <v>0</v>
      </c>
      <c r="K152" s="710">
        <f t="shared" si="56"/>
        <v>0</v>
      </c>
      <c r="L152" s="710">
        <f t="shared" si="56"/>
        <v>0</v>
      </c>
      <c r="M152" s="710">
        <f t="shared" si="56"/>
        <v>0</v>
      </c>
      <c r="N152" s="710">
        <f t="shared" si="56"/>
        <v>0</v>
      </c>
      <c r="O152" s="710">
        <f t="shared" si="56"/>
        <v>0</v>
      </c>
      <c r="P152" s="710">
        <f t="shared" si="56"/>
        <v>0</v>
      </c>
      <c r="Q152" s="710">
        <f t="shared" si="56"/>
        <v>0</v>
      </c>
      <c r="R152" s="710">
        <f t="shared" si="56"/>
        <v>0</v>
      </c>
    </row>
    <row r="153" spans="1:18" s="726" customFormat="1" ht="12">
      <c r="A153" s="736" t="s">
        <v>1168</v>
      </c>
      <c r="B153" s="763" t="s">
        <v>1169</v>
      </c>
      <c r="C153" s="764">
        <f>'Balances y Proyecciones'!N153</f>
        <v>0</v>
      </c>
      <c r="D153" s="731"/>
      <c r="E153" s="761">
        <f>'Balances y Proyecciones'!T153</f>
        <v>0</v>
      </c>
      <c r="F153" s="731"/>
      <c r="G153" s="765">
        <f t="shared" si="39"/>
        <v>0</v>
      </c>
      <c r="H153" s="735">
        <f>-SUM($H$249,$H$261,$H$275,$H$313,$H$323,$H$333)</f>
        <v>0</v>
      </c>
      <c r="I153" s="735">
        <f>-SUM($I$249,$I$261,$I$275,$I$313,$I$323,$I$333)</f>
        <v>0</v>
      </c>
      <c r="J153" s="735">
        <f>-SUM($J$249,$J$261,$J$275,$J$313,$J$323,$J$333)</f>
        <v>0</v>
      </c>
      <c r="K153" s="735">
        <f>-SUM($K$249,$K$261,$K$275,$K$313,$K$323,$K$333)</f>
        <v>0</v>
      </c>
      <c r="L153" s="735">
        <f>-SUM($L$249,$L$261,$L$275,$L$313,$L$323,$L$333)</f>
        <v>0</v>
      </c>
      <c r="M153" s="735">
        <f>-SUM($M$249,$M$261,$M$275,$M$313,$M$323,$M$333)</f>
        <v>0</v>
      </c>
      <c r="N153" s="735">
        <f>-SUM($N$249,$N$261,$N$275,$N$313,$N$323,$N$333)</f>
        <v>0</v>
      </c>
      <c r="O153" s="735">
        <f>-SUM($O$249,$O$261,$O$275,$O$313,$O$323,$O$333)</f>
        <v>0</v>
      </c>
      <c r="P153" s="735">
        <f>-SUM($P$249,$P$261,$P$275,$P$313,$P$323,$P$333)</f>
        <v>0</v>
      </c>
      <c r="Q153" s="735">
        <f>-SUM($Q$249,$Q$261,$Q$275,$Q$313,$Q$323,$Q$333)</f>
        <v>0</v>
      </c>
      <c r="R153" s="735">
        <f>-SUM($Q$249,$Q$261,$Q$275,$Q$313,$Q$323,$Q$333)</f>
        <v>0</v>
      </c>
    </row>
    <row r="154" spans="1:18" s="726" customFormat="1" ht="12">
      <c r="A154" s="736" t="s">
        <v>1170</v>
      </c>
      <c r="B154" s="763" t="s">
        <v>1171</v>
      </c>
      <c r="C154" s="764">
        <f>'Balances y Proyecciones'!N154</f>
        <v>0</v>
      </c>
      <c r="D154" s="731"/>
      <c r="E154" s="761">
        <f>'Balances y Proyecciones'!T154</f>
        <v>0</v>
      </c>
      <c r="F154" s="731"/>
      <c r="G154" s="765">
        <f t="shared" si="39"/>
        <v>0</v>
      </c>
      <c r="H154" s="735">
        <f>-SUM($H$353,$H$363,$H$373)</f>
        <v>0</v>
      </c>
      <c r="I154" s="735">
        <f>-SUM($I$353,$I$363,$I$373)</f>
        <v>0</v>
      </c>
      <c r="J154" s="735">
        <f>-SUM($J$353,$J$363,$J$373)</f>
        <v>0</v>
      </c>
      <c r="K154" s="735">
        <f>-SUM($K$353,$K$363,$K$373)</f>
        <v>0</v>
      </c>
      <c r="L154" s="735">
        <f>-SUM($L$353,$L$363,$L$373)</f>
        <v>0</v>
      </c>
      <c r="M154" s="735">
        <f>-SUM($M$353,$M$363,$M$373)</f>
        <v>0</v>
      </c>
      <c r="N154" s="735">
        <f>-SUM($N$353,$N$363,$N$373)</f>
        <v>0</v>
      </c>
      <c r="O154" s="735">
        <f>-SUM($O$353,$O$363,$O$373)</f>
        <v>0</v>
      </c>
      <c r="P154" s="735">
        <f>-SUM($P$353,$P$363,$P$373)</f>
        <v>0</v>
      </c>
      <c r="Q154" s="735">
        <f>-SUM($Q$353,$Q$363,$Q$373)</f>
        <v>0</v>
      </c>
      <c r="R154" s="735">
        <f>-SUM($Q$353,$Q$363,$Q$373)</f>
        <v>0</v>
      </c>
    </row>
    <row r="155" spans="1:18" s="726" customFormat="1" ht="12">
      <c r="A155" s="736" t="s">
        <v>1172</v>
      </c>
      <c r="B155" s="737" t="s">
        <v>1173</v>
      </c>
      <c r="C155" s="735">
        <f>'Balances y Proyecciones'!N155</f>
        <v>0</v>
      </c>
      <c r="D155" s="731"/>
      <c r="E155" s="723">
        <f>'Balances y Proyecciones'!T155</f>
        <v>0</v>
      </c>
      <c r="F155" s="731"/>
      <c r="G155" s="735">
        <f t="shared" si="39"/>
        <v>0</v>
      </c>
      <c r="H155" s="735">
        <f t="shared" ref="H155:R155" si="57">-H76</f>
        <v>0</v>
      </c>
      <c r="I155" s="735">
        <f t="shared" si="57"/>
        <v>0</v>
      </c>
      <c r="J155" s="735">
        <f t="shared" si="57"/>
        <v>0</v>
      </c>
      <c r="K155" s="735">
        <f t="shared" si="57"/>
        <v>0</v>
      </c>
      <c r="L155" s="735">
        <f t="shared" si="57"/>
        <v>0</v>
      </c>
      <c r="M155" s="735">
        <f t="shared" si="57"/>
        <v>0</v>
      </c>
      <c r="N155" s="735">
        <f t="shared" si="57"/>
        <v>0</v>
      </c>
      <c r="O155" s="735">
        <f t="shared" si="57"/>
        <v>0</v>
      </c>
      <c r="P155" s="735">
        <f t="shared" si="57"/>
        <v>0</v>
      </c>
      <c r="Q155" s="735">
        <f t="shared" si="57"/>
        <v>0</v>
      </c>
      <c r="R155" s="735">
        <f t="shared" si="57"/>
        <v>0</v>
      </c>
    </row>
    <row r="156" spans="1:18" s="768" customFormat="1" ht="11.5">
      <c r="A156" s="711">
        <v>10</v>
      </c>
      <c r="B156" s="744" t="s">
        <v>1174</v>
      </c>
      <c r="C156" s="748">
        <f>'Balances y Proyecciones'!N156</f>
        <v>0</v>
      </c>
      <c r="D156" s="731"/>
      <c r="E156" s="766">
        <f>'Balances y Proyecciones'!T156</f>
        <v>0</v>
      </c>
      <c r="F156" s="767"/>
      <c r="G156" s="748">
        <f t="shared" si="39"/>
        <v>0</v>
      </c>
      <c r="H156" s="748">
        <f t="shared" ref="H156:R156" si="58">SUM(H152:H155)</f>
        <v>0</v>
      </c>
      <c r="I156" s="748">
        <f t="shared" si="58"/>
        <v>0</v>
      </c>
      <c r="J156" s="748">
        <f t="shared" si="58"/>
        <v>0</v>
      </c>
      <c r="K156" s="748">
        <f t="shared" si="58"/>
        <v>0</v>
      </c>
      <c r="L156" s="748">
        <f t="shared" si="58"/>
        <v>0</v>
      </c>
      <c r="M156" s="748">
        <f t="shared" si="58"/>
        <v>0</v>
      </c>
      <c r="N156" s="748">
        <f t="shared" si="58"/>
        <v>0</v>
      </c>
      <c r="O156" s="748">
        <f t="shared" si="58"/>
        <v>0</v>
      </c>
      <c r="P156" s="748">
        <f t="shared" si="58"/>
        <v>0</v>
      </c>
      <c r="Q156" s="748">
        <f t="shared" si="58"/>
        <v>0</v>
      </c>
      <c r="R156" s="748">
        <f t="shared" si="58"/>
        <v>0</v>
      </c>
    </row>
    <row r="157" spans="1:18" s="772" customFormat="1" ht="11.5">
      <c r="A157" s="769"/>
      <c r="B157" s="754" t="s">
        <v>1175</v>
      </c>
      <c r="C157" s="757">
        <f>'Balances y Proyecciones'!N157</f>
        <v>0</v>
      </c>
      <c r="D157" s="767"/>
      <c r="E157" s="770">
        <f>'Balances y Proyecciones'!T157</f>
        <v>0</v>
      </c>
      <c r="F157" s="771"/>
      <c r="G157" s="757">
        <f t="shared" si="39"/>
        <v>0</v>
      </c>
      <c r="H157" s="757">
        <f t="shared" ref="H157:R157" si="59">H151+H156</f>
        <v>0</v>
      </c>
      <c r="I157" s="757">
        <f t="shared" si="59"/>
        <v>0</v>
      </c>
      <c r="J157" s="757">
        <f t="shared" si="59"/>
        <v>0</v>
      </c>
      <c r="K157" s="757">
        <f t="shared" si="59"/>
        <v>0</v>
      </c>
      <c r="L157" s="757">
        <f t="shared" si="59"/>
        <v>0</v>
      </c>
      <c r="M157" s="757">
        <f t="shared" si="59"/>
        <v>0</v>
      </c>
      <c r="N157" s="757">
        <f t="shared" si="59"/>
        <v>0</v>
      </c>
      <c r="O157" s="757">
        <f t="shared" si="59"/>
        <v>0</v>
      </c>
      <c r="P157" s="757">
        <f t="shared" si="59"/>
        <v>0</v>
      </c>
      <c r="Q157" s="757">
        <f t="shared" si="59"/>
        <v>0</v>
      </c>
      <c r="R157" s="757">
        <f t="shared" si="59"/>
        <v>0</v>
      </c>
    </row>
    <row r="158" spans="1:18" s="536" customFormat="1" ht="12.5">
      <c r="A158" s="706">
        <v>11</v>
      </c>
      <c r="B158" s="722" t="s">
        <v>1176</v>
      </c>
      <c r="C158" s="708">
        <f>'Balances y Proyecciones'!N158</f>
        <v>0</v>
      </c>
      <c r="D158" s="771"/>
      <c r="E158" s="709">
        <f>'Balances y Proyecciones'!T158</f>
        <v>0</v>
      </c>
      <c r="F158" s="545"/>
      <c r="G158" s="710">
        <f t="shared" si="39"/>
        <v>0</v>
      </c>
      <c r="H158" s="710">
        <f t="shared" ref="H158:R158" si="60">IF(H36-G36&gt;=0,H36-G36,0)</f>
        <v>0</v>
      </c>
      <c r="I158" s="710">
        <f t="shared" si="60"/>
        <v>0</v>
      </c>
      <c r="J158" s="710">
        <f t="shared" si="60"/>
        <v>0</v>
      </c>
      <c r="K158" s="710">
        <f t="shared" si="60"/>
        <v>0</v>
      </c>
      <c r="L158" s="710">
        <f t="shared" si="60"/>
        <v>0</v>
      </c>
      <c r="M158" s="710">
        <f t="shared" si="60"/>
        <v>0</v>
      </c>
      <c r="N158" s="710">
        <f t="shared" si="60"/>
        <v>0</v>
      </c>
      <c r="O158" s="710">
        <f t="shared" si="60"/>
        <v>0</v>
      </c>
      <c r="P158" s="710">
        <f t="shared" si="60"/>
        <v>0</v>
      </c>
      <c r="Q158" s="710">
        <f t="shared" si="60"/>
        <v>0</v>
      </c>
      <c r="R158" s="710">
        <f t="shared" si="60"/>
        <v>0</v>
      </c>
    </row>
    <row r="159" spans="1:18" s="536" customFormat="1" ht="12.5">
      <c r="A159" s="736" t="s">
        <v>1177</v>
      </c>
      <c r="B159" s="733" t="s">
        <v>1178</v>
      </c>
      <c r="C159" s="734">
        <f>'Balances y Proyecciones'!N159</f>
        <v>0</v>
      </c>
      <c r="D159" s="545"/>
      <c r="E159" s="709">
        <f>'Balances y Proyecciones'!T159</f>
        <v>0</v>
      </c>
      <c r="F159" s="545"/>
      <c r="G159" s="735">
        <f t="shared" si="39"/>
        <v>0</v>
      </c>
      <c r="H159" s="735" t="e">
        <f>$H$272+IF(AND(#REF!&lt;&gt;0,#REF!=H134),#REF!,0)+IF(AND(#REF!&lt;&gt;0,#REF!=H134),#REF!,0)+IF(AND(#REF!&lt;&gt;0,#REF!=H134),#REF!,0)</f>
        <v>#REF!</v>
      </c>
      <c r="I159" s="735" t="e">
        <f>$I$272+IF(AND(#REF!&lt;&gt;0,#REF!=I134),#REF!,0)+IF(AND(#REF!&lt;&gt;0,#REF!=I134),#REF!,0)+IF(AND(#REF!&lt;&gt;0,#REF!=I134),#REF!,0)</f>
        <v>#REF!</v>
      </c>
      <c r="J159" s="735" t="e">
        <f>$J$272+IF(AND(#REF!&lt;&gt;0,#REF!=J134),#REF!,0)+IF(AND(#REF!&lt;&gt;0,#REF!=J134),#REF!,0)+IF(AND(#REF!&lt;&gt;0,#REF!=J134),#REF!,0)</f>
        <v>#REF!</v>
      </c>
      <c r="K159" s="735" t="e">
        <f>$K$272+IF(AND(#REF!&lt;&gt;0,#REF!=K134),#REF!,0)+IF(AND(#REF!&lt;&gt;0,#REF!=K134),#REF!,0)+IF(AND(#REF!&lt;&gt;0,#REF!=K134),#REF!,0)</f>
        <v>#REF!</v>
      </c>
      <c r="L159" s="735" t="e">
        <f>$L$272+IF(AND(#REF!&lt;&gt;0,#REF!=L134),#REF!,0)+IF(AND(#REF!&lt;&gt;0,#REF!=L134),#REF!,0)+IF(AND(#REF!&lt;&gt;0,#REF!=L134),#REF!,0)</f>
        <v>#REF!</v>
      </c>
      <c r="M159" s="735" t="e">
        <f>$M$272+IF(AND(#REF!&lt;&gt;0,#REF!=M134),#REF!,0)+IF(AND(#REF!&lt;&gt;0,#REF!=M134),#REF!,0)+IF(AND(#REF!&lt;&gt;0,#REF!=M134),#REF!,0)</f>
        <v>#REF!</v>
      </c>
      <c r="N159" s="735" t="e">
        <f>$N$272+IF(AND(#REF!&lt;&gt;0,#REF!=N134),#REF!,0)+IF(AND(#REF!&lt;&gt;0,#REF!=N134),#REF!,0)+IF(AND(#REF!&lt;&gt;0,#REF!=N134),#REF!,0)</f>
        <v>#REF!</v>
      </c>
      <c r="O159" s="735" t="e">
        <f>$O$272+IF(AND(#REF!&lt;&gt;0,#REF!=O134),#REF!,0)+IF(AND(#REF!&lt;&gt;0,#REF!=O134),#REF!,0)+IF(AND(#REF!&lt;&gt;0,#REF!=O134),#REF!,0)</f>
        <v>#REF!</v>
      </c>
      <c r="P159" s="735" t="e">
        <f>$P$272+IF(AND(#REF!&lt;&gt;0,#REF!=P134),#REF!,0)+IF(AND(#REF!&lt;&gt;0,#REF!=P134),#REF!,0)+IF(AND(#REF!&lt;&gt;0,#REF!=P134),#REF!,0)</f>
        <v>#REF!</v>
      </c>
      <c r="Q159" s="735" t="e">
        <f>$Q$272+IF(AND(#REF!&lt;&gt;0,#REF!=Q134),#REF!,0)+IF(AND(#REF!&lt;&gt;0,#REF!=Q134),#REF!,0)+IF(AND(#REF!&lt;&gt;0,#REF!=Q134),#REF!,0)</f>
        <v>#REF!</v>
      </c>
      <c r="R159" s="735" t="e">
        <f>$R$272+IF(AND(#REF!&lt;&gt;0,#REF!=R134),#REF!,0)+IF(AND(#REF!&lt;&gt;0,#REF!=R134),#REF!,0)+IF(AND(#REF!&lt;&gt;0,#REF!=R134),#REF!,0)</f>
        <v>#REF!</v>
      </c>
    </row>
    <row r="160" spans="1:18" s="536" customFormat="1" ht="12.5">
      <c r="A160" s="736" t="s">
        <v>1179</v>
      </c>
      <c r="B160" s="733" t="s">
        <v>1180</v>
      </c>
      <c r="C160" s="734">
        <f>'Balances y Proyecciones'!N160</f>
        <v>0</v>
      </c>
      <c r="D160" s="545"/>
      <c r="E160" s="709">
        <f>'Balances y Proyecciones'!T160</f>
        <v>0</v>
      </c>
      <c r="F160" s="545"/>
      <c r="G160" s="735">
        <f t="shared" si="39"/>
        <v>0</v>
      </c>
      <c r="H160" s="735" t="e">
        <f>IF(AND(#REF!&lt;&gt;0,#REF!=H134),#REF!,0)+IF(AND(#REF!&lt;&gt;0,#REF!=H134),#REF!,0)+IF(AND(#REF!&lt;&gt;0,#REF!=H134),#REF!,0)</f>
        <v>#REF!</v>
      </c>
      <c r="I160" s="735" t="e">
        <f>IF(AND(#REF!&lt;&gt;0,#REF!=I134),#REF!,0)+IF(AND(#REF!&lt;&gt;0,#REF!=I134),#REF!,0)+IF(AND(#REF!&lt;&gt;0,#REF!=I134),#REF!,0)</f>
        <v>#REF!</v>
      </c>
      <c r="J160" s="735" t="e">
        <f>IF(AND(#REF!&lt;&gt;0,#REF!=J134),#REF!,0)+IF(AND(#REF!&lt;&gt;0,#REF!=J134),#REF!,0)+IF(AND(#REF!&lt;&gt;0,#REF!=J134),#REF!,0)</f>
        <v>#REF!</v>
      </c>
      <c r="K160" s="735" t="e">
        <f>IF(AND(#REF!&lt;&gt;0,#REF!=K134),#REF!,0)+IF(AND(#REF!&lt;&gt;0,#REF!=K134),#REF!,0)+IF(AND(#REF!&lt;&gt;0,#REF!=K134),#REF!,0)</f>
        <v>#REF!</v>
      </c>
      <c r="L160" s="735" t="e">
        <f>IF(AND(#REF!&lt;&gt;0,#REF!=L134),#REF!,0)+IF(AND(#REF!&lt;&gt;0,#REF!=L134),#REF!,0)+IF(AND(#REF!&lt;&gt;0,#REF!=L134),#REF!,0)</f>
        <v>#REF!</v>
      </c>
      <c r="M160" s="735" t="e">
        <f>IF(AND(#REF!&lt;&gt;0,#REF!=M134),#REF!,0)+IF(AND(#REF!&lt;&gt;0,#REF!=M134),#REF!,0)+IF(AND(#REF!&lt;&gt;0,#REF!=M134),#REF!,0)</f>
        <v>#REF!</v>
      </c>
      <c r="N160" s="735" t="e">
        <f>IF(AND(#REF!&lt;&gt;0,#REF!=N134),#REF!,0)+IF(AND(#REF!&lt;&gt;0,#REF!=N134),#REF!,0)+IF(AND(#REF!&lt;&gt;0,#REF!=N134),#REF!,0)</f>
        <v>#REF!</v>
      </c>
      <c r="O160" s="735" t="e">
        <f>IF(AND(#REF!&lt;&gt;0,#REF!=O134),#REF!,0)+IF(AND(#REF!&lt;&gt;0,#REF!=O134),#REF!,0)+IF(AND(#REF!&lt;&gt;0,#REF!=O134),#REF!,0)</f>
        <v>#REF!</v>
      </c>
      <c r="P160" s="735" t="e">
        <f>IF(AND(#REF!&lt;&gt;0,#REF!=P134),#REF!,0)+IF(AND(#REF!&lt;&gt;0,#REF!=P134),#REF!,0)+IF(AND(#REF!&lt;&gt;0,#REF!=P134),#REF!,0)</f>
        <v>#REF!</v>
      </c>
      <c r="Q160" s="735" t="e">
        <f>IF(AND(#REF!&lt;&gt;0,#REF!=Q134),#REF!,0)+IF(AND(#REF!&lt;&gt;0,#REF!=Q134),#REF!,0)+IF(AND(#REF!&lt;&gt;0,#REF!=Q134),#REF!,0)</f>
        <v>#REF!</v>
      </c>
      <c r="R160" s="735" t="e">
        <f>IF(AND(#REF!&lt;&gt;0,#REF!=R134),#REF!,0)+IF(AND(#REF!&lt;&gt;0,#REF!=R134),#REF!,0)+IF(AND(#REF!&lt;&gt;0,#REF!=R134),#REF!,0)</f>
        <v>#REF!</v>
      </c>
    </row>
    <row r="161" spans="1:18" s="742" customFormat="1" ht="13">
      <c r="A161" s="736" t="s">
        <v>1070</v>
      </c>
      <c r="B161" s="773" t="str">
        <f>"+ / - "&amp;B43</f>
        <v>+ / - PASIVOS DIFERIDOS C.P.</v>
      </c>
      <c r="C161" s="738">
        <f>'Balances y Proyecciones'!N161</f>
        <v>0</v>
      </c>
      <c r="D161" s="545"/>
      <c r="E161" s="739">
        <f>'Balances y Proyecciones'!T161</f>
        <v>0</v>
      </c>
      <c r="F161" s="743"/>
      <c r="G161" s="774">
        <f t="shared" si="39"/>
        <v>0</v>
      </c>
      <c r="H161" s="774">
        <f t="shared" ref="H161:R161" si="61">H43-G43</f>
        <v>0</v>
      </c>
      <c r="I161" s="774">
        <f t="shared" si="61"/>
        <v>0</v>
      </c>
      <c r="J161" s="774">
        <f t="shared" si="61"/>
        <v>0</v>
      </c>
      <c r="K161" s="774">
        <f t="shared" si="61"/>
        <v>0</v>
      </c>
      <c r="L161" s="774">
        <f t="shared" si="61"/>
        <v>0</v>
      </c>
      <c r="M161" s="774">
        <f t="shared" si="61"/>
        <v>0</v>
      </c>
      <c r="N161" s="774">
        <f t="shared" si="61"/>
        <v>0</v>
      </c>
      <c r="O161" s="774">
        <f t="shared" si="61"/>
        <v>0</v>
      </c>
      <c r="P161" s="774">
        <f t="shared" si="61"/>
        <v>0</v>
      </c>
      <c r="Q161" s="774">
        <f t="shared" si="61"/>
        <v>0</v>
      </c>
      <c r="R161" s="774">
        <f t="shared" si="61"/>
        <v>0</v>
      </c>
    </row>
    <row r="162" spans="1:18" s="742" customFormat="1" ht="13">
      <c r="A162" s="736" t="s">
        <v>1072</v>
      </c>
      <c r="B162" s="773" t="str">
        <f>"+ / - "&amp;B45</f>
        <v>+ / - DEUDAS CON SOCIOS  C.P.</v>
      </c>
      <c r="C162" s="738">
        <f>'Balances y Proyecciones'!N162</f>
        <v>0</v>
      </c>
      <c r="D162" s="743"/>
      <c r="E162" s="739">
        <f>'Balances y Proyecciones'!T162</f>
        <v>0</v>
      </c>
      <c r="F162" s="743"/>
      <c r="G162" s="774">
        <f t="shared" si="39"/>
        <v>0</v>
      </c>
      <c r="H162" s="774">
        <f t="shared" ref="H162:R162" si="62">H45-G45</f>
        <v>0</v>
      </c>
      <c r="I162" s="774">
        <f t="shared" si="62"/>
        <v>0</v>
      </c>
      <c r="J162" s="774">
        <f t="shared" si="62"/>
        <v>0</v>
      </c>
      <c r="K162" s="774">
        <f t="shared" si="62"/>
        <v>0</v>
      </c>
      <c r="L162" s="774">
        <f t="shared" si="62"/>
        <v>0</v>
      </c>
      <c r="M162" s="774">
        <f t="shared" si="62"/>
        <v>0</v>
      </c>
      <c r="N162" s="774">
        <f t="shared" si="62"/>
        <v>0</v>
      </c>
      <c r="O162" s="774">
        <f t="shared" si="62"/>
        <v>0</v>
      </c>
      <c r="P162" s="774">
        <f t="shared" si="62"/>
        <v>0</v>
      </c>
      <c r="Q162" s="774">
        <f t="shared" si="62"/>
        <v>0</v>
      </c>
      <c r="R162" s="774">
        <f t="shared" si="62"/>
        <v>0</v>
      </c>
    </row>
    <row r="163" spans="1:18" s="742" customFormat="1" ht="13">
      <c r="A163" s="736" t="s">
        <v>1074</v>
      </c>
      <c r="B163" s="773" t="str">
        <f>"+ / - "&amp;B46</f>
        <v>+ / - PASIVOS ESTIMADOS Y PROVISIONES</v>
      </c>
      <c r="C163" s="738">
        <f>'Balances y Proyecciones'!N163</f>
        <v>0</v>
      </c>
      <c r="D163" s="743"/>
      <c r="E163" s="739">
        <f>'Balances y Proyecciones'!T163</f>
        <v>0</v>
      </c>
      <c r="F163" s="743"/>
      <c r="G163" s="774">
        <f t="shared" si="39"/>
        <v>0</v>
      </c>
      <c r="H163" s="774">
        <f t="shared" ref="H163:R163" si="63">H46-G46</f>
        <v>0</v>
      </c>
      <c r="I163" s="774">
        <f t="shared" si="63"/>
        <v>0</v>
      </c>
      <c r="J163" s="774">
        <f t="shared" si="63"/>
        <v>0</v>
      </c>
      <c r="K163" s="774">
        <f t="shared" si="63"/>
        <v>0</v>
      </c>
      <c r="L163" s="774">
        <f t="shared" si="63"/>
        <v>0</v>
      </c>
      <c r="M163" s="774">
        <f t="shared" si="63"/>
        <v>0</v>
      </c>
      <c r="N163" s="774">
        <f t="shared" si="63"/>
        <v>0</v>
      </c>
      <c r="O163" s="774">
        <f t="shared" si="63"/>
        <v>0</v>
      </c>
      <c r="P163" s="774">
        <f t="shared" si="63"/>
        <v>0</v>
      </c>
      <c r="Q163" s="774">
        <f t="shared" si="63"/>
        <v>0</v>
      </c>
      <c r="R163" s="774">
        <f t="shared" si="63"/>
        <v>0</v>
      </c>
    </row>
    <row r="164" spans="1:18" s="742" customFormat="1" ht="13">
      <c r="A164" s="736" t="s">
        <v>1181</v>
      </c>
      <c r="B164" s="773" t="str">
        <f>"+ / - "&amp;B47</f>
        <v>+ / - OTROS CORRIENTES</v>
      </c>
      <c r="C164" s="738">
        <f>'Balances y Proyecciones'!N164</f>
        <v>0</v>
      </c>
      <c r="D164" s="743"/>
      <c r="E164" s="739">
        <f>'Balances y Proyecciones'!T164</f>
        <v>0</v>
      </c>
      <c r="F164" s="743"/>
      <c r="G164" s="774">
        <f t="shared" si="39"/>
        <v>0</v>
      </c>
      <c r="H164" s="774">
        <f t="shared" ref="H164:R164" si="64">H47-G47</f>
        <v>0</v>
      </c>
      <c r="I164" s="774">
        <f t="shared" si="64"/>
        <v>0</v>
      </c>
      <c r="J164" s="774">
        <f t="shared" si="64"/>
        <v>0</v>
      </c>
      <c r="K164" s="774">
        <f t="shared" si="64"/>
        <v>0</v>
      </c>
      <c r="L164" s="774">
        <f t="shared" si="64"/>
        <v>0</v>
      </c>
      <c r="M164" s="774">
        <f t="shared" si="64"/>
        <v>0</v>
      </c>
      <c r="N164" s="774">
        <f t="shared" si="64"/>
        <v>0</v>
      </c>
      <c r="O164" s="774">
        <f t="shared" si="64"/>
        <v>0</v>
      </c>
      <c r="P164" s="774">
        <f t="shared" si="64"/>
        <v>0</v>
      </c>
      <c r="Q164" s="774">
        <f t="shared" si="64"/>
        <v>0</v>
      </c>
      <c r="R164" s="774">
        <f t="shared" si="64"/>
        <v>0</v>
      </c>
    </row>
    <row r="165" spans="1:18" s="721" customFormat="1" ht="13">
      <c r="A165" s="732">
        <v>13</v>
      </c>
      <c r="B165" s="775" t="s">
        <v>1182</v>
      </c>
      <c r="C165" s="776">
        <f>'Balances y Proyecciones'!N165</f>
        <v>0</v>
      </c>
      <c r="D165" s="743"/>
      <c r="E165" s="746">
        <f>'Balances y Proyecciones'!T165</f>
        <v>0</v>
      </c>
      <c r="F165" s="719"/>
      <c r="G165" s="774">
        <f t="shared" si="39"/>
        <v>0</v>
      </c>
      <c r="H165" s="774">
        <f t="shared" ref="H165:R165" si="65">SUM(H161:H164)</f>
        <v>0</v>
      </c>
      <c r="I165" s="774">
        <f t="shared" si="65"/>
        <v>0</v>
      </c>
      <c r="J165" s="774">
        <f t="shared" si="65"/>
        <v>0</v>
      </c>
      <c r="K165" s="774">
        <f t="shared" si="65"/>
        <v>0</v>
      </c>
      <c r="L165" s="774">
        <f t="shared" si="65"/>
        <v>0</v>
      </c>
      <c r="M165" s="774">
        <f t="shared" si="65"/>
        <v>0</v>
      </c>
      <c r="N165" s="774">
        <f t="shared" si="65"/>
        <v>0</v>
      </c>
      <c r="O165" s="774">
        <f t="shared" si="65"/>
        <v>0</v>
      </c>
      <c r="P165" s="774">
        <f t="shared" si="65"/>
        <v>0</v>
      </c>
      <c r="Q165" s="774">
        <f t="shared" si="65"/>
        <v>0</v>
      </c>
      <c r="R165" s="774">
        <f t="shared" si="65"/>
        <v>0</v>
      </c>
    </row>
    <row r="166" spans="1:18" s="742" customFormat="1" ht="13">
      <c r="A166" s="736" t="s">
        <v>1183</v>
      </c>
      <c r="B166" s="773" t="str">
        <f t="shared" ref="B166:B171" si="66">"+ / - "&amp;B52</f>
        <v>+ / - PRESTACIONES SOCIALES L.P.</v>
      </c>
      <c r="C166" s="738">
        <f>'Balances y Proyecciones'!N166</f>
        <v>0</v>
      </c>
      <c r="D166" s="719"/>
      <c r="E166" s="739">
        <f>'Balances y Proyecciones'!T166</f>
        <v>0</v>
      </c>
      <c r="F166" s="743"/>
      <c r="G166" s="741">
        <f t="shared" si="39"/>
        <v>0</v>
      </c>
      <c r="H166" s="741">
        <f t="shared" ref="H166:R166" si="67">H52-G52</f>
        <v>0</v>
      </c>
      <c r="I166" s="741">
        <f t="shared" si="67"/>
        <v>0</v>
      </c>
      <c r="J166" s="741">
        <f t="shared" si="67"/>
        <v>0</v>
      </c>
      <c r="K166" s="741">
        <f t="shared" si="67"/>
        <v>0</v>
      </c>
      <c r="L166" s="741">
        <f t="shared" si="67"/>
        <v>0</v>
      </c>
      <c r="M166" s="741">
        <f t="shared" si="67"/>
        <v>0</v>
      </c>
      <c r="N166" s="741">
        <f t="shared" si="67"/>
        <v>0</v>
      </c>
      <c r="O166" s="741">
        <f t="shared" si="67"/>
        <v>0</v>
      </c>
      <c r="P166" s="741">
        <f t="shared" si="67"/>
        <v>0</v>
      </c>
      <c r="Q166" s="741">
        <f t="shared" si="67"/>
        <v>0</v>
      </c>
      <c r="R166" s="741">
        <f t="shared" si="67"/>
        <v>0</v>
      </c>
    </row>
    <row r="167" spans="1:18" s="742" customFormat="1" ht="13">
      <c r="A167" s="736" t="s">
        <v>1184</v>
      </c>
      <c r="B167" s="773" t="str">
        <f t="shared" si="66"/>
        <v>+ / - PENSIONES DE JUBILACIÓN</v>
      </c>
      <c r="C167" s="738">
        <f>'Balances y Proyecciones'!N167</f>
        <v>0</v>
      </c>
      <c r="D167" s="743"/>
      <c r="E167" s="739">
        <f>'Balances y Proyecciones'!T167</f>
        <v>0</v>
      </c>
      <c r="F167" s="743"/>
      <c r="G167" s="741">
        <f t="shared" si="39"/>
        <v>0</v>
      </c>
      <c r="H167" s="741">
        <f t="shared" ref="H167:R167" si="68">H53-G53</f>
        <v>0</v>
      </c>
      <c r="I167" s="741">
        <f t="shared" si="68"/>
        <v>0</v>
      </c>
      <c r="J167" s="741">
        <f t="shared" si="68"/>
        <v>0</v>
      </c>
      <c r="K167" s="741">
        <f t="shared" si="68"/>
        <v>0</v>
      </c>
      <c r="L167" s="741">
        <f t="shared" si="68"/>
        <v>0</v>
      </c>
      <c r="M167" s="741">
        <f t="shared" si="68"/>
        <v>0</v>
      </c>
      <c r="N167" s="741">
        <f t="shared" si="68"/>
        <v>0</v>
      </c>
      <c r="O167" s="741">
        <f t="shared" si="68"/>
        <v>0</v>
      </c>
      <c r="P167" s="741">
        <f t="shared" si="68"/>
        <v>0</v>
      </c>
      <c r="Q167" s="741">
        <f t="shared" si="68"/>
        <v>0</v>
      </c>
      <c r="R167" s="741">
        <f t="shared" si="68"/>
        <v>0</v>
      </c>
    </row>
    <row r="168" spans="1:18" s="742" customFormat="1" ht="13">
      <c r="A168" s="736" t="s">
        <v>1185</v>
      </c>
      <c r="B168" s="773" t="str">
        <f t="shared" si="66"/>
        <v>+ / - DEUDAS CON SOCIOS L.P.</v>
      </c>
      <c r="C168" s="738">
        <f>'Balances y Proyecciones'!N168</f>
        <v>0</v>
      </c>
      <c r="D168" s="743"/>
      <c r="E168" s="739">
        <f>'Balances y Proyecciones'!T168</f>
        <v>0</v>
      </c>
      <c r="F168" s="743"/>
      <c r="G168" s="741">
        <f t="shared" ref="G168:G199" si="69">IF($G$12=1,"Error %",$E168*G$13)</f>
        <v>0</v>
      </c>
      <c r="H168" s="741">
        <f t="shared" ref="H168:R168" si="70">H54-G54</f>
        <v>0</v>
      </c>
      <c r="I168" s="741">
        <f t="shared" si="70"/>
        <v>0</v>
      </c>
      <c r="J168" s="741">
        <f t="shared" si="70"/>
        <v>0</v>
      </c>
      <c r="K168" s="741">
        <f t="shared" si="70"/>
        <v>0</v>
      </c>
      <c r="L168" s="741">
        <f t="shared" si="70"/>
        <v>0</v>
      </c>
      <c r="M168" s="741">
        <f t="shared" si="70"/>
        <v>0</v>
      </c>
      <c r="N168" s="741">
        <f t="shared" si="70"/>
        <v>0</v>
      </c>
      <c r="O168" s="741">
        <f t="shared" si="70"/>
        <v>0</v>
      </c>
      <c r="P168" s="741">
        <f t="shared" si="70"/>
        <v>0</v>
      </c>
      <c r="Q168" s="741">
        <f t="shared" si="70"/>
        <v>0</v>
      </c>
      <c r="R168" s="741">
        <f t="shared" si="70"/>
        <v>0</v>
      </c>
    </row>
    <row r="169" spans="1:18" s="742" customFormat="1" ht="13">
      <c r="A169" s="736" t="s">
        <v>1186</v>
      </c>
      <c r="B169" s="773" t="str">
        <f t="shared" si="66"/>
        <v>+ / - IMPUESTOS DE L.P. (DIFERIDOS)</v>
      </c>
      <c r="C169" s="738">
        <f>'Balances y Proyecciones'!N169</f>
        <v>0</v>
      </c>
      <c r="D169" s="743"/>
      <c r="E169" s="739">
        <f>'Balances y Proyecciones'!T169</f>
        <v>0</v>
      </c>
      <c r="F169" s="743"/>
      <c r="G169" s="741">
        <f t="shared" si="69"/>
        <v>0</v>
      </c>
      <c r="H169" s="741">
        <f t="shared" ref="H169:R169" si="71">H55-G55</f>
        <v>0</v>
      </c>
      <c r="I169" s="741">
        <f t="shared" si="71"/>
        <v>0</v>
      </c>
      <c r="J169" s="741">
        <f t="shared" si="71"/>
        <v>0</v>
      </c>
      <c r="K169" s="741">
        <f t="shared" si="71"/>
        <v>0</v>
      </c>
      <c r="L169" s="741">
        <f t="shared" si="71"/>
        <v>0</v>
      </c>
      <c r="M169" s="741">
        <f t="shared" si="71"/>
        <v>0</v>
      </c>
      <c r="N169" s="741">
        <f t="shared" si="71"/>
        <v>0</v>
      </c>
      <c r="O169" s="741">
        <f t="shared" si="71"/>
        <v>0</v>
      </c>
      <c r="P169" s="741">
        <f t="shared" si="71"/>
        <v>0</v>
      </c>
      <c r="Q169" s="741">
        <f t="shared" si="71"/>
        <v>0</v>
      </c>
      <c r="R169" s="741">
        <f t="shared" si="71"/>
        <v>0</v>
      </c>
    </row>
    <row r="170" spans="1:18" s="742" customFormat="1" ht="13">
      <c r="A170" s="736" t="s">
        <v>1187</v>
      </c>
      <c r="B170" s="777" t="str">
        <f t="shared" si="66"/>
        <v>+ / - PASIVOS ESTIMADOS Y PROVISIONES (DIFERIDOS)</v>
      </c>
      <c r="C170" s="738">
        <f>'Balances y Proyecciones'!N170</f>
        <v>0</v>
      </c>
      <c r="D170" s="743"/>
      <c r="E170" s="739">
        <f>'Balances y Proyecciones'!T170</f>
        <v>0</v>
      </c>
      <c r="F170" s="743"/>
      <c r="G170" s="741">
        <f t="shared" si="69"/>
        <v>0</v>
      </c>
      <c r="H170" s="741">
        <f t="shared" ref="H170:R170" si="72">H56-G56</f>
        <v>0</v>
      </c>
      <c r="I170" s="741">
        <f t="shared" si="72"/>
        <v>0</v>
      </c>
      <c r="J170" s="741">
        <f t="shared" si="72"/>
        <v>0</v>
      </c>
      <c r="K170" s="741">
        <f t="shared" si="72"/>
        <v>0</v>
      </c>
      <c r="L170" s="741">
        <f t="shared" si="72"/>
        <v>0</v>
      </c>
      <c r="M170" s="741">
        <f t="shared" si="72"/>
        <v>0</v>
      </c>
      <c r="N170" s="741">
        <f t="shared" si="72"/>
        <v>0</v>
      </c>
      <c r="O170" s="741">
        <f t="shared" si="72"/>
        <v>0</v>
      </c>
      <c r="P170" s="741">
        <f t="shared" si="72"/>
        <v>0</v>
      </c>
      <c r="Q170" s="741">
        <f t="shared" si="72"/>
        <v>0</v>
      </c>
      <c r="R170" s="741">
        <f t="shared" si="72"/>
        <v>0</v>
      </c>
    </row>
    <row r="171" spans="1:18" s="742" customFormat="1" ht="13">
      <c r="A171" s="736" t="s">
        <v>1188</v>
      </c>
      <c r="B171" s="773" t="str">
        <f t="shared" si="66"/>
        <v xml:space="preserve">+ / - OTROS PASIVOS DE LARGO PLAZO </v>
      </c>
      <c r="C171" s="738">
        <f>'Balances y Proyecciones'!N171</f>
        <v>0</v>
      </c>
      <c r="D171" s="743"/>
      <c r="E171" s="739">
        <f>'Balances y Proyecciones'!T171</f>
        <v>0</v>
      </c>
      <c r="F171" s="743"/>
      <c r="G171" s="741">
        <f t="shared" si="69"/>
        <v>0</v>
      </c>
      <c r="H171" s="741">
        <f t="shared" ref="H171:R171" si="73">H57-H122-G57+G122</f>
        <v>0</v>
      </c>
      <c r="I171" s="741">
        <f t="shared" si="73"/>
        <v>0</v>
      </c>
      <c r="J171" s="741">
        <f t="shared" si="73"/>
        <v>0</v>
      </c>
      <c r="K171" s="741">
        <f t="shared" si="73"/>
        <v>0</v>
      </c>
      <c r="L171" s="741">
        <f t="shared" si="73"/>
        <v>0</v>
      </c>
      <c r="M171" s="741">
        <f t="shared" si="73"/>
        <v>0</v>
      </c>
      <c r="N171" s="741">
        <f t="shared" si="73"/>
        <v>0</v>
      </c>
      <c r="O171" s="741">
        <f t="shared" si="73"/>
        <v>0</v>
      </c>
      <c r="P171" s="741">
        <f t="shared" si="73"/>
        <v>0</v>
      </c>
      <c r="Q171" s="741">
        <f t="shared" si="73"/>
        <v>0</v>
      </c>
      <c r="R171" s="741">
        <f t="shared" si="73"/>
        <v>0</v>
      </c>
    </row>
    <row r="172" spans="1:18" s="721" customFormat="1" ht="13">
      <c r="A172" s="732">
        <v>14</v>
      </c>
      <c r="B172" s="775" t="s">
        <v>1189</v>
      </c>
      <c r="C172" s="776">
        <f>'Balances y Proyecciones'!N172</f>
        <v>0</v>
      </c>
      <c r="D172" s="743"/>
      <c r="E172" s="746">
        <f>'Balances y Proyecciones'!T172</f>
        <v>0</v>
      </c>
      <c r="F172" s="719"/>
      <c r="G172" s="774">
        <f t="shared" si="69"/>
        <v>0</v>
      </c>
      <c r="H172" s="774">
        <f t="shared" ref="H172:R172" si="74">SUM(H166:H171)</f>
        <v>0</v>
      </c>
      <c r="I172" s="774">
        <f t="shared" si="74"/>
        <v>0</v>
      </c>
      <c r="J172" s="774">
        <f t="shared" si="74"/>
        <v>0</v>
      </c>
      <c r="K172" s="774">
        <f t="shared" si="74"/>
        <v>0</v>
      </c>
      <c r="L172" s="774">
        <f t="shared" si="74"/>
        <v>0</v>
      </c>
      <c r="M172" s="774">
        <f t="shared" si="74"/>
        <v>0</v>
      </c>
      <c r="N172" s="774">
        <f t="shared" si="74"/>
        <v>0</v>
      </c>
      <c r="O172" s="774">
        <f t="shared" si="74"/>
        <v>0</v>
      </c>
      <c r="P172" s="774">
        <f t="shared" si="74"/>
        <v>0</v>
      </c>
      <c r="Q172" s="774">
        <f t="shared" si="74"/>
        <v>0</v>
      </c>
      <c r="R172" s="774">
        <f t="shared" si="74"/>
        <v>0</v>
      </c>
    </row>
    <row r="173" spans="1:18" s="536" customFormat="1" ht="12.5">
      <c r="A173" s="732">
        <v>15</v>
      </c>
      <c r="B173" s="733" t="s">
        <v>1190</v>
      </c>
      <c r="C173" s="734">
        <f>'Balances y Proyecciones'!N173</f>
        <v>0</v>
      </c>
      <c r="D173" s="719"/>
      <c r="E173" s="709">
        <f>'Balances y Proyecciones'!T173</f>
        <v>0</v>
      </c>
      <c r="F173" s="545"/>
      <c r="G173" s="735">
        <f t="shared" si="69"/>
        <v>0</v>
      </c>
      <c r="H173" s="735">
        <f t="shared" ref="H173:R173" si="75">H232</f>
        <v>0</v>
      </c>
      <c r="I173" s="735">
        <f t="shared" si="75"/>
        <v>0</v>
      </c>
      <c r="J173" s="735">
        <f t="shared" si="75"/>
        <v>0</v>
      </c>
      <c r="K173" s="735">
        <f t="shared" si="75"/>
        <v>0</v>
      </c>
      <c r="L173" s="735">
        <f t="shared" si="75"/>
        <v>0</v>
      </c>
      <c r="M173" s="735">
        <f t="shared" si="75"/>
        <v>0</v>
      </c>
      <c r="N173" s="735">
        <f t="shared" si="75"/>
        <v>0</v>
      </c>
      <c r="O173" s="735">
        <f t="shared" si="75"/>
        <v>0</v>
      </c>
      <c r="P173" s="735">
        <f t="shared" si="75"/>
        <v>0</v>
      </c>
      <c r="Q173" s="735">
        <f t="shared" si="75"/>
        <v>0</v>
      </c>
      <c r="R173" s="735">
        <f t="shared" si="75"/>
        <v>0</v>
      </c>
    </row>
    <row r="174" spans="1:18" s="726" customFormat="1" ht="12">
      <c r="A174" s="736" t="s">
        <v>1191</v>
      </c>
      <c r="B174" s="737" t="s">
        <v>1192</v>
      </c>
      <c r="C174" s="741">
        <f>'Balances y Proyecciones'!N174</f>
        <v>0</v>
      </c>
      <c r="D174" s="545"/>
      <c r="E174" s="778">
        <f>'Balances y Proyecciones'!T174</f>
        <v>0</v>
      </c>
      <c r="F174" s="731"/>
      <c r="G174" s="741">
        <f t="shared" si="69"/>
        <v>0</v>
      </c>
      <c r="H174" s="741">
        <f t="shared" ref="H174:R174" si="76">H79-H80</f>
        <v>0</v>
      </c>
      <c r="I174" s="741">
        <f t="shared" si="76"/>
        <v>0</v>
      </c>
      <c r="J174" s="741">
        <f t="shared" si="76"/>
        <v>0</v>
      </c>
      <c r="K174" s="741">
        <f t="shared" si="76"/>
        <v>0</v>
      </c>
      <c r="L174" s="741">
        <f t="shared" si="76"/>
        <v>0</v>
      </c>
      <c r="M174" s="741">
        <f t="shared" si="76"/>
        <v>0</v>
      </c>
      <c r="N174" s="741">
        <f t="shared" si="76"/>
        <v>0</v>
      </c>
      <c r="O174" s="741">
        <f t="shared" si="76"/>
        <v>0</v>
      </c>
      <c r="P174" s="741">
        <f t="shared" si="76"/>
        <v>0</v>
      </c>
      <c r="Q174" s="741">
        <f t="shared" si="76"/>
        <v>0</v>
      </c>
      <c r="R174" s="741">
        <f t="shared" si="76"/>
        <v>0</v>
      </c>
    </row>
    <row r="175" spans="1:18" s="742" customFormat="1" ht="13">
      <c r="A175" s="779" t="s">
        <v>1193</v>
      </c>
      <c r="B175" s="773" t="str">
        <f>"+ / - "&amp;B81</f>
        <v>+ / - INGRESOS FINANCIEROS</v>
      </c>
      <c r="C175" s="738">
        <f>'Balances y Proyecciones'!N175</f>
        <v>0</v>
      </c>
      <c r="D175" s="731"/>
      <c r="E175" s="739">
        <f>'Balances y Proyecciones'!T175</f>
        <v>0</v>
      </c>
      <c r="F175" s="743"/>
      <c r="G175" s="741">
        <f t="shared" si="69"/>
        <v>0</v>
      </c>
      <c r="H175" s="741">
        <f t="shared" ref="H175:R175" si="77">H81</f>
        <v>0</v>
      </c>
      <c r="I175" s="741">
        <f t="shared" si="77"/>
        <v>0</v>
      </c>
      <c r="J175" s="741">
        <f t="shared" si="77"/>
        <v>0</v>
      </c>
      <c r="K175" s="741">
        <f t="shared" si="77"/>
        <v>0</v>
      </c>
      <c r="L175" s="741">
        <f t="shared" si="77"/>
        <v>0</v>
      </c>
      <c r="M175" s="741">
        <f t="shared" si="77"/>
        <v>0</v>
      </c>
      <c r="N175" s="741">
        <f t="shared" si="77"/>
        <v>0</v>
      </c>
      <c r="O175" s="741">
        <f t="shared" si="77"/>
        <v>0</v>
      </c>
      <c r="P175" s="741">
        <f t="shared" si="77"/>
        <v>0</v>
      </c>
      <c r="Q175" s="741">
        <f t="shared" si="77"/>
        <v>0</v>
      </c>
      <c r="R175" s="741">
        <f t="shared" si="77"/>
        <v>0</v>
      </c>
    </row>
    <row r="176" spans="1:18" s="742" customFormat="1" ht="13">
      <c r="A176" s="736" t="s">
        <v>1194</v>
      </c>
      <c r="B176" s="773" t="str">
        <f>"+ / - "&amp;B82</f>
        <v>+ / - UTILIDAD (PÉRDIDA) EN VENTA DE ACTIVOS FIJOS</v>
      </c>
      <c r="C176" s="738">
        <f>'Balances y Proyecciones'!N176</f>
        <v>0</v>
      </c>
      <c r="D176" s="743"/>
      <c r="E176" s="739">
        <f>'Balances y Proyecciones'!T176</f>
        <v>0</v>
      </c>
      <c r="F176" s="743"/>
      <c r="G176" s="741">
        <f t="shared" si="69"/>
        <v>0</v>
      </c>
      <c r="H176" s="741">
        <f t="shared" ref="H176:R176" si="78">H82</f>
        <v>0</v>
      </c>
      <c r="I176" s="741">
        <f t="shared" si="78"/>
        <v>0</v>
      </c>
      <c r="J176" s="741">
        <f t="shared" si="78"/>
        <v>0</v>
      </c>
      <c r="K176" s="741">
        <f t="shared" si="78"/>
        <v>0</v>
      </c>
      <c r="L176" s="741">
        <f t="shared" si="78"/>
        <v>0</v>
      </c>
      <c r="M176" s="741">
        <f t="shared" si="78"/>
        <v>0</v>
      </c>
      <c r="N176" s="741">
        <f t="shared" si="78"/>
        <v>0</v>
      </c>
      <c r="O176" s="741">
        <f t="shared" si="78"/>
        <v>0</v>
      </c>
      <c r="P176" s="741">
        <f t="shared" si="78"/>
        <v>0</v>
      </c>
      <c r="Q176" s="741">
        <f t="shared" si="78"/>
        <v>0</v>
      </c>
      <c r="R176" s="741">
        <f t="shared" si="78"/>
        <v>0</v>
      </c>
    </row>
    <row r="177" spans="1:18" s="742" customFormat="1" ht="13">
      <c r="A177" s="736" t="s">
        <v>1195</v>
      </c>
      <c r="B177" s="773" t="str">
        <f>"+ / - "&amp;B83</f>
        <v>+ / - UTILIDAD (PÉRDIDA) EN VENTA DE INVERSIONES</v>
      </c>
      <c r="C177" s="738">
        <f>'Balances y Proyecciones'!N177</f>
        <v>0</v>
      </c>
      <c r="D177" s="743"/>
      <c r="E177" s="739">
        <f>'Balances y Proyecciones'!T177</f>
        <v>0</v>
      </c>
      <c r="F177" s="743"/>
      <c r="G177" s="741">
        <f t="shared" si="69"/>
        <v>0</v>
      </c>
      <c r="H177" s="741">
        <f t="shared" ref="H177:R177" si="79">H83</f>
        <v>0</v>
      </c>
      <c r="I177" s="741">
        <f t="shared" si="79"/>
        <v>0</v>
      </c>
      <c r="J177" s="741">
        <f t="shared" si="79"/>
        <v>0</v>
      </c>
      <c r="K177" s="741">
        <f t="shared" si="79"/>
        <v>0</v>
      </c>
      <c r="L177" s="741">
        <f t="shared" si="79"/>
        <v>0</v>
      </c>
      <c r="M177" s="741">
        <f t="shared" si="79"/>
        <v>0</v>
      </c>
      <c r="N177" s="741">
        <f t="shared" si="79"/>
        <v>0</v>
      </c>
      <c r="O177" s="741">
        <f t="shared" si="79"/>
        <v>0</v>
      </c>
      <c r="P177" s="741">
        <f t="shared" si="79"/>
        <v>0</v>
      </c>
      <c r="Q177" s="741">
        <f t="shared" si="79"/>
        <v>0</v>
      </c>
      <c r="R177" s="741">
        <f t="shared" si="79"/>
        <v>0</v>
      </c>
    </row>
    <row r="178" spans="1:18" s="742" customFormat="1" ht="13">
      <c r="A178" s="736" t="s">
        <v>1196</v>
      </c>
      <c r="B178" s="773" t="str">
        <f>"+ / - "&amp;B84</f>
        <v>+ / - INGRESOS (EGRESOS) POR MÉTODO DE PARTICIPACIÓN</v>
      </c>
      <c r="C178" s="738">
        <f>'Balances y Proyecciones'!N178</f>
        <v>0</v>
      </c>
      <c r="D178" s="743"/>
      <c r="E178" s="739">
        <f>'Balances y Proyecciones'!T178</f>
        <v>0</v>
      </c>
      <c r="F178" s="743"/>
      <c r="G178" s="741">
        <f t="shared" si="69"/>
        <v>0</v>
      </c>
      <c r="H178" s="741">
        <f t="shared" ref="H178:R178" si="80">H84</f>
        <v>0</v>
      </c>
      <c r="I178" s="741">
        <f t="shared" si="80"/>
        <v>0</v>
      </c>
      <c r="J178" s="741">
        <f t="shared" si="80"/>
        <v>0</v>
      </c>
      <c r="K178" s="741">
        <f t="shared" si="80"/>
        <v>0</v>
      </c>
      <c r="L178" s="741">
        <f t="shared" si="80"/>
        <v>0</v>
      </c>
      <c r="M178" s="741">
        <f t="shared" si="80"/>
        <v>0</v>
      </c>
      <c r="N178" s="741">
        <f t="shared" si="80"/>
        <v>0</v>
      </c>
      <c r="O178" s="741">
        <f t="shared" si="80"/>
        <v>0</v>
      </c>
      <c r="P178" s="741">
        <f t="shared" si="80"/>
        <v>0</v>
      </c>
      <c r="Q178" s="741">
        <f t="shared" si="80"/>
        <v>0</v>
      </c>
      <c r="R178" s="741">
        <f t="shared" si="80"/>
        <v>0</v>
      </c>
    </row>
    <row r="179" spans="1:18" s="742" customFormat="1" ht="13">
      <c r="A179" s="736" t="s">
        <v>1197</v>
      </c>
      <c r="B179" s="780" t="s">
        <v>1198</v>
      </c>
      <c r="C179" s="738">
        <f>'Balances y Proyecciones'!N179</f>
        <v>0</v>
      </c>
      <c r="D179" s="743"/>
      <c r="E179" s="739">
        <f>'Balances y Proyecciones'!T179</f>
        <v>0</v>
      </c>
      <c r="F179" s="743"/>
      <c r="G179" s="741">
        <f t="shared" si="69"/>
        <v>0</v>
      </c>
      <c r="H179" s="741">
        <f t="shared" ref="H179:R179" si="81">IF(H78&gt;=0,H78+H85-H86,H85-H86)</f>
        <v>0</v>
      </c>
      <c r="I179" s="741">
        <f t="shared" si="81"/>
        <v>0</v>
      </c>
      <c r="J179" s="741">
        <f t="shared" si="81"/>
        <v>0</v>
      </c>
      <c r="K179" s="741">
        <f t="shared" si="81"/>
        <v>0</v>
      </c>
      <c r="L179" s="741">
        <f t="shared" si="81"/>
        <v>0</v>
      </c>
      <c r="M179" s="741">
        <f t="shared" si="81"/>
        <v>0</v>
      </c>
      <c r="N179" s="741">
        <f t="shared" si="81"/>
        <v>0</v>
      </c>
      <c r="O179" s="741">
        <f t="shared" si="81"/>
        <v>0</v>
      </c>
      <c r="P179" s="741">
        <f t="shared" si="81"/>
        <v>0</v>
      </c>
      <c r="Q179" s="741">
        <f t="shared" si="81"/>
        <v>0</v>
      </c>
      <c r="R179" s="741">
        <f t="shared" si="81"/>
        <v>0</v>
      </c>
    </row>
    <row r="180" spans="1:18" s="721" customFormat="1" ht="13">
      <c r="A180" s="711">
        <v>16</v>
      </c>
      <c r="B180" s="781" t="s">
        <v>1199</v>
      </c>
      <c r="C180" s="745">
        <f>'Balances y Proyecciones'!N180</f>
        <v>0</v>
      </c>
      <c r="D180" s="743"/>
      <c r="E180" s="746">
        <f>'Balances y Proyecciones'!T180</f>
        <v>0</v>
      </c>
      <c r="F180" s="719"/>
      <c r="G180" s="748">
        <f t="shared" si="69"/>
        <v>0</v>
      </c>
      <c r="H180" s="748">
        <f t="shared" ref="H180:R180" si="82">SUM(H174:H179)</f>
        <v>0</v>
      </c>
      <c r="I180" s="748">
        <f t="shared" si="82"/>
        <v>0</v>
      </c>
      <c r="J180" s="748">
        <f t="shared" si="82"/>
        <v>0</v>
      </c>
      <c r="K180" s="748">
        <f t="shared" si="82"/>
        <v>0</v>
      </c>
      <c r="L180" s="748">
        <f t="shared" si="82"/>
        <v>0</v>
      </c>
      <c r="M180" s="748">
        <f t="shared" si="82"/>
        <v>0</v>
      </c>
      <c r="N180" s="748">
        <f t="shared" si="82"/>
        <v>0</v>
      </c>
      <c r="O180" s="748">
        <f t="shared" si="82"/>
        <v>0</v>
      </c>
      <c r="P180" s="748">
        <f t="shared" si="82"/>
        <v>0</v>
      </c>
      <c r="Q180" s="748">
        <f t="shared" si="82"/>
        <v>0</v>
      </c>
      <c r="R180" s="748">
        <f t="shared" si="82"/>
        <v>0</v>
      </c>
    </row>
    <row r="181" spans="1:18" s="536" customFormat="1" ht="13">
      <c r="A181" s="782"/>
      <c r="B181" s="728" t="s">
        <v>1200</v>
      </c>
      <c r="C181" s="750">
        <f>'Balances y Proyecciones'!N181</f>
        <v>0</v>
      </c>
      <c r="D181" s="719"/>
      <c r="E181" s="751">
        <f>'Balances y Proyecciones'!T181</f>
        <v>0</v>
      </c>
      <c r="F181" s="545"/>
      <c r="G181" s="729">
        <f t="shared" si="69"/>
        <v>0</v>
      </c>
      <c r="H181" s="729" t="e">
        <f t="shared" ref="H181:R181" si="83">SUM(H158:H160)+H165+SUM(H172:H173)+H180</f>
        <v>#REF!</v>
      </c>
      <c r="I181" s="729" t="e">
        <f t="shared" si="83"/>
        <v>#REF!</v>
      </c>
      <c r="J181" s="729" t="e">
        <f t="shared" si="83"/>
        <v>#REF!</v>
      </c>
      <c r="K181" s="729" t="e">
        <f t="shared" si="83"/>
        <v>#REF!</v>
      </c>
      <c r="L181" s="729" t="e">
        <f t="shared" si="83"/>
        <v>#REF!</v>
      </c>
      <c r="M181" s="729" t="e">
        <f t="shared" si="83"/>
        <v>#REF!</v>
      </c>
      <c r="N181" s="729" t="e">
        <f t="shared" si="83"/>
        <v>#REF!</v>
      </c>
      <c r="O181" s="729" t="e">
        <f t="shared" si="83"/>
        <v>#REF!</v>
      </c>
      <c r="P181" s="729" t="e">
        <f t="shared" si="83"/>
        <v>#REF!</v>
      </c>
      <c r="Q181" s="729" t="e">
        <f t="shared" si="83"/>
        <v>#REF!</v>
      </c>
      <c r="R181" s="729" t="e">
        <f t="shared" si="83"/>
        <v>#REF!</v>
      </c>
    </row>
    <row r="182" spans="1:18" s="726" customFormat="1" ht="11.5">
      <c r="A182" s="706">
        <v>17</v>
      </c>
      <c r="B182" s="722" t="s">
        <v>1201</v>
      </c>
      <c r="C182" s="708">
        <f>'Balances y Proyecciones'!N182</f>
        <v>0</v>
      </c>
      <c r="D182" s="545"/>
      <c r="E182" s="709">
        <f>'Balances y Proyecciones'!T182</f>
        <v>0</v>
      </c>
      <c r="F182" s="731"/>
      <c r="G182" s="710">
        <f t="shared" si="69"/>
        <v>0</v>
      </c>
      <c r="H182" s="710">
        <f t="shared" ref="H182:R182" si="84">-H95</f>
        <v>0</v>
      </c>
      <c r="I182" s="710">
        <f t="shared" si="84"/>
        <v>0</v>
      </c>
      <c r="J182" s="710">
        <f t="shared" si="84"/>
        <v>0</v>
      </c>
      <c r="K182" s="710">
        <f t="shared" si="84"/>
        <v>0</v>
      </c>
      <c r="L182" s="710">
        <f t="shared" si="84"/>
        <v>0</v>
      </c>
      <c r="M182" s="710">
        <f t="shared" si="84"/>
        <v>0</v>
      </c>
      <c r="N182" s="710">
        <f t="shared" si="84"/>
        <v>0</v>
      </c>
      <c r="O182" s="710">
        <f t="shared" si="84"/>
        <v>0</v>
      </c>
      <c r="P182" s="710">
        <f t="shared" si="84"/>
        <v>0</v>
      </c>
      <c r="Q182" s="710">
        <f t="shared" si="84"/>
        <v>0</v>
      </c>
      <c r="R182" s="710">
        <f t="shared" si="84"/>
        <v>0</v>
      </c>
    </row>
    <row r="183" spans="1:18" s="742" customFormat="1" ht="13">
      <c r="A183" s="736" t="s">
        <v>1202</v>
      </c>
      <c r="B183" s="773" t="str">
        <f>"- / + "&amp;B24</f>
        <v>- / + DEUDORES VARIOS</v>
      </c>
      <c r="C183" s="776">
        <f>'Balances y Proyecciones'!N183</f>
        <v>0</v>
      </c>
      <c r="D183" s="731"/>
      <c r="E183" s="746">
        <f>'Balances y Proyecciones'!T183</f>
        <v>0</v>
      </c>
      <c r="F183" s="743"/>
      <c r="G183" s="774">
        <f t="shared" si="69"/>
        <v>0</v>
      </c>
      <c r="H183" s="774">
        <f t="shared" ref="H183:R183" si="85">-(H24-G24)</f>
        <v>0</v>
      </c>
      <c r="I183" s="774">
        <f t="shared" si="85"/>
        <v>0</v>
      </c>
      <c r="J183" s="774">
        <f t="shared" si="85"/>
        <v>0</v>
      </c>
      <c r="K183" s="774">
        <f t="shared" si="85"/>
        <v>0</v>
      </c>
      <c r="L183" s="774">
        <f t="shared" si="85"/>
        <v>0</v>
      </c>
      <c r="M183" s="774">
        <f t="shared" si="85"/>
        <v>0</v>
      </c>
      <c r="N183" s="774">
        <f t="shared" si="85"/>
        <v>0</v>
      </c>
      <c r="O183" s="774">
        <f t="shared" si="85"/>
        <v>0</v>
      </c>
      <c r="P183" s="774">
        <f t="shared" si="85"/>
        <v>0</v>
      </c>
      <c r="Q183" s="774">
        <f t="shared" si="85"/>
        <v>0</v>
      </c>
      <c r="R183" s="774">
        <f t="shared" si="85"/>
        <v>0</v>
      </c>
    </row>
    <row r="184" spans="1:18" s="742" customFormat="1" ht="13">
      <c r="A184" s="736" t="s">
        <v>1203</v>
      </c>
      <c r="B184" s="773" t="str">
        <f>"- / + "&amp;B25</f>
        <v>- / + OTROS CORRIENTES</v>
      </c>
      <c r="C184" s="776">
        <f>'Balances y Proyecciones'!N184</f>
        <v>0</v>
      </c>
      <c r="D184" s="743"/>
      <c r="E184" s="746">
        <f>'Balances y Proyecciones'!T184</f>
        <v>0</v>
      </c>
      <c r="F184" s="743"/>
      <c r="G184" s="774">
        <f t="shared" si="69"/>
        <v>0</v>
      </c>
      <c r="H184" s="774">
        <f t="shared" ref="H184:R184" si="86">-(H25-G25)</f>
        <v>0</v>
      </c>
      <c r="I184" s="774">
        <f t="shared" si="86"/>
        <v>0</v>
      </c>
      <c r="J184" s="774">
        <f t="shared" si="86"/>
        <v>0</v>
      </c>
      <c r="K184" s="774">
        <f t="shared" si="86"/>
        <v>0</v>
      </c>
      <c r="L184" s="774">
        <f t="shared" si="86"/>
        <v>0</v>
      </c>
      <c r="M184" s="774">
        <f t="shared" si="86"/>
        <v>0</v>
      </c>
      <c r="N184" s="774">
        <f t="shared" si="86"/>
        <v>0</v>
      </c>
      <c r="O184" s="774">
        <f t="shared" si="86"/>
        <v>0</v>
      </c>
      <c r="P184" s="774">
        <f t="shared" si="86"/>
        <v>0</v>
      </c>
      <c r="Q184" s="774">
        <f t="shared" si="86"/>
        <v>0</v>
      </c>
      <c r="R184" s="774">
        <f t="shared" si="86"/>
        <v>0</v>
      </c>
    </row>
    <row r="185" spans="1:18" s="721" customFormat="1" ht="13">
      <c r="A185" s="732">
        <v>18</v>
      </c>
      <c r="B185" s="775" t="s">
        <v>1204</v>
      </c>
      <c r="C185" s="776">
        <f>'Balances y Proyecciones'!N185</f>
        <v>0</v>
      </c>
      <c r="D185" s="743"/>
      <c r="E185" s="746">
        <f>'Balances y Proyecciones'!T185</f>
        <v>0</v>
      </c>
      <c r="F185" s="719"/>
      <c r="G185" s="774">
        <f t="shared" si="69"/>
        <v>0</v>
      </c>
      <c r="H185" s="774">
        <f t="shared" ref="H185:R185" si="87">SUM(H183:H184)</f>
        <v>0</v>
      </c>
      <c r="I185" s="774">
        <f t="shared" si="87"/>
        <v>0</v>
      </c>
      <c r="J185" s="774">
        <f t="shared" si="87"/>
        <v>0</v>
      </c>
      <c r="K185" s="774">
        <f t="shared" si="87"/>
        <v>0</v>
      </c>
      <c r="L185" s="774">
        <f t="shared" si="87"/>
        <v>0</v>
      </c>
      <c r="M185" s="774">
        <f t="shared" si="87"/>
        <v>0</v>
      </c>
      <c r="N185" s="774">
        <f t="shared" si="87"/>
        <v>0</v>
      </c>
      <c r="O185" s="774">
        <f t="shared" si="87"/>
        <v>0</v>
      </c>
      <c r="P185" s="774">
        <f t="shared" si="87"/>
        <v>0</v>
      </c>
      <c r="Q185" s="774">
        <f t="shared" si="87"/>
        <v>0</v>
      </c>
      <c r="R185" s="774">
        <f t="shared" si="87"/>
        <v>0</v>
      </c>
    </row>
    <row r="186" spans="1:18" s="784" customFormat="1" ht="12">
      <c r="A186" s="736" t="s">
        <v>1205</v>
      </c>
      <c r="B186" s="773" t="str">
        <f>"- / + "&amp;B27</f>
        <v>- / + INVERSIONES EN FILIALES Y ASOCIADAS (PERMANENTES)</v>
      </c>
      <c r="C186" s="738">
        <f>'Balances y Proyecciones'!N186</f>
        <v>0</v>
      </c>
      <c r="D186" s="719"/>
      <c r="E186" s="739">
        <f>'Balances y Proyecciones'!T186</f>
        <v>0</v>
      </c>
      <c r="F186" s="783"/>
      <c r="G186" s="741">
        <f t="shared" si="69"/>
        <v>0</v>
      </c>
      <c r="H186" s="741">
        <f t="shared" ref="H186:R186" si="88">-(H27-H118-G27+G118)</f>
        <v>0</v>
      </c>
      <c r="I186" s="741">
        <f t="shared" si="88"/>
        <v>0</v>
      </c>
      <c r="J186" s="741">
        <f t="shared" si="88"/>
        <v>0</v>
      </c>
      <c r="K186" s="741">
        <f t="shared" si="88"/>
        <v>0</v>
      </c>
      <c r="L186" s="741">
        <f t="shared" si="88"/>
        <v>0</v>
      </c>
      <c r="M186" s="741">
        <f t="shared" si="88"/>
        <v>0</v>
      </c>
      <c r="N186" s="741">
        <f t="shared" si="88"/>
        <v>0</v>
      </c>
      <c r="O186" s="741">
        <f t="shared" si="88"/>
        <v>0</v>
      </c>
      <c r="P186" s="741">
        <f t="shared" si="88"/>
        <v>0</v>
      </c>
      <c r="Q186" s="741">
        <f t="shared" si="88"/>
        <v>0</v>
      </c>
      <c r="R186" s="741">
        <f t="shared" si="88"/>
        <v>0</v>
      </c>
    </row>
    <row r="187" spans="1:18" s="784" customFormat="1" ht="12">
      <c r="A187" s="736" t="s">
        <v>1206</v>
      </c>
      <c r="B187" s="773" t="str">
        <f>"- / + "&amp;B30</f>
        <v>- / + INTANGIBLES NETO</v>
      </c>
      <c r="C187" s="738">
        <f>'Balances y Proyecciones'!N187</f>
        <v>0</v>
      </c>
      <c r="D187" s="783"/>
      <c r="E187" s="739">
        <f>'Balances y Proyecciones'!T187</f>
        <v>0</v>
      </c>
      <c r="F187" s="783"/>
      <c r="G187" s="741">
        <f t="shared" si="69"/>
        <v>0</v>
      </c>
      <c r="H187" s="741">
        <f t="shared" ref="H187:R187" si="89">-(H30-(H116-H117)-G30+(G116-G117)+H91)</f>
        <v>0</v>
      </c>
      <c r="I187" s="741">
        <f t="shared" si="89"/>
        <v>0</v>
      </c>
      <c r="J187" s="741">
        <f t="shared" si="89"/>
        <v>0</v>
      </c>
      <c r="K187" s="741">
        <f t="shared" si="89"/>
        <v>0</v>
      </c>
      <c r="L187" s="741">
        <f t="shared" si="89"/>
        <v>0</v>
      </c>
      <c r="M187" s="741">
        <f t="shared" si="89"/>
        <v>0</v>
      </c>
      <c r="N187" s="741">
        <f t="shared" si="89"/>
        <v>0</v>
      </c>
      <c r="O187" s="741">
        <f t="shared" si="89"/>
        <v>0</v>
      </c>
      <c r="P187" s="741">
        <f t="shared" si="89"/>
        <v>0</v>
      </c>
      <c r="Q187" s="741">
        <f t="shared" si="89"/>
        <v>0</v>
      </c>
      <c r="R187" s="741">
        <f t="shared" si="89"/>
        <v>0</v>
      </c>
    </row>
    <row r="188" spans="1:18" s="742" customFormat="1" ht="13">
      <c r="A188" s="736" t="s">
        <v>1207</v>
      </c>
      <c r="B188" s="773" t="str">
        <f>"- / + "&amp;B31</f>
        <v>- / + CARGOS DIFERIDOS NETO</v>
      </c>
      <c r="C188" s="738">
        <f>'Balances y Proyecciones'!N188</f>
        <v>0</v>
      </c>
      <c r="D188" s="783"/>
      <c r="E188" s="739">
        <f>'Balances y Proyecciones'!T188</f>
        <v>0</v>
      </c>
      <c r="F188" s="740"/>
      <c r="G188" s="741">
        <f t="shared" si="69"/>
        <v>0</v>
      </c>
      <c r="H188" s="741">
        <f t="shared" ref="H188:R188" si="90">-(H31-(H119-H120)-G31+(G119-G120)+H92)</f>
        <v>0</v>
      </c>
      <c r="I188" s="741">
        <f t="shared" si="90"/>
        <v>0</v>
      </c>
      <c r="J188" s="741">
        <f t="shared" si="90"/>
        <v>0</v>
      </c>
      <c r="K188" s="741">
        <f t="shared" si="90"/>
        <v>0</v>
      </c>
      <c r="L188" s="741">
        <f t="shared" si="90"/>
        <v>0</v>
      </c>
      <c r="M188" s="741">
        <f t="shared" si="90"/>
        <v>0</v>
      </c>
      <c r="N188" s="741">
        <f t="shared" si="90"/>
        <v>0</v>
      </c>
      <c r="O188" s="741">
        <f t="shared" si="90"/>
        <v>0</v>
      </c>
      <c r="P188" s="741">
        <f t="shared" si="90"/>
        <v>0</v>
      </c>
      <c r="Q188" s="741">
        <f t="shared" si="90"/>
        <v>0</v>
      </c>
      <c r="R188" s="741">
        <f t="shared" si="90"/>
        <v>0</v>
      </c>
    </row>
    <row r="189" spans="1:18" s="742" customFormat="1" ht="13">
      <c r="A189" s="736" t="s">
        <v>1208</v>
      </c>
      <c r="B189" s="773" t="str">
        <f>"- / + "&amp;B32</f>
        <v>- / + OTROS ACTIVOS L.P.</v>
      </c>
      <c r="C189" s="738">
        <f>'Balances y Proyecciones'!N189</f>
        <v>0</v>
      </c>
      <c r="D189" s="740"/>
      <c r="E189" s="739">
        <f>'Balances y Proyecciones'!T189</f>
        <v>0</v>
      </c>
      <c r="F189" s="743"/>
      <c r="G189" s="741">
        <f t="shared" si="69"/>
        <v>0</v>
      </c>
      <c r="H189" s="741">
        <f t="shared" ref="H189:R189" si="91">-(H32-H121-G32+G121)</f>
        <v>0</v>
      </c>
      <c r="I189" s="741">
        <f t="shared" si="91"/>
        <v>0</v>
      </c>
      <c r="J189" s="741">
        <f t="shared" si="91"/>
        <v>0</v>
      </c>
      <c r="K189" s="741">
        <f t="shared" si="91"/>
        <v>0</v>
      </c>
      <c r="L189" s="741">
        <f t="shared" si="91"/>
        <v>0</v>
      </c>
      <c r="M189" s="741">
        <f t="shared" si="91"/>
        <v>0</v>
      </c>
      <c r="N189" s="741">
        <f t="shared" si="91"/>
        <v>0</v>
      </c>
      <c r="O189" s="741">
        <f t="shared" si="91"/>
        <v>0</v>
      </c>
      <c r="P189" s="741">
        <f t="shared" si="91"/>
        <v>0</v>
      </c>
      <c r="Q189" s="741">
        <f t="shared" si="91"/>
        <v>0</v>
      </c>
      <c r="R189" s="741">
        <f t="shared" si="91"/>
        <v>0</v>
      </c>
    </row>
    <row r="190" spans="1:18" s="721" customFormat="1" ht="13">
      <c r="A190" s="711">
        <v>19</v>
      </c>
      <c r="B190" s="744" t="s">
        <v>1209</v>
      </c>
      <c r="C190" s="745">
        <f>'Balances y Proyecciones'!N190</f>
        <v>0</v>
      </c>
      <c r="D190" s="743"/>
      <c r="E190" s="746">
        <f>'Balances y Proyecciones'!T190</f>
        <v>0</v>
      </c>
      <c r="F190" s="719"/>
      <c r="G190" s="748">
        <f t="shared" si="69"/>
        <v>0</v>
      </c>
      <c r="H190" s="748">
        <f t="shared" ref="H190:R190" si="92">SUM(H186:H189)</f>
        <v>0</v>
      </c>
      <c r="I190" s="748">
        <f t="shared" si="92"/>
        <v>0</v>
      </c>
      <c r="J190" s="748">
        <f t="shared" si="92"/>
        <v>0</v>
      </c>
      <c r="K190" s="748">
        <f t="shared" si="92"/>
        <v>0</v>
      </c>
      <c r="L190" s="748">
        <f t="shared" si="92"/>
        <v>0</v>
      </c>
      <c r="M190" s="748">
        <f t="shared" si="92"/>
        <v>0</v>
      </c>
      <c r="N190" s="748">
        <f t="shared" si="92"/>
        <v>0</v>
      </c>
      <c r="O190" s="748">
        <f t="shared" si="92"/>
        <v>0</v>
      </c>
      <c r="P190" s="748">
        <f t="shared" si="92"/>
        <v>0</v>
      </c>
      <c r="Q190" s="748">
        <f t="shared" si="92"/>
        <v>0</v>
      </c>
      <c r="R190" s="748">
        <f t="shared" si="92"/>
        <v>0</v>
      </c>
    </row>
    <row r="191" spans="1:18" s="536" customFormat="1" ht="13">
      <c r="A191" s="644"/>
      <c r="B191" s="785" t="s">
        <v>1210</v>
      </c>
      <c r="C191" s="786">
        <f>'Balances y Proyecciones'!N191</f>
        <v>0</v>
      </c>
      <c r="D191" s="719"/>
      <c r="E191" s="787">
        <f>'Balances y Proyecciones'!T191</f>
        <v>0</v>
      </c>
      <c r="F191" s="545"/>
      <c r="G191" s="788">
        <f t="shared" si="69"/>
        <v>0</v>
      </c>
      <c r="H191" s="788">
        <f t="shared" ref="H191:R191" si="93">H182+H185+H190</f>
        <v>0</v>
      </c>
      <c r="I191" s="788">
        <f t="shared" si="93"/>
        <v>0</v>
      </c>
      <c r="J191" s="788">
        <f t="shared" si="93"/>
        <v>0</v>
      </c>
      <c r="K191" s="788">
        <f t="shared" si="93"/>
        <v>0</v>
      </c>
      <c r="L191" s="788">
        <f t="shared" si="93"/>
        <v>0</v>
      </c>
      <c r="M191" s="788">
        <f t="shared" si="93"/>
        <v>0</v>
      </c>
      <c r="N191" s="788">
        <f t="shared" si="93"/>
        <v>0</v>
      </c>
      <c r="O191" s="788">
        <f t="shared" si="93"/>
        <v>0</v>
      </c>
      <c r="P191" s="788">
        <f t="shared" si="93"/>
        <v>0</v>
      </c>
      <c r="Q191" s="788">
        <f t="shared" si="93"/>
        <v>0</v>
      </c>
      <c r="R191" s="788">
        <f t="shared" si="93"/>
        <v>0</v>
      </c>
    </row>
    <row r="192" spans="1:18" s="772" customFormat="1" ht="12">
      <c r="A192" s="789" t="s">
        <v>1080</v>
      </c>
      <c r="B192" s="790" t="s">
        <v>1211</v>
      </c>
      <c r="C192" s="791">
        <f>'Balances y Proyecciones'!N192</f>
        <v>0</v>
      </c>
      <c r="D192" s="545"/>
      <c r="E192" s="778">
        <f>'Balances y Proyecciones'!T192</f>
        <v>0</v>
      </c>
      <c r="F192" s="771"/>
      <c r="G192" s="791">
        <f t="shared" si="69"/>
        <v>0</v>
      </c>
      <c r="H192" s="791">
        <f t="shared" ref="H192:R192" si="94">-H29-H115+G29+G115</f>
        <v>0</v>
      </c>
      <c r="I192" s="791">
        <f t="shared" si="94"/>
        <v>0</v>
      </c>
      <c r="J192" s="791">
        <f t="shared" si="94"/>
        <v>0</v>
      </c>
      <c r="K192" s="791">
        <f t="shared" si="94"/>
        <v>0</v>
      </c>
      <c r="L192" s="791">
        <f t="shared" si="94"/>
        <v>0</v>
      </c>
      <c r="M192" s="791">
        <f t="shared" si="94"/>
        <v>0</v>
      </c>
      <c r="N192" s="791">
        <f t="shared" si="94"/>
        <v>0</v>
      </c>
      <c r="O192" s="791">
        <f t="shared" si="94"/>
        <v>0</v>
      </c>
      <c r="P192" s="791">
        <f t="shared" si="94"/>
        <v>0</v>
      </c>
      <c r="Q192" s="791">
        <f t="shared" si="94"/>
        <v>0</v>
      </c>
      <c r="R192" s="791">
        <f t="shared" si="94"/>
        <v>0</v>
      </c>
    </row>
    <row r="193" spans="1:18" s="742" customFormat="1" ht="13">
      <c r="A193" s="789" t="s">
        <v>1081</v>
      </c>
      <c r="B193" s="780" t="s">
        <v>1212</v>
      </c>
      <c r="C193" s="738">
        <f>'Balances y Proyecciones'!N193</f>
        <v>0</v>
      </c>
      <c r="D193" s="771"/>
      <c r="E193" s="739">
        <f>'Balances y Proyecciones'!T193</f>
        <v>0</v>
      </c>
      <c r="F193" s="743"/>
      <c r="G193" s="741">
        <f t="shared" si="69"/>
        <v>0</v>
      </c>
      <c r="H193" s="741">
        <f t="shared" ref="H193:R193" si="95">-H20+G20</f>
        <v>0</v>
      </c>
      <c r="I193" s="741">
        <f t="shared" si="95"/>
        <v>0</v>
      </c>
      <c r="J193" s="741">
        <f t="shared" si="95"/>
        <v>0</v>
      </c>
      <c r="K193" s="741">
        <f t="shared" si="95"/>
        <v>0</v>
      </c>
      <c r="L193" s="741">
        <f t="shared" si="95"/>
        <v>0</v>
      </c>
      <c r="M193" s="741">
        <f t="shared" si="95"/>
        <v>0</v>
      </c>
      <c r="N193" s="741">
        <f t="shared" si="95"/>
        <v>0</v>
      </c>
      <c r="O193" s="741">
        <f t="shared" si="95"/>
        <v>0</v>
      </c>
      <c r="P193" s="741">
        <f t="shared" si="95"/>
        <v>0</v>
      </c>
      <c r="Q193" s="741">
        <f t="shared" si="95"/>
        <v>0</v>
      </c>
      <c r="R193" s="741">
        <f t="shared" si="95"/>
        <v>0</v>
      </c>
    </row>
    <row r="194" spans="1:18" s="742" customFormat="1" ht="13">
      <c r="A194" s="789" t="s">
        <v>1213</v>
      </c>
      <c r="B194" s="780" t="s">
        <v>1214</v>
      </c>
      <c r="C194" s="738">
        <f>'Balances y Proyecciones'!N194</f>
        <v>0</v>
      </c>
      <c r="D194" s="743"/>
      <c r="E194" s="739">
        <f>'Balances y Proyecciones'!T194</f>
        <v>0</v>
      </c>
      <c r="F194" s="743"/>
      <c r="G194" s="741">
        <f t="shared" si="69"/>
        <v>0</v>
      </c>
      <c r="H194" s="741">
        <f t="shared" ref="H194:R194" si="96">-H22+G22</f>
        <v>0</v>
      </c>
      <c r="I194" s="741">
        <f t="shared" si="96"/>
        <v>0</v>
      </c>
      <c r="J194" s="741">
        <f t="shared" si="96"/>
        <v>0</v>
      </c>
      <c r="K194" s="741">
        <f t="shared" si="96"/>
        <v>0</v>
      </c>
      <c r="L194" s="741">
        <f t="shared" si="96"/>
        <v>0</v>
      </c>
      <c r="M194" s="741">
        <f t="shared" si="96"/>
        <v>0</v>
      </c>
      <c r="N194" s="741">
        <f t="shared" si="96"/>
        <v>0</v>
      </c>
      <c r="O194" s="741">
        <f t="shared" si="96"/>
        <v>0</v>
      </c>
      <c r="P194" s="741">
        <f t="shared" si="96"/>
        <v>0</v>
      </c>
      <c r="Q194" s="741">
        <f t="shared" si="96"/>
        <v>0</v>
      </c>
      <c r="R194" s="741">
        <f t="shared" si="96"/>
        <v>0</v>
      </c>
    </row>
    <row r="195" spans="1:18" s="742" customFormat="1" ht="13">
      <c r="A195" s="789" t="s">
        <v>1215</v>
      </c>
      <c r="B195" s="737" t="s">
        <v>1216</v>
      </c>
      <c r="C195" s="738">
        <f>'Balances y Proyecciones'!N195</f>
        <v>0</v>
      </c>
      <c r="D195" s="743"/>
      <c r="E195" s="739">
        <f>'Balances y Proyecciones'!T195</f>
        <v>0</v>
      </c>
      <c r="F195" s="743"/>
      <c r="G195" s="741">
        <f t="shared" si="69"/>
        <v>0</v>
      </c>
      <c r="H195" s="741">
        <f t="shared" ref="H195:R195" si="97">-H90</f>
        <v>0</v>
      </c>
      <c r="I195" s="741">
        <f t="shared" si="97"/>
        <v>0</v>
      </c>
      <c r="J195" s="741">
        <f t="shared" si="97"/>
        <v>0</v>
      </c>
      <c r="K195" s="741">
        <f t="shared" si="97"/>
        <v>0</v>
      </c>
      <c r="L195" s="741">
        <f t="shared" si="97"/>
        <v>0</v>
      </c>
      <c r="M195" s="741">
        <f t="shared" si="97"/>
        <v>0</v>
      </c>
      <c r="N195" s="741">
        <f t="shared" si="97"/>
        <v>0</v>
      </c>
      <c r="O195" s="741">
        <f t="shared" si="97"/>
        <v>0</v>
      </c>
      <c r="P195" s="741">
        <f t="shared" si="97"/>
        <v>0</v>
      </c>
      <c r="Q195" s="741">
        <f t="shared" si="97"/>
        <v>0</v>
      </c>
      <c r="R195" s="741">
        <f t="shared" si="97"/>
        <v>0</v>
      </c>
    </row>
    <row r="196" spans="1:18" s="721" customFormat="1" ht="13">
      <c r="A196" s="706">
        <v>20</v>
      </c>
      <c r="B196" s="775" t="s">
        <v>1217</v>
      </c>
      <c r="C196" s="776">
        <f>'Balances y Proyecciones'!N196</f>
        <v>0</v>
      </c>
      <c r="D196" s="743"/>
      <c r="E196" s="746">
        <f>'Balances y Proyecciones'!T196</f>
        <v>0</v>
      </c>
      <c r="F196" s="719"/>
      <c r="G196" s="774">
        <f t="shared" si="69"/>
        <v>0</v>
      </c>
      <c r="H196" s="774">
        <f t="shared" ref="H196:R196" si="98">SUM(H192:H195)</f>
        <v>0</v>
      </c>
      <c r="I196" s="774">
        <f t="shared" si="98"/>
        <v>0</v>
      </c>
      <c r="J196" s="774">
        <f t="shared" si="98"/>
        <v>0</v>
      </c>
      <c r="K196" s="774">
        <f t="shared" si="98"/>
        <v>0</v>
      </c>
      <c r="L196" s="774">
        <f t="shared" si="98"/>
        <v>0</v>
      </c>
      <c r="M196" s="774">
        <f t="shared" si="98"/>
        <v>0</v>
      </c>
      <c r="N196" s="774">
        <f t="shared" si="98"/>
        <v>0</v>
      </c>
      <c r="O196" s="774">
        <f t="shared" si="98"/>
        <v>0</v>
      </c>
      <c r="P196" s="774">
        <f t="shared" si="98"/>
        <v>0</v>
      </c>
      <c r="Q196" s="774">
        <f t="shared" si="98"/>
        <v>0</v>
      </c>
      <c r="R196" s="774">
        <f t="shared" si="98"/>
        <v>0</v>
      </c>
    </row>
    <row r="197" spans="1:18" s="742" customFormat="1" ht="13">
      <c r="A197" s="736" t="s">
        <v>1082</v>
      </c>
      <c r="B197" s="737" t="s">
        <v>1218</v>
      </c>
      <c r="C197" s="738">
        <f>'Balances y Proyecciones'!N197</f>
        <v>0</v>
      </c>
      <c r="D197" s="719"/>
      <c r="E197" s="739">
        <f>'Balances y Proyecciones'!T197</f>
        <v>0</v>
      </c>
      <c r="F197" s="743"/>
      <c r="G197" s="738">
        <f t="shared" si="69"/>
        <v>0</v>
      </c>
      <c r="H197" s="741">
        <f t="shared" ref="H197:R197" si="99">-(H113-G113)</f>
        <v>0</v>
      </c>
      <c r="I197" s="741">
        <f t="shared" si="99"/>
        <v>0</v>
      </c>
      <c r="J197" s="741">
        <f t="shared" si="99"/>
        <v>0</v>
      </c>
      <c r="K197" s="741">
        <f t="shared" si="99"/>
        <v>0</v>
      </c>
      <c r="L197" s="741">
        <f t="shared" si="99"/>
        <v>0</v>
      </c>
      <c r="M197" s="741">
        <f t="shared" si="99"/>
        <v>0</v>
      </c>
      <c r="N197" s="741">
        <f t="shared" si="99"/>
        <v>0</v>
      </c>
      <c r="O197" s="741">
        <f t="shared" si="99"/>
        <v>0</v>
      </c>
      <c r="P197" s="741">
        <f t="shared" si="99"/>
        <v>0</v>
      </c>
      <c r="Q197" s="741">
        <f t="shared" si="99"/>
        <v>0</v>
      </c>
      <c r="R197" s="741">
        <f t="shared" si="99"/>
        <v>0</v>
      </c>
    </row>
    <row r="198" spans="1:18" s="742" customFormat="1" ht="13">
      <c r="A198" s="736" t="s">
        <v>1083</v>
      </c>
      <c r="B198" s="780" t="s">
        <v>1219</v>
      </c>
      <c r="C198" s="738">
        <f>'Balances y Proyecciones'!N198</f>
        <v>0</v>
      </c>
      <c r="D198" s="743"/>
      <c r="E198" s="739">
        <f>'Balances y Proyecciones'!T198</f>
        <v>0</v>
      </c>
      <c r="F198" s="743"/>
      <c r="G198" s="738">
        <f t="shared" si="69"/>
        <v>0</v>
      </c>
      <c r="H198" s="741">
        <f t="shared" ref="H198:R198" si="100">-H114</f>
        <v>0</v>
      </c>
      <c r="I198" s="741">
        <f t="shared" si="100"/>
        <v>0</v>
      </c>
      <c r="J198" s="741">
        <f t="shared" si="100"/>
        <v>0</v>
      </c>
      <c r="K198" s="741">
        <f t="shared" si="100"/>
        <v>0</v>
      </c>
      <c r="L198" s="741">
        <f t="shared" si="100"/>
        <v>0</v>
      </c>
      <c r="M198" s="741">
        <f t="shared" si="100"/>
        <v>0</v>
      </c>
      <c r="N198" s="741">
        <f t="shared" si="100"/>
        <v>0</v>
      </c>
      <c r="O198" s="741">
        <f t="shared" si="100"/>
        <v>0</v>
      </c>
      <c r="P198" s="741">
        <f t="shared" si="100"/>
        <v>0</v>
      </c>
      <c r="Q198" s="741">
        <f t="shared" si="100"/>
        <v>0</v>
      </c>
      <c r="R198" s="741">
        <f t="shared" si="100"/>
        <v>0</v>
      </c>
    </row>
    <row r="199" spans="1:18" s="742" customFormat="1" ht="13">
      <c r="A199" s="736" t="s">
        <v>1085</v>
      </c>
      <c r="B199" s="780" t="s">
        <v>1220</v>
      </c>
      <c r="C199" s="738">
        <f>'Balances y Proyecciones'!N199</f>
        <v>0</v>
      </c>
      <c r="D199" s="743"/>
      <c r="E199" s="739">
        <f>'Balances y Proyecciones'!T199</f>
        <v>0</v>
      </c>
      <c r="F199" s="743"/>
      <c r="G199" s="738">
        <f t="shared" si="69"/>
        <v>0</v>
      </c>
      <c r="H199" s="741">
        <f t="shared" ref="H199:R199" si="101">H115</f>
        <v>0</v>
      </c>
      <c r="I199" s="741">
        <f t="shared" si="101"/>
        <v>0</v>
      </c>
      <c r="J199" s="741">
        <f t="shared" si="101"/>
        <v>0</v>
      </c>
      <c r="K199" s="741">
        <f t="shared" si="101"/>
        <v>0</v>
      </c>
      <c r="L199" s="741">
        <f t="shared" si="101"/>
        <v>0</v>
      </c>
      <c r="M199" s="741">
        <f t="shared" si="101"/>
        <v>0</v>
      </c>
      <c r="N199" s="741">
        <f t="shared" si="101"/>
        <v>0</v>
      </c>
      <c r="O199" s="741">
        <f t="shared" si="101"/>
        <v>0</v>
      </c>
      <c r="P199" s="741">
        <f t="shared" si="101"/>
        <v>0</v>
      </c>
      <c r="Q199" s="741">
        <f t="shared" si="101"/>
        <v>0</v>
      </c>
      <c r="R199" s="741">
        <f t="shared" si="101"/>
        <v>0</v>
      </c>
    </row>
    <row r="200" spans="1:18" s="742" customFormat="1" ht="13">
      <c r="A200" s="736" t="s">
        <v>1221</v>
      </c>
      <c r="B200" s="780" t="s">
        <v>1222</v>
      </c>
      <c r="C200" s="738">
        <f>'Balances y Proyecciones'!N200</f>
        <v>0</v>
      </c>
      <c r="D200" s="743"/>
      <c r="E200" s="739">
        <f>'Balances y Proyecciones'!T200</f>
        <v>0</v>
      </c>
      <c r="F200" s="743"/>
      <c r="G200" s="738">
        <f t="shared" ref="G200:G213" si="102">IF($G$12=1,"Error %",$E200*G$13)</f>
        <v>0</v>
      </c>
      <c r="H200" s="741">
        <f t="shared" ref="H200:R200" si="103">-(H118-G118)</f>
        <v>0</v>
      </c>
      <c r="I200" s="741">
        <f t="shared" si="103"/>
        <v>0</v>
      </c>
      <c r="J200" s="741">
        <f t="shared" si="103"/>
        <v>0</v>
      </c>
      <c r="K200" s="741">
        <f t="shared" si="103"/>
        <v>0</v>
      </c>
      <c r="L200" s="741">
        <f t="shared" si="103"/>
        <v>0</v>
      </c>
      <c r="M200" s="741">
        <f t="shared" si="103"/>
        <v>0</v>
      </c>
      <c r="N200" s="741">
        <f t="shared" si="103"/>
        <v>0</v>
      </c>
      <c r="O200" s="741">
        <f t="shared" si="103"/>
        <v>0</v>
      </c>
      <c r="P200" s="741">
        <f t="shared" si="103"/>
        <v>0</v>
      </c>
      <c r="Q200" s="741">
        <f t="shared" si="103"/>
        <v>0</v>
      </c>
      <c r="R200" s="741">
        <f t="shared" si="103"/>
        <v>0</v>
      </c>
    </row>
    <row r="201" spans="1:18" s="742" customFormat="1" ht="13">
      <c r="A201" s="736" t="s">
        <v>1223</v>
      </c>
      <c r="B201" s="780" t="s">
        <v>1224</v>
      </c>
      <c r="C201" s="738">
        <f>'Balances y Proyecciones'!N201</f>
        <v>0</v>
      </c>
      <c r="D201" s="743"/>
      <c r="E201" s="739">
        <f>'Balances y Proyecciones'!T201</f>
        <v>0</v>
      </c>
      <c r="F201" s="743"/>
      <c r="G201" s="738">
        <f t="shared" si="102"/>
        <v>0</v>
      </c>
      <c r="H201" s="741">
        <f t="shared" ref="H201:R201" si="104">-(H116-G116)</f>
        <v>0</v>
      </c>
      <c r="I201" s="741">
        <f t="shared" si="104"/>
        <v>0</v>
      </c>
      <c r="J201" s="741">
        <f t="shared" si="104"/>
        <v>0</v>
      </c>
      <c r="K201" s="741">
        <f t="shared" si="104"/>
        <v>0</v>
      </c>
      <c r="L201" s="741">
        <f t="shared" si="104"/>
        <v>0</v>
      </c>
      <c r="M201" s="741">
        <f t="shared" si="104"/>
        <v>0</v>
      </c>
      <c r="N201" s="741">
        <f t="shared" si="104"/>
        <v>0</v>
      </c>
      <c r="O201" s="741">
        <f t="shared" si="104"/>
        <v>0</v>
      </c>
      <c r="P201" s="741">
        <f t="shared" si="104"/>
        <v>0</v>
      </c>
      <c r="Q201" s="741">
        <f t="shared" si="104"/>
        <v>0</v>
      </c>
      <c r="R201" s="741">
        <f t="shared" si="104"/>
        <v>0</v>
      </c>
    </row>
    <row r="202" spans="1:18" s="742" customFormat="1" ht="13">
      <c r="A202" s="736" t="s">
        <v>1225</v>
      </c>
      <c r="B202" s="780" t="s">
        <v>1226</v>
      </c>
      <c r="C202" s="738">
        <f>'Balances y Proyecciones'!N202</f>
        <v>0</v>
      </c>
      <c r="D202" s="743"/>
      <c r="E202" s="739">
        <f>'Balances y Proyecciones'!T202</f>
        <v>0</v>
      </c>
      <c r="F202" s="743"/>
      <c r="G202" s="738">
        <f t="shared" si="102"/>
        <v>0</v>
      </c>
      <c r="H202" s="741">
        <f t="shared" ref="H202:R202" si="105">H117-G117</f>
        <v>0</v>
      </c>
      <c r="I202" s="741">
        <f t="shared" si="105"/>
        <v>0</v>
      </c>
      <c r="J202" s="741">
        <f t="shared" si="105"/>
        <v>0</v>
      </c>
      <c r="K202" s="741">
        <f t="shared" si="105"/>
        <v>0</v>
      </c>
      <c r="L202" s="741">
        <f t="shared" si="105"/>
        <v>0</v>
      </c>
      <c r="M202" s="741">
        <f t="shared" si="105"/>
        <v>0</v>
      </c>
      <c r="N202" s="741">
        <f t="shared" si="105"/>
        <v>0</v>
      </c>
      <c r="O202" s="741">
        <f t="shared" si="105"/>
        <v>0</v>
      </c>
      <c r="P202" s="741">
        <f t="shared" si="105"/>
        <v>0</v>
      </c>
      <c r="Q202" s="741">
        <f t="shared" si="105"/>
        <v>0</v>
      </c>
      <c r="R202" s="741">
        <f t="shared" si="105"/>
        <v>0</v>
      </c>
    </row>
    <row r="203" spans="1:18" s="742" customFormat="1" ht="13">
      <c r="A203" s="736" t="s">
        <v>1227</v>
      </c>
      <c r="B203" s="780" t="s">
        <v>1228</v>
      </c>
      <c r="C203" s="738">
        <f>'Balances y Proyecciones'!N203</f>
        <v>0</v>
      </c>
      <c r="D203" s="743"/>
      <c r="E203" s="739">
        <f>'Balances y Proyecciones'!T203</f>
        <v>0</v>
      </c>
      <c r="F203" s="740"/>
      <c r="G203" s="738">
        <f t="shared" si="102"/>
        <v>0</v>
      </c>
      <c r="H203" s="741">
        <f t="shared" ref="H203:R203" si="106">-(H119-G119)</f>
        <v>0</v>
      </c>
      <c r="I203" s="741">
        <f t="shared" si="106"/>
        <v>0</v>
      </c>
      <c r="J203" s="741">
        <f t="shared" si="106"/>
        <v>0</v>
      </c>
      <c r="K203" s="741">
        <f t="shared" si="106"/>
        <v>0</v>
      </c>
      <c r="L203" s="741">
        <f t="shared" si="106"/>
        <v>0</v>
      </c>
      <c r="M203" s="741">
        <f t="shared" si="106"/>
        <v>0</v>
      </c>
      <c r="N203" s="741">
        <f t="shared" si="106"/>
        <v>0</v>
      </c>
      <c r="O203" s="741">
        <f t="shared" si="106"/>
        <v>0</v>
      </c>
      <c r="P203" s="741">
        <f t="shared" si="106"/>
        <v>0</v>
      </c>
      <c r="Q203" s="741">
        <f t="shared" si="106"/>
        <v>0</v>
      </c>
      <c r="R203" s="741">
        <f t="shared" si="106"/>
        <v>0</v>
      </c>
    </row>
    <row r="204" spans="1:18" s="742" customFormat="1" ht="13">
      <c r="A204" s="736" t="s">
        <v>1229</v>
      </c>
      <c r="B204" s="780" t="s">
        <v>1230</v>
      </c>
      <c r="C204" s="738">
        <f>'Balances y Proyecciones'!N204</f>
        <v>0</v>
      </c>
      <c r="D204" s="740"/>
      <c r="E204" s="739">
        <f>'Balances y Proyecciones'!T204</f>
        <v>0</v>
      </c>
      <c r="F204" s="743"/>
      <c r="G204" s="738">
        <f t="shared" si="102"/>
        <v>0</v>
      </c>
      <c r="H204" s="741">
        <f t="shared" ref="H204:R204" si="107">H120-G120</f>
        <v>0</v>
      </c>
      <c r="I204" s="741">
        <f t="shared" si="107"/>
        <v>0</v>
      </c>
      <c r="J204" s="741">
        <f t="shared" si="107"/>
        <v>0</v>
      </c>
      <c r="K204" s="741">
        <f t="shared" si="107"/>
        <v>0</v>
      </c>
      <c r="L204" s="741">
        <f t="shared" si="107"/>
        <v>0</v>
      </c>
      <c r="M204" s="741">
        <f t="shared" si="107"/>
        <v>0</v>
      </c>
      <c r="N204" s="741">
        <f t="shared" si="107"/>
        <v>0</v>
      </c>
      <c r="O204" s="741">
        <f t="shared" si="107"/>
        <v>0</v>
      </c>
      <c r="P204" s="741">
        <f t="shared" si="107"/>
        <v>0</v>
      </c>
      <c r="Q204" s="741">
        <f t="shared" si="107"/>
        <v>0</v>
      </c>
      <c r="R204" s="741">
        <f t="shared" si="107"/>
        <v>0</v>
      </c>
    </row>
    <row r="205" spans="1:18" s="742" customFormat="1" ht="13">
      <c r="A205" s="736" t="s">
        <v>1231</v>
      </c>
      <c r="B205" s="780" t="s">
        <v>1232</v>
      </c>
      <c r="C205" s="738">
        <f>'Balances y Proyecciones'!N205</f>
        <v>0</v>
      </c>
      <c r="D205" s="743"/>
      <c r="E205" s="739">
        <f>'Balances y Proyecciones'!T205</f>
        <v>0</v>
      </c>
      <c r="F205" s="743"/>
      <c r="G205" s="738">
        <f t="shared" si="102"/>
        <v>0</v>
      </c>
      <c r="H205" s="741">
        <f t="shared" ref="H205:R205" si="108">-(H121-G121)</f>
        <v>0</v>
      </c>
      <c r="I205" s="741">
        <f t="shared" si="108"/>
        <v>0</v>
      </c>
      <c r="J205" s="741">
        <f t="shared" si="108"/>
        <v>0</v>
      </c>
      <c r="K205" s="741">
        <f t="shared" si="108"/>
        <v>0</v>
      </c>
      <c r="L205" s="741">
        <f t="shared" si="108"/>
        <v>0</v>
      </c>
      <c r="M205" s="741">
        <f t="shared" si="108"/>
        <v>0</v>
      </c>
      <c r="N205" s="741">
        <f t="shared" si="108"/>
        <v>0</v>
      </c>
      <c r="O205" s="741">
        <f t="shared" si="108"/>
        <v>0</v>
      </c>
      <c r="P205" s="741">
        <f t="shared" si="108"/>
        <v>0</v>
      </c>
      <c r="Q205" s="741">
        <f t="shared" si="108"/>
        <v>0</v>
      </c>
      <c r="R205" s="741">
        <f t="shared" si="108"/>
        <v>0</v>
      </c>
    </row>
    <row r="206" spans="1:18" s="742" customFormat="1" ht="13">
      <c r="A206" s="736" t="s">
        <v>1233</v>
      </c>
      <c r="B206" s="780" t="s">
        <v>1234</v>
      </c>
      <c r="C206" s="738">
        <f>'Balances y Proyecciones'!N206</f>
        <v>0</v>
      </c>
      <c r="D206" s="743"/>
      <c r="E206" s="739">
        <f>'Balances y Proyecciones'!T206</f>
        <v>0</v>
      </c>
      <c r="F206" s="743"/>
      <c r="G206" s="738">
        <f t="shared" si="102"/>
        <v>0</v>
      </c>
      <c r="H206" s="741">
        <f t="shared" ref="H206:R206" si="109">H122-G122</f>
        <v>0</v>
      </c>
      <c r="I206" s="741">
        <f t="shared" si="109"/>
        <v>0</v>
      </c>
      <c r="J206" s="741">
        <f t="shared" si="109"/>
        <v>0</v>
      </c>
      <c r="K206" s="741">
        <f t="shared" si="109"/>
        <v>0</v>
      </c>
      <c r="L206" s="741">
        <f t="shared" si="109"/>
        <v>0</v>
      </c>
      <c r="M206" s="741">
        <f t="shared" si="109"/>
        <v>0</v>
      </c>
      <c r="N206" s="741">
        <f t="shared" si="109"/>
        <v>0</v>
      </c>
      <c r="O206" s="741">
        <f t="shared" si="109"/>
        <v>0</v>
      </c>
      <c r="P206" s="741">
        <f t="shared" si="109"/>
        <v>0</v>
      </c>
      <c r="Q206" s="741">
        <f t="shared" si="109"/>
        <v>0</v>
      </c>
      <c r="R206" s="741">
        <f t="shared" si="109"/>
        <v>0</v>
      </c>
    </row>
    <row r="207" spans="1:18" s="742" customFormat="1" ht="13">
      <c r="A207" s="736" t="s">
        <v>1235</v>
      </c>
      <c r="B207" s="780" t="s">
        <v>1236</v>
      </c>
      <c r="C207" s="738">
        <f>'Balances y Proyecciones'!N207</f>
        <v>0</v>
      </c>
      <c r="D207" s="743"/>
      <c r="E207" s="739">
        <f>'Balances y Proyecciones'!T207</f>
        <v>0</v>
      </c>
      <c r="F207" s="743"/>
      <c r="G207" s="738">
        <f t="shared" si="102"/>
        <v>0</v>
      </c>
      <c r="H207" s="741">
        <f t="shared" ref="H207:R207" si="110">H65-G65+H230</f>
        <v>0</v>
      </c>
      <c r="I207" s="741">
        <f t="shared" si="110"/>
        <v>0</v>
      </c>
      <c r="J207" s="741">
        <f t="shared" si="110"/>
        <v>0</v>
      </c>
      <c r="K207" s="741">
        <f t="shared" si="110"/>
        <v>0</v>
      </c>
      <c r="L207" s="741">
        <f t="shared" si="110"/>
        <v>0</v>
      </c>
      <c r="M207" s="741">
        <f t="shared" si="110"/>
        <v>0</v>
      </c>
      <c r="N207" s="741">
        <f t="shared" si="110"/>
        <v>0</v>
      </c>
      <c r="O207" s="741">
        <f t="shared" si="110"/>
        <v>0</v>
      </c>
      <c r="P207" s="741">
        <f t="shared" si="110"/>
        <v>0</v>
      </c>
      <c r="Q207" s="741">
        <f t="shared" si="110"/>
        <v>0</v>
      </c>
      <c r="R207" s="741">
        <f t="shared" si="110"/>
        <v>0</v>
      </c>
    </row>
    <row r="208" spans="1:18" s="742" customFormat="1" ht="13">
      <c r="A208" s="736" t="s">
        <v>1237</v>
      </c>
      <c r="B208" s="780" t="s">
        <v>1238</v>
      </c>
      <c r="C208" s="738">
        <f>'Balances y Proyecciones'!N208</f>
        <v>0</v>
      </c>
      <c r="D208" s="743"/>
      <c r="E208" s="739">
        <f>'Balances y Proyecciones'!T208</f>
        <v>0</v>
      </c>
      <c r="F208" s="743"/>
      <c r="G208" s="738">
        <f t="shared" si="102"/>
        <v>0</v>
      </c>
      <c r="H208" s="741">
        <f t="shared" ref="H208:R208" si="111">H77</f>
        <v>0</v>
      </c>
      <c r="I208" s="741">
        <f t="shared" si="111"/>
        <v>0</v>
      </c>
      <c r="J208" s="741">
        <f t="shared" si="111"/>
        <v>0</v>
      </c>
      <c r="K208" s="741">
        <f t="shared" si="111"/>
        <v>0</v>
      </c>
      <c r="L208" s="741">
        <f t="shared" si="111"/>
        <v>0</v>
      </c>
      <c r="M208" s="741">
        <f t="shared" si="111"/>
        <v>0</v>
      </c>
      <c r="N208" s="741">
        <f t="shared" si="111"/>
        <v>0</v>
      </c>
      <c r="O208" s="741">
        <f t="shared" si="111"/>
        <v>0</v>
      </c>
      <c r="P208" s="741">
        <f t="shared" si="111"/>
        <v>0</v>
      </c>
      <c r="Q208" s="741">
        <f t="shared" si="111"/>
        <v>0</v>
      </c>
      <c r="R208" s="741">
        <f t="shared" si="111"/>
        <v>0</v>
      </c>
    </row>
    <row r="209" spans="1:18" s="721" customFormat="1" ht="13">
      <c r="A209" s="711">
        <v>21</v>
      </c>
      <c r="B209" s="781" t="s">
        <v>1239</v>
      </c>
      <c r="C209" s="745">
        <f>'Balances y Proyecciones'!N209</f>
        <v>0</v>
      </c>
      <c r="D209" s="743"/>
      <c r="E209" s="746">
        <f>'Balances y Proyecciones'!T209</f>
        <v>0</v>
      </c>
      <c r="F209" s="719"/>
      <c r="G209" s="745">
        <f t="shared" si="102"/>
        <v>0</v>
      </c>
      <c r="H209" s="748">
        <f t="shared" ref="H209:R209" si="112">SUM(H197:H208)</f>
        <v>0</v>
      </c>
      <c r="I209" s="748">
        <f t="shared" si="112"/>
        <v>0</v>
      </c>
      <c r="J209" s="748">
        <f t="shared" si="112"/>
        <v>0</v>
      </c>
      <c r="K209" s="748">
        <f t="shared" si="112"/>
        <v>0</v>
      </c>
      <c r="L209" s="748">
        <f t="shared" si="112"/>
        <v>0</v>
      </c>
      <c r="M209" s="748">
        <f t="shared" si="112"/>
        <v>0</v>
      </c>
      <c r="N209" s="748">
        <f t="shared" si="112"/>
        <v>0</v>
      </c>
      <c r="O209" s="748">
        <f t="shared" si="112"/>
        <v>0</v>
      </c>
      <c r="P209" s="748">
        <f t="shared" si="112"/>
        <v>0</v>
      </c>
      <c r="Q209" s="748">
        <f t="shared" si="112"/>
        <v>0</v>
      </c>
      <c r="R209" s="748">
        <f t="shared" si="112"/>
        <v>0</v>
      </c>
    </row>
    <row r="210" spans="1:18" s="721" customFormat="1" ht="13">
      <c r="A210" s="715"/>
      <c r="B210" s="792" t="s">
        <v>1240</v>
      </c>
      <c r="C210" s="750">
        <f>'Balances y Proyecciones'!N210</f>
        <v>0</v>
      </c>
      <c r="D210" s="719"/>
      <c r="E210" s="751">
        <f>'Balances y Proyecciones'!T210</f>
        <v>0</v>
      </c>
      <c r="F210" s="719"/>
      <c r="G210" s="729">
        <f t="shared" si="102"/>
        <v>0</v>
      </c>
      <c r="H210" s="729">
        <f t="shared" ref="H210:R210" si="113">H196+H209</f>
        <v>0</v>
      </c>
      <c r="I210" s="729">
        <f t="shared" si="113"/>
        <v>0</v>
      </c>
      <c r="J210" s="729">
        <f t="shared" si="113"/>
        <v>0</v>
      </c>
      <c r="K210" s="729">
        <f t="shared" si="113"/>
        <v>0</v>
      </c>
      <c r="L210" s="729">
        <f t="shared" si="113"/>
        <v>0</v>
      </c>
      <c r="M210" s="729">
        <f t="shared" si="113"/>
        <v>0</v>
      </c>
      <c r="N210" s="729">
        <f t="shared" si="113"/>
        <v>0</v>
      </c>
      <c r="O210" s="729">
        <f t="shared" si="113"/>
        <v>0</v>
      </c>
      <c r="P210" s="729">
        <f t="shared" si="113"/>
        <v>0</v>
      </c>
      <c r="Q210" s="729">
        <f t="shared" si="113"/>
        <v>0</v>
      </c>
      <c r="R210" s="729">
        <f t="shared" si="113"/>
        <v>0</v>
      </c>
    </row>
    <row r="211" spans="1:18" s="536" customFormat="1" ht="13">
      <c r="A211" s="644"/>
      <c r="B211" s="785" t="s">
        <v>1241</v>
      </c>
      <c r="C211" s="786">
        <f>'Balances y Proyecciones'!N211</f>
        <v>0</v>
      </c>
      <c r="D211" s="719"/>
      <c r="E211" s="787">
        <f>'Balances y Proyecciones'!T211</f>
        <v>0</v>
      </c>
      <c r="F211" s="545"/>
      <c r="G211" s="788">
        <f t="shared" si="102"/>
        <v>0</v>
      </c>
      <c r="H211" s="788" t="e">
        <f t="shared" ref="H211:R211" si="114">-H157-H181-H191-H210</f>
        <v>#REF!</v>
      </c>
      <c r="I211" s="788" t="e">
        <f t="shared" si="114"/>
        <v>#REF!</v>
      </c>
      <c r="J211" s="788" t="e">
        <f t="shared" si="114"/>
        <v>#REF!</v>
      </c>
      <c r="K211" s="788" t="e">
        <f t="shared" si="114"/>
        <v>#REF!</v>
      </c>
      <c r="L211" s="788" t="e">
        <f t="shared" si="114"/>
        <v>#REF!</v>
      </c>
      <c r="M211" s="788" t="e">
        <f t="shared" si="114"/>
        <v>#REF!</v>
      </c>
      <c r="N211" s="788" t="e">
        <f t="shared" si="114"/>
        <v>#REF!</v>
      </c>
      <c r="O211" s="788" t="e">
        <f t="shared" si="114"/>
        <v>#REF!</v>
      </c>
      <c r="P211" s="788" t="e">
        <f t="shared" si="114"/>
        <v>#REF!</v>
      </c>
      <c r="Q211" s="788" t="e">
        <f t="shared" si="114"/>
        <v>#REF!</v>
      </c>
      <c r="R211" s="788" t="e">
        <f t="shared" si="114"/>
        <v>#REF!</v>
      </c>
    </row>
    <row r="212" spans="1:18" s="536" customFormat="1" ht="13">
      <c r="A212" s="644"/>
      <c r="B212" s="785" t="s">
        <v>1242</v>
      </c>
      <c r="C212" s="786">
        <f>'Balances y Proyecciones'!N212</f>
        <v>0</v>
      </c>
      <c r="D212" s="545"/>
      <c r="E212" s="787">
        <f>'Balances y Proyecciones'!T212</f>
        <v>0</v>
      </c>
      <c r="F212" s="545"/>
      <c r="G212" s="788">
        <f t="shared" si="102"/>
        <v>0</v>
      </c>
      <c r="H212" s="788">
        <f t="shared" ref="H212:R212" si="115">H18-G18</f>
        <v>0</v>
      </c>
      <c r="I212" s="788">
        <f t="shared" si="115"/>
        <v>0</v>
      </c>
      <c r="J212" s="788">
        <f t="shared" si="115"/>
        <v>0</v>
      </c>
      <c r="K212" s="788">
        <f t="shared" si="115"/>
        <v>0</v>
      </c>
      <c r="L212" s="788">
        <f t="shared" si="115"/>
        <v>0</v>
      </c>
      <c r="M212" s="788">
        <f t="shared" si="115"/>
        <v>0</v>
      </c>
      <c r="N212" s="788">
        <f t="shared" si="115"/>
        <v>0</v>
      </c>
      <c r="O212" s="788">
        <f t="shared" si="115"/>
        <v>0</v>
      </c>
      <c r="P212" s="788">
        <f t="shared" si="115"/>
        <v>0</v>
      </c>
      <c r="Q212" s="788">
        <f t="shared" si="115"/>
        <v>0</v>
      </c>
      <c r="R212" s="788">
        <f t="shared" si="115"/>
        <v>0</v>
      </c>
    </row>
    <row r="213" spans="1:18" s="536" customFormat="1" ht="13">
      <c r="A213" s="644"/>
      <c r="B213" s="793" t="s">
        <v>1243</v>
      </c>
      <c r="C213" s="794">
        <f>'Balances y Proyecciones'!N213</f>
        <v>0</v>
      </c>
      <c r="D213" s="545"/>
      <c r="E213" s="795">
        <f>'Balances y Proyecciones'!T213</f>
        <v>0</v>
      </c>
      <c r="F213" s="545"/>
      <c r="G213" s="796">
        <f t="shared" si="102"/>
        <v>0</v>
      </c>
      <c r="H213" s="796" t="e">
        <f t="shared" ref="H213:R213" si="116">H211+H212</f>
        <v>#REF!</v>
      </c>
      <c r="I213" s="796" t="e">
        <f t="shared" si="116"/>
        <v>#REF!</v>
      </c>
      <c r="J213" s="796" t="e">
        <f t="shared" si="116"/>
        <v>#REF!</v>
      </c>
      <c r="K213" s="796" t="e">
        <f t="shared" si="116"/>
        <v>#REF!</v>
      </c>
      <c r="L213" s="796" t="e">
        <f t="shared" si="116"/>
        <v>#REF!</v>
      </c>
      <c r="M213" s="796" t="e">
        <f t="shared" si="116"/>
        <v>#REF!</v>
      </c>
      <c r="N213" s="796" t="e">
        <f t="shared" si="116"/>
        <v>#REF!</v>
      </c>
      <c r="O213" s="796" t="e">
        <f t="shared" si="116"/>
        <v>#REF!</v>
      </c>
      <c r="P213" s="796" t="e">
        <f t="shared" si="116"/>
        <v>#REF!</v>
      </c>
      <c r="Q213" s="796" t="e">
        <f t="shared" si="116"/>
        <v>#REF!</v>
      </c>
      <c r="R213" s="796" t="e">
        <f t="shared" si="116"/>
        <v>#REF!</v>
      </c>
    </row>
    <row r="214" spans="1:18" s="803" customFormat="1" ht="10.5">
      <c r="A214" s="797"/>
      <c r="B214" s="798" t="s">
        <v>1244</v>
      </c>
      <c r="C214" s="799"/>
      <c r="D214" s="545"/>
      <c r="E214" s="799"/>
      <c r="F214" s="545"/>
      <c r="G214" s="800"/>
      <c r="H214" s="545"/>
      <c r="I214" s="801"/>
      <c r="J214" s="801"/>
      <c r="K214" s="801"/>
      <c r="L214" s="801"/>
      <c r="M214" s="801"/>
      <c r="N214" s="801"/>
      <c r="O214" s="801"/>
      <c r="P214" s="801"/>
      <c r="Q214" s="801"/>
      <c r="R214" s="802"/>
    </row>
    <row r="215" spans="1:18" s="803" customFormat="1" ht="10.5">
      <c r="A215" s="797"/>
      <c r="B215" s="804" t="s">
        <v>1245</v>
      </c>
      <c r="C215" s="805">
        <f>'Balances y Proyecciones'!N215</f>
        <v>0</v>
      </c>
      <c r="D215" s="545"/>
      <c r="E215" s="805"/>
      <c r="F215" s="545"/>
      <c r="G215" s="800"/>
      <c r="H215" s="545"/>
      <c r="I215" s="801"/>
      <c r="J215" s="801"/>
      <c r="K215" s="801"/>
      <c r="L215" s="801"/>
      <c r="M215" s="801"/>
      <c r="N215" s="801"/>
      <c r="O215" s="801"/>
      <c r="P215" s="801"/>
      <c r="Q215" s="801"/>
      <c r="R215" s="545"/>
    </row>
    <row r="216" spans="1:18" s="803" customFormat="1" ht="10.5">
      <c r="A216" s="797"/>
      <c r="B216" s="804" t="s">
        <v>1246</v>
      </c>
      <c r="C216" s="806">
        <f>'Balances y Proyecciones'!N216</f>
        <v>0</v>
      </c>
      <c r="D216" s="545"/>
      <c r="E216" s="806"/>
      <c r="F216" s="545"/>
      <c r="G216" s="800"/>
      <c r="H216" s="545"/>
      <c r="I216" s="801"/>
      <c r="J216" s="801"/>
      <c r="K216" s="801"/>
      <c r="L216" s="801"/>
      <c r="M216" s="801"/>
      <c r="N216" s="801"/>
      <c r="O216" s="801"/>
      <c r="P216" s="801"/>
      <c r="Q216" s="801"/>
      <c r="R216" s="807"/>
    </row>
    <row r="217" spans="1:18" s="536" customFormat="1" ht="14">
      <c r="A217" s="644"/>
      <c r="B217" s="693"/>
      <c r="C217" s="808"/>
      <c r="D217" s="545"/>
      <c r="E217" s="809" t="str">
        <f>'Balances y Proyecciones'!T217</f>
        <v>PROYECTADO</v>
      </c>
      <c r="F217" s="545"/>
      <c r="G217" s="700" t="s">
        <v>1044</v>
      </c>
      <c r="H217" s="700" t="s">
        <v>1044</v>
      </c>
      <c r="I217" s="700" t="s">
        <v>1044</v>
      </c>
      <c r="J217" s="700" t="s">
        <v>1044</v>
      </c>
      <c r="K217" s="700" t="s">
        <v>1044</v>
      </c>
      <c r="L217" s="700" t="s">
        <v>1044</v>
      </c>
      <c r="M217" s="700" t="s">
        <v>1044</v>
      </c>
      <c r="N217" s="700" t="s">
        <v>1044</v>
      </c>
      <c r="O217" s="700" t="s">
        <v>1044</v>
      </c>
      <c r="P217" s="700" t="s">
        <v>1044</v>
      </c>
      <c r="Q217" s="700" t="s">
        <v>1044</v>
      </c>
      <c r="R217" s="700" t="s">
        <v>1044</v>
      </c>
    </row>
    <row r="218" spans="1:18" s="814" customFormat="1" ht="15.5">
      <c r="A218" s="810"/>
      <c r="B218" s="811" t="s">
        <v>1247</v>
      </c>
      <c r="C218" s="812">
        <f>'Balances y Proyecciones'!N218</f>
        <v>2019</v>
      </c>
      <c r="D218" s="545"/>
      <c r="E218" s="813">
        <f>'Balances y Proyecciones'!T218</f>
        <v>2020</v>
      </c>
      <c r="F218" s="545"/>
      <c r="G218" s="812">
        <f t="shared" ref="G218:R218" si="117">G15</f>
        <v>2020</v>
      </c>
      <c r="H218" s="812">
        <f t="shared" si="117"/>
        <v>2020</v>
      </c>
      <c r="I218" s="812">
        <f t="shared" si="117"/>
        <v>2020</v>
      </c>
      <c r="J218" s="812">
        <f t="shared" si="117"/>
        <v>2020</v>
      </c>
      <c r="K218" s="812">
        <f t="shared" si="117"/>
        <v>2020</v>
      </c>
      <c r="L218" s="812">
        <f t="shared" si="117"/>
        <v>2020</v>
      </c>
      <c r="M218" s="812">
        <f t="shared" si="117"/>
        <v>2020</v>
      </c>
      <c r="N218" s="812">
        <f t="shared" si="117"/>
        <v>2020</v>
      </c>
      <c r="O218" s="812">
        <f t="shared" si="117"/>
        <v>2020</v>
      </c>
      <c r="P218" s="812">
        <f t="shared" si="117"/>
        <v>2020</v>
      </c>
      <c r="Q218" s="812">
        <f t="shared" si="117"/>
        <v>2020</v>
      </c>
      <c r="R218" s="812">
        <f t="shared" si="117"/>
        <v>2020</v>
      </c>
    </row>
    <row r="219" spans="1:18" s="536" customFormat="1" ht="13">
      <c r="A219" s="644"/>
      <c r="B219" s="815" t="s">
        <v>938</v>
      </c>
      <c r="C219" s="816">
        <f>'Balances y Proyecciones'!N219</f>
        <v>0</v>
      </c>
      <c r="D219" s="545"/>
      <c r="E219" s="684">
        <f>'Balances y Proyecciones'!T219</f>
        <v>0</v>
      </c>
      <c r="F219" s="545"/>
      <c r="G219" s="817">
        <f t="shared" ref="G219:G234" si="118">IF($G$12=1,"Error %",$E219*G$13)</f>
        <v>0</v>
      </c>
      <c r="H219" s="817">
        <f t="shared" ref="H219:R219" si="119">H60</f>
        <v>0</v>
      </c>
      <c r="I219" s="817">
        <f t="shared" si="119"/>
        <v>0</v>
      </c>
      <c r="J219" s="817">
        <f t="shared" si="119"/>
        <v>0</v>
      </c>
      <c r="K219" s="817">
        <f t="shared" si="119"/>
        <v>0</v>
      </c>
      <c r="L219" s="817">
        <f t="shared" si="119"/>
        <v>0</v>
      </c>
      <c r="M219" s="817">
        <f t="shared" si="119"/>
        <v>0</v>
      </c>
      <c r="N219" s="817">
        <f t="shared" si="119"/>
        <v>0</v>
      </c>
      <c r="O219" s="817">
        <f t="shared" si="119"/>
        <v>0</v>
      </c>
      <c r="P219" s="817">
        <f t="shared" si="119"/>
        <v>0</v>
      </c>
      <c r="Q219" s="817">
        <f t="shared" si="119"/>
        <v>0</v>
      </c>
      <c r="R219" s="817">
        <f t="shared" si="119"/>
        <v>0</v>
      </c>
    </row>
    <row r="220" spans="1:18" s="536" customFormat="1" ht="13">
      <c r="A220" s="644"/>
      <c r="B220" s="818" t="s">
        <v>1248</v>
      </c>
      <c r="C220" s="819">
        <f>'Balances y Proyecciones'!N220</f>
        <v>0</v>
      </c>
      <c r="D220" s="545"/>
      <c r="E220" s="684">
        <f>'Balances y Proyecciones'!T220</f>
        <v>0</v>
      </c>
      <c r="F220" s="545"/>
      <c r="G220" s="820">
        <f t="shared" si="118"/>
        <v>0</v>
      </c>
      <c r="H220" s="820">
        <f t="shared" ref="H220:R220" si="120">H61</f>
        <v>0</v>
      </c>
      <c r="I220" s="820">
        <f t="shared" si="120"/>
        <v>0</v>
      </c>
      <c r="J220" s="820">
        <f t="shared" si="120"/>
        <v>0</v>
      </c>
      <c r="K220" s="820">
        <f t="shared" si="120"/>
        <v>0</v>
      </c>
      <c r="L220" s="820">
        <f t="shared" si="120"/>
        <v>0</v>
      </c>
      <c r="M220" s="820">
        <f t="shared" si="120"/>
        <v>0</v>
      </c>
      <c r="N220" s="820">
        <f t="shared" si="120"/>
        <v>0</v>
      </c>
      <c r="O220" s="820">
        <f t="shared" si="120"/>
        <v>0</v>
      </c>
      <c r="P220" s="820">
        <f t="shared" si="120"/>
        <v>0</v>
      </c>
      <c r="Q220" s="820">
        <f t="shared" si="120"/>
        <v>0</v>
      </c>
      <c r="R220" s="820">
        <f t="shared" si="120"/>
        <v>0</v>
      </c>
    </row>
    <row r="221" spans="1:18" s="814" customFormat="1" ht="13">
      <c r="A221" s="810"/>
      <c r="B221" s="821" t="s">
        <v>1249</v>
      </c>
      <c r="C221" s="822">
        <f>'Balances y Proyecciones'!N221</f>
        <v>0</v>
      </c>
      <c r="D221" s="545"/>
      <c r="E221" s="822">
        <f>'Balances y Proyecciones'!T221</f>
        <v>0</v>
      </c>
      <c r="F221" s="545"/>
      <c r="G221" s="822">
        <f t="shared" si="118"/>
        <v>0</v>
      </c>
      <c r="H221" s="823">
        <f t="shared" ref="H221:R221" si="121">SUM(H219:H220)-SUM(G219:G220)</f>
        <v>0</v>
      </c>
      <c r="I221" s="823">
        <f t="shared" si="121"/>
        <v>0</v>
      </c>
      <c r="J221" s="823">
        <f t="shared" si="121"/>
        <v>0</v>
      </c>
      <c r="K221" s="823">
        <f t="shared" si="121"/>
        <v>0</v>
      </c>
      <c r="L221" s="823">
        <f t="shared" si="121"/>
        <v>0</v>
      </c>
      <c r="M221" s="823">
        <f t="shared" si="121"/>
        <v>0</v>
      </c>
      <c r="N221" s="823">
        <f t="shared" si="121"/>
        <v>0</v>
      </c>
      <c r="O221" s="823">
        <f t="shared" si="121"/>
        <v>0</v>
      </c>
      <c r="P221" s="823">
        <f t="shared" si="121"/>
        <v>0</v>
      </c>
      <c r="Q221" s="823">
        <f t="shared" si="121"/>
        <v>0</v>
      </c>
      <c r="R221" s="823">
        <f t="shared" si="121"/>
        <v>0</v>
      </c>
    </row>
    <row r="222" spans="1:18" s="536" customFormat="1" ht="13">
      <c r="A222" s="644"/>
      <c r="B222" s="815" t="s">
        <v>940</v>
      </c>
      <c r="C222" s="816">
        <f>'Balances y Proyecciones'!N222</f>
        <v>0</v>
      </c>
      <c r="D222" s="545"/>
      <c r="E222" s="684">
        <f>'Balances y Proyecciones'!T222</f>
        <v>0</v>
      </c>
      <c r="F222" s="799"/>
      <c r="G222" s="817">
        <f t="shared" si="118"/>
        <v>0</v>
      </c>
      <c r="H222" s="817">
        <f t="shared" ref="H222:R222" si="122">H62</f>
        <v>0</v>
      </c>
      <c r="I222" s="817">
        <f t="shared" si="122"/>
        <v>0</v>
      </c>
      <c r="J222" s="817">
        <f t="shared" si="122"/>
        <v>0</v>
      </c>
      <c r="K222" s="817">
        <f t="shared" si="122"/>
        <v>0</v>
      </c>
      <c r="L222" s="817">
        <f t="shared" si="122"/>
        <v>0</v>
      </c>
      <c r="M222" s="817">
        <f t="shared" si="122"/>
        <v>0</v>
      </c>
      <c r="N222" s="817">
        <f t="shared" si="122"/>
        <v>0</v>
      </c>
      <c r="O222" s="817">
        <f t="shared" si="122"/>
        <v>0</v>
      </c>
      <c r="P222" s="817">
        <f t="shared" si="122"/>
        <v>0</v>
      </c>
      <c r="Q222" s="817">
        <f t="shared" si="122"/>
        <v>0</v>
      </c>
      <c r="R222" s="817">
        <f t="shared" si="122"/>
        <v>0</v>
      </c>
    </row>
    <row r="223" spans="1:18" s="536" customFormat="1" ht="13">
      <c r="A223" s="644"/>
      <c r="B223" s="824" t="s">
        <v>1250</v>
      </c>
      <c r="C223" s="825">
        <f>'Balances y Proyecciones'!N223</f>
        <v>0</v>
      </c>
      <c r="D223" s="799"/>
      <c r="E223" s="684">
        <f>'Balances y Proyecciones'!T223</f>
        <v>0</v>
      </c>
      <c r="F223" s="545"/>
      <c r="G223" s="826">
        <f t="shared" si="118"/>
        <v>0</v>
      </c>
      <c r="H223" s="826">
        <f t="shared" ref="H223:R223" si="123">H63</f>
        <v>0</v>
      </c>
      <c r="I223" s="826">
        <f t="shared" si="123"/>
        <v>0</v>
      </c>
      <c r="J223" s="826">
        <f t="shared" si="123"/>
        <v>0</v>
      </c>
      <c r="K223" s="826">
        <f t="shared" si="123"/>
        <v>0</v>
      </c>
      <c r="L223" s="826">
        <f t="shared" si="123"/>
        <v>0</v>
      </c>
      <c r="M223" s="826">
        <f t="shared" si="123"/>
        <v>0</v>
      </c>
      <c r="N223" s="826">
        <f t="shared" si="123"/>
        <v>0</v>
      </c>
      <c r="O223" s="826">
        <f t="shared" si="123"/>
        <v>0</v>
      </c>
      <c r="P223" s="826">
        <f t="shared" si="123"/>
        <v>0</v>
      </c>
      <c r="Q223" s="826">
        <f t="shared" si="123"/>
        <v>0</v>
      </c>
      <c r="R223" s="826">
        <f t="shared" si="123"/>
        <v>0</v>
      </c>
    </row>
    <row r="224" spans="1:18" s="536" customFormat="1" ht="13">
      <c r="A224" s="644"/>
      <c r="B224" s="824" t="str">
        <f>B66</f>
        <v>OTROS PATRIMONIO</v>
      </c>
      <c r="C224" s="825">
        <f>'Balances y Proyecciones'!N224</f>
        <v>0</v>
      </c>
      <c r="D224" s="545"/>
      <c r="E224" s="684">
        <f>'Balances y Proyecciones'!T224</f>
        <v>0</v>
      </c>
      <c r="F224" s="545"/>
      <c r="G224" s="826">
        <f t="shared" si="118"/>
        <v>0</v>
      </c>
      <c r="H224" s="826">
        <f t="shared" ref="H224:R224" si="124">H66</f>
        <v>0</v>
      </c>
      <c r="I224" s="826">
        <f t="shared" si="124"/>
        <v>0</v>
      </c>
      <c r="J224" s="826">
        <f t="shared" si="124"/>
        <v>0</v>
      </c>
      <c r="K224" s="826">
        <f t="shared" si="124"/>
        <v>0</v>
      </c>
      <c r="L224" s="826">
        <f t="shared" si="124"/>
        <v>0</v>
      </c>
      <c r="M224" s="826">
        <f t="shared" si="124"/>
        <v>0</v>
      </c>
      <c r="N224" s="826">
        <f t="shared" si="124"/>
        <v>0</v>
      </c>
      <c r="O224" s="826">
        <f t="shared" si="124"/>
        <v>0</v>
      </c>
      <c r="P224" s="826">
        <f t="shared" si="124"/>
        <v>0</v>
      </c>
      <c r="Q224" s="826">
        <f t="shared" si="124"/>
        <v>0</v>
      </c>
      <c r="R224" s="826">
        <f t="shared" si="124"/>
        <v>0</v>
      </c>
    </row>
    <row r="225" spans="1:79" s="536" customFormat="1" ht="13">
      <c r="A225" s="644"/>
      <c r="B225" s="827" t="s">
        <v>943</v>
      </c>
      <c r="C225" s="828">
        <f>'Balances y Proyecciones'!N225</f>
        <v>0</v>
      </c>
      <c r="D225" s="545"/>
      <c r="E225" s="684">
        <f>'Balances y Proyecciones'!T225</f>
        <v>0</v>
      </c>
      <c r="F225" s="545"/>
      <c r="G225" s="829">
        <f t="shared" si="118"/>
        <v>0</v>
      </c>
      <c r="H225" s="829">
        <f t="shared" ref="H225:R225" si="125">H64</f>
        <v>0</v>
      </c>
      <c r="I225" s="829">
        <f t="shared" si="125"/>
        <v>0</v>
      </c>
      <c r="J225" s="829">
        <f t="shared" si="125"/>
        <v>0</v>
      </c>
      <c r="K225" s="829">
        <f t="shared" si="125"/>
        <v>0</v>
      </c>
      <c r="L225" s="829">
        <f t="shared" si="125"/>
        <v>0</v>
      </c>
      <c r="M225" s="829">
        <f t="shared" si="125"/>
        <v>0</v>
      </c>
      <c r="N225" s="829">
        <f t="shared" si="125"/>
        <v>0</v>
      </c>
      <c r="O225" s="829">
        <f t="shared" si="125"/>
        <v>0</v>
      </c>
      <c r="P225" s="829">
        <f t="shared" si="125"/>
        <v>0</v>
      </c>
      <c r="Q225" s="829">
        <f t="shared" si="125"/>
        <v>0</v>
      </c>
      <c r="R225" s="829">
        <f t="shared" si="125"/>
        <v>0</v>
      </c>
    </row>
    <row r="226" spans="1:79" s="832" customFormat="1" ht="10.5">
      <c r="A226" s="830"/>
      <c r="B226" s="818" t="e">
        <f>CONCATENATE("RESULTADO ",LEFT(#REF!,3),". ",TEXT(#REF!,"0.00")," A ",LEFT(C16,3),". ",TEXT(C15,"0.00")," (SÓLO APLICA PARA CORTE ",LEFT(#REF!,3),". '",RIGHT(TEXT(#REF!,"0.00"),2),")")</f>
        <v>#REF!</v>
      </c>
      <c r="C226" s="820" t="str">
        <f>'Balances y Proyecciones'!N226</f>
        <v>N/A</v>
      </c>
      <c r="D226" s="545"/>
      <c r="E226" s="831">
        <f>'Balances y Proyecciones'!T226</f>
        <v>0</v>
      </c>
      <c r="F226" s="545"/>
      <c r="G226" s="820">
        <f t="shared" si="118"/>
        <v>0</v>
      </c>
      <c r="H226" s="820"/>
      <c r="I226" s="820"/>
      <c r="J226" s="820"/>
      <c r="K226" s="820"/>
      <c r="L226" s="820"/>
      <c r="M226" s="820"/>
      <c r="N226" s="820"/>
      <c r="O226" s="820"/>
      <c r="P226" s="820"/>
      <c r="Q226" s="820"/>
      <c r="R226" s="820"/>
    </row>
    <row r="227" spans="1:79" s="536" customFormat="1" ht="13">
      <c r="A227" s="644"/>
      <c r="B227" s="833" t="s">
        <v>1251</v>
      </c>
      <c r="C227" s="834">
        <f>'Balances y Proyecciones'!N227</f>
        <v>0</v>
      </c>
      <c r="D227" s="545"/>
      <c r="E227" s="835">
        <f>'Balances y Proyecciones'!T227</f>
        <v>0</v>
      </c>
      <c r="F227" s="799"/>
      <c r="G227" s="834">
        <f t="shared" si="118"/>
        <v>0</v>
      </c>
      <c r="H227" s="836">
        <f t="shared" ref="H227:R227" si="126">IF(OR(SUM(G222:G225)&gt;=SUM(H222:H224),ABS(SUM(H222:H224)-SUM(G222:G225))&lt;0.5),SUM(G222:G225)-SUM(H222:H224),0)</f>
        <v>0</v>
      </c>
      <c r="I227" s="836">
        <f t="shared" si="126"/>
        <v>0</v>
      </c>
      <c r="J227" s="836">
        <f t="shared" si="126"/>
        <v>0</v>
      </c>
      <c r="K227" s="836">
        <f t="shared" si="126"/>
        <v>0</v>
      </c>
      <c r="L227" s="836">
        <f t="shared" si="126"/>
        <v>0</v>
      </c>
      <c r="M227" s="836">
        <f t="shared" si="126"/>
        <v>0</v>
      </c>
      <c r="N227" s="836">
        <f t="shared" si="126"/>
        <v>0</v>
      </c>
      <c r="O227" s="836">
        <f t="shared" si="126"/>
        <v>0</v>
      </c>
      <c r="P227" s="836">
        <f t="shared" si="126"/>
        <v>0</v>
      </c>
      <c r="Q227" s="836">
        <f t="shared" si="126"/>
        <v>0</v>
      </c>
      <c r="R227" s="836">
        <f t="shared" si="126"/>
        <v>0</v>
      </c>
    </row>
    <row r="228" spans="1:79" s="536" customFormat="1" ht="13">
      <c r="A228" s="644"/>
      <c r="B228" s="837" t="s">
        <v>1252</v>
      </c>
      <c r="C228" s="838">
        <f>'Balances y Proyecciones'!N228</f>
        <v>0</v>
      </c>
      <c r="D228" s="799"/>
      <c r="E228" s="684">
        <f>'Balances y Proyecciones'!T228</f>
        <v>0</v>
      </c>
      <c r="F228" s="545"/>
      <c r="G228" s="839">
        <f t="shared" si="118"/>
        <v>0</v>
      </c>
      <c r="H228" s="839">
        <f t="shared" ref="H228:R228" si="127">H65-G65</f>
        <v>0</v>
      </c>
      <c r="I228" s="839">
        <f t="shared" si="127"/>
        <v>0</v>
      </c>
      <c r="J228" s="839">
        <f t="shared" si="127"/>
        <v>0</v>
      </c>
      <c r="K228" s="839">
        <f t="shared" si="127"/>
        <v>0</v>
      </c>
      <c r="L228" s="839">
        <f t="shared" si="127"/>
        <v>0</v>
      </c>
      <c r="M228" s="839">
        <f t="shared" si="127"/>
        <v>0</v>
      </c>
      <c r="N228" s="839">
        <f t="shared" si="127"/>
        <v>0</v>
      </c>
      <c r="O228" s="839">
        <f t="shared" si="127"/>
        <v>0</v>
      </c>
      <c r="P228" s="839">
        <f t="shared" si="127"/>
        <v>0</v>
      </c>
      <c r="Q228" s="839">
        <f t="shared" si="127"/>
        <v>0</v>
      </c>
      <c r="R228" s="839">
        <f t="shared" si="127"/>
        <v>0</v>
      </c>
    </row>
    <row r="229" spans="1:79" s="814" customFormat="1" ht="13">
      <c r="A229" s="810"/>
      <c r="B229" s="840" t="s">
        <v>1253</v>
      </c>
      <c r="C229" s="841">
        <f>'Balances y Proyecciones'!N229</f>
        <v>0</v>
      </c>
      <c r="D229" s="545"/>
      <c r="E229" s="822">
        <f>'Balances y Proyecciones'!T229</f>
        <v>0</v>
      </c>
      <c r="F229" s="545"/>
      <c r="G229" s="842">
        <f t="shared" si="118"/>
        <v>0</v>
      </c>
      <c r="H229" s="842">
        <f t="shared" ref="H229:R229" si="128">IF(H228&gt;0,0,IF(AND(H228&lt;=0,G63&lt;0,H63&gt;G63,(H63-G63)&gt;(G63+G64)),0,IF(AND(H228&lt;=0,H221&gt;=0),-H228,0)))</f>
        <v>0</v>
      </c>
      <c r="I229" s="842">
        <f t="shared" si="128"/>
        <v>0</v>
      </c>
      <c r="J229" s="842">
        <f t="shared" si="128"/>
        <v>0</v>
      </c>
      <c r="K229" s="842">
        <f t="shared" si="128"/>
        <v>0</v>
      </c>
      <c r="L229" s="842">
        <f t="shared" si="128"/>
        <v>0</v>
      </c>
      <c r="M229" s="842">
        <f t="shared" si="128"/>
        <v>0</v>
      </c>
      <c r="N229" s="842">
        <f t="shared" si="128"/>
        <v>0</v>
      </c>
      <c r="O229" s="842">
        <f t="shared" si="128"/>
        <v>0</v>
      </c>
      <c r="P229" s="842">
        <f t="shared" si="128"/>
        <v>0</v>
      </c>
      <c r="Q229" s="842">
        <f t="shared" si="128"/>
        <v>0</v>
      </c>
      <c r="R229" s="842">
        <f t="shared" si="128"/>
        <v>0</v>
      </c>
    </row>
    <row r="230" spans="1:79" s="814" customFormat="1" ht="13">
      <c r="A230" s="810"/>
      <c r="B230" s="815" t="s">
        <v>1253</v>
      </c>
      <c r="C230" s="816">
        <f>'Balances y Proyecciones'!N230</f>
        <v>0</v>
      </c>
      <c r="D230" s="545"/>
      <c r="E230" s="684">
        <f>'Balances y Proyecciones'!T230</f>
        <v>0</v>
      </c>
      <c r="F230" s="545"/>
      <c r="G230" s="817">
        <f t="shared" si="118"/>
        <v>0</v>
      </c>
      <c r="H230" s="817">
        <f t="shared" ref="H230:R230" si="129">IF(H221&gt;0,H229,0)</f>
        <v>0</v>
      </c>
      <c r="I230" s="817">
        <f t="shared" si="129"/>
        <v>0</v>
      </c>
      <c r="J230" s="817">
        <f t="shared" si="129"/>
        <v>0</v>
      </c>
      <c r="K230" s="817">
        <f t="shared" si="129"/>
        <v>0</v>
      </c>
      <c r="L230" s="817">
        <f t="shared" si="129"/>
        <v>0</v>
      </c>
      <c r="M230" s="817">
        <f t="shared" si="129"/>
        <v>0</v>
      </c>
      <c r="N230" s="817">
        <f t="shared" si="129"/>
        <v>0</v>
      </c>
      <c r="O230" s="817">
        <f t="shared" si="129"/>
        <v>0</v>
      </c>
      <c r="P230" s="817">
        <f t="shared" si="129"/>
        <v>0</v>
      </c>
      <c r="Q230" s="817">
        <f t="shared" si="129"/>
        <v>0</v>
      </c>
      <c r="R230" s="817">
        <f t="shared" si="129"/>
        <v>0</v>
      </c>
    </row>
    <row r="231" spans="1:79" s="536" customFormat="1" ht="13">
      <c r="A231" s="644"/>
      <c r="B231" s="824" t="s">
        <v>1254</v>
      </c>
      <c r="C231" s="843">
        <f>'Balances y Proyecciones'!N231</f>
        <v>0</v>
      </c>
      <c r="D231" s="545"/>
      <c r="E231" s="844">
        <f>'Balances y Proyecciones'!T231</f>
        <v>0</v>
      </c>
      <c r="F231" s="545"/>
      <c r="G231" s="845">
        <f t="shared" si="118"/>
        <v>0</v>
      </c>
      <c r="H231" s="845">
        <f t="shared" ref="H231:R231" si="130">IF(AND(H221&gt;0,H221-H229&gt;0,H221-H229&gt;H227),H227,IF(H221&lt;0,0,H221-H229))</f>
        <v>0</v>
      </c>
      <c r="I231" s="845">
        <f t="shared" si="130"/>
        <v>0</v>
      </c>
      <c r="J231" s="845">
        <f t="shared" si="130"/>
        <v>0</v>
      </c>
      <c r="K231" s="845">
        <f t="shared" si="130"/>
        <v>0</v>
      </c>
      <c r="L231" s="845">
        <f t="shared" si="130"/>
        <v>0</v>
      </c>
      <c r="M231" s="845">
        <f t="shared" si="130"/>
        <v>0</v>
      </c>
      <c r="N231" s="845">
        <f t="shared" si="130"/>
        <v>0</v>
      </c>
      <c r="O231" s="845">
        <f t="shared" si="130"/>
        <v>0</v>
      </c>
      <c r="P231" s="845">
        <f t="shared" si="130"/>
        <v>0</v>
      </c>
      <c r="Q231" s="845">
        <f t="shared" si="130"/>
        <v>0</v>
      </c>
      <c r="R231" s="845">
        <f t="shared" si="130"/>
        <v>0</v>
      </c>
    </row>
    <row r="232" spans="1:79" s="536" customFormat="1" ht="13">
      <c r="A232" s="644"/>
      <c r="B232" s="824" t="s">
        <v>1255</v>
      </c>
      <c r="C232" s="825">
        <f>'Balances y Proyecciones'!N232</f>
        <v>0</v>
      </c>
      <c r="D232" s="545"/>
      <c r="E232" s="684">
        <f>'Balances y Proyecciones'!T232</f>
        <v>0</v>
      </c>
      <c r="F232" s="545"/>
      <c r="G232" s="826">
        <f t="shared" si="118"/>
        <v>0</v>
      </c>
      <c r="H232" s="826">
        <f t="shared" ref="H232:R232" si="131">IF(H221-H230-H231&lt;&gt;0,H221-H230-H231-IF(H234&gt;0,H234,0),0)</f>
        <v>0</v>
      </c>
      <c r="I232" s="826">
        <f t="shared" si="131"/>
        <v>0</v>
      </c>
      <c r="J232" s="826">
        <f t="shared" si="131"/>
        <v>0</v>
      </c>
      <c r="K232" s="826">
        <f t="shared" si="131"/>
        <v>0</v>
      </c>
      <c r="L232" s="826">
        <f t="shared" si="131"/>
        <v>0</v>
      </c>
      <c r="M232" s="826">
        <f t="shared" si="131"/>
        <v>0</v>
      </c>
      <c r="N232" s="826">
        <f t="shared" si="131"/>
        <v>0</v>
      </c>
      <c r="O232" s="826">
        <f t="shared" si="131"/>
        <v>0</v>
      </c>
      <c r="P232" s="826">
        <f t="shared" si="131"/>
        <v>0</v>
      </c>
      <c r="Q232" s="826">
        <f t="shared" si="131"/>
        <v>0</v>
      </c>
      <c r="R232" s="826">
        <f t="shared" si="131"/>
        <v>0</v>
      </c>
    </row>
    <row r="233" spans="1:79" s="536" customFormat="1" ht="13">
      <c r="A233" s="644"/>
      <c r="B233" s="827" t="s">
        <v>1256</v>
      </c>
      <c r="C233" s="828">
        <f>'Balances y Proyecciones'!N233</f>
        <v>0</v>
      </c>
      <c r="D233" s="545"/>
      <c r="E233" s="684">
        <f>'Balances y Proyecciones'!T233</f>
        <v>0</v>
      </c>
      <c r="F233" s="545"/>
      <c r="G233" s="829">
        <f t="shared" si="118"/>
        <v>0</v>
      </c>
      <c r="H233" s="829">
        <f t="shared" ref="H233:R233" si="132">IF(H227-H231&gt;0,H227-H231,0)</f>
        <v>0</v>
      </c>
      <c r="I233" s="829">
        <f t="shared" si="132"/>
        <v>0</v>
      </c>
      <c r="J233" s="829">
        <f t="shared" si="132"/>
        <v>0</v>
      </c>
      <c r="K233" s="829">
        <f t="shared" si="132"/>
        <v>0</v>
      </c>
      <c r="L233" s="829">
        <f t="shared" si="132"/>
        <v>0</v>
      </c>
      <c r="M233" s="829">
        <f t="shared" si="132"/>
        <v>0</v>
      </c>
      <c r="N233" s="829">
        <f t="shared" si="132"/>
        <v>0</v>
      </c>
      <c r="O233" s="829">
        <f t="shared" si="132"/>
        <v>0</v>
      </c>
      <c r="P233" s="829">
        <f t="shared" si="132"/>
        <v>0</v>
      </c>
      <c r="Q233" s="829">
        <f t="shared" si="132"/>
        <v>0</v>
      </c>
      <c r="R233" s="829">
        <f t="shared" si="132"/>
        <v>0</v>
      </c>
    </row>
    <row r="234" spans="1:79" s="803" customFormat="1" ht="10.5">
      <c r="A234" s="797"/>
      <c r="B234" s="818" t="e">
        <f>CONCATENATE("HIST.: RESULT. ENTRE ",LEFT(#REF!,3),". ",RIGHT(TEXT(#REF!,"0.00"),2)," Y ",LEFT(C16,3),". ",RIGHT(TEXT(C15,"0.00"),2)," / PROY.: NUEVA DEUDA PARA CAPITALIZAR")</f>
        <v>#REF!</v>
      </c>
      <c r="C234" s="820" t="str">
        <f>'Balances y Proyecciones'!N234</f>
        <v>N/A</v>
      </c>
      <c r="D234" s="545"/>
      <c r="E234" s="839">
        <f>'Balances y Proyecciones'!T234</f>
        <v>0</v>
      </c>
      <c r="F234" s="545"/>
      <c r="G234" s="820">
        <f t="shared" si="118"/>
        <v>0</v>
      </c>
      <c r="H234" s="820" t="e">
        <f>SUM(IF(AND(#REF!=$B$456,#REF!&lt;&gt;0,#REF!=H218,#REF!&gt;0),#REF!,0),IF(AND(#REF!=$B$456,#REF!&lt;&gt;0,#REF!=H218,#REF!&gt;0),#REF!,0),IF(AND(#REF!=$B$456,#REF!&lt;&gt;0,#REF!=H218,#REF!&gt;0),#REF!,0),IF(AND(#REF!=$B$456,#REF!&lt;&gt;0,#REF!=H218,#REF!&gt;0),#REF!,0),IF(AND(#REF!=$B$456,#REF!&lt;&gt;0,#REF!=H218,#REF!&gt;0),#REF!,0),IF(AND(#REF!=$B$456,#REF!&lt;&gt;0,#REF!=H218,#REF!&gt;0),#REF!,0))</f>
        <v>#REF!</v>
      </c>
      <c r="I234" s="820" t="e">
        <f>SUM(IF(AND(#REF!=$B$456,#REF!&lt;&gt;0,#REF!=I218,#REF!&gt;0),#REF!,0),IF(AND(#REF!=$B$456,#REF!&lt;&gt;0,#REF!=I218,#REF!&gt;0),#REF!,0),IF(AND(#REF!=$B$456,#REF!&lt;&gt;0,#REF!=I218,#REF!&gt;0),#REF!,0),IF(AND(#REF!=$B$456,#REF!&lt;&gt;0,#REF!=I218,#REF!&gt;0),#REF!,0),IF(AND(#REF!=$B$456,#REF!&lt;&gt;0,#REF!=I218,#REF!&gt;0),#REF!,0),IF(AND(#REF!=$B$456,#REF!&lt;&gt;0,#REF!=I218,#REF!&gt;0),#REF!,0))</f>
        <v>#REF!</v>
      </c>
      <c r="J234" s="820" t="e">
        <f>SUM(IF(AND(#REF!=$B$456,#REF!&lt;&gt;0,#REF!=J218,#REF!&gt;0),#REF!,0),IF(AND(#REF!=$B$456,#REF!&lt;&gt;0,#REF!=J218,#REF!&gt;0),#REF!,0),IF(AND(#REF!=$B$456,#REF!&lt;&gt;0,#REF!=J218,#REF!&gt;0),#REF!,0),IF(AND(#REF!=$B$456,#REF!&lt;&gt;0,#REF!=J218,#REF!&gt;0),#REF!,0),IF(AND(#REF!=$B$456,#REF!&lt;&gt;0,#REF!=J218,#REF!&gt;0),#REF!,0),IF(AND(#REF!=$B$456,#REF!&lt;&gt;0,#REF!=J218,#REF!&gt;0),#REF!,0))</f>
        <v>#REF!</v>
      </c>
      <c r="K234" s="820" t="e">
        <f>SUM(IF(AND(#REF!=$B$456,#REF!&lt;&gt;0,#REF!=K218,#REF!&gt;0),#REF!,0),IF(AND(#REF!=$B$456,#REF!&lt;&gt;0,#REF!=K218,#REF!&gt;0),#REF!,0),IF(AND(#REF!=$B$456,#REF!&lt;&gt;0,#REF!=K218,#REF!&gt;0),#REF!,0),IF(AND(#REF!=$B$456,#REF!&lt;&gt;0,#REF!=K218,#REF!&gt;0),#REF!,0),IF(AND(#REF!=$B$456,#REF!&lt;&gt;0,#REF!=K218,#REF!&gt;0),#REF!,0),IF(AND(#REF!=$B$456,#REF!&lt;&gt;0,#REF!=K218,#REF!&gt;0),#REF!,0))</f>
        <v>#REF!</v>
      </c>
      <c r="L234" s="820" t="e">
        <f>SUM(IF(AND(#REF!=$B$456,#REF!&lt;&gt;0,#REF!=L218,#REF!&gt;0),#REF!,0),IF(AND(#REF!=$B$456,#REF!&lt;&gt;0,#REF!=L218,#REF!&gt;0),#REF!,0),IF(AND(#REF!=$B$456,#REF!&lt;&gt;0,#REF!=L218,#REF!&gt;0),#REF!,0),IF(AND(#REF!=$B$456,#REF!&lt;&gt;0,#REF!=L218,#REF!&gt;0),#REF!,0),IF(AND(#REF!=$B$456,#REF!&lt;&gt;0,#REF!=L218,#REF!&gt;0),#REF!,0),IF(AND(#REF!=$B$456,#REF!&lt;&gt;0,#REF!=L218,#REF!&gt;0),#REF!,0))</f>
        <v>#REF!</v>
      </c>
      <c r="M234" s="820" t="e">
        <f>SUM(IF(AND(#REF!=$B$456,#REF!&lt;&gt;0,#REF!=M218,#REF!&gt;0),#REF!,0),IF(AND(#REF!=$B$456,#REF!&lt;&gt;0,#REF!=M218,#REF!&gt;0),#REF!,0),IF(AND(#REF!=$B$456,#REF!&lt;&gt;0,#REF!=M218,#REF!&gt;0),#REF!,0),IF(AND(#REF!=$B$456,#REF!&lt;&gt;0,#REF!=M218,#REF!&gt;0),#REF!,0),IF(AND(#REF!=$B$456,#REF!&lt;&gt;0,#REF!=M218,#REF!&gt;0),#REF!,0),IF(AND(#REF!=$B$456,#REF!&lt;&gt;0,#REF!=M218,#REF!&gt;0),#REF!,0))</f>
        <v>#REF!</v>
      </c>
      <c r="N234" s="820" t="e">
        <f>SUM(IF(AND(#REF!=$B$456,#REF!&lt;&gt;0,#REF!=N218,#REF!&gt;0),#REF!,0),IF(AND(#REF!=$B$456,#REF!&lt;&gt;0,#REF!=N218,#REF!&gt;0),#REF!,0),IF(AND(#REF!=$B$456,#REF!&lt;&gt;0,#REF!=N218,#REF!&gt;0),#REF!,0),IF(AND(#REF!=$B$456,#REF!&lt;&gt;0,#REF!=N218,#REF!&gt;0),#REF!,0),IF(AND(#REF!=$B$456,#REF!&lt;&gt;0,#REF!=N218,#REF!&gt;0),#REF!,0),IF(AND(#REF!=$B$456,#REF!&lt;&gt;0,#REF!=N218,#REF!&gt;0),#REF!,0))</f>
        <v>#REF!</v>
      </c>
      <c r="O234" s="820" t="e">
        <f>SUM(IF(AND(#REF!=$B$456,#REF!&lt;&gt;0,#REF!=O218,#REF!&gt;0),#REF!,0),IF(AND(#REF!=$B$456,#REF!&lt;&gt;0,#REF!=O218,#REF!&gt;0),#REF!,0),IF(AND(#REF!=$B$456,#REF!&lt;&gt;0,#REF!=O218,#REF!&gt;0),#REF!,0),IF(AND(#REF!=$B$456,#REF!&lt;&gt;0,#REF!=O218,#REF!&gt;0),#REF!,0),IF(AND(#REF!=$B$456,#REF!&lt;&gt;0,#REF!=O218,#REF!&gt;0),#REF!,0),IF(AND(#REF!=$B$456,#REF!&lt;&gt;0,#REF!=O218,#REF!&gt;0),#REF!,0))</f>
        <v>#REF!</v>
      </c>
      <c r="P234" s="820" t="e">
        <f>SUM(IF(AND(#REF!=$B$456,#REF!&lt;&gt;0,#REF!=P218,#REF!&gt;0),#REF!,0),IF(AND(#REF!=$B$456,#REF!&lt;&gt;0,#REF!=P218,#REF!&gt;0),#REF!,0),IF(AND(#REF!=$B$456,#REF!&lt;&gt;0,#REF!=P218,#REF!&gt;0),#REF!,0),IF(AND(#REF!=$B$456,#REF!&lt;&gt;0,#REF!=P218,#REF!&gt;0),#REF!,0),IF(AND(#REF!=$B$456,#REF!&lt;&gt;0,#REF!=P218,#REF!&gt;0),#REF!,0),IF(AND(#REF!=$B$456,#REF!&lt;&gt;0,#REF!=P218,#REF!&gt;0),#REF!,0))</f>
        <v>#REF!</v>
      </c>
      <c r="Q234" s="820" t="e">
        <f>SUM(IF(AND(#REF!=$B$456,#REF!&lt;&gt;0,#REF!=Q218,#REF!&gt;0),#REF!,0),IF(AND(#REF!=$B$456,#REF!&lt;&gt;0,#REF!=Q218,#REF!&gt;0),#REF!,0),IF(AND(#REF!=$B$456,#REF!&lt;&gt;0,#REF!=Q218,#REF!&gt;0),#REF!,0),IF(AND(#REF!=$B$456,#REF!&lt;&gt;0,#REF!=Q218,#REF!&gt;0),#REF!,0),IF(AND(#REF!=$B$456,#REF!&lt;&gt;0,#REF!=Q218,#REF!&gt;0),#REF!,0),IF(AND(#REF!=$B$456,#REF!&lt;&gt;0,#REF!=Q218,#REF!&gt;0),#REF!,0))</f>
        <v>#REF!</v>
      </c>
      <c r="R234" s="820" t="e">
        <f>SUM(IF(AND(#REF!=$B$456,#REF!&lt;&gt;0,#REF!=R218,#REF!&gt;0),#REF!,0),IF(AND(#REF!=$B$456,#REF!&lt;&gt;0,#REF!=R218,#REF!&gt;0),#REF!,0),IF(AND(#REF!=$B$456,#REF!&lt;&gt;0,#REF!=R218,#REF!&gt;0),#REF!,0),IF(AND(#REF!=$B$456,#REF!&lt;&gt;0,#REF!=R218,#REF!&gt;0),#REF!,0),IF(AND(#REF!=$B$456,#REF!&lt;&gt;0,#REF!=R218,#REF!&gt;0),#REF!,0),IF(AND(#REF!=$B$456,#REF!&lt;&gt;0,#REF!=R218,#REF!&gt;0),#REF!,0))</f>
        <v>#REF!</v>
      </c>
    </row>
    <row r="235" spans="1:79" s="851" customFormat="1" ht="13.5" thickBot="1">
      <c r="A235" s="846"/>
      <c r="B235" s="847"/>
      <c r="C235" s="848"/>
      <c r="D235" s="545"/>
      <c r="E235" s="848"/>
      <c r="F235" s="545"/>
      <c r="G235" s="849"/>
      <c r="H235" s="848"/>
      <c r="I235" s="850"/>
      <c r="J235" s="850"/>
      <c r="K235" s="850"/>
      <c r="L235" s="850"/>
      <c r="M235" s="850"/>
      <c r="N235" s="850"/>
      <c r="O235" s="850"/>
      <c r="P235" s="850"/>
      <c r="Q235" s="850"/>
      <c r="S235" s="531"/>
      <c r="T235" s="531"/>
      <c r="U235" s="531"/>
      <c r="V235" s="531"/>
      <c r="W235" s="531"/>
      <c r="X235" s="531"/>
      <c r="Y235" s="531"/>
      <c r="Z235" s="531"/>
      <c r="AA235" s="531"/>
      <c r="AB235" s="531"/>
      <c r="AC235" s="531"/>
      <c r="AD235" s="531"/>
      <c r="AE235" s="531"/>
      <c r="AF235" s="531"/>
      <c r="AG235" s="531"/>
      <c r="AH235" s="531"/>
      <c r="AI235" s="531"/>
      <c r="AJ235" s="531"/>
      <c r="AK235" s="531"/>
      <c r="AL235" s="531"/>
      <c r="AM235" s="531"/>
      <c r="AN235" s="531"/>
      <c r="AO235" s="531"/>
      <c r="AP235" s="531"/>
      <c r="AQ235" s="531"/>
      <c r="AR235" s="531"/>
      <c r="AS235" s="531"/>
      <c r="AT235" s="531"/>
      <c r="AU235" s="531"/>
      <c r="AV235" s="531"/>
      <c r="AW235" s="531"/>
      <c r="AX235" s="531"/>
      <c r="AY235" s="531"/>
      <c r="AZ235" s="531"/>
      <c r="BA235" s="531"/>
      <c r="BB235" s="531"/>
      <c r="BC235" s="531"/>
      <c r="BD235" s="531"/>
      <c r="BE235" s="531"/>
      <c r="BF235" s="531"/>
      <c r="BG235" s="531"/>
      <c r="BH235" s="531"/>
      <c r="BI235" s="531"/>
      <c r="BJ235" s="531"/>
      <c r="BK235" s="531"/>
      <c r="BL235" s="531"/>
      <c r="BM235" s="531"/>
      <c r="BN235" s="531"/>
      <c r="BO235" s="531"/>
      <c r="BP235" s="531"/>
      <c r="BQ235" s="531"/>
      <c r="BR235" s="531"/>
      <c r="BS235" s="531"/>
      <c r="BT235" s="531"/>
      <c r="BU235" s="531"/>
      <c r="BV235" s="531"/>
      <c r="BW235" s="531"/>
      <c r="BX235" s="531"/>
      <c r="BY235" s="531"/>
      <c r="BZ235" s="531"/>
      <c r="CA235" s="531"/>
    </row>
    <row r="236" spans="1:79" ht="15" thickTop="1"/>
    <row r="237" spans="1:79"/>
    <row r="238" spans="1:79"/>
    <row r="239" spans="1:79"/>
    <row r="240" spans="1:79"/>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sheetData>
  <sheetProtection password="D5B5" sheet="1" objects="1" scenarios="1"/>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Hoja41"/>
  <dimension ref="A1:DZ1045"/>
  <sheetViews>
    <sheetView showGridLines="0" showRowColHeaders="0" zoomScale="70" zoomScaleNormal="70" workbookViewId="0">
      <pane ySplit="17" topLeftCell="A573" activePane="bottomLeft" state="frozen"/>
      <selection pane="bottomLeft" activeCell="A575" sqref="A575"/>
    </sheetView>
  </sheetViews>
  <sheetFormatPr baseColWidth="10" defaultColWidth="0" defaultRowHeight="13" customHeight="1" zeroHeight="1"/>
  <cols>
    <col min="1" max="1" width="5.54296875" style="2214" customWidth="1"/>
    <col min="2" max="2" width="76.54296875" style="2181" customWidth="1"/>
    <col min="3" max="3" width="15.26953125" style="2181" customWidth="1"/>
    <col min="4" max="4" width="8.26953125" style="2181" customWidth="1"/>
    <col min="5" max="5" width="15.26953125" style="2181" customWidth="1"/>
    <col min="6" max="7" width="8.26953125" style="2181" customWidth="1"/>
    <col min="8" max="8" width="15.1796875" style="2181" customWidth="1"/>
    <col min="9" max="10" width="8.26953125" style="2446" customWidth="1"/>
    <col min="11" max="11" width="15.26953125" style="2446" customWidth="1"/>
    <col min="12" max="12" width="8.26953125" style="2181" customWidth="1"/>
    <col min="13" max="13" width="8.26953125" style="2447" customWidth="1"/>
    <col min="14" max="14" width="15.26953125" style="2446" customWidth="1"/>
    <col min="15" max="15" width="16.81640625" style="2181" customWidth="1"/>
    <col min="16" max="16" width="8.26953125" style="2447" customWidth="1"/>
    <col min="17" max="17" width="15.26953125" style="2447" customWidth="1"/>
    <col min="18" max="18" width="8.26953125" style="2181" customWidth="1"/>
    <col min="19" max="19" width="9.26953125" style="2181" customWidth="1"/>
    <col min="20" max="26" width="15.26953125" style="2181" customWidth="1"/>
    <col min="27" max="31" width="15.1796875" style="2181" customWidth="1"/>
    <col min="32" max="33" width="15.1796875" style="1966" customWidth="1"/>
    <col min="34" max="34" width="16.453125" style="1966" customWidth="1"/>
    <col min="35" max="35" width="15.1796875" style="1966" customWidth="1"/>
    <col min="36" max="36" width="8.1796875" style="1966" customWidth="1"/>
    <col min="37" max="37" width="13.81640625" style="2450" customWidth="1"/>
    <col min="38" max="38" width="6.81640625" style="2450" bestFit="1" customWidth="1"/>
    <col min="39" max="39" width="86.453125" style="2450" bestFit="1" customWidth="1"/>
    <col min="40" max="40" width="8" style="2450" bestFit="1" customWidth="1"/>
    <col min="41" max="41" width="4" style="1966" bestFit="1" customWidth="1"/>
    <col min="42" max="42" width="11.7265625" style="1966" customWidth="1"/>
    <col min="43" max="43" width="4" style="1966" bestFit="1" customWidth="1"/>
    <col min="44" max="44" width="4.26953125" style="1966" bestFit="1" customWidth="1"/>
    <col min="45" max="45" width="12.1796875" style="1966" bestFit="1" customWidth="1"/>
    <col min="46" max="46" width="4" style="1966" bestFit="1" customWidth="1"/>
    <col min="47" max="47" width="9.453125" style="1966" customWidth="1"/>
    <col min="48" max="48" width="11.453125" style="1966" customWidth="1"/>
    <col min="49" max="49" width="4" style="1966" bestFit="1" customWidth="1"/>
    <col min="50" max="50" width="6.1796875" style="1966" customWidth="1"/>
    <col min="51" max="51" width="12.26953125" style="1966" customWidth="1"/>
    <col min="52" max="52" width="6.7265625" style="1966" customWidth="1"/>
    <col min="53" max="53" width="53.453125" style="1966" bestFit="1" customWidth="1"/>
    <col min="54" max="54" width="18.26953125" style="1966" bestFit="1" customWidth="1"/>
    <col min="55" max="55" width="4" style="1966" bestFit="1" customWidth="1"/>
    <col min="56" max="56" width="8" style="1966" bestFit="1" customWidth="1"/>
    <col min="57" max="69" width="14.7265625" style="1966" bestFit="1" customWidth="1"/>
    <col min="70" max="72" width="14.7265625" style="2181" bestFit="1" customWidth="1"/>
    <col min="73" max="77" width="13.81640625" style="2181" customWidth="1"/>
    <col min="78" max="78" width="69.7265625" style="2181" bestFit="1" customWidth="1"/>
    <col min="79" max="79" width="19" style="2181" customWidth="1"/>
    <col min="80" max="80" width="10" style="2181" customWidth="1"/>
    <col min="81" max="82" width="18.54296875" style="2181" bestFit="1" customWidth="1"/>
    <col min="83" max="83" width="9" style="2181" bestFit="1" customWidth="1"/>
    <col min="84" max="84" width="19" style="2181" customWidth="1"/>
    <col min="85" max="85" width="12.81640625" style="2181" customWidth="1"/>
    <col min="86" max="86" width="12.54296875" style="2181" customWidth="1"/>
    <col min="87" max="87" width="16.1796875" style="2181" customWidth="1"/>
    <col min="88" max="89" width="9" style="2181" bestFit="1" customWidth="1"/>
    <col min="90" max="90" width="16.26953125" style="2181" customWidth="1"/>
    <col min="91" max="92" width="9" style="2181" bestFit="1" customWidth="1"/>
    <col min="93" max="93" width="15.54296875" style="2181" bestFit="1" customWidth="1"/>
    <col min="94" max="95" width="10.81640625" style="2181" bestFit="1" customWidth="1"/>
    <col min="96" max="96" width="15.54296875" style="2181" bestFit="1" customWidth="1"/>
    <col min="97" max="98" width="10.81640625" style="2181" bestFit="1" customWidth="1"/>
    <col min="99" max="99" width="15.54296875" style="2181" bestFit="1" customWidth="1"/>
    <col min="100" max="101" width="10.81640625" style="2181" bestFit="1" customWidth="1"/>
    <col min="102" max="102" width="15.54296875" style="2181" bestFit="1" customWidth="1"/>
    <col min="103" max="104" width="10.81640625" style="2181" bestFit="1" customWidth="1"/>
    <col min="105" max="105" width="15.54296875" style="2181" bestFit="1" customWidth="1"/>
    <col min="106" max="107" width="10.81640625" style="2181" bestFit="1" customWidth="1"/>
    <col min="108" max="108" width="15.54296875" style="2181" bestFit="1" customWidth="1"/>
    <col min="109" max="110" width="10.81640625" style="2181" bestFit="1" customWidth="1"/>
    <col min="111" max="111" width="16.81640625" style="2181" bestFit="1" customWidth="1"/>
    <col min="112" max="113" width="10.81640625" style="2181" bestFit="1" customWidth="1"/>
    <col min="114" max="114" width="16.26953125" style="2181" bestFit="1" customWidth="1"/>
    <col min="115" max="116" width="10.81640625" style="2181" bestFit="1" customWidth="1"/>
    <col min="117" max="117" width="16.81640625" style="2181" bestFit="1" customWidth="1"/>
    <col min="118" max="119" width="10.81640625" style="2181" bestFit="1" customWidth="1"/>
    <col min="120" max="120" width="16.26953125" style="2181" bestFit="1" customWidth="1"/>
    <col min="121" max="121" width="10.81640625" style="2181" bestFit="1" customWidth="1"/>
    <col min="122" max="122" width="8.453125" style="2181" bestFit="1" customWidth="1"/>
    <col min="123" max="123" width="16.81640625" style="2181" bestFit="1" customWidth="1"/>
    <col min="124" max="125" width="10.81640625" style="2181" bestFit="1" customWidth="1"/>
    <col min="126" max="126" width="16.81640625" style="2181" bestFit="1" customWidth="1"/>
    <col min="127" max="128" width="10.81640625" style="2181" bestFit="1" customWidth="1"/>
    <col min="129" max="130" width="13.81640625" style="2181" customWidth="1"/>
    <col min="131" max="16384" width="11.453125" style="2181" hidden="1"/>
  </cols>
  <sheetData>
    <row r="1" spans="1:59" s="533" customFormat="1" ht="14.5">
      <c r="A1"/>
      <c r="B1"/>
      <c r="C1" s="616"/>
      <c r="D1" s="852"/>
      <c r="E1" s="535"/>
      <c r="F1" s="535"/>
      <c r="G1" s="535"/>
      <c r="H1" s="535"/>
      <c r="I1" s="530"/>
      <c r="J1" s="530"/>
      <c r="K1" s="530"/>
      <c r="L1" s="531"/>
      <c r="M1" s="539"/>
      <c r="N1" s="530"/>
      <c r="O1" s="531"/>
      <c r="P1" s="539"/>
      <c r="Q1" s="531"/>
      <c r="R1" s="531"/>
      <c r="S1" s="531"/>
      <c r="T1" s="531"/>
      <c r="U1" s="531"/>
      <c r="V1" s="531"/>
      <c r="W1" s="531"/>
      <c r="X1" s="531"/>
      <c r="Y1" s="531"/>
      <c r="Z1" s="531"/>
      <c r="AA1" s="531"/>
      <c r="AB1" s="531"/>
      <c r="AC1" s="531"/>
      <c r="AD1" s="532"/>
      <c r="AE1" s="532"/>
      <c r="AF1" s="531"/>
      <c r="AG1" s="531"/>
      <c r="AH1" s="531"/>
      <c r="AI1" s="531"/>
      <c r="AJ1" s="853"/>
      <c r="AK1" s="625"/>
      <c r="AL1" s="625"/>
      <c r="BD1"/>
      <c r="BE1"/>
      <c r="BF1"/>
    </row>
    <row r="2" spans="1:59" s="533" customFormat="1" ht="14.5">
      <c r="A2"/>
      <c r="B2"/>
      <c r="C2" s="854">
        <f>IF(Resumen!$K$5=Resumen!$A$88,"FLUJO "&amp;LEFT(Q16,3)&amp;". "&amp;TEXT(Q15,"0.00")&amp;" CONTRA:",IF(OR(AND(Q18=0,Q71=0),AND(Q18=0,Q71=0),AND(K18=0,K71=0),AND(K18=0,K71=0)),0,"FLUJO "&amp;LEFT(Q16,3)&amp;". "&amp;TEXT(Q15,"0.00")&amp;" CONTRA:"))</f>
        <v>0</v>
      </c>
      <c r="D2" s="616"/>
      <c r="E2" s="535"/>
      <c r="F2" s="535"/>
      <c r="G2" s="535"/>
      <c r="H2" s="535"/>
      <c r="I2" s="530"/>
      <c r="J2" s="530"/>
      <c r="K2" s="530"/>
      <c r="L2" s="531"/>
      <c r="M2" s="539"/>
      <c r="N2" s="530"/>
      <c r="O2" s="531"/>
      <c r="P2" s="539"/>
      <c r="Q2" s="531"/>
      <c r="R2" s="531"/>
      <c r="S2" s="531"/>
      <c r="T2" s="531"/>
      <c r="U2" s="531"/>
      <c r="V2" s="531"/>
      <c r="W2" s="531"/>
      <c r="X2" s="531"/>
      <c r="Y2" s="531"/>
      <c r="Z2" s="531"/>
      <c r="AA2" s="531"/>
      <c r="AB2" s="531"/>
      <c r="AC2" s="531"/>
      <c r="AD2" s="532"/>
      <c r="AE2" s="532"/>
      <c r="AF2" s="531"/>
      <c r="AG2" s="531"/>
      <c r="AH2" s="531"/>
      <c r="AI2" s="531"/>
      <c r="AJ2" s="853"/>
      <c r="AK2" s="625"/>
      <c r="AL2" s="625"/>
      <c r="BD2"/>
      <c r="BE2"/>
      <c r="BF2"/>
    </row>
    <row r="3" spans="1:59" s="533" customFormat="1" ht="14.5" hidden="1">
      <c r="A3"/>
      <c r="B3"/>
      <c r="C3" s="855"/>
      <c r="D3" s="616"/>
      <c r="E3" s="535"/>
      <c r="F3" s="535"/>
      <c r="G3" s="535"/>
      <c r="H3" s="535"/>
      <c r="I3" s="530"/>
      <c r="J3" s="530"/>
      <c r="K3" s="530"/>
      <c r="L3" s="531"/>
      <c r="M3" s="539"/>
      <c r="N3" s="530"/>
      <c r="O3" s="531"/>
      <c r="P3" s="539"/>
      <c r="Q3" s="531"/>
      <c r="R3" s="531"/>
      <c r="S3" s="531"/>
      <c r="T3" s="531"/>
      <c r="U3" s="531"/>
      <c r="V3" s="531"/>
      <c r="W3" s="531"/>
      <c r="X3" s="531"/>
      <c r="Y3" s="531"/>
      <c r="Z3" s="531"/>
      <c r="AA3" s="531"/>
      <c r="AB3" s="531"/>
      <c r="AC3" s="531"/>
      <c r="AD3" s="532"/>
      <c r="AE3" s="532"/>
      <c r="AF3" s="531"/>
      <c r="AG3" s="531"/>
      <c r="AH3" s="531"/>
      <c r="AI3" s="531"/>
      <c r="AJ3" s="853"/>
      <c r="AK3" s="625"/>
      <c r="AL3" s="625"/>
      <c r="BD3"/>
      <c r="BE3"/>
      <c r="BF3"/>
    </row>
    <row r="4" spans="1:59" s="533" customFormat="1" ht="14.5" hidden="1">
      <c r="A4"/>
      <c r="B4"/>
      <c r="C4" s="852"/>
      <c r="D4" s="852"/>
      <c r="E4" s="535"/>
      <c r="F4" s="535"/>
      <c r="G4" s="535"/>
      <c r="H4" s="535"/>
      <c r="I4" s="530"/>
      <c r="J4" s="530"/>
      <c r="K4" s="530"/>
      <c r="L4" s="531"/>
      <c r="M4" s="539"/>
      <c r="N4" s="530"/>
      <c r="O4" s="531"/>
      <c r="P4" s="539"/>
      <c r="Q4" s="531"/>
      <c r="R4" s="531"/>
      <c r="S4" s="531"/>
      <c r="T4" s="531"/>
      <c r="U4" s="531"/>
      <c r="V4" s="531"/>
      <c r="W4" s="531"/>
      <c r="X4" s="531"/>
      <c r="Y4" s="531"/>
      <c r="Z4" s="531"/>
      <c r="AA4" s="531"/>
      <c r="AB4" s="531"/>
      <c r="AC4" s="531"/>
      <c r="AD4" s="532"/>
      <c r="AE4" s="532"/>
      <c r="AF4" s="531"/>
      <c r="AG4" s="531"/>
      <c r="AH4" s="531"/>
      <c r="AI4" s="531"/>
      <c r="AJ4" s="853"/>
      <c r="AK4" s="625"/>
      <c r="AL4" s="625"/>
      <c r="BD4"/>
      <c r="BE4"/>
      <c r="BF4"/>
    </row>
    <row r="5" spans="1:59" s="533" customFormat="1" ht="14.5" hidden="1">
      <c r="A5"/>
      <c r="B5"/>
      <c r="C5" s="616"/>
      <c r="D5" s="616"/>
      <c r="E5" s="535"/>
      <c r="F5" s="535"/>
      <c r="G5" s="535"/>
      <c r="H5" s="535"/>
      <c r="I5" s="530"/>
      <c r="J5" s="530"/>
      <c r="K5" s="530"/>
      <c r="L5" s="531"/>
      <c r="M5" s="539"/>
      <c r="N5" s="530"/>
      <c r="O5" s="531"/>
      <c r="P5" s="539"/>
      <c r="Q5" s="531"/>
      <c r="R5" s="531"/>
      <c r="S5" s="531"/>
      <c r="T5" s="531"/>
      <c r="U5" s="531"/>
      <c r="V5" s="531"/>
      <c r="W5" s="531"/>
      <c r="X5" s="531"/>
      <c r="Y5" s="531"/>
      <c r="Z5" s="531"/>
      <c r="AA5" s="531"/>
      <c r="AB5" s="531"/>
      <c r="AC5" s="531"/>
      <c r="AD5" s="532"/>
      <c r="AE5" s="532"/>
      <c r="AF5" s="531"/>
      <c r="AG5" s="531"/>
      <c r="AH5" s="531"/>
      <c r="AI5" s="531"/>
      <c r="AJ5" s="853"/>
      <c r="AK5" s="625"/>
      <c r="AL5" s="625"/>
      <c r="BD5"/>
      <c r="BE5"/>
      <c r="BF5"/>
    </row>
    <row r="6" spans="1:59" s="533" customFormat="1" ht="14.5" hidden="1">
      <c r="A6"/>
      <c r="B6"/>
      <c r="C6" s="616"/>
      <c r="D6" s="616"/>
      <c r="E6" s="535"/>
      <c r="F6" s="535"/>
      <c r="G6" s="535"/>
      <c r="H6" s="535"/>
      <c r="I6" s="530"/>
      <c r="J6" s="530"/>
      <c r="K6" s="530"/>
      <c r="L6" s="531"/>
      <c r="M6" s="539"/>
      <c r="N6" s="530"/>
      <c r="O6" s="531"/>
      <c r="P6" s="539"/>
      <c r="Q6" s="531"/>
      <c r="R6" s="531"/>
      <c r="S6" s="531"/>
      <c r="T6" s="531"/>
      <c r="U6" s="531"/>
      <c r="V6" s="531"/>
      <c r="W6" s="531"/>
      <c r="X6" s="531"/>
      <c r="Y6" s="531"/>
      <c r="Z6" s="531"/>
      <c r="AA6" s="531"/>
      <c r="AB6" s="531"/>
      <c r="AC6" s="531"/>
      <c r="AD6" s="532"/>
      <c r="AE6" s="532"/>
      <c r="AF6" s="531"/>
      <c r="AG6" s="531"/>
      <c r="AH6" s="531"/>
      <c r="AI6" s="531"/>
      <c r="AJ6" s="853"/>
      <c r="AK6" s="625"/>
      <c r="AL6" s="625"/>
      <c r="BD6"/>
      <c r="BE6"/>
      <c r="BF6"/>
    </row>
    <row r="7" spans="1:59" s="533" customFormat="1" ht="14.5" hidden="1">
      <c r="A7"/>
      <c r="B7"/>
      <c r="C7" s="535"/>
      <c r="D7" s="535"/>
      <c r="E7" s="535"/>
      <c r="F7" s="535"/>
      <c r="G7" s="535"/>
      <c r="H7" s="534"/>
      <c r="I7" s="534"/>
      <c r="J7" s="534"/>
      <c r="K7" s="534"/>
      <c r="L7" s="535"/>
      <c r="M7" s="545"/>
      <c r="N7" s="534"/>
      <c r="O7" s="535"/>
      <c r="P7" s="545"/>
      <c r="Q7" s="534"/>
      <c r="R7" s="534"/>
      <c r="S7" s="534"/>
      <c r="T7" s="534"/>
      <c r="U7" s="534"/>
      <c r="V7" s="534"/>
      <c r="W7" s="534"/>
      <c r="X7" s="534"/>
      <c r="Y7" s="534"/>
      <c r="Z7" s="534"/>
      <c r="AA7" s="534"/>
      <c r="AB7" s="531"/>
      <c r="AC7" s="531"/>
      <c r="AD7" s="532"/>
      <c r="AE7" s="532"/>
      <c r="AF7" s="531"/>
      <c r="AG7" s="531"/>
      <c r="AH7" s="531"/>
      <c r="AI7" s="531"/>
      <c r="AJ7" s="853"/>
      <c r="AK7" s="625"/>
      <c r="AL7" s="625"/>
      <c r="BD7"/>
      <c r="BE7"/>
      <c r="BF7"/>
    </row>
    <row r="8" spans="1:59" s="533" customFormat="1" ht="14.5" hidden="1">
      <c r="A8"/>
      <c r="B8"/>
      <c r="C8" s="535"/>
      <c r="D8" s="535"/>
      <c r="E8" s="535"/>
      <c r="F8" s="535"/>
      <c r="G8" s="535"/>
      <c r="H8" s="534"/>
      <c r="I8" s="534"/>
      <c r="J8" s="534"/>
      <c r="K8" s="534"/>
      <c r="L8" s="535"/>
      <c r="M8" s="545"/>
      <c r="N8" s="534"/>
      <c r="O8" s="535"/>
      <c r="P8" s="545"/>
      <c r="Q8" s="534"/>
      <c r="R8" s="534"/>
      <c r="S8" s="534"/>
      <c r="T8" s="534"/>
      <c r="U8" s="534"/>
      <c r="V8" s="534"/>
      <c r="W8" s="534"/>
      <c r="X8" s="534"/>
      <c r="Y8" s="534"/>
      <c r="Z8" s="534"/>
      <c r="AA8" s="534"/>
      <c r="AB8" s="531"/>
      <c r="AC8" s="531"/>
      <c r="AD8" s="532"/>
      <c r="AE8" s="532"/>
      <c r="AF8" s="531"/>
      <c r="AG8" s="531"/>
      <c r="AH8" s="531"/>
      <c r="AI8" s="531"/>
      <c r="AJ8" s="853"/>
      <c r="AK8" s="625"/>
      <c r="AL8" s="625"/>
      <c r="BD8"/>
      <c r="BE8"/>
      <c r="BF8"/>
    </row>
    <row r="9" spans="1:59" s="533" customFormat="1" ht="14.5" hidden="1">
      <c r="A9"/>
      <c r="B9"/>
      <c r="C9" s="535"/>
      <c r="D9" s="535"/>
      <c r="E9" s="535"/>
      <c r="F9" s="535"/>
      <c r="G9" s="535"/>
      <c r="H9" s="534"/>
      <c r="I9" s="534"/>
      <c r="J9" s="534"/>
      <c r="K9" s="534"/>
      <c r="L9" s="535"/>
      <c r="M9" s="545"/>
      <c r="N9" s="534"/>
      <c r="O9" s="535"/>
      <c r="P9" s="545"/>
      <c r="Q9" s="534"/>
      <c r="R9" s="534"/>
      <c r="S9" s="534"/>
      <c r="T9" s="534"/>
      <c r="U9" s="534"/>
      <c r="V9" s="534"/>
      <c r="W9" s="534"/>
      <c r="X9" s="534"/>
      <c r="Y9" s="534"/>
      <c r="Z9" s="534"/>
      <c r="AA9" s="534"/>
      <c r="AB9" s="531"/>
      <c r="AC9" s="531"/>
      <c r="AD9" s="532"/>
      <c r="AE9" s="532"/>
      <c r="AF9" s="531"/>
      <c r="AG9" s="531"/>
      <c r="AH9" s="531"/>
      <c r="AI9" s="531"/>
      <c r="AJ9" s="853"/>
      <c r="AK9" s="625"/>
      <c r="AL9" s="625"/>
      <c r="BD9"/>
      <c r="BE9"/>
      <c r="BF9"/>
    </row>
    <row r="10" spans="1:59" s="536" customFormat="1" ht="14.5" hidden="1">
      <c r="A10"/>
      <c r="B10"/>
      <c r="C10" s="535"/>
      <c r="D10" s="535"/>
      <c r="E10" s="535"/>
      <c r="F10" s="535"/>
      <c r="G10" s="535"/>
      <c r="H10" s="534"/>
      <c r="I10" s="534"/>
      <c r="J10" s="534"/>
      <c r="K10" s="534"/>
      <c r="L10" s="535"/>
      <c r="M10" s="545"/>
      <c r="N10" s="534"/>
      <c r="O10" s="535"/>
      <c r="P10" s="545"/>
      <c r="Q10" s="534"/>
      <c r="R10" s="534"/>
      <c r="S10" s="534"/>
      <c r="T10" s="534"/>
      <c r="U10" s="534"/>
      <c r="V10" s="534"/>
      <c r="W10" s="534"/>
      <c r="X10" s="534"/>
      <c r="Y10" s="534"/>
      <c r="Z10" s="534"/>
      <c r="AA10" s="534"/>
      <c r="AB10" s="535"/>
      <c r="AC10" s="535"/>
      <c r="AD10" s="535"/>
      <c r="AE10" s="535"/>
      <c r="AF10" s="535"/>
      <c r="AG10" s="535"/>
      <c r="AH10" s="535"/>
      <c r="AI10" s="535"/>
      <c r="AJ10" s="856"/>
      <c r="BD10"/>
      <c r="BE10"/>
      <c r="BF10"/>
    </row>
    <row r="11" spans="1:59" s="533" customFormat="1" ht="14.5" hidden="1">
      <c r="A11" s="537"/>
      <c r="B11" s="531"/>
      <c r="C11" s="531"/>
      <c r="D11" s="531"/>
      <c r="E11" s="531"/>
      <c r="F11" s="531"/>
      <c r="G11" s="531"/>
      <c r="H11" s="857"/>
      <c r="I11" s="531"/>
      <c r="J11" s="531"/>
      <c r="K11" s="530"/>
      <c r="L11" s="531"/>
      <c r="M11" s="539"/>
      <c r="N11" s="534"/>
      <c r="O11" s="531"/>
      <c r="P11" s="531"/>
      <c r="Q11" s="531"/>
      <c r="R11" s="531"/>
      <c r="S11" s="531"/>
      <c r="T11" s="531"/>
      <c r="U11" s="531"/>
      <c r="V11" s="531"/>
      <c r="W11" s="531"/>
      <c r="X11" s="531"/>
      <c r="Y11" s="531"/>
      <c r="Z11" s="531"/>
      <c r="AA11" s="531"/>
      <c r="AB11" s="531"/>
      <c r="AC11" s="531"/>
      <c r="AD11" s="531"/>
      <c r="AE11" s="531"/>
      <c r="AF11" s="531"/>
      <c r="AG11" s="531"/>
      <c r="AH11" s="531"/>
      <c r="AI11" s="531"/>
      <c r="AJ11" s="853"/>
      <c r="AK11" s="625"/>
      <c r="AL11" s="625"/>
      <c r="BD11"/>
      <c r="BE11"/>
      <c r="BF11"/>
    </row>
    <row r="12" spans="1:59" s="533" customFormat="1" ht="14.5" hidden="1">
      <c r="A12" s="537"/>
      <c r="B12" s="531"/>
      <c r="C12" s="531"/>
      <c r="D12" s="531"/>
      <c r="E12" s="858"/>
      <c r="F12" s="531"/>
      <c r="G12" s="531"/>
      <c r="H12" s="531"/>
      <c r="I12" s="530"/>
      <c r="J12" s="530"/>
      <c r="K12" s="530"/>
      <c r="L12" s="531"/>
      <c r="M12" s="539"/>
      <c r="N12" s="531">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0</v>
      </c>
      <c r="O12" s="531"/>
      <c r="P12" s="539"/>
      <c r="Q12" s="531"/>
      <c r="R12" s="531"/>
      <c r="S12" s="539"/>
      <c r="T12" s="531"/>
      <c r="U12" s="531"/>
      <c r="V12" s="530"/>
      <c r="W12" s="530"/>
      <c r="X12" s="530"/>
      <c r="Y12" s="530"/>
      <c r="Z12" s="530"/>
      <c r="AA12" s="530"/>
      <c r="AB12" s="530"/>
      <c r="AC12" s="530"/>
      <c r="AD12" s="530"/>
      <c r="AE12" s="531"/>
      <c r="AF12" s="531"/>
      <c r="AG12" s="531"/>
      <c r="AH12" s="531"/>
      <c r="AI12" s="531"/>
      <c r="AJ12" s="853"/>
      <c r="AK12" s="625"/>
      <c r="AL12" s="625"/>
      <c r="BD12"/>
      <c r="BE12"/>
      <c r="BF12"/>
      <c r="BG12"/>
    </row>
    <row r="13" spans="1:59" s="533" customFormat="1" ht="15.5">
      <c r="A13" s="537"/>
      <c r="B13" s="540" t="str">
        <f>"ANEXO - ESTADOS FINANCIEROS"&amp;IF($R$956&lt;&gt;$E$913," - CORTE "&amp;Q16,0)</f>
        <v>ANEXO - ESTADOS FINANCIEROS0</v>
      </c>
      <c r="C13" s="859" t="str">
        <f>"Miles de "&amp;Caratula1!AN3</f>
        <v xml:space="preserve">Miles de </v>
      </c>
      <c r="D13" s="531"/>
      <c r="E13" s="531">
        <f>IF('Balances y Proyecciones'!$Q$17=360,'Balances y Proyecciones'!$AP$757,'Balances y Proyecciones'!$AS$757)</f>
        <v>0</v>
      </c>
      <c r="F13" s="531"/>
      <c r="G13" s="531"/>
      <c r="H13" s="531"/>
      <c r="I13" s="531"/>
      <c r="J13" s="531"/>
      <c r="K13" s="530"/>
      <c r="L13" s="531"/>
      <c r="M13" s="539"/>
      <c r="N13" s="531"/>
      <c r="O13" s="531"/>
      <c r="P13" s="531"/>
      <c r="Q13" s="531"/>
      <c r="R13" s="531"/>
      <c r="S13" s="531"/>
      <c r="T13" s="541" t="str">
        <f>IF($W$241="SI","ESCENARIO "&amp;$V$242,0)</f>
        <v>ESCENARIO BASE</v>
      </c>
      <c r="U13" s="531"/>
      <c r="V13" s="531"/>
      <c r="W13" s="531"/>
      <c r="X13" s="531"/>
      <c r="Y13" s="531"/>
      <c r="Z13" s="531"/>
      <c r="AA13" s="531"/>
      <c r="AB13" s="531"/>
      <c r="AC13" s="531"/>
      <c r="AD13" s="531"/>
      <c r="AE13" s="860"/>
      <c r="AF13" s="531"/>
      <c r="AG13" s="531"/>
      <c r="AH13" s="531"/>
      <c r="AI13" s="531"/>
      <c r="AJ13" s="853"/>
      <c r="AK13" s="625"/>
      <c r="AL13" s="625"/>
      <c r="BD13"/>
      <c r="BE13"/>
      <c r="BF13"/>
    </row>
    <row r="14" spans="1:59" s="533" customFormat="1" ht="15.5">
      <c r="A14" s="537"/>
      <c r="B14" s="543" t="str">
        <f>Presentación!A5</f>
        <v/>
      </c>
      <c r="C14" s="3469" t="str">
        <f>'Estados Financieros'!E9</f>
        <v>Tasas:  = 0, -  = 0, -  = 0,</v>
      </c>
      <c r="D14" s="531"/>
      <c r="E14" s="861"/>
      <c r="F14" s="531"/>
      <c r="G14" s="531"/>
      <c r="H14" s="531"/>
      <c r="I14" s="530"/>
      <c r="J14" s="530"/>
      <c r="K14" s="862" t="s">
        <v>1257</v>
      </c>
      <c r="L14" s="531"/>
      <c r="M14" s="539"/>
      <c r="N14" s="531"/>
      <c r="O14" s="531"/>
      <c r="P14" s="539"/>
      <c r="Q14" s="862" t="s">
        <v>1257</v>
      </c>
      <c r="R14" s="531"/>
      <c r="S14" s="539"/>
      <c r="T14" s="546" t="s">
        <v>1044</v>
      </c>
      <c r="U14" s="546" t="s">
        <v>1044</v>
      </c>
      <c r="V14" s="546" t="s">
        <v>1044</v>
      </c>
      <c r="W14" s="546" t="s">
        <v>1044</v>
      </c>
      <c r="X14" s="546" t="s">
        <v>1044</v>
      </c>
      <c r="Y14" s="546" t="s">
        <v>1044</v>
      </c>
      <c r="Z14" s="546" t="s">
        <v>1044</v>
      </c>
      <c r="AA14" s="546" t="s">
        <v>1044</v>
      </c>
      <c r="AB14" s="546" t="s">
        <v>1044</v>
      </c>
      <c r="AC14" s="546" t="s">
        <v>1044</v>
      </c>
      <c r="AD14" s="546" t="s">
        <v>1044</v>
      </c>
      <c r="AE14" s="546" t="s">
        <v>1044</v>
      </c>
      <c r="AF14" s="546" t="s">
        <v>1044</v>
      </c>
      <c r="AG14" s="546" t="s">
        <v>1044</v>
      </c>
      <c r="AH14" s="546" t="s">
        <v>1044</v>
      </c>
      <c r="AI14" s="546" t="s">
        <v>1044</v>
      </c>
      <c r="AJ14" s="853"/>
      <c r="AK14" s="625"/>
      <c r="AL14" s="625"/>
      <c r="BD14"/>
      <c r="BE14"/>
      <c r="BF14"/>
    </row>
    <row r="15" spans="1:59" s="533" customFormat="1" ht="20">
      <c r="A15" s="547"/>
      <c r="B15" s="548" t="s">
        <v>536</v>
      </c>
      <c r="C15" s="549">
        <f>E15-1</f>
        <v>2016</v>
      </c>
      <c r="D15" s="863"/>
      <c r="E15" s="549">
        <f>'Estados Financieros'!E4</f>
        <v>2017</v>
      </c>
      <c r="F15" s="863"/>
      <c r="G15" s="863"/>
      <c r="H15" s="549">
        <f>E15+1</f>
        <v>2018</v>
      </c>
      <c r="I15" s="863"/>
      <c r="J15" s="863"/>
      <c r="K15" s="552">
        <f>'Estados Financieros'!I4</f>
        <v>2019</v>
      </c>
      <c r="L15" s="863"/>
      <c r="M15" s="863"/>
      <c r="N15" s="549">
        <f>H15+1</f>
        <v>2019</v>
      </c>
      <c r="O15" s="863"/>
      <c r="P15" s="863"/>
      <c r="Q15" s="552" t="str">
        <f>'Estados Financieros'!H4</f>
        <v>2020</v>
      </c>
      <c r="R15" s="863"/>
      <c r="S15" s="863"/>
      <c r="T15" s="552">
        <f>N15+1</f>
        <v>2020</v>
      </c>
      <c r="U15" s="552">
        <f t="shared" ref="U15:AI15" si="0">T15+1</f>
        <v>2021</v>
      </c>
      <c r="V15" s="552">
        <f t="shared" si="0"/>
        <v>2022</v>
      </c>
      <c r="W15" s="552">
        <f t="shared" si="0"/>
        <v>2023</v>
      </c>
      <c r="X15" s="552">
        <f t="shared" si="0"/>
        <v>2024</v>
      </c>
      <c r="Y15" s="552">
        <f t="shared" si="0"/>
        <v>2025</v>
      </c>
      <c r="Z15" s="552">
        <f t="shared" si="0"/>
        <v>2026</v>
      </c>
      <c r="AA15" s="552">
        <f t="shared" si="0"/>
        <v>2027</v>
      </c>
      <c r="AB15" s="552">
        <f t="shared" si="0"/>
        <v>2028</v>
      </c>
      <c r="AC15" s="552">
        <f t="shared" si="0"/>
        <v>2029</v>
      </c>
      <c r="AD15" s="552">
        <f t="shared" si="0"/>
        <v>2030</v>
      </c>
      <c r="AE15" s="552">
        <f t="shared" si="0"/>
        <v>2031</v>
      </c>
      <c r="AF15" s="552">
        <f t="shared" si="0"/>
        <v>2032</v>
      </c>
      <c r="AG15" s="552">
        <f t="shared" si="0"/>
        <v>2033</v>
      </c>
      <c r="AH15" s="552">
        <f t="shared" si="0"/>
        <v>2034</v>
      </c>
      <c r="AI15" s="552">
        <f t="shared" si="0"/>
        <v>2035</v>
      </c>
      <c r="AJ15" s="853"/>
      <c r="AK15" s="625"/>
      <c r="AL15" s="625"/>
      <c r="BD15"/>
      <c r="BE15"/>
      <c r="BF15"/>
    </row>
    <row r="16" spans="1:59" s="533" customFormat="1" ht="20">
      <c r="A16" s="547"/>
      <c r="B16" s="553" t="s">
        <v>1045</v>
      </c>
      <c r="C16" s="554" t="str">
        <f>VLOOKUP(C17/30,$D$950:$F$961,3,0)</f>
        <v>DICIEMBRE</v>
      </c>
      <c r="D16" s="863"/>
      <c r="E16" s="554" t="str">
        <f>'Estados Financieros'!E8</f>
        <v>Diciembre</v>
      </c>
      <c r="F16" s="531"/>
      <c r="G16" s="531"/>
      <c r="H16" s="554" t="str">
        <f>'Estados Financieros'!F8</f>
        <v>Diciembre</v>
      </c>
      <c r="I16" s="530"/>
      <c r="J16" s="530"/>
      <c r="K16" s="554" t="str">
        <f>'Estados Financieros'!I8</f>
        <v>Junio</v>
      </c>
      <c r="L16" s="531"/>
      <c r="M16" s="539"/>
      <c r="N16" s="554" t="str">
        <f>'Estados Financieros'!G8</f>
        <v>Diciembre</v>
      </c>
      <c r="O16" s="531"/>
      <c r="P16" s="539"/>
      <c r="Q16" s="554" t="str">
        <f>'Estados Financieros'!H8</f>
        <v>Junio</v>
      </c>
      <c r="R16" s="531"/>
      <c r="S16" s="539"/>
      <c r="T16" s="554" t="str">
        <f t="shared" ref="T16:AI16" si="1">VLOOKUP(T17/30,$D$950:$F$961,3,0)</f>
        <v>DICIEMBRE</v>
      </c>
      <c r="U16" s="554" t="str">
        <f t="shared" si="1"/>
        <v>DICIEMBRE</v>
      </c>
      <c r="V16" s="554" t="str">
        <f t="shared" si="1"/>
        <v>DICIEMBRE</v>
      </c>
      <c r="W16" s="554" t="str">
        <f t="shared" si="1"/>
        <v>DICIEMBRE</v>
      </c>
      <c r="X16" s="554" t="str">
        <f t="shared" si="1"/>
        <v>DICIEMBRE</v>
      </c>
      <c r="Y16" s="554" t="str">
        <f t="shared" si="1"/>
        <v>DICIEMBRE</v>
      </c>
      <c r="Z16" s="554" t="str">
        <f t="shared" si="1"/>
        <v>DICIEMBRE</v>
      </c>
      <c r="AA16" s="554" t="str">
        <f t="shared" si="1"/>
        <v>DICIEMBRE</v>
      </c>
      <c r="AB16" s="554" t="str">
        <f t="shared" si="1"/>
        <v>DICIEMBRE</v>
      </c>
      <c r="AC16" s="554" t="str">
        <f t="shared" si="1"/>
        <v>DICIEMBRE</v>
      </c>
      <c r="AD16" s="554" t="str">
        <f t="shared" si="1"/>
        <v>DICIEMBRE</v>
      </c>
      <c r="AE16" s="554" t="str">
        <f t="shared" si="1"/>
        <v>DICIEMBRE</v>
      </c>
      <c r="AF16" s="554" t="str">
        <f t="shared" si="1"/>
        <v>DICIEMBRE</v>
      </c>
      <c r="AG16" s="554" t="str">
        <f t="shared" si="1"/>
        <v>DICIEMBRE</v>
      </c>
      <c r="AH16" s="554" t="str">
        <f t="shared" si="1"/>
        <v>DICIEMBRE</v>
      </c>
      <c r="AI16" s="554" t="str">
        <f t="shared" si="1"/>
        <v>DICIEMBRE</v>
      </c>
      <c r="AJ16" s="853"/>
      <c r="AK16" s="625"/>
      <c r="AL16" s="532"/>
      <c r="BD16"/>
      <c r="BE16"/>
      <c r="BF16"/>
    </row>
    <row r="17" spans="1:58" s="533" customFormat="1" ht="14.5">
      <c r="A17" s="547"/>
      <c r="B17" s="548" t="s">
        <v>871</v>
      </c>
      <c r="C17" s="556">
        <f>E17</f>
        <v>360</v>
      </c>
      <c r="D17" s="864" t="s">
        <v>1258</v>
      </c>
      <c r="E17" s="556">
        <f>'Estados Financieros'!E7</f>
        <v>360</v>
      </c>
      <c r="F17" s="865" t="s">
        <v>1258</v>
      </c>
      <c r="G17" s="866" t="s">
        <v>1259</v>
      </c>
      <c r="H17" s="556">
        <f>'Estados Financieros'!F7</f>
        <v>360</v>
      </c>
      <c r="I17" s="865" t="s">
        <v>1258</v>
      </c>
      <c r="J17" s="866" t="s">
        <v>1259</v>
      </c>
      <c r="K17" s="556">
        <f>'Estados Financieros'!I7</f>
        <v>180</v>
      </c>
      <c r="L17" s="865" t="s">
        <v>1258</v>
      </c>
      <c r="M17" s="866" t="s">
        <v>1259</v>
      </c>
      <c r="N17" s="556">
        <f>'Estados Financieros'!G7</f>
        <v>360</v>
      </c>
      <c r="O17" s="865" t="s">
        <v>1258</v>
      </c>
      <c r="P17" s="866" t="s">
        <v>1259</v>
      </c>
      <c r="Q17" s="556">
        <f>IF('Estados Financieros'!H185=0,360,'Estados Financieros'!H7)</f>
        <v>360</v>
      </c>
      <c r="R17" s="865" t="s">
        <v>1258</v>
      </c>
      <c r="S17" s="866" t="s">
        <v>1259</v>
      </c>
      <c r="T17" s="556">
        <v>360</v>
      </c>
      <c r="U17" s="556">
        <v>360</v>
      </c>
      <c r="V17" s="556">
        <v>360</v>
      </c>
      <c r="W17" s="556">
        <v>360</v>
      </c>
      <c r="X17" s="556">
        <v>360</v>
      </c>
      <c r="Y17" s="556">
        <v>360</v>
      </c>
      <c r="Z17" s="556">
        <v>360</v>
      </c>
      <c r="AA17" s="556">
        <v>360</v>
      </c>
      <c r="AB17" s="556">
        <v>360</v>
      </c>
      <c r="AC17" s="556">
        <v>360</v>
      </c>
      <c r="AD17" s="556">
        <v>360</v>
      </c>
      <c r="AE17" s="556">
        <v>360</v>
      </c>
      <c r="AF17" s="556">
        <v>360</v>
      </c>
      <c r="AG17" s="556">
        <v>360</v>
      </c>
      <c r="AH17" s="556">
        <v>360</v>
      </c>
      <c r="AI17" s="556">
        <v>360</v>
      </c>
      <c r="AJ17" s="853"/>
      <c r="AK17" s="625"/>
      <c r="AL17" s="625"/>
      <c r="BD17"/>
      <c r="BE17"/>
      <c r="BF17"/>
    </row>
    <row r="18" spans="1:58" s="533" customFormat="1" ht="14.5">
      <c r="A18" s="558">
        <v>1</v>
      </c>
      <c r="B18" s="559" t="s">
        <v>904</v>
      </c>
      <c r="C18" s="867"/>
      <c r="D18" s="868"/>
      <c r="E18" s="869">
        <f>SUM('Estados Financieros'!E23,'Estados Financieros'!E33)</f>
        <v>0</v>
      </c>
      <c r="F18" s="870">
        <f t="shared" ref="F18:F34" si="2">IF(OR(E18=0,E$34=0),0,E18/E$34)</f>
        <v>0</v>
      </c>
      <c r="G18" s="871"/>
      <c r="H18" s="869">
        <f>SUM('Estados Financieros'!F23,'Estados Financieros'!F33)</f>
        <v>0</v>
      </c>
      <c r="I18" s="870">
        <f t="shared" ref="I18:I34" si="3">IF(OR(H18=0,H$34=0),0,H18/H$34)</f>
        <v>0</v>
      </c>
      <c r="J18" s="872">
        <f t="shared" ref="J18:J49" si="4">IF(OR(E18=0,H18=0),0,IF(ABS((H18/E18)-1)&gt;1000000%,0,(H18/E18)-1))</f>
        <v>0</v>
      </c>
      <c r="K18" s="560">
        <f>SUM('Estados Financieros'!I23,'Estados Financieros'!I33)</f>
        <v>0</v>
      </c>
      <c r="L18" s="870">
        <f t="shared" ref="L18:L34" si="5">IF(OR(K18=0,K$34=0),0,K18/K$34)</f>
        <v>0</v>
      </c>
      <c r="M18" s="872">
        <f t="shared" ref="M18:M49" si="6">IF(OR(H18=0,K18=0),0,IF(ABS((K18/H18)-1)&gt;1000000%,0,(K18/H18)-1))</f>
        <v>0</v>
      </c>
      <c r="N18" s="560">
        <f>SUM('Estados Financieros'!G23,'Estados Financieros'!G33)</f>
        <v>0</v>
      </c>
      <c r="O18" s="870">
        <f t="shared" ref="O18:O34" si="7">IF(OR(N18=0,N$34=0),0,N18/N$34)</f>
        <v>0</v>
      </c>
      <c r="P18" s="872">
        <f t="shared" ref="P18:P49" si="8">IF(OR(H18=0,N18=0),0,IF(ABS((N18/H18)-1)&gt;1000000%,0,(N18/H18)-1))</f>
        <v>0</v>
      </c>
      <c r="Q18" s="560">
        <f>SUM('Estados Financieros'!H23,'Estados Financieros'!H33)</f>
        <v>0</v>
      </c>
      <c r="R18" s="870">
        <f t="shared" ref="R18:R34" si="9">IF(OR(Q18=0,Q$34=0),0,Q18/Q$34)</f>
        <v>0</v>
      </c>
      <c r="S18" s="872">
        <f t="shared" ref="S18:S49" si="10">IF(OR(N18=0,Q18=0),0,IF(ABS((Q18/N18)-1)&gt;1000000%,0,(Q18/N18)-1))</f>
        <v>0</v>
      </c>
      <c r="T18" s="562">
        <f>MAX(T923,SUM(T151,T153:T155,T159:T160,T165,T172:T173,T180,T191,T210,-N36,N18))</f>
        <v>0</v>
      </c>
      <c r="U18" s="562">
        <f t="shared" ref="U18:AI18" si="11">MAX(U923,SUM(U151,U153:U155,U159:U160,U165,U172:U173,U180,U191,U210,-T36,T18))</f>
        <v>0</v>
      </c>
      <c r="V18" s="562">
        <f t="shared" si="11"/>
        <v>0</v>
      </c>
      <c r="W18" s="562">
        <f t="shared" si="11"/>
        <v>0</v>
      </c>
      <c r="X18" s="562">
        <f t="shared" si="11"/>
        <v>0</v>
      </c>
      <c r="Y18" s="562">
        <f t="shared" si="11"/>
        <v>0</v>
      </c>
      <c r="Z18" s="562">
        <f t="shared" si="11"/>
        <v>0</v>
      </c>
      <c r="AA18" s="562">
        <f t="shared" si="11"/>
        <v>0</v>
      </c>
      <c r="AB18" s="562">
        <f t="shared" si="11"/>
        <v>0</v>
      </c>
      <c r="AC18" s="562">
        <f t="shared" si="11"/>
        <v>0</v>
      </c>
      <c r="AD18" s="562">
        <f t="shared" si="11"/>
        <v>0</v>
      </c>
      <c r="AE18" s="562">
        <f t="shared" si="11"/>
        <v>0</v>
      </c>
      <c r="AF18" s="562">
        <f t="shared" si="11"/>
        <v>0</v>
      </c>
      <c r="AG18" s="562">
        <f t="shared" si="11"/>
        <v>0</v>
      </c>
      <c r="AH18" s="562">
        <f t="shared" si="11"/>
        <v>0</v>
      </c>
      <c r="AI18" s="562">
        <f t="shared" si="11"/>
        <v>0</v>
      </c>
      <c r="AJ18" s="853"/>
      <c r="AK18" s="625"/>
      <c r="AL18" s="625"/>
      <c r="BD18"/>
      <c r="BE18"/>
      <c r="BF18"/>
    </row>
    <row r="19" spans="1:58" s="536" customFormat="1" ht="14.5">
      <c r="A19" s="563" t="s">
        <v>1046</v>
      </c>
      <c r="B19" s="564" t="s">
        <v>565</v>
      </c>
      <c r="C19" s="873"/>
      <c r="D19" s="874">
        <f t="shared" ref="D19:D34" si="12">IF(OR(C19=0,C$34=0),0,C19/C$34)</f>
        <v>0</v>
      </c>
      <c r="E19" s="875">
        <f>SUM('Estados Financieros'!E39:E40)</f>
        <v>0</v>
      </c>
      <c r="F19" s="876">
        <f t="shared" si="2"/>
        <v>0</v>
      </c>
      <c r="G19" s="877">
        <f t="shared" ref="G19:G50" si="13">IF(OR(C19=0,E19=0),0,IF(ABS((E19/C19)-1)&gt;1000000%,0,(E19/C19)-1))</f>
        <v>0</v>
      </c>
      <c r="H19" s="875">
        <f>SUM('Estados Financieros'!F39:F40)</f>
        <v>0</v>
      </c>
      <c r="I19" s="876">
        <f t="shared" si="3"/>
        <v>0</v>
      </c>
      <c r="J19" s="877">
        <f t="shared" si="4"/>
        <v>0</v>
      </c>
      <c r="K19" s="565">
        <f>SUM('Estados Financieros'!I39:I40)</f>
        <v>0</v>
      </c>
      <c r="L19" s="876">
        <f t="shared" si="5"/>
        <v>0</v>
      </c>
      <c r="M19" s="877">
        <f t="shared" si="6"/>
        <v>0</v>
      </c>
      <c r="N19" s="565">
        <f>SUM('Estados Financieros'!G39:G40)</f>
        <v>0</v>
      </c>
      <c r="O19" s="876">
        <f t="shared" si="7"/>
        <v>0</v>
      </c>
      <c r="P19" s="877">
        <f t="shared" si="8"/>
        <v>0</v>
      </c>
      <c r="Q19" s="565">
        <f>SUM('Estados Financieros'!H39:H40)</f>
        <v>0</v>
      </c>
      <c r="R19" s="876">
        <f t="shared" si="9"/>
        <v>0</v>
      </c>
      <c r="S19" s="877">
        <f t="shared" si="10"/>
        <v>0</v>
      </c>
      <c r="T19" s="566">
        <f t="shared" ref="T19:AI19" si="14">T71*T401/T17</f>
        <v>0</v>
      </c>
      <c r="U19" s="566">
        <f t="shared" si="14"/>
        <v>0</v>
      </c>
      <c r="V19" s="566">
        <f t="shared" si="14"/>
        <v>0</v>
      </c>
      <c r="W19" s="566">
        <f t="shared" si="14"/>
        <v>0</v>
      </c>
      <c r="X19" s="566">
        <f t="shared" si="14"/>
        <v>0</v>
      </c>
      <c r="Y19" s="566">
        <f t="shared" si="14"/>
        <v>0</v>
      </c>
      <c r="Z19" s="566">
        <f t="shared" si="14"/>
        <v>0</v>
      </c>
      <c r="AA19" s="566">
        <f t="shared" si="14"/>
        <v>0</v>
      </c>
      <c r="AB19" s="566">
        <f t="shared" si="14"/>
        <v>0</v>
      </c>
      <c r="AC19" s="566">
        <f t="shared" si="14"/>
        <v>0</v>
      </c>
      <c r="AD19" s="566">
        <f t="shared" si="14"/>
        <v>0</v>
      </c>
      <c r="AE19" s="566">
        <f t="shared" si="14"/>
        <v>0</v>
      </c>
      <c r="AF19" s="566">
        <f t="shared" si="14"/>
        <v>0</v>
      </c>
      <c r="AG19" s="566">
        <f t="shared" si="14"/>
        <v>0</v>
      </c>
      <c r="AH19" s="566">
        <f t="shared" si="14"/>
        <v>0</v>
      </c>
      <c r="AI19" s="566">
        <f t="shared" si="14"/>
        <v>0</v>
      </c>
      <c r="AJ19" s="856"/>
      <c r="BD19"/>
      <c r="BE19"/>
      <c r="BF19"/>
    </row>
    <row r="20" spans="1:58" s="536" customFormat="1" ht="14.5">
      <c r="A20" s="563" t="s">
        <v>1047</v>
      </c>
      <c r="B20" s="564" t="s">
        <v>1048</v>
      </c>
      <c r="C20" s="873"/>
      <c r="D20" s="874">
        <f t="shared" si="12"/>
        <v>0</v>
      </c>
      <c r="E20" s="875">
        <f>-'Estados Financieros'!E39</f>
        <v>0</v>
      </c>
      <c r="F20" s="876">
        <f t="shared" si="2"/>
        <v>0</v>
      </c>
      <c r="G20" s="877">
        <f t="shared" si="13"/>
        <v>0</v>
      </c>
      <c r="H20" s="875">
        <f>-'Estados Financieros'!F39</f>
        <v>0</v>
      </c>
      <c r="I20" s="876">
        <f t="shared" si="3"/>
        <v>0</v>
      </c>
      <c r="J20" s="877">
        <f t="shared" si="4"/>
        <v>0</v>
      </c>
      <c r="K20" s="565">
        <f>-'Estados Financieros'!I39</f>
        <v>0</v>
      </c>
      <c r="L20" s="876">
        <f t="shared" si="5"/>
        <v>0</v>
      </c>
      <c r="M20" s="877">
        <f t="shared" si="6"/>
        <v>0</v>
      </c>
      <c r="N20" s="565">
        <f>-'Estados Financieros'!G39</f>
        <v>0</v>
      </c>
      <c r="O20" s="876">
        <f t="shared" si="7"/>
        <v>0</v>
      </c>
      <c r="P20" s="877">
        <f t="shared" si="8"/>
        <v>0</v>
      </c>
      <c r="Q20" s="565">
        <f>-'Estados Financieros'!H39</f>
        <v>0</v>
      </c>
      <c r="R20" s="876">
        <f t="shared" si="9"/>
        <v>0</v>
      </c>
      <c r="S20" s="877">
        <f t="shared" si="10"/>
        <v>0</v>
      </c>
      <c r="T20" s="566">
        <f t="shared" ref="T20:AI20" si="15">-T19*T402</f>
        <v>0</v>
      </c>
      <c r="U20" s="566">
        <f t="shared" si="15"/>
        <v>0</v>
      </c>
      <c r="V20" s="566">
        <f t="shared" si="15"/>
        <v>0</v>
      </c>
      <c r="W20" s="566">
        <f t="shared" si="15"/>
        <v>0</v>
      </c>
      <c r="X20" s="566">
        <f t="shared" si="15"/>
        <v>0</v>
      </c>
      <c r="Y20" s="566">
        <f t="shared" si="15"/>
        <v>0</v>
      </c>
      <c r="Z20" s="566">
        <f t="shared" si="15"/>
        <v>0</v>
      </c>
      <c r="AA20" s="566">
        <f t="shared" si="15"/>
        <v>0</v>
      </c>
      <c r="AB20" s="566">
        <f t="shared" si="15"/>
        <v>0</v>
      </c>
      <c r="AC20" s="566">
        <f t="shared" si="15"/>
        <v>0</v>
      </c>
      <c r="AD20" s="566">
        <f t="shared" si="15"/>
        <v>0</v>
      </c>
      <c r="AE20" s="566">
        <f t="shared" si="15"/>
        <v>0</v>
      </c>
      <c r="AF20" s="566">
        <f t="shared" si="15"/>
        <v>0</v>
      </c>
      <c r="AG20" s="566">
        <f t="shared" si="15"/>
        <v>0</v>
      </c>
      <c r="AH20" s="566">
        <f t="shared" si="15"/>
        <v>0</v>
      </c>
      <c r="AI20" s="566">
        <f t="shared" si="15"/>
        <v>0</v>
      </c>
      <c r="AJ20" s="856"/>
      <c r="BD20"/>
      <c r="BE20"/>
      <c r="BF20"/>
    </row>
    <row r="21" spans="1:58" s="536" customFormat="1" ht="14.5">
      <c r="A21" s="563" t="s">
        <v>1049</v>
      </c>
      <c r="B21" s="564" t="s">
        <v>1050</v>
      </c>
      <c r="C21" s="873"/>
      <c r="D21" s="874">
        <f t="shared" si="12"/>
        <v>0</v>
      </c>
      <c r="E21" s="875">
        <f>SUM('Estados Financieros'!E71,-'Estados Financieros'!E70)</f>
        <v>0</v>
      </c>
      <c r="F21" s="876">
        <f t="shared" si="2"/>
        <v>0</v>
      </c>
      <c r="G21" s="877">
        <f t="shared" si="13"/>
        <v>0</v>
      </c>
      <c r="H21" s="875">
        <f>SUM('Estados Financieros'!F71,-'Estados Financieros'!F70)</f>
        <v>0</v>
      </c>
      <c r="I21" s="876">
        <f t="shared" si="3"/>
        <v>0</v>
      </c>
      <c r="J21" s="877">
        <f t="shared" si="4"/>
        <v>0</v>
      </c>
      <c r="K21" s="565">
        <f>SUM('Estados Financieros'!I71,-'Estados Financieros'!I70)</f>
        <v>0</v>
      </c>
      <c r="L21" s="876">
        <f t="shared" si="5"/>
        <v>0</v>
      </c>
      <c r="M21" s="877">
        <f t="shared" si="6"/>
        <v>0</v>
      </c>
      <c r="N21" s="565">
        <f>SUM('Estados Financieros'!G71,-'Estados Financieros'!G70)</f>
        <v>0</v>
      </c>
      <c r="O21" s="876">
        <f t="shared" si="7"/>
        <v>0</v>
      </c>
      <c r="P21" s="877">
        <f t="shared" si="8"/>
        <v>0</v>
      </c>
      <c r="Q21" s="565">
        <f>SUM('Estados Financieros'!H71,-'Estados Financieros'!H70)</f>
        <v>0</v>
      </c>
      <c r="R21" s="876">
        <f t="shared" si="9"/>
        <v>0</v>
      </c>
      <c r="S21" s="877">
        <f t="shared" si="10"/>
        <v>0</v>
      </c>
      <c r="T21" s="566">
        <f t="shared" ref="T21:AI21" si="16">IF(T72&lt;&gt;0,T72*T403/T17,T74*T403/T17)</f>
        <v>0</v>
      </c>
      <c r="U21" s="566">
        <f t="shared" si="16"/>
        <v>0</v>
      </c>
      <c r="V21" s="566">
        <f t="shared" si="16"/>
        <v>0</v>
      </c>
      <c r="W21" s="566">
        <f t="shared" si="16"/>
        <v>0</v>
      </c>
      <c r="X21" s="566">
        <f t="shared" si="16"/>
        <v>0</v>
      </c>
      <c r="Y21" s="566">
        <f t="shared" si="16"/>
        <v>0</v>
      </c>
      <c r="Z21" s="566">
        <f t="shared" si="16"/>
        <v>0</v>
      </c>
      <c r="AA21" s="566">
        <f t="shared" si="16"/>
        <v>0</v>
      </c>
      <c r="AB21" s="566">
        <f t="shared" si="16"/>
        <v>0</v>
      </c>
      <c r="AC21" s="566">
        <f t="shared" si="16"/>
        <v>0</v>
      </c>
      <c r="AD21" s="566">
        <f t="shared" si="16"/>
        <v>0</v>
      </c>
      <c r="AE21" s="566">
        <f t="shared" si="16"/>
        <v>0</v>
      </c>
      <c r="AF21" s="566">
        <f t="shared" si="16"/>
        <v>0</v>
      </c>
      <c r="AG21" s="566">
        <f t="shared" si="16"/>
        <v>0</v>
      </c>
      <c r="AH21" s="566">
        <f t="shared" si="16"/>
        <v>0</v>
      </c>
      <c r="AI21" s="566">
        <f t="shared" si="16"/>
        <v>0</v>
      </c>
      <c r="AJ21" s="856"/>
      <c r="BD21"/>
      <c r="BE21"/>
      <c r="BF21"/>
    </row>
    <row r="22" spans="1:58" s="536" customFormat="1" ht="14.5">
      <c r="A22" s="563" t="s">
        <v>1051</v>
      </c>
      <c r="B22" s="564" t="s">
        <v>1052</v>
      </c>
      <c r="C22" s="873"/>
      <c r="D22" s="874">
        <f t="shared" si="12"/>
        <v>0</v>
      </c>
      <c r="E22" s="875">
        <f>'Estados Financieros'!E70</f>
        <v>0</v>
      </c>
      <c r="F22" s="876">
        <f t="shared" si="2"/>
        <v>0</v>
      </c>
      <c r="G22" s="877">
        <f t="shared" si="13"/>
        <v>0</v>
      </c>
      <c r="H22" s="875">
        <f>'Estados Financieros'!F70</f>
        <v>0</v>
      </c>
      <c r="I22" s="876">
        <f t="shared" si="3"/>
        <v>0</v>
      </c>
      <c r="J22" s="877">
        <f t="shared" si="4"/>
        <v>0</v>
      </c>
      <c r="K22" s="565">
        <f>'Estados Financieros'!I70</f>
        <v>0</v>
      </c>
      <c r="L22" s="876">
        <f t="shared" si="5"/>
        <v>0</v>
      </c>
      <c r="M22" s="877">
        <f t="shared" si="6"/>
        <v>0</v>
      </c>
      <c r="N22" s="565">
        <f>'Estados Financieros'!G70</f>
        <v>0</v>
      </c>
      <c r="O22" s="876">
        <f t="shared" si="7"/>
        <v>0</v>
      </c>
      <c r="P22" s="877">
        <f t="shared" si="8"/>
        <v>0</v>
      </c>
      <c r="Q22" s="565">
        <f>'Estados Financieros'!H70</f>
        <v>0</v>
      </c>
      <c r="R22" s="876">
        <f t="shared" si="9"/>
        <v>0</v>
      </c>
      <c r="S22" s="877">
        <f t="shared" si="10"/>
        <v>0</v>
      </c>
      <c r="T22" s="566">
        <f t="shared" ref="T22:AI22" si="17">-T21*T404</f>
        <v>0</v>
      </c>
      <c r="U22" s="566">
        <f t="shared" si="17"/>
        <v>0</v>
      </c>
      <c r="V22" s="566">
        <f t="shared" si="17"/>
        <v>0</v>
      </c>
      <c r="W22" s="566">
        <f t="shared" si="17"/>
        <v>0</v>
      </c>
      <c r="X22" s="566">
        <f t="shared" si="17"/>
        <v>0</v>
      </c>
      <c r="Y22" s="566">
        <f t="shared" si="17"/>
        <v>0</v>
      </c>
      <c r="Z22" s="566">
        <f t="shared" si="17"/>
        <v>0</v>
      </c>
      <c r="AA22" s="566">
        <f t="shared" si="17"/>
        <v>0</v>
      </c>
      <c r="AB22" s="566">
        <f t="shared" si="17"/>
        <v>0</v>
      </c>
      <c r="AC22" s="566">
        <f t="shared" si="17"/>
        <v>0</v>
      </c>
      <c r="AD22" s="566">
        <f t="shared" si="17"/>
        <v>0</v>
      </c>
      <c r="AE22" s="566">
        <f t="shared" si="17"/>
        <v>0</v>
      </c>
      <c r="AF22" s="566">
        <f t="shared" si="17"/>
        <v>0</v>
      </c>
      <c r="AG22" s="566">
        <f t="shared" si="17"/>
        <v>0</v>
      </c>
      <c r="AH22" s="566">
        <f t="shared" si="17"/>
        <v>0</v>
      </c>
      <c r="AI22" s="566">
        <f t="shared" si="17"/>
        <v>0</v>
      </c>
      <c r="AJ22" s="856"/>
      <c r="BD22"/>
      <c r="BE22"/>
      <c r="BF22"/>
    </row>
    <row r="23" spans="1:58" s="533" customFormat="1" ht="14.5">
      <c r="A23" s="567">
        <v>4</v>
      </c>
      <c r="B23" s="568" t="s">
        <v>1053</v>
      </c>
      <c r="C23" s="873"/>
      <c r="D23" s="874">
        <f t="shared" si="12"/>
        <v>0</v>
      </c>
      <c r="E23" s="878">
        <f>SUM('Estados Financieros'!E44,'Estados Financieros'!E49)</f>
        <v>0</v>
      </c>
      <c r="F23" s="876">
        <f t="shared" si="2"/>
        <v>0</v>
      </c>
      <c r="G23" s="877">
        <f t="shared" si="13"/>
        <v>0</v>
      </c>
      <c r="H23" s="878">
        <f>SUM('Estados Financieros'!F44,'Estados Financieros'!F49)</f>
        <v>0</v>
      </c>
      <c r="I23" s="876">
        <f t="shared" si="3"/>
        <v>0</v>
      </c>
      <c r="J23" s="877">
        <f t="shared" si="4"/>
        <v>0</v>
      </c>
      <c r="K23" s="565">
        <f>SUM('Estados Financieros'!I44,'Estados Financieros'!I49)</f>
        <v>0</v>
      </c>
      <c r="L23" s="876">
        <f t="shared" si="5"/>
        <v>0</v>
      </c>
      <c r="M23" s="877">
        <f t="shared" si="6"/>
        <v>0</v>
      </c>
      <c r="N23" s="565">
        <f>SUM('Estados Financieros'!G44,'Estados Financieros'!G49)</f>
        <v>0</v>
      </c>
      <c r="O23" s="876">
        <f t="shared" si="7"/>
        <v>0</v>
      </c>
      <c r="P23" s="877">
        <f t="shared" si="8"/>
        <v>0</v>
      </c>
      <c r="Q23" s="565">
        <f>SUM('Estados Financieros'!H44,'Estados Financieros'!H49)</f>
        <v>0</v>
      </c>
      <c r="R23" s="876">
        <f t="shared" si="9"/>
        <v>0</v>
      </c>
      <c r="S23" s="877">
        <f t="shared" si="10"/>
        <v>0</v>
      </c>
      <c r="T23" s="569">
        <f t="shared" ref="T23:AI23" si="18">IF(T72&lt;&gt;0,T72*T405,T74*T405)</f>
        <v>0</v>
      </c>
      <c r="U23" s="569">
        <f t="shared" si="18"/>
        <v>0</v>
      </c>
      <c r="V23" s="569">
        <f t="shared" si="18"/>
        <v>0</v>
      </c>
      <c r="W23" s="569">
        <f t="shared" si="18"/>
        <v>0</v>
      </c>
      <c r="X23" s="569">
        <f t="shared" si="18"/>
        <v>0</v>
      </c>
      <c r="Y23" s="569">
        <f t="shared" si="18"/>
        <v>0</v>
      </c>
      <c r="Z23" s="569">
        <f t="shared" si="18"/>
        <v>0</v>
      </c>
      <c r="AA23" s="569">
        <f t="shared" si="18"/>
        <v>0</v>
      </c>
      <c r="AB23" s="569">
        <f t="shared" si="18"/>
        <v>0</v>
      </c>
      <c r="AC23" s="569">
        <f t="shared" si="18"/>
        <v>0</v>
      </c>
      <c r="AD23" s="569">
        <f t="shared" si="18"/>
        <v>0</v>
      </c>
      <c r="AE23" s="569">
        <f t="shared" si="18"/>
        <v>0</v>
      </c>
      <c r="AF23" s="569">
        <f t="shared" si="18"/>
        <v>0</v>
      </c>
      <c r="AG23" s="569">
        <f t="shared" si="18"/>
        <v>0</v>
      </c>
      <c r="AH23" s="569">
        <f t="shared" si="18"/>
        <v>0</v>
      </c>
      <c r="AI23" s="569">
        <f t="shared" si="18"/>
        <v>0</v>
      </c>
      <c r="AJ23" s="853"/>
      <c r="AK23" s="625"/>
      <c r="AL23" s="625"/>
      <c r="BD23"/>
      <c r="BE23"/>
      <c r="BF23"/>
    </row>
    <row r="24" spans="1:58" s="533" customFormat="1" ht="14.5">
      <c r="A24" s="570" t="s">
        <v>1054</v>
      </c>
      <c r="B24" s="564" t="s">
        <v>1055</v>
      </c>
      <c r="C24" s="873"/>
      <c r="D24" s="874">
        <f t="shared" si="12"/>
        <v>0</v>
      </c>
      <c r="E24" s="875">
        <f>SUM('Estados Financieros'!E56,-'Estados Financieros'!E44,-'Estados Financieros'!E49)</f>
        <v>0</v>
      </c>
      <c r="F24" s="876">
        <f t="shared" si="2"/>
        <v>0</v>
      </c>
      <c r="G24" s="877">
        <f t="shared" si="13"/>
        <v>0</v>
      </c>
      <c r="H24" s="875">
        <f>SUM('Estados Financieros'!F56,-'Estados Financieros'!F44,-'Estados Financieros'!F49)</f>
        <v>0</v>
      </c>
      <c r="I24" s="876">
        <f t="shared" si="3"/>
        <v>0</v>
      </c>
      <c r="J24" s="877">
        <f t="shared" si="4"/>
        <v>0</v>
      </c>
      <c r="K24" s="565">
        <f>SUM('Estados Financieros'!I56,-'Estados Financieros'!I44,-'Estados Financieros'!I49)</f>
        <v>0</v>
      </c>
      <c r="L24" s="876">
        <f t="shared" si="5"/>
        <v>0</v>
      </c>
      <c r="M24" s="877">
        <f t="shared" si="6"/>
        <v>0</v>
      </c>
      <c r="N24" s="565">
        <f>SUM('Estados Financieros'!G56,-'Estados Financieros'!G44,-'Estados Financieros'!G49)</f>
        <v>0</v>
      </c>
      <c r="O24" s="876">
        <f t="shared" si="7"/>
        <v>0</v>
      </c>
      <c r="P24" s="877">
        <f t="shared" si="8"/>
        <v>0</v>
      </c>
      <c r="Q24" s="565">
        <f>SUM('Estados Financieros'!H56,-'Estados Financieros'!H44,-'Estados Financieros'!H49)</f>
        <v>0</v>
      </c>
      <c r="R24" s="876">
        <f t="shared" si="9"/>
        <v>0</v>
      </c>
      <c r="S24" s="877">
        <f t="shared" si="10"/>
        <v>0</v>
      </c>
      <c r="T24" s="571">
        <f>(C24*$C$241)+(E24*$E$241)+(H24*$H$241)+(N24*$N$241)+(Q24*$Q$241)</f>
        <v>0</v>
      </c>
      <c r="U24" s="571">
        <f t="shared" ref="U24:AI24" si="19">T24</f>
        <v>0</v>
      </c>
      <c r="V24" s="571">
        <f t="shared" si="19"/>
        <v>0</v>
      </c>
      <c r="W24" s="571">
        <f t="shared" si="19"/>
        <v>0</v>
      </c>
      <c r="X24" s="571">
        <f t="shared" si="19"/>
        <v>0</v>
      </c>
      <c r="Y24" s="571">
        <f t="shared" si="19"/>
        <v>0</v>
      </c>
      <c r="Z24" s="571">
        <f t="shared" si="19"/>
        <v>0</v>
      </c>
      <c r="AA24" s="571">
        <f t="shared" si="19"/>
        <v>0</v>
      </c>
      <c r="AB24" s="571">
        <f t="shared" si="19"/>
        <v>0</v>
      </c>
      <c r="AC24" s="571">
        <f t="shared" si="19"/>
        <v>0</v>
      </c>
      <c r="AD24" s="571">
        <f t="shared" si="19"/>
        <v>0</v>
      </c>
      <c r="AE24" s="571">
        <f t="shared" si="19"/>
        <v>0</v>
      </c>
      <c r="AF24" s="571">
        <f t="shared" si="19"/>
        <v>0</v>
      </c>
      <c r="AG24" s="571">
        <f t="shared" si="19"/>
        <v>0</v>
      </c>
      <c r="AH24" s="571">
        <f t="shared" si="19"/>
        <v>0</v>
      </c>
      <c r="AI24" s="571">
        <f t="shared" si="19"/>
        <v>0</v>
      </c>
      <c r="AJ24" s="853"/>
      <c r="AK24" s="625"/>
      <c r="AL24" s="625"/>
      <c r="BD24"/>
      <c r="BE24"/>
      <c r="BF24"/>
    </row>
    <row r="25" spans="1:58" s="533" customFormat="1" ht="14.5">
      <c r="A25" s="572" t="s">
        <v>1056</v>
      </c>
      <c r="B25" s="573" t="s">
        <v>1057</v>
      </c>
      <c r="C25" s="879"/>
      <c r="D25" s="880">
        <f t="shared" si="12"/>
        <v>0</v>
      </c>
      <c r="E25" s="881">
        <f>SUM('Estados Financieros'!E83,'Estados Financieros'!E91,'Estados Financieros'!E97)</f>
        <v>0</v>
      </c>
      <c r="F25" s="882">
        <f t="shared" si="2"/>
        <v>0</v>
      </c>
      <c r="G25" s="883">
        <f t="shared" si="13"/>
        <v>0</v>
      </c>
      <c r="H25" s="881">
        <f>SUM('Estados Financieros'!F83,'Estados Financieros'!F91,'Estados Financieros'!F97)</f>
        <v>0</v>
      </c>
      <c r="I25" s="882">
        <f t="shared" si="3"/>
        <v>0</v>
      </c>
      <c r="J25" s="883">
        <f t="shared" si="4"/>
        <v>0</v>
      </c>
      <c r="K25" s="574">
        <f>SUM('Estados Financieros'!I83,'Estados Financieros'!I91,'Estados Financieros'!I97)</f>
        <v>0</v>
      </c>
      <c r="L25" s="882">
        <f t="shared" si="5"/>
        <v>0</v>
      </c>
      <c r="M25" s="883">
        <f t="shared" si="6"/>
        <v>0</v>
      </c>
      <c r="N25" s="574">
        <f>SUM('Estados Financieros'!G83,'Estados Financieros'!G91,'Estados Financieros'!G97)</f>
        <v>0</v>
      </c>
      <c r="O25" s="882">
        <f t="shared" si="7"/>
        <v>0</v>
      </c>
      <c r="P25" s="883">
        <f t="shared" si="8"/>
        <v>0</v>
      </c>
      <c r="Q25" s="574">
        <f>SUM('Estados Financieros'!H83,'Estados Financieros'!H91,'Estados Financieros'!H97)</f>
        <v>0</v>
      </c>
      <c r="R25" s="882">
        <f t="shared" si="9"/>
        <v>0</v>
      </c>
      <c r="S25" s="883">
        <f t="shared" si="10"/>
        <v>0</v>
      </c>
      <c r="T25" s="575">
        <f>(C25*$C$241)+(E25*$E$241)+(H25*$H$241)+(N25*$N$241)+(Q25*$Q$241)</f>
        <v>0</v>
      </c>
      <c r="U25" s="575">
        <f t="shared" ref="U25:AI25" si="20">T25</f>
        <v>0</v>
      </c>
      <c r="V25" s="575">
        <f t="shared" si="20"/>
        <v>0</v>
      </c>
      <c r="W25" s="575">
        <f t="shared" si="20"/>
        <v>0</v>
      </c>
      <c r="X25" s="575">
        <f t="shared" si="20"/>
        <v>0</v>
      </c>
      <c r="Y25" s="575">
        <f t="shared" si="20"/>
        <v>0</v>
      </c>
      <c r="Z25" s="575">
        <f t="shared" si="20"/>
        <v>0</v>
      </c>
      <c r="AA25" s="575">
        <f t="shared" si="20"/>
        <v>0</v>
      </c>
      <c r="AB25" s="575">
        <f t="shared" si="20"/>
        <v>0</v>
      </c>
      <c r="AC25" s="575">
        <f t="shared" si="20"/>
        <v>0</v>
      </c>
      <c r="AD25" s="575">
        <f t="shared" si="20"/>
        <v>0</v>
      </c>
      <c r="AE25" s="575">
        <f t="shared" si="20"/>
        <v>0</v>
      </c>
      <c r="AF25" s="575">
        <f t="shared" si="20"/>
        <v>0</v>
      </c>
      <c r="AG25" s="575">
        <f t="shared" si="20"/>
        <v>0</v>
      </c>
      <c r="AH25" s="575">
        <f t="shared" si="20"/>
        <v>0</v>
      </c>
      <c r="AI25" s="575">
        <f t="shared" si="20"/>
        <v>0</v>
      </c>
      <c r="AJ25" s="853"/>
      <c r="AK25" s="625"/>
      <c r="AL25" s="625"/>
      <c r="BD25"/>
      <c r="BE25"/>
      <c r="BF25"/>
    </row>
    <row r="26" spans="1:58" s="533" customFormat="1" ht="14.5">
      <c r="A26" s="547"/>
      <c r="B26" s="548" t="s">
        <v>1058</v>
      </c>
      <c r="C26" s="884">
        <f>SUM(C18:C25)</f>
        <v>0</v>
      </c>
      <c r="D26" s="885">
        <f t="shared" si="12"/>
        <v>0</v>
      </c>
      <c r="E26" s="576">
        <f>SUM(E18:E25)</f>
        <v>0</v>
      </c>
      <c r="F26" s="886">
        <f t="shared" si="2"/>
        <v>0</v>
      </c>
      <c r="G26" s="887">
        <f t="shared" si="13"/>
        <v>0</v>
      </c>
      <c r="H26" s="576">
        <f>SUM(H18:H25)</f>
        <v>0</v>
      </c>
      <c r="I26" s="886">
        <f t="shared" si="3"/>
        <v>0</v>
      </c>
      <c r="J26" s="887">
        <f t="shared" si="4"/>
        <v>0</v>
      </c>
      <c r="K26" s="576">
        <f>SUM(K18:K25)</f>
        <v>0</v>
      </c>
      <c r="L26" s="886">
        <f t="shared" si="5"/>
        <v>0</v>
      </c>
      <c r="M26" s="887">
        <f t="shared" si="6"/>
        <v>0</v>
      </c>
      <c r="N26" s="576">
        <f>SUM(N18:N25)</f>
        <v>0</v>
      </c>
      <c r="O26" s="886">
        <f t="shared" si="7"/>
        <v>0</v>
      </c>
      <c r="P26" s="887">
        <f t="shared" si="8"/>
        <v>0</v>
      </c>
      <c r="Q26" s="576">
        <f>SUM(Q18:Q25)</f>
        <v>0</v>
      </c>
      <c r="R26" s="886">
        <f t="shared" si="9"/>
        <v>0</v>
      </c>
      <c r="S26" s="887">
        <f t="shared" si="10"/>
        <v>0</v>
      </c>
      <c r="T26" s="577">
        <f t="shared" ref="T26:AI26" si="21">SUM(T18:T25)</f>
        <v>0</v>
      </c>
      <c r="U26" s="577">
        <f t="shared" si="21"/>
        <v>0</v>
      </c>
      <c r="V26" s="577">
        <f t="shared" si="21"/>
        <v>0</v>
      </c>
      <c r="W26" s="577">
        <f t="shared" si="21"/>
        <v>0</v>
      </c>
      <c r="X26" s="577">
        <f t="shared" si="21"/>
        <v>0</v>
      </c>
      <c r="Y26" s="577">
        <f t="shared" si="21"/>
        <v>0</v>
      </c>
      <c r="Z26" s="577">
        <f t="shared" si="21"/>
        <v>0</v>
      </c>
      <c r="AA26" s="577">
        <f t="shared" si="21"/>
        <v>0</v>
      </c>
      <c r="AB26" s="577">
        <f t="shared" si="21"/>
        <v>0</v>
      </c>
      <c r="AC26" s="577">
        <f t="shared" si="21"/>
        <v>0</v>
      </c>
      <c r="AD26" s="577">
        <f t="shared" si="21"/>
        <v>0</v>
      </c>
      <c r="AE26" s="577">
        <f t="shared" si="21"/>
        <v>0</v>
      </c>
      <c r="AF26" s="577">
        <f t="shared" si="21"/>
        <v>0</v>
      </c>
      <c r="AG26" s="577">
        <f t="shared" si="21"/>
        <v>0</v>
      </c>
      <c r="AH26" s="577">
        <f t="shared" si="21"/>
        <v>0</v>
      </c>
      <c r="AI26" s="577">
        <f t="shared" si="21"/>
        <v>0</v>
      </c>
      <c r="AJ26" s="853"/>
      <c r="AK26" s="625"/>
      <c r="AL26" s="625"/>
      <c r="BD26"/>
      <c r="BE26"/>
      <c r="BF26"/>
    </row>
    <row r="27" spans="1:58" s="533" customFormat="1" ht="14.5">
      <c r="A27" s="558">
        <v>6</v>
      </c>
      <c r="B27" s="578" t="s">
        <v>1059</v>
      </c>
      <c r="C27" s="888"/>
      <c r="D27" s="889">
        <f t="shared" si="12"/>
        <v>0</v>
      </c>
      <c r="E27" s="890">
        <f>'Estados Financieros'!E153</f>
        <v>0</v>
      </c>
      <c r="F27" s="891">
        <f t="shared" si="2"/>
        <v>0</v>
      </c>
      <c r="G27" s="892">
        <f t="shared" si="13"/>
        <v>0</v>
      </c>
      <c r="H27" s="890">
        <f>'Estados Financieros'!F153</f>
        <v>0</v>
      </c>
      <c r="I27" s="891">
        <f t="shared" si="3"/>
        <v>0</v>
      </c>
      <c r="J27" s="892">
        <f t="shared" si="4"/>
        <v>0</v>
      </c>
      <c r="K27" s="579">
        <f>'Estados Financieros'!I153</f>
        <v>0</v>
      </c>
      <c r="L27" s="891">
        <f t="shared" si="5"/>
        <v>0</v>
      </c>
      <c r="M27" s="892">
        <f t="shared" si="6"/>
        <v>0</v>
      </c>
      <c r="N27" s="579">
        <f>'Estados Financieros'!G153</f>
        <v>0</v>
      </c>
      <c r="O27" s="891">
        <f t="shared" si="7"/>
        <v>0</v>
      </c>
      <c r="P27" s="892">
        <f t="shared" si="8"/>
        <v>0</v>
      </c>
      <c r="Q27" s="579">
        <f>'Estados Financieros'!H153</f>
        <v>0</v>
      </c>
      <c r="R27" s="891">
        <f t="shared" si="9"/>
        <v>0</v>
      </c>
      <c r="S27" s="892">
        <f t="shared" si="10"/>
        <v>0</v>
      </c>
      <c r="T27" s="580">
        <f>(C27*$C$241)+(E27*$E$241)+(H27*$H$241)+(N27*$N$241)+(Q27*$Q$241)</f>
        <v>0</v>
      </c>
      <c r="U27" s="580">
        <f t="shared" ref="U27:AI27" si="22">T27</f>
        <v>0</v>
      </c>
      <c r="V27" s="580">
        <f t="shared" si="22"/>
        <v>0</v>
      </c>
      <c r="W27" s="580">
        <f t="shared" si="22"/>
        <v>0</v>
      </c>
      <c r="X27" s="580">
        <f t="shared" si="22"/>
        <v>0</v>
      </c>
      <c r="Y27" s="580">
        <f t="shared" si="22"/>
        <v>0</v>
      </c>
      <c r="Z27" s="580">
        <f t="shared" si="22"/>
        <v>0</v>
      </c>
      <c r="AA27" s="580">
        <f t="shared" si="22"/>
        <v>0</v>
      </c>
      <c r="AB27" s="580">
        <f t="shared" si="22"/>
        <v>0</v>
      </c>
      <c r="AC27" s="580">
        <f t="shared" si="22"/>
        <v>0</v>
      </c>
      <c r="AD27" s="580">
        <f t="shared" si="22"/>
        <v>0</v>
      </c>
      <c r="AE27" s="580">
        <f t="shared" si="22"/>
        <v>0</v>
      </c>
      <c r="AF27" s="580">
        <f t="shared" si="22"/>
        <v>0</v>
      </c>
      <c r="AG27" s="580">
        <f t="shared" si="22"/>
        <v>0</v>
      </c>
      <c r="AH27" s="580">
        <f t="shared" si="22"/>
        <v>0</v>
      </c>
      <c r="AI27" s="580">
        <f t="shared" si="22"/>
        <v>0</v>
      </c>
      <c r="AJ27" s="853"/>
      <c r="AK27" s="625"/>
      <c r="AL27" s="625"/>
      <c r="BD27"/>
      <c r="BE27"/>
      <c r="BF27"/>
    </row>
    <row r="28" spans="1:58" s="533" customFormat="1" ht="14.5">
      <c r="A28" s="570" t="s">
        <v>1060</v>
      </c>
      <c r="B28" s="568" t="s">
        <v>1061</v>
      </c>
      <c r="C28" s="873"/>
      <c r="D28" s="874">
        <f t="shared" si="12"/>
        <v>0</v>
      </c>
      <c r="E28" s="875">
        <f>SUM('Estados Financieros'!E120,-SUM('Estados Financieros'!E116:E117))</f>
        <v>0</v>
      </c>
      <c r="F28" s="876">
        <f t="shared" si="2"/>
        <v>0</v>
      </c>
      <c r="G28" s="877">
        <f t="shared" si="13"/>
        <v>0</v>
      </c>
      <c r="H28" s="875">
        <f>SUM('Estados Financieros'!F120,-SUM('Estados Financieros'!F116:F117))</f>
        <v>0</v>
      </c>
      <c r="I28" s="876">
        <f t="shared" si="3"/>
        <v>0</v>
      </c>
      <c r="J28" s="877">
        <f t="shared" si="4"/>
        <v>0</v>
      </c>
      <c r="K28" s="565">
        <f>SUM('Estados Financieros'!I120,-SUM('Estados Financieros'!I116:I117))</f>
        <v>0</v>
      </c>
      <c r="L28" s="876">
        <f t="shared" si="5"/>
        <v>0</v>
      </c>
      <c r="M28" s="877">
        <f t="shared" si="6"/>
        <v>0</v>
      </c>
      <c r="N28" s="565">
        <f>SUM('Estados Financieros'!G120,-SUM('Estados Financieros'!G116:G117))</f>
        <v>0</v>
      </c>
      <c r="O28" s="876">
        <f t="shared" si="7"/>
        <v>0</v>
      </c>
      <c r="P28" s="877">
        <f t="shared" si="8"/>
        <v>0</v>
      </c>
      <c r="Q28" s="565">
        <f>SUM('Estados Financieros'!H120,-SUM('Estados Financieros'!H116:H117))</f>
        <v>0</v>
      </c>
      <c r="R28" s="876">
        <f t="shared" si="9"/>
        <v>0</v>
      </c>
      <c r="S28" s="877">
        <f t="shared" si="10"/>
        <v>0</v>
      </c>
      <c r="T28" s="581">
        <f>N28+T407+IF(AND($C$933=1,$C$314=T$311),$C$310,0)+IF(AND($C$935=1,$C$324=T$321),$C$320,0)+IF(AND($C$937=1,$C$334=T$331),$C$330,0)+IF(AND($C$943=1,$C$354=T$351),$C$350,0)+IF(AND($C$945=1,$C$364=T$361),$C$360,0)+IF(AND($C$947=1,$C$374=T$371),$C$370,0)</f>
        <v>0</v>
      </c>
      <c r="U28" s="581">
        <f>T28+U407+IF(AND($C$933=1,$C$314=U$311),$C$310,0)+IF(AND($C$935=1,$C$324=U$321),$C$320,0)+IF(AND($C$937=1,$C$334=U$331),$C$330,0)+IF(AND($C$943=1,$C$354=U$351),$C$350,0)+IF(AND($C$945=1,$C$364=U$361),$C$360,0)+IF(AND($C$947=1,$C$374=U$371),$C$370,0)</f>
        <v>0</v>
      </c>
      <c r="V28" s="581">
        <f t="shared" ref="V28:AI28" si="23">U28+V407+IF(AND($C$935=1,$C$324=V$321),$C$320,0)+IF(AND($C$937=1,$C$334=V$331),$C$330,0)+IF(AND($C$945=1,$C$364=V$361),$C$360,0)+IF(AND($C$947=1,$C$374=V$371),$C$370,0)</f>
        <v>0</v>
      </c>
      <c r="W28" s="581">
        <f t="shared" si="23"/>
        <v>0</v>
      </c>
      <c r="X28" s="581">
        <f t="shared" si="23"/>
        <v>0</v>
      </c>
      <c r="Y28" s="581">
        <f t="shared" si="23"/>
        <v>0</v>
      </c>
      <c r="Z28" s="581">
        <f t="shared" si="23"/>
        <v>0</v>
      </c>
      <c r="AA28" s="581">
        <f t="shared" si="23"/>
        <v>0</v>
      </c>
      <c r="AB28" s="581">
        <f t="shared" si="23"/>
        <v>0</v>
      </c>
      <c r="AC28" s="581">
        <f t="shared" si="23"/>
        <v>0</v>
      </c>
      <c r="AD28" s="581">
        <f t="shared" si="23"/>
        <v>0</v>
      </c>
      <c r="AE28" s="581">
        <f t="shared" si="23"/>
        <v>0</v>
      </c>
      <c r="AF28" s="581">
        <f t="shared" si="23"/>
        <v>0</v>
      </c>
      <c r="AG28" s="581">
        <f t="shared" si="23"/>
        <v>0</v>
      </c>
      <c r="AH28" s="581">
        <f t="shared" si="23"/>
        <v>0</v>
      </c>
      <c r="AI28" s="581">
        <f t="shared" si="23"/>
        <v>0</v>
      </c>
      <c r="AJ28" s="853"/>
      <c r="AK28" s="625"/>
      <c r="AL28" s="625"/>
      <c r="BD28"/>
      <c r="BE28"/>
      <c r="BF28"/>
    </row>
    <row r="29" spans="1:58" s="533" customFormat="1" ht="14.5">
      <c r="A29" s="570" t="s">
        <v>1062</v>
      </c>
      <c r="B29" s="568" t="s">
        <v>1063</v>
      </c>
      <c r="C29" s="873"/>
      <c r="D29" s="874">
        <f t="shared" si="12"/>
        <v>0</v>
      </c>
      <c r="E29" s="875">
        <f>SUM('Estados Financieros'!E116:E117)</f>
        <v>0</v>
      </c>
      <c r="F29" s="876">
        <f t="shared" si="2"/>
        <v>0</v>
      </c>
      <c r="G29" s="877">
        <f t="shared" si="13"/>
        <v>0</v>
      </c>
      <c r="H29" s="875">
        <f>SUM('Estados Financieros'!F116:F117)</f>
        <v>0</v>
      </c>
      <c r="I29" s="876">
        <f t="shared" si="3"/>
        <v>0</v>
      </c>
      <c r="J29" s="877">
        <f t="shared" si="4"/>
        <v>0</v>
      </c>
      <c r="K29" s="565">
        <f>SUM('Estados Financieros'!I116:I117)</f>
        <v>0</v>
      </c>
      <c r="L29" s="876">
        <f t="shared" si="5"/>
        <v>0</v>
      </c>
      <c r="M29" s="877">
        <f t="shared" si="6"/>
        <v>0</v>
      </c>
      <c r="N29" s="565">
        <f>SUM('Estados Financieros'!G116:G117)</f>
        <v>0</v>
      </c>
      <c r="O29" s="876">
        <f t="shared" si="7"/>
        <v>0</v>
      </c>
      <c r="P29" s="877">
        <f t="shared" si="8"/>
        <v>0</v>
      </c>
      <c r="Q29" s="565">
        <f>SUM('Estados Financieros'!H116:H117)</f>
        <v>0</v>
      </c>
      <c r="R29" s="876">
        <f t="shared" si="9"/>
        <v>0</v>
      </c>
      <c r="S29" s="877">
        <f t="shared" si="10"/>
        <v>0</v>
      </c>
      <c r="T29" s="566">
        <f>N29-(T408*T28)</f>
        <v>0</v>
      </c>
      <c r="U29" s="566">
        <f t="shared" ref="U29:AI29" si="24">T29-(U408*U28)</f>
        <v>0</v>
      </c>
      <c r="V29" s="566">
        <f t="shared" si="24"/>
        <v>0</v>
      </c>
      <c r="W29" s="566">
        <f t="shared" si="24"/>
        <v>0</v>
      </c>
      <c r="X29" s="566">
        <f t="shared" si="24"/>
        <v>0</v>
      </c>
      <c r="Y29" s="566">
        <f t="shared" si="24"/>
        <v>0</v>
      </c>
      <c r="Z29" s="566">
        <f t="shared" si="24"/>
        <v>0</v>
      </c>
      <c r="AA29" s="566">
        <f t="shared" si="24"/>
        <v>0</v>
      </c>
      <c r="AB29" s="566">
        <f t="shared" si="24"/>
        <v>0</v>
      </c>
      <c r="AC29" s="566">
        <f t="shared" si="24"/>
        <v>0</v>
      </c>
      <c r="AD29" s="566">
        <f t="shared" si="24"/>
        <v>0</v>
      </c>
      <c r="AE29" s="566">
        <f t="shared" si="24"/>
        <v>0</v>
      </c>
      <c r="AF29" s="566">
        <f t="shared" si="24"/>
        <v>0</v>
      </c>
      <c r="AG29" s="566">
        <f t="shared" si="24"/>
        <v>0</v>
      </c>
      <c r="AH29" s="566">
        <f t="shared" si="24"/>
        <v>0</v>
      </c>
      <c r="AI29" s="566">
        <f t="shared" si="24"/>
        <v>0</v>
      </c>
      <c r="AJ29" s="853"/>
      <c r="AK29" s="625"/>
      <c r="AL29" s="625"/>
      <c r="BD29"/>
      <c r="BE29"/>
      <c r="BF29"/>
    </row>
    <row r="30" spans="1:58" s="533" customFormat="1" ht="14.5">
      <c r="A30" s="567">
        <v>8</v>
      </c>
      <c r="B30" s="568" t="s">
        <v>1064</v>
      </c>
      <c r="C30" s="873"/>
      <c r="D30" s="874">
        <f t="shared" si="12"/>
        <v>0</v>
      </c>
      <c r="E30" s="875">
        <f>'Estados Financieros'!E170</f>
        <v>0</v>
      </c>
      <c r="F30" s="876">
        <f t="shared" si="2"/>
        <v>0</v>
      </c>
      <c r="G30" s="877">
        <f t="shared" si="13"/>
        <v>0</v>
      </c>
      <c r="H30" s="875">
        <f>'Estados Financieros'!F170</f>
        <v>0</v>
      </c>
      <c r="I30" s="876">
        <f t="shared" si="3"/>
        <v>0</v>
      </c>
      <c r="J30" s="877">
        <f t="shared" si="4"/>
        <v>0</v>
      </c>
      <c r="K30" s="565">
        <f>'Estados Financieros'!I170</f>
        <v>0</v>
      </c>
      <c r="L30" s="876">
        <f t="shared" si="5"/>
        <v>0</v>
      </c>
      <c r="M30" s="877">
        <f t="shared" si="6"/>
        <v>0</v>
      </c>
      <c r="N30" s="565">
        <f>'Estados Financieros'!G170</f>
        <v>0</v>
      </c>
      <c r="O30" s="876">
        <f t="shared" si="7"/>
        <v>0</v>
      </c>
      <c r="P30" s="877">
        <f t="shared" si="8"/>
        <v>0</v>
      </c>
      <c r="Q30" s="565">
        <f>'Estados Financieros'!H170</f>
        <v>0</v>
      </c>
      <c r="R30" s="876">
        <f t="shared" si="9"/>
        <v>0</v>
      </c>
      <c r="S30" s="877">
        <f t="shared" si="10"/>
        <v>0</v>
      </c>
      <c r="T30" s="566">
        <f>N30*(1+T410)</f>
        <v>0</v>
      </c>
      <c r="U30" s="566">
        <f t="shared" ref="U30:AI30" si="25">T30*(1+U410)</f>
        <v>0</v>
      </c>
      <c r="V30" s="566">
        <f t="shared" si="25"/>
        <v>0</v>
      </c>
      <c r="W30" s="566">
        <f t="shared" si="25"/>
        <v>0</v>
      </c>
      <c r="X30" s="566">
        <f t="shared" si="25"/>
        <v>0</v>
      </c>
      <c r="Y30" s="566">
        <f t="shared" si="25"/>
        <v>0</v>
      </c>
      <c r="Z30" s="566">
        <f t="shared" si="25"/>
        <v>0</v>
      </c>
      <c r="AA30" s="566">
        <f t="shared" si="25"/>
        <v>0</v>
      </c>
      <c r="AB30" s="566">
        <f t="shared" si="25"/>
        <v>0</v>
      </c>
      <c r="AC30" s="566">
        <f t="shared" si="25"/>
        <v>0</v>
      </c>
      <c r="AD30" s="566">
        <f t="shared" si="25"/>
        <v>0</v>
      </c>
      <c r="AE30" s="566">
        <f t="shared" si="25"/>
        <v>0</v>
      </c>
      <c r="AF30" s="566">
        <f t="shared" si="25"/>
        <v>0</v>
      </c>
      <c r="AG30" s="566">
        <f t="shared" si="25"/>
        <v>0</v>
      </c>
      <c r="AH30" s="566">
        <f t="shared" si="25"/>
        <v>0</v>
      </c>
      <c r="AI30" s="566">
        <f t="shared" si="25"/>
        <v>0</v>
      </c>
      <c r="AJ30" s="853"/>
      <c r="AK30" s="625"/>
      <c r="AL30" s="625"/>
      <c r="BD30"/>
      <c r="BE30"/>
      <c r="BF30"/>
    </row>
    <row r="31" spans="1:58" s="533" customFormat="1" ht="14.5">
      <c r="A31" s="567">
        <v>9</v>
      </c>
      <c r="B31" s="568" t="s">
        <v>1065</v>
      </c>
      <c r="C31" s="873"/>
      <c r="D31" s="874">
        <f t="shared" si="12"/>
        <v>0</v>
      </c>
      <c r="E31" s="875">
        <f>'Estados Financieros'!E161</f>
        <v>0</v>
      </c>
      <c r="F31" s="876">
        <f t="shared" si="2"/>
        <v>0</v>
      </c>
      <c r="G31" s="877">
        <f t="shared" si="13"/>
        <v>0</v>
      </c>
      <c r="H31" s="875">
        <f>'Estados Financieros'!F161</f>
        <v>0</v>
      </c>
      <c r="I31" s="876">
        <f t="shared" si="3"/>
        <v>0</v>
      </c>
      <c r="J31" s="877">
        <f t="shared" si="4"/>
        <v>0</v>
      </c>
      <c r="K31" s="565">
        <f>'Estados Financieros'!I161</f>
        <v>0</v>
      </c>
      <c r="L31" s="876">
        <f t="shared" si="5"/>
        <v>0</v>
      </c>
      <c r="M31" s="877">
        <f t="shared" si="6"/>
        <v>0</v>
      </c>
      <c r="N31" s="565">
        <f>'Estados Financieros'!G161</f>
        <v>0</v>
      </c>
      <c r="O31" s="876">
        <f t="shared" si="7"/>
        <v>0</v>
      </c>
      <c r="P31" s="877">
        <f t="shared" si="8"/>
        <v>0</v>
      </c>
      <c r="Q31" s="565">
        <f>'Estados Financieros'!H161</f>
        <v>0</v>
      </c>
      <c r="R31" s="876">
        <f t="shared" si="9"/>
        <v>0</v>
      </c>
      <c r="S31" s="877">
        <f t="shared" si="10"/>
        <v>0</v>
      </c>
      <c r="T31" s="569">
        <f>N31*(1+T412)</f>
        <v>0</v>
      </c>
      <c r="U31" s="569">
        <f t="shared" ref="U31:AI31" si="26">T31*(1+U412)</f>
        <v>0</v>
      </c>
      <c r="V31" s="569">
        <f t="shared" si="26"/>
        <v>0</v>
      </c>
      <c r="W31" s="569">
        <f t="shared" si="26"/>
        <v>0</v>
      </c>
      <c r="X31" s="569">
        <f t="shared" si="26"/>
        <v>0</v>
      </c>
      <c r="Y31" s="569">
        <f t="shared" si="26"/>
        <v>0</v>
      </c>
      <c r="Z31" s="569">
        <f t="shared" si="26"/>
        <v>0</v>
      </c>
      <c r="AA31" s="569">
        <f t="shared" si="26"/>
        <v>0</v>
      </c>
      <c r="AB31" s="569">
        <f t="shared" si="26"/>
        <v>0</v>
      </c>
      <c r="AC31" s="569">
        <f t="shared" si="26"/>
        <v>0</v>
      </c>
      <c r="AD31" s="569">
        <f t="shared" si="26"/>
        <v>0</v>
      </c>
      <c r="AE31" s="569">
        <f t="shared" si="26"/>
        <v>0</v>
      </c>
      <c r="AF31" s="569">
        <f t="shared" si="26"/>
        <v>0</v>
      </c>
      <c r="AG31" s="569">
        <f t="shared" si="26"/>
        <v>0</v>
      </c>
      <c r="AH31" s="569">
        <f t="shared" si="26"/>
        <v>0</v>
      </c>
      <c r="AI31" s="569">
        <f t="shared" si="26"/>
        <v>0</v>
      </c>
      <c r="AJ31" s="853"/>
      <c r="AK31" s="625"/>
      <c r="AL31" s="625"/>
      <c r="BD31"/>
      <c r="BE31"/>
      <c r="BF31"/>
    </row>
    <row r="32" spans="1:58" s="533" customFormat="1" ht="14.5">
      <c r="A32" s="567">
        <v>10</v>
      </c>
      <c r="B32" s="568" t="s">
        <v>1066</v>
      </c>
      <c r="C32" s="873"/>
      <c r="D32" s="874">
        <f t="shared" si="12"/>
        <v>0</v>
      </c>
      <c r="E32" s="875">
        <f>SUM('Estados Financieros'!E142,'Estados Financieros'!E177)</f>
        <v>0</v>
      </c>
      <c r="F32" s="876">
        <f t="shared" si="2"/>
        <v>0</v>
      </c>
      <c r="G32" s="877">
        <f t="shared" si="13"/>
        <v>0</v>
      </c>
      <c r="H32" s="875">
        <f>SUM('Estados Financieros'!F142,'Estados Financieros'!F177)</f>
        <v>0</v>
      </c>
      <c r="I32" s="876">
        <f t="shared" si="3"/>
        <v>0</v>
      </c>
      <c r="J32" s="877">
        <f t="shared" si="4"/>
        <v>0</v>
      </c>
      <c r="K32" s="565">
        <f>SUM('Estados Financieros'!I142,'Estados Financieros'!I177)</f>
        <v>0</v>
      </c>
      <c r="L32" s="876">
        <f t="shared" si="5"/>
        <v>0</v>
      </c>
      <c r="M32" s="877">
        <f t="shared" si="6"/>
        <v>0</v>
      </c>
      <c r="N32" s="565">
        <f>SUM('Estados Financieros'!G142,'Estados Financieros'!G177)</f>
        <v>0</v>
      </c>
      <c r="O32" s="876">
        <f t="shared" si="7"/>
        <v>0</v>
      </c>
      <c r="P32" s="877">
        <f t="shared" si="8"/>
        <v>0</v>
      </c>
      <c r="Q32" s="565">
        <f>SUM('Estados Financieros'!H142,'Estados Financieros'!H177)</f>
        <v>0</v>
      </c>
      <c r="R32" s="876">
        <f t="shared" si="9"/>
        <v>0</v>
      </c>
      <c r="S32" s="877">
        <f t="shared" si="10"/>
        <v>0</v>
      </c>
      <c r="T32" s="571">
        <f>(C32*$C$241)+(E32*$E$241)+(H32*$H$241)+(N32*$N$241)+(Q32*$Q$241)</f>
        <v>0</v>
      </c>
      <c r="U32" s="571">
        <f t="shared" ref="U32:AI32" si="27">T32</f>
        <v>0</v>
      </c>
      <c r="V32" s="571">
        <f t="shared" si="27"/>
        <v>0</v>
      </c>
      <c r="W32" s="571">
        <f t="shared" si="27"/>
        <v>0</v>
      </c>
      <c r="X32" s="571">
        <f t="shared" si="27"/>
        <v>0</v>
      </c>
      <c r="Y32" s="571">
        <f t="shared" si="27"/>
        <v>0</v>
      </c>
      <c r="Z32" s="571">
        <f t="shared" si="27"/>
        <v>0</v>
      </c>
      <c r="AA32" s="571">
        <f t="shared" si="27"/>
        <v>0</v>
      </c>
      <c r="AB32" s="571">
        <f t="shared" si="27"/>
        <v>0</v>
      </c>
      <c r="AC32" s="571">
        <f t="shared" si="27"/>
        <v>0</v>
      </c>
      <c r="AD32" s="571">
        <f t="shared" si="27"/>
        <v>0</v>
      </c>
      <c r="AE32" s="571">
        <f t="shared" si="27"/>
        <v>0</v>
      </c>
      <c r="AF32" s="571">
        <f t="shared" si="27"/>
        <v>0</v>
      </c>
      <c r="AG32" s="571">
        <f t="shared" si="27"/>
        <v>0</v>
      </c>
      <c r="AH32" s="571">
        <f t="shared" si="27"/>
        <v>0</v>
      </c>
      <c r="AI32" s="571">
        <f t="shared" si="27"/>
        <v>0</v>
      </c>
      <c r="AJ32" s="853"/>
      <c r="AK32" s="625"/>
      <c r="AL32" s="625"/>
      <c r="BD32"/>
      <c r="BE32"/>
      <c r="BF32"/>
    </row>
    <row r="33" spans="1:58" s="536" customFormat="1" ht="14.5">
      <c r="A33" s="582">
        <v>11</v>
      </c>
      <c r="B33" s="573" t="s">
        <v>665</v>
      </c>
      <c r="C33" s="879"/>
      <c r="D33" s="880">
        <f t="shared" si="12"/>
        <v>0</v>
      </c>
      <c r="E33" s="893">
        <f>'Estados Financieros'!E183</f>
        <v>0</v>
      </c>
      <c r="F33" s="882">
        <f t="shared" si="2"/>
        <v>0</v>
      </c>
      <c r="G33" s="883">
        <f t="shared" si="13"/>
        <v>0</v>
      </c>
      <c r="H33" s="893">
        <f>'Estados Financieros'!F183</f>
        <v>0</v>
      </c>
      <c r="I33" s="882">
        <f t="shared" si="3"/>
        <v>0</v>
      </c>
      <c r="J33" s="883">
        <f t="shared" si="4"/>
        <v>0</v>
      </c>
      <c r="K33" s="574">
        <f>'Estados Financieros'!I183</f>
        <v>0</v>
      </c>
      <c r="L33" s="882">
        <f t="shared" si="5"/>
        <v>0</v>
      </c>
      <c r="M33" s="883">
        <f t="shared" si="6"/>
        <v>0</v>
      </c>
      <c r="N33" s="574">
        <f>'Estados Financieros'!G183</f>
        <v>0</v>
      </c>
      <c r="O33" s="882">
        <f t="shared" si="7"/>
        <v>0</v>
      </c>
      <c r="P33" s="883">
        <f t="shared" si="8"/>
        <v>0</v>
      </c>
      <c r="Q33" s="574">
        <f>'Estados Financieros'!H183</f>
        <v>0</v>
      </c>
      <c r="R33" s="882">
        <f t="shared" si="9"/>
        <v>0</v>
      </c>
      <c r="S33" s="883">
        <f t="shared" si="10"/>
        <v>0</v>
      </c>
      <c r="T33" s="575">
        <f>IF(Q33=0,N33,Q33)</f>
        <v>0</v>
      </c>
      <c r="U33" s="575">
        <f t="shared" ref="U33:AI33" si="28">T33</f>
        <v>0</v>
      </c>
      <c r="V33" s="575">
        <f t="shared" si="28"/>
        <v>0</v>
      </c>
      <c r="W33" s="575">
        <f t="shared" si="28"/>
        <v>0</v>
      </c>
      <c r="X33" s="575">
        <f t="shared" si="28"/>
        <v>0</v>
      </c>
      <c r="Y33" s="575">
        <f t="shared" si="28"/>
        <v>0</v>
      </c>
      <c r="Z33" s="575">
        <f t="shared" si="28"/>
        <v>0</v>
      </c>
      <c r="AA33" s="575">
        <f t="shared" si="28"/>
        <v>0</v>
      </c>
      <c r="AB33" s="575">
        <f t="shared" si="28"/>
        <v>0</v>
      </c>
      <c r="AC33" s="575">
        <f t="shared" si="28"/>
        <v>0</v>
      </c>
      <c r="AD33" s="575">
        <f t="shared" si="28"/>
        <v>0</v>
      </c>
      <c r="AE33" s="575">
        <f t="shared" si="28"/>
        <v>0</v>
      </c>
      <c r="AF33" s="575">
        <f t="shared" si="28"/>
        <v>0</v>
      </c>
      <c r="AG33" s="575">
        <f t="shared" si="28"/>
        <v>0</v>
      </c>
      <c r="AH33" s="575">
        <f t="shared" si="28"/>
        <v>0</v>
      </c>
      <c r="AI33" s="575">
        <f t="shared" si="28"/>
        <v>0</v>
      </c>
      <c r="AJ33" s="853"/>
      <c r="BD33"/>
      <c r="BE33"/>
      <c r="BF33"/>
    </row>
    <row r="34" spans="1:58" s="536" customFormat="1" ht="14.5">
      <c r="A34" s="547"/>
      <c r="B34" s="583" t="s">
        <v>1067</v>
      </c>
      <c r="C34" s="894">
        <f>SUM(C26:C32)</f>
        <v>0</v>
      </c>
      <c r="D34" s="895">
        <f t="shared" si="12"/>
        <v>0</v>
      </c>
      <c r="E34" s="584">
        <f>SUM(E26:E32)</f>
        <v>0</v>
      </c>
      <c r="F34" s="896">
        <f t="shared" si="2"/>
        <v>0</v>
      </c>
      <c r="G34" s="897">
        <f t="shared" si="13"/>
        <v>0</v>
      </c>
      <c r="H34" s="584">
        <f>SUM(H26:H32)</f>
        <v>0</v>
      </c>
      <c r="I34" s="896">
        <f t="shared" si="3"/>
        <v>0</v>
      </c>
      <c r="J34" s="897">
        <f t="shared" si="4"/>
        <v>0</v>
      </c>
      <c r="K34" s="584">
        <f>SUM(K26:K32)</f>
        <v>0</v>
      </c>
      <c r="L34" s="896">
        <f t="shared" si="5"/>
        <v>0</v>
      </c>
      <c r="M34" s="897">
        <f t="shared" si="6"/>
        <v>0</v>
      </c>
      <c r="N34" s="584">
        <f>SUM(N26:N32)</f>
        <v>0</v>
      </c>
      <c r="O34" s="896">
        <f t="shared" si="7"/>
        <v>0</v>
      </c>
      <c r="P34" s="897">
        <f t="shared" si="8"/>
        <v>0</v>
      </c>
      <c r="Q34" s="584">
        <f>SUM(Q26:Q32)</f>
        <v>0</v>
      </c>
      <c r="R34" s="896">
        <f t="shared" si="9"/>
        <v>0</v>
      </c>
      <c r="S34" s="897">
        <f t="shared" si="10"/>
        <v>0</v>
      </c>
      <c r="T34" s="585">
        <f t="shared" ref="T34:AI34" si="29">SUM(T26:T32)</f>
        <v>0</v>
      </c>
      <c r="U34" s="585">
        <f t="shared" si="29"/>
        <v>0</v>
      </c>
      <c r="V34" s="585">
        <f t="shared" si="29"/>
        <v>0</v>
      </c>
      <c r="W34" s="585">
        <f t="shared" si="29"/>
        <v>0</v>
      </c>
      <c r="X34" s="585">
        <f t="shared" si="29"/>
        <v>0</v>
      </c>
      <c r="Y34" s="585">
        <f t="shared" si="29"/>
        <v>0</v>
      </c>
      <c r="Z34" s="585">
        <f t="shared" si="29"/>
        <v>0</v>
      </c>
      <c r="AA34" s="585">
        <f t="shared" si="29"/>
        <v>0</v>
      </c>
      <c r="AB34" s="585">
        <f t="shared" si="29"/>
        <v>0</v>
      </c>
      <c r="AC34" s="585">
        <f t="shared" si="29"/>
        <v>0</v>
      </c>
      <c r="AD34" s="585">
        <f t="shared" si="29"/>
        <v>0</v>
      </c>
      <c r="AE34" s="585">
        <f t="shared" si="29"/>
        <v>0</v>
      </c>
      <c r="AF34" s="585">
        <f t="shared" si="29"/>
        <v>0</v>
      </c>
      <c r="AG34" s="585">
        <f t="shared" si="29"/>
        <v>0</v>
      </c>
      <c r="AH34" s="585">
        <f t="shared" si="29"/>
        <v>0</v>
      </c>
      <c r="AI34" s="585">
        <f t="shared" si="29"/>
        <v>0</v>
      </c>
      <c r="AJ34" s="853"/>
      <c r="BD34"/>
      <c r="BE34"/>
      <c r="BF34"/>
    </row>
    <row r="35" spans="1:58" s="536" customFormat="1" ht="14.5">
      <c r="A35" s="547"/>
      <c r="B35" s="583" t="s">
        <v>1068</v>
      </c>
      <c r="C35" s="894">
        <f>C33+C34</f>
        <v>0</v>
      </c>
      <c r="D35" s="898"/>
      <c r="E35" s="584">
        <f>E33+E34</f>
        <v>0</v>
      </c>
      <c r="F35" s="896"/>
      <c r="G35" s="897">
        <f t="shared" si="13"/>
        <v>0</v>
      </c>
      <c r="H35" s="584">
        <f>H33+H34</f>
        <v>0</v>
      </c>
      <c r="I35" s="896"/>
      <c r="J35" s="897">
        <f t="shared" si="4"/>
        <v>0</v>
      </c>
      <c r="K35" s="584">
        <f>K33+K34</f>
        <v>0</v>
      </c>
      <c r="L35" s="896"/>
      <c r="M35" s="897">
        <f t="shared" si="6"/>
        <v>0</v>
      </c>
      <c r="N35" s="584">
        <f>N33+N34</f>
        <v>0</v>
      </c>
      <c r="O35" s="896"/>
      <c r="P35" s="897">
        <f t="shared" si="8"/>
        <v>0</v>
      </c>
      <c r="Q35" s="584">
        <f>Q33+Q34</f>
        <v>0</v>
      </c>
      <c r="R35" s="896"/>
      <c r="S35" s="897">
        <f t="shared" si="10"/>
        <v>0</v>
      </c>
      <c r="T35" s="585">
        <f t="shared" ref="T35:AI35" si="30">T33+T34</f>
        <v>0</v>
      </c>
      <c r="U35" s="585">
        <f t="shared" si="30"/>
        <v>0</v>
      </c>
      <c r="V35" s="585">
        <f t="shared" si="30"/>
        <v>0</v>
      </c>
      <c r="W35" s="585">
        <f t="shared" si="30"/>
        <v>0</v>
      </c>
      <c r="X35" s="585">
        <f t="shared" si="30"/>
        <v>0</v>
      </c>
      <c r="Y35" s="585">
        <f t="shared" si="30"/>
        <v>0</v>
      </c>
      <c r="Z35" s="585">
        <f t="shared" si="30"/>
        <v>0</v>
      </c>
      <c r="AA35" s="585">
        <f t="shared" si="30"/>
        <v>0</v>
      </c>
      <c r="AB35" s="585">
        <f t="shared" si="30"/>
        <v>0</v>
      </c>
      <c r="AC35" s="585">
        <f t="shared" si="30"/>
        <v>0</v>
      </c>
      <c r="AD35" s="585">
        <f t="shared" si="30"/>
        <v>0</v>
      </c>
      <c r="AE35" s="585">
        <f t="shared" si="30"/>
        <v>0</v>
      </c>
      <c r="AF35" s="585">
        <f t="shared" si="30"/>
        <v>0</v>
      </c>
      <c r="AG35" s="585">
        <f t="shared" si="30"/>
        <v>0</v>
      </c>
      <c r="AH35" s="585">
        <f t="shared" si="30"/>
        <v>0</v>
      </c>
      <c r="AI35" s="585">
        <f t="shared" si="30"/>
        <v>0</v>
      </c>
      <c r="AJ35" s="853"/>
      <c r="BD35"/>
      <c r="BE35"/>
      <c r="BF35"/>
    </row>
    <row r="36" spans="1:58" s="536" customFormat="1" ht="14.5">
      <c r="A36" s="558">
        <v>12</v>
      </c>
      <c r="B36" s="578" t="s">
        <v>1069</v>
      </c>
      <c r="C36" s="888"/>
      <c r="D36" s="889">
        <f t="shared" ref="D36:D59" si="31">IF(OR(C36=0,C$59=0),0,C36/C$59)</f>
        <v>0</v>
      </c>
      <c r="E36" s="890">
        <f>'Estados Financieros'!E196</f>
        <v>0</v>
      </c>
      <c r="F36" s="891">
        <f t="shared" ref="F36:F59" si="32">IF(OR(E36=0,E$59=0),0,E36/E$59)</f>
        <v>0</v>
      </c>
      <c r="G36" s="892">
        <f t="shared" si="13"/>
        <v>0</v>
      </c>
      <c r="H36" s="890">
        <f>'Estados Financieros'!F196</f>
        <v>0</v>
      </c>
      <c r="I36" s="891">
        <f t="shared" ref="I36:I59" si="33">IF(OR(H36=0,H$59=0),0,H36/H$59)</f>
        <v>0</v>
      </c>
      <c r="J36" s="892">
        <f t="shared" si="4"/>
        <v>0</v>
      </c>
      <c r="K36" s="579">
        <f>'Estados Financieros'!I196</f>
        <v>0</v>
      </c>
      <c r="L36" s="891">
        <f t="shared" ref="L36:L59" si="34">IF(OR(K36=0,K$59=0),0,K36/K$59)</f>
        <v>0</v>
      </c>
      <c r="M36" s="892">
        <f t="shared" si="6"/>
        <v>0</v>
      </c>
      <c r="N36" s="579">
        <f>'Estados Financieros'!G196</f>
        <v>0</v>
      </c>
      <c r="O36" s="891">
        <f t="shared" ref="O36:O59" si="35">IF(OR(N36=0,N$59=0),0,N36/N$59)</f>
        <v>0</v>
      </c>
      <c r="P36" s="892">
        <f t="shared" si="8"/>
        <v>0</v>
      </c>
      <c r="Q36" s="579">
        <f>'Estados Financieros'!H196</f>
        <v>0</v>
      </c>
      <c r="R36" s="891">
        <f t="shared" ref="R36:R59" si="36">IF(OR(Q36=0,Q$59=0),0,Q36/Q$59)</f>
        <v>0</v>
      </c>
      <c r="S36" s="892">
        <f t="shared" si="10"/>
        <v>0</v>
      </c>
      <c r="T36" s="586">
        <f>IF(OR(SUM(T151,T153:T155,T159:T160,T165,T172:T173,T180,T191,T210,-N36)&gt;=T923,N36+(T923-N18)-SUM(T151,T153:T155,T159:T160,T165,T172:T173,T180,T191,T210)&lt;0),0,N36+(T923-N18)-SUM(T151,T153:T155,T159:T160,T165,T172:T173,T180,T191,T210))</f>
        <v>0</v>
      </c>
      <c r="U36" s="586">
        <f t="shared" ref="U36:AI36" si="37">IF(OR(SUM(U151,U153:U155,U159:U160,U165,U172:U173,U180,U191,U210,-T36)&gt;=U923,T36+(U923-T18)-SUM(U151,U153:U155,U159:U160,U165,U172:U173,U180,U191,U210)&lt;0),0,T36+(U923-T18)-SUM(U151,U153:U155,U159:U160,U165,U172:U173,U180,U191,U210))</f>
        <v>0</v>
      </c>
      <c r="V36" s="586">
        <f t="shared" si="37"/>
        <v>0</v>
      </c>
      <c r="W36" s="586">
        <f t="shared" si="37"/>
        <v>0</v>
      </c>
      <c r="X36" s="586">
        <f t="shared" si="37"/>
        <v>0</v>
      </c>
      <c r="Y36" s="586">
        <f t="shared" si="37"/>
        <v>0</v>
      </c>
      <c r="Z36" s="586">
        <f t="shared" si="37"/>
        <v>0</v>
      </c>
      <c r="AA36" s="586">
        <f t="shared" si="37"/>
        <v>0</v>
      </c>
      <c r="AB36" s="586">
        <f t="shared" si="37"/>
        <v>0</v>
      </c>
      <c r="AC36" s="586">
        <f t="shared" si="37"/>
        <v>0</v>
      </c>
      <c r="AD36" s="586">
        <f t="shared" si="37"/>
        <v>0</v>
      </c>
      <c r="AE36" s="586">
        <f t="shared" si="37"/>
        <v>0</v>
      </c>
      <c r="AF36" s="586">
        <f t="shared" si="37"/>
        <v>0</v>
      </c>
      <c r="AG36" s="586">
        <f t="shared" si="37"/>
        <v>0</v>
      </c>
      <c r="AH36" s="586">
        <f t="shared" si="37"/>
        <v>0</v>
      </c>
      <c r="AI36" s="586">
        <f t="shared" si="37"/>
        <v>0</v>
      </c>
      <c r="AJ36" s="853"/>
      <c r="BD36"/>
      <c r="BE36"/>
      <c r="BF36"/>
    </row>
    <row r="37" spans="1:58" s="536" customFormat="1" ht="14.5">
      <c r="A37" s="570" t="s">
        <v>1070</v>
      </c>
      <c r="B37" s="568" t="s">
        <v>1071</v>
      </c>
      <c r="C37" s="873"/>
      <c r="D37" s="874">
        <f t="shared" si="31"/>
        <v>0</v>
      </c>
      <c r="E37" s="890">
        <f>'Estados Financieros'!E197</f>
        <v>0</v>
      </c>
      <c r="F37" s="876">
        <f t="shared" si="32"/>
        <v>0</v>
      </c>
      <c r="G37" s="877">
        <f t="shared" si="13"/>
        <v>0</v>
      </c>
      <c r="H37" s="890">
        <f>'Estados Financieros'!F197</f>
        <v>0</v>
      </c>
      <c r="I37" s="876">
        <f t="shared" si="33"/>
        <v>0</v>
      </c>
      <c r="J37" s="877">
        <f t="shared" si="4"/>
        <v>0</v>
      </c>
      <c r="K37" s="579">
        <f>'Estados Financieros'!I197</f>
        <v>0</v>
      </c>
      <c r="L37" s="876">
        <f t="shared" si="34"/>
        <v>0</v>
      </c>
      <c r="M37" s="877">
        <f t="shared" si="6"/>
        <v>0</v>
      </c>
      <c r="N37" s="579">
        <f>'Estados Financieros'!G197</f>
        <v>0</v>
      </c>
      <c r="O37" s="876">
        <f t="shared" si="35"/>
        <v>0</v>
      </c>
      <c r="P37" s="877">
        <f t="shared" si="8"/>
        <v>0</v>
      </c>
      <c r="Q37" s="565">
        <f>'Estados Financieros'!H197</f>
        <v>0</v>
      </c>
      <c r="R37" s="876">
        <f t="shared" si="36"/>
        <v>0</v>
      </c>
      <c r="S37" s="877">
        <f t="shared" si="10"/>
        <v>0</v>
      </c>
      <c r="T37" s="566">
        <f t="shared" ref="T37:AI37" si="38">T250+T304+T340</f>
        <v>0</v>
      </c>
      <c r="U37" s="566">
        <f t="shared" si="38"/>
        <v>0</v>
      </c>
      <c r="V37" s="566">
        <f t="shared" si="38"/>
        <v>0</v>
      </c>
      <c r="W37" s="566">
        <f t="shared" si="38"/>
        <v>0</v>
      </c>
      <c r="X37" s="566">
        <f t="shared" si="38"/>
        <v>0</v>
      </c>
      <c r="Y37" s="566">
        <f t="shared" si="38"/>
        <v>0</v>
      </c>
      <c r="Z37" s="566">
        <f t="shared" si="38"/>
        <v>0</v>
      </c>
      <c r="AA37" s="566">
        <f t="shared" si="38"/>
        <v>0</v>
      </c>
      <c r="AB37" s="566">
        <f t="shared" si="38"/>
        <v>0</v>
      </c>
      <c r="AC37" s="566">
        <f t="shared" si="38"/>
        <v>0</v>
      </c>
      <c r="AD37" s="566">
        <f t="shared" si="38"/>
        <v>0</v>
      </c>
      <c r="AE37" s="566">
        <f t="shared" si="38"/>
        <v>0</v>
      </c>
      <c r="AF37" s="566">
        <f t="shared" si="38"/>
        <v>0</v>
      </c>
      <c r="AG37" s="566">
        <f t="shared" si="38"/>
        <v>0</v>
      </c>
      <c r="AH37" s="566">
        <f t="shared" si="38"/>
        <v>0</v>
      </c>
      <c r="AI37" s="566">
        <f t="shared" si="38"/>
        <v>0</v>
      </c>
      <c r="AJ37" s="853"/>
      <c r="BD37"/>
      <c r="BE37"/>
      <c r="BF37"/>
    </row>
    <row r="38" spans="1:58" s="536" customFormat="1" ht="14.5">
      <c r="A38" s="570" t="s">
        <v>1072</v>
      </c>
      <c r="B38" s="568" t="s">
        <v>1073</v>
      </c>
      <c r="C38" s="873"/>
      <c r="D38" s="874">
        <f t="shared" si="31"/>
        <v>0</v>
      </c>
      <c r="E38" s="875">
        <f>'Estados Financieros'!E198</f>
        <v>0</v>
      </c>
      <c r="F38" s="876">
        <f t="shared" si="32"/>
        <v>0</v>
      </c>
      <c r="G38" s="877">
        <f t="shared" si="13"/>
        <v>0</v>
      </c>
      <c r="H38" s="875">
        <f>'Estados Financieros'!F198</f>
        <v>0</v>
      </c>
      <c r="I38" s="876">
        <f t="shared" si="33"/>
        <v>0</v>
      </c>
      <c r="J38" s="877">
        <f t="shared" si="4"/>
        <v>0</v>
      </c>
      <c r="K38" s="565">
        <f>'Estados Financieros'!I198</f>
        <v>0</v>
      </c>
      <c r="L38" s="876">
        <f t="shared" si="34"/>
        <v>0</v>
      </c>
      <c r="M38" s="877">
        <f t="shared" si="6"/>
        <v>0</v>
      </c>
      <c r="N38" s="565">
        <f>'Estados Financieros'!G198</f>
        <v>0</v>
      </c>
      <c r="O38" s="876">
        <f t="shared" si="35"/>
        <v>0</v>
      </c>
      <c r="P38" s="877">
        <f t="shared" si="8"/>
        <v>0</v>
      </c>
      <c r="Q38" s="565">
        <f>'Estados Financieros'!H198</f>
        <v>0</v>
      </c>
      <c r="R38" s="876">
        <f t="shared" si="36"/>
        <v>0</v>
      </c>
      <c r="S38" s="877">
        <f t="shared" si="10"/>
        <v>0</v>
      </c>
      <c r="T38" s="566">
        <f t="shared" ref="T38:AI38" si="39">T262</f>
        <v>0</v>
      </c>
      <c r="U38" s="566">
        <f t="shared" si="39"/>
        <v>0</v>
      </c>
      <c r="V38" s="566">
        <f t="shared" si="39"/>
        <v>0</v>
      </c>
      <c r="W38" s="566">
        <f t="shared" si="39"/>
        <v>0</v>
      </c>
      <c r="X38" s="566">
        <f t="shared" si="39"/>
        <v>0</v>
      </c>
      <c r="Y38" s="566">
        <f t="shared" si="39"/>
        <v>0</v>
      </c>
      <c r="Z38" s="566">
        <f t="shared" si="39"/>
        <v>0</v>
      </c>
      <c r="AA38" s="566">
        <f t="shared" si="39"/>
        <v>0</v>
      </c>
      <c r="AB38" s="566">
        <f t="shared" si="39"/>
        <v>0</v>
      </c>
      <c r="AC38" s="566">
        <f t="shared" si="39"/>
        <v>0</v>
      </c>
      <c r="AD38" s="566">
        <f t="shared" si="39"/>
        <v>0</v>
      </c>
      <c r="AE38" s="566">
        <f t="shared" si="39"/>
        <v>0</v>
      </c>
      <c r="AF38" s="566">
        <f t="shared" si="39"/>
        <v>0</v>
      </c>
      <c r="AG38" s="566">
        <f t="shared" si="39"/>
        <v>0</v>
      </c>
      <c r="AH38" s="566">
        <f t="shared" si="39"/>
        <v>0</v>
      </c>
      <c r="AI38" s="566">
        <f t="shared" si="39"/>
        <v>0</v>
      </c>
      <c r="AJ38" s="853"/>
      <c r="BD38"/>
      <c r="BE38"/>
      <c r="BF38"/>
    </row>
    <row r="39" spans="1:58" s="536" customFormat="1" ht="14.5">
      <c r="A39" s="570" t="s">
        <v>1074</v>
      </c>
      <c r="B39" s="568" t="s">
        <v>1075</v>
      </c>
      <c r="C39" s="873"/>
      <c r="D39" s="874">
        <f t="shared" si="31"/>
        <v>0</v>
      </c>
      <c r="E39" s="875"/>
      <c r="F39" s="876">
        <f t="shared" si="32"/>
        <v>0</v>
      </c>
      <c r="G39" s="877">
        <f t="shared" si="13"/>
        <v>0</v>
      </c>
      <c r="H39" s="875"/>
      <c r="I39" s="876">
        <f t="shared" si="33"/>
        <v>0</v>
      </c>
      <c r="J39" s="877">
        <f t="shared" si="4"/>
        <v>0</v>
      </c>
      <c r="K39" s="565"/>
      <c r="L39" s="876">
        <f t="shared" si="34"/>
        <v>0</v>
      </c>
      <c r="M39" s="877">
        <f t="shared" si="6"/>
        <v>0</v>
      </c>
      <c r="N39" s="565"/>
      <c r="O39" s="876">
        <f t="shared" si="35"/>
        <v>0</v>
      </c>
      <c r="P39" s="877">
        <f t="shared" si="8"/>
        <v>0</v>
      </c>
      <c r="Q39" s="565"/>
      <c r="R39" s="876">
        <f t="shared" si="36"/>
        <v>0</v>
      </c>
      <c r="S39" s="877">
        <f t="shared" si="10"/>
        <v>0</v>
      </c>
      <c r="T39" s="566">
        <f t="shared" ref="T39:AI39" si="40">T380</f>
        <v>0</v>
      </c>
      <c r="U39" s="566">
        <f t="shared" si="40"/>
        <v>0</v>
      </c>
      <c r="V39" s="566">
        <f t="shared" si="40"/>
        <v>0</v>
      </c>
      <c r="W39" s="566">
        <f t="shared" si="40"/>
        <v>0</v>
      </c>
      <c r="X39" s="566">
        <f t="shared" si="40"/>
        <v>0</v>
      </c>
      <c r="Y39" s="566">
        <f t="shared" si="40"/>
        <v>0</v>
      </c>
      <c r="Z39" s="566">
        <f t="shared" si="40"/>
        <v>0</v>
      </c>
      <c r="AA39" s="566">
        <f t="shared" si="40"/>
        <v>0</v>
      </c>
      <c r="AB39" s="566">
        <f t="shared" si="40"/>
        <v>0</v>
      </c>
      <c r="AC39" s="566">
        <f t="shared" si="40"/>
        <v>0</v>
      </c>
      <c r="AD39" s="566">
        <f t="shared" si="40"/>
        <v>0</v>
      </c>
      <c r="AE39" s="566">
        <f t="shared" si="40"/>
        <v>0</v>
      </c>
      <c r="AF39" s="566">
        <f t="shared" si="40"/>
        <v>0</v>
      </c>
      <c r="AG39" s="566">
        <f t="shared" si="40"/>
        <v>0</v>
      </c>
      <c r="AH39" s="566">
        <f t="shared" si="40"/>
        <v>0</v>
      </c>
      <c r="AI39" s="566">
        <f t="shared" si="40"/>
        <v>0</v>
      </c>
      <c r="AJ39" s="853"/>
      <c r="BD39"/>
      <c r="BE39"/>
      <c r="BF39"/>
    </row>
    <row r="40" spans="1:58" s="536" customFormat="1" ht="14.5">
      <c r="A40" s="567">
        <v>14</v>
      </c>
      <c r="B40" s="568" t="s">
        <v>685</v>
      </c>
      <c r="C40" s="873"/>
      <c r="D40" s="874">
        <f t="shared" si="31"/>
        <v>0</v>
      </c>
      <c r="E40" s="875">
        <f>'Estados Financieros'!E204</f>
        <v>0</v>
      </c>
      <c r="F40" s="876">
        <f t="shared" si="32"/>
        <v>0</v>
      </c>
      <c r="G40" s="877">
        <f t="shared" si="13"/>
        <v>0</v>
      </c>
      <c r="H40" s="875">
        <f>'Estados Financieros'!F204</f>
        <v>0</v>
      </c>
      <c r="I40" s="876">
        <f t="shared" si="33"/>
        <v>0</v>
      </c>
      <c r="J40" s="877">
        <f t="shared" si="4"/>
        <v>0</v>
      </c>
      <c r="K40" s="565">
        <f>'Estados Financieros'!I204</f>
        <v>0</v>
      </c>
      <c r="L40" s="876">
        <f t="shared" si="34"/>
        <v>0</v>
      </c>
      <c r="M40" s="877">
        <f t="shared" si="6"/>
        <v>0</v>
      </c>
      <c r="N40" s="565">
        <f>'Estados Financieros'!G204</f>
        <v>0</v>
      </c>
      <c r="O40" s="876">
        <f t="shared" si="35"/>
        <v>0</v>
      </c>
      <c r="P40" s="877">
        <f t="shared" si="8"/>
        <v>0</v>
      </c>
      <c r="Q40" s="565">
        <f>'Estados Financieros'!H204</f>
        <v>0</v>
      </c>
      <c r="R40" s="876">
        <f t="shared" si="36"/>
        <v>0</v>
      </c>
      <c r="S40" s="877">
        <f t="shared" si="10"/>
        <v>0</v>
      </c>
      <c r="T40" s="566">
        <f t="shared" ref="T40:AI40" si="41">IF(T72&lt;&gt;0,T72*T406/T17,T74*T406/T17)</f>
        <v>0</v>
      </c>
      <c r="U40" s="566">
        <f t="shared" si="41"/>
        <v>0</v>
      </c>
      <c r="V40" s="566">
        <f t="shared" si="41"/>
        <v>0</v>
      </c>
      <c r="W40" s="566">
        <f t="shared" si="41"/>
        <v>0</v>
      </c>
      <c r="X40" s="566">
        <f t="shared" si="41"/>
        <v>0</v>
      </c>
      <c r="Y40" s="566">
        <f t="shared" si="41"/>
        <v>0</v>
      </c>
      <c r="Z40" s="566">
        <f t="shared" si="41"/>
        <v>0</v>
      </c>
      <c r="AA40" s="566">
        <f t="shared" si="41"/>
        <v>0</v>
      </c>
      <c r="AB40" s="566">
        <f t="shared" si="41"/>
        <v>0</v>
      </c>
      <c r="AC40" s="566">
        <f t="shared" si="41"/>
        <v>0</v>
      </c>
      <c r="AD40" s="566">
        <f t="shared" si="41"/>
        <v>0</v>
      </c>
      <c r="AE40" s="566">
        <f t="shared" si="41"/>
        <v>0</v>
      </c>
      <c r="AF40" s="566">
        <f t="shared" si="41"/>
        <v>0</v>
      </c>
      <c r="AG40" s="566">
        <f t="shared" si="41"/>
        <v>0</v>
      </c>
      <c r="AH40" s="566">
        <f t="shared" si="41"/>
        <v>0</v>
      </c>
      <c r="AI40" s="566">
        <f t="shared" si="41"/>
        <v>0</v>
      </c>
      <c r="AJ40" s="853"/>
      <c r="BD40"/>
      <c r="BE40"/>
      <c r="BF40"/>
    </row>
    <row r="41" spans="1:58" s="536" customFormat="1" ht="14.5">
      <c r="A41" s="567">
        <v>15</v>
      </c>
      <c r="B41" s="568" t="s">
        <v>1076</v>
      </c>
      <c r="C41" s="873"/>
      <c r="D41" s="874">
        <f t="shared" si="31"/>
        <v>0</v>
      </c>
      <c r="E41" s="875">
        <f>'Estados Financieros'!E241</f>
        <v>0</v>
      </c>
      <c r="F41" s="876">
        <f t="shared" si="32"/>
        <v>0</v>
      </c>
      <c r="G41" s="877">
        <f t="shared" si="13"/>
        <v>0</v>
      </c>
      <c r="H41" s="875">
        <f>'Estados Financieros'!F241</f>
        <v>0</v>
      </c>
      <c r="I41" s="876">
        <f t="shared" si="33"/>
        <v>0</v>
      </c>
      <c r="J41" s="877">
        <f t="shared" si="4"/>
        <v>0</v>
      </c>
      <c r="K41" s="565">
        <f>'Estados Financieros'!I241</f>
        <v>0</v>
      </c>
      <c r="L41" s="876">
        <f t="shared" si="34"/>
        <v>0</v>
      </c>
      <c r="M41" s="877">
        <f t="shared" si="6"/>
        <v>0</v>
      </c>
      <c r="N41" s="565">
        <f>'Estados Financieros'!G241</f>
        <v>0</v>
      </c>
      <c r="O41" s="876">
        <f t="shared" si="35"/>
        <v>0</v>
      </c>
      <c r="P41" s="877">
        <f t="shared" si="8"/>
        <v>0</v>
      </c>
      <c r="Q41" s="565">
        <f>'Estados Financieros'!H241</f>
        <v>0</v>
      </c>
      <c r="R41" s="876">
        <f t="shared" si="36"/>
        <v>0</v>
      </c>
      <c r="S41" s="877">
        <f t="shared" si="10"/>
        <v>0</v>
      </c>
      <c r="T41" s="566">
        <f t="shared" ref="T41:AI41" si="42">IF(T74&lt;&gt;0,T74*T414,T72*T414)</f>
        <v>0</v>
      </c>
      <c r="U41" s="566">
        <f t="shared" si="42"/>
        <v>0</v>
      </c>
      <c r="V41" s="566">
        <f t="shared" si="42"/>
        <v>0</v>
      </c>
      <c r="W41" s="566">
        <f t="shared" si="42"/>
        <v>0</v>
      </c>
      <c r="X41" s="566">
        <f t="shared" si="42"/>
        <v>0</v>
      </c>
      <c r="Y41" s="566">
        <f t="shared" si="42"/>
        <v>0</v>
      </c>
      <c r="Z41" s="566">
        <f t="shared" si="42"/>
        <v>0</v>
      </c>
      <c r="AA41" s="566">
        <f t="shared" si="42"/>
        <v>0</v>
      </c>
      <c r="AB41" s="566">
        <f t="shared" si="42"/>
        <v>0</v>
      </c>
      <c r="AC41" s="566">
        <f t="shared" si="42"/>
        <v>0</v>
      </c>
      <c r="AD41" s="566">
        <f t="shared" si="42"/>
        <v>0</v>
      </c>
      <c r="AE41" s="566">
        <f t="shared" si="42"/>
        <v>0</v>
      </c>
      <c r="AF41" s="566">
        <f t="shared" si="42"/>
        <v>0</v>
      </c>
      <c r="AG41" s="566">
        <f t="shared" si="42"/>
        <v>0</v>
      </c>
      <c r="AH41" s="566">
        <f t="shared" si="42"/>
        <v>0</v>
      </c>
      <c r="AI41" s="566">
        <f t="shared" si="42"/>
        <v>0</v>
      </c>
      <c r="AJ41" s="853"/>
      <c r="BD41"/>
      <c r="BE41"/>
      <c r="BF41"/>
    </row>
    <row r="42" spans="1:58" s="536" customFormat="1" ht="14.5">
      <c r="A42" s="567">
        <v>16</v>
      </c>
      <c r="B42" s="568" t="s">
        <v>1077</v>
      </c>
      <c r="C42" s="873"/>
      <c r="D42" s="874">
        <f t="shared" si="31"/>
        <v>0</v>
      </c>
      <c r="E42" s="875">
        <f>'Estados Financieros'!E233</f>
        <v>0</v>
      </c>
      <c r="F42" s="876">
        <f t="shared" si="32"/>
        <v>0</v>
      </c>
      <c r="G42" s="877">
        <f t="shared" si="13"/>
        <v>0</v>
      </c>
      <c r="H42" s="875">
        <f>'Estados Financieros'!F233</f>
        <v>0</v>
      </c>
      <c r="I42" s="876">
        <f t="shared" si="33"/>
        <v>0</v>
      </c>
      <c r="J42" s="877">
        <f t="shared" si="4"/>
        <v>0</v>
      </c>
      <c r="K42" s="565">
        <f>'Estados Financieros'!I233</f>
        <v>0</v>
      </c>
      <c r="L42" s="876">
        <f t="shared" si="34"/>
        <v>0</v>
      </c>
      <c r="M42" s="877">
        <f t="shared" si="6"/>
        <v>0</v>
      </c>
      <c r="N42" s="565">
        <f>'Estados Financieros'!G233</f>
        <v>0</v>
      </c>
      <c r="O42" s="876">
        <f t="shared" si="35"/>
        <v>0</v>
      </c>
      <c r="P42" s="877">
        <f t="shared" si="8"/>
        <v>0</v>
      </c>
      <c r="Q42" s="565">
        <f>'Estados Financieros'!H233</f>
        <v>0</v>
      </c>
      <c r="R42" s="876">
        <f t="shared" si="36"/>
        <v>0</v>
      </c>
      <c r="S42" s="877">
        <f t="shared" si="10"/>
        <v>0</v>
      </c>
      <c r="T42" s="569">
        <f t="shared" ref="T42:AI42" si="43">T71*T415</f>
        <v>0</v>
      </c>
      <c r="U42" s="569">
        <f t="shared" si="43"/>
        <v>0</v>
      </c>
      <c r="V42" s="569">
        <f t="shared" si="43"/>
        <v>0</v>
      </c>
      <c r="W42" s="569">
        <f t="shared" si="43"/>
        <v>0</v>
      </c>
      <c r="X42" s="569">
        <f t="shared" si="43"/>
        <v>0</v>
      </c>
      <c r="Y42" s="569">
        <f t="shared" si="43"/>
        <v>0</v>
      </c>
      <c r="Z42" s="569">
        <f t="shared" si="43"/>
        <v>0</v>
      </c>
      <c r="AA42" s="569">
        <f t="shared" si="43"/>
        <v>0</v>
      </c>
      <c r="AB42" s="569">
        <f t="shared" si="43"/>
        <v>0</v>
      </c>
      <c r="AC42" s="569">
        <f t="shared" si="43"/>
        <v>0</v>
      </c>
      <c r="AD42" s="569">
        <f t="shared" si="43"/>
        <v>0</v>
      </c>
      <c r="AE42" s="569">
        <f t="shared" si="43"/>
        <v>0</v>
      </c>
      <c r="AF42" s="569">
        <f t="shared" si="43"/>
        <v>0</v>
      </c>
      <c r="AG42" s="569">
        <f t="shared" si="43"/>
        <v>0</v>
      </c>
      <c r="AH42" s="569">
        <f t="shared" si="43"/>
        <v>0</v>
      </c>
      <c r="AI42" s="569">
        <f t="shared" si="43"/>
        <v>0</v>
      </c>
      <c r="AJ42" s="853"/>
      <c r="BD42"/>
      <c r="BE42"/>
      <c r="BF42"/>
    </row>
    <row r="43" spans="1:58" s="536" customFormat="1" ht="14.5">
      <c r="A43" s="567">
        <v>17</v>
      </c>
      <c r="B43" s="568" t="s">
        <v>1078</v>
      </c>
      <c r="C43" s="873"/>
      <c r="D43" s="874">
        <f t="shared" si="31"/>
        <v>0</v>
      </c>
      <c r="E43" s="875">
        <f>'Estados Financieros'!E260</f>
        <v>0</v>
      </c>
      <c r="F43" s="876">
        <f t="shared" si="32"/>
        <v>0</v>
      </c>
      <c r="G43" s="877">
        <f t="shared" si="13"/>
        <v>0</v>
      </c>
      <c r="H43" s="875">
        <f>'Estados Financieros'!F260</f>
        <v>0</v>
      </c>
      <c r="I43" s="876">
        <f t="shared" si="33"/>
        <v>0</v>
      </c>
      <c r="J43" s="877">
        <f t="shared" si="4"/>
        <v>0</v>
      </c>
      <c r="K43" s="565">
        <f>'Estados Financieros'!I260</f>
        <v>0</v>
      </c>
      <c r="L43" s="876">
        <f t="shared" si="34"/>
        <v>0</v>
      </c>
      <c r="M43" s="877">
        <f t="shared" si="6"/>
        <v>0</v>
      </c>
      <c r="N43" s="565">
        <f>'Estados Financieros'!G260</f>
        <v>0</v>
      </c>
      <c r="O43" s="876">
        <f t="shared" si="35"/>
        <v>0</v>
      </c>
      <c r="P43" s="877">
        <f t="shared" si="8"/>
        <v>0</v>
      </c>
      <c r="Q43" s="565">
        <f>'Estados Financieros'!H260</f>
        <v>0</v>
      </c>
      <c r="R43" s="876">
        <f t="shared" si="36"/>
        <v>0</v>
      </c>
      <c r="S43" s="877">
        <f t="shared" si="10"/>
        <v>0</v>
      </c>
      <c r="T43" s="587">
        <f>(C43*$C$241)+(E43*$E$241)+(H43*$H$241)+(N43*$N$241)+(Q43*$Q$241)</f>
        <v>0</v>
      </c>
      <c r="U43" s="587">
        <f t="shared" ref="U43:AI43" si="44">T43</f>
        <v>0</v>
      </c>
      <c r="V43" s="587">
        <f t="shared" si="44"/>
        <v>0</v>
      </c>
      <c r="W43" s="587">
        <f t="shared" si="44"/>
        <v>0</v>
      </c>
      <c r="X43" s="587">
        <f t="shared" si="44"/>
        <v>0</v>
      </c>
      <c r="Y43" s="587">
        <f t="shared" si="44"/>
        <v>0</v>
      </c>
      <c r="Z43" s="587">
        <f t="shared" si="44"/>
        <v>0</v>
      </c>
      <c r="AA43" s="587">
        <f t="shared" si="44"/>
        <v>0</v>
      </c>
      <c r="AB43" s="587">
        <f t="shared" si="44"/>
        <v>0</v>
      </c>
      <c r="AC43" s="587">
        <f t="shared" si="44"/>
        <v>0</v>
      </c>
      <c r="AD43" s="587">
        <f t="shared" si="44"/>
        <v>0</v>
      </c>
      <c r="AE43" s="587">
        <f t="shared" si="44"/>
        <v>0</v>
      </c>
      <c r="AF43" s="587">
        <f t="shared" si="44"/>
        <v>0</v>
      </c>
      <c r="AG43" s="587">
        <f t="shared" si="44"/>
        <v>0</v>
      </c>
      <c r="AH43" s="587">
        <f t="shared" si="44"/>
        <v>0</v>
      </c>
      <c r="AI43" s="587">
        <f t="shared" si="44"/>
        <v>0</v>
      </c>
      <c r="AJ43" s="853"/>
      <c r="BD43"/>
      <c r="BE43"/>
      <c r="BF43"/>
    </row>
    <row r="44" spans="1:58" s="536" customFormat="1" ht="14.5">
      <c r="A44" s="567">
        <v>18</v>
      </c>
      <c r="B44" s="564" t="s">
        <v>689</v>
      </c>
      <c r="C44" s="873"/>
      <c r="D44" s="874">
        <f t="shared" si="31"/>
        <v>0</v>
      </c>
      <c r="E44" s="875">
        <f>SUM('Estados Financieros'!E221,-SUM('Estados Financieros'!E213:E214))</f>
        <v>0</v>
      </c>
      <c r="F44" s="876">
        <f t="shared" si="32"/>
        <v>0</v>
      </c>
      <c r="G44" s="877">
        <f t="shared" si="13"/>
        <v>0</v>
      </c>
      <c r="H44" s="875">
        <f>SUM('Estados Financieros'!F221,-SUM('Estados Financieros'!F213:F214))</f>
        <v>0</v>
      </c>
      <c r="I44" s="876">
        <f t="shared" si="33"/>
        <v>0</v>
      </c>
      <c r="J44" s="877">
        <f t="shared" si="4"/>
        <v>0</v>
      </c>
      <c r="K44" s="565">
        <f>SUM('Estados Financieros'!I221,-SUM('Estados Financieros'!I213:I214))</f>
        <v>0</v>
      </c>
      <c r="L44" s="876">
        <f t="shared" si="34"/>
        <v>0</v>
      </c>
      <c r="M44" s="877">
        <f t="shared" si="6"/>
        <v>0</v>
      </c>
      <c r="N44" s="565">
        <f>SUM('Estados Financieros'!G221,-SUM('Estados Financieros'!G213:G214))</f>
        <v>0</v>
      </c>
      <c r="O44" s="876">
        <f t="shared" si="35"/>
        <v>0</v>
      </c>
      <c r="P44" s="877">
        <f t="shared" si="8"/>
        <v>0</v>
      </c>
      <c r="Q44" s="565">
        <f>SUM('Estados Financieros'!H221,-SUM('Estados Financieros'!H213:H214))</f>
        <v>0</v>
      </c>
      <c r="R44" s="876">
        <f t="shared" si="36"/>
        <v>0</v>
      </c>
      <c r="S44" s="877">
        <f t="shared" si="10"/>
        <v>0</v>
      </c>
      <c r="T44" s="588">
        <f t="shared" ref="T44:AI44" si="45">IF(T72&lt;&gt;0,T72*T416,T74*T416)</f>
        <v>0</v>
      </c>
      <c r="U44" s="588">
        <f t="shared" si="45"/>
        <v>0</v>
      </c>
      <c r="V44" s="588">
        <f t="shared" si="45"/>
        <v>0</v>
      </c>
      <c r="W44" s="588">
        <f t="shared" si="45"/>
        <v>0</v>
      </c>
      <c r="X44" s="588">
        <f t="shared" si="45"/>
        <v>0</v>
      </c>
      <c r="Y44" s="588">
        <f t="shared" si="45"/>
        <v>0</v>
      </c>
      <c r="Z44" s="588">
        <f t="shared" si="45"/>
        <v>0</v>
      </c>
      <c r="AA44" s="588">
        <f t="shared" si="45"/>
        <v>0</v>
      </c>
      <c r="AB44" s="588">
        <f t="shared" si="45"/>
        <v>0</v>
      </c>
      <c r="AC44" s="588">
        <f t="shared" si="45"/>
        <v>0</v>
      </c>
      <c r="AD44" s="588">
        <f t="shared" si="45"/>
        <v>0</v>
      </c>
      <c r="AE44" s="588">
        <f t="shared" si="45"/>
        <v>0</v>
      </c>
      <c r="AF44" s="588">
        <f t="shared" si="45"/>
        <v>0</v>
      </c>
      <c r="AG44" s="588">
        <f t="shared" si="45"/>
        <v>0</v>
      </c>
      <c r="AH44" s="588">
        <f t="shared" si="45"/>
        <v>0</v>
      </c>
      <c r="AI44" s="588">
        <f t="shared" si="45"/>
        <v>0</v>
      </c>
      <c r="AJ44" s="853"/>
      <c r="BD44"/>
      <c r="BE44"/>
      <c r="BF44"/>
    </row>
    <row r="45" spans="1:58" s="536" customFormat="1" ht="14.5">
      <c r="A45" s="567">
        <v>19</v>
      </c>
      <c r="B45" s="568" t="s">
        <v>1079</v>
      </c>
      <c r="C45" s="873"/>
      <c r="D45" s="874">
        <f t="shared" si="31"/>
        <v>0</v>
      </c>
      <c r="E45" s="875">
        <f>SUM('Estados Financieros'!E213:E214)</f>
        <v>0</v>
      </c>
      <c r="F45" s="876">
        <f t="shared" si="32"/>
        <v>0</v>
      </c>
      <c r="G45" s="877">
        <f t="shared" si="13"/>
        <v>0</v>
      </c>
      <c r="H45" s="875">
        <f>SUM('Estados Financieros'!F213:F214)</f>
        <v>0</v>
      </c>
      <c r="I45" s="876">
        <f t="shared" si="33"/>
        <v>0</v>
      </c>
      <c r="J45" s="877">
        <f t="shared" si="4"/>
        <v>0</v>
      </c>
      <c r="K45" s="565">
        <f>SUM('Estados Financieros'!I213:I214)</f>
        <v>0</v>
      </c>
      <c r="L45" s="876">
        <f t="shared" si="34"/>
        <v>0</v>
      </c>
      <c r="M45" s="877">
        <f t="shared" si="6"/>
        <v>0</v>
      </c>
      <c r="N45" s="565">
        <f>SUM('Estados Financieros'!G213:G214)</f>
        <v>0</v>
      </c>
      <c r="O45" s="876">
        <f t="shared" si="35"/>
        <v>0</v>
      </c>
      <c r="P45" s="877">
        <f t="shared" si="8"/>
        <v>0</v>
      </c>
      <c r="Q45" s="565">
        <f>SUM('Estados Financieros'!H213:H214)</f>
        <v>0</v>
      </c>
      <c r="R45" s="876">
        <f t="shared" si="36"/>
        <v>0</v>
      </c>
      <c r="S45" s="877">
        <f t="shared" si="10"/>
        <v>0</v>
      </c>
      <c r="T45" s="587">
        <f>(C45*$C$241)+(E45*$E$241)+(H45*$H$241)+(N45*$N$241)+(Q45*$Q$241)</f>
        <v>0</v>
      </c>
      <c r="U45" s="587">
        <f t="shared" ref="U45:AI45" si="46">T45</f>
        <v>0</v>
      </c>
      <c r="V45" s="587">
        <f t="shared" si="46"/>
        <v>0</v>
      </c>
      <c r="W45" s="587">
        <f t="shared" si="46"/>
        <v>0</v>
      </c>
      <c r="X45" s="587">
        <f t="shared" si="46"/>
        <v>0</v>
      </c>
      <c r="Y45" s="587">
        <f t="shared" si="46"/>
        <v>0</v>
      </c>
      <c r="Z45" s="587">
        <f t="shared" si="46"/>
        <v>0</v>
      </c>
      <c r="AA45" s="587">
        <f t="shared" si="46"/>
        <v>0</v>
      </c>
      <c r="AB45" s="587">
        <f t="shared" si="46"/>
        <v>0</v>
      </c>
      <c r="AC45" s="587">
        <f t="shared" si="46"/>
        <v>0</v>
      </c>
      <c r="AD45" s="587">
        <f t="shared" si="46"/>
        <v>0</v>
      </c>
      <c r="AE45" s="587">
        <f t="shared" si="46"/>
        <v>0</v>
      </c>
      <c r="AF45" s="587">
        <f t="shared" si="46"/>
        <v>0</v>
      </c>
      <c r="AG45" s="587">
        <f t="shared" si="46"/>
        <v>0</v>
      </c>
      <c r="AH45" s="587">
        <f t="shared" si="46"/>
        <v>0</v>
      </c>
      <c r="AI45" s="587">
        <f t="shared" si="46"/>
        <v>0</v>
      </c>
      <c r="AJ45" s="853"/>
      <c r="BD45"/>
      <c r="BE45"/>
      <c r="BF45"/>
    </row>
    <row r="46" spans="1:58" s="536" customFormat="1" ht="14.5">
      <c r="A46" s="570" t="s">
        <v>1080</v>
      </c>
      <c r="B46" s="568" t="s">
        <v>717</v>
      </c>
      <c r="C46" s="873"/>
      <c r="D46" s="874">
        <f t="shared" si="31"/>
        <v>0</v>
      </c>
      <c r="E46" s="875">
        <f>'Estados Financieros'!E252</f>
        <v>0</v>
      </c>
      <c r="F46" s="876">
        <f t="shared" si="32"/>
        <v>0</v>
      </c>
      <c r="G46" s="877">
        <f t="shared" si="13"/>
        <v>0</v>
      </c>
      <c r="H46" s="875">
        <f>'Estados Financieros'!F252</f>
        <v>0</v>
      </c>
      <c r="I46" s="876">
        <f t="shared" si="33"/>
        <v>0</v>
      </c>
      <c r="J46" s="877">
        <f t="shared" si="4"/>
        <v>0</v>
      </c>
      <c r="K46" s="565">
        <f>'Estados Financieros'!I252</f>
        <v>0</v>
      </c>
      <c r="L46" s="876">
        <f t="shared" si="34"/>
        <v>0</v>
      </c>
      <c r="M46" s="877">
        <f t="shared" si="6"/>
        <v>0</v>
      </c>
      <c r="N46" s="565">
        <f>'Estados Financieros'!G252</f>
        <v>0</v>
      </c>
      <c r="O46" s="876">
        <f t="shared" si="35"/>
        <v>0</v>
      </c>
      <c r="P46" s="877">
        <f t="shared" si="8"/>
        <v>0</v>
      </c>
      <c r="Q46" s="565">
        <f>'Estados Financieros'!H252</f>
        <v>0</v>
      </c>
      <c r="R46" s="876">
        <f t="shared" si="36"/>
        <v>0</v>
      </c>
      <c r="S46" s="877">
        <f t="shared" si="10"/>
        <v>0</v>
      </c>
      <c r="T46" s="588">
        <f t="shared" ref="T46:AI46" si="47">IF(T74&lt;&gt;0,T74*T417,T72*T417)</f>
        <v>0</v>
      </c>
      <c r="U46" s="588">
        <f t="shared" si="47"/>
        <v>0</v>
      </c>
      <c r="V46" s="588">
        <f t="shared" si="47"/>
        <v>0</v>
      </c>
      <c r="W46" s="588">
        <f t="shared" si="47"/>
        <v>0</v>
      </c>
      <c r="X46" s="588">
        <f t="shared" si="47"/>
        <v>0</v>
      </c>
      <c r="Y46" s="588">
        <f t="shared" si="47"/>
        <v>0</v>
      </c>
      <c r="Z46" s="588">
        <f t="shared" si="47"/>
        <v>0</v>
      </c>
      <c r="AA46" s="588">
        <f t="shared" si="47"/>
        <v>0</v>
      </c>
      <c r="AB46" s="588">
        <f t="shared" si="47"/>
        <v>0</v>
      </c>
      <c r="AC46" s="588">
        <f t="shared" si="47"/>
        <v>0</v>
      </c>
      <c r="AD46" s="588">
        <f t="shared" si="47"/>
        <v>0</v>
      </c>
      <c r="AE46" s="588">
        <f t="shared" si="47"/>
        <v>0</v>
      </c>
      <c r="AF46" s="588">
        <f t="shared" si="47"/>
        <v>0</v>
      </c>
      <c r="AG46" s="588">
        <f t="shared" si="47"/>
        <v>0</v>
      </c>
      <c r="AH46" s="588">
        <f t="shared" si="47"/>
        <v>0</v>
      </c>
      <c r="AI46" s="588">
        <f t="shared" si="47"/>
        <v>0</v>
      </c>
      <c r="AJ46" s="853"/>
      <c r="BD46"/>
      <c r="BE46"/>
      <c r="BF46"/>
    </row>
    <row r="47" spans="1:58" s="536" customFormat="1" ht="14.5">
      <c r="A47" s="572" t="s">
        <v>1081</v>
      </c>
      <c r="B47" s="573" t="s">
        <v>1057</v>
      </c>
      <c r="C47" s="879"/>
      <c r="D47" s="880">
        <f t="shared" si="31"/>
        <v>0</v>
      </c>
      <c r="E47" s="893">
        <f>'Estados Financieros'!E267</f>
        <v>0</v>
      </c>
      <c r="F47" s="882">
        <f t="shared" si="32"/>
        <v>0</v>
      </c>
      <c r="G47" s="883">
        <f t="shared" si="13"/>
        <v>0</v>
      </c>
      <c r="H47" s="893">
        <f>'Estados Financieros'!F267</f>
        <v>0</v>
      </c>
      <c r="I47" s="882">
        <f t="shared" si="33"/>
        <v>0</v>
      </c>
      <c r="J47" s="883">
        <f t="shared" si="4"/>
        <v>0</v>
      </c>
      <c r="K47" s="574">
        <f>'Estados Financieros'!I267</f>
        <v>0</v>
      </c>
      <c r="L47" s="882">
        <f t="shared" si="34"/>
        <v>0</v>
      </c>
      <c r="M47" s="883">
        <f t="shared" si="6"/>
        <v>0</v>
      </c>
      <c r="N47" s="574">
        <f>'Estados Financieros'!G267</f>
        <v>0</v>
      </c>
      <c r="O47" s="882">
        <f t="shared" si="35"/>
        <v>0</v>
      </c>
      <c r="P47" s="883">
        <f t="shared" si="8"/>
        <v>0</v>
      </c>
      <c r="Q47" s="574">
        <f>'Estados Financieros'!H267</f>
        <v>0</v>
      </c>
      <c r="R47" s="882">
        <f t="shared" si="36"/>
        <v>0</v>
      </c>
      <c r="S47" s="883">
        <f t="shared" si="10"/>
        <v>0</v>
      </c>
      <c r="T47" s="589">
        <f>(C47*$C$241)+(E47*$E$241)+(H47*$H$241)+(N47*$N$241)+(Q47*$Q$241)</f>
        <v>0</v>
      </c>
      <c r="U47" s="589">
        <f t="shared" ref="U47:AI47" si="48">T47</f>
        <v>0</v>
      </c>
      <c r="V47" s="589">
        <f t="shared" si="48"/>
        <v>0</v>
      </c>
      <c r="W47" s="589">
        <f t="shared" si="48"/>
        <v>0</v>
      </c>
      <c r="X47" s="589">
        <f t="shared" si="48"/>
        <v>0</v>
      </c>
      <c r="Y47" s="589">
        <f t="shared" si="48"/>
        <v>0</v>
      </c>
      <c r="Z47" s="589">
        <f t="shared" si="48"/>
        <v>0</v>
      </c>
      <c r="AA47" s="589">
        <f t="shared" si="48"/>
        <v>0</v>
      </c>
      <c r="AB47" s="589">
        <f t="shared" si="48"/>
        <v>0</v>
      </c>
      <c r="AC47" s="589">
        <f t="shared" si="48"/>
        <v>0</v>
      </c>
      <c r="AD47" s="589">
        <f t="shared" si="48"/>
        <v>0</v>
      </c>
      <c r="AE47" s="589">
        <f t="shared" si="48"/>
        <v>0</v>
      </c>
      <c r="AF47" s="589">
        <f t="shared" si="48"/>
        <v>0</v>
      </c>
      <c r="AG47" s="589">
        <f t="shared" si="48"/>
        <v>0</v>
      </c>
      <c r="AH47" s="589">
        <f t="shared" si="48"/>
        <v>0</v>
      </c>
      <c r="AI47" s="589">
        <f t="shared" si="48"/>
        <v>0</v>
      </c>
      <c r="AJ47" s="853"/>
      <c r="BD47"/>
      <c r="BE47"/>
      <c r="BF47"/>
    </row>
    <row r="48" spans="1:58" s="536" customFormat="1" ht="14.5">
      <c r="A48" s="547"/>
      <c r="B48" s="548" t="s">
        <v>679</v>
      </c>
      <c r="C48" s="884">
        <f>SUM(C36:C47)</f>
        <v>0</v>
      </c>
      <c r="D48" s="885">
        <f t="shared" si="31"/>
        <v>0</v>
      </c>
      <c r="E48" s="576">
        <f>SUM(E36:E47)</f>
        <v>0</v>
      </c>
      <c r="F48" s="886">
        <f t="shared" si="32"/>
        <v>0</v>
      </c>
      <c r="G48" s="887">
        <f t="shared" si="13"/>
        <v>0</v>
      </c>
      <c r="H48" s="576">
        <f>SUM(H36:H47)</f>
        <v>0</v>
      </c>
      <c r="I48" s="886">
        <f t="shared" si="33"/>
        <v>0</v>
      </c>
      <c r="J48" s="887">
        <f t="shared" si="4"/>
        <v>0</v>
      </c>
      <c r="K48" s="576">
        <f>SUM(K36:K47)</f>
        <v>0</v>
      </c>
      <c r="L48" s="886">
        <f t="shared" si="34"/>
        <v>0</v>
      </c>
      <c r="M48" s="887">
        <f t="shared" si="6"/>
        <v>0</v>
      </c>
      <c r="N48" s="576">
        <f>SUM(N36:N47)</f>
        <v>0</v>
      </c>
      <c r="O48" s="886">
        <f t="shared" si="35"/>
        <v>0</v>
      </c>
      <c r="P48" s="887">
        <f t="shared" si="8"/>
        <v>0</v>
      </c>
      <c r="Q48" s="576">
        <f>SUM(Q36:Q47)</f>
        <v>0</v>
      </c>
      <c r="R48" s="886">
        <f t="shared" si="36"/>
        <v>0</v>
      </c>
      <c r="S48" s="887">
        <f t="shared" si="10"/>
        <v>0</v>
      </c>
      <c r="T48" s="577">
        <f t="shared" ref="T48:AI48" si="49">SUM(T36:T47)</f>
        <v>0</v>
      </c>
      <c r="U48" s="577">
        <f t="shared" si="49"/>
        <v>0</v>
      </c>
      <c r="V48" s="577">
        <f t="shared" si="49"/>
        <v>0</v>
      </c>
      <c r="W48" s="577">
        <f t="shared" si="49"/>
        <v>0</v>
      </c>
      <c r="X48" s="577">
        <f t="shared" si="49"/>
        <v>0</v>
      </c>
      <c r="Y48" s="577">
        <f t="shared" si="49"/>
        <v>0</v>
      </c>
      <c r="Z48" s="577">
        <f t="shared" si="49"/>
        <v>0</v>
      </c>
      <c r="AA48" s="577">
        <f t="shared" si="49"/>
        <v>0</v>
      </c>
      <c r="AB48" s="577">
        <f t="shared" si="49"/>
        <v>0</v>
      </c>
      <c r="AC48" s="577">
        <f t="shared" si="49"/>
        <v>0</v>
      </c>
      <c r="AD48" s="577">
        <f t="shared" si="49"/>
        <v>0</v>
      </c>
      <c r="AE48" s="577">
        <f t="shared" si="49"/>
        <v>0</v>
      </c>
      <c r="AF48" s="577">
        <f t="shared" si="49"/>
        <v>0</v>
      </c>
      <c r="AG48" s="577">
        <f t="shared" si="49"/>
        <v>0</v>
      </c>
      <c r="AH48" s="577">
        <f t="shared" si="49"/>
        <v>0</v>
      </c>
      <c r="AI48" s="577">
        <f t="shared" si="49"/>
        <v>0</v>
      </c>
      <c r="AJ48" s="853"/>
      <c r="BD48"/>
      <c r="BE48"/>
      <c r="BF48"/>
    </row>
    <row r="49" spans="1:58" s="536" customFormat="1" ht="14.5">
      <c r="A49" s="590" t="s">
        <v>1082</v>
      </c>
      <c r="B49" s="578" t="s">
        <v>741</v>
      </c>
      <c r="C49" s="888"/>
      <c r="D49" s="889">
        <f t="shared" si="31"/>
        <v>0</v>
      </c>
      <c r="E49" s="890">
        <f>'Estados Financieros'!E271</f>
        <v>0</v>
      </c>
      <c r="F49" s="891">
        <f t="shared" si="32"/>
        <v>0</v>
      </c>
      <c r="G49" s="892">
        <f t="shared" si="13"/>
        <v>0</v>
      </c>
      <c r="H49" s="890">
        <f>'Estados Financieros'!F271</f>
        <v>0</v>
      </c>
      <c r="I49" s="891">
        <f t="shared" si="33"/>
        <v>0</v>
      </c>
      <c r="J49" s="892">
        <f t="shared" si="4"/>
        <v>0</v>
      </c>
      <c r="K49" s="579">
        <f>'Estados Financieros'!I271</f>
        <v>0</v>
      </c>
      <c r="L49" s="891">
        <f t="shared" si="34"/>
        <v>0</v>
      </c>
      <c r="M49" s="892">
        <f t="shared" si="6"/>
        <v>0</v>
      </c>
      <c r="N49" s="579">
        <f>'Estados Financieros'!G271</f>
        <v>0</v>
      </c>
      <c r="O49" s="891">
        <f t="shared" si="35"/>
        <v>0</v>
      </c>
      <c r="P49" s="892">
        <f t="shared" si="8"/>
        <v>0</v>
      </c>
      <c r="Q49" s="579">
        <f>'Estados Financieros'!H271</f>
        <v>0</v>
      </c>
      <c r="R49" s="891">
        <f t="shared" si="36"/>
        <v>0</v>
      </c>
      <c r="S49" s="892">
        <f t="shared" si="10"/>
        <v>0</v>
      </c>
      <c r="T49" s="581">
        <f t="shared" ref="T49:AI49" si="50">T251+T305+T341</f>
        <v>0</v>
      </c>
      <c r="U49" s="581">
        <f t="shared" si="50"/>
        <v>0</v>
      </c>
      <c r="V49" s="581">
        <f t="shared" si="50"/>
        <v>0</v>
      </c>
      <c r="W49" s="581">
        <f t="shared" si="50"/>
        <v>0</v>
      </c>
      <c r="X49" s="581">
        <f t="shared" si="50"/>
        <v>0</v>
      </c>
      <c r="Y49" s="581">
        <f t="shared" si="50"/>
        <v>0</v>
      </c>
      <c r="Z49" s="581">
        <f t="shared" si="50"/>
        <v>0</v>
      </c>
      <c r="AA49" s="581">
        <f t="shared" si="50"/>
        <v>0</v>
      </c>
      <c r="AB49" s="581">
        <f t="shared" si="50"/>
        <v>0</v>
      </c>
      <c r="AC49" s="581">
        <f t="shared" si="50"/>
        <v>0</v>
      </c>
      <c r="AD49" s="581">
        <f t="shared" si="50"/>
        <v>0</v>
      </c>
      <c r="AE49" s="581">
        <f t="shared" si="50"/>
        <v>0</v>
      </c>
      <c r="AF49" s="581">
        <f t="shared" si="50"/>
        <v>0</v>
      </c>
      <c r="AG49" s="581">
        <f t="shared" si="50"/>
        <v>0</v>
      </c>
      <c r="AH49" s="581">
        <f t="shared" si="50"/>
        <v>0</v>
      </c>
      <c r="AI49" s="581">
        <f t="shared" si="50"/>
        <v>0</v>
      </c>
      <c r="AJ49" s="853"/>
      <c r="AK49" s="625"/>
      <c r="AL49" s="625"/>
      <c r="AM49" s="625"/>
      <c r="AN49" s="625"/>
      <c r="AO49" s="533"/>
      <c r="AP49" s="533"/>
      <c r="AQ49" s="533"/>
      <c r="AR49" s="533"/>
      <c r="AS49" s="533"/>
      <c r="AT49" s="533"/>
      <c r="BD49"/>
      <c r="BE49"/>
      <c r="BF49"/>
    </row>
    <row r="50" spans="1:58" s="536" customFormat="1" ht="14.5">
      <c r="A50" s="570" t="s">
        <v>1083</v>
      </c>
      <c r="B50" s="568" t="s">
        <v>1084</v>
      </c>
      <c r="C50" s="873"/>
      <c r="D50" s="874">
        <f t="shared" si="31"/>
        <v>0</v>
      </c>
      <c r="E50" s="875">
        <f>'Estados Financieros'!E272</f>
        <v>0</v>
      </c>
      <c r="F50" s="876">
        <f t="shared" si="32"/>
        <v>0</v>
      </c>
      <c r="G50" s="877">
        <f t="shared" si="13"/>
        <v>0</v>
      </c>
      <c r="H50" s="875">
        <f>'Estados Financieros'!F272</f>
        <v>0</v>
      </c>
      <c r="I50" s="876">
        <f t="shared" si="33"/>
        <v>0</v>
      </c>
      <c r="J50" s="877">
        <f t="shared" ref="J50:J69" si="51">IF(OR(E50=0,H50=0),0,IF(ABS((H50/E50)-1)&gt;1000000%,0,(H50/E50)-1))</f>
        <v>0</v>
      </c>
      <c r="K50" s="565">
        <f>'Estados Financieros'!I272</f>
        <v>0</v>
      </c>
      <c r="L50" s="876">
        <f t="shared" si="34"/>
        <v>0</v>
      </c>
      <c r="M50" s="877">
        <f t="shared" ref="M50:M69" si="52">IF(OR(H50=0,K50=0),0,IF(ABS((K50/H50)-1)&gt;1000000%,0,(K50/H50)-1))</f>
        <v>0</v>
      </c>
      <c r="N50" s="565">
        <f>'Estados Financieros'!G272</f>
        <v>0</v>
      </c>
      <c r="O50" s="876">
        <f t="shared" si="35"/>
        <v>0</v>
      </c>
      <c r="P50" s="877">
        <f t="shared" ref="P50:P69" si="53">IF(OR(H50=0,N50=0),0,IF(ABS((N50/H50)-1)&gt;1000000%,0,(N50/H50)-1))</f>
        <v>0</v>
      </c>
      <c r="Q50" s="565">
        <f>'Estados Financieros'!H272</f>
        <v>0</v>
      </c>
      <c r="R50" s="876">
        <f t="shared" si="36"/>
        <v>0</v>
      </c>
      <c r="S50" s="877">
        <f t="shared" ref="S50:S69" si="54">IF(OR(N50=0,Q50=0),0,IF(ABS((Q50/N50)-1)&gt;1000000%,0,(Q50/N50)-1))</f>
        <v>0</v>
      </c>
      <c r="T50" s="566">
        <f t="shared" ref="T50:AI50" si="55">T263</f>
        <v>0</v>
      </c>
      <c r="U50" s="566">
        <f t="shared" si="55"/>
        <v>0</v>
      </c>
      <c r="V50" s="566">
        <f t="shared" si="55"/>
        <v>0</v>
      </c>
      <c r="W50" s="566">
        <f t="shared" si="55"/>
        <v>0</v>
      </c>
      <c r="X50" s="566">
        <f t="shared" si="55"/>
        <v>0</v>
      </c>
      <c r="Y50" s="566">
        <f t="shared" si="55"/>
        <v>0</v>
      </c>
      <c r="Z50" s="566">
        <f t="shared" si="55"/>
        <v>0</v>
      </c>
      <c r="AA50" s="566">
        <f t="shared" si="55"/>
        <v>0</v>
      </c>
      <c r="AB50" s="566">
        <f t="shared" si="55"/>
        <v>0</v>
      </c>
      <c r="AC50" s="566">
        <f t="shared" si="55"/>
        <v>0</v>
      </c>
      <c r="AD50" s="566">
        <f t="shared" si="55"/>
        <v>0</v>
      </c>
      <c r="AE50" s="566">
        <f t="shared" si="55"/>
        <v>0</v>
      </c>
      <c r="AF50" s="566">
        <f t="shared" si="55"/>
        <v>0</v>
      </c>
      <c r="AG50" s="566">
        <f t="shared" si="55"/>
        <v>0</v>
      </c>
      <c r="AH50" s="566">
        <f t="shared" si="55"/>
        <v>0</v>
      </c>
      <c r="AI50" s="566">
        <f t="shared" si="55"/>
        <v>0</v>
      </c>
      <c r="AJ50" s="853"/>
      <c r="AK50" s="625"/>
      <c r="AL50" s="625"/>
      <c r="AM50" s="625"/>
      <c r="AN50" s="625"/>
      <c r="AO50" s="533"/>
      <c r="AP50" s="533"/>
      <c r="AQ50" s="533"/>
      <c r="AR50" s="533"/>
      <c r="AS50" s="533"/>
      <c r="AT50" s="533"/>
      <c r="BD50"/>
      <c r="BE50"/>
      <c r="BF50"/>
    </row>
    <row r="51" spans="1:58" s="536" customFormat="1" ht="14.5">
      <c r="A51" s="570" t="s">
        <v>1085</v>
      </c>
      <c r="B51" s="568" t="s">
        <v>1086</v>
      </c>
      <c r="C51" s="873"/>
      <c r="D51" s="874">
        <f t="shared" si="31"/>
        <v>0</v>
      </c>
      <c r="E51" s="875"/>
      <c r="F51" s="876">
        <f t="shared" si="32"/>
        <v>0</v>
      </c>
      <c r="G51" s="877">
        <f t="shared" ref="G51:G69" si="56">IF(OR(C51=0,E51=0),0,IF(ABS((E51/C51)-1)&gt;1000000%,0,(E51/C51)-1))</f>
        <v>0</v>
      </c>
      <c r="H51" s="875"/>
      <c r="I51" s="876">
        <f t="shared" si="33"/>
        <v>0</v>
      </c>
      <c r="J51" s="877">
        <f t="shared" si="51"/>
        <v>0</v>
      </c>
      <c r="K51" s="565"/>
      <c r="L51" s="876">
        <f t="shared" si="34"/>
        <v>0</v>
      </c>
      <c r="M51" s="877">
        <f t="shared" si="52"/>
        <v>0</v>
      </c>
      <c r="N51" s="565"/>
      <c r="O51" s="876">
        <f t="shared" si="35"/>
        <v>0</v>
      </c>
      <c r="P51" s="877">
        <f t="shared" si="53"/>
        <v>0</v>
      </c>
      <c r="Q51" s="565"/>
      <c r="R51" s="876">
        <f t="shared" si="36"/>
        <v>0</v>
      </c>
      <c r="S51" s="877">
        <f t="shared" si="54"/>
        <v>0</v>
      </c>
      <c r="T51" s="569">
        <f t="shared" ref="T51:AI51" si="57">T381</f>
        <v>0</v>
      </c>
      <c r="U51" s="569">
        <f t="shared" si="57"/>
        <v>0</v>
      </c>
      <c r="V51" s="569">
        <f t="shared" si="57"/>
        <v>0</v>
      </c>
      <c r="W51" s="569">
        <f t="shared" si="57"/>
        <v>0</v>
      </c>
      <c r="X51" s="569">
        <f t="shared" si="57"/>
        <v>0</v>
      </c>
      <c r="Y51" s="569">
        <f t="shared" si="57"/>
        <v>0</v>
      </c>
      <c r="Z51" s="569">
        <f t="shared" si="57"/>
        <v>0</v>
      </c>
      <c r="AA51" s="569">
        <f t="shared" si="57"/>
        <v>0</v>
      </c>
      <c r="AB51" s="569">
        <f t="shared" si="57"/>
        <v>0</v>
      </c>
      <c r="AC51" s="569">
        <f t="shared" si="57"/>
        <v>0</v>
      </c>
      <c r="AD51" s="569">
        <f t="shared" si="57"/>
        <v>0</v>
      </c>
      <c r="AE51" s="569">
        <f t="shared" si="57"/>
        <v>0</v>
      </c>
      <c r="AF51" s="569">
        <f t="shared" si="57"/>
        <v>0</v>
      </c>
      <c r="AG51" s="569">
        <f t="shared" si="57"/>
        <v>0</v>
      </c>
      <c r="AH51" s="569">
        <f t="shared" si="57"/>
        <v>0</v>
      </c>
      <c r="AI51" s="569">
        <f t="shared" si="57"/>
        <v>0</v>
      </c>
      <c r="AJ51" s="853"/>
      <c r="AK51" s="625"/>
      <c r="AL51" s="625"/>
      <c r="AM51" s="625"/>
      <c r="AN51" s="625"/>
      <c r="AO51" s="533"/>
      <c r="AP51" s="533"/>
      <c r="AQ51" s="533"/>
      <c r="AR51" s="533"/>
      <c r="AS51" s="533"/>
      <c r="AT51" s="533"/>
      <c r="BD51"/>
      <c r="BE51"/>
      <c r="BF51"/>
    </row>
    <row r="52" spans="1:58" s="536" customFormat="1" ht="14.5">
      <c r="A52" s="570" t="s">
        <v>1087</v>
      </c>
      <c r="B52" s="568" t="s">
        <v>1088</v>
      </c>
      <c r="C52" s="873"/>
      <c r="D52" s="874">
        <f t="shared" si="31"/>
        <v>0</v>
      </c>
      <c r="E52" s="875">
        <f>'Estados Financieros'!E310</f>
        <v>0</v>
      </c>
      <c r="F52" s="876">
        <f t="shared" si="32"/>
        <v>0</v>
      </c>
      <c r="G52" s="877">
        <f t="shared" si="56"/>
        <v>0</v>
      </c>
      <c r="H52" s="875">
        <f>'Estados Financieros'!F310</f>
        <v>0</v>
      </c>
      <c r="I52" s="876">
        <f t="shared" si="33"/>
        <v>0</v>
      </c>
      <c r="J52" s="877">
        <f t="shared" si="51"/>
        <v>0</v>
      </c>
      <c r="K52" s="565">
        <f>'Estados Financieros'!I310</f>
        <v>0</v>
      </c>
      <c r="L52" s="876">
        <f t="shared" si="34"/>
        <v>0</v>
      </c>
      <c r="M52" s="877">
        <f t="shared" si="52"/>
        <v>0</v>
      </c>
      <c r="N52" s="565">
        <f>'Estados Financieros'!G310</f>
        <v>0</v>
      </c>
      <c r="O52" s="876">
        <f t="shared" si="35"/>
        <v>0</v>
      </c>
      <c r="P52" s="877">
        <f t="shared" si="53"/>
        <v>0</v>
      </c>
      <c r="Q52" s="565">
        <f>'Estados Financieros'!H310</f>
        <v>0</v>
      </c>
      <c r="R52" s="876">
        <f t="shared" si="36"/>
        <v>0</v>
      </c>
      <c r="S52" s="877">
        <f t="shared" si="54"/>
        <v>0</v>
      </c>
      <c r="T52" s="571">
        <f t="shared" ref="T52:T57" si="58">(C52*$C$241)+(E52*$E$241)+(H52*$H$241)+(N52*$N$241)+(Q52*$Q$241)</f>
        <v>0</v>
      </c>
      <c r="U52" s="571">
        <f t="shared" ref="U52:AI52" si="59">T52</f>
        <v>0</v>
      </c>
      <c r="V52" s="571">
        <f t="shared" si="59"/>
        <v>0</v>
      </c>
      <c r="W52" s="571">
        <f t="shared" si="59"/>
        <v>0</v>
      </c>
      <c r="X52" s="571">
        <f t="shared" si="59"/>
        <v>0</v>
      </c>
      <c r="Y52" s="571">
        <f t="shared" si="59"/>
        <v>0</v>
      </c>
      <c r="Z52" s="571">
        <f t="shared" si="59"/>
        <v>0</v>
      </c>
      <c r="AA52" s="571">
        <f t="shared" si="59"/>
        <v>0</v>
      </c>
      <c r="AB52" s="571">
        <f t="shared" si="59"/>
        <v>0</v>
      </c>
      <c r="AC52" s="571">
        <f t="shared" si="59"/>
        <v>0</v>
      </c>
      <c r="AD52" s="571">
        <f t="shared" si="59"/>
        <v>0</v>
      </c>
      <c r="AE52" s="571">
        <f t="shared" si="59"/>
        <v>0</v>
      </c>
      <c r="AF52" s="571">
        <f t="shared" si="59"/>
        <v>0</v>
      </c>
      <c r="AG52" s="571">
        <f t="shared" si="59"/>
        <v>0</v>
      </c>
      <c r="AH52" s="571">
        <f t="shared" si="59"/>
        <v>0</v>
      </c>
      <c r="AI52" s="571">
        <f t="shared" si="59"/>
        <v>0</v>
      </c>
      <c r="AJ52" s="853"/>
      <c r="AK52" s="625"/>
      <c r="AL52" s="625"/>
      <c r="AM52" s="625"/>
      <c r="AN52" s="625"/>
      <c r="AO52" s="533"/>
      <c r="AP52" s="533"/>
      <c r="AQ52" s="533"/>
      <c r="AR52" s="533"/>
      <c r="AS52" s="533"/>
      <c r="AT52" s="533"/>
      <c r="BD52"/>
      <c r="BE52"/>
      <c r="BF52"/>
    </row>
    <row r="53" spans="1:58" s="536" customFormat="1" ht="14.5">
      <c r="A53" s="570" t="s">
        <v>1089</v>
      </c>
      <c r="B53" s="568" t="s">
        <v>1090</v>
      </c>
      <c r="C53" s="873"/>
      <c r="D53" s="874">
        <f t="shared" si="31"/>
        <v>0</v>
      </c>
      <c r="E53" s="875">
        <f>'Estados Financieros'!E315</f>
        <v>0</v>
      </c>
      <c r="F53" s="876">
        <f t="shared" si="32"/>
        <v>0</v>
      </c>
      <c r="G53" s="877">
        <f t="shared" si="56"/>
        <v>0</v>
      </c>
      <c r="H53" s="875">
        <f>'Estados Financieros'!F315</f>
        <v>0</v>
      </c>
      <c r="I53" s="876">
        <f t="shared" si="33"/>
        <v>0</v>
      </c>
      <c r="J53" s="877">
        <f t="shared" si="51"/>
        <v>0</v>
      </c>
      <c r="K53" s="565">
        <f>'Estados Financieros'!I315</f>
        <v>0</v>
      </c>
      <c r="L53" s="876">
        <f t="shared" si="34"/>
        <v>0</v>
      </c>
      <c r="M53" s="877">
        <f t="shared" si="52"/>
        <v>0</v>
      </c>
      <c r="N53" s="565">
        <f>'Estados Financieros'!G315</f>
        <v>0</v>
      </c>
      <c r="O53" s="876">
        <f t="shared" si="35"/>
        <v>0</v>
      </c>
      <c r="P53" s="877">
        <f t="shared" si="53"/>
        <v>0</v>
      </c>
      <c r="Q53" s="565">
        <f>'Estados Financieros'!H315</f>
        <v>0</v>
      </c>
      <c r="R53" s="876">
        <f t="shared" si="36"/>
        <v>0</v>
      </c>
      <c r="S53" s="877">
        <f t="shared" si="54"/>
        <v>0</v>
      </c>
      <c r="T53" s="591">
        <f t="shared" si="58"/>
        <v>0</v>
      </c>
      <c r="U53" s="591">
        <f t="shared" ref="U53:AI53" si="60">T53</f>
        <v>0</v>
      </c>
      <c r="V53" s="591">
        <f t="shared" si="60"/>
        <v>0</v>
      </c>
      <c r="W53" s="591">
        <f t="shared" si="60"/>
        <v>0</v>
      </c>
      <c r="X53" s="591">
        <f t="shared" si="60"/>
        <v>0</v>
      </c>
      <c r="Y53" s="591">
        <f t="shared" si="60"/>
        <v>0</v>
      </c>
      <c r="Z53" s="591">
        <f t="shared" si="60"/>
        <v>0</v>
      </c>
      <c r="AA53" s="591">
        <f t="shared" si="60"/>
        <v>0</v>
      </c>
      <c r="AB53" s="591">
        <f t="shared" si="60"/>
        <v>0</v>
      </c>
      <c r="AC53" s="591">
        <f t="shared" si="60"/>
        <v>0</v>
      </c>
      <c r="AD53" s="591">
        <f t="shared" si="60"/>
        <v>0</v>
      </c>
      <c r="AE53" s="591">
        <f t="shared" si="60"/>
        <v>0</v>
      </c>
      <c r="AF53" s="591">
        <f t="shared" si="60"/>
        <v>0</v>
      </c>
      <c r="AG53" s="591">
        <f t="shared" si="60"/>
        <v>0</v>
      </c>
      <c r="AH53" s="591">
        <f t="shared" si="60"/>
        <v>0</v>
      </c>
      <c r="AI53" s="591">
        <f t="shared" si="60"/>
        <v>0</v>
      </c>
      <c r="AJ53" s="853"/>
      <c r="AK53" s="625"/>
      <c r="AL53" s="625"/>
      <c r="AM53" s="625"/>
      <c r="AN53" s="625"/>
      <c r="AO53" s="533"/>
      <c r="AP53" s="533"/>
      <c r="AQ53" s="531"/>
      <c r="AR53" s="531"/>
      <c r="AS53" s="531"/>
      <c r="AT53" s="531"/>
      <c r="BD53"/>
      <c r="BE53"/>
      <c r="BF53"/>
    </row>
    <row r="54" spans="1:58" s="536" customFormat="1" ht="14.5">
      <c r="A54" s="567">
        <v>23</v>
      </c>
      <c r="B54" s="568" t="s">
        <v>1091</v>
      </c>
      <c r="C54" s="873"/>
      <c r="D54" s="874">
        <f t="shared" si="31"/>
        <v>0</v>
      </c>
      <c r="E54" s="875">
        <f>SUM('Estados Financieros'!E284:E285)</f>
        <v>0</v>
      </c>
      <c r="F54" s="876">
        <f t="shared" si="32"/>
        <v>0</v>
      </c>
      <c r="G54" s="877">
        <f t="shared" si="56"/>
        <v>0</v>
      </c>
      <c r="H54" s="875">
        <f>SUM('Estados Financieros'!F284:F285)</f>
        <v>0</v>
      </c>
      <c r="I54" s="876">
        <f t="shared" si="33"/>
        <v>0</v>
      </c>
      <c r="J54" s="877">
        <f t="shared" si="51"/>
        <v>0</v>
      </c>
      <c r="K54" s="565">
        <f>SUM('Estados Financieros'!I284:I285)</f>
        <v>0</v>
      </c>
      <c r="L54" s="876">
        <f t="shared" si="34"/>
        <v>0</v>
      </c>
      <c r="M54" s="877">
        <f t="shared" si="52"/>
        <v>0</v>
      </c>
      <c r="N54" s="565">
        <f>SUM('Estados Financieros'!G284:G285)</f>
        <v>0</v>
      </c>
      <c r="O54" s="876">
        <f t="shared" si="35"/>
        <v>0</v>
      </c>
      <c r="P54" s="877">
        <f t="shared" si="53"/>
        <v>0</v>
      </c>
      <c r="Q54" s="565">
        <f>SUM('Estados Financieros'!H284:H285)</f>
        <v>0</v>
      </c>
      <c r="R54" s="876">
        <f t="shared" si="36"/>
        <v>0</v>
      </c>
      <c r="S54" s="877">
        <f t="shared" si="54"/>
        <v>0</v>
      </c>
      <c r="T54" s="591">
        <f t="shared" si="58"/>
        <v>0</v>
      </c>
      <c r="U54" s="591">
        <f t="shared" ref="U54:AI54" si="61">T54</f>
        <v>0</v>
      </c>
      <c r="V54" s="591">
        <f t="shared" si="61"/>
        <v>0</v>
      </c>
      <c r="W54" s="591">
        <f t="shared" si="61"/>
        <v>0</v>
      </c>
      <c r="X54" s="591">
        <f t="shared" si="61"/>
        <v>0</v>
      </c>
      <c r="Y54" s="591">
        <f t="shared" si="61"/>
        <v>0</v>
      </c>
      <c r="Z54" s="591">
        <f t="shared" si="61"/>
        <v>0</v>
      </c>
      <c r="AA54" s="591">
        <f t="shared" si="61"/>
        <v>0</v>
      </c>
      <c r="AB54" s="591">
        <f t="shared" si="61"/>
        <v>0</v>
      </c>
      <c r="AC54" s="591">
        <f t="shared" si="61"/>
        <v>0</v>
      </c>
      <c r="AD54" s="591">
        <f t="shared" si="61"/>
        <v>0</v>
      </c>
      <c r="AE54" s="591">
        <f t="shared" si="61"/>
        <v>0</v>
      </c>
      <c r="AF54" s="591">
        <f t="shared" si="61"/>
        <v>0</v>
      </c>
      <c r="AG54" s="591">
        <f t="shared" si="61"/>
        <v>0</v>
      </c>
      <c r="AH54" s="591">
        <f t="shared" si="61"/>
        <v>0</v>
      </c>
      <c r="AI54" s="591">
        <f t="shared" si="61"/>
        <v>0</v>
      </c>
      <c r="AJ54" s="899"/>
      <c r="AK54" s="625"/>
      <c r="AL54" s="625"/>
      <c r="AM54" s="531"/>
      <c r="AN54" s="531"/>
      <c r="AO54" s="531"/>
      <c r="AP54" s="531"/>
      <c r="AQ54" s="592"/>
      <c r="AR54" s="592"/>
      <c r="AS54" s="592"/>
      <c r="AT54" s="531"/>
      <c r="BD54"/>
      <c r="BE54"/>
      <c r="BF54"/>
    </row>
    <row r="55" spans="1:58" s="536" customFormat="1" ht="14.5">
      <c r="A55" s="567">
        <v>24</v>
      </c>
      <c r="B55" s="568" t="s">
        <v>1092</v>
      </c>
      <c r="C55" s="873"/>
      <c r="D55" s="874">
        <f t="shared" si="31"/>
        <v>0</v>
      </c>
      <c r="E55" s="875">
        <f>'Estados Financieros'!E302</f>
        <v>0</v>
      </c>
      <c r="F55" s="876">
        <f t="shared" si="32"/>
        <v>0</v>
      </c>
      <c r="G55" s="877">
        <f t="shared" si="56"/>
        <v>0</v>
      </c>
      <c r="H55" s="875">
        <f>'Estados Financieros'!F302</f>
        <v>0</v>
      </c>
      <c r="I55" s="876">
        <f t="shared" si="33"/>
        <v>0</v>
      </c>
      <c r="J55" s="877">
        <f t="shared" si="51"/>
        <v>0</v>
      </c>
      <c r="K55" s="565">
        <f>'Estados Financieros'!I302</f>
        <v>0</v>
      </c>
      <c r="L55" s="876">
        <f t="shared" si="34"/>
        <v>0</v>
      </c>
      <c r="M55" s="877">
        <f t="shared" si="52"/>
        <v>0</v>
      </c>
      <c r="N55" s="565">
        <f>'Estados Financieros'!G302</f>
        <v>0</v>
      </c>
      <c r="O55" s="876">
        <f t="shared" si="35"/>
        <v>0</v>
      </c>
      <c r="P55" s="877">
        <f t="shared" si="53"/>
        <v>0</v>
      </c>
      <c r="Q55" s="565">
        <f>'Estados Financieros'!H302</f>
        <v>0</v>
      </c>
      <c r="R55" s="876">
        <f t="shared" si="36"/>
        <v>0</v>
      </c>
      <c r="S55" s="877">
        <f t="shared" si="54"/>
        <v>0</v>
      </c>
      <c r="T55" s="591">
        <f t="shared" si="58"/>
        <v>0</v>
      </c>
      <c r="U55" s="591">
        <f t="shared" ref="U55:AI55" si="62">T55</f>
        <v>0</v>
      </c>
      <c r="V55" s="591">
        <f t="shared" si="62"/>
        <v>0</v>
      </c>
      <c r="W55" s="591">
        <f t="shared" si="62"/>
        <v>0</v>
      </c>
      <c r="X55" s="591">
        <f t="shared" si="62"/>
        <v>0</v>
      </c>
      <c r="Y55" s="591">
        <f t="shared" si="62"/>
        <v>0</v>
      </c>
      <c r="Z55" s="591">
        <f t="shared" si="62"/>
        <v>0</v>
      </c>
      <c r="AA55" s="591">
        <f t="shared" si="62"/>
        <v>0</v>
      </c>
      <c r="AB55" s="591">
        <f t="shared" si="62"/>
        <v>0</v>
      </c>
      <c r="AC55" s="591">
        <f t="shared" si="62"/>
        <v>0</v>
      </c>
      <c r="AD55" s="591">
        <f t="shared" si="62"/>
        <v>0</v>
      </c>
      <c r="AE55" s="591">
        <f t="shared" si="62"/>
        <v>0</v>
      </c>
      <c r="AF55" s="591">
        <f t="shared" si="62"/>
        <v>0</v>
      </c>
      <c r="AG55" s="591">
        <f t="shared" si="62"/>
        <v>0</v>
      </c>
      <c r="AH55" s="591">
        <f t="shared" si="62"/>
        <v>0</v>
      </c>
      <c r="AI55" s="591">
        <f t="shared" si="62"/>
        <v>0</v>
      </c>
      <c r="AJ55" s="899"/>
      <c r="AK55" s="625"/>
      <c r="AL55" s="625"/>
      <c r="AM55" s="531"/>
      <c r="AN55" s="531"/>
      <c r="AO55" s="531"/>
      <c r="AP55" s="531"/>
      <c r="AQ55" s="592"/>
      <c r="AR55" s="592"/>
      <c r="AS55" s="592"/>
      <c r="AT55" s="531"/>
      <c r="BD55"/>
      <c r="BE55"/>
      <c r="BF55"/>
    </row>
    <row r="56" spans="1:58" s="536" customFormat="1" ht="14.5">
      <c r="A56" s="570" t="s">
        <v>1093</v>
      </c>
      <c r="B56" s="568" t="s">
        <v>1094</v>
      </c>
      <c r="C56" s="873"/>
      <c r="D56" s="874">
        <f t="shared" si="31"/>
        <v>0</v>
      </c>
      <c r="E56" s="875">
        <f>SUM('Estados Financieros'!E321,-'Estados Financieros'!E315)</f>
        <v>0</v>
      </c>
      <c r="F56" s="876">
        <f t="shared" si="32"/>
        <v>0</v>
      </c>
      <c r="G56" s="877">
        <f t="shared" si="56"/>
        <v>0</v>
      </c>
      <c r="H56" s="875">
        <f>SUM('Estados Financieros'!F321,-'Estados Financieros'!F315)</f>
        <v>0</v>
      </c>
      <c r="I56" s="876">
        <f t="shared" si="33"/>
        <v>0</v>
      </c>
      <c r="J56" s="877">
        <f t="shared" si="51"/>
        <v>0</v>
      </c>
      <c r="K56" s="565">
        <f>SUM('Estados Financieros'!I321,-'Estados Financieros'!I315)</f>
        <v>0</v>
      </c>
      <c r="L56" s="876">
        <f t="shared" si="34"/>
        <v>0</v>
      </c>
      <c r="M56" s="877">
        <f t="shared" si="52"/>
        <v>0</v>
      </c>
      <c r="N56" s="565">
        <f>SUM('Estados Financieros'!G321,-'Estados Financieros'!G315)</f>
        <v>0</v>
      </c>
      <c r="O56" s="876">
        <f t="shared" si="35"/>
        <v>0</v>
      </c>
      <c r="P56" s="877">
        <f t="shared" si="53"/>
        <v>0</v>
      </c>
      <c r="Q56" s="565">
        <f>SUM('Estados Financieros'!H321,-'Estados Financieros'!H315)</f>
        <v>0</v>
      </c>
      <c r="R56" s="876">
        <f t="shared" si="36"/>
        <v>0</v>
      </c>
      <c r="S56" s="877">
        <f t="shared" si="54"/>
        <v>0</v>
      </c>
      <c r="T56" s="591">
        <f t="shared" si="58"/>
        <v>0</v>
      </c>
      <c r="U56" s="591">
        <f t="shared" ref="U56:AI56" si="63">T56</f>
        <v>0</v>
      </c>
      <c r="V56" s="591">
        <f t="shared" si="63"/>
        <v>0</v>
      </c>
      <c r="W56" s="591">
        <f t="shared" si="63"/>
        <v>0</v>
      </c>
      <c r="X56" s="591">
        <f t="shared" si="63"/>
        <v>0</v>
      </c>
      <c r="Y56" s="591">
        <f t="shared" si="63"/>
        <v>0</v>
      </c>
      <c r="Z56" s="591">
        <f t="shared" si="63"/>
        <v>0</v>
      </c>
      <c r="AA56" s="591">
        <f t="shared" si="63"/>
        <v>0</v>
      </c>
      <c r="AB56" s="591">
        <f t="shared" si="63"/>
        <v>0</v>
      </c>
      <c r="AC56" s="591">
        <f t="shared" si="63"/>
        <v>0</v>
      </c>
      <c r="AD56" s="591">
        <f t="shared" si="63"/>
        <v>0</v>
      </c>
      <c r="AE56" s="591">
        <f t="shared" si="63"/>
        <v>0</v>
      </c>
      <c r="AF56" s="591">
        <f t="shared" si="63"/>
        <v>0</v>
      </c>
      <c r="AG56" s="591">
        <f t="shared" si="63"/>
        <v>0</v>
      </c>
      <c r="AH56" s="591">
        <f t="shared" si="63"/>
        <v>0</v>
      </c>
      <c r="AI56" s="591">
        <f t="shared" si="63"/>
        <v>0</v>
      </c>
      <c r="AJ56" s="899"/>
      <c r="AK56" s="625"/>
      <c r="AL56" s="625"/>
      <c r="AM56" s="531"/>
      <c r="AN56" s="531"/>
      <c r="AO56" s="531"/>
      <c r="AP56" s="531"/>
      <c r="AQ56" s="531"/>
      <c r="AR56" s="533"/>
      <c r="AS56" s="533"/>
      <c r="AT56" s="533"/>
      <c r="BD56"/>
      <c r="BE56"/>
      <c r="BF56"/>
    </row>
    <row r="57" spans="1:58" s="536" customFormat="1" ht="14.5">
      <c r="A57" s="572" t="s">
        <v>1095</v>
      </c>
      <c r="B57" s="593" t="s">
        <v>1096</v>
      </c>
      <c r="C57" s="879"/>
      <c r="D57" s="880">
        <f t="shared" si="31"/>
        <v>0</v>
      </c>
      <c r="E57" s="893">
        <f>SUM('Estados Financieros'!E290,-SUM('Estados Financieros'!E284:E285),'Estados Financieros'!E329,'Estados Financieros'!E336)</f>
        <v>0</v>
      </c>
      <c r="F57" s="882">
        <f t="shared" si="32"/>
        <v>0</v>
      </c>
      <c r="G57" s="883">
        <f t="shared" si="56"/>
        <v>0</v>
      </c>
      <c r="H57" s="893">
        <f>SUM('Estados Financieros'!F290,-SUM('Estados Financieros'!F284:F285),'Estados Financieros'!F329,'Estados Financieros'!F336)</f>
        <v>0</v>
      </c>
      <c r="I57" s="882">
        <f t="shared" si="33"/>
        <v>0</v>
      </c>
      <c r="J57" s="883">
        <f t="shared" si="51"/>
        <v>0</v>
      </c>
      <c r="K57" s="574">
        <f>SUM('Estados Financieros'!I290,-SUM('Estados Financieros'!I284:I285),'Estados Financieros'!I329,'Estados Financieros'!I336)</f>
        <v>0</v>
      </c>
      <c r="L57" s="882">
        <f t="shared" si="34"/>
        <v>0</v>
      </c>
      <c r="M57" s="883">
        <f t="shared" si="52"/>
        <v>0</v>
      </c>
      <c r="N57" s="574">
        <f>SUM('Estados Financieros'!G290,-SUM('Estados Financieros'!G284:G285),'Estados Financieros'!G329,'Estados Financieros'!G336)</f>
        <v>0</v>
      </c>
      <c r="O57" s="882">
        <f t="shared" si="35"/>
        <v>0</v>
      </c>
      <c r="P57" s="883">
        <f t="shared" si="53"/>
        <v>0</v>
      </c>
      <c r="Q57" s="574">
        <f>SUM('Estados Financieros'!H290,-SUM('Estados Financieros'!H284:H285),'Estados Financieros'!H329,'Estados Financieros'!H336)</f>
        <v>0</v>
      </c>
      <c r="R57" s="882">
        <f t="shared" si="36"/>
        <v>0</v>
      </c>
      <c r="S57" s="883">
        <f t="shared" si="54"/>
        <v>0</v>
      </c>
      <c r="T57" s="575">
        <f t="shared" si="58"/>
        <v>0</v>
      </c>
      <c r="U57" s="575">
        <f t="shared" ref="U57:AI57" si="64">T57</f>
        <v>0</v>
      </c>
      <c r="V57" s="575">
        <f t="shared" si="64"/>
        <v>0</v>
      </c>
      <c r="W57" s="575">
        <f t="shared" si="64"/>
        <v>0</v>
      </c>
      <c r="X57" s="575">
        <f t="shared" si="64"/>
        <v>0</v>
      </c>
      <c r="Y57" s="575">
        <f t="shared" si="64"/>
        <v>0</v>
      </c>
      <c r="Z57" s="575">
        <f t="shared" si="64"/>
        <v>0</v>
      </c>
      <c r="AA57" s="575">
        <f t="shared" si="64"/>
        <v>0</v>
      </c>
      <c r="AB57" s="575">
        <f t="shared" si="64"/>
        <v>0</v>
      </c>
      <c r="AC57" s="575">
        <f t="shared" si="64"/>
        <v>0</v>
      </c>
      <c r="AD57" s="575">
        <f t="shared" si="64"/>
        <v>0</v>
      </c>
      <c r="AE57" s="575">
        <f t="shared" si="64"/>
        <v>0</v>
      </c>
      <c r="AF57" s="575">
        <f t="shared" si="64"/>
        <v>0</v>
      </c>
      <c r="AG57" s="575">
        <f t="shared" si="64"/>
        <v>0</v>
      </c>
      <c r="AH57" s="575">
        <f t="shared" si="64"/>
        <v>0</v>
      </c>
      <c r="AI57" s="575">
        <f t="shared" si="64"/>
        <v>0</v>
      </c>
      <c r="AJ57" s="899"/>
      <c r="AK57" s="625"/>
      <c r="AL57" s="625"/>
      <c r="AM57" s="531"/>
      <c r="AN57" s="531"/>
      <c r="AO57" s="531"/>
      <c r="AP57" s="531"/>
      <c r="AQ57" s="531"/>
      <c r="AR57" s="533"/>
      <c r="AS57" s="533"/>
      <c r="AT57" s="533"/>
      <c r="BD57"/>
      <c r="BE57"/>
      <c r="BF57"/>
    </row>
    <row r="58" spans="1:58" s="536" customFormat="1" ht="14.5">
      <c r="A58" s="547"/>
      <c r="B58" s="548" t="s">
        <v>1097</v>
      </c>
      <c r="C58" s="884">
        <f>SUM(C49:C57)</f>
        <v>0</v>
      </c>
      <c r="D58" s="885">
        <f t="shared" si="31"/>
        <v>0</v>
      </c>
      <c r="E58" s="576">
        <f>SUM(E49:E57)</f>
        <v>0</v>
      </c>
      <c r="F58" s="886">
        <f t="shared" si="32"/>
        <v>0</v>
      </c>
      <c r="G58" s="887">
        <f t="shared" si="56"/>
        <v>0</v>
      </c>
      <c r="H58" s="576">
        <f>SUM(H49:H57)</f>
        <v>0</v>
      </c>
      <c r="I58" s="886">
        <f t="shared" si="33"/>
        <v>0</v>
      </c>
      <c r="J58" s="887">
        <f t="shared" si="51"/>
        <v>0</v>
      </c>
      <c r="K58" s="576">
        <f>SUM(K49:K57)</f>
        <v>0</v>
      </c>
      <c r="L58" s="886">
        <f t="shared" si="34"/>
        <v>0</v>
      </c>
      <c r="M58" s="887">
        <f t="shared" si="52"/>
        <v>0</v>
      </c>
      <c r="N58" s="576">
        <f>SUM(N49:N57)</f>
        <v>0</v>
      </c>
      <c r="O58" s="886">
        <f t="shared" si="35"/>
        <v>0</v>
      </c>
      <c r="P58" s="887">
        <f t="shared" si="53"/>
        <v>0</v>
      </c>
      <c r="Q58" s="576">
        <f>SUM(Q49:Q57)</f>
        <v>0</v>
      </c>
      <c r="R58" s="886">
        <f t="shared" si="36"/>
        <v>0</v>
      </c>
      <c r="S58" s="887">
        <f t="shared" si="54"/>
        <v>0</v>
      </c>
      <c r="T58" s="577">
        <f t="shared" ref="T58:AI58" si="65">SUM(T49:T57)</f>
        <v>0</v>
      </c>
      <c r="U58" s="577">
        <f t="shared" si="65"/>
        <v>0</v>
      </c>
      <c r="V58" s="577">
        <f t="shared" si="65"/>
        <v>0</v>
      </c>
      <c r="W58" s="577">
        <f t="shared" si="65"/>
        <v>0</v>
      </c>
      <c r="X58" s="577">
        <f t="shared" si="65"/>
        <v>0</v>
      </c>
      <c r="Y58" s="577">
        <f t="shared" si="65"/>
        <v>0</v>
      </c>
      <c r="Z58" s="577">
        <f t="shared" si="65"/>
        <v>0</v>
      </c>
      <c r="AA58" s="577">
        <f t="shared" si="65"/>
        <v>0</v>
      </c>
      <c r="AB58" s="577">
        <f t="shared" si="65"/>
        <v>0</v>
      </c>
      <c r="AC58" s="577">
        <f t="shared" si="65"/>
        <v>0</v>
      </c>
      <c r="AD58" s="577">
        <f t="shared" si="65"/>
        <v>0</v>
      </c>
      <c r="AE58" s="577">
        <f t="shared" si="65"/>
        <v>0</v>
      </c>
      <c r="AF58" s="577">
        <f t="shared" si="65"/>
        <v>0</v>
      </c>
      <c r="AG58" s="577">
        <f t="shared" si="65"/>
        <v>0</v>
      </c>
      <c r="AH58" s="577">
        <f t="shared" si="65"/>
        <v>0</v>
      </c>
      <c r="AI58" s="577">
        <f t="shared" si="65"/>
        <v>0</v>
      </c>
      <c r="AJ58" s="899"/>
      <c r="AK58" s="625"/>
      <c r="AL58" s="625"/>
      <c r="AM58" s="531"/>
      <c r="AN58" s="531"/>
      <c r="AO58" s="531"/>
      <c r="AP58" s="531"/>
      <c r="AQ58" s="531"/>
      <c r="AR58" s="533"/>
      <c r="AS58" s="533"/>
      <c r="AT58" s="533"/>
      <c r="BD58"/>
      <c r="BE58"/>
      <c r="BF58"/>
    </row>
    <row r="59" spans="1:58" s="536" customFormat="1" ht="14.5">
      <c r="A59" s="547"/>
      <c r="B59" s="583" t="s">
        <v>1098</v>
      </c>
      <c r="C59" s="894">
        <f>C58+C48</f>
        <v>0</v>
      </c>
      <c r="D59" s="895">
        <f t="shared" si="31"/>
        <v>0</v>
      </c>
      <c r="E59" s="584">
        <f>E58+E48</f>
        <v>0</v>
      </c>
      <c r="F59" s="896">
        <f t="shared" si="32"/>
        <v>0</v>
      </c>
      <c r="G59" s="897">
        <f t="shared" si="56"/>
        <v>0</v>
      </c>
      <c r="H59" s="584">
        <f>H58+H48</f>
        <v>0</v>
      </c>
      <c r="I59" s="896">
        <f t="shared" si="33"/>
        <v>0</v>
      </c>
      <c r="J59" s="897">
        <f t="shared" si="51"/>
        <v>0</v>
      </c>
      <c r="K59" s="584">
        <f>K58+K48</f>
        <v>0</v>
      </c>
      <c r="L59" s="896">
        <f t="shared" si="34"/>
        <v>0</v>
      </c>
      <c r="M59" s="897">
        <f t="shared" si="52"/>
        <v>0</v>
      </c>
      <c r="N59" s="584">
        <f>N58+N48</f>
        <v>0</v>
      </c>
      <c r="O59" s="896">
        <f t="shared" si="35"/>
        <v>0</v>
      </c>
      <c r="P59" s="897">
        <f t="shared" si="53"/>
        <v>0</v>
      </c>
      <c r="Q59" s="584">
        <f>Q58+Q48</f>
        <v>0</v>
      </c>
      <c r="R59" s="896">
        <f t="shared" si="36"/>
        <v>0</v>
      </c>
      <c r="S59" s="897">
        <f t="shared" si="54"/>
        <v>0</v>
      </c>
      <c r="T59" s="585">
        <f t="shared" ref="T59:AI59" si="66">T58+T48</f>
        <v>0</v>
      </c>
      <c r="U59" s="585">
        <f t="shared" si="66"/>
        <v>0</v>
      </c>
      <c r="V59" s="585">
        <f t="shared" si="66"/>
        <v>0</v>
      </c>
      <c r="W59" s="585">
        <f t="shared" si="66"/>
        <v>0</v>
      </c>
      <c r="X59" s="585">
        <f t="shared" si="66"/>
        <v>0</v>
      </c>
      <c r="Y59" s="585">
        <f t="shared" si="66"/>
        <v>0</v>
      </c>
      <c r="Z59" s="585">
        <f t="shared" si="66"/>
        <v>0</v>
      </c>
      <c r="AA59" s="585">
        <f t="shared" si="66"/>
        <v>0</v>
      </c>
      <c r="AB59" s="585">
        <f t="shared" si="66"/>
        <v>0</v>
      </c>
      <c r="AC59" s="585">
        <f t="shared" si="66"/>
        <v>0</v>
      </c>
      <c r="AD59" s="585">
        <f t="shared" si="66"/>
        <v>0</v>
      </c>
      <c r="AE59" s="585">
        <f t="shared" si="66"/>
        <v>0</v>
      </c>
      <c r="AF59" s="585">
        <f t="shared" si="66"/>
        <v>0</v>
      </c>
      <c r="AG59" s="585">
        <f t="shared" si="66"/>
        <v>0</v>
      </c>
      <c r="AH59" s="585">
        <f t="shared" si="66"/>
        <v>0</v>
      </c>
      <c r="AI59" s="585">
        <f t="shared" si="66"/>
        <v>0</v>
      </c>
      <c r="AJ59" s="899"/>
      <c r="AK59" s="625"/>
      <c r="AL59" s="625"/>
      <c r="AM59" s="531"/>
      <c r="AN59" s="531"/>
      <c r="AO59" s="531"/>
      <c r="AP59" s="531"/>
      <c r="AQ59" s="531"/>
      <c r="AR59" s="533"/>
      <c r="AS59" s="533"/>
      <c r="AT59" s="533"/>
      <c r="BD59"/>
      <c r="BE59"/>
      <c r="BF59"/>
    </row>
    <row r="60" spans="1:58" s="536" customFormat="1" ht="14.5">
      <c r="A60" s="558">
        <v>26</v>
      </c>
      <c r="B60" s="578" t="s">
        <v>938</v>
      </c>
      <c r="C60" s="888"/>
      <c r="D60" s="889">
        <f t="shared" ref="D60:D67" si="67">IF(OR(C60=0,C$67=0),0,C60/C$67)</f>
        <v>0</v>
      </c>
      <c r="E60" s="890">
        <f>'Estados Financieros'!E349</f>
        <v>0</v>
      </c>
      <c r="F60" s="891">
        <f t="shared" ref="F60:F67" si="68">IF(OR(E60=0,E$67=0),0,E60/E$67)</f>
        <v>0</v>
      </c>
      <c r="G60" s="892">
        <f t="shared" si="56"/>
        <v>0</v>
      </c>
      <c r="H60" s="890">
        <f>'Estados Financieros'!F349</f>
        <v>0</v>
      </c>
      <c r="I60" s="891">
        <f t="shared" ref="I60:I67" si="69">IF(OR(H60=0,H$67=0),0,H60/H$67)</f>
        <v>0</v>
      </c>
      <c r="J60" s="892">
        <f t="shared" si="51"/>
        <v>0</v>
      </c>
      <c r="K60" s="579">
        <f>'Estados Financieros'!I349</f>
        <v>0</v>
      </c>
      <c r="L60" s="891">
        <f t="shared" ref="L60:L67" si="70">IF(OR(K60=0,K$67=0),0,K60/K$67)</f>
        <v>0</v>
      </c>
      <c r="M60" s="892">
        <f t="shared" si="52"/>
        <v>0</v>
      </c>
      <c r="N60" s="579">
        <f>'Estados Financieros'!G349</f>
        <v>0</v>
      </c>
      <c r="O60" s="891">
        <f t="shared" ref="O60:O67" si="71">IF(OR(N60=0,N$67=0),0,N60/N$67)</f>
        <v>0</v>
      </c>
      <c r="P60" s="892">
        <f t="shared" si="53"/>
        <v>0</v>
      </c>
      <c r="Q60" s="579">
        <f>'Estados Financieros'!H349</f>
        <v>0</v>
      </c>
      <c r="R60" s="891">
        <f t="shared" ref="R60:R67" si="72">IF(OR(Q60=0,Q$67=0),0,Q60/Q$67)</f>
        <v>0</v>
      </c>
      <c r="S60" s="892">
        <f t="shared" si="54"/>
        <v>0</v>
      </c>
      <c r="T60" s="594">
        <f>IF(Q60=0,N60,Q60)+IF(AND($C$933=2,$C$314=T$311),$C$310,0)+IF(AND($C$935=2,$C$324=T$321),$C$320,0)+IF(AND($C$937=2,$C$334=T$331),$C$330,0)+IF(AND($C$943=2,$C$354=T$351),$C$350,0)+IF(AND($C$945=2,$C$364=T$361),$C$360,0)+IF(AND($C$947=2,$C$374=T$371),$C$370,0)</f>
        <v>0</v>
      </c>
      <c r="U60" s="594">
        <f>T60+IF(AND($C$933=2,$C$314=U$311),$C$310,0)+IF(AND($C$935=2,$C$324=U$321),$C$320,0)+IF(AND($C$937=2,$C$334=U$331),$C$330,0)+IF(AND($C$943=2,$C$354=U$351),$C$350,0)+IF(AND($C$945=2,$C$364=U$361),$C$360,0)+IF(AND($C$947=2,$C$374=U$371),$C$370,0)</f>
        <v>0</v>
      </c>
      <c r="V60" s="594">
        <f t="shared" ref="V60:AI60" si="73">U60+IF(AND($C$935=2,$C$324=V$321),$C$320,0)+IF(AND($C$937=2,$C$334=V$331),$C$330,0)+IF(AND($C$945=2,$C$364=V$361),$C$360,0)+IF(AND($C$947=2,$C$374=V$371),$C$370,0)</f>
        <v>0</v>
      </c>
      <c r="W60" s="594">
        <f t="shared" si="73"/>
        <v>0</v>
      </c>
      <c r="X60" s="594">
        <f t="shared" si="73"/>
        <v>0</v>
      </c>
      <c r="Y60" s="594">
        <f t="shared" si="73"/>
        <v>0</v>
      </c>
      <c r="Z60" s="594">
        <f t="shared" si="73"/>
        <v>0</v>
      </c>
      <c r="AA60" s="594">
        <f t="shared" si="73"/>
        <v>0</v>
      </c>
      <c r="AB60" s="594">
        <f t="shared" si="73"/>
        <v>0</v>
      </c>
      <c r="AC60" s="594">
        <f t="shared" si="73"/>
        <v>0</v>
      </c>
      <c r="AD60" s="594">
        <f t="shared" si="73"/>
        <v>0</v>
      </c>
      <c r="AE60" s="594">
        <f t="shared" si="73"/>
        <v>0</v>
      </c>
      <c r="AF60" s="594">
        <f t="shared" si="73"/>
        <v>0</v>
      </c>
      <c r="AG60" s="594">
        <f t="shared" si="73"/>
        <v>0</v>
      </c>
      <c r="AH60" s="594">
        <f t="shared" si="73"/>
        <v>0</v>
      </c>
      <c r="AI60" s="594">
        <f t="shared" si="73"/>
        <v>0</v>
      </c>
      <c r="AJ60" s="899"/>
      <c r="AK60" s="625"/>
      <c r="AL60" s="625"/>
      <c r="AM60" s="531"/>
      <c r="AN60" s="531"/>
      <c r="AO60" s="531"/>
      <c r="AP60" s="531"/>
      <c r="AQ60" s="531"/>
      <c r="AR60" s="533"/>
      <c r="AS60" s="533"/>
      <c r="AT60" s="533"/>
      <c r="BD60"/>
      <c r="BE60"/>
      <c r="BF60"/>
    </row>
    <row r="61" spans="1:58" s="536" customFormat="1" ht="14.5">
      <c r="A61" s="567">
        <v>27</v>
      </c>
      <c r="B61" s="568" t="s">
        <v>1099</v>
      </c>
      <c r="C61" s="873"/>
      <c r="D61" s="874">
        <f t="shared" si="67"/>
        <v>0</v>
      </c>
      <c r="E61" s="900">
        <f>'Estados Financieros'!E357</f>
        <v>0</v>
      </c>
      <c r="F61" s="876">
        <f t="shared" si="68"/>
        <v>0</v>
      </c>
      <c r="G61" s="877">
        <f t="shared" si="56"/>
        <v>0</v>
      </c>
      <c r="H61" s="875">
        <f>'Estados Financieros'!F357</f>
        <v>0</v>
      </c>
      <c r="I61" s="876">
        <f t="shared" si="69"/>
        <v>0</v>
      </c>
      <c r="J61" s="877">
        <f t="shared" si="51"/>
        <v>0</v>
      </c>
      <c r="K61" s="565">
        <f>'Estados Financieros'!I357</f>
        <v>0</v>
      </c>
      <c r="L61" s="876">
        <f t="shared" si="70"/>
        <v>0</v>
      </c>
      <c r="M61" s="877">
        <f t="shared" si="52"/>
        <v>0</v>
      </c>
      <c r="N61" s="565">
        <f>'Estados Financieros'!G357</f>
        <v>0</v>
      </c>
      <c r="O61" s="876">
        <f t="shared" si="71"/>
        <v>0</v>
      </c>
      <c r="P61" s="877">
        <f t="shared" si="53"/>
        <v>0</v>
      </c>
      <c r="Q61" s="565">
        <f>'Estados Financieros'!H357</f>
        <v>0</v>
      </c>
      <c r="R61" s="876">
        <f t="shared" si="72"/>
        <v>0</v>
      </c>
      <c r="S61" s="877">
        <f t="shared" si="54"/>
        <v>0</v>
      </c>
      <c r="T61" s="566">
        <f>IF(Q61=0,N61,Q61)</f>
        <v>0</v>
      </c>
      <c r="U61" s="566">
        <f t="shared" ref="U61:AI61" si="74">T61</f>
        <v>0</v>
      </c>
      <c r="V61" s="566">
        <f t="shared" si="74"/>
        <v>0</v>
      </c>
      <c r="W61" s="566">
        <f t="shared" si="74"/>
        <v>0</v>
      </c>
      <c r="X61" s="566">
        <f t="shared" si="74"/>
        <v>0</v>
      </c>
      <c r="Y61" s="566">
        <f t="shared" si="74"/>
        <v>0</v>
      </c>
      <c r="Z61" s="566">
        <f t="shared" si="74"/>
        <v>0</v>
      </c>
      <c r="AA61" s="566">
        <f t="shared" si="74"/>
        <v>0</v>
      </c>
      <c r="AB61" s="566">
        <f t="shared" si="74"/>
        <v>0</v>
      </c>
      <c r="AC61" s="566">
        <f t="shared" si="74"/>
        <v>0</v>
      </c>
      <c r="AD61" s="566">
        <f t="shared" si="74"/>
        <v>0</v>
      </c>
      <c r="AE61" s="566">
        <f t="shared" si="74"/>
        <v>0</v>
      </c>
      <c r="AF61" s="566">
        <f t="shared" si="74"/>
        <v>0</v>
      </c>
      <c r="AG61" s="566">
        <f t="shared" si="74"/>
        <v>0</v>
      </c>
      <c r="AH61" s="566">
        <f t="shared" si="74"/>
        <v>0</v>
      </c>
      <c r="AI61" s="566">
        <f t="shared" si="74"/>
        <v>0</v>
      </c>
      <c r="AJ61" s="899"/>
      <c r="AK61" s="625"/>
      <c r="AL61" s="625"/>
      <c r="AM61" s="531"/>
      <c r="AN61" s="531"/>
      <c r="AO61" s="531"/>
      <c r="AP61" s="531"/>
      <c r="AQ61" s="531"/>
      <c r="AR61" s="533"/>
      <c r="AS61" s="533"/>
      <c r="AT61" s="533"/>
      <c r="BD61"/>
      <c r="BE61"/>
      <c r="BF61"/>
    </row>
    <row r="62" spans="1:58" s="536" customFormat="1" ht="14.5">
      <c r="A62" s="567">
        <v>28</v>
      </c>
      <c r="B62" s="568" t="s">
        <v>940</v>
      </c>
      <c r="C62" s="873"/>
      <c r="D62" s="874">
        <f t="shared" si="67"/>
        <v>0</v>
      </c>
      <c r="E62" s="875">
        <f>'Estados Financieros'!E359</f>
        <v>0</v>
      </c>
      <c r="F62" s="876">
        <f t="shared" si="68"/>
        <v>0</v>
      </c>
      <c r="G62" s="877">
        <f t="shared" si="56"/>
        <v>0</v>
      </c>
      <c r="H62" s="875">
        <f>'Estados Financieros'!F359</f>
        <v>0</v>
      </c>
      <c r="I62" s="876">
        <f t="shared" si="69"/>
        <v>0</v>
      </c>
      <c r="J62" s="877">
        <f t="shared" si="51"/>
        <v>0</v>
      </c>
      <c r="K62" s="565">
        <f>'Estados Financieros'!I359</f>
        <v>0</v>
      </c>
      <c r="L62" s="876">
        <f t="shared" si="70"/>
        <v>0</v>
      </c>
      <c r="M62" s="877">
        <f t="shared" si="52"/>
        <v>0</v>
      </c>
      <c r="N62" s="565">
        <f>'Estados Financieros'!G359</f>
        <v>0</v>
      </c>
      <c r="O62" s="876">
        <f t="shared" si="71"/>
        <v>0</v>
      </c>
      <c r="P62" s="877">
        <f t="shared" si="53"/>
        <v>0</v>
      </c>
      <c r="Q62" s="565">
        <f>'Estados Financieros'!H359</f>
        <v>0</v>
      </c>
      <c r="R62" s="876">
        <f t="shared" si="72"/>
        <v>0</v>
      </c>
      <c r="S62" s="877">
        <f t="shared" si="54"/>
        <v>0</v>
      </c>
      <c r="T62" s="566">
        <f>IF(OR(N62&gt;=(N60*50%),AND(N64&gt;0,SUM(N63:N64)&lt;N64*10%),N64&lt;=0),N62,IF(N62+N64*10%&gt;T60*50%,T60*50%,N62+N64*10%))</f>
        <v>0</v>
      </c>
      <c r="U62" s="566">
        <f t="shared" ref="U62:AI62" si="75">IF(OR(T62&gt;=(T60*50%),AND(T64&gt;0,SUM(T63:T64)&lt;T64*10%),T64&lt;=0),T62,IF(T62+T64*10%&gt;U60*50%,U60*50%,T62+T64*10%))</f>
        <v>0</v>
      </c>
      <c r="V62" s="566">
        <f t="shared" si="75"/>
        <v>0</v>
      </c>
      <c r="W62" s="566">
        <f t="shared" si="75"/>
        <v>0</v>
      </c>
      <c r="X62" s="566">
        <f t="shared" si="75"/>
        <v>0</v>
      </c>
      <c r="Y62" s="566">
        <f t="shared" si="75"/>
        <v>0</v>
      </c>
      <c r="Z62" s="566">
        <f t="shared" si="75"/>
        <v>0</v>
      </c>
      <c r="AA62" s="566">
        <f t="shared" si="75"/>
        <v>0</v>
      </c>
      <c r="AB62" s="566">
        <f t="shared" si="75"/>
        <v>0</v>
      </c>
      <c r="AC62" s="566">
        <f t="shared" si="75"/>
        <v>0</v>
      </c>
      <c r="AD62" s="566">
        <f t="shared" si="75"/>
        <v>0</v>
      </c>
      <c r="AE62" s="566">
        <f t="shared" si="75"/>
        <v>0</v>
      </c>
      <c r="AF62" s="566">
        <f t="shared" si="75"/>
        <v>0</v>
      </c>
      <c r="AG62" s="566">
        <f t="shared" si="75"/>
        <v>0</v>
      </c>
      <c r="AH62" s="566">
        <f t="shared" si="75"/>
        <v>0</v>
      </c>
      <c r="AI62" s="566">
        <f t="shared" si="75"/>
        <v>0</v>
      </c>
      <c r="AJ62" s="899"/>
      <c r="AK62" s="625"/>
      <c r="AL62" s="625"/>
      <c r="AM62" s="531"/>
      <c r="AN62" s="531"/>
      <c r="AO62" s="531"/>
      <c r="AP62" s="531"/>
      <c r="AQ62" s="531"/>
      <c r="AR62" s="533"/>
      <c r="AS62" s="533"/>
      <c r="AT62" s="533"/>
      <c r="BD62"/>
      <c r="BE62"/>
      <c r="BF62"/>
    </row>
    <row r="63" spans="1:58" s="536" customFormat="1" ht="14.5">
      <c r="A63" s="567">
        <v>29</v>
      </c>
      <c r="B63" s="568" t="s">
        <v>1100</v>
      </c>
      <c r="C63" s="873"/>
      <c r="D63" s="874">
        <f t="shared" si="67"/>
        <v>0</v>
      </c>
      <c r="E63" s="875">
        <f>'Estados Financieros'!E371</f>
        <v>0</v>
      </c>
      <c r="F63" s="876">
        <f t="shared" si="68"/>
        <v>0</v>
      </c>
      <c r="G63" s="877">
        <f t="shared" si="56"/>
        <v>0</v>
      </c>
      <c r="H63" s="875">
        <f>'Estados Financieros'!F371</f>
        <v>0</v>
      </c>
      <c r="I63" s="876">
        <f t="shared" si="69"/>
        <v>0</v>
      </c>
      <c r="J63" s="877">
        <f t="shared" si="51"/>
        <v>0</v>
      </c>
      <c r="K63" s="565">
        <f>'Estados Financieros'!I371</f>
        <v>0</v>
      </c>
      <c r="L63" s="876">
        <f t="shared" si="70"/>
        <v>0</v>
      </c>
      <c r="M63" s="877">
        <f t="shared" si="52"/>
        <v>0</v>
      </c>
      <c r="N63" s="565">
        <f>'Estados Financieros'!G371</f>
        <v>0</v>
      </c>
      <c r="O63" s="876">
        <f t="shared" si="71"/>
        <v>0</v>
      </c>
      <c r="P63" s="877">
        <f t="shared" si="53"/>
        <v>0</v>
      </c>
      <c r="Q63" s="565">
        <f>'Estados Financieros'!H371</f>
        <v>0</v>
      </c>
      <c r="R63" s="876">
        <f t="shared" si="72"/>
        <v>0</v>
      </c>
      <c r="S63" s="877">
        <f t="shared" si="54"/>
        <v>0</v>
      </c>
      <c r="T63" s="595">
        <f>IF(AND(N62&lt;(N60*50%),N64&gt;0,SUM(N63:N64)&gt;N64*10%,SUM(N63:N64)&gt;0),N63+(N64*(IF(T62-N62&lt;N64*10%,(N64-(T62-N62))/N64,90%)-T418))-IF(T66-N66&gt;0,T66-N66,0),IF(AND(N64&gt;0,SUM(N63:N64)&gt;0),N63+(N64*(1-T418))-IF(T66-N66&gt;0,T66-N66,0),SUM(N63:N64)-IF(T66-N66&gt;0,T66-N66,0)))</f>
        <v>0</v>
      </c>
      <c r="U63" s="566">
        <f t="shared" ref="U63:AI63" si="76">IF(AND(T62&lt;(T60*50%),T64&gt;0,SUM(T63:T64)&gt;T64*10%,SUM(T63:T64)&gt;0),T63+(T64*(IF(U62-T62&lt;T64*10%,(T64-(U62-T62))/T64,90%)-U418))-IF(U66-T66&gt;0,U66-T66,0),IF(AND(T64&gt;0,SUM(T63:T64)&gt;0),T63+(T64*(1-U418))-IF(U66-T66&gt;0,U66-T66,0),SUM(T63:T64)-IF(U66-T66&gt;0,U66-T66,0)))</f>
        <v>0</v>
      </c>
      <c r="V63" s="566">
        <f t="shared" si="76"/>
        <v>0</v>
      </c>
      <c r="W63" s="566">
        <f t="shared" si="76"/>
        <v>0</v>
      </c>
      <c r="X63" s="566">
        <f t="shared" si="76"/>
        <v>0</v>
      </c>
      <c r="Y63" s="566">
        <f t="shared" si="76"/>
        <v>0</v>
      </c>
      <c r="Z63" s="566">
        <f t="shared" si="76"/>
        <v>0</v>
      </c>
      <c r="AA63" s="566">
        <f t="shared" si="76"/>
        <v>0</v>
      </c>
      <c r="AB63" s="566">
        <f t="shared" si="76"/>
        <v>0</v>
      </c>
      <c r="AC63" s="566">
        <f t="shared" si="76"/>
        <v>0</v>
      </c>
      <c r="AD63" s="566">
        <f t="shared" si="76"/>
        <v>0</v>
      </c>
      <c r="AE63" s="566">
        <f t="shared" si="76"/>
        <v>0</v>
      </c>
      <c r="AF63" s="566">
        <f t="shared" si="76"/>
        <v>0</v>
      </c>
      <c r="AG63" s="566">
        <f t="shared" si="76"/>
        <v>0</v>
      </c>
      <c r="AH63" s="566">
        <f t="shared" si="76"/>
        <v>0</v>
      </c>
      <c r="AI63" s="566">
        <f t="shared" si="76"/>
        <v>0</v>
      </c>
      <c r="AJ63" s="899"/>
      <c r="AK63" s="625"/>
      <c r="AL63" s="625"/>
      <c r="AM63" s="531"/>
      <c r="AN63" s="531"/>
      <c r="AO63" s="531"/>
      <c r="AP63" s="531"/>
      <c r="AQ63" s="531"/>
      <c r="AR63" s="533"/>
      <c r="AS63" s="533"/>
      <c r="AT63" s="533"/>
      <c r="BD63"/>
      <c r="BE63"/>
      <c r="BF63"/>
    </row>
    <row r="64" spans="1:58" s="536" customFormat="1" ht="14.5">
      <c r="A64" s="567">
        <v>30</v>
      </c>
      <c r="B64" s="568" t="s">
        <v>943</v>
      </c>
      <c r="C64" s="873">
        <f>C89</f>
        <v>0</v>
      </c>
      <c r="D64" s="874">
        <f t="shared" si="67"/>
        <v>0</v>
      </c>
      <c r="E64" s="875">
        <f>'Estados Financieros'!E370</f>
        <v>0</v>
      </c>
      <c r="F64" s="876">
        <f t="shared" si="68"/>
        <v>0</v>
      </c>
      <c r="G64" s="877">
        <f t="shared" si="56"/>
        <v>0</v>
      </c>
      <c r="H64" s="875">
        <f>'Estados Financieros'!F370</f>
        <v>0</v>
      </c>
      <c r="I64" s="876">
        <f t="shared" si="69"/>
        <v>0</v>
      </c>
      <c r="J64" s="877">
        <f t="shared" si="51"/>
        <v>0</v>
      </c>
      <c r="K64" s="565">
        <f>'Estados Financieros'!I370</f>
        <v>0</v>
      </c>
      <c r="L64" s="876">
        <f t="shared" si="70"/>
        <v>0</v>
      </c>
      <c r="M64" s="877">
        <f t="shared" si="52"/>
        <v>0</v>
      </c>
      <c r="N64" s="565">
        <f>'Estados Financieros'!G370</f>
        <v>0</v>
      </c>
      <c r="O64" s="876">
        <f t="shared" si="71"/>
        <v>0</v>
      </c>
      <c r="P64" s="877">
        <f t="shared" si="53"/>
        <v>0</v>
      </c>
      <c r="Q64" s="565">
        <f>'Estados Financieros'!H370</f>
        <v>0</v>
      </c>
      <c r="R64" s="876">
        <f t="shared" si="72"/>
        <v>0</v>
      </c>
      <c r="S64" s="877">
        <f t="shared" si="54"/>
        <v>0</v>
      </c>
      <c r="T64" s="566">
        <f t="shared" ref="T64:AI64" si="77">T89</f>
        <v>0</v>
      </c>
      <c r="U64" s="566">
        <f t="shared" si="77"/>
        <v>0</v>
      </c>
      <c r="V64" s="566">
        <f t="shared" si="77"/>
        <v>0</v>
      </c>
      <c r="W64" s="566">
        <f t="shared" si="77"/>
        <v>0</v>
      </c>
      <c r="X64" s="566">
        <f t="shared" si="77"/>
        <v>0</v>
      </c>
      <c r="Y64" s="566">
        <f t="shared" si="77"/>
        <v>0</v>
      </c>
      <c r="Z64" s="566">
        <f t="shared" si="77"/>
        <v>0</v>
      </c>
      <c r="AA64" s="566">
        <f t="shared" si="77"/>
        <v>0</v>
      </c>
      <c r="AB64" s="566">
        <f t="shared" si="77"/>
        <v>0</v>
      </c>
      <c r="AC64" s="566">
        <f t="shared" si="77"/>
        <v>0</v>
      </c>
      <c r="AD64" s="566">
        <f t="shared" si="77"/>
        <v>0</v>
      </c>
      <c r="AE64" s="566">
        <f t="shared" si="77"/>
        <v>0</v>
      </c>
      <c r="AF64" s="566">
        <f t="shared" si="77"/>
        <v>0</v>
      </c>
      <c r="AG64" s="566">
        <f t="shared" si="77"/>
        <v>0</v>
      </c>
      <c r="AH64" s="566">
        <f t="shared" si="77"/>
        <v>0</v>
      </c>
      <c r="AI64" s="566">
        <f t="shared" si="77"/>
        <v>0</v>
      </c>
      <c r="AJ64" s="899"/>
      <c r="AK64" s="625"/>
      <c r="AL64" s="625"/>
      <c r="AM64" s="531"/>
      <c r="AN64" s="531"/>
      <c r="AO64" s="531"/>
      <c r="AP64" s="531"/>
      <c r="AQ64" s="531"/>
      <c r="AR64" s="533"/>
      <c r="AS64" s="533"/>
      <c r="AT64" s="533"/>
      <c r="BD64"/>
      <c r="BE64"/>
      <c r="BF64"/>
    </row>
    <row r="65" spans="1:69" s="536" customFormat="1" ht="14.5">
      <c r="A65" s="567">
        <v>31</v>
      </c>
      <c r="B65" s="568" t="s">
        <v>945</v>
      </c>
      <c r="C65" s="873"/>
      <c r="D65" s="874">
        <f t="shared" si="67"/>
        <v>0</v>
      </c>
      <c r="E65" s="875">
        <f>'Estados Financieros'!E368</f>
        <v>0</v>
      </c>
      <c r="F65" s="876">
        <f t="shared" si="68"/>
        <v>0</v>
      </c>
      <c r="G65" s="877">
        <f t="shared" si="56"/>
        <v>0</v>
      </c>
      <c r="H65" s="875">
        <f>'Estados Financieros'!F368</f>
        <v>0</v>
      </c>
      <c r="I65" s="876">
        <f t="shared" si="69"/>
        <v>0</v>
      </c>
      <c r="J65" s="877">
        <f t="shared" si="51"/>
        <v>0</v>
      </c>
      <c r="K65" s="565">
        <f>'Estados Financieros'!I368</f>
        <v>0</v>
      </c>
      <c r="L65" s="876">
        <f t="shared" si="70"/>
        <v>0</v>
      </c>
      <c r="M65" s="877">
        <f t="shared" si="52"/>
        <v>0</v>
      </c>
      <c r="N65" s="565">
        <f>'Estados Financieros'!G368</f>
        <v>0</v>
      </c>
      <c r="O65" s="876">
        <f t="shared" si="71"/>
        <v>0</v>
      </c>
      <c r="P65" s="877">
        <f t="shared" si="53"/>
        <v>0</v>
      </c>
      <c r="Q65" s="565">
        <f>'Estados Financieros'!H368</f>
        <v>0</v>
      </c>
      <c r="R65" s="876">
        <f t="shared" si="72"/>
        <v>0</v>
      </c>
      <c r="S65" s="877">
        <f t="shared" si="54"/>
        <v>0</v>
      </c>
      <c r="T65" s="566">
        <f>N65*(1+T419)</f>
        <v>0</v>
      </c>
      <c r="U65" s="566">
        <f t="shared" ref="U65:AI65" si="78">T65*(1+U419)</f>
        <v>0</v>
      </c>
      <c r="V65" s="566">
        <f t="shared" si="78"/>
        <v>0</v>
      </c>
      <c r="W65" s="566">
        <f t="shared" si="78"/>
        <v>0</v>
      </c>
      <c r="X65" s="566">
        <f t="shared" si="78"/>
        <v>0</v>
      </c>
      <c r="Y65" s="566">
        <f t="shared" si="78"/>
        <v>0</v>
      </c>
      <c r="Z65" s="566">
        <f t="shared" si="78"/>
        <v>0</v>
      </c>
      <c r="AA65" s="566">
        <f t="shared" si="78"/>
        <v>0</v>
      </c>
      <c r="AB65" s="566">
        <f t="shared" si="78"/>
        <v>0</v>
      </c>
      <c r="AC65" s="566">
        <f t="shared" si="78"/>
        <v>0</v>
      </c>
      <c r="AD65" s="566">
        <f t="shared" si="78"/>
        <v>0</v>
      </c>
      <c r="AE65" s="566">
        <f t="shared" si="78"/>
        <v>0</v>
      </c>
      <c r="AF65" s="566">
        <f t="shared" si="78"/>
        <v>0</v>
      </c>
      <c r="AG65" s="566">
        <f t="shared" si="78"/>
        <v>0</v>
      </c>
      <c r="AH65" s="566">
        <f t="shared" si="78"/>
        <v>0</v>
      </c>
      <c r="AI65" s="566">
        <f t="shared" si="78"/>
        <v>0</v>
      </c>
      <c r="AJ65" s="899"/>
      <c r="AK65" s="625"/>
      <c r="AL65" s="625"/>
      <c r="AM65" s="531"/>
      <c r="AN65" s="531"/>
      <c r="AO65" s="531"/>
      <c r="AP65" s="531"/>
      <c r="AQ65" s="531"/>
      <c r="AR65" s="533"/>
      <c r="AS65" s="533"/>
      <c r="AT65" s="533"/>
      <c r="AU65" s="533"/>
      <c r="AV65" s="533"/>
      <c r="AW65" s="533"/>
      <c r="AX65" s="533"/>
      <c r="AY65" s="533"/>
      <c r="AZ65" s="533"/>
      <c r="BA65" s="533"/>
      <c r="BB65" s="533"/>
      <c r="BC65" s="533"/>
      <c r="BD65"/>
      <c r="BE65"/>
      <c r="BF65"/>
      <c r="BG65" s="533"/>
      <c r="BH65" s="533"/>
      <c r="BI65" s="533"/>
      <c r="BJ65" s="533"/>
      <c r="BK65" s="533"/>
      <c r="BL65" s="533"/>
      <c r="BM65" s="533"/>
      <c r="BN65" s="533"/>
      <c r="BO65" s="533"/>
      <c r="BP65" s="533"/>
      <c r="BQ65" s="533"/>
    </row>
    <row r="66" spans="1:69" s="536" customFormat="1" ht="14.5">
      <c r="A66" s="582">
        <v>32</v>
      </c>
      <c r="B66" s="573" t="s">
        <v>946</v>
      </c>
      <c r="C66" s="879"/>
      <c r="D66" s="880">
        <f t="shared" si="67"/>
        <v>0</v>
      </c>
      <c r="E66" s="893">
        <f>SUM('Estados Financieros'!E360:E361,'Estados Financieros'!E369,'Estados Financieros'!E372)</f>
        <v>0</v>
      </c>
      <c r="F66" s="882">
        <f t="shared" si="68"/>
        <v>0</v>
      </c>
      <c r="G66" s="883">
        <f t="shared" si="56"/>
        <v>0</v>
      </c>
      <c r="H66" s="893">
        <f>SUM('Estados Financieros'!F360:F361,'Estados Financieros'!F369,'Estados Financieros'!F372)</f>
        <v>0</v>
      </c>
      <c r="I66" s="882">
        <f t="shared" si="69"/>
        <v>0</v>
      </c>
      <c r="J66" s="883">
        <f t="shared" si="51"/>
        <v>0</v>
      </c>
      <c r="K66" s="574">
        <f>SUM('Estados Financieros'!I360:I361,'Estados Financieros'!I369,,'Estados Financieros'!I372)</f>
        <v>0</v>
      </c>
      <c r="L66" s="882">
        <f t="shared" si="70"/>
        <v>0</v>
      </c>
      <c r="M66" s="883">
        <f t="shared" si="52"/>
        <v>0</v>
      </c>
      <c r="N66" s="574">
        <f>SUM('Estados Financieros'!G360:G361,'Estados Financieros'!G369,'Estados Financieros'!G372)</f>
        <v>0</v>
      </c>
      <c r="O66" s="882">
        <f t="shared" si="71"/>
        <v>0</v>
      </c>
      <c r="P66" s="883">
        <f t="shared" si="53"/>
        <v>0</v>
      </c>
      <c r="Q66" s="574">
        <f>SUM('Estados Financieros'!H360:H361,'Estados Financieros'!H369,'Estados Financieros'!H372)</f>
        <v>0</v>
      </c>
      <c r="R66" s="882">
        <f t="shared" si="72"/>
        <v>0</v>
      </c>
      <c r="S66" s="883">
        <f t="shared" si="54"/>
        <v>0</v>
      </c>
      <c r="T66" s="596">
        <f>IF(Q66=0,N66,Q66)-IF(T234&gt;0,T234,0)</f>
        <v>0</v>
      </c>
      <c r="U66" s="596">
        <f t="shared" ref="U66:AI66" si="79">T66-IF(U234&gt;0,U234,0)</f>
        <v>0</v>
      </c>
      <c r="V66" s="596">
        <f t="shared" si="79"/>
        <v>0</v>
      </c>
      <c r="W66" s="596">
        <f t="shared" si="79"/>
        <v>0</v>
      </c>
      <c r="X66" s="596">
        <f t="shared" si="79"/>
        <v>0</v>
      </c>
      <c r="Y66" s="596">
        <f t="shared" si="79"/>
        <v>0</v>
      </c>
      <c r="Z66" s="596">
        <f t="shared" si="79"/>
        <v>0</v>
      </c>
      <c r="AA66" s="596">
        <f t="shared" si="79"/>
        <v>0</v>
      </c>
      <c r="AB66" s="596">
        <f t="shared" si="79"/>
        <v>0</v>
      </c>
      <c r="AC66" s="596">
        <f t="shared" si="79"/>
        <v>0</v>
      </c>
      <c r="AD66" s="596">
        <f t="shared" si="79"/>
        <v>0</v>
      </c>
      <c r="AE66" s="596">
        <f t="shared" si="79"/>
        <v>0</v>
      </c>
      <c r="AF66" s="596">
        <f t="shared" si="79"/>
        <v>0</v>
      </c>
      <c r="AG66" s="596">
        <f t="shared" si="79"/>
        <v>0</v>
      </c>
      <c r="AH66" s="596">
        <f t="shared" si="79"/>
        <v>0</v>
      </c>
      <c r="AI66" s="596">
        <f t="shared" si="79"/>
        <v>0</v>
      </c>
      <c r="AJ66" s="899"/>
      <c r="AK66" s="625"/>
      <c r="AL66" s="625"/>
      <c r="AM66" s="531"/>
      <c r="AN66" s="531"/>
      <c r="AO66" s="531"/>
      <c r="AP66" s="531"/>
      <c r="AQ66" s="531"/>
      <c r="AR66" s="533"/>
      <c r="AS66" s="533"/>
      <c r="AT66" s="533"/>
      <c r="AU66" s="533"/>
      <c r="AV66" s="533"/>
      <c r="AW66" s="533"/>
      <c r="AX66" s="533"/>
      <c r="AY66" s="533"/>
      <c r="AZ66" s="533"/>
      <c r="BA66" s="533"/>
      <c r="BB66" s="533"/>
      <c r="BC66" s="533"/>
      <c r="BD66"/>
      <c r="BE66"/>
      <c r="BF66"/>
      <c r="BG66" s="533"/>
      <c r="BH66" s="533"/>
      <c r="BI66" s="533"/>
      <c r="BJ66" s="533"/>
      <c r="BK66" s="533"/>
      <c r="BL66" s="533"/>
      <c r="BM66" s="533"/>
      <c r="BN66" s="533"/>
      <c r="BO66" s="533"/>
      <c r="BP66" s="533"/>
      <c r="BQ66" s="533"/>
    </row>
    <row r="67" spans="1:69" s="536" customFormat="1" ht="14.5">
      <c r="A67" s="547"/>
      <c r="B67" s="583" t="s">
        <v>764</v>
      </c>
      <c r="C67" s="894">
        <f>SUM(C60:C66)</f>
        <v>0</v>
      </c>
      <c r="D67" s="895">
        <f t="shared" si="67"/>
        <v>0</v>
      </c>
      <c r="E67" s="584">
        <f>SUM(E60:E66)</f>
        <v>0</v>
      </c>
      <c r="F67" s="896">
        <f t="shared" si="68"/>
        <v>0</v>
      </c>
      <c r="G67" s="897">
        <f t="shared" si="56"/>
        <v>0</v>
      </c>
      <c r="H67" s="584">
        <f>SUM(H60:H66)</f>
        <v>0</v>
      </c>
      <c r="I67" s="896">
        <f t="shared" si="69"/>
        <v>0</v>
      </c>
      <c r="J67" s="897">
        <f t="shared" si="51"/>
        <v>0</v>
      </c>
      <c r="K67" s="584">
        <f>SUM(K60:K66)</f>
        <v>0</v>
      </c>
      <c r="L67" s="896">
        <f t="shared" si="70"/>
        <v>0</v>
      </c>
      <c r="M67" s="897">
        <f t="shared" si="52"/>
        <v>0</v>
      </c>
      <c r="N67" s="584">
        <f>SUM(N60:N66)</f>
        <v>0</v>
      </c>
      <c r="O67" s="896">
        <f t="shared" si="71"/>
        <v>0</v>
      </c>
      <c r="P67" s="897">
        <f t="shared" si="53"/>
        <v>0</v>
      </c>
      <c r="Q67" s="584">
        <f>SUM(Q60:Q66)</f>
        <v>0</v>
      </c>
      <c r="R67" s="896">
        <f t="shared" si="72"/>
        <v>0</v>
      </c>
      <c r="S67" s="897">
        <f t="shared" si="54"/>
        <v>0</v>
      </c>
      <c r="T67" s="585">
        <f t="shared" ref="T67:AI67" si="80">SUM(T60:T66)</f>
        <v>0</v>
      </c>
      <c r="U67" s="585">
        <f t="shared" si="80"/>
        <v>0</v>
      </c>
      <c r="V67" s="585">
        <f t="shared" si="80"/>
        <v>0</v>
      </c>
      <c r="W67" s="585">
        <f t="shared" si="80"/>
        <v>0</v>
      </c>
      <c r="X67" s="585">
        <f t="shared" si="80"/>
        <v>0</v>
      </c>
      <c r="Y67" s="585">
        <f t="shared" si="80"/>
        <v>0</v>
      </c>
      <c r="Z67" s="585">
        <f t="shared" si="80"/>
        <v>0</v>
      </c>
      <c r="AA67" s="585">
        <f t="shared" si="80"/>
        <v>0</v>
      </c>
      <c r="AB67" s="585">
        <f t="shared" si="80"/>
        <v>0</v>
      </c>
      <c r="AC67" s="585">
        <f t="shared" si="80"/>
        <v>0</v>
      </c>
      <c r="AD67" s="585">
        <f t="shared" si="80"/>
        <v>0</v>
      </c>
      <c r="AE67" s="585">
        <f t="shared" si="80"/>
        <v>0</v>
      </c>
      <c r="AF67" s="585">
        <f t="shared" si="80"/>
        <v>0</v>
      </c>
      <c r="AG67" s="585">
        <f t="shared" si="80"/>
        <v>0</v>
      </c>
      <c r="AH67" s="585">
        <f t="shared" si="80"/>
        <v>0</v>
      </c>
      <c r="AI67" s="585">
        <f t="shared" si="80"/>
        <v>0</v>
      </c>
      <c r="AJ67" s="899"/>
      <c r="AK67" s="625"/>
      <c r="AL67" s="625"/>
      <c r="AM67" s="531"/>
      <c r="AN67" s="531"/>
      <c r="AO67" s="531"/>
      <c r="AP67" s="531"/>
      <c r="AQ67" s="531"/>
      <c r="AR67" s="533"/>
      <c r="AS67" s="533"/>
      <c r="AT67" s="533"/>
      <c r="AU67" s="533"/>
      <c r="AV67" s="533"/>
      <c r="AW67" s="533"/>
      <c r="AX67" s="533"/>
      <c r="AY67" s="533"/>
      <c r="AZ67" s="533"/>
      <c r="BA67" s="533"/>
      <c r="BB67" s="533"/>
      <c r="BC67" s="533"/>
      <c r="BD67"/>
      <c r="BE67"/>
      <c r="BF67"/>
      <c r="BG67" s="533"/>
      <c r="BH67" s="533"/>
      <c r="BI67" s="533"/>
      <c r="BJ67" s="533"/>
      <c r="BK67" s="533"/>
      <c r="BL67" s="533"/>
      <c r="BM67" s="533"/>
      <c r="BN67" s="533"/>
      <c r="BO67" s="533"/>
      <c r="BP67" s="533"/>
      <c r="BQ67" s="533"/>
    </row>
    <row r="68" spans="1:69" s="536" customFormat="1" ht="14.5">
      <c r="A68" s="558">
        <v>33</v>
      </c>
      <c r="B68" s="597" t="s">
        <v>672</v>
      </c>
      <c r="C68" s="901"/>
      <c r="D68" s="902"/>
      <c r="E68" s="598">
        <f>SUM('Estados Financieros'!E191,-SUM('Estados Financieros'!E380,-'Estados Financieros'!E376))</f>
        <v>0</v>
      </c>
      <c r="F68" s="903"/>
      <c r="G68" s="904">
        <f t="shared" si="56"/>
        <v>0</v>
      </c>
      <c r="H68" s="598">
        <f>SUM('Estados Financieros'!F191,-SUM('Estados Financieros'!F380,-'Estados Financieros'!F376))</f>
        <v>0</v>
      </c>
      <c r="I68" s="903"/>
      <c r="J68" s="904">
        <f t="shared" si="51"/>
        <v>0</v>
      </c>
      <c r="K68" s="598">
        <f>SUM('Estados Financieros'!I191,-SUM('Estados Financieros'!I380,-'Estados Financieros'!I376))</f>
        <v>0</v>
      </c>
      <c r="L68" s="903"/>
      <c r="M68" s="904">
        <f t="shared" si="52"/>
        <v>0</v>
      </c>
      <c r="N68" s="598">
        <f>SUM('Estados Financieros'!G191,-SUM('Estados Financieros'!G380,-'Estados Financieros'!G376))</f>
        <v>0</v>
      </c>
      <c r="O68" s="903"/>
      <c r="P68" s="904">
        <f t="shared" si="53"/>
        <v>0</v>
      </c>
      <c r="Q68" s="598">
        <f>SUM('Estados Financieros'!H191,-SUM('Estados Financieros'!H380,-'Estados Financieros'!H376))</f>
        <v>0</v>
      </c>
      <c r="R68" s="903"/>
      <c r="S68" s="904">
        <f t="shared" si="54"/>
        <v>0</v>
      </c>
      <c r="T68" s="599">
        <f>(C68*$C$241)+(E68*$E$241)+(H68*$H$241)+(N68*$N$241)+(Q68*$Q$241)</f>
        <v>0</v>
      </c>
      <c r="U68" s="599">
        <f t="shared" ref="U68:AI68" si="81">T68</f>
        <v>0</v>
      </c>
      <c r="V68" s="599">
        <f t="shared" si="81"/>
        <v>0</v>
      </c>
      <c r="W68" s="599">
        <f t="shared" si="81"/>
        <v>0</v>
      </c>
      <c r="X68" s="599">
        <f t="shared" si="81"/>
        <v>0</v>
      </c>
      <c r="Y68" s="599">
        <f t="shared" si="81"/>
        <v>0</v>
      </c>
      <c r="Z68" s="599">
        <f t="shared" si="81"/>
        <v>0</v>
      </c>
      <c r="AA68" s="599">
        <f t="shared" si="81"/>
        <v>0</v>
      </c>
      <c r="AB68" s="599">
        <f t="shared" si="81"/>
        <v>0</v>
      </c>
      <c r="AC68" s="599">
        <f t="shared" si="81"/>
        <v>0</v>
      </c>
      <c r="AD68" s="599">
        <f t="shared" si="81"/>
        <v>0</v>
      </c>
      <c r="AE68" s="599">
        <f t="shared" si="81"/>
        <v>0</v>
      </c>
      <c r="AF68" s="599">
        <f t="shared" si="81"/>
        <v>0</v>
      </c>
      <c r="AG68" s="599">
        <f t="shared" si="81"/>
        <v>0</v>
      </c>
      <c r="AH68" s="599">
        <f t="shared" si="81"/>
        <v>0</v>
      </c>
      <c r="AI68" s="599">
        <f t="shared" si="81"/>
        <v>0</v>
      </c>
      <c r="AJ68" s="899"/>
      <c r="AK68" s="625"/>
      <c r="AL68" s="625"/>
      <c r="AM68" s="531"/>
      <c r="AN68" s="531"/>
      <c r="AO68" s="531"/>
      <c r="AP68" s="531"/>
      <c r="AQ68" s="531"/>
      <c r="AR68" s="533"/>
      <c r="AS68" s="533"/>
      <c r="AT68" s="533"/>
      <c r="AU68" s="533"/>
      <c r="AV68" s="533"/>
      <c r="AW68" s="533"/>
      <c r="AX68" s="533"/>
      <c r="AY68" s="533"/>
      <c r="AZ68" s="533"/>
      <c r="BA68" s="533"/>
      <c r="BB68" s="533"/>
      <c r="BC68" s="533"/>
      <c r="BD68"/>
      <c r="BE68"/>
      <c r="BF68"/>
      <c r="BG68" s="533"/>
      <c r="BH68" s="533"/>
      <c r="BI68" s="533"/>
      <c r="BJ68" s="533"/>
      <c r="BK68" s="533"/>
      <c r="BL68" s="533"/>
      <c r="BM68" s="533"/>
      <c r="BN68" s="533"/>
      <c r="BO68" s="533"/>
      <c r="BP68" s="533"/>
      <c r="BQ68" s="533"/>
    </row>
    <row r="69" spans="1:69" s="536" customFormat="1" ht="14.5">
      <c r="A69" s="582">
        <v>34</v>
      </c>
      <c r="B69" s="600" t="s">
        <v>1101</v>
      </c>
      <c r="C69" s="905"/>
      <c r="D69" s="906"/>
      <c r="E69" s="601">
        <f>'Estados Financieros'!E376</f>
        <v>0</v>
      </c>
      <c r="F69" s="907"/>
      <c r="G69" s="908">
        <f t="shared" si="56"/>
        <v>0</v>
      </c>
      <c r="H69" s="601">
        <f>'Estados Financieros'!F376</f>
        <v>0</v>
      </c>
      <c r="I69" s="907"/>
      <c r="J69" s="908">
        <f t="shared" si="51"/>
        <v>0</v>
      </c>
      <c r="K69" s="601">
        <f>'Estados Financieros'!I376</f>
        <v>0</v>
      </c>
      <c r="L69" s="907"/>
      <c r="M69" s="908">
        <f t="shared" si="52"/>
        <v>0</v>
      </c>
      <c r="N69" s="601">
        <f>'Estados Financieros'!G376</f>
        <v>0</v>
      </c>
      <c r="O69" s="907"/>
      <c r="P69" s="908">
        <f t="shared" si="53"/>
        <v>0</v>
      </c>
      <c r="Q69" s="601">
        <f>'Estados Financieros'!H376</f>
        <v>0</v>
      </c>
      <c r="R69" s="907"/>
      <c r="S69" s="908">
        <f t="shared" si="54"/>
        <v>0</v>
      </c>
      <c r="T69" s="602">
        <f>IF(Q69=0,N69,Q69)</f>
        <v>0</v>
      </c>
      <c r="U69" s="602">
        <f t="shared" ref="U69:AI69" si="82">T69</f>
        <v>0</v>
      </c>
      <c r="V69" s="602">
        <f t="shared" si="82"/>
        <v>0</v>
      </c>
      <c r="W69" s="602">
        <f t="shared" si="82"/>
        <v>0</v>
      </c>
      <c r="X69" s="602">
        <f t="shared" si="82"/>
        <v>0</v>
      </c>
      <c r="Y69" s="602">
        <f t="shared" si="82"/>
        <v>0</v>
      </c>
      <c r="Z69" s="602">
        <f t="shared" si="82"/>
        <v>0</v>
      </c>
      <c r="AA69" s="602">
        <f t="shared" si="82"/>
        <v>0</v>
      </c>
      <c r="AB69" s="602">
        <f t="shared" si="82"/>
        <v>0</v>
      </c>
      <c r="AC69" s="602">
        <f t="shared" si="82"/>
        <v>0</v>
      </c>
      <c r="AD69" s="602">
        <f t="shared" si="82"/>
        <v>0</v>
      </c>
      <c r="AE69" s="602">
        <f t="shared" si="82"/>
        <v>0</v>
      </c>
      <c r="AF69" s="602">
        <f t="shared" si="82"/>
        <v>0</v>
      </c>
      <c r="AG69" s="602">
        <f t="shared" si="82"/>
        <v>0</v>
      </c>
      <c r="AH69" s="602">
        <f t="shared" si="82"/>
        <v>0</v>
      </c>
      <c r="AI69" s="602">
        <f t="shared" si="82"/>
        <v>0</v>
      </c>
      <c r="AJ69" s="899"/>
      <c r="AK69" s="625"/>
      <c r="AL69" s="625"/>
      <c r="AM69" s="531"/>
      <c r="AN69" s="531"/>
      <c r="AO69" s="531"/>
      <c r="AP69" s="531"/>
      <c r="AQ69" s="531"/>
      <c r="AR69" s="533"/>
      <c r="AS69" s="533"/>
      <c r="AT69" s="533"/>
      <c r="AU69" s="533"/>
      <c r="AV69" s="533"/>
      <c r="AW69" s="533"/>
      <c r="AX69" s="533"/>
      <c r="AY69" s="533"/>
      <c r="AZ69" s="533"/>
      <c r="BA69" s="533"/>
      <c r="BB69" s="533"/>
      <c r="BC69" s="533"/>
      <c r="BD69"/>
      <c r="BE69"/>
      <c r="BF69"/>
      <c r="BG69" s="533"/>
      <c r="BH69" s="533"/>
      <c r="BI69" s="533"/>
      <c r="BJ69" s="533"/>
      <c r="BK69" s="533"/>
      <c r="BL69" s="533"/>
      <c r="BM69" s="533"/>
      <c r="BN69" s="533"/>
      <c r="BO69" s="533"/>
      <c r="BP69" s="533"/>
      <c r="BQ69" s="533"/>
    </row>
    <row r="70" spans="1:69" s="536" customFormat="1" ht="14.5">
      <c r="A70" s="547"/>
      <c r="B70" s="603" t="s">
        <v>1102</v>
      </c>
      <c r="C70" s="909">
        <f>C34-C59-C67</f>
        <v>0</v>
      </c>
      <c r="D70" s="910"/>
      <c r="E70" s="604">
        <f>E34-E59-E67</f>
        <v>0</v>
      </c>
      <c r="F70" s="911"/>
      <c r="G70" s="912"/>
      <c r="H70" s="604">
        <f>H34-H59-H67</f>
        <v>0</v>
      </c>
      <c r="I70" s="911"/>
      <c r="J70" s="912"/>
      <c r="K70" s="604">
        <f>K34-K59-K67</f>
        <v>0</v>
      </c>
      <c r="L70" s="911"/>
      <c r="M70" s="912"/>
      <c r="N70" s="604">
        <f>N34-N59-N67</f>
        <v>0</v>
      </c>
      <c r="O70" s="911"/>
      <c r="P70" s="912"/>
      <c r="Q70" s="604">
        <f>Q34-Q59-Q67</f>
        <v>0</v>
      </c>
      <c r="R70" s="911"/>
      <c r="S70" s="912"/>
      <c r="T70" s="606">
        <f t="shared" ref="T70:AI70" si="83">-T34+T59+T67</f>
        <v>0</v>
      </c>
      <c r="U70" s="606">
        <f t="shared" si="83"/>
        <v>0</v>
      </c>
      <c r="V70" s="606">
        <f t="shared" si="83"/>
        <v>0</v>
      </c>
      <c r="W70" s="606">
        <f t="shared" si="83"/>
        <v>0</v>
      </c>
      <c r="X70" s="606">
        <f t="shared" si="83"/>
        <v>0</v>
      </c>
      <c r="Y70" s="606">
        <f t="shared" si="83"/>
        <v>0</v>
      </c>
      <c r="Z70" s="606">
        <f t="shared" si="83"/>
        <v>0</v>
      </c>
      <c r="AA70" s="606">
        <f t="shared" si="83"/>
        <v>0</v>
      </c>
      <c r="AB70" s="606">
        <f t="shared" si="83"/>
        <v>0</v>
      </c>
      <c r="AC70" s="606">
        <f t="shared" si="83"/>
        <v>0</v>
      </c>
      <c r="AD70" s="606">
        <f t="shared" si="83"/>
        <v>0</v>
      </c>
      <c r="AE70" s="606">
        <f t="shared" si="83"/>
        <v>0</v>
      </c>
      <c r="AF70" s="606">
        <f t="shared" si="83"/>
        <v>0</v>
      </c>
      <c r="AG70" s="606">
        <f t="shared" si="83"/>
        <v>0</v>
      </c>
      <c r="AH70" s="606">
        <f t="shared" si="83"/>
        <v>0</v>
      </c>
      <c r="AI70" s="606">
        <f t="shared" si="83"/>
        <v>0</v>
      </c>
      <c r="AJ70" s="899"/>
      <c r="AK70" s="625"/>
      <c r="AL70" s="625"/>
      <c r="AM70" s="531"/>
      <c r="AN70" s="531"/>
      <c r="AO70" s="531"/>
      <c r="AP70" s="531"/>
      <c r="AQ70" s="531"/>
      <c r="AR70" s="533"/>
      <c r="AS70" s="533"/>
      <c r="AT70" s="533"/>
      <c r="AU70" s="533"/>
      <c r="AV70" s="533"/>
      <c r="AW70" s="533"/>
      <c r="AX70" s="533"/>
      <c r="AY70" s="533"/>
      <c r="AZ70" s="533"/>
      <c r="BA70" s="533"/>
      <c r="BB70" s="533"/>
      <c r="BC70" s="533"/>
      <c r="BD70"/>
      <c r="BE70"/>
      <c r="BF70"/>
      <c r="BG70" s="533"/>
      <c r="BH70" s="533"/>
      <c r="BI70" s="533"/>
      <c r="BJ70" s="533"/>
      <c r="BK70" s="533"/>
      <c r="BL70" s="533"/>
      <c r="BM70" s="533"/>
      <c r="BN70" s="533"/>
      <c r="BO70" s="533"/>
      <c r="BP70" s="533"/>
      <c r="BQ70" s="533"/>
    </row>
    <row r="71" spans="1:69" s="536" customFormat="1" ht="14.5">
      <c r="A71" s="607">
        <v>35</v>
      </c>
      <c r="B71" s="608" t="s">
        <v>1103</v>
      </c>
      <c r="C71" s="888"/>
      <c r="D71" s="889">
        <f t="shared" ref="D71:D93" si="84">IF(OR(C71=0,C$71=0),0,C71/C$71)</f>
        <v>0</v>
      </c>
      <c r="E71" s="890">
        <f>SUM('Estados Financieros'!E385:E386)</f>
        <v>0</v>
      </c>
      <c r="F71" s="891">
        <f t="shared" ref="F71:F93" si="85">IF(OR(E71=0,E$71=0),0,E71/E$71)</f>
        <v>0</v>
      </c>
      <c r="G71" s="892">
        <f t="shared" ref="G71:G93" si="86">IF(OR(C71=0,E71=0),0,IF(ABS(((E71*360/E$17)/(C71*360/C$17))-1)&gt;1000000%,0,((E71*360/E$17)/(C71*360/C$17))-1))</f>
        <v>0</v>
      </c>
      <c r="H71" s="890">
        <f>SUM('Estados Financieros'!F385:F386)</f>
        <v>0</v>
      </c>
      <c r="I71" s="891">
        <f t="shared" ref="I71:I93" si="87">IF(OR(H71=0,H$71=0),0,H71/H$71)</f>
        <v>0</v>
      </c>
      <c r="J71" s="892">
        <f t="shared" ref="J71:J93" si="88">IF(OR(E71=0,H71=0),0,IF(ABS((H71*360/H$17)/(E71*360/E$17)-1)&gt;1000000%,0,((H71*360/H$17)/(E71*360/E$17))-1))</f>
        <v>0</v>
      </c>
      <c r="K71" s="579">
        <f>SUM('Estados Financieros'!I385:I386)</f>
        <v>0</v>
      </c>
      <c r="L71" s="891">
        <f t="shared" ref="L71:L93" si="89">IF(OR(K71=0,K$71=0),0,K71/K$71)</f>
        <v>0</v>
      </c>
      <c r="M71" s="892">
        <f t="shared" ref="M71:M93" si="90">IF(OR(H71=0,K71=0),0,IF(ABS(((K71*360/K$17)/(H71*360/H$17))-1)&gt;1000000%,0,((K71*360/K$17)/(H71*360/H$17))-1))</f>
        <v>0</v>
      </c>
      <c r="N71" s="579">
        <f>SUM('Estados Financieros'!G385:G386)</f>
        <v>0</v>
      </c>
      <c r="O71" s="891">
        <f t="shared" ref="O71:O93" si="91">IF(OR(N71=0,N$71=0),0,N71/N$71)</f>
        <v>0</v>
      </c>
      <c r="P71" s="892">
        <f t="shared" ref="P71:P93" si="92">IF(OR(H71=0,N71=0),0,IF(ABS(((N71*360/N$17)/(H71*360/H$17))-1)&gt;1000000%,0,((N71*360/N$17)/(H71*360/H$17))-1))</f>
        <v>0</v>
      </c>
      <c r="Q71" s="579">
        <f>SUM('Estados Financieros'!H385:H386)</f>
        <v>0</v>
      </c>
      <c r="R71" s="891">
        <f t="shared" ref="R71:R93" si="93">IF(OR(Q71=0,Q$71=0),0,Q71/Q$71)</f>
        <v>0</v>
      </c>
      <c r="S71" s="892">
        <f t="shared" ref="S71:S93" si="94">IF(OR(N71=0,Q71=0),0,IF(ABS(((Q71*360/Q$17)/(N71*360/N$17))-1)&gt;1000000%,0,((Q71*360/Q$17)/(N71*360/N$17))-1))</f>
        <v>0</v>
      </c>
      <c r="T71" s="581">
        <f>(N71*360/N17)*(1+T386)</f>
        <v>0</v>
      </c>
      <c r="U71" s="581">
        <f t="shared" ref="U71:AI71" si="95">T71*(1+U386)</f>
        <v>0</v>
      </c>
      <c r="V71" s="581">
        <f t="shared" si="95"/>
        <v>0</v>
      </c>
      <c r="W71" s="581">
        <f t="shared" si="95"/>
        <v>0</v>
      </c>
      <c r="X71" s="581">
        <f t="shared" si="95"/>
        <v>0</v>
      </c>
      <c r="Y71" s="581">
        <f t="shared" si="95"/>
        <v>0</v>
      </c>
      <c r="Z71" s="581">
        <f t="shared" si="95"/>
        <v>0</v>
      </c>
      <c r="AA71" s="581">
        <f t="shared" si="95"/>
        <v>0</v>
      </c>
      <c r="AB71" s="581">
        <f t="shared" si="95"/>
        <v>0</v>
      </c>
      <c r="AC71" s="581">
        <f t="shared" si="95"/>
        <v>0</v>
      </c>
      <c r="AD71" s="581">
        <f t="shared" si="95"/>
        <v>0</v>
      </c>
      <c r="AE71" s="581">
        <f t="shared" si="95"/>
        <v>0</v>
      </c>
      <c r="AF71" s="581">
        <f t="shared" si="95"/>
        <v>0</v>
      </c>
      <c r="AG71" s="581">
        <f t="shared" si="95"/>
        <v>0</v>
      </c>
      <c r="AH71" s="581">
        <f t="shared" si="95"/>
        <v>0</v>
      </c>
      <c r="AI71" s="581">
        <f t="shared" si="95"/>
        <v>0</v>
      </c>
      <c r="AJ71" s="856"/>
      <c r="AM71" s="535"/>
      <c r="AN71" s="535"/>
      <c r="AO71" s="535"/>
      <c r="AP71" s="535"/>
      <c r="AQ71" s="535"/>
      <c r="BD71"/>
      <c r="BE71"/>
      <c r="BF71"/>
    </row>
    <row r="72" spans="1:69" s="536" customFormat="1" ht="14.5">
      <c r="A72" s="582">
        <v>36</v>
      </c>
      <c r="B72" s="573" t="s">
        <v>875</v>
      </c>
      <c r="C72" s="879"/>
      <c r="D72" s="880">
        <f t="shared" si="84"/>
        <v>0</v>
      </c>
      <c r="E72" s="893">
        <f>'Estados Financieros'!E387</f>
        <v>0</v>
      </c>
      <c r="F72" s="882">
        <f t="shared" si="85"/>
        <v>0</v>
      </c>
      <c r="G72" s="883">
        <f t="shared" si="86"/>
        <v>0</v>
      </c>
      <c r="H72" s="893">
        <f>'Estados Financieros'!F387</f>
        <v>0</v>
      </c>
      <c r="I72" s="882">
        <f t="shared" si="87"/>
        <v>0</v>
      </c>
      <c r="J72" s="883">
        <f t="shared" si="88"/>
        <v>0</v>
      </c>
      <c r="K72" s="574">
        <f>'Estados Financieros'!I387</f>
        <v>0</v>
      </c>
      <c r="L72" s="882">
        <f t="shared" si="89"/>
        <v>0</v>
      </c>
      <c r="M72" s="883">
        <f t="shared" si="90"/>
        <v>0</v>
      </c>
      <c r="N72" s="574">
        <f>'Estados Financieros'!G387</f>
        <v>0</v>
      </c>
      <c r="O72" s="882">
        <f t="shared" si="91"/>
        <v>0</v>
      </c>
      <c r="P72" s="883">
        <f t="shared" si="92"/>
        <v>0</v>
      </c>
      <c r="Q72" s="574">
        <f>'Estados Financieros'!H387</f>
        <v>0</v>
      </c>
      <c r="R72" s="882">
        <f t="shared" si="93"/>
        <v>0</v>
      </c>
      <c r="S72" s="883">
        <f t="shared" si="94"/>
        <v>0</v>
      </c>
      <c r="T72" s="569">
        <f t="shared" ref="T72:AI72" si="96">T71*(1-T387)</f>
        <v>0</v>
      </c>
      <c r="U72" s="569">
        <f t="shared" si="96"/>
        <v>0</v>
      </c>
      <c r="V72" s="569">
        <f t="shared" si="96"/>
        <v>0</v>
      </c>
      <c r="W72" s="569">
        <f t="shared" si="96"/>
        <v>0</v>
      </c>
      <c r="X72" s="569">
        <f t="shared" si="96"/>
        <v>0</v>
      </c>
      <c r="Y72" s="569">
        <f t="shared" si="96"/>
        <v>0</v>
      </c>
      <c r="Z72" s="569">
        <f t="shared" si="96"/>
        <v>0</v>
      </c>
      <c r="AA72" s="569">
        <f t="shared" si="96"/>
        <v>0</v>
      </c>
      <c r="AB72" s="569">
        <f t="shared" si="96"/>
        <v>0</v>
      </c>
      <c r="AC72" s="569">
        <f t="shared" si="96"/>
        <v>0</v>
      </c>
      <c r="AD72" s="569">
        <f t="shared" si="96"/>
        <v>0</v>
      </c>
      <c r="AE72" s="569">
        <f t="shared" si="96"/>
        <v>0</v>
      </c>
      <c r="AF72" s="569">
        <f t="shared" si="96"/>
        <v>0</v>
      </c>
      <c r="AG72" s="569">
        <f t="shared" si="96"/>
        <v>0</v>
      </c>
      <c r="AH72" s="569">
        <f t="shared" si="96"/>
        <v>0</v>
      </c>
      <c r="AI72" s="569">
        <f t="shared" si="96"/>
        <v>0</v>
      </c>
      <c r="AJ72" s="899"/>
      <c r="AK72" s="625"/>
      <c r="AL72" s="625"/>
      <c r="AM72" s="531"/>
      <c r="AN72" s="531"/>
      <c r="AO72" s="531"/>
      <c r="AP72" s="531"/>
      <c r="AQ72" s="531"/>
      <c r="AR72" s="533"/>
      <c r="AS72" s="533"/>
      <c r="AT72" s="533"/>
      <c r="AU72" s="533"/>
      <c r="AV72" s="533"/>
      <c r="AW72" s="533"/>
      <c r="AX72" s="533"/>
      <c r="AY72" s="533"/>
      <c r="AZ72" s="533"/>
      <c r="BA72" s="533"/>
      <c r="BB72" s="533"/>
      <c r="BC72" s="533"/>
      <c r="BD72"/>
      <c r="BE72"/>
      <c r="BF72"/>
      <c r="BG72" s="533"/>
      <c r="BH72" s="533"/>
      <c r="BI72" s="533"/>
      <c r="BJ72" s="533"/>
      <c r="BK72" s="533"/>
      <c r="BL72" s="533"/>
      <c r="BM72" s="533"/>
      <c r="BN72" s="533"/>
      <c r="BO72" s="533"/>
      <c r="BP72" s="533"/>
      <c r="BQ72" s="533"/>
    </row>
    <row r="73" spans="1:69" s="536" customFormat="1" ht="14.5">
      <c r="A73" s="547"/>
      <c r="B73" s="583" t="s">
        <v>807</v>
      </c>
      <c r="C73" s="894">
        <f>C71-C72</f>
        <v>0</v>
      </c>
      <c r="D73" s="895">
        <f t="shared" si="84"/>
        <v>0</v>
      </c>
      <c r="E73" s="584">
        <f>E71-E72</f>
        <v>0</v>
      </c>
      <c r="F73" s="896">
        <f t="shared" si="85"/>
        <v>0</v>
      </c>
      <c r="G73" s="897">
        <f t="shared" si="86"/>
        <v>0</v>
      </c>
      <c r="H73" s="584">
        <f>H71-H72</f>
        <v>0</v>
      </c>
      <c r="I73" s="896">
        <f t="shared" si="87"/>
        <v>0</v>
      </c>
      <c r="J73" s="897">
        <f t="shared" si="88"/>
        <v>0</v>
      </c>
      <c r="K73" s="584">
        <f>K71-K72</f>
        <v>0</v>
      </c>
      <c r="L73" s="896">
        <f t="shared" si="89"/>
        <v>0</v>
      </c>
      <c r="M73" s="897">
        <f t="shared" si="90"/>
        <v>0</v>
      </c>
      <c r="N73" s="584">
        <f>N71-N72</f>
        <v>0</v>
      </c>
      <c r="O73" s="896">
        <f t="shared" si="91"/>
        <v>0</v>
      </c>
      <c r="P73" s="897">
        <f t="shared" si="92"/>
        <v>0</v>
      </c>
      <c r="Q73" s="584">
        <f>Q71-Q72</f>
        <v>0</v>
      </c>
      <c r="R73" s="896">
        <f t="shared" si="93"/>
        <v>0</v>
      </c>
      <c r="S73" s="897">
        <f t="shared" si="94"/>
        <v>0</v>
      </c>
      <c r="T73" s="585">
        <f t="shared" ref="T73:AI73" si="97">T71-T72</f>
        <v>0</v>
      </c>
      <c r="U73" s="585">
        <f t="shared" si="97"/>
        <v>0</v>
      </c>
      <c r="V73" s="585">
        <f t="shared" si="97"/>
        <v>0</v>
      </c>
      <c r="W73" s="585">
        <f t="shared" si="97"/>
        <v>0</v>
      </c>
      <c r="X73" s="585">
        <f t="shared" si="97"/>
        <v>0</v>
      </c>
      <c r="Y73" s="585">
        <f t="shared" si="97"/>
        <v>0</v>
      </c>
      <c r="Z73" s="585">
        <f t="shared" si="97"/>
        <v>0</v>
      </c>
      <c r="AA73" s="585">
        <f t="shared" si="97"/>
        <v>0</v>
      </c>
      <c r="AB73" s="585">
        <f t="shared" si="97"/>
        <v>0</v>
      </c>
      <c r="AC73" s="585">
        <f t="shared" si="97"/>
        <v>0</v>
      </c>
      <c r="AD73" s="585">
        <f t="shared" si="97"/>
        <v>0</v>
      </c>
      <c r="AE73" s="585">
        <f t="shared" si="97"/>
        <v>0</v>
      </c>
      <c r="AF73" s="585">
        <f t="shared" si="97"/>
        <v>0</v>
      </c>
      <c r="AG73" s="585">
        <f t="shared" si="97"/>
        <v>0</v>
      </c>
      <c r="AH73" s="585">
        <f t="shared" si="97"/>
        <v>0</v>
      </c>
      <c r="AI73" s="585">
        <f t="shared" si="97"/>
        <v>0</v>
      </c>
      <c r="AJ73" s="899"/>
      <c r="AK73" s="625"/>
      <c r="AL73" s="625"/>
      <c r="AM73" s="531"/>
      <c r="AN73" s="531"/>
      <c r="AO73" s="531"/>
      <c r="AP73" s="531"/>
      <c r="AQ73" s="531"/>
      <c r="AR73" s="533"/>
      <c r="AS73" s="533"/>
      <c r="AT73" s="533"/>
      <c r="AU73" s="533"/>
      <c r="AV73" s="533"/>
      <c r="AW73" s="533"/>
      <c r="AX73" s="533"/>
      <c r="AY73" s="533"/>
      <c r="AZ73" s="533"/>
      <c r="BA73" s="533"/>
      <c r="BB73" s="533"/>
      <c r="BC73" s="533"/>
      <c r="BD73"/>
      <c r="BE73"/>
      <c r="BF73"/>
      <c r="BG73" s="533"/>
      <c r="BH73" s="533"/>
      <c r="BI73" s="533"/>
      <c r="BJ73" s="533"/>
      <c r="BK73" s="533"/>
      <c r="BL73" s="533"/>
      <c r="BM73" s="533"/>
      <c r="BN73" s="533"/>
      <c r="BO73" s="533"/>
      <c r="BP73" s="533"/>
      <c r="BQ73" s="533"/>
    </row>
    <row r="74" spans="1:69" s="536" customFormat="1" ht="14.5">
      <c r="A74" s="609">
        <v>37</v>
      </c>
      <c r="B74" s="610" t="s">
        <v>1104</v>
      </c>
      <c r="C74" s="913"/>
      <c r="D74" s="914">
        <f t="shared" si="84"/>
        <v>0</v>
      </c>
      <c r="E74" s="915">
        <f>SUM('Estados Financieros'!E406,'Estados Financieros'!E423)</f>
        <v>0</v>
      </c>
      <c r="F74" s="916">
        <f t="shared" si="85"/>
        <v>0</v>
      </c>
      <c r="G74" s="917">
        <f t="shared" si="86"/>
        <v>0</v>
      </c>
      <c r="H74" s="915">
        <f>SUM('Estados Financieros'!F406,'Estados Financieros'!F423)</f>
        <v>0</v>
      </c>
      <c r="I74" s="916">
        <f t="shared" si="87"/>
        <v>0</v>
      </c>
      <c r="J74" s="917">
        <f t="shared" si="88"/>
        <v>0</v>
      </c>
      <c r="K74" s="611">
        <f>SUM('Estados Financieros'!I406,'Estados Financieros'!I423)</f>
        <v>0</v>
      </c>
      <c r="L74" s="916">
        <f t="shared" si="89"/>
        <v>0</v>
      </c>
      <c r="M74" s="917">
        <f t="shared" si="90"/>
        <v>0</v>
      </c>
      <c r="N74" s="611">
        <f>SUM('Estados Financieros'!G406,'Estados Financieros'!G423)</f>
        <v>0</v>
      </c>
      <c r="O74" s="916">
        <f t="shared" si="91"/>
        <v>0</v>
      </c>
      <c r="P74" s="917">
        <f t="shared" si="92"/>
        <v>0</v>
      </c>
      <c r="Q74" s="611">
        <f>SUM('Estados Financieros'!H406,'Estados Financieros'!H423)</f>
        <v>0</v>
      </c>
      <c r="R74" s="916">
        <f t="shared" si="93"/>
        <v>0</v>
      </c>
      <c r="S74" s="917">
        <f t="shared" si="94"/>
        <v>0</v>
      </c>
      <c r="T74" s="588">
        <f t="shared" ref="T74:AI74" si="98">T71*T388</f>
        <v>0</v>
      </c>
      <c r="U74" s="588">
        <f t="shared" si="98"/>
        <v>0</v>
      </c>
      <c r="V74" s="588">
        <f t="shared" si="98"/>
        <v>0</v>
      </c>
      <c r="W74" s="588">
        <f t="shared" si="98"/>
        <v>0</v>
      </c>
      <c r="X74" s="588">
        <f t="shared" si="98"/>
        <v>0</v>
      </c>
      <c r="Y74" s="588">
        <f t="shared" si="98"/>
        <v>0</v>
      </c>
      <c r="Z74" s="588">
        <f t="shared" si="98"/>
        <v>0</v>
      </c>
      <c r="AA74" s="588">
        <f t="shared" si="98"/>
        <v>0</v>
      </c>
      <c r="AB74" s="588">
        <f t="shared" si="98"/>
        <v>0</v>
      </c>
      <c r="AC74" s="588">
        <f t="shared" si="98"/>
        <v>0</v>
      </c>
      <c r="AD74" s="588">
        <f t="shared" si="98"/>
        <v>0</v>
      </c>
      <c r="AE74" s="588">
        <f t="shared" si="98"/>
        <v>0</v>
      </c>
      <c r="AF74" s="588">
        <f t="shared" si="98"/>
        <v>0</v>
      </c>
      <c r="AG74" s="588">
        <f t="shared" si="98"/>
        <v>0</v>
      </c>
      <c r="AH74" s="588">
        <f t="shared" si="98"/>
        <v>0</v>
      </c>
      <c r="AI74" s="588">
        <f t="shared" si="98"/>
        <v>0</v>
      </c>
      <c r="AJ74" s="899"/>
      <c r="AK74" s="625"/>
      <c r="AL74" s="625"/>
      <c r="AM74" s="531"/>
      <c r="AN74" s="531"/>
      <c r="AO74" s="531"/>
      <c r="AP74" s="531"/>
      <c r="AQ74" s="531"/>
      <c r="AR74" s="533"/>
      <c r="AS74" s="533"/>
      <c r="AT74" s="533"/>
      <c r="AU74" s="533"/>
      <c r="AV74" s="533"/>
      <c r="AW74" s="533"/>
      <c r="AX74" s="533"/>
      <c r="AY74" s="533"/>
      <c r="AZ74" s="533"/>
      <c r="BA74" s="533"/>
      <c r="BB74" s="533"/>
      <c r="BC74" s="533"/>
      <c r="BD74"/>
      <c r="BE74"/>
      <c r="BF74"/>
      <c r="BG74" s="533"/>
      <c r="BH74" s="533"/>
      <c r="BI74" s="533"/>
      <c r="BJ74" s="533"/>
      <c r="BK74" s="533"/>
      <c r="BL74" s="533"/>
      <c r="BM74" s="533"/>
      <c r="BN74" s="533"/>
      <c r="BO74" s="533"/>
      <c r="BP74" s="533"/>
      <c r="BQ74" s="533"/>
    </row>
    <row r="75" spans="1:69" s="536" customFormat="1" ht="14.5">
      <c r="A75" s="547"/>
      <c r="B75" s="583" t="s">
        <v>1105</v>
      </c>
      <c r="C75" s="894">
        <f>C73-C74</f>
        <v>0</v>
      </c>
      <c r="D75" s="895">
        <f t="shared" si="84"/>
        <v>0</v>
      </c>
      <c r="E75" s="584">
        <f>E73-E74</f>
        <v>0</v>
      </c>
      <c r="F75" s="896">
        <f t="shared" si="85"/>
        <v>0</v>
      </c>
      <c r="G75" s="897">
        <f t="shared" si="86"/>
        <v>0</v>
      </c>
      <c r="H75" s="584">
        <f>H73-H74</f>
        <v>0</v>
      </c>
      <c r="I75" s="896">
        <f t="shared" si="87"/>
        <v>0</v>
      </c>
      <c r="J75" s="897">
        <f t="shared" si="88"/>
        <v>0</v>
      </c>
      <c r="K75" s="584">
        <f>K73-K74</f>
        <v>0</v>
      </c>
      <c r="L75" s="896">
        <f t="shared" si="89"/>
        <v>0</v>
      </c>
      <c r="M75" s="897">
        <f t="shared" si="90"/>
        <v>0</v>
      </c>
      <c r="N75" s="584">
        <f>N73-N74</f>
        <v>0</v>
      </c>
      <c r="O75" s="896">
        <f t="shared" si="91"/>
        <v>0</v>
      </c>
      <c r="P75" s="897">
        <f t="shared" si="92"/>
        <v>0</v>
      </c>
      <c r="Q75" s="584">
        <f>Q73-Q74</f>
        <v>0</v>
      </c>
      <c r="R75" s="896">
        <f t="shared" si="93"/>
        <v>0</v>
      </c>
      <c r="S75" s="897">
        <f t="shared" si="94"/>
        <v>0</v>
      </c>
      <c r="T75" s="585">
        <f t="shared" ref="T75:AI75" si="99">T73-T74</f>
        <v>0</v>
      </c>
      <c r="U75" s="585">
        <f t="shared" si="99"/>
        <v>0</v>
      </c>
      <c r="V75" s="585">
        <f t="shared" si="99"/>
        <v>0</v>
      </c>
      <c r="W75" s="585">
        <f t="shared" si="99"/>
        <v>0</v>
      </c>
      <c r="X75" s="585">
        <f t="shared" si="99"/>
        <v>0</v>
      </c>
      <c r="Y75" s="585">
        <f t="shared" si="99"/>
        <v>0</v>
      </c>
      <c r="Z75" s="585">
        <f t="shared" si="99"/>
        <v>0</v>
      </c>
      <c r="AA75" s="585">
        <f t="shared" si="99"/>
        <v>0</v>
      </c>
      <c r="AB75" s="585">
        <f t="shared" si="99"/>
        <v>0</v>
      </c>
      <c r="AC75" s="585">
        <f t="shared" si="99"/>
        <v>0</v>
      </c>
      <c r="AD75" s="585">
        <f t="shared" si="99"/>
        <v>0</v>
      </c>
      <c r="AE75" s="585">
        <f t="shared" si="99"/>
        <v>0</v>
      </c>
      <c r="AF75" s="585">
        <f t="shared" si="99"/>
        <v>0</v>
      </c>
      <c r="AG75" s="585">
        <f t="shared" si="99"/>
        <v>0</v>
      </c>
      <c r="AH75" s="585">
        <f t="shared" si="99"/>
        <v>0</v>
      </c>
      <c r="AI75" s="585">
        <f t="shared" si="99"/>
        <v>0</v>
      </c>
      <c r="AJ75" s="899"/>
      <c r="AK75" s="625"/>
      <c r="AL75" s="625"/>
      <c r="AM75" s="531"/>
      <c r="AN75" s="531"/>
      <c r="AO75" s="531"/>
      <c r="AP75" s="531"/>
      <c r="AQ75" s="531"/>
      <c r="AR75" s="533"/>
      <c r="AS75" s="533"/>
      <c r="AT75" s="533"/>
      <c r="AU75" s="533"/>
      <c r="AV75" s="533"/>
      <c r="AW75" s="533"/>
      <c r="AX75" s="533"/>
      <c r="AY75" s="533"/>
      <c r="AZ75" s="533"/>
      <c r="BA75" s="533"/>
      <c r="BB75" s="533"/>
      <c r="BC75" s="533"/>
      <c r="BD75"/>
      <c r="BE75"/>
      <c r="BF75"/>
      <c r="BG75" s="533"/>
      <c r="BH75" s="533"/>
      <c r="BI75" s="533"/>
      <c r="BJ75" s="533"/>
      <c r="BK75" s="533"/>
      <c r="BL75" s="533"/>
      <c r="BM75" s="533"/>
      <c r="BN75" s="533"/>
      <c r="BO75" s="533"/>
      <c r="BP75" s="533"/>
      <c r="BQ75" s="533"/>
    </row>
    <row r="76" spans="1:69" s="617" customFormat="1" ht="14.5">
      <c r="A76" s="612">
        <v>38</v>
      </c>
      <c r="B76" s="613" t="s">
        <v>1106</v>
      </c>
      <c r="C76" s="918"/>
      <c r="D76" s="919">
        <f t="shared" si="84"/>
        <v>0</v>
      </c>
      <c r="E76" s="920">
        <f>'Estados Financieros'!E440</f>
        <v>0</v>
      </c>
      <c r="F76" s="921">
        <f t="shared" si="85"/>
        <v>0</v>
      </c>
      <c r="G76" s="922">
        <f t="shared" si="86"/>
        <v>0</v>
      </c>
      <c r="H76" s="920">
        <f>'Estados Financieros'!F440</f>
        <v>0</v>
      </c>
      <c r="I76" s="921">
        <f t="shared" si="87"/>
        <v>0</v>
      </c>
      <c r="J76" s="922">
        <f t="shared" si="88"/>
        <v>0</v>
      </c>
      <c r="K76" s="614">
        <f>'Estados Financieros'!I440</f>
        <v>0</v>
      </c>
      <c r="L76" s="921">
        <f t="shared" si="89"/>
        <v>0</v>
      </c>
      <c r="M76" s="922">
        <f t="shared" si="90"/>
        <v>0</v>
      </c>
      <c r="N76" s="614">
        <f>'Estados Financieros'!G440</f>
        <v>0</v>
      </c>
      <c r="O76" s="921">
        <f t="shared" si="91"/>
        <v>0</v>
      </c>
      <c r="P76" s="922">
        <f t="shared" si="92"/>
        <v>0</v>
      </c>
      <c r="Q76" s="614">
        <f>'Estados Financieros'!H440</f>
        <v>0</v>
      </c>
      <c r="R76" s="921">
        <f t="shared" si="93"/>
        <v>0</v>
      </c>
      <c r="S76" s="922">
        <f t="shared" si="94"/>
        <v>0</v>
      </c>
      <c r="T76" s="615">
        <f>T253+T265+T342+T347+T382+T390</f>
        <v>0</v>
      </c>
      <c r="U76" s="615">
        <f t="shared" ref="U76:AI76" si="100">U253+U265+U278+U342+U347+U382+U390</f>
        <v>0</v>
      </c>
      <c r="V76" s="615">
        <f t="shared" si="100"/>
        <v>0</v>
      </c>
      <c r="W76" s="615">
        <f t="shared" si="100"/>
        <v>0</v>
      </c>
      <c r="X76" s="615">
        <f t="shared" si="100"/>
        <v>0</v>
      </c>
      <c r="Y76" s="615">
        <f t="shared" si="100"/>
        <v>0</v>
      </c>
      <c r="Z76" s="615">
        <f t="shared" si="100"/>
        <v>0</v>
      </c>
      <c r="AA76" s="615">
        <f t="shared" si="100"/>
        <v>0</v>
      </c>
      <c r="AB76" s="615">
        <f t="shared" si="100"/>
        <v>0</v>
      </c>
      <c r="AC76" s="615">
        <f t="shared" si="100"/>
        <v>0</v>
      </c>
      <c r="AD76" s="615">
        <f t="shared" si="100"/>
        <v>0</v>
      </c>
      <c r="AE76" s="615">
        <f t="shared" si="100"/>
        <v>0</v>
      </c>
      <c r="AF76" s="615">
        <f t="shared" si="100"/>
        <v>0</v>
      </c>
      <c r="AG76" s="615">
        <f t="shared" si="100"/>
        <v>0</v>
      </c>
      <c r="AH76" s="615">
        <f t="shared" si="100"/>
        <v>0</v>
      </c>
      <c r="AI76" s="615">
        <f t="shared" si="100"/>
        <v>0</v>
      </c>
      <c r="AJ76" s="923"/>
      <c r="AK76" s="924"/>
      <c r="AL76" s="924"/>
      <c r="AM76" s="616"/>
      <c r="AN76" s="616"/>
      <c r="AO76" s="616"/>
      <c r="AP76" s="616"/>
      <c r="AQ76" s="616"/>
      <c r="BD76"/>
      <c r="BE76"/>
      <c r="BF76"/>
    </row>
    <row r="77" spans="1:69" s="536" customFormat="1" ht="14.5">
      <c r="A77" s="567">
        <v>39</v>
      </c>
      <c r="B77" s="568" t="s">
        <v>1107</v>
      </c>
      <c r="C77" s="873"/>
      <c r="D77" s="874">
        <f t="shared" si="84"/>
        <v>0</v>
      </c>
      <c r="E77" s="875">
        <f>'Estados Financieros'!E453</f>
        <v>0</v>
      </c>
      <c r="F77" s="876">
        <f t="shared" si="85"/>
        <v>0</v>
      </c>
      <c r="G77" s="877">
        <f t="shared" si="86"/>
        <v>0</v>
      </c>
      <c r="H77" s="875">
        <f>'Estados Financieros'!F453</f>
        <v>0</v>
      </c>
      <c r="I77" s="876">
        <f t="shared" si="87"/>
        <v>0</v>
      </c>
      <c r="J77" s="877">
        <f t="shared" si="88"/>
        <v>0</v>
      </c>
      <c r="K77" s="565">
        <f>'Estados Financieros'!I453</f>
        <v>0</v>
      </c>
      <c r="L77" s="876">
        <f t="shared" si="89"/>
        <v>0</v>
      </c>
      <c r="M77" s="877">
        <f t="shared" si="90"/>
        <v>0</v>
      </c>
      <c r="N77" s="565">
        <f>'Estados Financieros'!G453</f>
        <v>0</v>
      </c>
      <c r="O77" s="876">
        <f t="shared" si="91"/>
        <v>0</v>
      </c>
      <c r="P77" s="877">
        <f t="shared" si="92"/>
        <v>0</v>
      </c>
      <c r="Q77" s="565">
        <f>'Estados Financieros'!H453</f>
        <v>0</v>
      </c>
      <c r="R77" s="876">
        <f t="shared" si="93"/>
        <v>0</v>
      </c>
      <c r="S77" s="877">
        <f t="shared" si="94"/>
        <v>0</v>
      </c>
      <c r="T77" s="587">
        <v>0</v>
      </c>
      <c r="U77" s="587">
        <f t="shared" ref="U77:AI77" si="101">T77</f>
        <v>0</v>
      </c>
      <c r="V77" s="587">
        <f t="shared" si="101"/>
        <v>0</v>
      </c>
      <c r="W77" s="587">
        <f t="shared" si="101"/>
        <v>0</v>
      </c>
      <c r="X77" s="587">
        <f t="shared" si="101"/>
        <v>0</v>
      </c>
      <c r="Y77" s="587">
        <f t="shared" si="101"/>
        <v>0</v>
      </c>
      <c r="Z77" s="587">
        <f t="shared" si="101"/>
        <v>0</v>
      </c>
      <c r="AA77" s="587">
        <f t="shared" si="101"/>
        <v>0</v>
      </c>
      <c r="AB77" s="587">
        <f t="shared" si="101"/>
        <v>0</v>
      </c>
      <c r="AC77" s="587">
        <f t="shared" si="101"/>
        <v>0</v>
      </c>
      <c r="AD77" s="587">
        <f t="shared" si="101"/>
        <v>0</v>
      </c>
      <c r="AE77" s="587">
        <f t="shared" si="101"/>
        <v>0</v>
      </c>
      <c r="AF77" s="587">
        <f t="shared" si="101"/>
        <v>0</v>
      </c>
      <c r="AG77" s="587">
        <f t="shared" si="101"/>
        <v>0</v>
      </c>
      <c r="AH77" s="587">
        <f t="shared" si="101"/>
        <v>0</v>
      </c>
      <c r="AI77" s="587">
        <f t="shared" si="101"/>
        <v>0</v>
      </c>
      <c r="AJ77" s="899"/>
      <c r="AK77" s="625"/>
      <c r="AL77" s="625"/>
      <c r="AM77" s="531"/>
      <c r="AN77" s="531"/>
      <c r="AO77" s="531"/>
      <c r="AP77" s="531"/>
      <c r="AQ77" s="531"/>
      <c r="AR77" s="533"/>
      <c r="AS77" s="533"/>
      <c r="AT77" s="533"/>
      <c r="AU77" s="533"/>
      <c r="AV77" s="533"/>
      <c r="AW77" s="533"/>
      <c r="AX77" s="533"/>
      <c r="AY77" s="533"/>
      <c r="AZ77" s="533"/>
      <c r="BA77" s="533"/>
      <c r="BB77" s="533"/>
      <c r="BC77" s="533"/>
      <c r="BD77"/>
      <c r="BE77"/>
      <c r="BF77"/>
      <c r="BG77" s="533"/>
      <c r="BH77" s="533"/>
      <c r="BI77" s="533"/>
      <c r="BJ77" s="533"/>
      <c r="BK77" s="533"/>
      <c r="BL77" s="533"/>
      <c r="BM77" s="533"/>
      <c r="BN77" s="533"/>
      <c r="BO77" s="533"/>
      <c r="BP77" s="533"/>
      <c r="BQ77" s="533"/>
    </row>
    <row r="78" spans="1:69" s="536" customFormat="1" ht="14.5">
      <c r="A78" s="567">
        <v>40</v>
      </c>
      <c r="B78" s="568" t="s">
        <v>1108</v>
      </c>
      <c r="C78" s="873"/>
      <c r="D78" s="874">
        <f t="shared" si="84"/>
        <v>0</v>
      </c>
      <c r="E78" s="875">
        <f>'Estados Financieros'!E427-'Estados Financieros'!E441</f>
        <v>0</v>
      </c>
      <c r="F78" s="876">
        <f t="shared" si="85"/>
        <v>0</v>
      </c>
      <c r="G78" s="877">
        <f t="shared" si="86"/>
        <v>0</v>
      </c>
      <c r="H78" s="875">
        <f>'Estados Financieros'!F427-'Estados Financieros'!F441</f>
        <v>0</v>
      </c>
      <c r="I78" s="876">
        <f t="shared" si="87"/>
        <v>0</v>
      </c>
      <c r="J78" s="877">
        <f t="shared" si="88"/>
        <v>0</v>
      </c>
      <c r="K78" s="565">
        <f>'Estados Financieros'!I427-'Estados Financieros'!I441</f>
        <v>0</v>
      </c>
      <c r="L78" s="876">
        <f t="shared" si="89"/>
        <v>0</v>
      </c>
      <c r="M78" s="877">
        <f t="shared" si="90"/>
        <v>0</v>
      </c>
      <c r="N78" s="565">
        <f>'Estados Financieros'!G427-'Estados Financieros'!G441</f>
        <v>0</v>
      </c>
      <c r="O78" s="876">
        <f t="shared" si="91"/>
        <v>0</v>
      </c>
      <c r="P78" s="877">
        <f t="shared" si="92"/>
        <v>0</v>
      </c>
      <c r="Q78" s="565">
        <f>'Estados Financieros'!H427-'Estados Financieros'!H441</f>
        <v>0</v>
      </c>
      <c r="R78" s="876">
        <f t="shared" si="93"/>
        <v>0</v>
      </c>
      <c r="S78" s="877">
        <f t="shared" si="94"/>
        <v>0</v>
      </c>
      <c r="T78" s="588">
        <f t="shared" ref="T78:AI78" si="102">T425*T431</f>
        <v>0</v>
      </c>
      <c r="U78" s="588">
        <f t="shared" si="102"/>
        <v>0</v>
      </c>
      <c r="V78" s="588">
        <f t="shared" si="102"/>
        <v>0</v>
      </c>
      <c r="W78" s="588">
        <f t="shared" si="102"/>
        <v>0</v>
      </c>
      <c r="X78" s="588">
        <f t="shared" si="102"/>
        <v>0</v>
      </c>
      <c r="Y78" s="588">
        <f t="shared" si="102"/>
        <v>0</v>
      </c>
      <c r="Z78" s="588">
        <f t="shared" si="102"/>
        <v>0</v>
      </c>
      <c r="AA78" s="588">
        <f t="shared" si="102"/>
        <v>0</v>
      </c>
      <c r="AB78" s="588">
        <f t="shared" si="102"/>
        <v>0</v>
      </c>
      <c r="AC78" s="588">
        <f t="shared" si="102"/>
        <v>0</v>
      </c>
      <c r="AD78" s="588">
        <f t="shared" si="102"/>
        <v>0</v>
      </c>
      <c r="AE78" s="588">
        <f t="shared" si="102"/>
        <v>0</v>
      </c>
      <c r="AF78" s="588">
        <f t="shared" si="102"/>
        <v>0</v>
      </c>
      <c r="AG78" s="588">
        <f t="shared" si="102"/>
        <v>0</v>
      </c>
      <c r="AH78" s="588">
        <f t="shared" si="102"/>
        <v>0</v>
      </c>
      <c r="AI78" s="588">
        <f t="shared" si="102"/>
        <v>0</v>
      </c>
      <c r="AJ78" s="899"/>
      <c r="AK78" s="625"/>
      <c r="AL78" s="625"/>
      <c r="AM78" s="531"/>
      <c r="AN78" s="531"/>
      <c r="AO78" s="531"/>
      <c r="AP78" s="531"/>
      <c r="AQ78" s="531"/>
      <c r="AR78" s="533"/>
      <c r="AS78" s="533"/>
      <c r="AT78" s="533"/>
      <c r="AU78" s="533"/>
      <c r="AV78" s="533"/>
      <c r="AW78" s="533"/>
      <c r="AX78" s="533"/>
      <c r="AY78" s="533"/>
      <c r="AZ78" s="533"/>
      <c r="BA78" s="533"/>
      <c r="BB78" s="533"/>
      <c r="BC78" s="533"/>
      <c r="BD78"/>
      <c r="BE78"/>
      <c r="BF78"/>
      <c r="BG78" s="533"/>
      <c r="BH78" s="533"/>
      <c r="BI78" s="533"/>
      <c r="BJ78" s="533"/>
      <c r="BK78" s="533"/>
      <c r="BL78" s="533"/>
      <c r="BM78" s="533"/>
      <c r="BN78" s="533"/>
      <c r="BO78" s="533"/>
      <c r="BP78" s="533"/>
      <c r="BQ78" s="533"/>
    </row>
    <row r="79" spans="1:69" s="536" customFormat="1" ht="14.5">
      <c r="A79" s="570" t="s">
        <v>1109</v>
      </c>
      <c r="B79" s="618" t="s">
        <v>1110</v>
      </c>
      <c r="C79" s="873"/>
      <c r="D79" s="874">
        <f t="shared" si="84"/>
        <v>0</v>
      </c>
      <c r="E79" s="875"/>
      <c r="F79" s="876">
        <f t="shared" si="85"/>
        <v>0</v>
      </c>
      <c r="G79" s="877">
        <f t="shared" si="86"/>
        <v>0</v>
      </c>
      <c r="H79" s="875"/>
      <c r="I79" s="876">
        <f t="shared" si="87"/>
        <v>0</v>
      </c>
      <c r="J79" s="877">
        <f t="shared" si="88"/>
        <v>0</v>
      </c>
      <c r="K79" s="565"/>
      <c r="L79" s="876">
        <f t="shared" si="89"/>
        <v>0</v>
      </c>
      <c r="M79" s="877">
        <f t="shared" si="90"/>
        <v>0</v>
      </c>
      <c r="N79" s="565"/>
      <c r="O79" s="876">
        <f t="shared" si="91"/>
        <v>0</v>
      </c>
      <c r="P79" s="877">
        <f t="shared" si="92"/>
        <v>0</v>
      </c>
      <c r="Q79" s="565"/>
      <c r="R79" s="876">
        <f t="shared" si="93"/>
        <v>0</v>
      </c>
      <c r="S79" s="877">
        <f t="shared" si="94"/>
        <v>0</v>
      </c>
      <c r="T79" s="571">
        <f>(C79*$C$241)+(E79*$E$241)+(H79*$H$241)+(N79*$N$241)+(Q79*$Q$241)</f>
        <v>0</v>
      </c>
      <c r="U79" s="571">
        <f t="shared" ref="U79:AI79" si="103">T79</f>
        <v>0</v>
      </c>
      <c r="V79" s="571">
        <f t="shared" si="103"/>
        <v>0</v>
      </c>
      <c r="W79" s="571">
        <f t="shared" si="103"/>
        <v>0</v>
      </c>
      <c r="X79" s="571">
        <f t="shared" si="103"/>
        <v>0</v>
      </c>
      <c r="Y79" s="571">
        <f t="shared" si="103"/>
        <v>0</v>
      </c>
      <c r="Z79" s="571">
        <f t="shared" si="103"/>
        <v>0</v>
      </c>
      <c r="AA79" s="571">
        <f t="shared" si="103"/>
        <v>0</v>
      </c>
      <c r="AB79" s="571">
        <f t="shared" si="103"/>
        <v>0</v>
      </c>
      <c r="AC79" s="571">
        <f t="shared" si="103"/>
        <v>0</v>
      </c>
      <c r="AD79" s="571">
        <f t="shared" si="103"/>
        <v>0</v>
      </c>
      <c r="AE79" s="571">
        <f t="shared" si="103"/>
        <v>0</v>
      </c>
      <c r="AF79" s="571">
        <f t="shared" si="103"/>
        <v>0</v>
      </c>
      <c r="AG79" s="571">
        <f t="shared" si="103"/>
        <v>0</v>
      </c>
      <c r="AH79" s="571">
        <f t="shared" si="103"/>
        <v>0</v>
      </c>
      <c r="AI79" s="571">
        <f t="shared" si="103"/>
        <v>0</v>
      </c>
      <c r="AJ79" s="899"/>
      <c r="AK79" s="625"/>
      <c r="AL79" s="625"/>
      <c r="AM79" s="531"/>
      <c r="AN79" s="531"/>
      <c r="AO79" s="531"/>
      <c r="AP79" s="531"/>
      <c r="AQ79" s="531"/>
      <c r="AR79" s="533"/>
      <c r="AS79" s="533"/>
      <c r="AT79" s="533"/>
      <c r="AU79" s="533"/>
      <c r="AV79" s="533"/>
      <c r="AW79" s="533"/>
      <c r="AX79" s="533"/>
      <c r="AY79" s="533"/>
      <c r="AZ79" s="533"/>
      <c r="BA79" s="533"/>
      <c r="BB79" s="533"/>
      <c r="BC79" s="533"/>
      <c r="BD79"/>
      <c r="BE79"/>
      <c r="BF79"/>
      <c r="BG79" s="533"/>
      <c r="BH79" s="533"/>
      <c r="BI79" s="533"/>
      <c r="BJ79" s="533"/>
      <c r="BK79" s="533"/>
      <c r="BL79" s="533"/>
      <c r="BM79" s="533"/>
      <c r="BN79" s="533"/>
      <c r="BO79" s="533"/>
      <c r="BP79" s="533"/>
      <c r="BQ79" s="533"/>
    </row>
    <row r="80" spans="1:69" s="536" customFormat="1" ht="14.5">
      <c r="A80" s="570" t="s">
        <v>1111</v>
      </c>
      <c r="B80" s="618" t="s">
        <v>1112</v>
      </c>
      <c r="C80" s="873"/>
      <c r="D80" s="874">
        <f t="shared" si="84"/>
        <v>0</v>
      </c>
      <c r="E80" s="672"/>
      <c r="F80" s="925">
        <f t="shared" si="85"/>
        <v>0</v>
      </c>
      <c r="G80" s="926">
        <f t="shared" si="86"/>
        <v>0</v>
      </c>
      <c r="H80" s="672"/>
      <c r="I80" s="925">
        <f t="shared" si="87"/>
        <v>0</v>
      </c>
      <c r="J80" s="926">
        <f t="shared" si="88"/>
        <v>0</v>
      </c>
      <c r="K80" s="566"/>
      <c r="L80" s="925">
        <f t="shared" si="89"/>
        <v>0</v>
      </c>
      <c r="M80" s="926">
        <f t="shared" si="90"/>
        <v>0</v>
      </c>
      <c r="N80" s="566"/>
      <c r="O80" s="925">
        <f t="shared" si="91"/>
        <v>0</v>
      </c>
      <c r="P80" s="926">
        <f t="shared" si="92"/>
        <v>0</v>
      </c>
      <c r="Q80" s="566"/>
      <c r="R80" s="925">
        <f t="shared" si="93"/>
        <v>0</v>
      </c>
      <c r="S80" s="877">
        <f t="shared" si="94"/>
        <v>0</v>
      </c>
      <c r="T80" s="619">
        <f>(C80*$C$241)+(E80*$E$241)+(H80*$H$241)+(N80*$N$241)+(Q80*$Q$241)</f>
        <v>0</v>
      </c>
      <c r="U80" s="619">
        <f t="shared" ref="U80:AI80" si="104">T80</f>
        <v>0</v>
      </c>
      <c r="V80" s="619">
        <f t="shared" si="104"/>
        <v>0</v>
      </c>
      <c r="W80" s="619">
        <f t="shared" si="104"/>
        <v>0</v>
      </c>
      <c r="X80" s="619">
        <f t="shared" si="104"/>
        <v>0</v>
      </c>
      <c r="Y80" s="619">
        <f t="shared" si="104"/>
        <v>0</v>
      </c>
      <c r="Z80" s="619">
        <f t="shared" si="104"/>
        <v>0</v>
      </c>
      <c r="AA80" s="619">
        <f t="shared" si="104"/>
        <v>0</v>
      </c>
      <c r="AB80" s="619">
        <f t="shared" si="104"/>
        <v>0</v>
      </c>
      <c r="AC80" s="619">
        <f t="shared" si="104"/>
        <v>0</v>
      </c>
      <c r="AD80" s="619">
        <f t="shared" si="104"/>
        <v>0</v>
      </c>
      <c r="AE80" s="619">
        <f t="shared" si="104"/>
        <v>0</v>
      </c>
      <c r="AF80" s="619">
        <f t="shared" si="104"/>
        <v>0</v>
      </c>
      <c r="AG80" s="619">
        <f t="shared" si="104"/>
        <v>0</v>
      </c>
      <c r="AH80" s="619">
        <f t="shared" si="104"/>
        <v>0</v>
      </c>
      <c r="AI80" s="619">
        <f t="shared" si="104"/>
        <v>0</v>
      </c>
      <c r="AJ80" s="899"/>
      <c r="AK80" s="625"/>
      <c r="AL80" s="625"/>
      <c r="AM80" s="531"/>
      <c r="AN80" s="531"/>
      <c r="AO80" s="531"/>
      <c r="AP80" s="531"/>
      <c r="AQ80" s="531"/>
      <c r="AR80" s="533"/>
      <c r="AS80" s="533"/>
      <c r="AT80" s="533"/>
      <c r="AU80" s="533"/>
      <c r="AV80" s="533"/>
      <c r="AW80" s="533"/>
      <c r="AX80" s="533"/>
      <c r="AY80" s="533"/>
      <c r="AZ80" s="533"/>
      <c r="BA80" s="533"/>
      <c r="BB80" s="533"/>
      <c r="BC80" s="533"/>
      <c r="BD80"/>
      <c r="BE80"/>
      <c r="BF80"/>
      <c r="BG80" s="533"/>
      <c r="BH80" s="533"/>
      <c r="BI80" s="533"/>
      <c r="BJ80" s="533"/>
      <c r="BK80" s="533"/>
      <c r="BL80" s="533"/>
      <c r="BM80" s="533"/>
      <c r="BN80" s="533"/>
      <c r="BO80" s="533"/>
      <c r="BP80" s="533"/>
      <c r="BQ80" s="533"/>
    </row>
    <row r="81" spans="1:69" s="536" customFormat="1" ht="14.5">
      <c r="A81" s="563" t="s">
        <v>1113</v>
      </c>
      <c r="B81" s="564" t="s">
        <v>1114</v>
      </c>
      <c r="C81" s="927"/>
      <c r="D81" s="928">
        <f t="shared" si="84"/>
        <v>0</v>
      </c>
      <c r="E81" s="672">
        <f>SUM('Estados Financieros'!E426,IF(AND($B$617=$B$623,$B$617&lt;&gt;0),0,'Estados Financieros'!E429))</f>
        <v>0</v>
      </c>
      <c r="F81" s="925">
        <f t="shared" si="85"/>
        <v>0</v>
      </c>
      <c r="G81" s="926">
        <f t="shared" si="86"/>
        <v>0</v>
      </c>
      <c r="H81" s="672">
        <f>SUM('Estados Financieros'!F426,IF(AND($B$617=$B$623,$B$623&lt;&gt;0),0,'Estados Financieros'!F429))</f>
        <v>0</v>
      </c>
      <c r="I81" s="925">
        <f t="shared" si="87"/>
        <v>0</v>
      </c>
      <c r="J81" s="926">
        <f t="shared" si="88"/>
        <v>0</v>
      </c>
      <c r="K81" s="672">
        <f>SUM('Estados Financieros'!I426,IF(AND($B$617=$B$623,$B$617&lt;&gt;0),0,'Estados Financieros'!I429))</f>
        <v>0</v>
      </c>
      <c r="L81" s="925">
        <f t="shared" si="89"/>
        <v>0</v>
      </c>
      <c r="M81" s="926">
        <f t="shared" si="90"/>
        <v>0</v>
      </c>
      <c r="N81" s="672">
        <f>SUM('Estados Financieros'!G426,IF(AND($B$617=$B$623,$B$617&lt;&gt;0),0,'Estados Financieros'!G429))</f>
        <v>0</v>
      </c>
      <c r="O81" s="925">
        <f t="shared" si="91"/>
        <v>0</v>
      </c>
      <c r="P81" s="926">
        <f t="shared" si="92"/>
        <v>0</v>
      </c>
      <c r="Q81" s="672">
        <f>SUM('Estados Financieros'!H426,IF(AND($B$617=$B$623,$B$617&lt;&gt;0),0,'Estados Financieros'!H429))</f>
        <v>0</v>
      </c>
      <c r="R81" s="925">
        <f t="shared" si="93"/>
        <v>0</v>
      </c>
      <c r="S81" s="926">
        <f t="shared" si="94"/>
        <v>0</v>
      </c>
      <c r="T81" s="581">
        <f t="shared" ref="T81:AI81" si="105">T71*T391</f>
        <v>0</v>
      </c>
      <c r="U81" s="581">
        <f t="shared" si="105"/>
        <v>0</v>
      </c>
      <c r="V81" s="581">
        <f t="shared" si="105"/>
        <v>0</v>
      </c>
      <c r="W81" s="581">
        <f t="shared" si="105"/>
        <v>0</v>
      </c>
      <c r="X81" s="581">
        <f t="shared" si="105"/>
        <v>0</v>
      </c>
      <c r="Y81" s="581">
        <f t="shared" si="105"/>
        <v>0</v>
      </c>
      <c r="Z81" s="581">
        <f t="shared" si="105"/>
        <v>0</v>
      </c>
      <c r="AA81" s="581">
        <f t="shared" si="105"/>
        <v>0</v>
      </c>
      <c r="AB81" s="581">
        <f t="shared" si="105"/>
        <v>0</v>
      </c>
      <c r="AC81" s="581">
        <f t="shared" si="105"/>
        <v>0</v>
      </c>
      <c r="AD81" s="581">
        <f t="shared" si="105"/>
        <v>0</v>
      </c>
      <c r="AE81" s="581">
        <f t="shared" si="105"/>
        <v>0</v>
      </c>
      <c r="AF81" s="581">
        <f t="shared" si="105"/>
        <v>0</v>
      </c>
      <c r="AG81" s="581">
        <f t="shared" si="105"/>
        <v>0</v>
      </c>
      <c r="AH81" s="581">
        <f t="shared" si="105"/>
        <v>0</v>
      </c>
      <c r="AI81" s="581">
        <f t="shared" si="105"/>
        <v>0</v>
      </c>
      <c r="AJ81" s="856"/>
      <c r="AM81" s="535"/>
      <c r="AN81" s="535"/>
      <c r="AO81" s="535"/>
      <c r="AP81" s="535"/>
      <c r="AQ81" s="535"/>
      <c r="BD81"/>
      <c r="BE81"/>
      <c r="BF81"/>
    </row>
    <row r="82" spans="1:69" s="536" customFormat="1" ht="14.5">
      <c r="A82" s="570" t="s">
        <v>1115</v>
      </c>
      <c r="B82" s="568" t="s">
        <v>1116</v>
      </c>
      <c r="C82" s="873"/>
      <c r="D82" s="874">
        <f t="shared" si="84"/>
        <v>0</v>
      </c>
      <c r="E82" s="672">
        <f>'Estados Financieros'!E432-'Estados Financieros'!E445</f>
        <v>0</v>
      </c>
      <c r="F82" s="925">
        <f t="shared" si="85"/>
        <v>0</v>
      </c>
      <c r="G82" s="926">
        <f t="shared" si="86"/>
        <v>0</v>
      </c>
      <c r="H82" s="672">
        <f>'Estados Financieros'!F432-'Estados Financieros'!F445</f>
        <v>0</v>
      </c>
      <c r="I82" s="925">
        <f t="shared" si="87"/>
        <v>0</v>
      </c>
      <c r="J82" s="926">
        <f t="shared" si="88"/>
        <v>0</v>
      </c>
      <c r="K82" s="566">
        <f>'Estados Financieros'!I432-'Estados Financieros'!I445</f>
        <v>0</v>
      </c>
      <c r="L82" s="925">
        <f t="shared" si="89"/>
        <v>0</v>
      </c>
      <c r="M82" s="926">
        <f t="shared" si="90"/>
        <v>0</v>
      </c>
      <c r="N82" s="566">
        <f>'Estados Financieros'!G432-'Estados Financieros'!G445</f>
        <v>0</v>
      </c>
      <c r="O82" s="925">
        <f t="shared" si="91"/>
        <v>0</v>
      </c>
      <c r="P82" s="926">
        <f t="shared" si="92"/>
        <v>0</v>
      </c>
      <c r="Q82" s="566">
        <f>'Estados Financieros'!H432-'Estados Financieros'!H445</f>
        <v>0</v>
      </c>
      <c r="R82" s="925">
        <f t="shared" si="93"/>
        <v>0</v>
      </c>
      <c r="S82" s="877">
        <f t="shared" si="94"/>
        <v>0</v>
      </c>
      <c r="T82" s="566">
        <f t="shared" ref="T82:AI82" si="106">T71*T392</f>
        <v>0</v>
      </c>
      <c r="U82" s="566">
        <f t="shared" si="106"/>
        <v>0</v>
      </c>
      <c r="V82" s="566">
        <f t="shared" si="106"/>
        <v>0</v>
      </c>
      <c r="W82" s="566">
        <f t="shared" si="106"/>
        <v>0</v>
      </c>
      <c r="X82" s="566">
        <f t="shared" si="106"/>
        <v>0</v>
      </c>
      <c r="Y82" s="566">
        <f t="shared" si="106"/>
        <v>0</v>
      </c>
      <c r="Z82" s="566">
        <f t="shared" si="106"/>
        <v>0</v>
      </c>
      <c r="AA82" s="566">
        <f t="shared" si="106"/>
        <v>0</v>
      </c>
      <c r="AB82" s="566">
        <f t="shared" si="106"/>
        <v>0</v>
      </c>
      <c r="AC82" s="566">
        <f t="shared" si="106"/>
        <v>0</v>
      </c>
      <c r="AD82" s="566">
        <f t="shared" si="106"/>
        <v>0</v>
      </c>
      <c r="AE82" s="566">
        <f t="shared" si="106"/>
        <v>0</v>
      </c>
      <c r="AF82" s="566">
        <f t="shared" si="106"/>
        <v>0</v>
      </c>
      <c r="AG82" s="566">
        <f t="shared" si="106"/>
        <v>0</v>
      </c>
      <c r="AH82" s="566">
        <f t="shared" si="106"/>
        <v>0</v>
      </c>
      <c r="AI82" s="566">
        <f t="shared" si="106"/>
        <v>0</v>
      </c>
      <c r="AJ82" s="899"/>
      <c r="AK82" s="625"/>
      <c r="AL82" s="625"/>
      <c r="AM82" s="531"/>
      <c r="AN82" s="531"/>
      <c r="AO82" s="531"/>
      <c r="AP82" s="531"/>
      <c r="AQ82" s="531"/>
      <c r="AR82" s="533"/>
      <c r="AS82" s="533"/>
      <c r="AT82" s="533"/>
      <c r="AU82" s="533"/>
      <c r="AV82" s="533"/>
      <c r="AW82" s="533"/>
      <c r="AX82" s="533"/>
      <c r="AY82" s="533"/>
      <c r="AZ82" s="533"/>
      <c r="BA82" s="533"/>
      <c r="BB82" s="533"/>
      <c r="BC82" s="533"/>
      <c r="BD82"/>
      <c r="BE82"/>
      <c r="BF82"/>
      <c r="BG82" s="533"/>
      <c r="BH82" s="533"/>
      <c r="BI82" s="533"/>
      <c r="BJ82" s="533"/>
      <c r="BK82" s="533"/>
      <c r="BL82" s="533"/>
      <c r="BM82" s="533"/>
      <c r="BN82" s="533"/>
      <c r="BO82" s="533"/>
      <c r="BP82" s="533"/>
      <c r="BQ82" s="533"/>
    </row>
    <row r="83" spans="1:69" s="536" customFormat="1" ht="14.5">
      <c r="A83" s="570" t="s">
        <v>1117</v>
      </c>
      <c r="B83" s="568" t="s">
        <v>1118</v>
      </c>
      <c r="C83" s="873"/>
      <c r="D83" s="874">
        <f t="shared" si="84"/>
        <v>0</v>
      </c>
      <c r="E83" s="672">
        <f>'Estados Financieros'!E434-'Estados Financieros'!E448</f>
        <v>0</v>
      </c>
      <c r="F83" s="925">
        <f t="shared" si="85"/>
        <v>0</v>
      </c>
      <c r="G83" s="926">
        <f t="shared" si="86"/>
        <v>0</v>
      </c>
      <c r="H83" s="672">
        <f>'Estados Financieros'!F434-'Estados Financieros'!F448</f>
        <v>0</v>
      </c>
      <c r="I83" s="925">
        <f t="shared" si="87"/>
        <v>0</v>
      </c>
      <c r="J83" s="926">
        <f t="shared" si="88"/>
        <v>0</v>
      </c>
      <c r="K83" s="566">
        <f>'Estados Financieros'!I434-'Estados Financieros'!I448</f>
        <v>0</v>
      </c>
      <c r="L83" s="925">
        <f t="shared" si="89"/>
        <v>0</v>
      </c>
      <c r="M83" s="926">
        <f t="shared" si="90"/>
        <v>0</v>
      </c>
      <c r="N83" s="566">
        <f>'Estados Financieros'!G434-'Estados Financieros'!G448</f>
        <v>0</v>
      </c>
      <c r="O83" s="925">
        <f t="shared" si="91"/>
        <v>0</v>
      </c>
      <c r="P83" s="926">
        <f t="shared" si="92"/>
        <v>0</v>
      </c>
      <c r="Q83" s="566">
        <f>'Estados Financieros'!H434-'Estados Financieros'!H448</f>
        <v>0</v>
      </c>
      <c r="R83" s="925">
        <f t="shared" si="93"/>
        <v>0</v>
      </c>
      <c r="S83" s="877">
        <f t="shared" si="94"/>
        <v>0</v>
      </c>
      <c r="T83" s="566">
        <f t="shared" ref="T83:AI83" si="107">T71*T393</f>
        <v>0</v>
      </c>
      <c r="U83" s="566">
        <f t="shared" si="107"/>
        <v>0</v>
      </c>
      <c r="V83" s="566">
        <f t="shared" si="107"/>
        <v>0</v>
      </c>
      <c r="W83" s="566">
        <f t="shared" si="107"/>
        <v>0</v>
      </c>
      <c r="X83" s="566">
        <f t="shared" si="107"/>
        <v>0</v>
      </c>
      <c r="Y83" s="566">
        <f t="shared" si="107"/>
        <v>0</v>
      </c>
      <c r="Z83" s="566">
        <f t="shared" si="107"/>
        <v>0</v>
      </c>
      <c r="AA83" s="566">
        <f t="shared" si="107"/>
        <v>0</v>
      </c>
      <c r="AB83" s="566">
        <f t="shared" si="107"/>
        <v>0</v>
      </c>
      <c r="AC83" s="566">
        <f t="shared" si="107"/>
        <v>0</v>
      </c>
      <c r="AD83" s="566">
        <f t="shared" si="107"/>
        <v>0</v>
      </c>
      <c r="AE83" s="566">
        <f t="shared" si="107"/>
        <v>0</v>
      </c>
      <c r="AF83" s="566">
        <f t="shared" si="107"/>
        <v>0</v>
      </c>
      <c r="AG83" s="566">
        <f t="shared" si="107"/>
        <v>0</v>
      </c>
      <c r="AH83" s="566">
        <f t="shared" si="107"/>
        <v>0</v>
      </c>
      <c r="AI83" s="566">
        <f t="shared" si="107"/>
        <v>0</v>
      </c>
      <c r="AJ83" s="899"/>
      <c r="AK83" s="625"/>
      <c r="AL83" s="625"/>
      <c r="AM83" s="531"/>
      <c r="AN83" s="531"/>
      <c r="AO83" s="531"/>
      <c r="AP83" s="531"/>
      <c r="AQ83" s="531"/>
      <c r="AR83" s="533"/>
      <c r="AS83" s="533"/>
      <c r="AT83" s="533"/>
      <c r="AU83" s="533"/>
      <c r="AV83" s="533"/>
      <c r="AW83" s="533"/>
      <c r="AX83" s="533"/>
      <c r="AY83" s="533"/>
      <c r="AZ83" s="533"/>
      <c r="BA83" s="533"/>
      <c r="BB83" s="533"/>
      <c r="BC83" s="533"/>
      <c r="BD83"/>
      <c r="BE83"/>
      <c r="BF83"/>
      <c r="BG83" s="533"/>
      <c r="BH83" s="533"/>
      <c r="BI83" s="533"/>
      <c r="BJ83" s="533"/>
      <c r="BK83" s="533"/>
      <c r="BL83" s="533"/>
      <c r="BM83" s="533"/>
      <c r="BN83" s="533"/>
      <c r="BO83" s="533"/>
      <c r="BP83" s="533"/>
      <c r="BQ83" s="533"/>
    </row>
    <row r="84" spans="1:69" s="536" customFormat="1" ht="14.5">
      <c r="A84" s="570" t="s">
        <v>1119</v>
      </c>
      <c r="B84" s="568" t="s">
        <v>1120</v>
      </c>
      <c r="C84" s="873"/>
      <c r="D84" s="874">
        <f t="shared" si="84"/>
        <v>0</v>
      </c>
      <c r="E84" s="672">
        <f>'Estados Financieros'!E430-'Estados Financieros'!E446</f>
        <v>0</v>
      </c>
      <c r="F84" s="925">
        <f t="shared" si="85"/>
        <v>0</v>
      </c>
      <c r="G84" s="926">
        <f t="shared" si="86"/>
        <v>0</v>
      </c>
      <c r="H84" s="672">
        <f>'Estados Financieros'!F430-'Estados Financieros'!F446</f>
        <v>0</v>
      </c>
      <c r="I84" s="925">
        <f t="shared" si="87"/>
        <v>0</v>
      </c>
      <c r="J84" s="926">
        <f t="shared" si="88"/>
        <v>0</v>
      </c>
      <c r="K84" s="566">
        <f>'Estados Financieros'!I430-'Estados Financieros'!I446</f>
        <v>0</v>
      </c>
      <c r="L84" s="925">
        <f t="shared" si="89"/>
        <v>0</v>
      </c>
      <c r="M84" s="926">
        <f t="shared" si="90"/>
        <v>0</v>
      </c>
      <c r="N84" s="566">
        <f>'Estados Financieros'!G430-'Estados Financieros'!G446</f>
        <v>0</v>
      </c>
      <c r="O84" s="925">
        <f t="shared" si="91"/>
        <v>0</v>
      </c>
      <c r="P84" s="926">
        <f t="shared" si="92"/>
        <v>0</v>
      </c>
      <c r="Q84" s="566">
        <f>'Estados Financieros'!H430-'Estados Financieros'!H446</f>
        <v>0</v>
      </c>
      <c r="R84" s="925">
        <f t="shared" si="93"/>
        <v>0</v>
      </c>
      <c r="S84" s="877">
        <f t="shared" si="94"/>
        <v>0</v>
      </c>
      <c r="T84" s="566">
        <f t="shared" ref="T84:AI84" si="108">T71*T394</f>
        <v>0</v>
      </c>
      <c r="U84" s="566">
        <f t="shared" si="108"/>
        <v>0</v>
      </c>
      <c r="V84" s="566">
        <f t="shared" si="108"/>
        <v>0</v>
      </c>
      <c r="W84" s="566">
        <f t="shared" si="108"/>
        <v>0</v>
      </c>
      <c r="X84" s="566">
        <f t="shared" si="108"/>
        <v>0</v>
      </c>
      <c r="Y84" s="566">
        <f t="shared" si="108"/>
        <v>0</v>
      </c>
      <c r="Z84" s="566">
        <f t="shared" si="108"/>
        <v>0</v>
      </c>
      <c r="AA84" s="566">
        <f t="shared" si="108"/>
        <v>0</v>
      </c>
      <c r="AB84" s="566">
        <f t="shared" si="108"/>
        <v>0</v>
      </c>
      <c r="AC84" s="566">
        <f t="shared" si="108"/>
        <v>0</v>
      </c>
      <c r="AD84" s="566">
        <f t="shared" si="108"/>
        <v>0</v>
      </c>
      <c r="AE84" s="566">
        <f t="shared" si="108"/>
        <v>0</v>
      </c>
      <c r="AF84" s="566">
        <f t="shared" si="108"/>
        <v>0</v>
      </c>
      <c r="AG84" s="566">
        <f t="shared" si="108"/>
        <v>0</v>
      </c>
      <c r="AH84" s="566">
        <f t="shared" si="108"/>
        <v>0</v>
      </c>
      <c r="AI84" s="566">
        <f t="shared" si="108"/>
        <v>0</v>
      </c>
      <c r="AJ84" s="899"/>
      <c r="AK84" s="625"/>
      <c r="AL84" s="625"/>
      <c r="AM84" s="531"/>
      <c r="AN84" s="531"/>
      <c r="AO84" s="531"/>
      <c r="AP84" s="531"/>
      <c r="AQ84" s="531"/>
      <c r="AR84" s="533"/>
      <c r="AS84" s="533"/>
      <c r="AT84" s="533"/>
      <c r="AU84" s="533"/>
      <c r="AV84" s="533"/>
      <c r="AW84" s="533"/>
      <c r="AX84" s="533"/>
      <c r="AY84" s="533"/>
      <c r="AZ84" s="533"/>
      <c r="BA84" s="533"/>
      <c r="BB84" s="533"/>
      <c r="BC84" s="533"/>
      <c r="BD84"/>
      <c r="BE84"/>
      <c r="BF84"/>
      <c r="BG84" s="533"/>
      <c r="BH84" s="533"/>
      <c r="BI84" s="533"/>
      <c r="BJ84" s="533"/>
      <c r="BK84" s="533"/>
      <c r="BL84" s="533"/>
      <c r="BM84" s="533"/>
      <c r="BN84" s="533"/>
      <c r="BO84" s="533"/>
      <c r="BP84" s="533"/>
      <c r="BQ84" s="533"/>
    </row>
    <row r="85" spans="1:69" s="536" customFormat="1" ht="14.5">
      <c r="A85" s="570" t="s">
        <v>1121</v>
      </c>
      <c r="B85" s="568" t="s">
        <v>1122</v>
      </c>
      <c r="C85" s="873"/>
      <c r="D85" s="874">
        <f t="shared" si="84"/>
        <v>0</v>
      </c>
      <c r="E85" s="672">
        <f>SUM('Estados Financieros'!E428,IF(AND($B$617=$B$623,$B$617&lt;&gt;0),'Estados Financieros'!E429,0),'Estados Financieros'!E431,'Estados Financieros'!E433,'Estados Financieros'!E435:E437)</f>
        <v>0</v>
      </c>
      <c r="F85" s="925">
        <f t="shared" si="85"/>
        <v>0</v>
      </c>
      <c r="G85" s="926">
        <f t="shared" si="86"/>
        <v>0</v>
      </c>
      <c r="H85" s="672">
        <f>SUM('Estados Financieros'!F428,IF(AND($B$617=$B$623,$B$617&lt;&gt;0),'Estados Financieros'!F429,0),'Estados Financieros'!F431,'Estados Financieros'!F433,'Estados Financieros'!F435:F437)</f>
        <v>0</v>
      </c>
      <c r="I85" s="925">
        <f t="shared" si="87"/>
        <v>0</v>
      </c>
      <c r="J85" s="926">
        <f t="shared" si="88"/>
        <v>0</v>
      </c>
      <c r="K85" s="566">
        <f>SUM('Estados Financieros'!I428,IF(AND($B$617=$B$623,$B$617&lt;&gt;0),'Estados Financieros'!I429,0),'Estados Financieros'!I431,'Estados Financieros'!I433,'Estados Financieros'!I435:I437)</f>
        <v>0</v>
      </c>
      <c r="L85" s="925">
        <f t="shared" si="89"/>
        <v>0</v>
      </c>
      <c r="M85" s="926">
        <f t="shared" si="90"/>
        <v>0</v>
      </c>
      <c r="N85" s="566">
        <f>SUM('Estados Financieros'!G428,IF(AND($B$617=$B$623,$B$623&lt;&gt;0),'Estados Financieros'!G429,0),'Estados Financieros'!G431,'Estados Financieros'!G433,'Estados Financieros'!G435:G437)</f>
        <v>0</v>
      </c>
      <c r="O85" s="925">
        <f t="shared" si="91"/>
        <v>0</v>
      </c>
      <c r="P85" s="926">
        <f t="shared" si="92"/>
        <v>0</v>
      </c>
      <c r="Q85" s="566">
        <f>SUM('Estados Financieros'!H428,IF(AND($B$617=$B$623,$B$617&lt;&gt;0),'Estados Financieros'!H429,0),'Estados Financieros'!H431,'Estados Financieros'!H433,'Estados Financieros'!H435:H437)</f>
        <v>0</v>
      </c>
      <c r="R85" s="925">
        <f t="shared" si="93"/>
        <v>0</v>
      </c>
      <c r="S85" s="877">
        <f t="shared" si="94"/>
        <v>0</v>
      </c>
      <c r="T85" s="566">
        <f t="shared" ref="T85:AI85" si="109">T71*T395</f>
        <v>0</v>
      </c>
      <c r="U85" s="566">
        <f t="shared" si="109"/>
        <v>0</v>
      </c>
      <c r="V85" s="566">
        <f t="shared" si="109"/>
        <v>0</v>
      </c>
      <c r="W85" s="566">
        <f t="shared" si="109"/>
        <v>0</v>
      </c>
      <c r="X85" s="566">
        <f t="shared" si="109"/>
        <v>0</v>
      </c>
      <c r="Y85" s="566">
        <f t="shared" si="109"/>
        <v>0</v>
      </c>
      <c r="Z85" s="566">
        <f t="shared" si="109"/>
        <v>0</v>
      </c>
      <c r="AA85" s="566">
        <f t="shared" si="109"/>
        <v>0</v>
      </c>
      <c r="AB85" s="566">
        <f t="shared" si="109"/>
        <v>0</v>
      </c>
      <c r="AC85" s="566">
        <f t="shared" si="109"/>
        <v>0</v>
      </c>
      <c r="AD85" s="566">
        <f t="shared" si="109"/>
        <v>0</v>
      </c>
      <c r="AE85" s="566">
        <f t="shared" si="109"/>
        <v>0</v>
      </c>
      <c r="AF85" s="566">
        <f t="shared" si="109"/>
        <v>0</v>
      </c>
      <c r="AG85" s="566">
        <f t="shared" si="109"/>
        <v>0</v>
      </c>
      <c r="AH85" s="566">
        <f t="shared" si="109"/>
        <v>0</v>
      </c>
      <c r="AI85" s="566">
        <f t="shared" si="109"/>
        <v>0</v>
      </c>
      <c r="AJ85" s="899"/>
      <c r="AK85" s="625"/>
      <c r="AL85" s="625"/>
      <c r="AM85" s="531"/>
      <c r="AN85" s="531"/>
      <c r="AO85" s="531"/>
      <c r="AP85" s="531"/>
      <c r="AQ85" s="531"/>
      <c r="AR85" s="533"/>
      <c r="AS85" s="533"/>
      <c r="AT85" s="533"/>
      <c r="AU85" s="533"/>
      <c r="AV85" s="533"/>
      <c r="AW85" s="533"/>
      <c r="AX85" s="533"/>
      <c r="AY85" s="533"/>
      <c r="AZ85" s="533"/>
      <c r="BA85" s="533"/>
      <c r="BB85" s="533"/>
      <c r="BC85" s="533"/>
      <c r="BD85"/>
      <c r="BE85"/>
      <c r="BF85"/>
      <c r="BG85" s="533"/>
      <c r="BH85" s="533"/>
      <c r="BI85" s="533"/>
      <c r="BJ85" s="533"/>
      <c r="BK85" s="533"/>
      <c r="BL85" s="533"/>
      <c r="BM85" s="533"/>
      <c r="BN85" s="533"/>
      <c r="BO85" s="533"/>
      <c r="BP85" s="533"/>
      <c r="BQ85" s="533"/>
    </row>
    <row r="86" spans="1:69" s="617" customFormat="1" ht="14.5">
      <c r="A86" s="622" t="s">
        <v>1123</v>
      </c>
      <c r="B86" s="623" t="s">
        <v>1124</v>
      </c>
      <c r="C86" s="929"/>
      <c r="D86" s="930">
        <f t="shared" si="84"/>
        <v>0</v>
      </c>
      <c r="E86" s="931">
        <f>SUM('Estados Financieros'!E447,'Estados Financieros'!E449:E451,'Estados Financieros'!E442:E443,'Estados Financieros'!E444)</f>
        <v>0</v>
      </c>
      <c r="F86" s="932">
        <f t="shared" si="85"/>
        <v>0</v>
      </c>
      <c r="G86" s="933">
        <f t="shared" si="86"/>
        <v>0</v>
      </c>
      <c r="H86" s="931">
        <f>SUM('Estados Financieros'!F447,'Estados Financieros'!F449:F451,'Estados Financieros'!F442:F443,'Estados Financieros'!F444)</f>
        <v>0</v>
      </c>
      <c r="I86" s="932">
        <f t="shared" si="87"/>
        <v>0</v>
      </c>
      <c r="J86" s="933">
        <f t="shared" si="88"/>
        <v>0</v>
      </c>
      <c r="K86" s="569">
        <f>SUM('Estados Financieros'!I447,'Estados Financieros'!I449:I451,'Estados Financieros'!I442:I443,'Estados Financieros'!I444)</f>
        <v>0</v>
      </c>
      <c r="L86" s="932">
        <f t="shared" si="89"/>
        <v>0</v>
      </c>
      <c r="M86" s="933">
        <f t="shared" si="90"/>
        <v>0</v>
      </c>
      <c r="N86" s="569">
        <f>SUM('Estados Financieros'!G447,'Estados Financieros'!G449:G451,'Estados Financieros'!G442:G443,'Estados Financieros'!G444)</f>
        <v>0</v>
      </c>
      <c r="O86" s="932">
        <f t="shared" si="91"/>
        <v>0</v>
      </c>
      <c r="P86" s="933">
        <f t="shared" si="92"/>
        <v>0</v>
      </c>
      <c r="Q86" s="569">
        <f>SUM('Estados Financieros'!H447,'Estados Financieros'!H449:H451,'Estados Financieros'!H442:H443,'Estados Financieros'!H444)</f>
        <v>0</v>
      </c>
      <c r="R86" s="932">
        <f t="shared" si="93"/>
        <v>0</v>
      </c>
      <c r="S86" s="933">
        <f t="shared" si="94"/>
        <v>0</v>
      </c>
      <c r="T86" s="624">
        <f t="shared" ref="T86:AI86" si="110">T71*T396</f>
        <v>0</v>
      </c>
      <c r="U86" s="624">
        <f t="shared" si="110"/>
        <v>0</v>
      </c>
      <c r="V86" s="624">
        <f t="shared" si="110"/>
        <v>0</v>
      </c>
      <c r="W86" s="624">
        <f t="shared" si="110"/>
        <v>0</v>
      </c>
      <c r="X86" s="624">
        <f t="shared" si="110"/>
        <v>0</v>
      </c>
      <c r="Y86" s="624">
        <f t="shared" si="110"/>
        <v>0</v>
      </c>
      <c r="Z86" s="624">
        <f t="shared" si="110"/>
        <v>0</v>
      </c>
      <c r="AA86" s="624">
        <f t="shared" si="110"/>
        <v>0</v>
      </c>
      <c r="AB86" s="624">
        <f t="shared" si="110"/>
        <v>0</v>
      </c>
      <c r="AC86" s="624">
        <f t="shared" si="110"/>
        <v>0</v>
      </c>
      <c r="AD86" s="624">
        <f t="shared" si="110"/>
        <v>0</v>
      </c>
      <c r="AE86" s="624">
        <f t="shared" si="110"/>
        <v>0</v>
      </c>
      <c r="AF86" s="624">
        <f t="shared" si="110"/>
        <v>0</v>
      </c>
      <c r="AG86" s="624">
        <f t="shared" si="110"/>
        <v>0</v>
      </c>
      <c r="AH86" s="624">
        <f t="shared" si="110"/>
        <v>0</v>
      </c>
      <c r="AI86" s="624">
        <f t="shared" si="110"/>
        <v>0</v>
      </c>
      <c r="AJ86" s="923"/>
      <c r="AK86" s="924"/>
      <c r="AL86" s="924"/>
      <c r="AM86" s="616"/>
      <c r="AN86" s="616"/>
      <c r="AO86" s="616"/>
      <c r="AP86" s="616"/>
      <c r="AQ86" s="616"/>
      <c r="BD86"/>
      <c r="BE86"/>
      <c r="BF86"/>
    </row>
    <row r="87" spans="1:69" s="536" customFormat="1">
      <c r="A87" s="547"/>
      <c r="B87" s="548" t="s">
        <v>1125</v>
      </c>
      <c r="C87" s="884">
        <f>C75-C76+C77+C78+C79-C80+C81+C82+C83+C84+C85-C86</f>
        <v>0</v>
      </c>
      <c r="D87" s="885">
        <f t="shared" si="84"/>
        <v>0</v>
      </c>
      <c r="E87" s="934">
        <f>E75-E76+E77+E78+E79-E80+E81+E82+E83+E84+E85-E86</f>
        <v>0</v>
      </c>
      <c r="F87" s="886">
        <f t="shared" si="85"/>
        <v>0</v>
      </c>
      <c r="G87" s="887">
        <f t="shared" si="86"/>
        <v>0</v>
      </c>
      <c r="H87" s="934">
        <f>H75-H76+H77+H78+H79-H80+H81+H82+H83+H84+H85-H86</f>
        <v>0</v>
      </c>
      <c r="I87" s="886">
        <f t="shared" si="87"/>
        <v>0</v>
      </c>
      <c r="J87" s="887">
        <f t="shared" si="88"/>
        <v>0</v>
      </c>
      <c r="K87" s="934">
        <f>K75-K76+K77+K78+K79-K80+K81+K82+K83+K84+K85-K86</f>
        <v>0</v>
      </c>
      <c r="L87" s="886">
        <f t="shared" si="89"/>
        <v>0</v>
      </c>
      <c r="M87" s="887">
        <f t="shared" si="90"/>
        <v>0</v>
      </c>
      <c r="N87" s="934">
        <f>N75-N76+N77+N78+N79-N80+N81+N82+N83+N84+N85-N86</f>
        <v>0</v>
      </c>
      <c r="O87" s="886">
        <f t="shared" si="91"/>
        <v>0</v>
      </c>
      <c r="P87" s="887">
        <f t="shared" si="92"/>
        <v>0</v>
      </c>
      <c r="Q87" s="934">
        <f>Q75-Q76+Q77+Q78+Q79-Q80+Q81+Q82+Q83+Q84+Q85-Q86</f>
        <v>0</v>
      </c>
      <c r="R87" s="886">
        <f t="shared" si="93"/>
        <v>0</v>
      </c>
      <c r="S87" s="887">
        <f t="shared" si="94"/>
        <v>0</v>
      </c>
      <c r="T87" s="577">
        <f t="shared" ref="T87:AI87" si="111">T75-T76+T77+T78+T79-T80+T81+T82+T83+T84+T85-T86</f>
        <v>0</v>
      </c>
      <c r="U87" s="577">
        <f t="shared" si="111"/>
        <v>0</v>
      </c>
      <c r="V87" s="577">
        <f t="shared" si="111"/>
        <v>0</v>
      </c>
      <c r="W87" s="577">
        <f t="shared" si="111"/>
        <v>0</v>
      </c>
      <c r="X87" s="577">
        <f t="shared" si="111"/>
        <v>0</v>
      </c>
      <c r="Y87" s="577">
        <f t="shared" si="111"/>
        <v>0</v>
      </c>
      <c r="Z87" s="577">
        <f t="shared" si="111"/>
        <v>0</v>
      </c>
      <c r="AA87" s="577">
        <f t="shared" si="111"/>
        <v>0</v>
      </c>
      <c r="AB87" s="577">
        <f t="shared" si="111"/>
        <v>0</v>
      </c>
      <c r="AC87" s="577">
        <f t="shared" si="111"/>
        <v>0</v>
      </c>
      <c r="AD87" s="577">
        <f t="shared" si="111"/>
        <v>0</v>
      </c>
      <c r="AE87" s="577">
        <f t="shared" si="111"/>
        <v>0</v>
      </c>
      <c r="AF87" s="577">
        <f t="shared" si="111"/>
        <v>0</v>
      </c>
      <c r="AG87" s="577">
        <f t="shared" si="111"/>
        <v>0</v>
      </c>
      <c r="AH87" s="577">
        <f t="shared" si="111"/>
        <v>0</v>
      </c>
      <c r="AI87" s="577">
        <f t="shared" si="111"/>
        <v>0</v>
      </c>
      <c r="AJ87" s="899"/>
      <c r="AK87" s="625"/>
      <c r="AL87" s="625"/>
      <c r="AM87" s="531"/>
      <c r="AN87" s="531"/>
      <c r="AO87" s="531"/>
      <c r="AP87" s="531"/>
      <c r="AQ87" s="531"/>
      <c r="AR87" s="533"/>
      <c r="AS87" s="533"/>
      <c r="AT87" s="533"/>
      <c r="AU87" s="533"/>
      <c r="AV87" s="533"/>
      <c r="AW87" s="533"/>
      <c r="AX87" s="533"/>
      <c r="AY87" s="533"/>
      <c r="AZ87" s="533"/>
      <c r="BA87" s="533"/>
      <c r="BB87" s="533"/>
      <c r="BC87" s="533"/>
      <c r="BD87" s="533"/>
      <c r="BE87" s="533"/>
      <c r="BF87" s="533"/>
      <c r="BG87" s="533"/>
      <c r="BH87" s="533"/>
      <c r="BI87" s="533"/>
      <c r="BJ87" s="533"/>
      <c r="BK87" s="533"/>
      <c r="BL87" s="533"/>
      <c r="BM87" s="533"/>
      <c r="BN87" s="533"/>
      <c r="BO87" s="533"/>
      <c r="BP87" s="533"/>
      <c r="BQ87" s="533"/>
    </row>
    <row r="88" spans="1:69" s="536" customFormat="1" ht="12.5">
      <c r="A88" s="609">
        <v>42</v>
      </c>
      <c r="B88" s="610" t="s">
        <v>1126</v>
      </c>
      <c r="C88" s="913"/>
      <c r="D88" s="914">
        <f t="shared" si="84"/>
        <v>0</v>
      </c>
      <c r="E88" s="669">
        <f>'Estados Financieros'!E455</f>
        <v>0</v>
      </c>
      <c r="F88" s="916">
        <f t="shared" si="85"/>
        <v>0</v>
      </c>
      <c r="G88" s="917">
        <f t="shared" si="86"/>
        <v>0</v>
      </c>
      <c r="H88" s="669">
        <f>'Estados Financieros'!F455</f>
        <v>0</v>
      </c>
      <c r="I88" s="916">
        <f t="shared" si="87"/>
        <v>0</v>
      </c>
      <c r="J88" s="917">
        <f t="shared" si="88"/>
        <v>0</v>
      </c>
      <c r="K88" s="588">
        <f>'Estados Financieros'!I455</f>
        <v>0</v>
      </c>
      <c r="L88" s="916">
        <f t="shared" si="89"/>
        <v>0</v>
      </c>
      <c r="M88" s="917">
        <f t="shared" si="90"/>
        <v>0</v>
      </c>
      <c r="N88" s="588">
        <f>'Estados Financieros'!G455</f>
        <v>0</v>
      </c>
      <c r="O88" s="916">
        <f t="shared" si="91"/>
        <v>0</v>
      </c>
      <c r="P88" s="917">
        <f t="shared" si="92"/>
        <v>0</v>
      </c>
      <c r="Q88" s="588">
        <f>'Estados Financieros'!H455</f>
        <v>0</v>
      </c>
      <c r="R88" s="916">
        <f t="shared" si="93"/>
        <v>0</v>
      </c>
      <c r="S88" s="917">
        <f t="shared" si="94"/>
        <v>0</v>
      </c>
      <c r="T88" s="588">
        <f t="shared" ref="T88:AI88" si="112">T87*T397</f>
        <v>0</v>
      </c>
      <c r="U88" s="588">
        <f t="shared" si="112"/>
        <v>0</v>
      </c>
      <c r="V88" s="588">
        <f t="shared" si="112"/>
        <v>0</v>
      </c>
      <c r="W88" s="588">
        <f t="shared" si="112"/>
        <v>0</v>
      </c>
      <c r="X88" s="588">
        <f t="shared" si="112"/>
        <v>0</v>
      </c>
      <c r="Y88" s="588">
        <f t="shared" si="112"/>
        <v>0</v>
      </c>
      <c r="Z88" s="588">
        <f t="shared" si="112"/>
        <v>0</v>
      </c>
      <c r="AA88" s="588">
        <f t="shared" si="112"/>
        <v>0</v>
      </c>
      <c r="AB88" s="588">
        <f t="shared" si="112"/>
        <v>0</v>
      </c>
      <c r="AC88" s="588">
        <f t="shared" si="112"/>
        <v>0</v>
      </c>
      <c r="AD88" s="588">
        <f t="shared" si="112"/>
        <v>0</v>
      </c>
      <c r="AE88" s="588">
        <f t="shared" si="112"/>
        <v>0</v>
      </c>
      <c r="AF88" s="588">
        <f t="shared" si="112"/>
        <v>0</v>
      </c>
      <c r="AG88" s="588">
        <f t="shared" si="112"/>
        <v>0</v>
      </c>
      <c r="AH88" s="588">
        <f t="shared" si="112"/>
        <v>0</v>
      </c>
      <c r="AI88" s="588">
        <f t="shared" si="112"/>
        <v>0</v>
      </c>
      <c r="AJ88" s="899"/>
      <c r="AK88" s="625"/>
      <c r="AL88" s="625"/>
      <c r="AM88" s="531"/>
      <c r="AN88" s="531"/>
      <c r="AO88" s="531"/>
      <c r="AP88" s="531"/>
      <c r="AQ88" s="531"/>
      <c r="AR88" s="533"/>
      <c r="AS88" s="533"/>
      <c r="AT88" s="533"/>
      <c r="AU88" s="533"/>
      <c r="AV88" s="533"/>
      <c r="AW88" s="533"/>
      <c r="AX88" s="533"/>
      <c r="AY88" s="533"/>
      <c r="AZ88" s="533"/>
      <c r="BA88" s="533"/>
      <c r="BB88" s="533"/>
      <c r="BC88" s="533"/>
      <c r="BD88" s="533"/>
      <c r="BE88" s="533"/>
      <c r="BF88" s="533"/>
      <c r="BG88" s="533"/>
      <c r="BH88" s="533"/>
      <c r="BI88" s="533"/>
      <c r="BJ88" s="533"/>
      <c r="BK88" s="533"/>
      <c r="BL88" s="533"/>
      <c r="BM88" s="533"/>
      <c r="BN88" s="533"/>
      <c r="BO88" s="533"/>
      <c r="BP88" s="533"/>
      <c r="BQ88" s="533"/>
    </row>
    <row r="89" spans="1:69" s="536" customFormat="1">
      <c r="A89" s="547"/>
      <c r="B89" s="583" t="s">
        <v>850</v>
      </c>
      <c r="C89" s="894">
        <f>C87-C88</f>
        <v>0</v>
      </c>
      <c r="D89" s="895">
        <f t="shared" si="84"/>
        <v>0</v>
      </c>
      <c r="E89" s="584">
        <f>E87-E88</f>
        <v>0</v>
      </c>
      <c r="F89" s="896">
        <f t="shared" si="85"/>
        <v>0</v>
      </c>
      <c r="G89" s="897">
        <f t="shared" si="86"/>
        <v>0</v>
      </c>
      <c r="H89" s="584">
        <f>H87-H88</f>
        <v>0</v>
      </c>
      <c r="I89" s="896">
        <f t="shared" si="87"/>
        <v>0</v>
      </c>
      <c r="J89" s="897">
        <f t="shared" si="88"/>
        <v>0</v>
      </c>
      <c r="K89" s="584">
        <f>K87-K88</f>
        <v>0</v>
      </c>
      <c r="L89" s="896">
        <f t="shared" si="89"/>
        <v>0</v>
      </c>
      <c r="M89" s="897">
        <f t="shared" si="90"/>
        <v>0</v>
      </c>
      <c r="N89" s="584">
        <f>N87-N88</f>
        <v>0</v>
      </c>
      <c r="O89" s="896">
        <f t="shared" si="91"/>
        <v>0</v>
      </c>
      <c r="P89" s="897">
        <f t="shared" si="92"/>
        <v>0</v>
      </c>
      <c r="Q89" s="584">
        <f>Q87-Q88</f>
        <v>0</v>
      </c>
      <c r="R89" s="896">
        <f t="shared" si="93"/>
        <v>0</v>
      </c>
      <c r="S89" s="897">
        <f t="shared" si="94"/>
        <v>0</v>
      </c>
      <c r="T89" s="585">
        <f t="shared" ref="T89:AI89" si="113">T87-T88</f>
        <v>0</v>
      </c>
      <c r="U89" s="585">
        <f t="shared" si="113"/>
        <v>0</v>
      </c>
      <c r="V89" s="585">
        <f t="shared" si="113"/>
        <v>0</v>
      </c>
      <c r="W89" s="585">
        <f t="shared" si="113"/>
        <v>0</v>
      </c>
      <c r="X89" s="585">
        <f t="shared" si="113"/>
        <v>0</v>
      </c>
      <c r="Y89" s="585">
        <f t="shared" si="113"/>
        <v>0</v>
      </c>
      <c r="Z89" s="585">
        <f t="shared" si="113"/>
        <v>0</v>
      </c>
      <c r="AA89" s="585">
        <f t="shared" si="113"/>
        <v>0</v>
      </c>
      <c r="AB89" s="585">
        <f t="shared" si="113"/>
        <v>0</v>
      </c>
      <c r="AC89" s="585">
        <f t="shared" si="113"/>
        <v>0</v>
      </c>
      <c r="AD89" s="585">
        <f t="shared" si="113"/>
        <v>0</v>
      </c>
      <c r="AE89" s="585">
        <f t="shared" si="113"/>
        <v>0</v>
      </c>
      <c r="AF89" s="585">
        <f t="shared" si="113"/>
        <v>0</v>
      </c>
      <c r="AG89" s="585">
        <f t="shared" si="113"/>
        <v>0</v>
      </c>
      <c r="AH89" s="585">
        <f t="shared" si="113"/>
        <v>0</v>
      </c>
      <c r="AI89" s="585">
        <f t="shared" si="113"/>
        <v>0</v>
      </c>
      <c r="AJ89" s="853"/>
      <c r="AK89" s="531"/>
      <c r="AL89" s="531"/>
      <c r="AM89" s="531"/>
      <c r="AN89" s="625"/>
      <c r="AO89" s="625"/>
      <c r="AP89" s="625"/>
      <c r="AQ89" s="625"/>
      <c r="AR89" s="531"/>
      <c r="AS89" s="531"/>
      <c r="AT89" s="531"/>
      <c r="AU89" s="533"/>
      <c r="AV89" s="533"/>
      <c r="AW89" s="533"/>
      <c r="AX89" s="533"/>
      <c r="AY89" s="533"/>
      <c r="AZ89" s="533"/>
      <c r="BA89" s="533"/>
      <c r="BB89" s="533"/>
      <c r="BC89" s="533"/>
      <c r="BD89" s="533"/>
      <c r="BE89" s="533"/>
      <c r="BF89" s="533"/>
      <c r="BG89" s="533"/>
      <c r="BH89" s="533"/>
      <c r="BI89" s="533"/>
      <c r="BJ89" s="533"/>
      <c r="BK89" s="533"/>
      <c r="BL89" s="533"/>
      <c r="BM89" s="533"/>
      <c r="BN89" s="533"/>
      <c r="BO89" s="533"/>
      <c r="BP89" s="533"/>
      <c r="BQ89" s="533"/>
    </row>
    <row r="90" spans="1:69" s="536" customFormat="1" ht="12.5">
      <c r="A90" s="558">
        <v>43</v>
      </c>
      <c r="B90" s="578" t="s">
        <v>1127</v>
      </c>
      <c r="C90" s="935"/>
      <c r="D90" s="936">
        <f t="shared" si="84"/>
        <v>0</v>
      </c>
      <c r="E90" s="626">
        <f>'Estados Financieros'!E388+'Estados Financieros'!E403+'Estados Financieros'!E404+'Estados Financieros'!E420+'Estados Financieros'!E421</f>
        <v>0</v>
      </c>
      <c r="F90" s="937">
        <f t="shared" si="85"/>
        <v>0</v>
      </c>
      <c r="G90" s="938">
        <f t="shared" si="86"/>
        <v>0</v>
      </c>
      <c r="H90" s="939">
        <f>'Estados Financieros'!F388+'Estados Financieros'!F403+'Estados Financieros'!F404+'Estados Financieros'!F420+'Estados Financieros'!F421</f>
        <v>0</v>
      </c>
      <c r="I90" s="937">
        <f t="shared" si="87"/>
        <v>0</v>
      </c>
      <c r="J90" s="938">
        <f t="shared" si="88"/>
        <v>0</v>
      </c>
      <c r="K90" s="626">
        <f>'Estados Financieros'!I388+'Estados Financieros'!I403+'Estados Financieros'!I404+'Estados Financieros'!I420+'Estados Financieros'!I421</f>
        <v>0</v>
      </c>
      <c r="L90" s="937">
        <f t="shared" si="89"/>
        <v>0</v>
      </c>
      <c r="M90" s="938">
        <f t="shared" si="90"/>
        <v>0</v>
      </c>
      <c r="N90" s="626">
        <f>'Estados Financieros'!G388+'Estados Financieros'!G403+'Estados Financieros'!G404+'Estados Financieros'!G420+'Estados Financieros'!G421</f>
        <v>0</v>
      </c>
      <c r="O90" s="937">
        <f t="shared" si="91"/>
        <v>0</v>
      </c>
      <c r="P90" s="938">
        <f t="shared" si="92"/>
        <v>0</v>
      </c>
      <c r="Q90" s="626">
        <f>'Estados Financieros'!H388+'Estados Financieros'!H403+'Estados Financieros'!H404+'Estados Financieros'!H420+'Estados Financieros'!H421</f>
        <v>0</v>
      </c>
      <c r="R90" s="937">
        <f t="shared" si="93"/>
        <v>0</v>
      </c>
      <c r="S90" s="938">
        <f t="shared" si="94"/>
        <v>0</v>
      </c>
      <c r="T90" s="628">
        <f t="shared" ref="T90:AI90" si="114">T409*T28</f>
        <v>0</v>
      </c>
      <c r="U90" s="628">
        <f t="shared" si="114"/>
        <v>0</v>
      </c>
      <c r="V90" s="628">
        <f t="shared" si="114"/>
        <v>0</v>
      </c>
      <c r="W90" s="628">
        <f t="shared" si="114"/>
        <v>0</v>
      </c>
      <c r="X90" s="628">
        <f t="shared" si="114"/>
        <v>0</v>
      </c>
      <c r="Y90" s="628">
        <f t="shared" si="114"/>
        <v>0</v>
      </c>
      <c r="Z90" s="628">
        <f t="shared" si="114"/>
        <v>0</v>
      </c>
      <c r="AA90" s="628">
        <f t="shared" si="114"/>
        <v>0</v>
      </c>
      <c r="AB90" s="628">
        <f t="shared" si="114"/>
        <v>0</v>
      </c>
      <c r="AC90" s="628">
        <f t="shared" si="114"/>
        <v>0</v>
      </c>
      <c r="AD90" s="628">
        <f t="shared" si="114"/>
        <v>0</v>
      </c>
      <c r="AE90" s="628">
        <f t="shared" si="114"/>
        <v>0</v>
      </c>
      <c r="AF90" s="628">
        <f t="shared" si="114"/>
        <v>0</v>
      </c>
      <c r="AG90" s="628">
        <f t="shared" si="114"/>
        <v>0</v>
      </c>
      <c r="AH90" s="628">
        <f t="shared" si="114"/>
        <v>0</v>
      </c>
      <c r="AI90" s="628">
        <f t="shared" si="114"/>
        <v>0</v>
      </c>
      <c r="AJ90" s="853"/>
      <c r="AK90" s="531"/>
      <c r="AL90" s="531"/>
      <c r="AM90" s="531"/>
      <c r="AN90" s="625"/>
      <c r="AO90" s="625"/>
      <c r="AP90" s="625"/>
      <c r="AQ90" s="625"/>
      <c r="AR90" s="531"/>
      <c r="AS90" s="531"/>
      <c r="AT90" s="531"/>
      <c r="AU90" s="533"/>
      <c r="AV90" s="533"/>
      <c r="AW90" s="533"/>
      <c r="AX90" s="533"/>
      <c r="AY90" s="533"/>
      <c r="AZ90" s="533"/>
      <c r="BA90" s="533"/>
      <c r="BB90" s="533"/>
      <c r="BC90" s="533"/>
      <c r="BD90" s="533"/>
      <c r="BE90" s="533"/>
      <c r="BF90" s="533"/>
      <c r="BG90" s="533"/>
      <c r="BH90" s="533"/>
      <c r="BI90" s="533"/>
      <c r="BJ90" s="533"/>
      <c r="BK90" s="533"/>
      <c r="BL90" s="533"/>
      <c r="BM90" s="533"/>
      <c r="BN90" s="533"/>
      <c r="BO90" s="533"/>
      <c r="BP90" s="533"/>
      <c r="BQ90" s="533"/>
    </row>
    <row r="91" spans="1:69" s="536" customFormat="1" ht="12.5">
      <c r="A91" s="567">
        <v>44</v>
      </c>
      <c r="B91" s="568" t="s">
        <v>1128</v>
      </c>
      <c r="C91" s="940"/>
      <c r="D91" s="941">
        <f t="shared" si="84"/>
        <v>0</v>
      </c>
      <c r="E91" s="629"/>
      <c r="F91" s="942">
        <f t="shared" si="85"/>
        <v>0</v>
      </c>
      <c r="G91" s="943">
        <f t="shared" si="86"/>
        <v>0</v>
      </c>
      <c r="H91" s="944"/>
      <c r="I91" s="942">
        <f t="shared" si="87"/>
        <v>0</v>
      </c>
      <c r="J91" s="943">
        <f t="shared" si="88"/>
        <v>0</v>
      </c>
      <c r="K91" s="629"/>
      <c r="L91" s="942">
        <f t="shared" si="89"/>
        <v>0</v>
      </c>
      <c r="M91" s="943">
        <f t="shared" si="90"/>
        <v>0</v>
      </c>
      <c r="N91" s="629"/>
      <c r="O91" s="942">
        <f t="shared" si="91"/>
        <v>0</v>
      </c>
      <c r="P91" s="943">
        <f t="shared" si="92"/>
        <v>0</v>
      </c>
      <c r="Q91" s="629"/>
      <c r="R91" s="942">
        <f t="shared" si="93"/>
        <v>0</v>
      </c>
      <c r="S91" s="943">
        <f t="shared" si="94"/>
        <v>0</v>
      </c>
      <c r="T91" s="630">
        <f t="shared" ref="T91:AI91" si="115">T411*T30</f>
        <v>0</v>
      </c>
      <c r="U91" s="630">
        <f t="shared" si="115"/>
        <v>0</v>
      </c>
      <c r="V91" s="630">
        <f t="shared" si="115"/>
        <v>0</v>
      </c>
      <c r="W91" s="630">
        <f t="shared" si="115"/>
        <v>0</v>
      </c>
      <c r="X91" s="630">
        <f t="shared" si="115"/>
        <v>0</v>
      </c>
      <c r="Y91" s="630">
        <f t="shared" si="115"/>
        <v>0</v>
      </c>
      <c r="Z91" s="630">
        <f t="shared" si="115"/>
        <v>0</v>
      </c>
      <c r="AA91" s="630">
        <f t="shared" si="115"/>
        <v>0</v>
      </c>
      <c r="AB91" s="630">
        <f t="shared" si="115"/>
        <v>0</v>
      </c>
      <c r="AC91" s="630">
        <f t="shared" si="115"/>
        <v>0</v>
      </c>
      <c r="AD91" s="630">
        <f t="shared" si="115"/>
        <v>0</v>
      </c>
      <c r="AE91" s="630">
        <f t="shared" si="115"/>
        <v>0</v>
      </c>
      <c r="AF91" s="630">
        <f t="shared" si="115"/>
        <v>0</v>
      </c>
      <c r="AG91" s="630">
        <f t="shared" si="115"/>
        <v>0</v>
      </c>
      <c r="AH91" s="630">
        <f t="shared" si="115"/>
        <v>0</v>
      </c>
      <c r="AI91" s="630">
        <f t="shared" si="115"/>
        <v>0</v>
      </c>
      <c r="AJ91" s="853"/>
      <c r="AK91" s="531"/>
      <c r="AL91" s="531"/>
      <c r="AM91" s="531"/>
      <c r="AN91" s="625"/>
      <c r="AO91" s="625"/>
      <c r="AP91" s="625"/>
      <c r="AQ91" s="625"/>
      <c r="AR91" s="531"/>
      <c r="AS91" s="531"/>
      <c r="AT91" s="531"/>
      <c r="AU91" s="533"/>
      <c r="AV91" s="533"/>
      <c r="AW91" s="533"/>
      <c r="AX91" s="533"/>
      <c r="AY91" s="533"/>
      <c r="AZ91" s="533"/>
      <c r="BA91" s="533"/>
      <c r="BB91" s="533"/>
      <c r="BC91" s="533"/>
      <c r="BD91" s="533"/>
      <c r="BE91" s="533"/>
      <c r="BF91" s="533"/>
      <c r="BG91" s="533"/>
      <c r="BH91" s="533"/>
      <c r="BI91" s="533"/>
      <c r="BJ91" s="533"/>
      <c r="BK91" s="533"/>
      <c r="BL91" s="533"/>
      <c r="BM91" s="533"/>
      <c r="BN91" s="533"/>
      <c r="BO91" s="533"/>
      <c r="BP91" s="533"/>
      <c r="BQ91" s="533"/>
    </row>
    <row r="92" spans="1:69" s="536" customFormat="1" ht="12.5">
      <c r="A92" s="567">
        <v>45</v>
      </c>
      <c r="B92" s="573" t="s">
        <v>1129</v>
      </c>
      <c r="C92" s="945"/>
      <c r="D92" s="941">
        <f t="shared" si="84"/>
        <v>0</v>
      </c>
      <c r="E92" s="631"/>
      <c r="F92" s="942">
        <f t="shared" si="85"/>
        <v>0</v>
      </c>
      <c r="G92" s="943">
        <f t="shared" si="86"/>
        <v>0</v>
      </c>
      <c r="H92" s="946"/>
      <c r="I92" s="942">
        <f t="shared" si="87"/>
        <v>0</v>
      </c>
      <c r="J92" s="943">
        <f t="shared" si="88"/>
        <v>0</v>
      </c>
      <c r="K92" s="631"/>
      <c r="L92" s="942">
        <f t="shared" si="89"/>
        <v>0</v>
      </c>
      <c r="M92" s="943">
        <f t="shared" si="90"/>
        <v>0</v>
      </c>
      <c r="N92" s="631"/>
      <c r="O92" s="942">
        <f t="shared" si="91"/>
        <v>0</v>
      </c>
      <c r="P92" s="943">
        <f t="shared" si="92"/>
        <v>0</v>
      </c>
      <c r="Q92" s="631"/>
      <c r="R92" s="942">
        <f t="shared" si="93"/>
        <v>0</v>
      </c>
      <c r="S92" s="943">
        <f t="shared" si="94"/>
        <v>0</v>
      </c>
      <c r="T92" s="569">
        <f t="shared" ref="T92:AI92" si="116">T413*T31</f>
        <v>0</v>
      </c>
      <c r="U92" s="632">
        <f t="shared" si="116"/>
        <v>0</v>
      </c>
      <c r="V92" s="632">
        <f t="shared" si="116"/>
        <v>0</v>
      </c>
      <c r="W92" s="632">
        <f t="shared" si="116"/>
        <v>0</v>
      </c>
      <c r="X92" s="632">
        <f t="shared" si="116"/>
        <v>0</v>
      </c>
      <c r="Y92" s="632">
        <f t="shared" si="116"/>
        <v>0</v>
      </c>
      <c r="Z92" s="632">
        <f t="shared" si="116"/>
        <v>0</v>
      </c>
      <c r="AA92" s="632">
        <f t="shared" si="116"/>
        <v>0</v>
      </c>
      <c r="AB92" s="632">
        <f t="shared" si="116"/>
        <v>0</v>
      </c>
      <c r="AC92" s="632">
        <f t="shared" si="116"/>
        <v>0</v>
      </c>
      <c r="AD92" s="632">
        <f t="shared" si="116"/>
        <v>0</v>
      </c>
      <c r="AE92" s="632">
        <f t="shared" si="116"/>
        <v>0</v>
      </c>
      <c r="AF92" s="632">
        <f t="shared" si="116"/>
        <v>0</v>
      </c>
      <c r="AG92" s="632">
        <f t="shared" si="116"/>
        <v>0</v>
      </c>
      <c r="AH92" s="632">
        <f t="shared" si="116"/>
        <v>0</v>
      </c>
      <c r="AI92" s="632">
        <f t="shared" si="116"/>
        <v>0</v>
      </c>
      <c r="AJ92" s="853"/>
      <c r="AK92" s="531"/>
      <c r="AL92" s="531"/>
      <c r="AM92" s="531"/>
      <c r="AN92" s="625"/>
      <c r="AO92" s="625"/>
      <c r="AP92" s="625"/>
      <c r="AQ92" s="625"/>
      <c r="AR92" s="531"/>
      <c r="AS92" s="531"/>
      <c r="AT92" s="531"/>
      <c r="AU92" s="533"/>
      <c r="AV92" s="533"/>
      <c r="AW92" s="533"/>
      <c r="AX92" s="533"/>
      <c r="AY92" s="533"/>
      <c r="AZ92" s="533"/>
      <c r="BA92" s="533"/>
      <c r="BB92" s="533"/>
      <c r="BC92" s="533"/>
      <c r="BD92" s="533"/>
      <c r="BE92" s="533"/>
      <c r="BF92" s="533"/>
      <c r="BG92" s="533"/>
      <c r="BH92" s="533"/>
      <c r="BI92" s="533"/>
      <c r="BJ92" s="533"/>
      <c r="BK92" s="533"/>
      <c r="BL92" s="533"/>
      <c r="BM92" s="533"/>
      <c r="BN92" s="533"/>
      <c r="BO92" s="533"/>
      <c r="BP92" s="533"/>
      <c r="BQ92" s="533"/>
    </row>
    <row r="93" spans="1:69" s="536" customFormat="1" ht="12.5">
      <c r="A93" s="582">
        <v>46</v>
      </c>
      <c r="B93" s="633" t="s">
        <v>881</v>
      </c>
      <c r="C93" s="947">
        <f>C75+SUM(C90:C92)</f>
        <v>0</v>
      </c>
      <c r="D93" s="948">
        <f t="shared" si="84"/>
        <v>0</v>
      </c>
      <c r="E93" s="947">
        <f>E75+SUM(E90:E92)</f>
        <v>0</v>
      </c>
      <c r="F93" s="949">
        <f t="shared" si="85"/>
        <v>0</v>
      </c>
      <c r="G93" s="950">
        <f t="shared" si="86"/>
        <v>0</v>
      </c>
      <c r="H93" s="947">
        <f>H75+SUM(H90:H92)</f>
        <v>0</v>
      </c>
      <c r="I93" s="949">
        <f t="shared" si="87"/>
        <v>0</v>
      </c>
      <c r="J93" s="950">
        <f t="shared" si="88"/>
        <v>0</v>
      </c>
      <c r="K93" s="634">
        <f>K75+SUM(K90:K92)</f>
        <v>0</v>
      </c>
      <c r="L93" s="951">
        <f t="shared" si="89"/>
        <v>0</v>
      </c>
      <c r="M93" s="950">
        <f t="shared" si="90"/>
        <v>0</v>
      </c>
      <c r="N93" s="634">
        <f>N75+SUM(N90:N92)</f>
        <v>0</v>
      </c>
      <c r="O93" s="949">
        <f t="shared" si="91"/>
        <v>0</v>
      </c>
      <c r="P93" s="950">
        <f t="shared" si="92"/>
        <v>0</v>
      </c>
      <c r="Q93" s="634">
        <f>Q75+SUM(Q90:Q92)</f>
        <v>0</v>
      </c>
      <c r="R93" s="949">
        <f t="shared" si="93"/>
        <v>0</v>
      </c>
      <c r="S93" s="950">
        <f t="shared" si="94"/>
        <v>0</v>
      </c>
      <c r="T93" s="634">
        <f t="shared" ref="T93:AI93" si="117">T75+SUM(T90:T92)</f>
        <v>0</v>
      </c>
      <c r="U93" s="634">
        <f t="shared" si="117"/>
        <v>0</v>
      </c>
      <c r="V93" s="634">
        <f t="shared" si="117"/>
        <v>0</v>
      </c>
      <c r="W93" s="634">
        <f t="shared" si="117"/>
        <v>0</v>
      </c>
      <c r="X93" s="634">
        <f t="shared" si="117"/>
        <v>0</v>
      </c>
      <c r="Y93" s="634">
        <f t="shared" si="117"/>
        <v>0</v>
      </c>
      <c r="Z93" s="634">
        <f t="shared" si="117"/>
        <v>0</v>
      </c>
      <c r="AA93" s="634">
        <f t="shared" si="117"/>
        <v>0</v>
      </c>
      <c r="AB93" s="634">
        <f t="shared" si="117"/>
        <v>0</v>
      </c>
      <c r="AC93" s="634">
        <f t="shared" si="117"/>
        <v>0</v>
      </c>
      <c r="AD93" s="634">
        <f t="shared" si="117"/>
        <v>0</v>
      </c>
      <c r="AE93" s="634">
        <f t="shared" si="117"/>
        <v>0</v>
      </c>
      <c r="AF93" s="634">
        <f t="shared" si="117"/>
        <v>0</v>
      </c>
      <c r="AG93" s="634">
        <f t="shared" si="117"/>
        <v>0</v>
      </c>
      <c r="AH93" s="634">
        <f t="shared" si="117"/>
        <v>0</v>
      </c>
      <c r="AI93" s="634">
        <f t="shared" si="117"/>
        <v>0</v>
      </c>
      <c r="AJ93" s="853"/>
      <c r="AK93" s="533"/>
      <c r="AL93" s="533"/>
      <c r="AM93" s="533"/>
      <c r="AN93" s="625"/>
      <c r="AO93" s="625"/>
      <c r="AP93" s="625"/>
      <c r="AQ93" s="625"/>
      <c r="AR93" s="533"/>
      <c r="AS93" s="533"/>
      <c r="AT93" s="533"/>
      <c r="AU93" s="533"/>
      <c r="AV93" s="533"/>
      <c r="AW93" s="533"/>
      <c r="AX93" s="533"/>
      <c r="AY93" s="533"/>
      <c r="AZ93" s="533"/>
      <c r="BA93" s="533"/>
      <c r="BB93" s="533"/>
      <c r="BC93" s="533"/>
      <c r="BD93" s="533"/>
      <c r="BE93" s="533"/>
      <c r="BF93" s="533"/>
      <c r="BG93" s="533"/>
      <c r="BH93" s="533"/>
      <c r="BI93" s="533"/>
      <c r="BJ93" s="533"/>
      <c r="BK93" s="533"/>
      <c r="BL93" s="533"/>
      <c r="BM93" s="533"/>
      <c r="BN93" s="533"/>
      <c r="BO93" s="533"/>
      <c r="BP93" s="533"/>
      <c r="BQ93" s="533"/>
    </row>
    <row r="94" spans="1:69" s="536" customFormat="1" ht="12.5">
      <c r="A94" s="636"/>
      <c r="B94" s="548" t="s">
        <v>1130</v>
      </c>
      <c r="C94" s="952"/>
      <c r="D94" s="561"/>
      <c r="E94" s="952">
        <f>(E28-E114+E29+E115)-(C28-C114+C29+C115)+E90-(C114-C115)</f>
        <v>0</v>
      </c>
      <c r="F94" s="561"/>
      <c r="G94" s="561"/>
      <c r="H94" s="952">
        <f>(H28-H114+H29+H115)-(E28-E114+E29+E115)+H90-(E114-E115)</f>
        <v>0</v>
      </c>
      <c r="I94" s="561"/>
      <c r="J94" s="561"/>
      <c r="K94" s="637">
        <f>(K28-K114+K29+K115)-(H28-H114+H29+H115)+K90-(H114-H115)</f>
        <v>0</v>
      </c>
      <c r="L94" s="561"/>
      <c r="M94" s="561"/>
      <c r="N94" s="637">
        <f>(N28-N114+N29+N115)-(H28-H114+H29+H115)+N90-(H114-H115)</f>
        <v>0</v>
      </c>
      <c r="O94" s="561"/>
      <c r="P94" s="561"/>
      <c r="Q94" s="637">
        <f>IF(OR($C$3=$L$913,$C$3=0),(Q28-Q114+Q29+Q115)-(N28-N114+N29+N115)+Q90-(N114-N115),(Q28-Q114+Q29+Q115)-(K28-K114+K29+K115)+Q90-(K114-K115))</f>
        <v>0</v>
      </c>
      <c r="R94" s="561"/>
      <c r="S94" s="561"/>
      <c r="T94" s="637">
        <f>(T28-T114+T29+T115)-(N28-N114+N29+N115)+T90-(N114-N115)</f>
        <v>0</v>
      </c>
      <c r="U94" s="637">
        <f t="shared" ref="U94:AI94" si="118">(U28-U114+U29+U115)-(T28-T114+T29+T115)+U90-(T114-T115)</f>
        <v>0</v>
      </c>
      <c r="V94" s="637">
        <f t="shared" si="118"/>
        <v>0</v>
      </c>
      <c r="W94" s="637">
        <f t="shared" si="118"/>
        <v>0</v>
      </c>
      <c r="X94" s="637">
        <f t="shared" si="118"/>
        <v>0</v>
      </c>
      <c r="Y94" s="637">
        <f t="shared" si="118"/>
        <v>0</v>
      </c>
      <c r="Z94" s="637">
        <f t="shared" si="118"/>
        <v>0</v>
      </c>
      <c r="AA94" s="637">
        <f t="shared" si="118"/>
        <v>0</v>
      </c>
      <c r="AB94" s="637">
        <f t="shared" si="118"/>
        <v>0</v>
      </c>
      <c r="AC94" s="637">
        <f t="shared" si="118"/>
        <v>0</v>
      </c>
      <c r="AD94" s="637">
        <f t="shared" si="118"/>
        <v>0</v>
      </c>
      <c r="AE94" s="637">
        <f t="shared" si="118"/>
        <v>0</v>
      </c>
      <c r="AF94" s="637">
        <f t="shared" si="118"/>
        <v>0</v>
      </c>
      <c r="AG94" s="637">
        <f t="shared" si="118"/>
        <v>0</v>
      </c>
      <c r="AH94" s="637">
        <f t="shared" si="118"/>
        <v>0</v>
      </c>
      <c r="AI94" s="637">
        <f t="shared" si="118"/>
        <v>0</v>
      </c>
      <c r="AJ94" s="856"/>
    </row>
    <row r="95" spans="1:69" s="536" customFormat="1" ht="12.5">
      <c r="A95" s="636"/>
      <c r="B95" s="548" t="s">
        <v>1131</v>
      </c>
      <c r="C95" s="952"/>
      <c r="D95" s="561"/>
      <c r="E95" s="952">
        <f>(E28-E114)-(C28-C114)-(C114-C115)</f>
        <v>0</v>
      </c>
      <c r="F95" s="561"/>
      <c r="G95" s="561"/>
      <c r="H95" s="952">
        <f>(H28-H114)-(E28-E114)-(E114-E115)</f>
        <v>0</v>
      </c>
      <c r="I95" s="561"/>
      <c r="J95" s="561"/>
      <c r="K95" s="637">
        <f>(K28-K114)-(H28-H114)-(H114-H115)</f>
        <v>0</v>
      </c>
      <c r="L95" s="561"/>
      <c r="M95" s="561"/>
      <c r="N95" s="637">
        <f>(N28-N114)-(H28-H114)-(H114-H115)</f>
        <v>0</v>
      </c>
      <c r="O95" s="561"/>
      <c r="P95" s="561"/>
      <c r="Q95" s="637">
        <f>IF(OR($C$3=$L$913,$C$3=0),(Q28-Q114)-(N28-N114)-(N114-N115),(Q28-Q114)-(K28-K114)-(K114-K115))</f>
        <v>0</v>
      </c>
      <c r="R95" s="561"/>
      <c r="S95" s="561"/>
      <c r="T95" s="637">
        <f>(T28-T114)-(N28-N114)-(N114-N115)</f>
        <v>0</v>
      </c>
      <c r="U95" s="637">
        <f t="shared" ref="U95:AI95" si="119">(U28-U114)-(T28-T114)-(T114-T115)</f>
        <v>0</v>
      </c>
      <c r="V95" s="637">
        <f t="shared" si="119"/>
        <v>0</v>
      </c>
      <c r="W95" s="637">
        <f t="shared" si="119"/>
        <v>0</v>
      </c>
      <c r="X95" s="637">
        <f t="shared" si="119"/>
        <v>0</v>
      </c>
      <c r="Y95" s="637">
        <f t="shared" si="119"/>
        <v>0</v>
      </c>
      <c r="Z95" s="637">
        <f t="shared" si="119"/>
        <v>0</v>
      </c>
      <c r="AA95" s="637">
        <f t="shared" si="119"/>
        <v>0</v>
      </c>
      <c r="AB95" s="637">
        <f t="shared" si="119"/>
        <v>0</v>
      </c>
      <c r="AC95" s="637">
        <f t="shared" si="119"/>
        <v>0</v>
      </c>
      <c r="AD95" s="637">
        <f t="shared" si="119"/>
        <v>0</v>
      </c>
      <c r="AE95" s="637">
        <f t="shared" si="119"/>
        <v>0</v>
      </c>
      <c r="AF95" s="637">
        <f t="shared" si="119"/>
        <v>0</v>
      </c>
      <c r="AG95" s="637">
        <f t="shared" si="119"/>
        <v>0</v>
      </c>
      <c r="AH95" s="637">
        <f t="shared" si="119"/>
        <v>0</v>
      </c>
      <c r="AI95" s="637">
        <f t="shared" si="119"/>
        <v>0</v>
      </c>
      <c r="AJ95" s="856"/>
    </row>
    <row r="96" spans="1:69" s="536" customFormat="1">
      <c r="A96" s="547"/>
      <c r="B96" s="640"/>
      <c r="C96" s="953"/>
      <c r="D96" s="531"/>
      <c r="E96" s="641"/>
      <c r="F96" s="954"/>
      <c r="G96" s="954"/>
      <c r="H96" s="641"/>
      <c r="I96" s="955"/>
      <c r="J96" s="955"/>
      <c r="K96" s="641"/>
      <c r="L96" s="954"/>
      <c r="M96" s="956"/>
      <c r="N96" s="641"/>
      <c r="O96" s="954"/>
      <c r="P96" s="956"/>
      <c r="Q96" s="641"/>
      <c r="R96" s="531"/>
      <c r="S96" s="539"/>
      <c r="T96" s="531"/>
      <c r="U96" s="531"/>
      <c r="V96" s="530"/>
      <c r="W96" s="530"/>
      <c r="X96" s="530"/>
      <c r="Y96" s="530"/>
      <c r="Z96" s="530"/>
      <c r="AA96" s="530"/>
      <c r="AB96" s="530"/>
      <c r="AC96" s="530"/>
      <c r="AD96" s="530"/>
      <c r="AE96" s="643"/>
      <c r="AF96" s="531"/>
      <c r="AG96" s="531"/>
      <c r="AH96" s="531"/>
      <c r="AI96" s="531"/>
      <c r="AJ96" s="853"/>
      <c r="AK96" s="531"/>
      <c r="AL96" s="531"/>
      <c r="AM96" s="531"/>
      <c r="AN96" s="625"/>
      <c r="AO96" s="625"/>
      <c r="AP96" s="625"/>
      <c r="AQ96" s="625"/>
      <c r="AR96" s="531"/>
      <c r="AS96" s="531"/>
      <c r="AT96" s="531"/>
      <c r="AU96" s="533"/>
      <c r="AV96" s="533"/>
      <c r="AW96" s="533"/>
      <c r="AX96" s="533"/>
      <c r="AY96" s="533"/>
      <c r="AZ96" s="533"/>
      <c r="BA96" s="533"/>
      <c r="BB96" s="533"/>
      <c r="BC96" s="533"/>
      <c r="BD96" s="533"/>
      <c r="BE96" s="533"/>
      <c r="BF96" s="533"/>
      <c r="BG96" s="533"/>
      <c r="BH96" s="533"/>
      <c r="BI96" s="533"/>
      <c r="BJ96" s="533"/>
      <c r="BK96" s="533"/>
      <c r="BL96" s="533"/>
      <c r="BM96" s="533"/>
      <c r="BN96" s="533"/>
      <c r="BO96" s="533"/>
      <c r="BP96" s="533"/>
      <c r="BQ96" s="533"/>
    </row>
    <row r="97" spans="1:46" s="535" customFormat="1">
      <c r="A97" s="644"/>
      <c r="B97" s="645" t="s">
        <v>1132</v>
      </c>
      <c r="C97" s="957"/>
      <c r="D97" s="958">
        <f>IF(OR(C97=0,C$34=0),0,C97/C$34)</f>
        <v>0</v>
      </c>
      <c r="E97" s="646"/>
      <c r="F97" s="959">
        <f>IF(OR(E97=0,E$34=0),0,E97/E$34)</f>
        <v>0</v>
      </c>
      <c r="G97" s="960">
        <f>IF(OR(C97=0,E97=0),0,IF(ABS((E97/C97)-1)&gt;1000000%,0,(E97/C97)-1))</f>
        <v>0</v>
      </c>
      <c r="H97" s="646"/>
      <c r="I97" s="961">
        <f>IF(OR(H97=0,H$34=0),0,H97/H$34)</f>
        <v>0</v>
      </c>
      <c r="J97" s="960">
        <f>IF(OR(E97=0,H97=0),0,IF(ABS((H97/E97)-1)&gt;1000000%,0,(H97/E97)-1))</f>
        <v>0</v>
      </c>
      <c r="K97" s="962"/>
      <c r="L97" s="963">
        <f>IF(OR(K97=0,K$34=0),0,K97/K$34)</f>
        <v>0</v>
      </c>
      <c r="M97" s="963">
        <f>IF(OR(H97=0,K97=0),0,(K97/H97)-1)</f>
        <v>0</v>
      </c>
      <c r="N97" s="646"/>
      <c r="O97" s="961">
        <f>IF(OR(N97=0,N$34=0),0,N97/N$34)</f>
        <v>0</v>
      </c>
      <c r="P97" s="960">
        <f>IF(OR(H97=0,N97=0),0,IF(ABS((N97/H97)-1)&gt;1000000%,0,(N97/H97)-1))</f>
        <v>0</v>
      </c>
      <c r="Q97" s="646"/>
      <c r="R97" s="961">
        <f>IF(OR(Q97=0,Q$34=0),0,Q97/Q$34)</f>
        <v>0</v>
      </c>
      <c r="S97" s="960">
        <f>IF(OR(N97=0,Q97=0),0,IF(ABS((Q97/N97)-1)&gt;1000000%,0,(Q97/N97)-1))</f>
        <v>0</v>
      </c>
      <c r="T97" s="964"/>
      <c r="AJ97" s="856"/>
    </row>
    <row r="98" spans="1:46" s="535" customFormat="1">
      <c r="A98" s="644"/>
      <c r="B98" s="645" t="s">
        <v>1133</v>
      </c>
      <c r="C98" s="646"/>
      <c r="D98" s="958">
        <f>IF(OR(C98=0,C$59=0),0,C98/C$59)</f>
        <v>0</v>
      </c>
      <c r="E98" s="646"/>
      <c r="F98" s="959">
        <f>IF(OR(E98=0,E$59=0),0,E98/E$59)</f>
        <v>0</v>
      </c>
      <c r="G98" s="960">
        <f>IF(OR(C98=0,E98=0),0,IF(ABS((E98/C98)-1)&gt;1000000%,0,(E98/C98)-1))</f>
        <v>0</v>
      </c>
      <c r="H98" s="646"/>
      <c r="I98" s="961">
        <f>IF(OR(H98=0,H$59=0),0,H98/H$59)</f>
        <v>0</v>
      </c>
      <c r="J98" s="960">
        <f>IF(OR(E98=0,H98=0),0,IF(ABS((H98/E98)-1)&gt;1000000%,0,(H98/E98)-1))</f>
        <v>0</v>
      </c>
      <c r="K98" s="962"/>
      <c r="L98" s="963">
        <f>IF(OR(K98=0,K$59=0),0,K98/K$59)</f>
        <v>0</v>
      </c>
      <c r="M98" s="963">
        <f>IF(OR(H98=0,K98=0),0,(K98/H98)-1)</f>
        <v>0</v>
      </c>
      <c r="N98" s="646"/>
      <c r="O98" s="961">
        <f>IF(OR(N98=0,N$59=0),0,N98/N$59)</f>
        <v>0</v>
      </c>
      <c r="P98" s="960">
        <f>IF(OR(H98=0,N98=0),0,IF(ABS((N98/H98)-1)&gt;1000000%,0,(N98/H98)-1))</f>
        <v>0</v>
      </c>
      <c r="Q98" s="646"/>
      <c r="R98" s="961">
        <f>IF(OR(Q98=0,Q$59=0),0,Q98/Q$59)</f>
        <v>0</v>
      </c>
      <c r="S98" s="960">
        <f>IF(OR(N98=0,Q98=0),0,IF(ABS((Q98/N98)-1)&gt;1000000%,0,(Q98/N98)-1))</f>
        <v>0</v>
      </c>
      <c r="T98" s="964"/>
      <c r="AJ98" s="856"/>
    </row>
    <row r="99" spans="1:46" s="535" customFormat="1">
      <c r="A99" s="644" t="s">
        <v>1134</v>
      </c>
      <c r="B99" s="650"/>
      <c r="C99" s="541"/>
      <c r="E99" s="541"/>
      <c r="H99" s="541"/>
      <c r="K99" s="541"/>
      <c r="N99" s="541"/>
      <c r="Q99" s="541"/>
      <c r="V99" s="534"/>
      <c r="W99" s="534"/>
      <c r="X99" s="534"/>
      <c r="Y99" s="534"/>
      <c r="Z99" s="534"/>
      <c r="AA99" s="534"/>
      <c r="AB99" s="534"/>
      <c r="AC99" s="534"/>
      <c r="AD99" s="534"/>
      <c r="AE99" s="651"/>
      <c r="AJ99" s="856"/>
    </row>
    <row r="100" spans="1:46" s="535" customFormat="1">
      <c r="A100" s="644"/>
      <c r="B100" s="652" t="s">
        <v>1135</v>
      </c>
      <c r="C100" s="541"/>
      <c r="E100" s="541"/>
      <c r="H100" s="541"/>
      <c r="K100" s="541"/>
      <c r="N100" s="541"/>
      <c r="Q100" s="541"/>
      <c r="AE100" s="651"/>
      <c r="AJ100" s="856"/>
    </row>
    <row r="101" spans="1:46" s="535" customFormat="1">
      <c r="A101" s="644"/>
      <c r="B101" s="652"/>
      <c r="C101" s="541"/>
      <c r="E101" s="541"/>
      <c r="H101" s="541"/>
      <c r="K101" s="541"/>
      <c r="N101" s="541"/>
      <c r="Q101" s="541"/>
      <c r="AE101" s="651"/>
      <c r="AJ101" s="856"/>
    </row>
    <row r="102" spans="1:46" s="535" customFormat="1">
      <c r="A102" s="644"/>
      <c r="B102" s="652"/>
      <c r="C102" s="541"/>
      <c r="E102" s="541"/>
      <c r="H102" s="541"/>
      <c r="K102" s="541"/>
      <c r="N102" s="541"/>
      <c r="Q102" s="541"/>
      <c r="V102" s="534"/>
      <c r="W102" s="534"/>
      <c r="X102" s="534"/>
      <c r="Y102" s="534"/>
      <c r="Z102" s="534"/>
      <c r="AA102" s="534"/>
      <c r="AB102" s="534"/>
      <c r="AC102" s="534"/>
      <c r="AD102" s="534"/>
      <c r="AE102" s="651"/>
      <c r="AJ102" s="856"/>
    </row>
    <row r="103" spans="1:46" s="535" customFormat="1">
      <c r="A103" s="644"/>
      <c r="B103" s="652"/>
      <c r="C103" s="541"/>
      <c r="E103" s="541"/>
      <c r="H103" s="541"/>
      <c r="K103" s="541"/>
      <c r="N103" s="541"/>
      <c r="Q103" s="541"/>
      <c r="V103" s="534"/>
      <c r="W103" s="534"/>
      <c r="X103" s="534"/>
      <c r="Y103" s="534"/>
      <c r="Z103" s="534"/>
      <c r="AA103" s="534"/>
      <c r="AB103" s="534"/>
      <c r="AC103" s="534"/>
      <c r="AD103" s="534"/>
      <c r="AE103" s="651"/>
      <c r="AJ103" s="856"/>
    </row>
    <row r="104" spans="1:46" s="535" customFormat="1">
      <c r="A104" s="644"/>
      <c r="B104" s="652"/>
      <c r="C104" s="541"/>
      <c r="E104" s="541"/>
      <c r="H104" s="541"/>
      <c r="K104" s="541"/>
      <c r="N104" s="541"/>
      <c r="Q104" s="541"/>
      <c r="V104" s="534"/>
      <c r="W104" s="534"/>
      <c r="X104" s="534"/>
      <c r="Y104" s="534"/>
      <c r="Z104" s="534"/>
      <c r="AA104" s="534"/>
      <c r="AB104" s="534"/>
      <c r="AC104" s="534"/>
      <c r="AD104" s="534"/>
      <c r="AE104" s="651"/>
      <c r="AJ104" s="856"/>
    </row>
    <row r="105" spans="1:46" s="535" customFormat="1">
      <c r="A105" s="644"/>
      <c r="B105" s="652"/>
      <c r="C105" s="653"/>
      <c r="E105" s="653"/>
      <c r="H105" s="653"/>
      <c r="K105" s="653"/>
      <c r="N105" s="653"/>
      <c r="Q105" s="653"/>
      <c r="V105" s="534"/>
      <c r="W105" s="534"/>
      <c r="X105" s="534"/>
      <c r="Y105" s="534"/>
      <c r="Z105" s="534"/>
      <c r="AA105" s="534"/>
      <c r="AB105" s="534"/>
      <c r="AC105" s="534"/>
      <c r="AD105" s="534"/>
      <c r="AE105" s="651"/>
      <c r="AJ105" s="856"/>
    </row>
    <row r="106" spans="1:46" s="535" customFormat="1">
      <c r="A106" s="644"/>
      <c r="B106" s="652"/>
      <c r="C106" s="541"/>
      <c r="E106" s="541"/>
      <c r="H106" s="541"/>
      <c r="K106" s="541"/>
      <c r="N106" s="541"/>
      <c r="Q106" s="541"/>
      <c r="V106" s="534"/>
      <c r="W106" s="534"/>
      <c r="X106" s="534"/>
      <c r="Y106" s="534"/>
      <c r="Z106" s="534"/>
      <c r="AA106" s="534"/>
      <c r="AB106" s="534"/>
      <c r="AC106" s="534"/>
      <c r="AD106" s="534"/>
      <c r="AE106" s="651"/>
      <c r="AJ106" s="856"/>
    </row>
    <row r="107" spans="1:46" s="535" customFormat="1">
      <c r="A107" s="644"/>
      <c r="B107" s="652"/>
      <c r="C107" s="541"/>
      <c r="E107" s="541"/>
      <c r="H107" s="541"/>
      <c r="K107" s="541"/>
      <c r="N107" s="541"/>
      <c r="Q107" s="541"/>
      <c r="V107" s="534"/>
      <c r="W107" s="534"/>
      <c r="X107" s="534"/>
      <c r="Y107" s="534"/>
      <c r="Z107" s="534"/>
      <c r="AA107" s="534"/>
      <c r="AB107" s="534"/>
      <c r="AC107" s="534"/>
      <c r="AD107" s="534"/>
      <c r="AE107" s="651"/>
      <c r="AJ107" s="856"/>
    </row>
    <row r="108" spans="1:46" s="535" customFormat="1">
      <c r="A108" s="644"/>
      <c r="B108" s="652"/>
      <c r="C108" s="541"/>
      <c r="E108" s="541"/>
      <c r="H108" s="541"/>
      <c r="K108" s="541"/>
      <c r="N108" s="541"/>
      <c r="Q108" s="541"/>
      <c r="V108" s="534"/>
      <c r="W108" s="534"/>
      <c r="X108" s="534"/>
      <c r="Y108" s="534"/>
      <c r="Z108" s="534"/>
      <c r="AA108" s="534"/>
      <c r="AB108" s="534"/>
      <c r="AC108" s="534"/>
      <c r="AD108" s="534"/>
      <c r="AE108" s="651"/>
      <c r="AJ108" s="856"/>
    </row>
    <row r="109" spans="1:46" s="535" customFormat="1">
      <c r="A109" s="644"/>
      <c r="B109" s="652"/>
      <c r="C109" s="541"/>
      <c r="E109" s="541"/>
      <c r="H109" s="541"/>
      <c r="K109" s="541"/>
      <c r="N109" s="541"/>
      <c r="Q109" s="541"/>
      <c r="T109" s="655" t="s">
        <v>1136</v>
      </c>
      <c r="U109" s="656"/>
      <c r="V109" s="657"/>
      <c r="W109" s="657"/>
      <c r="X109" s="657"/>
      <c r="Y109" s="657"/>
      <c r="Z109" s="657"/>
      <c r="AA109" s="657"/>
      <c r="AB109" s="657"/>
      <c r="AC109" s="657"/>
      <c r="AD109" s="657"/>
      <c r="AE109" s="651"/>
      <c r="AJ109" s="856"/>
    </row>
    <row r="110" spans="1:46" s="535" customFormat="1">
      <c r="A110" s="644"/>
      <c r="B110" s="652"/>
      <c r="C110" s="541"/>
      <c r="E110" s="541"/>
      <c r="H110" s="541"/>
      <c r="K110" s="541"/>
      <c r="N110" s="541"/>
      <c r="Q110" s="541"/>
      <c r="T110" s="659"/>
      <c r="U110" s="659"/>
      <c r="V110" s="659"/>
      <c r="W110" s="659"/>
      <c r="X110" s="659"/>
      <c r="Y110" s="659"/>
      <c r="Z110" s="659"/>
      <c r="AA110" s="659"/>
      <c r="AB110" s="659"/>
      <c r="AC110" s="659"/>
      <c r="AD110" s="659"/>
      <c r="AE110" s="659"/>
      <c r="AF110" s="659"/>
      <c r="AG110" s="659"/>
      <c r="AH110" s="659"/>
      <c r="AI110" s="659"/>
      <c r="AJ110" s="856"/>
    </row>
    <row r="111" spans="1:46" s="531" customFormat="1">
      <c r="A111" s="537"/>
      <c r="B111" s="660"/>
      <c r="V111" s="530"/>
      <c r="W111" s="530"/>
      <c r="X111" s="530"/>
      <c r="Y111" s="530"/>
      <c r="Z111" s="530"/>
      <c r="AA111" s="530"/>
      <c r="AB111" s="530"/>
      <c r="AC111" s="530"/>
      <c r="AD111" s="530"/>
      <c r="AE111" s="530"/>
      <c r="AF111" s="530"/>
      <c r="AG111" s="530"/>
      <c r="AH111" s="530"/>
      <c r="AI111" s="530"/>
      <c r="AJ111" s="853"/>
    </row>
    <row r="112" spans="1:46" s="666" customFormat="1" ht="14">
      <c r="A112" s="662"/>
      <c r="B112" s="663" t="s">
        <v>1137</v>
      </c>
      <c r="C112" s="549">
        <f>C15</f>
        <v>2016</v>
      </c>
      <c r="D112" s="667"/>
      <c r="E112" s="664">
        <f>E15</f>
        <v>2017</v>
      </c>
      <c r="F112" s="667"/>
      <c r="G112" s="667"/>
      <c r="H112" s="664">
        <f>H15</f>
        <v>2018</v>
      </c>
      <c r="I112" s="965"/>
      <c r="J112" s="965"/>
      <c r="K112" s="664">
        <f>K15</f>
        <v>2019</v>
      </c>
      <c r="L112" s="667"/>
      <c r="M112" s="966"/>
      <c r="N112" s="664">
        <f>N15</f>
        <v>2019</v>
      </c>
      <c r="O112" s="667"/>
      <c r="P112" s="966"/>
      <c r="Q112" s="664" t="str">
        <f>Q15</f>
        <v>2020</v>
      </c>
      <c r="R112" s="667"/>
      <c r="S112" s="966"/>
      <c r="T112" s="549">
        <f t="shared" ref="T112:AI112" si="120">T15</f>
        <v>2020</v>
      </c>
      <c r="U112" s="549">
        <f t="shared" si="120"/>
        <v>2021</v>
      </c>
      <c r="V112" s="549">
        <f t="shared" si="120"/>
        <v>2022</v>
      </c>
      <c r="W112" s="549">
        <f t="shared" si="120"/>
        <v>2023</v>
      </c>
      <c r="X112" s="549">
        <f t="shared" si="120"/>
        <v>2024</v>
      </c>
      <c r="Y112" s="549">
        <f t="shared" si="120"/>
        <v>2025</v>
      </c>
      <c r="Z112" s="549">
        <f t="shared" si="120"/>
        <v>2026</v>
      </c>
      <c r="AA112" s="549">
        <f t="shared" si="120"/>
        <v>2027</v>
      </c>
      <c r="AB112" s="549">
        <f t="shared" si="120"/>
        <v>2028</v>
      </c>
      <c r="AC112" s="549">
        <f t="shared" si="120"/>
        <v>2029</v>
      </c>
      <c r="AD112" s="549">
        <f t="shared" si="120"/>
        <v>2030</v>
      </c>
      <c r="AE112" s="549">
        <f t="shared" si="120"/>
        <v>2031</v>
      </c>
      <c r="AF112" s="549">
        <f t="shared" si="120"/>
        <v>2032</v>
      </c>
      <c r="AG112" s="549">
        <f t="shared" si="120"/>
        <v>2033</v>
      </c>
      <c r="AH112" s="549">
        <f t="shared" si="120"/>
        <v>2034</v>
      </c>
      <c r="AI112" s="549">
        <f t="shared" si="120"/>
        <v>2035</v>
      </c>
      <c r="AJ112" s="967"/>
      <c r="AK112" s="667"/>
      <c r="AL112" s="667"/>
      <c r="AM112" s="667"/>
      <c r="AR112" s="667"/>
      <c r="AS112" s="667"/>
      <c r="AT112" s="667"/>
    </row>
    <row r="113" spans="1:46" s="536" customFormat="1">
      <c r="A113" s="537"/>
      <c r="B113" s="668" t="s">
        <v>1138</v>
      </c>
      <c r="C113" s="968"/>
      <c r="D113" s="531"/>
      <c r="E113" s="560"/>
      <c r="F113" s="531"/>
      <c r="G113" s="531"/>
      <c r="H113" s="560"/>
      <c r="I113" s="530"/>
      <c r="J113" s="530"/>
      <c r="K113" s="560"/>
      <c r="L113" s="531"/>
      <c r="M113" s="539"/>
      <c r="N113" s="560"/>
      <c r="O113" s="531"/>
      <c r="P113" s="539"/>
      <c r="Q113" s="560"/>
      <c r="R113" s="531"/>
      <c r="S113" s="539"/>
      <c r="T113" s="670"/>
      <c r="U113" s="670"/>
      <c r="V113" s="670"/>
      <c r="W113" s="670"/>
      <c r="X113" s="670"/>
      <c r="Y113" s="670"/>
      <c r="Z113" s="670"/>
      <c r="AA113" s="670"/>
      <c r="AB113" s="670"/>
      <c r="AC113" s="670"/>
      <c r="AD113" s="670"/>
      <c r="AE113" s="670"/>
      <c r="AF113" s="670"/>
      <c r="AG113" s="670"/>
      <c r="AH113" s="670"/>
      <c r="AI113" s="670"/>
      <c r="AJ113" s="853"/>
      <c r="AK113" s="531"/>
      <c r="AL113" s="531"/>
      <c r="AM113" s="531"/>
      <c r="AN113" s="625"/>
      <c r="AO113" s="625"/>
      <c r="AP113" s="625"/>
      <c r="AQ113" s="625"/>
      <c r="AR113" s="531"/>
      <c r="AS113" s="531"/>
      <c r="AT113" s="531"/>
    </row>
    <row r="114" spans="1:46" s="536" customFormat="1">
      <c r="A114" s="537"/>
      <c r="B114" s="671" t="s">
        <v>1139</v>
      </c>
      <c r="C114" s="927"/>
      <c r="D114" s="531"/>
      <c r="E114" s="672"/>
      <c r="F114" s="531"/>
      <c r="G114" s="531"/>
      <c r="H114" s="672"/>
      <c r="I114" s="530"/>
      <c r="J114" s="530"/>
      <c r="K114" s="672"/>
      <c r="L114" s="531"/>
      <c r="M114" s="539"/>
      <c r="N114" s="672"/>
      <c r="O114" s="531"/>
      <c r="P114" s="539"/>
      <c r="Q114" s="672"/>
      <c r="R114" s="531"/>
      <c r="S114" s="539"/>
      <c r="T114" s="673"/>
      <c r="U114" s="673"/>
      <c r="V114" s="673"/>
      <c r="W114" s="673"/>
      <c r="X114" s="673"/>
      <c r="Y114" s="673"/>
      <c r="Z114" s="673"/>
      <c r="AA114" s="673"/>
      <c r="AB114" s="673"/>
      <c r="AC114" s="673"/>
      <c r="AD114" s="673"/>
      <c r="AE114" s="673"/>
      <c r="AF114" s="673"/>
      <c r="AG114" s="673"/>
      <c r="AH114" s="673"/>
      <c r="AI114" s="673"/>
      <c r="AJ114" s="853"/>
      <c r="AK114" s="531"/>
      <c r="AL114" s="531"/>
      <c r="AM114" s="531"/>
      <c r="AN114" s="625"/>
      <c r="AO114" s="625"/>
      <c r="AP114" s="625"/>
      <c r="AQ114" s="625"/>
      <c r="AR114" s="531"/>
      <c r="AS114" s="531"/>
      <c r="AT114" s="531"/>
    </row>
    <row r="115" spans="1:46" s="536" customFormat="1">
      <c r="A115" s="537"/>
      <c r="B115" s="671" t="s">
        <v>1140</v>
      </c>
      <c r="C115" s="927"/>
      <c r="D115" s="531"/>
      <c r="E115" s="672"/>
      <c r="F115" s="531"/>
      <c r="G115" s="531"/>
      <c r="H115" s="672"/>
      <c r="I115" s="530"/>
      <c r="J115" s="530"/>
      <c r="K115" s="672"/>
      <c r="L115" s="531"/>
      <c r="M115" s="539"/>
      <c r="N115" s="672"/>
      <c r="O115" s="531"/>
      <c r="P115" s="539"/>
      <c r="Q115" s="672"/>
      <c r="R115" s="531"/>
      <c r="S115" s="539"/>
      <c r="T115" s="673"/>
      <c r="U115" s="673"/>
      <c r="V115" s="673"/>
      <c r="W115" s="673"/>
      <c r="X115" s="673"/>
      <c r="Y115" s="673"/>
      <c r="Z115" s="673"/>
      <c r="AA115" s="673"/>
      <c r="AB115" s="673"/>
      <c r="AC115" s="673"/>
      <c r="AD115" s="673"/>
      <c r="AE115" s="673"/>
      <c r="AF115" s="673"/>
      <c r="AG115" s="673"/>
      <c r="AH115" s="673"/>
      <c r="AI115" s="673"/>
      <c r="AJ115" s="853"/>
      <c r="AK115" s="531"/>
      <c r="AL115" s="531"/>
      <c r="AM115" s="531"/>
      <c r="AN115" s="625"/>
      <c r="AO115" s="625"/>
      <c r="AP115" s="625"/>
      <c r="AQ115" s="625"/>
      <c r="AR115" s="531"/>
      <c r="AS115" s="531"/>
      <c r="AT115" s="531"/>
    </row>
    <row r="116" spans="1:46" s="536" customFormat="1">
      <c r="A116" s="537"/>
      <c r="B116" s="564" t="s">
        <v>1141</v>
      </c>
      <c r="C116" s="927"/>
      <c r="D116" s="531"/>
      <c r="E116" s="672"/>
      <c r="F116" s="531"/>
      <c r="G116" s="531"/>
      <c r="H116" s="672"/>
      <c r="I116" s="530"/>
      <c r="J116" s="530"/>
      <c r="K116" s="672"/>
      <c r="L116" s="531"/>
      <c r="M116" s="539"/>
      <c r="N116" s="672"/>
      <c r="O116" s="531"/>
      <c r="P116" s="539"/>
      <c r="Q116" s="672"/>
      <c r="R116" s="531"/>
      <c r="S116" s="539"/>
      <c r="T116" s="673"/>
      <c r="U116" s="673"/>
      <c r="V116" s="673"/>
      <c r="W116" s="673"/>
      <c r="X116" s="673"/>
      <c r="Y116" s="673"/>
      <c r="Z116" s="673"/>
      <c r="AA116" s="673"/>
      <c r="AB116" s="673"/>
      <c r="AC116" s="673"/>
      <c r="AD116" s="673"/>
      <c r="AE116" s="673"/>
      <c r="AF116" s="673"/>
      <c r="AG116" s="673"/>
      <c r="AH116" s="673"/>
      <c r="AI116" s="673"/>
      <c r="AJ116" s="853"/>
      <c r="AK116" s="531"/>
      <c r="AL116" s="531"/>
      <c r="AM116" s="531"/>
      <c r="AN116" s="625"/>
      <c r="AO116" s="625"/>
      <c r="AP116" s="625"/>
      <c r="AQ116" s="625"/>
      <c r="AR116" s="531"/>
      <c r="AS116" s="531"/>
      <c r="AT116" s="531"/>
    </row>
    <row r="117" spans="1:46" s="536" customFormat="1">
      <c r="A117" s="537"/>
      <c r="B117" s="564" t="s">
        <v>1142</v>
      </c>
      <c r="C117" s="927"/>
      <c r="D117" s="531"/>
      <c r="E117" s="672"/>
      <c r="F117" s="531"/>
      <c r="G117" s="531"/>
      <c r="H117" s="672"/>
      <c r="I117" s="530"/>
      <c r="J117" s="530"/>
      <c r="K117" s="672"/>
      <c r="L117" s="531"/>
      <c r="M117" s="539"/>
      <c r="N117" s="672"/>
      <c r="O117" s="531"/>
      <c r="P117" s="539"/>
      <c r="Q117" s="672"/>
      <c r="R117" s="531"/>
      <c r="S117" s="539"/>
      <c r="T117" s="673"/>
      <c r="U117" s="673"/>
      <c r="V117" s="673"/>
      <c r="W117" s="673"/>
      <c r="X117" s="673"/>
      <c r="Y117" s="673"/>
      <c r="Z117" s="673"/>
      <c r="AA117" s="673"/>
      <c r="AB117" s="673"/>
      <c r="AC117" s="673"/>
      <c r="AD117" s="673"/>
      <c r="AE117" s="673"/>
      <c r="AF117" s="673"/>
      <c r="AG117" s="673"/>
      <c r="AH117" s="673"/>
      <c r="AI117" s="673"/>
      <c r="AJ117" s="853"/>
      <c r="AK117" s="531"/>
      <c r="AL117" s="531"/>
      <c r="AM117" s="531"/>
      <c r="AN117" s="625"/>
      <c r="AO117" s="625"/>
      <c r="AP117" s="625"/>
      <c r="AQ117" s="625"/>
      <c r="AR117" s="531"/>
      <c r="AS117" s="531"/>
      <c r="AT117" s="531"/>
    </row>
    <row r="118" spans="1:46" s="536" customFormat="1">
      <c r="A118" s="537"/>
      <c r="B118" s="671" t="s">
        <v>1143</v>
      </c>
      <c r="C118" s="927"/>
      <c r="D118" s="531"/>
      <c r="E118" s="672"/>
      <c r="F118" s="531"/>
      <c r="G118" s="531"/>
      <c r="H118" s="672"/>
      <c r="I118" s="530"/>
      <c r="J118" s="530"/>
      <c r="K118" s="672"/>
      <c r="L118" s="531"/>
      <c r="M118" s="539"/>
      <c r="N118" s="672"/>
      <c r="O118" s="531"/>
      <c r="P118" s="539"/>
      <c r="Q118" s="672"/>
      <c r="R118" s="531"/>
      <c r="S118" s="539"/>
      <c r="T118" s="673"/>
      <c r="U118" s="673"/>
      <c r="V118" s="673"/>
      <c r="W118" s="673"/>
      <c r="X118" s="673"/>
      <c r="Y118" s="673"/>
      <c r="Z118" s="673"/>
      <c r="AA118" s="673"/>
      <c r="AB118" s="673"/>
      <c r="AC118" s="673"/>
      <c r="AD118" s="673"/>
      <c r="AE118" s="673"/>
      <c r="AF118" s="673"/>
      <c r="AG118" s="673"/>
      <c r="AH118" s="673"/>
      <c r="AI118" s="673"/>
      <c r="AJ118" s="853"/>
      <c r="AK118" s="531"/>
      <c r="AL118" s="531"/>
      <c r="AM118" s="531"/>
      <c r="AN118" s="625"/>
      <c r="AO118" s="625"/>
      <c r="AP118" s="625"/>
      <c r="AQ118" s="625"/>
      <c r="AR118" s="531"/>
      <c r="AS118" s="531"/>
      <c r="AT118" s="531"/>
    </row>
    <row r="119" spans="1:46" s="536" customFormat="1">
      <c r="A119" s="537"/>
      <c r="B119" s="564" t="s">
        <v>1144</v>
      </c>
      <c r="C119" s="927"/>
      <c r="D119" s="531"/>
      <c r="E119" s="672"/>
      <c r="F119" s="531"/>
      <c r="G119" s="531"/>
      <c r="H119" s="672"/>
      <c r="I119" s="530"/>
      <c r="J119" s="530"/>
      <c r="K119" s="672"/>
      <c r="L119" s="531"/>
      <c r="M119" s="539"/>
      <c r="N119" s="672"/>
      <c r="O119" s="531"/>
      <c r="P119" s="539"/>
      <c r="Q119" s="672"/>
      <c r="R119" s="531"/>
      <c r="S119" s="539"/>
      <c r="T119" s="673"/>
      <c r="U119" s="673"/>
      <c r="V119" s="673"/>
      <c r="W119" s="673"/>
      <c r="X119" s="673"/>
      <c r="Y119" s="673"/>
      <c r="Z119" s="673"/>
      <c r="AA119" s="673"/>
      <c r="AB119" s="673"/>
      <c r="AC119" s="673"/>
      <c r="AD119" s="673"/>
      <c r="AE119" s="673"/>
      <c r="AF119" s="673"/>
      <c r="AG119" s="673"/>
      <c r="AH119" s="673"/>
      <c r="AI119" s="673"/>
      <c r="AJ119" s="853"/>
      <c r="AK119" s="531"/>
      <c r="AL119" s="531"/>
      <c r="AM119" s="531"/>
      <c r="AN119" s="625"/>
      <c r="AO119" s="625"/>
      <c r="AP119" s="625"/>
      <c r="AQ119" s="625"/>
      <c r="AR119" s="531"/>
      <c r="AS119" s="531"/>
      <c r="AT119" s="531"/>
    </row>
    <row r="120" spans="1:46" s="536" customFormat="1">
      <c r="A120" s="537"/>
      <c r="B120" s="564" t="s">
        <v>1145</v>
      </c>
      <c r="C120" s="927"/>
      <c r="D120" s="531"/>
      <c r="E120" s="672"/>
      <c r="F120" s="531"/>
      <c r="G120" s="531"/>
      <c r="H120" s="672"/>
      <c r="I120" s="530"/>
      <c r="J120" s="530"/>
      <c r="K120" s="672"/>
      <c r="L120" s="531"/>
      <c r="M120" s="539"/>
      <c r="N120" s="672"/>
      <c r="O120" s="531"/>
      <c r="P120" s="539"/>
      <c r="Q120" s="672"/>
      <c r="R120" s="531"/>
      <c r="S120" s="539"/>
      <c r="T120" s="673"/>
      <c r="U120" s="673"/>
      <c r="V120" s="673"/>
      <c r="W120" s="673"/>
      <c r="X120" s="673"/>
      <c r="Y120" s="673"/>
      <c r="Z120" s="673"/>
      <c r="AA120" s="673"/>
      <c r="AB120" s="673"/>
      <c r="AC120" s="673"/>
      <c r="AD120" s="673"/>
      <c r="AE120" s="673"/>
      <c r="AF120" s="673"/>
      <c r="AG120" s="673"/>
      <c r="AH120" s="673"/>
      <c r="AI120" s="673"/>
      <c r="AJ120" s="853"/>
      <c r="AK120" s="531"/>
      <c r="AL120" s="531"/>
      <c r="AM120" s="531"/>
      <c r="AN120" s="625"/>
      <c r="AO120" s="625"/>
      <c r="AP120" s="625"/>
      <c r="AQ120" s="625"/>
      <c r="AR120" s="531"/>
      <c r="AS120" s="531"/>
      <c r="AT120" s="531"/>
    </row>
    <row r="121" spans="1:46" s="536" customFormat="1">
      <c r="A121" s="537"/>
      <c r="B121" s="671" t="s">
        <v>1146</v>
      </c>
      <c r="C121" s="927"/>
      <c r="D121" s="531"/>
      <c r="E121" s="672"/>
      <c r="F121" s="531"/>
      <c r="G121" s="531"/>
      <c r="H121" s="672"/>
      <c r="I121" s="530"/>
      <c r="J121" s="530"/>
      <c r="K121" s="672"/>
      <c r="L121" s="531"/>
      <c r="M121" s="539"/>
      <c r="N121" s="672"/>
      <c r="O121" s="531"/>
      <c r="P121" s="539"/>
      <c r="Q121" s="672"/>
      <c r="R121" s="531"/>
      <c r="S121" s="539"/>
      <c r="T121" s="673"/>
      <c r="U121" s="673"/>
      <c r="V121" s="673"/>
      <c r="W121" s="673"/>
      <c r="X121" s="673"/>
      <c r="Y121" s="673"/>
      <c r="Z121" s="673"/>
      <c r="AA121" s="673"/>
      <c r="AB121" s="673"/>
      <c r="AC121" s="673"/>
      <c r="AD121" s="673"/>
      <c r="AE121" s="673"/>
      <c r="AF121" s="673"/>
      <c r="AG121" s="673"/>
      <c r="AH121" s="673"/>
      <c r="AI121" s="673"/>
      <c r="AJ121" s="853"/>
      <c r="AK121" s="531"/>
      <c r="AL121" s="531"/>
      <c r="AM121" s="531"/>
      <c r="AN121" s="625"/>
      <c r="AO121" s="625"/>
      <c r="AP121" s="625"/>
      <c r="AQ121" s="625"/>
      <c r="AR121" s="531"/>
      <c r="AS121" s="531"/>
      <c r="AT121" s="531"/>
    </row>
    <row r="122" spans="1:46" s="536" customFormat="1">
      <c r="A122" s="537"/>
      <c r="B122" s="671" t="s">
        <v>1147</v>
      </c>
      <c r="C122" s="969"/>
      <c r="D122" s="531"/>
      <c r="E122" s="674"/>
      <c r="F122" s="531"/>
      <c r="G122" s="531"/>
      <c r="H122" s="674"/>
      <c r="I122" s="530"/>
      <c r="J122" s="530"/>
      <c r="K122" s="674"/>
      <c r="L122" s="531"/>
      <c r="M122" s="539"/>
      <c r="N122" s="674"/>
      <c r="O122" s="531"/>
      <c r="P122" s="539"/>
      <c r="Q122" s="674"/>
      <c r="R122" s="531"/>
      <c r="S122" s="539"/>
      <c r="T122" s="676"/>
      <c r="U122" s="676"/>
      <c r="V122" s="676"/>
      <c r="W122" s="676"/>
      <c r="X122" s="676"/>
      <c r="Y122" s="676"/>
      <c r="Z122" s="676"/>
      <c r="AA122" s="676"/>
      <c r="AB122" s="676"/>
      <c r="AC122" s="676"/>
      <c r="AD122" s="676"/>
      <c r="AE122" s="676"/>
      <c r="AF122" s="676"/>
      <c r="AG122" s="676"/>
      <c r="AH122" s="676"/>
      <c r="AI122" s="676"/>
      <c r="AJ122" s="853"/>
      <c r="AK122" s="531"/>
      <c r="AL122" s="531"/>
      <c r="AM122" s="531"/>
      <c r="AN122" s="625"/>
      <c r="AO122" s="625"/>
      <c r="AP122" s="625"/>
      <c r="AQ122" s="625"/>
      <c r="AR122" s="531"/>
      <c r="AS122" s="531"/>
      <c r="AT122" s="531"/>
    </row>
    <row r="123" spans="1:46" s="536" customFormat="1">
      <c r="A123" s="537"/>
      <c r="B123" s="677" t="s">
        <v>945</v>
      </c>
      <c r="C123" s="970"/>
      <c r="D123" s="531"/>
      <c r="E123" s="678"/>
      <c r="F123" s="531"/>
      <c r="G123" s="531"/>
      <c r="H123" s="678"/>
      <c r="I123" s="530"/>
      <c r="J123" s="530"/>
      <c r="K123" s="678"/>
      <c r="L123" s="531"/>
      <c r="M123" s="539"/>
      <c r="N123" s="678"/>
      <c r="O123" s="531"/>
      <c r="P123" s="539"/>
      <c r="Q123" s="678"/>
      <c r="R123" s="531"/>
      <c r="S123" s="539"/>
      <c r="T123" s="678">
        <f>IF(AND(N123=0,H123=0),0,T228)</f>
        <v>0</v>
      </c>
      <c r="U123" s="678">
        <f t="shared" ref="U123:AI123" si="121">IF(T123=0,0,U228)</f>
        <v>0</v>
      </c>
      <c r="V123" s="678">
        <f t="shared" si="121"/>
        <v>0</v>
      </c>
      <c r="W123" s="678">
        <f t="shared" si="121"/>
        <v>0</v>
      </c>
      <c r="X123" s="678">
        <f t="shared" si="121"/>
        <v>0</v>
      </c>
      <c r="Y123" s="678">
        <f t="shared" si="121"/>
        <v>0</v>
      </c>
      <c r="Z123" s="678">
        <f t="shared" si="121"/>
        <v>0</v>
      </c>
      <c r="AA123" s="678">
        <f t="shared" si="121"/>
        <v>0</v>
      </c>
      <c r="AB123" s="678">
        <f t="shared" si="121"/>
        <v>0</v>
      </c>
      <c r="AC123" s="678">
        <f t="shared" si="121"/>
        <v>0</v>
      </c>
      <c r="AD123" s="678">
        <f t="shared" si="121"/>
        <v>0</v>
      </c>
      <c r="AE123" s="678">
        <f t="shared" si="121"/>
        <v>0</v>
      </c>
      <c r="AF123" s="678">
        <f t="shared" si="121"/>
        <v>0</v>
      </c>
      <c r="AG123" s="678">
        <f t="shared" si="121"/>
        <v>0</v>
      </c>
      <c r="AH123" s="678">
        <f t="shared" si="121"/>
        <v>0</v>
      </c>
      <c r="AI123" s="678">
        <f t="shared" si="121"/>
        <v>0</v>
      </c>
      <c r="AJ123" s="853"/>
      <c r="AK123" s="531"/>
      <c r="AL123" s="531"/>
      <c r="AM123" s="531"/>
      <c r="AN123" s="625"/>
      <c r="AO123" s="625"/>
      <c r="AP123" s="625"/>
      <c r="AQ123" s="625"/>
      <c r="AR123" s="531"/>
      <c r="AS123" s="531"/>
      <c r="AT123" s="531"/>
    </row>
    <row r="124" spans="1:46" s="666" customFormat="1">
      <c r="A124" s="662"/>
      <c r="B124" s="679" t="s">
        <v>1107</v>
      </c>
      <c r="C124" s="971">
        <f>C113+C114-C115+C116-C117+C118+C119-C120+C121-C122-C123</f>
        <v>0</v>
      </c>
      <c r="D124" s="667"/>
      <c r="E124" s="680">
        <f>E113+E114-E115+E116-E117+E118+E119-E120+E121-E122-E123</f>
        <v>0</v>
      </c>
      <c r="F124" s="667"/>
      <c r="G124" s="667"/>
      <c r="H124" s="680">
        <f>H113+H114-H115+H116-H117+H118+H119-H120+H121-H122-H123</f>
        <v>0</v>
      </c>
      <c r="I124" s="965"/>
      <c r="J124" s="965"/>
      <c r="K124" s="680">
        <f>K113+K114-K115+K116-K117+K118+K119-K120+K121-K122-K123</f>
        <v>0</v>
      </c>
      <c r="L124" s="667"/>
      <c r="M124" s="966"/>
      <c r="N124" s="680">
        <f>N113+N114-N115+N116-N117+N118+N119-N120+N121-N122-N123</f>
        <v>0</v>
      </c>
      <c r="O124" s="667"/>
      <c r="P124" s="966"/>
      <c r="Q124" s="680">
        <f>Q113+Q114-Q115+Q116-Q117+Q118+Q119-Q120+Q121-Q122-Q123</f>
        <v>0</v>
      </c>
      <c r="R124" s="667"/>
      <c r="S124" s="966"/>
      <c r="T124" s="680">
        <f t="shared" ref="T124:AI124" si="122">T113+T114-T115+T116-T117+T118+T119-T120+T121-T122-T123</f>
        <v>0</v>
      </c>
      <c r="U124" s="680">
        <f t="shared" si="122"/>
        <v>0</v>
      </c>
      <c r="V124" s="680">
        <f t="shared" si="122"/>
        <v>0</v>
      </c>
      <c r="W124" s="680">
        <f t="shared" si="122"/>
        <v>0</v>
      </c>
      <c r="X124" s="680">
        <f t="shared" si="122"/>
        <v>0</v>
      </c>
      <c r="Y124" s="680">
        <f t="shared" si="122"/>
        <v>0</v>
      </c>
      <c r="Z124" s="680">
        <f t="shared" si="122"/>
        <v>0</v>
      </c>
      <c r="AA124" s="680">
        <f t="shared" si="122"/>
        <v>0</v>
      </c>
      <c r="AB124" s="680">
        <f t="shared" si="122"/>
        <v>0</v>
      </c>
      <c r="AC124" s="680">
        <f t="shared" si="122"/>
        <v>0</v>
      </c>
      <c r="AD124" s="680">
        <f t="shared" si="122"/>
        <v>0</v>
      </c>
      <c r="AE124" s="680">
        <f t="shared" si="122"/>
        <v>0</v>
      </c>
      <c r="AF124" s="680">
        <f t="shared" si="122"/>
        <v>0</v>
      </c>
      <c r="AG124" s="680">
        <f t="shared" si="122"/>
        <v>0</v>
      </c>
      <c r="AH124" s="680">
        <f t="shared" si="122"/>
        <v>0</v>
      </c>
      <c r="AI124" s="680">
        <f t="shared" si="122"/>
        <v>0</v>
      </c>
      <c r="AJ124" s="967"/>
      <c r="AK124" s="667"/>
      <c r="AL124" s="667"/>
      <c r="AM124" s="667"/>
      <c r="AR124" s="667"/>
      <c r="AS124" s="667"/>
      <c r="AT124" s="667"/>
    </row>
    <row r="125" spans="1:46" s="536" customFormat="1">
      <c r="A125" s="537"/>
      <c r="B125" s="682" t="s">
        <v>1148</v>
      </c>
      <c r="C125" s="972">
        <f>C124</f>
        <v>0</v>
      </c>
      <c r="D125" s="531"/>
      <c r="E125" s="683">
        <f>E124</f>
        <v>0</v>
      </c>
      <c r="F125" s="531"/>
      <c r="G125" s="531"/>
      <c r="H125" s="683">
        <f>H124</f>
        <v>0</v>
      </c>
      <c r="I125" s="530"/>
      <c r="J125" s="530"/>
      <c r="K125" s="683">
        <f>K124</f>
        <v>0</v>
      </c>
      <c r="L125" s="531"/>
      <c r="M125" s="539"/>
      <c r="N125" s="683">
        <f>N124</f>
        <v>0</v>
      </c>
      <c r="O125" s="531"/>
      <c r="P125" s="539"/>
      <c r="Q125" s="683">
        <f>Q124</f>
        <v>0</v>
      </c>
      <c r="R125" s="531"/>
      <c r="S125" s="539"/>
      <c r="T125" s="683">
        <f t="shared" ref="T125:AI125" si="123">T124</f>
        <v>0</v>
      </c>
      <c r="U125" s="683">
        <f t="shared" si="123"/>
        <v>0</v>
      </c>
      <c r="V125" s="683">
        <f t="shared" si="123"/>
        <v>0</v>
      </c>
      <c r="W125" s="683">
        <f t="shared" si="123"/>
        <v>0</v>
      </c>
      <c r="X125" s="683">
        <f t="shared" si="123"/>
        <v>0</v>
      </c>
      <c r="Y125" s="683">
        <f t="shared" si="123"/>
        <v>0</v>
      </c>
      <c r="Z125" s="683">
        <f t="shared" si="123"/>
        <v>0</v>
      </c>
      <c r="AA125" s="683">
        <f t="shared" si="123"/>
        <v>0</v>
      </c>
      <c r="AB125" s="683">
        <f t="shared" si="123"/>
        <v>0</v>
      </c>
      <c r="AC125" s="683">
        <f t="shared" si="123"/>
        <v>0</v>
      </c>
      <c r="AD125" s="683">
        <f t="shared" si="123"/>
        <v>0</v>
      </c>
      <c r="AE125" s="683">
        <f t="shared" si="123"/>
        <v>0</v>
      </c>
      <c r="AF125" s="683">
        <f t="shared" si="123"/>
        <v>0</v>
      </c>
      <c r="AG125" s="683">
        <f t="shared" si="123"/>
        <v>0</v>
      </c>
      <c r="AH125" s="683">
        <f t="shared" si="123"/>
        <v>0</v>
      </c>
      <c r="AI125" s="683">
        <f t="shared" si="123"/>
        <v>0</v>
      </c>
      <c r="AJ125" s="853"/>
      <c r="AK125" s="531"/>
      <c r="AL125" s="531"/>
      <c r="AM125" s="531"/>
      <c r="AN125" s="625"/>
      <c r="AO125" s="625"/>
      <c r="AP125" s="625"/>
      <c r="AQ125" s="625"/>
      <c r="AR125" s="531"/>
      <c r="AS125" s="531"/>
      <c r="AT125" s="531"/>
    </row>
    <row r="126" spans="1:46" s="536" customFormat="1">
      <c r="A126" s="537"/>
      <c r="B126" s="685" t="s">
        <v>1149</v>
      </c>
      <c r="C126" s="973">
        <f>C124-C77</f>
        <v>0</v>
      </c>
      <c r="D126" s="531"/>
      <c r="E126" s="686">
        <f>E124-E77</f>
        <v>0</v>
      </c>
      <c r="F126" s="531"/>
      <c r="G126" s="531"/>
      <c r="H126" s="686">
        <f>H124-H77</f>
        <v>0</v>
      </c>
      <c r="I126" s="530"/>
      <c r="J126" s="530"/>
      <c r="K126" s="686">
        <f>K124-K77</f>
        <v>0</v>
      </c>
      <c r="L126" s="531"/>
      <c r="M126" s="539"/>
      <c r="N126" s="686">
        <f>N124-N77</f>
        <v>0</v>
      </c>
      <c r="O126" s="531"/>
      <c r="P126" s="539"/>
      <c r="Q126" s="686">
        <f>Q124-Q77</f>
        <v>0</v>
      </c>
      <c r="R126" s="531"/>
      <c r="S126" s="539"/>
      <c r="T126" s="686">
        <f t="shared" ref="T126:AI126" si="124">T124-T77</f>
        <v>0</v>
      </c>
      <c r="U126" s="686">
        <f t="shared" si="124"/>
        <v>0</v>
      </c>
      <c r="V126" s="686">
        <f t="shared" si="124"/>
        <v>0</v>
      </c>
      <c r="W126" s="686">
        <f t="shared" si="124"/>
        <v>0</v>
      </c>
      <c r="X126" s="686">
        <f t="shared" si="124"/>
        <v>0</v>
      </c>
      <c r="Y126" s="686">
        <f t="shared" si="124"/>
        <v>0</v>
      </c>
      <c r="Z126" s="686">
        <f t="shared" si="124"/>
        <v>0</v>
      </c>
      <c r="AA126" s="686">
        <f t="shared" si="124"/>
        <v>0</v>
      </c>
      <c r="AB126" s="686">
        <f t="shared" si="124"/>
        <v>0</v>
      </c>
      <c r="AC126" s="686">
        <f t="shared" si="124"/>
        <v>0</v>
      </c>
      <c r="AD126" s="686">
        <f t="shared" si="124"/>
        <v>0</v>
      </c>
      <c r="AE126" s="686">
        <f t="shared" si="124"/>
        <v>0</v>
      </c>
      <c r="AF126" s="686">
        <f t="shared" si="124"/>
        <v>0</v>
      </c>
      <c r="AG126" s="686">
        <f t="shared" si="124"/>
        <v>0</v>
      </c>
      <c r="AH126" s="686">
        <f t="shared" si="124"/>
        <v>0</v>
      </c>
      <c r="AI126" s="686">
        <f t="shared" si="124"/>
        <v>0</v>
      </c>
      <c r="AJ126" s="853"/>
      <c r="AK126" s="531"/>
      <c r="AL126" s="531"/>
      <c r="AM126" s="531"/>
      <c r="AN126" s="625"/>
      <c r="AO126" s="625"/>
      <c r="AP126" s="625"/>
      <c r="AQ126" s="625"/>
      <c r="AR126" s="531"/>
      <c r="AS126" s="531"/>
      <c r="AT126" s="531"/>
    </row>
    <row r="127" spans="1:46" s="536" customFormat="1">
      <c r="A127" s="537"/>
      <c r="B127" s="660"/>
      <c r="C127" s="531"/>
      <c r="D127" s="531"/>
      <c r="E127" s="531"/>
      <c r="F127" s="531"/>
      <c r="G127" s="531"/>
      <c r="H127" s="531"/>
      <c r="I127" s="530"/>
      <c r="J127" s="530"/>
      <c r="K127" s="531"/>
      <c r="L127" s="531"/>
      <c r="M127" s="539"/>
      <c r="N127" s="531"/>
      <c r="O127" s="531"/>
      <c r="P127" s="539"/>
      <c r="Q127" s="531"/>
      <c r="R127" s="531"/>
      <c r="S127" s="539"/>
      <c r="T127" s="531"/>
      <c r="U127" s="531"/>
      <c r="V127" s="530"/>
      <c r="W127" s="530"/>
      <c r="X127" s="530"/>
      <c r="Y127" s="530"/>
      <c r="Z127" s="530"/>
      <c r="AA127" s="530"/>
      <c r="AB127" s="530"/>
      <c r="AC127" s="530"/>
      <c r="AD127" s="530"/>
      <c r="AE127" s="643"/>
      <c r="AF127" s="531"/>
      <c r="AG127" s="531"/>
      <c r="AH127" s="531"/>
      <c r="AI127" s="531"/>
      <c r="AJ127" s="853"/>
      <c r="AK127" s="531"/>
      <c r="AL127" s="531"/>
      <c r="AM127" s="531"/>
      <c r="AN127" s="625"/>
      <c r="AO127" s="625"/>
      <c r="AP127" s="625"/>
      <c r="AQ127" s="625"/>
      <c r="AR127" s="531"/>
      <c r="AS127" s="531"/>
      <c r="AT127" s="531"/>
    </row>
    <row r="128" spans="1:46" s="536" customFormat="1">
      <c r="A128" s="537"/>
      <c r="B128" s="660"/>
      <c r="C128" s="531"/>
      <c r="D128" s="531"/>
      <c r="E128" s="531"/>
      <c r="F128" s="531"/>
      <c r="G128" s="531"/>
      <c r="H128" s="531"/>
      <c r="I128" s="530"/>
      <c r="J128" s="530"/>
      <c r="K128" s="530"/>
      <c r="L128" s="531"/>
      <c r="M128" s="539"/>
      <c r="N128" s="530"/>
      <c r="O128" s="531"/>
      <c r="P128" s="539"/>
      <c r="Q128" s="530"/>
      <c r="R128" s="531"/>
      <c r="S128" s="539"/>
      <c r="T128" s="539"/>
      <c r="U128" s="531"/>
      <c r="V128" s="531"/>
      <c r="W128" s="531"/>
      <c r="X128" s="531"/>
      <c r="Y128" s="531"/>
      <c r="Z128" s="531"/>
      <c r="AA128" s="531"/>
      <c r="AB128" s="531"/>
      <c r="AC128" s="531"/>
      <c r="AD128" s="531"/>
      <c r="AE128" s="531"/>
      <c r="AF128" s="531"/>
      <c r="AG128" s="531"/>
      <c r="AH128" s="531"/>
      <c r="AI128" s="531"/>
      <c r="AJ128" s="853"/>
      <c r="AK128" s="533"/>
      <c r="AL128" s="533"/>
      <c r="AM128" s="533"/>
      <c r="AN128" s="625"/>
      <c r="AO128" s="625"/>
      <c r="AP128" s="625"/>
      <c r="AQ128" s="625"/>
      <c r="AR128" s="533"/>
      <c r="AS128" s="533"/>
      <c r="AT128" s="533"/>
    </row>
    <row r="129" spans="1:36" s="536" customFormat="1">
      <c r="A129" s="644"/>
      <c r="B129" s="689"/>
      <c r="C129" s="974"/>
      <c r="D129" s="535"/>
      <c r="E129" s="690"/>
      <c r="F129" s="535"/>
      <c r="G129" s="535"/>
      <c r="H129" s="690"/>
      <c r="I129" s="534"/>
      <c r="J129" s="534"/>
      <c r="K129" s="690"/>
      <c r="L129" s="535"/>
      <c r="M129" s="545"/>
      <c r="N129" s="690"/>
      <c r="O129" s="535"/>
      <c r="P129" s="545"/>
      <c r="Q129" s="690"/>
      <c r="R129" s="535"/>
      <c r="S129" s="545"/>
      <c r="T129" s="690"/>
      <c r="U129" s="690"/>
      <c r="V129" s="692"/>
      <c r="W129" s="692"/>
      <c r="X129" s="692"/>
      <c r="Y129" s="692"/>
      <c r="Z129" s="692"/>
      <c r="AA129" s="692"/>
      <c r="AB129" s="692"/>
      <c r="AC129" s="692"/>
      <c r="AD129" s="692"/>
      <c r="AE129" s="535"/>
      <c r="AF129" s="535"/>
      <c r="AG129" s="535"/>
      <c r="AH129" s="535"/>
      <c r="AI129" s="535"/>
      <c r="AJ129" s="856"/>
    </row>
    <row r="130" spans="1:36" s="536" customFormat="1">
      <c r="A130" s="644"/>
      <c r="B130" s="689"/>
      <c r="C130" s="974"/>
      <c r="D130" s="535"/>
      <c r="E130" s="690"/>
      <c r="F130" s="535"/>
      <c r="G130" s="535"/>
      <c r="H130" s="690"/>
      <c r="I130" s="534"/>
      <c r="J130" s="534"/>
      <c r="K130" s="690"/>
      <c r="L130" s="535"/>
      <c r="M130" s="545"/>
      <c r="N130" s="690"/>
      <c r="O130" s="535"/>
      <c r="P130" s="545"/>
      <c r="Q130" s="690"/>
      <c r="R130" s="535"/>
      <c r="S130" s="545"/>
      <c r="T130" s="690"/>
      <c r="U130" s="690"/>
      <c r="V130" s="692"/>
      <c r="W130" s="692"/>
      <c r="X130" s="692"/>
      <c r="Y130" s="692"/>
      <c r="Z130" s="692"/>
      <c r="AA130" s="692"/>
      <c r="AB130" s="692"/>
      <c r="AC130" s="692"/>
      <c r="AD130" s="692"/>
      <c r="AE130" s="535"/>
      <c r="AF130" s="535"/>
      <c r="AG130" s="535"/>
      <c r="AH130" s="535"/>
      <c r="AI130" s="535"/>
      <c r="AJ130" s="856"/>
    </row>
    <row r="131" spans="1:36" s="536" customFormat="1">
      <c r="A131" s="644"/>
      <c r="B131" s="693"/>
      <c r="C131" s="535"/>
      <c r="D131" s="535"/>
      <c r="E131" s="535"/>
      <c r="F131" s="535"/>
      <c r="G131" s="535"/>
      <c r="H131" s="535"/>
      <c r="I131" s="534"/>
      <c r="J131" s="534"/>
      <c r="K131" s="535"/>
      <c r="L131" s="535"/>
      <c r="M131" s="545"/>
      <c r="N131" s="535"/>
      <c r="O131" s="535"/>
      <c r="P131" s="545"/>
      <c r="Q131" s="535"/>
      <c r="R131" s="535"/>
      <c r="S131" s="545"/>
      <c r="T131" s="535"/>
      <c r="U131" s="535"/>
      <c r="V131" s="534"/>
      <c r="W131" s="534"/>
      <c r="X131" s="534"/>
      <c r="Y131" s="534"/>
      <c r="Z131" s="534"/>
      <c r="AA131" s="534"/>
      <c r="AB131" s="534"/>
      <c r="AC131" s="534"/>
      <c r="AD131" s="534"/>
      <c r="AE131" s="535"/>
      <c r="AF131" s="535"/>
      <c r="AG131" s="535"/>
      <c r="AH131" s="535"/>
      <c r="AI131" s="535"/>
      <c r="AJ131" s="856"/>
    </row>
    <row r="132" spans="1:36" s="536" customFormat="1" ht="14">
      <c r="A132" s="644"/>
      <c r="B132" s="694" t="str">
        <f>B14</f>
        <v/>
      </c>
      <c r="C132" s="698"/>
      <c r="D132" s="535"/>
      <c r="E132" s="535"/>
      <c r="F132" s="535"/>
      <c r="G132" s="535"/>
      <c r="H132" s="535"/>
      <c r="I132" s="534"/>
      <c r="J132" s="534"/>
      <c r="K132" s="535"/>
      <c r="L132" s="535"/>
      <c r="M132" s="545"/>
      <c r="N132" s="535"/>
      <c r="O132" s="535"/>
      <c r="P132" s="545"/>
      <c r="Q132" s="535"/>
      <c r="R132" s="535"/>
      <c r="S132" s="545"/>
      <c r="T132" s="541" t="str">
        <f>IF($W$241="SI","ESCENARIO "&amp;$V$242,0)</f>
        <v>ESCENARIO BASE</v>
      </c>
      <c r="U132" s="535"/>
      <c r="V132" s="534"/>
      <c r="W132" s="534"/>
      <c r="X132" s="534"/>
      <c r="Y132" s="534"/>
      <c r="Z132" s="534"/>
      <c r="AA132" s="534"/>
      <c r="AB132" s="534"/>
      <c r="AC132" s="534"/>
      <c r="AD132" s="534"/>
      <c r="AE132" s="696"/>
      <c r="AF132" s="535"/>
      <c r="AG132" s="535"/>
      <c r="AH132" s="535"/>
      <c r="AI132" s="535"/>
      <c r="AJ132" s="856"/>
    </row>
    <row r="133" spans="1:36" s="536" customFormat="1">
      <c r="A133" s="644"/>
      <c r="B133" s="697">
        <f ca="1">NOW()</f>
        <v>45203.393931018516</v>
      </c>
      <c r="C133" s="975" t="str">
        <f>C13</f>
        <v xml:space="preserve">Miles de </v>
      </c>
      <c r="D133" s="535"/>
      <c r="E133" s="698"/>
      <c r="F133" s="535"/>
      <c r="G133" s="535"/>
      <c r="H133" s="698"/>
      <c r="I133" s="534"/>
      <c r="J133" s="534"/>
      <c r="K133" s="698"/>
      <c r="L133" s="535"/>
      <c r="M133" s="545"/>
      <c r="N133" s="698"/>
      <c r="O133" s="535"/>
      <c r="P133" s="545"/>
      <c r="Q133" s="698"/>
      <c r="R133" s="535"/>
      <c r="S133" s="545"/>
      <c r="T133" s="700" t="s">
        <v>1044</v>
      </c>
      <c r="U133" s="700" t="s">
        <v>1044</v>
      </c>
      <c r="V133" s="700" t="s">
        <v>1044</v>
      </c>
      <c r="W133" s="700" t="s">
        <v>1044</v>
      </c>
      <c r="X133" s="700" t="s">
        <v>1044</v>
      </c>
      <c r="Y133" s="700" t="s">
        <v>1044</v>
      </c>
      <c r="Z133" s="700" t="s">
        <v>1044</v>
      </c>
      <c r="AA133" s="700" t="s">
        <v>1044</v>
      </c>
      <c r="AB133" s="700" t="s">
        <v>1044</v>
      </c>
      <c r="AC133" s="700" t="s">
        <v>1044</v>
      </c>
      <c r="AD133" s="700" t="s">
        <v>1044</v>
      </c>
      <c r="AE133" s="700" t="s">
        <v>1044</v>
      </c>
      <c r="AF133" s="700" t="s">
        <v>1044</v>
      </c>
      <c r="AG133" s="700" t="s">
        <v>1044</v>
      </c>
      <c r="AH133" s="700" t="s">
        <v>1044</v>
      </c>
      <c r="AI133" s="700" t="s">
        <v>1044</v>
      </c>
      <c r="AJ133" s="856"/>
    </row>
    <row r="134" spans="1:36" s="536" customFormat="1" ht="14">
      <c r="A134" s="644"/>
      <c r="B134" s="701" t="str">
        <f>"FLUJO DE CAJA "&amp;IF($R$956&lt;&gt;$E$913," - CORTE "&amp;Q16,0)</f>
        <v>FLUJO DE CAJA 0</v>
      </c>
      <c r="C134" s="976"/>
      <c r="D134" s="535"/>
      <c r="E134" s="702">
        <f>E15</f>
        <v>2017</v>
      </c>
      <c r="F134" s="535"/>
      <c r="G134" s="535"/>
      <c r="H134" s="702">
        <f>H15</f>
        <v>2018</v>
      </c>
      <c r="I134" s="534"/>
      <c r="J134" s="534"/>
      <c r="K134" s="702">
        <f>K15</f>
        <v>2019</v>
      </c>
      <c r="L134" s="535"/>
      <c r="M134" s="545"/>
      <c r="N134" s="702">
        <f>N15</f>
        <v>2019</v>
      </c>
      <c r="O134" s="535"/>
      <c r="P134" s="545"/>
      <c r="Q134" s="702" t="str">
        <f>Q15</f>
        <v>2020</v>
      </c>
      <c r="R134" s="535"/>
      <c r="S134" s="545"/>
      <c r="T134" s="704">
        <f t="shared" ref="T134:AI134" si="125">T15</f>
        <v>2020</v>
      </c>
      <c r="U134" s="704">
        <f t="shared" si="125"/>
        <v>2021</v>
      </c>
      <c r="V134" s="704">
        <f t="shared" si="125"/>
        <v>2022</v>
      </c>
      <c r="W134" s="704">
        <f t="shared" si="125"/>
        <v>2023</v>
      </c>
      <c r="X134" s="704">
        <f t="shared" si="125"/>
        <v>2024</v>
      </c>
      <c r="Y134" s="704">
        <f t="shared" si="125"/>
        <v>2025</v>
      </c>
      <c r="Z134" s="704">
        <f t="shared" si="125"/>
        <v>2026</v>
      </c>
      <c r="AA134" s="704">
        <f t="shared" si="125"/>
        <v>2027</v>
      </c>
      <c r="AB134" s="704">
        <f t="shared" si="125"/>
        <v>2028</v>
      </c>
      <c r="AC134" s="704">
        <f t="shared" si="125"/>
        <v>2029</v>
      </c>
      <c r="AD134" s="704">
        <f t="shared" si="125"/>
        <v>2030</v>
      </c>
      <c r="AE134" s="704">
        <f t="shared" si="125"/>
        <v>2031</v>
      </c>
      <c r="AF134" s="704">
        <f t="shared" si="125"/>
        <v>2032</v>
      </c>
      <c r="AG134" s="704">
        <f t="shared" si="125"/>
        <v>2033</v>
      </c>
      <c r="AH134" s="704">
        <f t="shared" si="125"/>
        <v>2034</v>
      </c>
      <c r="AI134" s="704">
        <f t="shared" si="125"/>
        <v>2035</v>
      </c>
      <c r="AJ134" s="856"/>
    </row>
    <row r="135" spans="1:36" s="536" customFormat="1" ht="14">
      <c r="A135" s="644"/>
      <c r="B135" s="705" t="s">
        <v>871</v>
      </c>
      <c r="C135" s="977"/>
      <c r="D135" s="535"/>
      <c r="E135" s="704">
        <f>E17</f>
        <v>360</v>
      </c>
      <c r="F135" s="535"/>
      <c r="G135" s="535"/>
      <c r="H135" s="704">
        <f>H17</f>
        <v>360</v>
      </c>
      <c r="I135" s="534"/>
      <c r="J135" s="534"/>
      <c r="K135" s="704">
        <f>K17</f>
        <v>180</v>
      </c>
      <c r="L135" s="535"/>
      <c r="M135" s="545"/>
      <c r="N135" s="704">
        <f>N17</f>
        <v>360</v>
      </c>
      <c r="O135" s="535"/>
      <c r="P135" s="545"/>
      <c r="Q135" s="704">
        <f>Q17</f>
        <v>360</v>
      </c>
      <c r="R135" s="535"/>
      <c r="S135" s="545"/>
      <c r="T135" s="704">
        <f t="shared" ref="T135:AI135" si="126">T17</f>
        <v>360</v>
      </c>
      <c r="U135" s="704">
        <f t="shared" si="126"/>
        <v>360</v>
      </c>
      <c r="V135" s="704">
        <f t="shared" si="126"/>
        <v>360</v>
      </c>
      <c r="W135" s="704">
        <f t="shared" si="126"/>
        <v>360</v>
      </c>
      <c r="X135" s="704">
        <f t="shared" si="126"/>
        <v>360</v>
      </c>
      <c r="Y135" s="704">
        <f t="shared" si="126"/>
        <v>360</v>
      </c>
      <c r="Z135" s="704">
        <f t="shared" si="126"/>
        <v>360</v>
      </c>
      <c r="AA135" s="704">
        <f t="shared" si="126"/>
        <v>360</v>
      </c>
      <c r="AB135" s="704">
        <f t="shared" si="126"/>
        <v>360</v>
      </c>
      <c r="AC135" s="704">
        <f t="shared" si="126"/>
        <v>360</v>
      </c>
      <c r="AD135" s="704">
        <f t="shared" si="126"/>
        <v>360</v>
      </c>
      <c r="AE135" s="704">
        <f t="shared" si="126"/>
        <v>360</v>
      </c>
      <c r="AF135" s="704">
        <f t="shared" si="126"/>
        <v>360</v>
      </c>
      <c r="AG135" s="704">
        <f t="shared" si="126"/>
        <v>360</v>
      </c>
      <c r="AH135" s="704">
        <f t="shared" si="126"/>
        <v>360</v>
      </c>
      <c r="AI135" s="704">
        <f t="shared" si="126"/>
        <v>360</v>
      </c>
      <c r="AJ135" s="856"/>
    </row>
    <row r="136" spans="1:36" s="536" customFormat="1" ht="12.5">
      <c r="A136" s="706">
        <v>1</v>
      </c>
      <c r="B136" s="707" t="s">
        <v>826</v>
      </c>
      <c r="C136" s="978"/>
      <c r="D136" s="535"/>
      <c r="E136" s="708">
        <f>E75</f>
        <v>0</v>
      </c>
      <c r="F136" s="535"/>
      <c r="G136" s="535"/>
      <c r="H136" s="708">
        <f>H75</f>
        <v>0</v>
      </c>
      <c r="I136" s="534"/>
      <c r="J136" s="534"/>
      <c r="K136" s="708">
        <f>K75</f>
        <v>0</v>
      </c>
      <c r="L136" s="535"/>
      <c r="M136" s="545"/>
      <c r="N136" s="708">
        <f>N75</f>
        <v>0</v>
      </c>
      <c r="O136" s="535"/>
      <c r="P136" s="545"/>
      <c r="Q136" s="708">
        <f>Q75</f>
        <v>0</v>
      </c>
      <c r="R136" s="535"/>
      <c r="S136" s="545"/>
      <c r="T136" s="710">
        <f t="shared" ref="T136:AI136" si="127">T75</f>
        <v>0</v>
      </c>
      <c r="U136" s="710">
        <f t="shared" si="127"/>
        <v>0</v>
      </c>
      <c r="V136" s="710">
        <f t="shared" si="127"/>
        <v>0</v>
      </c>
      <c r="W136" s="710">
        <f t="shared" si="127"/>
        <v>0</v>
      </c>
      <c r="X136" s="710">
        <f t="shared" si="127"/>
        <v>0</v>
      </c>
      <c r="Y136" s="710">
        <f t="shared" si="127"/>
        <v>0</v>
      </c>
      <c r="Z136" s="710">
        <f t="shared" si="127"/>
        <v>0</v>
      </c>
      <c r="AA136" s="710">
        <f t="shared" si="127"/>
        <v>0</v>
      </c>
      <c r="AB136" s="710">
        <f t="shared" si="127"/>
        <v>0</v>
      </c>
      <c r="AC136" s="710">
        <f t="shared" si="127"/>
        <v>0</v>
      </c>
      <c r="AD136" s="710">
        <f t="shared" si="127"/>
        <v>0</v>
      </c>
      <c r="AE136" s="710">
        <f t="shared" si="127"/>
        <v>0</v>
      </c>
      <c r="AF136" s="710">
        <f t="shared" si="127"/>
        <v>0</v>
      </c>
      <c r="AG136" s="710">
        <f t="shared" si="127"/>
        <v>0</v>
      </c>
      <c r="AH136" s="710">
        <f t="shared" si="127"/>
        <v>0</v>
      </c>
      <c r="AI136" s="710">
        <f t="shared" si="127"/>
        <v>0</v>
      </c>
      <c r="AJ136" s="856"/>
    </row>
    <row r="137" spans="1:36" s="536" customFormat="1" ht="12.5">
      <c r="A137" s="711">
        <v>2</v>
      </c>
      <c r="B137" s="712" t="s">
        <v>1150</v>
      </c>
      <c r="C137" s="979"/>
      <c r="D137" s="535"/>
      <c r="E137" s="713">
        <f>SUM(E90:E92)</f>
        <v>0</v>
      </c>
      <c r="F137" s="535"/>
      <c r="G137" s="535"/>
      <c r="H137" s="713">
        <f>SUM(H90:H92)</f>
        <v>0</v>
      </c>
      <c r="I137" s="534"/>
      <c r="J137" s="534"/>
      <c r="K137" s="713">
        <f>SUM(K90:K92)</f>
        <v>0</v>
      </c>
      <c r="L137" s="535"/>
      <c r="M137" s="545"/>
      <c r="N137" s="713">
        <f>SUM(N90:N92)</f>
        <v>0</v>
      </c>
      <c r="O137" s="535"/>
      <c r="P137" s="545"/>
      <c r="Q137" s="713">
        <f>SUM(Q90:Q92)</f>
        <v>0</v>
      </c>
      <c r="R137" s="535"/>
      <c r="S137" s="545"/>
      <c r="T137" s="714">
        <f t="shared" ref="T137:AI137" si="128">SUM(T90:T92)</f>
        <v>0</v>
      </c>
      <c r="U137" s="714">
        <f t="shared" si="128"/>
        <v>0</v>
      </c>
      <c r="V137" s="714">
        <f t="shared" si="128"/>
        <v>0</v>
      </c>
      <c r="W137" s="714">
        <f t="shared" si="128"/>
        <v>0</v>
      </c>
      <c r="X137" s="714">
        <f t="shared" si="128"/>
        <v>0</v>
      </c>
      <c r="Y137" s="714">
        <f t="shared" si="128"/>
        <v>0</v>
      </c>
      <c r="Z137" s="714">
        <f t="shared" si="128"/>
        <v>0</v>
      </c>
      <c r="AA137" s="714">
        <f t="shared" si="128"/>
        <v>0</v>
      </c>
      <c r="AB137" s="714">
        <f t="shared" si="128"/>
        <v>0</v>
      </c>
      <c r="AC137" s="714">
        <f t="shared" si="128"/>
        <v>0</v>
      </c>
      <c r="AD137" s="714">
        <f t="shared" si="128"/>
        <v>0</v>
      </c>
      <c r="AE137" s="714">
        <f t="shared" si="128"/>
        <v>0</v>
      </c>
      <c r="AF137" s="714">
        <f t="shared" si="128"/>
        <v>0</v>
      </c>
      <c r="AG137" s="714">
        <f t="shared" si="128"/>
        <v>0</v>
      </c>
      <c r="AH137" s="714">
        <f t="shared" si="128"/>
        <v>0</v>
      </c>
      <c r="AI137" s="714">
        <f t="shared" si="128"/>
        <v>0</v>
      </c>
      <c r="AJ137" s="856"/>
    </row>
    <row r="138" spans="1:36" s="721" customFormat="1">
      <c r="A138" s="715"/>
      <c r="B138" s="716" t="s">
        <v>881</v>
      </c>
      <c r="C138" s="980"/>
      <c r="D138" s="981"/>
      <c r="E138" s="717">
        <f>E136+E137</f>
        <v>0</v>
      </c>
      <c r="F138" s="981"/>
      <c r="G138" s="981"/>
      <c r="H138" s="717">
        <f>H136+H137</f>
        <v>0</v>
      </c>
      <c r="I138" s="982"/>
      <c r="J138" s="982"/>
      <c r="K138" s="717">
        <f>K136+K137</f>
        <v>0</v>
      </c>
      <c r="L138" s="981"/>
      <c r="M138" s="719"/>
      <c r="N138" s="717">
        <f>N136+N137</f>
        <v>0</v>
      </c>
      <c r="O138" s="981"/>
      <c r="P138" s="719"/>
      <c r="Q138" s="717">
        <f>Q136+Q137</f>
        <v>0</v>
      </c>
      <c r="R138" s="981"/>
      <c r="S138" s="719"/>
      <c r="T138" s="720">
        <f t="shared" ref="T138:AI138" si="129">T136+T137</f>
        <v>0</v>
      </c>
      <c r="U138" s="720">
        <f t="shared" si="129"/>
        <v>0</v>
      </c>
      <c r="V138" s="720">
        <f t="shared" si="129"/>
        <v>0</v>
      </c>
      <c r="W138" s="720">
        <f t="shared" si="129"/>
        <v>0</v>
      </c>
      <c r="X138" s="720">
        <f t="shared" si="129"/>
        <v>0</v>
      </c>
      <c r="Y138" s="720">
        <f t="shared" si="129"/>
        <v>0</v>
      </c>
      <c r="Z138" s="720">
        <f t="shared" si="129"/>
        <v>0</v>
      </c>
      <c r="AA138" s="720">
        <f t="shared" si="129"/>
        <v>0</v>
      </c>
      <c r="AB138" s="720">
        <f t="shared" si="129"/>
        <v>0</v>
      </c>
      <c r="AC138" s="720">
        <f t="shared" si="129"/>
        <v>0</v>
      </c>
      <c r="AD138" s="720">
        <f t="shared" si="129"/>
        <v>0</v>
      </c>
      <c r="AE138" s="720">
        <f t="shared" si="129"/>
        <v>0</v>
      </c>
      <c r="AF138" s="720">
        <f t="shared" si="129"/>
        <v>0</v>
      </c>
      <c r="AG138" s="720">
        <f t="shared" si="129"/>
        <v>0</v>
      </c>
      <c r="AH138" s="720">
        <f t="shared" si="129"/>
        <v>0</v>
      </c>
      <c r="AI138" s="720">
        <f t="shared" si="129"/>
        <v>0</v>
      </c>
      <c r="AJ138" s="983"/>
    </row>
    <row r="139" spans="1:36" s="721" customFormat="1">
      <c r="A139" s="706">
        <v>3</v>
      </c>
      <c r="B139" s="722" t="s">
        <v>1151</v>
      </c>
      <c r="C139" s="984"/>
      <c r="D139" s="981"/>
      <c r="E139" s="710">
        <f>-C88</f>
        <v>0</v>
      </c>
      <c r="F139" s="981"/>
      <c r="G139" s="981"/>
      <c r="H139" s="710">
        <f>-E88</f>
        <v>0</v>
      </c>
      <c r="I139" s="982"/>
      <c r="J139" s="982"/>
      <c r="K139" s="710">
        <f>-H88</f>
        <v>0</v>
      </c>
      <c r="L139" s="981"/>
      <c r="M139" s="719"/>
      <c r="N139" s="710">
        <f>-H88</f>
        <v>0</v>
      </c>
      <c r="O139" s="981"/>
      <c r="P139" s="719"/>
      <c r="Q139" s="710">
        <f>IF(OR($C$3=$L$913,$C$3=0),-N88,-K88)</f>
        <v>0</v>
      </c>
      <c r="R139" s="981"/>
      <c r="S139" s="719"/>
      <c r="T139" s="710">
        <f>-N88</f>
        <v>0</v>
      </c>
      <c r="U139" s="710">
        <f t="shared" ref="U139:AI139" si="130">-T88</f>
        <v>0</v>
      </c>
      <c r="V139" s="710">
        <f t="shared" si="130"/>
        <v>0</v>
      </c>
      <c r="W139" s="710">
        <f t="shared" si="130"/>
        <v>0</v>
      </c>
      <c r="X139" s="710">
        <f t="shared" si="130"/>
        <v>0</v>
      </c>
      <c r="Y139" s="710">
        <f t="shared" si="130"/>
        <v>0</v>
      </c>
      <c r="Z139" s="710">
        <f t="shared" si="130"/>
        <v>0</v>
      </c>
      <c r="AA139" s="710">
        <f t="shared" si="130"/>
        <v>0</v>
      </c>
      <c r="AB139" s="710">
        <f t="shared" si="130"/>
        <v>0</v>
      </c>
      <c r="AC139" s="710">
        <f t="shared" si="130"/>
        <v>0</v>
      </c>
      <c r="AD139" s="710">
        <f t="shared" si="130"/>
        <v>0</v>
      </c>
      <c r="AE139" s="710">
        <f t="shared" si="130"/>
        <v>0</v>
      </c>
      <c r="AF139" s="710">
        <f t="shared" si="130"/>
        <v>0</v>
      </c>
      <c r="AG139" s="710">
        <f t="shared" si="130"/>
        <v>0</v>
      </c>
      <c r="AH139" s="710">
        <f t="shared" si="130"/>
        <v>0</v>
      </c>
      <c r="AI139" s="710">
        <f t="shared" si="130"/>
        <v>0</v>
      </c>
      <c r="AJ139" s="983"/>
    </row>
    <row r="140" spans="1:36" s="726" customFormat="1" ht="11.5">
      <c r="A140" s="711">
        <v>4</v>
      </c>
      <c r="B140" s="724" t="str">
        <f>"-  DIVIDENDOS PAGADOS "&amp;IF(AND($C$3=$L$914,Q234&lt;&gt;0),CONCATENATE("+ RESULTADO ",LEFT(K16,3),". '",RIGHT(TEXT(K15,"0.00"),2)," A ",LEFT(N16,3),". '",RIGHT(TEXT(N15,"0.00"),2)," (PARA EL FLUJO DE ",LEFT(Q16,3),". '",RIGHT(TEXT(Q15,"0.00"),2),")"),0)</f>
        <v>-  DIVIDENDOS PAGADOS 0</v>
      </c>
      <c r="C140" s="985"/>
      <c r="D140" s="698"/>
      <c r="E140" s="714">
        <f>-E233</f>
        <v>0</v>
      </c>
      <c r="F140" s="698"/>
      <c r="G140" s="698"/>
      <c r="H140" s="714">
        <f>-H233</f>
        <v>0</v>
      </c>
      <c r="I140" s="986"/>
      <c r="J140" s="986"/>
      <c r="K140" s="714">
        <f>-K233</f>
        <v>0</v>
      </c>
      <c r="L140" s="698"/>
      <c r="M140" s="725"/>
      <c r="N140" s="714">
        <f>-N233</f>
        <v>0</v>
      </c>
      <c r="O140" s="698"/>
      <c r="P140" s="725"/>
      <c r="Q140" s="714">
        <f>IF(OR($C$3=$L$913,$C$3=0),-Q233,-Q233+Q234)</f>
        <v>0</v>
      </c>
      <c r="R140" s="698"/>
      <c r="S140" s="725"/>
      <c r="T140" s="714">
        <f t="shared" ref="T140:AI140" si="131">-T233</f>
        <v>0</v>
      </c>
      <c r="U140" s="714">
        <f t="shared" si="131"/>
        <v>0</v>
      </c>
      <c r="V140" s="714">
        <f t="shared" si="131"/>
        <v>0</v>
      </c>
      <c r="W140" s="714">
        <f t="shared" si="131"/>
        <v>0</v>
      </c>
      <c r="X140" s="714">
        <f t="shared" si="131"/>
        <v>0</v>
      </c>
      <c r="Y140" s="714">
        <f t="shared" si="131"/>
        <v>0</v>
      </c>
      <c r="Z140" s="714">
        <f t="shared" si="131"/>
        <v>0</v>
      </c>
      <c r="AA140" s="714">
        <f t="shared" si="131"/>
        <v>0</v>
      </c>
      <c r="AB140" s="714">
        <f t="shared" si="131"/>
        <v>0</v>
      </c>
      <c r="AC140" s="714">
        <f t="shared" si="131"/>
        <v>0</v>
      </c>
      <c r="AD140" s="714">
        <f t="shared" si="131"/>
        <v>0</v>
      </c>
      <c r="AE140" s="714">
        <f t="shared" si="131"/>
        <v>0</v>
      </c>
      <c r="AF140" s="714">
        <f t="shared" si="131"/>
        <v>0</v>
      </c>
      <c r="AG140" s="714">
        <f t="shared" si="131"/>
        <v>0</v>
      </c>
      <c r="AH140" s="714">
        <f t="shared" si="131"/>
        <v>0</v>
      </c>
      <c r="AI140" s="714">
        <f t="shared" si="131"/>
        <v>0</v>
      </c>
      <c r="AJ140" s="987"/>
    </row>
    <row r="141" spans="1:36" s="726" customFormat="1" ht="11.5">
      <c r="A141" s="727"/>
      <c r="B141" s="728" t="s">
        <v>1152</v>
      </c>
      <c r="C141" s="988"/>
      <c r="D141" s="698"/>
      <c r="E141" s="729">
        <f>E138+E139+E140</f>
        <v>0</v>
      </c>
      <c r="F141" s="698"/>
      <c r="G141" s="698"/>
      <c r="H141" s="729">
        <f>H138+H139+H140</f>
        <v>0</v>
      </c>
      <c r="I141" s="986"/>
      <c r="J141" s="986"/>
      <c r="K141" s="729">
        <f>K138+K139+K140</f>
        <v>0</v>
      </c>
      <c r="L141" s="698"/>
      <c r="M141" s="731"/>
      <c r="N141" s="729">
        <f>N138+N139+N140</f>
        <v>0</v>
      </c>
      <c r="O141" s="698"/>
      <c r="P141" s="731"/>
      <c r="Q141" s="729">
        <f>Q138+Q139+Q140</f>
        <v>0</v>
      </c>
      <c r="R141" s="698"/>
      <c r="S141" s="731"/>
      <c r="T141" s="729">
        <f t="shared" ref="T141:AI141" si="132">T138+T139+T140</f>
        <v>0</v>
      </c>
      <c r="U141" s="729">
        <f t="shared" si="132"/>
        <v>0</v>
      </c>
      <c r="V141" s="729">
        <f t="shared" si="132"/>
        <v>0</v>
      </c>
      <c r="W141" s="729">
        <f t="shared" si="132"/>
        <v>0</v>
      </c>
      <c r="X141" s="729">
        <f t="shared" si="132"/>
        <v>0</v>
      </c>
      <c r="Y141" s="729">
        <f t="shared" si="132"/>
        <v>0</v>
      </c>
      <c r="Z141" s="729">
        <f t="shared" si="132"/>
        <v>0</v>
      </c>
      <c r="AA141" s="729">
        <f t="shared" si="132"/>
        <v>0</v>
      </c>
      <c r="AB141" s="729">
        <f t="shared" si="132"/>
        <v>0</v>
      </c>
      <c r="AC141" s="729">
        <f t="shared" si="132"/>
        <v>0</v>
      </c>
      <c r="AD141" s="729">
        <f t="shared" si="132"/>
        <v>0</v>
      </c>
      <c r="AE141" s="729">
        <f t="shared" si="132"/>
        <v>0</v>
      </c>
      <c r="AF141" s="729">
        <f t="shared" si="132"/>
        <v>0</v>
      </c>
      <c r="AG141" s="729">
        <f t="shared" si="132"/>
        <v>0</v>
      </c>
      <c r="AH141" s="729">
        <f t="shared" si="132"/>
        <v>0</v>
      </c>
      <c r="AI141" s="729">
        <f t="shared" si="132"/>
        <v>0</v>
      </c>
      <c r="AJ141" s="987"/>
    </row>
    <row r="142" spans="1:36" s="536" customFormat="1" ht="12.5">
      <c r="A142" s="706">
        <v>5</v>
      </c>
      <c r="B142" s="722" t="s">
        <v>1153</v>
      </c>
      <c r="C142" s="989"/>
      <c r="D142" s="535"/>
      <c r="E142" s="708">
        <f>-(E19-C19)</f>
        <v>0</v>
      </c>
      <c r="F142" s="535"/>
      <c r="G142" s="535"/>
      <c r="H142" s="708">
        <f>-(H19-E19)</f>
        <v>0</v>
      </c>
      <c r="I142" s="534"/>
      <c r="J142" s="534"/>
      <c r="K142" s="708">
        <f>-(K19-H19)</f>
        <v>0</v>
      </c>
      <c r="L142" s="535"/>
      <c r="M142" s="545"/>
      <c r="N142" s="708">
        <f>-(N19-H19)</f>
        <v>0</v>
      </c>
      <c r="O142" s="535"/>
      <c r="P142" s="545"/>
      <c r="Q142" s="708">
        <f>IF(OR($C$3=$L$913,$C$3=0),-(Q19-N19),-(Q19-K19))</f>
        <v>0</v>
      </c>
      <c r="R142" s="535"/>
      <c r="S142" s="545"/>
      <c r="T142" s="710">
        <f>-(T19-N19)</f>
        <v>0</v>
      </c>
      <c r="U142" s="710">
        <f t="shared" ref="U142:AI142" si="133">-(U19-T19)</f>
        <v>0</v>
      </c>
      <c r="V142" s="710">
        <f t="shared" si="133"/>
        <v>0</v>
      </c>
      <c r="W142" s="710">
        <f t="shared" si="133"/>
        <v>0</v>
      </c>
      <c r="X142" s="710">
        <f t="shared" si="133"/>
        <v>0</v>
      </c>
      <c r="Y142" s="710">
        <f t="shared" si="133"/>
        <v>0</v>
      </c>
      <c r="Z142" s="710">
        <f t="shared" si="133"/>
        <v>0</v>
      </c>
      <c r="AA142" s="710">
        <f t="shared" si="133"/>
        <v>0</v>
      </c>
      <c r="AB142" s="710">
        <f t="shared" si="133"/>
        <v>0</v>
      </c>
      <c r="AC142" s="710">
        <f t="shared" si="133"/>
        <v>0</v>
      </c>
      <c r="AD142" s="710">
        <f t="shared" si="133"/>
        <v>0</v>
      </c>
      <c r="AE142" s="710">
        <f t="shared" si="133"/>
        <v>0</v>
      </c>
      <c r="AF142" s="710">
        <f t="shared" si="133"/>
        <v>0</v>
      </c>
      <c r="AG142" s="710">
        <f t="shared" si="133"/>
        <v>0</v>
      </c>
      <c r="AH142" s="710">
        <f t="shared" si="133"/>
        <v>0</v>
      </c>
      <c r="AI142" s="710">
        <f t="shared" si="133"/>
        <v>0</v>
      </c>
      <c r="AJ142" s="856"/>
    </row>
    <row r="143" spans="1:36" s="536" customFormat="1" ht="12.5">
      <c r="A143" s="732">
        <v>6</v>
      </c>
      <c r="B143" s="733" t="s">
        <v>1154</v>
      </c>
      <c r="C143" s="990"/>
      <c r="D143" s="535"/>
      <c r="E143" s="734">
        <f>-(E21-E113-C21+C113)</f>
        <v>0</v>
      </c>
      <c r="F143" s="535"/>
      <c r="G143" s="535"/>
      <c r="H143" s="734">
        <f>-(H21-H113-E21+E113)</f>
        <v>0</v>
      </c>
      <c r="I143" s="534"/>
      <c r="J143" s="534"/>
      <c r="K143" s="734">
        <f>-(K21-K113-H21+H113)</f>
        <v>0</v>
      </c>
      <c r="L143" s="535"/>
      <c r="M143" s="545"/>
      <c r="N143" s="734">
        <f>-(N21-N113-H21+H113)</f>
        <v>0</v>
      </c>
      <c r="O143" s="535"/>
      <c r="P143" s="545"/>
      <c r="Q143" s="734">
        <f>IF(OR($C$3=$L$913,$C$3=0),-(Q21-Q113-N21+N113),-(Q21-Q113-K21+K113))</f>
        <v>0</v>
      </c>
      <c r="R143" s="535"/>
      <c r="S143" s="545"/>
      <c r="T143" s="735">
        <f>-(T21-T113-N21+N113)</f>
        <v>0</v>
      </c>
      <c r="U143" s="735">
        <f t="shared" ref="U143:AI143" si="134">-(U21-U113-T21+T113)</f>
        <v>0</v>
      </c>
      <c r="V143" s="735">
        <f t="shared" si="134"/>
        <v>0</v>
      </c>
      <c r="W143" s="735">
        <f t="shared" si="134"/>
        <v>0</v>
      </c>
      <c r="X143" s="735">
        <f t="shared" si="134"/>
        <v>0</v>
      </c>
      <c r="Y143" s="735">
        <f t="shared" si="134"/>
        <v>0</v>
      </c>
      <c r="Z143" s="735">
        <f t="shared" si="134"/>
        <v>0</v>
      </c>
      <c r="AA143" s="735">
        <f t="shared" si="134"/>
        <v>0</v>
      </c>
      <c r="AB143" s="735">
        <f t="shared" si="134"/>
        <v>0</v>
      </c>
      <c r="AC143" s="735">
        <f t="shared" si="134"/>
        <v>0</v>
      </c>
      <c r="AD143" s="735">
        <f t="shared" si="134"/>
        <v>0</v>
      </c>
      <c r="AE143" s="735">
        <f t="shared" si="134"/>
        <v>0</v>
      </c>
      <c r="AF143" s="735">
        <f t="shared" si="134"/>
        <v>0</v>
      </c>
      <c r="AG143" s="735">
        <f t="shared" si="134"/>
        <v>0</v>
      </c>
      <c r="AH143" s="735">
        <f t="shared" si="134"/>
        <v>0</v>
      </c>
      <c r="AI143" s="735">
        <f t="shared" si="134"/>
        <v>0</v>
      </c>
      <c r="AJ143" s="856"/>
    </row>
    <row r="144" spans="1:36" s="536" customFormat="1" ht="12.5">
      <c r="A144" s="732">
        <v>7</v>
      </c>
      <c r="B144" s="733" t="s">
        <v>1155</v>
      </c>
      <c r="C144" s="990"/>
      <c r="D144" s="535"/>
      <c r="E144" s="734">
        <f>-(E23-C23)</f>
        <v>0</v>
      </c>
      <c r="F144" s="535"/>
      <c r="G144" s="535"/>
      <c r="H144" s="734">
        <f>-(H23-E23)</f>
        <v>0</v>
      </c>
      <c r="I144" s="534"/>
      <c r="J144" s="534"/>
      <c r="K144" s="734">
        <f>-(K23-H23)</f>
        <v>0</v>
      </c>
      <c r="L144" s="535"/>
      <c r="M144" s="545"/>
      <c r="N144" s="734">
        <f>-(N23-H23)</f>
        <v>0</v>
      </c>
      <c r="O144" s="535"/>
      <c r="P144" s="545"/>
      <c r="Q144" s="734">
        <f>IF(OR($C$3=$L$913,$C$3=0),-(Q23-N23),-(Q23-K23))</f>
        <v>0</v>
      </c>
      <c r="R144" s="535"/>
      <c r="S144" s="545"/>
      <c r="T144" s="735">
        <f>-(T23-N23)</f>
        <v>0</v>
      </c>
      <c r="U144" s="735">
        <f t="shared" ref="U144:AI144" si="135">-(U23-T23)</f>
        <v>0</v>
      </c>
      <c r="V144" s="735">
        <f t="shared" si="135"/>
        <v>0</v>
      </c>
      <c r="W144" s="735">
        <f t="shared" si="135"/>
        <v>0</v>
      </c>
      <c r="X144" s="735">
        <f t="shared" si="135"/>
        <v>0</v>
      </c>
      <c r="Y144" s="735">
        <f t="shared" si="135"/>
        <v>0</v>
      </c>
      <c r="Z144" s="735">
        <f t="shared" si="135"/>
        <v>0</v>
      </c>
      <c r="AA144" s="735">
        <f t="shared" si="135"/>
        <v>0</v>
      </c>
      <c r="AB144" s="735">
        <f t="shared" si="135"/>
        <v>0</v>
      </c>
      <c r="AC144" s="735">
        <f t="shared" si="135"/>
        <v>0</v>
      </c>
      <c r="AD144" s="735">
        <f t="shared" si="135"/>
        <v>0</v>
      </c>
      <c r="AE144" s="735">
        <f t="shared" si="135"/>
        <v>0</v>
      </c>
      <c r="AF144" s="735">
        <f t="shared" si="135"/>
        <v>0</v>
      </c>
      <c r="AG144" s="735">
        <f t="shared" si="135"/>
        <v>0</v>
      </c>
      <c r="AH144" s="735">
        <f t="shared" si="135"/>
        <v>0</v>
      </c>
      <c r="AI144" s="735">
        <f t="shared" si="135"/>
        <v>0</v>
      </c>
      <c r="AJ144" s="856"/>
    </row>
    <row r="145" spans="1:36" s="536" customFormat="1" ht="12.5">
      <c r="A145" s="732">
        <v>8</v>
      </c>
      <c r="B145" s="733" t="s">
        <v>1156</v>
      </c>
      <c r="C145" s="990"/>
      <c r="D145" s="535"/>
      <c r="E145" s="734">
        <f>E40-C40</f>
        <v>0</v>
      </c>
      <c r="F145" s="535"/>
      <c r="G145" s="535"/>
      <c r="H145" s="734">
        <f>H40-E40</f>
        <v>0</v>
      </c>
      <c r="I145" s="534"/>
      <c r="J145" s="534"/>
      <c r="K145" s="734">
        <f>K40-H40</f>
        <v>0</v>
      </c>
      <c r="L145" s="535"/>
      <c r="M145" s="545"/>
      <c r="N145" s="734">
        <f>N40-H40</f>
        <v>0</v>
      </c>
      <c r="O145" s="535"/>
      <c r="P145" s="545"/>
      <c r="Q145" s="734">
        <f>IF(OR($C$3=$L$913,$C$3=0),Q40-N40,Q40-K40)</f>
        <v>0</v>
      </c>
      <c r="R145" s="535"/>
      <c r="S145" s="545"/>
      <c r="T145" s="735">
        <f>T40-N40</f>
        <v>0</v>
      </c>
      <c r="U145" s="735">
        <f t="shared" ref="U145:AI145" si="136">U40-T40</f>
        <v>0</v>
      </c>
      <c r="V145" s="735">
        <f t="shared" si="136"/>
        <v>0</v>
      </c>
      <c r="W145" s="735">
        <f t="shared" si="136"/>
        <v>0</v>
      </c>
      <c r="X145" s="735">
        <f t="shared" si="136"/>
        <v>0</v>
      </c>
      <c r="Y145" s="735">
        <f t="shared" si="136"/>
        <v>0</v>
      </c>
      <c r="Z145" s="735">
        <f t="shared" si="136"/>
        <v>0</v>
      </c>
      <c r="AA145" s="735">
        <f t="shared" si="136"/>
        <v>0</v>
      </c>
      <c r="AB145" s="735">
        <f t="shared" si="136"/>
        <v>0</v>
      </c>
      <c r="AC145" s="735">
        <f t="shared" si="136"/>
        <v>0</v>
      </c>
      <c r="AD145" s="735">
        <f t="shared" si="136"/>
        <v>0</v>
      </c>
      <c r="AE145" s="735">
        <f t="shared" si="136"/>
        <v>0</v>
      </c>
      <c r="AF145" s="735">
        <f t="shared" si="136"/>
        <v>0</v>
      </c>
      <c r="AG145" s="735">
        <f t="shared" si="136"/>
        <v>0</v>
      </c>
      <c r="AH145" s="735">
        <f t="shared" si="136"/>
        <v>0</v>
      </c>
      <c r="AI145" s="735">
        <f t="shared" si="136"/>
        <v>0</v>
      </c>
      <c r="AJ145" s="856"/>
    </row>
    <row r="146" spans="1:36" s="742" customFormat="1">
      <c r="A146" s="736" t="s">
        <v>1157</v>
      </c>
      <c r="B146" s="737" t="s">
        <v>1158</v>
      </c>
      <c r="C146" s="991"/>
      <c r="D146" s="992"/>
      <c r="E146" s="738">
        <f>E41-C41</f>
        <v>0</v>
      </c>
      <c r="F146" s="992"/>
      <c r="G146" s="992"/>
      <c r="H146" s="738">
        <f>H41-E41</f>
        <v>0</v>
      </c>
      <c r="I146" s="993"/>
      <c r="J146" s="993"/>
      <c r="K146" s="738">
        <f>K41-H41</f>
        <v>0</v>
      </c>
      <c r="L146" s="992"/>
      <c r="M146" s="740"/>
      <c r="N146" s="738">
        <f>N41-H41</f>
        <v>0</v>
      </c>
      <c r="O146" s="992"/>
      <c r="P146" s="740"/>
      <c r="Q146" s="738">
        <f>IF(OR($C$3=$L$913,$C$3=0),Q41-N41,Q41-K41)</f>
        <v>0</v>
      </c>
      <c r="R146" s="992"/>
      <c r="S146" s="740"/>
      <c r="T146" s="741">
        <f>T41-N41</f>
        <v>0</v>
      </c>
      <c r="U146" s="741">
        <f t="shared" ref="U146:AI146" si="137">U41-T41</f>
        <v>0</v>
      </c>
      <c r="V146" s="741">
        <f t="shared" si="137"/>
        <v>0</v>
      </c>
      <c r="W146" s="741">
        <f t="shared" si="137"/>
        <v>0</v>
      </c>
      <c r="X146" s="741">
        <f t="shared" si="137"/>
        <v>0</v>
      </c>
      <c r="Y146" s="741">
        <f t="shared" si="137"/>
        <v>0</v>
      </c>
      <c r="Z146" s="741">
        <f t="shared" si="137"/>
        <v>0</v>
      </c>
      <c r="AA146" s="741">
        <f t="shared" si="137"/>
        <v>0</v>
      </c>
      <c r="AB146" s="741">
        <f t="shared" si="137"/>
        <v>0</v>
      </c>
      <c r="AC146" s="741">
        <f t="shared" si="137"/>
        <v>0</v>
      </c>
      <c r="AD146" s="741">
        <f t="shared" si="137"/>
        <v>0</v>
      </c>
      <c r="AE146" s="741">
        <f t="shared" si="137"/>
        <v>0</v>
      </c>
      <c r="AF146" s="741">
        <f t="shared" si="137"/>
        <v>0</v>
      </c>
      <c r="AG146" s="741">
        <f t="shared" si="137"/>
        <v>0</v>
      </c>
      <c r="AH146" s="741">
        <f t="shared" si="137"/>
        <v>0</v>
      </c>
      <c r="AI146" s="741">
        <f t="shared" si="137"/>
        <v>0</v>
      </c>
      <c r="AJ146" s="994"/>
    </row>
    <row r="147" spans="1:36" s="742" customFormat="1">
      <c r="A147" s="736" t="s">
        <v>1159</v>
      </c>
      <c r="B147" s="737" t="s">
        <v>1160</v>
      </c>
      <c r="C147" s="991"/>
      <c r="D147" s="992"/>
      <c r="E147" s="738">
        <f>E42-C42-(E88-C88)</f>
        <v>0</v>
      </c>
      <c r="F147" s="992"/>
      <c r="G147" s="992"/>
      <c r="H147" s="738">
        <f>H42-E42-(H88-E88)</f>
        <v>0</v>
      </c>
      <c r="I147" s="993"/>
      <c r="J147" s="993"/>
      <c r="K147" s="738">
        <f>K42-H42-(K88-H88)</f>
        <v>0</v>
      </c>
      <c r="L147" s="992"/>
      <c r="M147" s="743"/>
      <c r="N147" s="738">
        <f>N42-H42-(N88-H88)</f>
        <v>0</v>
      </c>
      <c r="O147" s="992"/>
      <c r="P147" s="743"/>
      <c r="Q147" s="738">
        <f>IF(OR($C$3=$L$913,$C$3=0),Q42-N42-(Q88-N88),Q42-K42-(Q88-K88))</f>
        <v>0</v>
      </c>
      <c r="R147" s="992"/>
      <c r="S147" s="743"/>
      <c r="T147" s="741">
        <f>T42-N42-(T88-N88)</f>
        <v>0</v>
      </c>
      <c r="U147" s="741">
        <f t="shared" ref="U147:AI147" si="138">U42-T42-(U88-T88)</f>
        <v>0</v>
      </c>
      <c r="V147" s="741">
        <f t="shared" si="138"/>
        <v>0</v>
      </c>
      <c r="W147" s="741">
        <f t="shared" si="138"/>
        <v>0</v>
      </c>
      <c r="X147" s="741">
        <f t="shared" si="138"/>
        <v>0</v>
      </c>
      <c r="Y147" s="741">
        <f t="shared" si="138"/>
        <v>0</v>
      </c>
      <c r="Z147" s="741">
        <f t="shared" si="138"/>
        <v>0</v>
      </c>
      <c r="AA147" s="741">
        <f t="shared" si="138"/>
        <v>0</v>
      </c>
      <c r="AB147" s="741">
        <f t="shared" si="138"/>
        <v>0</v>
      </c>
      <c r="AC147" s="741">
        <f t="shared" si="138"/>
        <v>0</v>
      </c>
      <c r="AD147" s="741">
        <f t="shared" si="138"/>
        <v>0</v>
      </c>
      <c r="AE147" s="741">
        <f t="shared" si="138"/>
        <v>0</v>
      </c>
      <c r="AF147" s="741">
        <f t="shared" si="138"/>
        <v>0</v>
      </c>
      <c r="AG147" s="741">
        <f t="shared" si="138"/>
        <v>0</v>
      </c>
      <c r="AH147" s="741">
        <f t="shared" si="138"/>
        <v>0</v>
      </c>
      <c r="AI147" s="741">
        <f t="shared" si="138"/>
        <v>0</v>
      </c>
      <c r="AJ147" s="994"/>
    </row>
    <row r="148" spans="1:36" s="742" customFormat="1">
      <c r="A148" s="736" t="s">
        <v>1161</v>
      </c>
      <c r="B148" s="737" t="s">
        <v>1162</v>
      </c>
      <c r="C148" s="995"/>
      <c r="D148" s="992"/>
      <c r="E148" s="738">
        <f>E44-C44</f>
        <v>0</v>
      </c>
      <c r="F148" s="992"/>
      <c r="G148" s="992"/>
      <c r="H148" s="738">
        <f>H44-E44</f>
        <v>0</v>
      </c>
      <c r="I148" s="993"/>
      <c r="J148" s="993"/>
      <c r="K148" s="738">
        <f>K44-H44</f>
        <v>0</v>
      </c>
      <c r="L148" s="992"/>
      <c r="M148" s="740"/>
      <c r="N148" s="738">
        <f>N44-H44</f>
        <v>0</v>
      </c>
      <c r="O148" s="992"/>
      <c r="P148" s="740"/>
      <c r="Q148" s="738">
        <f>IF(OR($C$3=$L$913,$C$3=0),Q44-N44,Q44-K44)</f>
        <v>0</v>
      </c>
      <c r="R148" s="992"/>
      <c r="S148" s="740"/>
      <c r="T148" s="741">
        <f>T44-N44</f>
        <v>0</v>
      </c>
      <c r="U148" s="741">
        <f t="shared" ref="U148:AI148" si="139">U44-T44</f>
        <v>0</v>
      </c>
      <c r="V148" s="741">
        <f t="shared" si="139"/>
        <v>0</v>
      </c>
      <c r="W148" s="741">
        <f t="shared" si="139"/>
        <v>0</v>
      </c>
      <c r="X148" s="741">
        <f t="shared" si="139"/>
        <v>0</v>
      </c>
      <c r="Y148" s="741">
        <f t="shared" si="139"/>
        <v>0</v>
      </c>
      <c r="Z148" s="741">
        <f t="shared" si="139"/>
        <v>0</v>
      </c>
      <c r="AA148" s="741">
        <f t="shared" si="139"/>
        <v>0</v>
      </c>
      <c r="AB148" s="741">
        <f t="shared" si="139"/>
        <v>0</v>
      </c>
      <c r="AC148" s="741">
        <f t="shared" si="139"/>
        <v>0</v>
      </c>
      <c r="AD148" s="741">
        <f t="shared" si="139"/>
        <v>0</v>
      </c>
      <c r="AE148" s="741">
        <f t="shared" si="139"/>
        <v>0</v>
      </c>
      <c r="AF148" s="741">
        <f t="shared" si="139"/>
        <v>0</v>
      </c>
      <c r="AG148" s="741">
        <f t="shared" si="139"/>
        <v>0</v>
      </c>
      <c r="AH148" s="741">
        <f t="shared" si="139"/>
        <v>0</v>
      </c>
      <c r="AI148" s="741">
        <f t="shared" si="139"/>
        <v>0</v>
      </c>
      <c r="AJ148" s="994"/>
    </row>
    <row r="149" spans="1:36" s="721" customFormat="1">
      <c r="A149" s="711">
        <v>9</v>
      </c>
      <c r="B149" s="744" t="s">
        <v>1163</v>
      </c>
      <c r="C149" s="996"/>
      <c r="D149" s="981"/>
      <c r="E149" s="997">
        <f>SUM(E146:E148)</f>
        <v>0</v>
      </c>
      <c r="F149" s="981"/>
      <c r="G149" s="981"/>
      <c r="H149" s="745">
        <f>SUM(H146:H148)</f>
        <v>0</v>
      </c>
      <c r="I149" s="982"/>
      <c r="J149" s="982"/>
      <c r="K149" s="745">
        <f>SUM(K146:K148)</f>
        <v>0</v>
      </c>
      <c r="L149" s="981"/>
      <c r="M149" s="747"/>
      <c r="N149" s="745">
        <f>SUM(N146:N148)</f>
        <v>0</v>
      </c>
      <c r="O149" s="981"/>
      <c r="P149" s="747"/>
      <c r="Q149" s="745">
        <f>SUM(Q146:Q148)</f>
        <v>0</v>
      </c>
      <c r="R149" s="981"/>
      <c r="S149" s="747"/>
      <c r="T149" s="748">
        <f t="shared" ref="T149:AI149" si="140">SUM(T146:T148)</f>
        <v>0</v>
      </c>
      <c r="U149" s="748">
        <f t="shared" si="140"/>
        <v>0</v>
      </c>
      <c r="V149" s="748">
        <f t="shared" si="140"/>
        <v>0</v>
      </c>
      <c r="W149" s="748">
        <f t="shared" si="140"/>
        <v>0</v>
      </c>
      <c r="X149" s="748">
        <f t="shared" si="140"/>
        <v>0</v>
      </c>
      <c r="Y149" s="748">
        <f t="shared" si="140"/>
        <v>0</v>
      </c>
      <c r="Z149" s="748">
        <f t="shared" si="140"/>
        <v>0</v>
      </c>
      <c r="AA149" s="748">
        <f t="shared" si="140"/>
        <v>0</v>
      </c>
      <c r="AB149" s="748">
        <f t="shared" si="140"/>
        <v>0</v>
      </c>
      <c r="AC149" s="748">
        <f t="shared" si="140"/>
        <v>0</v>
      </c>
      <c r="AD149" s="748">
        <f t="shared" si="140"/>
        <v>0</v>
      </c>
      <c r="AE149" s="748">
        <f t="shared" si="140"/>
        <v>0</v>
      </c>
      <c r="AF149" s="748">
        <f t="shared" si="140"/>
        <v>0</v>
      </c>
      <c r="AG149" s="748">
        <f t="shared" si="140"/>
        <v>0</v>
      </c>
      <c r="AH149" s="748">
        <f t="shared" si="140"/>
        <v>0</v>
      </c>
      <c r="AI149" s="748">
        <f t="shared" si="140"/>
        <v>0</v>
      </c>
      <c r="AJ149" s="983"/>
    </row>
    <row r="150" spans="1:36" s="753" customFormat="1">
      <c r="A150" s="749"/>
      <c r="B150" s="728" t="s">
        <v>1164</v>
      </c>
      <c r="C150" s="988"/>
      <c r="D150" s="998"/>
      <c r="E150" s="999">
        <f>SUM(E142:E145)+E149</f>
        <v>0</v>
      </c>
      <c r="F150" s="998"/>
      <c r="G150" s="998"/>
      <c r="H150" s="750">
        <f>SUM(H142:H145)+H149</f>
        <v>0</v>
      </c>
      <c r="I150" s="1000"/>
      <c r="J150" s="1000"/>
      <c r="K150" s="750">
        <f>SUM(K142:K145)+K149</f>
        <v>0</v>
      </c>
      <c r="L150" s="998"/>
      <c r="M150" s="752"/>
      <c r="N150" s="750">
        <f>SUM(N142:N145)+N149</f>
        <v>0</v>
      </c>
      <c r="O150" s="998"/>
      <c r="P150" s="752"/>
      <c r="Q150" s="750">
        <f>SUM(Q142:Q145)+Q149</f>
        <v>0</v>
      </c>
      <c r="R150" s="998"/>
      <c r="S150" s="752"/>
      <c r="T150" s="729">
        <f t="shared" ref="T150:AI150" si="141">SUM(T142:T145)+T149</f>
        <v>0</v>
      </c>
      <c r="U150" s="729">
        <f t="shared" si="141"/>
        <v>0</v>
      </c>
      <c r="V150" s="729">
        <f t="shared" si="141"/>
        <v>0</v>
      </c>
      <c r="W150" s="729">
        <f t="shared" si="141"/>
        <v>0</v>
      </c>
      <c r="X150" s="729">
        <f t="shared" si="141"/>
        <v>0</v>
      </c>
      <c r="Y150" s="729">
        <f t="shared" si="141"/>
        <v>0</v>
      </c>
      <c r="Z150" s="729">
        <f t="shared" si="141"/>
        <v>0</v>
      </c>
      <c r="AA150" s="729">
        <f t="shared" si="141"/>
        <v>0</v>
      </c>
      <c r="AB150" s="729">
        <f t="shared" si="141"/>
        <v>0</v>
      </c>
      <c r="AC150" s="729">
        <f t="shared" si="141"/>
        <v>0</v>
      </c>
      <c r="AD150" s="729">
        <f t="shared" si="141"/>
        <v>0</v>
      </c>
      <c r="AE150" s="729">
        <f t="shared" si="141"/>
        <v>0</v>
      </c>
      <c r="AF150" s="729">
        <f t="shared" si="141"/>
        <v>0</v>
      </c>
      <c r="AG150" s="729">
        <f t="shared" si="141"/>
        <v>0</v>
      </c>
      <c r="AH150" s="729">
        <f t="shared" si="141"/>
        <v>0</v>
      </c>
      <c r="AI150" s="729">
        <f t="shared" si="141"/>
        <v>0</v>
      </c>
      <c r="AJ150" s="1001"/>
    </row>
    <row r="151" spans="1:36" s="536" customFormat="1">
      <c r="A151" s="644"/>
      <c r="B151" s="754" t="s">
        <v>1165</v>
      </c>
      <c r="C151" s="1002"/>
      <c r="D151" s="1003"/>
      <c r="E151" s="755">
        <f>E141+E150</f>
        <v>0</v>
      </c>
      <c r="F151" s="535"/>
      <c r="G151" s="535"/>
      <c r="H151" s="755">
        <f>H141+H150</f>
        <v>0</v>
      </c>
      <c r="I151" s="534"/>
      <c r="J151" s="534"/>
      <c r="K151" s="755">
        <f>K141+K150</f>
        <v>0</v>
      </c>
      <c r="L151" s="535"/>
      <c r="M151" s="545"/>
      <c r="N151" s="755">
        <f>N141+N150</f>
        <v>0</v>
      </c>
      <c r="O151" s="535"/>
      <c r="P151" s="545"/>
      <c r="Q151" s="755">
        <f>Q141+Q150</f>
        <v>0</v>
      </c>
      <c r="R151" s="535"/>
      <c r="S151" s="545"/>
      <c r="T151" s="757">
        <f t="shared" ref="T151:AI151" si="142">T141+T150</f>
        <v>0</v>
      </c>
      <c r="U151" s="757">
        <f t="shared" si="142"/>
        <v>0</v>
      </c>
      <c r="V151" s="757">
        <f t="shared" si="142"/>
        <v>0</v>
      </c>
      <c r="W151" s="757">
        <f t="shared" si="142"/>
        <v>0</v>
      </c>
      <c r="X151" s="757">
        <f t="shared" si="142"/>
        <v>0</v>
      </c>
      <c r="Y151" s="757">
        <f t="shared" si="142"/>
        <v>0</v>
      </c>
      <c r="Z151" s="757">
        <f t="shared" si="142"/>
        <v>0</v>
      </c>
      <c r="AA151" s="757">
        <f t="shared" si="142"/>
        <v>0</v>
      </c>
      <c r="AB151" s="757">
        <f t="shared" si="142"/>
        <v>0</v>
      </c>
      <c r="AC151" s="757">
        <f t="shared" si="142"/>
        <v>0</v>
      </c>
      <c r="AD151" s="757">
        <f t="shared" si="142"/>
        <v>0</v>
      </c>
      <c r="AE151" s="757">
        <f t="shared" si="142"/>
        <v>0</v>
      </c>
      <c r="AF151" s="757">
        <f t="shared" si="142"/>
        <v>0</v>
      </c>
      <c r="AG151" s="757">
        <f t="shared" si="142"/>
        <v>0</v>
      </c>
      <c r="AH151" s="757">
        <f t="shared" si="142"/>
        <v>0</v>
      </c>
      <c r="AI151" s="757">
        <f t="shared" si="142"/>
        <v>0</v>
      </c>
      <c r="AJ151" s="856"/>
    </row>
    <row r="152" spans="1:36" s="726" customFormat="1" ht="12">
      <c r="A152" s="758" t="s">
        <v>1166</v>
      </c>
      <c r="B152" s="759" t="s">
        <v>1167</v>
      </c>
      <c r="C152" s="989"/>
      <c r="D152" s="698"/>
      <c r="E152" s="1004">
        <f>IF(E36-C36&lt;0,E36-C36,0)</f>
        <v>0</v>
      </c>
      <c r="F152" s="698"/>
      <c r="G152" s="698"/>
      <c r="H152" s="1004">
        <f>IF(H36-E36&lt;0,H36-E36,0)</f>
        <v>0</v>
      </c>
      <c r="I152" s="986"/>
      <c r="J152" s="986"/>
      <c r="K152" s="760">
        <f>IF(K36-H36&lt;0,K36-H36,0)</f>
        <v>0</v>
      </c>
      <c r="L152" s="698"/>
      <c r="M152" s="731"/>
      <c r="N152" s="760">
        <f>IF(N36-H36&lt;0,N36-H36,0)</f>
        <v>0</v>
      </c>
      <c r="O152" s="698"/>
      <c r="P152" s="731"/>
      <c r="Q152" s="760">
        <f>IF(OR($C$3=$L$913,$C$3=0),IF(Q36-N36&lt;0,Q36-N36,0),IF(Q36-K36&lt;0,Q36-K36,0))</f>
        <v>0</v>
      </c>
      <c r="R152" s="698"/>
      <c r="S152" s="731"/>
      <c r="T152" s="762">
        <f>IF(T36-N36&lt;0,T36-N36,0)</f>
        <v>0</v>
      </c>
      <c r="U152" s="710">
        <f t="shared" ref="U152:AI152" si="143">IF(U36-T36&lt;0,U36-T36,0)</f>
        <v>0</v>
      </c>
      <c r="V152" s="710">
        <f t="shared" si="143"/>
        <v>0</v>
      </c>
      <c r="W152" s="710">
        <f t="shared" si="143"/>
        <v>0</v>
      </c>
      <c r="X152" s="710">
        <f t="shared" si="143"/>
        <v>0</v>
      </c>
      <c r="Y152" s="710">
        <f t="shared" si="143"/>
        <v>0</v>
      </c>
      <c r="Z152" s="710">
        <f t="shared" si="143"/>
        <v>0</v>
      </c>
      <c r="AA152" s="710">
        <f t="shared" si="143"/>
        <v>0</v>
      </c>
      <c r="AB152" s="710">
        <f t="shared" si="143"/>
        <v>0</v>
      </c>
      <c r="AC152" s="710">
        <f t="shared" si="143"/>
        <v>0</v>
      </c>
      <c r="AD152" s="710">
        <f t="shared" si="143"/>
        <v>0</v>
      </c>
      <c r="AE152" s="710">
        <f t="shared" si="143"/>
        <v>0</v>
      </c>
      <c r="AF152" s="710">
        <f t="shared" si="143"/>
        <v>0</v>
      </c>
      <c r="AG152" s="710">
        <f t="shared" si="143"/>
        <v>0</v>
      </c>
      <c r="AH152" s="710">
        <f t="shared" si="143"/>
        <v>0</v>
      </c>
      <c r="AI152" s="710">
        <f t="shared" si="143"/>
        <v>0</v>
      </c>
      <c r="AJ152" s="987"/>
    </row>
    <row r="153" spans="1:36" s="726" customFormat="1" ht="12">
      <c r="A153" s="736" t="s">
        <v>1168</v>
      </c>
      <c r="B153" s="763" t="s">
        <v>1169</v>
      </c>
      <c r="C153" s="990"/>
      <c r="D153" s="698"/>
      <c r="E153" s="764">
        <f>IF(((E49-C49)+(E50-C50)+(E37-C37)+(E38-C38))&lt;0,(E49-C49)+(E50-C50)+(E37-C37)+(E38-C38),0)</f>
        <v>0</v>
      </c>
      <c r="F153" s="698"/>
      <c r="G153" s="698"/>
      <c r="H153" s="764">
        <f>IF(((H49-E49)+(H50-E50)+(H37-E37)+(H38-E38))&lt;0,(H49-E49)+(H50-E50)+(H37-E37)+(H38-E38),0)</f>
        <v>0</v>
      </c>
      <c r="I153" s="986"/>
      <c r="J153" s="986"/>
      <c r="K153" s="764">
        <f>IF(((K49-H49)+(K50-H50)+(K37-H37)+(K38-H38))&lt;0,(K49-H49)+(K50-H50)+(K37-H37)+(K38-H38),0)</f>
        <v>0</v>
      </c>
      <c r="L153" s="698"/>
      <c r="M153" s="731"/>
      <c r="N153" s="764">
        <f>IF(((N49-H49)+(N50-H50)+(N37-H37)+(N38-H38))&lt;0,(N49-H49)+(N50-H50)+(N37-H37)+(N38-H38),0)</f>
        <v>0</v>
      </c>
      <c r="O153" s="698"/>
      <c r="P153" s="731"/>
      <c r="Q153" s="764">
        <f>IF(OR($C$3=$L$913,$C$3=0),IF(((Q49-N49)+(Q50-N50)+(Q37-N37)+(Q38-N38))&lt;0,(Q49-N49)+(Q50-N50)+(Q37-N37)+(Q38-N38),0),IF(((Q49-K49)+(Q50-K50)+(Q37-K37)+(Q38-K38))&lt;0,(Q49-K49)+(Q50-K50)+(Q37-K37)+(Q38-K38),0))</f>
        <v>0</v>
      </c>
      <c r="R153" s="698"/>
      <c r="S153" s="731"/>
      <c r="T153" s="765">
        <f>-SUM($T$249,$T$261,$T$275,$T$313,$T$323,$T$333)</f>
        <v>0</v>
      </c>
      <c r="U153" s="735">
        <f>-SUM($U$249,$U$261,$U$275,$U$313,$U$323,$U$333)</f>
        <v>0</v>
      </c>
      <c r="V153" s="735">
        <f>-SUM($V$249,$V$261,$V$275,$V$313,$V$323,$V$333)</f>
        <v>0</v>
      </c>
      <c r="W153" s="735">
        <f>-SUM($W$249,$W$261,$W$275,$W$313,$W$323,$W$333)</f>
        <v>0</v>
      </c>
      <c r="X153" s="735">
        <f>-SUM($X$249,$X$261,$X$275,$X$313,$X$323,$X$333)</f>
        <v>0</v>
      </c>
      <c r="Y153" s="735">
        <f>-SUM($Y$249,$Y$261,$Y$275,$Y$313,$Y$323,$Y$333)</f>
        <v>0</v>
      </c>
      <c r="Z153" s="735">
        <f>-SUM($Z$249,$Z$261,$Z$275,$Z$313,$Z$323,$Z$333)</f>
        <v>0</v>
      </c>
      <c r="AA153" s="735">
        <f>-SUM($AA$249,$AA$261,$AA$275,$AA$313,$AA$323,$AA$333)</f>
        <v>0</v>
      </c>
      <c r="AB153" s="735">
        <f>-SUM($AB$249,$AB$261,$AB$275,$AB$313,$AB$323,$AB$333)</f>
        <v>0</v>
      </c>
      <c r="AC153" s="735">
        <f>-SUM($AC$249,$AC$261,$AC$275,$AC$313,$AC$323,$AC$333)</f>
        <v>0</v>
      </c>
      <c r="AD153" s="735">
        <f t="shared" ref="AD153:AI153" si="144">-SUM($AD$249,$AD$261,$AD$275,$AD$313,$AD$323,$AD$333)</f>
        <v>0</v>
      </c>
      <c r="AE153" s="735">
        <f t="shared" si="144"/>
        <v>0</v>
      </c>
      <c r="AF153" s="735">
        <f t="shared" si="144"/>
        <v>0</v>
      </c>
      <c r="AG153" s="735">
        <f t="shared" si="144"/>
        <v>0</v>
      </c>
      <c r="AH153" s="735">
        <f t="shared" si="144"/>
        <v>0</v>
      </c>
      <c r="AI153" s="735">
        <f t="shared" si="144"/>
        <v>0</v>
      </c>
      <c r="AJ153" s="987"/>
    </row>
    <row r="154" spans="1:36" s="726" customFormat="1" ht="12">
      <c r="A154" s="736" t="s">
        <v>1170</v>
      </c>
      <c r="B154" s="763" t="s">
        <v>1171</v>
      </c>
      <c r="C154" s="990"/>
      <c r="D154" s="698"/>
      <c r="E154" s="764">
        <f>IF(((E51-C51)+(E39-C39))&lt;0,(E51-C51)+(E39-C39),0)</f>
        <v>0</v>
      </c>
      <c r="F154" s="698"/>
      <c r="G154" s="698"/>
      <c r="H154" s="764">
        <f>IF(((H51-E51)+(H39-E39))&lt;0,(H51-E51)+(H39-E39),0)</f>
        <v>0</v>
      </c>
      <c r="I154" s="986"/>
      <c r="J154" s="986"/>
      <c r="K154" s="764">
        <f>IF(((K51-H51)+(K39-H39))&lt;0,(K51-H51)+(K39-H39),0)</f>
        <v>0</v>
      </c>
      <c r="L154" s="698"/>
      <c r="M154" s="731"/>
      <c r="N154" s="764">
        <f>IF(((N51-H51)+(N39-H39))&lt;0,(N51-H51)+(N39-H39),0)</f>
        <v>0</v>
      </c>
      <c r="O154" s="698"/>
      <c r="P154" s="731"/>
      <c r="Q154" s="764">
        <f>IF(OR($C$3=$L$913,$C$3=0),IF(((Q51-N51)+(Q39-N39))&lt;0,(Q51-N51)+(Q39-N39),0),IF(((Q51-K51)+(Q39-K39))&lt;0,(Q51-K51)+(Q39-K39),0))</f>
        <v>0</v>
      </c>
      <c r="R154" s="698"/>
      <c r="S154" s="731"/>
      <c r="T154" s="765">
        <f>-SUM($T$353,$T$363,$T$373)</f>
        <v>0</v>
      </c>
      <c r="U154" s="735">
        <f>-SUM($U$353,$U$363,$U$373)</f>
        <v>0</v>
      </c>
      <c r="V154" s="735">
        <f>-SUM($V$353,$V$363,$V$373)</f>
        <v>0</v>
      </c>
      <c r="W154" s="735">
        <f>-SUM($W$353,$W$363,$W$373)</f>
        <v>0</v>
      </c>
      <c r="X154" s="735">
        <f>-SUM($X$353,$X$363,$X$373)</f>
        <v>0</v>
      </c>
      <c r="Y154" s="735">
        <f>-SUM($Y$353,$Y$363,$Y$373)</f>
        <v>0</v>
      </c>
      <c r="Z154" s="735">
        <f>-SUM($Z$353,$Z$363,$Z$373)</f>
        <v>0</v>
      </c>
      <c r="AA154" s="735">
        <f>-SUM($AA$353,$AA$363,$AA$373)</f>
        <v>0</v>
      </c>
      <c r="AB154" s="735">
        <f>-SUM($AB$353,$AB$363,$AB$373)</f>
        <v>0</v>
      </c>
      <c r="AC154" s="735">
        <f>-SUM($AC$353,$AC$363,$AC$373)</f>
        <v>0</v>
      </c>
      <c r="AD154" s="735">
        <f t="shared" ref="AD154:AI154" si="145">-SUM($AD$353,$AD$363,$AD$373)</f>
        <v>0</v>
      </c>
      <c r="AE154" s="735">
        <f t="shared" si="145"/>
        <v>0</v>
      </c>
      <c r="AF154" s="735">
        <f t="shared" si="145"/>
        <v>0</v>
      </c>
      <c r="AG154" s="735">
        <f t="shared" si="145"/>
        <v>0</v>
      </c>
      <c r="AH154" s="735">
        <f t="shared" si="145"/>
        <v>0</v>
      </c>
      <c r="AI154" s="735">
        <f t="shared" si="145"/>
        <v>0</v>
      </c>
      <c r="AJ154" s="987"/>
    </row>
    <row r="155" spans="1:36" s="726" customFormat="1" ht="12">
      <c r="A155" s="736" t="s">
        <v>1172</v>
      </c>
      <c r="B155" s="737" t="s">
        <v>1173</v>
      </c>
      <c r="C155" s="1005">
        <f>IF(C78&lt;0,-C76+C78,-C76)</f>
        <v>0</v>
      </c>
      <c r="D155" s="698"/>
      <c r="E155" s="735">
        <f>IF(E78&lt;0,-E76+E78,-E76)</f>
        <v>0</v>
      </c>
      <c r="F155" s="698"/>
      <c r="G155" s="698"/>
      <c r="H155" s="735">
        <f>-H76</f>
        <v>0</v>
      </c>
      <c r="I155" s="986"/>
      <c r="J155" s="986"/>
      <c r="K155" s="735">
        <f>-K76</f>
        <v>0</v>
      </c>
      <c r="L155" s="698"/>
      <c r="M155" s="731"/>
      <c r="N155" s="735">
        <f>-N76</f>
        <v>0</v>
      </c>
      <c r="O155" s="698"/>
      <c r="P155" s="731"/>
      <c r="Q155" s="735">
        <f>-Q76</f>
        <v>0</v>
      </c>
      <c r="R155" s="698"/>
      <c r="S155" s="731"/>
      <c r="T155" s="735">
        <f t="shared" ref="T155:AI155" si="146">-T76</f>
        <v>0</v>
      </c>
      <c r="U155" s="735">
        <f t="shared" si="146"/>
        <v>0</v>
      </c>
      <c r="V155" s="735">
        <f t="shared" si="146"/>
        <v>0</v>
      </c>
      <c r="W155" s="735">
        <f t="shared" si="146"/>
        <v>0</v>
      </c>
      <c r="X155" s="735">
        <f t="shared" si="146"/>
        <v>0</v>
      </c>
      <c r="Y155" s="735">
        <f t="shared" si="146"/>
        <v>0</v>
      </c>
      <c r="Z155" s="735">
        <f t="shared" si="146"/>
        <v>0</v>
      </c>
      <c r="AA155" s="735">
        <f t="shared" si="146"/>
        <v>0</v>
      </c>
      <c r="AB155" s="735">
        <f t="shared" si="146"/>
        <v>0</v>
      </c>
      <c r="AC155" s="735">
        <f t="shared" si="146"/>
        <v>0</v>
      </c>
      <c r="AD155" s="735">
        <f t="shared" si="146"/>
        <v>0</v>
      </c>
      <c r="AE155" s="735">
        <f t="shared" si="146"/>
        <v>0</v>
      </c>
      <c r="AF155" s="735">
        <f t="shared" si="146"/>
        <v>0</v>
      </c>
      <c r="AG155" s="735">
        <f t="shared" si="146"/>
        <v>0</v>
      </c>
      <c r="AH155" s="735">
        <f t="shared" si="146"/>
        <v>0</v>
      </c>
      <c r="AI155" s="735">
        <f t="shared" si="146"/>
        <v>0</v>
      </c>
      <c r="AJ155" s="987"/>
    </row>
    <row r="156" spans="1:36" s="768" customFormat="1" ht="11.5">
      <c r="A156" s="711">
        <v>10</v>
      </c>
      <c r="B156" s="744" t="s">
        <v>1174</v>
      </c>
      <c r="C156" s="996"/>
      <c r="D156" s="1006"/>
      <c r="E156" s="748">
        <f>SUM(E152:E155)</f>
        <v>0</v>
      </c>
      <c r="F156" s="1006"/>
      <c r="G156" s="1006"/>
      <c r="H156" s="748">
        <f>SUM(H152:H155)</f>
        <v>0</v>
      </c>
      <c r="I156" s="1007"/>
      <c r="J156" s="1007"/>
      <c r="K156" s="748">
        <f>SUM(K152:K155)</f>
        <v>0</v>
      </c>
      <c r="L156" s="1006"/>
      <c r="M156" s="767"/>
      <c r="N156" s="748">
        <f>SUM(N152:N155)</f>
        <v>0</v>
      </c>
      <c r="O156" s="1006"/>
      <c r="P156" s="767"/>
      <c r="Q156" s="748">
        <f>SUM(Q152:Q155)</f>
        <v>0</v>
      </c>
      <c r="R156" s="1006"/>
      <c r="S156" s="767"/>
      <c r="T156" s="748">
        <f t="shared" ref="T156:AI156" si="147">SUM(T152:T155)</f>
        <v>0</v>
      </c>
      <c r="U156" s="748">
        <f t="shared" si="147"/>
        <v>0</v>
      </c>
      <c r="V156" s="748">
        <f t="shared" si="147"/>
        <v>0</v>
      </c>
      <c r="W156" s="748">
        <f t="shared" si="147"/>
        <v>0</v>
      </c>
      <c r="X156" s="748">
        <f t="shared" si="147"/>
        <v>0</v>
      </c>
      <c r="Y156" s="748">
        <f t="shared" si="147"/>
        <v>0</v>
      </c>
      <c r="Z156" s="748">
        <f t="shared" si="147"/>
        <v>0</v>
      </c>
      <c r="AA156" s="748">
        <f t="shared" si="147"/>
        <v>0</v>
      </c>
      <c r="AB156" s="748">
        <f t="shared" si="147"/>
        <v>0</v>
      </c>
      <c r="AC156" s="748">
        <f t="shared" si="147"/>
        <v>0</v>
      </c>
      <c r="AD156" s="748">
        <f t="shared" si="147"/>
        <v>0</v>
      </c>
      <c r="AE156" s="748">
        <f t="shared" si="147"/>
        <v>0</v>
      </c>
      <c r="AF156" s="748">
        <f t="shared" si="147"/>
        <v>0</v>
      </c>
      <c r="AG156" s="748">
        <f t="shared" si="147"/>
        <v>0</v>
      </c>
      <c r="AH156" s="748">
        <f t="shared" si="147"/>
        <v>0</v>
      </c>
      <c r="AI156" s="748">
        <f t="shared" si="147"/>
        <v>0</v>
      </c>
      <c r="AJ156" s="1008"/>
    </row>
    <row r="157" spans="1:36" s="772" customFormat="1" ht="11.5">
      <c r="A157" s="769"/>
      <c r="B157" s="754" t="s">
        <v>1175</v>
      </c>
      <c r="C157" s="1009"/>
      <c r="D157" s="1010"/>
      <c r="E157" s="757">
        <f>E151+E156</f>
        <v>0</v>
      </c>
      <c r="F157" s="1010"/>
      <c r="G157" s="1010"/>
      <c r="H157" s="757">
        <f>H151+H156</f>
        <v>0</v>
      </c>
      <c r="I157" s="1011"/>
      <c r="J157" s="1011"/>
      <c r="K157" s="757">
        <f>K151+K156</f>
        <v>0</v>
      </c>
      <c r="L157" s="1010"/>
      <c r="M157" s="771"/>
      <c r="N157" s="757">
        <f>N151+N156</f>
        <v>0</v>
      </c>
      <c r="O157" s="1010"/>
      <c r="P157" s="771"/>
      <c r="Q157" s="757">
        <f>Q151+Q156</f>
        <v>0</v>
      </c>
      <c r="R157" s="1010"/>
      <c r="S157" s="771"/>
      <c r="T157" s="757">
        <f t="shared" ref="T157:AI157" si="148">T151+T156</f>
        <v>0</v>
      </c>
      <c r="U157" s="757">
        <f t="shared" si="148"/>
        <v>0</v>
      </c>
      <c r="V157" s="757">
        <f t="shared" si="148"/>
        <v>0</v>
      </c>
      <c r="W157" s="757">
        <f t="shared" si="148"/>
        <v>0</v>
      </c>
      <c r="X157" s="757">
        <f t="shared" si="148"/>
        <v>0</v>
      </c>
      <c r="Y157" s="757">
        <f t="shared" si="148"/>
        <v>0</v>
      </c>
      <c r="Z157" s="757">
        <f t="shared" si="148"/>
        <v>0</v>
      </c>
      <c r="AA157" s="757">
        <f t="shared" si="148"/>
        <v>0</v>
      </c>
      <c r="AB157" s="757">
        <f t="shared" si="148"/>
        <v>0</v>
      </c>
      <c r="AC157" s="757">
        <f t="shared" si="148"/>
        <v>0</v>
      </c>
      <c r="AD157" s="757">
        <f t="shared" si="148"/>
        <v>0</v>
      </c>
      <c r="AE157" s="757">
        <f t="shared" si="148"/>
        <v>0</v>
      </c>
      <c r="AF157" s="757">
        <f t="shared" si="148"/>
        <v>0</v>
      </c>
      <c r="AG157" s="757">
        <f t="shared" si="148"/>
        <v>0</v>
      </c>
      <c r="AH157" s="757">
        <f t="shared" si="148"/>
        <v>0</v>
      </c>
      <c r="AI157" s="757">
        <f t="shared" si="148"/>
        <v>0</v>
      </c>
      <c r="AJ157" s="1012"/>
    </row>
    <row r="158" spans="1:36" s="536" customFormat="1" ht="12.5">
      <c r="A158" s="706">
        <v>11</v>
      </c>
      <c r="B158" s="722" t="s">
        <v>1176</v>
      </c>
      <c r="C158" s="989"/>
      <c r="D158" s="535"/>
      <c r="E158" s="708">
        <f>IF(E36-C36&gt;=0,E36-C36,0)</f>
        <v>0</v>
      </c>
      <c r="F158" s="535"/>
      <c r="G158" s="535"/>
      <c r="H158" s="708">
        <f>IF(H36-E36&gt;=0,H36-E36,0)</f>
        <v>0</v>
      </c>
      <c r="I158" s="534"/>
      <c r="J158" s="534"/>
      <c r="K158" s="708">
        <f>IF(K36-H36&gt;=0,K36-H36,0)</f>
        <v>0</v>
      </c>
      <c r="L158" s="535"/>
      <c r="M158" s="545"/>
      <c r="N158" s="708">
        <f>IF(N36-H36&gt;=0,N36-H36,0)</f>
        <v>0</v>
      </c>
      <c r="O158" s="535"/>
      <c r="P158" s="545"/>
      <c r="Q158" s="708">
        <f>IF(OR($C$3=$L$913,$C$3=0),IF(Q36-N36&gt;=0,Q36-N36,0),IF(Q36-K36&gt;=0,Q36-K36,0))</f>
        <v>0</v>
      </c>
      <c r="R158" s="535"/>
      <c r="S158" s="545"/>
      <c r="T158" s="710">
        <f>IF(T36-N36&gt;=0,T36-N36,0)</f>
        <v>0</v>
      </c>
      <c r="U158" s="710">
        <f t="shared" ref="U158:AI158" si="149">IF(U36-T36&gt;=0,U36-T36,0)</f>
        <v>0</v>
      </c>
      <c r="V158" s="710">
        <f t="shared" si="149"/>
        <v>0</v>
      </c>
      <c r="W158" s="710">
        <f t="shared" si="149"/>
        <v>0</v>
      </c>
      <c r="X158" s="710">
        <f t="shared" si="149"/>
        <v>0</v>
      </c>
      <c r="Y158" s="710">
        <f t="shared" si="149"/>
        <v>0</v>
      </c>
      <c r="Z158" s="710">
        <f t="shared" si="149"/>
        <v>0</v>
      </c>
      <c r="AA158" s="710">
        <f t="shared" si="149"/>
        <v>0</v>
      </c>
      <c r="AB158" s="710">
        <f t="shared" si="149"/>
        <v>0</v>
      </c>
      <c r="AC158" s="710">
        <f t="shared" si="149"/>
        <v>0</v>
      </c>
      <c r="AD158" s="710">
        <f t="shared" si="149"/>
        <v>0</v>
      </c>
      <c r="AE158" s="710">
        <f t="shared" si="149"/>
        <v>0</v>
      </c>
      <c r="AF158" s="710">
        <f t="shared" si="149"/>
        <v>0</v>
      </c>
      <c r="AG158" s="710">
        <f t="shared" si="149"/>
        <v>0</v>
      </c>
      <c r="AH158" s="710">
        <f t="shared" si="149"/>
        <v>0</v>
      </c>
      <c r="AI158" s="710">
        <f t="shared" si="149"/>
        <v>0</v>
      </c>
      <c r="AJ158" s="856"/>
    </row>
    <row r="159" spans="1:36" s="536" customFormat="1" ht="12.5">
      <c r="A159" s="736" t="s">
        <v>1177</v>
      </c>
      <c r="B159" s="733" t="s">
        <v>1178</v>
      </c>
      <c r="C159" s="990"/>
      <c r="D159" s="535"/>
      <c r="E159" s="734">
        <f>IF(((E49-C49)+(E50-C50)+(E37-C37)+(E38-C38))&gt;=0,(E49-C49)+(E50-C50)+(E37-C37)+(E38-C38),0)</f>
        <v>0</v>
      </c>
      <c r="F159" s="535"/>
      <c r="G159" s="535"/>
      <c r="H159" s="734">
        <f>IF(((H49-E49)+(H50-E50)+(H37-E37)+(H38-E38))&gt;=0,(H49-E49)+(H50-E50)+(H37-E37)+(H38-E38),0)</f>
        <v>0</v>
      </c>
      <c r="I159" s="534"/>
      <c r="J159" s="534"/>
      <c r="K159" s="734">
        <f>IF(((K49-H49)+(K50-H50)+(K37-H37)+(K38-H38))&gt;=0,(K49-H49)+(K50-H50)+(K37-H37)+(K38-H38),0)</f>
        <v>0</v>
      </c>
      <c r="L159" s="535"/>
      <c r="M159" s="545"/>
      <c r="N159" s="734">
        <f>IF(((N49-H49)+(N50-H50)+(N37-H37)+(N38-H38))&gt;=0,(N49-H49)+(N50-H50)+(N37-H37)+(N38-H38),0)</f>
        <v>0</v>
      </c>
      <c r="O159" s="535"/>
      <c r="P159" s="545"/>
      <c r="Q159" s="734">
        <f>IF(OR($C$3=$L$913,$C$3=0),IF(((Q49-N49)+(Q50-N50)+(Q37-N37)+(Q38-N38))&gt;=0,(Q49-N49)+(Q50-N50)+(Q37-N37)+(Q38-N38),0),IF(((Q49-K49)+(Q50-K50)+(Q37-K37)+(Q38-K38))&gt;=0,(Q49-K49)+(Q50-K50)+(Q37-K37)+(Q38-K38),0))</f>
        <v>0</v>
      </c>
      <c r="R159" s="535"/>
      <c r="S159" s="545"/>
      <c r="T159" s="735">
        <f>$T$272+IF(AND($C$310&lt;&gt;0,$C$314=T134),$C$310,0)+IF(AND($C$320&lt;&gt;0,$C$324=T134),$C$320,0)+IF(AND($C$330&lt;&gt;0,$C$334=T134),$C$330,0)</f>
        <v>0</v>
      </c>
      <c r="U159" s="735">
        <f>$U$272+IF(AND($C$310&lt;&gt;0,$C$314=U134),$C$310,0)+IF(AND($C$320&lt;&gt;0,$C$324=U134),$C$320,0)+IF(AND($C$330&lt;&gt;0,$C$334=U134),$C$330,0)</f>
        <v>0</v>
      </c>
      <c r="V159" s="735">
        <f>$V$272+IF(AND($C$310&lt;&gt;0,$C$314=V134),$C$310,0)+IF(AND($C$320&lt;&gt;0,$C$324=V134),$C$320,0)+IF(AND($C$330&lt;&gt;0,$C$334=V134),$C$330,0)</f>
        <v>0</v>
      </c>
      <c r="W159" s="735">
        <f>$W$272+IF(AND($C$310&lt;&gt;0,$C$314=W134),$C$310,0)+IF(AND($C$320&lt;&gt;0,$C$324=W134),$C$320,0)+IF(AND($C$330&lt;&gt;0,$C$334=W134),$C$330,0)</f>
        <v>0</v>
      </c>
      <c r="X159" s="735">
        <f>$X$272+IF(AND($C$310&lt;&gt;0,$C$314=X134),$C$310,0)+IF(AND($C$320&lt;&gt;0,$C$324=X134),$C$320,0)+IF(AND($C$330&lt;&gt;0,$C$334=X134),$C$330,0)</f>
        <v>0</v>
      </c>
      <c r="Y159" s="735">
        <f>$Y$272+IF(AND($C$310&lt;&gt;0,$C$314=Y134),$C$310,0)+IF(AND($C$320&lt;&gt;0,$C$324=Y134),$C$320,0)+IF(AND($C$330&lt;&gt;0,$C$334=Y134),$C$330,0)</f>
        <v>0</v>
      </c>
      <c r="Z159" s="735">
        <f>$Z$272+IF(AND($C$310&lt;&gt;0,$C$314=Z134),$C$310,0)+IF(AND($C$320&lt;&gt;0,$C$324=Z134),$C$320,0)+IF(AND($C$330&lt;&gt;0,$C$334=Z134),$C$330,0)</f>
        <v>0</v>
      </c>
      <c r="AA159" s="735">
        <f>$AA$272+IF(AND($C$310&lt;&gt;0,$C$314=AA134),$C$310,0)+IF(AND($C$320&lt;&gt;0,$C$324=AA134),$C$320,0)+IF(AND($C$330&lt;&gt;0,$C$334=AA134),$C$330,0)</f>
        <v>0</v>
      </c>
      <c r="AB159" s="735">
        <f>$AB$272+IF(AND($C$310&lt;&gt;0,$C$314=AB134),$C$310,0)+IF(AND($C$320&lt;&gt;0,$C$324=AB134),$C$320,0)+IF(AND($C$330&lt;&gt;0,$C$334=AB134),$C$330,0)</f>
        <v>0</v>
      </c>
      <c r="AC159" s="735">
        <f>$AC$272+IF(AND($C$310&lt;&gt;0,$C$314=AC134),$C$310,0)+IF(AND($C$320&lt;&gt;0,$C$324=AC134),$C$320,0)+IF(AND($C$330&lt;&gt;0,$C$334=AC134),$C$330,0)</f>
        <v>0</v>
      </c>
      <c r="AD159" s="735">
        <f>$AD$272+IF(AND($C$310&lt;&gt;0,$C$314=AD134),$C$310,0)+IF(AND($C$320&lt;&gt;0,$C$324=AD134),$C$320,0)+IF(AND($C$330&lt;&gt;0,$C$334=AD134),$C$330,0)</f>
        <v>0</v>
      </c>
      <c r="AE159" s="735">
        <f>$AE$272+IF(AND($C$310&lt;&gt;0,$C$314=AE134),$C$310,0)+IF(AND($C$320&lt;&gt;0,$C$324=AE134),$C$320,0)+IF(AND($C$330&lt;&gt;0,$C$334=AE134),$C$330,0)</f>
        <v>0</v>
      </c>
      <c r="AF159" s="735">
        <f>$AF$272+IF(AND($C$310&lt;&gt;0,$C$314=AF134),$C$310,0)+IF(AND($C$320&lt;&gt;0,$C$324=AF134),$C$320,0)+IF(AND($C$330&lt;&gt;0,$C$334=AF134),$C$330,0)</f>
        <v>0</v>
      </c>
      <c r="AG159" s="735">
        <f>$AG$272+IF(AND($C$310&lt;&gt;0,$C$314=AG134),$C$310,0)+IF(AND($C$320&lt;&gt;0,$C$324=AG134),$C$320,0)+IF(AND($C$330&lt;&gt;0,$C$334=AG134),$C$330,0)</f>
        <v>0</v>
      </c>
      <c r="AH159" s="735">
        <f>$AH$272+IF(AND($C$310&lt;&gt;0,$C$314=AH134),$C$310,0)+IF(AND($C$320&lt;&gt;0,$C$324=AH134),$C$320,0)+IF(AND($C$330&lt;&gt;0,$C$334=AH134),$C$330,0)</f>
        <v>0</v>
      </c>
      <c r="AI159" s="735">
        <f>$AI$272+IF(AND($C$310&lt;&gt;0,$C$314=AI134),$C$310,0)+IF(AND($C$320&lt;&gt;0,$C$324=AI134),$C$320,0)+IF(AND($C$330&lt;&gt;0,$C$334=AI134),$C$330,0)</f>
        <v>0</v>
      </c>
      <c r="AJ159" s="856"/>
    </row>
    <row r="160" spans="1:36" s="536" customFormat="1" ht="12.5">
      <c r="A160" s="736" t="s">
        <v>1179</v>
      </c>
      <c r="B160" s="733" t="s">
        <v>1180</v>
      </c>
      <c r="C160" s="990"/>
      <c r="D160" s="535"/>
      <c r="E160" s="734">
        <f>IF(((E51-C51)+(E39-C39))&gt;=0,(E51-C51)+(E39-C39),0)</f>
        <v>0</v>
      </c>
      <c r="F160" s="535"/>
      <c r="G160" s="535"/>
      <c r="H160" s="734">
        <f>IF(((H51-E51)+(H39-E39))&gt;=0,(H51-E51)+(H39-E39),0)</f>
        <v>0</v>
      </c>
      <c r="I160" s="534"/>
      <c r="J160" s="534"/>
      <c r="K160" s="734">
        <f>IF(((K51-H51)+(K39-H39))&gt;=0,(K51-H51)+(K39-H39),0)</f>
        <v>0</v>
      </c>
      <c r="L160" s="535"/>
      <c r="M160" s="545"/>
      <c r="N160" s="734">
        <f>IF(((N51-H51)+(N39-H39))&gt;=0,(N51-H51)+(N39-H39),0)</f>
        <v>0</v>
      </c>
      <c r="O160" s="535"/>
      <c r="P160" s="545"/>
      <c r="Q160" s="734">
        <f>IF(OR($C$3=$L$913,$C$3=0),IF(((Q51-N51)+(Q39-N39))&gt;=0,(Q51-N51)+(Q39-N39),0),IF(((Q51-K51)+(Q39-K39))&gt;=0,(Q51-K51)+(Q39-K39),0))</f>
        <v>0</v>
      </c>
      <c r="R160" s="535"/>
      <c r="S160" s="545"/>
      <c r="T160" s="735">
        <f t="shared" ref="T160:AI160" si="150">IF(AND($C$350&lt;&gt;0,$C$354=T134),$C$350,0)+IF(AND($C$360&lt;&gt;0,$C$364=T134),$C$360,0)+IF(AND($C$370&lt;&gt;0,$C$374=T134),$C$370,0)</f>
        <v>0</v>
      </c>
      <c r="U160" s="735">
        <f t="shared" si="150"/>
        <v>0</v>
      </c>
      <c r="V160" s="735">
        <f t="shared" si="150"/>
        <v>0</v>
      </c>
      <c r="W160" s="735">
        <f t="shared" si="150"/>
        <v>0</v>
      </c>
      <c r="X160" s="735">
        <f t="shared" si="150"/>
        <v>0</v>
      </c>
      <c r="Y160" s="735">
        <f t="shared" si="150"/>
        <v>0</v>
      </c>
      <c r="Z160" s="735">
        <f t="shared" si="150"/>
        <v>0</v>
      </c>
      <c r="AA160" s="735">
        <f t="shared" si="150"/>
        <v>0</v>
      </c>
      <c r="AB160" s="735">
        <f t="shared" si="150"/>
        <v>0</v>
      </c>
      <c r="AC160" s="735">
        <f t="shared" si="150"/>
        <v>0</v>
      </c>
      <c r="AD160" s="735">
        <f t="shared" si="150"/>
        <v>0</v>
      </c>
      <c r="AE160" s="735">
        <f t="shared" si="150"/>
        <v>0</v>
      </c>
      <c r="AF160" s="735">
        <f t="shared" si="150"/>
        <v>0</v>
      </c>
      <c r="AG160" s="735">
        <f t="shared" si="150"/>
        <v>0</v>
      </c>
      <c r="AH160" s="735">
        <f t="shared" si="150"/>
        <v>0</v>
      </c>
      <c r="AI160" s="735">
        <f t="shared" si="150"/>
        <v>0</v>
      </c>
      <c r="AJ160" s="856"/>
    </row>
    <row r="161" spans="1:36" s="742" customFormat="1">
      <c r="A161" s="736" t="s">
        <v>1070</v>
      </c>
      <c r="B161" s="773" t="str">
        <f>"+ / - "&amp;B43</f>
        <v>+ / - PASIVOS DIFERIDOS C.P.</v>
      </c>
      <c r="C161" s="995"/>
      <c r="D161" s="992"/>
      <c r="E161" s="738">
        <f>E43-C43</f>
        <v>0</v>
      </c>
      <c r="F161" s="992"/>
      <c r="G161" s="992"/>
      <c r="H161" s="738">
        <f>H43-E43</f>
        <v>0</v>
      </c>
      <c r="I161" s="993"/>
      <c r="J161" s="993"/>
      <c r="K161" s="738">
        <f>K43-H43</f>
        <v>0</v>
      </c>
      <c r="L161" s="992"/>
      <c r="M161" s="743"/>
      <c r="N161" s="738">
        <f>N43-H43</f>
        <v>0</v>
      </c>
      <c r="O161" s="992"/>
      <c r="P161" s="743"/>
      <c r="Q161" s="738">
        <f>IF(OR($C$3=$L$913,$C$3=0),Q43-N43,Q43-K43)</f>
        <v>0</v>
      </c>
      <c r="R161" s="992"/>
      <c r="S161" s="743"/>
      <c r="T161" s="774">
        <f>T43-N43</f>
        <v>0</v>
      </c>
      <c r="U161" s="774">
        <f t="shared" ref="U161:AI161" si="151">U43-T43</f>
        <v>0</v>
      </c>
      <c r="V161" s="774">
        <f t="shared" si="151"/>
        <v>0</v>
      </c>
      <c r="W161" s="774">
        <f t="shared" si="151"/>
        <v>0</v>
      </c>
      <c r="X161" s="774">
        <f t="shared" si="151"/>
        <v>0</v>
      </c>
      <c r="Y161" s="774">
        <f t="shared" si="151"/>
        <v>0</v>
      </c>
      <c r="Z161" s="774">
        <f t="shared" si="151"/>
        <v>0</v>
      </c>
      <c r="AA161" s="774">
        <f t="shared" si="151"/>
        <v>0</v>
      </c>
      <c r="AB161" s="774">
        <f t="shared" si="151"/>
        <v>0</v>
      </c>
      <c r="AC161" s="774">
        <f t="shared" si="151"/>
        <v>0</v>
      </c>
      <c r="AD161" s="774">
        <f t="shared" si="151"/>
        <v>0</v>
      </c>
      <c r="AE161" s="774">
        <f t="shared" si="151"/>
        <v>0</v>
      </c>
      <c r="AF161" s="774">
        <f t="shared" si="151"/>
        <v>0</v>
      </c>
      <c r="AG161" s="774">
        <f t="shared" si="151"/>
        <v>0</v>
      </c>
      <c r="AH161" s="774">
        <f t="shared" si="151"/>
        <v>0</v>
      </c>
      <c r="AI161" s="774">
        <f t="shared" si="151"/>
        <v>0</v>
      </c>
      <c r="AJ161" s="994"/>
    </row>
    <row r="162" spans="1:36" s="742" customFormat="1">
      <c r="A162" s="736" t="s">
        <v>1072</v>
      </c>
      <c r="B162" s="773" t="str">
        <f>"+ / - "&amp;B45</f>
        <v>+ / - DEUDAS CON SOCIOS  C.P.</v>
      </c>
      <c r="C162" s="995"/>
      <c r="D162" s="992"/>
      <c r="E162" s="738">
        <f>E45-C45</f>
        <v>0</v>
      </c>
      <c r="F162" s="992"/>
      <c r="G162" s="992"/>
      <c r="H162" s="738">
        <f>H45-E45</f>
        <v>0</v>
      </c>
      <c r="I162" s="993"/>
      <c r="J162" s="993"/>
      <c r="K162" s="738">
        <f>K45-H45</f>
        <v>0</v>
      </c>
      <c r="L162" s="992"/>
      <c r="M162" s="743"/>
      <c r="N162" s="738">
        <f>N45-H45</f>
        <v>0</v>
      </c>
      <c r="O162" s="992"/>
      <c r="P162" s="743"/>
      <c r="Q162" s="738">
        <f>IF(OR($C$3=$L$913,$C$3=0),Q45-N45,Q45-K45)</f>
        <v>0</v>
      </c>
      <c r="R162" s="992"/>
      <c r="S162" s="743"/>
      <c r="T162" s="774">
        <f>T45-N45</f>
        <v>0</v>
      </c>
      <c r="U162" s="774">
        <f t="shared" ref="U162:AI162" si="152">U45-T45</f>
        <v>0</v>
      </c>
      <c r="V162" s="774">
        <f t="shared" si="152"/>
        <v>0</v>
      </c>
      <c r="W162" s="774">
        <f t="shared" si="152"/>
        <v>0</v>
      </c>
      <c r="X162" s="774">
        <f t="shared" si="152"/>
        <v>0</v>
      </c>
      <c r="Y162" s="774">
        <f t="shared" si="152"/>
        <v>0</v>
      </c>
      <c r="Z162" s="774">
        <f t="shared" si="152"/>
        <v>0</v>
      </c>
      <c r="AA162" s="774">
        <f t="shared" si="152"/>
        <v>0</v>
      </c>
      <c r="AB162" s="774">
        <f t="shared" si="152"/>
        <v>0</v>
      </c>
      <c r="AC162" s="774">
        <f t="shared" si="152"/>
        <v>0</v>
      </c>
      <c r="AD162" s="774">
        <f t="shared" si="152"/>
        <v>0</v>
      </c>
      <c r="AE162" s="774">
        <f t="shared" si="152"/>
        <v>0</v>
      </c>
      <c r="AF162" s="774">
        <f t="shared" si="152"/>
        <v>0</v>
      </c>
      <c r="AG162" s="774">
        <f t="shared" si="152"/>
        <v>0</v>
      </c>
      <c r="AH162" s="774">
        <f t="shared" si="152"/>
        <v>0</v>
      </c>
      <c r="AI162" s="774">
        <f t="shared" si="152"/>
        <v>0</v>
      </c>
      <c r="AJ162" s="994"/>
    </row>
    <row r="163" spans="1:36" s="742" customFormat="1">
      <c r="A163" s="736" t="s">
        <v>1074</v>
      </c>
      <c r="B163" s="773" t="str">
        <f>"+ / - "&amp;B46</f>
        <v>+ / - PASIVOS ESTIMADOS Y PROVISIONES</v>
      </c>
      <c r="C163" s="995"/>
      <c r="D163" s="992"/>
      <c r="E163" s="738">
        <f>E46-C46</f>
        <v>0</v>
      </c>
      <c r="F163" s="992"/>
      <c r="G163" s="992"/>
      <c r="H163" s="738">
        <f>H46-E46</f>
        <v>0</v>
      </c>
      <c r="I163" s="993"/>
      <c r="J163" s="993"/>
      <c r="K163" s="738">
        <f>K46-H46</f>
        <v>0</v>
      </c>
      <c r="L163" s="992"/>
      <c r="M163" s="743"/>
      <c r="N163" s="738">
        <f>N46-H46</f>
        <v>0</v>
      </c>
      <c r="O163" s="992"/>
      <c r="P163" s="743"/>
      <c r="Q163" s="738">
        <f>IF(OR($C$3=$L$913,$C$3=0),Q46-N46,Q46-K46)</f>
        <v>0</v>
      </c>
      <c r="R163" s="992"/>
      <c r="S163" s="743"/>
      <c r="T163" s="774">
        <f>T46-N46</f>
        <v>0</v>
      </c>
      <c r="U163" s="774">
        <f t="shared" ref="U163:AI163" si="153">U46-T46</f>
        <v>0</v>
      </c>
      <c r="V163" s="774">
        <f t="shared" si="153"/>
        <v>0</v>
      </c>
      <c r="W163" s="774">
        <f t="shared" si="153"/>
        <v>0</v>
      </c>
      <c r="X163" s="774">
        <f t="shared" si="153"/>
        <v>0</v>
      </c>
      <c r="Y163" s="774">
        <f t="shared" si="153"/>
        <v>0</v>
      </c>
      <c r="Z163" s="774">
        <f t="shared" si="153"/>
        <v>0</v>
      </c>
      <c r="AA163" s="774">
        <f t="shared" si="153"/>
        <v>0</v>
      </c>
      <c r="AB163" s="774">
        <f t="shared" si="153"/>
        <v>0</v>
      </c>
      <c r="AC163" s="774">
        <f t="shared" si="153"/>
        <v>0</v>
      </c>
      <c r="AD163" s="774">
        <f t="shared" si="153"/>
        <v>0</v>
      </c>
      <c r="AE163" s="774">
        <f t="shared" si="153"/>
        <v>0</v>
      </c>
      <c r="AF163" s="774">
        <f t="shared" si="153"/>
        <v>0</v>
      </c>
      <c r="AG163" s="774">
        <f t="shared" si="153"/>
        <v>0</v>
      </c>
      <c r="AH163" s="774">
        <f t="shared" si="153"/>
        <v>0</v>
      </c>
      <c r="AI163" s="774">
        <f t="shared" si="153"/>
        <v>0</v>
      </c>
      <c r="AJ163" s="994"/>
    </row>
    <row r="164" spans="1:36" s="742" customFormat="1">
      <c r="A164" s="736" t="s">
        <v>1181</v>
      </c>
      <c r="B164" s="773" t="str">
        <f>"+ / - "&amp;B47</f>
        <v>+ / - OTROS CORRIENTES</v>
      </c>
      <c r="C164" s="995"/>
      <c r="D164" s="992"/>
      <c r="E164" s="738">
        <f>E47-C47</f>
        <v>0</v>
      </c>
      <c r="F164" s="992"/>
      <c r="G164" s="992"/>
      <c r="H164" s="738">
        <f>H47-E47</f>
        <v>0</v>
      </c>
      <c r="I164" s="993"/>
      <c r="J164" s="993"/>
      <c r="K164" s="738">
        <f>K47-H47</f>
        <v>0</v>
      </c>
      <c r="L164" s="992"/>
      <c r="M164" s="743"/>
      <c r="N164" s="738">
        <f>N47-H47</f>
        <v>0</v>
      </c>
      <c r="O164" s="992"/>
      <c r="P164" s="743"/>
      <c r="Q164" s="738">
        <f>IF(OR($C$3=$L$913,$C$3=0),Q47-N47,Q47-K47)</f>
        <v>0</v>
      </c>
      <c r="R164" s="992"/>
      <c r="S164" s="743"/>
      <c r="T164" s="774">
        <f>T47-N47</f>
        <v>0</v>
      </c>
      <c r="U164" s="774">
        <f t="shared" ref="U164:AI164" si="154">U47-T47</f>
        <v>0</v>
      </c>
      <c r="V164" s="774">
        <f t="shared" si="154"/>
        <v>0</v>
      </c>
      <c r="W164" s="774">
        <f t="shared" si="154"/>
        <v>0</v>
      </c>
      <c r="X164" s="774">
        <f t="shared" si="154"/>
        <v>0</v>
      </c>
      <c r="Y164" s="774">
        <f t="shared" si="154"/>
        <v>0</v>
      </c>
      <c r="Z164" s="774">
        <f t="shared" si="154"/>
        <v>0</v>
      </c>
      <c r="AA164" s="774">
        <f t="shared" si="154"/>
        <v>0</v>
      </c>
      <c r="AB164" s="774">
        <f t="shared" si="154"/>
        <v>0</v>
      </c>
      <c r="AC164" s="774">
        <f t="shared" si="154"/>
        <v>0</v>
      </c>
      <c r="AD164" s="774">
        <f t="shared" si="154"/>
        <v>0</v>
      </c>
      <c r="AE164" s="774">
        <f t="shared" si="154"/>
        <v>0</v>
      </c>
      <c r="AF164" s="774">
        <f t="shared" si="154"/>
        <v>0</v>
      </c>
      <c r="AG164" s="774">
        <f t="shared" si="154"/>
        <v>0</v>
      </c>
      <c r="AH164" s="774">
        <f t="shared" si="154"/>
        <v>0</v>
      </c>
      <c r="AI164" s="774">
        <f t="shared" si="154"/>
        <v>0</v>
      </c>
      <c r="AJ164" s="994"/>
    </row>
    <row r="165" spans="1:36" s="721" customFormat="1">
      <c r="A165" s="732">
        <v>13</v>
      </c>
      <c r="B165" s="775" t="s">
        <v>1182</v>
      </c>
      <c r="C165" s="995"/>
      <c r="D165" s="981"/>
      <c r="E165" s="776">
        <f>SUM(E161:E164)</f>
        <v>0</v>
      </c>
      <c r="F165" s="981"/>
      <c r="G165" s="981"/>
      <c r="H165" s="776">
        <f>SUM(H161:H164)</f>
        <v>0</v>
      </c>
      <c r="I165" s="982"/>
      <c r="J165" s="982"/>
      <c r="K165" s="776">
        <f>SUM(K161:K164)</f>
        <v>0</v>
      </c>
      <c r="L165" s="981"/>
      <c r="M165" s="719"/>
      <c r="N165" s="776">
        <f>SUM(N161:N164)</f>
        <v>0</v>
      </c>
      <c r="O165" s="981"/>
      <c r="P165" s="719"/>
      <c r="Q165" s="776">
        <f>SUM(Q161:Q164)</f>
        <v>0</v>
      </c>
      <c r="R165" s="981"/>
      <c r="S165" s="719"/>
      <c r="T165" s="774">
        <f t="shared" ref="T165:AI165" si="155">SUM(T161:T164)</f>
        <v>0</v>
      </c>
      <c r="U165" s="774">
        <f t="shared" si="155"/>
        <v>0</v>
      </c>
      <c r="V165" s="774">
        <f t="shared" si="155"/>
        <v>0</v>
      </c>
      <c r="W165" s="774">
        <f t="shared" si="155"/>
        <v>0</v>
      </c>
      <c r="X165" s="774">
        <f t="shared" si="155"/>
        <v>0</v>
      </c>
      <c r="Y165" s="774">
        <f t="shared" si="155"/>
        <v>0</v>
      </c>
      <c r="Z165" s="774">
        <f t="shared" si="155"/>
        <v>0</v>
      </c>
      <c r="AA165" s="774">
        <f t="shared" si="155"/>
        <v>0</v>
      </c>
      <c r="AB165" s="774">
        <f t="shared" si="155"/>
        <v>0</v>
      </c>
      <c r="AC165" s="774">
        <f t="shared" si="155"/>
        <v>0</v>
      </c>
      <c r="AD165" s="774">
        <f t="shared" si="155"/>
        <v>0</v>
      </c>
      <c r="AE165" s="774">
        <f t="shared" si="155"/>
        <v>0</v>
      </c>
      <c r="AF165" s="774">
        <f t="shared" si="155"/>
        <v>0</v>
      </c>
      <c r="AG165" s="774">
        <f t="shared" si="155"/>
        <v>0</v>
      </c>
      <c r="AH165" s="774">
        <f t="shared" si="155"/>
        <v>0</v>
      </c>
      <c r="AI165" s="774">
        <f t="shared" si="155"/>
        <v>0</v>
      </c>
      <c r="AJ165" s="983"/>
    </row>
    <row r="166" spans="1:36" s="742" customFormat="1">
      <c r="A166" s="736" t="s">
        <v>1183</v>
      </c>
      <c r="B166" s="773" t="str">
        <f t="shared" ref="B166:B171" si="156">"+ / - "&amp;B52</f>
        <v>+ / - PRESTACIONES SOCIALES L.P.</v>
      </c>
      <c r="C166" s="991"/>
      <c r="D166" s="992"/>
      <c r="E166" s="1013">
        <f>E52-C52</f>
        <v>0</v>
      </c>
      <c r="F166" s="992"/>
      <c r="G166" s="992"/>
      <c r="H166" s="738">
        <f>H52-E52</f>
        <v>0</v>
      </c>
      <c r="I166" s="993"/>
      <c r="J166" s="993"/>
      <c r="K166" s="738">
        <f>K52-H52</f>
        <v>0</v>
      </c>
      <c r="L166" s="992"/>
      <c r="M166" s="743"/>
      <c r="N166" s="738">
        <f>N52-H52</f>
        <v>0</v>
      </c>
      <c r="O166" s="992"/>
      <c r="P166" s="743"/>
      <c r="Q166" s="738">
        <f>IF(OR($C$3=$L$913,$C$3=0),Q52-N52,Q52-K52)</f>
        <v>0</v>
      </c>
      <c r="R166" s="992"/>
      <c r="S166" s="743"/>
      <c r="T166" s="741">
        <f>T52-N52</f>
        <v>0</v>
      </c>
      <c r="U166" s="741">
        <f t="shared" ref="U166:AI166" si="157">U52-T52</f>
        <v>0</v>
      </c>
      <c r="V166" s="741">
        <f t="shared" si="157"/>
        <v>0</v>
      </c>
      <c r="W166" s="741">
        <f t="shared" si="157"/>
        <v>0</v>
      </c>
      <c r="X166" s="741">
        <f t="shared" si="157"/>
        <v>0</v>
      </c>
      <c r="Y166" s="741">
        <f t="shared" si="157"/>
        <v>0</v>
      </c>
      <c r="Z166" s="741">
        <f t="shared" si="157"/>
        <v>0</v>
      </c>
      <c r="AA166" s="741">
        <f t="shared" si="157"/>
        <v>0</v>
      </c>
      <c r="AB166" s="741">
        <f t="shared" si="157"/>
        <v>0</v>
      </c>
      <c r="AC166" s="741">
        <f t="shared" si="157"/>
        <v>0</v>
      </c>
      <c r="AD166" s="741">
        <f t="shared" si="157"/>
        <v>0</v>
      </c>
      <c r="AE166" s="741">
        <f t="shared" si="157"/>
        <v>0</v>
      </c>
      <c r="AF166" s="741">
        <f t="shared" si="157"/>
        <v>0</v>
      </c>
      <c r="AG166" s="741">
        <f t="shared" si="157"/>
        <v>0</v>
      </c>
      <c r="AH166" s="741">
        <f t="shared" si="157"/>
        <v>0</v>
      </c>
      <c r="AI166" s="741">
        <f t="shared" si="157"/>
        <v>0</v>
      </c>
      <c r="AJ166" s="994"/>
    </row>
    <row r="167" spans="1:36" s="742" customFormat="1">
      <c r="A167" s="736" t="s">
        <v>1184</v>
      </c>
      <c r="B167" s="773" t="str">
        <f t="shared" si="156"/>
        <v>+ / - PENSIONES DE JUBILACIÓN</v>
      </c>
      <c r="C167" s="991"/>
      <c r="D167" s="992"/>
      <c r="E167" s="1013">
        <f>E53-C53</f>
        <v>0</v>
      </c>
      <c r="F167" s="992"/>
      <c r="G167" s="992"/>
      <c r="H167" s="738">
        <f>H53-E53</f>
        <v>0</v>
      </c>
      <c r="I167" s="993"/>
      <c r="J167" s="993"/>
      <c r="K167" s="738">
        <f>K53-H53</f>
        <v>0</v>
      </c>
      <c r="L167" s="992"/>
      <c r="M167" s="743"/>
      <c r="N167" s="738">
        <f>N53-H53</f>
        <v>0</v>
      </c>
      <c r="O167" s="992"/>
      <c r="P167" s="743"/>
      <c r="Q167" s="738">
        <f>IF(OR($C$3=$L$913,$C$3=0),Q53-N53,Q53-K53)</f>
        <v>0</v>
      </c>
      <c r="R167" s="992"/>
      <c r="S167" s="743"/>
      <c r="T167" s="741">
        <f>T53-N53</f>
        <v>0</v>
      </c>
      <c r="U167" s="741">
        <f t="shared" ref="U167:AI167" si="158">U53-T53</f>
        <v>0</v>
      </c>
      <c r="V167" s="741">
        <f t="shared" si="158"/>
        <v>0</v>
      </c>
      <c r="W167" s="741">
        <f t="shared" si="158"/>
        <v>0</v>
      </c>
      <c r="X167" s="741">
        <f t="shared" si="158"/>
        <v>0</v>
      </c>
      <c r="Y167" s="741">
        <f t="shared" si="158"/>
        <v>0</v>
      </c>
      <c r="Z167" s="741">
        <f t="shared" si="158"/>
        <v>0</v>
      </c>
      <c r="AA167" s="741">
        <f t="shared" si="158"/>
        <v>0</v>
      </c>
      <c r="AB167" s="741">
        <f t="shared" si="158"/>
        <v>0</v>
      </c>
      <c r="AC167" s="741">
        <f t="shared" si="158"/>
        <v>0</v>
      </c>
      <c r="AD167" s="741">
        <f t="shared" si="158"/>
        <v>0</v>
      </c>
      <c r="AE167" s="741">
        <f t="shared" si="158"/>
        <v>0</v>
      </c>
      <c r="AF167" s="741">
        <f t="shared" si="158"/>
        <v>0</v>
      </c>
      <c r="AG167" s="741">
        <f t="shared" si="158"/>
        <v>0</v>
      </c>
      <c r="AH167" s="741">
        <f t="shared" si="158"/>
        <v>0</v>
      </c>
      <c r="AI167" s="741">
        <f t="shared" si="158"/>
        <v>0</v>
      </c>
      <c r="AJ167" s="994"/>
    </row>
    <row r="168" spans="1:36" s="742" customFormat="1">
      <c r="A168" s="736" t="s">
        <v>1185</v>
      </c>
      <c r="B168" s="773" t="str">
        <f t="shared" si="156"/>
        <v>+ / - DEUDAS CON SOCIOS L.P.</v>
      </c>
      <c r="C168" s="991"/>
      <c r="D168" s="992"/>
      <c r="E168" s="1013">
        <f>E54-C54</f>
        <v>0</v>
      </c>
      <c r="F168" s="992"/>
      <c r="G168" s="992"/>
      <c r="H168" s="738">
        <f>H54-E54</f>
        <v>0</v>
      </c>
      <c r="I168" s="993"/>
      <c r="J168" s="993"/>
      <c r="K168" s="738">
        <f>K54-H54</f>
        <v>0</v>
      </c>
      <c r="L168" s="992"/>
      <c r="M168" s="743"/>
      <c r="N168" s="738">
        <f>N54-H54</f>
        <v>0</v>
      </c>
      <c r="O168" s="992"/>
      <c r="P168" s="743"/>
      <c r="Q168" s="738">
        <f>IF(OR($C$3=$L$913,$C$3=0),Q54-N54,Q54-K54)</f>
        <v>0</v>
      </c>
      <c r="R168" s="992"/>
      <c r="S168" s="743"/>
      <c r="T168" s="741">
        <f>T54-N54</f>
        <v>0</v>
      </c>
      <c r="U168" s="741">
        <f t="shared" ref="U168:AI168" si="159">U54-T54</f>
        <v>0</v>
      </c>
      <c r="V168" s="741">
        <f t="shared" si="159"/>
        <v>0</v>
      </c>
      <c r="W168" s="741">
        <f t="shared" si="159"/>
        <v>0</v>
      </c>
      <c r="X168" s="741">
        <f t="shared" si="159"/>
        <v>0</v>
      </c>
      <c r="Y168" s="741">
        <f t="shared" si="159"/>
        <v>0</v>
      </c>
      <c r="Z168" s="741">
        <f t="shared" si="159"/>
        <v>0</v>
      </c>
      <c r="AA168" s="741">
        <f t="shared" si="159"/>
        <v>0</v>
      </c>
      <c r="AB168" s="741">
        <f t="shared" si="159"/>
        <v>0</v>
      </c>
      <c r="AC168" s="741">
        <f t="shared" si="159"/>
        <v>0</v>
      </c>
      <c r="AD168" s="741">
        <f t="shared" si="159"/>
        <v>0</v>
      </c>
      <c r="AE168" s="741">
        <f t="shared" si="159"/>
        <v>0</v>
      </c>
      <c r="AF168" s="741">
        <f t="shared" si="159"/>
        <v>0</v>
      </c>
      <c r="AG168" s="741">
        <f t="shared" si="159"/>
        <v>0</v>
      </c>
      <c r="AH168" s="741">
        <f t="shared" si="159"/>
        <v>0</v>
      </c>
      <c r="AI168" s="741">
        <f t="shared" si="159"/>
        <v>0</v>
      </c>
      <c r="AJ168" s="994"/>
    </row>
    <row r="169" spans="1:36" s="742" customFormat="1">
      <c r="A169" s="736" t="s">
        <v>1186</v>
      </c>
      <c r="B169" s="773" t="str">
        <f t="shared" si="156"/>
        <v>+ / - IMPUESTOS DE L.P. (DIFERIDOS)</v>
      </c>
      <c r="C169" s="991"/>
      <c r="D169" s="992"/>
      <c r="E169" s="1013">
        <f>E55-C55</f>
        <v>0</v>
      </c>
      <c r="F169" s="992"/>
      <c r="G169" s="992"/>
      <c r="H169" s="738">
        <f>H55-E55</f>
        <v>0</v>
      </c>
      <c r="I169" s="993"/>
      <c r="J169" s="993"/>
      <c r="K169" s="738">
        <f>K55-H55</f>
        <v>0</v>
      </c>
      <c r="L169" s="992"/>
      <c r="M169" s="743"/>
      <c r="N169" s="738">
        <f>N55-H55</f>
        <v>0</v>
      </c>
      <c r="O169" s="992"/>
      <c r="P169" s="743"/>
      <c r="Q169" s="738">
        <f>IF(OR($C$3=$L$913,$C$3=0),Q55-N55,Q55-K55)</f>
        <v>0</v>
      </c>
      <c r="R169" s="992"/>
      <c r="S169" s="743"/>
      <c r="T169" s="741">
        <f>T55-N55</f>
        <v>0</v>
      </c>
      <c r="U169" s="741">
        <f t="shared" ref="U169:AI169" si="160">U55-T55</f>
        <v>0</v>
      </c>
      <c r="V169" s="741">
        <f t="shared" si="160"/>
        <v>0</v>
      </c>
      <c r="W169" s="741">
        <f t="shared" si="160"/>
        <v>0</v>
      </c>
      <c r="X169" s="741">
        <f t="shared" si="160"/>
        <v>0</v>
      </c>
      <c r="Y169" s="741">
        <f t="shared" si="160"/>
        <v>0</v>
      </c>
      <c r="Z169" s="741">
        <f t="shared" si="160"/>
        <v>0</v>
      </c>
      <c r="AA169" s="741">
        <f t="shared" si="160"/>
        <v>0</v>
      </c>
      <c r="AB169" s="741">
        <f t="shared" si="160"/>
        <v>0</v>
      </c>
      <c r="AC169" s="741">
        <f t="shared" si="160"/>
        <v>0</v>
      </c>
      <c r="AD169" s="741">
        <f t="shared" si="160"/>
        <v>0</v>
      </c>
      <c r="AE169" s="741">
        <f t="shared" si="160"/>
        <v>0</v>
      </c>
      <c r="AF169" s="741">
        <f t="shared" si="160"/>
        <v>0</v>
      </c>
      <c r="AG169" s="741">
        <f t="shared" si="160"/>
        <v>0</v>
      </c>
      <c r="AH169" s="741">
        <f t="shared" si="160"/>
        <v>0</v>
      </c>
      <c r="AI169" s="741">
        <f t="shared" si="160"/>
        <v>0</v>
      </c>
      <c r="AJ169" s="994"/>
    </row>
    <row r="170" spans="1:36" s="742" customFormat="1">
      <c r="A170" s="736" t="s">
        <v>1187</v>
      </c>
      <c r="B170" s="777" t="str">
        <f t="shared" si="156"/>
        <v>+ / - PASIVOS ESTIMADOS Y PROVISIONES (DIFERIDOS)</v>
      </c>
      <c r="C170" s="1014"/>
      <c r="D170" s="992"/>
      <c r="E170" s="738">
        <f>E56-C56</f>
        <v>0</v>
      </c>
      <c r="F170" s="992"/>
      <c r="G170" s="992"/>
      <c r="H170" s="738">
        <f>H56-E56</f>
        <v>0</v>
      </c>
      <c r="I170" s="993"/>
      <c r="J170" s="993"/>
      <c r="K170" s="738">
        <f>K56-H56</f>
        <v>0</v>
      </c>
      <c r="L170" s="992"/>
      <c r="M170" s="743"/>
      <c r="N170" s="738">
        <f>N56-H56</f>
        <v>0</v>
      </c>
      <c r="O170" s="992"/>
      <c r="P170" s="743"/>
      <c r="Q170" s="738">
        <f>IF(OR($C$3=$L$913,$C$3=0),Q56-N56,Q56-K56)</f>
        <v>0</v>
      </c>
      <c r="R170" s="992"/>
      <c r="S170" s="743"/>
      <c r="T170" s="741">
        <f>T56-N56</f>
        <v>0</v>
      </c>
      <c r="U170" s="741">
        <f t="shared" ref="U170:AI170" si="161">U56-T56</f>
        <v>0</v>
      </c>
      <c r="V170" s="741">
        <f t="shared" si="161"/>
        <v>0</v>
      </c>
      <c r="W170" s="741">
        <f t="shared" si="161"/>
        <v>0</v>
      </c>
      <c r="X170" s="741">
        <f t="shared" si="161"/>
        <v>0</v>
      </c>
      <c r="Y170" s="741">
        <f t="shared" si="161"/>
        <v>0</v>
      </c>
      <c r="Z170" s="741">
        <f t="shared" si="161"/>
        <v>0</v>
      </c>
      <c r="AA170" s="741">
        <f t="shared" si="161"/>
        <v>0</v>
      </c>
      <c r="AB170" s="741">
        <f t="shared" si="161"/>
        <v>0</v>
      </c>
      <c r="AC170" s="741">
        <f t="shared" si="161"/>
        <v>0</v>
      </c>
      <c r="AD170" s="741">
        <f t="shared" si="161"/>
        <v>0</v>
      </c>
      <c r="AE170" s="741">
        <f t="shared" si="161"/>
        <v>0</v>
      </c>
      <c r="AF170" s="741">
        <f t="shared" si="161"/>
        <v>0</v>
      </c>
      <c r="AG170" s="741">
        <f t="shared" si="161"/>
        <v>0</v>
      </c>
      <c r="AH170" s="741">
        <f t="shared" si="161"/>
        <v>0</v>
      </c>
      <c r="AI170" s="741">
        <f t="shared" si="161"/>
        <v>0</v>
      </c>
      <c r="AJ170" s="994"/>
    </row>
    <row r="171" spans="1:36" s="742" customFormat="1">
      <c r="A171" s="736" t="s">
        <v>1188</v>
      </c>
      <c r="B171" s="773" t="str">
        <f t="shared" si="156"/>
        <v xml:space="preserve">+ / - OTROS PASIVOS DE LARGO PLAZO </v>
      </c>
      <c r="C171" s="991"/>
      <c r="D171" s="992"/>
      <c r="E171" s="1013">
        <f>E57-E122-C57+C122</f>
        <v>0</v>
      </c>
      <c r="F171" s="992"/>
      <c r="G171" s="992"/>
      <c r="H171" s="738">
        <f>H57-H122-E57+E122</f>
        <v>0</v>
      </c>
      <c r="I171" s="993"/>
      <c r="J171" s="993"/>
      <c r="K171" s="738">
        <f>K57-K122-H57+H122</f>
        <v>0</v>
      </c>
      <c r="L171" s="992"/>
      <c r="M171" s="743"/>
      <c r="N171" s="738">
        <f>N57-N122-H57+H122</f>
        <v>0</v>
      </c>
      <c r="O171" s="992"/>
      <c r="P171" s="743"/>
      <c r="Q171" s="738">
        <f>IF(OR($C$3=$L$913,$C$3=0),Q57-Q122-N57+N122,Q57-Q122-K57+K122)</f>
        <v>0</v>
      </c>
      <c r="R171" s="992"/>
      <c r="S171" s="743"/>
      <c r="T171" s="741">
        <f>T57-T122-N57+N122</f>
        <v>0</v>
      </c>
      <c r="U171" s="741">
        <f t="shared" ref="U171:AI171" si="162">U57-U122-T57+T122</f>
        <v>0</v>
      </c>
      <c r="V171" s="741">
        <f t="shared" si="162"/>
        <v>0</v>
      </c>
      <c r="W171" s="741">
        <f t="shared" si="162"/>
        <v>0</v>
      </c>
      <c r="X171" s="741">
        <f t="shared" si="162"/>
        <v>0</v>
      </c>
      <c r="Y171" s="741">
        <f t="shared" si="162"/>
        <v>0</v>
      </c>
      <c r="Z171" s="741">
        <f t="shared" si="162"/>
        <v>0</v>
      </c>
      <c r="AA171" s="741">
        <f t="shared" si="162"/>
        <v>0</v>
      </c>
      <c r="AB171" s="741">
        <f t="shared" si="162"/>
        <v>0</v>
      </c>
      <c r="AC171" s="741">
        <f t="shared" si="162"/>
        <v>0</v>
      </c>
      <c r="AD171" s="741">
        <f t="shared" si="162"/>
        <v>0</v>
      </c>
      <c r="AE171" s="741">
        <f t="shared" si="162"/>
        <v>0</v>
      </c>
      <c r="AF171" s="741">
        <f t="shared" si="162"/>
        <v>0</v>
      </c>
      <c r="AG171" s="741">
        <f t="shared" si="162"/>
        <v>0</v>
      </c>
      <c r="AH171" s="741">
        <f t="shared" si="162"/>
        <v>0</v>
      </c>
      <c r="AI171" s="741">
        <f t="shared" si="162"/>
        <v>0</v>
      </c>
      <c r="AJ171" s="994"/>
    </row>
    <row r="172" spans="1:36" s="721" customFormat="1">
      <c r="A172" s="732">
        <v>14</v>
      </c>
      <c r="B172" s="775" t="s">
        <v>1189</v>
      </c>
      <c r="C172" s="995"/>
      <c r="D172" s="981"/>
      <c r="E172" s="1015">
        <f>SUM(E166:E171)</f>
        <v>0</v>
      </c>
      <c r="F172" s="981"/>
      <c r="G172" s="981"/>
      <c r="H172" s="776">
        <f>SUM(H166:H171)</f>
        <v>0</v>
      </c>
      <c r="I172" s="982"/>
      <c r="J172" s="982"/>
      <c r="K172" s="776">
        <f>SUM(K166:K171)</f>
        <v>0</v>
      </c>
      <c r="L172" s="981"/>
      <c r="M172" s="719"/>
      <c r="N172" s="776">
        <f>SUM(N166:N171)</f>
        <v>0</v>
      </c>
      <c r="O172" s="981"/>
      <c r="P172" s="719"/>
      <c r="Q172" s="776">
        <f>SUM(Q166:Q171)</f>
        <v>0</v>
      </c>
      <c r="R172" s="981"/>
      <c r="S172" s="719"/>
      <c r="T172" s="774">
        <f t="shared" ref="T172:AI172" si="163">SUM(T166:T171)</f>
        <v>0</v>
      </c>
      <c r="U172" s="774">
        <f t="shared" si="163"/>
        <v>0</v>
      </c>
      <c r="V172" s="774">
        <f t="shared" si="163"/>
        <v>0</v>
      </c>
      <c r="W172" s="774">
        <f t="shared" si="163"/>
        <v>0</v>
      </c>
      <c r="X172" s="774">
        <f t="shared" si="163"/>
        <v>0</v>
      </c>
      <c r="Y172" s="774">
        <f t="shared" si="163"/>
        <v>0</v>
      </c>
      <c r="Z172" s="774">
        <f t="shared" si="163"/>
        <v>0</v>
      </c>
      <c r="AA172" s="774">
        <f t="shared" si="163"/>
        <v>0</v>
      </c>
      <c r="AB172" s="774">
        <f t="shared" si="163"/>
        <v>0</v>
      </c>
      <c r="AC172" s="774">
        <f t="shared" si="163"/>
        <v>0</v>
      </c>
      <c r="AD172" s="774">
        <f t="shared" si="163"/>
        <v>0</v>
      </c>
      <c r="AE172" s="774">
        <f t="shared" si="163"/>
        <v>0</v>
      </c>
      <c r="AF172" s="774">
        <f t="shared" si="163"/>
        <v>0</v>
      </c>
      <c r="AG172" s="774">
        <f t="shared" si="163"/>
        <v>0</v>
      </c>
      <c r="AH172" s="774">
        <f t="shared" si="163"/>
        <v>0</v>
      </c>
      <c r="AI172" s="774">
        <f t="shared" si="163"/>
        <v>0</v>
      </c>
      <c r="AJ172" s="983"/>
    </row>
    <row r="173" spans="1:36" s="536" customFormat="1" ht="12.5">
      <c r="A173" s="732">
        <v>15</v>
      </c>
      <c r="B173" s="733" t="s">
        <v>1190</v>
      </c>
      <c r="C173" s="990"/>
      <c r="D173" s="535"/>
      <c r="E173" s="734">
        <f>E232</f>
        <v>0</v>
      </c>
      <c r="F173" s="535"/>
      <c r="G173" s="535"/>
      <c r="H173" s="734">
        <f>H232</f>
        <v>0</v>
      </c>
      <c r="I173" s="534"/>
      <c r="J173" s="534"/>
      <c r="K173" s="734">
        <f>K232</f>
        <v>0</v>
      </c>
      <c r="L173" s="535"/>
      <c r="M173" s="545"/>
      <c r="N173" s="734">
        <f>N232</f>
        <v>0</v>
      </c>
      <c r="O173" s="535"/>
      <c r="P173" s="545"/>
      <c r="Q173" s="734">
        <f>Q232</f>
        <v>0</v>
      </c>
      <c r="R173" s="535"/>
      <c r="S173" s="545"/>
      <c r="T173" s="735">
        <f t="shared" ref="T173:AI173" si="164">T232</f>
        <v>0</v>
      </c>
      <c r="U173" s="735">
        <f t="shared" si="164"/>
        <v>0</v>
      </c>
      <c r="V173" s="735">
        <f t="shared" si="164"/>
        <v>0</v>
      </c>
      <c r="W173" s="735">
        <f t="shared" si="164"/>
        <v>0</v>
      </c>
      <c r="X173" s="735">
        <f t="shared" si="164"/>
        <v>0</v>
      </c>
      <c r="Y173" s="735">
        <f t="shared" si="164"/>
        <v>0</v>
      </c>
      <c r="Z173" s="735">
        <f t="shared" si="164"/>
        <v>0</v>
      </c>
      <c r="AA173" s="735">
        <f t="shared" si="164"/>
        <v>0</v>
      </c>
      <c r="AB173" s="735">
        <f t="shared" si="164"/>
        <v>0</v>
      </c>
      <c r="AC173" s="735">
        <f t="shared" si="164"/>
        <v>0</v>
      </c>
      <c r="AD173" s="735">
        <f t="shared" si="164"/>
        <v>0</v>
      </c>
      <c r="AE173" s="735">
        <f t="shared" si="164"/>
        <v>0</v>
      </c>
      <c r="AF173" s="735">
        <f t="shared" si="164"/>
        <v>0</v>
      </c>
      <c r="AG173" s="735">
        <f t="shared" si="164"/>
        <v>0</v>
      </c>
      <c r="AH173" s="735">
        <f t="shared" si="164"/>
        <v>0</v>
      </c>
      <c r="AI173" s="735">
        <f t="shared" si="164"/>
        <v>0</v>
      </c>
      <c r="AJ173" s="856"/>
    </row>
    <row r="174" spans="1:36" s="726" customFormat="1" ht="12">
      <c r="A174" s="736" t="s">
        <v>1191</v>
      </c>
      <c r="B174" s="737" t="s">
        <v>1192</v>
      </c>
      <c r="C174" s="991"/>
      <c r="D174" s="698"/>
      <c r="E174" s="741">
        <f>E79-E80</f>
        <v>0</v>
      </c>
      <c r="F174" s="698"/>
      <c r="G174" s="698"/>
      <c r="H174" s="741">
        <f>H79-H80</f>
        <v>0</v>
      </c>
      <c r="I174" s="986"/>
      <c r="J174" s="986"/>
      <c r="K174" s="741">
        <f>K79-K80</f>
        <v>0</v>
      </c>
      <c r="L174" s="698"/>
      <c r="M174" s="731"/>
      <c r="N174" s="741">
        <f>N79-N80</f>
        <v>0</v>
      </c>
      <c r="O174" s="698"/>
      <c r="P174" s="731"/>
      <c r="Q174" s="741">
        <f>Q79-Q80</f>
        <v>0</v>
      </c>
      <c r="R174" s="698"/>
      <c r="S174" s="731"/>
      <c r="T174" s="741">
        <f t="shared" ref="T174:AI174" si="165">T79-T80</f>
        <v>0</v>
      </c>
      <c r="U174" s="741">
        <f t="shared" si="165"/>
        <v>0</v>
      </c>
      <c r="V174" s="741">
        <f t="shared" si="165"/>
        <v>0</v>
      </c>
      <c r="W174" s="741">
        <f t="shared" si="165"/>
        <v>0</v>
      </c>
      <c r="X174" s="741">
        <f t="shared" si="165"/>
        <v>0</v>
      </c>
      <c r="Y174" s="741">
        <f t="shared" si="165"/>
        <v>0</v>
      </c>
      <c r="Z174" s="741">
        <f t="shared" si="165"/>
        <v>0</v>
      </c>
      <c r="AA174" s="741">
        <f t="shared" si="165"/>
        <v>0</v>
      </c>
      <c r="AB174" s="741">
        <f t="shared" si="165"/>
        <v>0</v>
      </c>
      <c r="AC174" s="741">
        <f t="shared" si="165"/>
        <v>0</v>
      </c>
      <c r="AD174" s="741">
        <f t="shared" si="165"/>
        <v>0</v>
      </c>
      <c r="AE174" s="741">
        <f t="shared" si="165"/>
        <v>0</v>
      </c>
      <c r="AF174" s="741">
        <f t="shared" si="165"/>
        <v>0</v>
      </c>
      <c r="AG174" s="741">
        <f t="shared" si="165"/>
        <v>0</v>
      </c>
      <c r="AH174" s="741">
        <f t="shared" si="165"/>
        <v>0</v>
      </c>
      <c r="AI174" s="741">
        <f t="shared" si="165"/>
        <v>0</v>
      </c>
      <c r="AJ174" s="987"/>
    </row>
    <row r="175" spans="1:36" s="742" customFormat="1">
      <c r="A175" s="779" t="s">
        <v>1193</v>
      </c>
      <c r="B175" s="773" t="str">
        <f>"+ / - "&amp;B81</f>
        <v>+ / - INGRESOS FINANCIEROS</v>
      </c>
      <c r="C175" s="991"/>
      <c r="D175" s="992"/>
      <c r="E175" s="738">
        <f>E81</f>
        <v>0</v>
      </c>
      <c r="F175" s="992"/>
      <c r="G175" s="992"/>
      <c r="H175" s="738">
        <f>H81</f>
        <v>0</v>
      </c>
      <c r="I175" s="993"/>
      <c r="J175" s="993"/>
      <c r="K175" s="738">
        <f>K81</f>
        <v>0</v>
      </c>
      <c r="L175" s="992"/>
      <c r="M175" s="743"/>
      <c r="N175" s="738">
        <f>N81</f>
        <v>0</v>
      </c>
      <c r="O175" s="992"/>
      <c r="P175" s="743"/>
      <c r="Q175" s="738">
        <f>Q81</f>
        <v>0</v>
      </c>
      <c r="R175" s="992"/>
      <c r="S175" s="743"/>
      <c r="T175" s="741">
        <f t="shared" ref="T175:AI175" si="166">T81</f>
        <v>0</v>
      </c>
      <c r="U175" s="741">
        <f t="shared" si="166"/>
        <v>0</v>
      </c>
      <c r="V175" s="741">
        <f t="shared" si="166"/>
        <v>0</v>
      </c>
      <c r="W175" s="741">
        <f t="shared" si="166"/>
        <v>0</v>
      </c>
      <c r="X175" s="741">
        <f t="shared" si="166"/>
        <v>0</v>
      </c>
      <c r="Y175" s="741">
        <f t="shared" si="166"/>
        <v>0</v>
      </c>
      <c r="Z175" s="741">
        <f t="shared" si="166"/>
        <v>0</v>
      </c>
      <c r="AA175" s="741">
        <f t="shared" si="166"/>
        <v>0</v>
      </c>
      <c r="AB175" s="741">
        <f t="shared" si="166"/>
        <v>0</v>
      </c>
      <c r="AC175" s="741">
        <f t="shared" si="166"/>
        <v>0</v>
      </c>
      <c r="AD175" s="741">
        <f t="shared" si="166"/>
        <v>0</v>
      </c>
      <c r="AE175" s="741">
        <f t="shared" si="166"/>
        <v>0</v>
      </c>
      <c r="AF175" s="741">
        <f t="shared" si="166"/>
        <v>0</v>
      </c>
      <c r="AG175" s="741">
        <f t="shared" si="166"/>
        <v>0</v>
      </c>
      <c r="AH175" s="741">
        <f t="shared" si="166"/>
        <v>0</v>
      </c>
      <c r="AI175" s="741">
        <f t="shared" si="166"/>
        <v>0</v>
      </c>
      <c r="AJ175" s="994"/>
    </row>
    <row r="176" spans="1:36" s="742" customFormat="1">
      <c r="A176" s="736" t="s">
        <v>1194</v>
      </c>
      <c r="B176" s="773" t="str">
        <f>"+ / - "&amp;B82</f>
        <v>+ / - UTILIDAD (PÉRDIDA) EN VENTA DE ACTIVOS FIJOS</v>
      </c>
      <c r="C176" s="991"/>
      <c r="D176" s="992"/>
      <c r="E176" s="738">
        <f>E82</f>
        <v>0</v>
      </c>
      <c r="F176" s="992"/>
      <c r="G176" s="992"/>
      <c r="H176" s="738">
        <f>H82</f>
        <v>0</v>
      </c>
      <c r="I176" s="993"/>
      <c r="J176" s="993"/>
      <c r="K176" s="738">
        <f>K82</f>
        <v>0</v>
      </c>
      <c r="L176" s="992"/>
      <c r="M176" s="743"/>
      <c r="N176" s="738">
        <f>N82</f>
        <v>0</v>
      </c>
      <c r="O176" s="992"/>
      <c r="P176" s="743"/>
      <c r="Q176" s="738">
        <f>Q82</f>
        <v>0</v>
      </c>
      <c r="R176" s="992"/>
      <c r="S176" s="743"/>
      <c r="T176" s="741">
        <f t="shared" ref="T176:AI176" si="167">T82</f>
        <v>0</v>
      </c>
      <c r="U176" s="741">
        <f t="shared" si="167"/>
        <v>0</v>
      </c>
      <c r="V176" s="741">
        <f t="shared" si="167"/>
        <v>0</v>
      </c>
      <c r="W176" s="741">
        <f t="shared" si="167"/>
        <v>0</v>
      </c>
      <c r="X176" s="741">
        <f t="shared" si="167"/>
        <v>0</v>
      </c>
      <c r="Y176" s="741">
        <f t="shared" si="167"/>
        <v>0</v>
      </c>
      <c r="Z176" s="741">
        <f t="shared" si="167"/>
        <v>0</v>
      </c>
      <c r="AA176" s="741">
        <f t="shared" si="167"/>
        <v>0</v>
      </c>
      <c r="AB176" s="741">
        <f t="shared" si="167"/>
        <v>0</v>
      </c>
      <c r="AC176" s="741">
        <f t="shared" si="167"/>
        <v>0</v>
      </c>
      <c r="AD176" s="741">
        <f t="shared" si="167"/>
        <v>0</v>
      </c>
      <c r="AE176" s="741">
        <f t="shared" si="167"/>
        <v>0</v>
      </c>
      <c r="AF176" s="741">
        <f t="shared" si="167"/>
        <v>0</v>
      </c>
      <c r="AG176" s="741">
        <f t="shared" si="167"/>
        <v>0</v>
      </c>
      <c r="AH176" s="741">
        <f t="shared" si="167"/>
        <v>0</v>
      </c>
      <c r="AI176" s="741">
        <f t="shared" si="167"/>
        <v>0</v>
      </c>
      <c r="AJ176" s="994"/>
    </row>
    <row r="177" spans="1:36" s="742" customFormat="1">
      <c r="A177" s="736" t="s">
        <v>1195</v>
      </c>
      <c r="B177" s="773" t="str">
        <f>"+ / - "&amp;B83</f>
        <v>+ / - UTILIDAD (PÉRDIDA) EN VENTA DE INVERSIONES</v>
      </c>
      <c r="C177" s="991"/>
      <c r="D177" s="992"/>
      <c r="E177" s="738">
        <f>E83</f>
        <v>0</v>
      </c>
      <c r="F177" s="992"/>
      <c r="G177" s="992"/>
      <c r="H177" s="738">
        <f>H83</f>
        <v>0</v>
      </c>
      <c r="I177" s="993"/>
      <c r="J177" s="993"/>
      <c r="K177" s="738">
        <f>K83</f>
        <v>0</v>
      </c>
      <c r="L177" s="992"/>
      <c r="M177" s="743"/>
      <c r="N177" s="738">
        <f>N83</f>
        <v>0</v>
      </c>
      <c r="O177" s="992"/>
      <c r="P177" s="743"/>
      <c r="Q177" s="738">
        <f>Q83</f>
        <v>0</v>
      </c>
      <c r="R177" s="992"/>
      <c r="S177" s="743"/>
      <c r="T177" s="741">
        <f t="shared" ref="T177:AI177" si="168">T83</f>
        <v>0</v>
      </c>
      <c r="U177" s="741">
        <f t="shared" si="168"/>
        <v>0</v>
      </c>
      <c r="V177" s="741">
        <f t="shared" si="168"/>
        <v>0</v>
      </c>
      <c r="W177" s="741">
        <f t="shared" si="168"/>
        <v>0</v>
      </c>
      <c r="X177" s="741">
        <f t="shared" si="168"/>
        <v>0</v>
      </c>
      <c r="Y177" s="741">
        <f t="shared" si="168"/>
        <v>0</v>
      </c>
      <c r="Z177" s="741">
        <f t="shared" si="168"/>
        <v>0</v>
      </c>
      <c r="AA177" s="741">
        <f t="shared" si="168"/>
        <v>0</v>
      </c>
      <c r="AB177" s="741">
        <f t="shared" si="168"/>
        <v>0</v>
      </c>
      <c r="AC177" s="741">
        <f t="shared" si="168"/>
        <v>0</v>
      </c>
      <c r="AD177" s="741">
        <f t="shared" si="168"/>
        <v>0</v>
      </c>
      <c r="AE177" s="741">
        <f t="shared" si="168"/>
        <v>0</v>
      </c>
      <c r="AF177" s="741">
        <f t="shared" si="168"/>
        <v>0</v>
      </c>
      <c r="AG177" s="741">
        <f t="shared" si="168"/>
        <v>0</v>
      </c>
      <c r="AH177" s="741">
        <f t="shared" si="168"/>
        <v>0</v>
      </c>
      <c r="AI177" s="741">
        <f t="shared" si="168"/>
        <v>0</v>
      </c>
      <c r="AJ177" s="994"/>
    </row>
    <row r="178" spans="1:36" s="742" customFormat="1">
      <c r="A178" s="736" t="s">
        <v>1196</v>
      </c>
      <c r="B178" s="773" t="str">
        <f>"+ / - "&amp;B84</f>
        <v>+ / - INGRESOS (EGRESOS) POR MÉTODO DE PARTICIPACIÓN</v>
      </c>
      <c r="C178" s="1014"/>
      <c r="D178" s="992"/>
      <c r="E178" s="738">
        <f>E84</f>
        <v>0</v>
      </c>
      <c r="F178" s="992"/>
      <c r="G178" s="992"/>
      <c r="H178" s="738">
        <f>H84</f>
        <v>0</v>
      </c>
      <c r="I178" s="993"/>
      <c r="J178" s="993"/>
      <c r="K178" s="738">
        <f>K84</f>
        <v>0</v>
      </c>
      <c r="L178" s="992"/>
      <c r="M178" s="743"/>
      <c r="N178" s="738">
        <f>N84</f>
        <v>0</v>
      </c>
      <c r="O178" s="992"/>
      <c r="P178" s="743"/>
      <c r="Q178" s="738">
        <f>Q84</f>
        <v>0</v>
      </c>
      <c r="R178" s="992"/>
      <c r="S178" s="743"/>
      <c r="T178" s="741">
        <f t="shared" ref="T178:AI178" si="169">T84</f>
        <v>0</v>
      </c>
      <c r="U178" s="741">
        <f t="shared" si="169"/>
        <v>0</v>
      </c>
      <c r="V178" s="741">
        <f t="shared" si="169"/>
        <v>0</v>
      </c>
      <c r="W178" s="741">
        <f t="shared" si="169"/>
        <v>0</v>
      </c>
      <c r="X178" s="741">
        <f t="shared" si="169"/>
        <v>0</v>
      </c>
      <c r="Y178" s="741">
        <f t="shared" si="169"/>
        <v>0</v>
      </c>
      <c r="Z178" s="741">
        <f t="shared" si="169"/>
        <v>0</v>
      </c>
      <c r="AA178" s="741">
        <f t="shared" si="169"/>
        <v>0</v>
      </c>
      <c r="AB178" s="741">
        <f t="shared" si="169"/>
        <v>0</v>
      </c>
      <c r="AC178" s="741">
        <f t="shared" si="169"/>
        <v>0</v>
      </c>
      <c r="AD178" s="741">
        <f t="shared" si="169"/>
        <v>0</v>
      </c>
      <c r="AE178" s="741">
        <f t="shared" si="169"/>
        <v>0</v>
      </c>
      <c r="AF178" s="741">
        <f t="shared" si="169"/>
        <v>0</v>
      </c>
      <c r="AG178" s="741">
        <f t="shared" si="169"/>
        <v>0</v>
      </c>
      <c r="AH178" s="741">
        <f t="shared" si="169"/>
        <v>0</v>
      </c>
      <c r="AI178" s="741">
        <f t="shared" si="169"/>
        <v>0</v>
      </c>
      <c r="AJ178" s="994"/>
    </row>
    <row r="179" spans="1:36" s="742" customFormat="1">
      <c r="A179" s="736" t="s">
        <v>1197</v>
      </c>
      <c r="B179" s="780" t="s">
        <v>1198</v>
      </c>
      <c r="C179" s="1014"/>
      <c r="D179" s="992"/>
      <c r="E179" s="738">
        <f>IF(E78&gt;=0,E78+E85-E86,E85-E86)</f>
        <v>0</v>
      </c>
      <c r="F179" s="992"/>
      <c r="G179" s="992"/>
      <c r="H179" s="738">
        <f>IF(H78&gt;=0,H78+H85-H86,H85-H86)</f>
        <v>0</v>
      </c>
      <c r="I179" s="993"/>
      <c r="J179" s="993"/>
      <c r="K179" s="738">
        <f>IF(K78&gt;=0,K78+K85-K86,K85-K86)</f>
        <v>0</v>
      </c>
      <c r="L179" s="992"/>
      <c r="M179" s="743"/>
      <c r="N179" s="738">
        <f>IF(N78&gt;=0,N78+N85-N86,N85-N86)</f>
        <v>0</v>
      </c>
      <c r="O179" s="992"/>
      <c r="P179" s="743"/>
      <c r="Q179" s="738">
        <f>IF(Q78&gt;=0,Q78+Q85-Q86,Q85-Q86)</f>
        <v>0</v>
      </c>
      <c r="R179" s="992"/>
      <c r="S179" s="743"/>
      <c r="T179" s="741">
        <f t="shared" ref="T179:AI179" si="170">IF(T78&gt;=0,T78+T85-T86,T85-T86)</f>
        <v>0</v>
      </c>
      <c r="U179" s="741">
        <f t="shared" si="170"/>
        <v>0</v>
      </c>
      <c r="V179" s="741">
        <f t="shared" si="170"/>
        <v>0</v>
      </c>
      <c r="W179" s="741">
        <f t="shared" si="170"/>
        <v>0</v>
      </c>
      <c r="X179" s="741">
        <f t="shared" si="170"/>
        <v>0</v>
      </c>
      <c r="Y179" s="741">
        <f t="shared" si="170"/>
        <v>0</v>
      </c>
      <c r="Z179" s="741">
        <f t="shared" si="170"/>
        <v>0</v>
      </c>
      <c r="AA179" s="741">
        <f t="shared" si="170"/>
        <v>0</v>
      </c>
      <c r="AB179" s="741">
        <f t="shared" si="170"/>
        <v>0</v>
      </c>
      <c r="AC179" s="741">
        <f t="shared" si="170"/>
        <v>0</v>
      </c>
      <c r="AD179" s="741">
        <f t="shared" si="170"/>
        <v>0</v>
      </c>
      <c r="AE179" s="741">
        <f t="shared" si="170"/>
        <v>0</v>
      </c>
      <c r="AF179" s="741">
        <f t="shared" si="170"/>
        <v>0</v>
      </c>
      <c r="AG179" s="741">
        <f t="shared" si="170"/>
        <v>0</v>
      </c>
      <c r="AH179" s="741">
        <f t="shared" si="170"/>
        <v>0</v>
      </c>
      <c r="AI179" s="741">
        <f t="shared" si="170"/>
        <v>0</v>
      </c>
      <c r="AJ179" s="994"/>
    </row>
    <row r="180" spans="1:36" s="721" customFormat="1">
      <c r="A180" s="711">
        <v>16</v>
      </c>
      <c r="B180" s="781" t="s">
        <v>1199</v>
      </c>
      <c r="C180" s="1016"/>
      <c r="D180" s="981"/>
      <c r="E180" s="745">
        <f>SUM(E174:E179)</f>
        <v>0</v>
      </c>
      <c r="F180" s="981"/>
      <c r="G180" s="981"/>
      <c r="H180" s="745">
        <f>SUM(H174:H179)</f>
        <v>0</v>
      </c>
      <c r="I180" s="982"/>
      <c r="J180" s="982"/>
      <c r="K180" s="745">
        <f>SUM(K174:K179)</f>
        <v>0</v>
      </c>
      <c r="L180" s="981"/>
      <c r="M180" s="719"/>
      <c r="N180" s="745">
        <f>SUM(N174:N179)</f>
        <v>0</v>
      </c>
      <c r="O180" s="981"/>
      <c r="P180" s="719"/>
      <c r="Q180" s="745">
        <f>SUM(Q174:Q179)</f>
        <v>0</v>
      </c>
      <c r="R180" s="981"/>
      <c r="S180" s="719"/>
      <c r="T180" s="748">
        <f t="shared" ref="T180:AI180" si="171">SUM(T174:T179)</f>
        <v>0</v>
      </c>
      <c r="U180" s="748">
        <f t="shared" si="171"/>
        <v>0</v>
      </c>
      <c r="V180" s="748">
        <f t="shared" si="171"/>
        <v>0</v>
      </c>
      <c r="W180" s="748">
        <f t="shared" si="171"/>
        <v>0</v>
      </c>
      <c r="X180" s="748">
        <f t="shared" si="171"/>
        <v>0</v>
      </c>
      <c r="Y180" s="748">
        <f t="shared" si="171"/>
        <v>0</v>
      </c>
      <c r="Z180" s="748">
        <f t="shared" si="171"/>
        <v>0</v>
      </c>
      <c r="AA180" s="748">
        <f t="shared" si="171"/>
        <v>0</v>
      </c>
      <c r="AB180" s="748">
        <f t="shared" si="171"/>
        <v>0</v>
      </c>
      <c r="AC180" s="748">
        <f t="shared" si="171"/>
        <v>0</v>
      </c>
      <c r="AD180" s="748">
        <f t="shared" si="171"/>
        <v>0</v>
      </c>
      <c r="AE180" s="748">
        <f t="shared" si="171"/>
        <v>0</v>
      </c>
      <c r="AF180" s="748">
        <f t="shared" si="171"/>
        <v>0</v>
      </c>
      <c r="AG180" s="748">
        <f t="shared" si="171"/>
        <v>0</v>
      </c>
      <c r="AH180" s="748">
        <f t="shared" si="171"/>
        <v>0</v>
      </c>
      <c r="AI180" s="748">
        <f t="shared" si="171"/>
        <v>0</v>
      </c>
      <c r="AJ180" s="983"/>
    </row>
    <row r="181" spans="1:36" s="536" customFormat="1">
      <c r="A181" s="782"/>
      <c r="B181" s="728" t="s">
        <v>1200</v>
      </c>
      <c r="C181" s="1017"/>
      <c r="D181" s="535"/>
      <c r="E181" s="750">
        <f>SUM(E158:E160)+E165+SUM(E172:E173)+E180</f>
        <v>0</v>
      </c>
      <c r="F181" s="535"/>
      <c r="G181" s="535"/>
      <c r="H181" s="750">
        <f>SUM(H158:H160)+H165+SUM(H172:H173)+H180</f>
        <v>0</v>
      </c>
      <c r="I181" s="534"/>
      <c r="J181" s="534"/>
      <c r="K181" s="750">
        <f>SUM(K158:K160)+K165+SUM(K172:K173)+K180</f>
        <v>0</v>
      </c>
      <c r="L181" s="535"/>
      <c r="M181" s="545"/>
      <c r="N181" s="750">
        <f>SUM(N158:N160)+N165+SUM(N172:N173)+N180</f>
        <v>0</v>
      </c>
      <c r="O181" s="535"/>
      <c r="P181" s="545"/>
      <c r="Q181" s="750">
        <f>SUM(Q158:Q160)+Q165+SUM(Q172:Q173)+Q180</f>
        <v>0</v>
      </c>
      <c r="R181" s="535"/>
      <c r="S181" s="545"/>
      <c r="T181" s="729">
        <f t="shared" ref="T181:AI181" si="172">SUM(T158:T160)+T165+SUM(T172:T173)+T180</f>
        <v>0</v>
      </c>
      <c r="U181" s="729">
        <f t="shared" si="172"/>
        <v>0</v>
      </c>
      <c r="V181" s="729">
        <f t="shared" si="172"/>
        <v>0</v>
      </c>
      <c r="W181" s="729">
        <f t="shared" si="172"/>
        <v>0</v>
      </c>
      <c r="X181" s="729">
        <f t="shared" si="172"/>
        <v>0</v>
      </c>
      <c r="Y181" s="729">
        <f t="shared" si="172"/>
        <v>0</v>
      </c>
      <c r="Z181" s="729">
        <f t="shared" si="172"/>
        <v>0</v>
      </c>
      <c r="AA181" s="729">
        <f t="shared" si="172"/>
        <v>0</v>
      </c>
      <c r="AB181" s="729">
        <f t="shared" si="172"/>
        <v>0</v>
      </c>
      <c r="AC181" s="729">
        <f t="shared" si="172"/>
        <v>0</v>
      </c>
      <c r="AD181" s="729">
        <f t="shared" si="172"/>
        <v>0</v>
      </c>
      <c r="AE181" s="729">
        <f t="shared" si="172"/>
        <v>0</v>
      </c>
      <c r="AF181" s="729">
        <f t="shared" si="172"/>
        <v>0</v>
      </c>
      <c r="AG181" s="729">
        <f t="shared" si="172"/>
        <v>0</v>
      </c>
      <c r="AH181" s="729">
        <f t="shared" si="172"/>
        <v>0</v>
      </c>
      <c r="AI181" s="729">
        <f t="shared" si="172"/>
        <v>0</v>
      </c>
      <c r="AJ181" s="856"/>
    </row>
    <row r="182" spans="1:36" s="726" customFormat="1" ht="11.5">
      <c r="A182" s="706">
        <v>17</v>
      </c>
      <c r="B182" s="722" t="s">
        <v>1201</v>
      </c>
      <c r="C182" s="989"/>
      <c r="D182" s="698"/>
      <c r="E182" s="1018">
        <f>-E95</f>
        <v>0</v>
      </c>
      <c r="F182" s="698"/>
      <c r="G182" s="698"/>
      <c r="H182" s="708">
        <f>-H95</f>
        <v>0</v>
      </c>
      <c r="I182" s="986"/>
      <c r="J182" s="986"/>
      <c r="K182" s="708">
        <f>-K95</f>
        <v>0</v>
      </c>
      <c r="L182" s="698"/>
      <c r="M182" s="731"/>
      <c r="N182" s="708">
        <f>-N95</f>
        <v>0</v>
      </c>
      <c r="O182" s="698"/>
      <c r="P182" s="731"/>
      <c r="Q182" s="708">
        <f>-Q95</f>
        <v>0</v>
      </c>
      <c r="R182" s="698"/>
      <c r="S182" s="731"/>
      <c r="T182" s="710">
        <f t="shared" ref="T182:AI182" si="173">-T95</f>
        <v>0</v>
      </c>
      <c r="U182" s="710">
        <f t="shared" si="173"/>
        <v>0</v>
      </c>
      <c r="V182" s="710">
        <f t="shared" si="173"/>
        <v>0</v>
      </c>
      <c r="W182" s="710">
        <f t="shared" si="173"/>
        <v>0</v>
      </c>
      <c r="X182" s="710">
        <f t="shared" si="173"/>
        <v>0</v>
      </c>
      <c r="Y182" s="710">
        <f t="shared" si="173"/>
        <v>0</v>
      </c>
      <c r="Z182" s="710">
        <f t="shared" si="173"/>
        <v>0</v>
      </c>
      <c r="AA182" s="710">
        <f t="shared" si="173"/>
        <v>0</v>
      </c>
      <c r="AB182" s="710">
        <f t="shared" si="173"/>
        <v>0</v>
      </c>
      <c r="AC182" s="710">
        <f t="shared" si="173"/>
        <v>0</v>
      </c>
      <c r="AD182" s="710">
        <f t="shared" si="173"/>
        <v>0</v>
      </c>
      <c r="AE182" s="710">
        <f t="shared" si="173"/>
        <v>0</v>
      </c>
      <c r="AF182" s="710">
        <f t="shared" si="173"/>
        <v>0</v>
      </c>
      <c r="AG182" s="710">
        <f t="shared" si="173"/>
        <v>0</v>
      </c>
      <c r="AH182" s="710">
        <f t="shared" si="173"/>
        <v>0</v>
      </c>
      <c r="AI182" s="710">
        <f t="shared" si="173"/>
        <v>0</v>
      </c>
      <c r="AJ182" s="987"/>
    </row>
    <row r="183" spans="1:36" s="742" customFormat="1">
      <c r="A183" s="736" t="s">
        <v>1202</v>
      </c>
      <c r="B183" s="773" t="str">
        <f>"- / + "&amp;B24</f>
        <v>- / + DEUDORES VARIOS</v>
      </c>
      <c r="C183" s="995"/>
      <c r="D183" s="992"/>
      <c r="E183" s="738">
        <f>-(E24-C24)</f>
        <v>0</v>
      </c>
      <c r="F183" s="992"/>
      <c r="G183" s="992"/>
      <c r="H183" s="776">
        <f>-(H24-E24)</f>
        <v>0</v>
      </c>
      <c r="I183" s="993"/>
      <c r="J183" s="993"/>
      <c r="K183" s="776">
        <f>-(K24-H24)</f>
        <v>0</v>
      </c>
      <c r="L183" s="992"/>
      <c r="M183" s="743"/>
      <c r="N183" s="776">
        <f>-(N24-H24)</f>
        <v>0</v>
      </c>
      <c r="O183" s="992"/>
      <c r="P183" s="743"/>
      <c r="Q183" s="776">
        <f>IF(OR($C$3=$L$913,$C$3=0),-(Q24-N24),-(Q24-K24))</f>
        <v>0</v>
      </c>
      <c r="R183" s="992"/>
      <c r="S183" s="743"/>
      <c r="T183" s="774">
        <f>-(T24-N24)</f>
        <v>0</v>
      </c>
      <c r="U183" s="774">
        <f t="shared" ref="U183:AI183" si="174">-(U24-T24)</f>
        <v>0</v>
      </c>
      <c r="V183" s="774">
        <f t="shared" si="174"/>
        <v>0</v>
      </c>
      <c r="W183" s="774">
        <f t="shared" si="174"/>
        <v>0</v>
      </c>
      <c r="X183" s="774">
        <f t="shared" si="174"/>
        <v>0</v>
      </c>
      <c r="Y183" s="774">
        <f t="shared" si="174"/>
        <v>0</v>
      </c>
      <c r="Z183" s="774">
        <f t="shared" si="174"/>
        <v>0</v>
      </c>
      <c r="AA183" s="774">
        <f t="shared" si="174"/>
        <v>0</v>
      </c>
      <c r="AB183" s="774">
        <f t="shared" si="174"/>
        <v>0</v>
      </c>
      <c r="AC183" s="774">
        <f t="shared" si="174"/>
        <v>0</v>
      </c>
      <c r="AD183" s="774">
        <f t="shared" si="174"/>
        <v>0</v>
      </c>
      <c r="AE183" s="774">
        <f t="shared" si="174"/>
        <v>0</v>
      </c>
      <c r="AF183" s="774">
        <f t="shared" si="174"/>
        <v>0</v>
      </c>
      <c r="AG183" s="774">
        <f t="shared" si="174"/>
        <v>0</v>
      </c>
      <c r="AH183" s="774">
        <f t="shared" si="174"/>
        <v>0</v>
      </c>
      <c r="AI183" s="774">
        <f t="shared" si="174"/>
        <v>0</v>
      </c>
      <c r="AJ183" s="994"/>
    </row>
    <row r="184" spans="1:36" s="742" customFormat="1">
      <c r="A184" s="736" t="s">
        <v>1203</v>
      </c>
      <c r="B184" s="773" t="str">
        <f>"- / + "&amp;B25</f>
        <v>- / + OTROS CORRIENTES</v>
      </c>
      <c r="C184" s="995"/>
      <c r="D184" s="992"/>
      <c r="E184" s="738">
        <f>-(E25-C25)</f>
        <v>0</v>
      </c>
      <c r="F184" s="992"/>
      <c r="G184" s="992"/>
      <c r="H184" s="776">
        <f>-(H25-E25)</f>
        <v>0</v>
      </c>
      <c r="I184" s="993"/>
      <c r="J184" s="993"/>
      <c r="K184" s="776">
        <f>-(K25-H25)</f>
        <v>0</v>
      </c>
      <c r="L184" s="992"/>
      <c r="M184" s="743"/>
      <c r="N184" s="776">
        <f>-(N25-H25)</f>
        <v>0</v>
      </c>
      <c r="O184" s="992"/>
      <c r="P184" s="743"/>
      <c r="Q184" s="776">
        <f>IF(OR($C$3=$L$913,$C$3=0),-(Q25-N25),-(Q25-K25))</f>
        <v>0</v>
      </c>
      <c r="R184" s="992"/>
      <c r="S184" s="743"/>
      <c r="T184" s="774">
        <f>-(T25-N25)</f>
        <v>0</v>
      </c>
      <c r="U184" s="774">
        <f t="shared" ref="U184:AI184" si="175">-(U25-T25)</f>
        <v>0</v>
      </c>
      <c r="V184" s="774">
        <f t="shared" si="175"/>
        <v>0</v>
      </c>
      <c r="W184" s="774">
        <f t="shared" si="175"/>
        <v>0</v>
      </c>
      <c r="X184" s="774">
        <f t="shared" si="175"/>
        <v>0</v>
      </c>
      <c r="Y184" s="774">
        <f t="shared" si="175"/>
        <v>0</v>
      </c>
      <c r="Z184" s="774">
        <f t="shared" si="175"/>
        <v>0</v>
      </c>
      <c r="AA184" s="774">
        <f t="shared" si="175"/>
        <v>0</v>
      </c>
      <c r="AB184" s="774">
        <f t="shared" si="175"/>
        <v>0</v>
      </c>
      <c r="AC184" s="774">
        <f t="shared" si="175"/>
        <v>0</v>
      </c>
      <c r="AD184" s="774">
        <f t="shared" si="175"/>
        <v>0</v>
      </c>
      <c r="AE184" s="774">
        <f t="shared" si="175"/>
        <v>0</v>
      </c>
      <c r="AF184" s="774">
        <f t="shared" si="175"/>
        <v>0</v>
      </c>
      <c r="AG184" s="774">
        <f t="shared" si="175"/>
        <v>0</v>
      </c>
      <c r="AH184" s="774">
        <f t="shared" si="175"/>
        <v>0</v>
      </c>
      <c r="AI184" s="774">
        <f t="shared" si="175"/>
        <v>0</v>
      </c>
      <c r="AJ184" s="994"/>
    </row>
    <row r="185" spans="1:36" s="721" customFormat="1">
      <c r="A185" s="732">
        <v>18</v>
      </c>
      <c r="B185" s="775" t="s">
        <v>1204</v>
      </c>
      <c r="C185" s="995"/>
      <c r="D185" s="981"/>
      <c r="E185" s="776">
        <f>SUM(E183:E184)</f>
        <v>0</v>
      </c>
      <c r="F185" s="981"/>
      <c r="G185" s="981"/>
      <c r="H185" s="776">
        <f>SUM(H183:H184)</f>
        <v>0</v>
      </c>
      <c r="I185" s="982"/>
      <c r="J185" s="982"/>
      <c r="K185" s="776">
        <f>SUM(K183:K184)</f>
        <v>0</v>
      </c>
      <c r="L185" s="981"/>
      <c r="M185" s="719"/>
      <c r="N185" s="776">
        <f>SUM(N183:N184)</f>
        <v>0</v>
      </c>
      <c r="O185" s="981"/>
      <c r="P185" s="719"/>
      <c r="Q185" s="776">
        <f>SUM(Q183:Q184)</f>
        <v>0</v>
      </c>
      <c r="R185" s="981"/>
      <c r="S185" s="719"/>
      <c r="T185" s="774">
        <f t="shared" ref="T185:AI185" si="176">SUM(T183:T184)</f>
        <v>0</v>
      </c>
      <c r="U185" s="774">
        <f t="shared" si="176"/>
        <v>0</v>
      </c>
      <c r="V185" s="774">
        <f t="shared" si="176"/>
        <v>0</v>
      </c>
      <c r="W185" s="774">
        <f t="shared" si="176"/>
        <v>0</v>
      </c>
      <c r="X185" s="774">
        <f t="shared" si="176"/>
        <v>0</v>
      </c>
      <c r="Y185" s="774">
        <f t="shared" si="176"/>
        <v>0</v>
      </c>
      <c r="Z185" s="774">
        <f t="shared" si="176"/>
        <v>0</v>
      </c>
      <c r="AA185" s="774">
        <f t="shared" si="176"/>
        <v>0</v>
      </c>
      <c r="AB185" s="774">
        <f t="shared" si="176"/>
        <v>0</v>
      </c>
      <c r="AC185" s="774">
        <f t="shared" si="176"/>
        <v>0</v>
      </c>
      <c r="AD185" s="774">
        <f t="shared" si="176"/>
        <v>0</v>
      </c>
      <c r="AE185" s="774">
        <f t="shared" si="176"/>
        <v>0</v>
      </c>
      <c r="AF185" s="774">
        <f t="shared" si="176"/>
        <v>0</v>
      </c>
      <c r="AG185" s="774">
        <f t="shared" si="176"/>
        <v>0</v>
      </c>
      <c r="AH185" s="774">
        <f t="shared" si="176"/>
        <v>0</v>
      </c>
      <c r="AI185" s="774">
        <f t="shared" si="176"/>
        <v>0</v>
      </c>
      <c r="AJ185" s="983"/>
    </row>
    <row r="186" spans="1:36" s="784" customFormat="1" ht="12">
      <c r="A186" s="736" t="s">
        <v>1205</v>
      </c>
      <c r="B186" s="773" t="str">
        <f>"- / + "&amp;B27</f>
        <v>- / + INVERSIONES EN FILIALES Y ASOCIADAS (PERMANENTES)</v>
      </c>
      <c r="C186" s="991"/>
      <c r="D186" s="1019"/>
      <c r="E186" s="1013">
        <f>-(E27-E118-C27+C118)</f>
        <v>0</v>
      </c>
      <c r="F186" s="1019"/>
      <c r="G186" s="1019"/>
      <c r="H186" s="738">
        <f>-(H27-H118-E27+E118)</f>
        <v>0</v>
      </c>
      <c r="I186" s="1020"/>
      <c r="J186" s="1020"/>
      <c r="K186" s="738">
        <f>-(K27-K118-H27+H118)</f>
        <v>0</v>
      </c>
      <c r="L186" s="1019"/>
      <c r="M186" s="783"/>
      <c r="N186" s="738">
        <f>-(N27-N118-H27+H118)</f>
        <v>0</v>
      </c>
      <c r="O186" s="1019"/>
      <c r="P186" s="783"/>
      <c r="Q186" s="738">
        <f>IF(OR($C$3=$L$913,$C$3=0),-(Q27-Q118-N27+N118),-(Q27-Q118-K27+K118))</f>
        <v>0</v>
      </c>
      <c r="R186" s="1019"/>
      <c r="S186" s="783"/>
      <c r="T186" s="741">
        <f>-(T27-T118-N27+N118)</f>
        <v>0</v>
      </c>
      <c r="U186" s="741">
        <f t="shared" ref="U186:AI186" si="177">-(U27-U118-T27+T118)</f>
        <v>0</v>
      </c>
      <c r="V186" s="741">
        <f t="shared" si="177"/>
        <v>0</v>
      </c>
      <c r="W186" s="741">
        <f t="shared" si="177"/>
        <v>0</v>
      </c>
      <c r="X186" s="741">
        <f t="shared" si="177"/>
        <v>0</v>
      </c>
      <c r="Y186" s="741">
        <f t="shared" si="177"/>
        <v>0</v>
      </c>
      <c r="Z186" s="741">
        <f t="shared" si="177"/>
        <v>0</v>
      </c>
      <c r="AA186" s="741">
        <f t="shared" si="177"/>
        <v>0</v>
      </c>
      <c r="AB186" s="741">
        <f t="shared" si="177"/>
        <v>0</v>
      </c>
      <c r="AC186" s="741">
        <f t="shared" si="177"/>
        <v>0</v>
      </c>
      <c r="AD186" s="741">
        <f t="shared" si="177"/>
        <v>0</v>
      </c>
      <c r="AE186" s="741">
        <f t="shared" si="177"/>
        <v>0</v>
      </c>
      <c r="AF186" s="741">
        <f t="shared" si="177"/>
        <v>0</v>
      </c>
      <c r="AG186" s="741">
        <f t="shared" si="177"/>
        <v>0</v>
      </c>
      <c r="AH186" s="741">
        <f t="shared" si="177"/>
        <v>0</v>
      </c>
      <c r="AI186" s="741">
        <f t="shared" si="177"/>
        <v>0</v>
      </c>
      <c r="AJ186" s="1021"/>
    </row>
    <row r="187" spans="1:36" s="784" customFormat="1" ht="12">
      <c r="A187" s="736" t="s">
        <v>1206</v>
      </c>
      <c r="B187" s="773" t="str">
        <f>"- / + "&amp;B30</f>
        <v>- / + INTANGIBLES NETO</v>
      </c>
      <c r="C187" s="991"/>
      <c r="D187" s="1019"/>
      <c r="E187" s="1013">
        <f>-(E30-(E116-E117)-C30+(C116-C117)+E91)</f>
        <v>0</v>
      </c>
      <c r="F187" s="1019"/>
      <c r="G187" s="1019"/>
      <c r="H187" s="738">
        <f>-(H30-(H116-H117)-E30+(E116-E117)+H91)</f>
        <v>0</v>
      </c>
      <c r="I187" s="1020"/>
      <c r="J187" s="1020"/>
      <c r="K187" s="738">
        <f>-(K30-(K116-K117)-H30+(H116-H117)+K91)</f>
        <v>0</v>
      </c>
      <c r="L187" s="1019"/>
      <c r="M187" s="783"/>
      <c r="N187" s="738">
        <f>-(N30-(N116-N117)-H30+(H116-H117)+N91)</f>
        <v>0</v>
      </c>
      <c r="O187" s="1019"/>
      <c r="P187" s="783"/>
      <c r="Q187" s="738">
        <f>IF(OR($C$3=$L$913,$C$3=0),-(Q30-(Q116-Q117)-N30+(N116-N117)+Q91),-(Q30-(Q116-Q117)-K30+(K116-K117)+Q91))</f>
        <v>0</v>
      </c>
      <c r="R187" s="1019"/>
      <c r="S187" s="783"/>
      <c r="T187" s="741">
        <f>-(T30-(T116-T117)-N30+(N116-N117)+T91)</f>
        <v>0</v>
      </c>
      <c r="U187" s="741">
        <f t="shared" ref="U187:AI187" si="178">-(U30-(U116-U117)-T30+(T116-T117)+U91)</f>
        <v>0</v>
      </c>
      <c r="V187" s="741">
        <f t="shared" si="178"/>
        <v>0</v>
      </c>
      <c r="W187" s="741">
        <f t="shared" si="178"/>
        <v>0</v>
      </c>
      <c r="X187" s="741">
        <f t="shared" si="178"/>
        <v>0</v>
      </c>
      <c r="Y187" s="741">
        <f t="shared" si="178"/>
        <v>0</v>
      </c>
      <c r="Z187" s="741">
        <f t="shared" si="178"/>
        <v>0</v>
      </c>
      <c r="AA187" s="741">
        <f t="shared" si="178"/>
        <v>0</v>
      </c>
      <c r="AB187" s="741">
        <f t="shared" si="178"/>
        <v>0</v>
      </c>
      <c r="AC187" s="741">
        <f t="shared" si="178"/>
        <v>0</v>
      </c>
      <c r="AD187" s="741">
        <f t="shared" si="178"/>
        <v>0</v>
      </c>
      <c r="AE187" s="741">
        <f t="shared" si="178"/>
        <v>0</v>
      </c>
      <c r="AF187" s="741">
        <f t="shared" si="178"/>
        <v>0</v>
      </c>
      <c r="AG187" s="741">
        <f t="shared" si="178"/>
        <v>0</v>
      </c>
      <c r="AH187" s="741">
        <f t="shared" si="178"/>
        <v>0</v>
      </c>
      <c r="AI187" s="741">
        <f t="shared" si="178"/>
        <v>0</v>
      </c>
      <c r="AJ187" s="1021"/>
    </row>
    <row r="188" spans="1:36" s="742" customFormat="1">
      <c r="A188" s="736" t="s">
        <v>1207</v>
      </c>
      <c r="B188" s="773" t="str">
        <f>"- / + "&amp;B31</f>
        <v>- / + CARGOS DIFERIDOS NETO</v>
      </c>
      <c r="C188" s="991"/>
      <c r="D188" s="992"/>
      <c r="E188" s="1013">
        <f>-(E31-(E119-E120)-C31+(C119-C120)+E92)</f>
        <v>0</v>
      </c>
      <c r="F188" s="992"/>
      <c r="G188" s="992"/>
      <c r="H188" s="738">
        <f>-(H31-(H119-H120)-E31+(E119-E120)+H92)</f>
        <v>0</v>
      </c>
      <c r="I188" s="993"/>
      <c r="J188" s="993"/>
      <c r="K188" s="738">
        <f>-(K31-(K119-K120)-H31+(H119-H120)+K92)</f>
        <v>0</v>
      </c>
      <c r="L188" s="992"/>
      <c r="M188" s="740"/>
      <c r="N188" s="738">
        <f>-(N31-(N119-N120)-H31+(H119-H120)+N92)</f>
        <v>0</v>
      </c>
      <c r="O188" s="992"/>
      <c r="P188" s="740"/>
      <c r="Q188" s="738">
        <f>IF(OR($C$3=$L$913,$C$3=0),-(Q31-(Q119-Q120)-N31+(N119-N120)+Q92),-(Q31-(Q119-Q120)-K31+(K119-K120)+Q92))</f>
        <v>0</v>
      </c>
      <c r="R188" s="992"/>
      <c r="S188" s="740"/>
      <c r="T188" s="741">
        <f>-(T31-(T119-T120)-N31+(N119-N120)+T92)</f>
        <v>0</v>
      </c>
      <c r="U188" s="741">
        <f t="shared" ref="U188:AI188" si="179">-(U31-(U119-U120)-T31+(T119-T120)+U92)</f>
        <v>0</v>
      </c>
      <c r="V188" s="741">
        <f t="shared" si="179"/>
        <v>0</v>
      </c>
      <c r="W188" s="741">
        <f t="shared" si="179"/>
        <v>0</v>
      </c>
      <c r="X188" s="741">
        <f t="shared" si="179"/>
        <v>0</v>
      </c>
      <c r="Y188" s="741">
        <f t="shared" si="179"/>
        <v>0</v>
      </c>
      <c r="Z188" s="741">
        <f t="shared" si="179"/>
        <v>0</v>
      </c>
      <c r="AA188" s="741">
        <f t="shared" si="179"/>
        <v>0</v>
      </c>
      <c r="AB188" s="741">
        <f t="shared" si="179"/>
        <v>0</v>
      </c>
      <c r="AC188" s="741">
        <f t="shared" si="179"/>
        <v>0</v>
      </c>
      <c r="AD188" s="741">
        <f t="shared" si="179"/>
        <v>0</v>
      </c>
      <c r="AE188" s="741">
        <f t="shared" si="179"/>
        <v>0</v>
      </c>
      <c r="AF188" s="741">
        <f t="shared" si="179"/>
        <v>0</v>
      </c>
      <c r="AG188" s="741">
        <f t="shared" si="179"/>
        <v>0</v>
      </c>
      <c r="AH188" s="741">
        <f t="shared" si="179"/>
        <v>0</v>
      </c>
      <c r="AI188" s="741">
        <f t="shared" si="179"/>
        <v>0</v>
      </c>
      <c r="AJ188" s="994"/>
    </row>
    <row r="189" spans="1:36" s="742" customFormat="1">
      <c r="A189" s="736" t="s">
        <v>1208</v>
      </c>
      <c r="B189" s="773" t="str">
        <f>"- / + "&amp;B32</f>
        <v>- / + OTROS ACTIVOS L.P.</v>
      </c>
      <c r="C189" s="991"/>
      <c r="D189" s="992"/>
      <c r="E189" s="1013">
        <f>-(E32-E121-C32+C121)</f>
        <v>0</v>
      </c>
      <c r="F189" s="992"/>
      <c r="G189" s="992"/>
      <c r="H189" s="738">
        <f>-(H32-H121-E32+E121)</f>
        <v>0</v>
      </c>
      <c r="I189" s="993"/>
      <c r="J189" s="993"/>
      <c r="K189" s="738">
        <f>-(K32-K121-H32+H121)</f>
        <v>0</v>
      </c>
      <c r="L189" s="992"/>
      <c r="M189" s="743"/>
      <c r="N189" s="738">
        <f>-(N32-N121-H32+H121)</f>
        <v>0</v>
      </c>
      <c r="O189" s="992"/>
      <c r="P189" s="743"/>
      <c r="Q189" s="738">
        <f>IF(OR($C$3=$L$913,$C$3=0),-(Q32-Q121-N32+N121),-(Q32-Q121-K32+K121))</f>
        <v>0</v>
      </c>
      <c r="R189" s="992"/>
      <c r="S189" s="743"/>
      <c r="T189" s="741">
        <f>-(T32-T121-N32+N121)</f>
        <v>0</v>
      </c>
      <c r="U189" s="741">
        <f t="shared" ref="U189:AI189" si="180">-(U32-U121-T32+T121)</f>
        <v>0</v>
      </c>
      <c r="V189" s="741">
        <f t="shared" si="180"/>
        <v>0</v>
      </c>
      <c r="W189" s="741">
        <f t="shared" si="180"/>
        <v>0</v>
      </c>
      <c r="X189" s="741">
        <f t="shared" si="180"/>
        <v>0</v>
      </c>
      <c r="Y189" s="741">
        <f t="shared" si="180"/>
        <v>0</v>
      </c>
      <c r="Z189" s="741">
        <f t="shared" si="180"/>
        <v>0</v>
      </c>
      <c r="AA189" s="741">
        <f t="shared" si="180"/>
        <v>0</v>
      </c>
      <c r="AB189" s="741">
        <f t="shared" si="180"/>
        <v>0</v>
      </c>
      <c r="AC189" s="741">
        <f t="shared" si="180"/>
        <v>0</v>
      </c>
      <c r="AD189" s="741">
        <f t="shared" si="180"/>
        <v>0</v>
      </c>
      <c r="AE189" s="741">
        <f t="shared" si="180"/>
        <v>0</v>
      </c>
      <c r="AF189" s="741">
        <f t="shared" si="180"/>
        <v>0</v>
      </c>
      <c r="AG189" s="741">
        <f t="shared" si="180"/>
        <v>0</v>
      </c>
      <c r="AH189" s="741">
        <f t="shared" si="180"/>
        <v>0</v>
      </c>
      <c r="AI189" s="741">
        <f t="shared" si="180"/>
        <v>0</v>
      </c>
      <c r="AJ189" s="994"/>
    </row>
    <row r="190" spans="1:36" s="721" customFormat="1">
      <c r="A190" s="711">
        <v>19</v>
      </c>
      <c r="B190" s="744" t="s">
        <v>1209</v>
      </c>
      <c r="C190" s="996"/>
      <c r="D190" s="981"/>
      <c r="E190" s="1022">
        <f>SUM(E186:E189)</f>
        <v>0</v>
      </c>
      <c r="F190" s="981"/>
      <c r="G190" s="981"/>
      <c r="H190" s="745">
        <f>SUM(H186:H189)</f>
        <v>0</v>
      </c>
      <c r="I190" s="982"/>
      <c r="J190" s="982"/>
      <c r="K190" s="745">
        <f>SUM(K186:K189)</f>
        <v>0</v>
      </c>
      <c r="L190" s="981"/>
      <c r="M190" s="719"/>
      <c r="N190" s="745">
        <f>SUM(N186:N189)</f>
        <v>0</v>
      </c>
      <c r="O190" s="981"/>
      <c r="P190" s="719"/>
      <c r="Q190" s="745">
        <f>SUM(Q186:Q189)</f>
        <v>0</v>
      </c>
      <c r="R190" s="981"/>
      <c r="S190" s="719"/>
      <c r="T190" s="748">
        <f t="shared" ref="T190:AI190" si="181">SUM(T186:T189)</f>
        <v>0</v>
      </c>
      <c r="U190" s="748">
        <f t="shared" si="181"/>
        <v>0</v>
      </c>
      <c r="V190" s="748">
        <f t="shared" si="181"/>
        <v>0</v>
      </c>
      <c r="W190" s="748">
        <f t="shared" si="181"/>
        <v>0</v>
      </c>
      <c r="X190" s="748">
        <f t="shared" si="181"/>
        <v>0</v>
      </c>
      <c r="Y190" s="748">
        <f t="shared" si="181"/>
        <v>0</v>
      </c>
      <c r="Z190" s="748">
        <f t="shared" si="181"/>
        <v>0</v>
      </c>
      <c r="AA190" s="748">
        <f t="shared" si="181"/>
        <v>0</v>
      </c>
      <c r="AB190" s="748">
        <f t="shared" si="181"/>
        <v>0</v>
      </c>
      <c r="AC190" s="748">
        <f t="shared" si="181"/>
        <v>0</v>
      </c>
      <c r="AD190" s="748">
        <f t="shared" si="181"/>
        <v>0</v>
      </c>
      <c r="AE190" s="748">
        <f t="shared" si="181"/>
        <v>0</v>
      </c>
      <c r="AF190" s="748">
        <f t="shared" si="181"/>
        <v>0</v>
      </c>
      <c r="AG190" s="748">
        <f t="shared" si="181"/>
        <v>0</v>
      </c>
      <c r="AH190" s="748">
        <f t="shared" si="181"/>
        <v>0</v>
      </c>
      <c r="AI190" s="748">
        <f t="shared" si="181"/>
        <v>0</v>
      </c>
      <c r="AJ190" s="983"/>
    </row>
    <row r="191" spans="1:36" s="536" customFormat="1">
      <c r="A191" s="644"/>
      <c r="B191" s="785" t="s">
        <v>1210</v>
      </c>
      <c r="C191" s="1023"/>
      <c r="D191" s="535"/>
      <c r="E191" s="786">
        <f>E182+E185+E190</f>
        <v>0</v>
      </c>
      <c r="F191" s="535"/>
      <c r="G191" s="535"/>
      <c r="H191" s="786">
        <f>H182+H185+H190</f>
        <v>0</v>
      </c>
      <c r="I191" s="534"/>
      <c r="J191" s="534"/>
      <c r="K191" s="786">
        <f>K182+K185+K190</f>
        <v>0</v>
      </c>
      <c r="L191" s="535"/>
      <c r="M191" s="545"/>
      <c r="N191" s="786">
        <f>N182+N185+N190</f>
        <v>0</v>
      </c>
      <c r="O191" s="535"/>
      <c r="P191" s="545"/>
      <c r="Q191" s="786">
        <f>Q182+Q185+Q190</f>
        <v>0</v>
      </c>
      <c r="R191" s="535"/>
      <c r="S191" s="545"/>
      <c r="T191" s="788">
        <f t="shared" ref="T191:AI191" si="182">T182+T185+T190</f>
        <v>0</v>
      </c>
      <c r="U191" s="788">
        <f t="shared" si="182"/>
        <v>0</v>
      </c>
      <c r="V191" s="788">
        <f t="shared" si="182"/>
        <v>0</v>
      </c>
      <c r="W191" s="788">
        <f t="shared" si="182"/>
        <v>0</v>
      </c>
      <c r="X191" s="788">
        <f t="shared" si="182"/>
        <v>0</v>
      </c>
      <c r="Y191" s="788">
        <f t="shared" si="182"/>
        <v>0</v>
      </c>
      <c r="Z191" s="788">
        <f t="shared" si="182"/>
        <v>0</v>
      </c>
      <c r="AA191" s="788">
        <f t="shared" si="182"/>
        <v>0</v>
      </c>
      <c r="AB191" s="788">
        <f t="shared" si="182"/>
        <v>0</v>
      </c>
      <c r="AC191" s="788">
        <f t="shared" si="182"/>
        <v>0</v>
      </c>
      <c r="AD191" s="788">
        <f t="shared" si="182"/>
        <v>0</v>
      </c>
      <c r="AE191" s="788">
        <f t="shared" si="182"/>
        <v>0</v>
      </c>
      <c r="AF191" s="788">
        <f t="shared" si="182"/>
        <v>0</v>
      </c>
      <c r="AG191" s="788">
        <f t="shared" si="182"/>
        <v>0</v>
      </c>
      <c r="AH191" s="788">
        <f t="shared" si="182"/>
        <v>0</v>
      </c>
      <c r="AI191" s="788">
        <f t="shared" si="182"/>
        <v>0</v>
      </c>
      <c r="AJ191" s="856"/>
    </row>
    <row r="192" spans="1:36" s="772" customFormat="1" ht="12">
      <c r="A192" s="789" t="s">
        <v>1080</v>
      </c>
      <c r="B192" s="790" t="s">
        <v>1211</v>
      </c>
      <c r="C192" s="1024"/>
      <c r="D192" s="1010"/>
      <c r="E192" s="791">
        <f>-E29-E115+C29+C115</f>
        <v>0</v>
      </c>
      <c r="F192" s="1010"/>
      <c r="G192" s="1010"/>
      <c r="H192" s="791">
        <f>-H29-H115+E29+E115</f>
        <v>0</v>
      </c>
      <c r="I192" s="1011"/>
      <c r="J192" s="1011"/>
      <c r="K192" s="791">
        <f>-K29-K115+H29+H115</f>
        <v>0</v>
      </c>
      <c r="L192" s="1010"/>
      <c r="M192" s="771"/>
      <c r="N192" s="791">
        <f>-N29-N115+H29+H115</f>
        <v>0</v>
      </c>
      <c r="O192" s="1010"/>
      <c r="P192" s="771"/>
      <c r="Q192" s="791">
        <f>IF(OR($C$3=$L$913,$C$3=0),-Q29-Q115+N29+N115,-Q29-Q115+K29+K115)</f>
        <v>0</v>
      </c>
      <c r="R192" s="1010"/>
      <c r="S192" s="771"/>
      <c r="T192" s="791">
        <f>-T29-T115+N29+N115</f>
        <v>0</v>
      </c>
      <c r="U192" s="791">
        <f t="shared" ref="U192:AI192" si="183">-U29-U115+T29+T115</f>
        <v>0</v>
      </c>
      <c r="V192" s="791">
        <f t="shared" si="183"/>
        <v>0</v>
      </c>
      <c r="W192" s="791">
        <f t="shared" si="183"/>
        <v>0</v>
      </c>
      <c r="X192" s="791">
        <f t="shared" si="183"/>
        <v>0</v>
      </c>
      <c r="Y192" s="791">
        <f t="shared" si="183"/>
        <v>0</v>
      </c>
      <c r="Z192" s="791">
        <f t="shared" si="183"/>
        <v>0</v>
      </c>
      <c r="AA192" s="791">
        <f t="shared" si="183"/>
        <v>0</v>
      </c>
      <c r="AB192" s="791">
        <f t="shared" si="183"/>
        <v>0</v>
      </c>
      <c r="AC192" s="791">
        <f t="shared" si="183"/>
        <v>0</v>
      </c>
      <c r="AD192" s="791">
        <f t="shared" si="183"/>
        <v>0</v>
      </c>
      <c r="AE192" s="791">
        <f t="shared" si="183"/>
        <v>0</v>
      </c>
      <c r="AF192" s="791">
        <f t="shared" si="183"/>
        <v>0</v>
      </c>
      <c r="AG192" s="791">
        <f t="shared" si="183"/>
        <v>0</v>
      </c>
      <c r="AH192" s="791">
        <f t="shared" si="183"/>
        <v>0</v>
      </c>
      <c r="AI192" s="791">
        <f t="shared" si="183"/>
        <v>0</v>
      </c>
      <c r="AJ192" s="1012"/>
    </row>
    <row r="193" spans="1:36" s="742" customFormat="1">
      <c r="A193" s="789" t="s">
        <v>1081</v>
      </c>
      <c r="B193" s="780" t="s">
        <v>1212</v>
      </c>
      <c r="C193" s="1014"/>
      <c r="D193" s="992"/>
      <c r="E193" s="738">
        <f>-E20+C20</f>
        <v>0</v>
      </c>
      <c r="F193" s="992"/>
      <c r="G193" s="992"/>
      <c r="H193" s="738">
        <f>-H20+E20</f>
        <v>0</v>
      </c>
      <c r="I193" s="993"/>
      <c r="J193" s="993"/>
      <c r="K193" s="738">
        <f>-K20+H20</f>
        <v>0</v>
      </c>
      <c r="L193" s="992"/>
      <c r="M193" s="743"/>
      <c r="N193" s="738">
        <f>-N20+H20</f>
        <v>0</v>
      </c>
      <c r="O193" s="992"/>
      <c r="P193" s="743"/>
      <c r="Q193" s="738">
        <f>IF(OR($C$3=$L$913,$C$3=0),-Q20+N20,-Q20+K20)</f>
        <v>0</v>
      </c>
      <c r="R193" s="992"/>
      <c r="S193" s="743"/>
      <c r="T193" s="741">
        <f>-T20+N20</f>
        <v>0</v>
      </c>
      <c r="U193" s="741">
        <f t="shared" ref="U193:AI193" si="184">-U20+T20</f>
        <v>0</v>
      </c>
      <c r="V193" s="741">
        <f t="shared" si="184"/>
        <v>0</v>
      </c>
      <c r="W193" s="741">
        <f t="shared" si="184"/>
        <v>0</v>
      </c>
      <c r="X193" s="741">
        <f t="shared" si="184"/>
        <v>0</v>
      </c>
      <c r="Y193" s="741">
        <f t="shared" si="184"/>
        <v>0</v>
      </c>
      <c r="Z193" s="741">
        <f t="shared" si="184"/>
        <v>0</v>
      </c>
      <c r="AA193" s="741">
        <f t="shared" si="184"/>
        <v>0</v>
      </c>
      <c r="AB193" s="741">
        <f t="shared" si="184"/>
        <v>0</v>
      </c>
      <c r="AC193" s="741">
        <f t="shared" si="184"/>
        <v>0</v>
      </c>
      <c r="AD193" s="741">
        <f t="shared" si="184"/>
        <v>0</v>
      </c>
      <c r="AE193" s="741">
        <f t="shared" si="184"/>
        <v>0</v>
      </c>
      <c r="AF193" s="741">
        <f t="shared" si="184"/>
        <v>0</v>
      </c>
      <c r="AG193" s="741">
        <f t="shared" si="184"/>
        <v>0</v>
      </c>
      <c r="AH193" s="741">
        <f t="shared" si="184"/>
        <v>0</v>
      </c>
      <c r="AI193" s="741">
        <f t="shared" si="184"/>
        <v>0</v>
      </c>
      <c r="AJ193" s="994"/>
    </row>
    <row r="194" spans="1:36" s="742" customFormat="1">
      <c r="A194" s="789" t="s">
        <v>1213</v>
      </c>
      <c r="B194" s="780" t="s">
        <v>1214</v>
      </c>
      <c r="C194" s="1014"/>
      <c r="D194" s="992"/>
      <c r="E194" s="738">
        <f>-E22+C22</f>
        <v>0</v>
      </c>
      <c r="F194" s="992"/>
      <c r="G194" s="992"/>
      <c r="H194" s="738">
        <f>-H22+E22</f>
        <v>0</v>
      </c>
      <c r="I194" s="993"/>
      <c r="J194" s="993"/>
      <c r="K194" s="738">
        <f>-K22+H22</f>
        <v>0</v>
      </c>
      <c r="L194" s="992"/>
      <c r="M194" s="743"/>
      <c r="N194" s="738">
        <f>-N22+H22</f>
        <v>0</v>
      </c>
      <c r="O194" s="992"/>
      <c r="P194" s="743"/>
      <c r="Q194" s="738">
        <f>IF(OR($C$3=$L$913,$C$3=0),-Q22+N22,-Q22+K22)</f>
        <v>0</v>
      </c>
      <c r="R194" s="992"/>
      <c r="S194" s="743"/>
      <c r="T194" s="741">
        <f>-T22+N22</f>
        <v>0</v>
      </c>
      <c r="U194" s="741">
        <f t="shared" ref="U194:AI194" si="185">-U22+T22</f>
        <v>0</v>
      </c>
      <c r="V194" s="741">
        <f t="shared" si="185"/>
        <v>0</v>
      </c>
      <c r="W194" s="741">
        <f t="shared" si="185"/>
        <v>0</v>
      </c>
      <c r="X194" s="741">
        <f t="shared" si="185"/>
        <v>0</v>
      </c>
      <c r="Y194" s="741">
        <f t="shared" si="185"/>
        <v>0</v>
      </c>
      <c r="Z194" s="741">
        <f t="shared" si="185"/>
        <v>0</v>
      </c>
      <c r="AA194" s="741">
        <f t="shared" si="185"/>
        <v>0</v>
      </c>
      <c r="AB194" s="741">
        <f t="shared" si="185"/>
        <v>0</v>
      </c>
      <c r="AC194" s="741">
        <f t="shared" si="185"/>
        <v>0</v>
      </c>
      <c r="AD194" s="741">
        <f t="shared" si="185"/>
        <v>0</v>
      </c>
      <c r="AE194" s="741">
        <f t="shared" si="185"/>
        <v>0</v>
      </c>
      <c r="AF194" s="741">
        <f t="shared" si="185"/>
        <v>0</v>
      </c>
      <c r="AG194" s="741">
        <f t="shared" si="185"/>
        <v>0</v>
      </c>
      <c r="AH194" s="741">
        <f t="shared" si="185"/>
        <v>0</v>
      </c>
      <c r="AI194" s="741">
        <f t="shared" si="185"/>
        <v>0</v>
      </c>
      <c r="AJ194" s="994"/>
    </row>
    <row r="195" spans="1:36" s="742" customFormat="1">
      <c r="A195" s="789" t="s">
        <v>1215</v>
      </c>
      <c r="B195" s="737" t="s">
        <v>1216</v>
      </c>
      <c r="C195" s="991"/>
      <c r="D195" s="992"/>
      <c r="E195" s="738">
        <f>-E90</f>
        <v>0</v>
      </c>
      <c r="F195" s="992"/>
      <c r="G195" s="992"/>
      <c r="H195" s="738">
        <f>-H90</f>
        <v>0</v>
      </c>
      <c r="I195" s="993"/>
      <c r="J195" s="993"/>
      <c r="K195" s="738">
        <f>-K90</f>
        <v>0</v>
      </c>
      <c r="L195" s="992"/>
      <c r="M195" s="743"/>
      <c r="N195" s="738">
        <f>-N90</f>
        <v>0</v>
      </c>
      <c r="O195" s="992"/>
      <c r="P195" s="743"/>
      <c r="Q195" s="738">
        <f>-Q90</f>
        <v>0</v>
      </c>
      <c r="R195" s="992"/>
      <c r="S195" s="743"/>
      <c r="T195" s="741">
        <f t="shared" ref="T195:AI195" si="186">-T90</f>
        <v>0</v>
      </c>
      <c r="U195" s="741">
        <f t="shared" si="186"/>
        <v>0</v>
      </c>
      <c r="V195" s="741">
        <f t="shared" si="186"/>
        <v>0</v>
      </c>
      <c r="W195" s="741">
        <f t="shared" si="186"/>
        <v>0</v>
      </c>
      <c r="X195" s="741">
        <f t="shared" si="186"/>
        <v>0</v>
      </c>
      <c r="Y195" s="741">
        <f t="shared" si="186"/>
        <v>0</v>
      </c>
      <c r="Z195" s="741">
        <f t="shared" si="186"/>
        <v>0</v>
      </c>
      <c r="AA195" s="741">
        <f t="shared" si="186"/>
        <v>0</v>
      </c>
      <c r="AB195" s="741">
        <f t="shared" si="186"/>
        <v>0</v>
      </c>
      <c r="AC195" s="741">
        <f t="shared" si="186"/>
        <v>0</v>
      </c>
      <c r="AD195" s="741">
        <f t="shared" si="186"/>
        <v>0</v>
      </c>
      <c r="AE195" s="741">
        <f t="shared" si="186"/>
        <v>0</v>
      </c>
      <c r="AF195" s="741">
        <f t="shared" si="186"/>
        <v>0</v>
      </c>
      <c r="AG195" s="741">
        <f t="shared" si="186"/>
        <v>0</v>
      </c>
      <c r="AH195" s="741">
        <f t="shared" si="186"/>
        <v>0</v>
      </c>
      <c r="AI195" s="741">
        <f t="shared" si="186"/>
        <v>0</v>
      </c>
      <c r="AJ195" s="994"/>
    </row>
    <row r="196" spans="1:36" s="721" customFormat="1">
      <c r="A196" s="706">
        <v>20</v>
      </c>
      <c r="B196" s="775" t="s">
        <v>1217</v>
      </c>
      <c r="C196" s="995"/>
      <c r="D196" s="981"/>
      <c r="E196" s="776">
        <f>SUM(E192:E195)</f>
        <v>0</v>
      </c>
      <c r="F196" s="981"/>
      <c r="G196" s="981"/>
      <c r="H196" s="776">
        <f>SUM(H192:H195)</f>
        <v>0</v>
      </c>
      <c r="I196" s="982"/>
      <c r="J196" s="982"/>
      <c r="K196" s="776">
        <f>SUM(K192:K195)</f>
        <v>0</v>
      </c>
      <c r="L196" s="981"/>
      <c r="M196" s="719"/>
      <c r="N196" s="776">
        <f>SUM(N192:N195)</f>
        <v>0</v>
      </c>
      <c r="O196" s="981"/>
      <c r="P196" s="719"/>
      <c r="Q196" s="776">
        <f>SUM(Q192:Q195)</f>
        <v>0</v>
      </c>
      <c r="R196" s="981"/>
      <c r="S196" s="719"/>
      <c r="T196" s="774">
        <f t="shared" ref="T196:AI196" si="187">SUM(T192:T195)</f>
        <v>0</v>
      </c>
      <c r="U196" s="774">
        <f t="shared" si="187"/>
        <v>0</v>
      </c>
      <c r="V196" s="774">
        <f t="shared" si="187"/>
        <v>0</v>
      </c>
      <c r="W196" s="774">
        <f t="shared" si="187"/>
        <v>0</v>
      </c>
      <c r="X196" s="774">
        <f t="shared" si="187"/>
        <v>0</v>
      </c>
      <c r="Y196" s="774">
        <f t="shared" si="187"/>
        <v>0</v>
      </c>
      <c r="Z196" s="774">
        <f t="shared" si="187"/>
        <v>0</v>
      </c>
      <c r="AA196" s="774">
        <f t="shared" si="187"/>
        <v>0</v>
      </c>
      <c r="AB196" s="774">
        <f t="shared" si="187"/>
        <v>0</v>
      </c>
      <c r="AC196" s="774">
        <f t="shared" si="187"/>
        <v>0</v>
      </c>
      <c r="AD196" s="774">
        <f t="shared" si="187"/>
        <v>0</v>
      </c>
      <c r="AE196" s="774">
        <f t="shared" si="187"/>
        <v>0</v>
      </c>
      <c r="AF196" s="774">
        <f t="shared" si="187"/>
        <v>0</v>
      </c>
      <c r="AG196" s="774">
        <f t="shared" si="187"/>
        <v>0</v>
      </c>
      <c r="AH196" s="774">
        <f t="shared" si="187"/>
        <v>0</v>
      </c>
      <c r="AI196" s="774">
        <f t="shared" si="187"/>
        <v>0</v>
      </c>
      <c r="AJ196" s="983"/>
    </row>
    <row r="197" spans="1:36" s="742" customFormat="1">
      <c r="A197" s="736" t="s">
        <v>1082</v>
      </c>
      <c r="B197" s="737" t="s">
        <v>1218</v>
      </c>
      <c r="C197" s="991"/>
      <c r="D197" s="992"/>
      <c r="E197" s="1013">
        <f>-(E113-C113)</f>
        <v>0</v>
      </c>
      <c r="F197" s="992"/>
      <c r="G197" s="992"/>
      <c r="H197" s="738">
        <f>-(H113-E113)</f>
        <v>0</v>
      </c>
      <c r="I197" s="993"/>
      <c r="J197" s="993"/>
      <c r="K197" s="738">
        <f>-(K113-H113)</f>
        <v>0</v>
      </c>
      <c r="L197" s="992"/>
      <c r="M197" s="743"/>
      <c r="N197" s="738">
        <f>-(N113-H113)</f>
        <v>0</v>
      </c>
      <c r="O197" s="992"/>
      <c r="P197" s="743"/>
      <c r="Q197" s="738">
        <f>IF(OR($C$3=$L$913,$C$3=0),-(Q113-N113),-(Q113-K113))</f>
        <v>0</v>
      </c>
      <c r="R197" s="992"/>
      <c r="S197" s="743"/>
      <c r="T197" s="738">
        <f>-(T113-N113)</f>
        <v>0</v>
      </c>
      <c r="U197" s="741">
        <f t="shared" ref="U197:AI197" si="188">-(U113-T113)</f>
        <v>0</v>
      </c>
      <c r="V197" s="741">
        <f t="shared" si="188"/>
        <v>0</v>
      </c>
      <c r="W197" s="741">
        <f t="shared" si="188"/>
        <v>0</v>
      </c>
      <c r="X197" s="741">
        <f t="shared" si="188"/>
        <v>0</v>
      </c>
      <c r="Y197" s="741">
        <f t="shared" si="188"/>
        <v>0</v>
      </c>
      <c r="Z197" s="741">
        <f t="shared" si="188"/>
        <v>0</v>
      </c>
      <c r="AA197" s="741">
        <f t="shared" si="188"/>
        <v>0</v>
      </c>
      <c r="AB197" s="741">
        <f t="shared" si="188"/>
        <v>0</v>
      </c>
      <c r="AC197" s="741">
        <f t="shared" si="188"/>
        <v>0</v>
      </c>
      <c r="AD197" s="741">
        <f t="shared" si="188"/>
        <v>0</v>
      </c>
      <c r="AE197" s="741">
        <f t="shared" si="188"/>
        <v>0</v>
      </c>
      <c r="AF197" s="741">
        <f t="shared" si="188"/>
        <v>0</v>
      </c>
      <c r="AG197" s="741">
        <f t="shared" si="188"/>
        <v>0</v>
      </c>
      <c r="AH197" s="741">
        <f t="shared" si="188"/>
        <v>0</v>
      </c>
      <c r="AI197" s="741">
        <f t="shared" si="188"/>
        <v>0</v>
      </c>
      <c r="AJ197" s="994"/>
    </row>
    <row r="198" spans="1:36" s="742" customFormat="1">
      <c r="A198" s="736" t="s">
        <v>1083</v>
      </c>
      <c r="B198" s="780" t="s">
        <v>1219</v>
      </c>
      <c r="C198" s="1014"/>
      <c r="D198" s="992"/>
      <c r="E198" s="738">
        <f>-E114</f>
        <v>0</v>
      </c>
      <c r="F198" s="992"/>
      <c r="G198" s="992"/>
      <c r="H198" s="738">
        <f>-H114</f>
        <v>0</v>
      </c>
      <c r="I198" s="993"/>
      <c r="J198" s="993"/>
      <c r="K198" s="738">
        <f>-K114</f>
        <v>0</v>
      </c>
      <c r="L198" s="992"/>
      <c r="M198" s="743"/>
      <c r="N198" s="738">
        <f>-N114</f>
        <v>0</v>
      </c>
      <c r="O198" s="992"/>
      <c r="P198" s="743"/>
      <c r="Q198" s="738">
        <f>-Q114</f>
        <v>0</v>
      </c>
      <c r="R198" s="992"/>
      <c r="S198" s="743"/>
      <c r="T198" s="738">
        <f t="shared" ref="T198:AI198" si="189">-T114</f>
        <v>0</v>
      </c>
      <c r="U198" s="741">
        <f t="shared" si="189"/>
        <v>0</v>
      </c>
      <c r="V198" s="741">
        <f t="shared" si="189"/>
        <v>0</v>
      </c>
      <c r="W198" s="741">
        <f t="shared" si="189"/>
        <v>0</v>
      </c>
      <c r="X198" s="741">
        <f t="shared" si="189"/>
        <v>0</v>
      </c>
      <c r="Y198" s="741">
        <f t="shared" si="189"/>
        <v>0</v>
      </c>
      <c r="Z198" s="741">
        <f t="shared" si="189"/>
        <v>0</v>
      </c>
      <c r="AA198" s="741">
        <f t="shared" si="189"/>
        <v>0</v>
      </c>
      <c r="AB198" s="741">
        <f t="shared" si="189"/>
        <v>0</v>
      </c>
      <c r="AC198" s="741">
        <f t="shared" si="189"/>
        <v>0</v>
      </c>
      <c r="AD198" s="741">
        <f t="shared" si="189"/>
        <v>0</v>
      </c>
      <c r="AE198" s="741">
        <f t="shared" si="189"/>
        <v>0</v>
      </c>
      <c r="AF198" s="741">
        <f t="shared" si="189"/>
        <v>0</v>
      </c>
      <c r="AG198" s="741">
        <f t="shared" si="189"/>
        <v>0</v>
      </c>
      <c r="AH198" s="741">
        <f t="shared" si="189"/>
        <v>0</v>
      </c>
      <c r="AI198" s="741">
        <f t="shared" si="189"/>
        <v>0</v>
      </c>
      <c r="AJ198" s="994"/>
    </row>
    <row r="199" spans="1:36" s="742" customFormat="1">
      <c r="A199" s="736" t="s">
        <v>1085</v>
      </c>
      <c r="B199" s="780" t="s">
        <v>1220</v>
      </c>
      <c r="C199" s="1014"/>
      <c r="D199" s="992"/>
      <c r="E199" s="738">
        <f>E115</f>
        <v>0</v>
      </c>
      <c r="F199" s="992"/>
      <c r="G199" s="992"/>
      <c r="H199" s="738">
        <f>H115</f>
        <v>0</v>
      </c>
      <c r="I199" s="993"/>
      <c r="J199" s="993"/>
      <c r="K199" s="738">
        <f>K115</f>
        <v>0</v>
      </c>
      <c r="L199" s="992"/>
      <c r="M199" s="743"/>
      <c r="N199" s="738">
        <f>N115</f>
        <v>0</v>
      </c>
      <c r="O199" s="992"/>
      <c r="P199" s="743"/>
      <c r="Q199" s="738">
        <f>Q115</f>
        <v>0</v>
      </c>
      <c r="R199" s="992"/>
      <c r="S199" s="743"/>
      <c r="T199" s="738">
        <f t="shared" ref="T199:AI199" si="190">T115</f>
        <v>0</v>
      </c>
      <c r="U199" s="741">
        <f t="shared" si="190"/>
        <v>0</v>
      </c>
      <c r="V199" s="741">
        <f t="shared" si="190"/>
        <v>0</v>
      </c>
      <c r="W199" s="741">
        <f t="shared" si="190"/>
        <v>0</v>
      </c>
      <c r="X199" s="741">
        <f t="shared" si="190"/>
        <v>0</v>
      </c>
      <c r="Y199" s="741">
        <f t="shared" si="190"/>
        <v>0</v>
      </c>
      <c r="Z199" s="741">
        <f t="shared" si="190"/>
        <v>0</v>
      </c>
      <c r="AA199" s="741">
        <f t="shared" si="190"/>
        <v>0</v>
      </c>
      <c r="AB199" s="741">
        <f t="shared" si="190"/>
        <v>0</v>
      </c>
      <c r="AC199" s="741">
        <f t="shared" si="190"/>
        <v>0</v>
      </c>
      <c r="AD199" s="741">
        <f t="shared" si="190"/>
        <v>0</v>
      </c>
      <c r="AE199" s="741">
        <f t="shared" si="190"/>
        <v>0</v>
      </c>
      <c r="AF199" s="741">
        <f t="shared" si="190"/>
        <v>0</v>
      </c>
      <c r="AG199" s="741">
        <f t="shared" si="190"/>
        <v>0</v>
      </c>
      <c r="AH199" s="741">
        <f t="shared" si="190"/>
        <v>0</v>
      </c>
      <c r="AI199" s="741">
        <f t="shared" si="190"/>
        <v>0</v>
      </c>
      <c r="AJ199" s="994"/>
    </row>
    <row r="200" spans="1:36" s="742" customFormat="1">
      <c r="A200" s="736" t="s">
        <v>1221</v>
      </c>
      <c r="B200" s="780" t="s">
        <v>1222</v>
      </c>
      <c r="C200" s="1014"/>
      <c r="D200" s="992"/>
      <c r="E200" s="738">
        <f>-(E118-C118)</f>
        <v>0</v>
      </c>
      <c r="F200" s="992"/>
      <c r="G200" s="992"/>
      <c r="H200" s="738">
        <f>-(H118-E118)</f>
        <v>0</v>
      </c>
      <c r="I200" s="993"/>
      <c r="J200" s="993"/>
      <c r="K200" s="738">
        <f>-(K118-H118)</f>
        <v>0</v>
      </c>
      <c r="L200" s="992"/>
      <c r="M200" s="743"/>
      <c r="N200" s="738">
        <f>-(N118-H118)</f>
        <v>0</v>
      </c>
      <c r="O200" s="992"/>
      <c r="P200" s="743"/>
      <c r="Q200" s="738">
        <f>IF(OR($C$3=$L$913,$C$3=0),-(Q118-N118),-(Q118-K118))</f>
        <v>0</v>
      </c>
      <c r="R200" s="992"/>
      <c r="S200" s="743"/>
      <c r="T200" s="738">
        <f>-(T118-N118)</f>
        <v>0</v>
      </c>
      <c r="U200" s="741">
        <f t="shared" ref="U200:AI200" si="191">-(U118-T118)</f>
        <v>0</v>
      </c>
      <c r="V200" s="741">
        <f t="shared" si="191"/>
        <v>0</v>
      </c>
      <c r="W200" s="741">
        <f t="shared" si="191"/>
        <v>0</v>
      </c>
      <c r="X200" s="741">
        <f t="shared" si="191"/>
        <v>0</v>
      </c>
      <c r="Y200" s="741">
        <f t="shared" si="191"/>
        <v>0</v>
      </c>
      <c r="Z200" s="741">
        <f t="shared" si="191"/>
        <v>0</v>
      </c>
      <c r="AA200" s="741">
        <f t="shared" si="191"/>
        <v>0</v>
      </c>
      <c r="AB200" s="741">
        <f t="shared" si="191"/>
        <v>0</v>
      </c>
      <c r="AC200" s="741">
        <f t="shared" si="191"/>
        <v>0</v>
      </c>
      <c r="AD200" s="741">
        <f t="shared" si="191"/>
        <v>0</v>
      </c>
      <c r="AE200" s="741">
        <f t="shared" si="191"/>
        <v>0</v>
      </c>
      <c r="AF200" s="741">
        <f t="shared" si="191"/>
        <v>0</v>
      </c>
      <c r="AG200" s="741">
        <f t="shared" si="191"/>
        <v>0</v>
      </c>
      <c r="AH200" s="741">
        <f t="shared" si="191"/>
        <v>0</v>
      </c>
      <c r="AI200" s="741">
        <f t="shared" si="191"/>
        <v>0</v>
      </c>
      <c r="AJ200" s="994"/>
    </row>
    <row r="201" spans="1:36" s="742" customFormat="1">
      <c r="A201" s="736" t="s">
        <v>1223</v>
      </c>
      <c r="B201" s="780" t="s">
        <v>1224</v>
      </c>
      <c r="C201" s="1014"/>
      <c r="D201" s="992"/>
      <c r="E201" s="738">
        <f>-(E116-C116)</f>
        <v>0</v>
      </c>
      <c r="F201" s="992"/>
      <c r="G201" s="992"/>
      <c r="H201" s="738">
        <f>-(H116-E116)</f>
        <v>0</v>
      </c>
      <c r="I201" s="993"/>
      <c r="J201" s="993"/>
      <c r="K201" s="738">
        <f>-(K116-H116)</f>
        <v>0</v>
      </c>
      <c r="L201" s="992"/>
      <c r="M201" s="743"/>
      <c r="N201" s="738">
        <f>-(N116-H116)</f>
        <v>0</v>
      </c>
      <c r="O201" s="992"/>
      <c r="P201" s="743"/>
      <c r="Q201" s="738">
        <f>IF(OR($C$3=$L$913,$C$3=0),-(Q116-N116),-(Q116-K116))</f>
        <v>0</v>
      </c>
      <c r="R201" s="992"/>
      <c r="S201" s="743"/>
      <c r="T201" s="738">
        <f>-(T116-N116)</f>
        <v>0</v>
      </c>
      <c r="U201" s="741">
        <f t="shared" ref="U201:AI201" si="192">-(U116-T116)</f>
        <v>0</v>
      </c>
      <c r="V201" s="741">
        <f t="shared" si="192"/>
        <v>0</v>
      </c>
      <c r="W201" s="741">
        <f t="shared" si="192"/>
        <v>0</v>
      </c>
      <c r="X201" s="741">
        <f t="shared" si="192"/>
        <v>0</v>
      </c>
      <c r="Y201" s="741">
        <f t="shared" si="192"/>
        <v>0</v>
      </c>
      <c r="Z201" s="741">
        <f t="shared" si="192"/>
        <v>0</v>
      </c>
      <c r="AA201" s="741">
        <f t="shared" si="192"/>
        <v>0</v>
      </c>
      <c r="AB201" s="741">
        <f t="shared" si="192"/>
        <v>0</v>
      </c>
      <c r="AC201" s="741">
        <f t="shared" si="192"/>
        <v>0</v>
      </c>
      <c r="AD201" s="741">
        <f t="shared" si="192"/>
        <v>0</v>
      </c>
      <c r="AE201" s="741">
        <f t="shared" si="192"/>
        <v>0</v>
      </c>
      <c r="AF201" s="741">
        <f t="shared" si="192"/>
        <v>0</v>
      </c>
      <c r="AG201" s="741">
        <f t="shared" si="192"/>
        <v>0</v>
      </c>
      <c r="AH201" s="741">
        <f t="shared" si="192"/>
        <v>0</v>
      </c>
      <c r="AI201" s="741">
        <f t="shared" si="192"/>
        <v>0</v>
      </c>
      <c r="AJ201" s="994"/>
    </row>
    <row r="202" spans="1:36" s="742" customFormat="1">
      <c r="A202" s="736" t="s">
        <v>1225</v>
      </c>
      <c r="B202" s="780" t="s">
        <v>1226</v>
      </c>
      <c r="C202" s="1014"/>
      <c r="D202" s="992"/>
      <c r="E202" s="738">
        <f>E117-C117</f>
        <v>0</v>
      </c>
      <c r="F202" s="992"/>
      <c r="G202" s="992"/>
      <c r="H202" s="738">
        <f>H117-E117</f>
        <v>0</v>
      </c>
      <c r="I202" s="993"/>
      <c r="J202" s="993"/>
      <c r="K202" s="738">
        <f>K117-H117</f>
        <v>0</v>
      </c>
      <c r="L202" s="992"/>
      <c r="M202" s="743"/>
      <c r="N202" s="738">
        <f>N117-H117</f>
        <v>0</v>
      </c>
      <c r="O202" s="992"/>
      <c r="P202" s="743"/>
      <c r="Q202" s="738">
        <f>IF(OR($C$3=$L$913,$C$3=0),Q117-N117,Q117-K117)</f>
        <v>0</v>
      </c>
      <c r="R202" s="992"/>
      <c r="S202" s="743"/>
      <c r="T202" s="738">
        <f>T117-N117</f>
        <v>0</v>
      </c>
      <c r="U202" s="741">
        <f t="shared" ref="U202:AI202" si="193">U117-T117</f>
        <v>0</v>
      </c>
      <c r="V202" s="741">
        <f t="shared" si="193"/>
        <v>0</v>
      </c>
      <c r="W202" s="741">
        <f t="shared" si="193"/>
        <v>0</v>
      </c>
      <c r="X202" s="741">
        <f t="shared" si="193"/>
        <v>0</v>
      </c>
      <c r="Y202" s="741">
        <f t="shared" si="193"/>
        <v>0</v>
      </c>
      <c r="Z202" s="741">
        <f t="shared" si="193"/>
        <v>0</v>
      </c>
      <c r="AA202" s="741">
        <f t="shared" si="193"/>
        <v>0</v>
      </c>
      <c r="AB202" s="741">
        <f t="shared" si="193"/>
        <v>0</v>
      </c>
      <c r="AC202" s="741">
        <f t="shared" si="193"/>
        <v>0</v>
      </c>
      <c r="AD202" s="741">
        <f t="shared" si="193"/>
        <v>0</v>
      </c>
      <c r="AE202" s="741">
        <f t="shared" si="193"/>
        <v>0</v>
      </c>
      <c r="AF202" s="741">
        <f t="shared" si="193"/>
        <v>0</v>
      </c>
      <c r="AG202" s="741">
        <f t="shared" si="193"/>
        <v>0</v>
      </c>
      <c r="AH202" s="741">
        <f t="shared" si="193"/>
        <v>0</v>
      </c>
      <c r="AI202" s="741">
        <f t="shared" si="193"/>
        <v>0</v>
      </c>
      <c r="AJ202" s="994"/>
    </row>
    <row r="203" spans="1:36" s="742" customFormat="1">
      <c r="A203" s="736" t="s">
        <v>1227</v>
      </c>
      <c r="B203" s="780" t="s">
        <v>1228</v>
      </c>
      <c r="C203" s="1014"/>
      <c r="D203" s="992"/>
      <c r="E203" s="738">
        <f>-(E119-C119)</f>
        <v>0</v>
      </c>
      <c r="F203" s="992"/>
      <c r="G203" s="992"/>
      <c r="H203" s="738">
        <f>-(H119-E119)</f>
        <v>0</v>
      </c>
      <c r="I203" s="993"/>
      <c r="J203" s="993"/>
      <c r="K203" s="738">
        <f>-(K119-H119)</f>
        <v>0</v>
      </c>
      <c r="L203" s="992"/>
      <c r="M203" s="740"/>
      <c r="N203" s="738">
        <f>-(N119-H119)</f>
        <v>0</v>
      </c>
      <c r="O203" s="992"/>
      <c r="P203" s="740"/>
      <c r="Q203" s="738">
        <f>IF(OR($C$3=$L$913,$C$3=0),-(Q119-N119),-(Q119-K119))</f>
        <v>0</v>
      </c>
      <c r="R203" s="992"/>
      <c r="S203" s="740"/>
      <c r="T203" s="738">
        <f>-(T119-N119)</f>
        <v>0</v>
      </c>
      <c r="U203" s="741">
        <f t="shared" ref="U203:AI203" si="194">-(U119-T119)</f>
        <v>0</v>
      </c>
      <c r="V203" s="741">
        <f t="shared" si="194"/>
        <v>0</v>
      </c>
      <c r="W203" s="741">
        <f t="shared" si="194"/>
        <v>0</v>
      </c>
      <c r="X203" s="741">
        <f t="shared" si="194"/>
        <v>0</v>
      </c>
      <c r="Y203" s="741">
        <f t="shared" si="194"/>
        <v>0</v>
      </c>
      <c r="Z203" s="741">
        <f t="shared" si="194"/>
        <v>0</v>
      </c>
      <c r="AA203" s="741">
        <f t="shared" si="194"/>
        <v>0</v>
      </c>
      <c r="AB203" s="741">
        <f t="shared" si="194"/>
        <v>0</v>
      </c>
      <c r="AC203" s="741">
        <f t="shared" si="194"/>
        <v>0</v>
      </c>
      <c r="AD203" s="741">
        <f t="shared" si="194"/>
        <v>0</v>
      </c>
      <c r="AE203" s="741">
        <f t="shared" si="194"/>
        <v>0</v>
      </c>
      <c r="AF203" s="741">
        <f t="shared" si="194"/>
        <v>0</v>
      </c>
      <c r="AG203" s="741">
        <f t="shared" si="194"/>
        <v>0</v>
      </c>
      <c r="AH203" s="741">
        <f t="shared" si="194"/>
        <v>0</v>
      </c>
      <c r="AI203" s="741">
        <f t="shared" si="194"/>
        <v>0</v>
      </c>
      <c r="AJ203" s="994"/>
    </row>
    <row r="204" spans="1:36" s="742" customFormat="1">
      <c r="A204" s="736" t="s">
        <v>1229</v>
      </c>
      <c r="B204" s="780" t="s">
        <v>1230</v>
      </c>
      <c r="C204" s="1014"/>
      <c r="D204" s="992"/>
      <c r="E204" s="738">
        <f>E120-C120</f>
        <v>0</v>
      </c>
      <c r="F204" s="992"/>
      <c r="G204" s="992"/>
      <c r="H204" s="738">
        <f>H120-E120</f>
        <v>0</v>
      </c>
      <c r="I204" s="993"/>
      <c r="J204" s="993"/>
      <c r="K204" s="738">
        <f>K120-H120</f>
        <v>0</v>
      </c>
      <c r="L204" s="992"/>
      <c r="M204" s="743"/>
      <c r="N204" s="738">
        <f>N120-H120</f>
        <v>0</v>
      </c>
      <c r="O204" s="992"/>
      <c r="P204" s="743"/>
      <c r="Q204" s="738">
        <f>IF(OR($C$3=$L$913,$C$3=0),Q120-N120,Q120-K120)</f>
        <v>0</v>
      </c>
      <c r="R204" s="992"/>
      <c r="S204" s="743"/>
      <c r="T204" s="738">
        <f>T120-N120</f>
        <v>0</v>
      </c>
      <c r="U204" s="741">
        <f t="shared" ref="U204:AI204" si="195">U120-T120</f>
        <v>0</v>
      </c>
      <c r="V204" s="741">
        <f t="shared" si="195"/>
        <v>0</v>
      </c>
      <c r="W204" s="741">
        <f t="shared" si="195"/>
        <v>0</v>
      </c>
      <c r="X204" s="741">
        <f t="shared" si="195"/>
        <v>0</v>
      </c>
      <c r="Y204" s="741">
        <f t="shared" si="195"/>
        <v>0</v>
      </c>
      <c r="Z204" s="741">
        <f t="shared" si="195"/>
        <v>0</v>
      </c>
      <c r="AA204" s="741">
        <f t="shared" si="195"/>
        <v>0</v>
      </c>
      <c r="AB204" s="741">
        <f t="shared" si="195"/>
        <v>0</v>
      </c>
      <c r="AC204" s="741">
        <f t="shared" si="195"/>
        <v>0</v>
      </c>
      <c r="AD204" s="741">
        <f t="shared" si="195"/>
        <v>0</v>
      </c>
      <c r="AE204" s="741">
        <f t="shared" si="195"/>
        <v>0</v>
      </c>
      <c r="AF204" s="741">
        <f t="shared" si="195"/>
        <v>0</v>
      </c>
      <c r="AG204" s="741">
        <f t="shared" si="195"/>
        <v>0</v>
      </c>
      <c r="AH204" s="741">
        <f t="shared" si="195"/>
        <v>0</v>
      </c>
      <c r="AI204" s="741">
        <f t="shared" si="195"/>
        <v>0</v>
      </c>
      <c r="AJ204" s="994"/>
    </row>
    <row r="205" spans="1:36" s="742" customFormat="1">
      <c r="A205" s="736" t="s">
        <v>1231</v>
      </c>
      <c r="B205" s="780" t="s">
        <v>1232</v>
      </c>
      <c r="C205" s="1014"/>
      <c r="D205" s="992"/>
      <c r="E205" s="738">
        <f>-(E121-C121)</f>
        <v>0</v>
      </c>
      <c r="F205" s="992"/>
      <c r="G205" s="992"/>
      <c r="H205" s="738">
        <f>-(H121-E121)</f>
        <v>0</v>
      </c>
      <c r="I205" s="993"/>
      <c r="J205" s="993"/>
      <c r="K205" s="738">
        <f>-(K121-H121)</f>
        <v>0</v>
      </c>
      <c r="L205" s="992"/>
      <c r="M205" s="743"/>
      <c r="N205" s="738">
        <f>-(N121-H121)</f>
        <v>0</v>
      </c>
      <c r="O205" s="992"/>
      <c r="P205" s="743"/>
      <c r="Q205" s="738">
        <f>IF(OR($C$3=$L$913,$C$3=0),-(Q121-N121),-(Q121-K121))</f>
        <v>0</v>
      </c>
      <c r="R205" s="992"/>
      <c r="S205" s="743"/>
      <c r="T205" s="738">
        <f>-(T121-N121)</f>
        <v>0</v>
      </c>
      <c r="U205" s="741">
        <f t="shared" ref="U205:AI205" si="196">-(U121-T121)</f>
        <v>0</v>
      </c>
      <c r="V205" s="741">
        <f t="shared" si="196"/>
        <v>0</v>
      </c>
      <c r="W205" s="741">
        <f t="shared" si="196"/>
        <v>0</v>
      </c>
      <c r="X205" s="741">
        <f t="shared" si="196"/>
        <v>0</v>
      </c>
      <c r="Y205" s="741">
        <f t="shared" si="196"/>
        <v>0</v>
      </c>
      <c r="Z205" s="741">
        <f t="shared" si="196"/>
        <v>0</v>
      </c>
      <c r="AA205" s="741">
        <f t="shared" si="196"/>
        <v>0</v>
      </c>
      <c r="AB205" s="741">
        <f t="shared" si="196"/>
        <v>0</v>
      </c>
      <c r="AC205" s="741">
        <f t="shared" si="196"/>
        <v>0</v>
      </c>
      <c r="AD205" s="741">
        <f t="shared" si="196"/>
        <v>0</v>
      </c>
      <c r="AE205" s="741">
        <f t="shared" si="196"/>
        <v>0</v>
      </c>
      <c r="AF205" s="741">
        <f t="shared" si="196"/>
        <v>0</v>
      </c>
      <c r="AG205" s="741">
        <f t="shared" si="196"/>
        <v>0</v>
      </c>
      <c r="AH205" s="741">
        <f t="shared" si="196"/>
        <v>0</v>
      </c>
      <c r="AI205" s="741">
        <f t="shared" si="196"/>
        <v>0</v>
      </c>
      <c r="AJ205" s="994"/>
    </row>
    <row r="206" spans="1:36" s="742" customFormat="1">
      <c r="A206" s="736" t="s">
        <v>1233</v>
      </c>
      <c r="B206" s="780" t="s">
        <v>1234</v>
      </c>
      <c r="C206" s="1014"/>
      <c r="D206" s="992"/>
      <c r="E206" s="738">
        <f>E122-C122</f>
        <v>0</v>
      </c>
      <c r="F206" s="992"/>
      <c r="G206" s="992"/>
      <c r="H206" s="738">
        <f>H122-E122</f>
        <v>0</v>
      </c>
      <c r="I206" s="993"/>
      <c r="J206" s="993"/>
      <c r="K206" s="738">
        <f>K122-H122</f>
        <v>0</v>
      </c>
      <c r="L206" s="992"/>
      <c r="M206" s="743"/>
      <c r="N206" s="738">
        <f>N122-H122</f>
        <v>0</v>
      </c>
      <c r="O206" s="992"/>
      <c r="P206" s="743"/>
      <c r="Q206" s="738">
        <f>IF(OR($C$3=$L$913,$C$3=0),Q122-N122,Q122-K122)</f>
        <v>0</v>
      </c>
      <c r="R206" s="992"/>
      <c r="S206" s="743"/>
      <c r="T206" s="738">
        <f>T122-N122</f>
        <v>0</v>
      </c>
      <c r="U206" s="741">
        <f t="shared" ref="U206:AI206" si="197">U122-T122</f>
        <v>0</v>
      </c>
      <c r="V206" s="741">
        <f t="shared" si="197"/>
        <v>0</v>
      </c>
      <c r="W206" s="741">
        <f t="shared" si="197"/>
        <v>0</v>
      </c>
      <c r="X206" s="741">
        <f t="shared" si="197"/>
        <v>0</v>
      </c>
      <c r="Y206" s="741">
        <f t="shared" si="197"/>
        <v>0</v>
      </c>
      <c r="Z206" s="741">
        <f t="shared" si="197"/>
        <v>0</v>
      </c>
      <c r="AA206" s="741">
        <f t="shared" si="197"/>
        <v>0</v>
      </c>
      <c r="AB206" s="741">
        <f t="shared" si="197"/>
        <v>0</v>
      </c>
      <c r="AC206" s="741">
        <f t="shared" si="197"/>
        <v>0</v>
      </c>
      <c r="AD206" s="741">
        <f t="shared" si="197"/>
        <v>0</v>
      </c>
      <c r="AE206" s="741">
        <f t="shared" si="197"/>
        <v>0</v>
      </c>
      <c r="AF206" s="741">
        <f t="shared" si="197"/>
        <v>0</v>
      </c>
      <c r="AG206" s="741">
        <f t="shared" si="197"/>
        <v>0</v>
      </c>
      <c r="AH206" s="741">
        <f t="shared" si="197"/>
        <v>0</v>
      </c>
      <c r="AI206" s="741">
        <f t="shared" si="197"/>
        <v>0</v>
      </c>
      <c r="AJ206" s="994"/>
    </row>
    <row r="207" spans="1:36" s="742" customFormat="1">
      <c r="A207" s="736" t="s">
        <v>1235</v>
      </c>
      <c r="B207" s="780" t="s">
        <v>1236</v>
      </c>
      <c r="C207" s="1014"/>
      <c r="D207" s="992"/>
      <c r="E207" s="738">
        <f>E65-C65+E230</f>
        <v>0</v>
      </c>
      <c r="F207" s="992"/>
      <c r="G207" s="992"/>
      <c r="H207" s="738">
        <f>H65-E65+H230</f>
        <v>0</v>
      </c>
      <c r="I207" s="993"/>
      <c r="J207" s="993"/>
      <c r="K207" s="738">
        <f>K65-H65+K230</f>
        <v>0</v>
      </c>
      <c r="L207" s="992"/>
      <c r="M207" s="743"/>
      <c r="N207" s="738">
        <f>N65-H65+N230</f>
        <v>0</v>
      </c>
      <c r="O207" s="992"/>
      <c r="P207" s="743"/>
      <c r="Q207" s="738">
        <f>IF(OR($C$3=$L$913,$C$3=0),Q65-N65+Q230,Q65-K65+Q230)</f>
        <v>0</v>
      </c>
      <c r="R207" s="992"/>
      <c r="S207" s="743"/>
      <c r="T207" s="738">
        <f>T65-N65+T230</f>
        <v>0</v>
      </c>
      <c r="U207" s="741">
        <f t="shared" ref="U207:AI207" si="198">U65-T65+U230</f>
        <v>0</v>
      </c>
      <c r="V207" s="741">
        <f t="shared" si="198"/>
        <v>0</v>
      </c>
      <c r="W207" s="741">
        <f t="shared" si="198"/>
        <v>0</v>
      </c>
      <c r="X207" s="741">
        <f t="shared" si="198"/>
        <v>0</v>
      </c>
      <c r="Y207" s="741">
        <f t="shared" si="198"/>
        <v>0</v>
      </c>
      <c r="Z207" s="741">
        <f t="shared" si="198"/>
        <v>0</v>
      </c>
      <c r="AA207" s="741">
        <f t="shared" si="198"/>
        <v>0</v>
      </c>
      <c r="AB207" s="741">
        <f t="shared" si="198"/>
        <v>0</v>
      </c>
      <c r="AC207" s="741">
        <f t="shared" si="198"/>
        <v>0</v>
      </c>
      <c r="AD207" s="741">
        <f t="shared" si="198"/>
        <v>0</v>
      </c>
      <c r="AE207" s="741">
        <f t="shared" si="198"/>
        <v>0</v>
      </c>
      <c r="AF207" s="741">
        <f t="shared" si="198"/>
        <v>0</v>
      </c>
      <c r="AG207" s="741">
        <f t="shared" si="198"/>
        <v>0</v>
      </c>
      <c r="AH207" s="741">
        <f t="shared" si="198"/>
        <v>0</v>
      </c>
      <c r="AI207" s="741">
        <f t="shared" si="198"/>
        <v>0</v>
      </c>
      <c r="AJ207" s="994"/>
    </row>
    <row r="208" spans="1:36" s="742" customFormat="1">
      <c r="A208" s="736" t="s">
        <v>1237</v>
      </c>
      <c r="B208" s="780" t="s">
        <v>1238</v>
      </c>
      <c r="C208" s="1014"/>
      <c r="D208" s="992"/>
      <c r="E208" s="738">
        <f>E77</f>
        <v>0</v>
      </c>
      <c r="F208" s="992"/>
      <c r="G208" s="992"/>
      <c r="H208" s="738">
        <f>H77</f>
        <v>0</v>
      </c>
      <c r="I208" s="993"/>
      <c r="J208" s="993"/>
      <c r="K208" s="738">
        <f>K77</f>
        <v>0</v>
      </c>
      <c r="L208" s="992"/>
      <c r="M208" s="743"/>
      <c r="N208" s="738">
        <f>N77</f>
        <v>0</v>
      </c>
      <c r="O208" s="992"/>
      <c r="P208" s="743"/>
      <c r="Q208" s="738">
        <f>Q77</f>
        <v>0</v>
      </c>
      <c r="R208" s="992"/>
      <c r="S208" s="743"/>
      <c r="T208" s="738">
        <f t="shared" ref="T208:AI208" si="199">T77</f>
        <v>0</v>
      </c>
      <c r="U208" s="741">
        <f t="shared" si="199"/>
        <v>0</v>
      </c>
      <c r="V208" s="741">
        <f t="shared" si="199"/>
        <v>0</v>
      </c>
      <c r="W208" s="741">
        <f t="shared" si="199"/>
        <v>0</v>
      </c>
      <c r="X208" s="741">
        <f t="shared" si="199"/>
        <v>0</v>
      </c>
      <c r="Y208" s="741">
        <f t="shared" si="199"/>
        <v>0</v>
      </c>
      <c r="Z208" s="741">
        <f t="shared" si="199"/>
        <v>0</v>
      </c>
      <c r="AA208" s="741">
        <f t="shared" si="199"/>
        <v>0</v>
      </c>
      <c r="AB208" s="741">
        <f t="shared" si="199"/>
        <v>0</v>
      </c>
      <c r="AC208" s="741">
        <f t="shared" si="199"/>
        <v>0</v>
      </c>
      <c r="AD208" s="741">
        <f t="shared" si="199"/>
        <v>0</v>
      </c>
      <c r="AE208" s="741">
        <f t="shared" si="199"/>
        <v>0</v>
      </c>
      <c r="AF208" s="741">
        <f t="shared" si="199"/>
        <v>0</v>
      </c>
      <c r="AG208" s="741">
        <f t="shared" si="199"/>
        <v>0</v>
      </c>
      <c r="AH208" s="741">
        <f t="shared" si="199"/>
        <v>0</v>
      </c>
      <c r="AI208" s="741">
        <f t="shared" si="199"/>
        <v>0</v>
      </c>
      <c r="AJ208" s="994"/>
    </row>
    <row r="209" spans="1:36" s="721" customFormat="1">
      <c r="A209" s="711">
        <v>21</v>
      </c>
      <c r="B209" s="781" t="s">
        <v>1239</v>
      </c>
      <c r="C209" s="1025"/>
      <c r="D209" s="981"/>
      <c r="E209" s="745">
        <f>SUM(E197:E208)</f>
        <v>0</v>
      </c>
      <c r="F209" s="981"/>
      <c r="G209" s="981"/>
      <c r="H209" s="745">
        <f>SUM(H197:H208)</f>
        <v>0</v>
      </c>
      <c r="I209" s="982"/>
      <c r="J209" s="982"/>
      <c r="K209" s="745">
        <f>SUM(K197:K208)</f>
        <v>0</v>
      </c>
      <c r="L209" s="981"/>
      <c r="M209" s="719"/>
      <c r="N209" s="745">
        <f>SUM(N197:N208)</f>
        <v>0</v>
      </c>
      <c r="O209" s="981"/>
      <c r="P209" s="719"/>
      <c r="Q209" s="745">
        <f>SUM(Q197:Q208)</f>
        <v>0</v>
      </c>
      <c r="R209" s="981"/>
      <c r="S209" s="719"/>
      <c r="T209" s="745">
        <f t="shared" ref="T209:AI209" si="200">SUM(T197:T208)</f>
        <v>0</v>
      </c>
      <c r="U209" s="748">
        <f t="shared" si="200"/>
        <v>0</v>
      </c>
      <c r="V209" s="748">
        <f t="shared" si="200"/>
        <v>0</v>
      </c>
      <c r="W209" s="748">
        <f t="shared" si="200"/>
        <v>0</v>
      </c>
      <c r="X209" s="748">
        <f t="shared" si="200"/>
        <v>0</v>
      </c>
      <c r="Y209" s="748">
        <f t="shared" si="200"/>
        <v>0</v>
      </c>
      <c r="Z209" s="748">
        <f t="shared" si="200"/>
        <v>0</v>
      </c>
      <c r="AA209" s="748">
        <f t="shared" si="200"/>
        <v>0</v>
      </c>
      <c r="AB209" s="748">
        <f t="shared" si="200"/>
        <v>0</v>
      </c>
      <c r="AC209" s="748">
        <f t="shared" si="200"/>
        <v>0</v>
      </c>
      <c r="AD209" s="748">
        <f t="shared" si="200"/>
        <v>0</v>
      </c>
      <c r="AE209" s="748">
        <f t="shared" si="200"/>
        <v>0</v>
      </c>
      <c r="AF209" s="748">
        <f t="shared" si="200"/>
        <v>0</v>
      </c>
      <c r="AG209" s="748">
        <f t="shared" si="200"/>
        <v>0</v>
      </c>
      <c r="AH209" s="748">
        <f t="shared" si="200"/>
        <v>0</v>
      </c>
      <c r="AI209" s="748">
        <f t="shared" si="200"/>
        <v>0</v>
      </c>
      <c r="AJ209" s="983"/>
    </row>
    <row r="210" spans="1:36" s="721" customFormat="1">
      <c r="A210" s="715"/>
      <c r="B210" s="792" t="s">
        <v>1240</v>
      </c>
      <c r="C210" s="1026"/>
      <c r="D210" s="981"/>
      <c r="E210" s="750">
        <f>E196+E209</f>
        <v>0</v>
      </c>
      <c r="F210" s="981"/>
      <c r="G210" s="981"/>
      <c r="H210" s="750">
        <f>H196+H209</f>
        <v>0</v>
      </c>
      <c r="I210" s="982"/>
      <c r="J210" s="982"/>
      <c r="K210" s="750">
        <f>K196+K209</f>
        <v>0</v>
      </c>
      <c r="L210" s="981"/>
      <c r="M210" s="719"/>
      <c r="N210" s="750">
        <f>N196+N209</f>
        <v>0</v>
      </c>
      <c r="O210" s="981"/>
      <c r="P210" s="719"/>
      <c r="Q210" s="750">
        <f>Q196+Q209</f>
        <v>0</v>
      </c>
      <c r="R210" s="981"/>
      <c r="S210" s="719"/>
      <c r="T210" s="729">
        <f t="shared" ref="T210:AI210" si="201">T196+T209</f>
        <v>0</v>
      </c>
      <c r="U210" s="729">
        <f t="shared" si="201"/>
        <v>0</v>
      </c>
      <c r="V210" s="729">
        <f t="shared" si="201"/>
        <v>0</v>
      </c>
      <c r="W210" s="729">
        <f t="shared" si="201"/>
        <v>0</v>
      </c>
      <c r="X210" s="729">
        <f t="shared" si="201"/>
        <v>0</v>
      </c>
      <c r="Y210" s="729">
        <f t="shared" si="201"/>
        <v>0</v>
      </c>
      <c r="Z210" s="729">
        <f t="shared" si="201"/>
        <v>0</v>
      </c>
      <c r="AA210" s="729">
        <f t="shared" si="201"/>
        <v>0</v>
      </c>
      <c r="AB210" s="729">
        <f t="shared" si="201"/>
        <v>0</v>
      </c>
      <c r="AC210" s="729">
        <f t="shared" si="201"/>
        <v>0</v>
      </c>
      <c r="AD210" s="729">
        <f t="shared" si="201"/>
        <v>0</v>
      </c>
      <c r="AE210" s="729">
        <f t="shared" si="201"/>
        <v>0</v>
      </c>
      <c r="AF210" s="729">
        <f t="shared" si="201"/>
        <v>0</v>
      </c>
      <c r="AG210" s="729">
        <f t="shared" si="201"/>
        <v>0</v>
      </c>
      <c r="AH210" s="729">
        <f t="shared" si="201"/>
        <v>0</v>
      </c>
      <c r="AI210" s="729">
        <f t="shared" si="201"/>
        <v>0</v>
      </c>
      <c r="AJ210" s="983"/>
    </row>
    <row r="211" spans="1:36" s="536" customFormat="1">
      <c r="A211" s="644"/>
      <c r="B211" s="785" t="s">
        <v>1241</v>
      </c>
      <c r="C211" s="1023"/>
      <c r="D211" s="535"/>
      <c r="E211" s="786">
        <f>-E157-E181-E191-E210</f>
        <v>0</v>
      </c>
      <c r="F211" s="535"/>
      <c r="G211" s="535"/>
      <c r="H211" s="786">
        <f>-H157-H181-H191-H210</f>
        <v>0</v>
      </c>
      <c r="I211" s="534"/>
      <c r="J211" s="534"/>
      <c r="K211" s="786">
        <f>-K157-K181-K191-K210</f>
        <v>0</v>
      </c>
      <c r="L211" s="535"/>
      <c r="M211" s="545"/>
      <c r="N211" s="786">
        <f>-N157-N181-N191-N210</f>
        <v>0</v>
      </c>
      <c r="O211" s="535"/>
      <c r="P211" s="545"/>
      <c r="Q211" s="786">
        <f>-Q157-Q181-Q191-Q210</f>
        <v>0</v>
      </c>
      <c r="R211" s="535"/>
      <c r="S211" s="545"/>
      <c r="T211" s="788">
        <f t="shared" ref="T211:AI211" si="202">-T157-T181-T191-T210</f>
        <v>0</v>
      </c>
      <c r="U211" s="788">
        <f t="shared" si="202"/>
        <v>0</v>
      </c>
      <c r="V211" s="788">
        <f t="shared" si="202"/>
        <v>0</v>
      </c>
      <c r="W211" s="788">
        <f t="shared" si="202"/>
        <v>0</v>
      </c>
      <c r="X211" s="788">
        <f t="shared" si="202"/>
        <v>0</v>
      </c>
      <c r="Y211" s="788">
        <f t="shared" si="202"/>
        <v>0</v>
      </c>
      <c r="Z211" s="788">
        <f t="shared" si="202"/>
        <v>0</v>
      </c>
      <c r="AA211" s="788">
        <f t="shared" si="202"/>
        <v>0</v>
      </c>
      <c r="AB211" s="788">
        <f t="shared" si="202"/>
        <v>0</v>
      </c>
      <c r="AC211" s="788">
        <f t="shared" si="202"/>
        <v>0</v>
      </c>
      <c r="AD211" s="788">
        <f t="shared" si="202"/>
        <v>0</v>
      </c>
      <c r="AE211" s="788">
        <f t="shared" si="202"/>
        <v>0</v>
      </c>
      <c r="AF211" s="788">
        <f t="shared" si="202"/>
        <v>0</v>
      </c>
      <c r="AG211" s="788">
        <f t="shared" si="202"/>
        <v>0</v>
      </c>
      <c r="AH211" s="788">
        <f t="shared" si="202"/>
        <v>0</v>
      </c>
      <c r="AI211" s="788">
        <f t="shared" si="202"/>
        <v>0</v>
      </c>
      <c r="AJ211" s="856"/>
    </row>
    <row r="212" spans="1:36" s="536" customFormat="1">
      <c r="A212" s="644"/>
      <c r="B212" s="785" t="s">
        <v>1242</v>
      </c>
      <c r="C212" s="1023"/>
      <c r="D212" s="535"/>
      <c r="E212" s="1027"/>
      <c r="F212" s="535"/>
      <c r="G212" s="535"/>
      <c r="H212" s="786">
        <f>H18-E18</f>
        <v>0</v>
      </c>
      <c r="I212" s="534"/>
      <c r="J212" s="534"/>
      <c r="K212" s="786">
        <f>K18-H18</f>
        <v>0</v>
      </c>
      <c r="L212" s="535"/>
      <c r="M212" s="545"/>
      <c r="N212" s="786">
        <f>N18-H18</f>
        <v>0</v>
      </c>
      <c r="O212" s="535"/>
      <c r="P212" s="545"/>
      <c r="Q212" s="786">
        <f>IF(OR($C$3=$L$913,$C$3=0),Q18-N18,Q18-K18)</f>
        <v>0</v>
      </c>
      <c r="R212" s="535"/>
      <c r="S212" s="545"/>
      <c r="T212" s="788">
        <f>T18-N18</f>
        <v>0</v>
      </c>
      <c r="U212" s="788">
        <f t="shared" ref="U212:AI212" si="203">U18-T18</f>
        <v>0</v>
      </c>
      <c r="V212" s="788">
        <f t="shared" si="203"/>
        <v>0</v>
      </c>
      <c r="W212" s="788">
        <f t="shared" si="203"/>
        <v>0</v>
      </c>
      <c r="X212" s="788">
        <f t="shared" si="203"/>
        <v>0</v>
      </c>
      <c r="Y212" s="788">
        <f t="shared" si="203"/>
        <v>0</v>
      </c>
      <c r="Z212" s="788">
        <f t="shared" si="203"/>
        <v>0</v>
      </c>
      <c r="AA212" s="788">
        <f t="shared" si="203"/>
        <v>0</v>
      </c>
      <c r="AB212" s="788">
        <f t="shared" si="203"/>
        <v>0</v>
      </c>
      <c r="AC212" s="788">
        <f t="shared" si="203"/>
        <v>0</v>
      </c>
      <c r="AD212" s="788">
        <f t="shared" si="203"/>
        <v>0</v>
      </c>
      <c r="AE212" s="788">
        <f t="shared" si="203"/>
        <v>0</v>
      </c>
      <c r="AF212" s="788">
        <f t="shared" si="203"/>
        <v>0</v>
      </c>
      <c r="AG212" s="788">
        <f t="shared" si="203"/>
        <v>0</v>
      </c>
      <c r="AH212" s="788">
        <f t="shared" si="203"/>
        <v>0</v>
      </c>
      <c r="AI212" s="788">
        <f t="shared" si="203"/>
        <v>0</v>
      </c>
      <c r="AJ212" s="856"/>
    </row>
    <row r="213" spans="1:36" s="536" customFormat="1">
      <c r="A213" s="644"/>
      <c r="B213" s="793" t="s">
        <v>1243</v>
      </c>
      <c r="C213" s="1028"/>
      <c r="D213" s="535"/>
      <c r="E213" s="794">
        <f>E211+E212</f>
        <v>0</v>
      </c>
      <c r="F213" s="535"/>
      <c r="G213" s="535"/>
      <c r="H213" s="794">
        <f>H211+H212</f>
        <v>0</v>
      </c>
      <c r="I213" s="534"/>
      <c r="J213" s="534"/>
      <c r="K213" s="794">
        <f>K211+K212</f>
        <v>0</v>
      </c>
      <c r="L213" s="535"/>
      <c r="M213" s="545"/>
      <c r="N213" s="794">
        <f>N211+N212</f>
        <v>0</v>
      </c>
      <c r="O213" s="535"/>
      <c r="P213" s="545"/>
      <c r="Q213" s="794">
        <f>Q211+Q212</f>
        <v>0</v>
      </c>
      <c r="R213" s="535"/>
      <c r="S213" s="545"/>
      <c r="T213" s="796">
        <f t="shared" ref="T213:AI213" si="204">T211+T212</f>
        <v>0</v>
      </c>
      <c r="U213" s="796">
        <f t="shared" si="204"/>
        <v>0</v>
      </c>
      <c r="V213" s="796">
        <f t="shared" si="204"/>
        <v>0</v>
      </c>
      <c r="W213" s="796">
        <f t="shared" si="204"/>
        <v>0</v>
      </c>
      <c r="X213" s="796">
        <f t="shared" si="204"/>
        <v>0</v>
      </c>
      <c r="Y213" s="796">
        <f t="shared" si="204"/>
        <v>0</v>
      </c>
      <c r="Z213" s="796">
        <f t="shared" si="204"/>
        <v>0</v>
      </c>
      <c r="AA213" s="796">
        <f t="shared" si="204"/>
        <v>0</v>
      </c>
      <c r="AB213" s="796">
        <f t="shared" si="204"/>
        <v>0</v>
      </c>
      <c r="AC213" s="796">
        <f t="shared" si="204"/>
        <v>0</v>
      </c>
      <c r="AD213" s="796">
        <f t="shared" si="204"/>
        <v>0</v>
      </c>
      <c r="AE213" s="796">
        <f t="shared" si="204"/>
        <v>0</v>
      </c>
      <c r="AF213" s="796">
        <f t="shared" si="204"/>
        <v>0</v>
      </c>
      <c r="AG213" s="796">
        <f t="shared" si="204"/>
        <v>0</v>
      </c>
      <c r="AH213" s="796">
        <f t="shared" si="204"/>
        <v>0</v>
      </c>
      <c r="AI213" s="796">
        <f t="shared" si="204"/>
        <v>0</v>
      </c>
      <c r="AJ213" s="856"/>
    </row>
    <row r="214" spans="1:36" s="803" customFormat="1" ht="10.5">
      <c r="A214" s="797"/>
      <c r="B214" s="798" t="s">
        <v>1244</v>
      </c>
      <c r="C214" s="799"/>
      <c r="D214" s="545"/>
      <c r="E214" s="799"/>
      <c r="F214" s="545"/>
      <c r="G214" s="545"/>
      <c r="H214" s="799"/>
      <c r="I214" s="545"/>
      <c r="J214" s="545"/>
      <c r="K214" s="799"/>
      <c r="L214" s="545"/>
      <c r="M214" s="545"/>
      <c r="N214" s="799"/>
      <c r="O214" s="545"/>
      <c r="P214" s="545"/>
      <c r="Q214" s="799"/>
      <c r="R214" s="545"/>
      <c r="S214" s="545"/>
      <c r="T214" s="545"/>
      <c r="U214" s="545"/>
      <c r="V214" s="801"/>
      <c r="W214" s="801"/>
      <c r="X214" s="801"/>
      <c r="Y214" s="801"/>
      <c r="Z214" s="801"/>
      <c r="AA214" s="801"/>
      <c r="AB214" s="801"/>
      <c r="AC214" s="801"/>
      <c r="AD214" s="801"/>
      <c r="AE214" s="802"/>
      <c r="AF214" s="545"/>
      <c r="AG214" s="545"/>
      <c r="AH214" s="545"/>
      <c r="AI214" s="545"/>
      <c r="AJ214" s="1029"/>
    </row>
    <row r="215" spans="1:36" s="803" customFormat="1" ht="10.5">
      <c r="A215" s="797"/>
      <c r="B215" s="804" t="s">
        <v>1245</v>
      </c>
      <c r="C215" s="545"/>
      <c r="D215" s="545"/>
      <c r="E215" s="805">
        <f>IF(E216=0,0,"DIFERENCIA EN CONCILIACIÓN")</f>
        <v>0</v>
      </c>
      <c r="F215" s="545"/>
      <c r="G215" s="545"/>
      <c r="H215" s="805">
        <f>IF(H216=0,0,"DIFERENCIA EN CONCILIACIÓN")</f>
        <v>0</v>
      </c>
      <c r="I215" s="545"/>
      <c r="J215" s="545"/>
      <c r="K215" s="805">
        <f>IF(K216=0,0,"DIFERENCIA EN CONCILIACIÓN")</f>
        <v>0</v>
      </c>
      <c r="L215" s="545"/>
      <c r="M215" s="545"/>
      <c r="N215" s="805">
        <f>IF(N216=0,0,"DIFERENCIA EN CONCILIACIÓN")</f>
        <v>0</v>
      </c>
      <c r="O215" s="545"/>
      <c r="P215" s="545"/>
      <c r="Q215" s="805">
        <f>IF(Q216=0,0,"DIFERENCIA EN CONCILIACIÓN")</f>
        <v>0</v>
      </c>
      <c r="R215" s="545"/>
      <c r="S215" s="545"/>
      <c r="T215" s="545"/>
      <c r="U215" s="545"/>
      <c r="V215" s="801"/>
      <c r="W215" s="801"/>
      <c r="X215" s="801"/>
      <c r="Y215" s="801"/>
      <c r="Z215" s="801"/>
      <c r="AA215" s="801"/>
      <c r="AB215" s="801"/>
      <c r="AC215" s="801"/>
      <c r="AD215" s="801"/>
      <c r="AE215" s="545"/>
      <c r="AF215" s="545"/>
      <c r="AG215" s="545"/>
      <c r="AH215" s="545"/>
      <c r="AI215" s="545"/>
      <c r="AJ215" s="1029"/>
    </row>
    <row r="216" spans="1:36" s="803" customFormat="1" ht="10.5">
      <c r="A216" s="797"/>
      <c r="B216" s="804" t="s">
        <v>1246</v>
      </c>
      <c r="C216" s="799"/>
      <c r="D216" s="545"/>
      <c r="E216" s="806">
        <f>IF(OR(E227&lt;&gt;0,ABS(SUM(E222:E224)-SUM(C222:C225))&lt;0.5),0,SUM(E222:E224)-SUM(C222:C225))</f>
        <v>0</v>
      </c>
      <c r="F216" s="545"/>
      <c r="G216" s="545"/>
      <c r="H216" s="806">
        <f>IF(OR(H227&lt;&gt;0,ABS(SUM(H222:H224)-SUM(E222:E225))&lt;0.5),0,SUM(H222:H224)-SUM(E222:E225))</f>
        <v>0</v>
      </c>
      <c r="I216" s="545"/>
      <c r="J216" s="545"/>
      <c r="K216" s="806">
        <f>IF(OR(K227&lt;&gt;0,ABS(SUM(K222:K224)-SUM(H222:H225))&lt;0.5),0,SUM(K222:K224)-SUM(H222:H225))</f>
        <v>0</v>
      </c>
      <c r="L216" s="545"/>
      <c r="M216" s="545"/>
      <c r="N216" s="806">
        <f>IF(OR(N227&lt;&gt;0,ABS(SUM(N222:N224)-SUM(H222:H225))&lt;0.5),0,SUM(N222:N224)-SUM(H222:H225))</f>
        <v>0</v>
      </c>
      <c r="O216" s="545"/>
      <c r="P216" s="545"/>
      <c r="Q216" s="806">
        <f>IF(OR($C$3=$L$913,$C$3=0),IF(OR(Q227&lt;&gt;0,ABS(SUM(Q222:Q224)-SUM(N222:N225))&lt;0.5),0,SUM(Q222:Q224)-SUM(N222:N225)),IF(OR(Q227&lt;&gt;0,ABS(SUM(Q222:Q224)-SUM(K222:K225,Q226))&lt;0.5),0,SUM(Q222:Q224)-SUM(K222:K225,Q226)))</f>
        <v>0</v>
      </c>
      <c r="R216" s="545"/>
      <c r="S216" s="545"/>
      <c r="T216" s="545"/>
      <c r="U216" s="545"/>
      <c r="V216" s="801"/>
      <c r="W216" s="801"/>
      <c r="X216" s="801"/>
      <c r="Y216" s="801"/>
      <c r="Z216" s="801"/>
      <c r="AA216" s="801"/>
      <c r="AB216" s="801"/>
      <c r="AC216" s="801"/>
      <c r="AD216" s="801"/>
      <c r="AE216" s="807"/>
      <c r="AF216" s="545"/>
      <c r="AG216" s="545"/>
      <c r="AH216" s="545"/>
      <c r="AI216" s="545"/>
      <c r="AJ216" s="1029"/>
    </row>
    <row r="217" spans="1:36" s="536" customFormat="1" ht="14">
      <c r="A217" s="644"/>
      <c r="B217" s="693"/>
      <c r="C217" s="1030"/>
      <c r="D217" s="535"/>
      <c r="E217" s="1030"/>
      <c r="F217" s="535"/>
      <c r="G217" s="535"/>
      <c r="H217" s="1030"/>
      <c r="I217" s="534"/>
      <c r="J217" s="534"/>
      <c r="K217" s="808"/>
      <c r="L217" s="535"/>
      <c r="M217" s="545"/>
      <c r="N217" s="808"/>
      <c r="O217" s="535"/>
      <c r="P217" s="545"/>
      <c r="Q217" s="808"/>
      <c r="R217" s="535"/>
      <c r="S217" s="545"/>
      <c r="T217" s="700" t="s">
        <v>1044</v>
      </c>
      <c r="U217" s="700" t="s">
        <v>1044</v>
      </c>
      <c r="V217" s="700" t="s">
        <v>1044</v>
      </c>
      <c r="W217" s="700" t="s">
        <v>1044</v>
      </c>
      <c r="X217" s="700" t="s">
        <v>1044</v>
      </c>
      <c r="Y217" s="700" t="s">
        <v>1044</v>
      </c>
      <c r="Z217" s="700" t="s">
        <v>1044</v>
      </c>
      <c r="AA217" s="700" t="s">
        <v>1044</v>
      </c>
      <c r="AB217" s="700" t="s">
        <v>1044</v>
      </c>
      <c r="AC217" s="700" t="s">
        <v>1044</v>
      </c>
      <c r="AD217" s="700" t="s">
        <v>1044</v>
      </c>
      <c r="AE217" s="700" t="s">
        <v>1044</v>
      </c>
      <c r="AF217" s="700" t="s">
        <v>1044</v>
      </c>
      <c r="AG217" s="700" t="s">
        <v>1044</v>
      </c>
      <c r="AH217" s="700" t="s">
        <v>1044</v>
      </c>
      <c r="AI217" s="700" t="s">
        <v>1044</v>
      </c>
      <c r="AJ217" s="856"/>
    </row>
    <row r="218" spans="1:36" s="814" customFormat="1" ht="15.5">
      <c r="A218" s="810"/>
      <c r="B218" s="811" t="s">
        <v>1247</v>
      </c>
      <c r="C218" s="1031">
        <f>C15</f>
        <v>2016</v>
      </c>
      <c r="D218" s="1032"/>
      <c r="E218" s="812">
        <f>E15</f>
        <v>2017</v>
      </c>
      <c r="F218" s="1032"/>
      <c r="G218" s="1032"/>
      <c r="H218" s="812">
        <f>H15</f>
        <v>2018</v>
      </c>
      <c r="I218" s="1033"/>
      <c r="J218" s="1033"/>
      <c r="K218" s="812">
        <f>K15</f>
        <v>2019</v>
      </c>
      <c r="L218" s="1032"/>
      <c r="M218" s="1034"/>
      <c r="N218" s="812">
        <f>N15</f>
        <v>2019</v>
      </c>
      <c r="O218" s="1032"/>
      <c r="P218" s="1034"/>
      <c r="Q218" s="812" t="str">
        <f>Q15</f>
        <v>2020</v>
      </c>
      <c r="R218" s="1032"/>
      <c r="S218" s="1034"/>
      <c r="T218" s="812">
        <f t="shared" ref="T218:AI218" si="205">T15</f>
        <v>2020</v>
      </c>
      <c r="U218" s="812">
        <f t="shared" si="205"/>
        <v>2021</v>
      </c>
      <c r="V218" s="812">
        <f t="shared" si="205"/>
        <v>2022</v>
      </c>
      <c r="W218" s="812">
        <f t="shared" si="205"/>
        <v>2023</v>
      </c>
      <c r="X218" s="812">
        <f t="shared" si="205"/>
        <v>2024</v>
      </c>
      <c r="Y218" s="812">
        <f t="shared" si="205"/>
        <v>2025</v>
      </c>
      <c r="Z218" s="812">
        <f t="shared" si="205"/>
        <v>2026</v>
      </c>
      <c r="AA218" s="812">
        <f t="shared" si="205"/>
        <v>2027</v>
      </c>
      <c r="AB218" s="812">
        <f t="shared" si="205"/>
        <v>2028</v>
      </c>
      <c r="AC218" s="812">
        <f t="shared" si="205"/>
        <v>2029</v>
      </c>
      <c r="AD218" s="812">
        <f t="shared" si="205"/>
        <v>2030</v>
      </c>
      <c r="AE218" s="812">
        <f t="shared" si="205"/>
        <v>2031</v>
      </c>
      <c r="AF218" s="812">
        <f t="shared" si="205"/>
        <v>2032</v>
      </c>
      <c r="AG218" s="812">
        <f t="shared" si="205"/>
        <v>2033</v>
      </c>
      <c r="AH218" s="812">
        <f t="shared" si="205"/>
        <v>2034</v>
      </c>
      <c r="AI218" s="812">
        <f t="shared" si="205"/>
        <v>2035</v>
      </c>
      <c r="AJ218" s="1035"/>
    </row>
    <row r="219" spans="1:36" s="536" customFormat="1">
      <c r="A219" s="644"/>
      <c r="B219" s="815" t="s">
        <v>938</v>
      </c>
      <c r="C219" s="1036">
        <f>C60</f>
        <v>0</v>
      </c>
      <c r="D219" s="535"/>
      <c r="E219" s="816">
        <f>E60</f>
        <v>0</v>
      </c>
      <c r="F219" s="535"/>
      <c r="G219" s="535"/>
      <c r="H219" s="816">
        <f>H60</f>
        <v>0</v>
      </c>
      <c r="I219" s="534"/>
      <c r="J219" s="534"/>
      <c r="K219" s="816">
        <f>K60</f>
        <v>0</v>
      </c>
      <c r="L219" s="535"/>
      <c r="M219" s="545"/>
      <c r="N219" s="816">
        <f>N60</f>
        <v>0</v>
      </c>
      <c r="O219" s="535"/>
      <c r="P219" s="545"/>
      <c r="Q219" s="816">
        <f>Q60</f>
        <v>0</v>
      </c>
      <c r="R219" s="535"/>
      <c r="S219" s="545"/>
      <c r="T219" s="817">
        <f t="shared" ref="T219:AI219" si="206">T60</f>
        <v>0</v>
      </c>
      <c r="U219" s="817">
        <f t="shared" si="206"/>
        <v>0</v>
      </c>
      <c r="V219" s="817">
        <f t="shared" si="206"/>
        <v>0</v>
      </c>
      <c r="W219" s="817">
        <f t="shared" si="206"/>
        <v>0</v>
      </c>
      <c r="X219" s="817">
        <f t="shared" si="206"/>
        <v>0</v>
      </c>
      <c r="Y219" s="817">
        <f t="shared" si="206"/>
        <v>0</v>
      </c>
      <c r="Z219" s="817">
        <f t="shared" si="206"/>
        <v>0</v>
      </c>
      <c r="AA219" s="817">
        <f t="shared" si="206"/>
        <v>0</v>
      </c>
      <c r="AB219" s="817">
        <f t="shared" si="206"/>
        <v>0</v>
      </c>
      <c r="AC219" s="817">
        <f t="shared" si="206"/>
        <v>0</v>
      </c>
      <c r="AD219" s="817">
        <f t="shared" si="206"/>
        <v>0</v>
      </c>
      <c r="AE219" s="817">
        <f t="shared" si="206"/>
        <v>0</v>
      </c>
      <c r="AF219" s="817">
        <f t="shared" si="206"/>
        <v>0</v>
      </c>
      <c r="AG219" s="817">
        <f t="shared" si="206"/>
        <v>0</v>
      </c>
      <c r="AH219" s="817">
        <f t="shared" si="206"/>
        <v>0</v>
      </c>
      <c r="AI219" s="817">
        <f t="shared" si="206"/>
        <v>0</v>
      </c>
      <c r="AJ219" s="856"/>
    </row>
    <row r="220" spans="1:36" s="536" customFormat="1">
      <c r="A220" s="644"/>
      <c r="B220" s="818" t="s">
        <v>1248</v>
      </c>
      <c r="C220" s="1037">
        <f>C61</f>
        <v>0</v>
      </c>
      <c r="D220" s="535"/>
      <c r="E220" s="819">
        <f>E61</f>
        <v>0</v>
      </c>
      <c r="F220" s="535"/>
      <c r="G220" s="535"/>
      <c r="H220" s="819">
        <f>H61</f>
        <v>0</v>
      </c>
      <c r="I220" s="534"/>
      <c r="J220" s="534"/>
      <c r="K220" s="819">
        <f>K61</f>
        <v>0</v>
      </c>
      <c r="L220" s="535"/>
      <c r="M220" s="545"/>
      <c r="N220" s="819">
        <f>N61</f>
        <v>0</v>
      </c>
      <c r="O220" s="535"/>
      <c r="P220" s="545"/>
      <c r="Q220" s="819">
        <f>Q61</f>
        <v>0</v>
      </c>
      <c r="R220" s="535"/>
      <c r="S220" s="545"/>
      <c r="T220" s="820">
        <f t="shared" ref="T220:AI220" si="207">T61</f>
        <v>0</v>
      </c>
      <c r="U220" s="820">
        <f t="shared" si="207"/>
        <v>0</v>
      </c>
      <c r="V220" s="820">
        <f t="shared" si="207"/>
        <v>0</v>
      </c>
      <c r="W220" s="820">
        <f t="shared" si="207"/>
        <v>0</v>
      </c>
      <c r="X220" s="820">
        <f t="shared" si="207"/>
        <v>0</v>
      </c>
      <c r="Y220" s="820">
        <f t="shared" si="207"/>
        <v>0</v>
      </c>
      <c r="Z220" s="820">
        <f t="shared" si="207"/>
        <v>0</v>
      </c>
      <c r="AA220" s="820">
        <f t="shared" si="207"/>
        <v>0</v>
      </c>
      <c r="AB220" s="820">
        <f t="shared" si="207"/>
        <v>0</v>
      </c>
      <c r="AC220" s="820">
        <f t="shared" si="207"/>
        <v>0</v>
      </c>
      <c r="AD220" s="820">
        <f t="shared" si="207"/>
        <v>0</v>
      </c>
      <c r="AE220" s="820">
        <f t="shared" si="207"/>
        <v>0</v>
      </c>
      <c r="AF220" s="820">
        <f t="shared" si="207"/>
        <v>0</v>
      </c>
      <c r="AG220" s="820">
        <f t="shared" si="207"/>
        <v>0</v>
      </c>
      <c r="AH220" s="820">
        <f t="shared" si="207"/>
        <v>0</v>
      </c>
      <c r="AI220" s="820">
        <f t="shared" si="207"/>
        <v>0</v>
      </c>
      <c r="AJ220" s="856"/>
    </row>
    <row r="221" spans="1:36" s="814" customFormat="1">
      <c r="A221" s="810"/>
      <c r="B221" s="821" t="s">
        <v>1249</v>
      </c>
      <c r="C221" s="1038"/>
      <c r="D221" s="1032"/>
      <c r="E221" s="822">
        <f>SUM(E219:E220)-SUM(C219:C220)</f>
        <v>0</v>
      </c>
      <c r="F221" s="1032"/>
      <c r="G221" s="1032"/>
      <c r="H221" s="822">
        <f>SUM(H219:H220)-SUM(E219:E220)</f>
        <v>0</v>
      </c>
      <c r="I221" s="1033"/>
      <c r="J221" s="1033"/>
      <c r="K221" s="822">
        <f>SUM(K219:K220)-SUM(H219:H220)</f>
        <v>0</v>
      </c>
      <c r="L221" s="1032"/>
      <c r="M221" s="1034"/>
      <c r="N221" s="822">
        <f>SUM(N219:N220)-SUM(H219:H220)</f>
        <v>0</v>
      </c>
      <c r="O221" s="1032"/>
      <c r="P221" s="1034"/>
      <c r="Q221" s="822">
        <f>IF(OR($C$3=$L$913,$C$3=0),SUM(Q219:Q220)-SUM(N219:N220),SUM(Q219:Q220)-SUM(K219:K220))</f>
        <v>0</v>
      </c>
      <c r="R221" s="1032"/>
      <c r="S221" s="1034"/>
      <c r="T221" s="822">
        <f>SUM(T219:T220)-SUM(N219:N220)</f>
        <v>0</v>
      </c>
      <c r="U221" s="823">
        <f t="shared" ref="U221:AI221" si="208">SUM(U219:U220)-SUM(T219:T220)</f>
        <v>0</v>
      </c>
      <c r="V221" s="823">
        <f t="shared" si="208"/>
        <v>0</v>
      </c>
      <c r="W221" s="823">
        <f t="shared" si="208"/>
        <v>0</v>
      </c>
      <c r="X221" s="823">
        <f t="shared" si="208"/>
        <v>0</v>
      </c>
      <c r="Y221" s="823">
        <f t="shared" si="208"/>
        <v>0</v>
      </c>
      <c r="Z221" s="823">
        <f t="shared" si="208"/>
        <v>0</v>
      </c>
      <c r="AA221" s="823">
        <f t="shared" si="208"/>
        <v>0</v>
      </c>
      <c r="AB221" s="823">
        <f t="shared" si="208"/>
        <v>0</v>
      </c>
      <c r="AC221" s="823">
        <f t="shared" si="208"/>
        <v>0</v>
      </c>
      <c r="AD221" s="823">
        <f t="shared" si="208"/>
        <v>0</v>
      </c>
      <c r="AE221" s="823">
        <f t="shared" si="208"/>
        <v>0</v>
      </c>
      <c r="AF221" s="823">
        <f t="shared" si="208"/>
        <v>0</v>
      </c>
      <c r="AG221" s="823">
        <f t="shared" si="208"/>
        <v>0</v>
      </c>
      <c r="AH221" s="823">
        <f t="shared" si="208"/>
        <v>0</v>
      </c>
      <c r="AI221" s="823">
        <f t="shared" si="208"/>
        <v>0</v>
      </c>
      <c r="AJ221" s="1035"/>
    </row>
    <row r="222" spans="1:36" s="536" customFormat="1">
      <c r="A222" s="644"/>
      <c r="B222" s="815" t="s">
        <v>940</v>
      </c>
      <c r="C222" s="1036">
        <f>C62</f>
        <v>0</v>
      </c>
      <c r="D222" s="535"/>
      <c r="E222" s="816">
        <f>E62</f>
        <v>0</v>
      </c>
      <c r="F222" s="535"/>
      <c r="G222" s="535"/>
      <c r="H222" s="816">
        <f>H62</f>
        <v>0</v>
      </c>
      <c r="I222" s="534"/>
      <c r="J222" s="534"/>
      <c r="K222" s="816">
        <f>K62</f>
        <v>0</v>
      </c>
      <c r="L222" s="535"/>
      <c r="M222" s="799"/>
      <c r="N222" s="816">
        <f>N62</f>
        <v>0</v>
      </c>
      <c r="O222" s="535"/>
      <c r="P222" s="799"/>
      <c r="Q222" s="816">
        <f>Q62</f>
        <v>0</v>
      </c>
      <c r="R222" s="535"/>
      <c r="S222" s="799"/>
      <c r="T222" s="817">
        <f t="shared" ref="T222:AI222" si="209">T62</f>
        <v>0</v>
      </c>
      <c r="U222" s="817">
        <f t="shared" si="209"/>
        <v>0</v>
      </c>
      <c r="V222" s="817">
        <f t="shared" si="209"/>
        <v>0</v>
      </c>
      <c r="W222" s="817">
        <f t="shared" si="209"/>
        <v>0</v>
      </c>
      <c r="X222" s="817">
        <f t="shared" si="209"/>
        <v>0</v>
      </c>
      <c r="Y222" s="817">
        <f t="shared" si="209"/>
        <v>0</v>
      </c>
      <c r="Z222" s="817">
        <f t="shared" si="209"/>
        <v>0</v>
      </c>
      <c r="AA222" s="817">
        <f t="shared" si="209"/>
        <v>0</v>
      </c>
      <c r="AB222" s="817">
        <f t="shared" si="209"/>
        <v>0</v>
      </c>
      <c r="AC222" s="817">
        <f t="shared" si="209"/>
        <v>0</v>
      </c>
      <c r="AD222" s="817">
        <f t="shared" si="209"/>
        <v>0</v>
      </c>
      <c r="AE222" s="817">
        <f t="shared" si="209"/>
        <v>0</v>
      </c>
      <c r="AF222" s="817">
        <f t="shared" si="209"/>
        <v>0</v>
      </c>
      <c r="AG222" s="817">
        <f t="shared" si="209"/>
        <v>0</v>
      </c>
      <c r="AH222" s="817">
        <f t="shared" si="209"/>
        <v>0</v>
      </c>
      <c r="AI222" s="817">
        <f t="shared" si="209"/>
        <v>0</v>
      </c>
      <c r="AJ222" s="856"/>
    </row>
    <row r="223" spans="1:36" s="536" customFormat="1">
      <c r="A223" s="644"/>
      <c r="B223" s="824" t="s">
        <v>1250</v>
      </c>
      <c r="C223" s="1039">
        <f>C63</f>
        <v>0</v>
      </c>
      <c r="D223" s="535"/>
      <c r="E223" s="825">
        <f>E63</f>
        <v>0</v>
      </c>
      <c r="F223" s="535"/>
      <c r="G223" s="535"/>
      <c r="H223" s="825">
        <f>H63</f>
        <v>0</v>
      </c>
      <c r="I223" s="534"/>
      <c r="J223" s="534"/>
      <c r="K223" s="825">
        <f>K63</f>
        <v>0</v>
      </c>
      <c r="L223" s="535"/>
      <c r="M223" s="545"/>
      <c r="N223" s="825">
        <f>N63</f>
        <v>0</v>
      </c>
      <c r="O223" s="535"/>
      <c r="P223" s="545"/>
      <c r="Q223" s="825">
        <f>Q63</f>
        <v>0</v>
      </c>
      <c r="R223" s="535"/>
      <c r="S223" s="545"/>
      <c r="T223" s="826">
        <f t="shared" ref="T223:AI223" si="210">T63</f>
        <v>0</v>
      </c>
      <c r="U223" s="826">
        <f t="shared" si="210"/>
        <v>0</v>
      </c>
      <c r="V223" s="826">
        <f t="shared" si="210"/>
        <v>0</v>
      </c>
      <c r="W223" s="826">
        <f t="shared" si="210"/>
        <v>0</v>
      </c>
      <c r="X223" s="826">
        <f t="shared" si="210"/>
        <v>0</v>
      </c>
      <c r="Y223" s="826">
        <f t="shared" si="210"/>
        <v>0</v>
      </c>
      <c r="Z223" s="826">
        <f t="shared" si="210"/>
        <v>0</v>
      </c>
      <c r="AA223" s="826">
        <f t="shared" si="210"/>
        <v>0</v>
      </c>
      <c r="AB223" s="826">
        <f t="shared" si="210"/>
        <v>0</v>
      </c>
      <c r="AC223" s="826">
        <f t="shared" si="210"/>
        <v>0</v>
      </c>
      <c r="AD223" s="826">
        <f t="shared" si="210"/>
        <v>0</v>
      </c>
      <c r="AE223" s="826">
        <f t="shared" si="210"/>
        <v>0</v>
      </c>
      <c r="AF223" s="826">
        <f t="shared" si="210"/>
        <v>0</v>
      </c>
      <c r="AG223" s="826">
        <f t="shared" si="210"/>
        <v>0</v>
      </c>
      <c r="AH223" s="826">
        <f t="shared" si="210"/>
        <v>0</v>
      </c>
      <c r="AI223" s="826">
        <f t="shared" si="210"/>
        <v>0</v>
      </c>
      <c r="AJ223" s="856"/>
    </row>
    <row r="224" spans="1:36" s="536" customFormat="1">
      <c r="A224" s="644"/>
      <c r="B224" s="824" t="str">
        <f>B66</f>
        <v>OTROS PATRIMONIO</v>
      </c>
      <c r="C224" s="1039">
        <f>C66</f>
        <v>0</v>
      </c>
      <c r="D224" s="535"/>
      <c r="E224" s="825">
        <f>E66</f>
        <v>0</v>
      </c>
      <c r="F224" s="535"/>
      <c r="G224" s="535"/>
      <c r="H224" s="825">
        <f>H66</f>
        <v>0</v>
      </c>
      <c r="I224" s="534"/>
      <c r="J224" s="534"/>
      <c r="K224" s="825">
        <f>K66</f>
        <v>0</v>
      </c>
      <c r="L224" s="535"/>
      <c r="M224" s="545"/>
      <c r="N224" s="825">
        <f>N66</f>
        <v>0</v>
      </c>
      <c r="O224" s="535"/>
      <c r="P224" s="545"/>
      <c r="Q224" s="825">
        <f>Q66</f>
        <v>0</v>
      </c>
      <c r="R224" s="535"/>
      <c r="S224" s="545"/>
      <c r="T224" s="826">
        <f t="shared" ref="T224:AI224" si="211">T66</f>
        <v>0</v>
      </c>
      <c r="U224" s="826">
        <f t="shared" si="211"/>
        <v>0</v>
      </c>
      <c r="V224" s="826">
        <f t="shared" si="211"/>
        <v>0</v>
      </c>
      <c r="W224" s="826">
        <f t="shared" si="211"/>
        <v>0</v>
      </c>
      <c r="X224" s="826">
        <f t="shared" si="211"/>
        <v>0</v>
      </c>
      <c r="Y224" s="826">
        <f t="shared" si="211"/>
        <v>0</v>
      </c>
      <c r="Z224" s="826">
        <f t="shared" si="211"/>
        <v>0</v>
      </c>
      <c r="AA224" s="826">
        <f t="shared" si="211"/>
        <v>0</v>
      </c>
      <c r="AB224" s="826">
        <f t="shared" si="211"/>
        <v>0</v>
      </c>
      <c r="AC224" s="826">
        <f t="shared" si="211"/>
        <v>0</v>
      </c>
      <c r="AD224" s="826">
        <f t="shared" si="211"/>
        <v>0</v>
      </c>
      <c r="AE224" s="826">
        <f t="shared" si="211"/>
        <v>0</v>
      </c>
      <c r="AF224" s="826">
        <f t="shared" si="211"/>
        <v>0</v>
      </c>
      <c r="AG224" s="826">
        <f t="shared" si="211"/>
        <v>0</v>
      </c>
      <c r="AH224" s="826">
        <f t="shared" si="211"/>
        <v>0</v>
      </c>
      <c r="AI224" s="826">
        <f t="shared" si="211"/>
        <v>0</v>
      </c>
      <c r="AJ224" s="856"/>
    </row>
    <row r="225" spans="1:102" s="536" customFormat="1">
      <c r="A225" s="644"/>
      <c r="B225" s="827" t="s">
        <v>943</v>
      </c>
      <c r="C225" s="1040">
        <f>C64</f>
        <v>0</v>
      </c>
      <c r="D225" s="535"/>
      <c r="E225" s="828">
        <f>E64</f>
        <v>0</v>
      </c>
      <c r="F225" s="535"/>
      <c r="G225" s="535"/>
      <c r="H225" s="828">
        <f>H64</f>
        <v>0</v>
      </c>
      <c r="I225" s="534"/>
      <c r="J225" s="534"/>
      <c r="K225" s="828">
        <f>K64</f>
        <v>0</v>
      </c>
      <c r="L225" s="535"/>
      <c r="M225" s="545"/>
      <c r="N225" s="828">
        <f>N64</f>
        <v>0</v>
      </c>
      <c r="O225" s="535"/>
      <c r="P225" s="545"/>
      <c r="Q225" s="828">
        <f>Q64</f>
        <v>0</v>
      </c>
      <c r="R225" s="535"/>
      <c r="S225" s="545"/>
      <c r="T225" s="829">
        <f t="shared" ref="T225:AI225" si="212">T64</f>
        <v>0</v>
      </c>
      <c r="U225" s="829">
        <f t="shared" si="212"/>
        <v>0</v>
      </c>
      <c r="V225" s="829">
        <f t="shared" si="212"/>
        <v>0</v>
      </c>
      <c r="W225" s="829">
        <f t="shared" si="212"/>
        <v>0</v>
      </c>
      <c r="X225" s="829">
        <f t="shared" si="212"/>
        <v>0</v>
      </c>
      <c r="Y225" s="829">
        <f t="shared" si="212"/>
        <v>0</v>
      </c>
      <c r="Z225" s="829">
        <f t="shared" si="212"/>
        <v>0</v>
      </c>
      <c r="AA225" s="829">
        <f t="shared" si="212"/>
        <v>0</v>
      </c>
      <c r="AB225" s="829">
        <f t="shared" si="212"/>
        <v>0</v>
      </c>
      <c r="AC225" s="829">
        <f t="shared" si="212"/>
        <v>0</v>
      </c>
      <c r="AD225" s="829">
        <f t="shared" si="212"/>
        <v>0</v>
      </c>
      <c r="AE225" s="829">
        <f t="shared" si="212"/>
        <v>0</v>
      </c>
      <c r="AF225" s="829">
        <f t="shared" si="212"/>
        <v>0</v>
      </c>
      <c r="AG225" s="829">
        <f t="shared" si="212"/>
        <v>0</v>
      </c>
      <c r="AH225" s="829">
        <f t="shared" si="212"/>
        <v>0</v>
      </c>
      <c r="AI225" s="829">
        <f t="shared" si="212"/>
        <v>0</v>
      </c>
      <c r="AJ225" s="856"/>
    </row>
    <row r="226" spans="1:102" s="832" customFormat="1" ht="12.5">
      <c r="A226" s="830"/>
      <c r="B226" s="818" t="str">
        <f>CONCATENATE("RESULTADO ",LEFT(K16,3),". ",TEXT(K15,"0.00")," A ",LEFT(N16,3),". ",TEXT(N15,"0.00")," (SÓLO APLICA PARA CORTE ",LEFT(Q16,3),". '",RIGHT(TEXT(Q15,"0.00"),2),")")</f>
        <v>RESULTADO Jun. 2.019 A Dic. 2.019 (SÓLO APLICA PARA CORTE Jun. '20)</v>
      </c>
      <c r="C226" s="1037"/>
      <c r="D226" s="535"/>
      <c r="E226" s="820" t="s">
        <v>1260</v>
      </c>
      <c r="F226" s="535"/>
      <c r="G226" s="535"/>
      <c r="H226" s="820" t="s">
        <v>1260</v>
      </c>
      <c r="I226" s="534"/>
      <c r="J226" s="534"/>
      <c r="K226" s="820" t="s">
        <v>1260</v>
      </c>
      <c r="L226" s="535"/>
      <c r="M226" s="545"/>
      <c r="N226" s="820" t="s">
        <v>1260</v>
      </c>
      <c r="O226" s="535"/>
      <c r="P226" s="545"/>
      <c r="Q226" s="819">
        <f>N64-K64</f>
        <v>0</v>
      </c>
      <c r="R226" s="535"/>
      <c r="S226" s="545"/>
      <c r="T226" s="820"/>
      <c r="U226" s="820"/>
      <c r="V226" s="820"/>
      <c r="W226" s="820"/>
      <c r="X226" s="820"/>
      <c r="Y226" s="820"/>
      <c r="Z226" s="820"/>
      <c r="AA226" s="820"/>
      <c r="AB226" s="820"/>
      <c r="AC226" s="820"/>
      <c r="AD226" s="820"/>
      <c r="AE226" s="820"/>
      <c r="AF226" s="820"/>
      <c r="AG226" s="820"/>
      <c r="AH226" s="820"/>
      <c r="AI226" s="820"/>
      <c r="AJ226" s="1041"/>
    </row>
    <row r="227" spans="1:102" s="536" customFormat="1">
      <c r="A227" s="644"/>
      <c r="B227" s="833" t="s">
        <v>1251</v>
      </c>
      <c r="C227" s="1042"/>
      <c r="D227" s="1034"/>
      <c r="E227" s="834">
        <f>IF(OR(SUM(C222:C225)&gt;=SUM(E222:E224),ABS(SUM(E222:E224)-SUM(C222:C225))&lt;0.5),SUM(C222:C225)-SUM(E222:E224),0)</f>
        <v>0</v>
      </c>
      <c r="F227" s="1034"/>
      <c r="G227" s="1034"/>
      <c r="H227" s="834">
        <f>IF(OR(SUM(E222:E225)&gt;=SUM(H222:H224),ABS(SUM(H222:H224)-SUM(E222:E225))&lt;0.5),SUM(E222:E225)-SUM(H222:H224),0)</f>
        <v>0</v>
      </c>
      <c r="I227" s="1034"/>
      <c r="J227" s="1034"/>
      <c r="K227" s="834">
        <f>IF(OR(SUM(H222:H225)&gt;=SUM(K222:K224),ABS(SUM(K222:K224)-SUM(H222:H225))&lt;0.5),SUM(H222:H225)-SUM(K222:K224),0)</f>
        <v>0</v>
      </c>
      <c r="L227" s="1034"/>
      <c r="M227" s="1043"/>
      <c r="N227" s="834">
        <f>IF(OR(SUM(H222:H225)&gt;=SUM(N222:N224),ABS(SUM(N222:N224)-SUM(H222:H225))&lt;0.5),SUM(H222:H225)-SUM(N222:N224),0)</f>
        <v>0</v>
      </c>
      <c r="O227" s="1034"/>
      <c r="P227" s="1043"/>
      <c r="Q227" s="834">
        <f>IF(OR($C$3=$L$913,$C$3=0),IF(OR(SUM(N222:N225)&gt;=SUM(Q222:Q224),ABS(SUM(Q222:Q224)-SUM(N222:N225))&lt;0.5),SUM(N222:N225)-SUM(Q222:Q224),0),IF(OR(SUM(K222:K225,Q226)&gt;=SUM(Q222:Q224),ABS(SUM(Q222:Q224)-SUM(K222:K225,Q226))&lt;0.5),SUM(K222:K225,Q226)-SUM(Q222:Q224),0))</f>
        <v>0</v>
      </c>
      <c r="R227" s="1034"/>
      <c r="S227" s="1043"/>
      <c r="T227" s="834">
        <f>IF(OR(SUM(N222:N225)&gt;=SUM(T222:T224),ABS(SUM(T222:T224)-SUM(N222:N225))&lt;0.5),SUM(N222:N225)-SUM(T222:T224),0)</f>
        <v>0</v>
      </c>
      <c r="U227" s="836">
        <f t="shared" ref="U227:AI227" si="213">IF(OR(SUM(T222:T225)&gt;=SUM(U222:U224),ABS(SUM(U222:U224)-SUM(T222:T225))&lt;0.5),SUM(T222:T225)-SUM(U222:U224),0)</f>
        <v>0</v>
      </c>
      <c r="V227" s="836">
        <f t="shared" si="213"/>
        <v>0</v>
      </c>
      <c r="W227" s="836">
        <f t="shared" si="213"/>
        <v>0</v>
      </c>
      <c r="X227" s="836">
        <f t="shared" si="213"/>
        <v>0</v>
      </c>
      <c r="Y227" s="836">
        <f t="shared" si="213"/>
        <v>0</v>
      </c>
      <c r="Z227" s="836">
        <f t="shared" si="213"/>
        <v>0</v>
      </c>
      <c r="AA227" s="836">
        <f t="shared" si="213"/>
        <v>0</v>
      </c>
      <c r="AB227" s="836">
        <f t="shared" si="213"/>
        <v>0</v>
      </c>
      <c r="AC227" s="836">
        <f t="shared" si="213"/>
        <v>0</v>
      </c>
      <c r="AD227" s="836">
        <f t="shared" si="213"/>
        <v>0</v>
      </c>
      <c r="AE227" s="836">
        <f t="shared" si="213"/>
        <v>0</v>
      </c>
      <c r="AF227" s="836">
        <f t="shared" si="213"/>
        <v>0</v>
      </c>
      <c r="AG227" s="836">
        <f t="shared" si="213"/>
        <v>0</v>
      </c>
      <c r="AH227" s="836">
        <f t="shared" si="213"/>
        <v>0</v>
      </c>
      <c r="AI227" s="836">
        <f t="shared" si="213"/>
        <v>0</v>
      </c>
      <c r="AJ227" s="856"/>
    </row>
    <row r="228" spans="1:102" s="536" customFormat="1">
      <c r="A228" s="644"/>
      <c r="B228" s="837" t="s">
        <v>1252</v>
      </c>
      <c r="C228" s="1044"/>
      <c r="D228" s="535"/>
      <c r="E228" s="838">
        <f>E65-C65</f>
        <v>0</v>
      </c>
      <c r="F228" s="535"/>
      <c r="G228" s="535"/>
      <c r="H228" s="838">
        <f>H65-E65</f>
        <v>0</v>
      </c>
      <c r="I228" s="534"/>
      <c r="J228" s="534"/>
      <c r="K228" s="838">
        <f>K65-H65</f>
        <v>0</v>
      </c>
      <c r="L228" s="535"/>
      <c r="M228" s="545"/>
      <c r="N228" s="838">
        <f>N65-H65</f>
        <v>0</v>
      </c>
      <c r="O228" s="535"/>
      <c r="P228" s="545"/>
      <c r="Q228" s="838">
        <f>IF(OR($C$3=$L$913,$C$3=0),Q65-N65,Q65-K65)</f>
        <v>0</v>
      </c>
      <c r="R228" s="535"/>
      <c r="S228" s="545"/>
      <c r="T228" s="839">
        <f>T65-N65</f>
        <v>0</v>
      </c>
      <c r="U228" s="839">
        <f t="shared" ref="U228:AI228" si="214">U65-T65</f>
        <v>0</v>
      </c>
      <c r="V228" s="839">
        <f t="shared" si="214"/>
        <v>0</v>
      </c>
      <c r="W228" s="839">
        <f t="shared" si="214"/>
        <v>0</v>
      </c>
      <c r="X228" s="839">
        <f t="shared" si="214"/>
        <v>0</v>
      </c>
      <c r="Y228" s="839">
        <f t="shared" si="214"/>
        <v>0</v>
      </c>
      <c r="Z228" s="839">
        <f t="shared" si="214"/>
        <v>0</v>
      </c>
      <c r="AA228" s="839">
        <f t="shared" si="214"/>
        <v>0</v>
      </c>
      <c r="AB228" s="839">
        <f t="shared" si="214"/>
        <v>0</v>
      </c>
      <c r="AC228" s="839">
        <f t="shared" si="214"/>
        <v>0</v>
      </c>
      <c r="AD228" s="839">
        <f t="shared" si="214"/>
        <v>0</v>
      </c>
      <c r="AE228" s="839">
        <f t="shared" si="214"/>
        <v>0</v>
      </c>
      <c r="AF228" s="839">
        <f t="shared" si="214"/>
        <v>0</v>
      </c>
      <c r="AG228" s="839">
        <f t="shared" si="214"/>
        <v>0</v>
      </c>
      <c r="AH228" s="839">
        <f t="shared" si="214"/>
        <v>0</v>
      </c>
      <c r="AI228" s="839">
        <f t="shared" si="214"/>
        <v>0</v>
      </c>
      <c r="AJ228" s="856"/>
    </row>
    <row r="229" spans="1:102" s="814" customFormat="1">
      <c r="A229" s="810"/>
      <c r="B229" s="840" t="s">
        <v>1253</v>
      </c>
      <c r="C229" s="1045"/>
      <c r="D229" s="1032"/>
      <c r="E229" s="841">
        <f>IF(E228&gt;0,0,IF(AND(E228&lt;=0,C63&lt;0,E63&gt;C63,(E63-C63)&gt;(C63+C64)),0,IF(AND(E228&lt;=0,E221&gt;=0),-E228,0)))</f>
        <v>0</v>
      </c>
      <c r="F229" s="1032"/>
      <c r="G229" s="1032"/>
      <c r="H229" s="841">
        <f>IF(H228&gt;0,0,IF(AND(H228&lt;=0,E63&lt;0,H63&gt;E63,(H63-E63)&gt;(E63+E64)),0,IF(AND(H228&lt;=0,H221&gt;=0),-H228,0)))</f>
        <v>0</v>
      </c>
      <c r="I229" s="1033"/>
      <c r="J229" s="1033"/>
      <c r="K229" s="841">
        <f>IF(K228&gt;0,0,IF(AND(K228&lt;=0,H63&lt;0,K63&gt;H63,(K63-H63)&gt;(H63+H64)),0,IF(AND(K228&lt;=0,K221&gt;=0),-K228,0)))</f>
        <v>0</v>
      </c>
      <c r="L229" s="1032"/>
      <c r="M229" s="1034"/>
      <c r="N229" s="841">
        <f>IF(N228&gt;0,0,IF(AND(N228&lt;=0,H63&lt;0,N63&gt;H63,(N63-H63)&gt;(H63+H64)),0,IF(AND(N228&lt;=0,N221&gt;=0),-N228,0)))</f>
        <v>0</v>
      </c>
      <c r="O229" s="1032"/>
      <c r="P229" s="1034"/>
      <c r="Q229" s="841">
        <f>IF(OR($C$3=$L$913,$C$3=0),IF(Q228&gt;0,0,IF(AND(Q228&lt;=0,N63&lt;0,Q63&gt;N63,(Q63-N63)&gt;(N63+N64)),0,IF(AND(Q228&lt;=0,Q221&gt;=0),-Q228,0))),IF(Q228&gt;0,0,IF(AND(Q228&lt;=0,K63&lt;0,Q63&gt;K63,(Q63-K63)&gt;(K63+K64)),0,IF(AND(Q228&lt;=0,Q221&gt;=0),-Q228,0))))</f>
        <v>0</v>
      </c>
      <c r="R229" s="1032"/>
      <c r="S229" s="1034"/>
      <c r="T229" s="842">
        <f>IF(T228&gt;0,0,IF(AND(T228&lt;=0,N63&lt;0,T63&gt;N63,(T63-N63)&gt;(N63+N64)),0,IF(AND(T228&lt;=0,T221&gt;=0),-T228,0)))</f>
        <v>0</v>
      </c>
      <c r="U229" s="842">
        <f t="shared" ref="U229:AI229" si="215">IF(U228&gt;0,0,IF(AND(U228&lt;=0,T63&lt;0,U63&gt;T63,(U63-T63)&gt;(T63+T64)),0,IF(AND(U228&lt;=0,U221&gt;=0),-U228,0)))</f>
        <v>0</v>
      </c>
      <c r="V229" s="842">
        <f t="shared" si="215"/>
        <v>0</v>
      </c>
      <c r="W229" s="842">
        <f t="shared" si="215"/>
        <v>0</v>
      </c>
      <c r="X229" s="842">
        <f t="shared" si="215"/>
        <v>0</v>
      </c>
      <c r="Y229" s="842">
        <f t="shared" si="215"/>
        <v>0</v>
      </c>
      <c r="Z229" s="842">
        <f t="shared" si="215"/>
        <v>0</v>
      </c>
      <c r="AA229" s="842">
        <f t="shared" si="215"/>
        <v>0</v>
      </c>
      <c r="AB229" s="842">
        <f t="shared" si="215"/>
        <v>0</v>
      </c>
      <c r="AC229" s="842">
        <f t="shared" si="215"/>
        <v>0</v>
      </c>
      <c r="AD229" s="842">
        <f t="shared" si="215"/>
        <v>0</v>
      </c>
      <c r="AE229" s="842">
        <f t="shared" si="215"/>
        <v>0</v>
      </c>
      <c r="AF229" s="842">
        <f t="shared" si="215"/>
        <v>0</v>
      </c>
      <c r="AG229" s="842">
        <f t="shared" si="215"/>
        <v>0</v>
      </c>
      <c r="AH229" s="842">
        <f t="shared" si="215"/>
        <v>0</v>
      </c>
      <c r="AI229" s="842">
        <f t="shared" si="215"/>
        <v>0</v>
      </c>
      <c r="AJ229" s="1035"/>
    </row>
    <row r="230" spans="1:102" s="814" customFormat="1">
      <c r="A230" s="810"/>
      <c r="B230" s="815" t="s">
        <v>1253</v>
      </c>
      <c r="C230" s="1036"/>
      <c r="D230" s="535"/>
      <c r="E230" s="816">
        <f>IF(E221&gt;0,E229,0)</f>
        <v>0</v>
      </c>
      <c r="F230" s="535"/>
      <c r="G230" s="535"/>
      <c r="H230" s="816">
        <f>IF(H221&gt;0,H229,0)</f>
        <v>0</v>
      </c>
      <c r="I230" s="534"/>
      <c r="J230" s="534"/>
      <c r="K230" s="816">
        <f>IF(K221&gt;0,K229,0)</f>
        <v>0</v>
      </c>
      <c r="L230" s="535"/>
      <c r="M230" s="545"/>
      <c r="N230" s="816">
        <f>IF(N221&gt;0,N229,0)</f>
        <v>0</v>
      </c>
      <c r="O230" s="535"/>
      <c r="P230" s="545"/>
      <c r="Q230" s="816">
        <f>IF(Q221&gt;0,Q229,0)</f>
        <v>0</v>
      </c>
      <c r="R230" s="535"/>
      <c r="S230" s="545"/>
      <c r="T230" s="817">
        <f t="shared" ref="T230:AI230" si="216">IF(T221&gt;0,T229,0)</f>
        <v>0</v>
      </c>
      <c r="U230" s="817">
        <f t="shared" si="216"/>
        <v>0</v>
      </c>
      <c r="V230" s="817">
        <f t="shared" si="216"/>
        <v>0</v>
      </c>
      <c r="W230" s="817">
        <f t="shared" si="216"/>
        <v>0</v>
      </c>
      <c r="X230" s="817">
        <f t="shared" si="216"/>
        <v>0</v>
      </c>
      <c r="Y230" s="817">
        <f t="shared" si="216"/>
        <v>0</v>
      </c>
      <c r="Z230" s="817">
        <f t="shared" si="216"/>
        <v>0</v>
      </c>
      <c r="AA230" s="817">
        <f t="shared" si="216"/>
        <v>0</v>
      </c>
      <c r="AB230" s="817">
        <f t="shared" si="216"/>
        <v>0</v>
      </c>
      <c r="AC230" s="817">
        <f t="shared" si="216"/>
        <v>0</v>
      </c>
      <c r="AD230" s="817">
        <f t="shared" si="216"/>
        <v>0</v>
      </c>
      <c r="AE230" s="817">
        <f t="shared" si="216"/>
        <v>0</v>
      </c>
      <c r="AF230" s="817">
        <f t="shared" si="216"/>
        <v>0</v>
      </c>
      <c r="AG230" s="817">
        <f t="shared" si="216"/>
        <v>0</v>
      </c>
      <c r="AH230" s="817">
        <f t="shared" si="216"/>
        <v>0</v>
      </c>
      <c r="AI230" s="817">
        <f t="shared" si="216"/>
        <v>0</v>
      </c>
      <c r="AJ230" s="1035"/>
    </row>
    <row r="231" spans="1:102" s="536" customFormat="1">
      <c r="A231" s="644"/>
      <c r="B231" s="824" t="s">
        <v>1254</v>
      </c>
      <c r="C231" s="1039"/>
      <c r="D231" s="535"/>
      <c r="E231" s="1046">
        <f>IF(AND(E221&gt;0,E221-E229&gt;0,E221-E229&gt;E227),E227,IF(E221&lt;0,0,E221-E229))</f>
        <v>0</v>
      </c>
      <c r="F231" s="535"/>
      <c r="G231" s="535"/>
      <c r="H231" s="1046">
        <f>IF(AND(H221&gt;0,H221-H229&gt;0,H221-H229&gt;H227),H227,IF(H221&lt;0,0,H221-H229))</f>
        <v>0</v>
      </c>
      <c r="I231" s="534"/>
      <c r="J231" s="534"/>
      <c r="K231" s="1046">
        <f>IF(AND(K221&gt;0,K221-K229&gt;0,K221-K229&gt;K227),K227,IF(K221&lt;=0,0,K221-K229))</f>
        <v>0</v>
      </c>
      <c r="L231" s="535"/>
      <c r="M231" s="545"/>
      <c r="N231" s="843">
        <f>IF(AND(N221&gt;0,N221-N229&gt;0,N221-N229&gt;N227),N227,IF(N221&lt;=0,0,N221-N229))</f>
        <v>0</v>
      </c>
      <c r="O231" s="535"/>
      <c r="P231" s="545"/>
      <c r="Q231" s="1046">
        <f>IF(AND(Q221&gt;0,Q221-Q229&gt;0,Q221-Q229&gt;Q227),Q227,IF(Q221&lt;=0,0,Q221-Q229))</f>
        <v>0</v>
      </c>
      <c r="R231" s="535"/>
      <c r="S231" s="545"/>
      <c r="T231" s="845">
        <f t="shared" ref="T231:AI231" si="217">IF(AND(T221&gt;0,T221-T229&gt;0,T221-T229&gt;T227),T227,IF(T221&lt;0,0,T221-T229))</f>
        <v>0</v>
      </c>
      <c r="U231" s="845">
        <f t="shared" si="217"/>
        <v>0</v>
      </c>
      <c r="V231" s="845">
        <f t="shared" si="217"/>
        <v>0</v>
      </c>
      <c r="W231" s="845">
        <f t="shared" si="217"/>
        <v>0</v>
      </c>
      <c r="X231" s="845">
        <f t="shared" si="217"/>
        <v>0</v>
      </c>
      <c r="Y231" s="845">
        <f t="shared" si="217"/>
        <v>0</v>
      </c>
      <c r="Z231" s="845">
        <f t="shared" si="217"/>
        <v>0</v>
      </c>
      <c r="AA231" s="845">
        <f t="shared" si="217"/>
        <v>0</v>
      </c>
      <c r="AB231" s="845">
        <f t="shared" si="217"/>
        <v>0</v>
      </c>
      <c r="AC231" s="845">
        <f t="shared" si="217"/>
        <v>0</v>
      </c>
      <c r="AD231" s="845">
        <f t="shared" si="217"/>
        <v>0</v>
      </c>
      <c r="AE231" s="845">
        <f t="shared" si="217"/>
        <v>0</v>
      </c>
      <c r="AF231" s="845">
        <f t="shared" si="217"/>
        <v>0</v>
      </c>
      <c r="AG231" s="845">
        <f t="shared" si="217"/>
        <v>0</v>
      </c>
      <c r="AH231" s="845">
        <f t="shared" si="217"/>
        <v>0</v>
      </c>
      <c r="AI231" s="845">
        <f t="shared" si="217"/>
        <v>0</v>
      </c>
      <c r="AJ231" s="856"/>
    </row>
    <row r="232" spans="1:102" s="536" customFormat="1">
      <c r="A232" s="644"/>
      <c r="B232" s="824" t="s">
        <v>1255</v>
      </c>
      <c r="C232" s="1039"/>
      <c r="D232" s="535"/>
      <c r="E232" s="825">
        <f>IF(E221-E230-E231&lt;&gt;0,E221-E230-E231,0)</f>
        <v>0</v>
      </c>
      <c r="F232" s="535"/>
      <c r="G232" s="535"/>
      <c r="H232" s="825">
        <f>IF(H221-H230-H231&lt;&gt;0,H221-H230-H231,0)</f>
        <v>0</v>
      </c>
      <c r="I232" s="534"/>
      <c r="J232" s="534"/>
      <c r="K232" s="825">
        <f>IF(K221-K230-K231&lt;&gt;0,K221-K230-K231,0)</f>
        <v>0</v>
      </c>
      <c r="L232" s="535"/>
      <c r="M232" s="545"/>
      <c r="N232" s="825">
        <f>IF(N221-N230-N231&lt;&gt;0,N221-N230-N231,0)</f>
        <v>0</v>
      </c>
      <c r="O232" s="535"/>
      <c r="P232" s="545"/>
      <c r="Q232" s="825">
        <f>IF(Q221-Q230-Q231&lt;&gt;0,Q221-Q230-Q231,0)</f>
        <v>0</v>
      </c>
      <c r="R232" s="535"/>
      <c r="S232" s="545"/>
      <c r="T232" s="826">
        <f t="shared" ref="T232:AI232" si="218">IF(T221-T230-T231&lt;&gt;0,T221-T230-T231-IF(T234&gt;0,T234,0),0)</f>
        <v>0</v>
      </c>
      <c r="U232" s="826">
        <f t="shared" si="218"/>
        <v>0</v>
      </c>
      <c r="V232" s="826">
        <f t="shared" si="218"/>
        <v>0</v>
      </c>
      <c r="W232" s="826">
        <f t="shared" si="218"/>
        <v>0</v>
      </c>
      <c r="X232" s="826">
        <f t="shared" si="218"/>
        <v>0</v>
      </c>
      <c r="Y232" s="826">
        <f t="shared" si="218"/>
        <v>0</v>
      </c>
      <c r="Z232" s="826">
        <f t="shared" si="218"/>
        <v>0</v>
      </c>
      <c r="AA232" s="826">
        <f t="shared" si="218"/>
        <v>0</v>
      </c>
      <c r="AB232" s="826">
        <f t="shared" si="218"/>
        <v>0</v>
      </c>
      <c r="AC232" s="826">
        <f t="shared" si="218"/>
        <v>0</v>
      </c>
      <c r="AD232" s="826">
        <f t="shared" si="218"/>
        <v>0</v>
      </c>
      <c r="AE232" s="826">
        <f t="shared" si="218"/>
        <v>0</v>
      </c>
      <c r="AF232" s="826">
        <f t="shared" si="218"/>
        <v>0</v>
      </c>
      <c r="AG232" s="826">
        <f t="shared" si="218"/>
        <v>0</v>
      </c>
      <c r="AH232" s="826">
        <f t="shared" si="218"/>
        <v>0</v>
      </c>
      <c r="AI232" s="826">
        <f t="shared" si="218"/>
        <v>0</v>
      </c>
      <c r="AJ232" s="856"/>
    </row>
    <row r="233" spans="1:102" s="536" customFormat="1">
      <c r="A233" s="644"/>
      <c r="B233" s="827" t="s">
        <v>1256</v>
      </c>
      <c r="C233" s="1040"/>
      <c r="D233" s="545"/>
      <c r="E233" s="828">
        <f>IF(E227-E231&gt;0,E227-E231,0)</f>
        <v>0</v>
      </c>
      <c r="F233" s="545"/>
      <c r="G233" s="545"/>
      <c r="H233" s="828">
        <f>IF(H227-H231&gt;0,H227-H231,0)</f>
        <v>0</v>
      </c>
      <c r="I233" s="545"/>
      <c r="J233" s="545"/>
      <c r="K233" s="828">
        <f>IF(K227-K231&gt;0,K227-K231,0)</f>
        <v>0</v>
      </c>
      <c r="L233" s="545"/>
      <c r="M233" s="545"/>
      <c r="N233" s="828">
        <f>IF(N227-N231&gt;0,N227-N231,0)</f>
        <v>0</v>
      </c>
      <c r="O233" s="545"/>
      <c r="P233" s="545"/>
      <c r="Q233" s="828">
        <f>IF(Q227-Q231&gt;0,Q227-Q231,0)</f>
        <v>0</v>
      </c>
      <c r="R233" s="545"/>
      <c r="S233" s="545"/>
      <c r="T233" s="829">
        <f t="shared" ref="T233:AI233" si="219">IF(T227-T231&gt;0,T227-T231,0)</f>
        <v>0</v>
      </c>
      <c r="U233" s="829">
        <f t="shared" si="219"/>
        <v>0</v>
      </c>
      <c r="V233" s="829">
        <f t="shared" si="219"/>
        <v>0</v>
      </c>
      <c r="W233" s="829">
        <f t="shared" si="219"/>
        <v>0</v>
      </c>
      <c r="X233" s="829">
        <f t="shared" si="219"/>
        <v>0</v>
      </c>
      <c r="Y233" s="829">
        <f t="shared" si="219"/>
        <v>0</v>
      </c>
      <c r="Z233" s="829">
        <f t="shared" si="219"/>
        <v>0</v>
      </c>
      <c r="AA233" s="829">
        <f t="shared" si="219"/>
        <v>0</v>
      </c>
      <c r="AB233" s="829">
        <f t="shared" si="219"/>
        <v>0</v>
      </c>
      <c r="AC233" s="829">
        <f t="shared" si="219"/>
        <v>0</v>
      </c>
      <c r="AD233" s="829">
        <f t="shared" si="219"/>
        <v>0</v>
      </c>
      <c r="AE233" s="829">
        <f t="shared" si="219"/>
        <v>0</v>
      </c>
      <c r="AF233" s="829">
        <f t="shared" si="219"/>
        <v>0</v>
      </c>
      <c r="AG233" s="829">
        <f t="shared" si="219"/>
        <v>0</v>
      </c>
      <c r="AH233" s="829">
        <f t="shared" si="219"/>
        <v>0</v>
      </c>
      <c r="AI233" s="829">
        <f t="shared" si="219"/>
        <v>0</v>
      </c>
      <c r="AJ233" s="856"/>
    </row>
    <row r="234" spans="1:102" s="803" customFormat="1" ht="12.5">
      <c r="A234" s="797"/>
      <c r="B234" s="818" t="str">
        <f>CONCATENATE("HIST.: RESULT. ENTRE ",LEFT(K16,3),". ",RIGHT(TEXT(K15,"0.00"),2)," Y ",LEFT(N16,3),". ",RIGHT(TEXT(N15,"0.00"),2)," / PROY.: NUEVA DEUDA PARA CAPITALIZAR")</f>
        <v>HIST.: RESULT. ENTRE Jun. 19 Y Dic. 19 / PROY.: NUEVA DEUDA PARA CAPITALIZAR</v>
      </c>
      <c r="C234" s="1047" t="s">
        <v>1260</v>
      </c>
      <c r="D234" s="1032"/>
      <c r="E234" s="820" t="s">
        <v>1260</v>
      </c>
      <c r="F234" s="1032"/>
      <c r="G234" s="1032"/>
      <c r="H234" s="820" t="s">
        <v>1260</v>
      </c>
      <c r="I234" s="1033"/>
      <c r="J234" s="1033"/>
      <c r="K234" s="820" t="s">
        <v>1260</v>
      </c>
      <c r="L234" s="1032"/>
      <c r="M234" s="1034"/>
      <c r="N234" s="820" t="s">
        <v>1260</v>
      </c>
      <c r="O234" s="1032"/>
      <c r="P234" s="1034"/>
      <c r="Q234" s="819">
        <f>Q226</f>
        <v>0</v>
      </c>
      <c r="R234" s="1032"/>
      <c r="S234" s="1034"/>
      <c r="T234" s="820">
        <f t="shared" ref="T234:AI234" si="220">SUM(IF(AND($C$315=$B$926,$C$315&lt;&gt;0,$C$314=T218,$C$310&gt;0),$C$310,0),IF(AND($C$325=$B$926,$C$325&lt;&gt;0,$C$324=T218,$C$320&gt;0),$C$320,0),IF(AND($C$335=$B$926,$C$335&lt;&gt;0,$C$334=T218,$C$330&gt;0),$C$330,0),IF(AND($C$355=$B$926,$C$355&lt;&gt;0,$C$354=T218,$C$350&gt;0),$C$350,0),IF(AND($C$365=$B$926,$C$365&lt;&gt;0,$C$364=T218,$C$360&gt;0),$C$360,0),IF(AND($C$375=$B$926,$C$375&lt;&gt;0,$C$374=T218,$C$370&gt;0),$C$370,0))</f>
        <v>0</v>
      </c>
      <c r="U234" s="820">
        <f t="shared" si="220"/>
        <v>0</v>
      </c>
      <c r="V234" s="820">
        <f t="shared" si="220"/>
        <v>0</v>
      </c>
      <c r="W234" s="820">
        <f t="shared" si="220"/>
        <v>0</v>
      </c>
      <c r="X234" s="820">
        <f t="shared" si="220"/>
        <v>0</v>
      </c>
      <c r="Y234" s="820">
        <f t="shared" si="220"/>
        <v>0</v>
      </c>
      <c r="Z234" s="820">
        <f t="shared" si="220"/>
        <v>0</v>
      </c>
      <c r="AA234" s="820">
        <f t="shared" si="220"/>
        <v>0</v>
      </c>
      <c r="AB234" s="820">
        <f t="shared" si="220"/>
        <v>0</v>
      </c>
      <c r="AC234" s="820">
        <f t="shared" si="220"/>
        <v>0</v>
      </c>
      <c r="AD234" s="820">
        <f t="shared" si="220"/>
        <v>0</v>
      </c>
      <c r="AE234" s="820">
        <f t="shared" si="220"/>
        <v>0</v>
      </c>
      <c r="AF234" s="820">
        <f t="shared" si="220"/>
        <v>0</v>
      </c>
      <c r="AG234" s="820">
        <f t="shared" si="220"/>
        <v>0</v>
      </c>
      <c r="AH234" s="820">
        <f t="shared" si="220"/>
        <v>0</v>
      </c>
      <c r="AI234" s="820">
        <f t="shared" si="220"/>
        <v>0</v>
      </c>
      <c r="AJ234" s="1029"/>
    </row>
    <row r="235" spans="1:102" s="851" customFormat="1" ht="13.5" thickBot="1">
      <c r="A235" s="846"/>
      <c r="B235" s="847"/>
      <c r="C235" s="1048"/>
      <c r="E235" s="848"/>
      <c r="H235" s="848"/>
      <c r="I235" s="1049"/>
      <c r="J235" s="1049"/>
      <c r="N235" s="848"/>
      <c r="P235" s="1050"/>
      <c r="Q235" s="848"/>
      <c r="S235" s="1050"/>
      <c r="T235" s="1051"/>
      <c r="U235" s="848"/>
      <c r="V235" s="850"/>
      <c r="W235" s="850"/>
      <c r="X235" s="850"/>
      <c r="Y235" s="850"/>
      <c r="Z235" s="850"/>
      <c r="AA235" s="850"/>
      <c r="AB235" s="850"/>
      <c r="AC235" s="850"/>
      <c r="AD235" s="850"/>
      <c r="AF235" s="643"/>
      <c r="AG235" s="531"/>
      <c r="AH235" s="531"/>
      <c r="AI235" s="531"/>
      <c r="AJ235" s="853"/>
      <c r="AK235" s="531"/>
      <c r="AL235" s="531"/>
      <c r="AM235" s="531"/>
      <c r="AN235" s="531"/>
      <c r="AO235" s="531"/>
      <c r="AP235" s="531"/>
      <c r="AQ235" s="531"/>
      <c r="AR235" s="531"/>
      <c r="AS235" s="531"/>
      <c r="AT235" s="531"/>
      <c r="AU235" s="531"/>
      <c r="AV235" s="531"/>
      <c r="AW235" s="531"/>
      <c r="AX235" s="531"/>
      <c r="AY235" s="531"/>
      <c r="AZ235" s="531"/>
      <c r="BA235" s="531"/>
      <c r="BB235" s="531"/>
      <c r="BC235" s="531"/>
      <c r="BD235" s="531"/>
      <c r="BE235" s="531"/>
      <c r="BF235" s="531"/>
      <c r="BG235" s="531"/>
      <c r="BH235" s="531"/>
      <c r="BI235" s="531"/>
      <c r="BJ235" s="531"/>
      <c r="BK235" s="531"/>
      <c r="BL235" s="531"/>
      <c r="BM235" s="531"/>
      <c r="BN235" s="531"/>
      <c r="BO235" s="531"/>
      <c r="BP235" s="531"/>
      <c r="BQ235" s="531"/>
      <c r="BR235" s="531"/>
      <c r="BS235" s="531"/>
      <c r="BT235" s="531"/>
      <c r="BU235" s="531"/>
      <c r="BV235" s="531"/>
      <c r="BW235" s="531"/>
      <c r="BX235" s="531"/>
      <c r="BY235" s="531"/>
      <c r="BZ235" s="531"/>
      <c r="CA235" s="531"/>
      <c r="CB235" s="531"/>
      <c r="CC235" s="531"/>
      <c r="CD235" s="531"/>
      <c r="CE235" s="531"/>
      <c r="CF235" s="531"/>
      <c r="CG235" s="531"/>
      <c r="CH235" s="531"/>
      <c r="CI235" s="531"/>
      <c r="CJ235" s="531"/>
      <c r="CK235" s="531"/>
      <c r="CL235" s="531"/>
      <c r="CM235" s="531"/>
      <c r="CN235" s="531"/>
      <c r="CO235" s="531"/>
      <c r="CP235" s="531"/>
      <c r="CQ235" s="531"/>
      <c r="CR235" s="531"/>
      <c r="CS235" s="531"/>
      <c r="CT235" s="531"/>
      <c r="CU235" s="531"/>
      <c r="CV235" s="531"/>
      <c r="CW235" s="531"/>
      <c r="CX235" s="531"/>
    </row>
    <row r="236" spans="1:102" s="531" customFormat="1" ht="23.5" thickTop="1">
      <c r="A236" s="537"/>
      <c r="B236" s="1052" t="s">
        <v>1261</v>
      </c>
      <c r="C236" s="1053"/>
      <c r="E236" s="1054"/>
      <c r="H236" s="1054"/>
      <c r="I236" s="530"/>
      <c r="J236" s="530"/>
      <c r="K236" s="530"/>
      <c r="M236" s="539"/>
      <c r="N236" s="1054"/>
      <c r="P236" s="539"/>
      <c r="Q236" s="1054"/>
      <c r="S236" s="539"/>
      <c r="T236" s="1055"/>
      <c r="U236" s="1054"/>
      <c r="V236" s="1056"/>
      <c r="W236" s="1056"/>
      <c r="X236" s="1056"/>
      <c r="Y236" s="1056"/>
      <c r="Z236" s="1056"/>
      <c r="AA236" s="1056"/>
      <c r="AB236" s="1056"/>
      <c r="AC236" s="1056"/>
      <c r="AD236" s="1056"/>
      <c r="AF236" s="1057"/>
      <c r="AG236" s="1057"/>
      <c r="AH236" s="1057"/>
      <c r="AI236" s="1057"/>
      <c r="AJ236" s="1058"/>
      <c r="AN236" s="532"/>
      <c r="AO236" s="532"/>
      <c r="AP236" s="532"/>
      <c r="AQ236" s="532"/>
    </row>
    <row r="237" spans="1:102" s="533" customFormat="1" ht="23">
      <c r="A237" s="537"/>
      <c r="B237" s="1052"/>
      <c r="C237" s="1053"/>
      <c r="D237" s="531"/>
      <c r="E237" s="1054"/>
      <c r="F237" s="531"/>
      <c r="G237" s="531"/>
      <c r="H237" s="1054"/>
      <c r="I237" s="530"/>
      <c r="J237" s="530"/>
      <c r="K237" s="530"/>
      <c r="L237" s="531"/>
      <c r="M237" s="539"/>
      <c r="N237" s="1054"/>
      <c r="O237" s="531"/>
      <c r="P237" s="539"/>
      <c r="Q237" s="1054"/>
      <c r="R237" s="531"/>
      <c r="S237" s="539"/>
      <c r="T237" s="1055"/>
      <c r="U237" s="1054"/>
      <c r="V237" s="1056"/>
      <c r="W237" s="1056"/>
      <c r="X237" s="1056"/>
      <c r="Y237" s="1056"/>
      <c r="Z237" s="1056"/>
      <c r="AA237" s="1056"/>
      <c r="AB237" s="1056"/>
      <c r="AC237" s="1056"/>
      <c r="AD237" s="1056"/>
      <c r="AE237" s="531"/>
      <c r="AF237" s="531"/>
      <c r="AG237" s="531"/>
      <c r="AH237" s="531"/>
      <c r="AI237" s="531"/>
      <c r="AJ237" s="853"/>
      <c r="AN237" s="625"/>
      <c r="AO237" s="625"/>
      <c r="AP237" s="625"/>
      <c r="AQ237" s="625"/>
    </row>
    <row r="238" spans="1:102" s="533" customFormat="1">
      <c r="A238" s="537"/>
      <c r="B238" s="1059" t="s">
        <v>536</v>
      </c>
      <c r="C238" s="556">
        <f>C15</f>
        <v>2016</v>
      </c>
      <c r="D238" s="531"/>
      <c r="E238" s="1060">
        <f>E15</f>
        <v>2017</v>
      </c>
      <c r="F238" s="531"/>
      <c r="G238" s="531"/>
      <c r="H238" s="1060">
        <f>H15</f>
        <v>2018</v>
      </c>
      <c r="I238" s="530"/>
      <c r="J238" s="530"/>
      <c r="K238" s="1061" t="s">
        <v>1262</v>
      </c>
      <c r="L238" s="531"/>
      <c r="M238" s="539"/>
      <c r="N238" s="1060">
        <f>N15</f>
        <v>2019</v>
      </c>
      <c r="O238" s="531"/>
      <c r="P238" s="539"/>
      <c r="Q238" s="1060" t="str">
        <f>Q15</f>
        <v>2020</v>
      </c>
      <c r="R238" s="531"/>
      <c r="S238" s="539"/>
      <c r="T238" s="1055"/>
      <c r="U238" s="1054"/>
      <c r="V238" s="1056"/>
      <c r="W238" s="1056"/>
      <c r="X238" s="1056"/>
      <c r="Y238" s="1056"/>
      <c r="Z238" s="1056"/>
      <c r="AA238" s="1056"/>
      <c r="AB238" s="1056"/>
      <c r="AC238" s="1056"/>
      <c r="AD238" s="1056"/>
      <c r="AE238" s="531"/>
      <c r="AF238" s="531"/>
      <c r="AG238" s="531"/>
      <c r="AH238" s="531"/>
      <c r="AI238" s="531"/>
      <c r="AJ238" s="853"/>
      <c r="AN238" s="625"/>
      <c r="AO238" s="625"/>
      <c r="AP238" s="625"/>
      <c r="AQ238" s="625"/>
    </row>
    <row r="239" spans="1:102" s="533" customFormat="1">
      <c r="A239" s="537"/>
      <c r="B239" s="1059" t="s">
        <v>871</v>
      </c>
      <c r="C239" s="556">
        <f>C17</f>
        <v>360</v>
      </c>
      <c r="D239" s="531"/>
      <c r="E239" s="1060">
        <f>E17</f>
        <v>360</v>
      </c>
      <c r="F239" s="531"/>
      <c r="G239" s="531"/>
      <c r="H239" s="1060">
        <f>H17</f>
        <v>360</v>
      </c>
      <c r="I239" s="530"/>
      <c r="J239" s="530"/>
      <c r="K239" s="1061" t="s">
        <v>1263</v>
      </c>
      <c r="L239" s="531"/>
      <c r="M239" s="539"/>
      <c r="N239" s="1060">
        <f>N17</f>
        <v>360</v>
      </c>
      <c r="O239" s="531"/>
      <c r="P239" s="539"/>
      <c r="Q239" s="1060">
        <f>Q17</f>
        <v>360</v>
      </c>
      <c r="R239" s="531"/>
      <c r="S239" s="539"/>
      <c r="T239" s="1055"/>
      <c r="U239" s="1054"/>
      <c r="V239" s="1056"/>
      <c r="W239" s="1056"/>
      <c r="X239" s="1056"/>
      <c r="Y239" s="1056"/>
      <c r="Z239" s="1056"/>
      <c r="AA239" s="1062"/>
      <c r="AB239" s="1056"/>
      <c r="AC239" s="1056"/>
      <c r="AD239" s="1056"/>
      <c r="AE239" s="531"/>
      <c r="AF239" s="531"/>
      <c r="AG239" s="531"/>
      <c r="AH239" s="531"/>
      <c r="AI239" s="531"/>
      <c r="AJ239" s="853"/>
      <c r="AN239" s="625"/>
      <c r="AO239" s="625"/>
      <c r="AP239" s="625"/>
      <c r="AQ239" s="625"/>
    </row>
    <row r="240" spans="1:102" s="533" customFormat="1">
      <c r="A240" s="537"/>
      <c r="B240" s="679" t="s">
        <v>1264</v>
      </c>
      <c r="C240" s="1063"/>
      <c r="D240" s="531"/>
      <c r="E240" s="1064"/>
      <c r="F240" s="531"/>
      <c r="G240" s="531"/>
      <c r="H240" s="1064"/>
      <c r="I240" s="530"/>
      <c r="J240" s="530"/>
      <c r="K240" s="1061" t="s">
        <v>1265</v>
      </c>
      <c r="L240" s="531"/>
      <c r="M240" s="539"/>
      <c r="N240" s="1064"/>
      <c r="O240" s="531"/>
      <c r="P240" s="539"/>
      <c r="Q240" s="1064"/>
      <c r="R240" s="1065">
        <f>SUM($C$240,$E$240,$H$240,$N$240,$Q$240)</f>
        <v>0</v>
      </c>
      <c r="S240" s="539"/>
      <c r="T240" s="539"/>
      <c r="U240" s="531"/>
      <c r="V240" s="531"/>
      <c r="W240" s="531"/>
      <c r="X240" s="1056"/>
      <c r="Y240" s="1056"/>
      <c r="Z240" s="1056"/>
      <c r="AA240" s="1056"/>
      <c r="AB240" s="1056"/>
      <c r="AC240" s="1056"/>
      <c r="AD240" s="1056"/>
      <c r="AE240" s="531"/>
      <c r="AF240" s="531"/>
      <c r="AG240" s="531"/>
      <c r="AH240" s="531"/>
      <c r="AI240" s="531"/>
      <c r="AJ240" s="853"/>
      <c r="AN240" s="625"/>
      <c r="AO240" s="625"/>
      <c r="AP240" s="625"/>
      <c r="AQ240" s="625"/>
    </row>
    <row r="241" spans="1:43" s="536" customFormat="1">
      <c r="A241" s="537"/>
      <c r="B241" s="685" t="s">
        <v>1266</v>
      </c>
      <c r="C241" s="1066">
        <f>IF($Q$239=360,IF(SUM($C$240,$E$240,$H$240,$N$240)&lt;&gt;1,0,C240),IF(SUM($C$240,$E$240,$H$240,$N$240,$Q$240)&lt;&gt;1,0,C240))</f>
        <v>0</v>
      </c>
      <c r="D241" s="531"/>
      <c r="E241" s="1067">
        <f>IF($Q$239=360,IF(SUM($C$240,$E$240,$H$240,$N$240)&lt;&gt;1,0.33,E240),IF(SUM($C$240,$E$240,$H$240,$N$240,$Q$240)&lt;&gt;1,0.33,E240))</f>
        <v>0.33</v>
      </c>
      <c r="F241" s="531"/>
      <c r="G241" s="531"/>
      <c r="H241" s="1067">
        <f>IF($Q$239=360,IF(SUM($C$240,$E$240,$H$240,$N$240)&lt;&gt;1,0.33,H240),IF(SUM($C$240,$E$240,$H$240,$N$240,$Q$240)&lt;&gt;1,0.33,H240))</f>
        <v>0.33</v>
      </c>
      <c r="I241" s="1068"/>
      <c r="J241" s="1068"/>
      <c r="K241" s="530"/>
      <c r="L241" s="531"/>
      <c r="M241" s="539"/>
      <c r="N241" s="1067">
        <f>IF($Q$239=360,IF(SUM($C$240,$E$240,$H$240,$N$240)&lt;&gt;1,0.34,N240),IF(SUM($C$240,$E$240,$H$240,$N$240,$Q$240)&lt;&gt;1,0.34,N240))</f>
        <v>0.34</v>
      </c>
      <c r="O241" s="531"/>
      <c r="P241" s="539"/>
      <c r="Q241" s="1067">
        <f>IF($Q$239=360,0,IF(SUM($C$240,$E$240,$H$240,$N$240,$Q$240)&lt;&gt;1,0,Q240))</f>
        <v>0</v>
      </c>
      <c r="R241" s="1069">
        <f>SUM($C$241,$E$241,$H$241,$N$241,$Q$241)</f>
        <v>1</v>
      </c>
      <c r="S241" s="539"/>
      <c r="T241" s="1070" t="s">
        <v>1267</v>
      </c>
      <c r="U241" s="1071"/>
      <c r="V241" s="1072"/>
      <c r="W241" s="1073" t="s">
        <v>1268</v>
      </c>
      <c r="X241" s="530"/>
      <c r="Y241" s="530"/>
      <c r="Z241" s="530"/>
      <c r="AA241" s="530"/>
      <c r="AB241" s="530"/>
      <c r="AC241" s="530"/>
      <c r="AD241" s="530"/>
      <c r="AE241" s="531"/>
      <c r="AF241" s="531"/>
      <c r="AG241" s="531"/>
      <c r="AH241" s="531"/>
      <c r="AI241" s="531"/>
      <c r="AJ241" s="853"/>
      <c r="AK241" s="533"/>
      <c r="AL241" s="533"/>
      <c r="AM241" s="533"/>
      <c r="AN241" s="625"/>
      <c r="AO241" s="625"/>
      <c r="AP241" s="625"/>
      <c r="AQ241" s="625"/>
    </row>
    <row r="242" spans="1:43" s="536" customFormat="1" ht="13.5" thickBot="1">
      <c r="A242" s="537"/>
      <c r="B242" s="660"/>
      <c r="C242" s="531"/>
      <c r="D242" s="531"/>
      <c r="E242" s="531"/>
      <c r="F242" s="531"/>
      <c r="G242" s="531"/>
      <c r="H242" s="531"/>
      <c r="I242" s="530"/>
      <c r="J242" s="530"/>
      <c r="K242" s="530"/>
      <c r="L242" s="531"/>
      <c r="M242" s="539"/>
      <c r="N242" s="531"/>
      <c r="O242" s="531"/>
      <c r="P242" s="539"/>
      <c r="Q242" s="531"/>
      <c r="R242" s="531"/>
      <c r="S242" s="539"/>
      <c r="T242" s="1074" t="s">
        <v>1269</v>
      </c>
      <c r="U242" s="1075"/>
      <c r="V242" s="1076" t="s">
        <v>1270</v>
      </c>
      <c r="W242" s="1077"/>
      <c r="X242" s="530"/>
      <c r="Y242" s="530"/>
      <c r="Z242" s="530"/>
      <c r="AA242" s="530"/>
      <c r="AB242" s="530"/>
      <c r="AC242" s="530"/>
      <c r="AD242" s="530"/>
      <c r="AE242" s="531"/>
      <c r="AF242" s="531"/>
      <c r="AG242" s="531"/>
      <c r="AH242" s="531"/>
      <c r="AI242" s="531"/>
      <c r="AJ242" s="853"/>
      <c r="AK242" s="533"/>
      <c r="AL242" s="533"/>
      <c r="AM242" s="533"/>
      <c r="AN242" s="625"/>
      <c r="AO242" s="625"/>
      <c r="AP242" s="625"/>
      <c r="AQ242" s="625"/>
    </row>
    <row r="243" spans="1:43" s="536" customFormat="1" ht="13.5" thickBot="1">
      <c r="A243" s="537"/>
      <c r="B243" s="1078" t="s">
        <v>1271</v>
      </c>
      <c r="C243" s="1079"/>
      <c r="D243" s="531"/>
      <c r="E243" s="531"/>
      <c r="F243" s="531"/>
      <c r="G243" s="531"/>
      <c r="H243" s="531"/>
      <c r="I243" s="530"/>
      <c r="J243" s="530"/>
      <c r="K243" s="530"/>
      <c r="L243" s="531"/>
      <c r="M243" s="539"/>
      <c r="N243" s="531"/>
      <c r="O243" s="531"/>
      <c r="P243" s="539"/>
      <c r="Q243" s="531"/>
      <c r="R243" s="531"/>
      <c r="S243" s="539"/>
      <c r="T243" s="539"/>
      <c r="U243" s="531"/>
      <c r="V243" s="531"/>
      <c r="W243" s="531"/>
      <c r="X243" s="530"/>
      <c r="Y243" s="530"/>
      <c r="Z243" s="530"/>
      <c r="AA243" s="530"/>
      <c r="AB243" s="530"/>
      <c r="AC243" s="530"/>
      <c r="AD243" s="530"/>
      <c r="AE243" s="531"/>
      <c r="AF243" s="1080"/>
      <c r="AG243" s="531"/>
      <c r="AH243" s="531"/>
      <c r="AI243" s="531"/>
      <c r="AJ243" s="853"/>
      <c r="AK243" s="533"/>
      <c r="AL243" s="533"/>
      <c r="AM243" s="533"/>
      <c r="AN243" s="625"/>
      <c r="AO243" s="625"/>
      <c r="AP243" s="625"/>
      <c r="AQ243" s="625"/>
    </row>
    <row r="244" spans="1:43" s="536" customFormat="1">
      <c r="A244" s="537"/>
      <c r="B244" s="1081" t="s">
        <v>1272</v>
      </c>
      <c r="C244" s="1082"/>
      <c r="D244" s="1083">
        <f>IF(C246=0,C244*12,(C244*12)-((C246-T247)*12))</f>
        <v>0</v>
      </c>
      <c r="E244" s="1084"/>
      <c r="F244" s="1084"/>
      <c r="G244" s="1084"/>
      <c r="H244" s="1084"/>
      <c r="I244" s="1085"/>
      <c r="J244" s="1085"/>
      <c r="K244" s="1084"/>
      <c r="L244" s="1084"/>
      <c r="M244" s="1086"/>
      <c r="N244" s="1084"/>
      <c r="O244" s="1084"/>
      <c r="P244" s="1086"/>
      <c r="Q244" s="1084"/>
      <c r="R244" s="1084"/>
      <c r="S244" s="1086"/>
      <c r="T244" s="1084"/>
      <c r="U244" s="1084"/>
      <c r="V244" s="1084"/>
      <c r="W244" s="1084"/>
      <c r="X244" s="1084"/>
      <c r="Y244" s="1084"/>
      <c r="Z244" s="1084"/>
      <c r="AA244" s="1084"/>
      <c r="AB244" s="1084"/>
      <c r="AC244" s="1084"/>
      <c r="AD244" s="1084"/>
      <c r="AE244" s="1084"/>
      <c r="AF244" s="1084"/>
      <c r="AG244" s="1084"/>
      <c r="AH244" s="1084"/>
      <c r="AI244" s="1087"/>
      <c r="AJ244" s="853"/>
      <c r="AK244" s="533"/>
      <c r="AL244" s="533"/>
      <c r="AM244" s="533"/>
      <c r="AN244" s="625"/>
      <c r="AO244" s="625"/>
      <c r="AP244" s="625"/>
      <c r="AQ244" s="625"/>
    </row>
    <row r="245" spans="1:43" s="536" customFormat="1">
      <c r="A245" s="537"/>
      <c r="B245" s="1088" t="s">
        <v>1273</v>
      </c>
      <c r="C245" s="1089"/>
      <c r="D245" s="1090">
        <f>IF(C245=0,0,VLOOKUP(C245,$B$950:$C$961,2,0))</f>
        <v>0</v>
      </c>
      <c r="E245" s="531"/>
      <c r="F245" s="531"/>
      <c r="G245" s="531"/>
      <c r="H245" s="531"/>
      <c r="I245" s="530"/>
      <c r="J245" s="530"/>
      <c r="K245" s="531"/>
      <c r="L245" s="531"/>
      <c r="M245" s="539"/>
      <c r="N245" s="531"/>
      <c r="O245" s="531"/>
      <c r="P245" s="539"/>
      <c r="Q245" s="531"/>
      <c r="R245" s="531"/>
      <c r="S245" s="539"/>
      <c r="T245" s="1091"/>
      <c r="U245" s="1091"/>
      <c r="V245" s="1091"/>
      <c r="W245" s="1091"/>
      <c r="X245" s="1091"/>
      <c r="Y245" s="1091"/>
      <c r="Z245" s="1091"/>
      <c r="AA245" s="1091"/>
      <c r="AB245" s="1091"/>
      <c r="AC245" s="1091"/>
      <c r="AD245" s="1091"/>
      <c r="AE245" s="1092"/>
      <c r="AF245" s="1092"/>
      <c r="AG245" s="1092"/>
      <c r="AH245" s="1092"/>
      <c r="AI245" s="1093"/>
      <c r="AJ245" s="853"/>
      <c r="AK245" s="533"/>
      <c r="AL245" s="533"/>
      <c r="AM245" s="533"/>
      <c r="AN245" s="625"/>
      <c r="AO245" s="625"/>
      <c r="AP245" s="625"/>
      <c r="AQ245" s="625"/>
    </row>
    <row r="246" spans="1:43" s="536" customFormat="1">
      <c r="A246" s="537"/>
      <c r="B246" s="1088" t="s">
        <v>1274</v>
      </c>
      <c r="C246" s="1089"/>
      <c r="D246" s="1094">
        <f>IF($C$246=0,0,$C$246-$T$247)</f>
        <v>0</v>
      </c>
      <c r="E246" s="531"/>
      <c r="F246" s="531"/>
      <c r="G246" s="531"/>
      <c r="H246" s="531"/>
      <c r="I246" s="530"/>
      <c r="J246" s="530"/>
      <c r="K246" s="531"/>
      <c r="L246" s="531"/>
      <c r="M246" s="539"/>
      <c r="N246" s="531"/>
      <c r="O246" s="531"/>
      <c r="P246" s="539"/>
      <c r="Q246" s="531"/>
      <c r="R246" s="531"/>
      <c r="S246" s="539"/>
      <c r="T246" s="1095" t="s">
        <v>1044</v>
      </c>
      <c r="U246" s="1095" t="s">
        <v>1044</v>
      </c>
      <c r="V246" s="1095" t="s">
        <v>1044</v>
      </c>
      <c r="W246" s="1095" t="s">
        <v>1044</v>
      </c>
      <c r="X246" s="1095" t="s">
        <v>1044</v>
      </c>
      <c r="Y246" s="1095" t="s">
        <v>1044</v>
      </c>
      <c r="Z246" s="1095" t="s">
        <v>1044</v>
      </c>
      <c r="AA246" s="1095" t="s">
        <v>1044</v>
      </c>
      <c r="AB246" s="1095" t="s">
        <v>1044</v>
      </c>
      <c r="AC246" s="1095" t="s">
        <v>1044</v>
      </c>
      <c r="AD246" s="1096" t="s">
        <v>1044</v>
      </c>
      <c r="AE246" s="1096" t="s">
        <v>1044</v>
      </c>
      <c r="AF246" s="1096" t="s">
        <v>1044</v>
      </c>
      <c r="AG246" s="1096" t="s">
        <v>1044</v>
      </c>
      <c r="AH246" s="1096" t="s">
        <v>1044</v>
      </c>
      <c r="AI246" s="1096" t="s">
        <v>1044</v>
      </c>
      <c r="AJ246" s="853"/>
      <c r="AK246" s="533"/>
      <c r="AL246" s="533"/>
      <c r="AM246" s="533"/>
      <c r="AN246" s="625"/>
      <c r="AO246" s="625"/>
      <c r="AP246" s="625"/>
      <c r="AQ246" s="625"/>
    </row>
    <row r="247" spans="1:43" s="536" customFormat="1">
      <c r="A247" s="537"/>
      <c r="B247" s="1097"/>
      <c r="C247" s="1098">
        <f>C15</f>
        <v>2016</v>
      </c>
      <c r="D247" s="1099"/>
      <c r="E247" s="1100">
        <f>E15</f>
        <v>2017</v>
      </c>
      <c r="F247" s="1099"/>
      <c r="G247" s="1099"/>
      <c r="H247" s="1100">
        <f>H15</f>
        <v>2018</v>
      </c>
      <c r="I247" s="1101"/>
      <c r="J247" s="1101"/>
      <c r="K247" s="1100">
        <f>K15</f>
        <v>2019</v>
      </c>
      <c r="L247" s="1099"/>
      <c r="M247" s="539"/>
      <c r="N247" s="1100">
        <f>N15</f>
        <v>2019</v>
      </c>
      <c r="O247" s="1099"/>
      <c r="P247" s="539"/>
      <c r="Q247" s="1100" t="str">
        <f>Q15</f>
        <v>2020</v>
      </c>
      <c r="R247" s="1099"/>
      <c r="S247" s="539"/>
      <c r="T247" s="1100">
        <f t="shared" ref="T247:AI247" si="221">T385</f>
        <v>2020</v>
      </c>
      <c r="U247" s="1100">
        <f t="shared" si="221"/>
        <v>2021</v>
      </c>
      <c r="V247" s="1100">
        <f t="shared" si="221"/>
        <v>2022</v>
      </c>
      <c r="W247" s="1100">
        <f t="shared" si="221"/>
        <v>2023</v>
      </c>
      <c r="X247" s="1100">
        <f t="shared" si="221"/>
        <v>2024</v>
      </c>
      <c r="Y247" s="1100">
        <f t="shared" si="221"/>
        <v>2025</v>
      </c>
      <c r="Z247" s="1100">
        <f t="shared" si="221"/>
        <v>2026</v>
      </c>
      <c r="AA247" s="1100">
        <f t="shared" si="221"/>
        <v>2027</v>
      </c>
      <c r="AB247" s="1100">
        <f t="shared" si="221"/>
        <v>2028</v>
      </c>
      <c r="AC247" s="1100">
        <f t="shared" si="221"/>
        <v>2029</v>
      </c>
      <c r="AD247" s="1102">
        <f t="shared" si="221"/>
        <v>2030</v>
      </c>
      <c r="AE247" s="1102">
        <f t="shared" si="221"/>
        <v>2031</v>
      </c>
      <c r="AF247" s="1102">
        <f t="shared" si="221"/>
        <v>2032</v>
      </c>
      <c r="AG247" s="1102">
        <f t="shared" si="221"/>
        <v>2033</v>
      </c>
      <c r="AH247" s="1102">
        <f t="shared" si="221"/>
        <v>2034</v>
      </c>
      <c r="AI247" s="1102">
        <f t="shared" si="221"/>
        <v>2035</v>
      </c>
      <c r="AJ247" s="853"/>
      <c r="AK247" s="533"/>
      <c r="AL247" s="533"/>
      <c r="AM247" s="533"/>
      <c r="AN247" s="625"/>
      <c r="AO247" s="625"/>
      <c r="AP247" s="625"/>
      <c r="AQ247" s="625"/>
    </row>
    <row r="248" spans="1:43" s="536" customFormat="1" ht="12.5">
      <c r="A248" s="538"/>
      <c r="B248" s="1103" t="s">
        <v>1275</v>
      </c>
      <c r="C248" s="534"/>
      <c r="D248" s="531"/>
      <c r="E248" s="534"/>
      <c r="F248" s="531"/>
      <c r="G248" s="531"/>
      <c r="H248" s="534"/>
      <c r="I248" s="530"/>
      <c r="J248" s="530"/>
      <c r="K248" s="534"/>
      <c r="L248" s="531"/>
      <c r="M248" s="539"/>
      <c r="N248" s="534"/>
      <c r="O248" s="531"/>
      <c r="P248" s="539"/>
      <c r="Q248" s="534"/>
      <c r="R248" s="531"/>
      <c r="S248" s="539"/>
      <c r="T248" s="1104">
        <f>IF(AND($C$943=3,$C$354=$T$351,$C$933=3,$C$314=$T$311),IF($N250+$N251-$C$350-$C$310&lt;=0,1,($C$350+$C$310)/($N250+$N251)),IF(AND($C$943=3,$C$354=$T$351),IF($N250+$N251-$C$350&lt;=0,1,$C$350/($N250+$N251)),IF(AND($C$933=3,$C$314=$T$311),IF($N250+$N251-$C$310&lt;=0,1,$C$310/($N250+$N251)),IF(OR($D246&gt;=1,$C244=0),0,IF($C$246=T247,$D245/($C244-$D246),1/($C244-$D246))))))</f>
        <v>0</v>
      </c>
      <c r="U248" s="1104">
        <f>IF(AND($C$943=3,$C$354=$U$351,$C$933=3,$C$314=$U$311),IF($N250+$N251-$C$350-$C$310&lt;=0,1,($C$350+$C$310)/($N250+$N251)),IF(AND($C$943=3,$C$354=$U$351),IF($N250+$N251-$C$350&lt;=0,1,$C$350/($N250+$N251)),IF(AND($C$933=3,$C$314=$U$311),IF($N250+$N251-$C$310&lt;=0,1,$C$310/($N250+$N251)),IF(OR($D246&gt;=2,$C244=0,T248=1),0,IF($C$246=U247,$D245/($C244-$D246),IF(T248+(1/($C244-$D246))&gt;1,1-T248,1/($C244-$D246)))))))</f>
        <v>0</v>
      </c>
      <c r="V248" s="1104">
        <f>IF(OR($D246&gt;=3,$C244=0,SUM($T248:U248)&gt;=1),0,IF($C$246=V247,$D245/($C244-$D246),IF(SUM($T248:U248)+(1/($C244-$D246))&gt;1,1-SUM($T248:U248),1/($C244-$D246))))</f>
        <v>0</v>
      </c>
      <c r="W248" s="1104">
        <f>IF(OR($D246&gt;=4,$C244=0,SUM($T248:V248)&gt;=1),0,IF($C$246=W247,$D245/($C244-$D246),IF(SUM($T248:V248)+(1/($C244-$D246))&gt;1,1-SUM($T248:V248),1/($C244-$D246))))</f>
        <v>0</v>
      </c>
      <c r="X248" s="1104">
        <f>IF(OR($D246&gt;=5,$C244=0,SUM($T248:W248)&gt;=1),0,IF($C$246=X247,$D245/($C244-$D246),IF(SUM($T248:W248)+(1/($C244-$D246))&gt;1,1-SUM($T248:W248),1/($C244-$D246))))</f>
        <v>0</v>
      </c>
      <c r="Y248" s="1104">
        <f>IF(OR($D246&gt;=6,$C244=0,SUM($T248:X248)&gt;=1),0,IF($C$246=Y247,$D245/($C244-$D246),IF(SUM($T248:X248)+(1/($C244-$D246))&gt;1,1-SUM($T248:X248),1/($C244-$D246))))</f>
        <v>0</v>
      </c>
      <c r="Z248" s="1104">
        <f>IF(OR($D246&gt;=7,$C244=0,SUM($T248:Y248)&gt;=1),0,IF($C$246=Z247,$D245/($C244-$D246),IF(SUM($T248:Y248)+(1/($C244-$D246))&gt;1,1-SUM($T248:Y248),1/($C244-$D246))))</f>
        <v>0</v>
      </c>
      <c r="AA248" s="1104">
        <f>IF(OR($D246&gt;=8,$C244=0,SUM($T248:Z248)&gt;=1),0,IF($C$246=AA247,$D245/($C244-$D246),IF(SUM($T248:Z248)+(1/($C244-$D246))&gt;1,1-SUM($T248:Z248),1/($C244-$D246))))</f>
        <v>0</v>
      </c>
      <c r="AB248" s="1104">
        <f>IF(OR($D246&gt;=9,$C244=0,SUM($T248:AA248)&gt;=1),0,IF($C$246=AB247,$D245/($C244-$D246),IF(SUM($T248:AA248)+(1/($C244-$D246))&gt;1,1-SUM($T248:AA248),1/($C244-$D246))))</f>
        <v>0</v>
      </c>
      <c r="AC248" s="1104">
        <f>IF(OR($D246&gt;=10,$C244=0,SUM($T248:AB248)&gt;=1),0,IF($C$246=AC247,$D245/($C244-$D246),IF(SUM($T248:AB248)+(1/($C244-$D246))&gt;1,1-SUM($T248:AB248),1/($C244-$D246))))</f>
        <v>0</v>
      </c>
      <c r="AD248" s="1105">
        <f>IF(OR($D246&gt;=11,$C244=0,SUM($T248:AC248)&gt;=1),0,IF($C$246=AD247,$D245/($C244-$D246),IF(SUM($T248:AC248)+(1/($C244-$D246))&gt;1,1-SUM($T248:AC248),1/($C244-$D246))))</f>
        <v>0</v>
      </c>
      <c r="AE248" s="1105">
        <f>IF(OR($D246&gt;=11,$C244=0,SUM($T248:AD248)&gt;=1),0,IF($C$246=AE247,$D245/($C244-$D246),IF(SUM($T248:AD248)+(1/($C244-$D246))&gt;1,1-SUM($T248:AD248),1/($C244-$D246))))</f>
        <v>0</v>
      </c>
      <c r="AF248" s="1105">
        <f>IF(OR($D246&gt;=11,$C244=0,SUM($T248:AE248)&gt;=1),0,IF($C$246=AF247,$D245/($C244-$D246),IF(SUM($T248:AE248)+(1/($C244-$D246))&gt;1,1-SUM($T248:AE248),1/($C244-$D246))))</f>
        <v>0</v>
      </c>
      <c r="AG248" s="1105">
        <f>IF(OR($D246&gt;=11,$C244=0,SUM($T248:AF248)&gt;=1),0,IF($C$246=AG247,$D245/($C244-$D246),IF(SUM($T248:AF248)+(1/($C244-$D246))&gt;1,1-SUM($T248:AF248),1/($C244-$D246))))</f>
        <v>0</v>
      </c>
      <c r="AH248" s="1105">
        <f>IF(OR($D246&gt;=11,$C244=0,SUM($T248:AG248)&gt;=1),0,IF($C$246=AH247,$D245/($C244-$D246),IF(SUM($T248:AG248)+(1/($C244-$D246))&gt;1,1-SUM($T248:AG248),1/($C244-$D246))))</f>
        <v>0</v>
      </c>
      <c r="AI248" s="1105">
        <f>IF(OR($D246&gt;=11,$C244=0,SUM($T248:AH248)&gt;=1),0,IF($C$246=AI247,$D245/($C244-$D246),IF(SUM($T248:AH248)+(1/($C244-$D246))&gt;1,1-SUM($T248:AH248),1/($C244-$D246))))</f>
        <v>0</v>
      </c>
      <c r="AJ248" s="853"/>
      <c r="AK248" s="533"/>
      <c r="AL248" s="533"/>
      <c r="AM248" s="533"/>
      <c r="AN248" s="1106"/>
      <c r="AO248" s="1106"/>
      <c r="AP248" s="1106"/>
      <c r="AQ248" s="1106"/>
    </row>
    <row r="249" spans="1:43" s="536" customFormat="1" ht="12.5">
      <c r="A249" s="538"/>
      <c r="B249" s="1107" t="s">
        <v>1276</v>
      </c>
      <c r="C249" s="534"/>
      <c r="D249" s="531"/>
      <c r="E249" s="534"/>
      <c r="F249" s="531"/>
      <c r="G249" s="531"/>
      <c r="H249" s="534"/>
      <c r="I249" s="530"/>
      <c r="J249" s="530"/>
      <c r="K249" s="534"/>
      <c r="L249" s="531"/>
      <c r="M249" s="539"/>
      <c r="N249" s="534"/>
      <c r="O249" s="531"/>
      <c r="P249" s="539"/>
      <c r="Q249" s="534"/>
      <c r="R249" s="531"/>
      <c r="S249" s="539"/>
      <c r="T249" s="1108">
        <f>SUM($N250:$N251)*T248</f>
        <v>0</v>
      </c>
      <c r="U249" s="1108">
        <f>SUM($N250:$N251)*U248</f>
        <v>0</v>
      </c>
      <c r="V249" s="1108">
        <f>SUM($N250:$N251)*V248</f>
        <v>0</v>
      </c>
      <c r="W249" s="1108">
        <f t="shared" ref="W249:AI249" si="222">IF(SUM($N250:$N251)*W248&gt;U251,U251,SUM($N250:$N251)*W248)</f>
        <v>0</v>
      </c>
      <c r="X249" s="1108">
        <f t="shared" si="222"/>
        <v>0</v>
      </c>
      <c r="Y249" s="1108">
        <f t="shared" si="222"/>
        <v>0</v>
      </c>
      <c r="Z249" s="1108">
        <f t="shared" si="222"/>
        <v>0</v>
      </c>
      <c r="AA249" s="1108">
        <f t="shared" si="222"/>
        <v>0</v>
      </c>
      <c r="AB249" s="1108">
        <f t="shared" si="222"/>
        <v>0</v>
      </c>
      <c r="AC249" s="1108">
        <f t="shared" si="222"/>
        <v>0</v>
      </c>
      <c r="AD249" s="1109">
        <f t="shared" si="222"/>
        <v>0</v>
      </c>
      <c r="AE249" s="1109">
        <f t="shared" si="222"/>
        <v>0</v>
      </c>
      <c r="AF249" s="1109">
        <f t="shared" si="222"/>
        <v>0</v>
      </c>
      <c r="AG249" s="1109">
        <f t="shared" si="222"/>
        <v>0</v>
      </c>
      <c r="AH249" s="1109">
        <f t="shared" si="222"/>
        <v>0</v>
      </c>
      <c r="AI249" s="1109">
        <f t="shared" si="222"/>
        <v>0</v>
      </c>
      <c r="AJ249" s="853"/>
      <c r="AK249" s="533"/>
      <c r="AL249" s="533"/>
      <c r="AM249" s="533"/>
      <c r="AN249" s="1106"/>
      <c r="AO249" s="1106"/>
      <c r="AP249" s="1106"/>
      <c r="AQ249" s="1106"/>
    </row>
    <row r="250" spans="1:43" s="536" customFormat="1">
      <c r="A250" s="537"/>
      <c r="B250" s="1110" t="s">
        <v>1277</v>
      </c>
      <c r="C250" s="1111">
        <f>C37</f>
        <v>0</v>
      </c>
      <c r="D250" s="531"/>
      <c r="E250" s="1112">
        <f>E37</f>
        <v>0</v>
      </c>
      <c r="F250" s="531"/>
      <c r="G250" s="531"/>
      <c r="H250" s="1112">
        <f>H37</f>
        <v>0</v>
      </c>
      <c r="I250" s="530"/>
      <c r="J250" s="530"/>
      <c r="K250" s="1112">
        <f>K37</f>
        <v>0</v>
      </c>
      <c r="L250" s="531"/>
      <c r="M250" s="539"/>
      <c r="N250" s="1112">
        <f>N37</f>
        <v>0</v>
      </c>
      <c r="O250" s="531"/>
      <c r="P250" s="539"/>
      <c r="Q250" s="1112">
        <f>Q37</f>
        <v>0</v>
      </c>
      <c r="R250" s="531"/>
      <c r="S250" s="539"/>
      <c r="T250" s="1113">
        <f>SUM($N250:$N251)*U248</f>
        <v>0</v>
      </c>
      <c r="U250" s="1113">
        <f>SUM($N250:$N251)*V248</f>
        <v>0</v>
      </c>
      <c r="V250" s="1113">
        <f t="shared" ref="V250:AI250" si="223">IF(SUM($N250:$N251)*W248&gt;U251,U251,SUM($N250:$N251)*W248)</f>
        <v>0</v>
      </c>
      <c r="W250" s="1113">
        <f t="shared" si="223"/>
        <v>0</v>
      </c>
      <c r="X250" s="1113">
        <f t="shared" si="223"/>
        <v>0</v>
      </c>
      <c r="Y250" s="1113">
        <f t="shared" si="223"/>
        <v>0</v>
      </c>
      <c r="Z250" s="1113">
        <f t="shared" si="223"/>
        <v>0</v>
      </c>
      <c r="AA250" s="1113">
        <f t="shared" si="223"/>
        <v>0</v>
      </c>
      <c r="AB250" s="1113">
        <f t="shared" si="223"/>
        <v>0</v>
      </c>
      <c r="AC250" s="1113">
        <f t="shared" si="223"/>
        <v>0</v>
      </c>
      <c r="AD250" s="1114">
        <f t="shared" si="223"/>
        <v>0</v>
      </c>
      <c r="AE250" s="1114">
        <f t="shared" si="223"/>
        <v>0</v>
      </c>
      <c r="AF250" s="1114">
        <f t="shared" si="223"/>
        <v>0</v>
      </c>
      <c r="AG250" s="1114">
        <f t="shared" si="223"/>
        <v>0</v>
      </c>
      <c r="AH250" s="1114">
        <f t="shared" si="223"/>
        <v>0</v>
      </c>
      <c r="AI250" s="1114">
        <f t="shared" si="223"/>
        <v>0</v>
      </c>
      <c r="AJ250" s="853"/>
      <c r="AK250" s="533"/>
      <c r="AL250" s="533"/>
      <c r="AM250" s="533"/>
      <c r="AN250" s="625"/>
      <c r="AO250" s="625"/>
      <c r="AP250" s="625"/>
      <c r="AQ250" s="625"/>
    </row>
    <row r="251" spans="1:43" s="536" customFormat="1">
      <c r="A251" s="537"/>
      <c r="B251" s="1110" t="s">
        <v>1278</v>
      </c>
      <c r="C251" s="1115">
        <f>C49</f>
        <v>0</v>
      </c>
      <c r="D251" s="531"/>
      <c r="E251" s="1116">
        <f>E49</f>
        <v>0</v>
      </c>
      <c r="F251" s="531"/>
      <c r="G251" s="531"/>
      <c r="H251" s="1116">
        <f>H49</f>
        <v>0</v>
      </c>
      <c r="I251" s="530"/>
      <c r="J251" s="530"/>
      <c r="K251" s="1116">
        <f>K49</f>
        <v>0</v>
      </c>
      <c r="L251" s="531"/>
      <c r="M251" s="539"/>
      <c r="N251" s="1116">
        <f>N49</f>
        <v>0</v>
      </c>
      <c r="O251" s="531"/>
      <c r="P251" s="539"/>
      <c r="Q251" s="1116">
        <f>Q49</f>
        <v>0</v>
      </c>
      <c r="R251" s="531"/>
      <c r="S251" s="539"/>
      <c r="T251" s="1117">
        <f>IF(SUM($N250:$N251)-T249-T250&lt;0.005,0,SUM($N250:$N251)-T249-T250)</f>
        <v>0</v>
      </c>
      <c r="U251" s="1117">
        <f t="shared" ref="U251:AI251" si="224">IF(SUM(T250:T251)-U249-U250&lt;0.005,0,SUM(T250:T251)-U249-U250)</f>
        <v>0</v>
      </c>
      <c r="V251" s="1117">
        <f t="shared" si="224"/>
        <v>0</v>
      </c>
      <c r="W251" s="1117">
        <f t="shared" si="224"/>
        <v>0</v>
      </c>
      <c r="X251" s="1117">
        <f t="shared" si="224"/>
        <v>0</v>
      </c>
      <c r="Y251" s="1117">
        <f t="shared" si="224"/>
        <v>0</v>
      </c>
      <c r="Z251" s="1117">
        <f t="shared" si="224"/>
        <v>0</v>
      </c>
      <c r="AA251" s="1117">
        <f t="shared" si="224"/>
        <v>0</v>
      </c>
      <c r="AB251" s="1117">
        <f t="shared" si="224"/>
        <v>0</v>
      </c>
      <c r="AC251" s="1117">
        <f t="shared" si="224"/>
        <v>0</v>
      </c>
      <c r="AD251" s="1118">
        <f t="shared" si="224"/>
        <v>0</v>
      </c>
      <c r="AE251" s="1118">
        <f t="shared" si="224"/>
        <v>0</v>
      </c>
      <c r="AF251" s="1118">
        <f t="shared" si="224"/>
        <v>0</v>
      </c>
      <c r="AG251" s="1118">
        <f t="shared" si="224"/>
        <v>0</v>
      </c>
      <c r="AH251" s="1118">
        <f t="shared" si="224"/>
        <v>0</v>
      </c>
      <c r="AI251" s="1118">
        <f t="shared" si="224"/>
        <v>0</v>
      </c>
      <c r="AJ251" s="853"/>
      <c r="AK251" s="533"/>
      <c r="AL251" s="533"/>
      <c r="AM251" s="533"/>
      <c r="AN251" s="625"/>
      <c r="AO251" s="625"/>
      <c r="AP251" s="625"/>
      <c r="AQ251" s="625"/>
    </row>
    <row r="252" spans="1:43" s="1126" customFormat="1">
      <c r="A252" s="1119"/>
      <c r="B252" s="1110" t="s">
        <v>1279</v>
      </c>
      <c r="C252" s="1120">
        <f>IF(OR(C253=0,AND(C69=0,AN704=0)),0,C253/(AN704+C69))</f>
        <v>0</v>
      </c>
      <c r="D252" s="1121"/>
      <c r="E252" s="1122">
        <f>IF(OR(E253=0,AND(E69=0,AP704=0)),0,E253/(AP704+E69))</f>
        <v>0</v>
      </c>
      <c r="F252" s="1121"/>
      <c r="G252" s="1121"/>
      <c r="H252" s="1122">
        <f>IF(OR(H253=0,AND(H69=0,AS704=0)),0,H253/(AS704+H69))</f>
        <v>0</v>
      </c>
      <c r="I252" s="1121"/>
      <c r="J252" s="1121"/>
      <c r="K252" s="1122">
        <f>IF(OR(K253=0,AND(K69=0,AV704=0)),0,K253/(AV704+K69))</f>
        <v>0</v>
      </c>
      <c r="L252" s="1121"/>
      <c r="M252" s="1121"/>
      <c r="N252" s="1122">
        <f>IF(OR(N253=0,AND(N69=0,AY704=0)),0,N253/(AY704+N69))</f>
        <v>0</v>
      </c>
      <c r="O252" s="1121"/>
      <c r="P252" s="1121"/>
      <c r="Q252" s="1122">
        <f>IF(OR(Q253=0,AND(Q69=0,BB704=0)),0,Q253/(BB704+Q69))</f>
        <v>0</v>
      </c>
      <c r="R252" s="1121"/>
      <c r="S252" s="1121"/>
      <c r="T252" s="1123">
        <f>IF($N$71=0,0,C252*$C$241+E252*$E$241+H252*$H$241+N252*$N$241+Q252*$Q$241)</f>
        <v>0</v>
      </c>
      <c r="U252" s="1123">
        <f t="shared" ref="U252:AI252" si="225">T252</f>
        <v>0</v>
      </c>
      <c r="V252" s="1123">
        <f t="shared" si="225"/>
        <v>0</v>
      </c>
      <c r="W252" s="1123">
        <f t="shared" si="225"/>
        <v>0</v>
      </c>
      <c r="X252" s="1123">
        <f t="shared" si="225"/>
        <v>0</v>
      </c>
      <c r="Y252" s="1123">
        <f t="shared" si="225"/>
        <v>0</v>
      </c>
      <c r="Z252" s="1123">
        <f t="shared" si="225"/>
        <v>0</v>
      </c>
      <c r="AA252" s="1123">
        <f t="shared" si="225"/>
        <v>0</v>
      </c>
      <c r="AB252" s="1123">
        <f t="shared" si="225"/>
        <v>0</v>
      </c>
      <c r="AC252" s="1123">
        <f t="shared" si="225"/>
        <v>0</v>
      </c>
      <c r="AD252" s="1124">
        <f t="shared" si="225"/>
        <v>0</v>
      </c>
      <c r="AE252" s="1124">
        <f t="shared" si="225"/>
        <v>0</v>
      </c>
      <c r="AF252" s="1124">
        <f t="shared" si="225"/>
        <v>0</v>
      </c>
      <c r="AG252" s="1124">
        <f t="shared" si="225"/>
        <v>0</v>
      </c>
      <c r="AH252" s="1124">
        <f t="shared" si="225"/>
        <v>0</v>
      </c>
      <c r="AI252" s="1124">
        <f t="shared" si="225"/>
        <v>0</v>
      </c>
      <c r="AJ252" s="1125"/>
    </row>
    <row r="253" spans="1:43" s="536" customFormat="1" ht="13.5" thickBot="1">
      <c r="A253" s="537"/>
      <c r="B253" s="1127" t="s">
        <v>1280</v>
      </c>
      <c r="C253" s="1128">
        <f>IF(AND(C45&lt;&gt;"DEUDAS CON SOCIOS C.P.",C54&lt;&gt;"DEUDAS CON SOCIOS L.P."),IF(AND(AN704=0,C69=0),0,C76*((C37+C49)/(AN704+C69))),IF(C45&lt;&gt;"DEUDAS CON SOCIOS C.P.",IF(AND(AN704=0,C69=0,C54=0),0,C76*((C37+C49)/(AN704+C69+C54))),IF(C54&lt;&gt;"DEUDAS CON SOCIOS L.P.",IF(AND(AN704=0,C69=0,C45=0),0,C76*((C37+C49)/(AN704+C69+C45))),IF(AND(AN704=0,C69=0,C45=0,C54=0),0,C76*((C37+C49)/(AN704+C69+C45+C54))))))</f>
        <v>0</v>
      </c>
      <c r="D253" s="1080"/>
      <c r="E253" s="1129">
        <f>IF(AND(E45&lt;&gt;"DEUDAS CON SOCIOS C.P.",E54&lt;&gt;"DEUDAS CON SOCIOS L.P."),IF(AND(AP704=0,E69=0),0,E76*((E37+E49)/(AP704+E69))),IF(E45&lt;&gt;"DEUDAS CON SOCIOS C.P.",IF(AND(AP704=0,E69=0,E54=0),0,E76*((E37+E49)/(AP704+E69+E54))),IF(E54&lt;&gt;"DEUDAS CON SOCIOS L.P.",IF(AND(AP704=0,E69=0,E45=0),0,E76*((E37+E49)/(AP704+E69+E45))),IF(AND(AP704=0,E69=0,E45=0,E54=0),0,E76*((E37+E49)/(AP704+E69+E45+E54))))))</f>
        <v>0</v>
      </c>
      <c r="F253" s="1080"/>
      <c r="G253" s="1080"/>
      <c r="H253" s="1129">
        <f>IF(AND(H45&lt;&gt;"DEUDAS CON SOCIOS C.P.",H54&lt;&gt;"DEUDAS CON SOCIOS L.P."),IF(AND(AS704=0,H69=0),0,H76*((H37+H49)/(AS704+H69))),IF(H45&lt;&gt;"DEUDAS CON SOCIOS C.P.",IF(AND(AS704=0,H69=0,H54=0),0,H76*((H37+H49)/(AS704+H69+H54))),IF(H54&lt;&gt;"DEUDAS CON SOCIOS L.P.",IF(AND(AS704=0,H69=0,H45=0),0,H76*((H37+H49)/(AS704+H69+H45))),IF(AND(AS704=0,H69=0,H45=0,H54=0),0,H76*((H37+H49)/(AS704+H69+H45+H54))))))</f>
        <v>0</v>
      </c>
      <c r="I253" s="1130"/>
      <c r="J253" s="1130"/>
      <c r="K253" s="1129">
        <f>IF(AND(K45&lt;&gt;"DEUDAS CON SOCIOS C.P.",K54&lt;&gt;"DEUDAS CON SOCIOS L.P."),IF(AND(AV704=0,K69=0),0,K76*((K37+K49)/(AV704+K69))),IF(K45&lt;&gt;"DEUDAS CON SOCIOS C.P.",IF(AND(AV704=0,K69=0,K54=0),0,K76*((K37+K49)/(AV704+K69+K54))),IF(K54&lt;&gt;"DEUDAS CON SOCIOS L.P.",IF(AND(AV704=0,K69=0,K45=0),0,K76*((K37+K49)/(AV704+K69+K45))),IF(AND(AV704=0,K69=0,K45=0,K54=0),0,K76*((K37+K49)/(AV704+K69+K45+K54))))))</f>
        <v>0</v>
      </c>
      <c r="L253" s="1080"/>
      <c r="M253" s="1131"/>
      <c r="N253" s="1129">
        <f>IF(AND(N45&lt;&gt;"DEUDAS CON SOCIOS C.P.",N54&lt;&gt;"DEUDAS CON SOCIOS L.P."),IF(AND(AY704=0,N69=0),0,N76*((N37+N49)/(AY704+N69))),IF(N45&lt;&gt;"DEUDAS CON SOCIOS C.P.",IF(AND(AY704=0,N69=0,N54=0),0,N76*((N37+N49)/(AY704+N69+N54))),IF(N54&lt;&gt;"DEUDAS CON SOCIOS L.P.",IF(AND(AY704=0,N69=0,N45=0),0,N76*((N37+N49)/(AY704+N69+N45))),IF(AND(AY704=0,N69=0,N45=0,N54=0),0,N76*((N37+N49)/(AY704+N69+N45+N54))))))</f>
        <v>0</v>
      </c>
      <c r="O253" s="1080"/>
      <c r="P253" s="1131"/>
      <c r="Q253" s="1129">
        <f>IF(AND(Q45&lt;&gt;"DEUDAS CON SOCIOS C.P.",Q54&lt;&gt;"DEUDAS CON SOCIOS L.P."),IF(AND(BB704=0,Q69=0),0,Q76*((Q37+Q49)/(BB704+Q69))),IF(Q45&lt;&gt;"DEUDAS CON SOCIOS C.P.",IF(AND(BB704=0,Q69=0,Q54=0),0,Q76*((Q37+Q49)/(BB704+Q69+Q54))),IF(Q54&lt;&gt;"DEUDAS CON SOCIOS L.P.",IF(AND(BB704=0,Q69=0,Q45=0),0,Q76*((Q37+Q49)/(BB704+Q69+Q45))),IF(AND(BB704=0,Q69=0,Q45=0,Q54=0),0,Q76*((Q37+Q49)/(BB704+Q69+Q45+Q54))))))</f>
        <v>0</v>
      </c>
      <c r="R253" s="1080"/>
      <c r="S253" s="1131"/>
      <c r="T253" s="1132">
        <f>(N250+N251)*T252</f>
        <v>0</v>
      </c>
      <c r="U253" s="1132">
        <f t="shared" ref="U253:AI253" si="226">(T251+T250)*U252</f>
        <v>0</v>
      </c>
      <c r="V253" s="1132">
        <f t="shared" si="226"/>
        <v>0</v>
      </c>
      <c r="W253" s="1132">
        <f t="shared" si="226"/>
        <v>0</v>
      </c>
      <c r="X253" s="1132">
        <f t="shared" si="226"/>
        <v>0</v>
      </c>
      <c r="Y253" s="1132">
        <f t="shared" si="226"/>
        <v>0</v>
      </c>
      <c r="Z253" s="1132">
        <f t="shared" si="226"/>
        <v>0</v>
      </c>
      <c r="AA253" s="1132">
        <f t="shared" si="226"/>
        <v>0</v>
      </c>
      <c r="AB253" s="1132">
        <f t="shared" si="226"/>
        <v>0</v>
      </c>
      <c r="AC253" s="1132">
        <f t="shared" si="226"/>
        <v>0</v>
      </c>
      <c r="AD253" s="1133">
        <f t="shared" si="226"/>
        <v>0</v>
      </c>
      <c r="AE253" s="1133">
        <f t="shared" si="226"/>
        <v>0</v>
      </c>
      <c r="AF253" s="1133">
        <f t="shared" si="226"/>
        <v>0</v>
      </c>
      <c r="AG253" s="1133">
        <f t="shared" si="226"/>
        <v>0</v>
      </c>
      <c r="AH253" s="1133">
        <f t="shared" si="226"/>
        <v>0</v>
      </c>
      <c r="AI253" s="1133">
        <f t="shared" si="226"/>
        <v>0</v>
      </c>
      <c r="AJ253" s="853"/>
      <c r="AK253" s="533"/>
      <c r="AL253" s="533"/>
      <c r="AM253" s="533"/>
      <c r="AN253" s="625"/>
      <c r="AO253" s="625"/>
      <c r="AP253" s="625"/>
      <c r="AQ253" s="625"/>
    </row>
    <row r="254" spans="1:43" s="536" customFormat="1" ht="13.5" thickBot="1">
      <c r="A254" s="537"/>
      <c r="B254" s="660"/>
      <c r="C254" s="531"/>
      <c r="D254" s="531"/>
      <c r="E254" s="531"/>
      <c r="F254" s="531"/>
      <c r="G254" s="531"/>
      <c r="H254" s="531"/>
      <c r="I254" s="530"/>
      <c r="J254" s="530"/>
      <c r="K254" s="531"/>
      <c r="L254" s="531"/>
      <c r="M254" s="539"/>
      <c r="N254" s="531"/>
      <c r="O254" s="531"/>
      <c r="P254" s="539"/>
      <c r="Q254" s="531"/>
      <c r="R254" s="531"/>
      <c r="S254" s="539"/>
      <c r="T254" s="541"/>
      <c r="U254" s="1134"/>
      <c r="V254" s="1135"/>
      <c r="W254" s="1056"/>
      <c r="X254" s="530"/>
      <c r="Y254" s="530"/>
      <c r="Z254" s="530"/>
      <c r="AA254" s="530"/>
      <c r="AB254" s="530"/>
      <c r="AC254" s="530"/>
      <c r="AD254" s="530"/>
      <c r="AE254" s="531"/>
      <c r="AF254" s="1084"/>
      <c r="AG254" s="531"/>
      <c r="AH254" s="531"/>
      <c r="AI254" s="531"/>
      <c r="AJ254" s="853"/>
      <c r="AK254" s="533"/>
      <c r="AL254" s="533"/>
      <c r="AM254" s="533"/>
      <c r="AN254" s="625"/>
      <c r="AO254" s="625"/>
      <c r="AP254" s="625"/>
      <c r="AQ254" s="625"/>
    </row>
    <row r="255" spans="1:43" s="536" customFormat="1" ht="13.5" thickBot="1">
      <c r="A255" s="537"/>
      <c r="B255" s="1136" t="s">
        <v>1281</v>
      </c>
      <c r="C255" s="1137"/>
      <c r="D255" s="531"/>
      <c r="E255" s="531"/>
      <c r="F255" s="531"/>
      <c r="G255" s="531"/>
      <c r="H255" s="531"/>
      <c r="I255" s="530"/>
      <c r="J255" s="530"/>
      <c r="K255" s="531"/>
      <c r="L255" s="531"/>
      <c r="M255" s="539"/>
      <c r="N255" s="531"/>
      <c r="O255" s="531"/>
      <c r="P255" s="539"/>
      <c r="Q255" s="531"/>
      <c r="R255" s="531"/>
      <c r="S255" s="539"/>
      <c r="T255" s="539"/>
      <c r="U255" s="531"/>
      <c r="V255" s="531"/>
      <c r="W255" s="531"/>
      <c r="X255" s="530"/>
      <c r="Y255" s="530"/>
      <c r="Z255" s="530"/>
      <c r="AA255" s="530"/>
      <c r="AB255" s="530"/>
      <c r="AC255" s="530"/>
      <c r="AD255" s="530"/>
      <c r="AE255" s="531"/>
      <c r="AF255" s="1138"/>
      <c r="AG255" s="531"/>
      <c r="AH255" s="531"/>
      <c r="AI255" s="531"/>
      <c r="AJ255" s="853"/>
      <c r="AK255" s="533"/>
      <c r="AL255" s="533"/>
      <c r="AM255" s="533"/>
      <c r="AN255" s="625"/>
      <c r="AO255" s="625"/>
      <c r="AP255" s="625"/>
      <c r="AQ255" s="625"/>
    </row>
    <row r="256" spans="1:43" s="536" customFormat="1">
      <c r="A256" s="537"/>
      <c r="B256" s="1139" t="s">
        <v>1272</v>
      </c>
      <c r="C256" s="1140"/>
      <c r="D256" s="1141">
        <f>IF(C258=0,C256*12,(C256*12)-((C258-T259)*12))</f>
        <v>0</v>
      </c>
      <c r="E256" s="1142"/>
      <c r="F256" s="1142"/>
      <c r="G256" s="1142"/>
      <c r="H256" s="1142"/>
      <c r="I256" s="1143"/>
      <c r="J256" s="1143"/>
      <c r="K256" s="1142"/>
      <c r="L256" s="1142"/>
      <c r="M256" s="1144"/>
      <c r="N256" s="1142"/>
      <c r="O256" s="1142"/>
      <c r="P256" s="1144"/>
      <c r="Q256" s="1142"/>
      <c r="R256" s="1142"/>
      <c r="S256" s="1144"/>
      <c r="T256" s="1142"/>
      <c r="U256" s="1142"/>
      <c r="V256" s="1142"/>
      <c r="W256" s="1142"/>
      <c r="X256" s="1142"/>
      <c r="Y256" s="1142"/>
      <c r="Z256" s="1142"/>
      <c r="AA256" s="1142"/>
      <c r="AB256" s="1142"/>
      <c r="AC256" s="1142"/>
      <c r="AD256" s="1142"/>
      <c r="AE256" s="1142"/>
      <c r="AF256" s="1142"/>
      <c r="AG256" s="1142"/>
      <c r="AH256" s="1142"/>
      <c r="AI256" s="1145"/>
      <c r="AJ256" s="853"/>
      <c r="AK256" s="533"/>
      <c r="AL256" s="533"/>
      <c r="AM256" s="533"/>
      <c r="AN256" s="625"/>
      <c r="AO256" s="625"/>
      <c r="AP256" s="625"/>
      <c r="AQ256" s="625"/>
    </row>
    <row r="257" spans="1:43" s="536" customFormat="1">
      <c r="A257" s="537"/>
      <c r="B257" s="1146" t="s">
        <v>1273</v>
      </c>
      <c r="C257" s="1147"/>
      <c r="D257" s="1090">
        <f>IF(C257=0,0,VLOOKUP(C257,$B$950:$C$961,2,0))</f>
        <v>0</v>
      </c>
      <c r="E257" s="531"/>
      <c r="F257" s="531"/>
      <c r="G257" s="531"/>
      <c r="H257" s="531"/>
      <c r="I257" s="530"/>
      <c r="J257" s="530"/>
      <c r="K257" s="531"/>
      <c r="L257" s="531"/>
      <c r="M257" s="539"/>
      <c r="N257" s="531"/>
      <c r="O257" s="531"/>
      <c r="P257" s="539"/>
      <c r="Q257" s="531"/>
      <c r="R257" s="531"/>
      <c r="S257" s="539"/>
      <c r="T257" s="1091"/>
      <c r="U257" s="1091"/>
      <c r="V257" s="1091"/>
      <c r="W257" s="1091"/>
      <c r="X257" s="1091"/>
      <c r="Y257" s="1091"/>
      <c r="Z257" s="1091"/>
      <c r="AA257" s="1091"/>
      <c r="AB257" s="1091"/>
      <c r="AC257" s="1091"/>
      <c r="AD257" s="1091"/>
      <c r="AE257" s="1148"/>
      <c r="AF257" s="1148"/>
      <c r="AG257" s="1148"/>
      <c r="AH257" s="1148"/>
      <c r="AI257" s="1149"/>
      <c r="AJ257" s="853"/>
      <c r="AK257" s="533"/>
      <c r="AL257" s="533"/>
      <c r="AM257" s="533"/>
      <c r="AN257" s="625"/>
      <c r="AO257" s="625"/>
      <c r="AP257" s="625"/>
      <c r="AQ257" s="625"/>
    </row>
    <row r="258" spans="1:43" s="536" customFormat="1">
      <c r="A258" s="537"/>
      <c r="B258" s="1150" t="s">
        <v>1274</v>
      </c>
      <c r="C258" s="1151"/>
      <c r="D258" s="1094">
        <f>IF($C$258=0,0,$C$258-$T$259)</f>
        <v>0</v>
      </c>
      <c r="E258" s="531"/>
      <c r="F258" s="531"/>
      <c r="G258" s="531"/>
      <c r="H258" s="531"/>
      <c r="I258" s="530"/>
      <c r="J258" s="530"/>
      <c r="K258" s="531"/>
      <c r="L258" s="531"/>
      <c r="M258" s="539"/>
      <c r="N258" s="531"/>
      <c r="O258" s="531"/>
      <c r="P258" s="539"/>
      <c r="Q258" s="531"/>
      <c r="R258" s="531"/>
      <c r="S258" s="539"/>
      <c r="T258" s="1152" t="s">
        <v>1044</v>
      </c>
      <c r="U258" s="1152" t="s">
        <v>1044</v>
      </c>
      <c r="V258" s="1152" t="s">
        <v>1044</v>
      </c>
      <c r="W258" s="1152" t="s">
        <v>1044</v>
      </c>
      <c r="X258" s="1152" t="s">
        <v>1044</v>
      </c>
      <c r="Y258" s="1152" t="s">
        <v>1044</v>
      </c>
      <c r="Z258" s="1152" t="s">
        <v>1044</v>
      </c>
      <c r="AA258" s="1152" t="s">
        <v>1044</v>
      </c>
      <c r="AB258" s="1152" t="s">
        <v>1044</v>
      </c>
      <c r="AC258" s="1152" t="s">
        <v>1044</v>
      </c>
      <c r="AD258" s="1153" t="s">
        <v>1044</v>
      </c>
      <c r="AE258" s="1153" t="s">
        <v>1044</v>
      </c>
      <c r="AF258" s="1153" t="s">
        <v>1044</v>
      </c>
      <c r="AG258" s="1153" t="s">
        <v>1044</v>
      </c>
      <c r="AH258" s="1153" t="s">
        <v>1044</v>
      </c>
      <c r="AI258" s="1153" t="s">
        <v>1044</v>
      </c>
      <c r="AJ258" s="853"/>
      <c r="AK258" s="533"/>
      <c r="AL258" s="533"/>
      <c r="AM258" s="533"/>
      <c r="AN258" s="625"/>
      <c r="AO258" s="625"/>
      <c r="AP258" s="625"/>
      <c r="AQ258" s="625"/>
    </row>
    <row r="259" spans="1:43" s="536" customFormat="1">
      <c r="A259" s="537"/>
      <c r="B259" s="1154"/>
      <c r="C259" s="1155">
        <f>C15</f>
        <v>2016</v>
      </c>
      <c r="D259" s="1099"/>
      <c r="E259" s="1156">
        <f>E15</f>
        <v>2017</v>
      </c>
      <c r="F259" s="1099"/>
      <c r="G259" s="1099"/>
      <c r="H259" s="1156">
        <f>H15</f>
        <v>2018</v>
      </c>
      <c r="I259" s="1101"/>
      <c r="J259" s="1101"/>
      <c r="K259" s="1156">
        <f>K15</f>
        <v>2019</v>
      </c>
      <c r="L259" s="1099"/>
      <c r="M259" s="539"/>
      <c r="N259" s="1156">
        <f>N15</f>
        <v>2019</v>
      </c>
      <c r="O259" s="1099"/>
      <c r="P259" s="539"/>
      <c r="Q259" s="1156" t="str">
        <f>Q15</f>
        <v>2020</v>
      </c>
      <c r="R259" s="1099"/>
      <c r="S259" s="539"/>
      <c r="T259" s="1156">
        <f t="shared" ref="T259:AI259" si="227">T15</f>
        <v>2020</v>
      </c>
      <c r="U259" s="1156">
        <f t="shared" si="227"/>
        <v>2021</v>
      </c>
      <c r="V259" s="1156">
        <f t="shared" si="227"/>
        <v>2022</v>
      </c>
      <c r="W259" s="1156">
        <f t="shared" si="227"/>
        <v>2023</v>
      </c>
      <c r="X259" s="1156">
        <f t="shared" si="227"/>
        <v>2024</v>
      </c>
      <c r="Y259" s="1156">
        <f t="shared" si="227"/>
        <v>2025</v>
      </c>
      <c r="Z259" s="1156">
        <f t="shared" si="227"/>
        <v>2026</v>
      </c>
      <c r="AA259" s="1156">
        <f t="shared" si="227"/>
        <v>2027</v>
      </c>
      <c r="AB259" s="1156">
        <f t="shared" si="227"/>
        <v>2028</v>
      </c>
      <c r="AC259" s="1156">
        <f t="shared" si="227"/>
        <v>2029</v>
      </c>
      <c r="AD259" s="1157">
        <f t="shared" si="227"/>
        <v>2030</v>
      </c>
      <c r="AE259" s="1157">
        <f t="shared" si="227"/>
        <v>2031</v>
      </c>
      <c r="AF259" s="1157">
        <f t="shared" si="227"/>
        <v>2032</v>
      </c>
      <c r="AG259" s="1157">
        <f t="shared" si="227"/>
        <v>2033</v>
      </c>
      <c r="AH259" s="1157">
        <f t="shared" si="227"/>
        <v>2034</v>
      </c>
      <c r="AI259" s="1157">
        <f t="shared" si="227"/>
        <v>2035</v>
      </c>
      <c r="AJ259" s="853"/>
      <c r="AK259" s="533"/>
      <c r="AL259" s="533"/>
      <c r="AM259" s="533"/>
      <c r="AN259" s="625"/>
      <c r="AO259" s="625"/>
      <c r="AP259" s="625"/>
      <c r="AQ259" s="625"/>
    </row>
    <row r="260" spans="1:43" s="536" customFormat="1" ht="12.5">
      <c r="A260" s="538"/>
      <c r="B260" s="1158" t="s">
        <v>1275</v>
      </c>
      <c r="C260" s="534"/>
      <c r="D260" s="531"/>
      <c r="E260" s="534"/>
      <c r="F260" s="531"/>
      <c r="G260" s="531"/>
      <c r="H260" s="534"/>
      <c r="I260" s="530"/>
      <c r="J260" s="530"/>
      <c r="K260" s="534"/>
      <c r="L260" s="531"/>
      <c r="M260" s="539"/>
      <c r="N260" s="534"/>
      <c r="O260" s="531"/>
      <c r="P260" s="539"/>
      <c r="Q260" s="534"/>
      <c r="R260" s="531"/>
      <c r="S260" s="539"/>
      <c r="T260" s="1159">
        <f>IF(AND($C$943=4,$C$354=$T$351,$C$933=3,$C$314=$T$311),IF($N250+$N251-$C$350-$C$310&lt;=0,1,($C$350+$C$310)/($N250+$N251)),IF(AND($C$943=4,$C$354=$T$351),IF($N250+$N251-$C$350&lt;=0,1,$C$350/($N250+$N251)),IF(AND($C$933=4,$C$314=$T$311),IF($N250+$N251-$C$310&lt;=0,1,$C$310/($N250+$N251)),IF(OR($D258&gt;=1,$C256=0),0,IF($C$246=T259,$D257/($C256-$D258),1/($C256-$D258))))))</f>
        <v>0</v>
      </c>
      <c r="U260" s="1159">
        <f>IF(AND($C$943=4,$C$354=$U$351,$C$933=3,$C$314=$U$311),IF($N250+$N251-$C$350-$C$310&lt;=0,1,($C$350+$C$310)/($N250+$N251)),IF(AND($C$943=4,$C$354=$U$351),IF($N250+$N251-$C$350&lt;=0,1,$C$350/($N250+$N251)),IF(AND($C$933=4,$C$314=$U$311),IF($N250+$N251-$C$310&lt;=0,1,$C$310/($N250+$N251)),IF(OR($D258&gt;=2,$C256=0,T260=1),0,IF($C$246=U259,$D257/($C256-$D258),IF(T260+(1/($C256-$D258))&gt;1,1-T260,1/($C256-$D258)))))))</f>
        <v>0</v>
      </c>
      <c r="V260" s="1159">
        <f>IF(OR($D258&gt;=3,$C256=0,SUM($T260:U260)&gt;=1),0,IF($C$246=V259,$D257/($C256-$D258),IF(SUM($T260:U260)+(1/($C256-$D258))&gt;1,1-SUM($T260:U260),1/($C256-$D258))))</f>
        <v>0</v>
      </c>
      <c r="W260" s="1159">
        <f>IF(OR($D258&gt;=4,$C256=0,SUM($T260:V260)&gt;=1),0,IF($C$246=W259,$D257/($C256-$D258),IF(SUM($T260:V260)+(1/($C256-$D258))&gt;1,1-SUM($T260:V260),1/($C256-$D258))))</f>
        <v>0</v>
      </c>
      <c r="X260" s="1159">
        <f>IF(OR($D258&gt;=5,$C256=0,SUM($T260:W260)&gt;=1),0,IF($C$246=X259,$D257/($C256-$D258),IF(SUM($T260:W260)+(1/($C256-$D258))&gt;1,1-SUM($T260:W260),1/($C256-$D258))))</f>
        <v>0</v>
      </c>
      <c r="Y260" s="1159">
        <f>IF(OR($D258&gt;=6,$C256=0,SUM($T260:X260)&gt;=1),0,IF($C$246=Y259,$D257/($C256-$D258),IF(SUM($T260:X260)+(1/($C256-$D258))&gt;1,1-SUM($T260:X260),1/($C256-$D258))))</f>
        <v>0</v>
      </c>
      <c r="Z260" s="1159">
        <f>IF(OR($D258&gt;=7,$C256=0,SUM($T260:Y260)&gt;=1),0,IF($C$246=Z259,$D257/($C256-$D258),IF(SUM($T260:Y260)+(1/($C256-$D258))&gt;1,1-SUM($T260:Y260),1/($C256-$D258))))</f>
        <v>0</v>
      </c>
      <c r="AA260" s="1159">
        <f>IF(OR($D258&gt;=8,$C256=0,SUM($T260:Z260)&gt;=1),0,IF($C$246=AA259,$D257/($C256-$D258),IF(SUM($T260:Z260)+(1/($C256-$D258))&gt;1,1-SUM($T260:Z260),1/($C256-$D258))))</f>
        <v>0</v>
      </c>
      <c r="AB260" s="1159">
        <f>IF(OR($D258&gt;=9,$C256=0,SUM($T260:AA260)&gt;=1),0,IF($C$246=AB259,$D257/($C256-$D258),IF(SUM($T260:AA260)+(1/($C256-$D258))&gt;1,1-SUM($T260:AA260),1/($C256-$D258))))</f>
        <v>0</v>
      </c>
      <c r="AC260" s="1159">
        <f>IF(OR($D258&gt;=10,$C256=0,SUM($T260:AB260)&gt;=1),0,IF($C$246=AC259,$D257/($C256-$D258),IF(SUM($T260:AB260)+(1/($C256-$D258))&gt;1,1-SUM($T260:AB260),1/($C256-$D258))))</f>
        <v>0</v>
      </c>
      <c r="AD260" s="1160">
        <f>IF(OR($D258&gt;=11,$C256=0,SUM($T260:AC260)&gt;=1),0,IF($C$246=AD259,$D257/($C256-$D258),IF(SUM($T260:AC260)+(1/($C256-$D258))&gt;1,1-SUM($T260:AC260),1/($C256-$D258))))</f>
        <v>0</v>
      </c>
      <c r="AE260" s="1160">
        <f>IF(OR($D258&gt;=11,$C256=0,SUM($T260:AD260)&gt;=1),0,IF($C$246=AE259,$D257/($C256-$D258),IF(SUM($T260:AD260)+(1/($C256-$D258))&gt;1,1-SUM($T260:AD260),1/($C256-$D258))))</f>
        <v>0</v>
      </c>
      <c r="AF260" s="1160">
        <f>IF(OR($D258&gt;=11,$C256=0,SUM($T260:AE260)&gt;=1),0,IF($C$246=AF259,$D257/($C256-$D258),IF(SUM($T260:AE260)+(1/($C256-$D258))&gt;1,1-SUM($T260:AE260),1/($C256-$D258))))</f>
        <v>0</v>
      </c>
      <c r="AG260" s="1160">
        <f>IF(OR($D258&gt;=11,$C256=0,SUM($T260:AF260)&gt;=1),0,IF($C$246=AG259,$D257/($C256-$D258),IF(SUM($T260:AF260)+(1/($C256-$D258))&gt;1,1-SUM($T260:AF260),1/($C256-$D258))))</f>
        <v>0</v>
      </c>
      <c r="AH260" s="1160">
        <f>IF(OR($D258&gt;=11,$C256=0,SUM($T260:AG260)&gt;=1),0,IF($C$246=AH259,$D257/($C256-$D258),IF(SUM($T260:AG260)+(1/($C256-$D258))&gt;1,1-SUM($T260:AG260),1/($C256-$D258))))</f>
        <v>0</v>
      </c>
      <c r="AI260" s="1160">
        <f>IF(OR($D258&gt;=11,$C256=0,SUM($T260:AH260)&gt;=1),0,IF($C$246=AI259,$D257/($C256-$D258),IF(SUM($T260:AH260)+(1/($C256-$D258))&gt;1,1-SUM($T260:AH260),1/($C256-$D258))))</f>
        <v>0</v>
      </c>
      <c r="AJ260" s="853"/>
      <c r="AK260" s="533"/>
      <c r="AL260" s="533"/>
      <c r="AM260" s="533"/>
      <c r="AN260" s="1106"/>
      <c r="AO260" s="1106"/>
      <c r="AP260" s="1106"/>
      <c r="AQ260" s="1106"/>
    </row>
    <row r="261" spans="1:43" s="536" customFormat="1" ht="12.5">
      <c r="A261" s="538"/>
      <c r="B261" s="1161" t="s">
        <v>1276</v>
      </c>
      <c r="C261" s="534"/>
      <c r="D261" s="531"/>
      <c r="E261" s="534"/>
      <c r="F261" s="531"/>
      <c r="G261" s="531"/>
      <c r="H261" s="534"/>
      <c r="I261" s="530"/>
      <c r="J261" s="530"/>
      <c r="K261" s="534"/>
      <c r="L261" s="531"/>
      <c r="M261" s="539"/>
      <c r="N261" s="534"/>
      <c r="O261" s="531"/>
      <c r="P261" s="539"/>
      <c r="Q261" s="534"/>
      <c r="R261" s="531"/>
      <c r="S261" s="539"/>
      <c r="T261" s="1162">
        <f>SUM(N262:N263)*T260</f>
        <v>0</v>
      </c>
      <c r="U261" s="1162">
        <f>SUM($N262:$N263)*U260</f>
        <v>0</v>
      </c>
      <c r="V261" s="1162">
        <f>SUM($N262:$N263)*V260</f>
        <v>0</v>
      </c>
      <c r="W261" s="1162">
        <f t="shared" ref="W261:AI261" si="228">IF(SUM($N262:$N263)*W260&gt;U263,U263,SUM($N262:$N263)*W260)</f>
        <v>0</v>
      </c>
      <c r="X261" s="1162">
        <f t="shared" si="228"/>
        <v>0</v>
      </c>
      <c r="Y261" s="1162">
        <f t="shared" si="228"/>
        <v>0</v>
      </c>
      <c r="Z261" s="1162">
        <f t="shared" si="228"/>
        <v>0</v>
      </c>
      <c r="AA261" s="1162">
        <f t="shared" si="228"/>
        <v>0</v>
      </c>
      <c r="AB261" s="1162">
        <f t="shared" si="228"/>
        <v>0</v>
      </c>
      <c r="AC261" s="1162">
        <f t="shared" si="228"/>
        <v>0</v>
      </c>
      <c r="AD261" s="1163">
        <f t="shared" si="228"/>
        <v>0</v>
      </c>
      <c r="AE261" s="1163">
        <f t="shared" si="228"/>
        <v>0</v>
      </c>
      <c r="AF261" s="1163">
        <f t="shared" si="228"/>
        <v>0</v>
      </c>
      <c r="AG261" s="1163">
        <f t="shared" si="228"/>
        <v>0</v>
      </c>
      <c r="AH261" s="1163">
        <f t="shared" si="228"/>
        <v>0</v>
      </c>
      <c r="AI261" s="1163">
        <f t="shared" si="228"/>
        <v>0</v>
      </c>
      <c r="AJ261" s="853"/>
      <c r="AK261" s="533"/>
      <c r="AL261" s="533"/>
      <c r="AM261" s="533"/>
      <c r="AN261" s="1106"/>
      <c r="AO261" s="1106"/>
      <c r="AP261" s="1106"/>
      <c r="AQ261" s="1106"/>
    </row>
    <row r="262" spans="1:43" s="536" customFormat="1">
      <c r="A262" s="537"/>
      <c r="B262" s="1164" t="s">
        <v>1282</v>
      </c>
      <c r="C262" s="1165">
        <f>C38</f>
        <v>0</v>
      </c>
      <c r="D262" s="531"/>
      <c r="E262" s="1166">
        <f>E38</f>
        <v>0</v>
      </c>
      <c r="F262" s="531"/>
      <c r="G262" s="531"/>
      <c r="H262" s="1166">
        <f>H38</f>
        <v>0</v>
      </c>
      <c r="I262" s="530"/>
      <c r="J262" s="530"/>
      <c r="K262" s="1166">
        <f>K38</f>
        <v>0</v>
      </c>
      <c r="L262" s="531"/>
      <c r="M262" s="539"/>
      <c r="N262" s="1166">
        <f>N38</f>
        <v>0</v>
      </c>
      <c r="O262" s="531"/>
      <c r="P262" s="539"/>
      <c r="Q262" s="1166">
        <f>Q38</f>
        <v>0</v>
      </c>
      <c r="R262" s="531"/>
      <c r="S262" s="539"/>
      <c r="T262" s="1167">
        <f>SUM($N262:$N263)*U260</f>
        <v>0</v>
      </c>
      <c r="U262" s="1167">
        <f>SUM($N262:$N263)*V260</f>
        <v>0</v>
      </c>
      <c r="V262" s="1167">
        <f t="shared" ref="V262:AI262" si="229">IF(SUM($N262:$N263)*W260&gt;U263,U263,SUM($N262:$N263)*W260)</f>
        <v>0</v>
      </c>
      <c r="W262" s="1167">
        <f t="shared" si="229"/>
        <v>0</v>
      </c>
      <c r="X262" s="1167">
        <f t="shared" si="229"/>
        <v>0</v>
      </c>
      <c r="Y262" s="1167">
        <f t="shared" si="229"/>
        <v>0</v>
      </c>
      <c r="Z262" s="1167">
        <f t="shared" si="229"/>
        <v>0</v>
      </c>
      <c r="AA262" s="1167">
        <f t="shared" si="229"/>
        <v>0</v>
      </c>
      <c r="AB262" s="1167">
        <f t="shared" si="229"/>
        <v>0</v>
      </c>
      <c r="AC262" s="1167">
        <f t="shared" si="229"/>
        <v>0</v>
      </c>
      <c r="AD262" s="1168">
        <f t="shared" si="229"/>
        <v>0</v>
      </c>
      <c r="AE262" s="1168">
        <f t="shared" si="229"/>
        <v>0</v>
      </c>
      <c r="AF262" s="1168">
        <f t="shared" si="229"/>
        <v>0</v>
      </c>
      <c r="AG262" s="1168">
        <f t="shared" si="229"/>
        <v>0</v>
      </c>
      <c r="AH262" s="1168">
        <f t="shared" si="229"/>
        <v>0</v>
      </c>
      <c r="AI262" s="1168">
        <f t="shared" si="229"/>
        <v>0</v>
      </c>
      <c r="AJ262" s="853"/>
      <c r="AK262" s="533"/>
      <c r="AL262" s="533"/>
      <c r="AM262" s="533"/>
      <c r="AN262" s="625"/>
      <c r="AO262" s="625"/>
      <c r="AP262" s="625"/>
      <c r="AQ262" s="625"/>
    </row>
    <row r="263" spans="1:43" s="536" customFormat="1">
      <c r="A263" s="537"/>
      <c r="B263" s="1164" t="s">
        <v>1283</v>
      </c>
      <c r="C263" s="1169">
        <f>C50</f>
        <v>0</v>
      </c>
      <c r="D263" s="531"/>
      <c r="E263" s="1170">
        <f>E50</f>
        <v>0</v>
      </c>
      <c r="F263" s="531"/>
      <c r="G263" s="531"/>
      <c r="H263" s="1170">
        <f>H50</f>
        <v>0</v>
      </c>
      <c r="I263" s="530"/>
      <c r="J263" s="530"/>
      <c r="K263" s="1170">
        <f>K50</f>
        <v>0</v>
      </c>
      <c r="L263" s="531"/>
      <c r="M263" s="539"/>
      <c r="N263" s="1170">
        <f>N50</f>
        <v>0</v>
      </c>
      <c r="O263" s="531"/>
      <c r="P263" s="539"/>
      <c r="Q263" s="1170">
        <f>Q50</f>
        <v>0</v>
      </c>
      <c r="R263" s="531"/>
      <c r="S263" s="539"/>
      <c r="T263" s="1171">
        <f>IF(SUM($N262:$N263)-T261-T262&lt;0.005,0,SUM($N262:$N263)-T261-T262)</f>
        <v>0</v>
      </c>
      <c r="U263" s="1171">
        <f t="shared" ref="U263:AI263" si="230">IF(SUM(T262:T263)-U261-U262&lt;0.005,0,SUM(T262:T263)-U261-U262)</f>
        <v>0</v>
      </c>
      <c r="V263" s="1171">
        <f t="shared" si="230"/>
        <v>0</v>
      </c>
      <c r="W263" s="1171">
        <f t="shared" si="230"/>
        <v>0</v>
      </c>
      <c r="X263" s="1171">
        <f t="shared" si="230"/>
        <v>0</v>
      </c>
      <c r="Y263" s="1171">
        <f t="shared" si="230"/>
        <v>0</v>
      </c>
      <c r="Z263" s="1171">
        <f t="shared" si="230"/>
        <v>0</v>
      </c>
      <c r="AA263" s="1171">
        <f t="shared" si="230"/>
        <v>0</v>
      </c>
      <c r="AB263" s="1171">
        <f t="shared" si="230"/>
        <v>0</v>
      </c>
      <c r="AC263" s="1171">
        <f t="shared" si="230"/>
        <v>0</v>
      </c>
      <c r="AD263" s="1172">
        <f t="shared" si="230"/>
        <v>0</v>
      </c>
      <c r="AE263" s="1172">
        <f t="shared" si="230"/>
        <v>0</v>
      </c>
      <c r="AF263" s="1172">
        <f t="shared" si="230"/>
        <v>0</v>
      </c>
      <c r="AG263" s="1172">
        <f t="shared" si="230"/>
        <v>0</v>
      </c>
      <c r="AH263" s="1172">
        <f t="shared" si="230"/>
        <v>0</v>
      </c>
      <c r="AI263" s="1172">
        <f t="shared" si="230"/>
        <v>0</v>
      </c>
      <c r="AJ263" s="853"/>
      <c r="AK263" s="533"/>
      <c r="AL263" s="533"/>
      <c r="AM263" s="533"/>
      <c r="AN263" s="625"/>
      <c r="AO263" s="625"/>
      <c r="AP263" s="625"/>
      <c r="AQ263" s="625"/>
    </row>
    <row r="264" spans="1:43" s="1126" customFormat="1">
      <c r="A264" s="1119"/>
      <c r="B264" s="1164" t="s">
        <v>1284</v>
      </c>
      <c r="C264" s="1173">
        <f>IF(OR(C265=0,AND(C69=0,AN704=0)),0,C265/(AN704+C69))</f>
        <v>0</v>
      </c>
      <c r="D264" s="1121"/>
      <c r="E264" s="1174">
        <f>IF(OR(E265=0,AND(E69=0,AP704=0)),0,E265/(AP704+E69))</f>
        <v>0</v>
      </c>
      <c r="F264" s="1121"/>
      <c r="G264" s="1121"/>
      <c r="H264" s="1174">
        <f>IF(OR(H265=0,AND(H69=0,AS704=0)),0,H265/(AS704+H69))</f>
        <v>0</v>
      </c>
      <c r="I264" s="1121"/>
      <c r="J264" s="1121"/>
      <c r="K264" s="1174">
        <f>IF(OR(K265=0,AND(K69=0,AV704=0)),0,K265/(AV704+K69))</f>
        <v>0</v>
      </c>
      <c r="L264" s="1121"/>
      <c r="M264" s="1121"/>
      <c r="N264" s="1174">
        <f>IF(OR(N265=0,AND(N69=0,AY704=0)),0,N265/(AY704+N69))</f>
        <v>0</v>
      </c>
      <c r="O264" s="1121"/>
      <c r="P264" s="1121"/>
      <c r="Q264" s="1174">
        <f>IF(OR(Q265=0,AND(Q69=0,BB704=0)),0,Q265/(BB704+Q69))</f>
        <v>0</v>
      </c>
      <c r="R264" s="1121"/>
      <c r="S264" s="1121"/>
      <c r="T264" s="1175">
        <f>IF($N$71=0,0,C264*$C$241+E264*$E$241+H264*$H$241+N264*$N$241+Q264*$Q$241)</f>
        <v>0</v>
      </c>
      <c r="U264" s="1175">
        <f t="shared" ref="U264:AI264" si="231">T264</f>
        <v>0</v>
      </c>
      <c r="V264" s="1175">
        <f t="shared" si="231"/>
        <v>0</v>
      </c>
      <c r="W264" s="1175">
        <f t="shared" si="231"/>
        <v>0</v>
      </c>
      <c r="X264" s="1175">
        <f t="shared" si="231"/>
        <v>0</v>
      </c>
      <c r="Y264" s="1175">
        <f t="shared" si="231"/>
        <v>0</v>
      </c>
      <c r="Z264" s="1175">
        <f t="shared" si="231"/>
        <v>0</v>
      </c>
      <c r="AA264" s="1175">
        <f t="shared" si="231"/>
        <v>0</v>
      </c>
      <c r="AB264" s="1175">
        <f t="shared" si="231"/>
        <v>0</v>
      </c>
      <c r="AC264" s="1175">
        <f t="shared" si="231"/>
        <v>0</v>
      </c>
      <c r="AD264" s="1176">
        <f t="shared" si="231"/>
        <v>0</v>
      </c>
      <c r="AE264" s="1176">
        <f t="shared" si="231"/>
        <v>0</v>
      </c>
      <c r="AF264" s="1176">
        <f t="shared" si="231"/>
        <v>0</v>
      </c>
      <c r="AG264" s="1176">
        <f t="shared" si="231"/>
        <v>0</v>
      </c>
      <c r="AH264" s="1176">
        <f t="shared" si="231"/>
        <v>0</v>
      </c>
      <c r="AI264" s="1176">
        <f t="shared" si="231"/>
        <v>0</v>
      </c>
      <c r="AJ264" s="1125"/>
    </row>
    <row r="265" spans="1:43" s="536" customFormat="1" ht="13.5" thickBot="1">
      <c r="A265" s="537"/>
      <c r="B265" s="1177" t="s">
        <v>1285</v>
      </c>
      <c r="C265" s="1178">
        <f>IF(AND(C45&lt;&gt;"DEUDAS CON SOCIOS C.P.",C54&lt;&gt;"DEUDAS CON SOCIOS L.P."),IF(AND(AN704=0,C69=0),0,C76*((C38+C50)/(AN704+C69))),IF(C45&lt;&gt;"DEUDAS CON SOCIOS C.P.",IF(AND(AN704=0,C69=0,C54=0),0,C76*((C38+C50)/(AN704+C69+C54))),IF(C54&lt;&gt;"DEUDAS CON SOCIOS L.P.",IF(AND(AN704=0,C69=0,C45=0),0,C76*((C38+C50)/(AN704+C69+C45))),IF(AND(AN704=0,C69=0,C45=0,C54=0),0,C76*((C38+C50)/(AN704+C69+C45+C54))))))</f>
        <v>0</v>
      </c>
      <c r="D265" s="1138"/>
      <c r="E265" s="1179">
        <f>IF(AND(E45&lt;&gt;"DEUDAS CON SOCIOS C.P.",E54&lt;&gt;"DEUDAS CON SOCIOS L.P."),IF(AND(AP704=0,E69=0),0,E76*((E38+E50)/(AP704+E69))),IF(E45&lt;&gt;"DEUDAS CON SOCIOS C.P.",IF(AND(AP704=0,E69=0,E54=0),0,E76*((E38+E50)/(AP704+E69+E54))),IF(E54&lt;&gt;"DEUDAS CON SOCIOS L.P.",IF(AND(AP704=0,E69=0,E45=0),0,E76*((E38+E50)/(AP704+E69+E45))),IF(AND(AP704=0,E69=0,E45=0,E54=0),0,E76*((E38+E50)/(AP704+E69+E45+E54))))))</f>
        <v>0</v>
      </c>
      <c r="F265" s="1138"/>
      <c r="G265" s="1138"/>
      <c r="H265" s="1179">
        <f>IF(AND(H45&lt;&gt;"DEUDAS CON SOCIOS C.P.",H54&lt;&gt;"DEUDAS CON SOCIOS L.P."),IF(AND(AS704=0,H69=0),0,H76*((H38+H50)/(AS704+H69))),IF(H45&lt;&gt;"DEUDAS CON SOCIOS C.P.",IF(AND(AS704=0,H69=0,H54=0),0,H76*((H38+H50)/(AS704+H69+H54))),IF(H54&lt;&gt;"DEUDAS CON SOCIOS L.P.",IF(AND(AS704=0,H69=0,H45=0),0,H76*((H38+H50)/(AS704+H69+H45))),IF(AND(AS704=0,H69=0,H45=0,H54=0),0,H76*((H38+H50)/(AS704+H69+H45+H54))))))</f>
        <v>0</v>
      </c>
      <c r="I265" s="1180"/>
      <c r="J265" s="1180"/>
      <c r="K265" s="1179">
        <f>IF(AND(K45&lt;&gt;"DEUDAS CON SOCIOS C.P.",K54&lt;&gt;"DEUDAS CON SOCIOS L.P."),IF(AND(AV704=0,K69=0),0,K76*((K38+K50)/(AV704+K69))),IF(K45&lt;&gt;"DEUDAS CON SOCIOS C.P.",IF(AND(AV704=0,K69=0,K54=0),0,K76*((K38+K50)/(AV704+K69+K54))),IF(K54&lt;&gt;"DEUDAS CON SOCIOS L.P.",IF(AND(AV704=0,K69=0,K45=0),0,K76*((K38+K50)/(AV704+K69+K45))),IF(AND(AV704=0,K69=0,K45=0,K54=0),0,K76*((K38+K50)/(AV704+K69+K45+K54))))))</f>
        <v>0</v>
      </c>
      <c r="L265" s="1138"/>
      <c r="M265" s="1181"/>
      <c r="N265" s="1179">
        <f>IF(AND(N45&lt;&gt;"DEUDAS CON SOCIOS C.P.",N54&lt;&gt;"DEUDAS CON SOCIOS L.P."),IF(AND(AY704=0,N69=0),0,N76*((N38+N50)/(AY704+N69))),IF(N45&lt;&gt;"DEUDAS CON SOCIOS C.P.",IF(AND(AY704=0,N69=0,N54=0),0,N76*((N38+N50)/(AY704+N69+N54))),IF(N54&lt;&gt;"DEUDAS CON SOCIOS L.P.",IF(AND(AY704=0,N69=0,N45=0),0,N76*((N38+N50)/(AY704+N69+N45))),IF(AND(AY704=0,N69=0,N45=0,N54=0),0,N76*((N38+N50)/(AY704+N69+N45+N54))))))</f>
        <v>0</v>
      </c>
      <c r="O265" s="1138"/>
      <c r="P265" s="1181"/>
      <c r="Q265" s="1179">
        <f>IF(AND(Q45&lt;&gt;"DEUDAS CON SOCIOS C.P.",Q54&lt;&gt;"DEUDAS CON SOCIOS L.P."),IF(AND(BB704=0,Q69=0),0,Q76*((Q38+Q50)/(BB704+Q69))),IF(Q45&lt;&gt;"DEUDAS CON SOCIOS C.P.",IF(AND(BB704=0,Q69=0,Q54=0),0,Q76*((Q38+Q50)/(BB704+Q69+Q54))),IF(Q54&lt;&gt;"DEUDAS CON SOCIOS L.P.",IF(AND(BB704=0,Q69=0,Q45=0),0,Q76*((Q38+Q50)/(BB704+Q69+Q45))),IF(AND(BB704=0,Q69=0,Q45=0,Q54=0),0,Q76*((Q38+Q50)/(BB704+Q69+Q45+Q54))))))</f>
        <v>0</v>
      </c>
      <c r="R265" s="1138"/>
      <c r="S265" s="1181"/>
      <c r="T265" s="1182">
        <f>(N262+N263)*T264</f>
        <v>0</v>
      </c>
      <c r="U265" s="1182">
        <f t="shared" ref="U265:AI265" si="232">(T263+T262)*U264</f>
        <v>0</v>
      </c>
      <c r="V265" s="1182">
        <f t="shared" si="232"/>
        <v>0</v>
      </c>
      <c r="W265" s="1182">
        <f t="shared" si="232"/>
        <v>0</v>
      </c>
      <c r="X265" s="1182">
        <f t="shared" si="232"/>
        <v>0</v>
      </c>
      <c r="Y265" s="1182">
        <f t="shared" si="232"/>
        <v>0</v>
      </c>
      <c r="Z265" s="1182">
        <f t="shared" si="232"/>
        <v>0</v>
      </c>
      <c r="AA265" s="1182">
        <f t="shared" si="232"/>
        <v>0</v>
      </c>
      <c r="AB265" s="1182">
        <f t="shared" si="232"/>
        <v>0</v>
      </c>
      <c r="AC265" s="1182">
        <f t="shared" si="232"/>
        <v>0</v>
      </c>
      <c r="AD265" s="1183">
        <f t="shared" si="232"/>
        <v>0</v>
      </c>
      <c r="AE265" s="1183">
        <f t="shared" si="232"/>
        <v>0</v>
      </c>
      <c r="AF265" s="1183">
        <f t="shared" si="232"/>
        <v>0</v>
      </c>
      <c r="AG265" s="1183">
        <f t="shared" si="232"/>
        <v>0</v>
      </c>
      <c r="AH265" s="1183">
        <f t="shared" si="232"/>
        <v>0</v>
      </c>
      <c r="AI265" s="1183">
        <f t="shared" si="232"/>
        <v>0</v>
      </c>
      <c r="AJ265" s="853"/>
      <c r="AK265" s="533"/>
      <c r="AL265" s="533"/>
      <c r="AM265" s="533"/>
      <c r="AN265" s="625"/>
      <c r="AO265" s="625"/>
      <c r="AP265" s="625"/>
      <c r="AQ265" s="625"/>
    </row>
    <row r="266" spans="1:43" s="1126" customFormat="1" ht="13.5" thickBot="1">
      <c r="A266" s="1119"/>
      <c r="B266" s="660"/>
      <c r="C266" s="1184"/>
      <c r="D266" s="1121"/>
      <c r="E266" s="1184"/>
      <c r="F266" s="1121"/>
      <c r="G266" s="1121"/>
      <c r="H266" s="1184"/>
      <c r="I266" s="1121"/>
      <c r="J266" s="1121"/>
      <c r="K266" s="1184"/>
      <c r="L266" s="1121"/>
      <c r="M266" s="1121"/>
      <c r="N266" s="1184"/>
      <c r="O266" s="1121"/>
      <c r="P266" s="1121"/>
      <c r="Q266" s="1184"/>
      <c r="R266" s="1121"/>
      <c r="S266" s="1121"/>
      <c r="T266" s="1185"/>
      <c r="U266" s="1185"/>
      <c r="V266" s="1185"/>
      <c r="W266" s="1185"/>
      <c r="X266" s="1185"/>
      <c r="Y266" s="1185"/>
      <c r="Z266" s="1185"/>
      <c r="AA266" s="1185"/>
      <c r="AB266" s="1185"/>
      <c r="AC266" s="1185"/>
      <c r="AD266" s="1185"/>
      <c r="AE266" s="1121"/>
      <c r="AF266" s="1186"/>
      <c r="AG266" s="1121"/>
      <c r="AH266" s="1121"/>
      <c r="AI266" s="1121"/>
      <c r="AJ266" s="1125"/>
    </row>
    <row r="267" spans="1:43" s="1126" customFormat="1" ht="13.5" thickBot="1">
      <c r="A267" s="1119"/>
      <c r="B267" s="1187" t="s">
        <v>1286</v>
      </c>
      <c r="C267" s="1188"/>
      <c r="D267" s="1189"/>
      <c r="E267" s="1190"/>
      <c r="F267" s="1121"/>
      <c r="G267" s="1121"/>
      <c r="H267" s="1184"/>
      <c r="I267" s="1121"/>
      <c r="J267" s="1121"/>
      <c r="K267" s="1184"/>
      <c r="L267" s="1121"/>
      <c r="M267" s="1121"/>
      <c r="N267" s="1184"/>
      <c r="O267" s="1121"/>
      <c r="P267" s="1121"/>
      <c r="Q267" s="1184"/>
      <c r="R267" s="1121"/>
      <c r="S267" s="1121"/>
      <c r="T267" s="1121"/>
      <c r="U267" s="1121"/>
      <c r="V267" s="1121"/>
      <c r="W267" s="1121"/>
      <c r="X267" s="1121"/>
      <c r="Y267" s="1121"/>
      <c r="Z267" s="1121"/>
      <c r="AA267" s="1121"/>
      <c r="AB267" s="1121"/>
      <c r="AC267" s="1121"/>
      <c r="AD267" s="1121"/>
      <c r="AE267" s="1121"/>
      <c r="AF267" s="1189"/>
      <c r="AG267" s="1121"/>
      <c r="AH267" s="1121"/>
      <c r="AI267" s="1121"/>
      <c r="AJ267" s="1125"/>
    </row>
    <row r="268" spans="1:43" s="1126" customFormat="1">
      <c r="A268" s="1119"/>
      <c r="B268" s="1191"/>
      <c r="C268" s="1184"/>
      <c r="D268" s="1121"/>
      <c r="E268" s="1184"/>
      <c r="F268" s="1192"/>
      <c r="G268" s="1192"/>
      <c r="H268" s="1193"/>
      <c r="I268" s="1192"/>
      <c r="J268" s="1192"/>
      <c r="K268" s="1193"/>
      <c r="L268" s="1192"/>
      <c r="M268" s="1192"/>
      <c r="N268" s="1193"/>
      <c r="O268" s="1192"/>
      <c r="P268" s="1192"/>
      <c r="Q268" s="1193"/>
      <c r="R268" s="1192"/>
      <c r="S268" s="1192"/>
      <c r="T268" s="1192"/>
      <c r="U268" s="1192"/>
      <c r="V268" s="1192"/>
      <c r="W268" s="1192"/>
      <c r="X268" s="1192"/>
      <c r="Y268" s="1192"/>
      <c r="Z268" s="1192"/>
      <c r="AA268" s="1192"/>
      <c r="AB268" s="1192"/>
      <c r="AC268" s="1192"/>
      <c r="AD268" s="1192"/>
      <c r="AE268" s="1194"/>
      <c r="AF268" s="1194"/>
      <c r="AG268" s="1194"/>
      <c r="AH268" s="1194"/>
      <c r="AI268" s="1195"/>
      <c r="AJ268" s="1125"/>
    </row>
    <row r="269" spans="1:43" s="1126" customFormat="1">
      <c r="A269" s="1119"/>
      <c r="B269" s="1196" t="s">
        <v>1287</v>
      </c>
      <c r="C269" s="1197"/>
      <c r="D269" s="1198"/>
      <c r="E269" s="1198"/>
      <c r="F269" s="1198"/>
      <c r="G269" s="1198"/>
      <c r="H269" s="1198"/>
      <c r="I269" s="1198"/>
      <c r="J269" s="1198"/>
      <c r="K269" s="1198"/>
      <c r="L269" s="1198"/>
      <c r="M269" s="1198"/>
      <c r="N269" s="1198"/>
      <c r="O269" s="1198"/>
      <c r="P269" s="1198"/>
      <c r="Q269" s="1198"/>
      <c r="R269" s="1198"/>
      <c r="S269" s="1198"/>
      <c r="T269" s="1199" t="s">
        <v>1044</v>
      </c>
      <c r="U269" s="1199" t="s">
        <v>1044</v>
      </c>
      <c r="V269" s="1199" t="s">
        <v>1044</v>
      </c>
      <c r="W269" s="1199" t="s">
        <v>1044</v>
      </c>
      <c r="X269" s="1199" t="s">
        <v>1044</v>
      </c>
      <c r="Y269" s="1199" t="s">
        <v>1044</v>
      </c>
      <c r="Z269" s="1199" t="s">
        <v>1044</v>
      </c>
      <c r="AA269" s="1199" t="s">
        <v>1044</v>
      </c>
      <c r="AB269" s="1199" t="s">
        <v>1044</v>
      </c>
      <c r="AC269" s="1199" t="s">
        <v>1044</v>
      </c>
      <c r="AD269" s="1200" t="s">
        <v>1044</v>
      </c>
      <c r="AE269" s="1200" t="s">
        <v>1044</v>
      </c>
      <c r="AF269" s="1200" t="s">
        <v>1044</v>
      </c>
      <c r="AG269" s="1200" t="s">
        <v>1044</v>
      </c>
      <c r="AH269" s="1200" t="s">
        <v>1044</v>
      </c>
      <c r="AI269" s="1200" t="s">
        <v>1044</v>
      </c>
      <c r="AJ269" s="1125"/>
    </row>
    <row r="270" spans="1:43" s="1126" customFormat="1">
      <c r="A270" s="1119"/>
      <c r="B270" s="1201" t="s">
        <v>1288</v>
      </c>
      <c r="C270" s="1202"/>
      <c r="D270" s="1121"/>
      <c r="E270" s="1203">
        <f>E15</f>
        <v>2017</v>
      </c>
      <c r="F270" s="1121"/>
      <c r="G270" s="1121"/>
      <c r="H270" s="1203">
        <f>H15</f>
        <v>2018</v>
      </c>
      <c r="I270" s="1121"/>
      <c r="J270" s="1121"/>
      <c r="K270" s="1203">
        <f>K15</f>
        <v>2019</v>
      </c>
      <c r="L270" s="1121"/>
      <c r="M270" s="1121"/>
      <c r="N270" s="1203">
        <f>N15</f>
        <v>2019</v>
      </c>
      <c r="O270" s="1121"/>
      <c r="P270" s="1121"/>
      <c r="Q270" s="1203" t="str">
        <f>Q15</f>
        <v>2020</v>
      </c>
      <c r="R270" s="1121"/>
      <c r="S270" s="1121"/>
      <c r="T270" s="1203">
        <f t="shared" ref="T270:AI270" si="233">T15</f>
        <v>2020</v>
      </c>
      <c r="U270" s="1203">
        <f t="shared" si="233"/>
        <v>2021</v>
      </c>
      <c r="V270" s="1203">
        <f t="shared" si="233"/>
        <v>2022</v>
      </c>
      <c r="W270" s="1203">
        <f t="shared" si="233"/>
        <v>2023</v>
      </c>
      <c r="X270" s="1203">
        <f t="shared" si="233"/>
        <v>2024</v>
      </c>
      <c r="Y270" s="1203">
        <f t="shared" si="233"/>
        <v>2025</v>
      </c>
      <c r="Z270" s="1203">
        <f t="shared" si="233"/>
        <v>2026</v>
      </c>
      <c r="AA270" s="1203">
        <f t="shared" si="233"/>
        <v>2027</v>
      </c>
      <c r="AB270" s="1203">
        <f t="shared" si="233"/>
        <v>2028</v>
      </c>
      <c r="AC270" s="1203">
        <f t="shared" si="233"/>
        <v>2029</v>
      </c>
      <c r="AD270" s="1204">
        <f t="shared" si="233"/>
        <v>2030</v>
      </c>
      <c r="AE270" s="1204">
        <f t="shared" si="233"/>
        <v>2031</v>
      </c>
      <c r="AF270" s="1204">
        <f t="shared" si="233"/>
        <v>2032</v>
      </c>
      <c r="AG270" s="1204">
        <f t="shared" si="233"/>
        <v>2033</v>
      </c>
      <c r="AH270" s="1204">
        <f t="shared" si="233"/>
        <v>2034</v>
      </c>
      <c r="AI270" s="1204">
        <f t="shared" si="233"/>
        <v>2035</v>
      </c>
      <c r="AJ270" s="1125"/>
    </row>
    <row r="271" spans="1:43" s="1126" customFormat="1">
      <c r="A271" s="1119"/>
      <c r="B271" s="1205" t="s">
        <v>1289</v>
      </c>
      <c r="C271" s="1184"/>
      <c r="D271" s="1121"/>
      <c r="E271" s="1206">
        <f>IF(C251+C250=0,0,((E251+E250)/(C251+C250))-1)</f>
        <v>0</v>
      </c>
      <c r="F271" s="1121"/>
      <c r="G271" s="1121"/>
      <c r="H271" s="1206">
        <f>IF(E251+E250=0,0,((H251+H250)/(E251+E250))-1)</f>
        <v>0</v>
      </c>
      <c r="I271" s="1121"/>
      <c r="J271" s="1121"/>
      <c r="K271" s="1206">
        <f>IF(H251+H250=0,0,((K251+K250)/(H251+H250))-1)</f>
        <v>0</v>
      </c>
      <c r="L271" s="1121"/>
      <c r="M271" s="1121"/>
      <c r="N271" s="1206">
        <f>IF(H251+H250=0,0,((N251+N250)/(H251+H250))-1)</f>
        <v>0</v>
      </c>
      <c r="O271" s="1121"/>
      <c r="P271" s="1121"/>
      <c r="Q271" s="1206">
        <f>IF(N251+N250=0,0,((Q251+Q250)/(N251+N250))-1)</f>
        <v>0</v>
      </c>
      <c r="R271" s="1121"/>
      <c r="S271" s="1121"/>
      <c r="T271" s="1207">
        <f>IF($N$71=0,0,C271*$C$241+E271*$E$241+H271*$H$241+N271*$N$241+Q271*$Q$241)</f>
        <v>0</v>
      </c>
      <c r="U271" s="1207">
        <f t="shared" ref="U271:AI271" si="234">T271</f>
        <v>0</v>
      </c>
      <c r="V271" s="1207">
        <f t="shared" si="234"/>
        <v>0</v>
      </c>
      <c r="W271" s="1207">
        <f t="shared" si="234"/>
        <v>0</v>
      </c>
      <c r="X271" s="1207">
        <f t="shared" si="234"/>
        <v>0</v>
      </c>
      <c r="Y271" s="1207">
        <f t="shared" si="234"/>
        <v>0</v>
      </c>
      <c r="Z271" s="1207">
        <f t="shared" si="234"/>
        <v>0</v>
      </c>
      <c r="AA271" s="1207">
        <f t="shared" si="234"/>
        <v>0</v>
      </c>
      <c r="AB271" s="1207">
        <f t="shared" si="234"/>
        <v>0</v>
      </c>
      <c r="AC271" s="1207">
        <f t="shared" si="234"/>
        <v>0</v>
      </c>
      <c r="AD271" s="1208">
        <f t="shared" si="234"/>
        <v>0</v>
      </c>
      <c r="AE271" s="1208">
        <f t="shared" si="234"/>
        <v>0</v>
      </c>
      <c r="AF271" s="1208">
        <f t="shared" si="234"/>
        <v>0</v>
      </c>
      <c r="AG271" s="1208">
        <f t="shared" si="234"/>
        <v>0</v>
      </c>
      <c r="AH271" s="1208">
        <f t="shared" si="234"/>
        <v>0</v>
      </c>
      <c r="AI271" s="1208">
        <f t="shared" si="234"/>
        <v>0</v>
      </c>
      <c r="AJ271" s="1125"/>
    </row>
    <row r="272" spans="1:43" s="1126" customFormat="1">
      <c r="A272" s="1119"/>
      <c r="B272" s="1205" t="s">
        <v>1290</v>
      </c>
      <c r="C272" s="1184"/>
      <c r="D272" s="1121"/>
      <c r="E272" s="1184"/>
      <c r="F272" s="1121"/>
      <c r="G272" s="1121"/>
      <c r="H272" s="1184"/>
      <c r="I272" s="1121"/>
      <c r="J272" s="1121"/>
      <c r="K272" s="1184"/>
      <c r="L272" s="1121"/>
      <c r="M272" s="1121"/>
      <c r="N272" s="1184"/>
      <c r="O272" s="1121"/>
      <c r="P272" s="1121"/>
      <c r="Q272" s="1184"/>
      <c r="R272" s="1121"/>
      <c r="S272" s="1121"/>
      <c r="T272" s="1209">
        <f>IF(OR($C$270=0,T271&lt;=0),0,(N250+N251)*T271)</f>
        <v>0</v>
      </c>
      <c r="U272" s="1209">
        <f t="shared" ref="U272:AI272" si="235">IF(OR($C$270=0,U271&lt;=0),0,(T250+T251)*U271)</f>
        <v>0</v>
      </c>
      <c r="V272" s="1209">
        <f t="shared" si="235"/>
        <v>0</v>
      </c>
      <c r="W272" s="1209">
        <f t="shared" si="235"/>
        <v>0</v>
      </c>
      <c r="X272" s="1209">
        <f t="shared" si="235"/>
        <v>0</v>
      </c>
      <c r="Y272" s="1209">
        <f t="shared" si="235"/>
        <v>0</v>
      </c>
      <c r="Z272" s="1209">
        <f t="shared" si="235"/>
        <v>0</v>
      </c>
      <c r="AA272" s="1209">
        <f t="shared" si="235"/>
        <v>0</v>
      </c>
      <c r="AB272" s="1209">
        <f t="shared" si="235"/>
        <v>0</v>
      </c>
      <c r="AC272" s="1209">
        <f t="shared" si="235"/>
        <v>0</v>
      </c>
      <c r="AD272" s="1210">
        <f t="shared" si="235"/>
        <v>0</v>
      </c>
      <c r="AE272" s="1210">
        <f t="shared" si="235"/>
        <v>0</v>
      </c>
      <c r="AF272" s="1210">
        <f t="shared" si="235"/>
        <v>0</v>
      </c>
      <c r="AG272" s="1210">
        <f t="shared" si="235"/>
        <v>0</v>
      </c>
      <c r="AH272" s="1210">
        <f t="shared" si="235"/>
        <v>0</v>
      </c>
      <c r="AI272" s="1210">
        <f t="shared" si="235"/>
        <v>0</v>
      </c>
      <c r="AJ272" s="1125"/>
    </row>
    <row r="273" spans="1:36" s="1126" customFormat="1">
      <c r="A273" s="1119"/>
      <c r="B273" s="1211" t="s">
        <v>1291</v>
      </c>
      <c r="C273" s="1184"/>
      <c r="D273" s="1121"/>
      <c r="E273" s="1184"/>
      <c r="F273" s="1121"/>
      <c r="G273" s="1121"/>
      <c r="H273" s="1184"/>
      <c r="I273" s="1121"/>
      <c r="J273" s="1121"/>
      <c r="K273" s="1184"/>
      <c r="L273" s="1121"/>
      <c r="M273" s="1121"/>
      <c r="N273" s="1184"/>
      <c r="O273" s="1121"/>
      <c r="P273" s="1121"/>
      <c r="Q273" s="1184"/>
      <c r="R273" s="1121"/>
      <c r="S273" s="1121"/>
      <c r="T273" s="1212">
        <f t="shared" ref="T273:AI273" si="236">IF($C$270=0,0,T272/$C$270)</f>
        <v>0</v>
      </c>
      <c r="U273" s="1212">
        <f t="shared" si="236"/>
        <v>0</v>
      </c>
      <c r="V273" s="1212">
        <f t="shared" si="236"/>
        <v>0</v>
      </c>
      <c r="W273" s="1212">
        <f t="shared" si="236"/>
        <v>0</v>
      </c>
      <c r="X273" s="1212">
        <f t="shared" si="236"/>
        <v>0</v>
      </c>
      <c r="Y273" s="1212">
        <f t="shared" si="236"/>
        <v>0</v>
      </c>
      <c r="Z273" s="1212">
        <f t="shared" si="236"/>
        <v>0</v>
      </c>
      <c r="AA273" s="1212">
        <f t="shared" si="236"/>
        <v>0</v>
      </c>
      <c r="AB273" s="1212">
        <f t="shared" si="236"/>
        <v>0</v>
      </c>
      <c r="AC273" s="1212">
        <f t="shared" si="236"/>
        <v>0</v>
      </c>
      <c r="AD273" s="1213">
        <f t="shared" si="236"/>
        <v>0</v>
      </c>
      <c r="AE273" s="1213">
        <f t="shared" si="236"/>
        <v>0</v>
      </c>
      <c r="AF273" s="1213">
        <f t="shared" si="236"/>
        <v>0</v>
      </c>
      <c r="AG273" s="1213">
        <f t="shared" si="236"/>
        <v>0</v>
      </c>
      <c r="AH273" s="1213">
        <f t="shared" si="236"/>
        <v>0</v>
      </c>
      <c r="AI273" s="1213">
        <f t="shared" si="236"/>
        <v>0</v>
      </c>
      <c r="AJ273" s="1125"/>
    </row>
    <row r="274" spans="1:36" s="1126" customFormat="1">
      <c r="A274" s="1119"/>
      <c r="B274" s="1211" t="s">
        <v>1292</v>
      </c>
      <c r="C274" s="1184"/>
      <c r="D274" s="1121"/>
      <c r="E274" s="1184"/>
      <c r="F274" s="1121"/>
      <c r="G274" s="1121"/>
      <c r="H274" s="1184"/>
      <c r="I274" s="1121"/>
      <c r="J274" s="1121"/>
      <c r="K274" s="1184"/>
      <c r="L274" s="1121"/>
      <c r="M274" s="1121"/>
      <c r="N274" s="1184"/>
      <c r="O274" s="1121"/>
      <c r="P274" s="1121"/>
      <c r="Q274" s="1184"/>
      <c r="R274" s="1121"/>
      <c r="S274" s="1121"/>
      <c r="T274" s="1212">
        <f>T273</f>
        <v>0</v>
      </c>
      <c r="U274" s="1212">
        <f t="shared" ref="U274:AI274" si="237">IF(U273=0,T274,U273)</f>
        <v>0</v>
      </c>
      <c r="V274" s="1212">
        <f t="shared" si="237"/>
        <v>0</v>
      </c>
      <c r="W274" s="1212">
        <f t="shared" si="237"/>
        <v>0</v>
      </c>
      <c r="X274" s="1212">
        <f t="shared" si="237"/>
        <v>0</v>
      </c>
      <c r="Y274" s="1212">
        <f t="shared" si="237"/>
        <v>0</v>
      </c>
      <c r="Z274" s="1212">
        <f t="shared" si="237"/>
        <v>0</v>
      </c>
      <c r="AA274" s="1212">
        <f t="shared" si="237"/>
        <v>0</v>
      </c>
      <c r="AB274" s="1212">
        <f t="shared" si="237"/>
        <v>0</v>
      </c>
      <c r="AC274" s="1212">
        <f t="shared" si="237"/>
        <v>0</v>
      </c>
      <c r="AD274" s="1213">
        <f t="shared" si="237"/>
        <v>0</v>
      </c>
      <c r="AE274" s="1213">
        <f t="shared" si="237"/>
        <v>0</v>
      </c>
      <c r="AF274" s="1213">
        <f t="shared" si="237"/>
        <v>0</v>
      </c>
      <c r="AG274" s="1213">
        <f t="shared" si="237"/>
        <v>0</v>
      </c>
      <c r="AH274" s="1213">
        <f t="shared" si="237"/>
        <v>0</v>
      </c>
      <c r="AI274" s="1213">
        <f t="shared" si="237"/>
        <v>0</v>
      </c>
      <c r="AJ274" s="1125"/>
    </row>
    <row r="275" spans="1:36" s="1126" customFormat="1">
      <c r="A275" s="1119"/>
      <c r="B275" s="1205" t="s">
        <v>1293</v>
      </c>
      <c r="C275" s="1184"/>
      <c r="D275" s="1121"/>
      <c r="E275" s="1184"/>
      <c r="F275" s="1121"/>
      <c r="G275" s="1121"/>
      <c r="H275" s="1184"/>
      <c r="I275" s="1121"/>
      <c r="J275" s="1121"/>
      <c r="K275" s="1184"/>
      <c r="L275" s="1121"/>
      <c r="M275" s="1121"/>
      <c r="N275" s="1184"/>
      <c r="O275" s="1121"/>
      <c r="P275" s="1121"/>
      <c r="Q275" s="1184"/>
      <c r="R275" s="1121"/>
      <c r="S275" s="1121"/>
      <c r="T275" s="1212">
        <f>IF($C$270=0,0,VLOOKUP($C$270,$S$280:$AI$290,2,0))</f>
        <v>0</v>
      </c>
      <c r="U275" s="1212">
        <f>IF($C$270=0,0,VLOOKUP($C$270,$S$280:$AI$290,3,0))</f>
        <v>0</v>
      </c>
      <c r="V275" s="1212">
        <f>IF($C$270=0,0,VLOOKUP($C$270,$S$280:$AI$290,4,0))</f>
        <v>0</v>
      </c>
      <c r="W275" s="1212">
        <f>IF($C$270=0,0,VLOOKUP($C$270,$S$280:$AI$290,5,0))</f>
        <v>0</v>
      </c>
      <c r="X275" s="1212">
        <f>IF($C$270=0,0,VLOOKUP($C$270,$S$280:$AI$290,6,0))</f>
        <v>0</v>
      </c>
      <c r="Y275" s="1212">
        <f>IF($C$270=0,0,VLOOKUP($C$270,$S$280:$AI$290,7,0))</f>
        <v>0</v>
      </c>
      <c r="Z275" s="1212">
        <f>IF($C$270=0,0,VLOOKUP($C$270,$S$280:$AI$290,8,0))</f>
        <v>0</v>
      </c>
      <c r="AA275" s="1212">
        <f>IF($C$270=0,0,VLOOKUP($C$270,$S$280:$AI$290,9,0))</f>
        <v>0</v>
      </c>
      <c r="AB275" s="1212">
        <f>IF($C$270=0,0,VLOOKUP($C$270,$S$280:$AI$290,10,0))</f>
        <v>0</v>
      </c>
      <c r="AC275" s="1212">
        <f>IF($C$270=0,0,VLOOKUP($C$270,$S$280:$AI$290,11,0))</f>
        <v>0</v>
      </c>
      <c r="AD275" s="1213">
        <f t="shared" ref="AD275:AI275" si="238">IF($C$270=0,0,VLOOKUP($C$270,$S$280:$AI$290,12,0))</f>
        <v>0</v>
      </c>
      <c r="AE275" s="1213">
        <f t="shared" si="238"/>
        <v>0</v>
      </c>
      <c r="AF275" s="1213">
        <f t="shared" si="238"/>
        <v>0</v>
      </c>
      <c r="AG275" s="1213">
        <f t="shared" si="238"/>
        <v>0</v>
      </c>
      <c r="AH275" s="1213">
        <f t="shared" si="238"/>
        <v>0</v>
      </c>
      <c r="AI275" s="1213">
        <f t="shared" si="238"/>
        <v>0</v>
      </c>
      <c r="AJ275" s="1125"/>
    </row>
    <row r="276" spans="1:36" s="1126" customFormat="1">
      <c r="A276" s="1119"/>
      <c r="B276" s="1205" t="s">
        <v>1294</v>
      </c>
      <c r="C276" s="1184"/>
      <c r="D276" s="1121"/>
      <c r="E276" s="1184"/>
      <c r="F276" s="1121"/>
      <c r="G276" s="1121"/>
      <c r="H276" s="1184"/>
      <c r="I276" s="1121"/>
      <c r="J276" s="1121"/>
      <c r="K276" s="1184"/>
      <c r="L276" s="1121"/>
      <c r="M276" s="1121"/>
      <c r="N276" s="1184"/>
      <c r="O276" s="1121"/>
      <c r="P276" s="1121"/>
      <c r="Q276" s="1184"/>
      <c r="R276" s="1121"/>
      <c r="S276" s="1121"/>
      <c r="T276" s="1214">
        <f>T272-T275</f>
        <v>0</v>
      </c>
      <c r="U276" s="1214">
        <f t="shared" ref="U276:AI276" si="239">IF(T276+U272-U275&lt;=0.05,0,T276+U272-U275)</f>
        <v>0</v>
      </c>
      <c r="V276" s="1214">
        <f t="shared" si="239"/>
        <v>0</v>
      </c>
      <c r="W276" s="1214">
        <f t="shared" si="239"/>
        <v>0</v>
      </c>
      <c r="X276" s="1214">
        <f t="shared" si="239"/>
        <v>0</v>
      </c>
      <c r="Y276" s="1214">
        <f t="shared" si="239"/>
        <v>0</v>
      </c>
      <c r="Z276" s="1214">
        <f t="shared" si="239"/>
        <v>0</v>
      </c>
      <c r="AA276" s="1214">
        <f t="shared" si="239"/>
        <v>0</v>
      </c>
      <c r="AB276" s="1214">
        <f t="shared" si="239"/>
        <v>0</v>
      </c>
      <c r="AC276" s="1214">
        <f t="shared" si="239"/>
        <v>0</v>
      </c>
      <c r="AD276" s="1215">
        <f t="shared" si="239"/>
        <v>0</v>
      </c>
      <c r="AE276" s="1215">
        <f t="shared" si="239"/>
        <v>0</v>
      </c>
      <c r="AF276" s="1215">
        <f t="shared" si="239"/>
        <v>0</v>
      </c>
      <c r="AG276" s="1215">
        <f t="shared" si="239"/>
        <v>0</v>
      </c>
      <c r="AH276" s="1215">
        <f t="shared" si="239"/>
        <v>0</v>
      </c>
      <c r="AI276" s="1215">
        <f t="shared" si="239"/>
        <v>0</v>
      </c>
      <c r="AJ276" s="1125"/>
    </row>
    <row r="277" spans="1:36" s="1126" customFormat="1">
      <c r="A277" s="1119"/>
      <c r="B277" s="1205" t="s">
        <v>1295</v>
      </c>
      <c r="C277" s="1184"/>
      <c r="D277" s="1121"/>
      <c r="E277" s="1184"/>
      <c r="F277" s="1121"/>
      <c r="G277" s="1121"/>
      <c r="H277" s="1184"/>
      <c r="I277" s="1121"/>
      <c r="J277" s="1121"/>
      <c r="K277" s="1184"/>
      <c r="L277" s="1121"/>
      <c r="M277" s="1121"/>
      <c r="N277" s="1184"/>
      <c r="O277" s="1121"/>
      <c r="P277" s="1121"/>
      <c r="Q277" s="1184"/>
      <c r="R277" s="1121"/>
      <c r="S277" s="1121"/>
      <c r="T277" s="1216"/>
      <c r="U277" s="1217">
        <f>IF($N$71=0,0,C252*$C$241+E252*$E$241+H252*$H$241+N252*$N$241+Q252*$Q$241)</f>
        <v>0</v>
      </c>
      <c r="V277" s="1217">
        <f t="shared" ref="V277:AI277" si="240">U277</f>
        <v>0</v>
      </c>
      <c r="W277" s="1217">
        <f t="shared" si="240"/>
        <v>0</v>
      </c>
      <c r="X277" s="1217">
        <f t="shared" si="240"/>
        <v>0</v>
      </c>
      <c r="Y277" s="1217">
        <f t="shared" si="240"/>
        <v>0</v>
      </c>
      <c r="Z277" s="1217">
        <f t="shared" si="240"/>
        <v>0</v>
      </c>
      <c r="AA277" s="1217">
        <f t="shared" si="240"/>
        <v>0</v>
      </c>
      <c r="AB277" s="1217">
        <f t="shared" si="240"/>
        <v>0</v>
      </c>
      <c r="AC277" s="1217">
        <f t="shared" si="240"/>
        <v>0</v>
      </c>
      <c r="AD277" s="1218">
        <f t="shared" si="240"/>
        <v>0</v>
      </c>
      <c r="AE277" s="1218">
        <f t="shared" si="240"/>
        <v>0</v>
      </c>
      <c r="AF277" s="1218">
        <f t="shared" si="240"/>
        <v>0</v>
      </c>
      <c r="AG277" s="1218">
        <f t="shared" si="240"/>
        <v>0</v>
      </c>
      <c r="AH277" s="1218">
        <f t="shared" si="240"/>
        <v>0</v>
      </c>
      <c r="AI277" s="1218">
        <f t="shared" si="240"/>
        <v>0</v>
      </c>
      <c r="AJ277" s="1125"/>
    </row>
    <row r="278" spans="1:36" s="1126" customFormat="1">
      <c r="A278" s="1119"/>
      <c r="B278" s="1219" t="s">
        <v>1296</v>
      </c>
      <c r="C278" s="1184"/>
      <c r="D278" s="1121"/>
      <c r="E278" s="1184"/>
      <c r="F278" s="1121"/>
      <c r="G278" s="1121"/>
      <c r="H278" s="1184"/>
      <c r="I278" s="1121"/>
      <c r="J278" s="1121"/>
      <c r="K278" s="1184"/>
      <c r="L278" s="1121"/>
      <c r="M278" s="1121"/>
      <c r="N278" s="1184"/>
      <c r="O278" s="1121"/>
      <c r="P278" s="1121"/>
      <c r="Q278" s="1184"/>
      <c r="R278" s="1121"/>
      <c r="S278" s="1121"/>
      <c r="T278" s="1216"/>
      <c r="U278" s="1220">
        <f t="shared" ref="U278:AI278" si="241">T276*U277</f>
        <v>0</v>
      </c>
      <c r="V278" s="1220">
        <f t="shared" si="241"/>
        <v>0</v>
      </c>
      <c r="W278" s="1220">
        <f t="shared" si="241"/>
        <v>0</v>
      </c>
      <c r="X278" s="1220">
        <f t="shared" si="241"/>
        <v>0</v>
      </c>
      <c r="Y278" s="1220">
        <f t="shared" si="241"/>
        <v>0</v>
      </c>
      <c r="Z278" s="1220">
        <f t="shared" si="241"/>
        <v>0</v>
      </c>
      <c r="AA278" s="1220">
        <f t="shared" si="241"/>
        <v>0</v>
      </c>
      <c r="AB278" s="1220">
        <f t="shared" si="241"/>
        <v>0</v>
      </c>
      <c r="AC278" s="1220">
        <f t="shared" si="241"/>
        <v>0</v>
      </c>
      <c r="AD278" s="1221">
        <f t="shared" si="241"/>
        <v>0</v>
      </c>
      <c r="AE278" s="1221">
        <f t="shared" si="241"/>
        <v>0</v>
      </c>
      <c r="AF278" s="1221">
        <f t="shared" si="241"/>
        <v>0</v>
      </c>
      <c r="AG278" s="1221">
        <f t="shared" si="241"/>
        <v>0</v>
      </c>
      <c r="AH278" s="1221">
        <f t="shared" si="241"/>
        <v>0</v>
      </c>
      <c r="AI278" s="1221">
        <f t="shared" si="241"/>
        <v>0</v>
      </c>
      <c r="AJ278" s="1125"/>
    </row>
    <row r="279" spans="1:36" s="1126" customFormat="1">
      <c r="A279" s="1119"/>
      <c r="B279" s="1222"/>
      <c r="C279" s="1184"/>
      <c r="D279" s="1121"/>
      <c r="E279" s="1184"/>
      <c r="F279" s="1121"/>
      <c r="G279" s="1121"/>
      <c r="H279" s="1184"/>
      <c r="I279" s="1121"/>
      <c r="J279" s="1121"/>
      <c r="K279" s="1184"/>
      <c r="L279" s="1121"/>
      <c r="M279" s="1121"/>
      <c r="N279" s="1184"/>
      <c r="O279" s="1121"/>
      <c r="P279" s="1121"/>
      <c r="Q279" s="1184"/>
      <c r="R279" s="1121"/>
      <c r="S279" s="1121"/>
      <c r="T279" s="1223" t="s">
        <v>1297</v>
      </c>
      <c r="U279" s="1223"/>
      <c r="V279" s="1223"/>
      <c r="W279" s="1223"/>
      <c r="X279" s="1223"/>
      <c r="Y279" s="1223"/>
      <c r="Z279" s="1223"/>
      <c r="AA279" s="1223"/>
      <c r="AB279" s="1223"/>
      <c r="AC279" s="1223"/>
      <c r="AD279" s="1223"/>
      <c r="AE279" s="1198"/>
      <c r="AF279" s="1198"/>
      <c r="AG279" s="1121"/>
      <c r="AH279" s="1121"/>
      <c r="AI279" s="1121"/>
      <c r="AJ279" s="1125"/>
    </row>
    <row r="280" spans="1:36" s="1126" customFormat="1">
      <c r="A280" s="1119"/>
      <c r="B280" s="1222"/>
      <c r="C280" s="1184"/>
      <c r="D280" s="1121"/>
      <c r="E280" s="1184"/>
      <c r="F280" s="1121"/>
      <c r="G280" s="1121"/>
      <c r="H280" s="1184"/>
      <c r="I280" s="1121"/>
      <c r="J280" s="1121"/>
      <c r="K280" s="1184"/>
      <c r="L280" s="1121"/>
      <c r="M280" s="1121"/>
      <c r="N280" s="1184"/>
      <c r="O280" s="1121"/>
      <c r="P280" s="1121"/>
      <c r="Q280" s="1184"/>
      <c r="R280" s="1121"/>
      <c r="S280" s="1224">
        <v>1</v>
      </c>
      <c r="T280" s="1225">
        <f t="shared" ref="T280:AI280" si="242">T273</f>
        <v>0</v>
      </c>
      <c r="U280" s="1225">
        <f t="shared" si="242"/>
        <v>0</v>
      </c>
      <c r="V280" s="1225">
        <f t="shared" si="242"/>
        <v>0</v>
      </c>
      <c r="W280" s="1225">
        <f t="shared" si="242"/>
        <v>0</v>
      </c>
      <c r="X280" s="1225">
        <f t="shared" si="242"/>
        <v>0</v>
      </c>
      <c r="Y280" s="1225">
        <f t="shared" si="242"/>
        <v>0</v>
      </c>
      <c r="Z280" s="1225">
        <f t="shared" si="242"/>
        <v>0</v>
      </c>
      <c r="AA280" s="1225">
        <f t="shared" si="242"/>
        <v>0</v>
      </c>
      <c r="AB280" s="1225">
        <f t="shared" si="242"/>
        <v>0</v>
      </c>
      <c r="AC280" s="1225">
        <f t="shared" si="242"/>
        <v>0</v>
      </c>
      <c r="AD280" s="1226">
        <f t="shared" si="242"/>
        <v>0</v>
      </c>
      <c r="AE280" s="1227">
        <f t="shared" si="242"/>
        <v>0</v>
      </c>
      <c r="AF280" s="1228">
        <f t="shared" si="242"/>
        <v>0</v>
      </c>
      <c r="AG280" s="1226">
        <f t="shared" si="242"/>
        <v>0</v>
      </c>
      <c r="AH280" s="1226">
        <f t="shared" si="242"/>
        <v>0</v>
      </c>
      <c r="AI280" s="1226">
        <f t="shared" si="242"/>
        <v>0</v>
      </c>
      <c r="AJ280" s="1125"/>
    </row>
    <row r="281" spans="1:36" s="1126" customFormat="1">
      <c r="A281" s="1119"/>
      <c r="B281" s="1222"/>
      <c r="C281" s="1184"/>
      <c r="D281" s="1121"/>
      <c r="E281" s="1184"/>
      <c r="F281" s="1121"/>
      <c r="G281" s="1121"/>
      <c r="H281" s="1184"/>
      <c r="I281" s="1121"/>
      <c r="J281" s="1121"/>
      <c r="K281" s="1184"/>
      <c r="L281" s="1121"/>
      <c r="M281" s="1121"/>
      <c r="N281" s="1184"/>
      <c r="O281" s="1121"/>
      <c r="P281" s="1121"/>
      <c r="Q281" s="1184"/>
      <c r="R281" s="1121"/>
      <c r="S281" s="1229">
        <v>2</v>
      </c>
      <c r="T281" s="1230">
        <f>T273</f>
        <v>0</v>
      </c>
      <c r="U281" s="1230">
        <f t="shared" ref="U281:AI281" si="243">SUM(T273:U273)</f>
        <v>0</v>
      </c>
      <c r="V281" s="1230">
        <f t="shared" si="243"/>
        <v>0</v>
      </c>
      <c r="W281" s="1230">
        <f t="shared" si="243"/>
        <v>0</v>
      </c>
      <c r="X281" s="1230">
        <f t="shared" si="243"/>
        <v>0</v>
      </c>
      <c r="Y281" s="1230">
        <f t="shared" si="243"/>
        <v>0</v>
      </c>
      <c r="Z281" s="1230">
        <f t="shared" si="243"/>
        <v>0</v>
      </c>
      <c r="AA281" s="1230">
        <f t="shared" si="243"/>
        <v>0</v>
      </c>
      <c r="AB281" s="1230">
        <f t="shared" si="243"/>
        <v>0</v>
      </c>
      <c r="AC281" s="1230">
        <f t="shared" si="243"/>
        <v>0</v>
      </c>
      <c r="AD281" s="1231">
        <f t="shared" si="243"/>
        <v>0</v>
      </c>
      <c r="AE281" s="1232">
        <f t="shared" si="243"/>
        <v>0</v>
      </c>
      <c r="AF281" s="1233">
        <f t="shared" si="243"/>
        <v>0</v>
      </c>
      <c r="AG281" s="1231">
        <f t="shared" si="243"/>
        <v>0</v>
      </c>
      <c r="AH281" s="1231">
        <f t="shared" si="243"/>
        <v>0</v>
      </c>
      <c r="AI281" s="1231">
        <f t="shared" si="243"/>
        <v>0</v>
      </c>
      <c r="AJ281" s="1125"/>
    </row>
    <row r="282" spans="1:36" s="1126" customFormat="1">
      <c r="A282" s="1119"/>
      <c r="B282" s="1222"/>
      <c r="C282" s="1184"/>
      <c r="D282" s="1121"/>
      <c r="E282" s="1184"/>
      <c r="F282" s="1121"/>
      <c r="G282" s="1121"/>
      <c r="H282" s="1184"/>
      <c r="I282" s="1121"/>
      <c r="J282" s="1121"/>
      <c r="K282" s="1184"/>
      <c r="L282" s="1121"/>
      <c r="M282" s="1121"/>
      <c r="N282" s="1184"/>
      <c r="O282" s="1121"/>
      <c r="P282" s="1121"/>
      <c r="Q282" s="1184"/>
      <c r="R282" s="1121"/>
      <c r="S282" s="1229">
        <v>3</v>
      </c>
      <c r="T282" s="1230">
        <f>T273</f>
        <v>0</v>
      </c>
      <c r="U282" s="1230">
        <f>SUM(T273:U273)</f>
        <v>0</v>
      </c>
      <c r="V282" s="1230">
        <f t="shared" ref="V282:AI282" si="244">SUM(T273:V273)</f>
        <v>0</v>
      </c>
      <c r="W282" s="1230">
        <f t="shared" si="244"/>
        <v>0</v>
      </c>
      <c r="X282" s="1230">
        <f t="shared" si="244"/>
        <v>0</v>
      </c>
      <c r="Y282" s="1230">
        <f t="shared" si="244"/>
        <v>0</v>
      </c>
      <c r="Z282" s="1230">
        <f t="shared" si="244"/>
        <v>0</v>
      </c>
      <c r="AA282" s="1230">
        <f t="shared" si="244"/>
        <v>0</v>
      </c>
      <c r="AB282" s="1230">
        <f t="shared" si="244"/>
        <v>0</v>
      </c>
      <c r="AC282" s="1230">
        <f t="shared" si="244"/>
        <v>0</v>
      </c>
      <c r="AD282" s="1231">
        <f t="shared" si="244"/>
        <v>0</v>
      </c>
      <c r="AE282" s="1232">
        <f t="shared" si="244"/>
        <v>0</v>
      </c>
      <c r="AF282" s="1233">
        <f t="shared" si="244"/>
        <v>0</v>
      </c>
      <c r="AG282" s="1231">
        <f t="shared" si="244"/>
        <v>0</v>
      </c>
      <c r="AH282" s="1231">
        <f t="shared" si="244"/>
        <v>0</v>
      </c>
      <c r="AI282" s="1231">
        <f t="shared" si="244"/>
        <v>0</v>
      </c>
      <c r="AJ282" s="1125"/>
    </row>
    <row r="283" spans="1:36" s="1126" customFormat="1">
      <c r="A283" s="1119"/>
      <c r="B283" s="1222"/>
      <c r="C283" s="1184"/>
      <c r="D283" s="1121"/>
      <c r="E283" s="1184"/>
      <c r="F283" s="1121"/>
      <c r="G283" s="1121"/>
      <c r="H283" s="1184"/>
      <c r="I283" s="1121"/>
      <c r="J283" s="1121"/>
      <c r="K283" s="1184"/>
      <c r="L283" s="1121"/>
      <c r="M283" s="1121"/>
      <c r="N283" s="1184"/>
      <c r="O283" s="1121"/>
      <c r="P283" s="1121"/>
      <c r="Q283" s="1184"/>
      <c r="R283" s="1121"/>
      <c r="S283" s="1229">
        <v>4</v>
      </c>
      <c r="T283" s="1230">
        <f>T273</f>
        <v>0</v>
      </c>
      <c r="U283" s="1230">
        <f>SUM(T273:U273)</f>
        <v>0</v>
      </c>
      <c r="V283" s="1230">
        <f>SUM(T273:V273)</f>
        <v>0</v>
      </c>
      <c r="W283" s="1230">
        <f t="shared" ref="W283:AI283" si="245">SUM(T273:W273)</f>
        <v>0</v>
      </c>
      <c r="X283" s="1230">
        <f t="shared" si="245"/>
        <v>0</v>
      </c>
      <c r="Y283" s="1230">
        <f t="shared" si="245"/>
        <v>0</v>
      </c>
      <c r="Z283" s="1230">
        <f t="shared" si="245"/>
        <v>0</v>
      </c>
      <c r="AA283" s="1230">
        <f t="shared" si="245"/>
        <v>0</v>
      </c>
      <c r="AB283" s="1230">
        <f t="shared" si="245"/>
        <v>0</v>
      </c>
      <c r="AC283" s="1230">
        <f t="shared" si="245"/>
        <v>0</v>
      </c>
      <c r="AD283" s="1231">
        <f t="shared" si="245"/>
        <v>0</v>
      </c>
      <c r="AE283" s="1232">
        <f t="shared" si="245"/>
        <v>0</v>
      </c>
      <c r="AF283" s="1233">
        <f t="shared" si="245"/>
        <v>0</v>
      </c>
      <c r="AG283" s="1231">
        <f t="shared" si="245"/>
        <v>0</v>
      </c>
      <c r="AH283" s="1231">
        <f t="shared" si="245"/>
        <v>0</v>
      </c>
      <c r="AI283" s="1231">
        <f t="shared" si="245"/>
        <v>0</v>
      </c>
      <c r="AJ283" s="1125"/>
    </row>
    <row r="284" spans="1:36" s="1126" customFormat="1">
      <c r="A284" s="1119"/>
      <c r="B284" s="1222"/>
      <c r="C284" s="1184"/>
      <c r="D284" s="1121"/>
      <c r="E284" s="1184"/>
      <c r="F284" s="1121"/>
      <c r="G284" s="1121"/>
      <c r="H284" s="1184"/>
      <c r="I284" s="1121"/>
      <c r="J284" s="1121"/>
      <c r="K284" s="1184"/>
      <c r="L284" s="1121"/>
      <c r="M284" s="1121"/>
      <c r="N284" s="1184"/>
      <c r="O284" s="1121"/>
      <c r="P284" s="1121"/>
      <c r="Q284" s="1184"/>
      <c r="R284" s="1121"/>
      <c r="S284" s="1229">
        <v>5</v>
      </c>
      <c r="T284" s="1230">
        <f>T273</f>
        <v>0</v>
      </c>
      <c r="U284" s="1230">
        <f>SUM(T273:U273)</f>
        <v>0</v>
      </c>
      <c r="V284" s="1230">
        <f>SUM(T273:V273)</f>
        <v>0</v>
      </c>
      <c r="W284" s="1230">
        <f>SUM(T273:W273)</f>
        <v>0</v>
      </c>
      <c r="X284" s="1230">
        <f t="shared" ref="X284:AI284" si="246">SUM(T273:X273)</f>
        <v>0</v>
      </c>
      <c r="Y284" s="1230">
        <f t="shared" si="246"/>
        <v>0</v>
      </c>
      <c r="Z284" s="1230">
        <f t="shared" si="246"/>
        <v>0</v>
      </c>
      <c r="AA284" s="1230">
        <f t="shared" si="246"/>
        <v>0</v>
      </c>
      <c r="AB284" s="1230">
        <f t="shared" si="246"/>
        <v>0</v>
      </c>
      <c r="AC284" s="1230">
        <f t="shared" si="246"/>
        <v>0</v>
      </c>
      <c r="AD284" s="1231">
        <f t="shared" si="246"/>
        <v>0</v>
      </c>
      <c r="AE284" s="1232">
        <f t="shared" si="246"/>
        <v>0</v>
      </c>
      <c r="AF284" s="1233">
        <f t="shared" si="246"/>
        <v>0</v>
      </c>
      <c r="AG284" s="1231">
        <f t="shared" si="246"/>
        <v>0</v>
      </c>
      <c r="AH284" s="1231">
        <f t="shared" si="246"/>
        <v>0</v>
      </c>
      <c r="AI284" s="1231">
        <f t="shared" si="246"/>
        <v>0</v>
      </c>
      <c r="AJ284" s="1125"/>
    </row>
    <row r="285" spans="1:36" s="1126" customFormat="1">
      <c r="A285" s="1119"/>
      <c r="B285" s="1222"/>
      <c r="C285" s="1184"/>
      <c r="D285" s="1121"/>
      <c r="E285" s="1184"/>
      <c r="F285" s="1121"/>
      <c r="G285" s="1121"/>
      <c r="H285" s="1184"/>
      <c r="I285" s="1121"/>
      <c r="J285" s="1121"/>
      <c r="K285" s="1184"/>
      <c r="L285" s="1121"/>
      <c r="M285" s="1121"/>
      <c r="N285" s="1184"/>
      <c r="O285" s="1121"/>
      <c r="P285" s="1121"/>
      <c r="Q285" s="1184"/>
      <c r="R285" s="1121"/>
      <c r="S285" s="1229">
        <v>6</v>
      </c>
      <c r="T285" s="1230">
        <f>T273</f>
        <v>0</v>
      </c>
      <c r="U285" s="1230">
        <f>SUM(T273:U273)</f>
        <v>0</v>
      </c>
      <c r="V285" s="1230">
        <f>SUM(T273:V273)</f>
        <v>0</v>
      </c>
      <c r="W285" s="1230">
        <f>SUM(T273:W273)</f>
        <v>0</v>
      </c>
      <c r="X285" s="1230">
        <f>SUM(T273:X273)</f>
        <v>0</v>
      </c>
      <c r="Y285" s="1230">
        <f t="shared" ref="Y285:AI285" si="247">SUM(T273:Y273)</f>
        <v>0</v>
      </c>
      <c r="Z285" s="1230">
        <f t="shared" si="247"/>
        <v>0</v>
      </c>
      <c r="AA285" s="1230">
        <f t="shared" si="247"/>
        <v>0</v>
      </c>
      <c r="AB285" s="1230">
        <f t="shared" si="247"/>
        <v>0</v>
      </c>
      <c r="AC285" s="1230">
        <f t="shared" si="247"/>
        <v>0</v>
      </c>
      <c r="AD285" s="1231">
        <f t="shared" si="247"/>
        <v>0</v>
      </c>
      <c r="AE285" s="1232">
        <f t="shared" si="247"/>
        <v>0</v>
      </c>
      <c r="AF285" s="1233">
        <f t="shared" si="247"/>
        <v>0</v>
      </c>
      <c r="AG285" s="1231">
        <f t="shared" si="247"/>
        <v>0</v>
      </c>
      <c r="AH285" s="1231">
        <f t="shared" si="247"/>
        <v>0</v>
      </c>
      <c r="AI285" s="1231">
        <f t="shared" si="247"/>
        <v>0</v>
      </c>
      <c r="AJ285" s="1125"/>
    </row>
    <row r="286" spans="1:36" s="1126" customFormat="1">
      <c r="A286" s="1119"/>
      <c r="B286" s="1222"/>
      <c r="C286" s="1184"/>
      <c r="D286" s="1121"/>
      <c r="E286" s="1184"/>
      <c r="F286" s="1121"/>
      <c r="G286" s="1121"/>
      <c r="H286" s="1184"/>
      <c r="I286" s="1121"/>
      <c r="J286" s="1121"/>
      <c r="K286" s="1184"/>
      <c r="L286" s="1121"/>
      <c r="M286" s="1121"/>
      <c r="N286" s="1184"/>
      <c r="O286" s="1121"/>
      <c r="P286" s="1121"/>
      <c r="Q286" s="1184"/>
      <c r="R286" s="1121"/>
      <c r="S286" s="1229">
        <v>7</v>
      </c>
      <c r="T286" s="1230">
        <f>T273</f>
        <v>0</v>
      </c>
      <c r="U286" s="1230">
        <f>SUM(T273:U273)</f>
        <v>0</v>
      </c>
      <c r="V286" s="1230">
        <f>SUM(T273:V273)</f>
        <v>0</v>
      </c>
      <c r="W286" s="1230">
        <f>SUM(T273:W273)</f>
        <v>0</v>
      </c>
      <c r="X286" s="1230">
        <f>SUM(T273:X273)</f>
        <v>0</v>
      </c>
      <c r="Y286" s="1230">
        <f>SUM(T273:Y273)</f>
        <v>0</v>
      </c>
      <c r="Z286" s="1230">
        <f t="shared" ref="Z286:AI286" si="248">SUM(T273:Z273)</f>
        <v>0</v>
      </c>
      <c r="AA286" s="1230">
        <f t="shared" si="248"/>
        <v>0</v>
      </c>
      <c r="AB286" s="1230">
        <f t="shared" si="248"/>
        <v>0</v>
      </c>
      <c r="AC286" s="1230">
        <f t="shared" si="248"/>
        <v>0</v>
      </c>
      <c r="AD286" s="1231">
        <f t="shared" si="248"/>
        <v>0</v>
      </c>
      <c r="AE286" s="1232">
        <f t="shared" si="248"/>
        <v>0</v>
      </c>
      <c r="AF286" s="1233">
        <f t="shared" si="248"/>
        <v>0</v>
      </c>
      <c r="AG286" s="1231">
        <f t="shared" si="248"/>
        <v>0</v>
      </c>
      <c r="AH286" s="1231">
        <f t="shared" si="248"/>
        <v>0</v>
      </c>
      <c r="AI286" s="1231">
        <f t="shared" si="248"/>
        <v>0</v>
      </c>
      <c r="AJ286" s="1125"/>
    </row>
    <row r="287" spans="1:36" s="1126" customFormat="1">
      <c r="A287" s="1119"/>
      <c r="B287" s="1222"/>
      <c r="C287" s="1184"/>
      <c r="D287" s="1121"/>
      <c r="E287" s="1184"/>
      <c r="F287" s="1121"/>
      <c r="G287" s="1121"/>
      <c r="H287" s="1184"/>
      <c r="I287" s="1121"/>
      <c r="J287" s="1121"/>
      <c r="K287" s="1184"/>
      <c r="L287" s="1121"/>
      <c r="M287" s="1121"/>
      <c r="N287" s="1184"/>
      <c r="O287" s="1121"/>
      <c r="P287" s="1121"/>
      <c r="Q287" s="1184"/>
      <c r="R287" s="1121"/>
      <c r="S287" s="1229">
        <v>8</v>
      </c>
      <c r="T287" s="1230">
        <f>T273</f>
        <v>0</v>
      </c>
      <c r="U287" s="1230">
        <f>SUM(T273:U273)</f>
        <v>0</v>
      </c>
      <c r="V287" s="1230">
        <f>SUM(T273:V273)</f>
        <v>0</v>
      </c>
      <c r="W287" s="1230">
        <f>SUM(T273:W273)</f>
        <v>0</v>
      </c>
      <c r="X287" s="1230">
        <f>SUM(T273:X273)</f>
        <v>0</v>
      </c>
      <c r="Y287" s="1230">
        <f>SUM(T273:Y273)</f>
        <v>0</v>
      </c>
      <c r="Z287" s="1230">
        <f>SUM(T273:Z273)</f>
        <v>0</v>
      </c>
      <c r="AA287" s="1230">
        <f t="shared" ref="AA287:AI287" si="249">SUM(T273:AA273)</f>
        <v>0</v>
      </c>
      <c r="AB287" s="1230">
        <f t="shared" si="249"/>
        <v>0</v>
      </c>
      <c r="AC287" s="1230">
        <f t="shared" si="249"/>
        <v>0</v>
      </c>
      <c r="AD287" s="1231">
        <f t="shared" si="249"/>
        <v>0</v>
      </c>
      <c r="AE287" s="1232">
        <f t="shared" si="249"/>
        <v>0</v>
      </c>
      <c r="AF287" s="1233">
        <f t="shared" si="249"/>
        <v>0</v>
      </c>
      <c r="AG287" s="1231">
        <f t="shared" si="249"/>
        <v>0</v>
      </c>
      <c r="AH287" s="1231">
        <f t="shared" si="249"/>
        <v>0</v>
      </c>
      <c r="AI287" s="1231">
        <f t="shared" si="249"/>
        <v>0</v>
      </c>
      <c r="AJ287" s="1125"/>
    </row>
    <row r="288" spans="1:36" s="1126" customFormat="1">
      <c r="A288" s="1119"/>
      <c r="B288" s="1222"/>
      <c r="C288" s="1184"/>
      <c r="D288" s="1121"/>
      <c r="E288" s="1184"/>
      <c r="F288" s="1121"/>
      <c r="G288" s="1121"/>
      <c r="H288" s="1184"/>
      <c r="I288" s="1121"/>
      <c r="J288" s="1121"/>
      <c r="K288" s="1184"/>
      <c r="L288" s="1121"/>
      <c r="M288" s="1121"/>
      <c r="N288" s="1184"/>
      <c r="O288" s="1121"/>
      <c r="P288" s="1121"/>
      <c r="Q288" s="1184"/>
      <c r="R288" s="1121"/>
      <c r="S288" s="1229">
        <v>9</v>
      </c>
      <c r="T288" s="1230">
        <f>T273</f>
        <v>0</v>
      </c>
      <c r="U288" s="1230">
        <f>SUM(T273:U273)</f>
        <v>0</v>
      </c>
      <c r="V288" s="1230">
        <f>SUM(T273:V273)</f>
        <v>0</v>
      </c>
      <c r="W288" s="1230">
        <f>SUM(T273:W273)</f>
        <v>0</v>
      </c>
      <c r="X288" s="1230">
        <f>SUM(T273:X273)</f>
        <v>0</v>
      </c>
      <c r="Y288" s="1230">
        <f>SUM(T273:Y273)</f>
        <v>0</v>
      </c>
      <c r="Z288" s="1230">
        <f>SUM(T273:Z273)</f>
        <v>0</v>
      </c>
      <c r="AA288" s="1230">
        <f>SUM(T273:AA273)</f>
        <v>0</v>
      </c>
      <c r="AB288" s="1230">
        <f>SUM(T273:AB273)</f>
        <v>0</v>
      </c>
      <c r="AC288" s="1230">
        <f>SUM(T273:AC273)</f>
        <v>0</v>
      </c>
      <c r="AD288" s="1231">
        <f t="shared" ref="AD288:AI288" si="250">SUM(T273:AD273)</f>
        <v>0</v>
      </c>
      <c r="AE288" s="1232">
        <f t="shared" si="250"/>
        <v>0</v>
      </c>
      <c r="AF288" s="1233">
        <f t="shared" si="250"/>
        <v>0</v>
      </c>
      <c r="AG288" s="1231">
        <f t="shared" si="250"/>
        <v>0</v>
      </c>
      <c r="AH288" s="1231">
        <f t="shared" si="250"/>
        <v>0</v>
      </c>
      <c r="AI288" s="1231">
        <f t="shared" si="250"/>
        <v>0</v>
      </c>
      <c r="AJ288" s="1125"/>
    </row>
    <row r="289" spans="1:36" s="1126" customFormat="1">
      <c r="A289" s="1119"/>
      <c r="B289" s="1222"/>
      <c r="C289" s="1184"/>
      <c r="D289" s="1121"/>
      <c r="E289" s="1184"/>
      <c r="F289" s="1121"/>
      <c r="G289" s="1121"/>
      <c r="H289" s="1184"/>
      <c r="I289" s="1121"/>
      <c r="J289" s="1121"/>
      <c r="K289" s="1184"/>
      <c r="L289" s="1121"/>
      <c r="M289" s="1121"/>
      <c r="N289" s="1184"/>
      <c r="O289" s="1121"/>
      <c r="P289" s="1121"/>
      <c r="Q289" s="1184"/>
      <c r="R289" s="1121"/>
      <c r="S289" s="1229">
        <v>10</v>
      </c>
      <c r="T289" s="1234">
        <f>T273</f>
        <v>0</v>
      </c>
      <c r="U289" s="1234">
        <f>SUM(T273:U273)</f>
        <v>0</v>
      </c>
      <c r="V289" s="1234">
        <f>SUM(T273:V273)</f>
        <v>0</v>
      </c>
      <c r="W289" s="1234">
        <f>SUM(T273:W273)</f>
        <v>0</v>
      </c>
      <c r="X289" s="1234">
        <f>SUM(T273:X273)</f>
        <v>0</v>
      </c>
      <c r="Y289" s="1234">
        <f>SUM(T273:Y273)</f>
        <v>0</v>
      </c>
      <c r="Z289" s="1234">
        <f>SUM(T273:Z273)</f>
        <v>0</v>
      </c>
      <c r="AA289" s="1234">
        <f>SUM(T273:AA273)</f>
        <v>0</v>
      </c>
      <c r="AB289" s="1234">
        <f>SUM(T273:AB273)</f>
        <v>0</v>
      </c>
      <c r="AC289" s="1234">
        <f>SUM(T273:AC273)</f>
        <v>0</v>
      </c>
      <c r="AD289" s="1235">
        <f t="shared" ref="AD289:AI289" si="251">SUM(T273:AD273)</f>
        <v>0</v>
      </c>
      <c r="AE289" s="1236">
        <f t="shared" si="251"/>
        <v>0</v>
      </c>
      <c r="AF289" s="1237">
        <f t="shared" si="251"/>
        <v>0</v>
      </c>
      <c r="AG289" s="1235">
        <f t="shared" si="251"/>
        <v>0</v>
      </c>
      <c r="AH289" s="1235">
        <f t="shared" si="251"/>
        <v>0</v>
      </c>
      <c r="AI289" s="1235">
        <f t="shared" si="251"/>
        <v>0</v>
      </c>
      <c r="AJ289" s="1125"/>
    </row>
    <row r="290" spans="1:36" s="1126" customFormat="1">
      <c r="A290" s="1119"/>
      <c r="B290" s="1222"/>
      <c r="C290" s="1184"/>
      <c r="D290" s="1121"/>
      <c r="E290" s="1184"/>
      <c r="F290" s="1121"/>
      <c r="G290" s="1121"/>
      <c r="H290" s="1184"/>
      <c r="I290" s="1121"/>
      <c r="J290" s="1121"/>
      <c r="K290" s="1184"/>
      <c r="L290" s="1121"/>
      <c r="M290" s="1121"/>
      <c r="N290" s="1184"/>
      <c r="O290" s="1121"/>
      <c r="P290" s="1121"/>
      <c r="Q290" s="1184"/>
      <c r="R290" s="1121"/>
      <c r="S290" s="1238">
        <v>11</v>
      </c>
      <c r="T290" s="1239">
        <f>T273</f>
        <v>0</v>
      </c>
      <c r="U290" s="1239">
        <f>SUM(T273:U273)</f>
        <v>0</v>
      </c>
      <c r="V290" s="1239">
        <f>SUM(T273:V273)</f>
        <v>0</v>
      </c>
      <c r="W290" s="1239">
        <f>SUM(T273:W273)</f>
        <v>0</v>
      </c>
      <c r="X290" s="1239">
        <f>SUM(T273:X273)</f>
        <v>0</v>
      </c>
      <c r="Y290" s="1239">
        <f>SUM(T273:Y273)</f>
        <v>0</v>
      </c>
      <c r="Z290" s="1239">
        <f>SUM(T273:Z273)</f>
        <v>0</v>
      </c>
      <c r="AA290" s="1239">
        <f>SUM(T273:AA273)</f>
        <v>0</v>
      </c>
      <c r="AB290" s="1239">
        <f>SUM(T273:AB273)</f>
        <v>0</v>
      </c>
      <c r="AC290" s="1239">
        <f>SUM(T273:AC273)</f>
        <v>0</v>
      </c>
      <c r="AD290" s="1240">
        <f t="shared" ref="AD290:AI290" si="252">SUM(T273:AD273)</f>
        <v>0</v>
      </c>
      <c r="AE290" s="1241">
        <f t="shared" si="252"/>
        <v>0</v>
      </c>
      <c r="AF290" s="1242">
        <f t="shared" si="252"/>
        <v>0</v>
      </c>
      <c r="AG290" s="1240">
        <f t="shared" si="252"/>
        <v>0</v>
      </c>
      <c r="AH290" s="1240">
        <f t="shared" si="252"/>
        <v>0</v>
      </c>
      <c r="AI290" s="1240">
        <f t="shared" si="252"/>
        <v>0</v>
      </c>
      <c r="AJ290" s="1125"/>
    </row>
    <row r="291" spans="1:36" s="1126" customFormat="1">
      <c r="A291" s="1119"/>
      <c r="B291" s="1222"/>
      <c r="C291" s="1184"/>
      <c r="D291" s="1121"/>
      <c r="E291" s="1184"/>
      <c r="F291" s="1121"/>
      <c r="G291" s="1121"/>
      <c r="H291" s="1184"/>
      <c r="I291" s="1121"/>
      <c r="J291" s="1121"/>
      <c r="K291" s="1184"/>
      <c r="L291" s="1121"/>
      <c r="M291" s="1121"/>
      <c r="N291" s="1184"/>
      <c r="O291" s="1121"/>
      <c r="P291" s="1121"/>
      <c r="Q291" s="1184"/>
      <c r="R291" s="1121"/>
      <c r="S291" s="1243"/>
      <c r="T291" s="1223" t="s">
        <v>1298</v>
      </c>
      <c r="U291" s="1223"/>
      <c r="V291" s="1223"/>
      <c r="W291" s="1223"/>
      <c r="X291" s="1223"/>
      <c r="Y291" s="1223"/>
      <c r="Z291" s="1223"/>
      <c r="AA291" s="1223"/>
      <c r="AB291" s="1223"/>
      <c r="AC291" s="1223"/>
      <c r="AD291" s="1223"/>
      <c r="AE291" s="1244"/>
      <c r="AF291" s="1223"/>
      <c r="AG291" s="1244"/>
      <c r="AH291" s="1223"/>
      <c r="AI291" s="1244"/>
      <c r="AJ291" s="1125"/>
    </row>
    <row r="292" spans="1:36" s="1126" customFormat="1">
      <c r="A292" s="1119"/>
      <c r="B292" s="1222"/>
      <c r="C292" s="1184"/>
      <c r="D292" s="1121"/>
      <c r="E292" s="1184"/>
      <c r="F292" s="1121"/>
      <c r="G292" s="1121"/>
      <c r="H292" s="1184"/>
      <c r="I292" s="1121"/>
      <c r="J292" s="1121"/>
      <c r="K292" s="1184"/>
      <c r="L292" s="1121"/>
      <c r="M292" s="1121"/>
      <c r="N292" s="1184"/>
      <c r="O292" s="1121"/>
      <c r="P292" s="1121"/>
      <c r="Q292" s="1184"/>
      <c r="R292" s="1121"/>
      <c r="S292" s="1224">
        <v>1</v>
      </c>
      <c r="T292" s="1225">
        <v>0</v>
      </c>
      <c r="U292" s="1225">
        <v>0</v>
      </c>
      <c r="V292" s="1225">
        <v>0</v>
      </c>
      <c r="W292" s="1225">
        <v>0</v>
      </c>
      <c r="X292" s="1225">
        <v>0</v>
      </c>
      <c r="Y292" s="1225">
        <v>0</v>
      </c>
      <c r="Z292" s="1225">
        <v>0</v>
      </c>
      <c r="AA292" s="1225">
        <v>0</v>
      </c>
      <c r="AB292" s="1225">
        <v>0</v>
      </c>
      <c r="AC292" s="1225"/>
      <c r="AD292" s="1226"/>
      <c r="AE292" s="1227"/>
      <c r="AF292" s="1228"/>
      <c r="AG292" s="1226"/>
      <c r="AH292" s="1226"/>
      <c r="AI292" s="1226"/>
      <c r="AJ292" s="1125"/>
    </row>
    <row r="293" spans="1:36" s="1126" customFormat="1">
      <c r="A293" s="1119"/>
      <c r="B293" s="1222"/>
      <c r="C293" s="1184"/>
      <c r="D293" s="1121"/>
      <c r="E293" s="1184"/>
      <c r="F293" s="1121"/>
      <c r="G293" s="1121"/>
      <c r="H293" s="1184"/>
      <c r="I293" s="1121"/>
      <c r="J293" s="1121"/>
      <c r="K293" s="1184"/>
      <c r="L293" s="1121"/>
      <c r="M293" s="1121"/>
      <c r="N293" s="1184"/>
      <c r="O293" s="1121"/>
      <c r="P293" s="1121"/>
      <c r="Q293" s="1184"/>
      <c r="R293" s="1121"/>
      <c r="S293" s="1229">
        <v>2</v>
      </c>
      <c r="T293" s="1230">
        <f t="shared" ref="T293:AI293" si="253">T273</f>
        <v>0</v>
      </c>
      <c r="U293" s="1230">
        <f t="shared" si="253"/>
        <v>0</v>
      </c>
      <c r="V293" s="1230">
        <f t="shared" si="253"/>
        <v>0</v>
      </c>
      <c r="W293" s="1230">
        <f t="shared" si="253"/>
        <v>0</v>
      </c>
      <c r="X293" s="1230">
        <f t="shared" si="253"/>
        <v>0</v>
      </c>
      <c r="Y293" s="1230">
        <f t="shared" si="253"/>
        <v>0</v>
      </c>
      <c r="Z293" s="1230">
        <f t="shared" si="253"/>
        <v>0</v>
      </c>
      <c r="AA293" s="1230">
        <f t="shared" si="253"/>
        <v>0</v>
      </c>
      <c r="AB293" s="1230">
        <f t="shared" si="253"/>
        <v>0</v>
      </c>
      <c r="AC293" s="1230">
        <f t="shared" si="253"/>
        <v>0</v>
      </c>
      <c r="AD293" s="1231">
        <f t="shared" si="253"/>
        <v>0</v>
      </c>
      <c r="AE293" s="1232">
        <f t="shared" si="253"/>
        <v>0</v>
      </c>
      <c r="AF293" s="1233">
        <f t="shared" si="253"/>
        <v>0</v>
      </c>
      <c r="AG293" s="1231">
        <f t="shared" si="253"/>
        <v>0</v>
      </c>
      <c r="AH293" s="1231">
        <f t="shared" si="253"/>
        <v>0</v>
      </c>
      <c r="AI293" s="1231">
        <f t="shared" si="253"/>
        <v>0</v>
      </c>
      <c r="AJ293" s="1125"/>
    </row>
    <row r="294" spans="1:36" s="1126" customFormat="1">
      <c r="A294" s="1119"/>
      <c r="B294" s="1222"/>
      <c r="C294" s="1184"/>
      <c r="D294" s="1121"/>
      <c r="E294" s="1184"/>
      <c r="F294" s="1121"/>
      <c r="G294" s="1121"/>
      <c r="H294" s="1184"/>
      <c r="I294" s="1121"/>
      <c r="J294" s="1121"/>
      <c r="K294" s="1184"/>
      <c r="L294" s="1121"/>
      <c r="M294" s="1121"/>
      <c r="N294" s="1184"/>
      <c r="O294" s="1121"/>
      <c r="P294" s="1121"/>
      <c r="Q294" s="1184"/>
      <c r="R294" s="1121"/>
      <c r="S294" s="1229">
        <v>3</v>
      </c>
      <c r="T294" s="1230">
        <f>T273</f>
        <v>0</v>
      </c>
      <c r="U294" s="1230">
        <f t="shared" ref="U294:AI294" si="254">SUM(T273:U273)</f>
        <v>0</v>
      </c>
      <c r="V294" s="1230">
        <f t="shared" si="254"/>
        <v>0</v>
      </c>
      <c r="W294" s="1230">
        <f t="shared" si="254"/>
        <v>0</v>
      </c>
      <c r="X294" s="1230">
        <f t="shared" si="254"/>
        <v>0</v>
      </c>
      <c r="Y294" s="1230">
        <f t="shared" si="254"/>
        <v>0</v>
      </c>
      <c r="Z294" s="1230">
        <f t="shared" si="254"/>
        <v>0</v>
      </c>
      <c r="AA294" s="1230">
        <f t="shared" si="254"/>
        <v>0</v>
      </c>
      <c r="AB294" s="1230">
        <f t="shared" si="254"/>
        <v>0</v>
      </c>
      <c r="AC294" s="1230">
        <f t="shared" si="254"/>
        <v>0</v>
      </c>
      <c r="AD294" s="1231">
        <f t="shared" si="254"/>
        <v>0</v>
      </c>
      <c r="AE294" s="1232">
        <f t="shared" si="254"/>
        <v>0</v>
      </c>
      <c r="AF294" s="1233">
        <f t="shared" si="254"/>
        <v>0</v>
      </c>
      <c r="AG294" s="1231">
        <f t="shared" si="254"/>
        <v>0</v>
      </c>
      <c r="AH294" s="1231">
        <f t="shared" si="254"/>
        <v>0</v>
      </c>
      <c r="AI294" s="1231">
        <f t="shared" si="254"/>
        <v>0</v>
      </c>
      <c r="AJ294" s="1125"/>
    </row>
    <row r="295" spans="1:36" s="1126" customFormat="1">
      <c r="A295" s="1119"/>
      <c r="B295" s="1222"/>
      <c r="C295" s="1184"/>
      <c r="D295" s="1121"/>
      <c r="E295" s="1184"/>
      <c r="F295" s="1121"/>
      <c r="G295" s="1121"/>
      <c r="H295" s="1184"/>
      <c r="I295" s="1121"/>
      <c r="J295" s="1121"/>
      <c r="K295" s="1184"/>
      <c r="L295" s="1121"/>
      <c r="M295" s="1121"/>
      <c r="N295" s="1184"/>
      <c r="O295" s="1121"/>
      <c r="P295" s="1121"/>
      <c r="Q295" s="1184"/>
      <c r="R295" s="1121"/>
      <c r="S295" s="1229">
        <v>4</v>
      </c>
      <c r="T295" s="1230">
        <f>T273</f>
        <v>0</v>
      </c>
      <c r="U295" s="1230">
        <f>SUM(T273:U273)</f>
        <v>0</v>
      </c>
      <c r="V295" s="1230">
        <f t="shared" ref="V295:AI295" si="255">SUM(T273:V273)</f>
        <v>0</v>
      </c>
      <c r="W295" s="1230">
        <f t="shared" si="255"/>
        <v>0</v>
      </c>
      <c r="X295" s="1230">
        <f t="shared" si="255"/>
        <v>0</v>
      </c>
      <c r="Y295" s="1230">
        <f t="shared" si="255"/>
        <v>0</v>
      </c>
      <c r="Z295" s="1230">
        <f t="shared" si="255"/>
        <v>0</v>
      </c>
      <c r="AA295" s="1230">
        <f t="shared" si="255"/>
        <v>0</v>
      </c>
      <c r="AB295" s="1230">
        <f t="shared" si="255"/>
        <v>0</v>
      </c>
      <c r="AC295" s="1230">
        <f t="shared" si="255"/>
        <v>0</v>
      </c>
      <c r="AD295" s="1231">
        <f t="shared" si="255"/>
        <v>0</v>
      </c>
      <c r="AE295" s="1232">
        <f t="shared" si="255"/>
        <v>0</v>
      </c>
      <c r="AF295" s="1233">
        <f t="shared" si="255"/>
        <v>0</v>
      </c>
      <c r="AG295" s="1231">
        <f t="shared" si="255"/>
        <v>0</v>
      </c>
      <c r="AH295" s="1231">
        <f t="shared" si="255"/>
        <v>0</v>
      </c>
      <c r="AI295" s="1231">
        <f t="shared" si="255"/>
        <v>0</v>
      </c>
      <c r="AJ295" s="1125"/>
    </row>
    <row r="296" spans="1:36" s="1126" customFormat="1">
      <c r="A296" s="1119"/>
      <c r="B296" s="1222"/>
      <c r="C296" s="1184"/>
      <c r="D296" s="1121"/>
      <c r="E296" s="1184"/>
      <c r="F296" s="1121"/>
      <c r="G296" s="1121"/>
      <c r="H296" s="1184"/>
      <c r="I296" s="1121"/>
      <c r="J296" s="1121"/>
      <c r="K296" s="1184"/>
      <c r="L296" s="1121"/>
      <c r="M296" s="1121"/>
      <c r="N296" s="1184"/>
      <c r="O296" s="1121"/>
      <c r="P296" s="1121"/>
      <c r="Q296" s="1184"/>
      <c r="R296" s="1121"/>
      <c r="S296" s="1229">
        <v>5</v>
      </c>
      <c r="T296" s="1230">
        <f>T273</f>
        <v>0</v>
      </c>
      <c r="U296" s="1230">
        <f>SUM(T273:U273)</f>
        <v>0</v>
      </c>
      <c r="V296" s="1230">
        <f>SUM(T273:V273)</f>
        <v>0</v>
      </c>
      <c r="W296" s="1230">
        <f t="shared" ref="W296:AI296" si="256">SUM(T273:W273)</f>
        <v>0</v>
      </c>
      <c r="X296" s="1230">
        <f t="shared" si="256"/>
        <v>0</v>
      </c>
      <c r="Y296" s="1230">
        <f t="shared" si="256"/>
        <v>0</v>
      </c>
      <c r="Z296" s="1230">
        <f t="shared" si="256"/>
        <v>0</v>
      </c>
      <c r="AA296" s="1230">
        <f t="shared" si="256"/>
        <v>0</v>
      </c>
      <c r="AB296" s="1230">
        <f t="shared" si="256"/>
        <v>0</v>
      </c>
      <c r="AC296" s="1230">
        <f t="shared" si="256"/>
        <v>0</v>
      </c>
      <c r="AD296" s="1231">
        <f t="shared" si="256"/>
        <v>0</v>
      </c>
      <c r="AE296" s="1232">
        <f t="shared" si="256"/>
        <v>0</v>
      </c>
      <c r="AF296" s="1233">
        <f t="shared" si="256"/>
        <v>0</v>
      </c>
      <c r="AG296" s="1231">
        <f t="shared" si="256"/>
        <v>0</v>
      </c>
      <c r="AH296" s="1231">
        <f t="shared" si="256"/>
        <v>0</v>
      </c>
      <c r="AI296" s="1231">
        <f t="shared" si="256"/>
        <v>0</v>
      </c>
      <c r="AJ296" s="1125"/>
    </row>
    <row r="297" spans="1:36" s="1126" customFormat="1">
      <c r="A297" s="1119"/>
      <c r="B297" s="1222"/>
      <c r="C297" s="1184"/>
      <c r="D297" s="1121"/>
      <c r="E297" s="1184"/>
      <c r="F297" s="1121"/>
      <c r="G297" s="1121"/>
      <c r="H297" s="1184"/>
      <c r="I297" s="1121"/>
      <c r="J297" s="1121"/>
      <c r="K297" s="1184"/>
      <c r="L297" s="1121"/>
      <c r="M297" s="1121"/>
      <c r="N297" s="1184"/>
      <c r="O297" s="1121"/>
      <c r="P297" s="1121"/>
      <c r="Q297" s="1184"/>
      <c r="R297" s="1121"/>
      <c r="S297" s="1229">
        <v>6</v>
      </c>
      <c r="T297" s="1230">
        <f>T273</f>
        <v>0</v>
      </c>
      <c r="U297" s="1230">
        <f>SUM(T273:U273)</f>
        <v>0</v>
      </c>
      <c r="V297" s="1230">
        <f>SUM(T273:V273)</f>
        <v>0</v>
      </c>
      <c r="W297" s="1230">
        <f>SUM(T273:W273)</f>
        <v>0</v>
      </c>
      <c r="X297" s="1230">
        <f t="shared" ref="X297:AI297" si="257">SUM(T273:X273)</f>
        <v>0</v>
      </c>
      <c r="Y297" s="1230">
        <f t="shared" si="257"/>
        <v>0</v>
      </c>
      <c r="Z297" s="1230">
        <f t="shared" si="257"/>
        <v>0</v>
      </c>
      <c r="AA297" s="1230">
        <f t="shared" si="257"/>
        <v>0</v>
      </c>
      <c r="AB297" s="1230">
        <f t="shared" si="257"/>
        <v>0</v>
      </c>
      <c r="AC297" s="1230">
        <f t="shared" si="257"/>
        <v>0</v>
      </c>
      <c r="AD297" s="1231">
        <f t="shared" si="257"/>
        <v>0</v>
      </c>
      <c r="AE297" s="1232">
        <f t="shared" si="257"/>
        <v>0</v>
      </c>
      <c r="AF297" s="1233">
        <f t="shared" si="257"/>
        <v>0</v>
      </c>
      <c r="AG297" s="1231">
        <f t="shared" si="257"/>
        <v>0</v>
      </c>
      <c r="AH297" s="1231">
        <f t="shared" si="257"/>
        <v>0</v>
      </c>
      <c r="AI297" s="1231">
        <f t="shared" si="257"/>
        <v>0</v>
      </c>
      <c r="AJ297" s="1125"/>
    </row>
    <row r="298" spans="1:36" s="1126" customFormat="1">
      <c r="A298" s="1119"/>
      <c r="B298" s="1222"/>
      <c r="C298" s="1184"/>
      <c r="D298" s="1121"/>
      <c r="E298" s="1184"/>
      <c r="F298" s="1121"/>
      <c r="G298" s="1121"/>
      <c r="H298" s="1184"/>
      <c r="I298" s="1121"/>
      <c r="J298" s="1121"/>
      <c r="K298" s="1184"/>
      <c r="L298" s="1121"/>
      <c r="M298" s="1121"/>
      <c r="N298" s="1184"/>
      <c r="O298" s="1121"/>
      <c r="P298" s="1121"/>
      <c r="Q298" s="1184"/>
      <c r="R298" s="1121"/>
      <c r="S298" s="1229">
        <v>7</v>
      </c>
      <c r="T298" s="1230">
        <f>T273</f>
        <v>0</v>
      </c>
      <c r="U298" s="1230">
        <f>SUM(T273:U273)</f>
        <v>0</v>
      </c>
      <c r="V298" s="1230">
        <f>SUM(T273:V273)</f>
        <v>0</v>
      </c>
      <c r="W298" s="1230">
        <f>SUM(T273:W273)</f>
        <v>0</v>
      </c>
      <c r="X298" s="1230">
        <f>SUM(T273:X273)</f>
        <v>0</v>
      </c>
      <c r="Y298" s="1230">
        <f t="shared" ref="Y298:AI298" si="258">SUM(T273:Y273)</f>
        <v>0</v>
      </c>
      <c r="Z298" s="1230">
        <f t="shared" si="258"/>
        <v>0</v>
      </c>
      <c r="AA298" s="1230">
        <f t="shared" si="258"/>
        <v>0</v>
      </c>
      <c r="AB298" s="1230">
        <f t="shared" si="258"/>
        <v>0</v>
      </c>
      <c r="AC298" s="1230">
        <f t="shared" si="258"/>
        <v>0</v>
      </c>
      <c r="AD298" s="1231">
        <f t="shared" si="258"/>
        <v>0</v>
      </c>
      <c r="AE298" s="1232">
        <f t="shared" si="258"/>
        <v>0</v>
      </c>
      <c r="AF298" s="1233">
        <f t="shared" si="258"/>
        <v>0</v>
      </c>
      <c r="AG298" s="1231">
        <f t="shared" si="258"/>
        <v>0</v>
      </c>
      <c r="AH298" s="1231">
        <f t="shared" si="258"/>
        <v>0</v>
      </c>
      <c r="AI298" s="1231">
        <f t="shared" si="258"/>
        <v>0</v>
      </c>
      <c r="AJ298" s="1125"/>
    </row>
    <row r="299" spans="1:36" s="1126" customFormat="1">
      <c r="A299" s="1119"/>
      <c r="B299" s="1222"/>
      <c r="C299" s="1184"/>
      <c r="D299" s="1121"/>
      <c r="E299" s="1184"/>
      <c r="F299" s="1121"/>
      <c r="G299" s="1121"/>
      <c r="H299" s="1184"/>
      <c r="I299" s="1121"/>
      <c r="J299" s="1121"/>
      <c r="K299" s="1184"/>
      <c r="L299" s="1121"/>
      <c r="M299" s="1121"/>
      <c r="N299" s="1184"/>
      <c r="O299" s="1121"/>
      <c r="P299" s="1121"/>
      <c r="Q299" s="1184"/>
      <c r="R299" s="1121"/>
      <c r="S299" s="1229">
        <v>8</v>
      </c>
      <c r="T299" s="1230">
        <f>T273</f>
        <v>0</v>
      </c>
      <c r="U299" s="1230">
        <f>SUM(T273:U273)</f>
        <v>0</v>
      </c>
      <c r="V299" s="1230">
        <f>SUM(T273:V273)</f>
        <v>0</v>
      </c>
      <c r="W299" s="1230">
        <f>SUM(T273:W273)</f>
        <v>0</v>
      </c>
      <c r="X299" s="1230">
        <f>SUM(T273:X273)</f>
        <v>0</v>
      </c>
      <c r="Y299" s="1230">
        <f>SUM(T273:Y273)</f>
        <v>0</v>
      </c>
      <c r="Z299" s="1230">
        <f t="shared" ref="Z299:AI299" si="259">SUM(T273:Z273)</f>
        <v>0</v>
      </c>
      <c r="AA299" s="1230">
        <f t="shared" si="259"/>
        <v>0</v>
      </c>
      <c r="AB299" s="1230">
        <f t="shared" si="259"/>
        <v>0</v>
      </c>
      <c r="AC299" s="1230">
        <f t="shared" si="259"/>
        <v>0</v>
      </c>
      <c r="AD299" s="1231">
        <f t="shared" si="259"/>
        <v>0</v>
      </c>
      <c r="AE299" s="1232">
        <f t="shared" si="259"/>
        <v>0</v>
      </c>
      <c r="AF299" s="1233">
        <f t="shared" si="259"/>
        <v>0</v>
      </c>
      <c r="AG299" s="1231">
        <f t="shared" si="259"/>
        <v>0</v>
      </c>
      <c r="AH299" s="1231">
        <f t="shared" si="259"/>
        <v>0</v>
      </c>
      <c r="AI299" s="1231">
        <f t="shared" si="259"/>
        <v>0</v>
      </c>
      <c r="AJ299" s="1125"/>
    </row>
    <row r="300" spans="1:36" s="1126" customFormat="1">
      <c r="A300" s="1119"/>
      <c r="B300" s="1222"/>
      <c r="C300" s="1184"/>
      <c r="D300" s="1121"/>
      <c r="E300" s="1184"/>
      <c r="F300" s="1121"/>
      <c r="G300" s="1121"/>
      <c r="H300" s="1184"/>
      <c r="I300" s="1121"/>
      <c r="J300" s="1121"/>
      <c r="K300" s="1184"/>
      <c r="L300" s="1121"/>
      <c r="M300" s="1121"/>
      <c r="N300" s="1184"/>
      <c r="O300" s="1121"/>
      <c r="P300" s="1121"/>
      <c r="Q300" s="1184"/>
      <c r="R300" s="1121"/>
      <c r="S300" s="1229">
        <v>9</v>
      </c>
      <c r="T300" s="1230">
        <f>T273</f>
        <v>0</v>
      </c>
      <c r="U300" s="1230">
        <f>SUM(T273:U273)</f>
        <v>0</v>
      </c>
      <c r="V300" s="1230">
        <f>SUM(T273:V273)</f>
        <v>0</v>
      </c>
      <c r="W300" s="1230">
        <f>SUM(T273:W273)</f>
        <v>0</v>
      </c>
      <c r="X300" s="1230">
        <f>SUM(T273:X273)</f>
        <v>0</v>
      </c>
      <c r="Y300" s="1230">
        <f>SUM(T273:Y273)</f>
        <v>0</v>
      </c>
      <c r="Z300" s="1230">
        <f>SUM(T273:Z273)</f>
        <v>0</v>
      </c>
      <c r="AA300" s="1230">
        <f t="shared" ref="AA300:AI300" si="260">SUM(T273:AA273)</f>
        <v>0</v>
      </c>
      <c r="AB300" s="1230">
        <f t="shared" si="260"/>
        <v>0</v>
      </c>
      <c r="AC300" s="1230">
        <f t="shared" si="260"/>
        <v>0</v>
      </c>
      <c r="AD300" s="1231">
        <f t="shared" si="260"/>
        <v>0</v>
      </c>
      <c r="AE300" s="1232">
        <f t="shared" si="260"/>
        <v>0</v>
      </c>
      <c r="AF300" s="1233">
        <f t="shared" si="260"/>
        <v>0</v>
      </c>
      <c r="AG300" s="1231">
        <f t="shared" si="260"/>
        <v>0</v>
      </c>
      <c r="AH300" s="1231">
        <f t="shared" si="260"/>
        <v>0</v>
      </c>
      <c r="AI300" s="1231">
        <f t="shared" si="260"/>
        <v>0</v>
      </c>
      <c r="AJ300" s="1125"/>
    </row>
    <row r="301" spans="1:36" s="1126" customFormat="1">
      <c r="A301" s="1119"/>
      <c r="B301" s="1222"/>
      <c r="C301" s="1184"/>
      <c r="D301" s="1121"/>
      <c r="E301" s="1184"/>
      <c r="F301" s="1121"/>
      <c r="G301" s="1121"/>
      <c r="H301" s="1184"/>
      <c r="I301" s="1121"/>
      <c r="J301" s="1121"/>
      <c r="K301" s="1184"/>
      <c r="L301" s="1121"/>
      <c r="M301" s="1121"/>
      <c r="N301" s="1184"/>
      <c r="O301" s="1121"/>
      <c r="P301" s="1121"/>
      <c r="Q301" s="1184"/>
      <c r="R301" s="1121"/>
      <c r="S301" s="1229">
        <v>10</v>
      </c>
      <c r="T301" s="1234">
        <f>T273</f>
        <v>0</v>
      </c>
      <c r="U301" s="1234">
        <f>SUM(T273:U273)</f>
        <v>0</v>
      </c>
      <c r="V301" s="1234">
        <f>SUM(T273:V273)</f>
        <v>0</v>
      </c>
      <c r="W301" s="1234">
        <f>SUM(T273:W273)</f>
        <v>0</v>
      </c>
      <c r="X301" s="1234">
        <f>SUM(T273:X273)</f>
        <v>0</v>
      </c>
      <c r="Y301" s="1234">
        <f>SUM(T273:Y273)</f>
        <v>0</v>
      </c>
      <c r="Z301" s="1234">
        <f>SUM(T273:Z273)</f>
        <v>0</v>
      </c>
      <c r="AA301" s="1234">
        <f>SUM(T273:AA273)</f>
        <v>0</v>
      </c>
      <c r="AB301" s="1234">
        <f>SUM(T273:AB273)</f>
        <v>0</v>
      </c>
      <c r="AC301" s="1234">
        <f>SUM(T273:AC273)</f>
        <v>0</v>
      </c>
      <c r="AD301" s="1235">
        <f t="shared" ref="AD301:AI301" si="261">SUM(T273:AD273)</f>
        <v>0</v>
      </c>
      <c r="AE301" s="1236">
        <f t="shared" si="261"/>
        <v>0</v>
      </c>
      <c r="AF301" s="1237">
        <f t="shared" si="261"/>
        <v>0</v>
      </c>
      <c r="AG301" s="1235">
        <f t="shared" si="261"/>
        <v>0</v>
      </c>
      <c r="AH301" s="1235">
        <f t="shared" si="261"/>
        <v>0</v>
      </c>
      <c r="AI301" s="1235">
        <f t="shared" si="261"/>
        <v>0</v>
      </c>
      <c r="AJ301" s="1125"/>
    </row>
    <row r="302" spans="1:36" s="1126" customFormat="1">
      <c r="A302" s="1119"/>
      <c r="B302" s="1222"/>
      <c r="C302" s="1184"/>
      <c r="D302" s="1121"/>
      <c r="E302" s="1184"/>
      <c r="F302" s="1121"/>
      <c r="G302" s="1121"/>
      <c r="H302" s="1184"/>
      <c r="I302" s="1121"/>
      <c r="J302" s="1121"/>
      <c r="K302" s="1184"/>
      <c r="L302" s="1121"/>
      <c r="M302" s="1121"/>
      <c r="N302" s="1184"/>
      <c r="O302" s="1121"/>
      <c r="P302" s="1121"/>
      <c r="Q302" s="1184"/>
      <c r="R302" s="1121"/>
      <c r="S302" s="1238">
        <v>11</v>
      </c>
      <c r="T302" s="1239">
        <f>T273</f>
        <v>0</v>
      </c>
      <c r="U302" s="1239">
        <f>SUM(T273:U273)</f>
        <v>0</v>
      </c>
      <c r="V302" s="1239">
        <f>SUM(T273:V273)</f>
        <v>0</v>
      </c>
      <c r="W302" s="1239">
        <f>SUM(T273:W273)</f>
        <v>0</v>
      </c>
      <c r="X302" s="1239">
        <f>SUM(T273:X273)</f>
        <v>0</v>
      </c>
      <c r="Y302" s="1239">
        <f>SUM(T273:Y273)</f>
        <v>0</v>
      </c>
      <c r="Z302" s="1239">
        <f>SUM(T273:Z273)</f>
        <v>0</v>
      </c>
      <c r="AA302" s="1239">
        <f>SUM(T273:AA273)</f>
        <v>0</v>
      </c>
      <c r="AB302" s="1239">
        <f>SUM(T273:AB273)</f>
        <v>0</v>
      </c>
      <c r="AC302" s="1239">
        <f>SUM(T273:AC273)</f>
        <v>0</v>
      </c>
      <c r="AD302" s="1240">
        <f t="shared" ref="AD302:AI302" si="262">SUM(T273:AD273)</f>
        <v>0</v>
      </c>
      <c r="AE302" s="1241">
        <f t="shared" si="262"/>
        <v>0</v>
      </c>
      <c r="AF302" s="1242">
        <f t="shared" si="262"/>
        <v>0</v>
      </c>
      <c r="AG302" s="1240">
        <f t="shared" si="262"/>
        <v>0</v>
      </c>
      <c r="AH302" s="1240">
        <f t="shared" si="262"/>
        <v>0</v>
      </c>
      <c r="AI302" s="1240">
        <f t="shared" si="262"/>
        <v>0</v>
      </c>
      <c r="AJ302" s="1125"/>
    </row>
    <row r="303" spans="1:36" s="1126" customFormat="1">
      <c r="A303" s="1119"/>
      <c r="B303" s="1222"/>
      <c r="C303" s="1184"/>
      <c r="D303" s="1121"/>
      <c r="E303" s="1184"/>
      <c r="F303" s="1121"/>
      <c r="G303" s="1121"/>
      <c r="H303" s="1184"/>
      <c r="I303" s="1121"/>
      <c r="J303" s="1121"/>
      <c r="K303" s="1184"/>
      <c r="L303" s="1121"/>
      <c r="M303" s="1121"/>
      <c r="N303" s="1184"/>
      <c r="O303" s="1121"/>
      <c r="P303" s="1121"/>
      <c r="Q303" s="1184"/>
      <c r="R303" s="1121"/>
      <c r="S303" s="1243"/>
      <c r="T303" s="1223" t="s">
        <v>1299</v>
      </c>
      <c r="U303" s="1223"/>
      <c r="V303" s="1223"/>
      <c r="W303" s="1223"/>
      <c r="X303" s="1223"/>
      <c r="Y303" s="1223"/>
      <c r="Z303" s="1223"/>
      <c r="AA303" s="1223"/>
      <c r="AB303" s="1223"/>
      <c r="AC303" s="1223"/>
      <c r="AD303" s="1223"/>
      <c r="AE303" s="1244"/>
      <c r="AF303" s="1223"/>
      <c r="AG303" s="1244"/>
      <c r="AH303" s="1223"/>
      <c r="AI303" s="1244"/>
      <c r="AJ303" s="1125"/>
    </row>
    <row r="304" spans="1:36" s="1126" customFormat="1">
      <c r="A304" s="1119"/>
      <c r="B304" s="1222"/>
      <c r="C304" s="1184"/>
      <c r="D304" s="1121"/>
      <c r="E304" s="1184"/>
      <c r="F304" s="1121"/>
      <c r="G304" s="1121"/>
      <c r="H304" s="1184"/>
      <c r="I304" s="1121"/>
      <c r="J304" s="1121"/>
      <c r="K304" s="1184"/>
      <c r="L304" s="1121"/>
      <c r="M304" s="1121"/>
      <c r="N304" s="1184"/>
      <c r="O304" s="1121"/>
      <c r="P304" s="1121"/>
      <c r="Q304" s="1184"/>
      <c r="R304" s="1121"/>
      <c r="S304" s="1245">
        <f>C270</f>
        <v>0</v>
      </c>
      <c r="T304" s="1246">
        <f>IF(OR(S304=0,S304=0),0,VLOOKUP(S304,S292:AD302,2,0))</f>
        <v>0</v>
      </c>
      <c r="U304" s="1246">
        <f>IF(OR(S304=0,S304=0),0,VLOOKUP(S304,S292:AD302,3,0))</f>
        <v>0</v>
      </c>
      <c r="V304" s="1246">
        <f>IF(OR(S304=0,S304=0),0,VLOOKUP(S304,S292:AD302,4,0))</f>
        <v>0</v>
      </c>
      <c r="W304" s="1246">
        <f>IF(OR(S304=0,S304=0),0,VLOOKUP(S304,S292:AD302,5,0))</f>
        <v>0</v>
      </c>
      <c r="X304" s="1246">
        <f>IF(OR(S304=0,S304=0),0,VLOOKUP(S304,S292:AD302,6,0))</f>
        <v>0</v>
      </c>
      <c r="Y304" s="1246">
        <f>IF(OR(S304=0,S304=0),0,VLOOKUP(S304,S292:AD302,7,0))</f>
        <v>0</v>
      </c>
      <c r="Z304" s="1246">
        <f>IF(OR(S304=0,S304=0),0,VLOOKUP(S304,S292:AD302,8,0))</f>
        <v>0</v>
      </c>
      <c r="AA304" s="1246">
        <f>IF(OR(S304=0,S304=0),0,VLOOKUP(S304,S292:AD302,9,0))</f>
        <v>0</v>
      </c>
      <c r="AB304" s="1246">
        <f>IF(OR(S304=0,S304=0),0,VLOOKUP(S304,S292:AD302,10,0))</f>
        <v>0</v>
      </c>
      <c r="AC304" s="1246">
        <f>IF(OR(S304=0,S304=0),0,VLOOKUP(S304,S292:AD302,11,0))</f>
        <v>0</v>
      </c>
      <c r="AD304" s="1247">
        <f t="shared" ref="AD304:AI304" si="263">IF(OR(S304=0,S304=0),0,VLOOKUP(S304,S292:AD302,12,0))</f>
        <v>0</v>
      </c>
      <c r="AE304" s="1248">
        <f t="shared" si="263"/>
        <v>0</v>
      </c>
      <c r="AF304" s="1249">
        <f t="shared" si="263"/>
        <v>0</v>
      </c>
      <c r="AG304" s="1247">
        <f t="shared" si="263"/>
        <v>0</v>
      </c>
      <c r="AH304" s="1247">
        <f t="shared" si="263"/>
        <v>0</v>
      </c>
      <c r="AI304" s="1247">
        <f t="shared" si="263"/>
        <v>0</v>
      </c>
      <c r="AJ304" s="1125"/>
    </row>
    <row r="305" spans="1:43" s="1126" customFormat="1">
      <c r="A305" s="1119"/>
      <c r="B305" s="1222"/>
      <c r="C305" s="1184"/>
      <c r="D305" s="1121"/>
      <c r="E305" s="1184"/>
      <c r="F305" s="1121"/>
      <c r="G305" s="1121"/>
      <c r="H305" s="1184"/>
      <c r="I305" s="1121"/>
      <c r="J305" s="1121"/>
      <c r="K305" s="1184"/>
      <c r="L305" s="1121"/>
      <c r="M305" s="1121"/>
      <c r="N305" s="1184"/>
      <c r="O305" s="1121"/>
      <c r="P305" s="1121"/>
      <c r="Q305" s="1184"/>
      <c r="R305" s="1121"/>
      <c r="S305" s="1243" t="s">
        <v>1300</v>
      </c>
      <c r="T305" s="1246">
        <f t="shared" ref="T305:AI305" si="264">T276-T304</f>
        <v>0</v>
      </c>
      <c r="U305" s="1246">
        <f t="shared" si="264"/>
        <v>0</v>
      </c>
      <c r="V305" s="1246">
        <f t="shared" si="264"/>
        <v>0</v>
      </c>
      <c r="W305" s="1246">
        <f t="shared" si="264"/>
        <v>0</v>
      </c>
      <c r="X305" s="1246">
        <f t="shared" si="264"/>
        <v>0</v>
      </c>
      <c r="Y305" s="1246">
        <f t="shared" si="264"/>
        <v>0</v>
      </c>
      <c r="Z305" s="1246">
        <f t="shared" si="264"/>
        <v>0</v>
      </c>
      <c r="AA305" s="1246">
        <f t="shared" si="264"/>
        <v>0</v>
      </c>
      <c r="AB305" s="1246">
        <f t="shared" si="264"/>
        <v>0</v>
      </c>
      <c r="AC305" s="1246">
        <f t="shared" si="264"/>
        <v>0</v>
      </c>
      <c r="AD305" s="1247">
        <f t="shared" si="264"/>
        <v>0</v>
      </c>
      <c r="AE305" s="1248">
        <f t="shared" si="264"/>
        <v>0</v>
      </c>
      <c r="AF305" s="1249">
        <f t="shared" si="264"/>
        <v>0</v>
      </c>
      <c r="AG305" s="1247">
        <f t="shared" si="264"/>
        <v>0</v>
      </c>
      <c r="AH305" s="1247">
        <f t="shared" si="264"/>
        <v>0</v>
      </c>
      <c r="AI305" s="1247">
        <f t="shared" si="264"/>
        <v>0</v>
      </c>
      <c r="AJ305" s="1125"/>
    </row>
    <row r="306" spans="1:43" s="1126" customFormat="1">
      <c r="A306" s="1119"/>
      <c r="B306" s="1222"/>
      <c r="C306" s="1184"/>
      <c r="D306" s="1121"/>
      <c r="E306" s="1184"/>
      <c r="F306" s="1121"/>
      <c r="G306" s="1121"/>
      <c r="H306" s="1184"/>
      <c r="I306" s="1121"/>
      <c r="J306" s="1121"/>
      <c r="K306" s="1184"/>
      <c r="L306" s="1121"/>
      <c r="M306" s="1121"/>
      <c r="N306" s="1184"/>
      <c r="O306" s="1121"/>
      <c r="P306" s="1121"/>
      <c r="Q306" s="1184"/>
      <c r="R306" s="1121"/>
      <c r="S306" s="1250"/>
      <c r="T306" s="1223"/>
      <c r="U306" s="1223"/>
      <c r="V306" s="1223"/>
      <c r="W306" s="1223"/>
      <c r="X306" s="1223"/>
      <c r="Y306" s="1223"/>
      <c r="Z306" s="1223"/>
      <c r="AA306" s="1223"/>
      <c r="AB306" s="1223"/>
      <c r="AC306" s="1223"/>
      <c r="AD306" s="1223"/>
      <c r="AE306" s="1198"/>
      <c r="AF306" s="1121"/>
      <c r="AG306" s="1121"/>
      <c r="AH306" s="1121"/>
      <c r="AI306" s="1121"/>
      <c r="AJ306" s="1125"/>
    </row>
    <row r="307" spans="1:43" s="1126" customFormat="1">
      <c r="A307" s="1119"/>
      <c r="B307" s="1222"/>
      <c r="C307" s="1184"/>
      <c r="D307" s="1121"/>
      <c r="E307" s="1184"/>
      <c r="F307" s="1121"/>
      <c r="G307" s="1121"/>
      <c r="H307" s="1184"/>
      <c r="I307" s="1121"/>
      <c r="J307" s="1121"/>
      <c r="K307" s="1184"/>
      <c r="L307" s="1121"/>
      <c r="M307" s="1121"/>
      <c r="N307" s="1184"/>
      <c r="O307" s="1121"/>
      <c r="P307" s="1121"/>
      <c r="Q307" s="1184"/>
      <c r="R307" s="1121"/>
      <c r="S307" s="1250"/>
      <c r="T307" s="1223"/>
      <c r="U307" s="1223"/>
      <c r="V307" s="1223"/>
      <c r="W307" s="1223"/>
      <c r="X307" s="1223"/>
      <c r="Y307" s="1223"/>
      <c r="Z307" s="1223"/>
      <c r="AA307" s="1223"/>
      <c r="AB307" s="1223"/>
      <c r="AC307" s="1223"/>
      <c r="AD307" s="1223"/>
      <c r="AE307" s="1251"/>
      <c r="AF307" s="1121"/>
      <c r="AG307" s="1121"/>
      <c r="AH307" s="1121"/>
      <c r="AI307" s="1121"/>
      <c r="AJ307" s="1125"/>
    </row>
    <row r="308" spans="1:43" s="1126" customFormat="1">
      <c r="A308" s="1119"/>
      <c r="B308" s="1252"/>
      <c r="C308" s="1253"/>
      <c r="D308" s="1254"/>
      <c r="E308" s="1253"/>
      <c r="F308" s="1254"/>
      <c r="G308" s="1254"/>
      <c r="H308" s="1253"/>
      <c r="I308" s="1254"/>
      <c r="J308" s="1254"/>
      <c r="K308" s="1253"/>
      <c r="L308" s="1254"/>
      <c r="M308" s="1254"/>
      <c r="N308" s="1253"/>
      <c r="O308" s="1254"/>
      <c r="P308" s="1254"/>
      <c r="Q308" s="1253"/>
      <c r="R308" s="1254"/>
      <c r="S308" s="1254"/>
      <c r="T308" s="1254"/>
      <c r="U308" s="1254"/>
      <c r="V308" s="1254"/>
      <c r="W308" s="1254"/>
      <c r="X308" s="1254"/>
      <c r="Y308" s="1254"/>
      <c r="Z308" s="1254"/>
      <c r="AA308" s="1254"/>
      <c r="AB308" s="1254"/>
      <c r="AC308" s="1254"/>
      <c r="AD308" s="1254"/>
      <c r="AE308" s="1121"/>
      <c r="AF308" s="1255"/>
      <c r="AG308" s="1255"/>
      <c r="AH308" s="1255"/>
      <c r="AI308" s="1255"/>
      <c r="AJ308" s="1125"/>
    </row>
    <row r="309" spans="1:43" s="1126" customFormat="1">
      <c r="A309" s="1119"/>
      <c r="B309" s="1196" t="s">
        <v>1301</v>
      </c>
      <c r="C309" s="1256"/>
      <c r="D309" s="1257"/>
      <c r="E309" s="1258"/>
      <c r="F309" s="1259"/>
      <c r="G309" s="1260"/>
      <c r="H309" s="1261"/>
      <c r="I309" s="1260"/>
      <c r="J309" s="1260"/>
      <c r="K309" s="1261"/>
      <c r="L309" s="1260"/>
      <c r="M309" s="1260"/>
      <c r="N309" s="1261"/>
      <c r="O309" s="1260"/>
      <c r="P309" s="1260"/>
      <c r="Q309" s="1261"/>
      <c r="R309" s="1260"/>
      <c r="S309" s="1260"/>
      <c r="T309" s="1260"/>
      <c r="U309" s="1260"/>
      <c r="V309" s="1260"/>
      <c r="W309" s="1260"/>
      <c r="X309" s="1260"/>
      <c r="Y309" s="1260"/>
      <c r="Z309" s="1260"/>
      <c r="AA309" s="1262"/>
      <c r="AB309" s="1260"/>
      <c r="AC309" s="1260"/>
      <c r="AD309" s="1260"/>
      <c r="AE309" s="1263"/>
      <c r="AF309" s="1263"/>
      <c r="AG309" s="1263"/>
      <c r="AH309" s="1263"/>
      <c r="AI309" s="1121"/>
      <c r="AJ309" s="1125"/>
    </row>
    <row r="310" spans="1:43" s="1126" customFormat="1">
      <c r="A310" s="1119"/>
      <c r="B310" s="1264" t="str">
        <f>IF(AND(S310=0,S310=0),0,"1er. DESEMBOLSO - ")&amp;"MONTO DEL CRÉDITO"</f>
        <v>1er. DESEMBOLSO - MONTO DEL CRÉDITO</v>
      </c>
      <c r="C310" s="1265"/>
      <c r="D310" s="1121"/>
      <c r="E310" s="1184"/>
      <c r="F310" s="1121"/>
      <c r="G310" s="1121"/>
      <c r="H310" s="1184"/>
      <c r="I310" s="1121"/>
      <c r="J310" s="1121"/>
      <c r="K310" s="1184"/>
      <c r="L310" s="1121"/>
      <c r="M310" s="1121"/>
      <c r="N310" s="1184"/>
      <c r="O310" s="1121"/>
      <c r="P310" s="1121"/>
      <c r="Q310" s="1184"/>
      <c r="R310" s="1121"/>
      <c r="S310" s="1266" t="s">
        <v>1302</v>
      </c>
      <c r="T310" s="1267" t="s">
        <v>1044</v>
      </c>
      <c r="U310" s="1267" t="s">
        <v>1044</v>
      </c>
      <c r="V310" s="1267" t="s">
        <v>1044</v>
      </c>
      <c r="W310" s="1267" t="s">
        <v>1044</v>
      </c>
      <c r="X310" s="1267" t="s">
        <v>1044</v>
      </c>
      <c r="Y310" s="1267" t="s">
        <v>1044</v>
      </c>
      <c r="Z310" s="1267" t="s">
        <v>1044</v>
      </c>
      <c r="AA310" s="1267" t="s">
        <v>1044</v>
      </c>
      <c r="AB310" s="1267" t="s">
        <v>1044</v>
      </c>
      <c r="AC310" s="1267" t="s">
        <v>1044</v>
      </c>
      <c r="AD310" s="1268" t="s">
        <v>1044</v>
      </c>
      <c r="AE310" s="1268" t="s">
        <v>1044</v>
      </c>
      <c r="AF310" s="1269" t="s">
        <v>1044</v>
      </c>
      <c r="AG310" s="1268" t="s">
        <v>1044</v>
      </c>
      <c r="AH310" s="1268" t="s">
        <v>1044</v>
      </c>
      <c r="AI310" s="1269" t="s">
        <v>1044</v>
      </c>
      <c r="AJ310" s="1125"/>
    </row>
    <row r="311" spans="1:43" s="1126" customFormat="1">
      <c r="A311" s="1119"/>
      <c r="B311" s="1205" t="str">
        <f>IF(AND(S310=0,S310=0),0,"1er. DESEMBOLSO - ")&amp;"PLAZO (AÑOS) INCLUYENDO PERÍODO DE GRACIA (SI TIENE)"</f>
        <v>1er. DESEMBOLSO - PLAZO (AÑOS) INCLUYENDO PERÍODO DE GRACIA (SI TIENE)</v>
      </c>
      <c r="C311" s="1270"/>
      <c r="D311" s="1121"/>
      <c r="E311" s="1184"/>
      <c r="F311" s="1121"/>
      <c r="G311" s="1121"/>
      <c r="H311" s="1184"/>
      <c r="I311" s="1121"/>
      <c r="J311" s="1121"/>
      <c r="K311" s="1184"/>
      <c r="L311" s="1121"/>
      <c r="M311" s="1121"/>
      <c r="N311" s="1184"/>
      <c r="O311" s="1121"/>
      <c r="P311" s="1121"/>
      <c r="Q311" s="1184"/>
      <c r="R311" s="1121"/>
      <c r="S311" s="1121"/>
      <c r="T311" s="1203">
        <f t="shared" ref="T311:AI311" si="265">T15</f>
        <v>2020</v>
      </c>
      <c r="U311" s="1203">
        <f t="shared" si="265"/>
        <v>2021</v>
      </c>
      <c r="V311" s="1203">
        <f t="shared" si="265"/>
        <v>2022</v>
      </c>
      <c r="W311" s="1203">
        <f t="shared" si="265"/>
        <v>2023</v>
      </c>
      <c r="X311" s="1203">
        <f t="shared" si="265"/>
        <v>2024</v>
      </c>
      <c r="Y311" s="1203">
        <f t="shared" si="265"/>
        <v>2025</v>
      </c>
      <c r="Z311" s="1203">
        <f t="shared" si="265"/>
        <v>2026</v>
      </c>
      <c r="AA311" s="1203">
        <f t="shared" si="265"/>
        <v>2027</v>
      </c>
      <c r="AB311" s="1203">
        <f t="shared" si="265"/>
        <v>2028</v>
      </c>
      <c r="AC311" s="1203">
        <f t="shared" si="265"/>
        <v>2029</v>
      </c>
      <c r="AD311" s="1204">
        <f t="shared" si="265"/>
        <v>2030</v>
      </c>
      <c r="AE311" s="1204">
        <f t="shared" si="265"/>
        <v>2031</v>
      </c>
      <c r="AF311" s="1204">
        <f t="shared" si="265"/>
        <v>2032</v>
      </c>
      <c r="AG311" s="1204">
        <f t="shared" si="265"/>
        <v>2033</v>
      </c>
      <c r="AH311" s="1204">
        <f t="shared" si="265"/>
        <v>2034</v>
      </c>
      <c r="AI311" s="1204">
        <f t="shared" si="265"/>
        <v>2035</v>
      </c>
      <c r="AJ311" s="1125"/>
    </row>
    <row r="312" spans="1:43" s="1126" customFormat="1">
      <c r="A312" s="1119"/>
      <c r="B312" s="1205" t="str">
        <f>IF(AND(S310=0,S310=0),0,"1er. DESEMBOLSO - ")&amp;"PERÍODO DE GRACIA (MESES)"</f>
        <v>1er. DESEMBOLSO - PERÍODO DE GRACIA (MESES)</v>
      </c>
      <c r="C312" s="1270"/>
      <c r="D312" s="1121"/>
      <c r="E312" s="1184"/>
      <c r="F312" s="1121"/>
      <c r="G312" s="1121"/>
      <c r="H312" s="1184"/>
      <c r="I312" s="1121"/>
      <c r="J312" s="1121"/>
      <c r="K312" s="1184"/>
      <c r="L312" s="1121"/>
      <c r="M312" s="1121"/>
      <c r="N312" s="1184"/>
      <c r="O312" s="1121"/>
      <c r="P312" s="1121"/>
      <c r="Q312" s="1271" t="s">
        <v>1303</v>
      </c>
      <c r="R312" s="1272"/>
      <c r="S312" s="1273"/>
      <c r="T312" s="1274">
        <f>IF(OR($C311=0,$C311=0,$C316=0),0,IF(AND(T311-$C314&gt;=0,T311&lt;=$C314+$C311,ROUNDDOWN(T311,0)=ROUNDDOWN($C$932,0)),IF(ROUNDDOWN(T311,0)=ROUNDDOWN($C$932,0),ROUND($E$932*VLOOKUP($C316,$H$950:$J$953,3,0)/$F$932,2),ROUND(VLOOKUP($C316,$H$950:$J$953,3,0)/$F$932,2)),0))</f>
        <v>0</v>
      </c>
      <c r="U312" s="1274">
        <f>IF(OR($C311=0,$C311=0,$C316=0),0,IF(AND(ROUNDDOWN(U311,0)&gt;=ROUNDDOWN($C$932,0),1-$T312&lt;VLOOKUP($C316,$H$950:$J$953,3,0)/$F$932),1-$T312,IF(ROUNDDOWN(U311,0)&gt;=ROUNDDOWN($C$932,0),IF(ROUNDDOWN(U311,0)=ROUNDDOWN($C$932,0),ROUND($E$932*VLOOKUP($C316,$H$950:$J$953,3,0)/$F$932,2),ROUND(VLOOKUP($C316,$H$950:$J$953,3,0)/$F$932,2)),0)))</f>
        <v>0</v>
      </c>
      <c r="V312" s="1274">
        <f>IF(OR($C311=0,$C311=0,$C316=0),0,IF(AND(ROUNDDOWN(V311,0)&gt;=ROUNDDOWN($C$932,0),1-SUM($T312:U312)&lt;VLOOKUP($C316,$H$950:$J$953,3,0)/$F$932),1-SUM($T312:U312),IF(ROUNDDOWN(V311,0)&gt;=ROUNDDOWN($C$932,0),IF(ROUNDDOWN(V311,0)=ROUNDDOWN($C$932,0),ROUND($E$932*VLOOKUP($C316,$H$950:$J$953,3,0)/$F$932,2),ROUND(VLOOKUP($C316,$H$950:$J$953,3,0)/$F$932,2)),0)))</f>
        <v>0</v>
      </c>
      <c r="W312" s="1274">
        <f>IF(OR($C311=0,$C311=0,$C316=0),0,IF(AND(ROUNDDOWN(W311,0)&gt;=ROUNDDOWN($C$932,0),1-SUM($T312:V312)&lt;VLOOKUP($C316,$H$950:$J$953,3,0)/$F$932),1-SUM($T312:V312),IF(ROUNDDOWN(W311,0)&gt;=ROUNDDOWN($C$932,0),IF(ROUNDDOWN(W311,0)=ROUNDDOWN($C$932,0),ROUND($E$932*VLOOKUP($C316,$H$950:$J$953,3,0)/$F$932,2),ROUND(VLOOKUP($C316,$H$950:$J$953,3,0)/$F$932,2)),0)))</f>
        <v>0</v>
      </c>
      <c r="X312" s="1274">
        <f>IF(OR($C311=0,$C311=0,$C316=0),0,IF(AND(ROUNDDOWN(X311,0)&gt;=ROUNDDOWN($C$932,0),1-SUM($T312:W312)&lt;VLOOKUP($C316,$H$950:$J$953,3,0)/$F$932),1-SUM($T312:W312),IF(ROUNDDOWN(X311,0)&gt;=ROUNDDOWN($C$932,0),IF(ROUNDDOWN(X311,0)=ROUNDDOWN($C$932,0),ROUND($E$932*VLOOKUP($C316,$H$950:$J$953,3,0)/$F$932,2),ROUND(VLOOKUP($C316,$H$950:$J$953,3,0)/$F$932,2)),0)))</f>
        <v>0</v>
      </c>
      <c r="Y312" s="1274">
        <f>IF(OR($C311=0,$C311=0,$C316=0),0,IF(AND(ROUNDDOWN(Y311,0)&gt;=ROUNDDOWN($C$932,0),1-SUM($T312:X312)&lt;VLOOKUP($C316,$H$950:$J$953,3,0)/$F$932),1-SUM($T312:X312),IF(ROUNDDOWN(Y311,0)&gt;=ROUNDDOWN($C$932,0),IF(ROUNDDOWN(Y311,0)=ROUNDDOWN($C$932,0),ROUND($E$932*VLOOKUP($C316,$H$950:$J$953,3,0)/$F$932,2),ROUND(VLOOKUP($C316,$H$950:$J$953,3,0)/$F$932,2)),0)))</f>
        <v>0</v>
      </c>
      <c r="Z312" s="1274">
        <f>IF(OR($C311=0,$C311=0,$C316=0),0,IF(AND(ROUNDDOWN(Z311,0)&gt;=ROUNDDOWN($C$932,0),1-SUM($T312:Y312)&lt;VLOOKUP($C316,$H$950:$J$953,3,0)/$F$932),1-SUM($T312:Y312),IF(ROUNDDOWN(Z311,0)&gt;=ROUNDDOWN($C$932,0),IF(ROUNDDOWN(Z311,0)=ROUNDDOWN($C$932,0),ROUND($E$932*VLOOKUP($C316,$H$950:$J$953,3,0)/$F$932,2),ROUND(VLOOKUP($C316,$H$950:$J$953,3,0)/$F$932,2)),0)))</f>
        <v>0</v>
      </c>
      <c r="AA312" s="1274">
        <f>IF(OR($C311=0,$C311=0,$C316=0),0,IF(AND(ROUNDDOWN(AA311,0)&gt;=ROUNDDOWN($C$932,0),1-SUM($T312:Z312)&lt;VLOOKUP($C316,$H$950:$J$953,3,0)/$F$932),1-SUM($T312:Z312),IF(ROUNDDOWN(AA311,0)&gt;=ROUNDDOWN($C$932,0),IF(ROUNDDOWN(AA311,0)=ROUNDDOWN($C$932,0),ROUND($E$932*VLOOKUP($C316,$H$950:$J$953,3,0)/$F$932,2),ROUND(VLOOKUP($C316,$H$950:$J$953,3,0)/$F$932,2)),0)))</f>
        <v>0</v>
      </c>
      <c r="AB312" s="1274">
        <f>IF(OR($C311=0,$C311=0,$C316=0),0,IF(AND(ROUNDDOWN(AB311,0)&gt;=ROUNDDOWN($C$932,0),1-SUM($T312:AA312)&lt;VLOOKUP($C316,$H$950:$J$953,3,0)/$F$932),1-SUM($T312:AA312),IF(ROUNDDOWN(AB311,0)&gt;=ROUNDDOWN($C$932,0),IF(ROUNDDOWN(AB311,0)=ROUNDDOWN($C$932,0),ROUND($E$932*VLOOKUP($C316,$H$950:$J$953,3,0)/$F$932,2),ROUND(VLOOKUP($C316,$H$950:$J$953,3,0)/$F$932,2)),0)))</f>
        <v>0</v>
      </c>
      <c r="AC312" s="1274">
        <f>IF(OR($C311=0,$C311=0,$C316=0),0,IF(AND(ROUNDDOWN(AC311,0)&gt;=ROUNDDOWN($C$932,0),1-SUM($T312:AB312)&lt;VLOOKUP($C316,$H$950:$J$953,3,0)/$F$932),1-SUM($T312:AB312),IF(ROUNDDOWN(AC311,0)&gt;=ROUNDDOWN($C$932,0),IF(ROUNDDOWN(AC311,0)=ROUNDDOWN($C$932,0),ROUND($E$932*VLOOKUP($C316,$H$950:$J$953,3,0)/$F$932,2),ROUND(VLOOKUP($C316,$H$950:$J$953,3,0)/$F$932,2)),0)))</f>
        <v>0</v>
      </c>
      <c r="AD312" s="1275">
        <f>IF(OR($C311=0,$C311=0,$C316=0),0,IF(AND(ROUNDDOWN(AD311,0)&gt;=ROUNDDOWN($C$932,0),1-SUM($T312:AC312)&lt;VLOOKUP($C316,$H$950:$J$953,3,0)/$F$932),1-SUM($T312:AC312),IF(ROUNDDOWN(AD311,0)&gt;=ROUNDDOWN($C$932,0),IF(ROUNDDOWN(AD311,0)=ROUNDDOWN($C$932,0),ROUND($E$932*VLOOKUP($C316,$H$950:$J$953,3,0)/$F$932,2),ROUND(VLOOKUP($C316,$H$950:$J$953,3,0)/$F$932,2)),0)))</f>
        <v>0</v>
      </c>
      <c r="AE312" s="1275">
        <f>IF(OR($C311=0,$C311=0,$C316=0),0,IF(AND(ROUNDDOWN(AE311,0)&gt;=ROUNDDOWN($C$932,0),1-SUM($T312:AD312)&lt;VLOOKUP($C316,$H$950:$J$953,3,0)/$F$932),1-SUM($T312:AD312),IF(ROUNDDOWN(AE311,0)&gt;=ROUNDDOWN($C$932,0),IF(ROUNDDOWN(AE311,0)=ROUNDDOWN($C$932,0),ROUND($E$932*VLOOKUP($C316,$H$950:$J$953,3,0)/$F$932,2),ROUND(VLOOKUP($C316,$H$950:$J$953,3,0)/$F$932,2)),0)))</f>
        <v>0</v>
      </c>
      <c r="AF312" s="1275">
        <f>IF(OR($C311=0,$C311=0,$C316=0),0,IF(AND(ROUNDDOWN(AF311,0)&gt;=ROUNDDOWN($C$932,0),1-SUM($T312:AE312)&lt;VLOOKUP($C316,$H$950:$J$953,3,0)/$F$932),1-SUM($T312:AE312),IF(ROUNDDOWN(AF311,0)&gt;=ROUNDDOWN($C$932,0),IF(ROUNDDOWN(AF311,0)=ROUNDDOWN($C$932,0),ROUND($E$932*VLOOKUP($C316,$H$950:$J$953,3,0)/$F$932,2),ROUND(VLOOKUP($C316,$H$950:$J$953,3,0)/$F$932,2)),0)))</f>
        <v>0</v>
      </c>
      <c r="AG312" s="1275">
        <f>IF(OR($C311=0,$C311=0,$C316=0),0,IF(AND(ROUNDDOWN(AG311,0)&gt;=ROUNDDOWN($C$932,0),1-SUM($T312:AF312)&lt;VLOOKUP($C316,$H$950:$J$953,3,0)/$F$932),1-SUM($T312:AF312),IF(ROUNDDOWN(AG311,0)&gt;=ROUNDDOWN($C$932,0),IF(ROUNDDOWN(AG311,0)=ROUNDDOWN($C$932,0),ROUND($E$932*VLOOKUP($C316,$H$950:$J$953,3,0)/$F$932,2),ROUND(VLOOKUP($C316,$H$950:$J$953,3,0)/$F$932,2)),0)))</f>
        <v>0</v>
      </c>
      <c r="AH312" s="1275">
        <f>IF(OR($C311=0,$C311=0,$C316=0),0,IF(AND(ROUNDDOWN(AH311,0)&gt;=ROUNDDOWN($C$932,0),1-SUM($T312:AG312)&lt;VLOOKUP($C316,$H$950:$J$953,3,0)/$F$932),1-SUM($T312:AG312),IF(ROUNDDOWN(AH311,0)&gt;=ROUNDDOWN($C$932,0),IF(ROUNDDOWN(AH311,0)=ROUNDDOWN($C$932,0),ROUND($E$932*VLOOKUP($C316,$H$950:$J$953,3,0)/$F$932,2),ROUND(VLOOKUP($C316,$H$950:$J$953,3,0)/$F$932,2)),0)))</f>
        <v>0</v>
      </c>
      <c r="AI312" s="1275">
        <f>IF(OR($C311=0,$C311=0,$C316=0),0,IF(AND(ROUNDDOWN(AI311,0)&gt;=ROUNDDOWN($C$932,0),1-SUM($T312:AH312)&lt;VLOOKUP($C316,$H$950:$J$953,3,0)/$F$932),1-SUM($T312:AH312),IF(ROUNDDOWN(AI311,0)&gt;=ROUNDDOWN($C$932,0),IF(ROUNDDOWN(AI311,0)=ROUNDDOWN($C$932,0),ROUND($E$932*VLOOKUP($C316,$H$950:$J$953,3,0)/$F$932,2),ROUND(VLOOKUP($C316,$H$950:$J$953,3,0)/$F$932,2)),0)))</f>
        <v>0</v>
      </c>
      <c r="AJ312" s="1125"/>
    </row>
    <row r="313" spans="1:43" s="1126" customFormat="1">
      <c r="A313" s="1119"/>
      <c r="B313" s="1205" t="str">
        <f>IF(AND(S310=0,S310=0),0,"1er. DESEMBOLSO - ")&amp;"MES DE DESEMBOLSO"</f>
        <v>1er. DESEMBOLSO - MES DE DESEMBOLSO</v>
      </c>
      <c r="C313" s="1270"/>
      <c r="D313" s="1121"/>
      <c r="E313" s="1184"/>
      <c r="F313" s="1121"/>
      <c r="G313" s="1121"/>
      <c r="H313" s="1184"/>
      <c r="I313" s="1121"/>
      <c r="J313" s="1121"/>
      <c r="K313" s="1184"/>
      <c r="L313" s="1121"/>
      <c r="M313" s="1121"/>
      <c r="N313" s="1184"/>
      <c r="O313" s="1121"/>
      <c r="P313" s="1121"/>
      <c r="Q313" s="1276" t="s">
        <v>1304</v>
      </c>
      <c r="R313" s="1277"/>
      <c r="S313" s="1278"/>
      <c r="T313" s="1279">
        <f>$C310*T312</f>
        <v>0</v>
      </c>
      <c r="U313" s="1279">
        <f t="shared" ref="U313:AI313" si="266">IF($C314&gt;U311,0,U312*$C310)</f>
        <v>0</v>
      </c>
      <c r="V313" s="1279">
        <f t="shared" si="266"/>
        <v>0</v>
      </c>
      <c r="W313" s="1279">
        <f t="shared" si="266"/>
        <v>0</v>
      </c>
      <c r="X313" s="1279">
        <f t="shared" si="266"/>
        <v>0</v>
      </c>
      <c r="Y313" s="1279">
        <f t="shared" si="266"/>
        <v>0</v>
      </c>
      <c r="Z313" s="1279">
        <f t="shared" si="266"/>
        <v>0</v>
      </c>
      <c r="AA313" s="1279">
        <f t="shared" si="266"/>
        <v>0</v>
      </c>
      <c r="AB313" s="1279">
        <f t="shared" si="266"/>
        <v>0</v>
      </c>
      <c r="AC313" s="1279">
        <f t="shared" si="266"/>
        <v>0</v>
      </c>
      <c r="AD313" s="1280">
        <f t="shared" si="266"/>
        <v>0</v>
      </c>
      <c r="AE313" s="1280">
        <f t="shared" si="266"/>
        <v>0</v>
      </c>
      <c r="AF313" s="1280">
        <f t="shared" si="266"/>
        <v>0</v>
      </c>
      <c r="AG313" s="1280">
        <f t="shared" si="266"/>
        <v>0</v>
      </c>
      <c r="AH313" s="1280">
        <f t="shared" si="266"/>
        <v>0</v>
      </c>
      <c r="AI313" s="1280">
        <f t="shared" si="266"/>
        <v>0</v>
      </c>
      <c r="AJ313" s="1125"/>
    </row>
    <row r="314" spans="1:43" s="1126" customFormat="1">
      <c r="A314" s="1119"/>
      <c r="B314" s="1281" t="str">
        <f>IF(AND(S310=0,S310=0),0,"1er. DESEMBOLSO - ")&amp;"AÑO DE DESEMBOLSO"</f>
        <v>1er. DESEMBOLSO - AÑO DE DESEMBOLSO</v>
      </c>
      <c r="C314" s="1282"/>
      <c r="D314" s="1121"/>
      <c r="E314" s="1184"/>
      <c r="F314" s="1121"/>
      <c r="G314" s="1121"/>
      <c r="H314" s="1184"/>
      <c r="I314" s="1121"/>
      <c r="J314" s="1121"/>
      <c r="K314" s="1184"/>
      <c r="L314" s="1121"/>
      <c r="M314" s="1121"/>
      <c r="N314" s="1184"/>
      <c r="O314" s="1121"/>
      <c r="P314" s="1121"/>
      <c r="Q314" s="1283" t="s">
        <v>1305</v>
      </c>
      <c r="R314" s="1284"/>
      <c r="S314" s="1285"/>
      <c r="T314" s="1286">
        <f t="shared" ref="T314:AI314" si="267">IF($C314&gt;=U311,0,$C310*U312)</f>
        <v>0</v>
      </c>
      <c r="U314" s="1286">
        <f t="shared" si="267"/>
        <v>0</v>
      </c>
      <c r="V314" s="1286">
        <f t="shared" si="267"/>
        <v>0</v>
      </c>
      <c r="W314" s="1286">
        <f t="shared" si="267"/>
        <v>0</v>
      </c>
      <c r="X314" s="1286">
        <f t="shared" si="267"/>
        <v>0</v>
      </c>
      <c r="Y314" s="1286">
        <f t="shared" si="267"/>
        <v>0</v>
      </c>
      <c r="Z314" s="1286">
        <f t="shared" si="267"/>
        <v>0</v>
      </c>
      <c r="AA314" s="1286">
        <f t="shared" si="267"/>
        <v>0</v>
      </c>
      <c r="AB314" s="1286">
        <f t="shared" si="267"/>
        <v>0</v>
      </c>
      <c r="AC314" s="1286">
        <f t="shared" si="267"/>
        <v>0</v>
      </c>
      <c r="AD314" s="1287">
        <f t="shared" si="267"/>
        <v>0</v>
      </c>
      <c r="AE314" s="1287">
        <f t="shared" si="267"/>
        <v>0</v>
      </c>
      <c r="AF314" s="1287">
        <f t="shared" si="267"/>
        <v>0</v>
      </c>
      <c r="AG314" s="1287">
        <f t="shared" si="267"/>
        <v>0</v>
      </c>
      <c r="AH314" s="1287">
        <f t="shared" si="267"/>
        <v>0</v>
      </c>
      <c r="AI314" s="1287">
        <f t="shared" si="267"/>
        <v>0</v>
      </c>
      <c r="AJ314" s="1125"/>
    </row>
    <row r="315" spans="1:43" s="1126" customFormat="1">
      <c r="A315" s="1119"/>
      <c r="B315" s="1281" t="str">
        <f>IF(AND(S310=0,S310=0),0,"1er. DESEMBOLSO - ")&amp;"DESTINACIÓN DEL CRÉDITO"</f>
        <v>1er. DESEMBOLSO - DESTINACIÓN DEL CRÉDITO</v>
      </c>
      <c r="C315" s="1282"/>
      <c r="D315" s="1121"/>
      <c r="E315" s="1184"/>
      <c r="F315" s="1121"/>
      <c r="G315" s="1121"/>
      <c r="H315" s="1184"/>
      <c r="I315" s="1121"/>
      <c r="J315" s="1121"/>
      <c r="K315" s="1184"/>
      <c r="L315" s="1121"/>
      <c r="M315" s="1121"/>
      <c r="N315" s="1184"/>
      <c r="O315" s="1121"/>
      <c r="P315" s="1121"/>
      <c r="Q315" s="1288" t="s">
        <v>1306</v>
      </c>
      <c r="R315" s="1289"/>
      <c r="S315" s="1290"/>
      <c r="T315" s="1291">
        <f>IF($C314&gt;T311,0,$C310-T313-T314)</f>
        <v>0</v>
      </c>
      <c r="U315" s="1291">
        <f t="shared" ref="U315:AI315" si="268">IF($C314&gt;U311,0,IF($C314=U311,$C310-U313-U314,IF(SUM(T314:T315)-SUM(U313:U314)&lt;=0.005,0,SUM(T314:T315)-SUM(U313:U314))))</f>
        <v>0</v>
      </c>
      <c r="V315" s="1291">
        <f t="shared" si="268"/>
        <v>0</v>
      </c>
      <c r="W315" s="1291">
        <f t="shared" si="268"/>
        <v>0</v>
      </c>
      <c r="X315" s="1291">
        <f t="shared" si="268"/>
        <v>0</v>
      </c>
      <c r="Y315" s="1291">
        <f t="shared" si="268"/>
        <v>0</v>
      </c>
      <c r="Z315" s="1291">
        <f t="shared" si="268"/>
        <v>0</v>
      </c>
      <c r="AA315" s="1291">
        <f t="shared" si="268"/>
        <v>0</v>
      </c>
      <c r="AB315" s="1291">
        <f t="shared" si="268"/>
        <v>0</v>
      </c>
      <c r="AC315" s="1291">
        <f t="shared" si="268"/>
        <v>0</v>
      </c>
      <c r="AD315" s="1292">
        <f t="shared" si="268"/>
        <v>0</v>
      </c>
      <c r="AE315" s="1292">
        <f t="shared" si="268"/>
        <v>0</v>
      </c>
      <c r="AF315" s="1292">
        <f t="shared" si="268"/>
        <v>0</v>
      </c>
      <c r="AG315" s="1292">
        <f t="shared" si="268"/>
        <v>0</v>
      </c>
      <c r="AH315" s="1292">
        <f t="shared" si="268"/>
        <v>0</v>
      </c>
      <c r="AI315" s="1292">
        <f t="shared" si="268"/>
        <v>0</v>
      </c>
      <c r="AJ315" s="1125"/>
    </row>
    <row r="316" spans="1:43" s="536" customFormat="1">
      <c r="A316" s="537"/>
      <c r="B316" s="1293" t="str">
        <f>IF(AND(S310=0,S310=0),0,"1er. DESEMBOLSO - ")&amp;"AMORTIZACIÓN DE CAPITAL"</f>
        <v>1er. DESEMBOLSO - AMORTIZACIÓN DE CAPITAL</v>
      </c>
      <c r="C316" s="1294"/>
      <c r="D316" s="531"/>
      <c r="E316" s="1295"/>
      <c r="F316" s="531"/>
      <c r="G316" s="531"/>
      <c r="H316" s="1295"/>
      <c r="I316" s="530"/>
      <c r="J316" s="530"/>
      <c r="K316" s="1295"/>
      <c r="L316" s="531"/>
      <c r="M316" s="539"/>
      <c r="N316" s="1295"/>
      <c r="O316" s="531"/>
      <c r="P316" s="539"/>
      <c r="Q316" s="1271" t="s">
        <v>1307</v>
      </c>
      <c r="R316" s="1272"/>
      <c r="S316" s="1273"/>
      <c r="T316" s="1296"/>
      <c r="U316" s="1296">
        <f t="shared" ref="U316:AI316" si="269">T316</f>
        <v>0</v>
      </c>
      <c r="V316" s="1296">
        <f t="shared" si="269"/>
        <v>0</v>
      </c>
      <c r="W316" s="1296">
        <f t="shared" si="269"/>
        <v>0</v>
      </c>
      <c r="X316" s="1296">
        <f t="shared" si="269"/>
        <v>0</v>
      </c>
      <c r="Y316" s="1296">
        <f t="shared" si="269"/>
        <v>0</v>
      </c>
      <c r="Z316" s="1296">
        <f t="shared" si="269"/>
        <v>0</v>
      </c>
      <c r="AA316" s="1296">
        <f t="shared" si="269"/>
        <v>0</v>
      </c>
      <c r="AB316" s="1296">
        <f t="shared" si="269"/>
        <v>0</v>
      </c>
      <c r="AC316" s="1296">
        <f t="shared" si="269"/>
        <v>0</v>
      </c>
      <c r="AD316" s="1297">
        <f t="shared" si="269"/>
        <v>0</v>
      </c>
      <c r="AE316" s="1297">
        <f t="shared" si="269"/>
        <v>0</v>
      </c>
      <c r="AF316" s="1297">
        <f t="shared" si="269"/>
        <v>0</v>
      </c>
      <c r="AG316" s="1297">
        <f t="shared" si="269"/>
        <v>0</v>
      </c>
      <c r="AH316" s="1297">
        <f t="shared" si="269"/>
        <v>0</v>
      </c>
      <c r="AI316" s="1297">
        <f t="shared" si="269"/>
        <v>0</v>
      </c>
      <c r="AJ316" s="853"/>
      <c r="AK316" s="533"/>
      <c r="AL316" s="533"/>
      <c r="AM316" s="533"/>
      <c r="AN316" s="625"/>
      <c r="AO316" s="625"/>
      <c r="AP316" s="625"/>
      <c r="AQ316" s="625"/>
    </row>
    <row r="317" spans="1:43" s="1126" customFormat="1">
      <c r="A317" s="1119"/>
      <c r="B317" s="1298"/>
      <c r="C317" s="1184"/>
      <c r="D317" s="1121"/>
      <c r="E317" s="1184"/>
      <c r="F317" s="1121"/>
      <c r="G317" s="1121"/>
      <c r="H317" s="1184"/>
      <c r="I317" s="1121"/>
      <c r="J317" s="1121"/>
      <c r="K317" s="1184"/>
      <c r="L317" s="1121"/>
      <c r="M317" s="1121"/>
      <c r="N317" s="1184"/>
      <c r="O317" s="1121"/>
      <c r="P317" s="1121"/>
      <c r="Q317" s="1299" t="s">
        <v>1308</v>
      </c>
      <c r="R317" s="1300"/>
      <c r="S317" s="1301"/>
      <c r="T317" s="1302">
        <f>IF(OR($C314&lt;&gt;T311,T316=0,T316=0),0,IF(AND(T312=0,$D$933=1),T316,IF(T312=0,NOMINAL(T316,12)*IF($C314=T311,$D$933,1),IF(AND($C314=T311,ROUNDDOWN($C$932,0)=T311),$E$932,1)*NOMINAL(T316,VLOOKUP($C316,$H$950:$J$953,3,0))/VLOOKUP($C316,$H$950:$J$953,3,0)))*((IF(T312=0,1,IF(AND($C314=T311,T312&lt;ROUNDDOWN(VLOOKUP($C316,$H$950:$J$953,3,0)/$F$932,0)),ROUNDDOWN(T312*$F$932,0),IF(AND($C314&lt;T311,T312&lt;ROUNDDOWN(VLOOKUP($C316,$H$950:$J$953,3,0)/$F$932,0)),ROUND(AVERAGE(ROUNDDOWN(T312*$F$932,0),2*VLOOKUP($C316,$H$950:$J$953,3,0)),0),VLOOKUP($C316,$H$950:$J$953,3,0))))*$C310)-((T313*(IF(T312=0,1,IF(AND($C314=T311,T312&lt;ROUNDDOWN(VLOOKUP($C316,$H$950:$J$953,3,0)/$F$932,0)),ROUNDDOWN(T312*$F$932,0),IF(AND($C314&lt;T311,T312&lt;ROUNDDOWN(VLOOKUP($C316,$H$950:$J$953,3,0)/$F$932,0)),ROUND(AVERAGE(ROUNDDOWN(T312*$F$932,0),2*VLOOKUP($C316,$H$950:$J$953,3,0)),0),VLOOKUP($C316,$H$950:$J$953,3,0))))-1))/2)))</f>
        <v>0</v>
      </c>
      <c r="U317" s="1302">
        <f t="shared" ref="U317:AI317" si="270">IF(OR($C314&gt;U311,U316=0,U316=0),0,IF(AND(U312=0,OR(U311&gt;$C314,$D$933=1)),U316,IF(U312=0,NOMINAL(U316,12)*IF($C314=U311,$D$933,1),IF(AND($C314=U311,ROUNDDOWN($C$932,0)=U311),$E$932,1)*NOMINAL(U316,VLOOKUP($C316,$H$950:$J$953,3,0))/VLOOKUP($C316,$H$950:$J$953,3,0)))*((IF(U312=0,1,IF(AND($C314=U311,U312&lt;ROUNDDOWN(VLOOKUP($C316,$H$950:$J$953,3,0)/$F$932,0)),ROUNDDOWN(U312*$F$932,0),IF(AND($C314&lt;U311,U312&lt;ROUNDDOWN(VLOOKUP($C316,$H$950:$J$953,3,0)/$F$932,0)),ROUND(AVERAGE(ROUNDDOWN(U312*$F$932,0),2*VLOOKUP($C316,$H$950:$J$953,3,0)),0),VLOOKUP($C316,$H$950:$J$953,3,0))))*IF($C314=U311,$C310,SUM(T314:T315)))-((U313*(IF(U312=0,1,IF(AND($C314=U311,U312&lt;ROUNDDOWN(VLOOKUP($C316,$H$950:$J$953,3,0)/$F$932,0)),ROUNDDOWN(U312*$F$932,0),IF(AND($C314&lt;U311,U312&lt;ROUNDDOWN(VLOOKUP($C316,$H$950:$J$953,3,0)/$F$932,0)),ROUND(AVERAGE(ROUNDDOWN(U312*$F$932,0),2*VLOOKUP($C316,$H$950:$J$953,3,0)),0),VLOOKUP($C316,$H$950:$J$953,3,0))))-1))/2)))</f>
        <v>0</v>
      </c>
      <c r="V317" s="1302">
        <f t="shared" si="270"/>
        <v>0</v>
      </c>
      <c r="W317" s="1302">
        <f t="shared" si="270"/>
        <v>0</v>
      </c>
      <c r="X317" s="1302">
        <f t="shared" si="270"/>
        <v>0</v>
      </c>
      <c r="Y317" s="1302">
        <f t="shared" si="270"/>
        <v>0</v>
      </c>
      <c r="Z317" s="1302">
        <f t="shared" si="270"/>
        <v>0</v>
      </c>
      <c r="AA317" s="1302">
        <f t="shared" si="270"/>
        <v>0</v>
      </c>
      <c r="AB317" s="1302">
        <f t="shared" si="270"/>
        <v>0</v>
      </c>
      <c r="AC317" s="1302">
        <f t="shared" si="270"/>
        <v>0</v>
      </c>
      <c r="AD317" s="1303">
        <f t="shared" si="270"/>
        <v>0</v>
      </c>
      <c r="AE317" s="1303">
        <f t="shared" si="270"/>
        <v>0</v>
      </c>
      <c r="AF317" s="1303">
        <f t="shared" si="270"/>
        <v>0</v>
      </c>
      <c r="AG317" s="1303">
        <f t="shared" si="270"/>
        <v>0</v>
      </c>
      <c r="AH317" s="1303">
        <f t="shared" si="270"/>
        <v>0</v>
      </c>
      <c r="AI317" s="1304">
        <f t="shared" si="270"/>
        <v>0</v>
      </c>
      <c r="AJ317" s="1125"/>
    </row>
    <row r="318" spans="1:43" s="1126" customFormat="1">
      <c r="A318" s="1119"/>
      <c r="B318" s="1298"/>
      <c r="C318" s="1184"/>
      <c r="D318" s="1121"/>
      <c r="E318" s="1184"/>
      <c r="F318" s="1121"/>
      <c r="G318" s="1121"/>
      <c r="H318" s="1184"/>
      <c r="I318" s="1121"/>
      <c r="J318" s="1121"/>
      <c r="K318" s="1184"/>
      <c r="L318" s="1121"/>
      <c r="M318" s="1121"/>
      <c r="N318" s="1184"/>
      <c r="O318" s="1121"/>
      <c r="P318" s="1121"/>
      <c r="Q318" s="1121"/>
      <c r="R318" s="1121"/>
      <c r="S318" s="1121"/>
      <c r="T318" s="1305"/>
      <c r="U318" s="1306"/>
      <c r="V318" s="1305"/>
      <c r="W318" s="1305"/>
      <c r="X318" s="1305"/>
      <c r="Y318" s="1305"/>
      <c r="Z318" s="1305"/>
      <c r="AA318" s="1305"/>
      <c r="AB318" s="1305"/>
      <c r="AC318" s="1305"/>
      <c r="AD318" s="1307"/>
      <c r="AE318" s="1308"/>
      <c r="AF318" s="1121"/>
      <c r="AG318" s="1121"/>
      <c r="AH318" s="1121"/>
      <c r="AI318" s="1121"/>
      <c r="AJ318" s="1125"/>
    </row>
    <row r="319" spans="1:43" s="1126" customFormat="1">
      <c r="A319" s="1119"/>
      <c r="B319" s="1309"/>
      <c r="C319" s="1184"/>
      <c r="D319" s="1121"/>
      <c r="E319" s="1184"/>
      <c r="F319" s="1121"/>
      <c r="G319" s="1121"/>
      <c r="H319" s="1184"/>
      <c r="I319" s="1121"/>
      <c r="J319" s="1121"/>
      <c r="K319" s="1184"/>
      <c r="L319" s="1121"/>
      <c r="M319" s="1121"/>
      <c r="N319" s="1184"/>
      <c r="O319" s="1121"/>
      <c r="P319" s="1121"/>
      <c r="Q319" s="1184"/>
      <c r="R319" s="1121"/>
      <c r="S319" s="1121"/>
      <c r="T319" s="1121"/>
      <c r="U319" s="1121"/>
      <c r="V319" s="1121"/>
      <c r="W319" s="1121"/>
      <c r="X319" s="1121"/>
      <c r="Y319" s="1121"/>
      <c r="Z319" s="1121"/>
      <c r="AA319" s="1121"/>
      <c r="AB319" s="1121"/>
      <c r="AC319" s="1121"/>
      <c r="AD319" s="1121"/>
      <c r="AE319" s="1260"/>
      <c r="AF319" s="1260"/>
      <c r="AG319" s="1260"/>
      <c r="AH319" s="1260"/>
      <c r="AI319" s="1260"/>
      <c r="AJ319" s="1125"/>
    </row>
    <row r="320" spans="1:43" s="1126" customFormat="1">
      <c r="A320" s="1119"/>
      <c r="B320" s="1310" t="s">
        <v>1309</v>
      </c>
      <c r="C320" s="1311"/>
      <c r="D320" s="1198"/>
      <c r="E320" s="1197"/>
      <c r="F320" s="1198"/>
      <c r="G320" s="1198"/>
      <c r="H320" s="1197"/>
      <c r="I320" s="1198"/>
      <c r="J320" s="1198"/>
      <c r="K320" s="1197"/>
      <c r="L320" s="1198"/>
      <c r="M320" s="1198"/>
      <c r="N320" s="1197"/>
      <c r="O320" s="1198"/>
      <c r="P320" s="1198"/>
      <c r="Q320" s="1197"/>
      <c r="R320" s="1198"/>
      <c r="S320" s="1312" t="s">
        <v>1310</v>
      </c>
      <c r="T320" s="1313" t="s">
        <v>1044</v>
      </c>
      <c r="U320" s="1313" t="s">
        <v>1044</v>
      </c>
      <c r="V320" s="1313" t="s">
        <v>1044</v>
      </c>
      <c r="W320" s="1313" t="s">
        <v>1044</v>
      </c>
      <c r="X320" s="1313" t="s">
        <v>1044</v>
      </c>
      <c r="Y320" s="1313" t="s">
        <v>1044</v>
      </c>
      <c r="Z320" s="1313" t="s">
        <v>1044</v>
      </c>
      <c r="AA320" s="1313" t="s">
        <v>1044</v>
      </c>
      <c r="AB320" s="1313" t="s">
        <v>1044</v>
      </c>
      <c r="AC320" s="1313" t="s">
        <v>1044</v>
      </c>
      <c r="AD320" s="1314" t="s">
        <v>1044</v>
      </c>
      <c r="AE320" s="1314" t="s">
        <v>1044</v>
      </c>
      <c r="AF320" s="1314" t="s">
        <v>1044</v>
      </c>
      <c r="AG320" s="1314" t="s">
        <v>1044</v>
      </c>
      <c r="AH320" s="1314" t="s">
        <v>1044</v>
      </c>
      <c r="AI320" s="1314" t="s">
        <v>1044</v>
      </c>
      <c r="AJ320" s="1125"/>
    </row>
    <row r="321" spans="1:36" s="1126" customFormat="1">
      <c r="A321" s="1119"/>
      <c r="B321" s="1211" t="s">
        <v>1311</v>
      </c>
      <c r="C321" s="1270"/>
      <c r="D321" s="1121"/>
      <c r="E321" s="1184"/>
      <c r="F321" s="1121"/>
      <c r="G321" s="1121"/>
      <c r="H321" s="1184"/>
      <c r="I321" s="1121"/>
      <c r="J321" s="1121"/>
      <c r="K321" s="1184"/>
      <c r="L321" s="1121"/>
      <c r="M321" s="1121"/>
      <c r="N321" s="1184"/>
      <c r="O321" s="1121"/>
      <c r="P321" s="1121"/>
      <c r="Q321" s="1184"/>
      <c r="R321" s="1121"/>
      <c r="S321" s="1121"/>
      <c r="T321" s="1203">
        <f t="shared" ref="T321:AI321" si="271">T311</f>
        <v>2020</v>
      </c>
      <c r="U321" s="1203">
        <f t="shared" si="271"/>
        <v>2021</v>
      </c>
      <c r="V321" s="1203">
        <f t="shared" si="271"/>
        <v>2022</v>
      </c>
      <c r="W321" s="1203">
        <f t="shared" si="271"/>
        <v>2023</v>
      </c>
      <c r="X321" s="1203">
        <f t="shared" si="271"/>
        <v>2024</v>
      </c>
      <c r="Y321" s="1203">
        <f t="shared" si="271"/>
        <v>2025</v>
      </c>
      <c r="Z321" s="1203">
        <f t="shared" si="271"/>
        <v>2026</v>
      </c>
      <c r="AA321" s="1203">
        <f t="shared" si="271"/>
        <v>2027</v>
      </c>
      <c r="AB321" s="1203">
        <f t="shared" si="271"/>
        <v>2028</v>
      </c>
      <c r="AC321" s="1203">
        <f t="shared" si="271"/>
        <v>2029</v>
      </c>
      <c r="AD321" s="1204">
        <f t="shared" si="271"/>
        <v>2030</v>
      </c>
      <c r="AE321" s="1204">
        <f t="shared" si="271"/>
        <v>2031</v>
      </c>
      <c r="AF321" s="1204">
        <f t="shared" si="271"/>
        <v>2032</v>
      </c>
      <c r="AG321" s="1204">
        <f t="shared" si="271"/>
        <v>2033</v>
      </c>
      <c r="AH321" s="1204">
        <f t="shared" si="271"/>
        <v>2034</v>
      </c>
      <c r="AI321" s="1204">
        <f t="shared" si="271"/>
        <v>2035</v>
      </c>
      <c r="AJ321" s="1125"/>
    </row>
    <row r="322" spans="1:36" s="1126" customFormat="1">
      <c r="A322" s="1119"/>
      <c r="B322" s="1211" t="s">
        <v>1312</v>
      </c>
      <c r="C322" s="1270"/>
      <c r="D322" s="1121"/>
      <c r="E322" s="1184"/>
      <c r="F322" s="1121"/>
      <c r="G322" s="1121"/>
      <c r="H322" s="1184"/>
      <c r="I322" s="1121"/>
      <c r="J322" s="1121"/>
      <c r="K322" s="1184"/>
      <c r="L322" s="1121"/>
      <c r="M322" s="1121"/>
      <c r="N322" s="1184"/>
      <c r="O322" s="1121"/>
      <c r="P322" s="1121"/>
      <c r="Q322" s="1271" t="s">
        <v>1303</v>
      </c>
      <c r="R322" s="1272"/>
      <c r="S322" s="1273"/>
      <c r="T322" s="1315">
        <f>IF(OR($C321=0,$C321=0,$C326=0),0,IF(AND(T321-$C324&gt;=0,T321&lt;=$C324+$C321,ROUNDDOWN(T321,0)=ROUNDDOWN($C$934,0)),IF(ROUNDDOWN(T321,0)=ROUNDDOWN($C$934,0),ROUND($E$934*VLOOKUP($C326,$H$950:$J$953,3,0)/$F$934,2),ROUND(VLOOKUP($C326,$H$950:$J$953,3,0)/$F$934,2)),0))</f>
        <v>0</v>
      </c>
      <c r="U322" s="1315">
        <f>IF(OR($C321=0,$C321=0,$C326=0),0,IF(AND(ROUNDDOWN(U321,0)&gt;=ROUNDDOWN($C$934,0),1-$T322&lt;VLOOKUP($C326,$H$950:$J$953,3,0)/$F$934),1-$T322,IF(ROUNDDOWN(U321,0)&gt;=ROUNDDOWN($C$934,0),IF(ROUNDDOWN(U321,0)=ROUNDDOWN($C$934,0),ROUND($E$934*VLOOKUP($C326,$H$950:$J$953,3,0)/$F$934,2),ROUND(VLOOKUP($C326,$H$950:$J$953,3,0)/$F$934,2)),0)))</f>
        <v>0</v>
      </c>
      <c r="V322" s="1315">
        <f>IF(OR($C321=0,$C321=0,$C326=0),0,IF(AND(ROUNDDOWN(V321,0)&gt;=ROUNDDOWN($C$934,0),1-SUM($T322:U322)&lt;VLOOKUP($C326,$H$950:$J$953,3,0)/$F$934),1-SUM($T322:U322),IF(ROUNDDOWN(V321,0)&gt;=ROUNDDOWN($C$934,0),IF(ROUNDDOWN(V321,0)=ROUNDDOWN($C$934,0),ROUND($E$934*VLOOKUP($C326,$H$950:$J$953,3,0)/$F$934,2),ROUND(VLOOKUP($C326,$H$950:$J$953,3,0)/$F$934,2)),0)))</f>
        <v>0</v>
      </c>
      <c r="W322" s="1315">
        <f>IF(OR($C321=0,$C321=0,$C326=0),0,IF(AND(ROUNDDOWN(W321,0)&gt;=ROUNDDOWN($C$934,0),1-SUM($T322:V322)&lt;VLOOKUP($C326,$H$950:$J$953,3,0)/$F$934),1-SUM($T322:V322),IF(ROUNDDOWN(W321,0)&gt;=ROUNDDOWN($C$934,0),IF(ROUNDDOWN(W321,0)=ROUNDDOWN($C$934,0),ROUND($E$934*VLOOKUP($C326,$H$950:$J$953,3,0)/$F$934,2),ROUND(VLOOKUP($C326,$H$950:$J$953,3,0)/$F$934,2)),0)))</f>
        <v>0</v>
      </c>
      <c r="X322" s="1315">
        <f>IF(OR($C321=0,$C321=0,$C326=0),0,IF(AND(ROUNDDOWN(X321,0)&gt;=ROUNDDOWN($C$934,0),1-SUM($T322:W322)&lt;VLOOKUP($C326,$H$950:$J$953,3,0)/$F$934),1-SUM($T322:W322),IF(ROUNDDOWN(X321,0)&gt;=ROUNDDOWN($C$934,0),IF(ROUNDDOWN(X321,0)=ROUNDDOWN($C$934,0),ROUND($E$934*VLOOKUP($C326,$H$950:$J$953,3,0)/$F$934,2),ROUND(VLOOKUP($C326,$H$950:$J$953,3,0)/$F$934,2)),0)))</f>
        <v>0</v>
      </c>
      <c r="Y322" s="1315">
        <f>IF(OR($C321=0,$C321=0,$C326=0),0,IF(AND(ROUNDDOWN(Y321,0)&gt;=ROUNDDOWN($C$934,0),1-SUM($T322:X322)&lt;VLOOKUP($C326,$H$950:$J$953,3,0)/$F$934),1-SUM($T322:X322),IF(ROUNDDOWN(Y321,0)&gt;=ROUNDDOWN($C$934,0),IF(ROUNDDOWN(Y321,0)=ROUNDDOWN($C$934,0),ROUND($E$934*VLOOKUP($C326,$H$950:$J$953,3,0)/$F$934,2),ROUND(VLOOKUP($C326,$H$950:$J$953,3,0)/$F$934,2)),0)))</f>
        <v>0</v>
      </c>
      <c r="Z322" s="1315">
        <f>IF(OR($C321=0,$C321=0,$C326=0),0,IF(AND(ROUNDDOWN(Z321,0)&gt;=ROUNDDOWN($C$934,0),1-SUM($T322:Y322)&lt;VLOOKUP($C326,$H$950:$J$953,3,0)/$F$934),1-SUM($T322:Y322),IF(ROUNDDOWN(Z321,0)&gt;=ROUNDDOWN($C$934,0),IF(ROUNDDOWN(Z321,0)=ROUNDDOWN($C$934,0),ROUND($E$934*VLOOKUP($C326,$H$950:$J$953,3,0)/$F$934,2),ROUND(VLOOKUP($C326,$H$950:$J$953,3,0)/$F$934,2)),0)))</f>
        <v>0</v>
      </c>
      <c r="AA322" s="1315">
        <f>IF(OR($C321=0,$C321=0,$C326=0),0,IF(AND(ROUNDDOWN(AA321,0)&gt;=ROUNDDOWN($C$934,0),1-SUM($T322:Z322)&lt;VLOOKUP($C326,$H$950:$J$953,3,0)/$F$934),1-SUM($T322:Z322),IF(ROUNDDOWN(AA321,0)&gt;=ROUNDDOWN($C$934,0),IF(ROUNDDOWN(AA321,0)=ROUNDDOWN($C$934,0),ROUND($E$934*VLOOKUP($C326,$H$950:$J$953,3,0)/$F$934,2),ROUND(VLOOKUP($C326,$H$950:$J$953,3,0)/$F$934,2)),0)))</f>
        <v>0</v>
      </c>
      <c r="AB322" s="1315">
        <f>IF(OR($C321=0,$C321=0,$C326=0),0,IF(AND(ROUNDDOWN(AB321,0)&gt;=ROUNDDOWN($C$934,0),1-SUM($T322:AA322)&lt;VLOOKUP($C326,$H$950:$J$953,3,0)/$F$934),1-SUM($T322:AA322),IF(ROUNDDOWN(AB321,0)&gt;=ROUNDDOWN($C$934,0),IF(ROUNDDOWN(AB321,0)=ROUNDDOWN($C$934,0),ROUND($E$934*VLOOKUP($C326,$H$950:$J$953,3,0)/$F$934,2),ROUND(VLOOKUP($C326,$H$950:$J$953,3,0)/$F$934,2)),0)))</f>
        <v>0</v>
      </c>
      <c r="AC322" s="1315">
        <f>IF(OR($C321=0,$C321=0,$C326=0),0,IF(AND(ROUNDDOWN(AC321,0)&gt;=ROUNDDOWN($C$934,0),1-SUM($T322:AB322)&lt;VLOOKUP($C326,$H$950:$J$953,3,0)/$F$934),1-SUM($T322:AB322),IF(ROUNDDOWN(AC321,0)&gt;=ROUNDDOWN($C$934,0),IF(ROUNDDOWN(AC321,0)=ROUNDDOWN($C$934,0),ROUND($E$934*VLOOKUP($C326,$H$950:$J$953,3,0)/$F$934,2),ROUND(VLOOKUP($C326,$H$950:$J$953,3,0)/$F$934,2)),0)))</f>
        <v>0</v>
      </c>
      <c r="AD322" s="1316">
        <f>IF(OR($C321=0,$C321=0,$C326=0),0,IF(AND(ROUNDDOWN(AD321,0)&gt;=ROUNDDOWN($C$934,0),1-SUM($T322:AC322)&lt;VLOOKUP($C326,$H$950:$J$953,3,0)/$F$934),1-SUM($T322:AC322),IF(ROUNDDOWN(AD321,0)&gt;=ROUNDDOWN($C$934,0),IF(ROUNDDOWN(AD321,0)=ROUNDDOWN($C$934,0),ROUND($E$934*VLOOKUP($C326,$H$950:$J$953,3,0)/$F$934,2),ROUND(VLOOKUP($C326,$H$950:$J$953,3,0)/$F$934,2)),0)))</f>
        <v>0</v>
      </c>
      <c r="AE322" s="1316">
        <f>IF(OR($C321=0,$C321=0,$C326=0),0,IF(AND(ROUNDDOWN(AE321,0)&gt;=ROUNDDOWN($C$934,0),1-SUM($T322:AD322)&lt;VLOOKUP($C326,$H$950:$J$953,3,0)/$F$934),1-SUM($T322:AD322),IF(ROUNDDOWN(AE321,0)&gt;=ROUNDDOWN($C$934,0),IF(ROUNDDOWN(AE321,0)=ROUNDDOWN($C$934,0),ROUND($E$934*VLOOKUP($C326,$H$950:$J$953,3,0)/$F$934,2),ROUND(VLOOKUP($C326,$H$950:$J$953,3,0)/$F$934,2)),0)))</f>
        <v>0</v>
      </c>
      <c r="AF322" s="1316">
        <f>IF(OR($C321=0,$C321=0,$C326=0),0,IF(AND(ROUNDDOWN(AF321,0)&gt;=ROUNDDOWN($C$934,0),1-SUM($T322:AE322)&lt;VLOOKUP($C326,$H$950:$J$953,3,0)/$F$934),1-SUM($T322:AE322),IF(ROUNDDOWN(AF321,0)&gt;=ROUNDDOWN($C$934,0),IF(ROUNDDOWN(AF321,0)=ROUNDDOWN($C$934,0),ROUND($E$934*VLOOKUP($C326,$H$950:$J$953,3,0)/$F$934,2),ROUND(VLOOKUP($C326,$H$950:$J$953,3,0)/$F$934,2)),0)))</f>
        <v>0</v>
      </c>
      <c r="AG322" s="1316">
        <f>IF(OR($C321=0,$C321=0,$C326=0),0,IF(AND(ROUNDDOWN(AG321,0)&gt;=ROUNDDOWN($C$934,0),1-SUM($T322:AF322)&lt;VLOOKUP($C326,$H$950:$J$953,3,0)/$F$934),1-SUM($T322:AF322),IF(ROUNDDOWN(AG321,0)&gt;=ROUNDDOWN($C$934,0),IF(ROUNDDOWN(AG321,0)=ROUNDDOWN($C$934,0),ROUND($E$934*VLOOKUP($C326,$H$950:$J$953,3,0)/$F$934,2),ROUND(VLOOKUP($C326,$H$950:$J$953,3,0)/$F$934,2)),0)))</f>
        <v>0</v>
      </c>
      <c r="AH322" s="1316">
        <f>IF(OR($C321=0,$C321=0,$C326=0),0,IF(AND(ROUNDDOWN(AH321,0)&gt;=ROUNDDOWN($C$934,0),1-SUM($T322:AG322)&lt;VLOOKUP($C326,$H$950:$J$953,3,0)/$F$934),1-SUM($T322:AG322),IF(ROUNDDOWN(AH321,0)&gt;=ROUNDDOWN($C$934,0),IF(ROUNDDOWN(AH321,0)=ROUNDDOWN($C$934,0),ROUND($E$934*VLOOKUP($C326,$H$950:$J$953,3,0)/$F$934,2),ROUND(VLOOKUP($C326,$H$950:$J$953,3,0)/$F$934,2)),0)))</f>
        <v>0</v>
      </c>
      <c r="AI322" s="1316">
        <f>IF(OR($C321=0,$C321=0,$C326=0),0,IF(AND(ROUNDDOWN(AI321,0)&gt;=ROUNDDOWN($C$934,0),1-SUM($T322:AH322)&lt;VLOOKUP($C326,$H$950:$J$953,3,0)/$F$934),1-SUM($T322:AH322),IF(ROUNDDOWN(AI321,0)&gt;=ROUNDDOWN($C$934,0),IF(ROUNDDOWN(AI321,0)=ROUNDDOWN($C$934,0),ROUND($E$934*VLOOKUP($C326,$H$950:$J$953,3,0)/$F$934,2),ROUND(VLOOKUP($C326,$H$950:$J$953,3,0)/$F$934,2)),0)))</f>
        <v>0</v>
      </c>
      <c r="AJ322" s="1125"/>
    </row>
    <row r="323" spans="1:36" s="1126" customFormat="1">
      <c r="A323" s="1119"/>
      <c r="B323" s="1211" t="s">
        <v>1313</v>
      </c>
      <c r="C323" s="1270"/>
      <c r="D323" s="1121"/>
      <c r="E323" s="1184"/>
      <c r="F323" s="1121"/>
      <c r="G323" s="1121"/>
      <c r="H323" s="1184"/>
      <c r="I323" s="1121"/>
      <c r="J323" s="1121"/>
      <c r="K323" s="1184"/>
      <c r="L323" s="1121"/>
      <c r="M323" s="1121"/>
      <c r="N323" s="1184"/>
      <c r="O323" s="1121"/>
      <c r="P323" s="1121"/>
      <c r="Q323" s="1276" t="s">
        <v>1304</v>
      </c>
      <c r="R323" s="1277"/>
      <c r="S323" s="1278"/>
      <c r="T323" s="1317">
        <f>$C320*T322</f>
        <v>0</v>
      </c>
      <c r="U323" s="1317">
        <f t="shared" ref="U323:AI323" si="272">IF($C324&gt;U321,0,U322*$C320)</f>
        <v>0</v>
      </c>
      <c r="V323" s="1317">
        <f t="shared" si="272"/>
        <v>0</v>
      </c>
      <c r="W323" s="1317">
        <f t="shared" si="272"/>
        <v>0</v>
      </c>
      <c r="X323" s="1317">
        <f t="shared" si="272"/>
        <v>0</v>
      </c>
      <c r="Y323" s="1317">
        <f t="shared" si="272"/>
        <v>0</v>
      </c>
      <c r="Z323" s="1317">
        <f t="shared" si="272"/>
        <v>0</v>
      </c>
      <c r="AA323" s="1317">
        <f t="shared" si="272"/>
        <v>0</v>
      </c>
      <c r="AB323" s="1317">
        <f t="shared" si="272"/>
        <v>0</v>
      </c>
      <c r="AC323" s="1317">
        <f t="shared" si="272"/>
        <v>0</v>
      </c>
      <c r="AD323" s="1318">
        <f t="shared" si="272"/>
        <v>0</v>
      </c>
      <c r="AE323" s="1318">
        <f t="shared" si="272"/>
        <v>0</v>
      </c>
      <c r="AF323" s="1318">
        <f t="shared" si="272"/>
        <v>0</v>
      </c>
      <c r="AG323" s="1318">
        <f t="shared" si="272"/>
        <v>0</v>
      </c>
      <c r="AH323" s="1318">
        <f t="shared" si="272"/>
        <v>0</v>
      </c>
      <c r="AI323" s="1318">
        <f t="shared" si="272"/>
        <v>0</v>
      </c>
      <c r="AJ323" s="1125"/>
    </row>
    <row r="324" spans="1:36" s="1126" customFormat="1">
      <c r="A324" s="1119"/>
      <c r="B324" s="1319" t="s">
        <v>1314</v>
      </c>
      <c r="C324" s="1282"/>
      <c r="D324" s="1121"/>
      <c r="E324" s="1184"/>
      <c r="F324" s="1121"/>
      <c r="G324" s="1121"/>
      <c r="H324" s="1184"/>
      <c r="I324" s="1121"/>
      <c r="J324" s="1121"/>
      <c r="K324" s="1184"/>
      <c r="L324" s="1121"/>
      <c r="M324" s="1121"/>
      <c r="N324" s="1184"/>
      <c r="O324" s="1121"/>
      <c r="P324" s="1121"/>
      <c r="Q324" s="1283" t="s">
        <v>1305</v>
      </c>
      <c r="R324" s="1284"/>
      <c r="S324" s="1285"/>
      <c r="T324" s="1286">
        <f t="shared" ref="T324:AI324" si="273">IF($C324&gt;=U321,0,$C320*U322)</f>
        <v>0</v>
      </c>
      <c r="U324" s="1286">
        <f t="shared" si="273"/>
        <v>0</v>
      </c>
      <c r="V324" s="1286">
        <f t="shared" si="273"/>
        <v>0</v>
      </c>
      <c r="W324" s="1286">
        <f t="shared" si="273"/>
        <v>0</v>
      </c>
      <c r="X324" s="1286">
        <f t="shared" si="273"/>
        <v>0</v>
      </c>
      <c r="Y324" s="1286">
        <f t="shared" si="273"/>
        <v>0</v>
      </c>
      <c r="Z324" s="1286">
        <f t="shared" si="273"/>
        <v>0</v>
      </c>
      <c r="AA324" s="1286">
        <f t="shared" si="273"/>
        <v>0</v>
      </c>
      <c r="AB324" s="1286">
        <f t="shared" si="273"/>
        <v>0</v>
      </c>
      <c r="AC324" s="1286">
        <f t="shared" si="273"/>
        <v>0</v>
      </c>
      <c r="AD324" s="1287">
        <f t="shared" si="273"/>
        <v>0</v>
      </c>
      <c r="AE324" s="1287">
        <f t="shared" si="273"/>
        <v>0</v>
      </c>
      <c r="AF324" s="1287">
        <f t="shared" si="273"/>
        <v>0</v>
      </c>
      <c r="AG324" s="1287">
        <f t="shared" si="273"/>
        <v>0</v>
      </c>
      <c r="AH324" s="1287">
        <f t="shared" si="273"/>
        <v>0</v>
      </c>
      <c r="AI324" s="1287">
        <f t="shared" si="273"/>
        <v>0</v>
      </c>
      <c r="AJ324" s="1125"/>
    </row>
    <row r="325" spans="1:36" s="1126" customFormat="1">
      <c r="A325" s="1119"/>
      <c r="B325" s="1319" t="s">
        <v>1315</v>
      </c>
      <c r="C325" s="1282"/>
      <c r="D325" s="1121"/>
      <c r="E325" s="1184"/>
      <c r="F325" s="1121"/>
      <c r="G325" s="1121"/>
      <c r="H325" s="1184"/>
      <c r="I325" s="1121"/>
      <c r="J325" s="1121"/>
      <c r="K325" s="1184"/>
      <c r="L325" s="1121"/>
      <c r="M325" s="1121"/>
      <c r="N325" s="1184"/>
      <c r="O325" s="1121"/>
      <c r="P325" s="1121"/>
      <c r="Q325" s="1288" t="s">
        <v>1306</v>
      </c>
      <c r="R325" s="1289"/>
      <c r="S325" s="1290"/>
      <c r="T325" s="1320">
        <f>IF($C324&gt;T321,0,$C320-T323-T324)</f>
        <v>0</v>
      </c>
      <c r="U325" s="1320">
        <f t="shared" ref="U325:AI325" si="274">IF($C324&gt;U321,0,IF($C324=U321,$C320-U323-U324,IF(SUM(T324:T325)-SUM(U323:U324)&lt;=0.005,0,SUM(T324:T325)-SUM(U323:U324))))</f>
        <v>0</v>
      </c>
      <c r="V325" s="1320">
        <f t="shared" si="274"/>
        <v>0</v>
      </c>
      <c r="W325" s="1320">
        <f t="shared" si="274"/>
        <v>0</v>
      </c>
      <c r="X325" s="1320">
        <f t="shared" si="274"/>
        <v>0</v>
      </c>
      <c r="Y325" s="1320">
        <f t="shared" si="274"/>
        <v>0</v>
      </c>
      <c r="Z325" s="1320">
        <f t="shared" si="274"/>
        <v>0</v>
      </c>
      <c r="AA325" s="1320">
        <f t="shared" si="274"/>
        <v>0</v>
      </c>
      <c r="AB325" s="1320">
        <f t="shared" si="274"/>
        <v>0</v>
      </c>
      <c r="AC325" s="1320">
        <f t="shared" si="274"/>
        <v>0</v>
      </c>
      <c r="AD325" s="1321">
        <f t="shared" si="274"/>
        <v>0</v>
      </c>
      <c r="AE325" s="1321">
        <f t="shared" si="274"/>
        <v>0</v>
      </c>
      <c r="AF325" s="1321">
        <f t="shared" si="274"/>
        <v>0</v>
      </c>
      <c r="AG325" s="1321">
        <f t="shared" si="274"/>
        <v>0</v>
      </c>
      <c r="AH325" s="1321">
        <f t="shared" si="274"/>
        <v>0</v>
      </c>
      <c r="AI325" s="1321">
        <f t="shared" si="274"/>
        <v>0</v>
      </c>
      <c r="AJ325" s="1125"/>
    </row>
    <row r="326" spans="1:36" s="1126" customFormat="1">
      <c r="A326" s="1119"/>
      <c r="B326" s="1322" t="s">
        <v>1316</v>
      </c>
      <c r="C326" s="1294"/>
      <c r="D326" s="1121"/>
      <c r="E326" s="1184"/>
      <c r="F326" s="1121"/>
      <c r="G326" s="1121"/>
      <c r="H326" s="1184"/>
      <c r="I326" s="1121"/>
      <c r="J326" s="1121"/>
      <c r="K326" s="1184"/>
      <c r="L326" s="1121"/>
      <c r="M326" s="1121"/>
      <c r="N326" s="1184"/>
      <c r="O326" s="1121"/>
      <c r="P326" s="1121"/>
      <c r="Q326" s="1271" t="s">
        <v>1307</v>
      </c>
      <c r="R326" s="1272"/>
      <c r="S326" s="1273"/>
      <c r="T326" s="1296"/>
      <c r="U326" s="1296">
        <f t="shared" ref="U326:AI326" si="275">T326</f>
        <v>0</v>
      </c>
      <c r="V326" s="1296">
        <f t="shared" si="275"/>
        <v>0</v>
      </c>
      <c r="W326" s="1296">
        <f t="shared" si="275"/>
        <v>0</v>
      </c>
      <c r="X326" s="1296">
        <f t="shared" si="275"/>
        <v>0</v>
      </c>
      <c r="Y326" s="1296">
        <f t="shared" si="275"/>
        <v>0</v>
      </c>
      <c r="Z326" s="1296">
        <f t="shared" si="275"/>
        <v>0</v>
      </c>
      <c r="AA326" s="1296">
        <f t="shared" si="275"/>
        <v>0</v>
      </c>
      <c r="AB326" s="1296">
        <f t="shared" si="275"/>
        <v>0</v>
      </c>
      <c r="AC326" s="1296">
        <f t="shared" si="275"/>
        <v>0</v>
      </c>
      <c r="AD326" s="1297">
        <f t="shared" si="275"/>
        <v>0</v>
      </c>
      <c r="AE326" s="1297">
        <f t="shared" si="275"/>
        <v>0</v>
      </c>
      <c r="AF326" s="1297">
        <f t="shared" si="275"/>
        <v>0</v>
      </c>
      <c r="AG326" s="1297">
        <f t="shared" si="275"/>
        <v>0</v>
      </c>
      <c r="AH326" s="1297">
        <f t="shared" si="275"/>
        <v>0</v>
      </c>
      <c r="AI326" s="1297">
        <f t="shared" si="275"/>
        <v>0</v>
      </c>
      <c r="AJ326" s="1125"/>
    </row>
    <row r="327" spans="1:36" s="1126" customFormat="1">
      <c r="A327" s="1119"/>
      <c r="B327" s="1298"/>
      <c r="C327" s="1184"/>
      <c r="D327" s="1121"/>
      <c r="E327" s="1184"/>
      <c r="F327" s="1121"/>
      <c r="G327" s="1121"/>
      <c r="H327" s="1184"/>
      <c r="I327" s="1121"/>
      <c r="J327" s="1121"/>
      <c r="K327" s="1184"/>
      <c r="L327" s="1121"/>
      <c r="M327" s="1121"/>
      <c r="N327" s="1184"/>
      <c r="O327" s="1121"/>
      <c r="P327" s="1121"/>
      <c r="Q327" s="1299" t="s">
        <v>1308</v>
      </c>
      <c r="R327" s="1300"/>
      <c r="S327" s="1301"/>
      <c r="T327" s="1302">
        <f>IF(OR($C324&lt;&gt;T321,T326=0,T326=0),0,IF(AND(T322=0,$D$935=1),T326,IF(T322=0,NOMINAL(T326,12)*IF($C324=T321,$D$935,1),IF(AND($C324=T321,ROUNDDOWN($C$934,0)=T321),$E$934,1)*NOMINAL(T326,VLOOKUP($C326,$H$950:$J$953,3,0))/VLOOKUP($C326,$H$950:$J$953,3,0)))*((IF(T322=0,1,IF(AND($C324=T321,T322&lt;ROUNDDOWN(VLOOKUP($C326,$H$950:$J$953,3,0)/$F$934,0)),ROUNDDOWN(T322*$F$934,0),IF(AND($C324&lt;T321,T322&lt;ROUNDDOWN(VLOOKUP($C326,$H$950:$J$953,3,0)/$F$934,0)),ROUND(AVERAGE(ROUNDDOWN(T322*$F$934,0),2*VLOOKUP($C326,$H$950:$J$953,3,0)),0),VLOOKUP($C326,$H$950:$J$953,3,0))))*$C320)-((T323*(IF(T322=0,1,IF(AND($C324=T321,T322&lt;ROUNDDOWN(VLOOKUP($C326,$H$950:$J$953,3,0)/$F$934,0)),ROUNDDOWN(T322*$F$934,0),IF(AND($C324&lt;T321,T322&lt;ROUNDDOWN(VLOOKUP($C326,$H$950:$J$953,3,0)/$F$934,0)),ROUND(AVERAGE(ROUNDDOWN(T322*$F$934,0),2*VLOOKUP($C326,$H$950:$J$953,3,0)),0),VLOOKUP($C326,$H$950:$J$953,3,0))))-1))/2)))</f>
        <v>0</v>
      </c>
      <c r="U327" s="1302">
        <f t="shared" ref="U327:AI327" si="276">IF(OR($C324&gt;U321,U326=0,U326=0),0,IF(AND(U322=0,OR(U321&gt;$C324,$D$935=1)),U326,IF(U322=0,NOMINAL(U326,12)*IF($C324=U321,$D$935,1),IF(AND($C324=U321,ROUNDDOWN($C$934,0)=U321),$E$934,1)*NOMINAL(U326,VLOOKUP($C326,$H$950:$J$953,3,0))/VLOOKUP($C326,$H$950:$J$953,3,0)))*((IF(U322=0,1,IF(AND($C324=U321,U322&lt;ROUNDDOWN(VLOOKUP($C326,$H$950:$J$953,3,0)/$F$934,0)),ROUNDDOWN(U322*$F$934,0),IF(AND($C324&lt;U321,U322&lt;ROUNDDOWN(VLOOKUP($C326,$H$950:$J$953,3,0)/$F$934,0)),ROUND(AVERAGE(ROUNDDOWN(U322*$F$934,0),2*VLOOKUP($C326,$H$950:$J$953,3,0)),0),VLOOKUP($C326,$H$950:$J$953,3,0))))*IF($C324=U321,$C320,SUM(T324:T325)))-((U323*(IF(U322=0,1,IF(AND($C324=U321,U322&lt;ROUNDDOWN(VLOOKUP($C326,$H$950:$J$953,3,0)/$F$934,0)),ROUNDDOWN(U322*$F$934,0),IF(AND($C324&lt;U321,U322&lt;ROUNDDOWN(VLOOKUP($C326,$H$950:$J$953,3,0)/$F$934,0)),ROUND(AVERAGE(ROUNDDOWN(U322*$F$934,0),2*VLOOKUP($C326,$H$950:$J$953,3,0)),0),VLOOKUP($C326,$H$950:$J$953,3,0))))-1))/2)))</f>
        <v>0</v>
      </c>
      <c r="V327" s="1302">
        <f t="shared" si="276"/>
        <v>0</v>
      </c>
      <c r="W327" s="1302">
        <f t="shared" si="276"/>
        <v>0</v>
      </c>
      <c r="X327" s="1302">
        <f t="shared" si="276"/>
        <v>0</v>
      </c>
      <c r="Y327" s="1302">
        <f t="shared" si="276"/>
        <v>0</v>
      </c>
      <c r="Z327" s="1302">
        <f t="shared" si="276"/>
        <v>0</v>
      </c>
      <c r="AA327" s="1302">
        <f t="shared" si="276"/>
        <v>0</v>
      </c>
      <c r="AB327" s="1302">
        <f t="shared" si="276"/>
        <v>0</v>
      </c>
      <c r="AC327" s="1302">
        <f t="shared" si="276"/>
        <v>0</v>
      </c>
      <c r="AD327" s="1323">
        <f t="shared" si="276"/>
        <v>0</v>
      </c>
      <c r="AE327" s="1323">
        <f t="shared" si="276"/>
        <v>0</v>
      </c>
      <c r="AF327" s="1323">
        <f t="shared" si="276"/>
        <v>0</v>
      </c>
      <c r="AG327" s="1323">
        <f t="shared" si="276"/>
        <v>0</v>
      </c>
      <c r="AH327" s="1323">
        <f t="shared" si="276"/>
        <v>0</v>
      </c>
      <c r="AI327" s="1323">
        <f t="shared" si="276"/>
        <v>0</v>
      </c>
      <c r="AJ327" s="1125"/>
    </row>
    <row r="328" spans="1:36" s="1126" customFormat="1">
      <c r="A328" s="1119"/>
      <c r="B328" s="1298"/>
      <c r="C328" s="1184"/>
      <c r="D328" s="1121"/>
      <c r="E328" s="1184"/>
      <c r="F328" s="1121"/>
      <c r="G328" s="1121"/>
      <c r="H328" s="1184"/>
      <c r="I328" s="1121"/>
      <c r="J328" s="1121"/>
      <c r="K328" s="1184"/>
      <c r="L328" s="1121"/>
      <c r="M328" s="1121"/>
      <c r="N328" s="1184"/>
      <c r="O328" s="1121"/>
      <c r="P328" s="1121"/>
      <c r="Q328" s="1121"/>
      <c r="R328" s="1121"/>
      <c r="S328" s="1121"/>
      <c r="T328" s="1324"/>
      <c r="U328" s="1324"/>
      <c r="V328" s="1324"/>
      <c r="W328" s="1324"/>
      <c r="X328" s="1324"/>
      <c r="Y328" s="1324"/>
      <c r="Z328" s="1324"/>
      <c r="AA328" s="1324"/>
      <c r="AB328" s="1324"/>
      <c r="AC328" s="1324"/>
      <c r="AD328" s="1325"/>
      <c r="AE328" s="1326"/>
      <c r="AF328" s="1121"/>
      <c r="AG328" s="1121"/>
      <c r="AH328" s="1121"/>
      <c r="AI328" s="1121"/>
      <c r="AJ328" s="1125"/>
    </row>
    <row r="329" spans="1:36" s="1126" customFormat="1">
      <c r="A329" s="1119"/>
      <c r="B329" s="1309"/>
      <c r="C329" s="1261"/>
      <c r="D329" s="1260"/>
      <c r="E329" s="1261"/>
      <c r="F329" s="1260"/>
      <c r="G329" s="1260"/>
      <c r="H329" s="1261"/>
      <c r="I329" s="1260"/>
      <c r="J329" s="1260"/>
      <c r="K329" s="1261"/>
      <c r="L329" s="1260"/>
      <c r="M329" s="1260"/>
      <c r="N329" s="1261"/>
      <c r="O329" s="1260"/>
      <c r="P329" s="1260"/>
      <c r="Q329" s="1260"/>
      <c r="R329" s="1260"/>
      <c r="S329" s="1260"/>
      <c r="T329" s="1260"/>
      <c r="U329" s="1260"/>
      <c r="V329" s="1260"/>
      <c r="W329" s="1260"/>
      <c r="X329" s="1260"/>
      <c r="Y329" s="1260"/>
      <c r="Z329" s="1260"/>
      <c r="AA329" s="1260"/>
      <c r="AB329" s="1260"/>
      <c r="AC329" s="1260"/>
      <c r="AD329" s="1260"/>
      <c r="AE329" s="1260"/>
      <c r="AF329" s="1260"/>
      <c r="AG329" s="1260"/>
      <c r="AH329" s="1260"/>
      <c r="AI329" s="1260"/>
      <c r="AJ329" s="1125"/>
    </row>
    <row r="330" spans="1:36" s="1126" customFormat="1">
      <c r="A330" s="1119"/>
      <c r="B330" s="1327" t="s">
        <v>1317</v>
      </c>
      <c r="C330" s="1265"/>
      <c r="D330" s="1121"/>
      <c r="E330" s="1184"/>
      <c r="F330" s="1121"/>
      <c r="G330" s="1121"/>
      <c r="H330" s="1184"/>
      <c r="I330" s="1121"/>
      <c r="J330" s="1121"/>
      <c r="K330" s="1184"/>
      <c r="L330" s="1121"/>
      <c r="M330" s="1121"/>
      <c r="N330" s="1184"/>
      <c r="O330" s="1121"/>
      <c r="P330" s="1121"/>
      <c r="Q330" s="1184"/>
      <c r="R330" s="1121"/>
      <c r="S330" s="1328" t="s">
        <v>1318</v>
      </c>
      <c r="T330" s="1267" t="s">
        <v>1044</v>
      </c>
      <c r="U330" s="1267" t="s">
        <v>1044</v>
      </c>
      <c r="V330" s="1267" t="s">
        <v>1044</v>
      </c>
      <c r="W330" s="1267" t="s">
        <v>1044</v>
      </c>
      <c r="X330" s="1267" t="s">
        <v>1044</v>
      </c>
      <c r="Y330" s="1267" t="s">
        <v>1044</v>
      </c>
      <c r="Z330" s="1267" t="s">
        <v>1044</v>
      </c>
      <c r="AA330" s="1267" t="s">
        <v>1044</v>
      </c>
      <c r="AB330" s="1267" t="s">
        <v>1044</v>
      </c>
      <c r="AC330" s="1267" t="s">
        <v>1044</v>
      </c>
      <c r="AD330" s="1268" t="s">
        <v>1044</v>
      </c>
      <c r="AE330" s="1268" t="s">
        <v>1044</v>
      </c>
      <c r="AF330" s="1268" t="s">
        <v>1044</v>
      </c>
      <c r="AG330" s="1268" t="s">
        <v>1044</v>
      </c>
      <c r="AH330" s="1268" t="s">
        <v>1044</v>
      </c>
      <c r="AI330" s="1268" t="s">
        <v>1044</v>
      </c>
      <c r="AJ330" s="1125"/>
    </row>
    <row r="331" spans="1:36" s="1126" customFormat="1">
      <c r="A331" s="1119"/>
      <c r="B331" s="1211" t="s">
        <v>1319</v>
      </c>
      <c r="C331" s="1270"/>
      <c r="D331" s="1121"/>
      <c r="E331" s="1184"/>
      <c r="F331" s="1121"/>
      <c r="G331" s="1121"/>
      <c r="H331" s="1184"/>
      <c r="I331" s="1121"/>
      <c r="J331" s="1121"/>
      <c r="K331" s="1184"/>
      <c r="L331" s="1121"/>
      <c r="M331" s="1121"/>
      <c r="N331" s="1184"/>
      <c r="O331" s="1121"/>
      <c r="P331" s="1121"/>
      <c r="Q331" s="1184"/>
      <c r="R331" s="1121"/>
      <c r="S331" s="1121"/>
      <c r="T331" s="1203">
        <f t="shared" ref="T331:AI331" si="277">T311</f>
        <v>2020</v>
      </c>
      <c r="U331" s="1203">
        <f t="shared" si="277"/>
        <v>2021</v>
      </c>
      <c r="V331" s="1203">
        <f t="shared" si="277"/>
        <v>2022</v>
      </c>
      <c r="W331" s="1203">
        <f t="shared" si="277"/>
        <v>2023</v>
      </c>
      <c r="X331" s="1203">
        <f t="shared" si="277"/>
        <v>2024</v>
      </c>
      <c r="Y331" s="1203">
        <f t="shared" si="277"/>
        <v>2025</v>
      </c>
      <c r="Z331" s="1203">
        <f t="shared" si="277"/>
        <v>2026</v>
      </c>
      <c r="AA331" s="1203">
        <f t="shared" si="277"/>
        <v>2027</v>
      </c>
      <c r="AB331" s="1203">
        <f t="shared" si="277"/>
        <v>2028</v>
      </c>
      <c r="AC331" s="1203">
        <f t="shared" si="277"/>
        <v>2029</v>
      </c>
      <c r="AD331" s="1204">
        <f t="shared" si="277"/>
        <v>2030</v>
      </c>
      <c r="AE331" s="1204">
        <f t="shared" si="277"/>
        <v>2031</v>
      </c>
      <c r="AF331" s="1204">
        <f t="shared" si="277"/>
        <v>2032</v>
      </c>
      <c r="AG331" s="1204">
        <f t="shared" si="277"/>
        <v>2033</v>
      </c>
      <c r="AH331" s="1204">
        <f t="shared" si="277"/>
        <v>2034</v>
      </c>
      <c r="AI331" s="1204">
        <f t="shared" si="277"/>
        <v>2035</v>
      </c>
      <c r="AJ331" s="1125"/>
    </row>
    <row r="332" spans="1:36" s="1126" customFormat="1">
      <c r="A332" s="1119"/>
      <c r="B332" s="1211" t="s">
        <v>1320</v>
      </c>
      <c r="C332" s="1270"/>
      <c r="D332" s="1121"/>
      <c r="E332" s="1184"/>
      <c r="F332" s="1121"/>
      <c r="G332" s="1121"/>
      <c r="H332" s="1184"/>
      <c r="I332" s="1121"/>
      <c r="J332" s="1121"/>
      <c r="K332" s="1184"/>
      <c r="L332" s="1121"/>
      <c r="M332" s="1121"/>
      <c r="N332" s="1184"/>
      <c r="O332" s="1121"/>
      <c r="P332" s="1121"/>
      <c r="Q332" s="1271" t="s">
        <v>1303</v>
      </c>
      <c r="R332" s="1272"/>
      <c r="S332" s="1273"/>
      <c r="T332" s="1315">
        <f>IF(OR($C331=0,$C331=0,$C336=0),0,IF(AND(T331-$C334&gt;=0,T331&lt;=$C334+$C331,ROUNDDOWN(T331,0)=ROUNDDOWN($C$936,0)),IF(ROUNDDOWN(T331,0)=ROUNDDOWN($C$936,0),ROUND($E$936*VLOOKUP($C336,$H$950:$J$953,3,0)/$F$936,2),ROUND(VLOOKUP($C336,$H$950:$J$953,3,0)/$F$936,2)),0))</f>
        <v>0</v>
      </c>
      <c r="U332" s="1315">
        <f>IF(OR($C331=0,$C331=0,$C336=0),0,IF(AND(ROUNDDOWN(U331,0)&gt;=ROUNDDOWN($C$936,0),1-$T332&lt;VLOOKUP($C336,$H$950:$J$953,3,0)/$F$936),1-$T332,IF(ROUNDDOWN(U331,0)&gt;=ROUNDDOWN($C$936,0),IF(ROUNDDOWN(U331,0)=ROUNDDOWN($C$936,0),ROUND($E$936*VLOOKUP($C336,$H$950:$J$953,3,0)/$F$936,2),ROUND(VLOOKUP($C336,$H$950:$J$953,3,0)/$F$936,2)),0)))</f>
        <v>0</v>
      </c>
      <c r="V332" s="1315">
        <f>IF(OR($C331=0,$C331=0,$C336=0),0,IF(AND(ROUNDDOWN(V331,0)&gt;=ROUNDDOWN($C$936,0),1-SUM($T332:U332)&lt;VLOOKUP($C336,$H$950:$J$953,3,0)/$F$936),1-SUM($T332:U332),IF(ROUNDDOWN(V331,0)&gt;=ROUNDDOWN($C$936,0),IF(ROUNDDOWN(V331,0)=ROUNDDOWN($C$936,0),ROUND($E$936*VLOOKUP($C336,$H$950:$J$953,3,0)/$F$936,2),ROUND(VLOOKUP($C336,$H$950:$J$953,3,0)/$F$936,2)),0)))</f>
        <v>0</v>
      </c>
      <c r="W332" s="1315">
        <f>IF(OR($C331=0,$C331=0,$C336=0),0,IF(AND(ROUNDDOWN(W331,0)&gt;=ROUNDDOWN($C$936,0),1-SUM($T332:V332)&lt;VLOOKUP($C336,$H$950:$J$953,3,0)/$F$936),1-SUM($T332:V332),IF(ROUNDDOWN(W331,0)&gt;=ROUNDDOWN($C$936,0),IF(ROUNDDOWN(W331,0)=ROUNDDOWN($C$936,0),ROUND($E$936*VLOOKUP($C336,$H$950:$J$953,3,0)/$F$936,2),ROUND(VLOOKUP($C336,$H$950:$J$953,3,0)/$F$936,2)),0)))</f>
        <v>0</v>
      </c>
      <c r="X332" s="1315">
        <f>IF(OR($C331=0,$C331=0,$C336=0),0,IF(AND(ROUNDDOWN(X331,0)&gt;=ROUNDDOWN($C$936,0),1-SUM($T332:W332)&lt;VLOOKUP($C336,$H$950:$J$953,3,0)/$F$936),1-SUM($T332:W332),IF(ROUNDDOWN(X331,0)&gt;=ROUNDDOWN($C$936,0),IF(ROUNDDOWN(X331,0)=ROUNDDOWN($C$936,0),ROUND($E$936*VLOOKUP($C336,$H$950:$J$953,3,0)/$F$936,2),ROUND(VLOOKUP($C336,$H$950:$J$953,3,0)/$F$936,2)),0)))</f>
        <v>0</v>
      </c>
      <c r="Y332" s="1315">
        <f>IF(OR($C331=0,$C331=0,$C336=0),0,IF(AND(ROUNDDOWN(Y331,0)&gt;=ROUNDDOWN($C$936,0),1-SUM($T332:X332)&lt;VLOOKUP($C336,$H$950:$J$953,3,0)/$F$936),1-SUM($T332:X332),IF(ROUNDDOWN(Y331,0)&gt;=ROUNDDOWN($C$936,0),IF(ROUNDDOWN(Y331,0)=ROUNDDOWN($C$936,0),ROUND($E$936*VLOOKUP($C336,$H$950:$J$953,3,0)/$F$936,2),ROUND(VLOOKUP($C336,$H$950:$J$953,3,0)/$F$936,2)),0)))</f>
        <v>0</v>
      </c>
      <c r="Z332" s="1315">
        <f>IF(OR($C331=0,$C331=0,$C336=0),0,IF(AND(ROUNDDOWN(Z331,0)&gt;=ROUNDDOWN($C$936,0),1-SUM($T332:Y332)&lt;VLOOKUP($C336,$H$950:$J$953,3,0)/$F$936),1-SUM($T332:Y332),IF(ROUNDDOWN(Z331,0)&gt;=ROUNDDOWN($C$936,0),IF(ROUNDDOWN(Z331,0)=ROUNDDOWN($C$936,0),ROUND($E$936*VLOOKUP($C336,$H$950:$J$953,3,0)/$F$936,2),ROUND(VLOOKUP($C336,$H$950:$J$953,3,0)/$F$936,2)),0)))</f>
        <v>0</v>
      </c>
      <c r="AA332" s="1315">
        <f>IF(OR($C331=0,$C331=0,$C336=0),0,IF(AND(ROUNDDOWN(AA331,0)&gt;=ROUNDDOWN($C$936,0),1-SUM($T332:Z332)&lt;VLOOKUP($C336,$H$950:$J$953,3,0)/$F$936),1-SUM($T332:Z332),IF(ROUNDDOWN(AA331,0)&gt;=ROUNDDOWN($C$936,0),IF(ROUNDDOWN(AA331,0)=ROUNDDOWN($C$936,0),ROUND($E$936*VLOOKUP($C336,$H$950:$J$953,3,0)/$F$936,2),ROUND(VLOOKUP($C336,$H$950:$J$953,3,0)/$F$936,2)),0)))</f>
        <v>0</v>
      </c>
      <c r="AB332" s="1315">
        <f>IF(OR($C331=0,$C331=0,$C336=0),0,IF(AND(ROUNDDOWN(AB331,0)&gt;=ROUNDDOWN($C$936,0),1-SUM($T332:AA332)&lt;VLOOKUP($C336,$H$950:$J$953,3,0)/$F$936),1-SUM($T332:AA332),IF(ROUNDDOWN(AB331,0)&gt;=ROUNDDOWN($C$936,0),IF(ROUNDDOWN(AB331,0)=ROUNDDOWN($C$936,0),ROUND($E$936*VLOOKUP($C336,$H$950:$J$953,3,0)/$F$936,2),ROUND(VLOOKUP($C336,$H$950:$J$953,3,0)/$F$936,2)),0)))</f>
        <v>0</v>
      </c>
      <c r="AC332" s="1315">
        <f>IF(OR($C331=0,$C331=0,$C336=0),0,IF(AND(ROUNDDOWN(AC331,0)&gt;=ROUNDDOWN($C$936,0),1-SUM($T332:AB332)&lt;VLOOKUP($C336,$H$950:$J$953,3,0)/$F$936),1-SUM($T332:AB332),IF(ROUNDDOWN(AC331,0)&gt;=ROUNDDOWN($C$936,0),IF(ROUNDDOWN(AC331,0)=ROUNDDOWN($C$936,0),ROUND($E$936*VLOOKUP($C336,$H$950:$J$953,3,0)/$F$936,2),ROUND(VLOOKUP($C336,$H$950:$J$953,3,0)/$F$936,2)),0)))</f>
        <v>0</v>
      </c>
      <c r="AD332" s="1316">
        <f>IF(OR($C331=0,$C331=0,$C336=0),0,IF(AND(ROUNDDOWN(AD331,0)&gt;=ROUNDDOWN($C$936,0),1-SUM($T332:AC332)&lt;VLOOKUP($C336,$H$950:$J$953,3,0)/$F$936),1-SUM($T332:AC332),IF(ROUNDDOWN(AD331,0)&gt;=ROUNDDOWN($C$936,0),IF(ROUNDDOWN(AD331,0)=ROUNDDOWN($C$936,0),ROUND($E$936*VLOOKUP($C336,$H$950:$J$953,3,0)/$F$936,2),ROUND(VLOOKUP($C336,$H$950:$J$953,3,0)/$F$936,2)),0)))</f>
        <v>0</v>
      </c>
      <c r="AE332" s="1316">
        <f>IF(OR($C331=0,$C331=0,$C336=0),0,IF(AND(ROUNDDOWN(AE331,0)&gt;=ROUNDDOWN($C$936,0),1-SUM($T332:AD332)&lt;VLOOKUP($C336,$H$950:$J$953,3,0)/$F$936),1-SUM($T332:AD332),IF(ROUNDDOWN(AE331,0)&gt;=ROUNDDOWN($C$936,0),IF(ROUNDDOWN(AE331,0)=ROUNDDOWN($C$936,0),ROUND($E$936*VLOOKUP($C336,$H$950:$J$953,3,0)/$F$936,2),ROUND(VLOOKUP($C336,$H$950:$J$953,3,0)/$F$936,2)),0)))</f>
        <v>0</v>
      </c>
      <c r="AF332" s="1316">
        <f>IF(OR($C331=0,$C331=0,$C336=0),0,IF(AND(ROUNDDOWN(AF331,0)&gt;=ROUNDDOWN($C$936,0),1-SUM($T332:AE332)&lt;VLOOKUP($C336,$H$950:$J$953,3,0)/$F$936),1-SUM($T332:AE332),IF(ROUNDDOWN(AF331,0)&gt;=ROUNDDOWN($C$936,0),IF(ROUNDDOWN(AF331,0)=ROUNDDOWN($C$936,0),ROUND($E$936*VLOOKUP($C336,$H$950:$J$953,3,0)/$F$936,2),ROUND(VLOOKUP($C336,$H$950:$J$953,3,0)/$F$936,2)),0)))</f>
        <v>0</v>
      </c>
      <c r="AG332" s="1316">
        <f>IF(OR($C331=0,$C331=0,$C336=0),0,IF(AND(ROUNDDOWN(AG331,0)&gt;=ROUNDDOWN($C$936,0),1-SUM($T332:AF332)&lt;VLOOKUP($C336,$H$950:$J$953,3,0)/$F$936),1-SUM($T332:AF332),IF(ROUNDDOWN(AG331,0)&gt;=ROUNDDOWN($C$936,0),IF(ROUNDDOWN(AG331,0)=ROUNDDOWN($C$936,0),ROUND($E$936*VLOOKUP($C336,$H$950:$J$953,3,0)/$F$936,2),ROUND(VLOOKUP($C336,$H$950:$J$953,3,0)/$F$936,2)),0)))</f>
        <v>0</v>
      </c>
      <c r="AH332" s="1316">
        <f>IF(OR($C331=0,$C331=0,$C336=0),0,IF(AND(ROUNDDOWN(AH331,0)&gt;=ROUNDDOWN($C$936,0),1-SUM($T332:AG332)&lt;VLOOKUP($C336,$H$950:$J$953,3,0)/$F$936),1-SUM($T332:AG332),IF(ROUNDDOWN(AH331,0)&gt;=ROUNDDOWN($C$936,0),IF(ROUNDDOWN(AH331,0)=ROUNDDOWN($C$936,0),ROUND($E$936*VLOOKUP($C336,$H$950:$J$953,3,0)/$F$936,2),ROUND(VLOOKUP($C336,$H$950:$J$953,3,0)/$F$936,2)),0)))</f>
        <v>0</v>
      </c>
      <c r="AI332" s="1316">
        <f>IF(OR($C331=0,$C331=0,$C336=0),0,IF(AND(ROUNDDOWN(AI331,0)&gt;=ROUNDDOWN($C$936,0),1-SUM($T332:AH332)&lt;VLOOKUP($C336,$H$950:$J$953,3,0)/$F$936),1-SUM($T332:AH332),IF(ROUNDDOWN(AI331,0)&gt;=ROUNDDOWN($C$936,0),IF(ROUNDDOWN(AI331,0)=ROUNDDOWN($C$936,0),ROUND($E$936*VLOOKUP($C336,$H$950:$J$953,3,0)/$F$936,2),ROUND(VLOOKUP($C336,$H$950:$J$953,3,0)/$F$936,2)),0)))</f>
        <v>0</v>
      </c>
      <c r="AJ332" s="1125"/>
    </row>
    <row r="333" spans="1:36" s="1126" customFormat="1">
      <c r="A333" s="1119"/>
      <c r="B333" s="1211" t="s">
        <v>1321</v>
      </c>
      <c r="C333" s="1270"/>
      <c r="D333" s="1121"/>
      <c r="E333" s="1184"/>
      <c r="F333" s="1121"/>
      <c r="G333" s="1121"/>
      <c r="H333" s="1184"/>
      <c r="I333" s="1121"/>
      <c r="J333" s="1121"/>
      <c r="K333" s="1184"/>
      <c r="L333" s="1121"/>
      <c r="M333" s="1121"/>
      <c r="N333" s="1184"/>
      <c r="O333" s="1121"/>
      <c r="P333" s="1121"/>
      <c r="Q333" s="1276" t="s">
        <v>1304</v>
      </c>
      <c r="R333" s="1277"/>
      <c r="S333" s="1278"/>
      <c r="T333" s="1317">
        <f>$C330*T332</f>
        <v>0</v>
      </c>
      <c r="U333" s="1317">
        <f t="shared" ref="U333:AI333" si="278">IF($C334&gt;U331,0,U332*$C330)</f>
        <v>0</v>
      </c>
      <c r="V333" s="1317">
        <f t="shared" si="278"/>
        <v>0</v>
      </c>
      <c r="W333" s="1317">
        <f t="shared" si="278"/>
        <v>0</v>
      </c>
      <c r="X333" s="1317">
        <f t="shared" si="278"/>
        <v>0</v>
      </c>
      <c r="Y333" s="1317">
        <f t="shared" si="278"/>
        <v>0</v>
      </c>
      <c r="Z333" s="1317">
        <f t="shared" si="278"/>
        <v>0</v>
      </c>
      <c r="AA333" s="1317">
        <f t="shared" si="278"/>
        <v>0</v>
      </c>
      <c r="AB333" s="1317">
        <f t="shared" si="278"/>
        <v>0</v>
      </c>
      <c r="AC333" s="1317">
        <f t="shared" si="278"/>
        <v>0</v>
      </c>
      <c r="AD333" s="1318">
        <f t="shared" si="278"/>
        <v>0</v>
      </c>
      <c r="AE333" s="1318">
        <f t="shared" si="278"/>
        <v>0</v>
      </c>
      <c r="AF333" s="1318">
        <f t="shared" si="278"/>
        <v>0</v>
      </c>
      <c r="AG333" s="1318">
        <f t="shared" si="278"/>
        <v>0</v>
      </c>
      <c r="AH333" s="1318">
        <f t="shared" si="278"/>
        <v>0</v>
      </c>
      <c r="AI333" s="1318">
        <f t="shared" si="278"/>
        <v>0</v>
      </c>
      <c r="AJ333" s="1125"/>
    </row>
    <row r="334" spans="1:36" s="1126" customFormat="1">
      <c r="A334" s="1119"/>
      <c r="B334" s="1319" t="s">
        <v>1322</v>
      </c>
      <c r="C334" s="1282"/>
      <c r="D334" s="1121"/>
      <c r="E334" s="1184"/>
      <c r="F334" s="1121"/>
      <c r="G334" s="1121"/>
      <c r="H334" s="1184"/>
      <c r="I334" s="1121"/>
      <c r="J334" s="1121"/>
      <c r="K334" s="1184"/>
      <c r="L334" s="1121"/>
      <c r="M334" s="1121"/>
      <c r="N334" s="1184"/>
      <c r="O334" s="1121"/>
      <c r="P334" s="1121"/>
      <c r="Q334" s="1283" t="s">
        <v>1305</v>
      </c>
      <c r="R334" s="1284"/>
      <c r="S334" s="1285"/>
      <c r="T334" s="1286">
        <f t="shared" ref="T334:AI334" si="279">IF($C334&gt;=U331,0,$C330*U332)</f>
        <v>0</v>
      </c>
      <c r="U334" s="1286">
        <f t="shared" si="279"/>
        <v>0</v>
      </c>
      <c r="V334" s="1286">
        <f t="shared" si="279"/>
        <v>0</v>
      </c>
      <c r="W334" s="1286">
        <f t="shared" si="279"/>
        <v>0</v>
      </c>
      <c r="X334" s="1286">
        <f t="shared" si="279"/>
        <v>0</v>
      </c>
      <c r="Y334" s="1286">
        <f t="shared" si="279"/>
        <v>0</v>
      </c>
      <c r="Z334" s="1286">
        <f t="shared" si="279"/>
        <v>0</v>
      </c>
      <c r="AA334" s="1286">
        <f t="shared" si="279"/>
        <v>0</v>
      </c>
      <c r="AB334" s="1286">
        <f t="shared" si="279"/>
        <v>0</v>
      </c>
      <c r="AC334" s="1286">
        <f t="shared" si="279"/>
        <v>0</v>
      </c>
      <c r="AD334" s="1287">
        <f t="shared" si="279"/>
        <v>0</v>
      </c>
      <c r="AE334" s="1287">
        <f t="shared" si="279"/>
        <v>0</v>
      </c>
      <c r="AF334" s="1287">
        <f t="shared" si="279"/>
        <v>0</v>
      </c>
      <c r="AG334" s="1287">
        <f t="shared" si="279"/>
        <v>0</v>
      </c>
      <c r="AH334" s="1287">
        <f t="shared" si="279"/>
        <v>0</v>
      </c>
      <c r="AI334" s="1287">
        <f t="shared" si="279"/>
        <v>0</v>
      </c>
      <c r="AJ334" s="1125"/>
    </row>
    <row r="335" spans="1:36" s="1126" customFormat="1">
      <c r="A335" s="1119"/>
      <c r="B335" s="1319" t="s">
        <v>1323</v>
      </c>
      <c r="C335" s="1282"/>
      <c r="D335" s="1121"/>
      <c r="E335" s="1184"/>
      <c r="F335" s="1121"/>
      <c r="G335" s="1121"/>
      <c r="H335" s="1184"/>
      <c r="I335" s="1121"/>
      <c r="J335" s="1121"/>
      <c r="K335" s="1184"/>
      <c r="L335" s="1121"/>
      <c r="M335" s="1121"/>
      <c r="N335" s="1184"/>
      <c r="O335" s="1121"/>
      <c r="P335" s="1121"/>
      <c r="Q335" s="1288" t="s">
        <v>1306</v>
      </c>
      <c r="R335" s="1289"/>
      <c r="S335" s="1290"/>
      <c r="T335" s="1320">
        <f>IF($C334&gt;T331,0,$C330-T333-T334)</f>
        <v>0</v>
      </c>
      <c r="U335" s="1320">
        <f t="shared" ref="U335:AI335" si="280">IF($C334&gt;U331,0,IF($C334=U331,$C330-U333-U334,IF(SUM(T334:T335)-SUM(U333:U334)&lt;=0.005,0,SUM(T334:T335)-SUM(U333:U334))))</f>
        <v>0</v>
      </c>
      <c r="V335" s="1320">
        <f t="shared" si="280"/>
        <v>0</v>
      </c>
      <c r="W335" s="1320">
        <f t="shared" si="280"/>
        <v>0</v>
      </c>
      <c r="X335" s="1320">
        <f t="shared" si="280"/>
        <v>0</v>
      </c>
      <c r="Y335" s="1320">
        <f t="shared" si="280"/>
        <v>0</v>
      </c>
      <c r="Z335" s="1320">
        <f t="shared" si="280"/>
        <v>0</v>
      </c>
      <c r="AA335" s="1320">
        <f t="shared" si="280"/>
        <v>0</v>
      </c>
      <c r="AB335" s="1320">
        <f t="shared" si="280"/>
        <v>0</v>
      </c>
      <c r="AC335" s="1320">
        <f t="shared" si="280"/>
        <v>0</v>
      </c>
      <c r="AD335" s="1321">
        <f t="shared" si="280"/>
        <v>0</v>
      </c>
      <c r="AE335" s="1321">
        <f t="shared" si="280"/>
        <v>0</v>
      </c>
      <c r="AF335" s="1321">
        <f t="shared" si="280"/>
        <v>0</v>
      </c>
      <c r="AG335" s="1321">
        <f t="shared" si="280"/>
        <v>0</v>
      </c>
      <c r="AH335" s="1321">
        <f t="shared" si="280"/>
        <v>0</v>
      </c>
      <c r="AI335" s="1321">
        <f t="shared" si="280"/>
        <v>0</v>
      </c>
      <c r="AJ335" s="1125"/>
    </row>
    <row r="336" spans="1:36" s="1126" customFormat="1">
      <c r="A336" s="1119"/>
      <c r="B336" s="1322" t="s">
        <v>1324</v>
      </c>
      <c r="C336" s="1294"/>
      <c r="D336" s="1121"/>
      <c r="E336" s="1184"/>
      <c r="F336" s="1121"/>
      <c r="G336" s="1121"/>
      <c r="H336" s="1184"/>
      <c r="I336" s="1121"/>
      <c r="J336" s="1121"/>
      <c r="K336" s="1184"/>
      <c r="L336" s="1121"/>
      <c r="M336" s="1121"/>
      <c r="N336" s="1184"/>
      <c r="O336" s="1121"/>
      <c r="P336" s="1121"/>
      <c r="Q336" s="1271" t="s">
        <v>1307</v>
      </c>
      <c r="R336" s="1272"/>
      <c r="S336" s="1273"/>
      <c r="T336" s="1296"/>
      <c r="U336" s="1296">
        <f t="shared" ref="U336:AI336" si="281">T336</f>
        <v>0</v>
      </c>
      <c r="V336" s="1296">
        <f t="shared" si="281"/>
        <v>0</v>
      </c>
      <c r="W336" s="1296">
        <f t="shared" si="281"/>
        <v>0</v>
      </c>
      <c r="X336" s="1296">
        <f t="shared" si="281"/>
        <v>0</v>
      </c>
      <c r="Y336" s="1296">
        <f t="shared" si="281"/>
        <v>0</v>
      </c>
      <c r="Z336" s="1296">
        <f t="shared" si="281"/>
        <v>0</v>
      </c>
      <c r="AA336" s="1296">
        <f t="shared" si="281"/>
        <v>0</v>
      </c>
      <c r="AB336" s="1296">
        <f t="shared" si="281"/>
        <v>0</v>
      </c>
      <c r="AC336" s="1296">
        <f t="shared" si="281"/>
        <v>0</v>
      </c>
      <c r="AD336" s="1297">
        <f t="shared" si="281"/>
        <v>0</v>
      </c>
      <c r="AE336" s="1297">
        <f t="shared" si="281"/>
        <v>0</v>
      </c>
      <c r="AF336" s="1297">
        <f t="shared" si="281"/>
        <v>0</v>
      </c>
      <c r="AG336" s="1297">
        <f t="shared" si="281"/>
        <v>0</v>
      </c>
      <c r="AH336" s="1297">
        <f t="shared" si="281"/>
        <v>0</v>
      </c>
      <c r="AI336" s="1297">
        <f t="shared" si="281"/>
        <v>0</v>
      </c>
      <c r="AJ336" s="1125"/>
    </row>
    <row r="337" spans="1:43" s="1126" customFormat="1">
      <c r="A337" s="1119"/>
      <c r="B337" s="1298"/>
      <c r="C337" s="1184"/>
      <c r="D337" s="1121"/>
      <c r="E337" s="1184"/>
      <c r="F337" s="1121"/>
      <c r="G337" s="1121"/>
      <c r="H337" s="1184"/>
      <c r="I337" s="1121"/>
      <c r="J337" s="1121"/>
      <c r="K337" s="1184"/>
      <c r="L337" s="1121"/>
      <c r="M337" s="1121"/>
      <c r="N337" s="1184"/>
      <c r="O337" s="1121"/>
      <c r="P337" s="1121"/>
      <c r="Q337" s="1299" t="s">
        <v>1308</v>
      </c>
      <c r="R337" s="1300"/>
      <c r="S337" s="1301"/>
      <c r="T337" s="1302">
        <f>IF(OR($C334&lt;&gt;T331,T336=0,T336=0),0,IF(AND(T332=0,$D$937=1),T336,IF(T332=0,NOMINAL(T336,12)*IF($C334=T331,$D$937,1),IF(AND($C334=T331,ROUNDDOWN($C$936,0)=T331),$E$936,1)*NOMINAL(T336,VLOOKUP($C336,$H$950:$J$953,3,0))/VLOOKUP($C336,$H$950:$J$953,3,0)))*((IF(T332=0,1,IF(AND($C334=T331,T332&lt;ROUNDDOWN(VLOOKUP($C336,$H$950:$J$953,3,0)/$F$936,0)),ROUNDDOWN(T332*$F$936,0),IF(AND($C334&lt;T331,T332&lt;ROUNDDOWN(VLOOKUP($C336,$H$950:$J$953,3,0)/$F$936,0)),ROUND(AVERAGE(ROUNDDOWN(T332*$F$936,0),2*VLOOKUP($C336,$H$950:$J$953,3,0)),0),VLOOKUP($C336,$H$950:$J$953,3,0))))*$C330)-((T333*(IF(T332=0,1,IF(AND($C334=T331,T332&lt;ROUNDDOWN(VLOOKUP($C336,$H$950:$J$953,3,0)/$F$936,0)),ROUNDDOWN(T332*$F$936,0),IF(AND($C334&lt;T331,T332&lt;ROUNDDOWN(VLOOKUP($C336,$H$950:$J$953,3,0)/$F$936,0)),ROUND(AVERAGE(ROUNDDOWN(T332*$F$936,0),2*VLOOKUP($C336,$H$950:$J$953,3,0)),0),VLOOKUP($C336,$H$950:$J$953,3,0))))-1))/2)))</f>
        <v>0</v>
      </c>
      <c r="U337" s="1302">
        <f t="shared" ref="U337:AI337" si="282">IF(OR($C334&gt;U331,U336=0,U336=0),0,IF(AND(U332=0,OR(U331&gt;$C334,$D$937=1)),U336,IF(U332=0,NOMINAL(U336,12)*IF($C334=U331,$D$937,1),IF(AND($C334=U331,ROUNDDOWN($C$936,0)=U331),$E$936,1)*NOMINAL(U336,VLOOKUP($C336,$H$950:$J$953,3,0))/VLOOKUP($C336,$H$950:$J$953,3,0)))*((IF(U332=0,1,IF(AND($C334=U331,U332&lt;ROUNDDOWN(VLOOKUP($C336,$H$950:$J$953,3,0)/$F$936,0)),ROUNDDOWN(U332*$F$936,0),IF(AND($C334&lt;U331,U332&lt;ROUNDDOWN(VLOOKUP($C336,$H$950:$J$953,3,0)/$F$936,0)),ROUND(AVERAGE(ROUNDDOWN(U332*$F$936,0),2*VLOOKUP($C336,$H$950:$J$953,3,0)),0),VLOOKUP($C336,$H$950:$J$953,3,0))))*IF($C334=U331,$C330,SUM(T334:T335)))-((U333*(IF(U332=0,1,IF(AND($C334=U331,U332&lt;ROUNDDOWN(VLOOKUP($C336,$H$950:$J$953,3,0)/$F$936,0)),ROUNDDOWN(U332*$F$936,0),IF(AND($C334&lt;U331,U332&lt;ROUNDDOWN(VLOOKUP($C336,$H$950:$J$953,3,0)/$F$936,0)),ROUND(AVERAGE(ROUNDDOWN(U332*$F$936,0),2*VLOOKUP($C336,$H$950:$J$953,3,0)),0),VLOOKUP($C336,$H$950:$J$953,3,0))))-1))/2)))</f>
        <v>0</v>
      </c>
      <c r="V337" s="1302">
        <f t="shared" si="282"/>
        <v>0</v>
      </c>
      <c r="W337" s="1302">
        <f t="shared" si="282"/>
        <v>0</v>
      </c>
      <c r="X337" s="1302">
        <f t="shared" si="282"/>
        <v>0</v>
      </c>
      <c r="Y337" s="1302">
        <f t="shared" si="282"/>
        <v>0</v>
      </c>
      <c r="Z337" s="1302">
        <f t="shared" si="282"/>
        <v>0</v>
      </c>
      <c r="AA337" s="1302">
        <f t="shared" si="282"/>
        <v>0</v>
      </c>
      <c r="AB337" s="1302">
        <f t="shared" si="282"/>
        <v>0</v>
      </c>
      <c r="AC337" s="1302">
        <f t="shared" si="282"/>
        <v>0</v>
      </c>
      <c r="AD337" s="1329">
        <f t="shared" si="282"/>
        <v>0</v>
      </c>
      <c r="AE337" s="1329">
        <f t="shared" si="282"/>
        <v>0</v>
      </c>
      <c r="AF337" s="1329">
        <f t="shared" si="282"/>
        <v>0</v>
      </c>
      <c r="AG337" s="1329">
        <f t="shared" si="282"/>
        <v>0</v>
      </c>
      <c r="AH337" s="1329">
        <f t="shared" si="282"/>
        <v>0</v>
      </c>
      <c r="AI337" s="1329">
        <f t="shared" si="282"/>
        <v>0</v>
      </c>
      <c r="AJ337" s="1125"/>
    </row>
    <row r="338" spans="1:43" s="1126" customFormat="1">
      <c r="A338" s="1119"/>
      <c r="B338" s="1298"/>
      <c r="C338" s="1184"/>
      <c r="D338" s="1121"/>
      <c r="E338" s="1184"/>
      <c r="F338" s="1121"/>
      <c r="G338" s="1121"/>
      <c r="H338" s="1184"/>
      <c r="I338" s="1121"/>
      <c r="J338" s="1121"/>
      <c r="K338" s="1184"/>
      <c r="L338" s="1121"/>
      <c r="M338" s="1121"/>
      <c r="N338" s="1184"/>
      <c r="O338" s="1121"/>
      <c r="P338" s="1121"/>
      <c r="Q338" s="1121"/>
      <c r="R338" s="1121"/>
      <c r="S338" s="1121"/>
      <c r="T338" s="1324"/>
      <c r="U338" s="1324"/>
      <c r="V338" s="1324"/>
      <c r="W338" s="1324"/>
      <c r="X338" s="1324"/>
      <c r="Y338" s="1324"/>
      <c r="Z338" s="1324"/>
      <c r="AA338" s="1324"/>
      <c r="AB338" s="1324"/>
      <c r="AC338" s="1324"/>
      <c r="AD338" s="1325"/>
      <c r="AE338" s="1326"/>
      <c r="AF338" s="1121"/>
      <c r="AG338" s="1121"/>
      <c r="AH338" s="1121"/>
      <c r="AI338" s="1121"/>
      <c r="AJ338" s="1125"/>
    </row>
    <row r="339" spans="1:43" s="1126" customFormat="1">
      <c r="A339" s="1119"/>
      <c r="B339" s="1298"/>
      <c r="C339" s="1184"/>
      <c r="D339" s="1121"/>
      <c r="E339" s="1184"/>
      <c r="F339" s="1121"/>
      <c r="G339" s="1121"/>
      <c r="H339" s="1184"/>
      <c r="I339" s="1121"/>
      <c r="J339" s="1121"/>
      <c r="K339" s="1184"/>
      <c r="L339" s="1121"/>
      <c r="M339" s="1121"/>
      <c r="N339" s="1184"/>
      <c r="O339" s="1121"/>
      <c r="P339" s="1121"/>
      <c r="Q339" s="1121"/>
      <c r="R339" s="1121"/>
      <c r="S339" s="1121"/>
      <c r="T339" s="1121"/>
      <c r="U339" s="1121"/>
      <c r="V339" s="1121"/>
      <c r="W339" s="1121"/>
      <c r="X339" s="1121"/>
      <c r="Y339" s="1121"/>
      <c r="Z339" s="1121"/>
      <c r="AA339" s="1121"/>
      <c r="AB339" s="1121"/>
      <c r="AC339" s="1121"/>
      <c r="AD339" s="1121"/>
      <c r="AE339" s="1260"/>
      <c r="AF339" s="1121"/>
      <c r="AG339" s="1121"/>
      <c r="AH339" s="1121"/>
      <c r="AI339" s="1121"/>
      <c r="AJ339" s="1125"/>
    </row>
    <row r="340" spans="1:43" s="1126" customFormat="1">
      <c r="A340" s="1119"/>
      <c r="B340" s="1330" t="s">
        <v>1325</v>
      </c>
      <c r="C340" s="1331"/>
      <c r="D340" s="1332"/>
      <c r="E340" s="1331"/>
      <c r="F340" s="1332"/>
      <c r="G340" s="1332"/>
      <c r="H340" s="1331"/>
      <c r="I340" s="1332"/>
      <c r="J340" s="1332"/>
      <c r="K340" s="1331"/>
      <c r="L340" s="1332"/>
      <c r="M340" s="1332"/>
      <c r="N340" s="1331"/>
      <c r="O340" s="1332"/>
      <c r="P340" s="1332"/>
      <c r="Q340" s="1331"/>
      <c r="R340" s="1332"/>
      <c r="S340" s="1332"/>
      <c r="T340" s="1333">
        <f t="shared" ref="T340:AI340" si="283">T314+T324+T334</f>
        <v>0</v>
      </c>
      <c r="U340" s="1333">
        <f t="shared" si="283"/>
        <v>0</v>
      </c>
      <c r="V340" s="1333">
        <f t="shared" si="283"/>
        <v>0</v>
      </c>
      <c r="W340" s="1333">
        <f t="shared" si="283"/>
        <v>0</v>
      </c>
      <c r="X340" s="1333">
        <f t="shared" si="283"/>
        <v>0</v>
      </c>
      <c r="Y340" s="1333">
        <f t="shared" si="283"/>
        <v>0</v>
      </c>
      <c r="Z340" s="1333">
        <f t="shared" si="283"/>
        <v>0</v>
      </c>
      <c r="AA340" s="1333">
        <f t="shared" si="283"/>
        <v>0</v>
      </c>
      <c r="AB340" s="1333">
        <f t="shared" si="283"/>
        <v>0</v>
      </c>
      <c r="AC340" s="1333">
        <f t="shared" si="283"/>
        <v>0</v>
      </c>
      <c r="AD340" s="1334">
        <f t="shared" si="283"/>
        <v>0</v>
      </c>
      <c r="AE340" s="1334">
        <f t="shared" si="283"/>
        <v>0</v>
      </c>
      <c r="AF340" s="1334">
        <f t="shared" si="283"/>
        <v>0</v>
      </c>
      <c r="AG340" s="1334">
        <f t="shared" si="283"/>
        <v>0</v>
      </c>
      <c r="AH340" s="1334">
        <f t="shared" si="283"/>
        <v>0</v>
      </c>
      <c r="AI340" s="1334">
        <f t="shared" si="283"/>
        <v>0</v>
      </c>
      <c r="AJ340" s="1125"/>
    </row>
    <row r="341" spans="1:43" s="1126" customFormat="1">
      <c r="A341" s="1119"/>
      <c r="B341" s="1330" t="s">
        <v>1326</v>
      </c>
      <c r="C341" s="1331"/>
      <c r="D341" s="1332"/>
      <c r="E341" s="1331"/>
      <c r="F341" s="1332"/>
      <c r="G341" s="1332"/>
      <c r="H341" s="1331"/>
      <c r="I341" s="1332"/>
      <c r="J341" s="1332"/>
      <c r="K341" s="1331"/>
      <c r="L341" s="1332"/>
      <c r="M341" s="1332"/>
      <c r="N341" s="1331"/>
      <c r="O341" s="1332"/>
      <c r="P341" s="1332"/>
      <c r="Q341" s="1331"/>
      <c r="R341" s="1332"/>
      <c r="S341" s="1332"/>
      <c r="T341" s="1335">
        <f t="shared" ref="T341:AI341" si="284">T315+T325+T335</f>
        <v>0</v>
      </c>
      <c r="U341" s="1335">
        <f t="shared" si="284"/>
        <v>0</v>
      </c>
      <c r="V341" s="1335">
        <f t="shared" si="284"/>
        <v>0</v>
      </c>
      <c r="W341" s="1335">
        <f t="shared" si="284"/>
        <v>0</v>
      </c>
      <c r="X341" s="1335">
        <f t="shared" si="284"/>
        <v>0</v>
      </c>
      <c r="Y341" s="1335">
        <f t="shared" si="284"/>
        <v>0</v>
      </c>
      <c r="Z341" s="1335">
        <f t="shared" si="284"/>
        <v>0</v>
      </c>
      <c r="AA341" s="1335">
        <f t="shared" si="284"/>
        <v>0</v>
      </c>
      <c r="AB341" s="1335">
        <f t="shared" si="284"/>
        <v>0</v>
      </c>
      <c r="AC341" s="1335">
        <f t="shared" si="284"/>
        <v>0</v>
      </c>
      <c r="AD341" s="1336">
        <f t="shared" si="284"/>
        <v>0</v>
      </c>
      <c r="AE341" s="1336">
        <f t="shared" si="284"/>
        <v>0</v>
      </c>
      <c r="AF341" s="1336">
        <f t="shared" si="284"/>
        <v>0</v>
      </c>
      <c r="AG341" s="1336">
        <f t="shared" si="284"/>
        <v>0</v>
      </c>
      <c r="AH341" s="1336">
        <f t="shared" si="284"/>
        <v>0</v>
      </c>
      <c r="AI341" s="1336">
        <f t="shared" si="284"/>
        <v>0</v>
      </c>
      <c r="AJ341" s="1125"/>
    </row>
    <row r="342" spans="1:43" s="1344" customFormat="1" ht="11" thickBot="1">
      <c r="A342" s="1337"/>
      <c r="B342" s="1338" t="s">
        <v>1327</v>
      </c>
      <c r="C342" s="1339"/>
      <c r="D342" s="1340"/>
      <c r="E342" s="1339"/>
      <c r="F342" s="1340"/>
      <c r="G342" s="1340"/>
      <c r="H342" s="1339"/>
      <c r="I342" s="1340"/>
      <c r="J342" s="1340"/>
      <c r="K342" s="1339"/>
      <c r="L342" s="1340"/>
      <c r="M342" s="1340"/>
      <c r="N342" s="1339"/>
      <c r="O342" s="1340"/>
      <c r="P342" s="1340"/>
      <c r="Q342" s="1339"/>
      <c r="R342" s="1340"/>
      <c r="S342" s="1340"/>
      <c r="T342" s="1341">
        <f t="shared" ref="T342:AI342" si="285">T317+T327+T337</f>
        <v>0</v>
      </c>
      <c r="U342" s="1341">
        <f t="shared" si="285"/>
        <v>0</v>
      </c>
      <c r="V342" s="1341">
        <f t="shared" si="285"/>
        <v>0</v>
      </c>
      <c r="W342" s="1341">
        <f t="shared" si="285"/>
        <v>0</v>
      </c>
      <c r="X342" s="1341">
        <f t="shared" si="285"/>
        <v>0</v>
      </c>
      <c r="Y342" s="1341">
        <f t="shared" si="285"/>
        <v>0</v>
      </c>
      <c r="Z342" s="1341">
        <f t="shared" si="285"/>
        <v>0</v>
      </c>
      <c r="AA342" s="1341">
        <f t="shared" si="285"/>
        <v>0</v>
      </c>
      <c r="AB342" s="1341">
        <f t="shared" si="285"/>
        <v>0</v>
      </c>
      <c r="AC342" s="1341">
        <f t="shared" si="285"/>
        <v>0</v>
      </c>
      <c r="AD342" s="1342">
        <f t="shared" si="285"/>
        <v>0</v>
      </c>
      <c r="AE342" s="1342">
        <f t="shared" si="285"/>
        <v>0</v>
      </c>
      <c r="AF342" s="1342">
        <f t="shared" si="285"/>
        <v>0</v>
      </c>
      <c r="AG342" s="1342">
        <f t="shared" si="285"/>
        <v>0</v>
      </c>
      <c r="AH342" s="1342">
        <f t="shared" si="285"/>
        <v>0</v>
      </c>
      <c r="AI342" s="1342">
        <f t="shared" si="285"/>
        <v>0</v>
      </c>
      <c r="AJ342" s="1343"/>
    </row>
    <row r="343" spans="1:43" s="1344" customFormat="1" ht="11" thickBot="1">
      <c r="A343" s="1337"/>
      <c r="B343" s="1345"/>
      <c r="D343" s="1346"/>
      <c r="E343" s="1346"/>
      <c r="F343" s="1346"/>
      <c r="G343" s="1346"/>
      <c r="H343" s="1346"/>
      <c r="I343" s="1346"/>
      <c r="J343" s="1346"/>
      <c r="K343" s="1346"/>
      <c r="L343" s="1346"/>
      <c r="M343" s="1346"/>
      <c r="N343" s="1346"/>
      <c r="O343" s="1346"/>
      <c r="P343" s="1346"/>
      <c r="Q343" s="1346"/>
      <c r="R343" s="1346"/>
      <c r="S343" s="1346"/>
      <c r="T343" s="1346"/>
      <c r="U343" s="1346"/>
      <c r="V343" s="1346"/>
      <c r="W343" s="1346"/>
      <c r="X343" s="1346"/>
      <c r="Y343" s="1346"/>
      <c r="Z343" s="1346"/>
      <c r="AA343" s="1346"/>
      <c r="AB343" s="1346"/>
      <c r="AC343" s="1346"/>
      <c r="AD343" s="1346"/>
      <c r="AE343" s="1347"/>
      <c r="AF343" s="1348"/>
      <c r="AG343" s="1346"/>
      <c r="AH343" s="1346"/>
      <c r="AI343" s="1346"/>
      <c r="AJ343" s="1343"/>
    </row>
    <row r="344" spans="1:43" s="1344" customFormat="1">
      <c r="A344" s="1337"/>
      <c r="B344" s="1349" t="s">
        <v>1328</v>
      </c>
      <c r="C344" s="1350"/>
      <c r="D344" s="1351"/>
      <c r="E344" s="1352"/>
      <c r="F344" s="1351"/>
      <c r="G344" s="1351"/>
      <c r="H344" s="1352"/>
      <c r="I344" s="1351"/>
      <c r="J344" s="1351"/>
      <c r="K344" s="1352"/>
      <c r="L344" s="1351"/>
      <c r="M344" s="1351"/>
      <c r="N344" s="1352"/>
      <c r="O344" s="1351"/>
      <c r="P344" s="1351"/>
      <c r="Q344" s="1352"/>
      <c r="R344" s="1351"/>
      <c r="S344" s="1351"/>
      <c r="T344" s="1353" t="s">
        <v>1044</v>
      </c>
      <c r="U344" s="1353" t="s">
        <v>1044</v>
      </c>
      <c r="V344" s="1353" t="s">
        <v>1044</v>
      </c>
      <c r="W344" s="1353" t="s">
        <v>1044</v>
      </c>
      <c r="X344" s="1353" t="s">
        <v>1044</v>
      </c>
      <c r="Y344" s="1353" t="s">
        <v>1044</v>
      </c>
      <c r="Z344" s="1353" t="s">
        <v>1044</v>
      </c>
      <c r="AA344" s="1353" t="s">
        <v>1044</v>
      </c>
      <c r="AB344" s="1353" t="s">
        <v>1044</v>
      </c>
      <c r="AC344" s="1353" t="s">
        <v>1044</v>
      </c>
      <c r="AD344" s="1354" t="s">
        <v>1044</v>
      </c>
      <c r="AE344" s="1354" t="s">
        <v>1044</v>
      </c>
      <c r="AF344" s="1354" t="s">
        <v>1044</v>
      </c>
      <c r="AG344" s="1354" t="s">
        <v>1044</v>
      </c>
      <c r="AH344" s="1354" t="s">
        <v>1044</v>
      </c>
      <c r="AI344" s="1354" t="s">
        <v>1044</v>
      </c>
      <c r="AJ344" s="1343"/>
    </row>
    <row r="345" spans="1:43" s="1126" customFormat="1">
      <c r="A345" s="1119"/>
      <c r="B345" s="1355"/>
      <c r="C345" s="1356">
        <f>C15</f>
        <v>2016</v>
      </c>
      <c r="D345" s="1099"/>
      <c r="E345" s="700">
        <f>E15</f>
        <v>2017</v>
      </c>
      <c r="F345" s="1099"/>
      <c r="G345" s="1099"/>
      <c r="H345" s="700">
        <f>H15</f>
        <v>2018</v>
      </c>
      <c r="I345" s="1101"/>
      <c r="J345" s="1101"/>
      <c r="K345" s="700">
        <f>K15</f>
        <v>2019</v>
      </c>
      <c r="L345" s="1099"/>
      <c r="M345" s="539"/>
      <c r="N345" s="700">
        <f>N15</f>
        <v>2019</v>
      </c>
      <c r="O345" s="1099"/>
      <c r="P345" s="539"/>
      <c r="Q345" s="700" t="str">
        <f>Q15</f>
        <v>2020</v>
      </c>
      <c r="R345" s="1121"/>
      <c r="S345" s="1121"/>
      <c r="T345" s="700">
        <f t="shared" ref="T345:AI345" si="286">T15</f>
        <v>2020</v>
      </c>
      <c r="U345" s="700">
        <f t="shared" si="286"/>
        <v>2021</v>
      </c>
      <c r="V345" s="700">
        <f t="shared" si="286"/>
        <v>2022</v>
      </c>
      <c r="W345" s="700">
        <f t="shared" si="286"/>
        <v>2023</v>
      </c>
      <c r="X345" s="700">
        <f t="shared" si="286"/>
        <v>2024</v>
      </c>
      <c r="Y345" s="700">
        <f t="shared" si="286"/>
        <v>2025</v>
      </c>
      <c r="Z345" s="700">
        <f t="shared" si="286"/>
        <v>2026</v>
      </c>
      <c r="AA345" s="700">
        <f t="shared" si="286"/>
        <v>2027</v>
      </c>
      <c r="AB345" s="700">
        <f t="shared" si="286"/>
        <v>2028</v>
      </c>
      <c r="AC345" s="700">
        <f t="shared" si="286"/>
        <v>2029</v>
      </c>
      <c r="AD345" s="1357">
        <f t="shared" si="286"/>
        <v>2030</v>
      </c>
      <c r="AE345" s="1357">
        <f t="shared" si="286"/>
        <v>2031</v>
      </c>
      <c r="AF345" s="1357">
        <f t="shared" si="286"/>
        <v>2032</v>
      </c>
      <c r="AG345" s="1357">
        <f t="shared" si="286"/>
        <v>2033</v>
      </c>
      <c r="AH345" s="1357">
        <f t="shared" si="286"/>
        <v>2034</v>
      </c>
      <c r="AI345" s="1357">
        <f t="shared" si="286"/>
        <v>2035</v>
      </c>
      <c r="AJ345" s="1125"/>
    </row>
    <row r="346" spans="1:43" s="1126" customFormat="1">
      <c r="A346" s="1119"/>
      <c r="B346" s="1358" t="s">
        <v>1329</v>
      </c>
      <c r="C346" s="1359">
        <f>IF(C45+C54=0,0,C347/(C45+C54))</f>
        <v>0</v>
      </c>
      <c r="D346" s="531"/>
      <c r="E346" s="1360">
        <f>IF(E45+E54=0,0,E347/(E45+E54))</f>
        <v>0</v>
      </c>
      <c r="F346" s="531"/>
      <c r="G346" s="531"/>
      <c r="H346" s="1360">
        <f>IF(H45+H54=0,0,H347/(H45+H54))</f>
        <v>0</v>
      </c>
      <c r="I346" s="530"/>
      <c r="J346" s="530"/>
      <c r="K346" s="1360">
        <f>IF(K45+K54=0,0,K347/(K45+K54))</f>
        <v>0</v>
      </c>
      <c r="L346" s="531"/>
      <c r="M346" s="539"/>
      <c r="N346" s="1360">
        <f>IF(N45+N54=0,0,N347/(N45+N54))</f>
        <v>0</v>
      </c>
      <c r="O346" s="531"/>
      <c r="P346" s="539"/>
      <c r="Q346" s="1360">
        <f>IF(Q45+Q54=0,0,Q347/(Q45+Q54))</f>
        <v>0</v>
      </c>
      <c r="R346" s="531"/>
      <c r="S346" s="539"/>
      <c r="T346" s="1361">
        <f>IF($N$71=0,0,E346*($E$241+$C$241)+H346*$H$241+N346*$N$241+Q346*$Q$241)</f>
        <v>0</v>
      </c>
      <c r="U346" s="1361">
        <f>T346</f>
        <v>0</v>
      </c>
      <c r="V346" s="1361"/>
      <c r="W346" s="1361"/>
      <c r="X346" s="1361"/>
      <c r="Y346" s="1361"/>
      <c r="Z346" s="1361"/>
      <c r="AA346" s="1361"/>
      <c r="AB346" s="1361"/>
      <c r="AC346" s="1361"/>
      <c r="AD346" s="1362"/>
      <c r="AE346" s="1362"/>
      <c r="AF346" s="1362"/>
      <c r="AG346" s="1362"/>
      <c r="AH346" s="1362"/>
      <c r="AI346" s="1362"/>
      <c r="AJ346" s="1125"/>
    </row>
    <row r="347" spans="1:43" s="1126" customFormat="1" ht="13.5" thickBot="1">
      <c r="A347" s="1119"/>
      <c r="B347" s="1363" t="s">
        <v>1330</v>
      </c>
      <c r="C347" s="1364">
        <f>C76-C253-C443</f>
        <v>0</v>
      </c>
      <c r="D347" s="1365"/>
      <c r="E347" s="1366">
        <f>E76-E253-E443</f>
        <v>0</v>
      </c>
      <c r="F347" s="1365"/>
      <c r="G347" s="1365"/>
      <c r="H347" s="1366">
        <f>H76-H253-H443</f>
        <v>0</v>
      </c>
      <c r="I347" s="1365"/>
      <c r="J347" s="1365"/>
      <c r="K347" s="1366">
        <f>K76-K253-K443</f>
        <v>0</v>
      </c>
      <c r="L347" s="1365"/>
      <c r="M347" s="1365"/>
      <c r="N347" s="1366">
        <f>N76-N253-N443</f>
        <v>0</v>
      </c>
      <c r="O347" s="1365"/>
      <c r="P347" s="1365"/>
      <c r="Q347" s="1366">
        <f>Q76-Q253-Q443</f>
        <v>0</v>
      </c>
      <c r="R347" s="1365"/>
      <c r="S347" s="1365"/>
      <c r="T347" s="1367">
        <f t="shared" ref="T347:AI347" si="287">(T54+T45)*T346</f>
        <v>0</v>
      </c>
      <c r="U347" s="1367">
        <f t="shared" si="287"/>
        <v>0</v>
      </c>
      <c r="V347" s="1367">
        <f t="shared" si="287"/>
        <v>0</v>
      </c>
      <c r="W347" s="1367">
        <f t="shared" si="287"/>
        <v>0</v>
      </c>
      <c r="X347" s="1367">
        <f t="shared" si="287"/>
        <v>0</v>
      </c>
      <c r="Y347" s="1367">
        <f t="shared" si="287"/>
        <v>0</v>
      </c>
      <c r="Z347" s="1367">
        <f t="shared" si="287"/>
        <v>0</v>
      </c>
      <c r="AA347" s="1367">
        <f t="shared" si="287"/>
        <v>0</v>
      </c>
      <c r="AB347" s="1367">
        <f t="shared" si="287"/>
        <v>0</v>
      </c>
      <c r="AC347" s="1367">
        <f t="shared" si="287"/>
        <v>0</v>
      </c>
      <c r="AD347" s="1368">
        <f t="shared" si="287"/>
        <v>0</v>
      </c>
      <c r="AE347" s="1368">
        <f t="shared" si="287"/>
        <v>0</v>
      </c>
      <c r="AF347" s="1368">
        <f t="shared" si="287"/>
        <v>0</v>
      </c>
      <c r="AG347" s="1368">
        <f t="shared" si="287"/>
        <v>0</v>
      </c>
      <c r="AH347" s="1368">
        <f t="shared" si="287"/>
        <v>0</v>
      </c>
      <c r="AI347" s="1368">
        <f t="shared" si="287"/>
        <v>0</v>
      </c>
      <c r="AJ347" s="1125"/>
    </row>
    <row r="348" spans="1:43" s="536" customFormat="1" ht="13.5" thickBot="1">
      <c r="A348" s="537"/>
      <c r="B348" s="660"/>
      <c r="C348" s="531"/>
      <c r="D348" s="531"/>
      <c r="E348" s="1295"/>
      <c r="F348" s="531"/>
      <c r="G348" s="531"/>
      <c r="H348" s="1295"/>
      <c r="I348" s="530"/>
      <c r="J348" s="530"/>
      <c r="K348" s="1295"/>
      <c r="L348" s="531"/>
      <c r="M348" s="539"/>
      <c r="N348" s="1295"/>
      <c r="O348" s="531"/>
      <c r="P348" s="539"/>
      <c r="Q348" s="1295"/>
      <c r="R348" s="531"/>
      <c r="S348" s="539"/>
      <c r="T348" s="1295"/>
      <c r="U348" s="531"/>
      <c r="V348" s="530"/>
      <c r="W348" s="530"/>
      <c r="X348" s="530"/>
      <c r="Y348" s="530"/>
      <c r="Z348" s="530"/>
      <c r="AA348" s="530"/>
      <c r="AB348" s="530"/>
      <c r="AC348" s="530"/>
      <c r="AD348" s="530"/>
      <c r="AE348" s="531"/>
      <c r="AF348" s="1369"/>
      <c r="AG348" s="531"/>
      <c r="AH348" s="531"/>
      <c r="AI348" s="531"/>
      <c r="AJ348" s="853"/>
      <c r="AK348" s="533"/>
      <c r="AL348" s="533"/>
      <c r="AM348" s="533"/>
      <c r="AN348" s="625"/>
      <c r="AO348" s="625"/>
      <c r="AP348" s="625"/>
      <c r="AQ348" s="625"/>
    </row>
    <row r="349" spans="1:43" s="1126" customFormat="1" ht="14.5" thickBot="1">
      <c r="A349" s="1119"/>
      <c r="B349" s="1370" t="s">
        <v>1331</v>
      </c>
      <c r="C349" s="1371"/>
      <c r="D349" s="1372"/>
      <c r="E349" s="1373"/>
      <c r="F349" s="531"/>
      <c r="G349" s="531"/>
      <c r="H349" s="531"/>
      <c r="I349" s="530"/>
      <c r="J349" s="530"/>
      <c r="K349" s="531"/>
      <c r="L349" s="531"/>
      <c r="M349" s="539"/>
      <c r="N349" s="531"/>
      <c r="O349" s="531"/>
      <c r="P349" s="539"/>
      <c r="Q349" s="531"/>
      <c r="R349" s="531"/>
      <c r="S349" s="539"/>
      <c r="T349" s="531"/>
      <c r="U349" s="531"/>
      <c r="V349" s="530"/>
      <c r="W349" s="530"/>
      <c r="X349" s="530"/>
      <c r="Y349" s="530"/>
      <c r="Z349" s="530"/>
      <c r="AA349" s="530"/>
      <c r="AB349" s="530"/>
      <c r="AC349" s="530"/>
      <c r="AD349" s="530"/>
      <c r="AE349" s="1121"/>
      <c r="AF349" s="1374"/>
      <c r="AG349" s="1121"/>
      <c r="AH349" s="1121"/>
      <c r="AI349" s="1121"/>
      <c r="AJ349" s="1125"/>
    </row>
    <row r="350" spans="1:43" s="536" customFormat="1">
      <c r="A350" s="537"/>
      <c r="B350" s="1375" t="str">
        <f>IF(AND(S350=0,S350=0),0,"1er. DESEMBOLSO - ")&amp;"MONTO DEL CRÉDITO"</f>
        <v>1er. DESEMBOLSO - MONTO DEL CRÉDITO</v>
      </c>
      <c r="C350" s="1376"/>
      <c r="D350" s="1377"/>
      <c r="E350" s="1377"/>
      <c r="F350" s="1377"/>
      <c r="G350" s="1377"/>
      <c r="H350" s="1377"/>
      <c r="I350" s="1378"/>
      <c r="J350" s="1378"/>
      <c r="K350" s="1377"/>
      <c r="L350" s="1377"/>
      <c r="M350" s="1379"/>
      <c r="N350" s="1377"/>
      <c r="O350" s="1377"/>
      <c r="P350" s="1379"/>
      <c r="Q350" s="1377"/>
      <c r="R350" s="1377"/>
      <c r="S350" s="1380" t="s">
        <v>1302</v>
      </c>
      <c r="T350" s="1381" t="s">
        <v>1044</v>
      </c>
      <c r="U350" s="1381" t="s">
        <v>1044</v>
      </c>
      <c r="V350" s="1381" t="s">
        <v>1044</v>
      </c>
      <c r="W350" s="1381" t="s">
        <v>1044</v>
      </c>
      <c r="X350" s="1381" t="s">
        <v>1044</v>
      </c>
      <c r="Y350" s="1381" t="s">
        <v>1044</v>
      </c>
      <c r="Z350" s="1381" t="s">
        <v>1044</v>
      </c>
      <c r="AA350" s="1381" t="s">
        <v>1044</v>
      </c>
      <c r="AB350" s="1381" t="s">
        <v>1044</v>
      </c>
      <c r="AC350" s="1381" t="s">
        <v>1044</v>
      </c>
      <c r="AD350" s="1382" t="s">
        <v>1044</v>
      </c>
      <c r="AE350" s="1382" t="s">
        <v>1044</v>
      </c>
      <c r="AF350" s="1382" t="s">
        <v>1044</v>
      </c>
      <c r="AG350" s="1382" t="s">
        <v>1044</v>
      </c>
      <c r="AH350" s="1382" t="s">
        <v>1044</v>
      </c>
      <c r="AI350" s="1382" t="s">
        <v>1044</v>
      </c>
      <c r="AJ350" s="853"/>
      <c r="AK350" s="533"/>
      <c r="AL350" s="533"/>
      <c r="AM350" s="533"/>
      <c r="AN350" s="625"/>
      <c r="AO350" s="625"/>
      <c r="AP350" s="625"/>
      <c r="AQ350" s="625"/>
    </row>
    <row r="351" spans="1:43" s="536" customFormat="1">
      <c r="A351" s="537"/>
      <c r="B351" s="1383" t="str">
        <f>IF(AND(S350=0,S350=0),0,"1er. DESEMBOLSO - ")&amp;"PLAZO (AÑOS) INCLUYENDO PERÍODO DE GRACIA (SI TIENE)"</f>
        <v>1er. DESEMBOLSO - PLAZO (AÑOS) INCLUYENDO PERÍODO DE GRACIA (SI TIENE)</v>
      </c>
      <c r="C351" s="1384"/>
      <c r="D351" s="531"/>
      <c r="E351" s="531"/>
      <c r="F351" s="531"/>
      <c r="G351" s="531"/>
      <c r="H351" s="531"/>
      <c r="I351" s="530"/>
      <c r="J351" s="530"/>
      <c r="K351" s="531"/>
      <c r="L351" s="531"/>
      <c r="M351" s="539"/>
      <c r="N351" s="531"/>
      <c r="O351" s="531"/>
      <c r="P351" s="539"/>
      <c r="Q351" s="530"/>
      <c r="R351" s="531"/>
      <c r="S351" s="539"/>
      <c r="T351" s="1385">
        <f t="shared" ref="T351:AI351" si="288">T15</f>
        <v>2020</v>
      </c>
      <c r="U351" s="1385">
        <f t="shared" si="288"/>
        <v>2021</v>
      </c>
      <c r="V351" s="1385">
        <f t="shared" si="288"/>
        <v>2022</v>
      </c>
      <c r="W351" s="1385">
        <f t="shared" si="288"/>
        <v>2023</v>
      </c>
      <c r="X351" s="1385">
        <f t="shared" si="288"/>
        <v>2024</v>
      </c>
      <c r="Y351" s="1385">
        <f t="shared" si="288"/>
        <v>2025</v>
      </c>
      <c r="Z351" s="1385">
        <f t="shared" si="288"/>
        <v>2026</v>
      </c>
      <c r="AA351" s="1385">
        <f t="shared" si="288"/>
        <v>2027</v>
      </c>
      <c r="AB351" s="1385">
        <f t="shared" si="288"/>
        <v>2028</v>
      </c>
      <c r="AC351" s="1385">
        <f t="shared" si="288"/>
        <v>2029</v>
      </c>
      <c r="AD351" s="1386">
        <f t="shared" si="288"/>
        <v>2030</v>
      </c>
      <c r="AE351" s="1386">
        <f t="shared" si="288"/>
        <v>2031</v>
      </c>
      <c r="AF351" s="1386">
        <f t="shared" si="288"/>
        <v>2032</v>
      </c>
      <c r="AG351" s="1386">
        <f t="shared" si="288"/>
        <v>2033</v>
      </c>
      <c r="AH351" s="1386">
        <f t="shared" si="288"/>
        <v>2034</v>
      </c>
      <c r="AI351" s="1386">
        <f t="shared" si="288"/>
        <v>2035</v>
      </c>
      <c r="AJ351" s="853"/>
      <c r="AK351" s="533"/>
      <c r="AL351" s="533"/>
      <c r="AM351" s="533"/>
      <c r="AN351" s="625"/>
      <c r="AO351" s="625"/>
      <c r="AP351" s="625"/>
      <c r="AQ351" s="625"/>
    </row>
    <row r="352" spans="1:43" s="536" customFormat="1">
      <c r="A352" s="537"/>
      <c r="B352" s="1383" t="str">
        <f>IF(AND(S350=0,S350=0),0,"1er. DESEMBOLSO - ")&amp;"PERÍODO DE GRACIA (MESES)"</f>
        <v>1er. DESEMBOLSO - PERÍODO DE GRACIA (MESES)</v>
      </c>
      <c r="C352" s="1384"/>
      <c r="D352" s="531"/>
      <c r="E352" s="531"/>
      <c r="F352" s="531"/>
      <c r="G352" s="531"/>
      <c r="H352" s="531"/>
      <c r="I352" s="530"/>
      <c r="J352" s="530"/>
      <c r="K352" s="531"/>
      <c r="L352" s="531"/>
      <c r="M352" s="539"/>
      <c r="N352" s="531"/>
      <c r="O352" s="531"/>
      <c r="P352" s="539"/>
      <c r="Q352" s="1387" t="s">
        <v>1303</v>
      </c>
      <c r="R352" s="1388"/>
      <c r="S352" s="1389"/>
      <c r="T352" s="1390">
        <f>IF(OR($C351=0,$C351=0,$C356=0),0,IF(AND(T351-$C354&gt;=0,T351&lt;=$C354+$C351,ROUNDDOWN(T351,0)=ROUNDDOWN($C$942,0)),IF(ROUNDDOWN(T351,0)=ROUNDDOWN($C$942,0),ROUND($E$942*VLOOKUP($C356,$H$950:$J$953,3,0)/$F$942,2),ROUND(VLOOKUP($C356,$H$950:$J$953,3,0)/$F$942,2)),0))</f>
        <v>0</v>
      </c>
      <c r="U352" s="1390">
        <f>IF(OR($C351=0,$C351=0,$C356=0),0,IF(AND(ROUNDDOWN(U351,0)&gt;=ROUNDDOWN($C$942,0),1-$T352&lt;VLOOKUP($C356,$H$950:$J$953,3,0)/$F$942),1-$T352,IF(ROUNDDOWN(U351,0)&gt;=ROUNDDOWN($C$942,0),IF(ROUNDDOWN(U351,0)=ROUNDDOWN($C$942,0),ROUND($E$942*VLOOKUP($C356,$H$950:$J$953,3,0)/$F$942,2),ROUND(VLOOKUP($C356,$H$950:$J$953,3,0)/$F$942,2)),0)))</f>
        <v>0</v>
      </c>
      <c r="V352" s="1390">
        <f>IF(OR($C351=0,$C351=0,$C356=0),0,IF(AND(ROUNDDOWN(V351,0)&gt;=ROUNDDOWN($C$942,0),1-SUM($T352:U352)&lt;VLOOKUP($C356,$H$950:$J$953,3,0)/$F$942),1-SUM($T352:U352),IF(ROUNDDOWN(V351,0)&gt;=ROUNDDOWN($C$942,0),IF(ROUNDDOWN(V351,0)=ROUNDDOWN($C$942,0),ROUND($E$942*VLOOKUP($C356,$H$950:$J$953,3,0)/$F$942,2),ROUND(VLOOKUP($C356,$H$950:$J$953,3,0)/$F$942,2)),0)))</f>
        <v>0</v>
      </c>
      <c r="W352" s="1390">
        <f>IF(OR($C351=0,$C351=0,$C356=0),0,IF(AND(ROUNDDOWN(W351,0)&gt;=ROUNDDOWN($C$942,0),1-SUM($T352:V352)&lt;VLOOKUP($C356,$H$950:$J$953,3,0)/$F$942),1-SUM($T352:V352),IF(ROUNDDOWN(W351,0)&gt;=ROUNDDOWN($C$942,0),IF(ROUNDDOWN(W351,0)=ROUNDDOWN($C$942,0),ROUND($E$942*VLOOKUP($C356,$H$950:$J$953,3,0)/$F$942,2),ROUND(VLOOKUP($C356,$H$950:$J$953,3,0)/$F$942,2)),0)))</f>
        <v>0</v>
      </c>
      <c r="X352" s="1390">
        <f>IF(OR($C351=0,$C351=0,$C356=0),0,IF(AND(ROUNDDOWN(X351,0)&gt;=ROUNDDOWN($C$942,0),1-SUM($T352:W352)&lt;VLOOKUP($C356,$H$950:$J$953,3,0)/$F$942),1-SUM($T352:W352),IF(ROUNDDOWN(X351,0)&gt;=ROUNDDOWN($C$942,0),IF(ROUNDDOWN(X351,0)=ROUNDDOWN($C$942,0),ROUND($E$942*VLOOKUP($C356,$H$950:$J$953,3,0)/$F$942,2),ROUND(VLOOKUP($C356,$H$950:$J$953,3,0)/$F$942,2)),0)))</f>
        <v>0</v>
      </c>
      <c r="Y352" s="1390">
        <f>IF(OR($C351=0,$C351=0,$C356=0),0,IF(AND(ROUNDDOWN(Y351,0)&gt;=ROUNDDOWN($C$942,0),1-SUM($T352:X352)&lt;VLOOKUP($C356,$H$950:$J$953,3,0)/$F$942),1-SUM($T352:X352),IF(ROUNDDOWN(Y351,0)&gt;=ROUNDDOWN($C$942,0),IF(ROUNDDOWN(Y351,0)=ROUNDDOWN($C$942,0),ROUND($E$942*VLOOKUP($C356,$H$950:$J$953,3,0)/$F$942,2),ROUND(VLOOKUP($C356,$H$950:$J$953,3,0)/$F$942,2)),0)))</f>
        <v>0</v>
      </c>
      <c r="Z352" s="1390">
        <f>IF(OR($C351=0,$C351=0,$C356=0),0,IF(AND(ROUNDDOWN(Z351,0)&gt;=ROUNDDOWN($C$942,0),1-SUM($T352:Y352)&lt;VLOOKUP($C356,$H$950:$J$953,3,0)/$F$942),1-SUM($T352:Y352),IF(ROUNDDOWN(Z351,0)&gt;=ROUNDDOWN($C$942,0),IF(ROUNDDOWN(Z351,0)=ROUNDDOWN($C$942,0),ROUND($E$942*VLOOKUP($C356,$H$950:$J$953,3,0)/$F$942,2),ROUND(VLOOKUP($C356,$H$950:$J$953,3,0)/$F$942,2)),0)))</f>
        <v>0</v>
      </c>
      <c r="AA352" s="1390">
        <f>IF(OR($C351=0,$C351=0,$C356=0),0,IF(AND(ROUNDDOWN(AA351,0)&gt;=ROUNDDOWN($C$942,0),1-SUM($T352:Z352)&lt;VLOOKUP($C356,$H$950:$J$953,3,0)/$F$942),1-SUM($T352:Z352),IF(ROUNDDOWN(AA351,0)&gt;=ROUNDDOWN($C$942,0),IF(ROUNDDOWN(AA351,0)=ROUNDDOWN($C$942,0),ROUND($E$942*VLOOKUP($C356,$H$950:$J$953,3,0)/$F$942,2),ROUND(VLOOKUP($C356,$H$950:$J$953,3,0)/$F$942,2)),0)))</f>
        <v>0</v>
      </c>
      <c r="AB352" s="1390">
        <f>IF(OR($C351=0,$C351=0,$C356=0),0,IF(AND(ROUNDDOWN(AB351,0)&gt;=ROUNDDOWN($C$942,0),1-SUM($T352:AA352)&lt;VLOOKUP($C356,$H$950:$J$953,3,0)/$F$942),1-SUM($T352:AA352),IF(ROUNDDOWN(AB351,0)&gt;=ROUNDDOWN($C$942,0),IF(ROUNDDOWN(AB351,0)=ROUNDDOWN($C$942,0),ROUND($E$942*VLOOKUP($C356,$H$950:$J$953,3,0)/$F$942,2),ROUND(VLOOKUP($C356,$H$950:$J$953,3,0)/$F$942,2)),0)))</f>
        <v>0</v>
      </c>
      <c r="AC352" s="1390">
        <f>IF(OR($C351=0,$C351=0,$C356=0),0,IF(AND(ROUNDDOWN(AC351,0)&gt;=ROUNDDOWN($C$942,0),1-SUM($T352:AB352)&lt;VLOOKUP($C356,$H$950:$J$953,3,0)/$F$942),1-SUM($T352:AB352),IF(ROUNDDOWN(AC351,0)&gt;=ROUNDDOWN($C$942,0),IF(ROUNDDOWN(AC351,0)=ROUNDDOWN($C$942,0),ROUND($E$942*VLOOKUP($C356,$H$950:$J$953,3,0)/$F$942,2),ROUND(VLOOKUP($C356,$H$950:$J$953,3,0)/$F$942,2)),0)))</f>
        <v>0</v>
      </c>
      <c r="AD352" s="1391">
        <f>IF(OR($C351=0,$C351=0,$C356=0),0,IF(AND(ROUNDDOWN(AD351,0)&gt;=ROUNDDOWN($C$942,0),1-SUM($T352:AC352)&lt;VLOOKUP($C356,$H$950:$J$953,3,0)/$F$942),1-SUM($T352:AC352),IF(ROUNDDOWN(AD351,0)&gt;=ROUNDDOWN($C$942,0),IF(ROUNDDOWN(AD351,0)=ROUNDDOWN($C$942,0),ROUND($E$942*VLOOKUP($C356,$H$950:$J$953,3,0)/$F$942,2),ROUND(VLOOKUP($C356,$H$950:$J$953,3,0)/$F$942,2)),0)))</f>
        <v>0</v>
      </c>
      <c r="AE352" s="1391">
        <f>IF(OR($C351=0,$C351=0,$C356=0),0,IF(AND(ROUNDDOWN(AE351,0)&gt;=ROUNDDOWN($C$942,0),1-SUM($T352:AD352)&lt;VLOOKUP($C356,$H$950:$J$953,3,0)/$F$942),1-SUM($T352:AD352),IF(ROUNDDOWN(AE351,0)&gt;=ROUNDDOWN($C$942,0),IF(ROUNDDOWN(AE351,0)=ROUNDDOWN($C$942,0),ROUND($E$942*VLOOKUP($C356,$H$950:$J$953,3,0)/$F$942,2),ROUND(VLOOKUP($C356,$H$950:$J$953,3,0)/$F$942,2)),0)))</f>
        <v>0</v>
      </c>
      <c r="AF352" s="1391">
        <f>IF(OR($C351=0,$C351=0,$C356=0),0,IF(AND(ROUNDDOWN(AF351,0)&gt;=ROUNDDOWN($C$942,0),1-SUM($T352:AE352)&lt;VLOOKUP($C356,$H$950:$J$953,3,0)/$F$942),1-SUM($T352:AE352),IF(ROUNDDOWN(AF351,0)&gt;=ROUNDDOWN($C$942,0),IF(ROUNDDOWN(AF351,0)=ROUNDDOWN($C$942,0),ROUND($E$942*VLOOKUP($C356,$H$950:$J$953,3,0)/$F$942,2),ROUND(VLOOKUP($C356,$H$950:$J$953,3,0)/$F$942,2)),0)))</f>
        <v>0</v>
      </c>
      <c r="AG352" s="1391">
        <f>IF(OR($C351=0,$C351=0,$C356=0),0,IF(AND(ROUNDDOWN(AG351,0)&gt;=ROUNDDOWN($C$942,0),1-SUM($T352:AF352)&lt;VLOOKUP($C356,$H$950:$J$953,3,0)/$F$942),1-SUM($T352:AF352),IF(ROUNDDOWN(AG351,0)&gt;=ROUNDDOWN($C$942,0),IF(ROUNDDOWN(AG351,0)=ROUNDDOWN($C$942,0),ROUND($E$942*VLOOKUP($C356,$H$950:$J$953,3,0)/$F$942,2),ROUND(VLOOKUP($C356,$H$950:$J$953,3,0)/$F$942,2)),0)))</f>
        <v>0</v>
      </c>
      <c r="AH352" s="1391">
        <f>IF(OR($C351=0,$C351=0,$C356=0),0,IF(AND(ROUNDDOWN(AH351,0)&gt;=ROUNDDOWN($C$942,0),1-SUM($T352:AG352)&lt;VLOOKUP($C356,$H$950:$J$953,3,0)/$F$942),1-SUM($T352:AG352),IF(ROUNDDOWN(AH351,0)&gt;=ROUNDDOWN($C$942,0),IF(ROUNDDOWN(AH351,0)=ROUNDDOWN($C$942,0),ROUND($E$942*VLOOKUP($C356,$H$950:$J$953,3,0)/$F$942,2),ROUND(VLOOKUP($C356,$H$950:$J$953,3,0)/$F$942,2)),0)))</f>
        <v>0</v>
      </c>
      <c r="AI352" s="1391">
        <f>IF(OR($C351=0,$C351=0,$C356=0),0,IF(AND(ROUNDDOWN(AI351,0)&gt;=ROUNDDOWN($C$942,0),1-SUM($T352:AH352)&lt;VLOOKUP($C356,$H$950:$J$953,3,0)/$F$942),1-SUM($T352:AH352),IF(ROUNDDOWN(AI351,0)&gt;=ROUNDDOWN($C$942,0),IF(ROUNDDOWN(AI351,0)=ROUNDDOWN($C$942,0),ROUND($E$942*VLOOKUP($C356,$H$950:$J$953,3,0)/$F$942,2),ROUND(VLOOKUP($C356,$H$950:$J$953,3,0)/$F$942,2)),0)))</f>
        <v>0</v>
      </c>
      <c r="AJ352" s="853"/>
      <c r="AK352" s="533"/>
      <c r="AL352" s="533"/>
      <c r="AM352" s="533"/>
      <c r="AN352" s="625"/>
      <c r="AO352" s="625"/>
      <c r="AP352" s="625"/>
      <c r="AQ352" s="625"/>
    </row>
    <row r="353" spans="1:43" s="536" customFormat="1">
      <c r="A353" s="537"/>
      <c r="B353" s="1383" t="str">
        <f>IF(AND(S350=0,S350=0),0,"1er. DESEMBOLSO - ")&amp;"MES DE DESEMBOLSO"</f>
        <v>1er. DESEMBOLSO - MES DE DESEMBOLSO</v>
      </c>
      <c r="C353" s="1384"/>
      <c r="D353" s="531"/>
      <c r="E353" s="1392"/>
      <c r="F353" s="531"/>
      <c r="G353" s="531"/>
      <c r="H353" s="1392"/>
      <c r="I353" s="530"/>
      <c r="J353" s="530"/>
      <c r="K353" s="1392"/>
      <c r="L353" s="531"/>
      <c r="M353" s="539"/>
      <c r="N353" s="1392"/>
      <c r="O353" s="531"/>
      <c r="P353" s="539"/>
      <c r="Q353" s="1393" t="s">
        <v>1304</v>
      </c>
      <c r="R353" s="1394"/>
      <c r="S353" s="1395"/>
      <c r="T353" s="1396">
        <f>$C350*T352</f>
        <v>0</v>
      </c>
      <c r="U353" s="1396">
        <f t="shared" ref="U353:AI353" si="289">IF($C354&gt;U351,0,U352*$C350)</f>
        <v>0</v>
      </c>
      <c r="V353" s="1396">
        <f t="shared" si="289"/>
        <v>0</v>
      </c>
      <c r="W353" s="1396">
        <f t="shared" si="289"/>
        <v>0</v>
      </c>
      <c r="X353" s="1396">
        <f t="shared" si="289"/>
        <v>0</v>
      </c>
      <c r="Y353" s="1396">
        <f t="shared" si="289"/>
        <v>0</v>
      </c>
      <c r="Z353" s="1396">
        <f t="shared" si="289"/>
        <v>0</v>
      </c>
      <c r="AA353" s="1396">
        <f t="shared" si="289"/>
        <v>0</v>
      </c>
      <c r="AB353" s="1396">
        <f t="shared" si="289"/>
        <v>0</v>
      </c>
      <c r="AC353" s="1396">
        <f t="shared" si="289"/>
        <v>0</v>
      </c>
      <c r="AD353" s="1397">
        <f t="shared" si="289"/>
        <v>0</v>
      </c>
      <c r="AE353" s="1397">
        <f t="shared" si="289"/>
        <v>0</v>
      </c>
      <c r="AF353" s="1397">
        <f t="shared" si="289"/>
        <v>0</v>
      </c>
      <c r="AG353" s="1397">
        <f t="shared" si="289"/>
        <v>0</v>
      </c>
      <c r="AH353" s="1397">
        <f t="shared" si="289"/>
        <v>0</v>
      </c>
      <c r="AI353" s="1397">
        <f t="shared" si="289"/>
        <v>0</v>
      </c>
      <c r="AJ353" s="853"/>
      <c r="AK353" s="533"/>
      <c r="AL353" s="533"/>
      <c r="AM353" s="533"/>
      <c r="AN353" s="625"/>
      <c r="AO353" s="625"/>
      <c r="AP353" s="625"/>
      <c r="AQ353" s="625"/>
    </row>
    <row r="354" spans="1:43" s="536" customFormat="1">
      <c r="A354" s="537"/>
      <c r="B354" s="1383" t="str">
        <f>IF(AND(S350=0,S350=0),0,"1er. DESEMBOLSO - ")&amp;"AÑO DE DESEMBOLSO"</f>
        <v>1er. DESEMBOLSO - AÑO DE DESEMBOLSO</v>
      </c>
      <c r="C354" s="1384"/>
      <c r="D354" s="531"/>
      <c r="E354" s="531"/>
      <c r="F354" s="531"/>
      <c r="G354" s="531"/>
      <c r="H354" s="531"/>
      <c r="I354" s="530"/>
      <c r="J354" s="530"/>
      <c r="K354" s="531"/>
      <c r="L354" s="531"/>
      <c r="M354" s="539"/>
      <c r="N354" s="531"/>
      <c r="O354" s="531"/>
      <c r="P354" s="539"/>
      <c r="Q354" s="1398" t="s">
        <v>1305</v>
      </c>
      <c r="R354" s="1399"/>
      <c r="S354" s="1400"/>
      <c r="T354" s="1401">
        <f t="shared" ref="T354:AI354" si="290">IF($C354&gt;=U351,0,$C350*U352)</f>
        <v>0</v>
      </c>
      <c r="U354" s="1401">
        <f t="shared" si="290"/>
        <v>0</v>
      </c>
      <c r="V354" s="1401">
        <f t="shared" si="290"/>
        <v>0</v>
      </c>
      <c r="W354" s="1401">
        <f t="shared" si="290"/>
        <v>0</v>
      </c>
      <c r="X354" s="1401">
        <f t="shared" si="290"/>
        <v>0</v>
      </c>
      <c r="Y354" s="1401">
        <f t="shared" si="290"/>
        <v>0</v>
      </c>
      <c r="Z354" s="1401">
        <f t="shared" si="290"/>
        <v>0</v>
      </c>
      <c r="AA354" s="1401">
        <f t="shared" si="290"/>
        <v>0</v>
      </c>
      <c r="AB354" s="1401">
        <f t="shared" si="290"/>
        <v>0</v>
      </c>
      <c r="AC354" s="1401">
        <f t="shared" si="290"/>
        <v>0</v>
      </c>
      <c r="AD354" s="1402">
        <f t="shared" si="290"/>
        <v>0</v>
      </c>
      <c r="AE354" s="1402">
        <f t="shared" si="290"/>
        <v>0</v>
      </c>
      <c r="AF354" s="1402">
        <f t="shared" si="290"/>
        <v>0</v>
      </c>
      <c r="AG354" s="1402">
        <f t="shared" si="290"/>
        <v>0</v>
      </c>
      <c r="AH354" s="1402">
        <f t="shared" si="290"/>
        <v>0</v>
      </c>
      <c r="AI354" s="1402">
        <f t="shared" si="290"/>
        <v>0</v>
      </c>
      <c r="AJ354" s="853"/>
      <c r="AK354" s="533"/>
      <c r="AL354" s="533"/>
      <c r="AM354" s="533"/>
      <c r="AN354" s="625"/>
      <c r="AO354" s="625"/>
      <c r="AP354" s="625"/>
      <c r="AQ354" s="625"/>
    </row>
    <row r="355" spans="1:43" s="536" customFormat="1">
      <c r="A355" s="537"/>
      <c r="B355" s="1383" t="str">
        <f>IF(AND(S350=0,S350=0),0,"1er. DESEMBOLSO - ")&amp;"DESTINACIÓN DEL CRÉDITO"</f>
        <v>1er. DESEMBOLSO - DESTINACIÓN DEL CRÉDITO</v>
      </c>
      <c r="C355" s="1384"/>
      <c r="D355" s="531"/>
      <c r="E355" s="531"/>
      <c r="F355" s="531"/>
      <c r="G355" s="531"/>
      <c r="H355" s="531"/>
      <c r="I355" s="530"/>
      <c r="J355" s="530"/>
      <c r="K355" s="530"/>
      <c r="L355" s="531"/>
      <c r="M355" s="539"/>
      <c r="N355" s="530"/>
      <c r="O355" s="531"/>
      <c r="P355" s="539"/>
      <c r="Q355" s="1403" t="s">
        <v>1306</v>
      </c>
      <c r="R355" s="1404"/>
      <c r="S355" s="1405"/>
      <c r="T355" s="1406">
        <f>IF($C354&gt;T351,0,$C350-T353-T354)</f>
        <v>0</v>
      </c>
      <c r="U355" s="1406">
        <f t="shared" ref="U355:AI355" si="291">IF($C354&gt;U351,0,IF($C354=U351,$C350-U353-U354,IF(SUM(T354:T355)-SUM(U353:U354)&lt;=0.005,0,SUM(T354:T355)-SUM(U353:U354))))</f>
        <v>0</v>
      </c>
      <c r="V355" s="1406">
        <f t="shared" si="291"/>
        <v>0</v>
      </c>
      <c r="W355" s="1406">
        <f t="shared" si="291"/>
        <v>0</v>
      </c>
      <c r="X355" s="1406">
        <f t="shared" si="291"/>
        <v>0</v>
      </c>
      <c r="Y355" s="1406">
        <f t="shared" si="291"/>
        <v>0</v>
      </c>
      <c r="Z355" s="1406">
        <f t="shared" si="291"/>
        <v>0</v>
      </c>
      <c r="AA355" s="1406">
        <f t="shared" si="291"/>
        <v>0</v>
      </c>
      <c r="AB355" s="1406">
        <f t="shared" si="291"/>
        <v>0</v>
      </c>
      <c r="AC355" s="1406">
        <f t="shared" si="291"/>
        <v>0</v>
      </c>
      <c r="AD355" s="1407">
        <f t="shared" si="291"/>
        <v>0</v>
      </c>
      <c r="AE355" s="1407">
        <f t="shared" si="291"/>
        <v>0</v>
      </c>
      <c r="AF355" s="1407">
        <f t="shared" si="291"/>
        <v>0</v>
      </c>
      <c r="AG355" s="1407">
        <f t="shared" si="291"/>
        <v>0</v>
      </c>
      <c r="AH355" s="1407">
        <f t="shared" si="291"/>
        <v>0</v>
      </c>
      <c r="AI355" s="1407">
        <f t="shared" si="291"/>
        <v>0</v>
      </c>
      <c r="AJ355" s="853"/>
      <c r="AK355" s="533"/>
      <c r="AL355" s="533"/>
      <c r="AM355" s="533"/>
      <c r="AN355" s="625"/>
      <c r="AO355" s="625"/>
      <c r="AP355" s="625"/>
      <c r="AQ355" s="625"/>
    </row>
    <row r="356" spans="1:43" s="536" customFormat="1">
      <c r="A356" s="537"/>
      <c r="B356" s="1408" t="str">
        <f>IF(AND(S350=0,S350=0),0,"1er. DESEMBOLSO - ")&amp;"AMORTIZACIÓN DE CAPITAL"</f>
        <v>1er. DESEMBOLSO - AMORTIZACIÓN DE CAPITAL</v>
      </c>
      <c r="C356" s="1409"/>
      <c r="D356" s="531"/>
      <c r="E356" s="531"/>
      <c r="F356" s="531"/>
      <c r="G356" s="531"/>
      <c r="H356" s="531"/>
      <c r="I356" s="530"/>
      <c r="J356" s="530"/>
      <c r="K356" s="530"/>
      <c r="L356" s="531"/>
      <c r="M356" s="539"/>
      <c r="N356" s="530"/>
      <c r="O356" s="531"/>
      <c r="P356" s="539"/>
      <c r="Q356" s="1387" t="s">
        <v>1307</v>
      </c>
      <c r="R356" s="1388"/>
      <c r="S356" s="1389"/>
      <c r="T356" s="1410">
        <v>0</v>
      </c>
      <c r="U356" s="1410">
        <f t="shared" ref="U356:AI356" si="292">T356</f>
        <v>0</v>
      </c>
      <c r="V356" s="1410">
        <f t="shared" si="292"/>
        <v>0</v>
      </c>
      <c r="W356" s="1410">
        <f t="shared" si="292"/>
        <v>0</v>
      </c>
      <c r="X356" s="1410">
        <f t="shared" si="292"/>
        <v>0</v>
      </c>
      <c r="Y356" s="1410">
        <f t="shared" si="292"/>
        <v>0</v>
      </c>
      <c r="Z356" s="1410">
        <f t="shared" si="292"/>
        <v>0</v>
      </c>
      <c r="AA356" s="1410">
        <f t="shared" si="292"/>
        <v>0</v>
      </c>
      <c r="AB356" s="1410">
        <f t="shared" si="292"/>
        <v>0</v>
      </c>
      <c r="AC356" s="1410">
        <f t="shared" si="292"/>
        <v>0</v>
      </c>
      <c r="AD356" s="1411">
        <f t="shared" si="292"/>
        <v>0</v>
      </c>
      <c r="AE356" s="1411">
        <f t="shared" si="292"/>
        <v>0</v>
      </c>
      <c r="AF356" s="1411">
        <f t="shared" si="292"/>
        <v>0</v>
      </c>
      <c r="AG356" s="1411">
        <f t="shared" si="292"/>
        <v>0</v>
      </c>
      <c r="AH356" s="1411">
        <f t="shared" si="292"/>
        <v>0</v>
      </c>
      <c r="AI356" s="1411">
        <f t="shared" si="292"/>
        <v>0</v>
      </c>
      <c r="AJ356" s="853"/>
      <c r="AK356" s="533"/>
      <c r="AL356" s="533"/>
      <c r="AM356" s="533"/>
      <c r="AN356" s="625"/>
      <c r="AO356" s="625"/>
      <c r="AP356" s="625"/>
      <c r="AQ356" s="625"/>
    </row>
    <row r="357" spans="1:43" s="536" customFormat="1">
      <c r="A357" s="537"/>
      <c r="B357" s="1412"/>
      <c r="C357" s="531"/>
      <c r="D357" s="531"/>
      <c r="E357" s="531"/>
      <c r="F357" s="531"/>
      <c r="G357" s="531"/>
      <c r="H357" s="531"/>
      <c r="I357" s="530"/>
      <c r="J357" s="530"/>
      <c r="K357" s="530"/>
      <c r="L357" s="531"/>
      <c r="M357" s="539"/>
      <c r="N357" s="530"/>
      <c r="O357" s="531"/>
      <c r="P357" s="539"/>
      <c r="Q357" s="1387" t="s">
        <v>1308</v>
      </c>
      <c r="R357" s="1388"/>
      <c r="S357" s="1389"/>
      <c r="T357" s="1413">
        <f>IF(OR($C354&lt;&gt;T351,T356=0,T356=0),0,IF(AND(T352=0,$D$943=1),T356,IF(T352=0,NOMINAL(T356,12)*IF($C354=T351,$D$943,1),IF(AND($C354=T351,ROUNDDOWN($C$942,0)=T351),$E$942,1)*NOMINAL(T356,VLOOKUP($C356,$H$950:$J$953,3,0))/VLOOKUP($C356,$H$950:$J$953,3,0)))*((IF(T352=0,1,IF(AND($C354=T351,T352&lt;ROUNDDOWN(VLOOKUP($C356,$H$950:$J$953,3,0)/$F$942,0)),ROUNDDOWN(T352*$F$942,0),IF(AND($C354&lt;T351,T352&lt;ROUNDDOWN(VLOOKUP($C356,$H$950:$J$953,3,0)/$F$942,0)),ROUND(AVERAGE(ROUNDDOWN(T352*$F$942,0),2*VLOOKUP($C356,$H$950:$J$953,3,0)),0),VLOOKUP($C356,$H$950:$J$953,3,0))))*$C350)-((T353*(IF(T352=0,1,IF(AND($C354=T351,T352&lt;ROUNDDOWN(VLOOKUP($C356,$H$950:$J$953,3,0)/$F$942,0)),ROUNDDOWN(T352*$F$942,0),IF(AND($C354&lt;T351,T352&lt;ROUNDDOWN(VLOOKUP($C356,$H$950:$J$953,3,0)/$F$942,0)),ROUND(AVERAGE(ROUNDDOWN(T352*$F$942,0),2*VLOOKUP($C356,$H$950:$J$953,3,0)),0),VLOOKUP($C356,$H$950:$J$953,3,0))))-1))/2)))</f>
        <v>0</v>
      </c>
      <c r="U357" s="1413">
        <f t="shared" ref="U357:AI357" si="293">IF(OR($C354&gt;U351,U356=0,U356=0),0,IF(AND(U352=0,OR(U351&gt;$C354,$D$943=1)),U356,IF(U352=0,NOMINAL(U356,12)*IF($C354=U351,$D$943,1),IF(AND($C354=U351,ROUNDDOWN($C$942,0)=U351),$E$942,1)*NOMINAL(U356,VLOOKUP($C356,$H$950:$J$953,3,0))/VLOOKUP($C356,$H$950:$J$953,3,0)))*((IF(U352=0,1,IF(AND($C354=U351,U352&lt;ROUNDDOWN(VLOOKUP($C356,$H$950:$J$953,3,0)/$F$942,0)),ROUNDDOWN(U352*$F$942,0),IF(AND($C354&lt;U351,U352&lt;ROUNDDOWN(VLOOKUP($C356,$H$950:$J$953,3,0)/$F$942,0)),ROUND(AVERAGE(ROUNDDOWN(U352*$F$942,0),2*VLOOKUP($C356,$H$950:$J$953,3,0)),0),VLOOKUP($C356,$H$950:$J$953,3,0))))*IF($C354=U351,$C350,SUM(T354:T355)))-((U353*(IF(U352=0,1,IF(AND($C354=U351,U352&lt;ROUNDDOWN(VLOOKUP($C356,$H$950:$J$953,3,0)/$F$942,0)),ROUNDDOWN(U352*$F$942,0),IF(AND($C354&lt;U351,U352&lt;ROUNDDOWN(VLOOKUP($C356,$H$950:$J$953,3,0)/$F$942,0)),ROUND(AVERAGE(ROUNDDOWN(U352*$F$942,0),2*VLOOKUP($C356,$H$950:$J$953,3,0)),0),VLOOKUP($C356,$H$950:$J$953,3,0))))-1))/2)))</f>
        <v>0</v>
      </c>
      <c r="V357" s="1413">
        <f t="shared" si="293"/>
        <v>0</v>
      </c>
      <c r="W357" s="1413">
        <f t="shared" si="293"/>
        <v>0</v>
      </c>
      <c r="X357" s="1413">
        <f t="shared" si="293"/>
        <v>0</v>
      </c>
      <c r="Y357" s="1413">
        <f t="shared" si="293"/>
        <v>0</v>
      </c>
      <c r="Z357" s="1413">
        <f t="shared" si="293"/>
        <v>0</v>
      </c>
      <c r="AA357" s="1413">
        <f t="shared" si="293"/>
        <v>0</v>
      </c>
      <c r="AB357" s="1413">
        <f t="shared" si="293"/>
        <v>0</v>
      </c>
      <c r="AC357" s="1413">
        <f t="shared" si="293"/>
        <v>0</v>
      </c>
      <c r="AD357" s="1414">
        <f t="shared" si="293"/>
        <v>0</v>
      </c>
      <c r="AE357" s="1414">
        <f t="shared" si="293"/>
        <v>0</v>
      </c>
      <c r="AF357" s="1414">
        <f t="shared" si="293"/>
        <v>0</v>
      </c>
      <c r="AG357" s="1414">
        <f t="shared" si="293"/>
        <v>0</v>
      </c>
      <c r="AH357" s="1414">
        <f t="shared" si="293"/>
        <v>0</v>
      </c>
      <c r="AI357" s="1414">
        <f t="shared" si="293"/>
        <v>0</v>
      </c>
      <c r="AJ357" s="853"/>
      <c r="AK357" s="533"/>
      <c r="AL357" s="533"/>
      <c r="AM357" s="533"/>
      <c r="AN357" s="625"/>
      <c r="AO357" s="625"/>
      <c r="AP357" s="625"/>
      <c r="AQ357" s="625"/>
    </row>
    <row r="358" spans="1:43" s="536" customFormat="1">
      <c r="A358" s="537"/>
      <c r="B358" s="1412"/>
      <c r="C358" s="531"/>
      <c r="D358" s="531"/>
      <c r="E358" s="531"/>
      <c r="F358" s="531"/>
      <c r="G358" s="531"/>
      <c r="H358" s="531"/>
      <c r="I358" s="530"/>
      <c r="J358" s="530"/>
      <c r="K358" s="530"/>
      <c r="L358" s="531"/>
      <c r="M358" s="539"/>
      <c r="N358" s="530"/>
      <c r="O358" s="531"/>
      <c r="P358" s="539"/>
      <c r="Q358" s="545"/>
      <c r="R358" s="535"/>
      <c r="S358" s="535"/>
      <c r="T358" s="1324"/>
      <c r="U358" s="1324"/>
      <c r="V358" s="1324"/>
      <c r="W358" s="1324"/>
      <c r="X358" s="1324"/>
      <c r="Y358" s="1324"/>
      <c r="Z358" s="1324"/>
      <c r="AA358" s="1324"/>
      <c r="AB358" s="1324"/>
      <c r="AC358" s="1324"/>
      <c r="AD358" s="1415"/>
      <c r="AE358" s="1416"/>
      <c r="AF358" s="531"/>
      <c r="AG358" s="531"/>
      <c r="AH358" s="531"/>
      <c r="AI358" s="531"/>
      <c r="AJ358" s="853"/>
      <c r="AK358" s="533"/>
      <c r="AL358" s="533"/>
      <c r="AM358" s="533"/>
      <c r="AN358" s="625"/>
      <c r="AO358" s="625"/>
      <c r="AP358" s="625"/>
      <c r="AQ358" s="625"/>
    </row>
    <row r="359" spans="1:43" s="536" customFormat="1">
      <c r="A359" s="537"/>
      <c r="B359" s="1417"/>
      <c r="C359" s="1418"/>
      <c r="D359" s="1418"/>
      <c r="E359" s="1418"/>
      <c r="F359" s="1418"/>
      <c r="G359" s="1418"/>
      <c r="H359" s="1418"/>
      <c r="I359" s="1419"/>
      <c r="J359" s="1419"/>
      <c r="K359" s="1419"/>
      <c r="L359" s="1418"/>
      <c r="M359" s="1420"/>
      <c r="N359" s="1419"/>
      <c r="O359" s="1418"/>
      <c r="P359" s="1420"/>
      <c r="Q359" s="1421"/>
      <c r="R359" s="1422"/>
      <c r="S359" s="1422"/>
      <c r="T359" s="1423"/>
      <c r="U359" s="1423"/>
      <c r="V359" s="1423"/>
      <c r="W359" s="1423"/>
      <c r="X359" s="1423"/>
      <c r="Y359" s="1423"/>
      <c r="Z359" s="1423"/>
      <c r="AA359" s="1423"/>
      <c r="AB359" s="1423"/>
      <c r="AC359" s="1423"/>
      <c r="AD359" s="1423"/>
      <c r="AE359" s="1424"/>
      <c r="AF359" s="1424"/>
      <c r="AG359" s="1424"/>
      <c r="AH359" s="1424"/>
      <c r="AI359" s="1425"/>
      <c r="AJ359" s="853"/>
      <c r="AK359" s="533"/>
      <c r="AL359" s="533"/>
      <c r="AM359" s="533"/>
      <c r="AN359" s="625"/>
      <c r="AO359" s="625"/>
      <c r="AP359" s="625"/>
      <c r="AQ359" s="625"/>
    </row>
    <row r="360" spans="1:43" s="536" customFormat="1">
      <c r="A360" s="537"/>
      <c r="B360" s="1426" t="s">
        <v>1332</v>
      </c>
      <c r="C360" s="1427"/>
      <c r="D360" s="531"/>
      <c r="E360" s="531"/>
      <c r="F360" s="531"/>
      <c r="G360" s="531"/>
      <c r="H360" s="531"/>
      <c r="I360" s="530"/>
      <c r="J360" s="530"/>
      <c r="K360" s="531"/>
      <c r="L360" s="531"/>
      <c r="M360" s="539"/>
      <c r="N360" s="531"/>
      <c r="O360" s="531"/>
      <c r="P360" s="539"/>
      <c r="Q360" s="531"/>
      <c r="R360" s="531"/>
      <c r="S360" s="1428" t="s">
        <v>1310</v>
      </c>
      <c r="T360" s="1429" t="s">
        <v>1044</v>
      </c>
      <c r="U360" s="1429" t="s">
        <v>1044</v>
      </c>
      <c r="V360" s="1429" t="s">
        <v>1044</v>
      </c>
      <c r="W360" s="1429" t="s">
        <v>1044</v>
      </c>
      <c r="X360" s="1429" t="s">
        <v>1044</v>
      </c>
      <c r="Y360" s="1429" t="s">
        <v>1044</v>
      </c>
      <c r="Z360" s="1429" t="s">
        <v>1044</v>
      </c>
      <c r="AA360" s="1429" t="s">
        <v>1044</v>
      </c>
      <c r="AB360" s="1429" t="s">
        <v>1044</v>
      </c>
      <c r="AC360" s="1429" t="s">
        <v>1044</v>
      </c>
      <c r="AD360" s="1430" t="s">
        <v>1044</v>
      </c>
      <c r="AE360" s="1431" t="s">
        <v>1044</v>
      </c>
      <c r="AF360" s="1432" t="s">
        <v>1044</v>
      </c>
      <c r="AG360" s="1433" t="s">
        <v>1044</v>
      </c>
      <c r="AH360" s="1433" t="s">
        <v>1044</v>
      </c>
      <c r="AI360" s="1433" t="s">
        <v>1044</v>
      </c>
      <c r="AJ360" s="853"/>
      <c r="AK360" s="533"/>
      <c r="AL360" s="533"/>
      <c r="AM360" s="533"/>
      <c r="AN360" s="625"/>
      <c r="AO360" s="625"/>
      <c r="AP360" s="625"/>
      <c r="AQ360" s="625"/>
    </row>
    <row r="361" spans="1:43" s="536" customFormat="1">
      <c r="A361" s="537"/>
      <c r="B361" s="1434" t="s">
        <v>1311</v>
      </c>
      <c r="C361" s="1384"/>
      <c r="D361" s="531"/>
      <c r="E361" s="531"/>
      <c r="F361" s="531"/>
      <c r="G361" s="531"/>
      <c r="H361" s="531"/>
      <c r="I361" s="530"/>
      <c r="J361" s="530"/>
      <c r="K361" s="531"/>
      <c r="L361" s="531"/>
      <c r="M361" s="539"/>
      <c r="N361" s="531"/>
      <c r="O361" s="531"/>
      <c r="P361" s="539"/>
      <c r="Q361" s="530"/>
      <c r="R361" s="531"/>
      <c r="S361" s="539"/>
      <c r="T361" s="1385">
        <f t="shared" ref="T361:AI361" si="294">T351</f>
        <v>2020</v>
      </c>
      <c r="U361" s="1385">
        <f t="shared" si="294"/>
        <v>2021</v>
      </c>
      <c r="V361" s="1385">
        <f t="shared" si="294"/>
        <v>2022</v>
      </c>
      <c r="W361" s="1385">
        <f t="shared" si="294"/>
        <v>2023</v>
      </c>
      <c r="X361" s="1385">
        <f t="shared" si="294"/>
        <v>2024</v>
      </c>
      <c r="Y361" s="1385">
        <f t="shared" si="294"/>
        <v>2025</v>
      </c>
      <c r="Z361" s="1385">
        <f t="shared" si="294"/>
        <v>2026</v>
      </c>
      <c r="AA361" s="1385">
        <f t="shared" si="294"/>
        <v>2027</v>
      </c>
      <c r="AB361" s="1385">
        <f t="shared" si="294"/>
        <v>2028</v>
      </c>
      <c r="AC361" s="1385">
        <f t="shared" si="294"/>
        <v>2029</v>
      </c>
      <c r="AD361" s="1435">
        <f t="shared" si="294"/>
        <v>2030</v>
      </c>
      <c r="AE361" s="1436">
        <f t="shared" si="294"/>
        <v>2031</v>
      </c>
      <c r="AF361" s="1437">
        <f t="shared" si="294"/>
        <v>2032</v>
      </c>
      <c r="AG361" s="1386">
        <f t="shared" si="294"/>
        <v>2033</v>
      </c>
      <c r="AH361" s="1386">
        <f t="shared" si="294"/>
        <v>2034</v>
      </c>
      <c r="AI361" s="1386">
        <f t="shared" si="294"/>
        <v>2035</v>
      </c>
      <c r="AJ361" s="853"/>
      <c r="AK361" s="533"/>
      <c r="AL361" s="533"/>
      <c r="AM361" s="533"/>
      <c r="AN361" s="625"/>
      <c r="AO361" s="625"/>
      <c r="AP361" s="625"/>
      <c r="AQ361" s="625"/>
    </row>
    <row r="362" spans="1:43" s="536" customFormat="1">
      <c r="A362" s="537"/>
      <c r="B362" s="1434" t="s">
        <v>1312</v>
      </c>
      <c r="C362" s="1384"/>
      <c r="D362" s="531"/>
      <c r="E362" s="531"/>
      <c r="F362" s="531"/>
      <c r="G362" s="531"/>
      <c r="H362" s="531"/>
      <c r="I362" s="530"/>
      <c r="J362" s="530"/>
      <c r="K362" s="531"/>
      <c r="L362" s="531"/>
      <c r="M362" s="539"/>
      <c r="N362" s="531"/>
      <c r="O362" s="531"/>
      <c r="P362" s="539"/>
      <c r="Q362" s="1387" t="s">
        <v>1303</v>
      </c>
      <c r="R362" s="1388"/>
      <c r="S362" s="1389"/>
      <c r="T362" s="1390">
        <f>IF(OR($C361=0,$C361=0,$C366=0),0,IF(AND(T361-$C364&gt;=0,T361&lt;=$C364+$C361,ROUNDDOWN(T361,0)=ROUNDDOWN($C$944,0)),IF(ROUNDDOWN(T361,0)=ROUNDDOWN($C$944,0),ROUND($E$944*VLOOKUP($C366,$H$950:$J$953,3,0)/$F$944,2),ROUND(VLOOKUP($C366,$H$950:$J$953,3,0)/$F$944,2)),0))</f>
        <v>0</v>
      </c>
      <c r="U362" s="1390">
        <f>IF(OR($C361=0,$C361=0,$C366=0),0,IF(AND(ROUNDDOWN(U361,0)&gt;=ROUNDDOWN($C$944,0),1-$T362&lt;VLOOKUP($C366,$H$950:$J$953,3,0)/$F$944),1-$T362,IF(ROUNDDOWN(U361,0)&gt;=ROUNDDOWN($C$944,0),IF(ROUNDDOWN(U361,0)=ROUNDDOWN($C$944,0),ROUND($E$944*VLOOKUP($C366,$H$950:$J$953,3,0)/$F$944,2),ROUND(VLOOKUP($C366,$H$950:$J$953,3,0)/$F$944,2)),0)))</f>
        <v>0</v>
      </c>
      <c r="V362" s="1390">
        <f>IF(OR($C361=0,$C361=0,$C366=0),0,IF(AND(ROUNDDOWN(V361,0)&gt;=ROUNDDOWN($C$944,0),1-SUM($T362:U362)&lt;VLOOKUP($C366,$H$950:$J$953,3,0)/$F$944),1-SUM($T362:U362),IF(ROUNDDOWN(V361,0)&gt;=ROUNDDOWN($C$944,0),IF(ROUNDDOWN(V361,0)=ROUNDDOWN($C$944,0),ROUND($E$944*VLOOKUP($C366,$H$950:$J$953,3,0)/$F$944,2),ROUND(VLOOKUP($C366,$H$950:$J$953,3,0)/$F$944,2)),0)))</f>
        <v>0</v>
      </c>
      <c r="W362" s="1390">
        <f>IF(OR($C361=0,$C361=0,$C366=0),0,IF(AND(ROUNDDOWN(W361,0)&gt;=ROUNDDOWN($C$944,0),1-SUM($T362:V362)&lt;VLOOKUP($C366,$H$950:$J$953,3,0)/$F$944),1-SUM($T362:V362),IF(ROUNDDOWN(W361,0)&gt;=ROUNDDOWN($C$944,0),IF(ROUNDDOWN(W361,0)=ROUNDDOWN($C$944,0),ROUND($E$944*VLOOKUP($C366,$H$950:$J$953,3,0)/$F$944,2),ROUND(VLOOKUP($C366,$H$950:$J$953,3,0)/$F$944,2)),0)))</f>
        <v>0</v>
      </c>
      <c r="X362" s="1390">
        <f>IF(OR($C361=0,$C361=0,$C366=0),0,IF(AND(ROUNDDOWN(X361,0)&gt;=ROUNDDOWN($C$944,0),1-SUM($T362:W362)&lt;VLOOKUP($C366,$H$950:$J$953,3,0)/$F$944),1-SUM($T362:W362),IF(ROUNDDOWN(X361,0)&gt;=ROUNDDOWN($C$944,0),IF(ROUNDDOWN(X361,0)=ROUNDDOWN($C$944,0),ROUND($E$944*VLOOKUP($C366,$H$950:$J$953,3,0)/$F$944,2),ROUND(VLOOKUP($C366,$H$950:$J$953,3,0)/$F$944,2)),0)))</f>
        <v>0</v>
      </c>
      <c r="Y362" s="1390">
        <f>IF(OR($C361=0,$C361=0,$C366=0),0,IF(AND(ROUNDDOWN(Y361,0)&gt;=ROUNDDOWN($C$944,0),1-SUM($T362:X362)&lt;VLOOKUP($C366,$H$950:$J$953,3,0)/$F$944),1-SUM($T362:X362),IF(ROUNDDOWN(Y361,0)&gt;=ROUNDDOWN($C$944,0),IF(ROUNDDOWN(Y361,0)=ROUNDDOWN($C$944,0),ROUND($E$944*VLOOKUP($C366,$H$950:$J$953,3,0)/$F$944,2),ROUND(VLOOKUP($C366,$H$950:$J$953,3,0)/$F$944,2)),0)))</f>
        <v>0</v>
      </c>
      <c r="Z362" s="1390">
        <f>IF(OR($C361=0,$C361=0,$C366=0),0,IF(AND(ROUNDDOWN(Z361,0)&gt;=ROUNDDOWN($C$944,0),1-SUM($T362:Y362)&lt;VLOOKUP($C366,$H$950:$J$953,3,0)/$F$944),1-SUM($T362:Y362),IF(ROUNDDOWN(Z361,0)&gt;=ROUNDDOWN($C$944,0),IF(ROUNDDOWN(Z361,0)=ROUNDDOWN($C$944,0),ROUND($E$944*VLOOKUP($C366,$H$950:$J$953,3,0)/$F$944,2),ROUND(VLOOKUP($C366,$H$950:$J$953,3,0)/$F$944,2)),0)))</f>
        <v>0</v>
      </c>
      <c r="AA362" s="1390">
        <f>IF(OR($C361=0,$C361=0,$C366=0),0,IF(AND(ROUNDDOWN(AA361,0)&gt;=ROUNDDOWN($C$944,0),1-SUM($T362:Z362)&lt;VLOOKUP($C366,$H$950:$J$953,3,0)/$F$944),1-SUM($T362:Z362),IF(ROUNDDOWN(AA361,0)&gt;=ROUNDDOWN($C$944,0),IF(ROUNDDOWN(AA361,0)=ROUNDDOWN($C$944,0),ROUND($E$944*VLOOKUP($C366,$H$950:$J$953,3,0)/$F$944,2),ROUND(VLOOKUP($C366,$H$950:$J$953,3,0)/$F$944,2)),0)))</f>
        <v>0</v>
      </c>
      <c r="AB362" s="1390">
        <f>IF(OR($C361=0,$C361=0,$C366=0),0,IF(AND(ROUNDDOWN(AB361,0)&gt;=ROUNDDOWN($C$944,0),1-SUM($T362:AA362)&lt;VLOOKUP($C366,$H$950:$J$953,3,0)/$F$944),1-SUM($T362:AA362),IF(ROUNDDOWN(AB361,0)&gt;=ROUNDDOWN($C$944,0),IF(ROUNDDOWN(AB361,0)=ROUNDDOWN($C$944,0),ROUND($E$944*VLOOKUP($C366,$H$950:$J$953,3,0)/$F$944,2),ROUND(VLOOKUP($C366,$H$950:$J$953,3,0)/$F$944,2)),0)))</f>
        <v>0</v>
      </c>
      <c r="AC362" s="1390">
        <f>IF(OR($C361=0,$C361=0,$C366=0),0,IF(AND(ROUNDDOWN(AC361,0)&gt;=ROUNDDOWN($C$944,0),1-SUM($T362:AB362)&lt;VLOOKUP($C366,$H$950:$J$953,3,0)/$F$944),1-SUM($T362:AB362),IF(ROUNDDOWN(AC361,0)&gt;=ROUNDDOWN($C$944,0),IF(ROUNDDOWN(AC361,0)=ROUNDDOWN($C$944,0),ROUND($E$944*VLOOKUP($C366,$H$950:$J$953,3,0)/$F$944,2),ROUND(VLOOKUP($C366,$H$950:$J$953,3,0)/$F$944,2)),0)))</f>
        <v>0</v>
      </c>
      <c r="AD362" s="1438">
        <f>IF(OR($C361=0,$C361=0,$C366=0),0,IF(AND(ROUNDDOWN(AD361,0)&gt;=ROUNDDOWN($C$944,0),1-SUM($T362:AC362)&lt;VLOOKUP($C366,$H$950:$J$953,3,0)/$F$944),1-SUM($T362:AC362),IF(ROUNDDOWN(AD361,0)&gt;=ROUNDDOWN($C$944,0),IF(ROUNDDOWN(AD361,0)=ROUNDDOWN($C$944,0),ROUND($E$944*VLOOKUP($C366,$H$950:$J$953,3,0)/$F$944,2),ROUND(VLOOKUP($C366,$H$950:$J$953,3,0)/$F$944,2)),0)))</f>
        <v>0</v>
      </c>
      <c r="AE362" s="1439">
        <f>IF(OR($C361=0,$C361=0,$C366=0),0,IF(AND(ROUNDDOWN(AE361,0)&gt;=ROUNDDOWN($C$944,0),1-SUM($T362:AD362)&lt;VLOOKUP($C366,$H$950:$J$953,3,0)/$F$944),1-SUM($T362:AD362),IF(ROUNDDOWN(AE361,0)&gt;=ROUNDDOWN($C$944,0),IF(ROUNDDOWN(AE361,0)=ROUNDDOWN($C$944,0),ROUND($E$944*VLOOKUP($C366,$H$950:$J$953,3,0)/$F$944,2),ROUND(VLOOKUP($C366,$H$950:$J$953,3,0)/$F$944,2)),0)))</f>
        <v>0</v>
      </c>
      <c r="AF362" s="1440">
        <f>IF(OR($C361=0,$C361=0,$C366=0),0,IF(AND(ROUNDDOWN(AF361,0)&gt;=ROUNDDOWN($C$944,0),1-SUM($T362:AE362)&lt;VLOOKUP($C366,$H$950:$J$953,3,0)/$F$944),1-SUM($T362:AE362),IF(ROUNDDOWN(AF361,0)&gt;=ROUNDDOWN($C$944,0),IF(ROUNDDOWN(AF361,0)=ROUNDDOWN($C$944,0),ROUND($E$944*VLOOKUP($C366,$H$950:$J$953,3,0)/$F$944,2),ROUND(VLOOKUP($C366,$H$950:$J$953,3,0)/$F$944,2)),0)))</f>
        <v>0</v>
      </c>
      <c r="AG362" s="1391">
        <f>IF(OR($C361=0,$C361=0,$C366=0),0,IF(AND(ROUNDDOWN(AG361,0)&gt;=ROUNDDOWN($C$944,0),1-SUM($T362:AF362)&lt;VLOOKUP($C366,$H$950:$J$953,3,0)/$F$944),1-SUM($T362:AF362),IF(ROUNDDOWN(AG361,0)&gt;=ROUNDDOWN($C$944,0),IF(ROUNDDOWN(AG361,0)=ROUNDDOWN($C$944,0),ROUND($E$944*VLOOKUP($C366,$H$950:$J$953,3,0)/$F$944,2),ROUND(VLOOKUP($C366,$H$950:$J$953,3,0)/$F$944,2)),0)))</f>
        <v>0</v>
      </c>
      <c r="AH362" s="1391">
        <f>IF(OR($C361=0,$C361=0,$C366=0),0,IF(AND(ROUNDDOWN(AH361,0)&gt;=ROUNDDOWN($C$944,0),1-SUM($T362:AG362)&lt;VLOOKUP($C366,$H$950:$J$953,3,0)/$F$944),1-SUM($T362:AG362),IF(ROUNDDOWN(AH361,0)&gt;=ROUNDDOWN($C$944,0),IF(ROUNDDOWN(AH361,0)=ROUNDDOWN($C$944,0),ROUND($E$944*VLOOKUP($C366,$H$950:$J$953,3,0)/$F$944,2),ROUND(VLOOKUP($C366,$H$950:$J$953,3,0)/$F$944,2)),0)))</f>
        <v>0</v>
      </c>
      <c r="AI362" s="1391">
        <f>IF(OR($C361=0,$C361=0,$C366=0),0,IF(AND(ROUNDDOWN(AI361,0)&gt;=ROUNDDOWN($C$944,0),1-SUM($T362:AH362)&lt;VLOOKUP($C366,$H$950:$J$953,3,0)/$F$944),1-SUM($T362:AH362),IF(ROUNDDOWN(AI361,0)&gt;=ROUNDDOWN($C$944,0),IF(ROUNDDOWN(AI361,0)=ROUNDDOWN($C$944,0),ROUND($E$944*VLOOKUP($C366,$H$950:$J$953,3,0)/$F$944,2),ROUND(VLOOKUP($C366,$H$950:$J$953,3,0)/$F$944,2)),0)))</f>
        <v>0</v>
      </c>
      <c r="AJ362" s="853"/>
      <c r="AK362" s="533"/>
      <c r="AL362" s="533"/>
      <c r="AM362" s="533"/>
      <c r="AN362" s="625"/>
      <c r="AO362" s="625"/>
      <c r="AP362" s="625"/>
      <c r="AQ362" s="625"/>
    </row>
    <row r="363" spans="1:43" s="536" customFormat="1">
      <c r="A363" s="537"/>
      <c r="B363" s="1434" t="s">
        <v>1313</v>
      </c>
      <c r="C363" s="1384"/>
      <c r="D363" s="531"/>
      <c r="E363" s="1392"/>
      <c r="F363" s="531"/>
      <c r="G363" s="531"/>
      <c r="H363" s="1392"/>
      <c r="I363" s="530"/>
      <c r="J363" s="530"/>
      <c r="K363" s="1392"/>
      <c r="L363" s="531"/>
      <c r="M363" s="539"/>
      <c r="N363" s="1392"/>
      <c r="O363" s="531"/>
      <c r="P363" s="539"/>
      <c r="Q363" s="1393" t="s">
        <v>1304</v>
      </c>
      <c r="R363" s="1394"/>
      <c r="S363" s="1395"/>
      <c r="T363" s="1396">
        <f>$C360*T362</f>
        <v>0</v>
      </c>
      <c r="U363" s="1396">
        <f t="shared" ref="U363:AI363" si="295">IF($C364&gt;U361,0,U362*$C360)</f>
        <v>0</v>
      </c>
      <c r="V363" s="1396">
        <f t="shared" si="295"/>
        <v>0</v>
      </c>
      <c r="W363" s="1396">
        <f t="shared" si="295"/>
        <v>0</v>
      </c>
      <c r="X363" s="1396">
        <f t="shared" si="295"/>
        <v>0</v>
      </c>
      <c r="Y363" s="1396">
        <f t="shared" si="295"/>
        <v>0</v>
      </c>
      <c r="Z363" s="1396">
        <f t="shared" si="295"/>
        <v>0</v>
      </c>
      <c r="AA363" s="1396">
        <f t="shared" si="295"/>
        <v>0</v>
      </c>
      <c r="AB363" s="1396">
        <f t="shared" si="295"/>
        <v>0</v>
      </c>
      <c r="AC363" s="1396">
        <f t="shared" si="295"/>
        <v>0</v>
      </c>
      <c r="AD363" s="1441">
        <f t="shared" si="295"/>
        <v>0</v>
      </c>
      <c r="AE363" s="1442">
        <f t="shared" si="295"/>
        <v>0</v>
      </c>
      <c r="AF363" s="1443">
        <f t="shared" si="295"/>
        <v>0</v>
      </c>
      <c r="AG363" s="1397">
        <f t="shared" si="295"/>
        <v>0</v>
      </c>
      <c r="AH363" s="1397">
        <f t="shared" si="295"/>
        <v>0</v>
      </c>
      <c r="AI363" s="1397">
        <f t="shared" si="295"/>
        <v>0</v>
      </c>
      <c r="AJ363" s="853"/>
      <c r="AK363" s="533"/>
      <c r="AL363" s="533"/>
      <c r="AM363" s="533"/>
      <c r="AN363" s="625"/>
      <c r="AO363" s="625"/>
      <c r="AP363" s="625"/>
      <c r="AQ363" s="625"/>
    </row>
    <row r="364" spans="1:43" s="536" customFormat="1">
      <c r="A364" s="537"/>
      <c r="B364" s="1434" t="s">
        <v>1314</v>
      </c>
      <c r="C364" s="1384"/>
      <c r="D364" s="531"/>
      <c r="E364" s="531"/>
      <c r="F364" s="531"/>
      <c r="G364" s="531"/>
      <c r="H364" s="531"/>
      <c r="I364" s="530"/>
      <c r="J364" s="530"/>
      <c r="K364" s="531"/>
      <c r="L364" s="531"/>
      <c r="M364" s="539"/>
      <c r="N364" s="531"/>
      <c r="O364" s="531"/>
      <c r="P364" s="539"/>
      <c r="Q364" s="1398" t="s">
        <v>1305</v>
      </c>
      <c r="R364" s="1399"/>
      <c r="S364" s="1400"/>
      <c r="T364" s="1401">
        <f t="shared" ref="T364:AI364" si="296">IF($C364&gt;=U361,0,$C360*U362)</f>
        <v>0</v>
      </c>
      <c r="U364" s="1401">
        <f t="shared" si="296"/>
        <v>0</v>
      </c>
      <c r="V364" s="1401">
        <f t="shared" si="296"/>
        <v>0</v>
      </c>
      <c r="W364" s="1401">
        <f t="shared" si="296"/>
        <v>0</v>
      </c>
      <c r="X364" s="1401">
        <f t="shared" si="296"/>
        <v>0</v>
      </c>
      <c r="Y364" s="1401">
        <f t="shared" si="296"/>
        <v>0</v>
      </c>
      <c r="Z364" s="1401">
        <f t="shared" si="296"/>
        <v>0</v>
      </c>
      <c r="AA364" s="1401">
        <f t="shared" si="296"/>
        <v>0</v>
      </c>
      <c r="AB364" s="1401">
        <f t="shared" si="296"/>
        <v>0</v>
      </c>
      <c r="AC364" s="1401">
        <f t="shared" si="296"/>
        <v>0</v>
      </c>
      <c r="AD364" s="1444">
        <f t="shared" si="296"/>
        <v>0</v>
      </c>
      <c r="AE364" s="1445">
        <f t="shared" si="296"/>
        <v>0</v>
      </c>
      <c r="AF364" s="1446">
        <f t="shared" si="296"/>
        <v>0</v>
      </c>
      <c r="AG364" s="1402">
        <f t="shared" si="296"/>
        <v>0</v>
      </c>
      <c r="AH364" s="1402">
        <f t="shared" si="296"/>
        <v>0</v>
      </c>
      <c r="AI364" s="1402">
        <f t="shared" si="296"/>
        <v>0</v>
      </c>
      <c r="AJ364" s="853"/>
      <c r="AK364" s="533"/>
      <c r="AL364" s="533"/>
      <c r="AM364" s="533"/>
      <c r="AN364" s="625"/>
      <c r="AO364" s="625"/>
      <c r="AP364" s="625"/>
      <c r="AQ364" s="625"/>
    </row>
    <row r="365" spans="1:43" s="536" customFormat="1">
      <c r="A365" s="537"/>
      <c r="B365" s="1434" t="s">
        <v>1315</v>
      </c>
      <c r="C365" s="1384"/>
      <c r="D365" s="531"/>
      <c r="E365" s="531"/>
      <c r="F365" s="531"/>
      <c r="G365" s="531"/>
      <c r="H365" s="531"/>
      <c r="I365" s="530"/>
      <c r="J365" s="530"/>
      <c r="K365" s="530"/>
      <c r="L365" s="531"/>
      <c r="M365" s="539"/>
      <c r="N365" s="530"/>
      <c r="O365" s="531"/>
      <c r="P365" s="539"/>
      <c r="Q365" s="1403" t="s">
        <v>1306</v>
      </c>
      <c r="R365" s="1404"/>
      <c r="S365" s="1405"/>
      <c r="T365" s="1406">
        <f>IF($C364&gt;T361,0,$C360-T363-T364)</f>
        <v>0</v>
      </c>
      <c r="U365" s="1406">
        <f t="shared" ref="U365:AI365" si="297">IF($C364&gt;U361,0,IF($C364=U361,$C360-U363-U364,IF(SUM(T364:T365)-SUM(U363:U364)&lt;=0.005,0,SUM(T364:T365)-SUM(U363:U364))))</f>
        <v>0</v>
      </c>
      <c r="V365" s="1406">
        <f t="shared" si="297"/>
        <v>0</v>
      </c>
      <c r="W365" s="1406">
        <f t="shared" si="297"/>
        <v>0</v>
      </c>
      <c r="X365" s="1406">
        <f t="shared" si="297"/>
        <v>0</v>
      </c>
      <c r="Y365" s="1406">
        <f t="shared" si="297"/>
        <v>0</v>
      </c>
      <c r="Z365" s="1406">
        <f t="shared" si="297"/>
        <v>0</v>
      </c>
      <c r="AA365" s="1406">
        <f t="shared" si="297"/>
        <v>0</v>
      </c>
      <c r="AB365" s="1406">
        <f t="shared" si="297"/>
        <v>0</v>
      </c>
      <c r="AC365" s="1406">
        <f t="shared" si="297"/>
        <v>0</v>
      </c>
      <c r="AD365" s="1447">
        <f t="shared" si="297"/>
        <v>0</v>
      </c>
      <c r="AE365" s="1448">
        <f t="shared" si="297"/>
        <v>0</v>
      </c>
      <c r="AF365" s="1449">
        <f t="shared" si="297"/>
        <v>0</v>
      </c>
      <c r="AG365" s="1407">
        <f t="shared" si="297"/>
        <v>0</v>
      </c>
      <c r="AH365" s="1407">
        <f t="shared" si="297"/>
        <v>0</v>
      </c>
      <c r="AI365" s="1407">
        <f t="shared" si="297"/>
        <v>0</v>
      </c>
      <c r="AJ365" s="853"/>
      <c r="AK365" s="533"/>
      <c r="AL365" s="533"/>
      <c r="AM365" s="533"/>
      <c r="AN365" s="625"/>
      <c r="AO365" s="625"/>
      <c r="AP365" s="625"/>
      <c r="AQ365" s="625"/>
    </row>
    <row r="366" spans="1:43" s="536" customFormat="1">
      <c r="A366" s="537"/>
      <c r="B366" s="1450" t="s">
        <v>1316</v>
      </c>
      <c r="C366" s="1409"/>
      <c r="D366" s="531"/>
      <c r="E366" s="531"/>
      <c r="F366" s="531"/>
      <c r="G366" s="531"/>
      <c r="H366" s="531"/>
      <c r="I366" s="530"/>
      <c r="J366" s="530"/>
      <c r="K366" s="530"/>
      <c r="L366" s="531"/>
      <c r="M366" s="539"/>
      <c r="N366" s="530"/>
      <c r="O366" s="531"/>
      <c r="P366" s="539"/>
      <c r="Q366" s="1387" t="s">
        <v>1307</v>
      </c>
      <c r="R366" s="1388"/>
      <c r="S366" s="1389"/>
      <c r="T366" s="1410">
        <v>0</v>
      </c>
      <c r="U366" s="1410">
        <f t="shared" ref="U366:AI366" si="298">T366</f>
        <v>0</v>
      </c>
      <c r="V366" s="1410">
        <f t="shared" si="298"/>
        <v>0</v>
      </c>
      <c r="W366" s="1410">
        <f t="shared" si="298"/>
        <v>0</v>
      </c>
      <c r="X366" s="1410">
        <f t="shared" si="298"/>
        <v>0</v>
      </c>
      <c r="Y366" s="1410">
        <f t="shared" si="298"/>
        <v>0</v>
      </c>
      <c r="Z366" s="1410">
        <f t="shared" si="298"/>
        <v>0</v>
      </c>
      <c r="AA366" s="1410">
        <f t="shared" si="298"/>
        <v>0</v>
      </c>
      <c r="AB366" s="1410">
        <f t="shared" si="298"/>
        <v>0</v>
      </c>
      <c r="AC366" s="1410">
        <f t="shared" si="298"/>
        <v>0</v>
      </c>
      <c r="AD366" s="1451">
        <f t="shared" si="298"/>
        <v>0</v>
      </c>
      <c r="AE366" s="1452">
        <f t="shared" si="298"/>
        <v>0</v>
      </c>
      <c r="AF366" s="1453">
        <f t="shared" si="298"/>
        <v>0</v>
      </c>
      <c r="AG366" s="1411">
        <f t="shared" si="298"/>
        <v>0</v>
      </c>
      <c r="AH366" s="1411">
        <f t="shared" si="298"/>
        <v>0</v>
      </c>
      <c r="AI366" s="1411">
        <f t="shared" si="298"/>
        <v>0</v>
      </c>
      <c r="AJ366" s="853"/>
      <c r="AK366" s="533"/>
      <c r="AL366" s="533"/>
      <c r="AM366" s="533"/>
      <c r="AN366" s="625"/>
      <c r="AO366" s="625"/>
      <c r="AP366" s="625"/>
      <c r="AQ366" s="625"/>
    </row>
    <row r="367" spans="1:43" s="536" customFormat="1">
      <c r="A367" s="537"/>
      <c r="B367" s="1412"/>
      <c r="C367" s="531"/>
      <c r="D367" s="531"/>
      <c r="E367" s="531"/>
      <c r="F367" s="531"/>
      <c r="G367" s="531"/>
      <c r="H367" s="531"/>
      <c r="I367" s="530"/>
      <c r="J367" s="530"/>
      <c r="K367" s="530"/>
      <c r="L367" s="531"/>
      <c r="M367" s="539"/>
      <c r="N367" s="530"/>
      <c r="O367" s="531"/>
      <c r="P367" s="539"/>
      <c r="Q367" s="1387" t="s">
        <v>1308</v>
      </c>
      <c r="R367" s="1388"/>
      <c r="S367" s="1389"/>
      <c r="T367" s="1413">
        <f>IF(OR($C364&lt;&gt;T361,T366=0,T366=0),0,IF(AND(T362=0,$D$945=1),T366,IF(T362=0,NOMINAL(T366,12)*IF($C364=T361,$D$945,1),IF(AND($C364=T361,ROUNDDOWN($C$944,0)=T361),$E$944,1)*NOMINAL(T366,VLOOKUP($C366,$H$950:$J$953,3,0))/VLOOKUP($C366,$H$950:$J$953,3,0)))*((IF(T362=0,1,IF(AND($C364=T361,T362&lt;ROUNDDOWN(VLOOKUP($C366,$H$950:$J$953,3,0)/$F$944,0)),ROUNDDOWN(T362*$F$944,0),IF(AND($C364&lt;T361,T362&lt;ROUNDDOWN(VLOOKUP($C366,$H$950:$J$953,3,0)/$F$944,0)),ROUND(AVERAGE(ROUNDDOWN(T362*$F$944,0),2*VLOOKUP($C366,$H$950:$J$953,3,0)),0),VLOOKUP($C366,$H$950:$J$953,3,0))))*$C360)-((T363*(IF(T362=0,1,IF(AND($C364=T361,T362&lt;ROUNDDOWN(VLOOKUP($C366,$H$950:$J$953,3,0)/$F$944,0)),ROUNDDOWN(T362*$F$944,0),IF(AND($C364&lt;T361,T362&lt;ROUNDDOWN(VLOOKUP($C366,$H$950:$J$953,3,0)/$F$944,0)),ROUND(AVERAGE(ROUNDDOWN(T362*$F$944,0),2*VLOOKUP($C366,$H$950:$J$953,3,0)),0),VLOOKUP($C366,$H$950:$J$953,3,0))))-1))/2)))</f>
        <v>0</v>
      </c>
      <c r="U367" s="1413">
        <f t="shared" ref="U367:AI367" si="299">IF(OR($C364&gt;U361,U366=0,U366=0),0,IF(AND(U362=0,OR(U361&gt;$C364,$D$945=1)),U366,IF(U362=0,NOMINAL(U366,12)*IF($C364=U361,$D$945,1),IF(AND($C364=U361,ROUNDDOWN($C$944,0)=U361),$E$944,1)*NOMINAL(U366,VLOOKUP($C366,$H$950:$J$953,3,0))/VLOOKUP($C366,$H$950:$J$953,3,0)))*((IF(U362=0,1,IF(AND($C364=U361,U362&lt;ROUNDDOWN(VLOOKUP($C366,$H$950:$J$953,3,0)/$F$944,0)),ROUNDDOWN(U362*$F$944,0),IF(AND($C364&lt;U361,U362&lt;ROUNDDOWN(VLOOKUP($C366,$H$950:$J$953,3,0)/$F$944,0)),ROUND(AVERAGE(ROUNDDOWN(U362*$F$944,0),2*VLOOKUP($C366,$H$950:$J$953,3,0)),0),VLOOKUP($C366,$H$950:$J$953,3,0))))*IF($C364=U361,$C360,SUM(T364:T365)))-((U363*(IF(U362=0,1,IF(AND($C364=U361,U362&lt;ROUNDDOWN(VLOOKUP($C366,$H$950:$J$953,3,0)/$F$944,0)),ROUNDDOWN(U362*$F$944,0),IF(AND($C364&lt;U361,U362&lt;ROUNDDOWN(VLOOKUP($C366,$H$950:$J$953,3,0)/$F$944,0)),ROUND(AVERAGE(ROUNDDOWN(U362*$F$944,0),2*VLOOKUP($C366,$H$950:$J$953,3,0)),0),VLOOKUP($C366,$H$950:$J$953,3,0))))-1))/2)))</f>
        <v>0</v>
      </c>
      <c r="V367" s="1413">
        <f t="shared" si="299"/>
        <v>0</v>
      </c>
      <c r="W367" s="1413">
        <f t="shared" si="299"/>
        <v>0</v>
      </c>
      <c r="X367" s="1413">
        <f t="shared" si="299"/>
        <v>0</v>
      </c>
      <c r="Y367" s="1413">
        <f t="shared" si="299"/>
        <v>0</v>
      </c>
      <c r="Z367" s="1413">
        <f t="shared" si="299"/>
        <v>0</v>
      </c>
      <c r="AA367" s="1413">
        <f t="shared" si="299"/>
        <v>0</v>
      </c>
      <c r="AB367" s="1413">
        <f t="shared" si="299"/>
        <v>0</v>
      </c>
      <c r="AC367" s="1413">
        <f t="shared" si="299"/>
        <v>0</v>
      </c>
      <c r="AD367" s="1454">
        <f t="shared" si="299"/>
        <v>0</v>
      </c>
      <c r="AE367" s="1455">
        <f t="shared" si="299"/>
        <v>0</v>
      </c>
      <c r="AF367" s="1456">
        <f t="shared" si="299"/>
        <v>0</v>
      </c>
      <c r="AG367" s="1414">
        <f t="shared" si="299"/>
        <v>0</v>
      </c>
      <c r="AH367" s="1414">
        <f t="shared" si="299"/>
        <v>0</v>
      </c>
      <c r="AI367" s="1414">
        <f t="shared" si="299"/>
        <v>0</v>
      </c>
      <c r="AJ367" s="853"/>
      <c r="AK367" s="533"/>
      <c r="AL367" s="533"/>
      <c r="AM367" s="533"/>
      <c r="AN367" s="625"/>
      <c r="AO367" s="625"/>
      <c r="AP367" s="625"/>
      <c r="AQ367" s="625"/>
    </row>
    <row r="368" spans="1:43" s="536" customFormat="1">
      <c r="A368" s="537"/>
      <c r="B368" s="1412"/>
      <c r="C368" s="531"/>
      <c r="D368" s="531"/>
      <c r="E368" s="531"/>
      <c r="F368" s="531"/>
      <c r="G368" s="531"/>
      <c r="H368" s="531"/>
      <c r="I368" s="530"/>
      <c r="J368" s="530"/>
      <c r="K368" s="530"/>
      <c r="L368" s="531"/>
      <c r="M368" s="539"/>
      <c r="N368" s="530"/>
      <c r="O368" s="531"/>
      <c r="P368" s="539"/>
      <c r="Q368" s="545"/>
      <c r="R368" s="535"/>
      <c r="S368" s="535"/>
      <c r="T368" s="1324"/>
      <c r="U368" s="1324"/>
      <c r="V368" s="1324"/>
      <c r="W368" s="1324"/>
      <c r="X368" s="1324"/>
      <c r="Y368" s="1324"/>
      <c r="Z368" s="1324"/>
      <c r="AA368" s="1324"/>
      <c r="AB368" s="1324"/>
      <c r="AC368" s="1324"/>
      <c r="AD368" s="1324"/>
      <c r="AE368" s="1457"/>
      <c r="AF368" s="531"/>
      <c r="AG368" s="531"/>
      <c r="AH368" s="531"/>
      <c r="AI368" s="531"/>
      <c r="AJ368" s="853"/>
      <c r="AK368" s="533"/>
      <c r="AL368" s="533"/>
      <c r="AM368" s="533"/>
      <c r="AN368" s="625"/>
      <c r="AO368" s="625"/>
      <c r="AP368" s="625"/>
      <c r="AQ368" s="625"/>
    </row>
    <row r="369" spans="1:43" s="536" customFormat="1">
      <c r="A369" s="537"/>
      <c r="B369" s="1417"/>
      <c r="C369" s="1418"/>
      <c r="D369" s="1418"/>
      <c r="E369" s="1418"/>
      <c r="F369" s="1418"/>
      <c r="G369" s="1418"/>
      <c r="H369" s="1418"/>
      <c r="I369" s="1419"/>
      <c r="J369" s="1419"/>
      <c r="K369" s="1419"/>
      <c r="L369" s="1418"/>
      <c r="M369" s="1420"/>
      <c r="N369" s="1419"/>
      <c r="O369" s="1418"/>
      <c r="P369" s="1420"/>
      <c r="Q369" s="1421"/>
      <c r="R369" s="1422"/>
      <c r="S369" s="1422"/>
      <c r="T369" s="1423"/>
      <c r="U369" s="1423"/>
      <c r="V369" s="1423"/>
      <c r="W369" s="1423"/>
      <c r="X369" s="1423"/>
      <c r="Y369" s="1423"/>
      <c r="Z369" s="1423"/>
      <c r="AA369" s="1423"/>
      <c r="AB369" s="1423"/>
      <c r="AC369" s="1423"/>
      <c r="AD369" s="1423"/>
      <c r="AE369" s="531"/>
      <c r="AF369" s="531"/>
      <c r="AG369" s="531"/>
      <c r="AH369" s="531"/>
      <c r="AI369" s="531"/>
      <c r="AJ369" s="853"/>
      <c r="AK369" s="533"/>
      <c r="AL369" s="533"/>
      <c r="AM369" s="533"/>
      <c r="AN369" s="625"/>
      <c r="AO369" s="625"/>
      <c r="AP369" s="625"/>
      <c r="AQ369" s="625"/>
    </row>
    <row r="370" spans="1:43" s="536" customFormat="1">
      <c r="A370" s="537"/>
      <c r="B370" s="1458" t="s">
        <v>1333</v>
      </c>
      <c r="C370" s="1427"/>
      <c r="D370" s="531"/>
      <c r="E370" s="531"/>
      <c r="F370" s="531"/>
      <c r="G370" s="531"/>
      <c r="H370" s="531"/>
      <c r="I370" s="530"/>
      <c r="J370" s="530"/>
      <c r="K370" s="531"/>
      <c r="L370" s="531"/>
      <c r="M370" s="539"/>
      <c r="N370" s="531"/>
      <c r="O370" s="531"/>
      <c r="P370" s="539"/>
      <c r="Q370" s="531"/>
      <c r="R370" s="531"/>
      <c r="S370" s="1428" t="s">
        <v>1318</v>
      </c>
      <c r="T370" s="1429" t="s">
        <v>1044</v>
      </c>
      <c r="U370" s="1429" t="s">
        <v>1044</v>
      </c>
      <c r="V370" s="1429" t="s">
        <v>1044</v>
      </c>
      <c r="W370" s="1429" t="s">
        <v>1044</v>
      </c>
      <c r="X370" s="1429" t="s">
        <v>1044</v>
      </c>
      <c r="Y370" s="1429" t="s">
        <v>1044</v>
      </c>
      <c r="Z370" s="1429" t="s">
        <v>1044</v>
      </c>
      <c r="AA370" s="1429" t="s">
        <v>1044</v>
      </c>
      <c r="AB370" s="1429" t="s">
        <v>1044</v>
      </c>
      <c r="AC370" s="1429" t="s">
        <v>1044</v>
      </c>
      <c r="AD370" s="1430" t="s">
        <v>1044</v>
      </c>
      <c r="AE370" s="1459" t="s">
        <v>1044</v>
      </c>
      <c r="AF370" s="1437" t="s">
        <v>1044</v>
      </c>
      <c r="AG370" s="1386" t="s">
        <v>1044</v>
      </c>
      <c r="AH370" s="1386" t="s">
        <v>1044</v>
      </c>
      <c r="AI370" s="1386" t="s">
        <v>1044</v>
      </c>
      <c r="AJ370" s="853"/>
      <c r="AK370" s="533"/>
      <c r="AL370" s="533"/>
      <c r="AM370" s="533"/>
      <c r="AN370" s="625"/>
      <c r="AO370" s="625"/>
      <c r="AP370" s="625"/>
      <c r="AQ370" s="625"/>
    </row>
    <row r="371" spans="1:43" s="536" customFormat="1">
      <c r="A371" s="537"/>
      <c r="B371" s="1383" t="s">
        <v>1319</v>
      </c>
      <c r="C371" s="1384"/>
      <c r="D371" s="531"/>
      <c r="E371" s="531"/>
      <c r="F371" s="531"/>
      <c r="G371" s="531"/>
      <c r="H371" s="531"/>
      <c r="I371" s="530"/>
      <c r="J371" s="530"/>
      <c r="K371" s="531"/>
      <c r="L371" s="531"/>
      <c r="M371" s="539"/>
      <c r="N371" s="531"/>
      <c r="O371" s="531"/>
      <c r="P371" s="539"/>
      <c r="Q371" s="530"/>
      <c r="R371" s="531"/>
      <c r="S371" s="539"/>
      <c r="T371" s="1385">
        <f t="shared" ref="T371:AI371" si="300">T351</f>
        <v>2020</v>
      </c>
      <c r="U371" s="1385">
        <f t="shared" si="300"/>
        <v>2021</v>
      </c>
      <c r="V371" s="1385">
        <f t="shared" si="300"/>
        <v>2022</v>
      </c>
      <c r="W371" s="1385">
        <f t="shared" si="300"/>
        <v>2023</v>
      </c>
      <c r="X371" s="1385">
        <f t="shared" si="300"/>
        <v>2024</v>
      </c>
      <c r="Y371" s="1385">
        <f t="shared" si="300"/>
        <v>2025</v>
      </c>
      <c r="Z371" s="1385">
        <f t="shared" si="300"/>
        <v>2026</v>
      </c>
      <c r="AA371" s="1385">
        <f t="shared" si="300"/>
        <v>2027</v>
      </c>
      <c r="AB371" s="1385">
        <f t="shared" si="300"/>
        <v>2028</v>
      </c>
      <c r="AC371" s="1385">
        <f t="shared" si="300"/>
        <v>2029</v>
      </c>
      <c r="AD371" s="1435">
        <f t="shared" si="300"/>
        <v>2030</v>
      </c>
      <c r="AE371" s="1459">
        <f t="shared" si="300"/>
        <v>2031</v>
      </c>
      <c r="AF371" s="1437">
        <f t="shared" si="300"/>
        <v>2032</v>
      </c>
      <c r="AG371" s="1386">
        <f t="shared" si="300"/>
        <v>2033</v>
      </c>
      <c r="AH371" s="1386">
        <f t="shared" si="300"/>
        <v>2034</v>
      </c>
      <c r="AI371" s="1386">
        <f t="shared" si="300"/>
        <v>2035</v>
      </c>
      <c r="AJ371" s="853"/>
      <c r="AK371" s="533"/>
      <c r="AL371" s="533"/>
      <c r="AM371" s="533"/>
      <c r="AN371" s="625"/>
      <c r="AO371" s="625"/>
      <c r="AP371" s="625"/>
      <c r="AQ371" s="625"/>
    </row>
    <row r="372" spans="1:43" s="536" customFormat="1">
      <c r="A372" s="537"/>
      <c r="B372" s="1434" t="s">
        <v>1320</v>
      </c>
      <c r="C372" s="1384"/>
      <c r="D372" s="531"/>
      <c r="E372" s="531"/>
      <c r="F372" s="531"/>
      <c r="G372" s="531"/>
      <c r="H372" s="531"/>
      <c r="I372" s="530"/>
      <c r="J372" s="530"/>
      <c r="K372" s="531"/>
      <c r="L372" s="531"/>
      <c r="M372" s="539"/>
      <c r="N372" s="531"/>
      <c r="O372" s="531"/>
      <c r="P372" s="539"/>
      <c r="Q372" s="1387" t="s">
        <v>1303</v>
      </c>
      <c r="R372" s="1388"/>
      <c r="S372" s="1389"/>
      <c r="T372" s="1390">
        <f>IF(OR($C371=0,$C371=0,$C376=0),0,IF(AND(T371-$C374&gt;=0,T371&lt;=$C374+$C371,ROUNDDOWN(T371,0)=ROUNDDOWN($C$946,0)),IF(ROUNDDOWN(T371,0)=ROUNDDOWN($C$946,0),ROUND($E$946*VLOOKUP($C376,$H$950:$J$953,3,0)/$F$946,2),ROUND(VLOOKUP($C376,$H$950:$J$953,3,0)/$F$946,2)),0))</f>
        <v>0</v>
      </c>
      <c r="U372" s="1390">
        <f>IF(OR($C371=0,$C371=0,$C376=0),0,IF(AND(ROUNDDOWN(U371,0)&gt;=ROUNDDOWN($C$946,0),1-$T372&lt;VLOOKUP($C376,$H$950:$J$953,3,0)/$F$946),1-$T372,IF(ROUNDDOWN(U371,0)&gt;=ROUNDDOWN($C$946,0),IF(ROUNDDOWN(U371,0)=ROUNDDOWN($C$946,0),ROUND($E$946*VLOOKUP($C376,$H$950:$J$953,3,0)/$F$946,2),ROUND(VLOOKUP($C376,$H$950:$J$953,3,0)/$F$946,2)),0)))</f>
        <v>0</v>
      </c>
      <c r="V372" s="1390">
        <f>IF(OR($C371=0,$C371=0,$C376=0),0,IF(AND(ROUNDDOWN(V371,0)&gt;=ROUNDDOWN($C$946,0),1-SUM($T372:U372)&lt;VLOOKUP($C376,$H$950:$J$953,3,0)/$F$946),1-SUM($T372:U372),IF(ROUNDDOWN(V371,0)&gt;=ROUNDDOWN($C$946,0),IF(ROUNDDOWN(V371,0)=ROUNDDOWN($C$946,0),ROUND($E$946*VLOOKUP($C376,$H$950:$J$953,3,0)/$F$946,2),ROUND(VLOOKUP($C376,$H$950:$J$953,3,0)/$F$946,2)),0)))</f>
        <v>0</v>
      </c>
      <c r="W372" s="1390">
        <f>IF(OR($C371=0,$C371=0,$C376=0),0,IF(AND(ROUNDDOWN(W371,0)&gt;=ROUNDDOWN($C$946,0),1-SUM($T372:V372)&lt;VLOOKUP($C376,$H$950:$J$953,3,0)/$F$946),1-SUM($T372:V372),IF(ROUNDDOWN(W371,0)&gt;=ROUNDDOWN($C$946,0),IF(ROUNDDOWN(W371,0)=ROUNDDOWN($C$946,0),ROUND($E$946*VLOOKUP($C376,$H$950:$J$953,3,0)/$F$946,2),ROUND(VLOOKUP($C376,$H$950:$J$953,3,0)/$F$946,2)),0)))</f>
        <v>0</v>
      </c>
      <c r="X372" s="1390">
        <f>IF(OR($C371=0,$C371=0,$C376=0),0,IF(AND(ROUNDDOWN(X371,0)&gt;=ROUNDDOWN($C$946,0),1-SUM($T372:W372)&lt;VLOOKUP($C376,$H$950:$J$953,3,0)/$F$946),1-SUM($T372:W372),IF(ROUNDDOWN(X371,0)&gt;=ROUNDDOWN($C$946,0),IF(ROUNDDOWN(X371,0)=ROUNDDOWN($C$946,0),ROUND($E$946*VLOOKUP($C376,$H$950:$J$953,3,0)/$F$946,2),ROUND(VLOOKUP($C376,$H$950:$J$953,3,0)/$F$946,2)),0)))</f>
        <v>0</v>
      </c>
      <c r="Y372" s="1390">
        <f>IF(OR($C371=0,$C371=0,$C376=0),0,IF(AND(ROUNDDOWN(Y371,0)&gt;=ROUNDDOWN($C$946,0),1-SUM($T372:X372)&lt;VLOOKUP($C376,$H$950:$J$953,3,0)/$F$946),1-SUM($T372:X372),IF(ROUNDDOWN(Y371,0)&gt;=ROUNDDOWN($C$946,0),IF(ROUNDDOWN(Y371,0)=ROUNDDOWN($C$946,0),ROUND($E$946*VLOOKUP($C376,$H$950:$J$953,3,0)/$F$946,2),ROUND(VLOOKUP($C376,$H$950:$J$953,3,0)/$F$946,2)),0)))</f>
        <v>0</v>
      </c>
      <c r="Z372" s="1390">
        <f>IF(OR($C371=0,$C371=0,$C376=0),0,IF(AND(ROUNDDOWN(Z371,0)&gt;=ROUNDDOWN($C$946,0),1-SUM($T372:Y372)&lt;VLOOKUP($C376,$H$950:$J$953,3,0)/$F$946),1-SUM($T372:Y372),IF(ROUNDDOWN(Z371,0)&gt;=ROUNDDOWN($C$946,0),IF(ROUNDDOWN(Z371,0)=ROUNDDOWN($C$946,0),ROUND($E$946*VLOOKUP($C376,$H$950:$J$953,3,0)/$F$946,2),ROUND(VLOOKUP($C376,$H$950:$J$953,3,0)/$F$946,2)),0)))</f>
        <v>0</v>
      </c>
      <c r="AA372" s="1390">
        <f>IF(OR($C371=0,$C371=0,$C376=0),0,IF(AND(ROUNDDOWN(AA371,0)&gt;=ROUNDDOWN($C$946,0),1-SUM($T372:Z372)&lt;VLOOKUP($C376,$H$950:$J$953,3,0)/$F$946),1-SUM($T372:Z372),IF(ROUNDDOWN(AA371,0)&gt;=ROUNDDOWN($C$946,0),IF(ROUNDDOWN(AA371,0)=ROUNDDOWN($C$946,0),ROUND($E$946*VLOOKUP($C376,$H$950:$J$953,3,0)/$F$946,2),ROUND(VLOOKUP($C376,$H$950:$J$953,3,0)/$F$946,2)),0)))</f>
        <v>0</v>
      </c>
      <c r="AB372" s="1390">
        <f>IF(OR($C371=0,$C371=0,$C376=0),0,IF(AND(ROUNDDOWN(AB371,0)&gt;=ROUNDDOWN($C$946,0),1-SUM($T372:AA372)&lt;VLOOKUP($C376,$H$950:$J$953,3,0)/$F$946),1-SUM($T372:AA372),IF(ROUNDDOWN(AB371,0)&gt;=ROUNDDOWN($C$946,0),IF(ROUNDDOWN(AB371,0)=ROUNDDOWN($C$946,0),ROUND($E$946*VLOOKUP($C376,$H$950:$J$953,3,0)/$F$946,2),ROUND(VLOOKUP($C376,$H$950:$J$953,3,0)/$F$946,2)),0)))</f>
        <v>0</v>
      </c>
      <c r="AC372" s="1390">
        <f>IF(OR($C371=0,$C371=0,$C376=0),0,IF(AND(ROUNDDOWN(AC371,0)&gt;=ROUNDDOWN($C$946,0),1-SUM($T372:AB372)&lt;VLOOKUP($C376,$H$950:$J$953,3,0)/$F$946),1-SUM($T372:AB372),IF(ROUNDDOWN(AC371,0)&gt;=ROUNDDOWN($C$946,0),IF(ROUNDDOWN(AC371,0)=ROUNDDOWN($C$946,0),ROUND($E$946*VLOOKUP($C376,$H$950:$J$953,3,0)/$F$946,2),ROUND(VLOOKUP($C376,$H$950:$J$953,3,0)/$F$946,2)),0)))</f>
        <v>0</v>
      </c>
      <c r="AD372" s="1438">
        <f>IF(OR($C371=0,$C371=0,$C376=0),0,IF(AND(ROUNDDOWN(AD371,0)&gt;=ROUNDDOWN($C$946,0),1-SUM($T372:AC372)&lt;VLOOKUP($C376,$H$950:$J$953,3,0)/$F$946),1-SUM($T372:AC372),IF(ROUNDDOWN(AD371,0)&gt;=ROUNDDOWN($C$946,0),IF(ROUNDDOWN(AD371,0)=ROUNDDOWN($C$946,0),ROUND($E$946*VLOOKUP($C376,$H$950:$J$953,3,0)/$F$946,2),ROUND(VLOOKUP($C376,$H$950:$J$953,3,0)/$F$946,2)),0)))</f>
        <v>0</v>
      </c>
      <c r="AE372" s="1460">
        <f>IF(OR($C371=0,$C371=0,$C376=0),0,IF(AND(ROUNDDOWN(AE371,0)&gt;=ROUNDDOWN($C$946,0),1-SUM($T372:AD372)&lt;VLOOKUP($C376,$H$950:$J$953,3,0)/$F$946),1-SUM($T372:AD372),IF(ROUNDDOWN(AE371,0)&gt;=ROUNDDOWN($C$946,0),IF(ROUNDDOWN(AE371,0)=ROUNDDOWN($C$946,0),ROUND($E$946*VLOOKUP($C376,$H$950:$J$953,3,0)/$F$946,2),ROUND(VLOOKUP($C376,$H$950:$J$953,3,0)/$F$946,2)),0)))</f>
        <v>0</v>
      </c>
      <c r="AF372" s="1440">
        <f>IF(OR($C371=0,$C371=0,$C376=0),0,IF(AND(ROUNDDOWN(AF371,0)&gt;=ROUNDDOWN($C$946,0),1-SUM($T372:AE372)&lt;VLOOKUP($C376,$H$950:$J$953,3,0)/$F$946),1-SUM($T372:AE372),IF(ROUNDDOWN(AF371,0)&gt;=ROUNDDOWN($C$946,0),IF(ROUNDDOWN(AF371,0)=ROUNDDOWN($C$946,0),ROUND($E$946*VLOOKUP($C376,$H$950:$J$953,3,0)/$F$946,2),ROUND(VLOOKUP($C376,$H$950:$J$953,3,0)/$F$946,2)),0)))</f>
        <v>0</v>
      </c>
      <c r="AG372" s="1391">
        <f>IF(OR($C371=0,$C371=0,$C376=0),0,IF(AND(ROUNDDOWN(AG371,0)&gt;=ROUNDDOWN($C$946,0),1-SUM($T372:AF372)&lt;VLOOKUP($C376,$H$950:$J$953,3,0)/$F$946),1-SUM($T372:AF372),IF(ROUNDDOWN(AG371,0)&gt;=ROUNDDOWN($C$946,0),IF(ROUNDDOWN(AG371,0)=ROUNDDOWN($C$946,0),ROUND($E$946*VLOOKUP($C376,$H$950:$J$953,3,0)/$F$946,2),ROUND(VLOOKUP($C376,$H$950:$J$953,3,0)/$F$946,2)),0)))</f>
        <v>0</v>
      </c>
      <c r="AH372" s="1391">
        <f>IF(OR($C371=0,$C371=0,$C376=0),0,IF(AND(ROUNDDOWN(AH371,0)&gt;=ROUNDDOWN($C$946,0),1-SUM($T372:AG372)&lt;VLOOKUP($C376,$H$950:$J$953,3,0)/$F$946),1-SUM($T372:AG372),IF(ROUNDDOWN(AH371,0)&gt;=ROUNDDOWN($C$946,0),IF(ROUNDDOWN(AH371,0)=ROUNDDOWN($C$946,0),ROUND($E$946*VLOOKUP($C376,$H$950:$J$953,3,0)/$F$946,2),ROUND(VLOOKUP($C376,$H$950:$J$953,3,0)/$F$946,2)),0)))</f>
        <v>0</v>
      </c>
      <c r="AI372" s="1391">
        <f>IF(OR($C371=0,$C371=0,$C376=0),0,IF(AND(ROUNDDOWN(AI371,0)&gt;=ROUNDDOWN($C$946,0),1-SUM($T372:AH372)&lt;VLOOKUP($C376,$H$950:$J$953,3,0)/$F$946),1-SUM($T372:AH372),IF(ROUNDDOWN(AI371,0)&gt;=ROUNDDOWN($C$946,0),IF(ROUNDDOWN(AI371,0)=ROUNDDOWN($C$946,0),ROUND($E$946*VLOOKUP($C376,$H$950:$J$953,3,0)/$F$946,2),ROUND(VLOOKUP($C376,$H$950:$J$953,3,0)/$F$946,2)),0)))</f>
        <v>0</v>
      </c>
      <c r="AJ372" s="853"/>
      <c r="AK372" s="533"/>
      <c r="AL372" s="533"/>
      <c r="AM372" s="533"/>
      <c r="AN372" s="625"/>
      <c r="AO372" s="625"/>
      <c r="AP372" s="625"/>
      <c r="AQ372" s="625"/>
    </row>
    <row r="373" spans="1:43" s="536" customFormat="1">
      <c r="A373" s="537"/>
      <c r="B373" s="1383" t="s">
        <v>1321</v>
      </c>
      <c r="C373" s="1384"/>
      <c r="D373" s="531"/>
      <c r="E373" s="1392"/>
      <c r="F373" s="531"/>
      <c r="G373" s="531"/>
      <c r="H373" s="1392"/>
      <c r="I373" s="530"/>
      <c r="J373" s="530"/>
      <c r="K373" s="1392"/>
      <c r="L373" s="531"/>
      <c r="M373" s="539"/>
      <c r="N373" s="1392"/>
      <c r="O373" s="531"/>
      <c r="P373" s="539"/>
      <c r="Q373" s="1393" t="s">
        <v>1304</v>
      </c>
      <c r="R373" s="1394"/>
      <c r="S373" s="1395"/>
      <c r="T373" s="1396">
        <f>$C370*T372</f>
        <v>0</v>
      </c>
      <c r="U373" s="1396">
        <f t="shared" ref="U373:AI373" si="301">IF($C374&gt;U371,0,U372*$C370)</f>
        <v>0</v>
      </c>
      <c r="V373" s="1396">
        <f t="shared" si="301"/>
        <v>0</v>
      </c>
      <c r="W373" s="1396">
        <f t="shared" si="301"/>
        <v>0</v>
      </c>
      <c r="X373" s="1396">
        <f t="shared" si="301"/>
        <v>0</v>
      </c>
      <c r="Y373" s="1396">
        <f t="shared" si="301"/>
        <v>0</v>
      </c>
      <c r="Z373" s="1396">
        <f t="shared" si="301"/>
        <v>0</v>
      </c>
      <c r="AA373" s="1396">
        <f t="shared" si="301"/>
        <v>0</v>
      </c>
      <c r="AB373" s="1396">
        <f t="shared" si="301"/>
        <v>0</v>
      </c>
      <c r="AC373" s="1396">
        <f t="shared" si="301"/>
        <v>0</v>
      </c>
      <c r="AD373" s="1441">
        <f t="shared" si="301"/>
        <v>0</v>
      </c>
      <c r="AE373" s="1461">
        <f t="shared" si="301"/>
        <v>0</v>
      </c>
      <c r="AF373" s="1443">
        <f t="shared" si="301"/>
        <v>0</v>
      </c>
      <c r="AG373" s="1397">
        <f t="shared" si="301"/>
        <v>0</v>
      </c>
      <c r="AH373" s="1397">
        <f t="shared" si="301"/>
        <v>0</v>
      </c>
      <c r="AI373" s="1397">
        <f t="shared" si="301"/>
        <v>0</v>
      </c>
      <c r="AJ373" s="853"/>
      <c r="AK373" s="533"/>
      <c r="AL373" s="533"/>
      <c r="AM373" s="533"/>
      <c r="AN373" s="625"/>
      <c r="AO373" s="625"/>
      <c r="AP373" s="625"/>
      <c r="AQ373" s="625"/>
    </row>
    <row r="374" spans="1:43" s="536" customFormat="1">
      <c r="A374" s="537"/>
      <c r="B374" s="1383" t="s">
        <v>1322</v>
      </c>
      <c r="C374" s="1384"/>
      <c r="D374" s="531"/>
      <c r="E374" s="531"/>
      <c r="F374" s="531"/>
      <c r="G374" s="531"/>
      <c r="H374" s="531"/>
      <c r="I374" s="530"/>
      <c r="J374" s="530"/>
      <c r="K374" s="531"/>
      <c r="L374" s="531"/>
      <c r="M374" s="539"/>
      <c r="N374" s="531"/>
      <c r="O374" s="531"/>
      <c r="P374" s="539"/>
      <c r="Q374" s="1398" t="s">
        <v>1305</v>
      </c>
      <c r="R374" s="1399"/>
      <c r="S374" s="1400"/>
      <c r="T374" s="1401">
        <f t="shared" ref="T374:AI374" si="302">IF($C374&gt;=U371,0,$C370*U372)</f>
        <v>0</v>
      </c>
      <c r="U374" s="1401">
        <f t="shared" si="302"/>
        <v>0</v>
      </c>
      <c r="V374" s="1401">
        <f t="shared" si="302"/>
        <v>0</v>
      </c>
      <c r="W374" s="1401">
        <f t="shared" si="302"/>
        <v>0</v>
      </c>
      <c r="X374" s="1401">
        <f t="shared" si="302"/>
        <v>0</v>
      </c>
      <c r="Y374" s="1401">
        <f t="shared" si="302"/>
        <v>0</v>
      </c>
      <c r="Z374" s="1401">
        <f t="shared" si="302"/>
        <v>0</v>
      </c>
      <c r="AA374" s="1401">
        <f t="shared" si="302"/>
        <v>0</v>
      </c>
      <c r="AB374" s="1401">
        <f t="shared" si="302"/>
        <v>0</v>
      </c>
      <c r="AC374" s="1401">
        <f t="shared" si="302"/>
        <v>0</v>
      </c>
      <c r="AD374" s="1444">
        <f t="shared" si="302"/>
        <v>0</v>
      </c>
      <c r="AE374" s="1462">
        <f t="shared" si="302"/>
        <v>0</v>
      </c>
      <c r="AF374" s="1446">
        <f t="shared" si="302"/>
        <v>0</v>
      </c>
      <c r="AG374" s="1402">
        <f t="shared" si="302"/>
        <v>0</v>
      </c>
      <c r="AH374" s="1402">
        <f t="shared" si="302"/>
        <v>0</v>
      </c>
      <c r="AI374" s="1402">
        <f t="shared" si="302"/>
        <v>0</v>
      </c>
      <c r="AJ374" s="853"/>
      <c r="AK374" s="533"/>
      <c r="AL374" s="533"/>
      <c r="AM374" s="533"/>
      <c r="AN374" s="625"/>
      <c r="AO374" s="625"/>
      <c r="AP374" s="625"/>
      <c r="AQ374" s="625"/>
    </row>
    <row r="375" spans="1:43" s="536" customFormat="1">
      <c r="A375" s="537"/>
      <c r="B375" s="1434" t="s">
        <v>1323</v>
      </c>
      <c r="C375" s="1384"/>
      <c r="D375" s="531"/>
      <c r="E375" s="531"/>
      <c r="F375" s="531"/>
      <c r="G375" s="531"/>
      <c r="H375" s="531"/>
      <c r="I375" s="530"/>
      <c r="J375" s="530"/>
      <c r="K375" s="530"/>
      <c r="L375" s="531"/>
      <c r="M375" s="539"/>
      <c r="N375" s="530"/>
      <c r="O375" s="531"/>
      <c r="P375" s="539"/>
      <c r="Q375" s="1403" t="s">
        <v>1306</v>
      </c>
      <c r="R375" s="1404"/>
      <c r="S375" s="1405"/>
      <c r="T375" s="1406">
        <f>IF($C374&gt;T371,0,$C370-T373-T374)</f>
        <v>0</v>
      </c>
      <c r="U375" s="1406">
        <f t="shared" ref="U375:AI375" si="303">IF($C374&gt;U371,0,IF($C374=U371,$C370-U373-U374,IF(SUM(T374:T375)-SUM(U373:U374)&lt;=0.005,0,SUM(T374:T375)-SUM(U373:U374))))</f>
        <v>0</v>
      </c>
      <c r="V375" s="1406">
        <f t="shared" si="303"/>
        <v>0</v>
      </c>
      <c r="W375" s="1406">
        <f t="shared" si="303"/>
        <v>0</v>
      </c>
      <c r="X375" s="1406">
        <f t="shared" si="303"/>
        <v>0</v>
      </c>
      <c r="Y375" s="1406">
        <f t="shared" si="303"/>
        <v>0</v>
      </c>
      <c r="Z375" s="1406">
        <f t="shared" si="303"/>
        <v>0</v>
      </c>
      <c r="AA375" s="1406">
        <f t="shared" si="303"/>
        <v>0</v>
      </c>
      <c r="AB375" s="1406">
        <f t="shared" si="303"/>
        <v>0</v>
      </c>
      <c r="AC375" s="1406">
        <f t="shared" si="303"/>
        <v>0</v>
      </c>
      <c r="AD375" s="1447">
        <f t="shared" si="303"/>
        <v>0</v>
      </c>
      <c r="AE375" s="1463">
        <f t="shared" si="303"/>
        <v>0</v>
      </c>
      <c r="AF375" s="1449">
        <f t="shared" si="303"/>
        <v>0</v>
      </c>
      <c r="AG375" s="1407">
        <f t="shared" si="303"/>
        <v>0</v>
      </c>
      <c r="AH375" s="1407">
        <f t="shared" si="303"/>
        <v>0</v>
      </c>
      <c r="AI375" s="1407">
        <f t="shared" si="303"/>
        <v>0</v>
      </c>
      <c r="AJ375" s="853"/>
      <c r="AK375" s="533"/>
      <c r="AL375" s="533"/>
      <c r="AM375" s="533"/>
      <c r="AN375" s="625"/>
      <c r="AO375" s="625"/>
      <c r="AP375" s="625"/>
      <c r="AQ375" s="625"/>
    </row>
    <row r="376" spans="1:43" s="536" customFormat="1">
      <c r="A376" s="537"/>
      <c r="B376" s="1450" t="s">
        <v>1324</v>
      </c>
      <c r="C376" s="1409"/>
      <c r="D376" s="531"/>
      <c r="E376" s="531"/>
      <c r="F376" s="531"/>
      <c r="G376" s="531"/>
      <c r="H376" s="531"/>
      <c r="I376" s="530"/>
      <c r="J376" s="530"/>
      <c r="K376" s="530"/>
      <c r="L376" s="531"/>
      <c r="M376" s="539"/>
      <c r="N376" s="530"/>
      <c r="O376" s="531"/>
      <c r="P376" s="539"/>
      <c r="Q376" s="1387" t="s">
        <v>1307</v>
      </c>
      <c r="R376" s="1388"/>
      <c r="S376" s="1389"/>
      <c r="T376" s="1410"/>
      <c r="U376" s="1410">
        <f t="shared" ref="U376:AI376" si="304">T376</f>
        <v>0</v>
      </c>
      <c r="V376" s="1410">
        <f t="shared" si="304"/>
        <v>0</v>
      </c>
      <c r="W376" s="1410">
        <f t="shared" si="304"/>
        <v>0</v>
      </c>
      <c r="X376" s="1410">
        <f t="shared" si="304"/>
        <v>0</v>
      </c>
      <c r="Y376" s="1410">
        <f t="shared" si="304"/>
        <v>0</v>
      </c>
      <c r="Z376" s="1410">
        <f t="shared" si="304"/>
        <v>0</v>
      </c>
      <c r="AA376" s="1410">
        <f t="shared" si="304"/>
        <v>0</v>
      </c>
      <c r="AB376" s="1410">
        <f t="shared" si="304"/>
        <v>0</v>
      </c>
      <c r="AC376" s="1410">
        <f t="shared" si="304"/>
        <v>0</v>
      </c>
      <c r="AD376" s="1451">
        <f t="shared" si="304"/>
        <v>0</v>
      </c>
      <c r="AE376" s="1464">
        <f t="shared" si="304"/>
        <v>0</v>
      </c>
      <c r="AF376" s="1453">
        <f t="shared" si="304"/>
        <v>0</v>
      </c>
      <c r="AG376" s="1411">
        <f t="shared" si="304"/>
        <v>0</v>
      </c>
      <c r="AH376" s="1411">
        <f t="shared" si="304"/>
        <v>0</v>
      </c>
      <c r="AI376" s="1411">
        <f t="shared" si="304"/>
        <v>0</v>
      </c>
      <c r="AJ376" s="853"/>
      <c r="AK376" s="533"/>
      <c r="AL376" s="533"/>
      <c r="AM376" s="533"/>
      <c r="AN376" s="625"/>
      <c r="AO376" s="625"/>
      <c r="AP376" s="625"/>
      <c r="AQ376" s="625"/>
    </row>
    <row r="377" spans="1:43" s="536" customFormat="1">
      <c r="A377" s="537"/>
      <c r="B377" s="1412"/>
      <c r="C377" s="531"/>
      <c r="D377" s="531"/>
      <c r="E377" s="531"/>
      <c r="F377" s="531"/>
      <c r="G377" s="531"/>
      <c r="H377" s="531"/>
      <c r="I377" s="530"/>
      <c r="J377" s="530"/>
      <c r="K377" s="530"/>
      <c r="L377" s="531"/>
      <c r="M377" s="539"/>
      <c r="N377" s="530"/>
      <c r="O377" s="531"/>
      <c r="P377" s="539"/>
      <c r="Q377" s="1387" t="s">
        <v>1308</v>
      </c>
      <c r="R377" s="1388"/>
      <c r="S377" s="1389"/>
      <c r="T377" s="1413">
        <f>IF(OR($C374&lt;&gt;T371,T376=0,T376=0),0,IF(AND(T372=0,$D$947=1),T376,IF(T372=0,NOMINAL(T376,12)*IF($C374=T371,$D$947,1),IF(AND($C374=T371,ROUNDDOWN($C$946,0)=T371),$E$946,1)*NOMINAL(T376,VLOOKUP($C376,$H$950:$J$953,3,0))/VLOOKUP($C376,$H$950:$J$953,3,0)))*((IF(T372=0,1,IF(AND($C374=T371,T372&lt;ROUNDDOWN(VLOOKUP($C376,$H$950:$J$953,3,0)/$F$946,0)),ROUNDDOWN(T372*$F$946,0),IF(AND($C374&lt;T371,T372&lt;ROUNDDOWN(VLOOKUP($C376,$H$950:$J$953,3,0)/$F$946,0)),ROUND(AVERAGE(ROUNDDOWN(T372*$F$946,0),2*VLOOKUP($C376,$H$950:$J$953,3,0)),0),VLOOKUP($C376,$H$950:$J$953,3,0))))*$C370)-((T373*(IF(T372=0,1,IF(AND($C374=T371,T372&lt;ROUNDDOWN(VLOOKUP($C376,$H$950:$J$953,3,0)/$F$946,0)),ROUNDDOWN(T372*$F$946,0),IF(AND($C374&lt;T371,T372&lt;ROUNDDOWN(VLOOKUP($C376,$H$950:$J$953,3,0)/$F$946,0)),ROUND(AVERAGE(ROUNDDOWN(T372*$F$946,0),2*VLOOKUP($C376,$H$950:$J$953,3,0)),0),VLOOKUP($C376,$H$950:$J$953,3,0))))-1))/2)))</f>
        <v>0</v>
      </c>
      <c r="U377" s="1413">
        <f t="shared" ref="U377:AI377" si="305">IF(OR($C374&gt;U371,U376=0,U376=0),0,IF(AND(U372=0,OR(U371&gt;$C374,$D$947=1)),U376,IF(U372=0,NOMINAL(U376,12)*IF($C374=U371,$D$947,1),IF(AND($C374=U371,ROUNDDOWN($C$946,0)=U371),$E$946,1)*NOMINAL(U376,VLOOKUP($C376,$H$950:$J$953,3,0))/VLOOKUP($C376,$H$950:$J$953,3,0)))*((IF(U372=0,1,IF(AND($C374=U371,U372&lt;ROUNDDOWN(VLOOKUP($C376,$H$950:$J$953,3,0)/$F$946,0)),ROUNDDOWN(U372*$F$946,0),IF(AND($C374&lt;U371,U372&lt;ROUNDDOWN(VLOOKUP($C376,$H$950:$J$953,3,0)/$F$946,0)),ROUND(AVERAGE(ROUNDDOWN(U372*$F$946,0),2*VLOOKUP($C376,$H$950:$J$953,3,0)),0),VLOOKUP($C376,$H$950:$J$953,3,0))))*IF($C374=U371,$C370,SUM(T374:T375)))-((U373*(IF(U372=0,1,IF(AND($C374=U371,U372&lt;ROUNDDOWN(VLOOKUP($C376,$H$950:$J$953,3,0)/$F$946,0)),ROUNDDOWN(U372*$F$946,0),IF(AND($C374&lt;U371,U372&lt;ROUNDDOWN(VLOOKUP($C376,$H$950:$J$953,3,0)/$F$946,0)),ROUND(AVERAGE(ROUNDDOWN(U372*$F$946,0),2*VLOOKUP($C376,$H$950:$J$953,3,0)),0),VLOOKUP($C376,$H$950:$J$953,3,0))))-1))/2)))</f>
        <v>0</v>
      </c>
      <c r="V377" s="1413">
        <f t="shared" si="305"/>
        <v>0</v>
      </c>
      <c r="W377" s="1413">
        <f t="shared" si="305"/>
        <v>0</v>
      </c>
      <c r="X377" s="1413">
        <f t="shared" si="305"/>
        <v>0</v>
      </c>
      <c r="Y377" s="1413">
        <f t="shared" si="305"/>
        <v>0</v>
      </c>
      <c r="Z377" s="1413">
        <f t="shared" si="305"/>
        <v>0</v>
      </c>
      <c r="AA377" s="1413">
        <f t="shared" si="305"/>
        <v>0</v>
      </c>
      <c r="AB377" s="1413">
        <f t="shared" si="305"/>
        <v>0</v>
      </c>
      <c r="AC377" s="1413">
        <f t="shared" si="305"/>
        <v>0</v>
      </c>
      <c r="AD377" s="1454">
        <f t="shared" si="305"/>
        <v>0</v>
      </c>
      <c r="AE377" s="1465">
        <f t="shared" si="305"/>
        <v>0</v>
      </c>
      <c r="AF377" s="1456">
        <f t="shared" si="305"/>
        <v>0</v>
      </c>
      <c r="AG377" s="1414">
        <f t="shared" si="305"/>
        <v>0</v>
      </c>
      <c r="AH377" s="1414">
        <f t="shared" si="305"/>
        <v>0</v>
      </c>
      <c r="AI377" s="1414">
        <f t="shared" si="305"/>
        <v>0</v>
      </c>
      <c r="AJ377" s="853"/>
      <c r="AK377" s="533"/>
      <c r="AL377" s="533"/>
      <c r="AM377" s="533"/>
      <c r="AN377" s="625"/>
      <c r="AO377" s="625"/>
      <c r="AP377" s="625"/>
      <c r="AQ377" s="625"/>
    </row>
    <row r="378" spans="1:43" s="536" customFormat="1">
      <c r="A378" s="537"/>
      <c r="B378" s="1412"/>
      <c r="C378" s="531"/>
      <c r="D378" s="531"/>
      <c r="E378" s="531"/>
      <c r="F378" s="531"/>
      <c r="G378" s="531"/>
      <c r="H378" s="531"/>
      <c r="I378" s="530"/>
      <c r="J378" s="530"/>
      <c r="K378" s="530"/>
      <c r="L378" s="531"/>
      <c r="M378" s="539"/>
      <c r="N378" s="530"/>
      <c r="O378" s="531"/>
      <c r="P378" s="539"/>
      <c r="Q378" s="545"/>
      <c r="R378" s="535"/>
      <c r="S378" s="535"/>
      <c r="T378" s="1324"/>
      <c r="U378" s="1324"/>
      <c r="V378" s="1324"/>
      <c r="W378" s="1324"/>
      <c r="X378" s="1324"/>
      <c r="Y378" s="1324"/>
      <c r="Z378" s="1324"/>
      <c r="AA378" s="1324"/>
      <c r="AB378" s="1324"/>
      <c r="AC378" s="1324"/>
      <c r="AD378" s="1324"/>
      <c r="AE378" s="1457"/>
      <c r="AF378" s="531"/>
      <c r="AG378" s="531"/>
      <c r="AH378" s="531"/>
      <c r="AI378" s="531"/>
      <c r="AJ378" s="853"/>
      <c r="AK378" s="533"/>
      <c r="AL378" s="533"/>
      <c r="AM378" s="533"/>
      <c r="AN378" s="625"/>
      <c r="AO378" s="625"/>
      <c r="AP378" s="625"/>
      <c r="AQ378" s="625"/>
    </row>
    <row r="379" spans="1:43" s="536" customFormat="1">
      <c r="A379" s="537"/>
      <c r="B379" s="1412"/>
      <c r="C379" s="531"/>
      <c r="D379" s="531"/>
      <c r="E379" s="531"/>
      <c r="F379" s="531"/>
      <c r="G379" s="531"/>
      <c r="H379" s="531"/>
      <c r="I379" s="530"/>
      <c r="J379" s="530"/>
      <c r="K379" s="530"/>
      <c r="L379" s="531"/>
      <c r="M379" s="539"/>
      <c r="N379" s="530"/>
      <c r="O379" s="531"/>
      <c r="P379" s="539"/>
      <c r="Q379" s="545"/>
      <c r="R379" s="535"/>
      <c r="S379" s="535"/>
      <c r="T379" s="1466"/>
      <c r="U379" s="1466"/>
      <c r="V379" s="1466"/>
      <c r="W379" s="1466"/>
      <c r="X379" s="1466"/>
      <c r="Y379" s="1466"/>
      <c r="Z379" s="1466"/>
      <c r="AA379" s="1466"/>
      <c r="AB379" s="1466"/>
      <c r="AC379" s="1466"/>
      <c r="AD379" s="1466"/>
      <c r="AE379" s="1418"/>
      <c r="AF379" s="531"/>
      <c r="AG379" s="531"/>
      <c r="AH379" s="531"/>
      <c r="AI379" s="531"/>
      <c r="AJ379" s="853"/>
      <c r="AK379" s="533"/>
      <c r="AL379" s="533"/>
      <c r="AM379" s="533"/>
      <c r="AN379" s="625"/>
      <c r="AO379" s="625"/>
      <c r="AP379" s="625"/>
      <c r="AQ379" s="625"/>
    </row>
    <row r="380" spans="1:43" s="536" customFormat="1">
      <c r="A380" s="537"/>
      <c r="B380" s="1467" t="s">
        <v>1334</v>
      </c>
      <c r="C380" s="1468"/>
      <c r="D380" s="1469"/>
      <c r="E380" s="1468"/>
      <c r="F380" s="1469"/>
      <c r="G380" s="1469"/>
      <c r="H380" s="1468"/>
      <c r="I380" s="1469"/>
      <c r="J380" s="1469"/>
      <c r="K380" s="1468"/>
      <c r="L380" s="1469"/>
      <c r="M380" s="1469"/>
      <c r="N380" s="1468"/>
      <c r="O380" s="1469"/>
      <c r="P380" s="1469"/>
      <c r="Q380" s="1468"/>
      <c r="R380" s="1469"/>
      <c r="S380" s="1470"/>
      <c r="T380" s="1471">
        <f t="shared" ref="T380:AI380" si="306">T354+T364+T374</f>
        <v>0</v>
      </c>
      <c r="U380" s="1471">
        <f t="shared" si="306"/>
        <v>0</v>
      </c>
      <c r="V380" s="1471">
        <f t="shared" si="306"/>
        <v>0</v>
      </c>
      <c r="W380" s="1471">
        <f t="shared" si="306"/>
        <v>0</v>
      </c>
      <c r="X380" s="1471">
        <f t="shared" si="306"/>
        <v>0</v>
      </c>
      <c r="Y380" s="1471">
        <f t="shared" si="306"/>
        <v>0</v>
      </c>
      <c r="Z380" s="1471">
        <f t="shared" si="306"/>
        <v>0</v>
      </c>
      <c r="AA380" s="1471">
        <f t="shared" si="306"/>
        <v>0</v>
      </c>
      <c r="AB380" s="1471">
        <f t="shared" si="306"/>
        <v>0</v>
      </c>
      <c r="AC380" s="1471">
        <f t="shared" si="306"/>
        <v>0</v>
      </c>
      <c r="AD380" s="1472">
        <f t="shared" si="306"/>
        <v>0</v>
      </c>
      <c r="AE380" s="1472">
        <f t="shared" si="306"/>
        <v>0</v>
      </c>
      <c r="AF380" s="1472">
        <f t="shared" si="306"/>
        <v>0</v>
      </c>
      <c r="AG380" s="1472">
        <f t="shared" si="306"/>
        <v>0</v>
      </c>
      <c r="AH380" s="1472">
        <f t="shared" si="306"/>
        <v>0</v>
      </c>
      <c r="AI380" s="1472">
        <f t="shared" si="306"/>
        <v>0</v>
      </c>
      <c r="AJ380" s="853"/>
      <c r="AK380" s="533"/>
      <c r="AL380" s="533"/>
      <c r="AM380" s="533"/>
      <c r="AN380" s="625"/>
      <c r="AO380" s="625"/>
      <c r="AP380" s="625"/>
      <c r="AQ380" s="625"/>
    </row>
    <row r="381" spans="1:43" s="536" customFormat="1">
      <c r="A381" s="537"/>
      <c r="B381" s="1467" t="s">
        <v>1335</v>
      </c>
      <c r="C381" s="1468"/>
      <c r="D381" s="1469"/>
      <c r="E381" s="1468"/>
      <c r="F381" s="1469"/>
      <c r="G381" s="1469"/>
      <c r="H381" s="1468"/>
      <c r="I381" s="1469"/>
      <c r="J381" s="1469"/>
      <c r="K381" s="1468"/>
      <c r="L381" s="1469"/>
      <c r="M381" s="1469"/>
      <c r="N381" s="1468"/>
      <c r="O381" s="1469"/>
      <c r="P381" s="1469"/>
      <c r="Q381" s="1468"/>
      <c r="R381" s="1469"/>
      <c r="S381" s="1470"/>
      <c r="T381" s="1471">
        <f t="shared" ref="T381:AI381" si="307">T355+T365+T375</f>
        <v>0</v>
      </c>
      <c r="U381" s="1471">
        <f t="shared" si="307"/>
        <v>0</v>
      </c>
      <c r="V381" s="1471">
        <f t="shared" si="307"/>
        <v>0</v>
      </c>
      <c r="W381" s="1471">
        <f t="shared" si="307"/>
        <v>0</v>
      </c>
      <c r="X381" s="1471">
        <f t="shared" si="307"/>
        <v>0</v>
      </c>
      <c r="Y381" s="1471">
        <f t="shared" si="307"/>
        <v>0</v>
      </c>
      <c r="Z381" s="1471">
        <f t="shared" si="307"/>
        <v>0</v>
      </c>
      <c r="AA381" s="1471">
        <f t="shared" si="307"/>
        <v>0</v>
      </c>
      <c r="AB381" s="1471">
        <f t="shared" si="307"/>
        <v>0</v>
      </c>
      <c r="AC381" s="1471">
        <f t="shared" si="307"/>
        <v>0</v>
      </c>
      <c r="AD381" s="1472">
        <f t="shared" si="307"/>
        <v>0</v>
      </c>
      <c r="AE381" s="1472">
        <f t="shared" si="307"/>
        <v>0</v>
      </c>
      <c r="AF381" s="1472">
        <f t="shared" si="307"/>
        <v>0</v>
      </c>
      <c r="AG381" s="1472">
        <f t="shared" si="307"/>
        <v>0</v>
      </c>
      <c r="AH381" s="1472">
        <f t="shared" si="307"/>
        <v>0</v>
      </c>
      <c r="AI381" s="1472">
        <f t="shared" si="307"/>
        <v>0</v>
      </c>
      <c r="AJ381" s="853"/>
      <c r="AK381" s="533"/>
      <c r="AL381" s="533"/>
      <c r="AM381" s="533"/>
      <c r="AN381" s="625"/>
      <c r="AO381" s="625"/>
      <c r="AP381" s="625"/>
      <c r="AQ381" s="625"/>
    </row>
    <row r="382" spans="1:43" s="536" customFormat="1" ht="13.5" thickBot="1">
      <c r="A382" s="537"/>
      <c r="B382" s="1473" t="s">
        <v>1336</v>
      </c>
      <c r="C382" s="1474"/>
      <c r="D382" s="1475"/>
      <c r="E382" s="1474"/>
      <c r="F382" s="1475"/>
      <c r="G382" s="1475"/>
      <c r="H382" s="1474"/>
      <c r="I382" s="1475"/>
      <c r="J382" s="1475"/>
      <c r="K382" s="1474"/>
      <c r="L382" s="1475"/>
      <c r="M382" s="1475"/>
      <c r="N382" s="1474"/>
      <c r="O382" s="1475"/>
      <c r="P382" s="1475"/>
      <c r="Q382" s="1474"/>
      <c r="R382" s="1475"/>
      <c r="S382" s="1476"/>
      <c r="T382" s="1477">
        <f t="shared" ref="T382:AI382" si="308">T357+T367+T377</f>
        <v>0</v>
      </c>
      <c r="U382" s="1477">
        <f t="shared" si="308"/>
        <v>0</v>
      </c>
      <c r="V382" s="1477">
        <f t="shared" si="308"/>
        <v>0</v>
      </c>
      <c r="W382" s="1477">
        <f t="shared" si="308"/>
        <v>0</v>
      </c>
      <c r="X382" s="1477">
        <f t="shared" si="308"/>
        <v>0</v>
      </c>
      <c r="Y382" s="1477">
        <f t="shared" si="308"/>
        <v>0</v>
      </c>
      <c r="Z382" s="1477">
        <f t="shared" si="308"/>
        <v>0</v>
      </c>
      <c r="AA382" s="1477">
        <f t="shared" si="308"/>
        <v>0</v>
      </c>
      <c r="AB382" s="1477">
        <f t="shared" si="308"/>
        <v>0</v>
      </c>
      <c r="AC382" s="1477">
        <f t="shared" si="308"/>
        <v>0</v>
      </c>
      <c r="AD382" s="1478">
        <f t="shared" si="308"/>
        <v>0</v>
      </c>
      <c r="AE382" s="1478">
        <f t="shared" si="308"/>
        <v>0</v>
      </c>
      <c r="AF382" s="1478">
        <f t="shared" si="308"/>
        <v>0</v>
      </c>
      <c r="AG382" s="1478">
        <f t="shared" si="308"/>
        <v>0</v>
      </c>
      <c r="AH382" s="1478">
        <f t="shared" si="308"/>
        <v>0</v>
      </c>
      <c r="AI382" s="1478">
        <f t="shared" si="308"/>
        <v>0</v>
      </c>
      <c r="AJ382" s="853"/>
      <c r="AK382" s="533"/>
      <c r="AL382" s="533"/>
      <c r="AM382" s="533"/>
      <c r="AN382" s="625"/>
      <c r="AO382" s="625"/>
      <c r="AP382" s="625"/>
      <c r="AQ382" s="625"/>
    </row>
    <row r="383" spans="1:43" s="536" customFormat="1" ht="13.5" thickBot="1">
      <c r="A383" s="537"/>
      <c r="B383" s="660"/>
      <c r="C383" s="531"/>
      <c r="D383" s="534"/>
      <c r="E383" s="531"/>
      <c r="F383" s="531"/>
      <c r="G383" s="531"/>
      <c r="H383" s="531"/>
      <c r="I383" s="530"/>
      <c r="J383" s="530"/>
      <c r="K383" s="1295"/>
      <c r="L383" s="531"/>
      <c r="M383" s="539"/>
      <c r="N383" s="1295"/>
      <c r="O383" s="531"/>
      <c r="P383" s="539"/>
      <c r="Q383" s="1295"/>
      <c r="R383" s="531"/>
      <c r="S383" s="539"/>
      <c r="T383" s="539"/>
      <c r="U383" s="531"/>
      <c r="V383" s="531"/>
      <c r="W383" s="531"/>
      <c r="X383" s="531"/>
      <c r="Y383" s="531"/>
      <c r="Z383" s="531"/>
      <c r="AA383" s="531"/>
      <c r="AB383" s="531"/>
      <c r="AC383" s="531"/>
      <c r="AD383" s="531"/>
      <c r="AE383" s="531"/>
      <c r="AF383" s="1479"/>
      <c r="AG383" s="531"/>
      <c r="AH383" s="531"/>
      <c r="AI383" s="531"/>
      <c r="AJ383" s="853"/>
      <c r="AK383" s="533"/>
      <c r="AL383" s="533"/>
      <c r="AM383" s="533"/>
      <c r="AN383" s="625"/>
      <c r="AO383" s="625"/>
      <c r="AP383" s="625"/>
      <c r="AQ383" s="625"/>
    </row>
    <row r="384" spans="1:43" s="536" customFormat="1" ht="14.5" thickBot="1">
      <c r="A384" s="537"/>
      <c r="B384" s="660"/>
      <c r="C384" s="1480"/>
      <c r="D384" s="531"/>
      <c r="E384" s="1480"/>
      <c r="F384" s="531"/>
      <c r="G384" s="531"/>
      <c r="H384" s="1480"/>
      <c r="I384" s="530"/>
      <c r="J384" s="530"/>
      <c r="K384" s="1480"/>
      <c r="L384" s="531"/>
      <c r="M384" s="539"/>
      <c r="N384" s="1480"/>
      <c r="O384" s="531"/>
      <c r="P384" s="539"/>
      <c r="Q384" s="1480"/>
      <c r="R384" s="531"/>
      <c r="S384" s="539"/>
      <c r="T384" s="1481" t="s">
        <v>1044</v>
      </c>
      <c r="U384" s="1353" t="s">
        <v>1044</v>
      </c>
      <c r="V384" s="1353" t="s">
        <v>1044</v>
      </c>
      <c r="W384" s="1353" t="s">
        <v>1044</v>
      </c>
      <c r="X384" s="1353" t="s">
        <v>1044</v>
      </c>
      <c r="Y384" s="1353" t="s">
        <v>1044</v>
      </c>
      <c r="Z384" s="1353" t="s">
        <v>1044</v>
      </c>
      <c r="AA384" s="1353" t="s">
        <v>1044</v>
      </c>
      <c r="AB384" s="1353" t="s">
        <v>1044</v>
      </c>
      <c r="AC384" s="1353" t="s">
        <v>1044</v>
      </c>
      <c r="AD384" s="1354" t="s">
        <v>1044</v>
      </c>
      <c r="AE384" s="1354" t="s">
        <v>1044</v>
      </c>
      <c r="AF384" s="1354" t="s">
        <v>1044</v>
      </c>
      <c r="AG384" s="1354" t="s">
        <v>1044</v>
      </c>
      <c r="AH384" s="1354" t="s">
        <v>1044</v>
      </c>
      <c r="AI384" s="1354" t="s">
        <v>1044</v>
      </c>
      <c r="AJ384" s="853"/>
      <c r="AK384" s="533"/>
      <c r="AL384" s="533"/>
      <c r="AM384" s="533"/>
      <c r="AN384" s="625"/>
      <c r="AO384" s="625"/>
      <c r="AP384" s="625"/>
      <c r="AQ384" s="625"/>
    </row>
    <row r="385" spans="1:43" s="536" customFormat="1">
      <c r="A385" s="537"/>
      <c r="B385" s="1482" t="s">
        <v>1337</v>
      </c>
      <c r="C385" s="1483"/>
      <c r="D385" s="1484"/>
      <c r="E385" s="1483"/>
      <c r="F385" s="1484"/>
      <c r="G385" s="1484"/>
      <c r="H385" s="1483"/>
      <c r="I385" s="1485"/>
      <c r="J385" s="1485"/>
      <c r="K385" s="1483"/>
      <c r="L385" s="1369"/>
      <c r="M385" s="1486"/>
      <c r="N385" s="1483"/>
      <c r="O385" s="1369"/>
      <c r="P385" s="1486"/>
      <c r="Q385" s="1483"/>
      <c r="R385" s="1369"/>
      <c r="S385" s="1486"/>
      <c r="T385" s="1487">
        <f t="shared" ref="T385:AI385" si="309">T15</f>
        <v>2020</v>
      </c>
      <c r="U385" s="1487">
        <f t="shared" si="309"/>
        <v>2021</v>
      </c>
      <c r="V385" s="1487">
        <f t="shared" si="309"/>
        <v>2022</v>
      </c>
      <c r="W385" s="1487">
        <f t="shared" si="309"/>
        <v>2023</v>
      </c>
      <c r="X385" s="1487">
        <f t="shared" si="309"/>
        <v>2024</v>
      </c>
      <c r="Y385" s="1487">
        <f t="shared" si="309"/>
        <v>2025</v>
      </c>
      <c r="Z385" s="1487">
        <f t="shared" si="309"/>
        <v>2026</v>
      </c>
      <c r="AA385" s="1487">
        <f t="shared" si="309"/>
        <v>2027</v>
      </c>
      <c r="AB385" s="1487">
        <f t="shared" si="309"/>
        <v>2028</v>
      </c>
      <c r="AC385" s="1487">
        <f t="shared" si="309"/>
        <v>2029</v>
      </c>
      <c r="AD385" s="1488">
        <f t="shared" si="309"/>
        <v>2030</v>
      </c>
      <c r="AE385" s="1488">
        <f t="shared" si="309"/>
        <v>2031</v>
      </c>
      <c r="AF385" s="1488">
        <f t="shared" si="309"/>
        <v>2032</v>
      </c>
      <c r="AG385" s="1488">
        <f t="shared" si="309"/>
        <v>2033</v>
      </c>
      <c r="AH385" s="1488">
        <f t="shared" si="309"/>
        <v>2034</v>
      </c>
      <c r="AI385" s="1488">
        <f t="shared" si="309"/>
        <v>2035</v>
      </c>
      <c r="AJ385" s="853"/>
      <c r="AK385" s="533"/>
      <c r="AL385" s="533"/>
      <c r="AM385" s="533"/>
      <c r="AN385" s="625"/>
      <c r="AO385" s="625"/>
      <c r="AP385" s="625"/>
      <c r="AQ385" s="625"/>
    </row>
    <row r="386" spans="1:43" s="536" customFormat="1">
      <c r="A386" s="537"/>
      <c r="B386" s="1489" t="str">
        <f>B439</f>
        <v>CRECIMIENTO EN VENTAS</v>
      </c>
      <c r="C386" s="1490"/>
      <c r="D386" s="535"/>
      <c r="E386" s="1491"/>
      <c r="F386" s="535"/>
      <c r="G386" s="535"/>
      <c r="H386" s="1491"/>
      <c r="I386" s="534"/>
      <c r="J386" s="534"/>
      <c r="K386" s="1491"/>
      <c r="L386" s="531"/>
      <c r="M386" s="539"/>
      <c r="N386" s="1491"/>
      <c r="O386" s="531"/>
      <c r="P386" s="539"/>
      <c r="Q386" s="1491"/>
      <c r="R386" s="531"/>
      <c r="S386" s="539"/>
      <c r="T386" s="1492">
        <f t="shared" ref="T386:AI386" si="310">IF($V$242=$H$913,T439,IF($V$242=$H$914,T486,IF($V$242=$H$915,T533,"SELECCIONAR ESCENARIO")))</f>
        <v>0</v>
      </c>
      <c r="U386" s="1492">
        <f t="shared" si="310"/>
        <v>0</v>
      </c>
      <c r="V386" s="1492">
        <f t="shared" si="310"/>
        <v>0</v>
      </c>
      <c r="W386" s="1492">
        <f t="shared" si="310"/>
        <v>0</v>
      </c>
      <c r="X386" s="1492">
        <f t="shared" si="310"/>
        <v>0</v>
      </c>
      <c r="Y386" s="1492">
        <f t="shared" si="310"/>
        <v>0</v>
      </c>
      <c r="Z386" s="1492">
        <f t="shared" si="310"/>
        <v>0</v>
      </c>
      <c r="AA386" s="1492">
        <f t="shared" si="310"/>
        <v>0</v>
      </c>
      <c r="AB386" s="1492">
        <f t="shared" si="310"/>
        <v>0</v>
      </c>
      <c r="AC386" s="1492">
        <f t="shared" si="310"/>
        <v>0</v>
      </c>
      <c r="AD386" s="1493">
        <f t="shared" si="310"/>
        <v>0</v>
      </c>
      <c r="AE386" s="1493">
        <f t="shared" si="310"/>
        <v>0</v>
      </c>
      <c r="AF386" s="1493">
        <f t="shared" si="310"/>
        <v>0</v>
      </c>
      <c r="AG386" s="1493">
        <f t="shared" si="310"/>
        <v>0</v>
      </c>
      <c r="AH386" s="1493">
        <f t="shared" si="310"/>
        <v>0</v>
      </c>
      <c r="AI386" s="1493">
        <f t="shared" si="310"/>
        <v>0</v>
      </c>
      <c r="AJ386" s="853"/>
      <c r="AK386" s="533"/>
      <c r="AL386" s="533"/>
      <c r="AM386" s="533"/>
      <c r="AN386" s="625"/>
      <c r="AO386" s="625"/>
      <c r="AP386" s="625"/>
      <c r="AQ386" s="625"/>
    </row>
    <row r="387" spans="1:43" s="536" customFormat="1">
      <c r="A387" s="537"/>
      <c r="B387" s="1494" t="str">
        <f>B440</f>
        <v>MARGEN BRUTO</v>
      </c>
      <c r="C387" s="1491"/>
      <c r="D387" s="535"/>
      <c r="E387" s="1491"/>
      <c r="F387" s="535"/>
      <c r="G387" s="535"/>
      <c r="H387" s="1491"/>
      <c r="I387" s="534"/>
      <c r="J387" s="534"/>
      <c r="K387" s="1491"/>
      <c r="L387" s="531"/>
      <c r="M387" s="539"/>
      <c r="N387" s="1491"/>
      <c r="O387" s="531"/>
      <c r="P387" s="539"/>
      <c r="Q387" s="1491"/>
      <c r="R387" s="531"/>
      <c r="S387" s="539"/>
      <c r="T387" s="1495">
        <f t="shared" ref="T387:AI387" si="311">IF($V$242=$H$913,T440,IF($V$242=$H$914,T487,IF($V$242=$H$915,T534,"SELECCIONAR ESCENARIO")))</f>
        <v>0</v>
      </c>
      <c r="U387" s="1495">
        <f t="shared" si="311"/>
        <v>0</v>
      </c>
      <c r="V387" s="1495">
        <f t="shared" si="311"/>
        <v>0</v>
      </c>
      <c r="W387" s="1495">
        <f t="shared" si="311"/>
        <v>0</v>
      </c>
      <c r="X387" s="1495">
        <f t="shared" si="311"/>
        <v>0</v>
      </c>
      <c r="Y387" s="1495">
        <f t="shared" si="311"/>
        <v>0</v>
      </c>
      <c r="Z387" s="1495">
        <f t="shared" si="311"/>
        <v>0</v>
      </c>
      <c r="AA387" s="1495">
        <f t="shared" si="311"/>
        <v>0</v>
      </c>
      <c r="AB387" s="1495">
        <f t="shared" si="311"/>
        <v>0</v>
      </c>
      <c r="AC387" s="1495">
        <f t="shared" si="311"/>
        <v>0</v>
      </c>
      <c r="AD387" s="1496">
        <f t="shared" si="311"/>
        <v>0</v>
      </c>
      <c r="AE387" s="1496">
        <f t="shared" si="311"/>
        <v>0</v>
      </c>
      <c r="AF387" s="1496">
        <f t="shared" si="311"/>
        <v>0</v>
      </c>
      <c r="AG387" s="1496">
        <f t="shared" si="311"/>
        <v>0</v>
      </c>
      <c r="AH387" s="1496">
        <f t="shared" si="311"/>
        <v>0</v>
      </c>
      <c r="AI387" s="1496">
        <f t="shared" si="311"/>
        <v>0</v>
      </c>
      <c r="AJ387" s="853"/>
      <c r="AK387" s="533"/>
      <c r="AL387" s="533"/>
      <c r="AM387" s="533"/>
      <c r="AN387" s="625"/>
      <c r="AO387" s="625"/>
      <c r="AP387" s="625"/>
      <c r="AQ387" s="625"/>
    </row>
    <row r="388" spans="1:43" s="536" customFormat="1">
      <c r="A388" s="537"/>
      <c r="B388" s="1494" t="str">
        <f>B441</f>
        <v>GASTOS DE ADMINISTRACIÓN Y VENTAS / VENTAS</v>
      </c>
      <c r="C388" s="1491"/>
      <c r="D388" s="535"/>
      <c r="E388" s="1491"/>
      <c r="F388" s="535"/>
      <c r="G388" s="535"/>
      <c r="H388" s="1491"/>
      <c r="I388" s="534"/>
      <c r="J388" s="534"/>
      <c r="K388" s="1491"/>
      <c r="L388" s="531"/>
      <c r="M388" s="539"/>
      <c r="N388" s="1491"/>
      <c r="O388" s="531"/>
      <c r="P388" s="539"/>
      <c r="Q388" s="1491"/>
      <c r="R388" s="531"/>
      <c r="S388" s="539"/>
      <c r="T388" s="1495">
        <f t="shared" ref="T388:AI388" si="312">IF($V$242=$H$913,T441,IF($V$242=$H$914,T488,IF($V$242=$H$915,T535,"SELECCIONAR ESCENARIO")))</f>
        <v>0</v>
      </c>
      <c r="U388" s="1495">
        <f t="shared" si="312"/>
        <v>0</v>
      </c>
      <c r="V388" s="1495">
        <f t="shared" si="312"/>
        <v>0</v>
      </c>
      <c r="W388" s="1495">
        <f t="shared" si="312"/>
        <v>0</v>
      </c>
      <c r="X388" s="1495">
        <f t="shared" si="312"/>
        <v>0</v>
      </c>
      <c r="Y388" s="1495">
        <f t="shared" si="312"/>
        <v>0</v>
      </c>
      <c r="Z388" s="1495">
        <f t="shared" si="312"/>
        <v>0</v>
      </c>
      <c r="AA388" s="1495">
        <f t="shared" si="312"/>
        <v>0</v>
      </c>
      <c r="AB388" s="1495">
        <f t="shared" si="312"/>
        <v>0</v>
      </c>
      <c r="AC388" s="1495">
        <f t="shared" si="312"/>
        <v>0</v>
      </c>
      <c r="AD388" s="1496">
        <f t="shared" si="312"/>
        <v>0</v>
      </c>
      <c r="AE388" s="1496">
        <f t="shared" si="312"/>
        <v>0</v>
      </c>
      <c r="AF388" s="1496">
        <f t="shared" si="312"/>
        <v>0</v>
      </c>
      <c r="AG388" s="1496">
        <f t="shared" si="312"/>
        <v>0</v>
      </c>
      <c r="AH388" s="1496">
        <f t="shared" si="312"/>
        <v>0</v>
      </c>
      <c r="AI388" s="1496">
        <f t="shared" si="312"/>
        <v>0</v>
      </c>
      <c r="AJ388" s="853"/>
      <c r="AK388" s="533"/>
      <c r="AL388" s="533"/>
      <c r="AM388" s="533"/>
      <c r="AN388" s="625"/>
      <c r="AO388" s="625"/>
      <c r="AP388" s="625"/>
      <c r="AQ388" s="625"/>
    </row>
    <row r="389" spans="1:43" s="536" customFormat="1">
      <c r="A389" s="537"/>
      <c r="B389" s="1494" t="s">
        <v>1338</v>
      </c>
      <c r="C389" s="1497"/>
      <c r="D389" s="531"/>
      <c r="E389" s="1497"/>
      <c r="F389" s="531"/>
      <c r="G389" s="531"/>
      <c r="H389" s="1497"/>
      <c r="I389" s="530"/>
      <c r="J389" s="530"/>
      <c r="K389" s="1497"/>
      <c r="L389" s="531"/>
      <c r="M389" s="539"/>
      <c r="N389" s="1497"/>
      <c r="O389" s="531"/>
      <c r="P389" s="539"/>
      <c r="Q389" s="1497"/>
      <c r="R389" s="531"/>
      <c r="S389" s="539"/>
      <c r="T389" s="1498">
        <f t="shared" ref="T389:AI389" si="313">IF($V$242=$H$913,T442,IF($V$242=$H$914,T489,IF($V$242=$H$915,T536,"SELECCIONAR ESCENARIO")))</f>
        <v>0</v>
      </c>
      <c r="U389" s="1498">
        <f t="shared" si="313"/>
        <v>0</v>
      </c>
      <c r="V389" s="1498">
        <f t="shared" si="313"/>
        <v>0</v>
      </c>
      <c r="W389" s="1498">
        <f t="shared" si="313"/>
        <v>0</v>
      </c>
      <c r="X389" s="1498">
        <f t="shared" si="313"/>
        <v>0</v>
      </c>
      <c r="Y389" s="1498">
        <f t="shared" si="313"/>
        <v>0</v>
      </c>
      <c r="Z389" s="1498">
        <f t="shared" si="313"/>
        <v>0</v>
      </c>
      <c r="AA389" s="1498">
        <f t="shared" si="313"/>
        <v>0</v>
      </c>
      <c r="AB389" s="1498">
        <f t="shared" si="313"/>
        <v>0</v>
      </c>
      <c r="AC389" s="1498">
        <f t="shared" si="313"/>
        <v>0</v>
      </c>
      <c r="AD389" s="1499">
        <f t="shared" si="313"/>
        <v>0</v>
      </c>
      <c r="AE389" s="1499">
        <f t="shared" si="313"/>
        <v>0</v>
      </c>
      <c r="AF389" s="1499">
        <f t="shared" si="313"/>
        <v>0</v>
      </c>
      <c r="AG389" s="1499">
        <f t="shared" si="313"/>
        <v>0</v>
      </c>
      <c r="AH389" s="1499">
        <f t="shared" si="313"/>
        <v>0</v>
      </c>
      <c r="AI389" s="1499">
        <f t="shared" si="313"/>
        <v>0</v>
      </c>
      <c r="AJ389" s="853"/>
      <c r="AK389" s="533"/>
      <c r="AL389" s="533"/>
      <c r="AM389" s="533"/>
      <c r="AN389" s="625"/>
      <c r="AO389" s="625"/>
      <c r="AP389" s="625"/>
      <c r="AQ389" s="625"/>
    </row>
    <row r="390" spans="1:43" s="536" customFormat="1">
      <c r="A390" s="537"/>
      <c r="B390" s="1494" t="s">
        <v>1339</v>
      </c>
      <c r="C390" s="1497"/>
      <c r="D390" s="531"/>
      <c r="E390" s="1497"/>
      <c r="F390" s="531"/>
      <c r="G390" s="531"/>
      <c r="H390" s="1497"/>
      <c r="I390" s="530"/>
      <c r="J390" s="530"/>
      <c r="K390" s="1497"/>
      <c r="L390" s="531"/>
      <c r="M390" s="539"/>
      <c r="N390" s="1497"/>
      <c r="O390" s="531"/>
      <c r="P390" s="539"/>
      <c r="Q390" s="1497"/>
      <c r="R390" s="531"/>
      <c r="S390" s="539"/>
      <c r="T390" s="845">
        <f t="shared" ref="T390:AI390" si="314">IF($V$242=$H$913,T443,IF($V$242=$H$914,T490,IF($V$242=$H$915,T537,"SELECCIONAR ESCENARIO")))</f>
        <v>0</v>
      </c>
      <c r="U390" s="845">
        <f t="shared" si="314"/>
        <v>0</v>
      </c>
      <c r="V390" s="845">
        <f t="shared" si="314"/>
        <v>0</v>
      </c>
      <c r="W390" s="845">
        <f t="shared" si="314"/>
        <v>0</v>
      </c>
      <c r="X390" s="845">
        <f t="shared" si="314"/>
        <v>0</v>
      </c>
      <c r="Y390" s="845">
        <f t="shared" si="314"/>
        <v>0</v>
      </c>
      <c r="Z390" s="845">
        <f t="shared" si="314"/>
        <v>0</v>
      </c>
      <c r="AA390" s="845">
        <f t="shared" si="314"/>
        <v>0</v>
      </c>
      <c r="AB390" s="845">
        <f t="shared" si="314"/>
        <v>0</v>
      </c>
      <c r="AC390" s="845">
        <f t="shared" si="314"/>
        <v>0</v>
      </c>
      <c r="AD390" s="1500">
        <f t="shared" si="314"/>
        <v>0</v>
      </c>
      <c r="AE390" s="1500">
        <f t="shared" si="314"/>
        <v>0</v>
      </c>
      <c r="AF390" s="1500">
        <f t="shared" si="314"/>
        <v>0</v>
      </c>
      <c r="AG390" s="1500">
        <f t="shared" si="314"/>
        <v>0</v>
      </c>
      <c r="AH390" s="1500">
        <f t="shared" si="314"/>
        <v>0</v>
      </c>
      <c r="AI390" s="1500">
        <f t="shared" si="314"/>
        <v>0</v>
      </c>
      <c r="AJ390" s="853"/>
      <c r="AK390" s="533"/>
      <c r="AL390" s="533"/>
      <c r="AM390" s="533"/>
      <c r="AN390" s="625"/>
      <c r="AO390" s="625"/>
      <c r="AP390" s="625"/>
      <c r="AQ390" s="625"/>
    </row>
    <row r="391" spans="1:43" s="536" customFormat="1">
      <c r="A391" s="537"/>
      <c r="B391" s="1494" t="str">
        <f t="shared" ref="B391:B397" si="315">B444</f>
        <v>INGRESOS FINANCIEROS / VENTAS</v>
      </c>
      <c r="C391" s="1491"/>
      <c r="D391" s="535"/>
      <c r="E391" s="1491"/>
      <c r="F391" s="535"/>
      <c r="G391" s="535"/>
      <c r="H391" s="1491"/>
      <c r="I391" s="534"/>
      <c r="J391" s="534"/>
      <c r="K391" s="1491"/>
      <c r="L391" s="531"/>
      <c r="M391" s="539"/>
      <c r="N391" s="1491"/>
      <c r="O391" s="531"/>
      <c r="P391" s="539"/>
      <c r="Q391" s="1491"/>
      <c r="R391" s="531"/>
      <c r="S391" s="539"/>
      <c r="T391" s="1495">
        <f t="shared" ref="T391:AI391" si="316">IF($V$242=$H$913,T444,IF($V$242=$H$914,T491,IF($V$242=$H$915,T538,"SELECCIONAR ESCENARIO")))</f>
        <v>0</v>
      </c>
      <c r="U391" s="1495">
        <f t="shared" si="316"/>
        <v>0</v>
      </c>
      <c r="V391" s="1495">
        <f t="shared" si="316"/>
        <v>0</v>
      </c>
      <c r="W391" s="1495">
        <f t="shared" si="316"/>
        <v>0</v>
      </c>
      <c r="X391" s="1495">
        <f t="shared" si="316"/>
        <v>0</v>
      </c>
      <c r="Y391" s="1495">
        <f t="shared" si="316"/>
        <v>0</v>
      </c>
      <c r="Z391" s="1495">
        <f t="shared" si="316"/>
        <v>0</v>
      </c>
      <c r="AA391" s="1495">
        <f t="shared" si="316"/>
        <v>0</v>
      </c>
      <c r="AB391" s="1495">
        <f t="shared" si="316"/>
        <v>0</v>
      </c>
      <c r="AC391" s="1495">
        <f t="shared" si="316"/>
        <v>0</v>
      </c>
      <c r="AD391" s="1496">
        <f t="shared" si="316"/>
        <v>0</v>
      </c>
      <c r="AE391" s="1496">
        <f t="shared" si="316"/>
        <v>0</v>
      </c>
      <c r="AF391" s="1496">
        <f t="shared" si="316"/>
        <v>0</v>
      </c>
      <c r="AG391" s="1496">
        <f t="shared" si="316"/>
        <v>0</v>
      </c>
      <c r="AH391" s="1496">
        <f t="shared" si="316"/>
        <v>0</v>
      </c>
      <c r="AI391" s="1496">
        <f t="shared" si="316"/>
        <v>0</v>
      </c>
      <c r="AJ391" s="853"/>
      <c r="AK391" s="533"/>
      <c r="AL391" s="533"/>
      <c r="AM391" s="533"/>
      <c r="AN391" s="625"/>
      <c r="AO391" s="625"/>
      <c r="AP391" s="625"/>
      <c r="AQ391" s="625"/>
    </row>
    <row r="392" spans="1:43" s="536" customFormat="1">
      <c r="A392" s="537"/>
      <c r="B392" s="1494" t="str">
        <f t="shared" si="315"/>
        <v>UTILIDAD (PÉRDIDA) EN VENTA DE ACTIVOS FIJOS / VENTAS</v>
      </c>
      <c r="C392" s="1491"/>
      <c r="D392" s="535"/>
      <c r="E392" s="1491"/>
      <c r="F392" s="535"/>
      <c r="G392" s="535"/>
      <c r="H392" s="1491"/>
      <c r="I392" s="534"/>
      <c r="J392" s="534"/>
      <c r="K392" s="1491"/>
      <c r="L392" s="531"/>
      <c r="M392" s="539"/>
      <c r="N392" s="1491"/>
      <c r="O392" s="531"/>
      <c r="P392" s="539"/>
      <c r="Q392" s="1491"/>
      <c r="R392" s="531"/>
      <c r="S392" s="539"/>
      <c r="T392" s="1495">
        <f t="shared" ref="T392:AI392" si="317">IF($V$242=$H$913,T445,IF($V$242=$H$914,T492,IF($V$242=$H$915,T539,"SELECCIONAR ESCENARIO")))</f>
        <v>0</v>
      </c>
      <c r="U392" s="1495">
        <f t="shared" si="317"/>
        <v>0</v>
      </c>
      <c r="V392" s="1495">
        <f t="shared" si="317"/>
        <v>0</v>
      </c>
      <c r="W392" s="1495">
        <f t="shared" si="317"/>
        <v>0</v>
      </c>
      <c r="X392" s="1495">
        <f t="shared" si="317"/>
        <v>0</v>
      </c>
      <c r="Y392" s="1495">
        <f t="shared" si="317"/>
        <v>0</v>
      </c>
      <c r="Z392" s="1495">
        <f t="shared" si="317"/>
        <v>0</v>
      </c>
      <c r="AA392" s="1495">
        <f t="shared" si="317"/>
        <v>0</v>
      </c>
      <c r="AB392" s="1495">
        <f t="shared" si="317"/>
        <v>0</v>
      </c>
      <c r="AC392" s="1495">
        <f t="shared" si="317"/>
        <v>0</v>
      </c>
      <c r="AD392" s="1496">
        <f t="shared" si="317"/>
        <v>0</v>
      </c>
      <c r="AE392" s="1496">
        <f t="shared" si="317"/>
        <v>0</v>
      </c>
      <c r="AF392" s="1496">
        <f t="shared" si="317"/>
        <v>0</v>
      </c>
      <c r="AG392" s="1496">
        <f t="shared" si="317"/>
        <v>0</v>
      </c>
      <c r="AH392" s="1496">
        <f t="shared" si="317"/>
        <v>0</v>
      </c>
      <c r="AI392" s="1496">
        <f t="shared" si="317"/>
        <v>0</v>
      </c>
      <c r="AJ392" s="853"/>
      <c r="AK392" s="533"/>
      <c r="AL392" s="533"/>
      <c r="AM392" s="533"/>
      <c r="AN392" s="625"/>
      <c r="AO392" s="625"/>
      <c r="AP392" s="625"/>
      <c r="AQ392" s="625"/>
    </row>
    <row r="393" spans="1:43" s="536" customFormat="1">
      <c r="A393" s="537"/>
      <c r="B393" s="1494" t="str">
        <f t="shared" si="315"/>
        <v>UTILIDAD (PÉRDIDA) EN VENTA DE INVERSIONES / VENTAS</v>
      </c>
      <c r="C393" s="1491"/>
      <c r="D393" s="535"/>
      <c r="E393" s="1491"/>
      <c r="F393" s="535"/>
      <c r="G393" s="535"/>
      <c r="H393" s="1491"/>
      <c r="I393" s="534"/>
      <c r="J393" s="534"/>
      <c r="K393" s="1491"/>
      <c r="L393" s="531"/>
      <c r="M393" s="539"/>
      <c r="N393" s="1491"/>
      <c r="O393" s="531"/>
      <c r="P393" s="539"/>
      <c r="Q393" s="1491"/>
      <c r="R393" s="531"/>
      <c r="S393" s="539"/>
      <c r="T393" s="1495">
        <f t="shared" ref="T393:AI393" si="318">IF($V$242=$H$913,T446,IF($V$242=$H$914,T493,IF($V$242=$H$915,T540,"SELECCIONAR ESCENARIO")))</f>
        <v>0</v>
      </c>
      <c r="U393" s="1495">
        <f t="shared" si="318"/>
        <v>0</v>
      </c>
      <c r="V393" s="1495">
        <f t="shared" si="318"/>
        <v>0</v>
      </c>
      <c r="W393" s="1495">
        <f t="shared" si="318"/>
        <v>0</v>
      </c>
      <c r="X393" s="1495">
        <f t="shared" si="318"/>
        <v>0</v>
      </c>
      <c r="Y393" s="1495">
        <f t="shared" si="318"/>
        <v>0</v>
      </c>
      <c r="Z393" s="1495">
        <f t="shared" si="318"/>
        <v>0</v>
      </c>
      <c r="AA393" s="1495">
        <f t="shared" si="318"/>
        <v>0</v>
      </c>
      <c r="AB393" s="1495">
        <f t="shared" si="318"/>
        <v>0</v>
      </c>
      <c r="AC393" s="1495">
        <f t="shared" si="318"/>
        <v>0</v>
      </c>
      <c r="AD393" s="1496">
        <f t="shared" si="318"/>
        <v>0</v>
      </c>
      <c r="AE393" s="1496">
        <f t="shared" si="318"/>
        <v>0</v>
      </c>
      <c r="AF393" s="1496">
        <f t="shared" si="318"/>
        <v>0</v>
      </c>
      <c r="AG393" s="1496">
        <f t="shared" si="318"/>
        <v>0</v>
      </c>
      <c r="AH393" s="1496">
        <f t="shared" si="318"/>
        <v>0</v>
      </c>
      <c r="AI393" s="1496">
        <f t="shared" si="318"/>
        <v>0</v>
      </c>
      <c r="AJ393" s="853"/>
      <c r="AK393" s="533"/>
      <c r="AL393" s="533"/>
      <c r="AM393" s="533"/>
      <c r="AN393" s="625"/>
      <c r="AO393" s="625"/>
      <c r="AP393" s="625"/>
      <c r="AQ393" s="625"/>
    </row>
    <row r="394" spans="1:43" s="536" customFormat="1">
      <c r="A394" s="537"/>
      <c r="B394" s="1494" t="str">
        <f t="shared" si="315"/>
        <v>INGRESOS (EGRESOS) POR MÉTODO DE PARTICIPACIÓN / VENTAS</v>
      </c>
      <c r="C394" s="1491"/>
      <c r="D394" s="535"/>
      <c r="E394" s="1491"/>
      <c r="F394" s="535"/>
      <c r="G394" s="535"/>
      <c r="H394" s="1491"/>
      <c r="I394" s="534"/>
      <c r="J394" s="534"/>
      <c r="K394" s="1491"/>
      <c r="L394" s="531"/>
      <c r="M394" s="539"/>
      <c r="N394" s="1491"/>
      <c r="O394" s="531"/>
      <c r="P394" s="539"/>
      <c r="Q394" s="1491"/>
      <c r="R394" s="531"/>
      <c r="S394" s="539"/>
      <c r="T394" s="1495">
        <f t="shared" ref="T394:AI394" si="319">IF($V$242=$H$913,T447,IF($V$242=$H$914,T494,IF($V$242=$H$915,T541,"SELECCIONAR ESCENARIO")))</f>
        <v>0</v>
      </c>
      <c r="U394" s="1495">
        <f t="shared" si="319"/>
        <v>0</v>
      </c>
      <c r="V394" s="1495">
        <f t="shared" si="319"/>
        <v>0</v>
      </c>
      <c r="W394" s="1495">
        <f t="shared" si="319"/>
        <v>0</v>
      </c>
      <c r="X394" s="1495">
        <f t="shared" si="319"/>
        <v>0</v>
      </c>
      <c r="Y394" s="1495">
        <f t="shared" si="319"/>
        <v>0</v>
      </c>
      <c r="Z394" s="1495">
        <f t="shared" si="319"/>
        <v>0</v>
      </c>
      <c r="AA394" s="1495">
        <f t="shared" si="319"/>
        <v>0</v>
      </c>
      <c r="AB394" s="1495">
        <f t="shared" si="319"/>
        <v>0</v>
      </c>
      <c r="AC394" s="1495">
        <f t="shared" si="319"/>
        <v>0</v>
      </c>
      <c r="AD394" s="1496">
        <f t="shared" si="319"/>
        <v>0</v>
      </c>
      <c r="AE394" s="1496">
        <f t="shared" si="319"/>
        <v>0</v>
      </c>
      <c r="AF394" s="1496">
        <f t="shared" si="319"/>
        <v>0</v>
      </c>
      <c r="AG394" s="1496">
        <f t="shared" si="319"/>
        <v>0</v>
      </c>
      <c r="AH394" s="1496">
        <f t="shared" si="319"/>
        <v>0</v>
      </c>
      <c r="AI394" s="1496">
        <f t="shared" si="319"/>
        <v>0</v>
      </c>
      <c r="AJ394" s="853"/>
      <c r="AK394" s="533"/>
      <c r="AL394" s="533"/>
      <c r="AM394" s="533"/>
      <c r="AN394" s="625"/>
      <c r="AO394" s="625"/>
      <c r="AP394" s="625"/>
      <c r="AQ394" s="625"/>
    </row>
    <row r="395" spans="1:43" s="1126" customFormat="1">
      <c r="A395" s="1119"/>
      <c r="B395" s="1494" t="str">
        <f t="shared" si="315"/>
        <v>OTROS INGRESOS / VENTAS</v>
      </c>
      <c r="C395" s="1491"/>
      <c r="D395" s="1501"/>
      <c r="E395" s="1491"/>
      <c r="F395" s="1501"/>
      <c r="G395" s="1501"/>
      <c r="H395" s="1491"/>
      <c r="I395" s="1501"/>
      <c r="J395" s="1501"/>
      <c r="K395" s="1491"/>
      <c r="L395" s="1121"/>
      <c r="M395" s="1121"/>
      <c r="N395" s="1491"/>
      <c r="O395" s="1121"/>
      <c r="P395" s="1121"/>
      <c r="Q395" s="1491"/>
      <c r="R395" s="1121"/>
      <c r="S395" s="1121"/>
      <c r="T395" s="1495">
        <f t="shared" ref="T395:AI395" si="320">IF($V$242=$H$913,T448,IF($V$242=$H$914,T495,IF($V$242=$H$915,T542,"SELECCIONAR ESCENARIO")))</f>
        <v>0</v>
      </c>
      <c r="U395" s="1495">
        <f t="shared" si="320"/>
        <v>0</v>
      </c>
      <c r="V395" s="1495">
        <f t="shared" si="320"/>
        <v>0</v>
      </c>
      <c r="W395" s="1495">
        <f t="shared" si="320"/>
        <v>0</v>
      </c>
      <c r="X395" s="1495">
        <f t="shared" si="320"/>
        <v>0</v>
      </c>
      <c r="Y395" s="1495">
        <f t="shared" si="320"/>
        <v>0</v>
      </c>
      <c r="Z395" s="1495">
        <f t="shared" si="320"/>
        <v>0</v>
      </c>
      <c r="AA395" s="1495">
        <f t="shared" si="320"/>
        <v>0</v>
      </c>
      <c r="AB395" s="1495">
        <f t="shared" si="320"/>
        <v>0</v>
      </c>
      <c r="AC395" s="1495">
        <f t="shared" si="320"/>
        <v>0</v>
      </c>
      <c r="AD395" s="1496">
        <f t="shared" si="320"/>
        <v>0</v>
      </c>
      <c r="AE395" s="1496">
        <f t="shared" si="320"/>
        <v>0</v>
      </c>
      <c r="AF395" s="1496">
        <f t="shared" si="320"/>
        <v>0</v>
      </c>
      <c r="AG395" s="1496">
        <f t="shared" si="320"/>
        <v>0</v>
      </c>
      <c r="AH395" s="1496">
        <f t="shared" si="320"/>
        <v>0</v>
      </c>
      <c r="AI395" s="1496">
        <f t="shared" si="320"/>
        <v>0</v>
      </c>
      <c r="AJ395" s="1125"/>
    </row>
    <row r="396" spans="1:43" s="1126" customFormat="1">
      <c r="A396" s="1119"/>
      <c r="B396" s="1494" t="str">
        <f t="shared" si="315"/>
        <v>OTROS EGRESOS / VENTAS</v>
      </c>
      <c r="C396" s="1491"/>
      <c r="D396" s="1501"/>
      <c r="E396" s="1491"/>
      <c r="F396" s="1501"/>
      <c r="G396" s="1501"/>
      <c r="H396" s="1491"/>
      <c r="I396" s="1501"/>
      <c r="J396" s="1501"/>
      <c r="K396" s="1491"/>
      <c r="L396" s="1121"/>
      <c r="M396" s="1121"/>
      <c r="N396" s="1491"/>
      <c r="O396" s="1121"/>
      <c r="P396" s="1121"/>
      <c r="Q396" s="1491"/>
      <c r="R396" s="1121"/>
      <c r="S396" s="1121"/>
      <c r="T396" s="1495">
        <f t="shared" ref="T396:AI396" si="321">IF($V$242=$H$913,T449,IF($V$242=$H$914,T496,IF($V$242=$H$915,T543,"SELECCIONAR ESCENARIO")))</f>
        <v>0</v>
      </c>
      <c r="U396" s="1495">
        <f t="shared" si="321"/>
        <v>0</v>
      </c>
      <c r="V396" s="1495">
        <f t="shared" si="321"/>
        <v>0</v>
      </c>
      <c r="W396" s="1495">
        <f t="shared" si="321"/>
        <v>0</v>
      </c>
      <c r="X396" s="1495">
        <f t="shared" si="321"/>
        <v>0</v>
      </c>
      <c r="Y396" s="1495">
        <f t="shared" si="321"/>
        <v>0</v>
      </c>
      <c r="Z396" s="1495">
        <f t="shared" si="321"/>
        <v>0</v>
      </c>
      <c r="AA396" s="1495">
        <f t="shared" si="321"/>
        <v>0</v>
      </c>
      <c r="AB396" s="1495">
        <f t="shared" si="321"/>
        <v>0</v>
      </c>
      <c r="AC396" s="1495">
        <f t="shared" si="321"/>
        <v>0</v>
      </c>
      <c r="AD396" s="1496">
        <f t="shared" si="321"/>
        <v>0</v>
      </c>
      <c r="AE396" s="1496">
        <f t="shared" si="321"/>
        <v>0</v>
      </c>
      <c r="AF396" s="1496">
        <f t="shared" si="321"/>
        <v>0</v>
      </c>
      <c r="AG396" s="1496">
        <f t="shared" si="321"/>
        <v>0</v>
      </c>
      <c r="AH396" s="1496">
        <f t="shared" si="321"/>
        <v>0</v>
      </c>
      <c r="AI396" s="1496">
        <f t="shared" si="321"/>
        <v>0</v>
      </c>
      <c r="AJ396" s="1125"/>
    </row>
    <row r="397" spans="1:43" s="1126" customFormat="1">
      <c r="A397" s="1119"/>
      <c r="B397" s="1502" t="str">
        <f t="shared" si="315"/>
        <v>IMPUESTOS / UTILIDAD NETA</v>
      </c>
      <c r="C397" s="1491"/>
      <c r="D397" s="1501"/>
      <c r="E397" s="1491"/>
      <c r="F397" s="1501"/>
      <c r="G397" s="1501"/>
      <c r="H397" s="1491"/>
      <c r="I397" s="1501"/>
      <c r="J397" s="1501"/>
      <c r="K397" s="1491"/>
      <c r="L397" s="1121"/>
      <c r="M397" s="1121"/>
      <c r="N397" s="1491"/>
      <c r="O397" s="1121"/>
      <c r="P397" s="1121"/>
      <c r="Q397" s="1491"/>
      <c r="R397" s="1121"/>
      <c r="S397" s="1121"/>
      <c r="T397" s="1503">
        <f t="shared" ref="T397:AI397" si="322">IF($V$242=$H$913,T450,IF($V$242=$H$914,T497,IF($V$242=$H$915,T544,"SELECCIONAR ESCENARIO")))</f>
        <v>0</v>
      </c>
      <c r="U397" s="1503">
        <f t="shared" si="322"/>
        <v>0</v>
      </c>
      <c r="V397" s="1503">
        <f t="shared" si="322"/>
        <v>0</v>
      </c>
      <c r="W397" s="1503">
        <f t="shared" si="322"/>
        <v>0</v>
      </c>
      <c r="X397" s="1503">
        <f t="shared" si="322"/>
        <v>0</v>
      </c>
      <c r="Y397" s="1503">
        <f t="shared" si="322"/>
        <v>0</v>
      </c>
      <c r="Z397" s="1503">
        <f t="shared" si="322"/>
        <v>0</v>
      </c>
      <c r="AA397" s="1503">
        <f t="shared" si="322"/>
        <v>0</v>
      </c>
      <c r="AB397" s="1503">
        <f t="shared" si="322"/>
        <v>0</v>
      </c>
      <c r="AC397" s="1503">
        <f t="shared" si="322"/>
        <v>0</v>
      </c>
      <c r="AD397" s="1504">
        <f t="shared" si="322"/>
        <v>0</v>
      </c>
      <c r="AE397" s="1504">
        <f t="shared" si="322"/>
        <v>0</v>
      </c>
      <c r="AF397" s="1504">
        <f t="shared" si="322"/>
        <v>0</v>
      </c>
      <c r="AG397" s="1504">
        <f t="shared" si="322"/>
        <v>0</v>
      </c>
      <c r="AH397" s="1504">
        <f t="shared" si="322"/>
        <v>0</v>
      </c>
      <c r="AI397" s="1504">
        <f t="shared" si="322"/>
        <v>0</v>
      </c>
      <c r="AJ397" s="1125"/>
    </row>
    <row r="398" spans="1:43" s="1509" customFormat="1">
      <c r="A398" s="1505"/>
      <c r="B398" s="1506"/>
      <c r="C398" s="1491"/>
      <c r="D398" s="1501"/>
      <c r="E398" s="1491"/>
      <c r="F398" s="1501"/>
      <c r="G398" s="1501"/>
      <c r="H398" s="1491"/>
      <c r="I398" s="1501"/>
      <c r="J398" s="1501"/>
      <c r="K398" s="1491"/>
      <c r="L398" s="1501"/>
      <c r="M398" s="1501"/>
      <c r="N398" s="1491"/>
      <c r="O398" s="1501"/>
      <c r="P398" s="1501"/>
      <c r="Q398" s="1491"/>
      <c r="R398" s="1501"/>
      <c r="S398" s="1501"/>
      <c r="T398" s="1490"/>
      <c r="U398" s="1490"/>
      <c r="V398" s="1490"/>
      <c r="W398" s="1490"/>
      <c r="X398" s="1490"/>
      <c r="Y398" s="1490"/>
      <c r="Z398" s="1490"/>
      <c r="AA398" s="1490"/>
      <c r="AB398" s="1490"/>
      <c r="AC398" s="1490"/>
      <c r="AD398" s="1490"/>
      <c r="AE398" s="1507"/>
      <c r="AF398" s="1507"/>
      <c r="AG398" s="1501"/>
      <c r="AH398" s="1501"/>
      <c r="AI398" s="1501"/>
      <c r="AJ398" s="1508"/>
    </row>
    <row r="399" spans="1:43" s="531" customFormat="1">
      <c r="A399" s="537"/>
      <c r="B399" s="1510" t="s">
        <v>1340</v>
      </c>
      <c r="C399" s="535"/>
      <c r="D399" s="535"/>
      <c r="E399" s="535"/>
      <c r="F399" s="535"/>
      <c r="G399" s="535"/>
      <c r="H399" s="535"/>
      <c r="I399" s="534"/>
      <c r="J399" s="534"/>
      <c r="K399" s="535"/>
      <c r="M399" s="539"/>
      <c r="N399" s="535"/>
      <c r="P399" s="539"/>
      <c r="Q399" s="535"/>
      <c r="S399" s="539"/>
      <c r="T399" s="535"/>
      <c r="U399" s="535"/>
      <c r="V399" s="534"/>
      <c r="W399" s="534"/>
      <c r="X399" s="534"/>
      <c r="Y399" s="534"/>
      <c r="Z399" s="534"/>
      <c r="AA399" s="534"/>
      <c r="AB399" s="534"/>
      <c r="AC399" s="534"/>
      <c r="AD399" s="534"/>
      <c r="AE399" s="860"/>
      <c r="AF399" s="860"/>
      <c r="AJ399" s="853"/>
    </row>
    <row r="400" spans="1:43" s="1126" customFormat="1">
      <c r="A400" s="1119"/>
      <c r="B400" s="1489" t="str">
        <f t="shared" ref="B400:B419" si="323">B453</f>
        <v>CAJA (EN DÍAS DE VENTAS): AL PROYECTAR SE USA PARA GENERAR LA CAJA MÍNIMA REQUERIDA</v>
      </c>
      <c r="C400" s="1491"/>
      <c r="D400" s="1501"/>
      <c r="E400" s="1491"/>
      <c r="F400" s="1501"/>
      <c r="G400" s="1501"/>
      <c r="H400" s="1491"/>
      <c r="I400" s="1501"/>
      <c r="J400" s="1501"/>
      <c r="K400" s="1491"/>
      <c r="L400" s="1121"/>
      <c r="M400" s="1121"/>
      <c r="N400" s="1491"/>
      <c r="O400" s="1121"/>
      <c r="P400" s="1121"/>
      <c r="Q400" s="1491"/>
      <c r="R400" s="1121"/>
      <c r="S400" s="1121"/>
      <c r="T400" s="1511">
        <f t="shared" ref="T400:AI400" si="324">IF($V$242=$H$913,T453,IF($V$242=$H$914,T500,IF($V$242=$H$915,T547,"SELECCIONAR ESCENARIO")))</f>
        <v>0</v>
      </c>
      <c r="U400" s="1511">
        <f t="shared" si="324"/>
        <v>0</v>
      </c>
      <c r="V400" s="1511">
        <f t="shared" si="324"/>
        <v>0</v>
      </c>
      <c r="W400" s="1511">
        <f t="shared" si="324"/>
        <v>0</v>
      </c>
      <c r="X400" s="1511">
        <f t="shared" si="324"/>
        <v>0</v>
      </c>
      <c r="Y400" s="1511">
        <f t="shared" si="324"/>
        <v>0</v>
      </c>
      <c r="Z400" s="1511">
        <f t="shared" si="324"/>
        <v>0</v>
      </c>
      <c r="AA400" s="1511">
        <f t="shared" si="324"/>
        <v>0</v>
      </c>
      <c r="AB400" s="1511">
        <f t="shared" si="324"/>
        <v>0</v>
      </c>
      <c r="AC400" s="1511">
        <f t="shared" si="324"/>
        <v>0</v>
      </c>
      <c r="AD400" s="1512">
        <f t="shared" si="324"/>
        <v>0</v>
      </c>
      <c r="AE400" s="1512">
        <f t="shared" si="324"/>
        <v>0</v>
      </c>
      <c r="AF400" s="1512">
        <f t="shared" si="324"/>
        <v>0</v>
      </c>
      <c r="AG400" s="1512">
        <f t="shared" si="324"/>
        <v>0</v>
      </c>
      <c r="AH400" s="1512">
        <f t="shared" si="324"/>
        <v>0</v>
      </c>
      <c r="AI400" s="1512">
        <f t="shared" si="324"/>
        <v>0</v>
      </c>
      <c r="AJ400" s="1125"/>
    </row>
    <row r="401" spans="1:36" s="1520" customFormat="1">
      <c r="A401" s="1513"/>
      <c r="B401" s="1494" t="str">
        <f t="shared" si="323"/>
        <v>DÍAS CARTERA BRUTA</v>
      </c>
      <c r="C401" s="1514"/>
      <c r="D401" s="1515"/>
      <c r="E401" s="1514"/>
      <c r="F401" s="1515"/>
      <c r="G401" s="1515"/>
      <c r="H401" s="1514"/>
      <c r="I401" s="1515"/>
      <c r="J401" s="1515"/>
      <c r="K401" s="1514"/>
      <c r="L401" s="1516"/>
      <c r="M401" s="1516"/>
      <c r="N401" s="1514"/>
      <c r="O401" s="1516"/>
      <c r="P401" s="1516"/>
      <c r="Q401" s="1514"/>
      <c r="R401" s="1516"/>
      <c r="S401" s="1516"/>
      <c r="T401" s="1517">
        <f t="shared" ref="T401:AI401" si="325">IF($V$242=$H$913,T454,IF($V$242=$H$914,T501,IF($V$242=$H$915,T548,"SELECCIONAR ESCENARIO")))</f>
        <v>0</v>
      </c>
      <c r="U401" s="1517">
        <f t="shared" si="325"/>
        <v>0</v>
      </c>
      <c r="V401" s="1517">
        <f t="shared" si="325"/>
        <v>0</v>
      </c>
      <c r="W401" s="1517">
        <f t="shared" si="325"/>
        <v>0</v>
      </c>
      <c r="X401" s="1517">
        <f t="shared" si="325"/>
        <v>0</v>
      </c>
      <c r="Y401" s="1517">
        <f t="shared" si="325"/>
        <v>0</v>
      </c>
      <c r="Z401" s="1517">
        <f t="shared" si="325"/>
        <v>0</v>
      </c>
      <c r="AA401" s="1517">
        <f t="shared" si="325"/>
        <v>0</v>
      </c>
      <c r="AB401" s="1517">
        <f t="shared" si="325"/>
        <v>0</v>
      </c>
      <c r="AC401" s="1517">
        <f t="shared" si="325"/>
        <v>0</v>
      </c>
      <c r="AD401" s="1518">
        <f t="shared" si="325"/>
        <v>0</v>
      </c>
      <c r="AE401" s="1518">
        <f t="shared" si="325"/>
        <v>0</v>
      </c>
      <c r="AF401" s="1518">
        <f t="shared" si="325"/>
        <v>0</v>
      </c>
      <c r="AG401" s="1518">
        <f t="shared" si="325"/>
        <v>0</v>
      </c>
      <c r="AH401" s="1518">
        <f t="shared" si="325"/>
        <v>0</v>
      </c>
      <c r="AI401" s="1518">
        <f t="shared" si="325"/>
        <v>0</v>
      </c>
      <c r="AJ401" s="1519"/>
    </row>
    <row r="402" spans="1:36" s="1520" customFormat="1">
      <c r="A402" s="1513"/>
      <c r="B402" s="1494" t="str">
        <f t="shared" si="323"/>
        <v>PROVISIONES CUENTAS POR COBRAR  (% SOBRE LAS CUENTAS POR COBRAR)</v>
      </c>
      <c r="C402" s="1521"/>
      <c r="D402" s="1515"/>
      <c r="E402" s="1521"/>
      <c r="F402" s="1515"/>
      <c r="G402" s="1515"/>
      <c r="H402" s="1521"/>
      <c r="I402" s="1515"/>
      <c r="J402" s="1515"/>
      <c r="K402" s="1521"/>
      <c r="L402" s="1516"/>
      <c r="M402" s="1516"/>
      <c r="N402" s="1521"/>
      <c r="O402" s="1516"/>
      <c r="P402" s="1516"/>
      <c r="Q402" s="1521"/>
      <c r="R402" s="1516"/>
      <c r="S402" s="1516"/>
      <c r="T402" s="1522">
        <f t="shared" ref="T402:AI402" si="326">IF($V$242=$H$913,T455,IF($V$242=$H$914,T502,IF($V$242=$H$915,T549,"SELECCIONAR ESCENARIO")))</f>
        <v>0</v>
      </c>
      <c r="U402" s="1522">
        <f t="shared" si="326"/>
        <v>0</v>
      </c>
      <c r="V402" s="1522">
        <f t="shared" si="326"/>
        <v>0</v>
      </c>
      <c r="W402" s="1522">
        <f t="shared" si="326"/>
        <v>0</v>
      </c>
      <c r="X402" s="1522">
        <f t="shared" si="326"/>
        <v>0</v>
      </c>
      <c r="Y402" s="1522">
        <f t="shared" si="326"/>
        <v>0</v>
      </c>
      <c r="Z402" s="1522">
        <f t="shared" si="326"/>
        <v>0</v>
      </c>
      <c r="AA402" s="1522">
        <f t="shared" si="326"/>
        <v>0</v>
      </c>
      <c r="AB402" s="1522">
        <f t="shared" si="326"/>
        <v>0</v>
      </c>
      <c r="AC402" s="1522">
        <f t="shared" si="326"/>
        <v>0</v>
      </c>
      <c r="AD402" s="1523">
        <f t="shared" si="326"/>
        <v>0</v>
      </c>
      <c r="AE402" s="1523">
        <f t="shared" si="326"/>
        <v>0</v>
      </c>
      <c r="AF402" s="1523">
        <f t="shared" si="326"/>
        <v>0</v>
      </c>
      <c r="AG402" s="1523">
        <f t="shared" si="326"/>
        <v>0</v>
      </c>
      <c r="AH402" s="1523">
        <f t="shared" si="326"/>
        <v>0</v>
      </c>
      <c r="AI402" s="1523">
        <f t="shared" si="326"/>
        <v>0</v>
      </c>
      <c r="AJ402" s="1519"/>
    </row>
    <row r="403" spans="1:36" s="1520" customFormat="1">
      <c r="A403" s="1513"/>
      <c r="B403" s="1494" t="str">
        <f t="shared" si="323"/>
        <v>DÍAS INVENTARIO BRUTO</v>
      </c>
      <c r="C403" s="1514"/>
      <c r="D403" s="1515"/>
      <c r="E403" s="1514"/>
      <c r="F403" s="1515"/>
      <c r="G403" s="1515"/>
      <c r="H403" s="1514"/>
      <c r="I403" s="1515"/>
      <c r="J403" s="1515"/>
      <c r="K403" s="1514"/>
      <c r="L403" s="1516"/>
      <c r="M403" s="1516"/>
      <c r="N403" s="1514"/>
      <c r="O403" s="1516"/>
      <c r="P403" s="1516"/>
      <c r="Q403" s="1514"/>
      <c r="R403" s="1516"/>
      <c r="S403" s="1516"/>
      <c r="T403" s="1517">
        <f t="shared" ref="T403:AI403" si="327">IF($V$242=$H$913,T456,IF($V$242=$H$914,T503,IF($V$242=$H$915,T550,"SELECCIONAR ESCENARIO")))</f>
        <v>0</v>
      </c>
      <c r="U403" s="1517">
        <f t="shared" si="327"/>
        <v>0</v>
      </c>
      <c r="V403" s="1517">
        <f t="shared" si="327"/>
        <v>0</v>
      </c>
      <c r="W403" s="1517">
        <f t="shared" si="327"/>
        <v>0</v>
      </c>
      <c r="X403" s="1517">
        <f t="shared" si="327"/>
        <v>0</v>
      </c>
      <c r="Y403" s="1517">
        <f t="shared" si="327"/>
        <v>0</v>
      </c>
      <c r="Z403" s="1517">
        <f t="shared" si="327"/>
        <v>0</v>
      </c>
      <c r="AA403" s="1517">
        <f t="shared" si="327"/>
        <v>0</v>
      </c>
      <c r="AB403" s="1517">
        <f t="shared" si="327"/>
        <v>0</v>
      </c>
      <c r="AC403" s="1517">
        <f t="shared" si="327"/>
        <v>0</v>
      </c>
      <c r="AD403" s="1518">
        <f t="shared" si="327"/>
        <v>0</v>
      </c>
      <c r="AE403" s="1518">
        <f t="shared" si="327"/>
        <v>0</v>
      </c>
      <c r="AF403" s="1518">
        <f t="shared" si="327"/>
        <v>0</v>
      </c>
      <c r="AG403" s="1518">
        <f t="shared" si="327"/>
        <v>0</v>
      </c>
      <c r="AH403" s="1518">
        <f t="shared" si="327"/>
        <v>0</v>
      </c>
      <c r="AI403" s="1518">
        <f t="shared" si="327"/>
        <v>0</v>
      </c>
      <c r="AJ403" s="1519"/>
    </row>
    <row r="404" spans="1:36" s="1520" customFormat="1">
      <c r="A404" s="1513"/>
      <c r="B404" s="1494" t="str">
        <f t="shared" si="323"/>
        <v>PROVISIONES INVENTARIOS  (% SOBRE LOS INVENTARIOS)</v>
      </c>
      <c r="C404" s="1521"/>
      <c r="D404" s="1515"/>
      <c r="E404" s="1521"/>
      <c r="F404" s="1515"/>
      <c r="G404" s="1515"/>
      <c r="H404" s="1521"/>
      <c r="I404" s="1515"/>
      <c r="J404" s="1515"/>
      <c r="K404" s="1521"/>
      <c r="L404" s="1516"/>
      <c r="M404" s="1516"/>
      <c r="N404" s="1521"/>
      <c r="O404" s="1516"/>
      <c r="P404" s="1516"/>
      <c r="Q404" s="1521"/>
      <c r="R404" s="1516"/>
      <c r="S404" s="1516"/>
      <c r="T404" s="1522">
        <f t="shared" ref="T404:AI404" si="328">IF($V$242=$H$913,T457,IF($V$242=$H$914,T504,IF($V$242=$H$915,T551,"SELECCIONAR ESCENARIO")))</f>
        <v>0</v>
      </c>
      <c r="U404" s="1522">
        <f t="shared" si="328"/>
        <v>0</v>
      </c>
      <c r="V404" s="1522">
        <f t="shared" si="328"/>
        <v>0</v>
      </c>
      <c r="W404" s="1522">
        <f t="shared" si="328"/>
        <v>0</v>
      </c>
      <c r="X404" s="1522">
        <f t="shared" si="328"/>
        <v>0</v>
      </c>
      <c r="Y404" s="1522">
        <f t="shared" si="328"/>
        <v>0</v>
      </c>
      <c r="Z404" s="1522">
        <f t="shared" si="328"/>
        <v>0</v>
      </c>
      <c r="AA404" s="1522">
        <f t="shared" si="328"/>
        <v>0</v>
      </c>
      <c r="AB404" s="1522">
        <f t="shared" si="328"/>
        <v>0</v>
      </c>
      <c r="AC404" s="1522">
        <f t="shared" si="328"/>
        <v>0</v>
      </c>
      <c r="AD404" s="1523">
        <f t="shared" si="328"/>
        <v>0</v>
      </c>
      <c r="AE404" s="1523">
        <f t="shared" si="328"/>
        <v>0</v>
      </c>
      <c r="AF404" s="1523">
        <f t="shared" si="328"/>
        <v>0</v>
      </c>
      <c r="AG404" s="1523">
        <f t="shared" si="328"/>
        <v>0</v>
      </c>
      <c r="AH404" s="1523">
        <f t="shared" si="328"/>
        <v>0</v>
      </c>
      <c r="AI404" s="1523">
        <f t="shared" si="328"/>
        <v>0</v>
      </c>
      <c r="AJ404" s="1519"/>
    </row>
    <row r="405" spans="1:36" s="1520" customFormat="1">
      <c r="A405" s="1513"/>
      <c r="B405" s="1494" t="str">
        <f t="shared" si="323"/>
        <v>ANTICIPOS / COSTO DE VENTAS (ANUALIZADO)</v>
      </c>
      <c r="C405" s="1521"/>
      <c r="D405" s="1515"/>
      <c r="E405" s="1521"/>
      <c r="F405" s="1515"/>
      <c r="G405" s="1515"/>
      <c r="H405" s="1521"/>
      <c r="I405" s="1515"/>
      <c r="J405" s="1515"/>
      <c r="K405" s="1521"/>
      <c r="L405" s="1516"/>
      <c r="M405" s="1516"/>
      <c r="N405" s="1521"/>
      <c r="O405" s="1516"/>
      <c r="P405" s="1516"/>
      <c r="Q405" s="1521"/>
      <c r="R405" s="1516"/>
      <c r="S405" s="1516"/>
      <c r="T405" s="1522">
        <f t="shared" ref="T405:AI405" si="329">IF($V$242=$H$913,T458,IF($V$242=$H$914,T505,IF($V$242=$H$915,T552,"SELECCIONAR ESCENARIO")))</f>
        <v>0</v>
      </c>
      <c r="U405" s="1522">
        <f t="shared" si="329"/>
        <v>0</v>
      </c>
      <c r="V405" s="1522">
        <f t="shared" si="329"/>
        <v>0</v>
      </c>
      <c r="W405" s="1522">
        <f t="shared" si="329"/>
        <v>0</v>
      </c>
      <c r="X405" s="1522">
        <f t="shared" si="329"/>
        <v>0</v>
      </c>
      <c r="Y405" s="1522">
        <f t="shared" si="329"/>
        <v>0</v>
      </c>
      <c r="Z405" s="1522">
        <f t="shared" si="329"/>
        <v>0</v>
      </c>
      <c r="AA405" s="1522">
        <f t="shared" si="329"/>
        <v>0</v>
      </c>
      <c r="AB405" s="1522">
        <f t="shared" si="329"/>
        <v>0</v>
      </c>
      <c r="AC405" s="1522">
        <f t="shared" si="329"/>
        <v>0</v>
      </c>
      <c r="AD405" s="1523">
        <f t="shared" si="329"/>
        <v>0</v>
      </c>
      <c r="AE405" s="1523">
        <f t="shared" si="329"/>
        <v>0</v>
      </c>
      <c r="AF405" s="1523">
        <f t="shared" si="329"/>
        <v>0</v>
      </c>
      <c r="AG405" s="1523">
        <f t="shared" si="329"/>
        <v>0</v>
      </c>
      <c r="AH405" s="1523">
        <f t="shared" si="329"/>
        <v>0</v>
      </c>
      <c r="AI405" s="1523">
        <f t="shared" si="329"/>
        <v>0</v>
      </c>
      <c r="AJ405" s="1519"/>
    </row>
    <row r="406" spans="1:36" s="1520" customFormat="1">
      <c r="A406" s="1513"/>
      <c r="B406" s="1494" t="str">
        <f t="shared" si="323"/>
        <v>DÍAS PAGO</v>
      </c>
      <c r="C406" s="1514"/>
      <c r="D406" s="1515"/>
      <c r="E406" s="1514"/>
      <c r="F406" s="1515"/>
      <c r="G406" s="1515"/>
      <c r="H406" s="1514"/>
      <c r="I406" s="1515"/>
      <c r="J406" s="1515"/>
      <c r="K406" s="1514"/>
      <c r="L406" s="1516"/>
      <c r="M406" s="1516"/>
      <c r="N406" s="1514"/>
      <c r="O406" s="1516"/>
      <c r="P406" s="1516"/>
      <c r="Q406" s="1514"/>
      <c r="R406" s="1516"/>
      <c r="S406" s="1516"/>
      <c r="T406" s="1517">
        <f t="shared" ref="T406:AI406" si="330">IF($V$242=$H$913,T459,IF($V$242=$H$914,T506,IF($V$242=$H$915,T553,"SELECCIONAR ESCENARIO")))</f>
        <v>0</v>
      </c>
      <c r="U406" s="1517">
        <f t="shared" si="330"/>
        <v>0</v>
      </c>
      <c r="V406" s="1517">
        <f t="shared" si="330"/>
        <v>0</v>
      </c>
      <c r="W406" s="1517">
        <f t="shared" si="330"/>
        <v>0</v>
      </c>
      <c r="X406" s="1517">
        <f t="shared" si="330"/>
        <v>0</v>
      </c>
      <c r="Y406" s="1517">
        <f t="shared" si="330"/>
        <v>0</v>
      </c>
      <c r="Z406" s="1517">
        <f t="shared" si="330"/>
        <v>0</v>
      </c>
      <c r="AA406" s="1517">
        <f t="shared" si="330"/>
        <v>0</v>
      </c>
      <c r="AB406" s="1517">
        <f t="shared" si="330"/>
        <v>0</v>
      </c>
      <c r="AC406" s="1517">
        <f t="shared" si="330"/>
        <v>0</v>
      </c>
      <c r="AD406" s="1518">
        <f t="shared" si="330"/>
        <v>0</v>
      </c>
      <c r="AE406" s="1518">
        <f t="shared" si="330"/>
        <v>0</v>
      </c>
      <c r="AF406" s="1518">
        <f t="shared" si="330"/>
        <v>0</v>
      </c>
      <c r="AG406" s="1518">
        <f t="shared" si="330"/>
        <v>0</v>
      </c>
      <c r="AH406" s="1518">
        <f t="shared" si="330"/>
        <v>0</v>
      </c>
      <c r="AI406" s="1518">
        <f t="shared" si="330"/>
        <v>0</v>
      </c>
      <c r="AJ406" s="1519"/>
    </row>
    <row r="407" spans="1:36" s="1520" customFormat="1">
      <c r="A407" s="1513"/>
      <c r="B407" s="1494" t="str">
        <f t="shared" si="323"/>
        <v>CAPEX BRUTO ($MM)</v>
      </c>
      <c r="C407" s="1524"/>
      <c r="D407" s="1515"/>
      <c r="E407" s="1525"/>
      <c r="F407" s="1515"/>
      <c r="G407" s="1515"/>
      <c r="H407" s="1525"/>
      <c r="I407" s="1515"/>
      <c r="J407" s="1515"/>
      <c r="K407" s="1525"/>
      <c r="L407" s="1516"/>
      <c r="M407" s="1516"/>
      <c r="N407" s="1525"/>
      <c r="O407" s="1516"/>
      <c r="P407" s="1516"/>
      <c r="Q407" s="1525"/>
      <c r="R407" s="1516"/>
      <c r="S407" s="1516"/>
      <c r="T407" s="1526">
        <f t="shared" ref="T407:AI407" si="331">IF($V$242=$H$913,T460,IF($V$242=$H$914,T507,IF($V$242=$H$915,T554,"SELECCIONAR ESCENARIO")))</f>
        <v>0</v>
      </c>
      <c r="U407" s="1526">
        <f t="shared" si="331"/>
        <v>0</v>
      </c>
      <c r="V407" s="1526">
        <f t="shared" si="331"/>
        <v>0</v>
      </c>
      <c r="W407" s="1526">
        <f t="shared" si="331"/>
        <v>0</v>
      </c>
      <c r="X407" s="1526">
        <f t="shared" si="331"/>
        <v>0</v>
      </c>
      <c r="Y407" s="1526">
        <f t="shared" si="331"/>
        <v>0</v>
      </c>
      <c r="Z407" s="1526">
        <f t="shared" si="331"/>
        <v>0</v>
      </c>
      <c r="AA407" s="1526">
        <f t="shared" si="331"/>
        <v>0</v>
      </c>
      <c r="AB407" s="1526">
        <f t="shared" si="331"/>
        <v>0</v>
      </c>
      <c r="AC407" s="1526">
        <f t="shared" si="331"/>
        <v>0</v>
      </c>
      <c r="AD407" s="1527">
        <f t="shared" si="331"/>
        <v>0</v>
      </c>
      <c r="AE407" s="1527">
        <f t="shared" si="331"/>
        <v>0</v>
      </c>
      <c r="AF407" s="1527">
        <f t="shared" si="331"/>
        <v>0</v>
      </c>
      <c r="AG407" s="1527">
        <f t="shared" si="331"/>
        <v>0</v>
      </c>
      <c r="AH407" s="1527">
        <f t="shared" si="331"/>
        <v>0</v>
      </c>
      <c r="AI407" s="1527">
        <f t="shared" si="331"/>
        <v>0</v>
      </c>
      <c r="AJ407" s="1519"/>
    </row>
    <row r="408" spans="1:36" s="1520" customFormat="1">
      <c r="A408" s="1513"/>
      <c r="B408" s="1494" t="str">
        <f t="shared" si="323"/>
        <v>VARIACIÓN DEPRECIACIÓN ACUMULADA / ACTIVO FIJO BRUTO</v>
      </c>
      <c r="C408" s="1524"/>
      <c r="D408" s="1515"/>
      <c r="E408" s="1525"/>
      <c r="F408" s="1515"/>
      <c r="G408" s="1515"/>
      <c r="H408" s="1525"/>
      <c r="I408" s="1515"/>
      <c r="J408" s="1515"/>
      <c r="K408" s="1525"/>
      <c r="L408" s="1516"/>
      <c r="M408" s="1516"/>
      <c r="N408" s="1525"/>
      <c r="O408" s="1516"/>
      <c r="P408" s="1516"/>
      <c r="Q408" s="1525"/>
      <c r="R408" s="1516"/>
      <c r="S408" s="1516"/>
      <c r="T408" s="1495">
        <f t="shared" ref="T408:AI408" si="332">IF($V$242=$H$913,T461,IF($V$242=$H$914,T508,IF($V$242=$H$915,T555,"SELECCIONAR ESCENARIO")))</f>
        <v>0</v>
      </c>
      <c r="U408" s="1495">
        <f t="shared" si="332"/>
        <v>0</v>
      </c>
      <c r="V408" s="1495">
        <f t="shared" si="332"/>
        <v>0</v>
      </c>
      <c r="W408" s="1495">
        <f t="shared" si="332"/>
        <v>0</v>
      </c>
      <c r="X408" s="1495">
        <f t="shared" si="332"/>
        <v>0</v>
      </c>
      <c r="Y408" s="1495">
        <f t="shared" si="332"/>
        <v>0</v>
      </c>
      <c r="Z408" s="1495">
        <f t="shared" si="332"/>
        <v>0</v>
      </c>
      <c r="AA408" s="1495">
        <f t="shared" si="332"/>
        <v>0</v>
      </c>
      <c r="AB408" s="1495">
        <f t="shared" si="332"/>
        <v>0</v>
      </c>
      <c r="AC408" s="1495">
        <f t="shared" si="332"/>
        <v>0</v>
      </c>
      <c r="AD408" s="1496">
        <f t="shared" si="332"/>
        <v>0</v>
      </c>
      <c r="AE408" s="1496">
        <f t="shared" si="332"/>
        <v>0</v>
      </c>
      <c r="AF408" s="1496">
        <f t="shared" si="332"/>
        <v>0</v>
      </c>
      <c r="AG408" s="1496">
        <f t="shared" si="332"/>
        <v>0</v>
      </c>
      <c r="AH408" s="1496">
        <f t="shared" si="332"/>
        <v>0</v>
      </c>
      <c r="AI408" s="1496">
        <f t="shared" si="332"/>
        <v>0</v>
      </c>
      <c r="AJ408" s="1519"/>
    </row>
    <row r="409" spans="1:36" s="1126" customFormat="1">
      <c r="A409" s="1119"/>
      <c r="B409" s="1494" t="str">
        <f t="shared" si="323"/>
        <v>DEPRECIACIÓN / ACTIVO FIJO BRUTO</v>
      </c>
      <c r="C409" s="1491"/>
      <c r="D409" s="1501"/>
      <c r="E409" s="1491"/>
      <c r="F409" s="1501"/>
      <c r="G409" s="1501"/>
      <c r="H409" s="1491"/>
      <c r="I409" s="1501"/>
      <c r="J409" s="1501"/>
      <c r="K409" s="1491"/>
      <c r="L409" s="1121"/>
      <c r="M409" s="1121"/>
      <c r="N409" s="1491"/>
      <c r="O409" s="1121"/>
      <c r="P409" s="1121"/>
      <c r="Q409" s="1491"/>
      <c r="R409" s="1121"/>
      <c r="S409" s="1121"/>
      <c r="T409" s="1495">
        <f t="shared" ref="T409:AI409" si="333">IF($V$242=$H$913,T462,IF($V$242=$H$914,T509,IF($V$242=$H$915,T556,"SELECCIONAR ESCENARIO")))</f>
        <v>0</v>
      </c>
      <c r="U409" s="1495">
        <f t="shared" si="333"/>
        <v>0</v>
      </c>
      <c r="V409" s="1495">
        <f t="shared" si="333"/>
        <v>0</v>
      </c>
      <c r="W409" s="1495">
        <f t="shared" si="333"/>
        <v>0</v>
      </c>
      <c r="X409" s="1495">
        <f t="shared" si="333"/>
        <v>0</v>
      </c>
      <c r="Y409" s="1495">
        <f t="shared" si="333"/>
        <v>0</v>
      </c>
      <c r="Z409" s="1495">
        <f t="shared" si="333"/>
        <v>0</v>
      </c>
      <c r="AA409" s="1495">
        <f t="shared" si="333"/>
        <v>0</v>
      </c>
      <c r="AB409" s="1495">
        <f t="shared" si="333"/>
        <v>0</v>
      </c>
      <c r="AC409" s="1495">
        <f t="shared" si="333"/>
        <v>0</v>
      </c>
      <c r="AD409" s="1496">
        <f t="shared" si="333"/>
        <v>0</v>
      </c>
      <c r="AE409" s="1496">
        <f t="shared" si="333"/>
        <v>0</v>
      </c>
      <c r="AF409" s="1496">
        <f t="shared" si="333"/>
        <v>0</v>
      </c>
      <c r="AG409" s="1496">
        <f t="shared" si="333"/>
        <v>0</v>
      </c>
      <c r="AH409" s="1496">
        <f t="shared" si="333"/>
        <v>0</v>
      </c>
      <c r="AI409" s="1496">
        <f t="shared" si="333"/>
        <v>0</v>
      </c>
      <c r="AJ409" s="1125"/>
    </row>
    <row r="410" spans="1:36" s="1126" customFormat="1">
      <c r="A410" s="1119"/>
      <c r="B410" s="1494" t="str">
        <f t="shared" si="323"/>
        <v>VARIACIÓN INTANGIBLES</v>
      </c>
      <c r="C410" s="1490"/>
      <c r="D410" s="1501"/>
      <c r="E410" s="1491"/>
      <c r="F410" s="1501"/>
      <c r="G410" s="1501"/>
      <c r="H410" s="1491"/>
      <c r="I410" s="1501"/>
      <c r="J410" s="1501"/>
      <c r="K410" s="1491"/>
      <c r="L410" s="1121"/>
      <c r="M410" s="1121"/>
      <c r="N410" s="1491"/>
      <c r="O410" s="1121"/>
      <c r="P410" s="1121"/>
      <c r="Q410" s="1491"/>
      <c r="R410" s="1121"/>
      <c r="S410" s="1121"/>
      <c r="T410" s="1495">
        <f t="shared" ref="T410:AI410" si="334">IF($V$242=$H$913,T463,IF($V$242=$H$914,T510,IF($V$242=$H$915,T557,"SELECCIONAR ESCENARIO")))</f>
        <v>0</v>
      </c>
      <c r="U410" s="1495">
        <f t="shared" si="334"/>
        <v>0</v>
      </c>
      <c r="V410" s="1495">
        <f t="shared" si="334"/>
        <v>0</v>
      </c>
      <c r="W410" s="1495">
        <f t="shared" si="334"/>
        <v>0</v>
      </c>
      <c r="X410" s="1495">
        <f t="shared" si="334"/>
        <v>0</v>
      </c>
      <c r="Y410" s="1495">
        <f t="shared" si="334"/>
        <v>0</v>
      </c>
      <c r="Z410" s="1495">
        <f t="shared" si="334"/>
        <v>0</v>
      </c>
      <c r="AA410" s="1495">
        <f t="shared" si="334"/>
        <v>0</v>
      </c>
      <c r="AB410" s="1495">
        <f t="shared" si="334"/>
        <v>0</v>
      </c>
      <c r="AC410" s="1495">
        <f t="shared" si="334"/>
        <v>0</v>
      </c>
      <c r="AD410" s="1496">
        <f t="shared" si="334"/>
        <v>0</v>
      </c>
      <c r="AE410" s="1496">
        <f t="shared" si="334"/>
        <v>0</v>
      </c>
      <c r="AF410" s="1496">
        <f t="shared" si="334"/>
        <v>0</v>
      </c>
      <c r="AG410" s="1496">
        <f t="shared" si="334"/>
        <v>0</v>
      </c>
      <c r="AH410" s="1496">
        <f t="shared" si="334"/>
        <v>0</v>
      </c>
      <c r="AI410" s="1496">
        <f t="shared" si="334"/>
        <v>0</v>
      </c>
      <c r="AJ410" s="1125"/>
    </row>
    <row r="411" spans="1:36" s="1126" customFormat="1">
      <c r="A411" s="1119"/>
      <c r="B411" s="1494" t="str">
        <f t="shared" si="323"/>
        <v>AMORTIZACIÓN INTANGIBLES / INTANGIBLES</v>
      </c>
      <c r="C411" s="1491"/>
      <c r="D411" s="1501"/>
      <c r="E411" s="1491"/>
      <c r="F411" s="1501"/>
      <c r="G411" s="1501"/>
      <c r="H411" s="1491"/>
      <c r="I411" s="1501"/>
      <c r="J411" s="1501"/>
      <c r="K411" s="1491"/>
      <c r="L411" s="1121"/>
      <c r="M411" s="1121"/>
      <c r="N411" s="1491"/>
      <c r="O411" s="1121"/>
      <c r="P411" s="1121"/>
      <c r="Q411" s="1491"/>
      <c r="R411" s="1121"/>
      <c r="S411" s="1121"/>
      <c r="T411" s="1495">
        <f t="shared" ref="T411:AI411" si="335">IF($V$242=$H$913,T464,IF($V$242=$H$914,T511,IF($V$242=$H$915,T558,"SELECCIONAR ESCENARIO")))</f>
        <v>0</v>
      </c>
      <c r="U411" s="1495">
        <f t="shared" si="335"/>
        <v>0</v>
      </c>
      <c r="V411" s="1495">
        <f t="shared" si="335"/>
        <v>0</v>
      </c>
      <c r="W411" s="1495">
        <f t="shared" si="335"/>
        <v>0</v>
      </c>
      <c r="X411" s="1495">
        <f t="shared" si="335"/>
        <v>0</v>
      </c>
      <c r="Y411" s="1495">
        <f t="shared" si="335"/>
        <v>0</v>
      </c>
      <c r="Z411" s="1495">
        <f t="shared" si="335"/>
        <v>0</v>
      </c>
      <c r="AA411" s="1495">
        <f t="shared" si="335"/>
        <v>0</v>
      </c>
      <c r="AB411" s="1495">
        <f t="shared" si="335"/>
        <v>0</v>
      </c>
      <c r="AC411" s="1495">
        <f t="shared" si="335"/>
        <v>0</v>
      </c>
      <c r="AD411" s="1496">
        <f t="shared" si="335"/>
        <v>0</v>
      </c>
      <c r="AE411" s="1496">
        <f t="shared" si="335"/>
        <v>0</v>
      </c>
      <c r="AF411" s="1496">
        <f t="shared" si="335"/>
        <v>0</v>
      </c>
      <c r="AG411" s="1496">
        <f t="shared" si="335"/>
        <v>0</v>
      </c>
      <c r="AH411" s="1496">
        <f t="shared" si="335"/>
        <v>0</v>
      </c>
      <c r="AI411" s="1496">
        <f t="shared" si="335"/>
        <v>0</v>
      </c>
      <c r="AJ411" s="1125"/>
    </row>
    <row r="412" spans="1:36" s="1126" customFormat="1">
      <c r="A412" s="1119"/>
      <c r="B412" s="1494" t="str">
        <f t="shared" si="323"/>
        <v>VARIACIÓN DIFERIDOS</v>
      </c>
      <c r="C412" s="1491"/>
      <c r="D412" s="1501"/>
      <c r="E412" s="1491"/>
      <c r="F412" s="1501"/>
      <c r="G412" s="1501"/>
      <c r="H412" s="1491"/>
      <c r="I412" s="1501"/>
      <c r="J412" s="1501"/>
      <c r="K412" s="1491"/>
      <c r="L412" s="1121"/>
      <c r="M412" s="1121"/>
      <c r="N412" s="1491"/>
      <c r="O412" s="1121"/>
      <c r="P412" s="1121"/>
      <c r="Q412" s="1491"/>
      <c r="R412" s="1121"/>
      <c r="S412" s="1121"/>
      <c r="T412" s="1495">
        <f t="shared" ref="T412:AI412" si="336">IF($V$242=$H$913,T465,IF($V$242=$H$914,T512,IF($V$242=$H$915,T559,"SELECCIONAR ESCENARIO")))</f>
        <v>0</v>
      </c>
      <c r="U412" s="1495">
        <f t="shared" si="336"/>
        <v>0</v>
      </c>
      <c r="V412" s="1495">
        <f t="shared" si="336"/>
        <v>0</v>
      </c>
      <c r="W412" s="1495">
        <f t="shared" si="336"/>
        <v>0</v>
      </c>
      <c r="X412" s="1495">
        <f t="shared" si="336"/>
        <v>0</v>
      </c>
      <c r="Y412" s="1495">
        <f t="shared" si="336"/>
        <v>0</v>
      </c>
      <c r="Z412" s="1495">
        <f t="shared" si="336"/>
        <v>0</v>
      </c>
      <c r="AA412" s="1495">
        <f t="shared" si="336"/>
        <v>0</v>
      </c>
      <c r="AB412" s="1495">
        <f t="shared" si="336"/>
        <v>0</v>
      </c>
      <c r="AC412" s="1495">
        <f t="shared" si="336"/>
        <v>0</v>
      </c>
      <c r="AD412" s="1496">
        <f t="shared" si="336"/>
        <v>0</v>
      </c>
      <c r="AE412" s="1496">
        <f t="shared" si="336"/>
        <v>0</v>
      </c>
      <c r="AF412" s="1496">
        <f t="shared" si="336"/>
        <v>0</v>
      </c>
      <c r="AG412" s="1496">
        <f t="shared" si="336"/>
        <v>0</v>
      </c>
      <c r="AH412" s="1496">
        <f t="shared" si="336"/>
        <v>0</v>
      </c>
      <c r="AI412" s="1496">
        <f t="shared" si="336"/>
        <v>0</v>
      </c>
      <c r="AJ412" s="1125"/>
    </row>
    <row r="413" spans="1:36" s="1126" customFormat="1">
      <c r="A413" s="1119"/>
      <c r="B413" s="1494" t="str">
        <f t="shared" si="323"/>
        <v>AMORTIZACIÓN DIFERIDOS / DIFERIDOS</v>
      </c>
      <c r="C413" s="1491"/>
      <c r="D413" s="1501"/>
      <c r="E413" s="1491"/>
      <c r="F413" s="1501"/>
      <c r="G413" s="1501"/>
      <c r="H413" s="1491"/>
      <c r="I413" s="1501"/>
      <c r="J413" s="1501"/>
      <c r="K413" s="1491"/>
      <c r="L413" s="1121"/>
      <c r="M413" s="1121"/>
      <c r="N413" s="1491"/>
      <c r="O413" s="1121"/>
      <c r="P413" s="1121"/>
      <c r="Q413" s="1491"/>
      <c r="R413" s="1121"/>
      <c r="S413" s="1121"/>
      <c r="T413" s="1495">
        <f t="shared" ref="T413:AI413" si="337">IF($V$242=$H$913,T466,IF($V$242=$H$914,T513,IF($V$242=$H$915,T560,"SELECCIONAR ESCENARIO")))</f>
        <v>0</v>
      </c>
      <c r="U413" s="1495">
        <f t="shared" si="337"/>
        <v>0</v>
      </c>
      <c r="V413" s="1495">
        <f t="shared" si="337"/>
        <v>0</v>
      </c>
      <c r="W413" s="1495">
        <f t="shared" si="337"/>
        <v>0</v>
      </c>
      <c r="X413" s="1495">
        <f t="shared" si="337"/>
        <v>0</v>
      </c>
      <c r="Y413" s="1495">
        <f t="shared" si="337"/>
        <v>0</v>
      </c>
      <c r="Z413" s="1495">
        <f t="shared" si="337"/>
        <v>0</v>
      </c>
      <c r="AA413" s="1495">
        <f t="shared" si="337"/>
        <v>0</v>
      </c>
      <c r="AB413" s="1495">
        <f t="shared" si="337"/>
        <v>0</v>
      </c>
      <c r="AC413" s="1495">
        <f t="shared" si="337"/>
        <v>0</v>
      </c>
      <c r="AD413" s="1496">
        <f t="shared" si="337"/>
        <v>0</v>
      </c>
      <c r="AE413" s="1496">
        <f t="shared" si="337"/>
        <v>0</v>
      </c>
      <c r="AF413" s="1496">
        <f t="shared" si="337"/>
        <v>0</v>
      </c>
      <c r="AG413" s="1496">
        <f t="shared" si="337"/>
        <v>0</v>
      </c>
      <c r="AH413" s="1496">
        <f t="shared" si="337"/>
        <v>0</v>
      </c>
      <c r="AI413" s="1496">
        <f t="shared" si="337"/>
        <v>0</v>
      </c>
      <c r="AJ413" s="1125"/>
    </row>
    <row r="414" spans="1:36" s="1126" customFormat="1">
      <c r="A414" s="1119"/>
      <c r="B414" s="1494" t="str">
        <f t="shared" si="323"/>
        <v>PASIVOS LABORALES / GASTOS OPERACIONALES (ANUALIZADOS)</v>
      </c>
      <c r="C414" s="1491"/>
      <c r="D414" s="1501"/>
      <c r="E414" s="1491"/>
      <c r="F414" s="1501"/>
      <c r="G414" s="1501"/>
      <c r="H414" s="1491"/>
      <c r="I414" s="1501"/>
      <c r="J414" s="1501"/>
      <c r="K414" s="1491"/>
      <c r="L414" s="1121"/>
      <c r="M414" s="1121"/>
      <c r="N414" s="1491"/>
      <c r="O414" s="1121"/>
      <c r="P414" s="1121"/>
      <c r="Q414" s="1491"/>
      <c r="R414" s="1121"/>
      <c r="S414" s="1121"/>
      <c r="T414" s="1495">
        <f t="shared" ref="T414:AI414" si="338">IF($V$242=$H$913,T467,IF($V$242=$H$914,T514,IF($V$242=$H$915,T561,"SELECCIONAR ESCENARIO")))</f>
        <v>0</v>
      </c>
      <c r="U414" s="1495">
        <f t="shared" si="338"/>
        <v>0</v>
      </c>
      <c r="V414" s="1495">
        <f t="shared" si="338"/>
        <v>0</v>
      </c>
      <c r="W414" s="1495">
        <f t="shared" si="338"/>
        <v>0</v>
      </c>
      <c r="X414" s="1495">
        <f t="shared" si="338"/>
        <v>0</v>
      </c>
      <c r="Y414" s="1495">
        <f t="shared" si="338"/>
        <v>0</v>
      </c>
      <c r="Z414" s="1495">
        <f t="shared" si="338"/>
        <v>0</v>
      </c>
      <c r="AA414" s="1495">
        <f t="shared" si="338"/>
        <v>0</v>
      </c>
      <c r="AB414" s="1495">
        <f t="shared" si="338"/>
        <v>0</v>
      </c>
      <c r="AC414" s="1495">
        <f t="shared" si="338"/>
        <v>0</v>
      </c>
      <c r="AD414" s="1496">
        <f t="shared" si="338"/>
        <v>0</v>
      </c>
      <c r="AE414" s="1496">
        <f t="shared" si="338"/>
        <v>0</v>
      </c>
      <c r="AF414" s="1496">
        <f t="shared" si="338"/>
        <v>0</v>
      </c>
      <c r="AG414" s="1496">
        <f t="shared" si="338"/>
        <v>0</v>
      </c>
      <c r="AH414" s="1496">
        <f t="shared" si="338"/>
        <v>0</v>
      </c>
      <c r="AI414" s="1496">
        <f t="shared" si="338"/>
        <v>0</v>
      </c>
      <c r="AJ414" s="1125"/>
    </row>
    <row r="415" spans="1:36" s="1126" customFormat="1">
      <c r="A415" s="1119"/>
      <c r="B415" s="1494" t="str">
        <f t="shared" si="323"/>
        <v>IMPUESTOS POR PAGAR / VENTAS (ANUALIZADAS)</v>
      </c>
      <c r="C415" s="1491"/>
      <c r="D415" s="1501"/>
      <c r="E415" s="1491"/>
      <c r="F415" s="1501"/>
      <c r="G415" s="1501"/>
      <c r="H415" s="1491"/>
      <c r="I415" s="1501"/>
      <c r="J415" s="1501"/>
      <c r="K415" s="1491"/>
      <c r="L415" s="1121"/>
      <c r="M415" s="1121"/>
      <c r="N415" s="1491"/>
      <c r="O415" s="1121"/>
      <c r="P415" s="1121"/>
      <c r="Q415" s="1491"/>
      <c r="R415" s="1121"/>
      <c r="S415" s="1121"/>
      <c r="T415" s="1495">
        <f t="shared" ref="T415:AI415" si="339">IF($V$242=$H$913,T468,IF($V$242=$H$914,T515,IF($V$242=$H$915,T562,"SELECCIONAR ESCENARIO")))</f>
        <v>0</v>
      </c>
      <c r="U415" s="1495">
        <f t="shared" si="339"/>
        <v>0</v>
      </c>
      <c r="V415" s="1495">
        <f t="shared" si="339"/>
        <v>0</v>
      </c>
      <c r="W415" s="1495">
        <f t="shared" si="339"/>
        <v>0</v>
      </c>
      <c r="X415" s="1495">
        <f t="shared" si="339"/>
        <v>0</v>
      </c>
      <c r="Y415" s="1495">
        <f t="shared" si="339"/>
        <v>0</v>
      </c>
      <c r="Z415" s="1495">
        <f t="shared" si="339"/>
        <v>0</v>
      </c>
      <c r="AA415" s="1495">
        <f t="shared" si="339"/>
        <v>0</v>
      </c>
      <c r="AB415" s="1495">
        <f t="shared" si="339"/>
        <v>0</v>
      </c>
      <c r="AC415" s="1495">
        <f t="shared" si="339"/>
        <v>0</v>
      </c>
      <c r="AD415" s="1496">
        <f t="shared" si="339"/>
        <v>0</v>
      </c>
      <c r="AE415" s="1496">
        <f t="shared" si="339"/>
        <v>0</v>
      </c>
      <c r="AF415" s="1496">
        <f t="shared" si="339"/>
        <v>0</v>
      </c>
      <c r="AG415" s="1496">
        <f t="shared" si="339"/>
        <v>0</v>
      </c>
      <c r="AH415" s="1496">
        <f t="shared" si="339"/>
        <v>0</v>
      </c>
      <c r="AI415" s="1496">
        <f t="shared" si="339"/>
        <v>0</v>
      </c>
      <c r="AJ415" s="1125"/>
    </row>
    <row r="416" spans="1:36" s="1126" customFormat="1">
      <c r="A416" s="1119"/>
      <c r="B416" s="1494" t="str">
        <f t="shared" si="323"/>
        <v>CUENTAS POR PAGAR / COSTO DE VENTAS (ANUALIZADO)</v>
      </c>
      <c r="C416" s="1491"/>
      <c r="D416" s="1501"/>
      <c r="E416" s="1491"/>
      <c r="F416" s="1501"/>
      <c r="G416" s="1501"/>
      <c r="H416" s="1491"/>
      <c r="I416" s="1501"/>
      <c r="J416" s="1501"/>
      <c r="K416" s="1491"/>
      <c r="L416" s="1121"/>
      <c r="M416" s="1121"/>
      <c r="N416" s="1491"/>
      <c r="O416" s="1121"/>
      <c r="P416" s="1121"/>
      <c r="Q416" s="1491"/>
      <c r="R416" s="1121"/>
      <c r="S416" s="1121"/>
      <c r="T416" s="1495">
        <f t="shared" ref="T416:AI416" si="340">IF($V$242=$H$913,T469,IF($V$242=$H$914,T516,IF($V$242=$H$915,T563,"SELECCIONAR ESCENARIO")))</f>
        <v>0</v>
      </c>
      <c r="U416" s="1495">
        <f t="shared" si="340"/>
        <v>0</v>
      </c>
      <c r="V416" s="1495">
        <f t="shared" si="340"/>
        <v>0</v>
      </c>
      <c r="W416" s="1495">
        <f t="shared" si="340"/>
        <v>0</v>
      </c>
      <c r="X416" s="1495">
        <f t="shared" si="340"/>
        <v>0</v>
      </c>
      <c r="Y416" s="1495">
        <f t="shared" si="340"/>
        <v>0</v>
      </c>
      <c r="Z416" s="1495">
        <f t="shared" si="340"/>
        <v>0</v>
      </c>
      <c r="AA416" s="1495">
        <f t="shared" si="340"/>
        <v>0</v>
      </c>
      <c r="AB416" s="1495">
        <f t="shared" si="340"/>
        <v>0</v>
      </c>
      <c r="AC416" s="1495">
        <f t="shared" si="340"/>
        <v>0</v>
      </c>
      <c r="AD416" s="1496">
        <f t="shared" si="340"/>
        <v>0</v>
      </c>
      <c r="AE416" s="1496">
        <f t="shared" si="340"/>
        <v>0</v>
      </c>
      <c r="AF416" s="1496">
        <f t="shared" si="340"/>
        <v>0</v>
      </c>
      <c r="AG416" s="1496">
        <f t="shared" si="340"/>
        <v>0</v>
      </c>
      <c r="AH416" s="1496">
        <f t="shared" si="340"/>
        <v>0</v>
      </c>
      <c r="AI416" s="1496">
        <f t="shared" si="340"/>
        <v>0</v>
      </c>
      <c r="AJ416" s="1125"/>
    </row>
    <row r="417" spans="1:43" s="1126" customFormat="1">
      <c r="A417" s="1119"/>
      <c r="B417" s="1494" t="str">
        <f t="shared" si="323"/>
        <v>PASIVOS ESTIMADOS Y PROVISIONES / GASTOS OPERACIONALES (ANUALIZADOS)</v>
      </c>
      <c r="C417" s="1491"/>
      <c r="D417" s="1501"/>
      <c r="E417" s="1491"/>
      <c r="F417" s="1501"/>
      <c r="G417" s="1501"/>
      <c r="H417" s="1491"/>
      <c r="I417" s="1501"/>
      <c r="J417" s="1501"/>
      <c r="K417" s="1491"/>
      <c r="L417" s="1121"/>
      <c r="M417" s="1121"/>
      <c r="N417" s="1491"/>
      <c r="O417" s="1121"/>
      <c r="P417" s="1121"/>
      <c r="Q417" s="1491"/>
      <c r="R417" s="1121"/>
      <c r="S417" s="1121"/>
      <c r="T417" s="1495">
        <f t="shared" ref="T417:AI417" si="341">IF($V$242=$H$913,T470,IF($V$242=$H$914,T517,IF($V$242=$H$915,T564,"SELECCIONAR ESCENARIO")))</f>
        <v>0</v>
      </c>
      <c r="U417" s="1495">
        <f t="shared" si="341"/>
        <v>0</v>
      </c>
      <c r="V417" s="1495">
        <f t="shared" si="341"/>
        <v>0</v>
      </c>
      <c r="W417" s="1495">
        <f t="shared" si="341"/>
        <v>0</v>
      </c>
      <c r="X417" s="1495">
        <f t="shared" si="341"/>
        <v>0</v>
      </c>
      <c r="Y417" s="1495">
        <f t="shared" si="341"/>
        <v>0</v>
      </c>
      <c r="Z417" s="1495">
        <f t="shared" si="341"/>
        <v>0</v>
      </c>
      <c r="AA417" s="1495">
        <f t="shared" si="341"/>
        <v>0</v>
      </c>
      <c r="AB417" s="1495">
        <f t="shared" si="341"/>
        <v>0</v>
      </c>
      <c r="AC417" s="1495">
        <f t="shared" si="341"/>
        <v>0</v>
      </c>
      <c r="AD417" s="1496">
        <f t="shared" si="341"/>
        <v>0</v>
      </c>
      <c r="AE417" s="1496">
        <f t="shared" si="341"/>
        <v>0</v>
      </c>
      <c r="AF417" s="1496">
        <f t="shared" si="341"/>
        <v>0</v>
      </c>
      <c r="AG417" s="1496">
        <f t="shared" si="341"/>
        <v>0</v>
      </c>
      <c r="AH417" s="1496">
        <f t="shared" si="341"/>
        <v>0</v>
      </c>
      <c r="AI417" s="1496">
        <f t="shared" si="341"/>
        <v>0</v>
      </c>
      <c r="AJ417" s="1125"/>
    </row>
    <row r="418" spans="1:43" s="1126" customFormat="1">
      <c r="A418" s="1119"/>
      <c r="B418" s="1494" t="str">
        <f t="shared" si="323"/>
        <v>DIVIDENDOS PAGADOS / UTILIDAD NETA EJERCICIO ANTERIOR</v>
      </c>
      <c r="C418" s="1528"/>
      <c r="D418" s="1501"/>
      <c r="E418" s="1491"/>
      <c r="F418" s="1501"/>
      <c r="G418" s="1501"/>
      <c r="H418" s="1491"/>
      <c r="I418" s="1501"/>
      <c r="J418" s="1501"/>
      <c r="K418" s="1491"/>
      <c r="L418" s="1121"/>
      <c r="M418" s="1121"/>
      <c r="N418" s="1491"/>
      <c r="O418" s="1121"/>
      <c r="P418" s="1121"/>
      <c r="Q418" s="1491"/>
      <c r="R418" s="1121"/>
      <c r="S418" s="1529"/>
      <c r="T418" s="1495">
        <f t="shared" ref="T418:AI418" si="342">IF($V$242=$H$913,T471,IF($V$242=$H$914,T518,IF($V$242=$H$915,T565,"SELECCIONAR ESCENARIO")))</f>
        <v>0</v>
      </c>
      <c r="U418" s="1495">
        <f t="shared" si="342"/>
        <v>0</v>
      </c>
      <c r="V418" s="1495">
        <f t="shared" si="342"/>
        <v>0</v>
      </c>
      <c r="W418" s="1495">
        <f t="shared" si="342"/>
        <v>0</v>
      </c>
      <c r="X418" s="1495">
        <f t="shared" si="342"/>
        <v>0</v>
      </c>
      <c r="Y418" s="1495">
        <f t="shared" si="342"/>
        <v>0</v>
      </c>
      <c r="Z418" s="1495">
        <f t="shared" si="342"/>
        <v>0</v>
      </c>
      <c r="AA418" s="1495">
        <f t="shared" si="342"/>
        <v>0</v>
      </c>
      <c r="AB418" s="1495">
        <f t="shared" si="342"/>
        <v>0</v>
      </c>
      <c r="AC418" s="1495">
        <f t="shared" si="342"/>
        <v>0</v>
      </c>
      <c r="AD418" s="1496">
        <f t="shared" si="342"/>
        <v>0</v>
      </c>
      <c r="AE418" s="1496">
        <f t="shared" si="342"/>
        <v>0</v>
      </c>
      <c r="AF418" s="1496">
        <f t="shared" si="342"/>
        <v>0</v>
      </c>
      <c r="AG418" s="1496">
        <f t="shared" si="342"/>
        <v>0</v>
      </c>
      <c r="AH418" s="1496">
        <f t="shared" si="342"/>
        <v>0</v>
      </c>
      <c r="AI418" s="1496">
        <f t="shared" si="342"/>
        <v>0</v>
      </c>
      <c r="AJ418" s="1125"/>
    </row>
    <row r="419" spans="1:43" s="1126" customFormat="1" ht="13.5" thickBot="1">
      <c r="A419" s="1119"/>
      <c r="B419" s="1530" t="str">
        <f t="shared" si="323"/>
        <v>VARIACIÓN REVALORIZACIÓN PATRIMONIAL</v>
      </c>
      <c r="C419" s="1531"/>
      <c r="D419" s="1532"/>
      <c r="E419" s="1531"/>
      <c r="F419" s="1532"/>
      <c r="G419" s="1532"/>
      <c r="H419" s="1531"/>
      <c r="I419" s="1532"/>
      <c r="J419" s="1532"/>
      <c r="K419" s="1531"/>
      <c r="L419" s="1365"/>
      <c r="M419" s="1365"/>
      <c r="N419" s="1531"/>
      <c r="O419" s="1365"/>
      <c r="P419" s="1365"/>
      <c r="Q419" s="1531"/>
      <c r="R419" s="1365"/>
      <c r="S419" s="1365"/>
      <c r="T419" s="1533">
        <f t="shared" ref="T419:AI419" si="343">IF($V$242=$H$913,T472,IF($V$242=$H$914,T519,IF($V$242=$H$915,T566,"SELECCIONAR ESCENARIO")))</f>
        <v>0</v>
      </c>
      <c r="U419" s="1533">
        <f t="shared" si="343"/>
        <v>0</v>
      </c>
      <c r="V419" s="1533">
        <f t="shared" si="343"/>
        <v>0</v>
      </c>
      <c r="W419" s="1533">
        <f t="shared" si="343"/>
        <v>0</v>
      </c>
      <c r="X419" s="1533">
        <f t="shared" si="343"/>
        <v>0</v>
      </c>
      <c r="Y419" s="1533">
        <f t="shared" si="343"/>
        <v>0</v>
      </c>
      <c r="Z419" s="1533">
        <f t="shared" si="343"/>
        <v>0</v>
      </c>
      <c r="AA419" s="1533">
        <f t="shared" si="343"/>
        <v>0</v>
      </c>
      <c r="AB419" s="1533">
        <f t="shared" si="343"/>
        <v>0</v>
      </c>
      <c r="AC419" s="1533">
        <f t="shared" si="343"/>
        <v>0</v>
      </c>
      <c r="AD419" s="1534">
        <f t="shared" si="343"/>
        <v>0</v>
      </c>
      <c r="AE419" s="1534">
        <f t="shared" si="343"/>
        <v>0</v>
      </c>
      <c r="AF419" s="1534">
        <f t="shared" si="343"/>
        <v>0</v>
      </c>
      <c r="AG419" s="1534">
        <f t="shared" si="343"/>
        <v>0</v>
      </c>
      <c r="AH419" s="1534">
        <f t="shared" si="343"/>
        <v>0</v>
      </c>
      <c r="AI419" s="1534">
        <f t="shared" si="343"/>
        <v>0</v>
      </c>
      <c r="AJ419" s="1125"/>
    </row>
    <row r="420" spans="1:43" s="536" customFormat="1" ht="13.5" thickBot="1">
      <c r="A420" s="537"/>
      <c r="B420" s="660"/>
      <c r="C420" s="531"/>
      <c r="D420" s="531"/>
      <c r="E420" s="531"/>
      <c r="F420" s="531"/>
      <c r="G420" s="531"/>
      <c r="H420" s="531"/>
      <c r="I420" s="530"/>
      <c r="J420" s="530"/>
      <c r="K420" s="530"/>
      <c r="L420" s="531"/>
      <c r="M420" s="539"/>
      <c r="N420" s="530"/>
      <c r="O420" s="531"/>
      <c r="P420" s="539"/>
      <c r="Q420" s="530"/>
      <c r="R420" s="531"/>
      <c r="S420" s="539"/>
      <c r="T420" s="539"/>
      <c r="U420" s="531"/>
      <c r="V420" s="531"/>
      <c r="W420" s="531"/>
      <c r="X420" s="531"/>
      <c r="Y420" s="531"/>
      <c r="Z420" s="531"/>
      <c r="AA420" s="531"/>
      <c r="AB420" s="531"/>
      <c r="AC420" s="531"/>
      <c r="AD420" s="531"/>
      <c r="AE420" s="531"/>
      <c r="AF420" s="1535"/>
      <c r="AG420" s="531"/>
      <c r="AH420" s="531"/>
      <c r="AI420" s="531"/>
      <c r="AJ420" s="853"/>
      <c r="AK420" s="533"/>
      <c r="AL420" s="533"/>
      <c r="AM420" s="533"/>
      <c r="AN420" s="625"/>
      <c r="AO420" s="625"/>
      <c r="AP420" s="625"/>
      <c r="AQ420" s="625"/>
    </row>
    <row r="421" spans="1:43" s="536" customFormat="1" ht="13.5" thickBot="1">
      <c r="A421" s="537"/>
      <c r="B421" s="1536"/>
      <c r="C421" s="531"/>
      <c r="D421" s="531"/>
      <c r="E421" s="531"/>
      <c r="F421" s="531"/>
      <c r="G421" s="531"/>
      <c r="H421" s="531"/>
      <c r="I421" s="530"/>
      <c r="J421" s="530"/>
      <c r="K421" s="530"/>
      <c r="L421" s="531"/>
      <c r="M421" s="539"/>
      <c r="N421" s="530"/>
      <c r="O421" s="531"/>
      <c r="P421" s="539"/>
      <c r="Q421" s="530"/>
      <c r="R421" s="531"/>
      <c r="S421" s="539"/>
      <c r="T421" s="1537" t="s">
        <v>1044</v>
      </c>
      <c r="U421" s="1353" t="s">
        <v>1044</v>
      </c>
      <c r="V421" s="1353" t="s">
        <v>1044</v>
      </c>
      <c r="W421" s="1353" t="s">
        <v>1044</v>
      </c>
      <c r="X421" s="1353" t="s">
        <v>1044</v>
      </c>
      <c r="Y421" s="1353" t="s">
        <v>1044</v>
      </c>
      <c r="Z421" s="1353" t="s">
        <v>1044</v>
      </c>
      <c r="AA421" s="1353" t="s">
        <v>1044</v>
      </c>
      <c r="AB421" s="1353" t="s">
        <v>1044</v>
      </c>
      <c r="AC421" s="1353" t="s">
        <v>1044</v>
      </c>
      <c r="AD421" s="1354" t="s">
        <v>1044</v>
      </c>
      <c r="AE421" s="1354" t="s">
        <v>1044</v>
      </c>
      <c r="AF421" s="1354" t="s">
        <v>1044</v>
      </c>
      <c r="AG421" s="1354" t="s">
        <v>1044</v>
      </c>
      <c r="AH421" s="1354" t="s">
        <v>1044</v>
      </c>
      <c r="AI421" s="1354" t="s">
        <v>1044</v>
      </c>
      <c r="AJ421" s="853"/>
      <c r="AK421" s="533"/>
      <c r="AL421" s="533"/>
      <c r="AM421" s="533"/>
      <c r="AN421" s="625"/>
      <c r="AO421" s="625"/>
      <c r="AP421" s="625"/>
      <c r="AQ421" s="625"/>
    </row>
    <row r="422" spans="1:43" s="536" customFormat="1">
      <c r="A422" s="537"/>
      <c r="B422" s="1349" t="s">
        <v>1341</v>
      </c>
      <c r="C422" s="1538">
        <f>C15</f>
        <v>2016</v>
      </c>
      <c r="D422" s="1369"/>
      <c r="E422" s="1539">
        <f>E15</f>
        <v>2017</v>
      </c>
      <c r="F422" s="1369"/>
      <c r="G422" s="1369"/>
      <c r="H422" s="1539">
        <f>H15</f>
        <v>2018</v>
      </c>
      <c r="I422" s="1540"/>
      <c r="J422" s="1540"/>
      <c r="K422" s="1539">
        <f>K15</f>
        <v>2019</v>
      </c>
      <c r="L422" s="1369"/>
      <c r="M422" s="1486"/>
      <c r="N422" s="1539">
        <f>N15</f>
        <v>2019</v>
      </c>
      <c r="O422" s="1369"/>
      <c r="P422" s="1486"/>
      <c r="Q422" s="1539" t="str">
        <f>Q15</f>
        <v>2020</v>
      </c>
      <c r="R422" s="1369"/>
      <c r="S422" s="1486"/>
      <c r="T422" s="1541">
        <f t="shared" ref="T422:AI422" si="344">T15</f>
        <v>2020</v>
      </c>
      <c r="U422" s="1542">
        <f t="shared" si="344"/>
        <v>2021</v>
      </c>
      <c r="V422" s="1543">
        <f t="shared" si="344"/>
        <v>2022</v>
      </c>
      <c r="W422" s="1543">
        <f t="shared" si="344"/>
        <v>2023</v>
      </c>
      <c r="X422" s="1543">
        <f t="shared" si="344"/>
        <v>2024</v>
      </c>
      <c r="Y422" s="1543">
        <f t="shared" si="344"/>
        <v>2025</v>
      </c>
      <c r="Z422" s="1543">
        <f t="shared" si="344"/>
        <v>2026</v>
      </c>
      <c r="AA422" s="1543">
        <f t="shared" si="344"/>
        <v>2027</v>
      </c>
      <c r="AB422" s="1543">
        <f t="shared" si="344"/>
        <v>2028</v>
      </c>
      <c r="AC422" s="1543">
        <f t="shared" si="344"/>
        <v>2029</v>
      </c>
      <c r="AD422" s="1544">
        <f t="shared" si="344"/>
        <v>2030</v>
      </c>
      <c r="AE422" s="1544">
        <f t="shared" si="344"/>
        <v>2031</v>
      </c>
      <c r="AF422" s="1544">
        <f t="shared" si="344"/>
        <v>2032</v>
      </c>
      <c r="AG422" s="1544">
        <f t="shared" si="344"/>
        <v>2033</v>
      </c>
      <c r="AH422" s="1544">
        <f t="shared" si="344"/>
        <v>2034</v>
      </c>
      <c r="AI422" s="1544">
        <f t="shared" si="344"/>
        <v>2035</v>
      </c>
      <c r="AJ422" s="853"/>
      <c r="AK422" s="533"/>
      <c r="AL422" s="533"/>
      <c r="AM422" s="533"/>
      <c r="AN422" s="625"/>
      <c r="AO422" s="625"/>
      <c r="AP422" s="625"/>
      <c r="AQ422" s="625"/>
    </row>
    <row r="423" spans="1:43" s="536" customFormat="1">
      <c r="A423" s="537"/>
      <c r="B423" s="1545" t="s">
        <v>1132</v>
      </c>
      <c r="C423" s="1546">
        <f>C97</f>
        <v>0</v>
      </c>
      <c r="D423" s="531"/>
      <c r="E423" s="1547">
        <f>E97</f>
        <v>0</v>
      </c>
      <c r="F423" s="531"/>
      <c r="G423" s="531"/>
      <c r="H423" s="1547">
        <f>H97</f>
        <v>0</v>
      </c>
      <c r="I423" s="530"/>
      <c r="J423" s="530"/>
      <c r="K423" s="1547">
        <f>K97</f>
        <v>0</v>
      </c>
      <c r="L423" s="531"/>
      <c r="M423" s="539"/>
      <c r="N423" s="1547">
        <f>N97</f>
        <v>0</v>
      </c>
      <c r="O423" s="531"/>
      <c r="P423" s="539"/>
      <c r="Q423" s="1547">
        <f>Q97</f>
        <v>0</v>
      </c>
      <c r="R423" s="531"/>
      <c r="S423" s="539"/>
      <c r="T423" s="1548">
        <f>N34*(((D97*100*$C$241)+(F97*100*$E$241)+(I97*100*$H$241)+(O97*100*$N$241)+(R97*100*$Q$241))/100)</f>
        <v>0</v>
      </c>
      <c r="U423" s="1549">
        <f t="shared" ref="U423:AI423" si="345">T423</f>
        <v>0</v>
      </c>
      <c r="V423" s="571">
        <f t="shared" si="345"/>
        <v>0</v>
      </c>
      <c r="W423" s="571">
        <f t="shared" si="345"/>
        <v>0</v>
      </c>
      <c r="X423" s="571">
        <f t="shared" si="345"/>
        <v>0</v>
      </c>
      <c r="Y423" s="571">
        <f t="shared" si="345"/>
        <v>0</v>
      </c>
      <c r="Z423" s="571">
        <f t="shared" si="345"/>
        <v>0</v>
      </c>
      <c r="AA423" s="571">
        <f t="shared" si="345"/>
        <v>0</v>
      </c>
      <c r="AB423" s="571">
        <f t="shared" si="345"/>
        <v>0</v>
      </c>
      <c r="AC423" s="571">
        <f t="shared" si="345"/>
        <v>0</v>
      </c>
      <c r="AD423" s="1550">
        <f t="shared" si="345"/>
        <v>0</v>
      </c>
      <c r="AE423" s="1550">
        <f t="shared" si="345"/>
        <v>0</v>
      </c>
      <c r="AF423" s="1550">
        <f t="shared" si="345"/>
        <v>0</v>
      </c>
      <c r="AG423" s="1550">
        <f t="shared" si="345"/>
        <v>0</v>
      </c>
      <c r="AH423" s="1550">
        <f t="shared" si="345"/>
        <v>0</v>
      </c>
      <c r="AI423" s="1550">
        <f t="shared" si="345"/>
        <v>0</v>
      </c>
      <c r="AJ423" s="853"/>
      <c r="AK423" s="533"/>
      <c r="AL423" s="533"/>
      <c r="AM423" s="533"/>
      <c r="AN423" s="625"/>
      <c r="AO423" s="625"/>
      <c r="AP423" s="625"/>
      <c r="AQ423" s="625"/>
    </row>
    <row r="424" spans="1:43" s="536" customFormat="1">
      <c r="A424" s="537"/>
      <c r="B424" s="1551" t="s">
        <v>1133</v>
      </c>
      <c r="C424" s="1552">
        <f>C98</f>
        <v>0</v>
      </c>
      <c r="D424" s="531"/>
      <c r="E424" s="565">
        <f>E98</f>
        <v>0</v>
      </c>
      <c r="F424" s="531"/>
      <c r="G424" s="531"/>
      <c r="H424" s="565">
        <f>H98</f>
        <v>0</v>
      </c>
      <c r="I424" s="530"/>
      <c r="J424" s="530"/>
      <c r="K424" s="565">
        <f>K98</f>
        <v>0</v>
      </c>
      <c r="L424" s="531"/>
      <c r="M424" s="539"/>
      <c r="N424" s="565">
        <f>N98</f>
        <v>0</v>
      </c>
      <c r="O424" s="531"/>
      <c r="P424" s="539"/>
      <c r="Q424" s="565">
        <f>Q98</f>
        <v>0</v>
      </c>
      <c r="R424" s="531"/>
      <c r="S424" s="539"/>
      <c r="T424" s="1553">
        <f>N59*(((D98*100*$C$241)+(F98*100*$E$241)+(I98*100*$H$241)+(O98*100*$N$241)+(R98*100*$Q$241))/100)</f>
        <v>0</v>
      </c>
      <c r="U424" s="1554">
        <f t="shared" ref="U424:AI424" si="346">T424</f>
        <v>0</v>
      </c>
      <c r="V424" s="619">
        <f t="shared" si="346"/>
        <v>0</v>
      </c>
      <c r="W424" s="619">
        <f t="shared" si="346"/>
        <v>0</v>
      </c>
      <c r="X424" s="619">
        <f t="shared" si="346"/>
        <v>0</v>
      </c>
      <c r="Y424" s="619">
        <f t="shared" si="346"/>
        <v>0</v>
      </c>
      <c r="Z424" s="619">
        <f t="shared" si="346"/>
        <v>0</v>
      </c>
      <c r="AA424" s="619">
        <f t="shared" si="346"/>
        <v>0</v>
      </c>
      <c r="AB424" s="619">
        <f t="shared" si="346"/>
        <v>0</v>
      </c>
      <c r="AC424" s="619">
        <f t="shared" si="346"/>
        <v>0</v>
      </c>
      <c r="AD424" s="1555">
        <f t="shared" si="346"/>
        <v>0</v>
      </c>
      <c r="AE424" s="1555">
        <f t="shared" si="346"/>
        <v>0</v>
      </c>
      <c r="AF424" s="1555">
        <f t="shared" si="346"/>
        <v>0</v>
      </c>
      <c r="AG424" s="1555">
        <f t="shared" si="346"/>
        <v>0</v>
      </c>
      <c r="AH424" s="1555">
        <f t="shared" si="346"/>
        <v>0</v>
      </c>
      <c r="AI424" s="1555">
        <f t="shared" si="346"/>
        <v>0</v>
      </c>
      <c r="AJ424" s="853"/>
      <c r="AK424" s="533"/>
      <c r="AL424" s="533"/>
      <c r="AM424" s="533"/>
      <c r="AN424" s="625"/>
      <c r="AO424" s="625"/>
      <c r="AP424" s="625"/>
      <c r="AQ424" s="625"/>
    </row>
    <row r="425" spans="1:43" s="536" customFormat="1" ht="13.5" thickBot="1">
      <c r="A425" s="537"/>
      <c r="B425" s="1556" t="s">
        <v>1342</v>
      </c>
      <c r="C425" s="1557">
        <f>C423-C424</f>
        <v>0</v>
      </c>
      <c r="D425" s="1558"/>
      <c r="E425" s="1559">
        <f>E423-E424</f>
        <v>0</v>
      </c>
      <c r="F425" s="1558"/>
      <c r="G425" s="1558"/>
      <c r="H425" s="1559">
        <f>H423-H424</f>
        <v>0</v>
      </c>
      <c r="I425" s="1560"/>
      <c r="J425" s="1560"/>
      <c r="K425" s="1559">
        <f>K423-K424</f>
        <v>0</v>
      </c>
      <c r="L425" s="1558"/>
      <c r="M425" s="1561"/>
      <c r="N425" s="1559">
        <f>N423-N424</f>
        <v>0</v>
      </c>
      <c r="O425" s="1558"/>
      <c r="P425" s="1561"/>
      <c r="Q425" s="1559">
        <f>Q423-Q424</f>
        <v>0</v>
      </c>
      <c r="R425" s="1558"/>
      <c r="S425" s="1561"/>
      <c r="T425" s="1562">
        <f t="shared" ref="T425:AI425" si="347">T423-T424</f>
        <v>0</v>
      </c>
      <c r="U425" s="1563">
        <f t="shared" si="347"/>
        <v>0</v>
      </c>
      <c r="V425" s="1564">
        <f t="shared" si="347"/>
        <v>0</v>
      </c>
      <c r="W425" s="1564">
        <f t="shared" si="347"/>
        <v>0</v>
      </c>
      <c r="X425" s="1564">
        <f t="shared" si="347"/>
        <v>0</v>
      </c>
      <c r="Y425" s="1564">
        <f t="shared" si="347"/>
        <v>0</v>
      </c>
      <c r="Z425" s="1564">
        <f t="shared" si="347"/>
        <v>0</v>
      </c>
      <c r="AA425" s="1564">
        <f t="shared" si="347"/>
        <v>0</v>
      </c>
      <c r="AB425" s="1564">
        <f t="shared" si="347"/>
        <v>0</v>
      </c>
      <c r="AC425" s="1564">
        <f t="shared" si="347"/>
        <v>0</v>
      </c>
      <c r="AD425" s="1565">
        <f t="shared" si="347"/>
        <v>0</v>
      </c>
      <c r="AE425" s="1565">
        <f t="shared" si="347"/>
        <v>0</v>
      </c>
      <c r="AF425" s="1565">
        <f t="shared" si="347"/>
        <v>0</v>
      </c>
      <c r="AG425" s="1565">
        <f t="shared" si="347"/>
        <v>0</v>
      </c>
      <c r="AH425" s="1565">
        <f t="shared" si="347"/>
        <v>0</v>
      </c>
      <c r="AI425" s="1565">
        <f t="shared" si="347"/>
        <v>0</v>
      </c>
      <c r="AJ425" s="853"/>
      <c r="AK425" s="533"/>
      <c r="AL425" s="533"/>
      <c r="AM425" s="533"/>
      <c r="AN425" s="625"/>
      <c r="AO425" s="625"/>
      <c r="AP425" s="625"/>
      <c r="AQ425" s="625"/>
    </row>
    <row r="426" spans="1:43" s="536" customFormat="1" ht="13.5" thickBot="1">
      <c r="A426" s="537"/>
      <c r="B426" s="660"/>
      <c r="C426" s="1566"/>
      <c r="D426" s="531"/>
      <c r="E426" s="1567"/>
      <c r="F426" s="531"/>
      <c r="G426" s="531"/>
      <c r="H426" s="1567"/>
      <c r="I426" s="530"/>
      <c r="J426" s="530"/>
      <c r="K426" s="1567"/>
      <c r="L426" s="531"/>
      <c r="M426" s="539"/>
      <c r="N426" s="1567"/>
      <c r="O426" s="531"/>
      <c r="P426" s="539"/>
      <c r="Q426" s="1567"/>
      <c r="R426" s="531"/>
      <c r="S426" s="539"/>
      <c r="T426" s="1568"/>
      <c r="U426" s="1567"/>
      <c r="V426" s="1567"/>
      <c r="W426" s="1567"/>
      <c r="X426" s="1567"/>
      <c r="Y426" s="1567"/>
      <c r="Z426" s="1567"/>
      <c r="AA426" s="1567"/>
      <c r="AB426" s="1567"/>
      <c r="AC426" s="1567"/>
      <c r="AD426" s="1567"/>
      <c r="AE426" s="531"/>
      <c r="AF426" s="1535"/>
      <c r="AG426" s="531"/>
      <c r="AH426" s="531"/>
      <c r="AI426" s="531"/>
      <c r="AJ426" s="853"/>
      <c r="AK426" s="533"/>
      <c r="AL426" s="533"/>
      <c r="AM426" s="533"/>
      <c r="AN426" s="625"/>
      <c r="AO426" s="625"/>
      <c r="AP426" s="625"/>
      <c r="AQ426" s="625"/>
    </row>
    <row r="427" spans="1:43" s="536" customFormat="1" ht="13.5" thickBot="1">
      <c r="A427" s="537"/>
      <c r="B427" s="660"/>
      <c r="C427" s="531"/>
      <c r="D427" s="531"/>
      <c r="E427" s="531"/>
      <c r="F427" s="531"/>
      <c r="G427" s="531"/>
      <c r="H427" s="531"/>
      <c r="I427" s="530"/>
      <c r="J427" s="530"/>
      <c r="K427" s="530"/>
      <c r="L427" s="531"/>
      <c r="M427" s="539"/>
      <c r="N427" s="530"/>
      <c r="O427" s="531"/>
      <c r="P427" s="539"/>
      <c r="Q427" s="530"/>
      <c r="R427" s="531"/>
      <c r="S427" s="539"/>
      <c r="T427" s="1537" t="s">
        <v>1044</v>
      </c>
      <c r="U427" s="1353" t="s">
        <v>1044</v>
      </c>
      <c r="V427" s="1353" t="s">
        <v>1044</v>
      </c>
      <c r="W427" s="1353" t="s">
        <v>1044</v>
      </c>
      <c r="X427" s="1353" t="s">
        <v>1044</v>
      </c>
      <c r="Y427" s="1353" t="s">
        <v>1044</v>
      </c>
      <c r="Z427" s="1353" t="s">
        <v>1044</v>
      </c>
      <c r="AA427" s="1353" t="s">
        <v>1044</v>
      </c>
      <c r="AB427" s="1353" t="s">
        <v>1044</v>
      </c>
      <c r="AC427" s="1353" t="s">
        <v>1044</v>
      </c>
      <c r="AD427" s="1354" t="s">
        <v>1044</v>
      </c>
      <c r="AE427" s="1354" t="s">
        <v>1044</v>
      </c>
      <c r="AF427" s="1354" t="s">
        <v>1044</v>
      </c>
      <c r="AG427" s="1354" t="s">
        <v>1044</v>
      </c>
      <c r="AH427" s="1354" t="s">
        <v>1044</v>
      </c>
      <c r="AI427" s="1354" t="s">
        <v>1044</v>
      </c>
      <c r="AJ427" s="853"/>
      <c r="AK427" s="533"/>
      <c r="AL427" s="533"/>
      <c r="AM427" s="533"/>
      <c r="AN427" s="625"/>
      <c r="AO427" s="625"/>
      <c r="AP427" s="625"/>
      <c r="AQ427" s="625"/>
    </row>
    <row r="428" spans="1:43" s="536" customFormat="1">
      <c r="A428" s="537"/>
      <c r="B428" s="1349" t="s">
        <v>1343</v>
      </c>
      <c r="C428" s="1538">
        <f>C15</f>
        <v>2016</v>
      </c>
      <c r="D428" s="1369"/>
      <c r="E428" s="1539">
        <f>E15</f>
        <v>2017</v>
      </c>
      <c r="F428" s="1369"/>
      <c r="G428" s="1369"/>
      <c r="H428" s="1539">
        <f>H15</f>
        <v>2018</v>
      </c>
      <c r="I428" s="1540"/>
      <c r="J428" s="1540"/>
      <c r="K428" s="1539">
        <f>K15</f>
        <v>2019</v>
      </c>
      <c r="L428" s="1369"/>
      <c r="M428" s="1486"/>
      <c r="N428" s="1539">
        <f>N15</f>
        <v>2019</v>
      </c>
      <c r="O428" s="1369"/>
      <c r="P428" s="1486"/>
      <c r="Q428" s="1539" t="str">
        <f>Q15</f>
        <v>2020</v>
      </c>
      <c r="R428" s="1369"/>
      <c r="S428" s="1486"/>
      <c r="T428" s="1541">
        <f t="shared" ref="T428:AI428" si="348">T15</f>
        <v>2020</v>
      </c>
      <c r="U428" s="1569">
        <f t="shared" si="348"/>
        <v>2021</v>
      </c>
      <c r="V428" s="1569">
        <f t="shared" si="348"/>
        <v>2022</v>
      </c>
      <c r="W428" s="1569">
        <f t="shared" si="348"/>
        <v>2023</v>
      </c>
      <c r="X428" s="1569">
        <f t="shared" si="348"/>
        <v>2024</v>
      </c>
      <c r="Y428" s="1569">
        <f t="shared" si="348"/>
        <v>2025</v>
      </c>
      <c r="Z428" s="1569">
        <f t="shared" si="348"/>
        <v>2026</v>
      </c>
      <c r="AA428" s="1569">
        <f t="shared" si="348"/>
        <v>2027</v>
      </c>
      <c r="AB428" s="1569">
        <f t="shared" si="348"/>
        <v>2028</v>
      </c>
      <c r="AC428" s="1569">
        <f t="shared" si="348"/>
        <v>2029</v>
      </c>
      <c r="AD428" s="1570">
        <f t="shared" si="348"/>
        <v>2030</v>
      </c>
      <c r="AE428" s="1570">
        <f t="shared" si="348"/>
        <v>2031</v>
      </c>
      <c r="AF428" s="1570">
        <f t="shared" si="348"/>
        <v>2032</v>
      </c>
      <c r="AG428" s="1570">
        <f t="shared" si="348"/>
        <v>2033</v>
      </c>
      <c r="AH428" s="1570">
        <f t="shared" si="348"/>
        <v>2034</v>
      </c>
      <c r="AI428" s="1570">
        <f t="shared" si="348"/>
        <v>2035</v>
      </c>
      <c r="AJ428" s="853"/>
      <c r="AK428" s="533"/>
      <c r="AL428" s="533"/>
      <c r="AM428" s="533"/>
      <c r="AN428" s="625"/>
      <c r="AO428" s="625"/>
      <c r="AP428" s="625"/>
      <c r="AQ428" s="625"/>
    </row>
    <row r="429" spans="1:43" s="536" customFormat="1">
      <c r="A429" s="537"/>
      <c r="B429" s="1545" t="s">
        <v>870</v>
      </c>
      <c r="C429" s="1571">
        <v>6.8000000000000005E-2</v>
      </c>
      <c r="D429" s="531"/>
      <c r="E429" s="1572">
        <v>3.6999999999999998E-2</v>
      </c>
      <c r="F429" s="531"/>
      <c r="G429" s="531"/>
      <c r="H429" s="1572">
        <v>2.4400000000000002E-2</v>
      </c>
      <c r="I429" s="530"/>
      <c r="J429" s="530"/>
      <c r="K429" s="1572" t="s">
        <v>1260</v>
      </c>
      <c r="L429" s="531"/>
      <c r="M429" s="539"/>
      <c r="N429" s="1572">
        <v>3.6600000000000001E-2</v>
      </c>
      <c r="O429" s="531"/>
      <c r="P429" s="539"/>
      <c r="Q429" s="1572" t="s">
        <v>1260</v>
      </c>
      <c r="R429" s="531"/>
      <c r="S429" s="539"/>
      <c r="T429" s="1573">
        <v>6.7699999999999996E-2</v>
      </c>
      <c r="U429" s="1574">
        <v>3.6400000000000002E-2</v>
      </c>
      <c r="V429" s="1574">
        <f t="shared" ref="V429:AI429" si="349">IF($V$242=$H$913,V476,IF($V$242=$H$914,V523,IF($V$242=$H$915,V570,"SELECCIONAR ESCENARIO")))</f>
        <v>0.03</v>
      </c>
      <c r="W429" s="1574">
        <f t="shared" si="349"/>
        <v>0.03</v>
      </c>
      <c r="X429" s="1574">
        <f t="shared" si="349"/>
        <v>0.03</v>
      </c>
      <c r="Y429" s="1574">
        <f t="shared" si="349"/>
        <v>0.03</v>
      </c>
      <c r="Z429" s="1574">
        <f t="shared" si="349"/>
        <v>0.03</v>
      </c>
      <c r="AA429" s="1574">
        <f t="shared" si="349"/>
        <v>0.03</v>
      </c>
      <c r="AB429" s="1574">
        <f t="shared" si="349"/>
        <v>0.03</v>
      </c>
      <c r="AC429" s="1574">
        <f t="shared" si="349"/>
        <v>0.03</v>
      </c>
      <c r="AD429" s="1575">
        <f t="shared" si="349"/>
        <v>0.03</v>
      </c>
      <c r="AE429" s="1575">
        <f t="shared" si="349"/>
        <v>0.03</v>
      </c>
      <c r="AF429" s="1575">
        <f t="shared" si="349"/>
        <v>0.03</v>
      </c>
      <c r="AG429" s="1575">
        <f t="shared" si="349"/>
        <v>0.03</v>
      </c>
      <c r="AH429" s="1575">
        <f t="shared" si="349"/>
        <v>0.03</v>
      </c>
      <c r="AI429" s="1575">
        <f t="shared" si="349"/>
        <v>0.03</v>
      </c>
      <c r="AJ429" s="853"/>
      <c r="AK429" s="533"/>
      <c r="AL429" s="533"/>
      <c r="AM429" s="533"/>
      <c r="AN429" s="625"/>
      <c r="AO429" s="625"/>
      <c r="AP429" s="625"/>
      <c r="AQ429" s="625"/>
    </row>
    <row r="430" spans="1:43" s="536" customFormat="1">
      <c r="A430" s="537"/>
      <c r="B430" s="1551" t="s">
        <v>872</v>
      </c>
      <c r="C430" s="1576">
        <v>4.4900000000000002E-2</v>
      </c>
      <c r="D430" s="531"/>
      <c r="E430" s="1577">
        <v>-0.13397724183117241</v>
      </c>
      <c r="F430" s="531"/>
      <c r="G430" s="531"/>
      <c r="H430" s="1577">
        <v>-9.0066906845084921E-2</v>
      </c>
      <c r="I430" s="530"/>
      <c r="J430" s="530"/>
      <c r="K430" s="1577" t="s">
        <v>1260</v>
      </c>
      <c r="L430" s="531"/>
      <c r="M430" s="539"/>
      <c r="N430" s="1577">
        <v>0.32480404320537187</v>
      </c>
      <c r="O430" s="531"/>
      <c r="P430" s="539"/>
      <c r="Q430" s="1577" t="s">
        <v>1260</v>
      </c>
      <c r="R430" s="531"/>
      <c r="S430" s="539"/>
      <c r="T430" s="1578">
        <v>0.38507704050111063</v>
      </c>
      <c r="U430" s="1579">
        <v>-0.13692170398303674</v>
      </c>
      <c r="V430" s="1579">
        <f t="shared" ref="V430:AI430" si="350">IF($V$242=$H$913,V477,IF($V$242=$H$914,V524,IF($V$242=$H$915,V571,"SELECCIONAR ESCENARIO")))</f>
        <v>2.5000000000000001E-2</v>
      </c>
      <c r="W430" s="1579">
        <f t="shared" si="350"/>
        <v>0.04</v>
      </c>
      <c r="X430" s="1579">
        <f t="shared" si="350"/>
        <v>0.04</v>
      </c>
      <c r="Y430" s="1579">
        <f t="shared" si="350"/>
        <v>0.04</v>
      </c>
      <c r="Z430" s="1579">
        <f t="shared" si="350"/>
        <v>0.04</v>
      </c>
      <c r="AA430" s="1579">
        <f t="shared" si="350"/>
        <v>0.04</v>
      </c>
      <c r="AB430" s="1579">
        <f t="shared" si="350"/>
        <v>0.04</v>
      </c>
      <c r="AC430" s="1579">
        <f t="shared" si="350"/>
        <v>0.04</v>
      </c>
      <c r="AD430" s="1580">
        <f t="shared" si="350"/>
        <v>0.04</v>
      </c>
      <c r="AE430" s="1580">
        <f t="shared" si="350"/>
        <v>0.04</v>
      </c>
      <c r="AF430" s="1580">
        <f t="shared" si="350"/>
        <v>0.04</v>
      </c>
      <c r="AG430" s="1580">
        <f t="shared" si="350"/>
        <v>0.04</v>
      </c>
      <c r="AH430" s="1580">
        <f t="shared" si="350"/>
        <v>0.04</v>
      </c>
      <c r="AI430" s="1580">
        <f t="shared" si="350"/>
        <v>0.04</v>
      </c>
      <c r="AJ430" s="853"/>
      <c r="AK430" s="533"/>
      <c r="AL430" s="533"/>
      <c r="AM430" s="533"/>
      <c r="AN430" s="625"/>
      <c r="AO430" s="625"/>
      <c r="AP430" s="625"/>
      <c r="AQ430" s="625"/>
    </row>
    <row r="431" spans="1:43" s="536" customFormat="1">
      <c r="A431" s="537"/>
      <c r="B431" s="1551" t="s">
        <v>874</v>
      </c>
      <c r="C431" s="1576">
        <v>6.5799999999999997E-2</v>
      </c>
      <c r="D431" s="531"/>
      <c r="E431" s="1577">
        <v>4.0399999999999998E-2</v>
      </c>
      <c r="F431" s="531"/>
      <c r="G431" s="531"/>
      <c r="H431" s="1577">
        <v>4.9299999999999997E-2</v>
      </c>
      <c r="I431" s="530"/>
      <c r="J431" s="530"/>
      <c r="K431" s="1577" t="s">
        <v>1260</v>
      </c>
      <c r="L431" s="531"/>
      <c r="M431" s="539"/>
      <c r="N431" s="1577">
        <v>4.5499999999999999E-2</v>
      </c>
      <c r="O431" s="531"/>
      <c r="P431" s="539"/>
      <c r="Q431" s="1577" t="s">
        <v>1260</v>
      </c>
      <c r="R431" s="531"/>
      <c r="S431" s="539"/>
      <c r="T431" s="1578">
        <v>2.7900000000000001E-2</v>
      </c>
      <c r="U431" s="1579">
        <v>2.8500000000000001E-2</v>
      </c>
      <c r="V431" s="1579">
        <f t="shared" ref="V431:AI431" si="351">IF($V$242=$H$913,V478,IF($V$242=$H$914,V525,IF($V$242=$H$915,V572,"SELECCIONAR ESCENARIO")))</f>
        <v>-0.24420714285714296</v>
      </c>
      <c r="W431" s="1579">
        <f t="shared" si="351"/>
        <v>3.5001086843522877E-2</v>
      </c>
      <c r="X431" s="1579">
        <f t="shared" si="351"/>
        <v>3.499999999999992E-2</v>
      </c>
      <c r="Y431" s="1579">
        <f t="shared" si="351"/>
        <v>3.5000000000000003E-2</v>
      </c>
      <c r="Z431" s="1579">
        <f t="shared" si="351"/>
        <v>3.5000000000000003E-2</v>
      </c>
      <c r="AA431" s="1579">
        <f t="shared" si="351"/>
        <v>3.5000000000000003E-2</v>
      </c>
      <c r="AB431" s="1579">
        <f t="shared" si="351"/>
        <v>3.5000000000000003E-2</v>
      </c>
      <c r="AC431" s="1579">
        <f t="shared" si="351"/>
        <v>3.5000000000000003E-2</v>
      </c>
      <c r="AD431" s="1580">
        <f t="shared" si="351"/>
        <v>3.5000000000000003E-2</v>
      </c>
      <c r="AE431" s="1580">
        <f t="shared" si="351"/>
        <v>3.5000000000000003E-2</v>
      </c>
      <c r="AF431" s="1580">
        <f t="shared" si="351"/>
        <v>3.5000000000000003E-2</v>
      </c>
      <c r="AG431" s="1580">
        <f t="shared" si="351"/>
        <v>3.5000000000000003E-2</v>
      </c>
      <c r="AH431" s="1580">
        <f t="shared" si="351"/>
        <v>3.5000000000000003E-2</v>
      </c>
      <c r="AI431" s="1580">
        <f t="shared" si="351"/>
        <v>3.5000000000000003E-2</v>
      </c>
      <c r="AJ431" s="853"/>
      <c r="AK431" s="533"/>
      <c r="AL431" s="533"/>
      <c r="AM431" s="533"/>
      <c r="AN431" s="625"/>
      <c r="AO431" s="625"/>
      <c r="AP431" s="625"/>
      <c r="AQ431" s="625"/>
    </row>
    <row r="432" spans="1:43" s="1595" customFormat="1" ht="13.5" thickBot="1">
      <c r="A432" s="1581"/>
      <c r="B432" s="1582" t="s">
        <v>1344</v>
      </c>
      <c r="C432" s="1583">
        <v>2243.59</v>
      </c>
      <c r="D432" s="1584"/>
      <c r="E432" s="1585">
        <v>1943</v>
      </c>
      <c r="F432" s="1584"/>
      <c r="G432" s="1584"/>
      <c r="H432" s="1585">
        <v>1768</v>
      </c>
      <c r="I432" s="1586"/>
      <c r="J432" s="1586"/>
      <c r="K432" s="1587" t="s">
        <v>1260</v>
      </c>
      <c r="L432" s="1584"/>
      <c r="M432" s="1588"/>
      <c r="N432" s="1587">
        <v>2342.2535483870975</v>
      </c>
      <c r="O432" s="1584"/>
      <c r="P432" s="1588"/>
      <c r="Q432" s="1587" t="s">
        <v>1260</v>
      </c>
      <c r="R432" s="1584"/>
      <c r="S432" s="1588"/>
      <c r="T432" s="1589">
        <v>3244.2016129032259</v>
      </c>
      <c r="U432" s="1590">
        <v>2800</v>
      </c>
      <c r="V432" s="1590">
        <f t="shared" ref="V432:AI432" si="352">IF($V$242=$H$913,V479,IF($V$242=$H$914,V526,IF($V$242=$H$915,V573,"SELECCIONAR ESCENARIO")))</f>
        <v>2116.2199999999998</v>
      </c>
      <c r="W432" s="1590">
        <f t="shared" si="352"/>
        <v>2190.29</v>
      </c>
      <c r="X432" s="1590">
        <f t="shared" si="352"/>
        <v>2266.9501499999997</v>
      </c>
      <c r="Y432" s="1590">
        <f t="shared" si="352"/>
        <v>2346.2934052499995</v>
      </c>
      <c r="Z432" s="1590">
        <f t="shared" si="352"/>
        <v>2428.4136744337493</v>
      </c>
      <c r="AA432" s="1590">
        <f t="shared" si="352"/>
        <v>2513.4081530389303</v>
      </c>
      <c r="AB432" s="1590">
        <f t="shared" si="352"/>
        <v>2601.3774383952928</v>
      </c>
      <c r="AC432" s="1590">
        <f t="shared" si="352"/>
        <v>2692.4256487391276</v>
      </c>
      <c r="AD432" s="1591">
        <f t="shared" si="352"/>
        <v>2786.6605464449967</v>
      </c>
      <c r="AE432" s="1591">
        <f t="shared" si="352"/>
        <v>2884.1936655705713</v>
      </c>
      <c r="AF432" s="1591">
        <f t="shared" si="352"/>
        <v>2985.1404438655409</v>
      </c>
      <c r="AG432" s="1591">
        <f t="shared" si="352"/>
        <v>3089.6203594008348</v>
      </c>
      <c r="AH432" s="1591">
        <f t="shared" si="352"/>
        <v>3197.7570719798637</v>
      </c>
      <c r="AI432" s="1591">
        <f t="shared" si="352"/>
        <v>3309.6785694991586</v>
      </c>
      <c r="AJ432" s="1592"/>
      <c r="AK432" s="1593"/>
      <c r="AL432" s="1593"/>
      <c r="AM432" s="1593"/>
      <c r="AN432" s="1594"/>
      <c r="AO432" s="1594"/>
      <c r="AP432" s="1594"/>
      <c r="AQ432" s="1594"/>
    </row>
    <row r="433" spans="1:43" s="536" customFormat="1">
      <c r="A433" s="537"/>
      <c r="B433" s="660"/>
      <c r="C433" s="1596"/>
      <c r="D433" s="531"/>
      <c r="E433" s="1596"/>
      <c r="F433" s="531"/>
      <c r="G433" s="531"/>
      <c r="H433" s="1596"/>
      <c r="I433" s="530"/>
      <c r="J433" s="530"/>
      <c r="K433" s="1596"/>
      <c r="L433" s="531"/>
      <c r="M433" s="539"/>
      <c r="N433" s="1596"/>
      <c r="O433" s="531"/>
      <c r="P433" s="539"/>
      <c r="Q433" s="1596"/>
      <c r="R433" s="531"/>
      <c r="S433" s="539"/>
      <c r="T433" s="1597" t="str">
        <f>T480</f>
        <v>FUENTES PARA INFORMACIÓN INICIAL DE PROYECCIÓN: BANCO DE LA REPÚBLICA, DIRECCIÓN EJECUTIVA DE ESTUDIOS ECONÓMICOS, CÁLCULOS DAVIVIENDA</v>
      </c>
      <c r="U433" s="1598"/>
      <c r="V433" s="1598"/>
      <c r="W433" s="1598"/>
      <c r="X433" s="1598"/>
      <c r="Y433" s="1598"/>
      <c r="Z433" s="1598"/>
      <c r="AA433" s="1598"/>
      <c r="AB433" s="1598"/>
      <c r="AC433" s="1598"/>
      <c r="AD433" s="1598"/>
      <c r="AE433" s="531"/>
      <c r="AF433" s="1369"/>
      <c r="AG433" s="531"/>
      <c r="AH433" s="531"/>
      <c r="AI433" s="531"/>
      <c r="AJ433" s="853"/>
      <c r="AK433" s="533"/>
      <c r="AL433" s="533"/>
      <c r="AM433" s="533"/>
      <c r="AN433" s="625"/>
      <c r="AO433" s="625"/>
      <c r="AP433" s="625"/>
      <c r="AQ433" s="625"/>
    </row>
    <row r="434" spans="1:43" s="1126" customFormat="1" ht="13.5" thickBot="1">
      <c r="A434" s="1119"/>
      <c r="B434" s="1599"/>
      <c r="C434" s="1600"/>
      <c r="D434" s="1121"/>
      <c r="E434" s="1601"/>
      <c r="F434" s="1121"/>
      <c r="G434" s="1121"/>
      <c r="H434" s="1346"/>
      <c r="I434" s="1121"/>
      <c r="J434" s="1121"/>
      <c r="K434" s="1346"/>
      <c r="L434" s="1121"/>
      <c r="M434" s="1121"/>
      <c r="N434" s="1346"/>
      <c r="O434" s="1121"/>
      <c r="P434" s="1121"/>
      <c r="Q434" s="1346"/>
      <c r="R434" s="1121"/>
      <c r="S434" s="1121"/>
      <c r="T434" s="1490"/>
      <c r="U434" s="1490"/>
      <c r="V434" s="1490"/>
      <c r="W434" s="1490"/>
      <c r="X434" s="1490"/>
      <c r="Y434" s="1490"/>
      <c r="Z434" s="1490"/>
      <c r="AA434" s="1490"/>
      <c r="AB434" s="1490"/>
      <c r="AC434" s="1490"/>
      <c r="AD434" s="1490"/>
      <c r="AE434" s="1121"/>
      <c r="AF434" s="1121"/>
      <c r="AG434" s="1121"/>
      <c r="AH434" s="1121"/>
      <c r="AI434" s="1121"/>
      <c r="AJ434" s="1125"/>
    </row>
    <row r="435" spans="1:43" s="1126" customFormat="1" ht="13.5" thickBot="1">
      <c r="A435" s="1119"/>
      <c r="B435" s="1602" t="str">
        <f>"INFORMACIÓN HISTÓRICA - ESCENARIO "&amp;H913</f>
        <v>INFORMACIÓN HISTÓRICA - ESCENARIO BASE</v>
      </c>
      <c r="C435" s="1600"/>
      <c r="D435" s="1121"/>
      <c r="E435" s="1346"/>
      <c r="F435" s="1121"/>
      <c r="G435" s="1121"/>
      <c r="H435" s="1346"/>
      <c r="I435" s="1121"/>
      <c r="J435" s="1121"/>
      <c r="K435" s="1346"/>
      <c r="L435" s="1121"/>
      <c r="M435" s="1121"/>
      <c r="N435" s="1346"/>
      <c r="O435" s="1121"/>
      <c r="P435" s="1121"/>
      <c r="Q435" s="1346"/>
      <c r="R435" s="1121"/>
      <c r="S435" s="1121"/>
      <c r="T435" s="1603" t="str">
        <f>"PROYECCIÓN ESCENARIO "&amp;H913</f>
        <v>PROYECCIÓN ESCENARIO BASE</v>
      </c>
      <c r="U435" s="1604"/>
      <c r="V435" s="1605"/>
      <c r="W435" s="1490"/>
      <c r="X435" s="1490"/>
      <c r="Y435" s="1490"/>
      <c r="Z435" s="1490"/>
      <c r="AA435" s="1490"/>
      <c r="AB435" s="1490"/>
      <c r="AC435" s="1490"/>
      <c r="AD435" s="1490"/>
      <c r="AE435" s="1121"/>
      <c r="AF435" s="1121"/>
      <c r="AG435" s="1121"/>
      <c r="AH435" s="1121"/>
      <c r="AI435" s="1121"/>
      <c r="AJ435" s="1125"/>
    </row>
    <row r="436" spans="1:43" s="1126" customFormat="1" ht="13.5" thickBot="1">
      <c r="A436" s="1119"/>
      <c r="B436" s="1606"/>
      <c r="C436" s="1607"/>
      <c r="D436" s="1607"/>
      <c r="E436" s="1346"/>
      <c r="F436" s="1121"/>
      <c r="G436" s="1121"/>
      <c r="H436" s="1346"/>
      <c r="I436" s="1121"/>
      <c r="J436" s="1121"/>
      <c r="K436" s="1346"/>
      <c r="L436" s="1121"/>
      <c r="M436" s="1121"/>
      <c r="N436" s="1346"/>
      <c r="O436" s="1121"/>
      <c r="P436" s="1121"/>
      <c r="Q436" s="1346"/>
      <c r="R436" s="1121"/>
      <c r="S436" s="1121"/>
      <c r="T436" s="1490"/>
      <c r="U436" s="1490"/>
      <c r="V436" s="1490"/>
      <c r="W436" s="1490"/>
      <c r="X436" s="1490"/>
      <c r="Y436" s="1490"/>
      <c r="Z436" s="1490"/>
      <c r="AA436" s="1490"/>
      <c r="AB436" s="1490"/>
      <c r="AC436" s="1490"/>
      <c r="AD436" s="1490"/>
      <c r="AE436" s="1608"/>
      <c r="AF436" s="1609"/>
      <c r="AG436" s="1121"/>
      <c r="AH436" s="1121"/>
      <c r="AI436" s="1121"/>
      <c r="AJ436" s="1125"/>
    </row>
    <row r="437" spans="1:43" s="1126" customFormat="1" ht="13.5" thickBot="1">
      <c r="A437" s="1119"/>
      <c r="B437" s="1610"/>
      <c r="C437" s="1346"/>
      <c r="D437" s="1121"/>
      <c r="E437" s="1346"/>
      <c r="F437" s="1121"/>
      <c r="G437" s="1121"/>
      <c r="H437" s="1346"/>
      <c r="I437" s="1121"/>
      <c r="J437" s="1121"/>
      <c r="K437" s="1346"/>
      <c r="L437" s="1121"/>
      <c r="M437" s="1121"/>
      <c r="N437" s="1346"/>
      <c r="O437" s="1121"/>
      <c r="P437" s="1121"/>
      <c r="Q437" s="1346"/>
      <c r="R437" s="1121"/>
      <c r="S437" s="1121"/>
      <c r="T437" s="1611" t="s">
        <v>1044</v>
      </c>
      <c r="U437" s="1612" t="s">
        <v>1044</v>
      </c>
      <c r="V437" s="1612" t="s">
        <v>1044</v>
      </c>
      <c r="W437" s="1612" t="s">
        <v>1044</v>
      </c>
      <c r="X437" s="1612" t="s">
        <v>1044</v>
      </c>
      <c r="Y437" s="1612" t="s">
        <v>1044</v>
      </c>
      <c r="Z437" s="1612" t="s">
        <v>1044</v>
      </c>
      <c r="AA437" s="1612" t="s">
        <v>1044</v>
      </c>
      <c r="AB437" s="1612" t="s">
        <v>1044</v>
      </c>
      <c r="AC437" s="1612" t="s">
        <v>1044</v>
      </c>
      <c r="AD437" s="1613" t="s">
        <v>1044</v>
      </c>
      <c r="AE437" s="1613" t="s">
        <v>1044</v>
      </c>
      <c r="AF437" s="1613" t="s">
        <v>1044</v>
      </c>
      <c r="AG437" s="1613" t="s">
        <v>1044</v>
      </c>
      <c r="AH437" s="1613" t="s">
        <v>1044</v>
      </c>
      <c r="AI437" s="1613" t="s">
        <v>1044</v>
      </c>
      <c r="AJ437" s="1125"/>
    </row>
    <row r="438" spans="1:43" s="1126" customFormat="1">
      <c r="A438" s="1119"/>
      <c r="B438" s="1614" t="s">
        <v>1345</v>
      </c>
      <c r="C438" s="1615">
        <f>C15</f>
        <v>2016</v>
      </c>
      <c r="D438" s="1616"/>
      <c r="E438" s="1617">
        <f>E15</f>
        <v>2017</v>
      </c>
      <c r="F438" s="1616"/>
      <c r="G438" s="1616"/>
      <c r="H438" s="1617">
        <f>H15</f>
        <v>2018</v>
      </c>
      <c r="I438" s="1618"/>
      <c r="J438" s="1618"/>
      <c r="K438" s="1617">
        <f>K15</f>
        <v>2019</v>
      </c>
      <c r="L438" s="1619"/>
      <c r="M438" s="1619"/>
      <c r="N438" s="1617">
        <f>N15</f>
        <v>2019</v>
      </c>
      <c r="O438" s="1619"/>
      <c r="P438" s="1619"/>
      <c r="Q438" s="1617" t="str">
        <f>Q15</f>
        <v>2020</v>
      </c>
      <c r="R438" s="1619"/>
      <c r="S438" s="1619"/>
      <c r="T438" s="1620">
        <f t="shared" ref="T438:AI438" si="353">T385</f>
        <v>2020</v>
      </c>
      <c r="U438" s="1620">
        <f t="shared" si="353"/>
        <v>2021</v>
      </c>
      <c r="V438" s="1620">
        <f t="shared" si="353"/>
        <v>2022</v>
      </c>
      <c r="W438" s="1620">
        <f t="shared" si="353"/>
        <v>2023</v>
      </c>
      <c r="X438" s="1620">
        <f t="shared" si="353"/>
        <v>2024</v>
      </c>
      <c r="Y438" s="1620">
        <f t="shared" si="353"/>
        <v>2025</v>
      </c>
      <c r="Z438" s="1620">
        <f t="shared" si="353"/>
        <v>2026</v>
      </c>
      <c r="AA438" s="1620">
        <f t="shared" si="353"/>
        <v>2027</v>
      </c>
      <c r="AB438" s="1620">
        <f t="shared" si="353"/>
        <v>2028</v>
      </c>
      <c r="AC438" s="1620">
        <f t="shared" si="353"/>
        <v>2029</v>
      </c>
      <c r="AD438" s="1621">
        <f t="shared" si="353"/>
        <v>2030</v>
      </c>
      <c r="AE438" s="1621">
        <f t="shared" si="353"/>
        <v>2031</v>
      </c>
      <c r="AF438" s="1621">
        <f t="shared" si="353"/>
        <v>2032</v>
      </c>
      <c r="AG438" s="1621">
        <f t="shared" si="353"/>
        <v>2033</v>
      </c>
      <c r="AH438" s="1621">
        <f t="shared" si="353"/>
        <v>2034</v>
      </c>
      <c r="AI438" s="1621">
        <f t="shared" si="353"/>
        <v>2035</v>
      </c>
      <c r="AJ438" s="1125"/>
    </row>
    <row r="439" spans="1:43" s="1126" customFormat="1">
      <c r="A439" s="1119"/>
      <c r="B439" s="1622" t="s">
        <v>1346</v>
      </c>
      <c r="C439" s="1623" t="s">
        <v>1260</v>
      </c>
      <c r="D439" s="531"/>
      <c r="E439" s="1624">
        <f>IF(E$71=0,0,IF(C71=0,0,(E71*360/E$17)/(C71*360/C$17)-1))</f>
        <v>0</v>
      </c>
      <c r="F439" s="531"/>
      <c r="G439" s="531"/>
      <c r="H439" s="1624">
        <f>IF(H$71=0,0,IF(E71=0,0,(H71*360/H$17)/(E71*360/E$17)-1))</f>
        <v>0</v>
      </c>
      <c r="I439" s="530"/>
      <c r="J439" s="530"/>
      <c r="K439" s="1624">
        <f>IF(K$71=0,0,IF(H71=0,0,(K71*360/K$17)/(H71*360/H$17)-1))</f>
        <v>0</v>
      </c>
      <c r="L439" s="1121"/>
      <c r="M439" s="1121"/>
      <c r="N439" s="1624">
        <f>IF(N$71=0,0,IF(H71=0,0,(N71*360/N$17)/(H71*360/H$17)-1))</f>
        <v>0</v>
      </c>
      <c r="O439" s="1121"/>
      <c r="P439" s="1121"/>
      <c r="Q439" s="1624">
        <f>IF(Q$71=0,0,IF(N71=0,0,(Q71*360/Q$17)/(N71*360/N$17)-1))</f>
        <v>0</v>
      </c>
      <c r="R439" s="1121"/>
      <c r="S439" s="1121"/>
      <c r="T439" s="1625">
        <f>IF($N$71=0,0,E439*($E$241+$C$241)+H439*$H$241+N439*$N$241+Q439*$Q$241)</f>
        <v>0</v>
      </c>
      <c r="U439" s="1625">
        <f t="shared" ref="U439:AI439" si="354">T439</f>
        <v>0</v>
      </c>
      <c r="V439" s="1625">
        <f t="shared" si="354"/>
        <v>0</v>
      </c>
      <c r="W439" s="1625">
        <f t="shared" si="354"/>
        <v>0</v>
      </c>
      <c r="X439" s="1625">
        <f t="shared" si="354"/>
        <v>0</v>
      </c>
      <c r="Y439" s="1625">
        <f t="shared" si="354"/>
        <v>0</v>
      </c>
      <c r="Z439" s="1625">
        <f t="shared" si="354"/>
        <v>0</v>
      </c>
      <c r="AA439" s="1625">
        <f t="shared" si="354"/>
        <v>0</v>
      </c>
      <c r="AB439" s="1625">
        <f t="shared" si="354"/>
        <v>0</v>
      </c>
      <c r="AC439" s="1625">
        <f t="shared" si="354"/>
        <v>0</v>
      </c>
      <c r="AD439" s="1626">
        <f t="shared" si="354"/>
        <v>0</v>
      </c>
      <c r="AE439" s="1626">
        <f t="shared" si="354"/>
        <v>0</v>
      </c>
      <c r="AF439" s="1626">
        <f t="shared" si="354"/>
        <v>0</v>
      </c>
      <c r="AG439" s="1626">
        <f t="shared" si="354"/>
        <v>0</v>
      </c>
      <c r="AH439" s="1626">
        <f t="shared" si="354"/>
        <v>0</v>
      </c>
      <c r="AI439" s="1626">
        <f t="shared" si="354"/>
        <v>0</v>
      </c>
      <c r="AJ439" s="1125"/>
    </row>
    <row r="440" spans="1:43" s="1126" customFormat="1">
      <c r="A440" s="1119"/>
      <c r="B440" s="1627" t="s">
        <v>1347</v>
      </c>
      <c r="C440" s="1628">
        <f>IF(C$71=0,0,(C73/C71))</f>
        <v>0</v>
      </c>
      <c r="D440" s="531"/>
      <c r="E440" s="1629">
        <f>IF(E$71=0,0,(E73/E71))</f>
        <v>0</v>
      </c>
      <c r="F440" s="531"/>
      <c r="G440" s="531"/>
      <c r="H440" s="1629">
        <f>IF(H$71=0,0,(H73/H71))</f>
        <v>0</v>
      </c>
      <c r="I440" s="530"/>
      <c r="J440" s="530"/>
      <c r="K440" s="1629">
        <f>IF(K$71=0,0,(K73/K71))</f>
        <v>0</v>
      </c>
      <c r="L440" s="1121"/>
      <c r="M440" s="1121"/>
      <c r="N440" s="1629">
        <f>IF(N$71=0,0,(N73/N71))</f>
        <v>0</v>
      </c>
      <c r="O440" s="1121"/>
      <c r="P440" s="1121"/>
      <c r="Q440" s="1629">
        <f>IF(Q$71=0,0,(Q73/Q71))</f>
        <v>0</v>
      </c>
      <c r="R440" s="1121"/>
      <c r="S440" s="1121"/>
      <c r="T440" s="1630">
        <f>IF($N$71=0,0,C440*$C$241+E440*$E$241+H440*$H$241+N440*$N$241+Q440*$Q$241)</f>
        <v>0</v>
      </c>
      <c r="U440" s="1630">
        <f t="shared" ref="U440:AI440" si="355">T440</f>
        <v>0</v>
      </c>
      <c r="V440" s="1630">
        <f t="shared" si="355"/>
        <v>0</v>
      </c>
      <c r="W440" s="1630">
        <f t="shared" si="355"/>
        <v>0</v>
      </c>
      <c r="X440" s="1630">
        <f t="shared" si="355"/>
        <v>0</v>
      </c>
      <c r="Y440" s="1630">
        <f t="shared" si="355"/>
        <v>0</v>
      </c>
      <c r="Z440" s="1630">
        <f t="shared" si="355"/>
        <v>0</v>
      </c>
      <c r="AA440" s="1630">
        <f t="shared" si="355"/>
        <v>0</v>
      </c>
      <c r="AB440" s="1630">
        <f t="shared" si="355"/>
        <v>0</v>
      </c>
      <c r="AC440" s="1630">
        <f t="shared" si="355"/>
        <v>0</v>
      </c>
      <c r="AD440" s="1631">
        <f t="shared" si="355"/>
        <v>0</v>
      </c>
      <c r="AE440" s="1631">
        <f t="shared" si="355"/>
        <v>0</v>
      </c>
      <c r="AF440" s="1631">
        <f t="shared" si="355"/>
        <v>0</v>
      </c>
      <c r="AG440" s="1631">
        <f t="shared" si="355"/>
        <v>0</v>
      </c>
      <c r="AH440" s="1631">
        <f t="shared" si="355"/>
        <v>0</v>
      </c>
      <c r="AI440" s="1631">
        <f t="shared" si="355"/>
        <v>0</v>
      </c>
      <c r="AJ440" s="1125"/>
    </row>
    <row r="441" spans="1:43" s="1126" customFormat="1">
      <c r="A441" s="1119"/>
      <c r="B441" s="1627" t="s">
        <v>1348</v>
      </c>
      <c r="C441" s="1628">
        <f>IF(C$71=0,0,C74/C71)</f>
        <v>0</v>
      </c>
      <c r="D441" s="531"/>
      <c r="E441" s="1629">
        <f>IF(E$71=0,0,E74/E71)</f>
        <v>0</v>
      </c>
      <c r="F441" s="531"/>
      <c r="G441" s="531"/>
      <c r="H441" s="1629">
        <f>IF(H$71=0,0,H74/H71)</f>
        <v>0</v>
      </c>
      <c r="I441" s="530"/>
      <c r="J441" s="530"/>
      <c r="K441" s="1629">
        <f>IF(K$71=0,0,K74/K71)</f>
        <v>0</v>
      </c>
      <c r="L441" s="1121"/>
      <c r="M441" s="1121"/>
      <c r="N441" s="1629">
        <f>IF(N$71=0,0,N74/N71)</f>
        <v>0</v>
      </c>
      <c r="O441" s="1121"/>
      <c r="P441" s="1121"/>
      <c r="Q441" s="1629">
        <f>IF(Q$71=0,0,Q74/Q71)</f>
        <v>0</v>
      </c>
      <c r="R441" s="1121"/>
      <c r="S441" s="1121"/>
      <c r="T441" s="1630">
        <f>IF($N$71=0,0,C441*$C$241+E441*$E$241+H441*$H$241+N441*$N$241+Q441*$Q$241)</f>
        <v>0</v>
      </c>
      <c r="U441" s="1630">
        <f t="shared" ref="U441:AI441" si="356">T441</f>
        <v>0</v>
      </c>
      <c r="V441" s="1630">
        <f t="shared" si="356"/>
        <v>0</v>
      </c>
      <c r="W441" s="1630">
        <f t="shared" si="356"/>
        <v>0</v>
      </c>
      <c r="X441" s="1630">
        <f t="shared" si="356"/>
        <v>0</v>
      </c>
      <c r="Y441" s="1630">
        <f t="shared" si="356"/>
        <v>0</v>
      </c>
      <c r="Z441" s="1630">
        <f t="shared" si="356"/>
        <v>0</v>
      </c>
      <c r="AA441" s="1630">
        <f t="shared" si="356"/>
        <v>0</v>
      </c>
      <c r="AB441" s="1630">
        <f t="shared" si="356"/>
        <v>0</v>
      </c>
      <c r="AC441" s="1630">
        <f t="shared" si="356"/>
        <v>0</v>
      </c>
      <c r="AD441" s="1631">
        <f t="shared" si="356"/>
        <v>0</v>
      </c>
      <c r="AE441" s="1631">
        <f t="shared" si="356"/>
        <v>0</v>
      </c>
      <c r="AF441" s="1631">
        <f t="shared" si="356"/>
        <v>0</v>
      </c>
      <c r="AG441" s="1631">
        <f t="shared" si="356"/>
        <v>0</v>
      </c>
      <c r="AH441" s="1631">
        <f t="shared" si="356"/>
        <v>0</v>
      </c>
      <c r="AI441" s="1631">
        <f t="shared" si="356"/>
        <v>0</v>
      </c>
      <c r="AJ441" s="1125"/>
    </row>
    <row r="442" spans="1:43" s="1126" customFormat="1">
      <c r="A442" s="1119"/>
      <c r="B442" s="1627" t="s">
        <v>1349</v>
      </c>
      <c r="C442" s="1628">
        <f>IF(OR(C443=0,AND(C69=0,AN704=0)),0,C443/(AN704+C69))</f>
        <v>0</v>
      </c>
      <c r="D442" s="531"/>
      <c r="E442" s="1629">
        <f>IF(OR(E443=0,AND(E69=0,AP704=0)),0,E443/(AP704+E69))</f>
        <v>0</v>
      </c>
      <c r="F442" s="531"/>
      <c r="G442" s="531"/>
      <c r="H442" s="1629">
        <f>IF(OR(H443=0,AND(H69=0,AS704=0)),0,H443/(AS704+H69))</f>
        <v>0</v>
      </c>
      <c r="I442" s="530"/>
      <c r="J442" s="530"/>
      <c r="K442" s="1629">
        <f>IF(OR(K443=0,AND(K69=0,AV704=0)),0,K443/(AV704+K69))</f>
        <v>0</v>
      </c>
      <c r="L442" s="1121"/>
      <c r="M442" s="1121"/>
      <c r="N442" s="1629">
        <f>IF(OR(N443=0,AND(N69=0,AY704=0)),0,N443/(AY704+N69))</f>
        <v>0</v>
      </c>
      <c r="O442" s="1121"/>
      <c r="P442" s="1121"/>
      <c r="Q442" s="1629">
        <f>IF(OR(Q443=0,AND(Q69=0,BB704=0)),0,Q443/(BB704+Q69))</f>
        <v>0</v>
      </c>
      <c r="R442" s="1121"/>
      <c r="S442" s="1121"/>
      <c r="T442" s="1632">
        <f>IF($N$71=0,0,E442*($E$241+$C$241)+H442*$H$241+N442*$N$241+Q442*$Q$241)</f>
        <v>0</v>
      </c>
      <c r="U442" s="1632">
        <f t="shared" ref="U442:AI442" si="357">T442</f>
        <v>0</v>
      </c>
      <c r="V442" s="1632">
        <f t="shared" si="357"/>
        <v>0</v>
      </c>
      <c r="W442" s="1632">
        <f t="shared" si="357"/>
        <v>0</v>
      </c>
      <c r="X442" s="1632">
        <f t="shared" si="357"/>
        <v>0</v>
      </c>
      <c r="Y442" s="1632">
        <f t="shared" si="357"/>
        <v>0</v>
      </c>
      <c r="Z442" s="1632">
        <f t="shared" si="357"/>
        <v>0</v>
      </c>
      <c r="AA442" s="1632">
        <f t="shared" si="357"/>
        <v>0</v>
      </c>
      <c r="AB442" s="1632">
        <f t="shared" si="357"/>
        <v>0</v>
      </c>
      <c r="AC442" s="1632">
        <f t="shared" si="357"/>
        <v>0</v>
      </c>
      <c r="AD442" s="1633">
        <f t="shared" si="357"/>
        <v>0</v>
      </c>
      <c r="AE442" s="1633">
        <f t="shared" si="357"/>
        <v>0</v>
      </c>
      <c r="AF442" s="1633">
        <f t="shared" si="357"/>
        <v>0</v>
      </c>
      <c r="AG442" s="1633">
        <f t="shared" si="357"/>
        <v>0</v>
      </c>
      <c r="AH442" s="1633">
        <f t="shared" si="357"/>
        <v>0</v>
      </c>
      <c r="AI442" s="1633">
        <f t="shared" si="357"/>
        <v>0</v>
      </c>
      <c r="AJ442" s="1125"/>
    </row>
    <row r="443" spans="1:43" s="1126" customFormat="1">
      <c r="A443" s="1119"/>
      <c r="B443" s="1627" t="s">
        <v>1350</v>
      </c>
      <c r="C443" s="1634">
        <f>IF(AND(C45&lt;&gt;"DEUDAS CON SOCIOS C.P.",C54&lt;&gt;"DEUDAS CON SOCIOS L.P."),IF(AND(AN704=0,C69=0),0,C76*(C36/(AN704+C69))),IF(C45&lt;&gt;"DEUDAS CON SOCIOS C.P.",IF(AND(AN704=0,C69=0,C54=0),0,C76*(C36/(AN704+C69+C54))),IF(C54&lt;&gt;"DEUDAS CON SOCIOS L.P.",IF(AND(AN704=0,C69=0,C45=0),0,C76*(C36/(AN704+C69+C45))),IF(AND(AN704=0,C69=0,C45=0,C54=0),0,C76*(C36/(AN704+C69+C45+C54))))))</f>
        <v>0</v>
      </c>
      <c r="D443" s="531"/>
      <c r="E443" s="1635">
        <f>IF(AND(E45&lt;&gt;"DEUDAS CON SOCIOS C.P.",E54&lt;&gt;"DEUDAS CON SOCIOS L.P."),IF(AND(AP704=0,E69=0),0,E76*(E36/(AP704+E69))),IF(E45&lt;&gt;"DEUDAS CON SOCIOS C.P.",IF(AND(AP704=0,E69=0,E54=0),0,E76*(E36/(AP704+E69+E54))),IF(E54&lt;&gt;"DEUDAS CON SOCIOS L.P.",IF(AND(AP704=0,E69=0,E45=0),0,E76*(E36/(AP704+E69+E45))),IF(AND(AP704=0,E69=0,E45=0,E54=0),0,E76*(E36/(AP704+E69+E45+E54))))))</f>
        <v>0</v>
      </c>
      <c r="F443" s="531"/>
      <c r="G443" s="531"/>
      <c r="H443" s="1635">
        <f>IF(AND(H45&lt;&gt;"DEUDAS CON SOCIOS C.P.",H54&lt;&gt;"DEUDAS CON SOCIOS L.P."),IF(AND(AS704=0,H69=0),0,H76*(H36/(AS704+H69))),IF(H45&lt;&gt;"DEUDAS CON SOCIOS C.P.",IF(AND(AS704=0,H69=0,H54=0),0,H76*(H36/(AS704+H69+H54))),IF(H54&lt;&gt;"DEUDAS CON SOCIOS L.P.",IF(AND(AS704=0,H69=0,H45=0),0,H76*(H36/(AS704+H69+H45))),IF(AND(AS704=0,H69=0,H45=0,H54=0),0,H76*(H36/(AS704+H69+H45+H54))))))</f>
        <v>0</v>
      </c>
      <c r="I443" s="530"/>
      <c r="J443" s="530"/>
      <c r="K443" s="1635">
        <f>IF(AND(K45&lt;&gt;"DEUDAS CON SOCIOS C.P.",K54&lt;&gt;"DEUDAS CON SOCIOS L.P."),IF(AND(AV704=0,K69=0),0,K76*(K36/(AV704+K69))),IF(K45&lt;&gt;"DEUDAS CON SOCIOS C.P.",IF(AND(AV704=0,K69=0,K54=0),0,K76*(K36/(AV704+K69+K54))),IF(K54&lt;&gt;"DEUDAS CON SOCIOS L.P.",IF(AND(AV704=0,K69=0,K45=0),0,K76*(K36/(AV704+K69+K45))),IF(AND(AV704=0,K69=0,K45=0,K54=0),0,K76*(K36/(AV704+K69+K45+K54))))))</f>
        <v>0</v>
      </c>
      <c r="L443" s="1121"/>
      <c r="M443" s="1121"/>
      <c r="N443" s="1635">
        <f>IF(AND(N45&lt;&gt;"DEUDAS CON SOCIOS C.P.",N54&lt;&gt;"DEUDAS CON SOCIOS L.P."),IF(AND(AY704=0,N69=0),0,N76*(N36/(AY704+N69))),IF(N45&lt;&gt;"DEUDAS CON SOCIOS C.P.",IF(AND(AY704=0,N69=0,N54=0),0,N76*(N36/(AY704+N69+N54))),IF(N54&lt;&gt;"DEUDAS CON SOCIOS L.P.",IF(AND(AY704=0,N69=0,N45=0),0,N76*(N36/(AY704+N69+N45))),IF(AND(AY704=0,N69=0,N45=0,N54=0),0,N76*(N36/(AY704+N69+N45+N54))))))</f>
        <v>0</v>
      </c>
      <c r="O443" s="1121"/>
      <c r="P443" s="1121"/>
      <c r="Q443" s="1635">
        <f>IF(AND(Q45&lt;&gt;"DEUDAS CON SOCIOS C.P.",Q54&lt;&gt;"DEUDAS CON SOCIOS L.P."),IF(AND(BB704=0,Q69=0),0,Q76*(Q36/(BB704+Q69))),IF(Q45&lt;&gt;"DEUDAS CON SOCIOS C.P.",IF(AND(BB704=0,Q69=0,Q54=0),0,Q76*(Q36/(BB704+Q69+Q54))),IF(Q54&lt;&gt;"DEUDAS CON SOCIOS L.P.",IF(AND(BB704=0,Q69=0,Q45=0),0,Q76*(Q36/(BB704+Q69+Q45))),IF(AND(BB704=0,Q69=0,Q45=0,Q54=0),0,Q76*(Q36/(BB704+Q69+Q45+Q54))))))</f>
        <v>0</v>
      </c>
      <c r="R443" s="1121"/>
      <c r="S443" s="1121"/>
      <c r="T443" s="1636">
        <f>N36*T442</f>
        <v>0</v>
      </c>
      <c r="U443" s="1636">
        <f t="shared" ref="U443:AI443" si="358">T36*U442</f>
        <v>0</v>
      </c>
      <c r="V443" s="1636">
        <f t="shared" si="358"/>
        <v>0</v>
      </c>
      <c r="W443" s="1636">
        <f t="shared" si="358"/>
        <v>0</v>
      </c>
      <c r="X443" s="1636">
        <f t="shared" si="358"/>
        <v>0</v>
      </c>
      <c r="Y443" s="1636">
        <f t="shared" si="358"/>
        <v>0</v>
      </c>
      <c r="Z443" s="1636">
        <f t="shared" si="358"/>
        <v>0</v>
      </c>
      <c r="AA443" s="1636">
        <f t="shared" si="358"/>
        <v>0</v>
      </c>
      <c r="AB443" s="1636">
        <f t="shared" si="358"/>
        <v>0</v>
      </c>
      <c r="AC443" s="1636">
        <f t="shared" si="358"/>
        <v>0</v>
      </c>
      <c r="AD443" s="1637">
        <f t="shared" si="358"/>
        <v>0</v>
      </c>
      <c r="AE443" s="1637">
        <f t="shared" si="358"/>
        <v>0</v>
      </c>
      <c r="AF443" s="1637">
        <f t="shared" si="358"/>
        <v>0</v>
      </c>
      <c r="AG443" s="1637">
        <f t="shared" si="358"/>
        <v>0</v>
      </c>
      <c r="AH443" s="1637">
        <f t="shared" si="358"/>
        <v>0</v>
      </c>
      <c r="AI443" s="1637">
        <f t="shared" si="358"/>
        <v>0</v>
      </c>
      <c r="AJ443" s="1125"/>
    </row>
    <row r="444" spans="1:43" s="1126" customFormat="1">
      <c r="A444" s="1119"/>
      <c r="B444" s="1627" t="s">
        <v>1351</v>
      </c>
      <c r="C444" s="1628">
        <f>IF(C$71=0,0,C81/C71)</f>
        <v>0</v>
      </c>
      <c r="D444" s="531"/>
      <c r="E444" s="1629">
        <f>IF(E$71=0,0,E81/E71)</f>
        <v>0</v>
      </c>
      <c r="F444" s="531"/>
      <c r="G444" s="531"/>
      <c r="H444" s="1629">
        <f>IF(H$71=0,0,H81/H71)</f>
        <v>0</v>
      </c>
      <c r="I444" s="530"/>
      <c r="J444" s="530"/>
      <c r="K444" s="1629">
        <f>IF(K$71=0,0,K81/K71)</f>
        <v>0</v>
      </c>
      <c r="L444" s="1121"/>
      <c r="M444" s="1121"/>
      <c r="N444" s="1629">
        <f>IF(N$71=0,0,N81/N71)</f>
        <v>0</v>
      </c>
      <c r="O444" s="1121"/>
      <c r="P444" s="1121"/>
      <c r="Q444" s="1629">
        <f>IF(Q$71=0,0,Q81/Q71)</f>
        <v>0</v>
      </c>
      <c r="R444" s="1121"/>
      <c r="S444" s="1121"/>
      <c r="T444" s="1638">
        <f t="shared" ref="T444:T450" si="359">IF($N$71=0,0,C444*$C$241+E444*$E$241+H444*$H$241+N444*$N$241+Q444*$Q$241)</f>
        <v>0</v>
      </c>
      <c r="U444" s="1638">
        <f t="shared" ref="U444:AI444" si="360">T444</f>
        <v>0</v>
      </c>
      <c r="V444" s="1638">
        <f t="shared" si="360"/>
        <v>0</v>
      </c>
      <c r="W444" s="1638">
        <f t="shared" si="360"/>
        <v>0</v>
      </c>
      <c r="X444" s="1638">
        <f t="shared" si="360"/>
        <v>0</v>
      </c>
      <c r="Y444" s="1638">
        <f t="shared" si="360"/>
        <v>0</v>
      </c>
      <c r="Z444" s="1638">
        <f t="shared" si="360"/>
        <v>0</v>
      </c>
      <c r="AA444" s="1638">
        <f t="shared" si="360"/>
        <v>0</v>
      </c>
      <c r="AB444" s="1638">
        <f t="shared" si="360"/>
        <v>0</v>
      </c>
      <c r="AC444" s="1638">
        <f t="shared" si="360"/>
        <v>0</v>
      </c>
      <c r="AD444" s="1639">
        <f t="shared" si="360"/>
        <v>0</v>
      </c>
      <c r="AE444" s="1639">
        <f t="shared" si="360"/>
        <v>0</v>
      </c>
      <c r="AF444" s="1639">
        <f t="shared" si="360"/>
        <v>0</v>
      </c>
      <c r="AG444" s="1639">
        <f t="shared" si="360"/>
        <v>0</v>
      </c>
      <c r="AH444" s="1639">
        <f t="shared" si="360"/>
        <v>0</v>
      </c>
      <c r="AI444" s="1639">
        <f t="shared" si="360"/>
        <v>0</v>
      </c>
      <c r="AJ444" s="1125"/>
    </row>
    <row r="445" spans="1:43" s="1126" customFormat="1">
      <c r="A445" s="1119"/>
      <c r="B445" s="1627" t="s">
        <v>1352</v>
      </c>
      <c r="C445" s="1628">
        <f>IF(C$71=0,0,C82/C71)</f>
        <v>0</v>
      </c>
      <c r="D445" s="531"/>
      <c r="E445" s="1629">
        <f>IF(E$71=0,0,E82/E71)</f>
        <v>0</v>
      </c>
      <c r="F445" s="531"/>
      <c r="G445" s="531"/>
      <c r="H445" s="1629">
        <f>IF(H$71=0,0,H82/H71)</f>
        <v>0</v>
      </c>
      <c r="I445" s="530"/>
      <c r="J445" s="530"/>
      <c r="K445" s="1629">
        <f>IF(K$71=0,0,K82/K71)</f>
        <v>0</v>
      </c>
      <c r="L445" s="1121"/>
      <c r="M445" s="1121"/>
      <c r="N445" s="1629">
        <f>IF(N$71=0,0,N82/N71)</f>
        <v>0</v>
      </c>
      <c r="O445" s="1121"/>
      <c r="P445" s="1121"/>
      <c r="Q445" s="1629">
        <f>IF(Q$71=0,0,Q82/Q71)</f>
        <v>0</v>
      </c>
      <c r="R445" s="1121"/>
      <c r="S445" s="1121"/>
      <c r="T445" s="1630">
        <f t="shared" si="359"/>
        <v>0</v>
      </c>
      <c r="U445" s="1630">
        <f t="shared" ref="U445:AI445" si="361">T445</f>
        <v>0</v>
      </c>
      <c r="V445" s="1630">
        <f t="shared" si="361"/>
        <v>0</v>
      </c>
      <c r="W445" s="1630">
        <f t="shared" si="361"/>
        <v>0</v>
      </c>
      <c r="X445" s="1630">
        <f t="shared" si="361"/>
        <v>0</v>
      </c>
      <c r="Y445" s="1630">
        <f t="shared" si="361"/>
        <v>0</v>
      </c>
      <c r="Z445" s="1630">
        <f t="shared" si="361"/>
        <v>0</v>
      </c>
      <c r="AA445" s="1630">
        <f t="shared" si="361"/>
        <v>0</v>
      </c>
      <c r="AB445" s="1630">
        <f t="shared" si="361"/>
        <v>0</v>
      </c>
      <c r="AC445" s="1630">
        <f t="shared" si="361"/>
        <v>0</v>
      </c>
      <c r="AD445" s="1631">
        <f t="shared" si="361"/>
        <v>0</v>
      </c>
      <c r="AE445" s="1631">
        <f t="shared" si="361"/>
        <v>0</v>
      </c>
      <c r="AF445" s="1631">
        <f t="shared" si="361"/>
        <v>0</v>
      </c>
      <c r="AG445" s="1631">
        <f t="shared" si="361"/>
        <v>0</v>
      </c>
      <c r="AH445" s="1631">
        <f t="shared" si="361"/>
        <v>0</v>
      </c>
      <c r="AI445" s="1631">
        <f t="shared" si="361"/>
        <v>0</v>
      </c>
      <c r="AJ445" s="1125"/>
    </row>
    <row r="446" spans="1:43" s="1126" customFormat="1">
      <c r="A446" s="1119"/>
      <c r="B446" s="1627" t="s">
        <v>1353</v>
      </c>
      <c r="C446" s="1628">
        <f>IF(C$71=0,0,C83/C71)</f>
        <v>0</v>
      </c>
      <c r="D446" s="531"/>
      <c r="E446" s="1629">
        <f>IF(E$71=0,0,E83/E71)</f>
        <v>0</v>
      </c>
      <c r="F446" s="531"/>
      <c r="G446" s="531"/>
      <c r="H446" s="1629">
        <f>IF(H$71=0,0,H83/H71)</f>
        <v>0</v>
      </c>
      <c r="I446" s="530"/>
      <c r="J446" s="530"/>
      <c r="K446" s="1629">
        <f>IF(K$71=0,0,K83/K71)</f>
        <v>0</v>
      </c>
      <c r="L446" s="1121"/>
      <c r="M446" s="1121"/>
      <c r="N446" s="1629">
        <f>IF(N$71=0,0,N83/N71)</f>
        <v>0</v>
      </c>
      <c r="O446" s="1121"/>
      <c r="P446" s="1121"/>
      <c r="Q446" s="1629">
        <f>IF(Q$71=0,0,Q83/Q71)</f>
        <v>0</v>
      </c>
      <c r="R446" s="1121"/>
      <c r="S446" s="1121"/>
      <c r="T446" s="1630">
        <f t="shared" si="359"/>
        <v>0</v>
      </c>
      <c r="U446" s="1630">
        <f t="shared" ref="U446:AI446" si="362">T446</f>
        <v>0</v>
      </c>
      <c r="V446" s="1630">
        <f t="shared" si="362"/>
        <v>0</v>
      </c>
      <c r="W446" s="1630">
        <f t="shared" si="362"/>
        <v>0</v>
      </c>
      <c r="X446" s="1630">
        <f t="shared" si="362"/>
        <v>0</v>
      </c>
      <c r="Y446" s="1630">
        <f t="shared" si="362"/>
        <v>0</v>
      </c>
      <c r="Z446" s="1630">
        <f t="shared" si="362"/>
        <v>0</v>
      </c>
      <c r="AA446" s="1630">
        <f t="shared" si="362"/>
        <v>0</v>
      </c>
      <c r="AB446" s="1630">
        <f t="shared" si="362"/>
        <v>0</v>
      </c>
      <c r="AC446" s="1630">
        <f t="shared" si="362"/>
        <v>0</v>
      </c>
      <c r="AD446" s="1631">
        <f t="shared" si="362"/>
        <v>0</v>
      </c>
      <c r="AE446" s="1631">
        <f t="shared" si="362"/>
        <v>0</v>
      </c>
      <c r="AF446" s="1631">
        <f t="shared" si="362"/>
        <v>0</v>
      </c>
      <c r="AG446" s="1631">
        <f t="shared" si="362"/>
        <v>0</v>
      </c>
      <c r="AH446" s="1631">
        <f t="shared" si="362"/>
        <v>0</v>
      </c>
      <c r="AI446" s="1631">
        <f t="shared" si="362"/>
        <v>0</v>
      </c>
      <c r="AJ446" s="1125"/>
    </row>
    <row r="447" spans="1:43" s="1126" customFormat="1">
      <c r="A447" s="1119"/>
      <c r="B447" s="1627" t="s">
        <v>1354</v>
      </c>
      <c r="C447" s="1628">
        <f>IF(C$71=0,0,C84/C71)</f>
        <v>0</v>
      </c>
      <c r="D447" s="531"/>
      <c r="E447" s="1629">
        <f>IF(E$71=0,0,E84/E71)</f>
        <v>0</v>
      </c>
      <c r="F447" s="531"/>
      <c r="G447" s="531"/>
      <c r="H447" s="1629">
        <f>IF(H$71=0,0,H84/H71)</f>
        <v>0</v>
      </c>
      <c r="I447" s="530"/>
      <c r="J447" s="530"/>
      <c r="K447" s="1629">
        <f>IF(K$71=0,0,K84/K71)</f>
        <v>0</v>
      </c>
      <c r="L447" s="1121"/>
      <c r="M447" s="1121"/>
      <c r="N447" s="1629">
        <f>IF(N$71=0,0,N84/N71)</f>
        <v>0</v>
      </c>
      <c r="O447" s="1121"/>
      <c r="P447" s="1121"/>
      <c r="Q447" s="1629">
        <f>IF(Q$71=0,0,Q84/Q71)</f>
        <v>0</v>
      </c>
      <c r="R447" s="1121"/>
      <c r="S447" s="1121"/>
      <c r="T447" s="1630">
        <f t="shared" si="359"/>
        <v>0</v>
      </c>
      <c r="U447" s="1630">
        <f t="shared" ref="U447:AI447" si="363">T447</f>
        <v>0</v>
      </c>
      <c r="V447" s="1630">
        <f t="shared" si="363"/>
        <v>0</v>
      </c>
      <c r="W447" s="1630">
        <f t="shared" si="363"/>
        <v>0</v>
      </c>
      <c r="X447" s="1630">
        <f t="shared" si="363"/>
        <v>0</v>
      </c>
      <c r="Y447" s="1630">
        <f t="shared" si="363"/>
        <v>0</v>
      </c>
      <c r="Z447" s="1630">
        <f t="shared" si="363"/>
        <v>0</v>
      </c>
      <c r="AA447" s="1630">
        <f t="shared" si="363"/>
        <v>0</v>
      </c>
      <c r="AB447" s="1630">
        <f t="shared" si="363"/>
        <v>0</v>
      </c>
      <c r="AC447" s="1630">
        <f t="shared" si="363"/>
        <v>0</v>
      </c>
      <c r="AD447" s="1631">
        <f t="shared" si="363"/>
        <v>0</v>
      </c>
      <c r="AE447" s="1631">
        <f t="shared" si="363"/>
        <v>0</v>
      </c>
      <c r="AF447" s="1631">
        <f t="shared" si="363"/>
        <v>0</v>
      </c>
      <c r="AG447" s="1631">
        <f t="shared" si="363"/>
        <v>0</v>
      </c>
      <c r="AH447" s="1631">
        <f t="shared" si="363"/>
        <v>0</v>
      </c>
      <c r="AI447" s="1631">
        <f t="shared" si="363"/>
        <v>0</v>
      </c>
      <c r="AJ447" s="1125"/>
    </row>
    <row r="448" spans="1:43" s="1126" customFormat="1">
      <c r="A448" s="1119"/>
      <c r="B448" s="1627" t="s">
        <v>1355</v>
      </c>
      <c r="C448" s="1628">
        <f>IF(C$71=0,0,C85/C71)</f>
        <v>0</v>
      </c>
      <c r="D448" s="1121"/>
      <c r="E448" s="1629">
        <f>IF(E$71=0,0,E85/E71)</f>
        <v>0</v>
      </c>
      <c r="F448" s="1121"/>
      <c r="G448" s="1121"/>
      <c r="H448" s="1629">
        <f>IF(H$71=0,0,H85/H71)</f>
        <v>0</v>
      </c>
      <c r="I448" s="1121"/>
      <c r="J448" s="1121"/>
      <c r="K448" s="1629">
        <f>IF(K$71=0,0,K85/K71)</f>
        <v>0</v>
      </c>
      <c r="L448" s="1121"/>
      <c r="M448" s="1121"/>
      <c r="N448" s="1629">
        <f>IF(N$71=0,0,N85/N71)</f>
        <v>0</v>
      </c>
      <c r="O448" s="1121"/>
      <c r="P448" s="1121"/>
      <c r="Q448" s="1629">
        <f>IF(Q$71=0,0,Q85/Q71)</f>
        <v>0</v>
      </c>
      <c r="R448" s="1121"/>
      <c r="S448" s="1121"/>
      <c r="T448" s="1630">
        <f t="shared" si="359"/>
        <v>0</v>
      </c>
      <c r="U448" s="1630">
        <f t="shared" ref="U448:AI448" si="364">T448</f>
        <v>0</v>
      </c>
      <c r="V448" s="1630">
        <f t="shared" si="364"/>
        <v>0</v>
      </c>
      <c r="W448" s="1630">
        <f t="shared" si="364"/>
        <v>0</v>
      </c>
      <c r="X448" s="1630">
        <f t="shared" si="364"/>
        <v>0</v>
      </c>
      <c r="Y448" s="1630">
        <f t="shared" si="364"/>
        <v>0</v>
      </c>
      <c r="Z448" s="1630">
        <f t="shared" si="364"/>
        <v>0</v>
      </c>
      <c r="AA448" s="1630">
        <f t="shared" si="364"/>
        <v>0</v>
      </c>
      <c r="AB448" s="1630">
        <f t="shared" si="364"/>
        <v>0</v>
      </c>
      <c r="AC448" s="1630">
        <f t="shared" si="364"/>
        <v>0</v>
      </c>
      <c r="AD448" s="1631">
        <f t="shared" si="364"/>
        <v>0</v>
      </c>
      <c r="AE448" s="1631">
        <f t="shared" si="364"/>
        <v>0</v>
      </c>
      <c r="AF448" s="1631">
        <f t="shared" si="364"/>
        <v>0</v>
      </c>
      <c r="AG448" s="1631">
        <f t="shared" si="364"/>
        <v>0</v>
      </c>
      <c r="AH448" s="1631">
        <f t="shared" si="364"/>
        <v>0</v>
      </c>
      <c r="AI448" s="1631">
        <f t="shared" si="364"/>
        <v>0</v>
      </c>
      <c r="AJ448" s="1125"/>
    </row>
    <row r="449" spans="1:36" s="1126" customFormat="1">
      <c r="A449" s="1119"/>
      <c r="B449" s="1627" t="s">
        <v>1356</v>
      </c>
      <c r="C449" s="1628">
        <f>IF(C$71=0,0,C86/C71)</f>
        <v>0</v>
      </c>
      <c r="D449" s="1121"/>
      <c r="E449" s="1629">
        <f>IF(E$71=0,0,E86/E71)</f>
        <v>0</v>
      </c>
      <c r="F449" s="1121"/>
      <c r="G449" s="1121"/>
      <c r="H449" s="1629">
        <f>IF(H$71=0,0,H86/H71)</f>
        <v>0</v>
      </c>
      <c r="I449" s="1121"/>
      <c r="J449" s="1121"/>
      <c r="K449" s="1629">
        <f>IF(K$71=0,0,K86/K71)</f>
        <v>0</v>
      </c>
      <c r="L449" s="1121"/>
      <c r="M449" s="1121"/>
      <c r="N449" s="1629">
        <f>IF(N$71=0,0,N86/N71)</f>
        <v>0</v>
      </c>
      <c r="O449" s="1121"/>
      <c r="P449" s="1121"/>
      <c r="Q449" s="1629">
        <f>IF(Q$71=0,0,Q86/Q71)</f>
        <v>0</v>
      </c>
      <c r="R449" s="1121"/>
      <c r="S449" s="1121"/>
      <c r="T449" s="1630">
        <f t="shared" si="359"/>
        <v>0</v>
      </c>
      <c r="U449" s="1630">
        <f t="shared" ref="U449:AI449" si="365">T449</f>
        <v>0</v>
      </c>
      <c r="V449" s="1630">
        <f t="shared" si="365"/>
        <v>0</v>
      </c>
      <c r="W449" s="1630">
        <f t="shared" si="365"/>
        <v>0</v>
      </c>
      <c r="X449" s="1630">
        <f t="shared" si="365"/>
        <v>0</v>
      </c>
      <c r="Y449" s="1630">
        <f t="shared" si="365"/>
        <v>0</v>
      </c>
      <c r="Z449" s="1630">
        <f t="shared" si="365"/>
        <v>0</v>
      </c>
      <c r="AA449" s="1630">
        <f t="shared" si="365"/>
        <v>0</v>
      </c>
      <c r="AB449" s="1630">
        <f t="shared" si="365"/>
        <v>0</v>
      </c>
      <c r="AC449" s="1630">
        <f t="shared" si="365"/>
        <v>0</v>
      </c>
      <c r="AD449" s="1631">
        <f t="shared" si="365"/>
        <v>0</v>
      </c>
      <c r="AE449" s="1631">
        <f t="shared" si="365"/>
        <v>0</v>
      </c>
      <c r="AF449" s="1631">
        <f t="shared" si="365"/>
        <v>0</v>
      </c>
      <c r="AG449" s="1631">
        <f t="shared" si="365"/>
        <v>0</v>
      </c>
      <c r="AH449" s="1631">
        <f t="shared" si="365"/>
        <v>0</v>
      </c>
      <c r="AI449" s="1631">
        <f t="shared" si="365"/>
        <v>0</v>
      </c>
      <c r="AJ449" s="1125"/>
    </row>
    <row r="450" spans="1:36" s="1126" customFormat="1">
      <c r="A450" s="1119"/>
      <c r="B450" s="1640" t="s">
        <v>1357</v>
      </c>
      <c r="C450" s="1641">
        <f>IF(C$71=0,0,C88/C87)</f>
        <v>0</v>
      </c>
      <c r="D450" s="1121"/>
      <c r="E450" s="1642">
        <f>IF(E$71=0,0,E88/E87)</f>
        <v>0</v>
      </c>
      <c r="F450" s="1121"/>
      <c r="G450" s="1121"/>
      <c r="H450" s="1642">
        <f>IF(H$71=0,0,H88/H87)</f>
        <v>0</v>
      </c>
      <c r="I450" s="1121"/>
      <c r="J450" s="1121"/>
      <c r="K450" s="1642">
        <f>IF(K$71=0,0,K88/K87)</f>
        <v>0</v>
      </c>
      <c r="L450" s="1121"/>
      <c r="M450" s="1121"/>
      <c r="N450" s="1642">
        <f>IF(N$71=0,0,N88/N87)</f>
        <v>0</v>
      </c>
      <c r="O450" s="1121"/>
      <c r="P450" s="1121"/>
      <c r="Q450" s="1642">
        <f>IF(Q$71=0,0,Q88/Q87)</f>
        <v>0</v>
      </c>
      <c r="R450" s="1121"/>
      <c r="S450" s="1121"/>
      <c r="T450" s="1643">
        <f t="shared" si="359"/>
        <v>0</v>
      </c>
      <c r="U450" s="1643">
        <f t="shared" ref="U450:AI450" si="366">T450</f>
        <v>0</v>
      </c>
      <c r="V450" s="1643">
        <f t="shared" si="366"/>
        <v>0</v>
      </c>
      <c r="W450" s="1643">
        <f t="shared" si="366"/>
        <v>0</v>
      </c>
      <c r="X450" s="1643">
        <f t="shared" si="366"/>
        <v>0</v>
      </c>
      <c r="Y450" s="1643">
        <f t="shared" si="366"/>
        <v>0</v>
      </c>
      <c r="Z450" s="1643">
        <f t="shared" si="366"/>
        <v>0</v>
      </c>
      <c r="AA450" s="1643">
        <f t="shared" si="366"/>
        <v>0</v>
      </c>
      <c r="AB450" s="1643">
        <f t="shared" si="366"/>
        <v>0</v>
      </c>
      <c r="AC450" s="1643">
        <f t="shared" si="366"/>
        <v>0</v>
      </c>
      <c r="AD450" s="1644">
        <f t="shared" si="366"/>
        <v>0</v>
      </c>
      <c r="AE450" s="1644">
        <f t="shared" si="366"/>
        <v>0</v>
      </c>
      <c r="AF450" s="1644">
        <f t="shared" si="366"/>
        <v>0</v>
      </c>
      <c r="AG450" s="1644">
        <f t="shared" si="366"/>
        <v>0</v>
      </c>
      <c r="AH450" s="1644">
        <f t="shared" si="366"/>
        <v>0</v>
      </c>
      <c r="AI450" s="1644">
        <f t="shared" si="366"/>
        <v>0</v>
      </c>
      <c r="AJ450" s="1125"/>
    </row>
    <row r="451" spans="1:36" s="1126" customFormat="1">
      <c r="A451" s="1119"/>
      <c r="B451" s="1645"/>
      <c r="C451" s="1491"/>
      <c r="D451" s="1501"/>
      <c r="E451" s="1491"/>
      <c r="F451" s="1501"/>
      <c r="G451" s="1501"/>
      <c r="H451" s="1491"/>
      <c r="I451" s="1501"/>
      <c r="J451" s="1501"/>
      <c r="K451" s="1491"/>
      <c r="L451" s="1121"/>
      <c r="M451" s="1121"/>
      <c r="N451" s="1491"/>
      <c r="O451" s="1121"/>
      <c r="P451" s="1121"/>
      <c r="Q451" s="1491"/>
      <c r="R451" s="1121"/>
      <c r="S451" s="1121"/>
      <c r="T451" s="1490"/>
      <c r="U451" s="1490"/>
      <c r="V451" s="1490"/>
      <c r="W451" s="1490"/>
      <c r="X451" s="1490"/>
      <c r="Y451" s="1490"/>
      <c r="Z451" s="1490"/>
      <c r="AA451" s="1490"/>
      <c r="AB451" s="1490"/>
      <c r="AC451" s="1490"/>
      <c r="AD451" s="1490"/>
      <c r="AE451" s="1646"/>
      <c r="AF451" s="1647"/>
      <c r="AG451" s="1121"/>
      <c r="AH451" s="1121"/>
      <c r="AI451" s="1121"/>
      <c r="AJ451" s="1125"/>
    </row>
    <row r="452" spans="1:36" s="1126" customFormat="1">
      <c r="A452" s="1119"/>
      <c r="B452" s="1648" t="s">
        <v>1358</v>
      </c>
      <c r="C452" s="531"/>
      <c r="D452" s="531"/>
      <c r="E452" s="531"/>
      <c r="F452" s="531"/>
      <c r="G452" s="531"/>
      <c r="H452" s="531"/>
      <c r="I452" s="530"/>
      <c r="J452" s="530"/>
      <c r="K452" s="531"/>
      <c r="L452" s="1121"/>
      <c r="M452" s="1121"/>
      <c r="N452" s="531"/>
      <c r="O452" s="1121"/>
      <c r="P452" s="1121"/>
      <c r="Q452" s="531"/>
      <c r="R452" s="1121"/>
      <c r="S452" s="1121"/>
      <c r="T452" s="535"/>
      <c r="U452" s="535"/>
      <c r="V452" s="534"/>
      <c r="W452" s="534"/>
      <c r="X452" s="534"/>
      <c r="Y452" s="534"/>
      <c r="Z452" s="534"/>
      <c r="AA452" s="534"/>
      <c r="AB452" s="534"/>
      <c r="AC452" s="534"/>
      <c r="AD452" s="534"/>
      <c r="AE452" s="1649"/>
      <c r="AF452" s="1650"/>
      <c r="AG452" s="1121"/>
      <c r="AH452" s="1121"/>
      <c r="AI452" s="1121"/>
      <c r="AJ452" s="1125"/>
    </row>
    <row r="453" spans="1:36" s="1126" customFormat="1">
      <c r="A453" s="1119"/>
      <c r="B453" s="1622" t="s">
        <v>1359</v>
      </c>
      <c r="C453" s="1651"/>
      <c r="D453" s="1516"/>
      <c r="E453" s="1652">
        <f>IF(E$71=0,0,E18*360/(E71*360/E17))</f>
        <v>0</v>
      </c>
      <c r="F453" s="1516"/>
      <c r="G453" s="1516"/>
      <c r="H453" s="1652">
        <f>IF(H$71=0,0,H18*360/(H71*360/H17))</f>
        <v>0</v>
      </c>
      <c r="I453" s="1516"/>
      <c r="J453" s="1516"/>
      <c r="K453" s="1652">
        <f>IF(K$71=0,0,K18*360/(K71*360/K17))</f>
        <v>0</v>
      </c>
      <c r="L453" s="1121"/>
      <c r="M453" s="1121"/>
      <c r="N453" s="1652">
        <f>IF(N$71=0,0,N18*360/(N71*360/N17))</f>
        <v>0</v>
      </c>
      <c r="O453" s="1121"/>
      <c r="P453" s="1121"/>
      <c r="Q453" s="1652">
        <f>IF(Q$71=0,0,Q18*360/(Q71*360/Q17))</f>
        <v>0</v>
      </c>
      <c r="R453" s="1121"/>
      <c r="S453" s="1121"/>
      <c r="T453" s="1653">
        <f t="shared" ref="T453:T459" si="367">IF($N$71=0,0,C453*$C$241+E453*$E$241+H453*$H$241+N453*$N$241+Q453*$Q$241)</f>
        <v>0</v>
      </c>
      <c r="U453" s="1653">
        <f t="shared" ref="U453:AI453" si="368">T453</f>
        <v>0</v>
      </c>
      <c r="V453" s="1653">
        <f t="shared" si="368"/>
        <v>0</v>
      </c>
      <c r="W453" s="1653">
        <f t="shared" si="368"/>
        <v>0</v>
      </c>
      <c r="X453" s="1653">
        <f t="shared" si="368"/>
        <v>0</v>
      </c>
      <c r="Y453" s="1653">
        <f t="shared" si="368"/>
        <v>0</v>
      </c>
      <c r="Z453" s="1653">
        <f t="shared" si="368"/>
        <v>0</v>
      </c>
      <c r="AA453" s="1653">
        <f t="shared" si="368"/>
        <v>0</v>
      </c>
      <c r="AB453" s="1653">
        <f t="shared" si="368"/>
        <v>0</v>
      </c>
      <c r="AC453" s="1653">
        <f t="shared" si="368"/>
        <v>0</v>
      </c>
      <c r="AD453" s="1653">
        <f t="shared" si="368"/>
        <v>0</v>
      </c>
      <c r="AE453" s="1653">
        <f t="shared" si="368"/>
        <v>0</v>
      </c>
      <c r="AF453" s="1653">
        <f t="shared" si="368"/>
        <v>0</v>
      </c>
      <c r="AG453" s="1653">
        <f t="shared" si="368"/>
        <v>0</v>
      </c>
      <c r="AH453" s="1653">
        <f t="shared" si="368"/>
        <v>0</v>
      </c>
      <c r="AI453" s="1654">
        <f t="shared" si="368"/>
        <v>0</v>
      </c>
      <c r="AJ453" s="1125"/>
    </row>
    <row r="454" spans="1:36" s="1126" customFormat="1">
      <c r="A454" s="1119"/>
      <c r="B454" s="1627" t="s">
        <v>1360</v>
      </c>
      <c r="C454" s="1655">
        <f>IF(C$71=0,0,C19*C17/C71)</f>
        <v>0</v>
      </c>
      <c r="D454" s="1516"/>
      <c r="E454" s="1656">
        <f>IF(E$71=0,0,E19*E17/E71)</f>
        <v>0</v>
      </c>
      <c r="F454" s="1516"/>
      <c r="G454" s="1516"/>
      <c r="H454" s="1656">
        <f>IF(H$71=0,0,H19*H17/H71)</f>
        <v>0</v>
      </c>
      <c r="I454" s="1516"/>
      <c r="J454" s="1516"/>
      <c r="K454" s="1656">
        <f>IF(K$71=0,0,K19*K17/K71)</f>
        <v>0</v>
      </c>
      <c r="L454" s="1121"/>
      <c r="M454" s="1121"/>
      <c r="N454" s="1656">
        <f>IF(N$71=0,0,N19*N17/N71)</f>
        <v>0</v>
      </c>
      <c r="O454" s="1121"/>
      <c r="P454" s="1121"/>
      <c r="Q454" s="1656">
        <f>IF(Q$71=0,0,Q19*Q17/Q71)</f>
        <v>0</v>
      </c>
      <c r="R454" s="1121"/>
      <c r="S454" s="1121"/>
      <c r="T454" s="1657">
        <f t="shared" si="367"/>
        <v>0</v>
      </c>
      <c r="U454" s="1657">
        <f t="shared" ref="U454:AI454" si="369">T454</f>
        <v>0</v>
      </c>
      <c r="V454" s="1657">
        <f t="shared" si="369"/>
        <v>0</v>
      </c>
      <c r="W454" s="1657">
        <f t="shared" si="369"/>
        <v>0</v>
      </c>
      <c r="X454" s="1657">
        <f t="shared" si="369"/>
        <v>0</v>
      </c>
      <c r="Y454" s="1657">
        <f t="shared" si="369"/>
        <v>0</v>
      </c>
      <c r="Z454" s="1657">
        <f t="shared" si="369"/>
        <v>0</v>
      </c>
      <c r="AA454" s="1657">
        <f t="shared" si="369"/>
        <v>0</v>
      </c>
      <c r="AB454" s="1657">
        <f t="shared" si="369"/>
        <v>0</v>
      </c>
      <c r="AC454" s="1657">
        <f t="shared" si="369"/>
        <v>0</v>
      </c>
      <c r="AD454" s="1657">
        <f t="shared" si="369"/>
        <v>0</v>
      </c>
      <c r="AE454" s="1657">
        <f t="shared" si="369"/>
        <v>0</v>
      </c>
      <c r="AF454" s="1657">
        <f t="shared" si="369"/>
        <v>0</v>
      </c>
      <c r="AG454" s="1657">
        <f t="shared" si="369"/>
        <v>0</v>
      </c>
      <c r="AH454" s="1657">
        <f t="shared" si="369"/>
        <v>0</v>
      </c>
      <c r="AI454" s="1658">
        <f t="shared" si="369"/>
        <v>0</v>
      </c>
      <c r="AJ454" s="1125"/>
    </row>
    <row r="455" spans="1:36" s="1126" customFormat="1">
      <c r="A455" s="1119"/>
      <c r="B455" s="1627" t="s">
        <v>1361</v>
      </c>
      <c r="C455" s="1659">
        <f>IF(C19=0,0,IF(C$71=0,0,-C20/C19))</f>
        <v>0</v>
      </c>
      <c r="D455" s="1516"/>
      <c r="E455" s="1660">
        <f>IF(E19=0,0,IF(E$71=0,0,-E20/E19))</f>
        <v>0</v>
      </c>
      <c r="F455" s="1516"/>
      <c r="G455" s="1516"/>
      <c r="H455" s="1660">
        <f>IF(H19=0,0,IF(H$71=0,0,-H20/H19))</f>
        <v>0</v>
      </c>
      <c r="I455" s="1516"/>
      <c r="J455" s="1516"/>
      <c r="K455" s="1660">
        <f>IF(K19=0,0,IF(K$71=0,0,-K20/K19))</f>
        <v>0</v>
      </c>
      <c r="L455" s="1121"/>
      <c r="M455" s="1121"/>
      <c r="N455" s="1660">
        <f>IF(N19=0,0,IF(N$71=0,0,-N20/N19))</f>
        <v>0</v>
      </c>
      <c r="O455" s="1121"/>
      <c r="P455" s="1121"/>
      <c r="Q455" s="1660">
        <f>IF(Q19=0,0,IF(Q$71=0,0,-Q20/Q19))</f>
        <v>0</v>
      </c>
      <c r="R455" s="1121"/>
      <c r="S455" s="1121"/>
      <c r="T455" s="1661">
        <f t="shared" si="367"/>
        <v>0</v>
      </c>
      <c r="U455" s="1661">
        <f t="shared" ref="U455:AI455" si="370">T455</f>
        <v>0</v>
      </c>
      <c r="V455" s="1661">
        <f t="shared" si="370"/>
        <v>0</v>
      </c>
      <c r="W455" s="1661">
        <f t="shared" si="370"/>
        <v>0</v>
      </c>
      <c r="X455" s="1661">
        <f t="shared" si="370"/>
        <v>0</v>
      </c>
      <c r="Y455" s="1661">
        <f t="shared" si="370"/>
        <v>0</v>
      </c>
      <c r="Z455" s="1661">
        <f t="shared" si="370"/>
        <v>0</v>
      </c>
      <c r="AA455" s="1661">
        <f t="shared" si="370"/>
        <v>0</v>
      </c>
      <c r="AB455" s="1661">
        <f t="shared" si="370"/>
        <v>0</v>
      </c>
      <c r="AC455" s="1661">
        <f t="shared" si="370"/>
        <v>0</v>
      </c>
      <c r="AD455" s="1662">
        <f t="shared" si="370"/>
        <v>0</v>
      </c>
      <c r="AE455" s="1662">
        <f t="shared" si="370"/>
        <v>0</v>
      </c>
      <c r="AF455" s="1662">
        <f t="shared" si="370"/>
        <v>0</v>
      </c>
      <c r="AG455" s="1662">
        <f t="shared" si="370"/>
        <v>0</v>
      </c>
      <c r="AH455" s="1662">
        <f t="shared" si="370"/>
        <v>0</v>
      </c>
      <c r="AI455" s="1662">
        <f t="shared" si="370"/>
        <v>0</v>
      </c>
      <c r="AJ455" s="1125"/>
    </row>
    <row r="456" spans="1:36" s="1126" customFormat="1">
      <c r="A456" s="1119"/>
      <c r="B456" s="1627" t="s">
        <v>1362</v>
      </c>
      <c r="C456" s="1655">
        <f>IF(AND(C72=0,C74=0),0,IF(C72&lt;&gt;0,C21*C17/C72,C21*C17/C74))</f>
        <v>0</v>
      </c>
      <c r="D456" s="1516"/>
      <c r="E456" s="1656">
        <f>IF(AND(E72=0,E74=0),0,IF(E72&lt;&gt;0,E21*E17/E72,E21*E17/E74))</f>
        <v>0</v>
      </c>
      <c r="F456" s="1516"/>
      <c r="G456" s="1516"/>
      <c r="H456" s="1656">
        <f>IF(AND(H72=0,H74=0),0,IF(H72&lt;&gt;0,H21*H17/H72,H21*H17/H74))</f>
        <v>0</v>
      </c>
      <c r="I456" s="1516"/>
      <c r="J456" s="1516"/>
      <c r="K456" s="1656">
        <f>IF(AND(K72=0,K74=0),0,IF(K72&lt;&gt;0,K21*K17/K72,K21*K17/K74))</f>
        <v>0</v>
      </c>
      <c r="L456" s="1121"/>
      <c r="M456" s="1121"/>
      <c r="N456" s="1656">
        <f>IF(AND(N72=0,N74=0),0,IF(N72&lt;&gt;0,N21*N17/N72,N21*N17/N74))</f>
        <v>0</v>
      </c>
      <c r="O456" s="1121"/>
      <c r="P456" s="1121"/>
      <c r="Q456" s="1656">
        <f>IF(AND(Q72=0,Q74=0),0,IF(Q72&lt;&gt;0,Q21*Q17/Q72,Q21*Q17/Q74))</f>
        <v>0</v>
      </c>
      <c r="R456" s="1121"/>
      <c r="S456" s="1121"/>
      <c r="T456" s="1657">
        <f t="shared" si="367"/>
        <v>0</v>
      </c>
      <c r="U456" s="1657">
        <f t="shared" ref="U456:AI456" si="371">T456</f>
        <v>0</v>
      </c>
      <c r="V456" s="1657">
        <f t="shared" si="371"/>
        <v>0</v>
      </c>
      <c r="W456" s="1657">
        <f t="shared" si="371"/>
        <v>0</v>
      </c>
      <c r="X456" s="1657">
        <f t="shared" si="371"/>
        <v>0</v>
      </c>
      <c r="Y456" s="1657">
        <f t="shared" si="371"/>
        <v>0</v>
      </c>
      <c r="Z456" s="1657">
        <f t="shared" si="371"/>
        <v>0</v>
      </c>
      <c r="AA456" s="1657">
        <f t="shared" si="371"/>
        <v>0</v>
      </c>
      <c r="AB456" s="1657">
        <f t="shared" si="371"/>
        <v>0</v>
      </c>
      <c r="AC456" s="1657">
        <f t="shared" si="371"/>
        <v>0</v>
      </c>
      <c r="AD456" s="1663">
        <f t="shared" si="371"/>
        <v>0</v>
      </c>
      <c r="AE456" s="1663">
        <f t="shared" si="371"/>
        <v>0</v>
      </c>
      <c r="AF456" s="1663">
        <f t="shared" si="371"/>
        <v>0</v>
      </c>
      <c r="AG456" s="1663">
        <f t="shared" si="371"/>
        <v>0</v>
      </c>
      <c r="AH456" s="1663">
        <f t="shared" si="371"/>
        <v>0</v>
      </c>
      <c r="AI456" s="1663">
        <f t="shared" si="371"/>
        <v>0</v>
      </c>
      <c r="AJ456" s="1125"/>
    </row>
    <row r="457" spans="1:36" s="1126" customFormat="1">
      <c r="A457" s="1119"/>
      <c r="B457" s="1627" t="s">
        <v>1363</v>
      </c>
      <c r="C457" s="1659">
        <f>IF(C21=0,0,IF(C$71=0,0,-C22/C21))</f>
        <v>0</v>
      </c>
      <c r="D457" s="1516"/>
      <c r="E457" s="1660">
        <f>IF(E21=0,0,IF(E$71=0,0,-E22/E21))</f>
        <v>0</v>
      </c>
      <c r="F457" s="1516"/>
      <c r="G457" s="1516"/>
      <c r="H457" s="1660">
        <f>IF(H21=0,0,IF(H$71=0,0,-H22/H21))</f>
        <v>0</v>
      </c>
      <c r="I457" s="1516"/>
      <c r="J457" s="1516"/>
      <c r="K457" s="1660">
        <f>IF(K21=0,0,IF(K$71=0,0,-K22/K21))</f>
        <v>0</v>
      </c>
      <c r="L457" s="1121"/>
      <c r="M457" s="1121"/>
      <c r="N457" s="1660">
        <f>IF(N21=0,0,IF(N$71=0,0,-N22/N21))</f>
        <v>0</v>
      </c>
      <c r="O457" s="1121"/>
      <c r="P457" s="1121"/>
      <c r="Q457" s="1660">
        <f>IF(Q21=0,0,IF(Q$71=0,0,-Q22/Q21))</f>
        <v>0</v>
      </c>
      <c r="R457" s="1121"/>
      <c r="S457" s="1121"/>
      <c r="T457" s="1661">
        <f t="shared" si="367"/>
        <v>0</v>
      </c>
      <c r="U457" s="1661">
        <f t="shared" ref="U457:AI457" si="372">T457</f>
        <v>0</v>
      </c>
      <c r="V457" s="1661">
        <f t="shared" si="372"/>
        <v>0</v>
      </c>
      <c r="W457" s="1661">
        <f t="shared" si="372"/>
        <v>0</v>
      </c>
      <c r="X457" s="1661">
        <f t="shared" si="372"/>
        <v>0</v>
      </c>
      <c r="Y457" s="1661">
        <f t="shared" si="372"/>
        <v>0</v>
      </c>
      <c r="Z457" s="1661">
        <f t="shared" si="372"/>
        <v>0</v>
      </c>
      <c r="AA457" s="1661">
        <f t="shared" si="372"/>
        <v>0</v>
      </c>
      <c r="AB457" s="1661">
        <f t="shared" si="372"/>
        <v>0</v>
      </c>
      <c r="AC457" s="1661">
        <f t="shared" si="372"/>
        <v>0</v>
      </c>
      <c r="AD457" s="1662">
        <f t="shared" si="372"/>
        <v>0</v>
      </c>
      <c r="AE457" s="1662">
        <f t="shared" si="372"/>
        <v>0</v>
      </c>
      <c r="AF457" s="1662">
        <f t="shared" si="372"/>
        <v>0</v>
      </c>
      <c r="AG457" s="1662">
        <f t="shared" si="372"/>
        <v>0</v>
      </c>
      <c r="AH457" s="1662">
        <f t="shared" si="372"/>
        <v>0</v>
      </c>
      <c r="AI457" s="1662">
        <f t="shared" si="372"/>
        <v>0</v>
      </c>
      <c r="AJ457" s="1125"/>
    </row>
    <row r="458" spans="1:36" s="1126" customFormat="1">
      <c r="A458" s="1119"/>
      <c r="B458" s="1627" t="str">
        <f>"ANTICIPOS / "&amp;IF(OR(C72&lt;&gt;0,E72&lt;&gt;0,H72&lt;&gt;0,K72&lt;&gt;0,N72&lt;&gt;0,Q72&lt;&gt;0,AND(C74=0,E74=0,H74=0,K74=0,N74=0,Q74=0)),"COSTO DE VENTAS (ANUALIZADO)","GASTOS OPERACIONALES (ANUALIZADOS)")</f>
        <v>ANTICIPOS / COSTO DE VENTAS (ANUALIZADO)</v>
      </c>
      <c r="C458" s="1659">
        <f>IF(AND(C72=0,C74=0),0,IF(C72&lt;&gt;0,C23/(C72*360/C17),C23/(C74*360/C17)))</f>
        <v>0</v>
      </c>
      <c r="D458" s="1516"/>
      <c r="E458" s="1660">
        <f>IF(AND(E72=0,E74=0),0,IF(E72&lt;&gt;0,E23/(E72*360/E17),E23/(E74*360/E17)))</f>
        <v>0</v>
      </c>
      <c r="F458" s="1516"/>
      <c r="G458" s="1516"/>
      <c r="H458" s="1660">
        <f>IF(AND(H72=0,H74=0),0,IF(H72&lt;&gt;0,H23/(H72*360/H17),H23/(H74*360/H17)))</f>
        <v>0</v>
      </c>
      <c r="I458" s="1516"/>
      <c r="J458" s="1516"/>
      <c r="K458" s="1660">
        <f>IF(AND(K72=0,K74=0),0,IF(K72&lt;&gt;0,K23/(K72*360/K17),K23/(K74*360/K17)))</f>
        <v>0</v>
      </c>
      <c r="L458" s="1121"/>
      <c r="M458" s="1121"/>
      <c r="N458" s="1660">
        <f>IF(AND(N72=0,N74=0),0,IF(N72&lt;&gt;0,N23/(N72*360/N17),N23/(N74*360/N17)))</f>
        <v>0</v>
      </c>
      <c r="O458" s="1121"/>
      <c r="P458" s="1121"/>
      <c r="Q458" s="1660">
        <f>IF(AND(Q72=0,Q74=0),0,IF(Q72&lt;&gt;0,Q23/(Q72*360/Q17),Q23/(Q74*360/Q17)))</f>
        <v>0</v>
      </c>
      <c r="R458" s="1121"/>
      <c r="S458" s="1121"/>
      <c r="T458" s="1661">
        <f t="shared" si="367"/>
        <v>0</v>
      </c>
      <c r="U458" s="1661">
        <f t="shared" ref="U458:AI458" si="373">T458</f>
        <v>0</v>
      </c>
      <c r="V458" s="1661">
        <f t="shared" si="373"/>
        <v>0</v>
      </c>
      <c r="W458" s="1661">
        <f t="shared" si="373"/>
        <v>0</v>
      </c>
      <c r="X458" s="1661">
        <f t="shared" si="373"/>
        <v>0</v>
      </c>
      <c r="Y458" s="1661">
        <f t="shared" si="373"/>
        <v>0</v>
      </c>
      <c r="Z458" s="1661">
        <f t="shared" si="373"/>
        <v>0</v>
      </c>
      <c r="AA458" s="1661">
        <f t="shared" si="373"/>
        <v>0</v>
      </c>
      <c r="AB458" s="1661">
        <f t="shared" si="373"/>
        <v>0</v>
      </c>
      <c r="AC458" s="1661">
        <f t="shared" si="373"/>
        <v>0</v>
      </c>
      <c r="AD458" s="1662">
        <f t="shared" si="373"/>
        <v>0</v>
      </c>
      <c r="AE458" s="1662">
        <f t="shared" si="373"/>
        <v>0</v>
      </c>
      <c r="AF458" s="1662">
        <f t="shared" si="373"/>
        <v>0</v>
      </c>
      <c r="AG458" s="1662">
        <f t="shared" si="373"/>
        <v>0</v>
      </c>
      <c r="AH458" s="1662">
        <f t="shared" si="373"/>
        <v>0</v>
      </c>
      <c r="AI458" s="1662">
        <f t="shared" si="373"/>
        <v>0</v>
      </c>
      <c r="AJ458" s="1125"/>
    </row>
    <row r="459" spans="1:36" s="1126" customFormat="1">
      <c r="A459" s="1119"/>
      <c r="B459" s="1627" t="s">
        <v>1364</v>
      </c>
      <c r="C459" s="1655">
        <f>IF(AND(C72=0,C74=0),0,IF(C72&lt;&gt;0,C40*C17/C72,C40*C17/C74))</f>
        <v>0</v>
      </c>
      <c r="D459" s="1516"/>
      <c r="E459" s="1656">
        <f>IF(AND(E72=0,E74=0),0,IF(E72&lt;&gt;0,E40*E17/E72,E40*E17/E74))</f>
        <v>0</v>
      </c>
      <c r="F459" s="1516"/>
      <c r="G459" s="1516"/>
      <c r="H459" s="1656">
        <f>IF(AND(H72=0,H74=0),0,IF(H72&lt;&gt;0,H40*H17/H72,H40*H17/H74))</f>
        <v>0</v>
      </c>
      <c r="I459" s="1516"/>
      <c r="J459" s="1516"/>
      <c r="K459" s="1656">
        <f>IF(AND(K72=0,K74=0),0,IF(K72&lt;&gt;0,K40*K17/K72,K40*K17/K74))</f>
        <v>0</v>
      </c>
      <c r="L459" s="1121"/>
      <c r="M459" s="1121"/>
      <c r="N459" s="1656">
        <f>IF(AND(N72=0,N74=0),0,IF(N72&lt;&gt;0,N40*N17/N72,N40*N17/N74))</f>
        <v>0</v>
      </c>
      <c r="O459" s="1121"/>
      <c r="P459" s="1121"/>
      <c r="Q459" s="1656">
        <f>IF(AND(Q72=0,Q74=0),0,IF(Q72&lt;&gt;0,Q40*Q17/Q72,Q40*Q17/Q74))</f>
        <v>0</v>
      </c>
      <c r="R459" s="1121"/>
      <c r="S459" s="1121"/>
      <c r="T459" s="1657">
        <f t="shared" si="367"/>
        <v>0</v>
      </c>
      <c r="U459" s="1657">
        <f t="shared" ref="U459:AI459" si="374">T459</f>
        <v>0</v>
      </c>
      <c r="V459" s="1657">
        <f t="shared" si="374"/>
        <v>0</v>
      </c>
      <c r="W459" s="1657">
        <f t="shared" si="374"/>
        <v>0</v>
      </c>
      <c r="X459" s="1657">
        <f t="shared" si="374"/>
        <v>0</v>
      </c>
      <c r="Y459" s="1657">
        <f t="shared" si="374"/>
        <v>0</v>
      </c>
      <c r="Z459" s="1657">
        <f t="shared" si="374"/>
        <v>0</v>
      </c>
      <c r="AA459" s="1657">
        <f t="shared" si="374"/>
        <v>0</v>
      </c>
      <c r="AB459" s="1657">
        <f t="shared" si="374"/>
        <v>0</v>
      </c>
      <c r="AC459" s="1657">
        <f t="shared" si="374"/>
        <v>0</v>
      </c>
      <c r="AD459" s="1663">
        <f t="shared" si="374"/>
        <v>0</v>
      </c>
      <c r="AE459" s="1663">
        <f t="shared" si="374"/>
        <v>0</v>
      </c>
      <c r="AF459" s="1663">
        <f t="shared" si="374"/>
        <v>0</v>
      </c>
      <c r="AG459" s="1663">
        <f t="shared" si="374"/>
        <v>0</v>
      </c>
      <c r="AH459" s="1663">
        <f t="shared" si="374"/>
        <v>0</v>
      </c>
      <c r="AI459" s="1663">
        <f t="shared" si="374"/>
        <v>0</v>
      </c>
      <c r="AJ459" s="1125"/>
    </row>
    <row r="460" spans="1:36" s="1126" customFormat="1">
      <c r="A460" s="1119"/>
      <c r="B460" s="1627" t="s">
        <v>1365</v>
      </c>
      <c r="C460" s="1664" t="s">
        <v>1260</v>
      </c>
      <c r="D460" s="1516"/>
      <c r="E460" s="1635">
        <f>IF(E$71=0,0,E28-C28)</f>
        <v>0</v>
      </c>
      <c r="F460" s="1516"/>
      <c r="G460" s="1516"/>
      <c r="H460" s="1635">
        <f>IF(H$71=0,0,H28-E28)</f>
        <v>0</v>
      </c>
      <c r="I460" s="1516"/>
      <c r="J460" s="1516"/>
      <c r="K460" s="1635">
        <f>IF(K$71=0,0,K28-H28)</f>
        <v>0</v>
      </c>
      <c r="L460" s="1121"/>
      <c r="M460" s="1121"/>
      <c r="N460" s="1635">
        <f>IF(N$71=0,0,N28-H28)</f>
        <v>0</v>
      </c>
      <c r="O460" s="1121"/>
      <c r="P460" s="1121"/>
      <c r="Q460" s="1635">
        <f>IF(Q$71=0,0,Q28-N28)</f>
        <v>0</v>
      </c>
      <c r="R460" s="1121"/>
      <c r="S460" s="1121"/>
      <c r="T460" s="1665">
        <f>IF($N$71=0,0,E460*($E$241+$C$241)+H460*$H$241+N460*$N$241+Q460*$Q$241)</f>
        <v>0</v>
      </c>
      <c r="U460" s="1665">
        <f t="shared" ref="U460:AI460" si="375">T460</f>
        <v>0</v>
      </c>
      <c r="V460" s="1665">
        <f t="shared" si="375"/>
        <v>0</v>
      </c>
      <c r="W460" s="1665">
        <f t="shared" si="375"/>
        <v>0</v>
      </c>
      <c r="X460" s="1665">
        <f t="shared" si="375"/>
        <v>0</v>
      </c>
      <c r="Y460" s="1665">
        <f t="shared" si="375"/>
        <v>0</v>
      </c>
      <c r="Z460" s="1665">
        <f t="shared" si="375"/>
        <v>0</v>
      </c>
      <c r="AA460" s="1665">
        <f t="shared" si="375"/>
        <v>0</v>
      </c>
      <c r="AB460" s="1665">
        <f t="shared" si="375"/>
        <v>0</v>
      </c>
      <c r="AC460" s="1665">
        <f t="shared" si="375"/>
        <v>0</v>
      </c>
      <c r="AD460" s="1666">
        <f t="shared" si="375"/>
        <v>0</v>
      </c>
      <c r="AE460" s="1666">
        <f t="shared" si="375"/>
        <v>0</v>
      </c>
      <c r="AF460" s="1666">
        <f t="shared" si="375"/>
        <v>0</v>
      </c>
      <c r="AG460" s="1666">
        <f t="shared" si="375"/>
        <v>0</v>
      </c>
      <c r="AH460" s="1666">
        <f t="shared" si="375"/>
        <v>0</v>
      </c>
      <c r="AI460" s="1666">
        <f t="shared" si="375"/>
        <v>0</v>
      </c>
      <c r="AJ460" s="1125"/>
    </row>
    <row r="461" spans="1:36" s="1126" customFormat="1">
      <c r="A461" s="1119"/>
      <c r="B461" s="1627" t="s">
        <v>1366</v>
      </c>
      <c r="C461" s="1667" t="s">
        <v>1260</v>
      </c>
      <c r="D461" s="1516"/>
      <c r="E461" s="1668">
        <f>IF(E28=0,0,IF(E$71=0,0,-(E29-C29)/E28))</f>
        <v>0</v>
      </c>
      <c r="F461" s="1516"/>
      <c r="G461" s="1516"/>
      <c r="H461" s="1668">
        <f>IF(H28=0,0,IF(H$71=0,0,-(H29-E29)/H28))</f>
        <v>0</v>
      </c>
      <c r="I461" s="1516"/>
      <c r="J461" s="1516"/>
      <c r="K461" s="1668">
        <f>IF(K28=0,0,IF(K$71=0,0,-(K29-H29)/K28))</f>
        <v>0</v>
      </c>
      <c r="L461" s="1121"/>
      <c r="M461" s="1121"/>
      <c r="N461" s="1668">
        <f>IF(N28=0,0,IF(N$71=0,0,-(N29-H29)/N28))</f>
        <v>0</v>
      </c>
      <c r="O461" s="1121"/>
      <c r="P461" s="1121"/>
      <c r="Q461" s="1668">
        <f>IF(Q28=0,0,IF(Q$71=0,0,-(Q29-N29)/Q28))</f>
        <v>0</v>
      </c>
      <c r="R461" s="1121"/>
      <c r="S461" s="1121"/>
      <c r="T461" s="1630">
        <f>IF($N$71=0,0,E461*($E$241+$C$241)+H461*$H$241+N461*$N$241+Q461*$Q$241)</f>
        <v>0</v>
      </c>
      <c r="U461" s="1630">
        <f t="shared" ref="U461:AI461" si="376">T461</f>
        <v>0</v>
      </c>
      <c r="V461" s="1630">
        <f t="shared" si="376"/>
        <v>0</v>
      </c>
      <c r="W461" s="1630">
        <f t="shared" si="376"/>
        <v>0</v>
      </c>
      <c r="X461" s="1630">
        <f t="shared" si="376"/>
        <v>0</v>
      </c>
      <c r="Y461" s="1630">
        <f t="shared" si="376"/>
        <v>0</v>
      </c>
      <c r="Z461" s="1630">
        <f t="shared" si="376"/>
        <v>0</v>
      </c>
      <c r="AA461" s="1630">
        <f t="shared" si="376"/>
        <v>0</v>
      </c>
      <c r="AB461" s="1630">
        <f t="shared" si="376"/>
        <v>0</v>
      </c>
      <c r="AC461" s="1630">
        <f t="shared" si="376"/>
        <v>0</v>
      </c>
      <c r="AD461" s="1669">
        <f t="shared" si="376"/>
        <v>0</v>
      </c>
      <c r="AE461" s="1669">
        <f t="shared" si="376"/>
        <v>0</v>
      </c>
      <c r="AF461" s="1669">
        <f t="shared" si="376"/>
        <v>0</v>
      </c>
      <c r="AG461" s="1669">
        <f t="shared" si="376"/>
        <v>0</v>
      </c>
      <c r="AH461" s="1669">
        <f t="shared" si="376"/>
        <v>0</v>
      </c>
      <c r="AI461" s="1669">
        <f t="shared" si="376"/>
        <v>0</v>
      </c>
      <c r="AJ461" s="1125"/>
    </row>
    <row r="462" spans="1:36" s="1126" customFormat="1">
      <c r="A462" s="1119"/>
      <c r="B462" s="1627" t="s">
        <v>1367</v>
      </c>
      <c r="C462" s="1628">
        <f>IF(C28=0,0,IF(C$71=0,0,C90/C28))</f>
        <v>0</v>
      </c>
      <c r="D462" s="1121"/>
      <c r="E462" s="1629">
        <f>IF(E28=0,0,IF(E$71=0,0,E90/E28))</f>
        <v>0</v>
      </c>
      <c r="F462" s="1121"/>
      <c r="G462" s="1121"/>
      <c r="H462" s="1629">
        <f>IF(H28=0,0,IF(H$71=0,0,H90/H28))</f>
        <v>0</v>
      </c>
      <c r="I462" s="1121"/>
      <c r="J462" s="1121"/>
      <c r="K462" s="1629">
        <f>IF(K28=0,0,IF(K$71=0,0,K90/K28))</f>
        <v>0</v>
      </c>
      <c r="L462" s="1121"/>
      <c r="M462" s="1121"/>
      <c r="N462" s="1629">
        <f>IF(N28=0,0,IF(N$71=0,0,N90/N28))</f>
        <v>0</v>
      </c>
      <c r="O462" s="1121"/>
      <c r="P462" s="1121"/>
      <c r="Q462" s="1629">
        <f>IF(Q28=0,0,IF(Q$71=0,0,Q90/Q28))</f>
        <v>0</v>
      </c>
      <c r="R462" s="1121"/>
      <c r="S462" s="1121"/>
      <c r="T462" s="1630">
        <f>IF($N$71=0,0,C462*$C$241+E462*$E$241+H462*$H$241+N462*$N$241+Q462*$Q$241)</f>
        <v>0</v>
      </c>
      <c r="U462" s="1630">
        <f t="shared" ref="U462:AI462" si="377">T462</f>
        <v>0</v>
      </c>
      <c r="V462" s="1630">
        <f t="shared" si="377"/>
        <v>0</v>
      </c>
      <c r="W462" s="1630">
        <f t="shared" si="377"/>
        <v>0</v>
      </c>
      <c r="X462" s="1630">
        <f t="shared" si="377"/>
        <v>0</v>
      </c>
      <c r="Y462" s="1630">
        <f t="shared" si="377"/>
        <v>0</v>
      </c>
      <c r="Z462" s="1630">
        <f t="shared" si="377"/>
        <v>0</v>
      </c>
      <c r="AA462" s="1630">
        <f t="shared" si="377"/>
        <v>0</v>
      </c>
      <c r="AB462" s="1630">
        <f t="shared" si="377"/>
        <v>0</v>
      </c>
      <c r="AC462" s="1630">
        <f t="shared" si="377"/>
        <v>0</v>
      </c>
      <c r="AD462" s="1669">
        <f t="shared" si="377"/>
        <v>0</v>
      </c>
      <c r="AE462" s="1669">
        <f t="shared" si="377"/>
        <v>0</v>
      </c>
      <c r="AF462" s="1669">
        <f t="shared" si="377"/>
        <v>0</v>
      </c>
      <c r="AG462" s="1669">
        <f t="shared" si="377"/>
        <v>0</v>
      </c>
      <c r="AH462" s="1669">
        <f t="shared" si="377"/>
        <v>0</v>
      </c>
      <c r="AI462" s="1669">
        <f t="shared" si="377"/>
        <v>0</v>
      </c>
      <c r="AJ462" s="1125"/>
    </row>
    <row r="463" spans="1:36" s="1126" customFormat="1">
      <c r="A463" s="1119"/>
      <c r="B463" s="1627" t="s">
        <v>1368</v>
      </c>
      <c r="C463" s="1670" t="s">
        <v>1260</v>
      </c>
      <c r="D463" s="1121"/>
      <c r="E463" s="1629">
        <f>IF(C30=0,0,IF(E$71=0,0,(E30/C30)-1))</f>
        <v>0</v>
      </c>
      <c r="F463" s="1121"/>
      <c r="G463" s="1121"/>
      <c r="H463" s="1629">
        <f>IF(E30=0,0,IF(H$71=0,0,(H30/E30)-1))</f>
        <v>0</v>
      </c>
      <c r="I463" s="1121"/>
      <c r="J463" s="1121"/>
      <c r="K463" s="1629">
        <f>IF(H30=0,0,IF(K$71=0,0,(K30/H30)-1))</f>
        <v>0</v>
      </c>
      <c r="L463" s="1121"/>
      <c r="M463" s="1121"/>
      <c r="N463" s="1629">
        <f>IF(H30=0,0,IF(N$71=0,0,(N30/H30)-1))</f>
        <v>0</v>
      </c>
      <c r="O463" s="1121"/>
      <c r="P463" s="1121"/>
      <c r="Q463" s="1629">
        <f>IF(N30=0,0,IF(Q$71=0,0,(Q30/N30)-1))</f>
        <v>0</v>
      </c>
      <c r="R463" s="1121"/>
      <c r="S463" s="1121"/>
      <c r="T463" s="1630">
        <f>IF($N$71=0,0,E463*($E$241+$C$241)+H463*$H$241+N463*$N$241+Q463*$Q$241)</f>
        <v>0</v>
      </c>
      <c r="U463" s="1630">
        <f t="shared" ref="U463:AI463" si="378">T463</f>
        <v>0</v>
      </c>
      <c r="V463" s="1630">
        <f t="shared" si="378"/>
        <v>0</v>
      </c>
      <c r="W463" s="1630">
        <f t="shared" si="378"/>
        <v>0</v>
      </c>
      <c r="X463" s="1630">
        <f t="shared" si="378"/>
        <v>0</v>
      </c>
      <c r="Y463" s="1630">
        <f t="shared" si="378"/>
        <v>0</v>
      </c>
      <c r="Z463" s="1630">
        <f t="shared" si="378"/>
        <v>0</v>
      </c>
      <c r="AA463" s="1630">
        <f t="shared" si="378"/>
        <v>0</v>
      </c>
      <c r="AB463" s="1630">
        <f t="shared" si="378"/>
        <v>0</v>
      </c>
      <c r="AC463" s="1630">
        <f t="shared" si="378"/>
        <v>0</v>
      </c>
      <c r="AD463" s="1669">
        <f t="shared" si="378"/>
        <v>0</v>
      </c>
      <c r="AE463" s="1669">
        <f t="shared" si="378"/>
        <v>0</v>
      </c>
      <c r="AF463" s="1669">
        <f t="shared" si="378"/>
        <v>0</v>
      </c>
      <c r="AG463" s="1669">
        <f t="shared" si="378"/>
        <v>0</v>
      </c>
      <c r="AH463" s="1669">
        <f t="shared" si="378"/>
        <v>0</v>
      </c>
      <c r="AI463" s="1669">
        <f t="shared" si="378"/>
        <v>0</v>
      </c>
      <c r="AJ463" s="1125"/>
    </row>
    <row r="464" spans="1:36" s="1126" customFormat="1">
      <c r="A464" s="1119"/>
      <c r="B464" s="1627" t="s">
        <v>1369</v>
      </c>
      <c r="C464" s="1628">
        <f>IF(C30=0,0,IF(C$71=0,0,(C91*360/C17)/C30))</f>
        <v>0</v>
      </c>
      <c r="D464" s="1121"/>
      <c r="E464" s="1629">
        <f>IF(E30=0,0,IF(E$71=0,0,(E91*360/E17)/E30))</f>
        <v>0</v>
      </c>
      <c r="F464" s="1121"/>
      <c r="G464" s="1121"/>
      <c r="H464" s="1629">
        <f>IF(H30=0,0,IF(H$71=0,0,(H91*360/H17)/H30))</f>
        <v>0</v>
      </c>
      <c r="I464" s="1121"/>
      <c r="J464" s="1121"/>
      <c r="K464" s="1629">
        <f>IF(K30=0,0,IF(K$71=0,0,(K91*360/K17)/K30))</f>
        <v>0</v>
      </c>
      <c r="L464" s="1121"/>
      <c r="M464" s="1121"/>
      <c r="N464" s="1629">
        <f>IF(N30=0,0,IF(N$71=0,0,(N91*360/N17)/N30))</f>
        <v>0</v>
      </c>
      <c r="O464" s="1121"/>
      <c r="P464" s="1121"/>
      <c r="Q464" s="1629">
        <f>IF(Q30=0,0,IF(Q$71=0,0,(Q91*360/Q17)/Q30))</f>
        <v>0</v>
      </c>
      <c r="R464" s="1121"/>
      <c r="S464" s="1121"/>
      <c r="T464" s="1630">
        <f>IF($N$71=0,0,C464*$C$241+E464*$E$241+H464*$H$241+N464*$N$241+Q464*$Q$241)</f>
        <v>0</v>
      </c>
      <c r="U464" s="1630">
        <f t="shared" ref="U464:AI464" si="379">T464</f>
        <v>0</v>
      </c>
      <c r="V464" s="1630">
        <f t="shared" si="379"/>
        <v>0</v>
      </c>
      <c r="W464" s="1630">
        <f t="shared" si="379"/>
        <v>0</v>
      </c>
      <c r="X464" s="1630">
        <f t="shared" si="379"/>
        <v>0</v>
      </c>
      <c r="Y464" s="1630">
        <f t="shared" si="379"/>
        <v>0</v>
      </c>
      <c r="Z464" s="1630">
        <f t="shared" si="379"/>
        <v>0</v>
      </c>
      <c r="AA464" s="1630">
        <f t="shared" si="379"/>
        <v>0</v>
      </c>
      <c r="AB464" s="1630">
        <f t="shared" si="379"/>
        <v>0</v>
      </c>
      <c r="AC464" s="1630">
        <f t="shared" si="379"/>
        <v>0</v>
      </c>
      <c r="AD464" s="1669">
        <f t="shared" si="379"/>
        <v>0</v>
      </c>
      <c r="AE464" s="1669">
        <f t="shared" si="379"/>
        <v>0</v>
      </c>
      <c r="AF464" s="1669">
        <f t="shared" si="379"/>
        <v>0</v>
      </c>
      <c r="AG464" s="1669">
        <f t="shared" si="379"/>
        <v>0</v>
      </c>
      <c r="AH464" s="1669">
        <f t="shared" si="379"/>
        <v>0</v>
      </c>
      <c r="AI464" s="1669">
        <f t="shared" si="379"/>
        <v>0</v>
      </c>
      <c r="AJ464" s="1125"/>
    </row>
    <row r="465" spans="1:43" s="1126" customFormat="1">
      <c r="A465" s="1119"/>
      <c r="B465" s="1627" t="s">
        <v>1370</v>
      </c>
      <c r="C465" s="1670" t="s">
        <v>1260</v>
      </c>
      <c r="D465" s="1121"/>
      <c r="E465" s="1671">
        <f>IF(C31=0,0,IF(E$71=0,0,(E31/C31)-1))</f>
        <v>0</v>
      </c>
      <c r="F465" s="1121"/>
      <c r="G465" s="1121"/>
      <c r="H465" s="1671">
        <f>IF(E31=0,0,IF(H$71=0,0,(H31/E31)-1))</f>
        <v>0</v>
      </c>
      <c r="I465" s="1121"/>
      <c r="J465" s="1121"/>
      <c r="K465" s="1671">
        <f>IF(H31=0,0,IF(K$71=0,0,(K31/H31)-1))</f>
        <v>0</v>
      </c>
      <c r="L465" s="1121"/>
      <c r="M465" s="1121"/>
      <c r="N465" s="1671">
        <f>IF(H31=0,0,IF(N$71=0,0,(N31/H31)-1))</f>
        <v>0</v>
      </c>
      <c r="O465" s="1121"/>
      <c r="P465" s="1121"/>
      <c r="Q465" s="1671">
        <f>IF(N31=0,0,IF(Q$71=0,0,(Q31/N31)-1))</f>
        <v>0</v>
      </c>
      <c r="R465" s="1121"/>
      <c r="S465" s="1121"/>
      <c r="T465" s="1630">
        <f>IF($N$71=0,0,E465*($E$241+$C$241)+H465*$H$241+N465*$N$241+Q465*$Q$241)</f>
        <v>0</v>
      </c>
      <c r="U465" s="1630">
        <f t="shared" ref="U465:AI465" si="380">T465</f>
        <v>0</v>
      </c>
      <c r="V465" s="1630">
        <f t="shared" si="380"/>
        <v>0</v>
      </c>
      <c r="W465" s="1630">
        <f t="shared" si="380"/>
        <v>0</v>
      </c>
      <c r="X465" s="1630">
        <f t="shared" si="380"/>
        <v>0</v>
      </c>
      <c r="Y465" s="1630">
        <f t="shared" si="380"/>
        <v>0</v>
      </c>
      <c r="Z465" s="1630">
        <f t="shared" si="380"/>
        <v>0</v>
      </c>
      <c r="AA465" s="1630">
        <f t="shared" si="380"/>
        <v>0</v>
      </c>
      <c r="AB465" s="1630">
        <f t="shared" si="380"/>
        <v>0</v>
      </c>
      <c r="AC465" s="1630">
        <f t="shared" si="380"/>
        <v>0</v>
      </c>
      <c r="AD465" s="1669">
        <f t="shared" si="380"/>
        <v>0</v>
      </c>
      <c r="AE465" s="1669">
        <f t="shared" si="380"/>
        <v>0</v>
      </c>
      <c r="AF465" s="1669">
        <f t="shared" si="380"/>
        <v>0</v>
      </c>
      <c r="AG465" s="1669">
        <f t="shared" si="380"/>
        <v>0</v>
      </c>
      <c r="AH465" s="1669">
        <f t="shared" si="380"/>
        <v>0</v>
      </c>
      <c r="AI465" s="1669">
        <f t="shared" si="380"/>
        <v>0</v>
      </c>
      <c r="AJ465" s="1125"/>
    </row>
    <row r="466" spans="1:43" s="1126" customFormat="1">
      <c r="A466" s="1119"/>
      <c r="B466" s="1627" t="s">
        <v>1371</v>
      </c>
      <c r="C466" s="1628">
        <f>IF(C31=0,0,IF(C$71=0,0,(C92*360/C17)/C31))</f>
        <v>0</v>
      </c>
      <c r="D466" s="1121"/>
      <c r="E466" s="1629">
        <f>IF(E31=0,0,IF(E$71=0,0,(E92*360/E17)/E31))</f>
        <v>0</v>
      </c>
      <c r="F466" s="1121"/>
      <c r="G466" s="1121"/>
      <c r="H466" s="1629">
        <f>IF(H31=0,0,IF(H$71=0,0,(H92*360/H17)/H31))</f>
        <v>0</v>
      </c>
      <c r="I466" s="1121"/>
      <c r="J466" s="1121"/>
      <c r="K466" s="1629">
        <f>IF(K31=0,0,IF(K$71=0,0,(K92*360/K17)/K31))</f>
        <v>0</v>
      </c>
      <c r="L466" s="1121"/>
      <c r="M466" s="1121"/>
      <c r="N466" s="1629">
        <f>IF(N31=0,0,IF(N$71=0,0,(N92*360/N17)/N31))</f>
        <v>0</v>
      </c>
      <c r="O466" s="1121"/>
      <c r="P466" s="1121"/>
      <c r="Q466" s="1629">
        <f>IF(Q31=0,0,IF(Q$71=0,0,(Q92*360/Q17)/Q31))</f>
        <v>0</v>
      </c>
      <c r="R466" s="1121"/>
      <c r="S466" s="1121"/>
      <c r="T466" s="1630">
        <f>IF($N$71=0,0,C466*$C$241+E466*$E$241+H466*$H$241+N466*$N$241+Q466*$Q$241)</f>
        <v>0</v>
      </c>
      <c r="U466" s="1630">
        <f t="shared" ref="U466:AI466" si="381">T466</f>
        <v>0</v>
      </c>
      <c r="V466" s="1630">
        <f t="shared" si="381"/>
        <v>0</v>
      </c>
      <c r="W466" s="1630">
        <f t="shared" si="381"/>
        <v>0</v>
      </c>
      <c r="X466" s="1630">
        <f t="shared" si="381"/>
        <v>0</v>
      </c>
      <c r="Y466" s="1630">
        <f t="shared" si="381"/>
        <v>0</v>
      </c>
      <c r="Z466" s="1630">
        <f t="shared" si="381"/>
        <v>0</v>
      </c>
      <c r="AA466" s="1630">
        <f t="shared" si="381"/>
        <v>0</v>
      </c>
      <c r="AB466" s="1630">
        <f t="shared" si="381"/>
        <v>0</v>
      </c>
      <c r="AC466" s="1630">
        <f t="shared" si="381"/>
        <v>0</v>
      </c>
      <c r="AD466" s="1669">
        <f t="shared" si="381"/>
        <v>0</v>
      </c>
      <c r="AE466" s="1669">
        <f t="shared" si="381"/>
        <v>0</v>
      </c>
      <c r="AF466" s="1669">
        <f t="shared" si="381"/>
        <v>0</v>
      </c>
      <c r="AG466" s="1669">
        <f t="shared" si="381"/>
        <v>0</v>
      </c>
      <c r="AH466" s="1669">
        <f t="shared" si="381"/>
        <v>0</v>
      </c>
      <c r="AI466" s="1669">
        <f t="shared" si="381"/>
        <v>0</v>
      </c>
      <c r="AJ466" s="1125"/>
    </row>
    <row r="467" spans="1:43" s="1126" customFormat="1">
      <c r="A467" s="1119"/>
      <c r="B467" s="1627" t="str">
        <f>"PASIVOS LABORALES / "&amp;IF(OR(C72&lt;&gt;0,E72&lt;&gt;0,H72&lt;&gt;0,K72&lt;&gt;0,N72&lt;&gt;0,Q72&lt;&gt;0,AND(C74=0,E74=0,H74=0,K74=0,N74=0,Q74=0)),"GASTOS OPERACIONALES (ANUALIZADOS)","COSTO DE VENTAS (ANUALIZADO)")</f>
        <v>PASIVOS LABORALES / GASTOS OPERACIONALES (ANUALIZADOS)</v>
      </c>
      <c r="C467" s="1628">
        <f>IF(AND(C72=0,C74=0),0,IF(C74&lt;&gt;0,C41/(C74*360/C17),C41/(C72*360/C17)))</f>
        <v>0</v>
      </c>
      <c r="D467" s="1121"/>
      <c r="E467" s="1629">
        <f>IF(AND(E72=0,E74=0),0,IF(E74&lt;&gt;0,E41/(E74*360/E17),E41/(E72*360/E17)))</f>
        <v>0</v>
      </c>
      <c r="F467" s="1121"/>
      <c r="G467" s="1121"/>
      <c r="H467" s="1629">
        <f>IF(AND(H72=0,H74=0),0,IF(H74&lt;&gt;0,H41/(H74*360/H17),H41/(H72*360/H17)))</f>
        <v>0</v>
      </c>
      <c r="I467" s="1121"/>
      <c r="J467" s="1121"/>
      <c r="K467" s="1629">
        <f>IF(AND(K72=0,K74=0),0,IF(K74&lt;&gt;0,K41/(K74*360/K17),K41/(K72*360/K17)))</f>
        <v>0</v>
      </c>
      <c r="L467" s="1121"/>
      <c r="M467" s="1121"/>
      <c r="N467" s="1629">
        <f>IF(AND(N72=0,N74=0),0,IF(N74&lt;&gt;0,N41/(N74*360/N17),N41/(N72*360/N17)))</f>
        <v>0</v>
      </c>
      <c r="O467" s="1121"/>
      <c r="P467" s="1121"/>
      <c r="Q467" s="1629">
        <f>IF(AND(Q72=0,Q74=0),0,IF(Q74&lt;&gt;0,Q41/(Q74*360/Q17),Q41/(Q72*360/Q17)))</f>
        <v>0</v>
      </c>
      <c r="R467" s="1121"/>
      <c r="S467" s="1121"/>
      <c r="T467" s="1630">
        <f>IF($N$71=0,0,C467*$C$241+E467*$E$241+H467*$H$241+N467*$N$241+Q467*$Q$241)</f>
        <v>0</v>
      </c>
      <c r="U467" s="1630">
        <f t="shared" ref="U467:AI467" si="382">T467</f>
        <v>0</v>
      </c>
      <c r="V467" s="1630">
        <f t="shared" si="382"/>
        <v>0</v>
      </c>
      <c r="W467" s="1630">
        <f t="shared" si="382"/>
        <v>0</v>
      </c>
      <c r="X467" s="1630">
        <f t="shared" si="382"/>
        <v>0</v>
      </c>
      <c r="Y467" s="1630">
        <f t="shared" si="382"/>
        <v>0</v>
      </c>
      <c r="Z467" s="1630">
        <f t="shared" si="382"/>
        <v>0</v>
      </c>
      <c r="AA467" s="1630">
        <f t="shared" si="382"/>
        <v>0</v>
      </c>
      <c r="AB467" s="1630">
        <f t="shared" si="382"/>
        <v>0</v>
      </c>
      <c r="AC467" s="1630">
        <f t="shared" si="382"/>
        <v>0</v>
      </c>
      <c r="AD467" s="1669">
        <f t="shared" si="382"/>
        <v>0</v>
      </c>
      <c r="AE467" s="1669">
        <f t="shared" si="382"/>
        <v>0</v>
      </c>
      <c r="AF467" s="1669">
        <f t="shared" si="382"/>
        <v>0</v>
      </c>
      <c r="AG467" s="1669">
        <f t="shared" si="382"/>
        <v>0</v>
      </c>
      <c r="AH467" s="1669">
        <f t="shared" si="382"/>
        <v>0</v>
      </c>
      <c r="AI467" s="1669">
        <f t="shared" si="382"/>
        <v>0</v>
      </c>
      <c r="AJ467" s="1125"/>
    </row>
    <row r="468" spans="1:43" s="1126" customFormat="1">
      <c r="A468" s="1119"/>
      <c r="B468" s="1627" t="s">
        <v>1372</v>
      </c>
      <c r="C468" s="1628">
        <f>IF(C$71=0,0,C42/(C71*360/C17))</f>
        <v>0</v>
      </c>
      <c r="D468" s="1121"/>
      <c r="E468" s="1629">
        <f>IF(E$71=0,0,E42/(E71*360/E17))</f>
        <v>0</v>
      </c>
      <c r="F468" s="1121"/>
      <c r="G468" s="1121"/>
      <c r="H468" s="1629">
        <f>IF(H$71=0,0,H42/(H71*360/H17))</f>
        <v>0</v>
      </c>
      <c r="I468" s="1121"/>
      <c r="J468" s="1121"/>
      <c r="K468" s="1629">
        <f>IF(K$71=0,0,K42/(K71*360/K17))</f>
        <v>0</v>
      </c>
      <c r="L468" s="1121"/>
      <c r="M468" s="1121"/>
      <c r="N468" s="1629">
        <f>IF(N$71=0,0,N42/(N71*360/N17))</f>
        <v>0</v>
      </c>
      <c r="O468" s="1121"/>
      <c r="P468" s="1121"/>
      <c r="Q468" s="1629">
        <f>IF(Q$71=0,0,Q42/(Q71*360/Q17))</f>
        <v>0</v>
      </c>
      <c r="R468" s="1121"/>
      <c r="S468" s="1121"/>
      <c r="T468" s="1630">
        <f>IF($N$71=0,0,C468*$C$241+E468*$E$241+H468*$H$241+N468*$N$241+Q468*$Q$241)</f>
        <v>0</v>
      </c>
      <c r="U468" s="1630">
        <f t="shared" ref="U468:AI468" si="383">T468</f>
        <v>0</v>
      </c>
      <c r="V468" s="1630">
        <f t="shared" si="383"/>
        <v>0</v>
      </c>
      <c r="W468" s="1630">
        <f t="shared" si="383"/>
        <v>0</v>
      </c>
      <c r="X468" s="1630">
        <f t="shared" si="383"/>
        <v>0</v>
      </c>
      <c r="Y468" s="1630">
        <f t="shared" si="383"/>
        <v>0</v>
      </c>
      <c r="Z468" s="1630">
        <f t="shared" si="383"/>
        <v>0</v>
      </c>
      <c r="AA468" s="1630">
        <f t="shared" si="383"/>
        <v>0</v>
      </c>
      <c r="AB468" s="1630">
        <f t="shared" si="383"/>
        <v>0</v>
      </c>
      <c r="AC468" s="1630">
        <f t="shared" si="383"/>
        <v>0</v>
      </c>
      <c r="AD468" s="1669">
        <f t="shared" si="383"/>
        <v>0</v>
      </c>
      <c r="AE468" s="1669">
        <f t="shared" si="383"/>
        <v>0</v>
      </c>
      <c r="AF468" s="1669">
        <f t="shared" si="383"/>
        <v>0</v>
      </c>
      <c r="AG468" s="1669">
        <f t="shared" si="383"/>
        <v>0</v>
      </c>
      <c r="AH468" s="1669">
        <f t="shared" si="383"/>
        <v>0</v>
      </c>
      <c r="AI468" s="1669">
        <f t="shared" si="383"/>
        <v>0</v>
      </c>
      <c r="AJ468" s="1125"/>
    </row>
    <row r="469" spans="1:43" s="1126" customFormat="1">
      <c r="A469" s="1119"/>
      <c r="B469" s="1627" t="str">
        <f>"CUENTAS POR PAGAR / "&amp;IF(OR(C72&lt;&gt;0,E72&lt;&gt;0,H72&lt;&gt;0,K72&lt;&gt;0,N72&lt;&gt;0,Q72&lt;&gt;0,AND(C74=0,E74=0,H74=0,K74=0,N74=0,Q74=0)),"COSTO DE VENTAS (ANUALIZADO)","GASTOS OPERACIONALES (ANUALIZADOS)")</f>
        <v>CUENTAS POR PAGAR / COSTO DE VENTAS (ANUALIZADO)</v>
      </c>
      <c r="C469" s="1628">
        <f>IF(AND(C72=0,C74=0),0,IF(C72&lt;&gt;0,C44/(C72*360/C17),C44/(C74*360/C17)))</f>
        <v>0</v>
      </c>
      <c r="D469" s="1121"/>
      <c r="E469" s="1629">
        <f>IF(AND(E72=0,E74=0),0,IF(E72&lt;&gt;0,E44/(E72*360/E17),E44/(E74*360/E17)))</f>
        <v>0</v>
      </c>
      <c r="F469" s="1121"/>
      <c r="G469" s="1121"/>
      <c r="H469" s="1629">
        <f>IF(AND(H72=0,H74=0),0,IF(H72&lt;&gt;0,H44/(H72*360/H17),H44/(H74*360/H17)))</f>
        <v>0</v>
      </c>
      <c r="I469" s="1121"/>
      <c r="J469" s="1121"/>
      <c r="K469" s="1629">
        <f>IF(AND(K72=0,K74=0),0,IF(K72&lt;&gt;0,K44/(K72*360/K17),K44/(K74*360/K17)))</f>
        <v>0</v>
      </c>
      <c r="L469" s="1121"/>
      <c r="M469" s="1121"/>
      <c r="N469" s="1629">
        <f>IF(AND(N72=0,N74=0),0,IF(N72&lt;&gt;0,N44/(N72*360/N17),N44/(N74*360/N17)))</f>
        <v>0</v>
      </c>
      <c r="O469" s="1121"/>
      <c r="P469" s="1121"/>
      <c r="Q469" s="1629">
        <f>IF(AND(Q72=0,Q74=0),0,IF(Q72&lt;&gt;0,Q44/(Q72*360/Q17),Q44/(Q74*360/Q17)))</f>
        <v>0</v>
      </c>
      <c r="R469" s="1121"/>
      <c r="S469" s="1121"/>
      <c r="T469" s="1630">
        <f>IF($N$71=0,0,C469*$C$241+E469*$E$241+H469*$H$241+N469*$N$241+Q469*$Q$241)</f>
        <v>0</v>
      </c>
      <c r="U469" s="1630">
        <f t="shared" ref="U469:AI469" si="384">T469</f>
        <v>0</v>
      </c>
      <c r="V469" s="1630">
        <f t="shared" si="384"/>
        <v>0</v>
      </c>
      <c r="W469" s="1630">
        <f t="shared" si="384"/>
        <v>0</v>
      </c>
      <c r="X469" s="1630">
        <f t="shared" si="384"/>
        <v>0</v>
      </c>
      <c r="Y469" s="1630">
        <f t="shared" si="384"/>
        <v>0</v>
      </c>
      <c r="Z469" s="1630">
        <f t="shared" si="384"/>
        <v>0</v>
      </c>
      <c r="AA469" s="1630">
        <f t="shared" si="384"/>
        <v>0</v>
      </c>
      <c r="AB469" s="1630">
        <f t="shared" si="384"/>
        <v>0</v>
      </c>
      <c r="AC469" s="1630">
        <f t="shared" si="384"/>
        <v>0</v>
      </c>
      <c r="AD469" s="1669">
        <f t="shared" si="384"/>
        <v>0</v>
      </c>
      <c r="AE469" s="1669">
        <f t="shared" si="384"/>
        <v>0</v>
      </c>
      <c r="AF469" s="1669">
        <f t="shared" si="384"/>
        <v>0</v>
      </c>
      <c r="AG469" s="1669">
        <f t="shared" si="384"/>
        <v>0</v>
      </c>
      <c r="AH469" s="1669">
        <f t="shared" si="384"/>
        <v>0</v>
      </c>
      <c r="AI469" s="1669">
        <f t="shared" si="384"/>
        <v>0</v>
      </c>
      <c r="AJ469" s="1125"/>
    </row>
    <row r="470" spans="1:43" s="1126" customFormat="1">
      <c r="A470" s="1119"/>
      <c r="B470" s="1627" t="str">
        <f>"PASIVOS ESTIMADOS Y PROVISIONES / "&amp;IF(OR(C72&lt;&gt;0,E72&lt;&gt;0,H72&lt;&gt;0,K72&lt;&gt;0,N72&lt;&gt;0,Q72&lt;&gt;0,AND(C74=0,E74=0,H74=0,K74=0,N74=0,Q74=0)),"GASTOS OPERACIONALES (ANUALIZADOS)","COSTO DE VENTAS (ANUALIZADO)")</f>
        <v>PASIVOS ESTIMADOS Y PROVISIONES / GASTOS OPERACIONALES (ANUALIZADOS)</v>
      </c>
      <c r="C470" s="1628">
        <f>IF(AND(C72=0,C74=0),0,IF(C74&lt;&gt;0,C46/(C74*360/C17),C46/(C72*360/C17)))</f>
        <v>0</v>
      </c>
      <c r="D470" s="1121"/>
      <c r="E470" s="1629">
        <f>IF(AND(E72=0,E74=0),0,IF(E74&lt;&gt;0,E46/(E74*360/E17),E46/(E72*360/E17)))</f>
        <v>0</v>
      </c>
      <c r="F470" s="1121"/>
      <c r="G470" s="1121"/>
      <c r="H470" s="1629">
        <f>IF(AND(H72=0,H74=0),0,IF(H74&lt;&gt;0,H46/(H74*360/H17),H46/(H72*360/H17)))</f>
        <v>0</v>
      </c>
      <c r="I470" s="1121"/>
      <c r="J470" s="1121"/>
      <c r="K470" s="1629">
        <f>IF(AND(K72=0,K74=0),0,IF(K74&lt;&gt;0,K46/(K74*360/K17),K46/(K72*360/K17)))</f>
        <v>0</v>
      </c>
      <c r="L470" s="1121"/>
      <c r="M470" s="1121"/>
      <c r="N470" s="1629">
        <f>IF(AND(N72=0,N74=0),0,IF(N74&lt;&gt;0,N46/(N74*360/N17),N46/(N72*360/N17)))</f>
        <v>0</v>
      </c>
      <c r="O470" s="1121"/>
      <c r="P470" s="1121"/>
      <c r="Q470" s="1629">
        <f>IF(AND(Q72=0,Q74=0),0,IF(Q74&lt;&gt;0,Q46/(Q74*360/Q17),Q46/(Q72*360/Q17)))</f>
        <v>0</v>
      </c>
      <c r="R470" s="1121"/>
      <c r="S470" s="1121"/>
      <c r="T470" s="1630">
        <f>IF($N$71=0,0,C470*$C$241+E470*$E$241+H470*$H$241+N470*$N$241+Q470*$Q$241)</f>
        <v>0</v>
      </c>
      <c r="U470" s="1630">
        <f t="shared" ref="U470:AI470" si="385">T470</f>
        <v>0</v>
      </c>
      <c r="V470" s="1630">
        <f t="shared" si="385"/>
        <v>0</v>
      </c>
      <c r="W470" s="1630">
        <f t="shared" si="385"/>
        <v>0</v>
      </c>
      <c r="X470" s="1630">
        <f t="shared" si="385"/>
        <v>0</v>
      </c>
      <c r="Y470" s="1630">
        <f t="shared" si="385"/>
        <v>0</v>
      </c>
      <c r="Z470" s="1630">
        <f t="shared" si="385"/>
        <v>0</v>
      </c>
      <c r="AA470" s="1630">
        <f t="shared" si="385"/>
        <v>0</v>
      </c>
      <c r="AB470" s="1630">
        <f t="shared" si="385"/>
        <v>0</v>
      </c>
      <c r="AC470" s="1630">
        <f t="shared" si="385"/>
        <v>0</v>
      </c>
      <c r="AD470" s="1669">
        <f t="shared" si="385"/>
        <v>0</v>
      </c>
      <c r="AE470" s="1669">
        <f t="shared" si="385"/>
        <v>0</v>
      </c>
      <c r="AF470" s="1669">
        <f t="shared" si="385"/>
        <v>0</v>
      </c>
      <c r="AG470" s="1669">
        <f t="shared" si="385"/>
        <v>0</v>
      </c>
      <c r="AH470" s="1669">
        <f t="shared" si="385"/>
        <v>0</v>
      </c>
      <c r="AI470" s="1669">
        <f t="shared" si="385"/>
        <v>0</v>
      </c>
      <c r="AJ470" s="1125"/>
    </row>
    <row r="471" spans="1:43" s="536" customFormat="1">
      <c r="A471" s="537"/>
      <c r="B471" s="1627" t="s">
        <v>1373</v>
      </c>
      <c r="C471" s="1667" t="s">
        <v>1260</v>
      </c>
      <c r="D471" s="1121"/>
      <c r="E471" s="1629">
        <f>IF(OR(C64=0,C64=0),0,-E140/C64)</f>
        <v>0</v>
      </c>
      <c r="F471" s="1121"/>
      <c r="G471" s="1121"/>
      <c r="H471" s="1629">
        <f>IF(OR(E64=0,E64=0),0,-H140/E64)</f>
        <v>0</v>
      </c>
      <c r="I471" s="1121"/>
      <c r="J471" s="1121"/>
      <c r="K471" s="1629">
        <f>IF(OR(H64=0,H64=0),0,-K140/H64)</f>
        <v>0</v>
      </c>
      <c r="L471" s="1121"/>
      <c r="M471" s="1121"/>
      <c r="N471" s="1629">
        <f>IF(OR(H64=0,H64=0),0,-N140/H64)</f>
        <v>0</v>
      </c>
      <c r="O471" s="1121"/>
      <c r="P471" s="1121"/>
      <c r="Q471" s="1629">
        <f>IF(OR(N64=0,N64=0),0,IF(OR(SUM(Q62:Q63,Q66)&gt;=SUM(N62:N64,N66),AND(SUM(Q60:Q61)&gt;SUM(N60:N61),SUM(Q62:Q63,Q66)&lt;SUM(N62:N64,N66),SUM(N62:N64,N66)-SUM(Q62:Q63,Q66)&lt;=SUM(Q60:Q61)-SUM(N60:N61))),0,IF(AND(SUM(Q60:Q61)&gt;SUM(N60:N61),SUM(Q62:Q63,Q66)&lt;SUM(N62:N64,N66),SUM(N62:N64,N66)-SUM(Q62:Q63,Q66)&gt;SUM(Q60:Q61)-SUM(N60:N61)),(SUM(N62:N64,N66)-SUM(Q62:Q63,Q66))-(SUM(Q60:Q61)-SUM(N60:N61)),SUM(N62:N64,N66)-SUM(Q62:Q63,Q66)))/N64)</f>
        <v>0</v>
      </c>
      <c r="R471" s="1121"/>
      <c r="S471" s="1121"/>
      <c r="T471" s="1630">
        <f>IF($N$71=0,0,E471*($E$241+$C$241)+H471*$H$241+N471*$N$241+Q471*$Q$241)</f>
        <v>0</v>
      </c>
      <c r="U471" s="1630">
        <f t="shared" ref="U471:AI471" si="386">T471</f>
        <v>0</v>
      </c>
      <c r="V471" s="1630">
        <f t="shared" si="386"/>
        <v>0</v>
      </c>
      <c r="W471" s="1630">
        <f t="shared" si="386"/>
        <v>0</v>
      </c>
      <c r="X471" s="1630">
        <f t="shared" si="386"/>
        <v>0</v>
      </c>
      <c r="Y471" s="1630">
        <f t="shared" si="386"/>
        <v>0</v>
      </c>
      <c r="Z471" s="1630">
        <f t="shared" si="386"/>
        <v>0</v>
      </c>
      <c r="AA471" s="1630">
        <f t="shared" si="386"/>
        <v>0</v>
      </c>
      <c r="AB471" s="1630">
        <f t="shared" si="386"/>
        <v>0</v>
      </c>
      <c r="AC471" s="1630">
        <f t="shared" si="386"/>
        <v>0</v>
      </c>
      <c r="AD471" s="1669">
        <f t="shared" si="386"/>
        <v>0</v>
      </c>
      <c r="AE471" s="1669">
        <f t="shared" si="386"/>
        <v>0</v>
      </c>
      <c r="AF471" s="1669">
        <f t="shared" si="386"/>
        <v>0</v>
      </c>
      <c r="AG471" s="1669">
        <f t="shared" si="386"/>
        <v>0</v>
      </c>
      <c r="AH471" s="1669">
        <f t="shared" si="386"/>
        <v>0</v>
      </c>
      <c r="AI471" s="1669">
        <f t="shared" si="386"/>
        <v>0</v>
      </c>
      <c r="AJ471" s="853"/>
      <c r="AK471" s="533"/>
      <c r="AL471" s="533"/>
      <c r="AM471" s="533"/>
      <c r="AN471" s="625"/>
      <c r="AO471" s="625"/>
      <c r="AP471" s="625"/>
      <c r="AQ471" s="625"/>
    </row>
    <row r="472" spans="1:43" s="1126" customFormat="1">
      <c r="A472" s="1119"/>
      <c r="B472" s="1640" t="s">
        <v>1374</v>
      </c>
      <c r="C472" s="1672" t="s">
        <v>1260</v>
      </c>
      <c r="D472" s="1121"/>
      <c r="E472" s="1642">
        <f>IF(C65=0,0,IF(E$71=0,0,(E65/C65)-1))</f>
        <v>0</v>
      </c>
      <c r="F472" s="1121"/>
      <c r="G472" s="1121"/>
      <c r="H472" s="1642">
        <f>IF(E65=0,0,IF(H$71=0,0,(H65/E65)-1))</f>
        <v>0</v>
      </c>
      <c r="I472" s="1121"/>
      <c r="J472" s="1121"/>
      <c r="K472" s="1642">
        <f>IF(H65=0,0,IF(K$71=0,0,(K65/H65)-1))</f>
        <v>0</v>
      </c>
      <c r="L472" s="531"/>
      <c r="M472" s="539"/>
      <c r="N472" s="1642">
        <f>IF(H65=0,0,IF(N$71=0,0,(N65/H65)-1))</f>
        <v>0</v>
      </c>
      <c r="O472" s="531"/>
      <c r="P472" s="539"/>
      <c r="Q472" s="1642">
        <f>IF(N65=0,0,IF(Q$71=0,0,(Q65/N65)-1))</f>
        <v>0</v>
      </c>
      <c r="R472" s="531"/>
      <c r="S472" s="539"/>
      <c r="T472" s="1643">
        <v>0</v>
      </c>
      <c r="U472" s="1643">
        <f t="shared" ref="U472:AI472" si="387">T472</f>
        <v>0</v>
      </c>
      <c r="V472" s="1643">
        <f t="shared" si="387"/>
        <v>0</v>
      </c>
      <c r="W472" s="1643">
        <f t="shared" si="387"/>
        <v>0</v>
      </c>
      <c r="X472" s="1643">
        <f t="shared" si="387"/>
        <v>0</v>
      </c>
      <c r="Y472" s="1643">
        <f t="shared" si="387"/>
        <v>0</v>
      </c>
      <c r="Z472" s="1643">
        <f t="shared" si="387"/>
        <v>0</v>
      </c>
      <c r="AA472" s="1643">
        <f t="shared" si="387"/>
        <v>0</v>
      </c>
      <c r="AB472" s="1643">
        <f t="shared" si="387"/>
        <v>0</v>
      </c>
      <c r="AC472" s="1643">
        <f t="shared" si="387"/>
        <v>0</v>
      </c>
      <c r="AD472" s="1673">
        <f t="shared" si="387"/>
        <v>0</v>
      </c>
      <c r="AE472" s="1673">
        <f t="shared" si="387"/>
        <v>0</v>
      </c>
      <c r="AF472" s="1673">
        <f t="shared" si="387"/>
        <v>0</v>
      </c>
      <c r="AG472" s="1673">
        <f t="shared" si="387"/>
        <v>0</v>
      </c>
      <c r="AH472" s="1673">
        <f t="shared" si="387"/>
        <v>0</v>
      </c>
      <c r="AI472" s="1673">
        <f t="shared" si="387"/>
        <v>0</v>
      </c>
      <c r="AJ472" s="1125"/>
    </row>
    <row r="473" spans="1:43" s="536" customFormat="1">
      <c r="A473" s="537"/>
      <c r="B473" s="1674"/>
      <c r="C473" s="531"/>
      <c r="D473" s="531"/>
      <c r="E473" s="531"/>
      <c r="F473" s="531"/>
      <c r="G473" s="531"/>
      <c r="H473" s="531"/>
      <c r="I473" s="530"/>
      <c r="J473" s="530"/>
      <c r="K473" s="530"/>
      <c r="L473" s="531"/>
      <c r="M473" s="539"/>
      <c r="N473" s="530"/>
      <c r="O473" s="531"/>
      <c r="P473" s="539"/>
      <c r="Q473" s="530"/>
      <c r="R473" s="531"/>
      <c r="S473" s="539"/>
      <c r="T473" s="539"/>
      <c r="U473" s="531"/>
      <c r="V473" s="531"/>
      <c r="W473" s="531"/>
      <c r="X473" s="531"/>
      <c r="Y473" s="531"/>
      <c r="Z473" s="531"/>
      <c r="AA473" s="531"/>
      <c r="AB473" s="531"/>
      <c r="AC473" s="531"/>
      <c r="AD473" s="531"/>
      <c r="AE473" s="1675"/>
      <c r="AF473" s="1675"/>
      <c r="AG473" s="531"/>
      <c r="AH473" s="531"/>
      <c r="AI473" s="531"/>
      <c r="AJ473" s="853"/>
      <c r="AK473" s="533"/>
      <c r="AL473" s="533"/>
      <c r="AM473" s="533"/>
      <c r="AN473" s="625"/>
      <c r="AO473" s="625"/>
      <c r="AP473" s="625"/>
      <c r="AQ473" s="625"/>
    </row>
    <row r="474" spans="1:43" s="536" customFormat="1">
      <c r="A474" s="537"/>
      <c r="B474" s="1674"/>
      <c r="C474" s="531"/>
      <c r="D474" s="531"/>
      <c r="E474" s="531"/>
      <c r="F474" s="531"/>
      <c r="G474" s="531"/>
      <c r="H474" s="531"/>
      <c r="I474" s="530"/>
      <c r="J474" s="530"/>
      <c r="K474" s="530"/>
      <c r="L474" s="531"/>
      <c r="M474" s="539"/>
      <c r="N474" s="530"/>
      <c r="O474" s="531"/>
      <c r="P474" s="539"/>
      <c r="Q474" s="530"/>
      <c r="R474" s="531"/>
      <c r="S474" s="539"/>
      <c r="T474" s="1676" t="s">
        <v>1044</v>
      </c>
      <c r="U474" s="1677" t="s">
        <v>1044</v>
      </c>
      <c r="V474" s="1677" t="s">
        <v>1044</v>
      </c>
      <c r="W474" s="1677" t="s">
        <v>1044</v>
      </c>
      <c r="X474" s="1677" t="s">
        <v>1044</v>
      </c>
      <c r="Y474" s="1677" t="s">
        <v>1044</v>
      </c>
      <c r="Z474" s="1677" t="s">
        <v>1044</v>
      </c>
      <c r="AA474" s="1677" t="s">
        <v>1044</v>
      </c>
      <c r="AB474" s="1677" t="s">
        <v>1044</v>
      </c>
      <c r="AC474" s="1677" t="s">
        <v>1044</v>
      </c>
      <c r="AD474" s="1678" t="s">
        <v>1044</v>
      </c>
      <c r="AE474" s="1678" t="s">
        <v>1044</v>
      </c>
      <c r="AF474" s="1678" t="s">
        <v>1044</v>
      </c>
      <c r="AG474" s="1678" t="s">
        <v>1044</v>
      </c>
      <c r="AH474" s="1678" t="s">
        <v>1044</v>
      </c>
      <c r="AI474" s="1678" t="s">
        <v>1044</v>
      </c>
      <c r="AJ474" s="853"/>
      <c r="AK474" s="533"/>
      <c r="AL474" s="533"/>
      <c r="AM474" s="533"/>
      <c r="AN474" s="625"/>
      <c r="AO474" s="625"/>
      <c r="AP474" s="625"/>
      <c r="AQ474" s="625"/>
    </row>
    <row r="475" spans="1:43" s="536" customFormat="1">
      <c r="A475" s="537"/>
      <c r="B475" s="1679" t="s">
        <v>1375</v>
      </c>
      <c r="C475" s="1680">
        <f>C428</f>
        <v>2016</v>
      </c>
      <c r="D475" s="531"/>
      <c r="E475" s="1681">
        <f>E428</f>
        <v>2017</v>
      </c>
      <c r="F475" s="531"/>
      <c r="G475" s="531"/>
      <c r="H475" s="1681">
        <f>H428</f>
        <v>2018</v>
      </c>
      <c r="I475" s="530"/>
      <c r="J475" s="530"/>
      <c r="K475" s="1681">
        <f>K428</f>
        <v>2019</v>
      </c>
      <c r="L475" s="531"/>
      <c r="M475" s="539"/>
      <c r="N475" s="1681">
        <f>N428</f>
        <v>2019</v>
      </c>
      <c r="O475" s="531"/>
      <c r="P475" s="539"/>
      <c r="Q475" s="1681" t="str">
        <f>Q428</f>
        <v>2020</v>
      </c>
      <c r="R475" s="531"/>
      <c r="S475" s="539"/>
      <c r="T475" s="1682">
        <f t="shared" ref="T475:AI475" si="388">T428</f>
        <v>2020</v>
      </c>
      <c r="U475" s="1683">
        <f t="shared" si="388"/>
        <v>2021</v>
      </c>
      <c r="V475" s="1683">
        <f t="shared" si="388"/>
        <v>2022</v>
      </c>
      <c r="W475" s="1683">
        <f t="shared" si="388"/>
        <v>2023</v>
      </c>
      <c r="X475" s="1683">
        <f t="shared" si="388"/>
        <v>2024</v>
      </c>
      <c r="Y475" s="1683">
        <f t="shared" si="388"/>
        <v>2025</v>
      </c>
      <c r="Z475" s="1683">
        <f t="shared" si="388"/>
        <v>2026</v>
      </c>
      <c r="AA475" s="1683">
        <f t="shared" si="388"/>
        <v>2027</v>
      </c>
      <c r="AB475" s="1683">
        <f t="shared" si="388"/>
        <v>2028</v>
      </c>
      <c r="AC475" s="1683">
        <f t="shared" si="388"/>
        <v>2029</v>
      </c>
      <c r="AD475" s="1684">
        <f t="shared" si="388"/>
        <v>2030</v>
      </c>
      <c r="AE475" s="1684">
        <f t="shared" si="388"/>
        <v>2031</v>
      </c>
      <c r="AF475" s="1684">
        <f t="shared" si="388"/>
        <v>2032</v>
      </c>
      <c r="AG475" s="1684">
        <f t="shared" si="388"/>
        <v>2033</v>
      </c>
      <c r="AH475" s="1684">
        <f t="shared" si="388"/>
        <v>2034</v>
      </c>
      <c r="AI475" s="1684">
        <f t="shared" si="388"/>
        <v>2035</v>
      </c>
      <c r="AJ475" s="853"/>
      <c r="AK475" s="533"/>
      <c r="AL475" s="533"/>
      <c r="AM475" s="533"/>
      <c r="AN475" s="625"/>
      <c r="AO475" s="625"/>
      <c r="AP475" s="625"/>
      <c r="AQ475" s="625"/>
    </row>
    <row r="476" spans="1:43" s="536" customFormat="1">
      <c r="A476" s="537"/>
      <c r="B476" s="1685" t="str">
        <f>B429</f>
        <v>Inflación</v>
      </c>
      <c r="C476" s="1686">
        <f>C429</f>
        <v>6.8000000000000005E-2</v>
      </c>
      <c r="D476" s="531"/>
      <c r="E476" s="1687">
        <f>E429</f>
        <v>3.6999999999999998E-2</v>
      </c>
      <c r="F476" s="531"/>
      <c r="G476" s="531"/>
      <c r="H476" s="1687">
        <f>H429</f>
        <v>2.4400000000000002E-2</v>
      </c>
      <c r="I476" s="530"/>
      <c r="J476" s="530"/>
      <c r="K476" s="1687" t="str">
        <f>K429</f>
        <v>N/A</v>
      </c>
      <c r="L476" s="531"/>
      <c r="M476" s="539"/>
      <c r="N476" s="1687">
        <f>N429</f>
        <v>3.6600000000000001E-2</v>
      </c>
      <c r="O476" s="531"/>
      <c r="P476" s="539"/>
      <c r="Q476" s="1687" t="str">
        <f>Q429</f>
        <v>N/A</v>
      </c>
      <c r="R476" s="531"/>
      <c r="S476" s="539"/>
      <c r="T476" s="1688">
        <f>T429</f>
        <v>6.7699999999999996E-2</v>
      </c>
      <c r="U476" s="1689">
        <f>U429</f>
        <v>3.6400000000000002E-2</v>
      </c>
      <c r="V476" s="1689">
        <f>IF(V475=2010,2.8%,3%)</f>
        <v>0.03</v>
      </c>
      <c r="W476" s="1689">
        <f t="shared" ref="W476:AI476" si="389">V476</f>
        <v>0.03</v>
      </c>
      <c r="X476" s="1689">
        <f t="shared" si="389"/>
        <v>0.03</v>
      </c>
      <c r="Y476" s="1689">
        <f t="shared" si="389"/>
        <v>0.03</v>
      </c>
      <c r="Z476" s="1689">
        <f t="shared" si="389"/>
        <v>0.03</v>
      </c>
      <c r="AA476" s="1689">
        <f t="shared" si="389"/>
        <v>0.03</v>
      </c>
      <c r="AB476" s="1689">
        <f t="shared" si="389"/>
        <v>0.03</v>
      </c>
      <c r="AC476" s="1689">
        <f t="shared" si="389"/>
        <v>0.03</v>
      </c>
      <c r="AD476" s="1690">
        <f t="shared" si="389"/>
        <v>0.03</v>
      </c>
      <c r="AE476" s="1690">
        <f t="shared" si="389"/>
        <v>0.03</v>
      </c>
      <c r="AF476" s="1690">
        <f t="shared" si="389"/>
        <v>0.03</v>
      </c>
      <c r="AG476" s="1690">
        <f t="shared" si="389"/>
        <v>0.03</v>
      </c>
      <c r="AH476" s="1690">
        <f t="shared" si="389"/>
        <v>0.03</v>
      </c>
      <c r="AI476" s="1690">
        <f t="shared" si="389"/>
        <v>0.03</v>
      </c>
      <c r="AJ476" s="853"/>
      <c r="AK476" s="533"/>
      <c r="AL476" s="533"/>
      <c r="AM476" s="533"/>
      <c r="AN476" s="625"/>
      <c r="AO476" s="625"/>
      <c r="AP476" s="625"/>
      <c r="AQ476" s="625"/>
    </row>
    <row r="477" spans="1:43" s="536" customFormat="1">
      <c r="A477" s="537"/>
      <c r="B477" s="1691" t="str">
        <f>B430</f>
        <v>Variación TRM</v>
      </c>
      <c r="C477" s="1692">
        <f>C430</f>
        <v>4.4900000000000002E-2</v>
      </c>
      <c r="D477" s="531"/>
      <c r="E477" s="1693">
        <f>E430</f>
        <v>-0.13397724183117241</v>
      </c>
      <c r="F477" s="531"/>
      <c r="G477" s="531"/>
      <c r="H477" s="1693">
        <f>H430</f>
        <v>-9.0066906845084921E-2</v>
      </c>
      <c r="I477" s="530"/>
      <c r="J477" s="530"/>
      <c r="K477" s="1693" t="str">
        <f>K430</f>
        <v>N/A</v>
      </c>
      <c r="L477" s="531"/>
      <c r="M477" s="539"/>
      <c r="N477" s="1693">
        <f>N430</f>
        <v>0.32480404320537187</v>
      </c>
      <c r="O477" s="531"/>
      <c r="P477" s="539"/>
      <c r="Q477" s="1693" t="str">
        <f>Q430</f>
        <v>N/A</v>
      </c>
      <c r="R477" s="531"/>
      <c r="S477" s="539"/>
      <c r="T477" s="1694">
        <f>T430</f>
        <v>0.38507704050111063</v>
      </c>
      <c r="U477" s="1695">
        <f>U430</f>
        <v>-0.13692170398303674</v>
      </c>
      <c r="V477" s="1695">
        <f>IF(V475=2009,2%,IF(V475=2010,3.04%,2.5%))</f>
        <v>2.5000000000000001E-2</v>
      </c>
      <c r="W477" s="1695">
        <f>IF(W475=2010,3.04%,IF(W475=2011,2.5%,4%))</f>
        <v>0.04</v>
      </c>
      <c r="X477" s="1695">
        <f>IF(X475&lt;=2012,2.5%,W477)</f>
        <v>0.04</v>
      </c>
      <c r="Y477" s="1696">
        <f t="shared" ref="Y477:AI477" si="390">X477</f>
        <v>0.04</v>
      </c>
      <c r="Z477" s="1696">
        <f t="shared" si="390"/>
        <v>0.04</v>
      </c>
      <c r="AA477" s="1696">
        <f t="shared" si="390"/>
        <v>0.04</v>
      </c>
      <c r="AB477" s="1696">
        <f t="shared" si="390"/>
        <v>0.04</v>
      </c>
      <c r="AC477" s="1696">
        <f t="shared" si="390"/>
        <v>0.04</v>
      </c>
      <c r="AD477" s="1697">
        <f t="shared" si="390"/>
        <v>0.04</v>
      </c>
      <c r="AE477" s="1697">
        <f t="shared" si="390"/>
        <v>0.04</v>
      </c>
      <c r="AF477" s="1697">
        <f t="shared" si="390"/>
        <v>0.04</v>
      </c>
      <c r="AG477" s="1697">
        <f t="shared" si="390"/>
        <v>0.04</v>
      </c>
      <c r="AH477" s="1697">
        <f t="shared" si="390"/>
        <v>0.04</v>
      </c>
      <c r="AI477" s="1697">
        <f t="shared" si="390"/>
        <v>0.04</v>
      </c>
      <c r="AJ477" s="853"/>
      <c r="AK477" s="533"/>
      <c r="AL477" s="533"/>
      <c r="AM477" s="533"/>
      <c r="AN477" s="625"/>
      <c r="AO477" s="625"/>
      <c r="AP477" s="625"/>
      <c r="AQ477" s="625"/>
    </row>
    <row r="478" spans="1:43" s="536" customFormat="1">
      <c r="A478" s="537"/>
      <c r="B478" s="1691" t="str">
        <f>B431</f>
        <v>Crecimiento PIB</v>
      </c>
      <c r="C478" s="1692">
        <f>C431</f>
        <v>6.5799999999999997E-2</v>
      </c>
      <c r="D478" s="531"/>
      <c r="E478" s="1693">
        <f>E431</f>
        <v>4.0399999999999998E-2</v>
      </c>
      <c r="F478" s="531"/>
      <c r="G478" s="531"/>
      <c r="H478" s="1693">
        <f>H431</f>
        <v>4.9299999999999997E-2</v>
      </c>
      <c r="I478" s="530"/>
      <c r="J478" s="530"/>
      <c r="K478" s="1693" t="str">
        <f>K431</f>
        <v>N/A</v>
      </c>
      <c r="L478" s="531"/>
      <c r="M478" s="539"/>
      <c r="N478" s="1693">
        <f>N431</f>
        <v>4.5499999999999999E-2</v>
      </c>
      <c r="O478" s="531"/>
      <c r="P478" s="539"/>
      <c r="Q478" s="1693" t="str">
        <f>Q431</f>
        <v>N/A</v>
      </c>
      <c r="R478" s="531"/>
      <c r="S478" s="539"/>
      <c r="T478" s="1698">
        <f>T479/N479-1</f>
        <v>0.38507704050111058</v>
      </c>
      <c r="U478" s="1699">
        <f>U479/T479-1</f>
        <v>-0.13692170398303671</v>
      </c>
      <c r="V478" s="1699">
        <f>V479/U479-1</f>
        <v>-0.24420714285714296</v>
      </c>
      <c r="W478" s="1699">
        <f>W479/V479-1</f>
        <v>3.5001086843522877E-2</v>
      </c>
      <c r="X478" s="1699">
        <f>X479/W479-1</f>
        <v>3.499999999999992E-2</v>
      </c>
      <c r="Y478" s="1695">
        <v>3.5000000000000003E-2</v>
      </c>
      <c r="Z478" s="1695">
        <f t="shared" ref="Z478:AI478" si="391">Y478</f>
        <v>3.5000000000000003E-2</v>
      </c>
      <c r="AA478" s="1695">
        <f t="shared" si="391"/>
        <v>3.5000000000000003E-2</v>
      </c>
      <c r="AB478" s="1695">
        <f t="shared" si="391"/>
        <v>3.5000000000000003E-2</v>
      </c>
      <c r="AC478" s="1695">
        <f t="shared" si="391"/>
        <v>3.5000000000000003E-2</v>
      </c>
      <c r="AD478" s="1700">
        <f t="shared" si="391"/>
        <v>3.5000000000000003E-2</v>
      </c>
      <c r="AE478" s="1700">
        <f t="shared" si="391"/>
        <v>3.5000000000000003E-2</v>
      </c>
      <c r="AF478" s="1700">
        <f t="shared" si="391"/>
        <v>3.5000000000000003E-2</v>
      </c>
      <c r="AG478" s="1700">
        <f t="shared" si="391"/>
        <v>3.5000000000000003E-2</v>
      </c>
      <c r="AH478" s="1700">
        <f t="shared" si="391"/>
        <v>3.5000000000000003E-2</v>
      </c>
      <c r="AI478" s="1700">
        <f t="shared" si="391"/>
        <v>3.5000000000000003E-2</v>
      </c>
      <c r="AJ478" s="853"/>
      <c r="AK478" s="533"/>
      <c r="AL478" s="533"/>
      <c r="AM478" s="533"/>
      <c r="AN478" s="625"/>
      <c r="AO478" s="625"/>
      <c r="AP478" s="625"/>
      <c r="AQ478" s="625"/>
    </row>
    <row r="479" spans="1:43" s="536" customFormat="1" ht="13.5" thickBot="1">
      <c r="A479" s="537"/>
      <c r="B479" s="1701" t="str">
        <f>B432</f>
        <v>TRM (COP POR 1 USD)</v>
      </c>
      <c r="C479" s="1702">
        <f>C432</f>
        <v>2243.59</v>
      </c>
      <c r="D479" s="1703"/>
      <c r="E479" s="1704">
        <f>E432</f>
        <v>1943</v>
      </c>
      <c r="F479" s="1703"/>
      <c r="G479" s="1703"/>
      <c r="H479" s="1704">
        <f>H432</f>
        <v>1768</v>
      </c>
      <c r="I479" s="1705"/>
      <c r="J479" s="1705"/>
      <c r="K479" s="1704" t="str">
        <f>K432</f>
        <v>N/A</v>
      </c>
      <c r="L479" s="1703"/>
      <c r="M479" s="1706"/>
      <c r="N479" s="1704">
        <f>N432</f>
        <v>2342.2535483870975</v>
      </c>
      <c r="O479" s="1703"/>
      <c r="P479" s="1706"/>
      <c r="Q479" s="1704" t="str">
        <f>Q432</f>
        <v>N/A</v>
      </c>
      <c r="R479" s="1703"/>
      <c r="S479" s="1706"/>
      <c r="T479" s="1707">
        <f>T432</f>
        <v>3244.2016129032259</v>
      </c>
      <c r="U479" s="1708">
        <f>U432</f>
        <v>2800</v>
      </c>
      <c r="V479" s="1708">
        <f>IF(V475=2009,2044.23,IF(V475=2010,1978,IF(V475=2011,2034.83,2116.22)))</f>
        <v>2116.2199999999998</v>
      </c>
      <c r="W479" s="1708">
        <f>IF(W475=2010,1978,IF(W475=2011,2034.83,IF(W475=2012,2116.22,2190.29)))</f>
        <v>2190.29</v>
      </c>
      <c r="X479" s="1708">
        <f>IF(W475=2010,2034.83,IF(W475=2011,2116.22,IF(W475=2012,2190.29,W479*1.035)))</f>
        <v>2266.9501499999997</v>
      </c>
      <c r="Y479" s="1709">
        <f t="shared" ref="Y479:AI479" si="392">X479*(1+Y478)</f>
        <v>2346.2934052499995</v>
      </c>
      <c r="Z479" s="1709">
        <f t="shared" si="392"/>
        <v>2428.4136744337493</v>
      </c>
      <c r="AA479" s="1709">
        <f t="shared" si="392"/>
        <v>2513.4081530389303</v>
      </c>
      <c r="AB479" s="1709">
        <f t="shared" si="392"/>
        <v>2601.3774383952928</v>
      </c>
      <c r="AC479" s="1709">
        <f t="shared" si="392"/>
        <v>2692.4256487391276</v>
      </c>
      <c r="AD479" s="1710">
        <f t="shared" si="392"/>
        <v>2786.6605464449967</v>
      </c>
      <c r="AE479" s="1710">
        <f t="shared" si="392"/>
        <v>2884.1936655705713</v>
      </c>
      <c r="AF479" s="1710">
        <f t="shared" si="392"/>
        <v>2985.1404438655409</v>
      </c>
      <c r="AG479" s="1710">
        <f t="shared" si="392"/>
        <v>3089.6203594008348</v>
      </c>
      <c r="AH479" s="1710">
        <f t="shared" si="392"/>
        <v>3197.7570719798637</v>
      </c>
      <c r="AI479" s="1710">
        <f t="shared" si="392"/>
        <v>3309.6785694991586</v>
      </c>
      <c r="AJ479" s="853"/>
      <c r="AK479" s="533"/>
      <c r="AL479" s="533"/>
      <c r="AM479" s="533"/>
      <c r="AN479" s="625"/>
      <c r="AO479" s="625"/>
      <c r="AP479" s="625"/>
      <c r="AQ479" s="625"/>
    </row>
    <row r="480" spans="1:43" s="536" customFormat="1">
      <c r="A480" s="537"/>
      <c r="B480" s="660"/>
      <c r="C480" s="1596"/>
      <c r="D480" s="531"/>
      <c r="E480" s="1596"/>
      <c r="F480" s="531"/>
      <c r="G480" s="531"/>
      <c r="H480" s="1596"/>
      <c r="I480" s="530"/>
      <c r="J480" s="530"/>
      <c r="K480" s="1596"/>
      <c r="L480" s="531"/>
      <c r="M480" s="539"/>
      <c r="N480" s="1596"/>
      <c r="O480" s="531"/>
      <c r="P480" s="539"/>
      <c r="Q480" s="1596"/>
      <c r="R480" s="531"/>
      <c r="S480" s="539"/>
      <c r="T480" s="1711" t="s">
        <v>1376</v>
      </c>
      <c r="U480" s="1712"/>
      <c r="V480" s="1712"/>
      <c r="W480" s="1712"/>
      <c r="X480" s="1712"/>
      <c r="Y480" s="1712"/>
      <c r="Z480" s="1712"/>
      <c r="AA480" s="1712"/>
      <c r="AB480" s="1712"/>
      <c r="AC480" s="1712"/>
      <c r="AD480" s="1712"/>
      <c r="AE480" s="531"/>
      <c r="AF480" s="1616"/>
      <c r="AG480" s="531"/>
      <c r="AH480" s="531"/>
      <c r="AI480" s="531"/>
      <c r="AJ480" s="853"/>
      <c r="AK480" s="533"/>
      <c r="AL480" s="533"/>
      <c r="AM480" s="533"/>
      <c r="AN480" s="625"/>
      <c r="AO480" s="625"/>
      <c r="AP480" s="625"/>
      <c r="AQ480" s="625"/>
    </row>
    <row r="481" spans="1:43" s="536" customFormat="1" ht="13.5" thickBot="1">
      <c r="A481" s="537"/>
      <c r="B481" s="660"/>
      <c r="C481" s="531"/>
      <c r="D481" s="534"/>
      <c r="E481" s="531"/>
      <c r="F481" s="531"/>
      <c r="G481" s="531"/>
      <c r="H481" s="531"/>
      <c r="I481" s="530"/>
      <c r="J481" s="530"/>
      <c r="K481" s="1295"/>
      <c r="L481" s="531"/>
      <c r="M481" s="539"/>
      <c r="N481" s="1295"/>
      <c r="O481" s="531"/>
      <c r="P481" s="539"/>
      <c r="Q481" s="1295"/>
      <c r="R481" s="531"/>
      <c r="S481" s="539"/>
      <c r="T481" s="1608"/>
      <c r="U481" s="1608"/>
      <c r="V481" s="1608"/>
      <c r="W481" s="1608"/>
      <c r="X481" s="1608"/>
      <c r="Y481" s="1608"/>
      <c r="Z481" s="1608"/>
      <c r="AA481" s="1608"/>
      <c r="AB481" s="1608"/>
      <c r="AC481" s="1608"/>
      <c r="AD481" s="1608"/>
      <c r="AE481" s="531"/>
      <c r="AF481" s="531"/>
      <c r="AG481" s="531"/>
      <c r="AH481" s="531"/>
      <c r="AI481" s="531"/>
      <c r="AJ481" s="853"/>
      <c r="AK481" s="533"/>
      <c r="AL481" s="533"/>
      <c r="AM481" s="533"/>
      <c r="AN481" s="625"/>
      <c r="AO481" s="625"/>
      <c r="AP481" s="625"/>
      <c r="AQ481" s="625"/>
    </row>
    <row r="482" spans="1:43" s="536" customFormat="1" ht="13.5" thickBot="1">
      <c r="A482" s="537"/>
      <c r="B482" s="1713" t="str">
        <f>"INFORMACIÓN HISTÓRICA - ESCENARIO "&amp;H914</f>
        <v>INFORMACIÓN HISTÓRICA - ESCENARIO SENSIBILIZADO</v>
      </c>
      <c r="C482" s="531"/>
      <c r="D482" s="534"/>
      <c r="E482" s="531"/>
      <c r="F482" s="531"/>
      <c r="G482" s="531"/>
      <c r="H482" s="531"/>
      <c r="I482" s="530"/>
      <c r="J482" s="530"/>
      <c r="K482" s="1295"/>
      <c r="L482" s="531"/>
      <c r="M482" s="539"/>
      <c r="N482" s="1295"/>
      <c r="O482" s="531"/>
      <c r="P482" s="539"/>
      <c r="Q482" s="1295"/>
      <c r="R482" s="531"/>
      <c r="S482" s="539"/>
      <c r="T482" s="1714" t="str">
        <f>"PROYECCIÓN ESCENARIO "&amp;H914</f>
        <v>PROYECCIÓN ESCENARIO SENSIBILIZADO</v>
      </c>
      <c r="U482" s="1715"/>
      <c r="V482" s="1716"/>
      <c r="W482" s="531"/>
      <c r="X482" s="531"/>
      <c r="Y482" s="531"/>
      <c r="Z482" s="531"/>
      <c r="AA482" s="531"/>
      <c r="AB482" s="531"/>
      <c r="AC482" s="531"/>
      <c r="AD482" s="531"/>
      <c r="AE482" s="531"/>
      <c r="AF482" s="531"/>
      <c r="AG482" s="531"/>
      <c r="AH482" s="531"/>
      <c r="AI482" s="531"/>
      <c r="AJ482" s="853"/>
      <c r="AK482" s="533"/>
      <c r="AL482" s="533"/>
      <c r="AM482" s="533"/>
      <c r="AN482" s="625"/>
      <c r="AO482" s="625"/>
      <c r="AP482" s="625"/>
      <c r="AQ482" s="625"/>
    </row>
    <row r="483" spans="1:43" s="536" customFormat="1" ht="13.5" thickBot="1">
      <c r="A483" s="537"/>
      <c r="B483" s="660"/>
      <c r="C483" s="531"/>
      <c r="D483" s="534"/>
      <c r="E483" s="531"/>
      <c r="F483" s="531"/>
      <c r="G483" s="531"/>
      <c r="H483" s="531"/>
      <c r="I483" s="530"/>
      <c r="J483" s="530"/>
      <c r="K483" s="1295"/>
      <c r="L483" s="531"/>
      <c r="M483" s="539"/>
      <c r="N483" s="1295"/>
      <c r="O483" s="531"/>
      <c r="P483" s="539"/>
      <c r="Q483" s="1295"/>
      <c r="R483" s="531"/>
      <c r="S483" s="539"/>
      <c r="T483" s="531"/>
      <c r="U483" s="531"/>
      <c r="V483" s="531"/>
      <c r="W483" s="531"/>
      <c r="X483" s="531"/>
      <c r="Y483" s="531"/>
      <c r="Z483" s="531"/>
      <c r="AA483" s="531"/>
      <c r="AB483" s="531"/>
      <c r="AC483" s="531"/>
      <c r="AD483" s="531"/>
      <c r="AE483" s="531"/>
      <c r="AF483" s="1717"/>
      <c r="AG483" s="531"/>
      <c r="AH483" s="531"/>
      <c r="AI483" s="531"/>
      <c r="AJ483" s="853"/>
      <c r="AK483" s="533"/>
      <c r="AL483" s="533"/>
      <c r="AM483" s="533"/>
      <c r="AN483" s="625"/>
      <c r="AO483" s="625"/>
      <c r="AP483" s="625"/>
      <c r="AQ483" s="625"/>
    </row>
    <row r="484" spans="1:43" s="536" customFormat="1" ht="13.5" thickBot="1">
      <c r="A484" s="537"/>
      <c r="B484" s="660"/>
      <c r="C484" s="531"/>
      <c r="D484" s="534"/>
      <c r="E484" s="531"/>
      <c r="F484" s="531"/>
      <c r="G484" s="531"/>
      <c r="H484" s="531"/>
      <c r="I484" s="530"/>
      <c r="J484" s="530"/>
      <c r="K484" s="1295"/>
      <c r="L484" s="531"/>
      <c r="M484" s="539"/>
      <c r="N484" s="1295"/>
      <c r="O484" s="531"/>
      <c r="P484" s="539"/>
      <c r="Q484" s="1295"/>
      <c r="R484" s="531"/>
      <c r="S484" s="539"/>
      <c r="T484" s="1718" t="s">
        <v>1044</v>
      </c>
      <c r="U484" s="1719" t="s">
        <v>1044</v>
      </c>
      <c r="V484" s="1719" t="s">
        <v>1044</v>
      </c>
      <c r="W484" s="1719" t="s">
        <v>1044</v>
      </c>
      <c r="X484" s="1719" t="s">
        <v>1044</v>
      </c>
      <c r="Y484" s="1719" t="s">
        <v>1044</v>
      </c>
      <c r="Z484" s="1719" t="s">
        <v>1044</v>
      </c>
      <c r="AA484" s="1719" t="s">
        <v>1044</v>
      </c>
      <c r="AB484" s="1719" t="s">
        <v>1044</v>
      </c>
      <c r="AC484" s="1719" t="s">
        <v>1044</v>
      </c>
      <c r="AD484" s="1720" t="s">
        <v>1044</v>
      </c>
      <c r="AE484" s="1720" t="s">
        <v>1044</v>
      </c>
      <c r="AF484" s="1720" t="s">
        <v>1044</v>
      </c>
      <c r="AG484" s="1720" t="s">
        <v>1044</v>
      </c>
      <c r="AH484" s="1720" t="s">
        <v>1044</v>
      </c>
      <c r="AI484" s="1720" t="s">
        <v>1044</v>
      </c>
      <c r="AJ484" s="853"/>
      <c r="AK484" s="533"/>
      <c r="AL484" s="533"/>
      <c r="AM484" s="533"/>
      <c r="AN484" s="625"/>
      <c r="AO484" s="625"/>
      <c r="AP484" s="625"/>
      <c r="AQ484" s="625"/>
    </row>
    <row r="485" spans="1:43" s="536" customFormat="1">
      <c r="A485" s="537"/>
      <c r="B485" s="1721" t="s">
        <v>1345</v>
      </c>
      <c r="C485" s="1722">
        <f>C15</f>
        <v>2016</v>
      </c>
      <c r="D485" s="1723"/>
      <c r="E485" s="1724">
        <f>E15</f>
        <v>2017</v>
      </c>
      <c r="F485" s="1723"/>
      <c r="G485" s="1723"/>
      <c r="H485" s="1724">
        <f>H15</f>
        <v>2018</v>
      </c>
      <c r="I485" s="1725"/>
      <c r="J485" s="1725"/>
      <c r="K485" s="1724">
        <f>K15</f>
        <v>2019</v>
      </c>
      <c r="L485" s="1723"/>
      <c r="M485" s="1726"/>
      <c r="N485" s="1724">
        <f>N15</f>
        <v>2019</v>
      </c>
      <c r="O485" s="1723"/>
      <c r="P485" s="1726"/>
      <c r="Q485" s="1724" t="str">
        <f>Q15</f>
        <v>2020</v>
      </c>
      <c r="R485" s="1723"/>
      <c r="S485" s="1727" t="s">
        <v>1377</v>
      </c>
      <c r="T485" s="1728">
        <f t="shared" ref="T485:AI485" si="393">T385</f>
        <v>2020</v>
      </c>
      <c r="U485" s="1728">
        <f t="shared" si="393"/>
        <v>2021</v>
      </c>
      <c r="V485" s="1728">
        <f t="shared" si="393"/>
        <v>2022</v>
      </c>
      <c r="W485" s="1728">
        <f t="shared" si="393"/>
        <v>2023</v>
      </c>
      <c r="X485" s="1728">
        <f t="shared" si="393"/>
        <v>2024</v>
      </c>
      <c r="Y485" s="1728">
        <f t="shared" si="393"/>
        <v>2025</v>
      </c>
      <c r="Z485" s="1728">
        <f t="shared" si="393"/>
        <v>2026</v>
      </c>
      <c r="AA485" s="1728">
        <f t="shared" si="393"/>
        <v>2027</v>
      </c>
      <c r="AB485" s="1728">
        <f t="shared" si="393"/>
        <v>2028</v>
      </c>
      <c r="AC485" s="1728">
        <f t="shared" si="393"/>
        <v>2029</v>
      </c>
      <c r="AD485" s="1729">
        <f t="shared" si="393"/>
        <v>2030</v>
      </c>
      <c r="AE485" s="1729">
        <f t="shared" si="393"/>
        <v>2031</v>
      </c>
      <c r="AF485" s="1729">
        <f t="shared" si="393"/>
        <v>2032</v>
      </c>
      <c r="AG485" s="1729">
        <f t="shared" si="393"/>
        <v>2033</v>
      </c>
      <c r="AH485" s="1729">
        <f t="shared" si="393"/>
        <v>2034</v>
      </c>
      <c r="AI485" s="1729">
        <f t="shared" si="393"/>
        <v>2035</v>
      </c>
      <c r="AJ485" s="853"/>
      <c r="AK485" s="533"/>
      <c r="AL485" s="533"/>
      <c r="AM485" s="533"/>
      <c r="AN485" s="625"/>
      <c r="AO485" s="625"/>
      <c r="AP485" s="625"/>
      <c r="AQ485" s="625"/>
    </row>
    <row r="486" spans="1:43" s="536" customFormat="1">
      <c r="A486" s="537"/>
      <c r="B486" s="1730" t="str">
        <f t="shared" ref="B486:C497" si="394">B439</f>
        <v>CRECIMIENTO EN VENTAS</v>
      </c>
      <c r="C486" s="1731" t="str">
        <f t="shared" si="394"/>
        <v>N/A</v>
      </c>
      <c r="D486" s="531"/>
      <c r="E486" s="1732">
        <f t="shared" ref="E486:E497" si="395">E439</f>
        <v>0</v>
      </c>
      <c r="F486" s="531"/>
      <c r="G486" s="531"/>
      <c r="H486" s="1732">
        <f t="shared" ref="H486:H497" si="396">H439</f>
        <v>0</v>
      </c>
      <c r="I486" s="530"/>
      <c r="J486" s="530"/>
      <c r="K486" s="1732">
        <f t="shared" ref="K486:K497" si="397">K439</f>
        <v>0</v>
      </c>
      <c r="L486" s="531"/>
      <c r="M486" s="539"/>
      <c r="N486" s="1732">
        <f t="shared" ref="N486:N497" si="398">N439</f>
        <v>0</v>
      </c>
      <c r="O486" s="531"/>
      <c r="P486" s="539"/>
      <c r="Q486" s="1732">
        <f t="shared" ref="Q486:Q497" si="399">Q439</f>
        <v>0</v>
      </c>
      <c r="R486" s="531"/>
      <c r="S486" s="1733"/>
      <c r="T486" s="1734">
        <f t="shared" ref="T486:AI486" si="400">T439+$S486</f>
        <v>0</v>
      </c>
      <c r="U486" s="1734">
        <f t="shared" si="400"/>
        <v>0</v>
      </c>
      <c r="V486" s="1734">
        <f t="shared" si="400"/>
        <v>0</v>
      </c>
      <c r="W486" s="1734">
        <f t="shared" si="400"/>
        <v>0</v>
      </c>
      <c r="X486" s="1734">
        <f t="shared" si="400"/>
        <v>0</v>
      </c>
      <c r="Y486" s="1734">
        <f t="shared" si="400"/>
        <v>0</v>
      </c>
      <c r="Z486" s="1734">
        <f t="shared" si="400"/>
        <v>0</v>
      </c>
      <c r="AA486" s="1734">
        <f t="shared" si="400"/>
        <v>0</v>
      </c>
      <c r="AB486" s="1734">
        <f t="shared" si="400"/>
        <v>0</v>
      </c>
      <c r="AC486" s="1734">
        <f t="shared" si="400"/>
        <v>0</v>
      </c>
      <c r="AD486" s="1735">
        <f t="shared" si="400"/>
        <v>0</v>
      </c>
      <c r="AE486" s="1735">
        <f t="shared" si="400"/>
        <v>0</v>
      </c>
      <c r="AF486" s="1735">
        <f t="shared" si="400"/>
        <v>0</v>
      </c>
      <c r="AG486" s="1735">
        <f t="shared" si="400"/>
        <v>0</v>
      </c>
      <c r="AH486" s="1735">
        <f t="shared" si="400"/>
        <v>0</v>
      </c>
      <c r="AI486" s="1735">
        <f t="shared" si="400"/>
        <v>0</v>
      </c>
      <c r="AJ486" s="853"/>
      <c r="AK486" s="533"/>
      <c r="AL486" s="533"/>
      <c r="AM486" s="533"/>
      <c r="AN486" s="625"/>
      <c r="AO486" s="625"/>
      <c r="AP486" s="625"/>
      <c r="AQ486" s="625"/>
    </row>
    <row r="487" spans="1:43" s="536" customFormat="1">
      <c r="A487" s="537"/>
      <c r="B487" s="1736" t="str">
        <f t="shared" si="394"/>
        <v>MARGEN BRUTO</v>
      </c>
      <c r="C487" s="1737">
        <f t="shared" si="394"/>
        <v>0</v>
      </c>
      <c r="D487" s="531"/>
      <c r="E487" s="1738">
        <f t="shared" si="395"/>
        <v>0</v>
      </c>
      <c r="F487" s="531"/>
      <c r="G487" s="531"/>
      <c r="H487" s="1738">
        <f t="shared" si="396"/>
        <v>0</v>
      </c>
      <c r="I487" s="530"/>
      <c r="J487" s="530"/>
      <c r="K487" s="1738">
        <f t="shared" si="397"/>
        <v>0</v>
      </c>
      <c r="L487" s="531"/>
      <c r="M487" s="539"/>
      <c r="N487" s="1738">
        <f t="shared" si="398"/>
        <v>0</v>
      </c>
      <c r="O487" s="531"/>
      <c r="P487" s="539"/>
      <c r="Q487" s="1738">
        <f t="shared" si="399"/>
        <v>0</v>
      </c>
      <c r="R487" s="531"/>
      <c r="S487" s="1739"/>
      <c r="T487" s="1740">
        <f t="shared" ref="T487:AI487" si="401">T440+$S487</f>
        <v>0</v>
      </c>
      <c r="U487" s="1740">
        <f t="shared" si="401"/>
        <v>0</v>
      </c>
      <c r="V487" s="1740">
        <f t="shared" si="401"/>
        <v>0</v>
      </c>
      <c r="W487" s="1740">
        <f t="shared" si="401"/>
        <v>0</v>
      </c>
      <c r="X487" s="1740">
        <f t="shared" si="401"/>
        <v>0</v>
      </c>
      <c r="Y487" s="1740">
        <f t="shared" si="401"/>
        <v>0</v>
      </c>
      <c r="Z487" s="1740">
        <f t="shared" si="401"/>
        <v>0</v>
      </c>
      <c r="AA487" s="1740">
        <f t="shared" si="401"/>
        <v>0</v>
      </c>
      <c r="AB487" s="1740">
        <f t="shared" si="401"/>
        <v>0</v>
      </c>
      <c r="AC487" s="1740">
        <f t="shared" si="401"/>
        <v>0</v>
      </c>
      <c r="AD487" s="1741">
        <f t="shared" si="401"/>
        <v>0</v>
      </c>
      <c r="AE487" s="1741">
        <f t="shared" si="401"/>
        <v>0</v>
      </c>
      <c r="AF487" s="1741">
        <f t="shared" si="401"/>
        <v>0</v>
      </c>
      <c r="AG487" s="1741">
        <f t="shared" si="401"/>
        <v>0</v>
      </c>
      <c r="AH487" s="1741">
        <f t="shared" si="401"/>
        <v>0</v>
      </c>
      <c r="AI487" s="1741">
        <f t="shared" si="401"/>
        <v>0</v>
      </c>
      <c r="AJ487" s="853"/>
      <c r="AK487" s="533"/>
      <c r="AL487" s="533"/>
      <c r="AM487" s="533"/>
      <c r="AN487" s="625"/>
      <c r="AO487" s="625"/>
      <c r="AP487" s="625"/>
      <c r="AQ487" s="625"/>
    </row>
    <row r="488" spans="1:43" s="536" customFormat="1">
      <c r="A488" s="537"/>
      <c r="B488" s="1736" t="str">
        <f t="shared" si="394"/>
        <v>GASTOS DE ADMINISTRACIÓN Y VENTAS / VENTAS</v>
      </c>
      <c r="C488" s="1737">
        <f t="shared" si="394"/>
        <v>0</v>
      </c>
      <c r="D488" s="531"/>
      <c r="E488" s="1738">
        <f t="shared" si="395"/>
        <v>0</v>
      </c>
      <c r="F488" s="531"/>
      <c r="G488" s="531"/>
      <c r="H488" s="1738">
        <f t="shared" si="396"/>
        <v>0</v>
      </c>
      <c r="I488" s="530"/>
      <c r="J488" s="530"/>
      <c r="K488" s="1738">
        <f t="shared" si="397"/>
        <v>0</v>
      </c>
      <c r="L488" s="531"/>
      <c r="M488" s="539"/>
      <c r="N488" s="1738">
        <f t="shared" si="398"/>
        <v>0</v>
      </c>
      <c r="O488" s="531"/>
      <c r="P488" s="539"/>
      <c r="Q488" s="1738">
        <f t="shared" si="399"/>
        <v>0</v>
      </c>
      <c r="R488" s="531"/>
      <c r="S488" s="1739"/>
      <c r="T488" s="1740">
        <f t="shared" ref="T488:AI488" si="402">T441+$S488</f>
        <v>0</v>
      </c>
      <c r="U488" s="1740">
        <f t="shared" si="402"/>
        <v>0</v>
      </c>
      <c r="V488" s="1740">
        <f t="shared" si="402"/>
        <v>0</v>
      </c>
      <c r="W488" s="1740">
        <f t="shared" si="402"/>
        <v>0</v>
      </c>
      <c r="X488" s="1740">
        <f t="shared" si="402"/>
        <v>0</v>
      </c>
      <c r="Y488" s="1740">
        <f t="shared" si="402"/>
        <v>0</v>
      </c>
      <c r="Z488" s="1740">
        <f t="shared" si="402"/>
        <v>0</v>
      </c>
      <c r="AA488" s="1740">
        <f t="shared" si="402"/>
        <v>0</v>
      </c>
      <c r="AB488" s="1740">
        <f t="shared" si="402"/>
        <v>0</v>
      </c>
      <c r="AC488" s="1740">
        <f t="shared" si="402"/>
        <v>0</v>
      </c>
      <c r="AD488" s="1741">
        <f t="shared" si="402"/>
        <v>0</v>
      </c>
      <c r="AE488" s="1741">
        <f t="shared" si="402"/>
        <v>0</v>
      </c>
      <c r="AF488" s="1741">
        <f t="shared" si="402"/>
        <v>0</v>
      </c>
      <c r="AG488" s="1741">
        <f t="shared" si="402"/>
        <v>0</v>
      </c>
      <c r="AH488" s="1741">
        <f t="shared" si="402"/>
        <v>0</v>
      </c>
      <c r="AI488" s="1741">
        <f t="shared" si="402"/>
        <v>0</v>
      </c>
      <c r="AJ488" s="853"/>
      <c r="AK488" s="533"/>
      <c r="AL488" s="533"/>
      <c r="AM488" s="533"/>
      <c r="AN488" s="625"/>
      <c r="AO488" s="625"/>
      <c r="AP488" s="625"/>
      <c r="AQ488" s="625"/>
    </row>
    <row r="489" spans="1:43" s="536" customFormat="1">
      <c r="A489" s="537"/>
      <c r="B489" s="1736" t="str">
        <f t="shared" si="394"/>
        <v>TASA DE INTERÉS OBLIGACIONES FINANCIERAS CORRIENTES</v>
      </c>
      <c r="C489" s="1737">
        <f t="shared" si="394"/>
        <v>0</v>
      </c>
      <c r="D489" s="531"/>
      <c r="E489" s="1738">
        <f t="shared" si="395"/>
        <v>0</v>
      </c>
      <c r="F489" s="531"/>
      <c r="G489" s="531"/>
      <c r="H489" s="1738">
        <f t="shared" si="396"/>
        <v>0</v>
      </c>
      <c r="I489" s="530"/>
      <c r="J489" s="530"/>
      <c r="K489" s="1738">
        <f t="shared" si="397"/>
        <v>0</v>
      </c>
      <c r="L489" s="531"/>
      <c r="M489" s="539"/>
      <c r="N489" s="1738">
        <f t="shared" si="398"/>
        <v>0</v>
      </c>
      <c r="O489" s="531"/>
      <c r="P489" s="539"/>
      <c r="Q489" s="1738">
        <f t="shared" si="399"/>
        <v>0</v>
      </c>
      <c r="R489" s="531"/>
      <c r="S489" s="1742"/>
      <c r="T489" s="1743">
        <f t="shared" ref="T489:AI489" si="403">T442+$S489</f>
        <v>0</v>
      </c>
      <c r="U489" s="1743">
        <f t="shared" si="403"/>
        <v>0</v>
      </c>
      <c r="V489" s="1743">
        <f t="shared" si="403"/>
        <v>0</v>
      </c>
      <c r="W489" s="1743">
        <f t="shared" si="403"/>
        <v>0</v>
      </c>
      <c r="X489" s="1743">
        <f t="shared" si="403"/>
        <v>0</v>
      </c>
      <c r="Y489" s="1743">
        <f t="shared" si="403"/>
        <v>0</v>
      </c>
      <c r="Z489" s="1743">
        <f t="shared" si="403"/>
        <v>0</v>
      </c>
      <c r="AA489" s="1743">
        <f t="shared" si="403"/>
        <v>0</v>
      </c>
      <c r="AB489" s="1743">
        <f t="shared" si="403"/>
        <v>0</v>
      </c>
      <c r="AC489" s="1743">
        <f t="shared" si="403"/>
        <v>0</v>
      </c>
      <c r="AD489" s="1744">
        <f t="shared" si="403"/>
        <v>0</v>
      </c>
      <c r="AE489" s="1744">
        <f t="shared" si="403"/>
        <v>0</v>
      </c>
      <c r="AF489" s="1744">
        <f t="shared" si="403"/>
        <v>0</v>
      </c>
      <c r="AG489" s="1744">
        <f t="shared" si="403"/>
        <v>0</v>
      </c>
      <c r="AH489" s="1744">
        <f t="shared" si="403"/>
        <v>0</v>
      </c>
      <c r="AI489" s="1744">
        <f t="shared" si="403"/>
        <v>0</v>
      </c>
      <c r="AJ489" s="853"/>
      <c r="AK489" s="533"/>
      <c r="AL489" s="533"/>
      <c r="AM489" s="533"/>
      <c r="AN489" s="625"/>
      <c r="AO489" s="625"/>
      <c r="AP489" s="625"/>
      <c r="AQ489" s="625"/>
    </row>
    <row r="490" spans="1:43" s="536" customFormat="1">
      <c r="A490" s="537"/>
      <c r="B490" s="1736" t="str">
        <f t="shared" si="394"/>
        <v>CÁLCULO INTERESES OBLIGACIONES FINANCIERAS CORRIENTES</v>
      </c>
      <c r="C490" s="1745">
        <f t="shared" si="394"/>
        <v>0</v>
      </c>
      <c r="D490" s="531"/>
      <c r="E490" s="1746">
        <f t="shared" si="395"/>
        <v>0</v>
      </c>
      <c r="F490" s="531"/>
      <c r="G490" s="531"/>
      <c r="H490" s="1746">
        <f t="shared" si="396"/>
        <v>0</v>
      </c>
      <c r="I490" s="530"/>
      <c r="J490" s="530"/>
      <c r="K490" s="1746">
        <f t="shared" si="397"/>
        <v>0</v>
      </c>
      <c r="L490" s="531"/>
      <c r="M490" s="539"/>
      <c r="N490" s="1746">
        <f t="shared" si="398"/>
        <v>0</v>
      </c>
      <c r="O490" s="531"/>
      <c r="P490" s="539"/>
      <c r="Q490" s="1746">
        <f t="shared" si="399"/>
        <v>0</v>
      </c>
      <c r="R490" s="531"/>
      <c r="S490" s="1747"/>
      <c r="T490" s="1748">
        <f>N36*T489</f>
        <v>0</v>
      </c>
      <c r="U490" s="1748">
        <f t="shared" ref="U490:AI490" si="404">T36*U489</f>
        <v>0</v>
      </c>
      <c r="V490" s="1748">
        <f t="shared" si="404"/>
        <v>0</v>
      </c>
      <c r="W490" s="1748">
        <f t="shared" si="404"/>
        <v>0</v>
      </c>
      <c r="X490" s="1748">
        <f t="shared" si="404"/>
        <v>0</v>
      </c>
      <c r="Y490" s="1748">
        <f t="shared" si="404"/>
        <v>0</v>
      </c>
      <c r="Z490" s="1748">
        <f t="shared" si="404"/>
        <v>0</v>
      </c>
      <c r="AA490" s="1748">
        <f t="shared" si="404"/>
        <v>0</v>
      </c>
      <c r="AB490" s="1748">
        <f t="shared" si="404"/>
        <v>0</v>
      </c>
      <c r="AC490" s="1748">
        <f t="shared" si="404"/>
        <v>0</v>
      </c>
      <c r="AD490" s="1749">
        <f t="shared" si="404"/>
        <v>0</v>
      </c>
      <c r="AE490" s="1749">
        <f t="shared" si="404"/>
        <v>0</v>
      </c>
      <c r="AF490" s="1749">
        <f t="shared" si="404"/>
        <v>0</v>
      </c>
      <c r="AG490" s="1749">
        <f t="shared" si="404"/>
        <v>0</v>
      </c>
      <c r="AH490" s="1749">
        <f t="shared" si="404"/>
        <v>0</v>
      </c>
      <c r="AI490" s="1749">
        <f t="shared" si="404"/>
        <v>0</v>
      </c>
      <c r="AJ490" s="853"/>
      <c r="AK490" s="533"/>
      <c r="AL490" s="533"/>
      <c r="AM490" s="533"/>
      <c r="AN490" s="625"/>
      <c r="AO490" s="625"/>
      <c r="AP490" s="625"/>
      <c r="AQ490" s="625"/>
    </row>
    <row r="491" spans="1:43" s="536" customFormat="1">
      <c r="A491" s="537"/>
      <c r="B491" s="1736" t="str">
        <f t="shared" si="394"/>
        <v>INGRESOS FINANCIEROS / VENTAS</v>
      </c>
      <c r="C491" s="1737">
        <f t="shared" si="394"/>
        <v>0</v>
      </c>
      <c r="D491" s="531"/>
      <c r="E491" s="1738">
        <f t="shared" si="395"/>
        <v>0</v>
      </c>
      <c r="F491" s="531"/>
      <c r="G491" s="531"/>
      <c r="H491" s="1738">
        <f t="shared" si="396"/>
        <v>0</v>
      </c>
      <c r="I491" s="530"/>
      <c r="J491" s="530"/>
      <c r="K491" s="1738">
        <f t="shared" si="397"/>
        <v>0</v>
      </c>
      <c r="L491" s="531"/>
      <c r="M491" s="539"/>
      <c r="N491" s="1738">
        <f t="shared" si="398"/>
        <v>0</v>
      </c>
      <c r="O491" s="531"/>
      <c r="P491" s="539"/>
      <c r="Q491" s="1738">
        <f t="shared" si="399"/>
        <v>0</v>
      </c>
      <c r="R491" s="531"/>
      <c r="S491" s="1750"/>
      <c r="T491" s="1751">
        <f t="shared" ref="T491:AI491" si="405">T444+$S491</f>
        <v>0</v>
      </c>
      <c r="U491" s="1751">
        <f t="shared" si="405"/>
        <v>0</v>
      </c>
      <c r="V491" s="1751">
        <f t="shared" si="405"/>
        <v>0</v>
      </c>
      <c r="W491" s="1751">
        <f t="shared" si="405"/>
        <v>0</v>
      </c>
      <c r="X491" s="1751">
        <f t="shared" si="405"/>
        <v>0</v>
      </c>
      <c r="Y491" s="1751">
        <f t="shared" si="405"/>
        <v>0</v>
      </c>
      <c r="Z491" s="1751">
        <f t="shared" si="405"/>
        <v>0</v>
      </c>
      <c r="AA491" s="1751">
        <f t="shared" si="405"/>
        <v>0</v>
      </c>
      <c r="AB491" s="1751">
        <f t="shared" si="405"/>
        <v>0</v>
      </c>
      <c r="AC491" s="1751">
        <f t="shared" si="405"/>
        <v>0</v>
      </c>
      <c r="AD491" s="1752">
        <f t="shared" si="405"/>
        <v>0</v>
      </c>
      <c r="AE491" s="1752">
        <f t="shared" si="405"/>
        <v>0</v>
      </c>
      <c r="AF491" s="1752">
        <f t="shared" si="405"/>
        <v>0</v>
      </c>
      <c r="AG491" s="1752">
        <f t="shared" si="405"/>
        <v>0</v>
      </c>
      <c r="AH491" s="1752">
        <f t="shared" si="405"/>
        <v>0</v>
      </c>
      <c r="AI491" s="1752">
        <f t="shared" si="405"/>
        <v>0</v>
      </c>
      <c r="AJ491" s="853"/>
      <c r="AK491" s="533"/>
      <c r="AL491" s="533"/>
      <c r="AM491" s="533"/>
      <c r="AN491" s="625"/>
      <c r="AO491" s="625"/>
      <c r="AP491" s="625"/>
      <c r="AQ491" s="625"/>
    </row>
    <row r="492" spans="1:43" s="536" customFormat="1">
      <c r="A492" s="537"/>
      <c r="B492" s="1736" t="str">
        <f t="shared" si="394"/>
        <v>UTILIDAD (PÉRDIDA) EN VENTA DE ACTIVOS FIJOS / VENTAS</v>
      </c>
      <c r="C492" s="1737">
        <f t="shared" si="394"/>
        <v>0</v>
      </c>
      <c r="D492" s="531"/>
      <c r="E492" s="1738">
        <f t="shared" si="395"/>
        <v>0</v>
      </c>
      <c r="F492" s="531"/>
      <c r="G492" s="531"/>
      <c r="H492" s="1738">
        <f t="shared" si="396"/>
        <v>0</v>
      </c>
      <c r="I492" s="530"/>
      <c r="J492" s="530"/>
      <c r="K492" s="1738">
        <f t="shared" si="397"/>
        <v>0</v>
      </c>
      <c r="L492" s="531"/>
      <c r="M492" s="539"/>
      <c r="N492" s="1738">
        <f t="shared" si="398"/>
        <v>0</v>
      </c>
      <c r="O492" s="531"/>
      <c r="P492" s="539"/>
      <c r="Q492" s="1738">
        <f t="shared" si="399"/>
        <v>0</v>
      </c>
      <c r="R492" s="531"/>
      <c r="S492" s="1739"/>
      <c r="T492" s="1740">
        <f t="shared" ref="T492:AI492" si="406">T445+$S492</f>
        <v>0</v>
      </c>
      <c r="U492" s="1740">
        <f t="shared" si="406"/>
        <v>0</v>
      </c>
      <c r="V492" s="1740">
        <f t="shared" si="406"/>
        <v>0</v>
      </c>
      <c r="W492" s="1740">
        <f t="shared" si="406"/>
        <v>0</v>
      </c>
      <c r="X492" s="1740">
        <f t="shared" si="406"/>
        <v>0</v>
      </c>
      <c r="Y492" s="1740">
        <f t="shared" si="406"/>
        <v>0</v>
      </c>
      <c r="Z492" s="1740">
        <f t="shared" si="406"/>
        <v>0</v>
      </c>
      <c r="AA492" s="1740">
        <f t="shared" si="406"/>
        <v>0</v>
      </c>
      <c r="AB492" s="1740">
        <f t="shared" si="406"/>
        <v>0</v>
      </c>
      <c r="AC492" s="1740">
        <f t="shared" si="406"/>
        <v>0</v>
      </c>
      <c r="AD492" s="1741">
        <f t="shared" si="406"/>
        <v>0</v>
      </c>
      <c r="AE492" s="1741">
        <f t="shared" si="406"/>
        <v>0</v>
      </c>
      <c r="AF492" s="1741">
        <f t="shared" si="406"/>
        <v>0</v>
      </c>
      <c r="AG492" s="1741">
        <f t="shared" si="406"/>
        <v>0</v>
      </c>
      <c r="AH492" s="1741">
        <f t="shared" si="406"/>
        <v>0</v>
      </c>
      <c r="AI492" s="1741">
        <f t="shared" si="406"/>
        <v>0</v>
      </c>
      <c r="AJ492" s="853"/>
      <c r="AK492" s="533"/>
      <c r="AL492" s="533"/>
      <c r="AM492" s="533"/>
      <c r="AN492" s="625"/>
      <c r="AO492" s="625"/>
      <c r="AP492" s="625"/>
      <c r="AQ492" s="625"/>
    </row>
    <row r="493" spans="1:43" s="536" customFormat="1">
      <c r="A493" s="537"/>
      <c r="B493" s="1736" t="str">
        <f t="shared" si="394"/>
        <v>UTILIDAD (PÉRDIDA) EN VENTA DE INVERSIONES / VENTAS</v>
      </c>
      <c r="C493" s="1737">
        <f t="shared" si="394"/>
        <v>0</v>
      </c>
      <c r="D493" s="531"/>
      <c r="E493" s="1738">
        <f t="shared" si="395"/>
        <v>0</v>
      </c>
      <c r="F493" s="531"/>
      <c r="G493" s="531"/>
      <c r="H493" s="1738">
        <f t="shared" si="396"/>
        <v>0</v>
      </c>
      <c r="I493" s="530"/>
      <c r="J493" s="530"/>
      <c r="K493" s="1738">
        <f t="shared" si="397"/>
        <v>0</v>
      </c>
      <c r="L493" s="531"/>
      <c r="M493" s="539"/>
      <c r="N493" s="1738">
        <f t="shared" si="398"/>
        <v>0</v>
      </c>
      <c r="O493" s="531"/>
      <c r="P493" s="539"/>
      <c r="Q493" s="1738">
        <f t="shared" si="399"/>
        <v>0</v>
      </c>
      <c r="R493" s="531"/>
      <c r="S493" s="1739"/>
      <c r="T493" s="1740">
        <f t="shared" ref="T493:AI493" si="407">T446+$S493</f>
        <v>0</v>
      </c>
      <c r="U493" s="1740">
        <f t="shared" si="407"/>
        <v>0</v>
      </c>
      <c r="V493" s="1740">
        <f t="shared" si="407"/>
        <v>0</v>
      </c>
      <c r="W493" s="1740">
        <f t="shared" si="407"/>
        <v>0</v>
      </c>
      <c r="X493" s="1740">
        <f t="shared" si="407"/>
        <v>0</v>
      </c>
      <c r="Y493" s="1740">
        <f t="shared" si="407"/>
        <v>0</v>
      </c>
      <c r="Z493" s="1740">
        <f t="shared" si="407"/>
        <v>0</v>
      </c>
      <c r="AA493" s="1740">
        <f t="shared" si="407"/>
        <v>0</v>
      </c>
      <c r="AB493" s="1740">
        <f t="shared" si="407"/>
        <v>0</v>
      </c>
      <c r="AC493" s="1740">
        <f t="shared" si="407"/>
        <v>0</v>
      </c>
      <c r="AD493" s="1741">
        <f t="shared" si="407"/>
        <v>0</v>
      </c>
      <c r="AE493" s="1741">
        <f t="shared" si="407"/>
        <v>0</v>
      </c>
      <c r="AF493" s="1741">
        <f t="shared" si="407"/>
        <v>0</v>
      </c>
      <c r="AG493" s="1741">
        <f t="shared" si="407"/>
        <v>0</v>
      </c>
      <c r="AH493" s="1741">
        <f t="shared" si="407"/>
        <v>0</v>
      </c>
      <c r="AI493" s="1741">
        <f t="shared" si="407"/>
        <v>0</v>
      </c>
      <c r="AJ493" s="853"/>
      <c r="AK493" s="533"/>
      <c r="AL493" s="533"/>
      <c r="AM493" s="533"/>
      <c r="AN493" s="625"/>
      <c r="AO493" s="625"/>
      <c r="AP493" s="625"/>
      <c r="AQ493" s="625"/>
    </row>
    <row r="494" spans="1:43" s="536" customFormat="1">
      <c r="A494" s="537"/>
      <c r="B494" s="1736" t="str">
        <f t="shared" si="394"/>
        <v>INGRESOS (EGRESOS) POR MÉTODO DE PARTICIPACIÓN / VENTAS</v>
      </c>
      <c r="C494" s="1737">
        <f t="shared" si="394"/>
        <v>0</v>
      </c>
      <c r="D494" s="531"/>
      <c r="E494" s="1738">
        <f t="shared" si="395"/>
        <v>0</v>
      </c>
      <c r="F494" s="531"/>
      <c r="G494" s="531"/>
      <c r="H494" s="1738">
        <f t="shared" si="396"/>
        <v>0</v>
      </c>
      <c r="I494" s="530"/>
      <c r="J494" s="530"/>
      <c r="K494" s="1738">
        <f t="shared" si="397"/>
        <v>0</v>
      </c>
      <c r="L494" s="531"/>
      <c r="M494" s="539"/>
      <c r="N494" s="1738">
        <f t="shared" si="398"/>
        <v>0</v>
      </c>
      <c r="O494" s="531"/>
      <c r="P494" s="539"/>
      <c r="Q494" s="1738">
        <f t="shared" si="399"/>
        <v>0</v>
      </c>
      <c r="R494" s="531"/>
      <c r="S494" s="1739"/>
      <c r="T494" s="1740">
        <f t="shared" ref="T494:AI494" si="408">T447+$S494</f>
        <v>0</v>
      </c>
      <c r="U494" s="1740">
        <f t="shared" si="408"/>
        <v>0</v>
      </c>
      <c r="V494" s="1740">
        <f t="shared" si="408"/>
        <v>0</v>
      </c>
      <c r="W494" s="1740">
        <f t="shared" si="408"/>
        <v>0</v>
      </c>
      <c r="X494" s="1740">
        <f t="shared" si="408"/>
        <v>0</v>
      </c>
      <c r="Y494" s="1740">
        <f t="shared" si="408"/>
        <v>0</v>
      </c>
      <c r="Z494" s="1740">
        <f t="shared" si="408"/>
        <v>0</v>
      </c>
      <c r="AA494" s="1740">
        <f t="shared" si="408"/>
        <v>0</v>
      </c>
      <c r="AB494" s="1740">
        <f t="shared" si="408"/>
        <v>0</v>
      </c>
      <c r="AC494" s="1740">
        <f t="shared" si="408"/>
        <v>0</v>
      </c>
      <c r="AD494" s="1741">
        <f t="shared" si="408"/>
        <v>0</v>
      </c>
      <c r="AE494" s="1741">
        <f t="shared" si="408"/>
        <v>0</v>
      </c>
      <c r="AF494" s="1741">
        <f t="shared" si="408"/>
        <v>0</v>
      </c>
      <c r="AG494" s="1741">
        <f t="shared" si="408"/>
        <v>0</v>
      </c>
      <c r="AH494" s="1741">
        <f t="shared" si="408"/>
        <v>0</v>
      </c>
      <c r="AI494" s="1741">
        <f t="shared" si="408"/>
        <v>0</v>
      </c>
      <c r="AJ494" s="853"/>
      <c r="AK494" s="533"/>
      <c r="AL494" s="533"/>
      <c r="AM494" s="533"/>
      <c r="AN494" s="625"/>
      <c r="AO494" s="625"/>
      <c r="AP494" s="625"/>
      <c r="AQ494" s="625"/>
    </row>
    <row r="495" spans="1:43" s="536" customFormat="1">
      <c r="A495" s="537"/>
      <c r="B495" s="1736" t="str">
        <f t="shared" si="394"/>
        <v>OTROS INGRESOS / VENTAS</v>
      </c>
      <c r="C495" s="1737">
        <f t="shared" si="394"/>
        <v>0</v>
      </c>
      <c r="D495" s="1121"/>
      <c r="E495" s="1738">
        <f t="shared" si="395"/>
        <v>0</v>
      </c>
      <c r="F495" s="1121"/>
      <c r="G495" s="1121"/>
      <c r="H495" s="1738">
        <f t="shared" si="396"/>
        <v>0</v>
      </c>
      <c r="I495" s="1121"/>
      <c r="J495" s="1121"/>
      <c r="K495" s="1738">
        <f t="shared" si="397"/>
        <v>0</v>
      </c>
      <c r="L495" s="531"/>
      <c r="M495" s="539"/>
      <c r="N495" s="1738">
        <f t="shared" si="398"/>
        <v>0</v>
      </c>
      <c r="O495" s="531"/>
      <c r="P495" s="539"/>
      <c r="Q495" s="1738">
        <f t="shared" si="399"/>
        <v>0</v>
      </c>
      <c r="R495" s="531"/>
      <c r="S495" s="1739"/>
      <c r="T495" s="1740">
        <f t="shared" ref="T495:AI495" si="409">T448+$S495</f>
        <v>0</v>
      </c>
      <c r="U495" s="1740">
        <f t="shared" si="409"/>
        <v>0</v>
      </c>
      <c r="V495" s="1740">
        <f t="shared" si="409"/>
        <v>0</v>
      </c>
      <c r="W495" s="1740">
        <f t="shared" si="409"/>
        <v>0</v>
      </c>
      <c r="X495" s="1740">
        <f t="shared" si="409"/>
        <v>0</v>
      </c>
      <c r="Y495" s="1740">
        <f t="shared" si="409"/>
        <v>0</v>
      </c>
      <c r="Z495" s="1740">
        <f t="shared" si="409"/>
        <v>0</v>
      </c>
      <c r="AA495" s="1740">
        <f t="shared" si="409"/>
        <v>0</v>
      </c>
      <c r="AB495" s="1740">
        <f t="shared" si="409"/>
        <v>0</v>
      </c>
      <c r="AC495" s="1740">
        <f t="shared" si="409"/>
        <v>0</v>
      </c>
      <c r="AD495" s="1741">
        <f t="shared" si="409"/>
        <v>0</v>
      </c>
      <c r="AE495" s="1741">
        <f t="shared" si="409"/>
        <v>0</v>
      </c>
      <c r="AF495" s="1741">
        <f t="shared" si="409"/>
        <v>0</v>
      </c>
      <c r="AG495" s="1741">
        <f t="shared" si="409"/>
        <v>0</v>
      </c>
      <c r="AH495" s="1741">
        <f t="shared" si="409"/>
        <v>0</v>
      </c>
      <c r="AI495" s="1741">
        <f t="shared" si="409"/>
        <v>0</v>
      </c>
      <c r="AJ495" s="853"/>
      <c r="AK495" s="533"/>
      <c r="AL495" s="533"/>
      <c r="AM495" s="533"/>
      <c r="AN495" s="625"/>
      <c r="AO495" s="625"/>
      <c r="AP495" s="625"/>
      <c r="AQ495" s="625"/>
    </row>
    <row r="496" spans="1:43" s="536" customFormat="1">
      <c r="A496" s="537"/>
      <c r="B496" s="1736" t="str">
        <f t="shared" si="394"/>
        <v>OTROS EGRESOS / VENTAS</v>
      </c>
      <c r="C496" s="1737">
        <f t="shared" si="394"/>
        <v>0</v>
      </c>
      <c r="D496" s="1121"/>
      <c r="E496" s="1738">
        <f t="shared" si="395"/>
        <v>0</v>
      </c>
      <c r="F496" s="1121"/>
      <c r="G496" s="1121"/>
      <c r="H496" s="1738">
        <f t="shared" si="396"/>
        <v>0</v>
      </c>
      <c r="I496" s="1121"/>
      <c r="J496" s="1121"/>
      <c r="K496" s="1738">
        <f t="shared" si="397"/>
        <v>0</v>
      </c>
      <c r="L496" s="531"/>
      <c r="M496" s="539"/>
      <c r="N496" s="1738">
        <f t="shared" si="398"/>
        <v>0</v>
      </c>
      <c r="O496" s="531"/>
      <c r="P496" s="539"/>
      <c r="Q496" s="1738">
        <f t="shared" si="399"/>
        <v>0</v>
      </c>
      <c r="R496" s="531"/>
      <c r="S496" s="1739"/>
      <c r="T496" s="1740">
        <f t="shared" ref="T496:AI496" si="410">T449+$S496</f>
        <v>0</v>
      </c>
      <c r="U496" s="1740">
        <f t="shared" si="410"/>
        <v>0</v>
      </c>
      <c r="V496" s="1740">
        <f t="shared" si="410"/>
        <v>0</v>
      </c>
      <c r="W496" s="1740">
        <f t="shared" si="410"/>
        <v>0</v>
      </c>
      <c r="X496" s="1740">
        <f t="shared" si="410"/>
        <v>0</v>
      </c>
      <c r="Y496" s="1740">
        <f t="shared" si="410"/>
        <v>0</v>
      </c>
      <c r="Z496" s="1740">
        <f t="shared" si="410"/>
        <v>0</v>
      </c>
      <c r="AA496" s="1740">
        <f t="shared" si="410"/>
        <v>0</v>
      </c>
      <c r="AB496" s="1740">
        <f t="shared" si="410"/>
        <v>0</v>
      </c>
      <c r="AC496" s="1740">
        <f t="shared" si="410"/>
        <v>0</v>
      </c>
      <c r="AD496" s="1741">
        <f t="shared" si="410"/>
        <v>0</v>
      </c>
      <c r="AE496" s="1741">
        <f t="shared" si="410"/>
        <v>0</v>
      </c>
      <c r="AF496" s="1741">
        <f t="shared" si="410"/>
        <v>0</v>
      </c>
      <c r="AG496" s="1741">
        <f t="shared" si="410"/>
        <v>0</v>
      </c>
      <c r="AH496" s="1741">
        <f t="shared" si="410"/>
        <v>0</v>
      </c>
      <c r="AI496" s="1741">
        <f t="shared" si="410"/>
        <v>0</v>
      </c>
      <c r="AJ496" s="853"/>
      <c r="AK496" s="533"/>
      <c r="AL496" s="533"/>
      <c r="AM496" s="533"/>
      <c r="AN496" s="625"/>
      <c r="AO496" s="625"/>
      <c r="AP496" s="625"/>
      <c r="AQ496" s="625"/>
    </row>
    <row r="497" spans="1:43" s="536" customFormat="1">
      <c r="A497" s="537"/>
      <c r="B497" s="1753" t="str">
        <f t="shared" si="394"/>
        <v>IMPUESTOS / UTILIDAD NETA</v>
      </c>
      <c r="C497" s="1754">
        <f t="shared" si="394"/>
        <v>0</v>
      </c>
      <c r="D497" s="1121"/>
      <c r="E497" s="1755">
        <f t="shared" si="395"/>
        <v>0</v>
      </c>
      <c r="F497" s="1121"/>
      <c r="G497" s="1121"/>
      <c r="H497" s="1755">
        <f t="shared" si="396"/>
        <v>0</v>
      </c>
      <c r="I497" s="1121"/>
      <c r="J497" s="1121"/>
      <c r="K497" s="1755">
        <f t="shared" si="397"/>
        <v>0</v>
      </c>
      <c r="L497" s="531"/>
      <c r="M497" s="539"/>
      <c r="N497" s="1755">
        <f t="shared" si="398"/>
        <v>0</v>
      </c>
      <c r="O497" s="531"/>
      <c r="P497" s="539"/>
      <c r="Q497" s="1755">
        <f t="shared" si="399"/>
        <v>0</v>
      </c>
      <c r="R497" s="531"/>
      <c r="S497" s="1756"/>
      <c r="T497" s="1757">
        <f t="shared" ref="T497:AI497" si="411">T450+$S497</f>
        <v>0</v>
      </c>
      <c r="U497" s="1757">
        <f t="shared" si="411"/>
        <v>0</v>
      </c>
      <c r="V497" s="1757">
        <f t="shared" si="411"/>
        <v>0</v>
      </c>
      <c r="W497" s="1757">
        <f t="shared" si="411"/>
        <v>0</v>
      </c>
      <c r="X497" s="1757">
        <f t="shared" si="411"/>
        <v>0</v>
      </c>
      <c r="Y497" s="1757">
        <f t="shared" si="411"/>
        <v>0</v>
      </c>
      <c r="Z497" s="1757">
        <f t="shared" si="411"/>
        <v>0</v>
      </c>
      <c r="AA497" s="1757">
        <f t="shared" si="411"/>
        <v>0</v>
      </c>
      <c r="AB497" s="1757">
        <f t="shared" si="411"/>
        <v>0</v>
      </c>
      <c r="AC497" s="1757">
        <f t="shared" si="411"/>
        <v>0</v>
      </c>
      <c r="AD497" s="1758">
        <f t="shared" si="411"/>
        <v>0</v>
      </c>
      <c r="AE497" s="1758">
        <f t="shared" si="411"/>
        <v>0</v>
      </c>
      <c r="AF497" s="1758">
        <f t="shared" si="411"/>
        <v>0</v>
      </c>
      <c r="AG497" s="1758">
        <f t="shared" si="411"/>
        <v>0</v>
      </c>
      <c r="AH497" s="1758">
        <f t="shared" si="411"/>
        <v>0</v>
      </c>
      <c r="AI497" s="1758">
        <f t="shared" si="411"/>
        <v>0</v>
      </c>
      <c r="AJ497" s="853"/>
      <c r="AK497" s="533"/>
      <c r="AL497" s="533"/>
      <c r="AM497" s="533"/>
      <c r="AN497" s="625"/>
      <c r="AO497" s="625"/>
      <c r="AP497" s="625"/>
      <c r="AQ497" s="625"/>
    </row>
    <row r="498" spans="1:43" s="536" customFormat="1">
      <c r="A498" s="537"/>
      <c r="B498" s="1759"/>
      <c r="C498" s="1491"/>
      <c r="D498" s="1501"/>
      <c r="E498" s="1491"/>
      <c r="F498" s="1501"/>
      <c r="G498" s="1501"/>
      <c r="H498" s="1491"/>
      <c r="I498" s="1501"/>
      <c r="J498" s="1501"/>
      <c r="K498" s="1491"/>
      <c r="L498" s="531"/>
      <c r="M498" s="539"/>
      <c r="N498" s="1491"/>
      <c r="O498" s="531"/>
      <c r="P498" s="539"/>
      <c r="Q498" s="1491"/>
      <c r="R498" s="531"/>
      <c r="S498" s="539"/>
      <c r="T498" s="1490"/>
      <c r="U498" s="1490"/>
      <c r="V498" s="1490"/>
      <c r="W498" s="1490"/>
      <c r="X498" s="1490"/>
      <c r="Y498" s="1490"/>
      <c r="Z498" s="1490"/>
      <c r="AA498" s="1490"/>
      <c r="AB498" s="1490"/>
      <c r="AC498" s="1490"/>
      <c r="AD498" s="1490"/>
      <c r="AE498" s="1760"/>
      <c r="AF498" s="1760"/>
      <c r="AG498" s="531"/>
      <c r="AH498" s="531"/>
      <c r="AI498" s="531"/>
      <c r="AJ498" s="853"/>
      <c r="AK498" s="533"/>
      <c r="AL498" s="533"/>
      <c r="AM498" s="533"/>
      <c r="AN498" s="625"/>
      <c r="AO498" s="625"/>
      <c r="AP498" s="625"/>
      <c r="AQ498" s="625"/>
    </row>
    <row r="499" spans="1:43" s="536" customFormat="1">
      <c r="A499" s="537"/>
      <c r="B499" s="1761" t="s">
        <v>1358</v>
      </c>
      <c r="C499" s="531"/>
      <c r="D499" s="531"/>
      <c r="E499" s="531"/>
      <c r="F499" s="531"/>
      <c r="G499" s="531"/>
      <c r="H499" s="531"/>
      <c r="I499" s="530"/>
      <c r="J499" s="530"/>
      <c r="K499" s="531"/>
      <c r="L499" s="531"/>
      <c r="M499" s="539"/>
      <c r="N499" s="531"/>
      <c r="O499" s="531"/>
      <c r="P499" s="539"/>
      <c r="Q499" s="531"/>
      <c r="R499" s="531"/>
      <c r="S499" s="539"/>
      <c r="T499" s="535"/>
      <c r="U499" s="535"/>
      <c r="V499" s="534"/>
      <c r="W499" s="534"/>
      <c r="X499" s="534"/>
      <c r="Y499" s="534"/>
      <c r="Z499" s="534"/>
      <c r="AA499" s="534"/>
      <c r="AB499" s="534"/>
      <c r="AC499" s="534"/>
      <c r="AD499" s="534"/>
      <c r="AE499" s="1762"/>
      <c r="AF499" s="1762"/>
      <c r="AG499" s="531"/>
      <c r="AH499" s="531"/>
      <c r="AI499" s="531"/>
      <c r="AJ499" s="853"/>
      <c r="AK499" s="533"/>
      <c r="AL499" s="533"/>
      <c r="AM499" s="533"/>
      <c r="AN499" s="625"/>
      <c r="AO499" s="625"/>
      <c r="AP499" s="625"/>
      <c r="AQ499" s="625"/>
    </row>
    <row r="500" spans="1:43" s="536" customFormat="1">
      <c r="A500" s="537"/>
      <c r="B500" s="1730" t="str">
        <f t="shared" ref="B500:C519" si="412">B453</f>
        <v>CAJA (EN DÍAS DE VENTAS): AL PROYECTAR SE USA PARA GENERAR LA CAJA MÍNIMA REQUERIDA</v>
      </c>
      <c r="C500" s="1763">
        <f t="shared" si="412"/>
        <v>0</v>
      </c>
      <c r="D500" s="1516"/>
      <c r="E500" s="1764">
        <f t="shared" ref="E500:E519" si="413">E453</f>
        <v>0</v>
      </c>
      <c r="F500" s="1516"/>
      <c r="G500" s="1516"/>
      <c r="H500" s="1764">
        <f t="shared" ref="H500:H519" si="414">H453</f>
        <v>0</v>
      </c>
      <c r="I500" s="1516"/>
      <c r="J500" s="1516"/>
      <c r="K500" s="1764">
        <f t="shared" ref="K500:K519" si="415">K453</f>
        <v>0</v>
      </c>
      <c r="L500" s="531"/>
      <c r="M500" s="539"/>
      <c r="N500" s="1764">
        <f t="shared" ref="N500:N519" si="416">N453</f>
        <v>0</v>
      </c>
      <c r="O500" s="531"/>
      <c r="P500" s="539"/>
      <c r="Q500" s="1764">
        <f t="shared" ref="Q500:Q519" si="417">Q453</f>
        <v>0</v>
      </c>
      <c r="R500" s="531"/>
      <c r="S500" s="1765"/>
      <c r="T500" s="1766">
        <f t="shared" ref="T500:AI500" si="418">T453+$S500</f>
        <v>0</v>
      </c>
      <c r="U500" s="1766">
        <f t="shared" si="418"/>
        <v>0</v>
      </c>
      <c r="V500" s="1766">
        <f t="shared" si="418"/>
        <v>0</v>
      </c>
      <c r="W500" s="1766">
        <f t="shared" si="418"/>
        <v>0</v>
      </c>
      <c r="X500" s="1766">
        <f t="shared" si="418"/>
        <v>0</v>
      </c>
      <c r="Y500" s="1766">
        <f t="shared" si="418"/>
        <v>0</v>
      </c>
      <c r="Z500" s="1766">
        <f t="shared" si="418"/>
        <v>0</v>
      </c>
      <c r="AA500" s="1766">
        <f t="shared" si="418"/>
        <v>0</v>
      </c>
      <c r="AB500" s="1766">
        <f t="shared" si="418"/>
        <v>0</v>
      </c>
      <c r="AC500" s="1766">
        <f t="shared" si="418"/>
        <v>0</v>
      </c>
      <c r="AD500" s="1767">
        <f t="shared" si="418"/>
        <v>0</v>
      </c>
      <c r="AE500" s="1767">
        <f t="shared" si="418"/>
        <v>0</v>
      </c>
      <c r="AF500" s="1767">
        <f t="shared" si="418"/>
        <v>0</v>
      </c>
      <c r="AG500" s="1767">
        <f t="shared" si="418"/>
        <v>0</v>
      </c>
      <c r="AH500" s="1767">
        <f t="shared" si="418"/>
        <v>0</v>
      </c>
      <c r="AI500" s="1767">
        <f t="shared" si="418"/>
        <v>0</v>
      </c>
      <c r="AJ500" s="853"/>
      <c r="AK500" s="533"/>
      <c r="AL500" s="533"/>
      <c r="AM500" s="533"/>
      <c r="AN500" s="625"/>
      <c r="AO500" s="625"/>
      <c r="AP500" s="625"/>
      <c r="AQ500" s="625"/>
    </row>
    <row r="501" spans="1:43" s="536" customFormat="1">
      <c r="A501" s="537"/>
      <c r="B501" s="1736" t="str">
        <f t="shared" si="412"/>
        <v>DÍAS CARTERA BRUTA</v>
      </c>
      <c r="C501" s="1768">
        <f t="shared" si="412"/>
        <v>0</v>
      </c>
      <c r="D501" s="1516"/>
      <c r="E501" s="1769">
        <f t="shared" si="413"/>
        <v>0</v>
      </c>
      <c r="F501" s="1516"/>
      <c r="G501" s="1516"/>
      <c r="H501" s="1769">
        <f t="shared" si="414"/>
        <v>0</v>
      </c>
      <c r="I501" s="1516"/>
      <c r="J501" s="1516"/>
      <c r="K501" s="1769">
        <f t="shared" si="415"/>
        <v>0</v>
      </c>
      <c r="L501" s="531"/>
      <c r="M501" s="539"/>
      <c r="N501" s="1769">
        <f t="shared" si="416"/>
        <v>0</v>
      </c>
      <c r="O501" s="531"/>
      <c r="P501" s="539"/>
      <c r="Q501" s="1769">
        <f t="shared" si="417"/>
        <v>0</v>
      </c>
      <c r="R501" s="531"/>
      <c r="S501" s="1770"/>
      <c r="T501" s="1771">
        <f t="shared" ref="T501:AI501" si="419">T454+$S501</f>
        <v>0</v>
      </c>
      <c r="U501" s="1771">
        <f t="shared" si="419"/>
        <v>0</v>
      </c>
      <c r="V501" s="1771">
        <f t="shared" si="419"/>
        <v>0</v>
      </c>
      <c r="W501" s="1771">
        <f t="shared" si="419"/>
        <v>0</v>
      </c>
      <c r="X501" s="1771">
        <f t="shared" si="419"/>
        <v>0</v>
      </c>
      <c r="Y501" s="1771">
        <f t="shared" si="419"/>
        <v>0</v>
      </c>
      <c r="Z501" s="1771">
        <f t="shared" si="419"/>
        <v>0</v>
      </c>
      <c r="AA501" s="1771">
        <f t="shared" si="419"/>
        <v>0</v>
      </c>
      <c r="AB501" s="1771">
        <f t="shared" si="419"/>
        <v>0</v>
      </c>
      <c r="AC501" s="1771">
        <f t="shared" si="419"/>
        <v>0</v>
      </c>
      <c r="AD501" s="1772">
        <f t="shared" si="419"/>
        <v>0</v>
      </c>
      <c r="AE501" s="1772">
        <f t="shared" si="419"/>
        <v>0</v>
      </c>
      <c r="AF501" s="1772">
        <f t="shared" si="419"/>
        <v>0</v>
      </c>
      <c r="AG501" s="1772">
        <f t="shared" si="419"/>
        <v>0</v>
      </c>
      <c r="AH501" s="1772">
        <f t="shared" si="419"/>
        <v>0</v>
      </c>
      <c r="AI501" s="1772">
        <f t="shared" si="419"/>
        <v>0</v>
      </c>
      <c r="AJ501" s="853"/>
      <c r="AK501" s="533"/>
      <c r="AL501" s="533"/>
      <c r="AM501" s="533"/>
      <c r="AN501" s="625"/>
      <c r="AO501" s="625"/>
      <c r="AP501" s="625"/>
      <c r="AQ501" s="625"/>
    </row>
    <row r="502" spans="1:43" s="536" customFormat="1">
      <c r="A502" s="537"/>
      <c r="B502" s="1736" t="str">
        <f t="shared" si="412"/>
        <v>PROVISIONES CUENTAS POR COBRAR  (% SOBRE LAS CUENTAS POR COBRAR)</v>
      </c>
      <c r="C502" s="1773">
        <f t="shared" si="412"/>
        <v>0</v>
      </c>
      <c r="D502" s="1516"/>
      <c r="E502" s="1774">
        <f t="shared" si="413"/>
        <v>0</v>
      </c>
      <c r="F502" s="1516"/>
      <c r="G502" s="1516"/>
      <c r="H502" s="1774">
        <f t="shared" si="414"/>
        <v>0</v>
      </c>
      <c r="I502" s="1516"/>
      <c r="J502" s="1516"/>
      <c r="K502" s="1774">
        <f t="shared" si="415"/>
        <v>0</v>
      </c>
      <c r="L502" s="531"/>
      <c r="M502" s="539"/>
      <c r="N502" s="1774">
        <f t="shared" si="416"/>
        <v>0</v>
      </c>
      <c r="O502" s="531"/>
      <c r="P502" s="539"/>
      <c r="Q502" s="1774">
        <f t="shared" si="417"/>
        <v>0</v>
      </c>
      <c r="R502" s="531"/>
      <c r="S502" s="1739"/>
      <c r="T502" s="1775">
        <f t="shared" ref="T502:AI502" si="420">T455+$S502</f>
        <v>0</v>
      </c>
      <c r="U502" s="1775">
        <f t="shared" si="420"/>
        <v>0</v>
      </c>
      <c r="V502" s="1775">
        <f t="shared" si="420"/>
        <v>0</v>
      </c>
      <c r="W502" s="1775">
        <f t="shared" si="420"/>
        <v>0</v>
      </c>
      <c r="X502" s="1775">
        <f t="shared" si="420"/>
        <v>0</v>
      </c>
      <c r="Y502" s="1775">
        <f t="shared" si="420"/>
        <v>0</v>
      </c>
      <c r="Z502" s="1775">
        <f t="shared" si="420"/>
        <v>0</v>
      </c>
      <c r="AA502" s="1775">
        <f t="shared" si="420"/>
        <v>0</v>
      </c>
      <c r="AB502" s="1775">
        <f t="shared" si="420"/>
        <v>0</v>
      </c>
      <c r="AC502" s="1775">
        <f t="shared" si="420"/>
        <v>0</v>
      </c>
      <c r="AD502" s="1776">
        <f t="shared" si="420"/>
        <v>0</v>
      </c>
      <c r="AE502" s="1776">
        <f t="shared" si="420"/>
        <v>0</v>
      </c>
      <c r="AF502" s="1776">
        <f t="shared" si="420"/>
        <v>0</v>
      </c>
      <c r="AG502" s="1776">
        <f t="shared" si="420"/>
        <v>0</v>
      </c>
      <c r="AH502" s="1776">
        <f t="shared" si="420"/>
        <v>0</v>
      </c>
      <c r="AI502" s="1776">
        <f t="shared" si="420"/>
        <v>0</v>
      </c>
      <c r="AJ502" s="853"/>
      <c r="AK502" s="533"/>
      <c r="AL502" s="533"/>
      <c r="AM502" s="533"/>
      <c r="AN502" s="625"/>
      <c r="AO502" s="625"/>
      <c r="AP502" s="625"/>
      <c r="AQ502" s="625"/>
    </row>
    <row r="503" spans="1:43" s="536" customFormat="1">
      <c r="A503" s="537"/>
      <c r="B503" s="1736" t="str">
        <f t="shared" si="412"/>
        <v>DÍAS INVENTARIO BRUTO</v>
      </c>
      <c r="C503" s="1768">
        <f t="shared" si="412"/>
        <v>0</v>
      </c>
      <c r="D503" s="1516"/>
      <c r="E503" s="1769">
        <f t="shared" si="413"/>
        <v>0</v>
      </c>
      <c r="F503" s="1516"/>
      <c r="G503" s="1516"/>
      <c r="H503" s="1769">
        <f t="shared" si="414"/>
        <v>0</v>
      </c>
      <c r="I503" s="1516"/>
      <c r="J503" s="1516"/>
      <c r="K503" s="1769">
        <f t="shared" si="415"/>
        <v>0</v>
      </c>
      <c r="L503" s="531"/>
      <c r="M503" s="539"/>
      <c r="N503" s="1769">
        <f t="shared" si="416"/>
        <v>0</v>
      </c>
      <c r="O503" s="531"/>
      <c r="P503" s="539"/>
      <c r="Q503" s="1769">
        <f t="shared" si="417"/>
        <v>0</v>
      </c>
      <c r="R503" s="531"/>
      <c r="S503" s="1770"/>
      <c r="T503" s="1771">
        <f t="shared" ref="T503:AI503" si="421">T456+$S503</f>
        <v>0</v>
      </c>
      <c r="U503" s="1771">
        <f t="shared" si="421"/>
        <v>0</v>
      </c>
      <c r="V503" s="1771">
        <f t="shared" si="421"/>
        <v>0</v>
      </c>
      <c r="W503" s="1771">
        <f t="shared" si="421"/>
        <v>0</v>
      </c>
      <c r="X503" s="1771">
        <f t="shared" si="421"/>
        <v>0</v>
      </c>
      <c r="Y503" s="1771">
        <f t="shared" si="421"/>
        <v>0</v>
      </c>
      <c r="Z503" s="1771">
        <f t="shared" si="421"/>
        <v>0</v>
      </c>
      <c r="AA503" s="1771">
        <f t="shared" si="421"/>
        <v>0</v>
      </c>
      <c r="AB503" s="1771">
        <f t="shared" si="421"/>
        <v>0</v>
      </c>
      <c r="AC503" s="1771">
        <f t="shared" si="421"/>
        <v>0</v>
      </c>
      <c r="AD503" s="1777">
        <f t="shared" si="421"/>
        <v>0</v>
      </c>
      <c r="AE503" s="1777">
        <f t="shared" si="421"/>
        <v>0</v>
      </c>
      <c r="AF503" s="1777">
        <f t="shared" si="421"/>
        <v>0</v>
      </c>
      <c r="AG503" s="1777">
        <f t="shared" si="421"/>
        <v>0</v>
      </c>
      <c r="AH503" s="1777">
        <f t="shared" si="421"/>
        <v>0</v>
      </c>
      <c r="AI503" s="1777">
        <f t="shared" si="421"/>
        <v>0</v>
      </c>
      <c r="AJ503" s="853"/>
      <c r="AK503" s="533"/>
      <c r="AL503" s="533"/>
      <c r="AM503" s="533"/>
      <c r="AN503" s="625"/>
      <c r="AO503" s="625"/>
      <c r="AP503" s="625"/>
      <c r="AQ503" s="625"/>
    </row>
    <row r="504" spans="1:43" s="536" customFormat="1">
      <c r="A504" s="537"/>
      <c r="B504" s="1736" t="str">
        <f t="shared" si="412"/>
        <v>PROVISIONES INVENTARIOS  (% SOBRE LOS INVENTARIOS)</v>
      </c>
      <c r="C504" s="1773">
        <f t="shared" si="412"/>
        <v>0</v>
      </c>
      <c r="D504" s="1516"/>
      <c r="E504" s="1774">
        <f t="shared" si="413"/>
        <v>0</v>
      </c>
      <c r="F504" s="1516"/>
      <c r="G504" s="1516"/>
      <c r="H504" s="1774">
        <f t="shared" si="414"/>
        <v>0</v>
      </c>
      <c r="I504" s="1516"/>
      <c r="J504" s="1516"/>
      <c r="K504" s="1774">
        <f t="shared" si="415"/>
        <v>0</v>
      </c>
      <c r="L504" s="531"/>
      <c r="M504" s="539"/>
      <c r="N504" s="1774">
        <f t="shared" si="416"/>
        <v>0</v>
      </c>
      <c r="O504" s="531"/>
      <c r="P504" s="539"/>
      <c r="Q504" s="1774">
        <f t="shared" si="417"/>
        <v>0</v>
      </c>
      <c r="R504" s="531"/>
      <c r="S504" s="1739"/>
      <c r="T504" s="1775">
        <f t="shared" ref="T504:AI504" si="422">T457+$S504</f>
        <v>0</v>
      </c>
      <c r="U504" s="1775">
        <f t="shared" si="422"/>
        <v>0</v>
      </c>
      <c r="V504" s="1775">
        <f t="shared" si="422"/>
        <v>0</v>
      </c>
      <c r="W504" s="1775">
        <f t="shared" si="422"/>
        <v>0</v>
      </c>
      <c r="X504" s="1775">
        <f t="shared" si="422"/>
        <v>0</v>
      </c>
      <c r="Y504" s="1775">
        <f t="shared" si="422"/>
        <v>0</v>
      </c>
      <c r="Z504" s="1775">
        <f t="shared" si="422"/>
        <v>0</v>
      </c>
      <c r="AA504" s="1775">
        <f t="shared" si="422"/>
        <v>0</v>
      </c>
      <c r="AB504" s="1775">
        <f t="shared" si="422"/>
        <v>0</v>
      </c>
      <c r="AC504" s="1775">
        <f t="shared" si="422"/>
        <v>0</v>
      </c>
      <c r="AD504" s="1776">
        <f t="shared" si="422"/>
        <v>0</v>
      </c>
      <c r="AE504" s="1776">
        <f t="shared" si="422"/>
        <v>0</v>
      </c>
      <c r="AF504" s="1776">
        <f t="shared" si="422"/>
        <v>0</v>
      </c>
      <c r="AG504" s="1776">
        <f t="shared" si="422"/>
        <v>0</v>
      </c>
      <c r="AH504" s="1776">
        <f t="shared" si="422"/>
        <v>0</v>
      </c>
      <c r="AI504" s="1776">
        <f t="shared" si="422"/>
        <v>0</v>
      </c>
      <c r="AJ504" s="853"/>
      <c r="AK504" s="533"/>
      <c r="AL504" s="533"/>
      <c r="AM504" s="533"/>
      <c r="AN504" s="625"/>
      <c r="AO504" s="625"/>
      <c r="AP504" s="625"/>
      <c r="AQ504" s="625"/>
    </row>
    <row r="505" spans="1:43" s="536" customFormat="1">
      <c r="A505" s="537"/>
      <c r="B505" s="1736" t="str">
        <f t="shared" si="412"/>
        <v>ANTICIPOS / COSTO DE VENTAS (ANUALIZADO)</v>
      </c>
      <c r="C505" s="1773">
        <f t="shared" si="412"/>
        <v>0</v>
      </c>
      <c r="D505" s="1516"/>
      <c r="E505" s="1774">
        <f t="shared" si="413"/>
        <v>0</v>
      </c>
      <c r="F505" s="1516"/>
      <c r="G505" s="1516"/>
      <c r="H505" s="1774">
        <f t="shared" si="414"/>
        <v>0</v>
      </c>
      <c r="I505" s="1516"/>
      <c r="J505" s="1516"/>
      <c r="K505" s="1774">
        <f t="shared" si="415"/>
        <v>0</v>
      </c>
      <c r="L505" s="531"/>
      <c r="M505" s="539"/>
      <c r="N505" s="1774">
        <f t="shared" si="416"/>
        <v>0</v>
      </c>
      <c r="O505" s="531"/>
      <c r="P505" s="539"/>
      <c r="Q505" s="1774">
        <f t="shared" si="417"/>
        <v>0</v>
      </c>
      <c r="R505" s="531"/>
      <c r="S505" s="1778"/>
      <c r="T505" s="1775">
        <f t="shared" ref="T505:AI505" si="423">T458+$S505</f>
        <v>0</v>
      </c>
      <c r="U505" s="1775">
        <f t="shared" si="423"/>
        <v>0</v>
      </c>
      <c r="V505" s="1775">
        <f t="shared" si="423"/>
        <v>0</v>
      </c>
      <c r="W505" s="1775">
        <f t="shared" si="423"/>
        <v>0</v>
      </c>
      <c r="X505" s="1775">
        <f t="shared" si="423"/>
        <v>0</v>
      </c>
      <c r="Y505" s="1775">
        <f t="shared" si="423"/>
        <v>0</v>
      </c>
      <c r="Z505" s="1775">
        <f t="shared" si="423"/>
        <v>0</v>
      </c>
      <c r="AA505" s="1775">
        <f t="shared" si="423"/>
        <v>0</v>
      </c>
      <c r="AB505" s="1775">
        <f t="shared" si="423"/>
        <v>0</v>
      </c>
      <c r="AC505" s="1775">
        <f t="shared" si="423"/>
        <v>0</v>
      </c>
      <c r="AD505" s="1776">
        <f t="shared" si="423"/>
        <v>0</v>
      </c>
      <c r="AE505" s="1776">
        <f t="shared" si="423"/>
        <v>0</v>
      </c>
      <c r="AF505" s="1776">
        <f t="shared" si="423"/>
        <v>0</v>
      </c>
      <c r="AG505" s="1776">
        <f t="shared" si="423"/>
        <v>0</v>
      </c>
      <c r="AH505" s="1776">
        <f t="shared" si="423"/>
        <v>0</v>
      </c>
      <c r="AI505" s="1776">
        <f t="shared" si="423"/>
        <v>0</v>
      </c>
      <c r="AJ505" s="853"/>
      <c r="AK505" s="533"/>
      <c r="AL505" s="533"/>
      <c r="AM505" s="533"/>
      <c r="AN505" s="625"/>
      <c r="AO505" s="625"/>
      <c r="AP505" s="625"/>
      <c r="AQ505" s="625"/>
    </row>
    <row r="506" spans="1:43" s="536" customFormat="1">
      <c r="A506" s="537"/>
      <c r="B506" s="1736" t="str">
        <f t="shared" si="412"/>
        <v>DÍAS PAGO</v>
      </c>
      <c r="C506" s="1768">
        <f t="shared" si="412"/>
        <v>0</v>
      </c>
      <c r="D506" s="1516"/>
      <c r="E506" s="1769">
        <f t="shared" si="413"/>
        <v>0</v>
      </c>
      <c r="F506" s="1516"/>
      <c r="G506" s="1516"/>
      <c r="H506" s="1769">
        <f t="shared" si="414"/>
        <v>0</v>
      </c>
      <c r="I506" s="1516"/>
      <c r="J506" s="1516"/>
      <c r="K506" s="1769">
        <f t="shared" si="415"/>
        <v>0</v>
      </c>
      <c r="L506" s="531"/>
      <c r="M506" s="539"/>
      <c r="N506" s="1769">
        <f t="shared" si="416"/>
        <v>0</v>
      </c>
      <c r="O506" s="531"/>
      <c r="P506" s="539"/>
      <c r="Q506" s="1769">
        <f t="shared" si="417"/>
        <v>0</v>
      </c>
      <c r="R506" s="531"/>
      <c r="S506" s="1770"/>
      <c r="T506" s="1771">
        <f t="shared" ref="T506:AI506" si="424">T459+$S506</f>
        <v>0</v>
      </c>
      <c r="U506" s="1771">
        <f t="shared" si="424"/>
        <v>0</v>
      </c>
      <c r="V506" s="1771">
        <f t="shared" si="424"/>
        <v>0</v>
      </c>
      <c r="W506" s="1771">
        <f t="shared" si="424"/>
        <v>0</v>
      </c>
      <c r="X506" s="1771">
        <f t="shared" si="424"/>
        <v>0</v>
      </c>
      <c r="Y506" s="1771">
        <f t="shared" si="424"/>
        <v>0</v>
      </c>
      <c r="Z506" s="1771">
        <f t="shared" si="424"/>
        <v>0</v>
      </c>
      <c r="AA506" s="1771">
        <f t="shared" si="424"/>
        <v>0</v>
      </c>
      <c r="AB506" s="1771">
        <f t="shared" si="424"/>
        <v>0</v>
      </c>
      <c r="AC506" s="1771">
        <f t="shared" si="424"/>
        <v>0</v>
      </c>
      <c r="AD506" s="1777">
        <f t="shared" si="424"/>
        <v>0</v>
      </c>
      <c r="AE506" s="1777">
        <f t="shared" si="424"/>
        <v>0</v>
      </c>
      <c r="AF506" s="1777">
        <f t="shared" si="424"/>
        <v>0</v>
      </c>
      <c r="AG506" s="1777">
        <f t="shared" si="424"/>
        <v>0</v>
      </c>
      <c r="AH506" s="1777">
        <f t="shared" si="424"/>
        <v>0</v>
      </c>
      <c r="AI506" s="1777">
        <f t="shared" si="424"/>
        <v>0</v>
      </c>
      <c r="AJ506" s="853"/>
      <c r="AK506" s="533"/>
      <c r="AL506" s="533"/>
      <c r="AM506" s="533"/>
      <c r="AN506" s="625"/>
      <c r="AO506" s="625"/>
      <c r="AP506" s="625"/>
      <c r="AQ506" s="625"/>
    </row>
    <row r="507" spans="1:43" s="536" customFormat="1">
      <c r="A507" s="537"/>
      <c r="B507" s="1736" t="str">
        <f t="shared" si="412"/>
        <v>CAPEX BRUTO ($MM)</v>
      </c>
      <c r="C507" s="1779" t="str">
        <f t="shared" si="412"/>
        <v>N/A</v>
      </c>
      <c r="D507" s="1516"/>
      <c r="E507" s="1746">
        <f t="shared" si="413"/>
        <v>0</v>
      </c>
      <c r="F507" s="1516"/>
      <c r="G507" s="1516"/>
      <c r="H507" s="1746">
        <f t="shared" si="414"/>
        <v>0</v>
      </c>
      <c r="I507" s="1516"/>
      <c r="J507" s="1516"/>
      <c r="K507" s="1746">
        <f t="shared" si="415"/>
        <v>0</v>
      </c>
      <c r="L507" s="531"/>
      <c r="M507" s="539"/>
      <c r="N507" s="1746">
        <f t="shared" si="416"/>
        <v>0</v>
      </c>
      <c r="O507" s="531"/>
      <c r="P507" s="539"/>
      <c r="Q507" s="1746">
        <f t="shared" si="417"/>
        <v>0</v>
      </c>
      <c r="R507" s="531"/>
      <c r="S507" s="1780"/>
      <c r="T507" s="1781">
        <f t="shared" ref="T507:AI507" si="425">T460+$S507</f>
        <v>0</v>
      </c>
      <c r="U507" s="1781">
        <f t="shared" si="425"/>
        <v>0</v>
      </c>
      <c r="V507" s="1781">
        <f t="shared" si="425"/>
        <v>0</v>
      </c>
      <c r="W507" s="1781">
        <f t="shared" si="425"/>
        <v>0</v>
      </c>
      <c r="X507" s="1781">
        <f t="shared" si="425"/>
        <v>0</v>
      </c>
      <c r="Y507" s="1781">
        <f t="shared" si="425"/>
        <v>0</v>
      </c>
      <c r="Z507" s="1781">
        <f t="shared" si="425"/>
        <v>0</v>
      </c>
      <c r="AA507" s="1781">
        <f t="shared" si="425"/>
        <v>0</v>
      </c>
      <c r="AB507" s="1781">
        <f t="shared" si="425"/>
        <v>0</v>
      </c>
      <c r="AC507" s="1781">
        <f t="shared" si="425"/>
        <v>0</v>
      </c>
      <c r="AD507" s="1782">
        <f t="shared" si="425"/>
        <v>0</v>
      </c>
      <c r="AE507" s="1782">
        <f t="shared" si="425"/>
        <v>0</v>
      </c>
      <c r="AF507" s="1782">
        <f t="shared" si="425"/>
        <v>0</v>
      </c>
      <c r="AG507" s="1782">
        <f t="shared" si="425"/>
        <v>0</v>
      </c>
      <c r="AH507" s="1782">
        <f t="shared" si="425"/>
        <v>0</v>
      </c>
      <c r="AI507" s="1782">
        <f t="shared" si="425"/>
        <v>0</v>
      </c>
      <c r="AJ507" s="853"/>
      <c r="AK507" s="533"/>
      <c r="AL507" s="533"/>
      <c r="AM507" s="533"/>
      <c r="AN507" s="625"/>
      <c r="AO507" s="625"/>
      <c r="AP507" s="625"/>
      <c r="AQ507" s="625"/>
    </row>
    <row r="508" spans="1:43" s="536" customFormat="1">
      <c r="A508" s="537"/>
      <c r="B508" s="1736" t="str">
        <f t="shared" si="412"/>
        <v>VARIACIÓN DEPRECIACIÓN ACUMULADA / ACTIVO FIJO BRUTO</v>
      </c>
      <c r="C508" s="1783" t="str">
        <f t="shared" si="412"/>
        <v>N/A</v>
      </c>
      <c r="D508" s="1516"/>
      <c r="E508" s="1784">
        <f t="shared" si="413"/>
        <v>0</v>
      </c>
      <c r="F508" s="1516"/>
      <c r="G508" s="1516"/>
      <c r="H508" s="1784">
        <f t="shared" si="414"/>
        <v>0</v>
      </c>
      <c r="I508" s="1516"/>
      <c r="J508" s="1516"/>
      <c r="K508" s="1784">
        <f t="shared" si="415"/>
        <v>0</v>
      </c>
      <c r="L508" s="531"/>
      <c r="M508" s="539"/>
      <c r="N508" s="1784">
        <f t="shared" si="416"/>
        <v>0</v>
      </c>
      <c r="O508" s="531"/>
      <c r="P508" s="539"/>
      <c r="Q508" s="1784">
        <f t="shared" si="417"/>
        <v>0</v>
      </c>
      <c r="R508" s="531"/>
      <c r="S508" s="1739"/>
      <c r="T508" s="1740">
        <f t="shared" ref="T508:AI508" si="426">T461+$S508</f>
        <v>0</v>
      </c>
      <c r="U508" s="1740">
        <f t="shared" si="426"/>
        <v>0</v>
      </c>
      <c r="V508" s="1740">
        <f t="shared" si="426"/>
        <v>0</v>
      </c>
      <c r="W508" s="1740">
        <f t="shared" si="426"/>
        <v>0</v>
      </c>
      <c r="X508" s="1740">
        <f t="shared" si="426"/>
        <v>0</v>
      </c>
      <c r="Y508" s="1740">
        <f t="shared" si="426"/>
        <v>0</v>
      </c>
      <c r="Z508" s="1740">
        <f t="shared" si="426"/>
        <v>0</v>
      </c>
      <c r="AA508" s="1740">
        <f t="shared" si="426"/>
        <v>0</v>
      </c>
      <c r="AB508" s="1740">
        <f t="shared" si="426"/>
        <v>0</v>
      </c>
      <c r="AC508" s="1740">
        <f t="shared" si="426"/>
        <v>0</v>
      </c>
      <c r="AD508" s="1741">
        <f t="shared" si="426"/>
        <v>0</v>
      </c>
      <c r="AE508" s="1741">
        <f t="shared" si="426"/>
        <v>0</v>
      </c>
      <c r="AF508" s="1741">
        <f t="shared" si="426"/>
        <v>0</v>
      </c>
      <c r="AG508" s="1741">
        <f t="shared" si="426"/>
        <v>0</v>
      </c>
      <c r="AH508" s="1741">
        <f t="shared" si="426"/>
        <v>0</v>
      </c>
      <c r="AI508" s="1741">
        <f t="shared" si="426"/>
        <v>0</v>
      </c>
      <c r="AJ508" s="853"/>
      <c r="AK508" s="533"/>
      <c r="AL508" s="533"/>
      <c r="AM508" s="533"/>
      <c r="AN508" s="625"/>
      <c r="AO508" s="625"/>
      <c r="AP508" s="625"/>
      <c r="AQ508" s="625"/>
    </row>
    <row r="509" spans="1:43" s="536" customFormat="1">
      <c r="A509" s="537"/>
      <c r="B509" s="1736" t="str">
        <f t="shared" si="412"/>
        <v>DEPRECIACIÓN / ACTIVO FIJO BRUTO</v>
      </c>
      <c r="C509" s="1737">
        <f t="shared" si="412"/>
        <v>0</v>
      </c>
      <c r="D509" s="1121"/>
      <c r="E509" s="1738">
        <f t="shared" si="413"/>
        <v>0</v>
      </c>
      <c r="F509" s="1121"/>
      <c r="G509" s="1121"/>
      <c r="H509" s="1738">
        <f t="shared" si="414"/>
        <v>0</v>
      </c>
      <c r="I509" s="1121"/>
      <c r="J509" s="1121"/>
      <c r="K509" s="1738">
        <f t="shared" si="415"/>
        <v>0</v>
      </c>
      <c r="L509" s="531"/>
      <c r="M509" s="539"/>
      <c r="N509" s="1738">
        <f t="shared" si="416"/>
        <v>0</v>
      </c>
      <c r="O509" s="531"/>
      <c r="P509" s="539"/>
      <c r="Q509" s="1738">
        <f t="shared" si="417"/>
        <v>0</v>
      </c>
      <c r="R509" s="531"/>
      <c r="S509" s="1739"/>
      <c r="T509" s="1740">
        <f t="shared" ref="T509:AI509" si="427">T462+$S509</f>
        <v>0</v>
      </c>
      <c r="U509" s="1740">
        <f t="shared" si="427"/>
        <v>0</v>
      </c>
      <c r="V509" s="1740">
        <f t="shared" si="427"/>
        <v>0</v>
      </c>
      <c r="W509" s="1740">
        <f t="shared" si="427"/>
        <v>0</v>
      </c>
      <c r="X509" s="1740">
        <f t="shared" si="427"/>
        <v>0</v>
      </c>
      <c r="Y509" s="1740">
        <f t="shared" si="427"/>
        <v>0</v>
      </c>
      <c r="Z509" s="1740">
        <f t="shared" si="427"/>
        <v>0</v>
      </c>
      <c r="AA509" s="1740">
        <f t="shared" si="427"/>
        <v>0</v>
      </c>
      <c r="AB509" s="1740">
        <f t="shared" si="427"/>
        <v>0</v>
      </c>
      <c r="AC509" s="1740">
        <f t="shared" si="427"/>
        <v>0</v>
      </c>
      <c r="AD509" s="1741">
        <f t="shared" si="427"/>
        <v>0</v>
      </c>
      <c r="AE509" s="1741">
        <f t="shared" si="427"/>
        <v>0</v>
      </c>
      <c r="AF509" s="1741">
        <f t="shared" si="427"/>
        <v>0</v>
      </c>
      <c r="AG509" s="1741">
        <f t="shared" si="427"/>
        <v>0</v>
      </c>
      <c r="AH509" s="1741">
        <f t="shared" si="427"/>
        <v>0</v>
      </c>
      <c r="AI509" s="1741">
        <f t="shared" si="427"/>
        <v>0</v>
      </c>
      <c r="AJ509" s="853"/>
      <c r="AK509" s="533"/>
      <c r="AL509" s="533"/>
      <c r="AM509" s="533"/>
      <c r="AN509" s="625"/>
      <c r="AO509" s="625"/>
      <c r="AP509" s="625"/>
      <c r="AQ509" s="625"/>
    </row>
    <row r="510" spans="1:43" s="536" customFormat="1">
      <c r="A510" s="537"/>
      <c r="B510" s="1736" t="str">
        <f t="shared" si="412"/>
        <v>VARIACIÓN INTANGIBLES</v>
      </c>
      <c r="C510" s="1785" t="str">
        <f t="shared" si="412"/>
        <v>N/A</v>
      </c>
      <c r="D510" s="1121"/>
      <c r="E510" s="1738">
        <f t="shared" si="413"/>
        <v>0</v>
      </c>
      <c r="F510" s="1121"/>
      <c r="G510" s="1121"/>
      <c r="H510" s="1738">
        <f t="shared" si="414"/>
        <v>0</v>
      </c>
      <c r="I510" s="1121"/>
      <c r="J510" s="1121"/>
      <c r="K510" s="1738">
        <f t="shared" si="415"/>
        <v>0</v>
      </c>
      <c r="L510" s="531"/>
      <c r="M510" s="539"/>
      <c r="N510" s="1738">
        <f t="shared" si="416"/>
        <v>0</v>
      </c>
      <c r="O510" s="531"/>
      <c r="P510" s="539"/>
      <c r="Q510" s="1738">
        <f t="shared" si="417"/>
        <v>0</v>
      </c>
      <c r="R510" s="531"/>
      <c r="S510" s="1739"/>
      <c r="T510" s="1740">
        <f t="shared" ref="T510:AI510" si="428">T463+$S510</f>
        <v>0</v>
      </c>
      <c r="U510" s="1740">
        <f t="shared" si="428"/>
        <v>0</v>
      </c>
      <c r="V510" s="1740">
        <f t="shared" si="428"/>
        <v>0</v>
      </c>
      <c r="W510" s="1740">
        <f t="shared" si="428"/>
        <v>0</v>
      </c>
      <c r="X510" s="1740">
        <f t="shared" si="428"/>
        <v>0</v>
      </c>
      <c r="Y510" s="1740">
        <f t="shared" si="428"/>
        <v>0</v>
      </c>
      <c r="Z510" s="1740">
        <f t="shared" si="428"/>
        <v>0</v>
      </c>
      <c r="AA510" s="1740">
        <f t="shared" si="428"/>
        <v>0</v>
      </c>
      <c r="AB510" s="1740">
        <f t="shared" si="428"/>
        <v>0</v>
      </c>
      <c r="AC510" s="1740">
        <f t="shared" si="428"/>
        <v>0</v>
      </c>
      <c r="AD510" s="1741">
        <f t="shared" si="428"/>
        <v>0</v>
      </c>
      <c r="AE510" s="1741">
        <f t="shared" si="428"/>
        <v>0</v>
      </c>
      <c r="AF510" s="1741">
        <f t="shared" si="428"/>
        <v>0</v>
      </c>
      <c r="AG510" s="1741">
        <f t="shared" si="428"/>
        <v>0</v>
      </c>
      <c r="AH510" s="1741">
        <f t="shared" si="428"/>
        <v>0</v>
      </c>
      <c r="AI510" s="1741">
        <f t="shared" si="428"/>
        <v>0</v>
      </c>
      <c r="AJ510" s="853"/>
      <c r="AK510" s="533"/>
      <c r="AL510" s="533"/>
      <c r="AM510" s="533"/>
      <c r="AN510" s="625"/>
      <c r="AO510" s="625"/>
      <c r="AP510" s="625"/>
      <c r="AQ510" s="625"/>
    </row>
    <row r="511" spans="1:43" s="536" customFormat="1">
      <c r="A511" s="537"/>
      <c r="B511" s="1736" t="str">
        <f t="shared" si="412"/>
        <v>AMORTIZACIÓN INTANGIBLES / INTANGIBLES</v>
      </c>
      <c r="C511" s="1737">
        <f t="shared" si="412"/>
        <v>0</v>
      </c>
      <c r="D511" s="1121"/>
      <c r="E511" s="1738">
        <f t="shared" si="413"/>
        <v>0</v>
      </c>
      <c r="F511" s="1121"/>
      <c r="G511" s="1121"/>
      <c r="H511" s="1738">
        <f t="shared" si="414"/>
        <v>0</v>
      </c>
      <c r="I511" s="1121"/>
      <c r="J511" s="1121"/>
      <c r="K511" s="1738">
        <f t="shared" si="415"/>
        <v>0</v>
      </c>
      <c r="L511" s="531"/>
      <c r="M511" s="539"/>
      <c r="N511" s="1738">
        <f t="shared" si="416"/>
        <v>0</v>
      </c>
      <c r="O511" s="531"/>
      <c r="P511" s="539"/>
      <c r="Q511" s="1738">
        <f t="shared" si="417"/>
        <v>0</v>
      </c>
      <c r="R511" s="531"/>
      <c r="S511" s="1739"/>
      <c r="T511" s="1740">
        <f t="shared" ref="T511:AI511" si="429">T464+$S511</f>
        <v>0</v>
      </c>
      <c r="U511" s="1740">
        <f t="shared" si="429"/>
        <v>0</v>
      </c>
      <c r="V511" s="1740">
        <f t="shared" si="429"/>
        <v>0</v>
      </c>
      <c r="W511" s="1740">
        <f t="shared" si="429"/>
        <v>0</v>
      </c>
      <c r="X511" s="1740">
        <f t="shared" si="429"/>
        <v>0</v>
      </c>
      <c r="Y511" s="1740">
        <f t="shared" si="429"/>
        <v>0</v>
      </c>
      <c r="Z511" s="1740">
        <f t="shared" si="429"/>
        <v>0</v>
      </c>
      <c r="AA511" s="1740">
        <f t="shared" si="429"/>
        <v>0</v>
      </c>
      <c r="AB511" s="1740">
        <f t="shared" si="429"/>
        <v>0</v>
      </c>
      <c r="AC511" s="1740">
        <f t="shared" si="429"/>
        <v>0</v>
      </c>
      <c r="AD511" s="1741">
        <f t="shared" si="429"/>
        <v>0</v>
      </c>
      <c r="AE511" s="1741">
        <f t="shared" si="429"/>
        <v>0</v>
      </c>
      <c r="AF511" s="1741">
        <f t="shared" si="429"/>
        <v>0</v>
      </c>
      <c r="AG511" s="1741">
        <f t="shared" si="429"/>
        <v>0</v>
      </c>
      <c r="AH511" s="1741">
        <f t="shared" si="429"/>
        <v>0</v>
      </c>
      <c r="AI511" s="1741">
        <f t="shared" si="429"/>
        <v>0</v>
      </c>
      <c r="AJ511" s="853"/>
      <c r="AK511" s="533"/>
      <c r="AL511" s="533"/>
      <c r="AM511" s="533"/>
      <c r="AN511" s="625"/>
      <c r="AO511" s="625"/>
      <c r="AP511" s="625"/>
      <c r="AQ511" s="625"/>
    </row>
    <row r="512" spans="1:43" s="536" customFormat="1">
      <c r="A512" s="537"/>
      <c r="B512" s="1736" t="str">
        <f t="shared" si="412"/>
        <v>VARIACIÓN DIFERIDOS</v>
      </c>
      <c r="C512" s="1785" t="str">
        <f t="shared" si="412"/>
        <v>N/A</v>
      </c>
      <c r="D512" s="1121"/>
      <c r="E512" s="1786">
        <f t="shared" si="413"/>
        <v>0</v>
      </c>
      <c r="F512" s="1121"/>
      <c r="G512" s="1121"/>
      <c r="H512" s="1786">
        <f t="shared" si="414"/>
        <v>0</v>
      </c>
      <c r="I512" s="1121"/>
      <c r="J512" s="1121"/>
      <c r="K512" s="1786">
        <f t="shared" si="415"/>
        <v>0</v>
      </c>
      <c r="L512" s="531"/>
      <c r="M512" s="539"/>
      <c r="N512" s="1786">
        <f t="shared" si="416"/>
        <v>0</v>
      </c>
      <c r="O512" s="531"/>
      <c r="P512" s="539"/>
      <c r="Q512" s="1786">
        <f t="shared" si="417"/>
        <v>0</v>
      </c>
      <c r="R512" s="531"/>
      <c r="S512" s="1739"/>
      <c r="T512" s="1740">
        <f t="shared" ref="T512:AI512" si="430">T465+$S512</f>
        <v>0</v>
      </c>
      <c r="U512" s="1740">
        <f t="shared" si="430"/>
        <v>0</v>
      </c>
      <c r="V512" s="1740">
        <f t="shared" si="430"/>
        <v>0</v>
      </c>
      <c r="W512" s="1740">
        <f t="shared" si="430"/>
        <v>0</v>
      </c>
      <c r="X512" s="1740">
        <f t="shared" si="430"/>
        <v>0</v>
      </c>
      <c r="Y512" s="1740">
        <f t="shared" si="430"/>
        <v>0</v>
      </c>
      <c r="Z512" s="1740">
        <f t="shared" si="430"/>
        <v>0</v>
      </c>
      <c r="AA512" s="1740">
        <f t="shared" si="430"/>
        <v>0</v>
      </c>
      <c r="AB512" s="1740">
        <f t="shared" si="430"/>
        <v>0</v>
      </c>
      <c r="AC512" s="1740">
        <f t="shared" si="430"/>
        <v>0</v>
      </c>
      <c r="AD512" s="1741">
        <f t="shared" si="430"/>
        <v>0</v>
      </c>
      <c r="AE512" s="1741">
        <f t="shared" si="430"/>
        <v>0</v>
      </c>
      <c r="AF512" s="1741">
        <f t="shared" si="430"/>
        <v>0</v>
      </c>
      <c r="AG512" s="1741">
        <f t="shared" si="430"/>
        <v>0</v>
      </c>
      <c r="AH512" s="1741">
        <f t="shared" si="430"/>
        <v>0</v>
      </c>
      <c r="AI512" s="1741">
        <f t="shared" si="430"/>
        <v>0</v>
      </c>
      <c r="AJ512" s="853"/>
      <c r="AK512" s="533"/>
      <c r="AL512" s="533"/>
      <c r="AM512" s="533"/>
      <c r="AN512" s="625"/>
      <c r="AO512" s="625"/>
      <c r="AP512" s="625"/>
      <c r="AQ512" s="625"/>
    </row>
    <row r="513" spans="1:43" s="536" customFormat="1">
      <c r="A513" s="537"/>
      <c r="B513" s="1736" t="str">
        <f t="shared" si="412"/>
        <v>AMORTIZACIÓN DIFERIDOS / DIFERIDOS</v>
      </c>
      <c r="C513" s="1737">
        <f t="shared" si="412"/>
        <v>0</v>
      </c>
      <c r="D513" s="1121"/>
      <c r="E513" s="1738">
        <f t="shared" si="413"/>
        <v>0</v>
      </c>
      <c r="F513" s="1121"/>
      <c r="G513" s="1121"/>
      <c r="H513" s="1738">
        <f t="shared" si="414"/>
        <v>0</v>
      </c>
      <c r="I513" s="1121"/>
      <c r="J513" s="1121"/>
      <c r="K513" s="1738">
        <f t="shared" si="415"/>
        <v>0</v>
      </c>
      <c r="L513" s="531"/>
      <c r="M513" s="539"/>
      <c r="N513" s="1738">
        <f t="shared" si="416"/>
        <v>0</v>
      </c>
      <c r="O513" s="531"/>
      <c r="P513" s="539"/>
      <c r="Q513" s="1738">
        <f t="shared" si="417"/>
        <v>0</v>
      </c>
      <c r="R513" s="531"/>
      <c r="S513" s="1739"/>
      <c r="T513" s="1740">
        <f t="shared" ref="T513:AI513" si="431">T466+$S513</f>
        <v>0</v>
      </c>
      <c r="U513" s="1740">
        <f t="shared" si="431"/>
        <v>0</v>
      </c>
      <c r="V513" s="1740">
        <f t="shared" si="431"/>
        <v>0</v>
      </c>
      <c r="W513" s="1740">
        <f t="shared" si="431"/>
        <v>0</v>
      </c>
      <c r="X513" s="1740">
        <f t="shared" si="431"/>
        <v>0</v>
      </c>
      <c r="Y513" s="1740">
        <f t="shared" si="431"/>
        <v>0</v>
      </c>
      <c r="Z513" s="1740">
        <f t="shared" si="431"/>
        <v>0</v>
      </c>
      <c r="AA513" s="1740">
        <f t="shared" si="431"/>
        <v>0</v>
      </c>
      <c r="AB513" s="1740">
        <f t="shared" si="431"/>
        <v>0</v>
      </c>
      <c r="AC513" s="1740">
        <f t="shared" si="431"/>
        <v>0</v>
      </c>
      <c r="AD513" s="1741">
        <f t="shared" si="431"/>
        <v>0</v>
      </c>
      <c r="AE513" s="1741">
        <f t="shared" si="431"/>
        <v>0</v>
      </c>
      <c r="AF513" s="1741">
        <f t="shared" si="431"/>
        <v>0</v>
      </c>
      <c r="AG513" s="1741">
        <f t="shared" si="431"/>
        <v>0</v>
      </c>
      <c r="AH513" s="1741">
        <f t="shared" si="431"/>
        <v>0</v>
      </c>
      <c r="AI513" s="1741">
        <f t="shared" si="431"/>
        <v>0</v>
      </c>
      <c r="AJ513" s="853"/>
      <c r="AK513" s="533"/>
      <c r="AL513" s="533"/>
      <c r="AM513" s="533"/>
      <c r="AN513" s="625"/>
      <c r="AO513" s="625"/>
      <c r="AP513" s="625"/>
      <c r="AQ513" s="625"/>
    </row>
    <row r="514" spans="1:43" s="536" customFormat="1">
      <c r="A514" s="537"/>
      <c r="B514" s="1736" t="str">
        <f t="shared" si="412"/>
        <v>PASIVOS LABORALES / GASTOS OPERACIONALES (ANUALIZADOS)</v>
      </c>
      <c r="C514" s="1737">
        <f t="shared" si="412"/>
        <v>0</v>
      </c>
      <c r="D514" s="1121"/>
      <c r="E514" s="1738">
        <f t="shared" si="413"/>
        <v>0</v>
      </c>
      <c r="F514" s="1121"/>
      <c r="G514" s="1121"/>
      <c r="H514" s="1738">
        <f t="shared" si="414"/>
        <v>0</v>
      </c>
      <c r="I514" s="1121"/>
      <c r="J514" s="1121"/>
      <c r="K514" s="1738">
        <f t="shared" si="415"/>
        <v>0</v>
      </c>
      <c r="L514" s="531"/>
      <c r="M514" s="539"/>
      <c r="N514" s="1738">
        <f t="shared" si="416"/>
        <v>0</v>
      </c>
      <c r="O514" s="531"/>
      <c r="P514" s="539"/>
      <c r="Q514" s="1738">
        <f t="shared" si="417"/>
        <v>0</v>
      </c>
      <c r="R514" s="531"/>
      <c r="S514" s="1739"/>
      <c r="T514" s="1740">
        <f t="shared" ref="T514:AI514" si="432">T467+$S514</f>
        <v>0</v>
      </c>
      <c r="U514" s="1740">
        <f t="shared" si="432"/>
        <v>0</v>
      </c>
      <c r="V514" s="1740">
        <f t="shared" si="432"/>
        <v>0</v>
      </c>
      <c r="W514" s="1740">
        <f t="shared" si="432"/>
        <v>0</v>
      </c>
      <c r="X514" s="1740">
        <f t="shared" si="432"/>
        <v>0</v>
      </c>
      <c r="Y514" s="1740">
        <f t="shared" si="432"/>
        <v>0</v>
      </c>
      <c r="Z514" s="1740">
        <f t="shared" si="432"/>
        <v>0</v>
      </c>
      <c r="AA514" s="1740">
        <f t="shared" si="432"/>
        <v>0</v>
      </c>
      <c r="AB514" s="1740">
        <f t="shared" si="432"/>
        <v>0</v>
      </c>
      <c r="AC514" s="1740">
        <f t="shared" si="432"/>
        <v>0</v>
      </c>
      <c r="AD514" s="1741">
        <f t="shared" si="432"/>
        <v>0</v>
      </c>
      <c r="AE514" s="1741">
        <f t="shared" si="432"/>
        <v>0</v>
      </c>
      <c r="AF514" s="1741">
        <f t="shared" si="432"/>
        <v>0</v>
      </c>
      <c r="AG514" s="1741">
        <f t="shared" si="432"/>
        <v>0</v>
      </c>
      <c r="AH514" s="1741">
        <f t="shared" si="432"/>
        <v>0</v>
      </c>
      <c r="AI514" s="1741">
        <f t="shared" si="432"/>
        <v>0</v>
      </c>
      <c r="AJ514" s="853"/>
      <c r="AK514" s="533"/>
      <c r="AL514" s="533"/>
      <c r="AM514" s="533"/>
      <c r="AN514" s="625"/>
      <c r="AO514" s="625"/>
      <c r="AP514" s="625"/>
      <c r="AQ514" s="625"/>
    </row>
    <row r="515" spans="1:43" s="536" customFormat="1">
      <c r="A515" s="537"/>
      <c r="B515" s="1736" t="str">
        <f t="shared" si="412"/>
        <v>IMPUESTOS POR PAGAR / VENTAS (ANUALIZADAS)</v>
      </c>
      <c r="C515" s="1737">
        <f t="shared" si="412"/>
        <v>0</v>
      </c>
      <c r="D515" s="1121"/>
      <c r="E515" s="1738">
        <f t="shared" si="413"/>
        <v>0</v>
      </c>
      <c r="F515" s="1121"/>
      <c r="G515" s="1121"/>
      <c r="H515" s="1738">
        <f t="shared" si="414"/>
        <v>0</v>
      </c>
      <c r="I515" s="1121"/>
      <c r="J515" s="1121"/>
      <c r="K515" s="1738">
        <f t="shared" si="415"/>
        <v>0</v>
      </c>
      <c r="L515" s="531"/>
      <c r="M515" s="539"/>
      <c r="N515" s="1738">
        <f t="shared" si="416"/>
        <v>0</v>
      </c>
      <c r="O515" s="531"/>
      <c r="P515" s="539"/>
      <c r="Q515" s="1738">
        <f t="shared" si="417"/>
        <v>0</v>
      </c>
      <c r="R515" s="531"/>
      <c r="S515" s="1739"/>
      <c r="T515" s="1740">
        <f t="shared" ref="T515:AI515" si="433">T468+$S515</f>
        <v>0</v>
      </c>
      <c r="U515" s="1740">
        <f t="shared" si="433"/>
        <v>0</v>
      </c>
      <c r="V515" s="1740">
        <f t="shared" si="433"/>
        <v>0</v>
      </c>
      <c r="W515" s="1740">
        <f t="shared" si="433"/>
        <v>0</v>
      </c>
      <c r="X515" s="1740">
        <f t="shared" si="433"/>
        <v>0</v>
      </c>
      <c r="Y515" s="1740">
        <f t="shared" si="433"/>
        <v>0</v>
      </c>
      <c r="Z515" s="1740">
        <f t="shared" si="433"/>
        <v>0</v>
      </c>
      <c r="AA515" s="1740">
        <f t="shared" si="433"/>
        <v>0</v>
      </c>
      <c r="AB515" s="1740">
        <f t="shared" si="433"/>
        <v>0</v>
      </c>
      <c r="AC515" s="1740">
        <f t="shared" si="433"/>
        <v>0</v>
      </c>
      <c r="AD515" s="1741">
        <f t="shared" si="433"/>
        <v>0</v>
      </c>
      <c r="AE515" s="1741">
        <f t="shared" si="433"/>
        <v>0</v>
      </c>
      <c r="AF515" s="1741">
        <f t="shared" si="433"/>
        <v>0</v>
      </c>
      <c r="AG515" s="1741">
        <f t="shared" si="433"/>
        <v>0</v>
      </c>
      <c r="AH515" s="1741">
        <f t="shared" si="433"/>
        <v>0</v>
      </c>
      <c r="AI515" s="1741">
        <f t="shared" si="433"/>
        <v>0</v>
      </c>
      <c r="AJ515" s="853"/>
      <c r="AK515" s="533"/>
      <c r="AL515" s="533"/>
      <c r="AM515" s="533"/>
      <c r="AN515" s="625"/>
      <c r="AO515" s="625"/>
      <c r="AP515" s="625"/>
      <c r="AQ515" s="625"/>
    </row>
    <row r="516" spans="1:43" s="536" customFormat="1">
      <c r="A516" s="537"/>
      <c r="B516" s="1736" t="str">
        <f t="shared" si="412"/>
        <v>CUENTAS POR PAGAR / COSTO DE VENTAS (ANUALIZADO)</v>
      </c>
      <c r="C516" s="1737">
        <f t="shared" si="412"/>
        <v>0</v>
      </c>
      <c r="D516" s="1121"/>
      <c r="E516" s="1738">
        <f t="shared" si="413"/>
        <v>0</v>
      </c>
      <c r="F516" s="1121"/>
      <c r="G516" s="1121"/>
      <c r="H516" s="1738">
        <f t="shared" si="414"/>
        <v>0</v>
      </c>
      <c r="I516" s="1121"/>
      <c r="J516" s="1121"/>
      <c r="K516" s="1738">
        <f t="shared" si="415"/>
        <v>0</v>
      </c>
      <c r="L516" s="531"/>
      <c r="M516" s="539"/>
      <c r="N516" s="1738">
        <f t="shared" si="416"/>
        <v>0</v>
      </c>
      <c r="O516" s="531"/>
      <c r="P516" s="539"/>
      <c r="Q516" s="1738">
        <f t="shared" si="417"/>
        <v>0</v>
      </c>
      <c r="R516" s="531"/>
      <c r="S516" s="1739"/>
      <c r="T516" s="1740">
        <f t="shared" ref="T516:AI516" si="434">T469+$S516</f>
        <v>0</v>
      </c>
      <c r="U516" s="1740">
        <f t="shared" si="434"/>
        <v>0</v>
      </c>
      <c r="V516" s="1740">
        <f t="shared" si="434"/>
        <v>0</v>
      </c>
      <c r="W516" s="1740">
        <f t="shared" si="434"/>
        <v>0</v>
      </c>
      <c r="X516" s="1740">
        <f t="shared" si="434"/>
        <v>0</v>
      </c>
      <c r="Y516" s="1740">
        <f t="shared" si="434"/>
        <v>0</v>
      </c>
      <c r="Z516" s="1740">
        <f t="shared" si="434"/>
        <v>0</v>
      </c>
      <c r="AA516" s="1740">
        <f t="shared" si="434"/>
        <v>0</v>
      </c>
      <c r="AB516" s="1740">
        <f t="shared" si="434"/>
        <v>0</v>
      </c>
      <c r="AC516" s="1740">
        <f t="shared" si="434"/>
        <v>0</v>
      </c>
      <c r="AD516" s="1741">
        <f t="shared" si="434"/>
        <v>0</v>
      </c>
      <c r="AE516" s="1741">
        <f t="shared" si="434"/>
        <v>0</v>
      </c>
      <c r="AF516" s="1741">
        <f t="shared" si="434"/>
        <v>0</v>
      </c>
      <c r="AG516" s="1741">
        <f t="shared" si="434"/>
        <v>0</v>
      </c>
      <c r="AH516" s="1741">
        <f t="shared" si="434"/>
        <v>0</v>
      </c>
      <c r="AI516" s="1741">
        <f t="shared" si="434"/>
        <v>0</v>
      </c>
      <c r="AJ516" s="853"/>
      <c r="AK516" s="533"/>
      <c r="AL516" s="533"/>
      <c r="AM516" s="533"/>
      <c r="AN516" s="625"/>
      <c r="AO516" s="625"/>
      <c r="AP516" s="625"/>
      <c r="AQ516" s="625"/>
    </row>
    <row r="517" spans="1:43" s="536" customFormat="1">
      <c r="A517" s="537"/>
      <c r="B517" s="1736" t="str">
        <f t="shared" si="412"/>
        <v>PASIVOS ESTIMADOS Y PROVISIONES / GASTOS OPERACIONALES (ANUALIZADOS)</v>
      </c>
      <c r="C517" s="1737">
        <f t="shared" si="412"/>
        <v>0</v>
      </c>
      <c r="D517" s="1121"/>
      <c r="E517" s="1738">
        <f t="shared" si="413"/>
        <v>0</v>
      </c>
      <c r="F517" s="1121"/>
      <c r="G517" s="1121"/>
      <c r="H517" s="1738">
        <f t="shared" si="414"/>
        <v>0</v>
      </c>
      <c r="I517" s="1121"/>
      <c r="J517" s="1121"/>
      <c r="K517" s="1738">
        <f t="shared" si="415"/>
        <v>0</v>
      </c>
      <c r="L517" s="531"/>
      <c r="M517" s="539"/>
      <c r="N517" s="1738">
        <f t="shared" si="416"/>
        <v>0</v>
      </c>
      <c r="O517" s="531"/>
      <c r="P517" s="539"/>
      <c r="Q517" s="1738">
        <f t="shared" si="417"/>
        <v>0</v>
      </c>
      <c r="R517" s="531"/>
      <c r="S517" s="1739"/>
      <c r="T517" s="1740">
        <f t="shared" ref="T517:AI517" si="435">T470+$S517</f>
        <v>0</v>
      </c>
      <c r="U517" s="1740">
        <f t="shared" si="435"/>
        <v>0</v>
      </c>
      <c r="V517" s="1740">
        <f t="shared" si="435"/>
        <v>0</v>
      </c>
      <c r="W517" s="1740">
        <f t="shared" si="435"/>
        <v>0</v>
      </c>
      <c r="X517" s="1740">
        <f t="shared" si="435"/>
        <v>0</v>
      </c>
      <c r="Y517" s="1740">
        <f t="shared" si="435"/>
        <v>0</v>
      </c>
      <c r="Z517" s="1740">
        <f t="shared" si="435"/>
        <v>0</v>
      </c>
      <c r="AA517" s="1740">
        <f t="shared" si="435"/>
        <v>0</v>
      </c>
      <c r="AB517" s="1740">
        <f t="shared" si="435"/>
        <v>0</v>
      </c>
      <c r="AC517" s="1740">
        <f t="shared" si="435"/>
        <v>0</v>
      </c>
      <c r="AD517" s="1741">
        <f t="shared" si="435"/>
        <v>0</v>
      </c>
      <c r="AE517" s="1741">
        <f t="shared" si="435"/>
        <v>0</v>
      </c>
      <c r="AF517" s="1741">
        <f t="shared" si="435"/>
        <v>0</v>
      </c>
      <c r="AG517" s="1741">
        <f t="shared" si="435"/>
        <v>0</v>
      </c>
      <c r="AH517" s="1741">
        <f t="shared" si="435"/>
        <v>0</v>
      </c>
      <c r="AI517" s="1741">
        <f t="shared" si="435"/>
        <v>0</v>
      </c>
      <c r="AJ517" s="853"/>
      <c r="AK517" s="533"/>
      <c r="AL517" s="533"/>
      <c r="AM517" s="533"/>
      <c r="AN517" s="625"/>
      <c r="AO517" s="625"/>
      <c r="AP517" s="625"/>
      <c r="AQ517" s="625"/>
    </row>
    <row r="518" spans="1:43" s="536" customFormat="1">
      <c r="A518" s="537"/>
      <c r="B518" s="1736" t="str">
        <f t="shared" si="412"/>
        <v>DIVIDENDOS PAGADOS / UTILIDAD NETA EJERCICIO ANTERIOR</v>
      </c>
      <c r="C518" s="1785" t="str">
        <f t="shared" si="412"/>
        <v>N/A</v>
      </c>
      <c r="D518" s="1121"/>
      <c r="E518" s="1738">
        <f t="shared" si="413"/>
        <v>0</v>
      </c>
      <c r="F518" s="1121"/>
      <c r="G518" s="1121"/>
      <c r="H518" s="1738">
        <f t="shared" si="414"/>
        <v>0</v>
      </c>
      <c r="I518" s="1121"/>
      <c r="J518" s="1121"/>
      <c r="K518" s="1738">
        <f t="shared" si="415"/>
        <v>0</v>
      </c>
      <c r="L518" s="531"/>
      <c r="M518" s="539"/>
      <c r="N518" s="1738">
        <f t="shared" si="416"/>
        <v>0</v>
      </c>
      <c r="O518" s="531"/>
      <c r="P518" s="539"/>
      <c r="Q518" s="1738">
        <f t="shared" si="417"/>
        <v>0</v>
      </c>
      <c r="R518" s="531"/>
      <c r="S518" s="1739"/>
      <c r="T518" s="1740">
        <f t="shared" ref="T518:AI518" si="436">T471+$S518</f>
        <v>0</v>
      </c>
      <c r="U518" s="1740">
        <f t="shared" si="436"/>
        <v>0</v>
      </c>
      <c r="V518" s="1740">
        <f t="shared" si="436"/>
        <v>0</v>
      </c>
      <c r="W518" s="1740">
        <f t="shared" si="436"/>
        <v>0</v>
      </c>
      <c r="X518" s="1740">
        <f t="shared" si="436"/>
        <v>0</v>
      </c>
      <c r="Y518" s="1740">
        <f t="shared" si="436"/>
        <v>0</v>
      </c>
      <c r="Z518" s="1740">
        <f t="shared" si="436"/>
        <v>0</v>
      </c>
      <c r="AA518" s="1740">
        <f t="shared" si="436"/>
        <v>0</v>
      </c>
      <c r="AB518" s="1740">
        <f t="shared" si="436"/>
        <v>0</v>
      </c>
      <c r="AC518" s="1740">
        <f t="shared" si="436"/>
        <v>0</v>
      </c>
      <c r="AD518" s="1741">
        <f t="shared" si="436"/>
        <v>0</v>
      </c>
      <c r="AE518" s="1741">
        <f t="shared" si="436"/>
        <v>0</v>
      </c>
      <c r="AF518" s="1741">
        <f t="shared" si="436"/>
        <v>0</v>
      </c>
      <c r="AG518" s="1741">
        <f t="shared" si="436"/>
        <v>0</v>
      </c>
      <c r="AH518" s="1741">
        <f t="shared" si="436"/>
        <v>0</v>
      </c>
      <c r="AI518" s="1741">
        <f t="shared" si="436"/>
        <v>0</v>
      </c>
      <c r="AJ518" s="853"/>
      <c r="AK518" s="533"/>
      <c r="AL518" s="533"/>
      <c r="AM518" s="533"/>
      <c r="AN518" s="625"/>
      <c r="AO518" s="625"/>
      <c r="AP518" s="625"/>
      <c r="AQ518" s="625"/>
    </row>
    <row r="519" spans="1:43" s="536" customFormat="1">
      <c r="A519" s="537"/>
      <c r="B519" s="1753" t="str">
        <f t="shared" si="412"/>
        <v>VARIACIÓN REVALORIZACIÓN PATRIMONIAL</v>
      </c>
      <c r="C519" s="1787" t="str">
        <f t="shared" si="412"/>
        <v>N/A</v>
      </c>
      <c r="D519" s="1121"/>
      <c r="E519" s="1755">
        <f t="shared" si="413"/>
        <v>0</v>
      </c>
      <c r="F519" s="1121"/>
      <c r="G519" s="1121"/>
      <c r="H519" s="1755">
        <f t="shared" si="414"/>
        <v>0</v>
      </c>
      <c r="I519" s="1121"/>
      <c r="J519" s="1121"/>
      <c r="K519" s="1755">
        <f t="shared" si="415"/>
        <v>0</v>
      </c>
      <c r="L519" s="531"/>
      <c r="M519" s="539"/>
      <c r="N519" s="1755">
        <f t="shared" si="416"/>
        <v>0</v>
      </c>
      <c r="O519" s="531"/>
      <c r="P519" s="539"/>
      <c r="Q519" s="1755">
        <f t="shared" si="417"/>
        <v>0</v>
      </c>
      <c r="R519" s="531"/>
      <c r="S519" s="1756"/>
      <c r="T519" s="1757">
        <v>0</v>
      </c>
      <c r="U519" s="1757">
        <f t="shared" ref="U519:AI519" si="437">U472+$S519</f>
        <v>0</v>
      </c>
      <c r="V519" s="1757">
        <f t="shared" si="437"/>
        <v>0</v>
      </c>
      <c r="W519" s="1757">
        <f t="shared" si="437"/>
        <v>0</v>
      </c>
      <c r="X519" s="1757">
        <f t="shared" si="437"/>
        <v>0</v>
      </c>
      <c r="Y519" s="1757">
        <f t="shared" si="437"/>
        <v>0</v>
      </c>
      <c r="Z519" s="1757">
        <f t="shared" si="437"/>
        <v>0</v>
      </c>
      <c r="AA519" s="1757">
        <f t="shared" si="437"/>
        <v>0</v>
      </c>
      <c r="AB519" s="1757">
        <f t="shared" si="437"/>
        <v>0</v>
      </c>
      <c r="AC519" s="1757">
        <f t="shared" si="437"/>
        <v>0</v>
      </c>
      <c r="AD519" s="1758">
        <f t="shared" si="437"/>
        <v>0</v>
      </c>
      <c r="AE519" s="1758">
        <f t="shared" si="437"/>
        <v>0</v>
      </c>
      <c r="AF519" s="1758">
        <f t="shared" si="437"/>
        <v>0</v>
      </c>
      <c r="AG519" s="1758">
        <f t="shared" si="437"/>
        <v>0</v>
      </c>
      <c r="AH519" s="1758">
        <f t="shared" si="437"/>
        <v>0</v>
      </c>
      <c r="AI519" s="1758">
        <f t="shared" si="437"/>
        <v>0</v>
      </c>
      <c r="AJ519" s="853"/>
      <c r="AK519" s="533"/>
      <c r="AL519" s="533"/>
      <c r="AM519" s="533"/>
      <c r="AN519" s="625"/>
      <c r="AO519" s="625"/>
      <c r="AP519" s="625"/>
      <c r="AQ519" s="625"/>
    </row>
    <row r="520" spans="1:43" s="536" customFormat="1">
      <c r="A520" s="537"/>
      <c r="B520" s="1788"/>
      <c r="C520" s="531"/>
      <c r="D520" s="531"/>
      <c r="E520" s="531"/>
      <c r="F520" s="531"/>
      <c r="G520" s="531"/>
      <c r="H520" s="531"/>
      <c r="I520" s="530"/>
      <c r="J520" s="530"/>
      <c r="K520" s="530"/>
      <c r="L520" s="531"/>
      <c r="M520" s="539"/>
      <c r="N520" s="530"/>
      <c r="O520" s="531"/>
      <c r="P520" s="539"/>
      <c r="Q520" s="530"/>
      <c r="R520" s="531"/>
      <c r="S520" s="539"/>
      <c r="T520" s="539"/>
      <c r="U520" s="531"/>
      <c r="V520" s="531"/>
      <c r="W520" s="531"/>
      <c r="X520" s="531"/>
      <c r="Y520" s="531"/>
      <c r="Z520" s="531"/>
      <c r="AA520" s="531"/>
      <c r="AB520" s="531"/>
      <c r="AC520" s="531"/>
      <c r="AD520" s="531"/>
      <c r="AE520" s="1789"/>
      <c r="AF520" s="1789"/>
      <c r="AG520" s="531"/>
      <c r="AH520" s="531"/>
      <c r="AI520" s="531"/>
      <c r="AJ520" s="853"/>
      <c r="AK520" s="533"/>
      <c r="AL520" s="533"/>
      <c r="AM520" s="533"/>
      <c r="AN520" s="625"/>
      <c r="AO520" s="625"/>
      <c r="AP520" s="625"/>
      <c r="AQ520" s="625"/>
    </row>
    <row r="521" spans="1:43" s="536" customFormat="1">
      <c r="A521" s="537"/>
      <c r="B521" s="1788"/>
      <c r="C521" s="531"/>
      <c r="D521" s="531"/>
      <c r="E521" s="531"/>
      <c r="F521" s="531"/>
      <c r="G521" s="531"/>
      <c r="H521" s="531"/>
      <c r="I521" s="530"/>
      <c r="J521" s="530"/>
      <c r="K521" s="530"/>
      <c r="L521" s="531"/>
      <c r="M521" s="539"/>
      <c r="N521" s="530"/>
      <c r="O521" s="531"/>
      <c r="P521" s="539"/>
      <c r="Q521" s="530"/>
      <c r="R521" s="531"/>
      <c r="S521" s="539"/>
      <c r="T521" s="1790" t="s">
        <v>1044</v>
      </c>
      <c r="U521" s="1791" t="s">
        <v>1044</v>
      </c>
      <c r="V521" s="1791" t="s">
        <v>1044</v>
      </c>
      <c r="W521" s="1791" t="s">
        <v>1044</v>
      </c>
      <c r="X521" s="1791" t="s">
        <v>1044</v>
      </c>
      <c r="Y521" s="1791" t="s">
        <v>1044</v>
      </c>
      <c r="Z521" s="1791" t="s">
        <v>1044</v>
      </c>
      <c r="AA521" s="1791" t="s">
        <v>1044</v>
      </c>
      <c r="AB521" s="1791" t="s">
        <v>1044</v>
      </c>
      <c r="AC521" s="1791" t="s">
        <v>1044</v>
      </c>
      <c r="AD521" s="1792" t="s">
        <v>1044</v>
      </c>
      <c r="AE521" s="1792" t="s">
        <v>1044</v>
      </c>
      <c r="AF521" s="1792" t="s">
        <v>1044</v>
      </c>
      <c r="AG521" s="1792" t="s">
        <v>1044</v>
      </c>
      <c r="AH521" s="1792" t="s">
        <v>1044</v>
      </c>
      <c r="AI521" s="1792" t="s">
        <v>1044</v>
      </c>
      <c r="AJ521" s="853"/>
      <c r="AK521" s="533"/>
      <c r="AL521" s="533"/>
      <c r="AM521" s="533"/>
      <c r="AN521" s="625"/>
      <c r="AO521" s="625"/>
      <c r="AP521" s="625"/>
      <c r="AQ521" s="625"/>
    </row>
    <row r="522" spans="1:43" s="536" customFormat="1">
      <c r="A522" s="537"/>
      <c r="B522" s="1793" t="s">
        <v>1375</v>
      </c>
      <c r="C522" s="1794">
        <f>C428</f>
        <v>2016</v>
      </c>
      <c r="D522" s="531"/>
      <c r="E522" s="1795">
        <f>E428</f>
        <v>2017</v>
      </c>
      <c r="F522" s="531"/>
      <c r="G522" s="531"/>
      <c r="H522" s="1795">
        <f>H428</f>
        <v>2018</v>
      </c>
      <c r="I522" s="530"/>
      <c r="J522" s="530"/>
      <c r="K522" s="1795">
        <f>K428</f>
        <v>2019</v>
      </c>
      <c r="L522" s="531"/>
      <c r="M522" s="539"/>
      <c r="N522" s="1795">
        <f>N428</f>
        <v>2019</v>
      </c>
      <c r="O522" s="531"/>
      <c r="P522" s="539"/>
      <c r="Q522" s="1795" t="str">
        <f>Q428</f>
        <v>2020</v>
      </c>
      <c r="R522" s="531"/>
      <c r="S522" s="539"/>
      <c r="T522" s="1796">
        <f t="shared" ref="T522:AI522" si="438">T428</f>
        <v>2020</v>
      </c>
      <c r="U522" s="1797">
        <f t="shared" si="438"/>
        <v>2021</v>
      </c>
      <c r="V522" s="1797">
        <f t="shared" si="438"/>
        <v>2022</v>
      </c>
      <c r="W522" s="1797">
        <f t="shared" si="438"/>
        <v>2023</v>
      </c>
      <c r="X522" s="1797">
        <f t="shared" si="438"/>
        <v>2024</v>
      </c>
      <c r="Y522" s="1797">
        <f t="shared" si="438"/>
        <v>2025</v>
      </c>
      <c r="Z522" s="1797">
        <f t="shared" si="438"/>
        <v>2026</v>
      </c>
      <c r="AA522" s="1797">
        <f t="shared" si="438"/>
        <v>2027</v>
      </c>
      <c r="AB522" s="1797">
        <f t="shared" si="438"/>
        <v>2028</v>
      </c>
      <c r="AC522" s="1797">
        <f t="shared" si="438"/>
        <v>2029</v>
      </c>
      <c r="AD522" s="1798">
        <f t="shared" si="438"/>
        <v>2030</v>
      </c>
      <c r="AE522" s="1798">
        <f t="shared" si="438"/>
        <v>2031</v>
      </c>
      <c r="AF522" s="1798">
        <f t="shared" si="438"/>
        <v>2032</v>
      </c>
      <c r="AG522" s="1798">
        <f t="shared" si="438"/>
        <v>2033</v>
      </c>
      <c r="AH522" s="1798">
        <f t="shared" si="438"/>
        <v>2034</v>
      </c>
      <c r="AI522" s="1798">
        <f t="shared" si="438"/>
        <v>2035</v>
      </c>
      <c r="AJ522" s="853"/>
      <c r="AK522" s="533"/>
      <c r="AL522" s="533"/>
      <c r="AM522" s="533"/>
      <c r="AN522" s="625"/>
      <c r="AO522" s="625"/>
      <c r="AP522" s="625"/>
      <c r="AQ522" s="625"/>
    </row>
    <row r="523" spans="1:43" s="536" customFormat="1">
      <c r="A523" s="537"/>
      <c r="B523" s="1799" t="str">
        <f>B429</f>
        <v>Inflación</v>
      </c>
      <c r="C523" s="1800">
        <f>C429</f>
        <v>6.8000000000000005E-2</v>
      </c>
      <c r="D523" s="531"/>
      <c r="E523" s="1801">
        <f>E429</f>
        <v>3.6999999999999998E-2</v>
      </c>
      <c r="F523" s="531"/>
      <c r="G523" s="531"/>
      <c r="H523" s="1801">
        <f>H429</f>
        <v>2.4400000000000002E-2</v>
      </c>
      <c r="I523" s="530"/>
      <c r="J523" s="530"/>
      <c r="K523" s="1801" t="str">
        <f>K429</f>
        <v>N/A</v>
      </c>
      <c r="L523" s="531"/>
      <c r="M523" s="539"/>
      <c r="N523" s="1801">
        <f>N429</f>
        <v>3.6600000000000001E-2</v>
      </c>
      <c r="O523" s="531"/>
      <c r="P523" s="539"/>
      <c r="Q523" s="1801" t="str">
        <f>Q429</f>
        <v>N/A</v>
      </c>
      <c r="R523" s="531"/>
      <c r="S523" s="1802"/>
      <c r="T523" s="1803">
        <f t="shared" ref="T523:AI523" si="439">T476</f>
        <v>6.7699999999999996E-2</v>
      </c>
      <c r="U523" s="1804">
        <f t="shared" si="439"/>
        <v>3.6400000000000002E-2</v>
      </c>
      <c r="V523" s="1804">
        <f t="shared" si="439"/>
        <v>0.03</v>
      </c>
      <c r="W523" s="1804">
        <f t="shared" si="439"/>
        <v>0.03</v>
      </c>
      <c r="X523" s="1804">
        <f t="shared" si="439"/>
        <v>0.03</v>
      </c>
      <c r="Y523" s="1804">
        <f t="shared" si="439"/>
        <v>0.03</v>
      </c>
      <c r="Z523" s="1804">
        <f t="shared" si="439"/>
        <v>0.03</v>
      </c>
      <c r="AA523" s="1804">
        <f t="shared" si="439"/>
        <v>0.03</v>
      </c>
      <c r="AB523" s="1804">
        <f t="shared" si="439"/>
        <v>0.03</v>
      </c>
      <c r="AC523" s="1804">
        <f t="shared" si="439"/>
        <v>0.03</v>
      </c>
      <c r="AD523" s="1805">
        <f t="shared" si="439"/>
        <v>0.03</v>
      </c>
      <c r="AE523" s="1805">
        <f t="shared" si="439"/>
        <v>0.03</v>
      </c>
      <c r="AF523" s="1805">
        <f t="shared" si="439"/>
        <v>0.03</v>
      </c>
      <c r="AG523" s="1805">
        <f t="shared" si="439"/>
        <v>0.03</v>
      </c>
      <c r="AH523" s="1805">
        <f t="shared" si="439"/>
        <v>0.03</v>
      </c>
      <c r="AI523" s="1805">
        <f t="shared" si="439"/>
        <v>0.03</v>
      </c>
      <c r="AJ523" s="853"/>
      <c r="AK523" s="533"/>
      <c r="AL523" s="533"/>
      <c r="AM523" s="533"/>
      <c r="AN523" s="625"/>
      <c r="AO523" s="625"/>
      <c r="AP523" s="625"/>
      <c r="AQ523" s="625"/>
    </row>
    <row r="524" spans="1:43" s="536" customFormat="1">
      <c r="A524" s="537"/>
      <c r="B524" s="1806" t="str">
        <f>B430</f>
        <v>Variación TRM</v>
      </c>
      <c r="C524" s="1807">
        <f>C430</f>
        <v>4.4900000000000002E-2</v>
      </c>
      <c r="D524" s="531"/>
      <c r="E524" s="1808">
        <f>E430</f>
        <v>-0.13397724183117241</v>
      </c>
      <c r="F524" s="531"/>
      <c r="G524" s="531"/>
      <c r="H524" s="1808">
        <f>H430</f>
        <v>-9.0066906845084921E-2</v>
      </c>
      <c r="I524" s="530"/>
      <c r="J524" s="530"/>
      <c r="K524" s="1808" t="str">
        <f>K430</f>
        <v>N/A</v>
      </c>
      <c r="L524" s="531"/>
      <c r="M524" s="539"/>
      <c r="N524" s="1808">
        <f>N430</f>
        <v>0.32480404320537187</v>
      </c>
      <c r="O524" s="531"/>
      <c r="P524" s="539"/>
      <c r="Q524" s="1808" t="str">
        <f>Q430</f>
        <v>N/A</v>
      </c>
      <c r="R524" s="531"/>
      <c r="S524" s="1802"/>
      <c r="T524" s="1809">
        <f t="shared" ref="T524:AI524" si="440">T477</f>
        <v>0.38507704050111063</v>
      </c>
      <c r="U524" s="1810">
        <f t="shared" si="440"/>
        <v>-0.13692170398303674</v>
      </c>
      <c r="V524" s="1810">
        <f t="shared" si="440"/>
        <v>2.5000000000000001E-2</v>
      </c>
      <c r="W524" s="1810">
        <f t="shared" si="440"/>
        <v>0.04</v>
      </c>
      <c r="X524" s="1810">
        <f t="shared" si="440"/>
        <v>0.04</v>
      </c>
      <c r="Y524" s="1811">
        <f t="shared" si="440"/>
        <v>0.04</v>
      </c>
      <c r="Z524" s="1811">
        <f t="shared" si="440"/>
        <v>0.04</v>
      </c>
      <c r="AA524" s="1811">
        <f t="shared" si="440"/>
        <v>0.04</v>
      </c>
      <c r="AB524" s="1811">
        <f t="shared" si="440"/>
        <v>0.04</v>
      </c>
      <c r="AC524" s="1811">
        <f t="shared" si="440"/>
        <v>0.04</v>
      </c>
      <c r="AD524" s="1812">
        <f t="shared" si="440"/>
        <v>0.04</v>
      </c>
      <c r="AE524" s="1812">
        <f t="shared" si="440"/>
        <v>0.04</v>
      </c>
      <c r="AF524" s="1812">
        <f t="shared" si="440"/>
        <v>0.04</v>
      </c>
      <c r="AG524" s="1812">
        <f t="shared" si="440"/>
        <v>0.04</v>
      </c>
      <c r="AH524" s="1812">
        <f t="shared" si="440"/>
        <v>0.04</v>
      </c>
      <c r="AI524" s="1812">
        <f t="shared" si="440"/>
        <v>0.04</v>
      </c>
      <c r="AJ524" s="853"/>
      <c r="AK524" s="533"/>
      <c r="AL524" s="533"/>
      <c r="AM524" s="533"/>
      <c r="AN524" s="625"/>
      <c r="AO524" s="625"/>
      <c r="AP524" s="625"/>
      <c r="AQ524" s="625"/>
    </row>
    <row r="525" spans="1:43" s="536" customFormat="1">
      <c r="A525" s="537"/>
      <c r="B525" s="1806" t="str">
        <f>B431</f>
        <v>Crecimiento PIB</v>
      </c>
      <c r="C525" s="1807">
        <f>C431</f>
        <v>6.5799999999999997E-2</v>
      </c>
      <c r="D525" s="531"/>
      <c r="E525" s="1808">
        <f>E431</f>
        <v>4.0399999999999998E-2</v>
      </c>
      <c r="F525" s="531"/>
      <c r="G525" s="531"/>
      <c r="H525" s="1808">
        <f>H431</f>
        <v>4.9299999999999997E-2</v>
      </c>
      <c r="I525" s="530"/>
      <c r="J525" s="530"/>
      <c r="K525" s="1808" t="str">
        <f>K431</f>
        <v>N/A</v>
      </c>
      <c r="L525" s="531"/>
      <c r="M525" s="539"/>
      <c r="N525" s="1808">
        <f>N431</f>
        <v>4.5499999999999999E-2</v>
      </c>
      <c r="O525" s="531"/>
      <c r="P525" s="539"/>
      <c r="Q525" s="1808" t="str">
        <f>Q431</f>
        <v>N/A</v>
      </c>
      <c r="R525" s="531"/>
      <c r="S525" s="1802"/>
      <c r="T525" s="1813">
        <f>T526/N526-1</f>
        <v>0.38507704050111058</v>
      </c>
      <c r="U525" s="1814">
        <f>U526/T526-1</f>
        <v>-0.13692170398303671</v>
      </c>
      <c r="V525" s="1814">
        <f>V526/U526-1</f>
        <v>-0.24420714285714296</v>
      </c>
      <c r="W525" s="1814">
        <f>W526/V526-1</f>
        <v>3.5001086843522877E-2</v>
      </c>
      <c r="X525" s="1814">
        <f>X526/W526-1</f>
        <v>3.499999999999992E-2</v>
      </c>
      <c r="Y525" s="1810">
        <f>AVERAGE(T525:X525)</f>
        <v>1.4789856100890741E-2</v>
      </c>
      <c r="Z525" s="1810">
        <f t="shared" ref="Z525:AI525" si="441">Y525</f>
        <v>1.4789856100890741E-2</v>
      </c>
      <c r="AA525" s="1810">
        <f t="shared" si="441"/>
        <v>1.4789856100890741E-2</v>
      </c>
      <c r="AB525" s="1810">
        <f t="shared" si="441"/>
        <v>1.4789856100890741E-2</v>
      </c>
      <c r="AC525" s="1810">
        <f t="shared" si="441"/>
        <v>1.4789856100890741E-2</v>
      </c>
      <c r="AD525" s="1815">
        <f t="shared" si="441"/>
        <v>1.4789856100890741E-2</v>
      </c>
      <c r="AE525" s="1815">
        <f t="shared" si="441"/>
        <v>1.4789856100890741E-2</v>
      </c>
      <c r="AF525" s="1815">
        <f t="shared" si="441"/>
        <v>1.4789856100890741E-2</v>
      </c>
      <c r="AG525" s="1815">
        <f t="shared" si="441"/>
        <v>1.4789856100890741E-2</v>
      </c>
      <c r="AH525" s="1815">
        <f t="shared" si="441"/>
        <v>1.4789856100890741E-2</v>
      </c>
      <c r="AI525" s="1815">
        <f t="shared" si="441"/>
        <v>1.4789856100890741E-2</v>
      </c>
      <c r="AJ525" s="853"/>
      <c r="AK525" s="533"/>
      <c r="AL525" s="533"/>
      <c r="AM525" s="533"/>
      <c r="AN525" s="625"/>
      <c r="AO525" s="625"/>
      <c r="AP525" s="625"/>
      <c r="AQ525" s="625"/>
    </row>
    <row r="526" spans="1:43" s="536" customFormat="1" ht="13.5" thickBot="1">
      <c r="A526" s="537"/>
      <c r="B526" s="1816" t="str">
        <f>B432</f>
        <v>TRM (COP POR 1 USD)</v>
      </c>
      <c r="C526" s="1817">
        <f>C432</f>
        <v>2243.59</v>
      </c>
      <c r="D526" s="1717"/>
      <c r="E526" s="1818">
        <f>E432</f>
        <v>1943</v>
      </c>
      <c r="F526" s="1717"/>
      <c r="G526" s="1717"/>
      <c r="H526" s="1818">
        <f>H432</f>
        <v>1768</v>
      </c>
      <c r="I526" s="1819"/>
      <c r="J526" s="1819"/>
      <c r="K526" s="1818" t="str">
        <f>K432</f>
        <v>N/A</v>
      </c>
      <c r="L526" s="1717"/>
      <c r="M526" s="1820"/>
      <c r="N526" s="1818">
        <f>N432</f>
        <v>2342.2535483870975</v>
      </c>
      <c r="O526" s="1717"/>
      <c r="P526" s="1820"/>
      <c r="Q526" s="1818" t="str">
        <f>Q432</f>
        <v>N/A</v>
      </c>
      <c r="R526" s="1717"/>
      <c r="S526" s="1821"/>
      <c r="T526" s="1822">
        <f>T479</f>
        <v>3244.2016129032259</v>
      </c>
      <c r="U526" s="1823">
        <f>U479</f>
        <v>2800</v>
      </c>
      <c r="V526" s="1823">
        <f>V479</f>
        <v>2116.2199999999998</v>
      </c>
      <c r="W526" s="1823">
        <f>W479</f>
        <v>2190.29</v>
      </c>
      <c r="X526" s="1823">
        <f>X479</f>
        <v>2266.9501499999997</v>
      </c>
      <c r="Y526" s="1824">
        <f t="shared" ref="Y526:AI526" si="442">X526*(1+Y525)</f>
        <v>2300.4780165063926</v>
      </c>
      <c r="Z526" s="1824">
        <f t="shared" si="442"/>
        <v>2334.5017553337848</v>
      </c>
      <c r="AA526" s="1824">
        <f t="shared" si="442"/>
        <v>2369.0287003624485</v>
      </c>
      <c r="AB526" s="1824">
        <f t="shared" si="442"/>
        <v>2404.0662939396893</v>
      </c>
      <c r="AC526" s="1824">
        <f t="shared" si="442"/>
        <v>2439.6220884840591</v>
      </c>
      <c r="AD526" s="1825">
        <f t="shared" si="442"/>
        <v>2475.7037481132929</v>
      </c>
      <c r="AE526" s="1825">
        <f t="shared" si="442"/>
        <v>2512.3190502963243</v>
      </c>
      <c r="AF526" s="1825">
        <f t="shared" si="442"/>
        <v>2549.4758875297334</v>
      </c>
      <c r="AG526" s="1825">
        <f t="shared" si="442"/>
        <v>2587.182269038989</v>
      </c>
      <c r="AH526" s="1825">
        <f t="shared" si="442"/>
        <v>2625.4463225048517</v>
      </c>
      <c r="AI526" s="1825">
        <f t="shared" si="442"/>
        <v>2664.2762958153112</v>
      </c>
      <c r="AJ526" s="853"/>
      <c r="AK526" s="533"/>
      <c r="AL526" s="533"/>
      <c r="AM526" s="533"/>
      <c r="AN526" s="625"/>
      <c r="AO526" s="625"/>
      <c r="AP526" s="625"/>
      <c r="AQ526" s="625"/>
    </row>
    <row r="527" spans="1:43" s="536" customFormat="1">
      <c r="A527" s="537"/>
      <c r="B527" s="660"/>
      <c r="C527" s="1596"/>
      <c r="D527" s="531"/>
      <c r="E527" s="1596"/>
      <c r="F527" s="531"/>
      <c r="G527" s="531"/>
      <c r="H527" s="1596"/>
      <c r="I527" s="530"/>
      <c r="J527" s="530"/>
      <c r="K527" s="1596"/>
      <c r="L527" s="531"/>
      <c r="M527" s="539"/>
      <c r="N527" s="1596"/>
      <c r="O527" s="531"/>
      <c r="P527" s="539"/>
      <c r="Q527" s="1596"/>
      <c r="R527" s="531"/>
      <c r="S527" s="539"/>
      <c r="T527" s="1826" t="str">
        <f>T480</f>
        <v>FUENTES PARA INFORMACIÓN INICIAL DE PROYECCIÓN: BANCO DE LA REPÚBLICA, DIRECCIÓN EJECUTIVA DE ESTUDIOS ECONÓMICOS, CÁLCULOS DAVIVIENDA</v>
      </c>
      <c r="U527" s="1827"/>
      <c r="V527" s="1827"/>
      <c r="W527" s="1827"/>
      <c r="X527" s="1827"/>
      <c r="Y527" s="1827"/>
      <c r="Z527" s="1827"/>
      <c r="AA527" s="1827"/>
      <c r="AB527" s="1827"/>
      <c r="AC527" s="1827"/>
      <c r="AD527" s="1827"/>
      <c r="AE527" s="531"/>
      <c r="AF527" s="1723"/>
      <c r="AG527" s="531"/>
      <c r="AH527" s="531"/>
      <c r="AI527" s="531"/>
      <c r="AJ527" s="853"/>
      <c r="AK527" s="533"/>
      <c r="AL527" s="533"/>
      <c r="AM527" s="533"/>
      <c r="AN527" s="625"/>
      <c r="AO527" s="625"/>
      <c r="AP527" s="625"/>
      <c r="AQ527" s="625"/>
    </row>
    <row r="528" spans="1:43" s="536" customFormat="1" ht="13.5" thickBot="1">
      <c r="A528" s="537"/>
      <c r="B528" s="660"/>
      <c r="C528" s="531"/>
      <c r="D528" s="534"/>
      <c r="E528" s="531"/>
      <c r="F528" s="531"/>
      <c r="G528" s="531"/>
      <c r="H528" s="531"/>
      <c r="I528" s="530"/>
      <c r="J528" s="530"/>
      <c r="K528" s="1295"/>
      <c r="L528" s="531"/>
      <c r="M528" s="539"/>
      <c r="N528" s="1295"/>
      <c r="O528" s="531"/>
      <c r="P528" s="539"/>
      <c r="Q528" s="1295"/>
      <c r="R528" s="531"/>
      <c r="S528" s="539"/>
      <c r="T528" s="1828"/>
      <c r="U528" s="1828"/>
      <c r="V528" s="1828"/>
      <c r="W528" s="1828"/>
      <c r="X528" s="1828"/>
      <c r="Y528" s="1828"/>
      <c r="Z528" s="1828"/>
      <c r="AA528" s="1828"/>
      <c r="AB528" s="1828"/>
      <c r="AC528" s="1828"/>
      <c r="AD528" s="1828"/>
      <c r="AE528" s="531"/>
      <c r="AF528" s="531"/>
      <c r="AG528" s="531"/>
      <c r="AH528" s="531"/>
      <c r="AI528" s="531"/>
      <c r="AJ528" s="853"/>
      <c r="AK528" s="533"/>
      <c r="AL528" s="533"/>
      <c r="AM528" s="533"/>
      <c r="AN528" s="625"/>
      <c r="AO528" s="625"/>
      <c r="AP528" s="625"/>
      <c r="AQ528" s="625"/>
    </row>
    <row r="529" spans="1:43" s="536" customFormat="1" ht="13.5" thickBot="1">
      <c r="A529" s="537"/>
      <c r="B529" s="1829" t="str">
        <f>"INFORMACIÓN HISTÓRICA - ESCENARIO "&amp;H915</f>
        <v>INFORMACIÓN HISTÓRICA - ESCENARIO SENSIBILIZADO 2</v>
      </c>
      <c r="C529" s="531"/>
      <c r="D529" s="534"/>
      <c r="E529" s="531"/>
      <c r="F529" s="531"/>
      <c r="G529" s="531"/>
      <c r="H529" s="531"/>
      <c r="I529" s="530"/>
      <c r="J529" s="530"/>
      <c r="K529" s="1295"/>
      <c r="L529" s="531"/>
      <c r="M529" s="539"/>
      <c r="N529" s="1295"/>
      <c r="O529" s="531"/>
      <c r="P529" s="539"/>
      <c r="Q529" s="1295"/>
      <c r="R529" s="531"/>
      <c r="S529" s="539"/>
      <c r="T529" s="1830" t="str">
        <f>"PROYECCIÓN ESCENARIO "&amp;H915</f>
        <v>PROYECCIÓN ESCENARIO SENSIBILIZADO 2</v>
      </c>
      <c r="U529" s="1831"/>
      <c r="V529" s="1832"/>
      <c r="W529" s="531"/>
      <c r="X529" s="531"/>
      <c r="Y529" s="531"/>
      <c r="Z529" s="531"/>
      <c r="AA529" s="531"/>
      <c r="AB529" s="531"/>
      <c r="AC529" s="531"/>
      <c r="AD529" s="531"/>
      <c r="AE529" s="531"/>
      <c r="AF529" s="531"/>
      <c r="AG529" s="531"/>
      <c r="AH529" s="531"/>
      <c r="AI529" s="531"/>
      <c r="AJ529" s="853"/>
      <c r="AK529" s="533"/>
      <c r="AL529" s="533"/>
      <c r="AM529" s="533"/>
      <c r="AN529" s="625"/>
      <c r="AO529" s="625"/>
      <c r="AP529" s="625"/>
      <c r="AQ529" s="625"/>
    </row>
    <row r="530" spans="1:43" s="536" customFormat="1" ht="13.5" thickBot="1">
      <c r="A530" s="537"/>
      <c r="B530" s="660"/>
      <c r="C530" s="531"/>
      <c r="D530" s="534"/>
      <c r="E530" s="531"/>
      <c r="F530" s="531"/>
      <c r="G530" s="531"/>
      <c r="H530" s="531"/>
      <c r="I530" s="530"/>
      <c r="J530" s="530"/>
      <c r="K530" s="1295"/>
      <c r="L530" s="531"/>
      <c r="M530" s="539"/>
      <c r="N530" s="1295"/>
      <c r="O530" s="531"/>
      <c r="P530" s="539"/>
      <c r="Q530" s="1295"/>
      <c r="R530" s="531"/>
      <c r="S530" s="539"/>
      <c r="T530" s="531"/>
      <c r="U530" s="531"/>
      <c r="V530" s="531"/>
      <c r="W530" s="531"/>
      <c r="X530" s="531"/>
      <c r="Y530" s="531"/>
      <c r="Z530" s="531"/>
      <c r="AA530" s="531"/>
      <c r="AB530" s="531"/>
      <c r="AC530" s="531"/>
      <c r="AD530" s="531"/>
      <c r="AE530" s="531"/>
      <c r="AF530" s="1833"/>
      <c r="AG530" s="531"/>
      <c r="AH530" s="531"/>
      <c r="AI530" s="531"/>
      <c r="AJ530" s="853"/>
      <c r="AK530" s="533"/>
      <c r="AL530" s="533"/>
      <c r="AM530" s="533"/>
      <c r="AN530" s="625"/>
      <c r="AO530" s="625"/>
      <c r="AP530" s="625"/>
      <c r="AQ530" s="625"/>
    </row>
    <row r="531" spans="1:43" s="536" customFormat="1" ht="13.5" thickBot="1">
      <c r="A531" s="537"/>
      <c r="B531" s="660"/>
      <c r="C531" s="531"/>
      <c r="D531" s="534"/>
      <c r="E531" s="531"/>
      <c r="F531" s="531"/>
      <c r="G531" s="531"/>
      <c r="H531" s="531"/>
      <c r="I531" s="530"/>
      <c r="J531" s="530"/>
      <c r="K531" s="1295"/>
      <c r="L531" s="531"/>
      <c r="M531" s="539"/>
      <c r="N531" s="1295"/>
      <c r="O531" s="531"/>
      <c r="P531" s="539"/>
      <c r="Q531" s="1295"/>
      <c r="R531" s="531"/>
      <c r="S531" s="539"/>
      <c r="T531" s="1834" t="s">
        <v>1044</v>
      </c>
      <c r="U531" s="1835" t="s">
        <v>1044</v>
      </c>
      <c r="V531" s="1835" t="s">
        <v>1044</v>
      </c>
      <c r="W531" s="1835" t="s">
        <v>1044</v>
      </c>
      <c r="X531" s="1835" t="s">
        <v>1044</v>
      </c>
      <c r="Y531" s="1835" t="s">
        <v>1044</v>
      </c>
      <c r="Z531" s="1835" t="s">
        <v>1044</v>
      </c>
      <c r="AA531" s="1835" t="s">
        <v>1044</v>
      </c>
      <c r="AB531" s="1835" t="s">
        <v>1044</v>
      </c>
      <c r="AC531" s="1835" t="s">
        <v>1044</v>
      </c>
      <c r="AD531" s="1836" t="s">
        <v>1044</v>
      </c>
      <c r="AE531" s="1836" t="s">
        <v>1044</v>
      </c>
      <c r="AF531" s="1836" t="s">
        <v>1044</v>
      </c>
      <c r="AG531" s="1836" t="s">
        <v>1044</v>
      </c>
      <c r="AH531" s="1836" t="s">
        <v>1044</v>
      </c>
      <c r="AI531" s="1836" t="s">
        <v>1044</v>
      </c>
      <c r="AJ531" s="853"/>
      <c r="AK531" s="533"/>
      <c r="AL531" s="533"/>
      <c r="AM531" s="533"/>
      <c r="AN531" s="625"/>
      <c r="AO531" s="625"/>
      <c r="AP531" s="625"/>
      <c r="AQ531" s="625"/>
    </row>
    <row r="532" spans="1:43" s="536" customFormat="1">
      <c r="A532" s="537"/>
      <c r="B532" s="1837" t="s">
        <v>1345</v>
      </c>
      <c r="C532" s="1838">
        <f>C15</f>
        <v>2016</v>
      </c>
      <c r="D532" s="1839"/>
      <c r="E532" s="1840">
        <f>E15</f>
        <v>2017</v>
      </c>
      <c r="F532" s="1839"/>
      <c r="G532" s="1839"/>
      <c r="H532" s="1840">
        <f>H15</f>
        <v>2018</v>
      </c>
      <c r="I532" s="1841"/>
      <c r="J532" s="1841"/>
      <c r="K532" s="1840">
        <f>K15</f>
        <v>2019</v>
      </c>
      <c r="L532" s="1839"/>
      <c r="M532" s="1842"/>
      <c r="N532" s="1840">
        <f>N15</f>
        <v>2019</v>
      </c>
      <c r="O532" s="1839"/>
      <c r="P532" s="1842"/>
      <c r="Q532" s="1840" t="str">
        <f>Q15</f>
        <v>2020</v>
      </c>
      <c r="R532" s="1839"/>
      <c r="S532" s="1843" t="s">
        <v>1377</v>
      </c>
      <c r="T532" s="1844">
        <f t="shared" ref="T532:AI532" si="443">T385</f>
        <v>2020</v>
      </c>
      <c r="U532" s="1844">
        <f t="shared" si="443"/>
        <v>2021</v>
      </c>
      <c r="V532" s="1844">
        <f t="shared" si="443"/>
        <v>2022</v>
      </c>
      <c r="W532" s="1844">
        <f t="shared" si="443"/>
        <v>2023</v>
      </c>
      <c r="X532" s="1844">
        <f t="shared" si="443"/>
        <v>2024</v>
      </c>
      <c r="Y532" s="1844">
        <f t="shared" si="443"/>
        <v>2025</v>
      </c>
      <c r="Z532" s="1844">
        <f t="shared" si="443"/>
        <v>2026</v>
      </c>
      <c r="AA532" s="1844">
        <f t="shared" si="443"/>
        <v>2027</v>
      </c>
      <c r="AB532" s="1844">
        <f t="shared" si="443"/>
        <v>2028</v>
      </c>
      <c r="AC532" s="1844">
        <f t="shared" si="443"/>
        <v>2029</v>
      </c>
      <c r="AD532" s="1845">
        <f t="shared" si="443"/>
        <v>2030</v>
      </c>
      <c r="AE532" s="1845">
        <f t="shared" si="443"/>
        <v>2031</v>
      </c>
      <c r="AF532" s="1845">
        <f t="shared" si="443"/>
        <v>2032</v>
      </c>
      <c r="AG532" s="1845">
        <f t="shared" si="443"/>
        <v>2033</v>
      </c>
      <c r="AH532" s="1845">
        <f t="shared" si="443"/>
        <v>2034</v>
      </c>
      <c r="AI532" s="1845">
        <f t="shared" si="443"/>
        <v>2035</v>
      </c>
      <c r="AJ532" s="853"/>
      <c r="AK532" s="533"/>
      <c r="AL532" s="533"/>
      <c r="AM532" s="533"/>
      <c r="AN532" s="625"/>
      <c r="AO532" s="625"/>
      <c r="AP532" s="625"/>
      <c r="AQ532" s="625"/>
    </row>
    <row r="533" spans="1:43" s="536" customFormat="1">
      <c r="A533" s="537"/>
      <c r="B533" s="1846" t="str">
        <f t="shared" ref="B533:C544" si="444">B439</f>
        <v>CRECIMIENTO EN VENTAS</v>
      </c>
      <c r="C533" s="1847" t="str">
        <f t="shared" si="444"/>
        <v>N/A</v>
      </c>
      <c r="D533" s="531"/>
      <c r="E533" s="1848">
        <f t="shared" ref="E533:E544" si="445">E439</f>
        <v>0</v>
      </c>
      <c r="F533" s="531"/>
      <c r="G533" s="531"/>
      <c r="H533" s="1848">
        <f t="shared" ref="H533:H544" si="446">H439</f>
        <v>0</v>
      </c>
      <c r="I533" s="530"/>
      <c r="J533" s="530"/>
      <c r="K533" s="1848">
        <f t="shared" ref="K533:K544" si="447">K439</f>
        <v>0</v>
      </c>
      <c r="L533" s="531"/>
      <c r="M533" s="539"/>
      <c r="N533" s="1848">
        <f t="shared" ref="N533:N544" si="448">N439</f>
        <v>0</v>
      </c>
      <c r="O533" s="531"/>
      <c r="P533" s="539"/>
      <c r="Q533" s="1848">
        <f t="shared" ref="Q533:Q544" si="449">Q439</f>
        <v>0</v>
      </c>
      <c r="R533" s="531"/>
      <c r="S533" s="1849"/>
      <c r="T533" s="1850">
        <f t="shared" ref="T533:AI533" si="450">T439+$S533</f>
        <v>0</v>
      </c>
      <c r="U533" s="1850">
        <f t="shared" si="450"/>
        <v>0</v>
      </c>
      <c r="V533" s="1850">
        <f t="shared" si="450"/>
        <v>0</v>
      </c>
      <c r="W533" s="1850">
        <f t="shared" si="450"/>
        <v>0</v>
      </c>
      <c r="X533" s="1850">
        <f t="shared" si="450"/>
        <v>0</v>
      </c>
      <c r="Y533" s="1850">
        <f t="shared" si="450"/>
        <v>0</v>
      </c>
      <c r="Z533" s="1850">
        <f t="shared" si="450"/>
        <v>0</v>
      </c>
      <c r="AA533" s="1850">
        <f t="shared" si="450"/>
        <v>0</v>
      </c>
      <c r="AB533" s="1850">
        <f t="shared" si="450"/>
        <v>0</v>
      </c>
      <c r="AC533" s="1850">
        <f t="shared" si="450"/>
        <v>0</v>
      </c>
      <c r="AD533" s="1851">
        <f t="shared" si="450"/>
        <v>0</v>
      </c>
      <c r="AE533" s="1851">
        <f t="shared" si="450"/>
        <v>0</v>
      </c>
      <c r="AF533" s="1851">
        <f t="shared" si="450"/>
        <v>0</v>
      </c>
      <c r="AG533" s="1851">
        <f t="shared" si="450"/>
        <v>0</v>
      </c>
      <c r="AH533" s="1851">
        <f t="shared" si="450"/>
        <v>0</v>
      </c>
      <c r="AI533" s="1851">
        <f t="shared" si="450"/>
        <v>0</v>
      </c>
      <c r="AJ533" s="853"/>
      <c r="AK533" s="533"/>
      <c r="AL533" s="533"/>
      <c r="AM533" s="533"/>
      <c r="AN533" s="625"/>
      <c r="AO533" s="625"/>
      <c r="AP533" s="625"/>
      <c r="AQ533" s="625"/>
    </row>
    <row r="534" spans="1:43" s="536" customFormat="1">
      <c r="A534" s="537"/>
      <c r="B534" s="1852" t="str">
        <f t="shared" si="444"/>
        <v>MARGEN BRUTO</v>
      </c>
      <c r="C534" s="1853">
        <f t="shared" si="444"/>
        <v>0</v>
      </c>
      <c r="D534" s="531"/>
      <c r="E534" s="1854">
        <f t="shared" si="445"/>
        <v>0</v>
      </c>
      <c r="F534" s="531"/>
      <c r="G534" s="531"/>
      <c r="H534" s="1854">
        <f t="shared" si="446"/>
        <v>0</v>
      </c>
      <c r="I534" s="530"/>
      <c r="J534" s="530"/>
      <c r="K534" s="1854">
        <f t="shared" si="447"/>
        <v>0</v>
      </c>
      <c r="L534" s="531"/>
      <c r="M534" s="539"/>
      <c r="N534" s="1854">
        <f t="shared" si="448"/>
        <v>0</v>
      </c>
      <c r="O534" s="531"/>
      <c r="P534" s="539"/>
      <c r="Q534" s="1854">
        <f t="shared" si="449"/>
        <v>0</v>
      </c>
      <c r="R534" s="531"/>
      <c r="S534" s="1855"/>
      <c r="T534" s="1856">
        <f t="shared" ref="T534:AI534" si="451">T440+$S534</f>
        <v>0</v>
      </c>
      <c r="U534" s="1856">
        <f t="shared" si="451"/>
        <v>0</v>
      </c>
      <c r="V534" s="1856">
        <f t="shared" si="451"/>
        <v>0</v>
      </c>
      <c r="W534" s="1856">
        <f t="shared" si="451"/>
        <v>0</v>
      </c>
      <c r="X534" s="1856">
        <f t="shared" si="451"/>
        <v>0</v>
      </c>
      <c r="Y534" s="1856">
        <f t="shared" si="451"/>
        <v>0</v>
      </c>
      <c r="Z534" s="1856">
        <f t="shared" si="451"/>
        <v>0</v>
      </c>
      <c r="AA534" s="1856">
        <f t="shared" si="451"/>
        <v>0</v>
      </c>
      <c r="AB534" s="1856">
        <f t="shared" si="451"/>
        <v>0</v>
      </c>
      <c r="AC534" s="1856">
        <f t="shared" si="451"/>
        <v>0</v>
      </c>
      <c r="AD534" s="1857">
        <f t="shared" si="451"/>
        <v>0</v>
      </c>
      <c r="AE534" s="1857">
        <f t="shared" si="451"/>
        <v>0</v>
      </c>
      <c r="AF534" s="1857">
        <f t="shared" si="451"/>
        <v>0</v>
      </c>
      <c r="AG534" s="1857">
        <f t="shared" si="451"/>
        <v>0</v>
      </c>
      <c r="AH534" s="1857">
        <f t="shared" si="451"/>
        <v>0</v>
      </c>
      <c r="AI534" s="1857">
        <f t="shared" si="451"/>
        <v>0</v>
      </c>
      <c r="AJ534" s="853"/>
      <c r="AK534" s="533"/>
      <c r="AL534" s="533"/>
      <c r="AM534" s="533"/>
      <c r="AN534" s="625"/>
      <c r="AO534" s="625"/>
      <c r="AP534" s="625"/>
      <c r="AQ534" s="625"/>
    </row>
    <row r="535" spans="1:43" s="536" customFormat="1">
      <c r="A535" s="537"/>
      <c r="B535" s="1852" t="str">
        <f t="shared" si="444"/>
        <v>GASTOS DE ADMINISTRACIÓN Y VENTAS / VENTAS</v>
      </c>
      <c r="C535" s="1853">
        <f t="shared" si="444"/>
        <v>0</v>
      </c>
      <c r="D535" s="531"/>
      <c r="E535" s="1854">
        <f t="shared" si="445"/>
        <v>0</v>
      </c>
      <c r="F535" s="531"/>
      <c r="G535" s="531"/>
      <c r="H535" s="1854">
        <f t="shared" si="446"/>
        <v>0</v>
      </c>
      <c r="I535" s="530"/>
      <c r="J535" s="530"/>
      <c r="K535" s="1854">
        <f t="shared" si="447"/>
        <v>0</v>
      </c>
      <c r="L535" s="531"/>
      <c r="M535" s="539"/>
      <c r="N535" s="1854">
        <f t="shared" si="448"/>
        <v>0</v>
      </c>
      <c r="O535" s="531"/>
      <c r="P535" s="539"/>
      <c r="Q535" s="1854">
        <f t="shared" si="449"/>
        <v>0</v>
      </c>
      <c r="R535" s="531"/>
      <c r="S535" s="1855"/>
      <c r="T535" s="1856">
        <f t="shared" ref="T535:AI535" si="452">T441+$S535</f>
        <v>0</v>
      </c>
      <c r="U535" s="1856">
        <f t="shared" si="452"/>
        <v>0</v>
      </c>
      <c r="V535" s="1856">
        <f t="shared" si="452"/>
        <v>0</v>
      </c>
      <c r="W535" s="1856">
        <f t="shared" si="452"/>
        <v>0</v>
      </c>
      <c r="X535" s="1856">
        <f t="shared" si="452"/>
        <v>0</v>
      </c>
      <c r="Y535" s="1856">
        <f t="shared" si="452"/>
        <v>0</v>
      </c>
      <c r="Z535" s="1856">
        <f t="shared" si="452"/>
        <v>0</v>
      </c>
      <c r="AA535" s="1856">
        <f t="shared" si="452"/>
        <v>0</v>
      </c>
      <c r="AB535" s="1856">
        <f t="shared" si="452"/>
        <v>0</v>
      </c>
      <c r="AC535" s="1856">
        <f t="shared" si="452"/>
        <v>0</v>
      </c>
      <c r="AD535" s="1857">
        <f t="shared" si="452"/>
        <v>0</v>
      </c>
      <c r="AE535" s="1857">
        <f t="shared" si="452"/>
        <v>0</v>
      </c>
      <c r="AF535" s="1857">
        <f t="shared" si="452"/>
        <v>0</v>
      </c>
      <c r="AG535" s="1857">
        <f t="shared" si="452"/>
        <v>0</v>
      </c>
      <c r="AH535" s="1857">
        <f t="shared" si="452"/>
        <v>0</v>
      </c>
      <c r="AI535" s="1857">
        <f t="shared" si="452"/>
        <v>0</v>
      </c>
      <c r="AJ535" s="853"/>
      <c r="AK535" s="533"/>
      <c r="AL535" s="533"/>
      <c r="AM535" s="533"/>
      <c r="AN535" s="625"/>
      <c r="AO535" s="625"/>
      <c r="AP535" s="625"/>
      <c r="AQ535" s="625"/>
    </row>
    <row r="536" spans="1:43" s="536" customFormat="1">
      <c r="A536" s="537"/>
      <c r="B536" s="1852" t="str">
        <f t="shared" si="444"/>
        <v>TASA DE INTERÉS OBLIGACIONES FINANCIERAS CORRIENTES</v>
      </c>
      <c r="C536" s="1853">
        <f t="shared" si="444"/>
        <v>0</v>
      </c>
      <c r="D536" s="531"/>
      <c r="E536" s="1854">
        <f t="shared" si="445"/>
        <v>0</v>
      </c>
      <c r="F536" s="531"/>
      <c r="G536" s="531"/>
      <c r="H536" s="1854">
        <f t="shared" si="446"/>
        <v>0</v>
      </c>
      <c r="I536" s="530"/>
      <c r="J536" s="530"/>
      <c r="K536" s="1854">
        <f t="shared" si="447"/>
        <v>0</v>
      </c>
      <c r="L536" s="531"/>
      <c r="M536" s="539"/>
      <c r="N536" s="1854">
        <f t="shared" si="448"/>
        <v>0</v>
      </c>
      <c r="O536" s="531"/>
      <c r="P536" s="539"/>
      <c r="Q536" s="1854">
        <f t="shared" si="449"/>
        <v>0</v>
      </c>
      <c r="R536" s="531"/>
      <c r="S536" s="1858"/>
      <c r="T536" s="1859">
        <f t="shared" ref="T536:AI536" si="453">T442+$S536</f>
        <v>0</v>
      </c>
      <c r="U536" s="1859">
        <f t="shared" si="453"/>
        <v>0</v>
      </c>
      <c r="V536" s="1859">
        <f t="shared" si="453"/>
        <v>0</v>
      </c>
      <c r="W536" s="1859">
        <f t="shared" si="453"/>
        <v>0</v>
      </c>
      <c r="X536" s="1859">
        <f t="shared" si="453"/>
        <v>0</v>
      </c>
      <c r="Y536" s="1859">
        <f t="shared" si="453"/>
        <v>0</v>
      </c>
      <c r="Z536" s="1859">
        <f t="shared" si="453"/>
        <v>0</v>
      </c>
      <c r="AA536" s="1859">
        <f t="shared" si="453"/>
        <v>0</v>
      </c>
      <c r="AB536" s="1859">
        <f t="shared" si="453"/>
        <v>0</v>
      </c>
      <c r="AC536" s="1859">
        <f t="shared" si="453"/>
        <v>0</v>
      </c>
      <c r="AD536" s="1860">
        <f t="shared" si="453"/>
        <v>0</v>
      </c>
      <c r="AE536" s="1860">
        <f t="shared" si="453"/>
        <v>0</v>
      </c>
      <c r="AF536" s="1860">
        <f t="shared" si="453"/>
        <v>0</v>
      </c>
      <c r="AG536" s="1860">
        <f t="shared" si="453"/>
        <v>0</v>
      </c>
      <c r="AH536" s="1860">
        <f t="shared" si="453"/>
        <v>0</v>
      </c>
      <c r="AI536" s="1860">
        <f t="shared" si="453"/>
        <v>0</v>
      </c>
      <c r="AJ536" s="853"/>
      <c r="AK536" s="533"/>
      <c r="AL536" s="533"/>
      <c r="AM536" s="533"/>
      <c r="AN536" s="625"/>
      <c r="AO536" s="625"/>
      <c r="AP536" s="625"/>
      <c r="AQ536" s="625"/>
    </row>
    <row r="537" spans="1:43" s="536" customFormat="1">
      <c r="A537" s="537"/>
      <c r="B537" s="1852" t="str">
        <f t="shared" si="444"/>
        <v>CÁLCULO INTERESES OBLIGACIONES FINANCIERAS CORRIENTES</v>
      </c>
      <c r="C537" s="1861">
        <f t="shared" si="444"/>
        <v>0</v>
      </c>
      <c r="D537" s="531"/>
      <c r="E537" s="1862">
        <f t="shared" si="445"/>
        <v>0</v>
      </c>
      <c r="F537" s="531"/>
      <c r="G537" s="531"/>
      <c r="H537" s="1862">
        <f t="shared" si="446"/>
        <v>0</v>
      </c>
      <c r="I537" s="530"/>
      <c r="J537" s="530"/>
      <c r="K537" s="1862">
        <f t="shared" si="447"/>
        <v>0</v>
      </c>
      <c r="L537" s="531"/>
      <c r="M537" s="539"/>
      <c r="N537" s="1862">
        <f t="shared" si="448"/>
        <v>0</v>
      </c>
      <c r="O537" s="531"/>
      <c r="P537" s="539"/>
      <c r="Q537" s="1862">
        <f t="shared" si="449"/>
        <v>0</v>
      </c>
      <c r="R537" s="531"/>
      <c r="S537" s="1863"/>
      <c r="T537" s="1864">
        <f>N36*T536</f>
        <v>0</v>
      </c>
      <c r="U537" s="1864">
        <f t="shared" ref="U537:AI537" si="454">T36*U536</f>
        <v>0</v>
      </c>
      <c r="V537" s="1864">
        <f t="shared" si="454"/>
        <v>0</v>
      </c>
      <c r="W537" s="1864">
        <f t="shared" si="454"/>
        <v>0</v>
      </c>
      <c r="X537" s="1864">
        <f t="shared" si="454"/>
        <v>0</v>
      </c>
      <c r="Y537" s="1864">
        <f t="shared" si="454"/>
        <v>0</v>
      </c>
      <c r="Z537" s="1864">
        <f t="shared" si="454"/>
        <v>0</v>
      </c>
      <c r="AA537" s="1864">
        <f t="shared" si="454"/>
        <v>0</v>
      </c>
      <c r="AB537" s="1864">
        <f t="shared" si="454"/>
        <v>0</v>
      </c>
      <c r="AC537" s="1864">
        <f t="shared" si="454"/>
        <v>0</v>
      </c>
      <c r="AD537" s="1865">
        <f t="shared" si="454"/>
        <v>0</v>
      </c>
      <c r="AE537" s="1865">
        <f t="shared" si="454"/>
        <v>0</v>
      </c>
      <c r="AF537" s="1865">
        <f t="shared" si="454"/>
        <v>0</v>
      </c>
      <c r="AG537" s="1865">
        <f t="shared" si="454"/>
        <v>0</v>
      </c>
      <c r="AH537" s="1865">
        <f t="shared" si="454"/>
        <v>0</v>
      </c>
      <c r="AI537" s="1865">
        <f t="shared" si="454"/>
        <v>0</v>
      </c>
      <c r="AJ537" s="853"/>
      <c r="AK537" s="533"/>
      <c r="AL537" s="533"/>
      <c r="AM537" s="533"/>
      <c r="AN537" s="625"/>
      <c r="AO537" s="625"/>
      <c r="AP537" s="625"/>
      <c r="AQ537" s="625"/>
    </row>
    <row r="538" spans="1:43" s="536" customFormat="1">
      <c r="A538" s="537"/>
      <c r="B538" s="1852" t="str">
        <f t="shared" si="444"/>
        <v>INGRESOS FINANCIEROS / VENTAS</v>
      </c>
      <c r="C538" s="1853">
        <f t="shared" si="444"/>
        <v>0</v>
      </c>
      <c r="D538" s="531"/>
      <c r="E538" s="1854">
        <f t="shared" si="445"/>
        <v>0</v>
      </c>
      <c r="F538" s="531"/>
      <c r="G538" s="531"/>
      <c r="H538" s="1854">
        <f t="shared" si="446"/>
        <v>0</v>
      </c>
      <c r="I538" s="530"/>
      <c r="J538" s="530"/>
      <c r="K538" s="1854">
        <f t="shared" si="447"/>
        <v>0</v>
      </c>
      <c r="L538" s="531"/>
      <c r="M538" s="539"/>
      <c r="N538" s="1854">
        <f t="shared" si="448"/>
        <v>0</v>
      </c>
      <c r="O538" s="531"/>
      <c r="P538" s="539"/>
      <c r="Q538" s="1854">
        <f t="shared" si="449"/>
        <v>0</v>
      </c>
      <c r="R538" s="531"/>
      <c r="S538" s="1866"/>
      <c r="T538" s="1867">
        <f t="shared" ref="T538:AI538" si="455">T444+$S538</f>
        <v>0</v>
      </c>
      <c r="U538" s="1867">
        <f t="shared" si="455"/>
        <v>0</v>
      </c>
      <c r="V538" s="1867">
        <f t="shared" si="455"/>
        <v>0</v>
      </c>
      <c r="W538" s="1867">
        <f t="shared" si="455"/>
        <v>0</v>
      </c>
      <c r="X538" s="1867">
        <f t="shared" si="455"/>
        <v>0</v>
      </c>
      <c r="Y538" s="1867">
        <f t="shared" si="455"/>
        <v>0</v>
      </c>
      <c r="Z538" s="1867">
        <f t="shared" si="455"/>
        <v>0</v>
      </c>
      <c r="AA538" s="1867">
        <f t="shared" si="455"/>
        <v>0</v>
      </c>
      <c r="AB538" s="1867">
        <f t="shared" si="455"/>
        <v>0</v>
      </c>
      <c r="AC538" s="1867">
        <f t="shared" si="455"/>
        <v>0</v>
      </c>
      <c r="AD538" s="1868">
        <f t="shared" si="455"/>
        <v>0</v>
      </c>
      <c r="AE538" s="1868">
        <f t="shared" si="455"/>
        <v>0</v>
      </c>
      <c r="AF538" s="1868">
        <f t="shared" si="455"/>
        <v>0</v>
      </c>
      <c r="AG538" s="1868">
        <f t="shared" si="455"/>
        <v>0</v>
      </c>
      <c r="AH538" s="1868">
        <f t="shared" si="455"/>
        <v>0</v>
      </c>
      <c r="AI538" s="1868">
        <f t="shared" si="455"/>
        <v>0</v>
      </c>
      <c r="AJ538" s="853"/>
      <c r="AK538" s="533"/>
      <c r="AL538" s="533"/>
      <c r="AM538" s="533"/>
      <c r="AN538" s="625"/>
      <c r="AO538" s="625"/>
      <c r="AP538" s="625"/>
      <c r="AQ538" s="625"/>
    </row>
    <row r="539" spans="1:43" s="536" customFormat="1">
      <c r="A539" s="537"/>
      <c r="B539" s="1852" t="str">
        <f t="shared" si="444"/>
        <v>UTILIDAD (PÉRDIDA) EN VENTA DE ACTIVOS FIJOS / VENTAS</v>
      </c>
      <c r="C539" s="1853">
        <f t="shared" si="444"/>
        <v>0</v>
      </c>
      <c r="D539" s="531"/>
      <c r="E539" s="1854">
        <f t="shared" si="445"/>
        <v>0</v>
      </c>
      <c r="F539" s="531"/>
      <c r="G539" s="531"/>
      <c r="H539" s="1854">
        <f t="shared" si="446"/>
        <v>0</v>
      </c>
      <c r="I539" s="530"/>
      <c r="J539" s="530"/>
      <c r="K539" s="1854">
        <f t="shared" si="447"/>
        <v>0</v>
      </c>
      <c r="L539" s="531"/>
      <c r="M539" s="539"/>
      <c r="N539" s="1854">
        <f t="shared" si="448"/>
        <v>0</v>
      </c>
      <c r="O539" s="531"/>
      <c r="P539" s="539"/>
      <c r="Q539" s="1854">
        <f t="shared" si="449"/>
        <v>0</v>
      </c>
      <c r="R539" s="531"/>
      <c r="S539" s="1855"/>
      <c r="T539" s="1856">
        <f t="shared" ref="T539:AI539" si="456">T445+$S539</f>
        <v>0</v>
      </c>
      <c r="U539" s="1856">
        <f t="shared" si="456"/>
        <v>0</v>
      </c>
      <c r="V539" s="1856">
        <f t="shared" si="456"/>
        <v>0</v>
      </c>
      <c r="W539" s="1856">
        <f t="shared" si="456"/>
        <v>0</v>
      </c>
      <c r="X539" s="1856">
        <f t="shared" si="456"/>
        <v>0</v>
      </c>
      <c r="Y539" s="1856">
        <f t="shared" si="456"/>
        <v>0</v>
      </c>
      <c r="Z539" s="1856">
        <f t="shared" si="456"/>
        <v>0</v>
      </c>
      <c r="AA539" s="1856">
        <f t="shared" si="456"/>
        <v>0</v>
      </c>
      <c r="AB539" s="1856">
        <f t="shared" si="456"/>
        <v>0</v>
      </c>
      <c r="AC539" s="1856">
        <f t="shared" si="456"/>
        <v>0</v>
      </c>
      <c r="AD539" s="1857">
        <f t="shared" si="456"/>
        <v>0</v>
      </c>
      <c r="AE539" s="1857">
        <f t="shared" si="456"/>
        <v>0</v>
      </c>
      <c r="AF539" s="1857">
        <f t="shared" si="456"/>
        <v>0</v>
      </c>
      <c r="AG539" s="1857">
        <f t="shared" si="456"/>
        <v>0</v>
      </c>
      <c r="AH539" s="1857">
        <f t="shared" si="456"/>
        <v>0</v>
      </c>
      <c r="AI539" s="1857">
        <f t="shared" si="456"/>
        <v>0</v>
      </c>
      <c r="AJ539" s="853"/>
      <c r="AK539" s="533"/>
      <c r="AL539" s="533"/>
      <c r="AM539" s="533"/>
      <c r="AN539" s="625"/>
      <c r="AO539" s="625"/>
      <c r="AP539" s="625"/>
      <c r="AQ539" s="625"/>
    </row>
    <row r="540" spans="1:43" s="536" customFormat="1">
      <c r="A540" s="537"/>
      <c r="B540" s="1852" t="str">
        <f t="shared" si="444"/>
        <v>UTILIDAD (PÉRDIDA) EN VENTA DE INVERSIONES / VENTAS</v>
      </c>
      <c r="C540" s="1853">
        <f t="shared" si="444"/>
        <v>0</v>
      </c>
      <c r="D540" s="531"/>
      <c r="E540" s="1854">
        <f t="shared" si="445"/>
        <v>0</v>
      </c>
      <c r="F540" s="531"/>
      <c r="G540" s="531"/>
      <c r="H540" s="1854">
        <f t="shared" si="446"/>
        <v>0</v>
      </c>
      <c r="I540" s="530"/>
      <c r="J540" s="530"/>
      <c r="K540" s="1854">
        <f t="shared" si="447"/>
        <v>0</v>
      </c>
      <c r="L540" s="531"/>
      <c r="M540" s="539"/>
      <c r="N540" s="1854">
        <f t="shared" si="448"/>
        <v>0</v>
      </c>
      <c r="O540" s="531"/>
      <c r="P540" s="539"/>
      <c r="Q540" s="1854">
        <f t="shared" si="449"/>
        <v>0</v>
      </c>
      <c r="R540" s="531"/>
      <c r="S540" s="1855"/>
      <c r="T540" s="1856">
        <f t="shared" ref="T540:AI540" si="457">T446+$S540</f>
        <v>0</v>
      </c>
      <c r="U540" s="1856">
        <f t="shared" si="457"/>
        <v>0</v>
      </c>
      <c r="V540" s="1856">
        <f t="shared" si="457"/>
        <v>0</v>
      </c>
      <c r="W540" s="1856">
        <f t="shared" si="457"/>
        <v>0</v>
      </c>
      <c r="X540" s="1856">
        <f t="shared" si="457"/>
        <v>0</v>
      </c>
      <c r="Y540" s="1856">
        <f t="shared" si="457"/>
        <v>0</v>
      </c>
      <c r="Z540" s="1856">
        <f t="shared" si="457"/>
        <v>0</v>
      </c>
      <c r="AA540" s="1856">
        <f t="shared" si="457"/>
        <v>0</v>
      </c>
      <c r="AB540" s="1856">
        <f t="shared" si="457"/>
        <v>0</v>
      </c>
      <c r="AC540" s="1856">
        <f t="shared" si="457"/>
        <v>0</v>
      </c>
      <c r="AD540" s="1857">
        <f t="shared" si="457"/>
        <v>0</v>
      </c>
      <c r="AE540" s="1857">
        <f t="shared" si="457"/>
        <v>0</v>
      </c>
      <c r="AF540" s="1857">
        <f t="shared" si="457"/>
        <v>0</v>
      </c>
      <c r="AG540" s="1857">
        <f t="shared" si="457"/>
        <v>0</v>
      </c>
      <c r="AH540" s="1857">
        <f t="shared" si="457"/>
        <v>0</v>
      </c>
      <c r="AI540" s="1857">
        <f t="shared" si="457"/>
        <v>0</v>
      </c>
      <c r="AJ540" s="853"/>
      <c r="AK540" s="533"/>
      <c r="AL540" s="533"/>
      <c r="AM540" s="533"/>
      <c r="AN540" s="625"/>
      <c r="AO540" s="625"/>
      <c r="AP540" s="625"/>
      <c r="AQ540" s="625"/>
    </row>
    <row r="541" spans="1:43" s="536" customFormat="1">
      <c r="A541" s="537"/>
      <c r="B541" s="1852" t="str">
        <f t="shared" si="444"/>
        <v>INGRESOS (EGRESOS) POR MÉTODO DE PARTICIPACIÓN / VENTAS</v>
      </c>
      <c r="C541" s="1853">
        <f t="shared" si="444"/>
        <v>0</v>
      </c>
      <c r="D541" s="531"/>
      <c r="E541" s="1854">
        <f t="shared" si="445"/>
        <v>0</v>
      </c>
      <c r="F541" s="531"/>
      <c r="G541" s="531"/>
      <c r="H541" s="1854">
        <f t="shared" si="446"/>
        <v>0</v>
      </c>
      <c r="I541" s="530"/>
      <c r="J541" s="530"/>
      <c r="K541" s="1854">
        <f t="shared" si="447"/>
        <v>0</v>
      </c>
      <c r="L541" s="531"/>
      <c r="M541" s="539"/>
      <c r="N541" s="1854">
        <f t="shared" si="448"/>
        <v>0</v>
      </c>
      <c r="O541" s="531"/>
      <c r="P541" s="539"/>
      <c r="Q541" s="1854">
        <f t="shared" si="449"/>
        <v>0</v>
      </c>
      <c r="R541" s="531"/>
      <c r="S541" s="1855"/>
      <c r="T541" s="1856">
        <f t="shared" ref="T541:AI541" si="458">T447+$S541</f>
        <v>0</v>
      </c>
      <c r="U541" s="1856">
        <f t="shared" si="458"/>
        <v>0</v>
      </c>
      <c r="V541" s="1856">
        <f t="shared" si="458"/>
        <v>0</v>
      </c>
      <c r="W541" s="1856">
        <f t="shared" si="458"/>
        <v>0</v>
      </c>
      <c r="X541" s="1856">
        <f t="shared" si="458"/>
        <v>0</v>
      </c>
      <c r="Y541" s="1856">
        <f t="shared" si="458"/>
        <v>0</v>
      </c>
      <c r="Z541" s="1856">
        <f t="shared" si="458"/>
        <v>0</v>
      </c>
      <c r="AA541" s="1856">
        <f t="shared" si="458"/>
        <v>0</v>
      </c>
      <c r="AB541" s="1856">
        <f t="shared" si="458"/>
        <v>0</v>
      </c>
      <c r="AC541" s="1856">
        <f t="shared" si="458"/>
        <v>0</v>
      </c>
      <c r="AD541" s="1857">
        <f t="shared" si="458"/>
        <v>0</v>
      </c>
      <c r="AE541" s="1857">
        <f t="shared" si="458"/>
        <v>0</v>
      </c>
      <c r="AF541" s="1857">
        <f t="shared" si="458"/>
        <v>0</v>
      </c>
      <c r="AG541" s="1857">
        <f t="shared" si="458"/>
        <v>0</v>
      </c>
      <c r="AH541" s="1857">
        <f t="shared" si="458"/>
        <v>0</v>
      </c>
      <c r="AI541" s="1857">
        <f t="shared" si="458"/>
        <v>0</v>
      </c>
      <c r="AJ541" s="853"/>
      <c r="AK541" s="533"/>
      <c r="AL541" s="533"/>
      <c r="AM541" s="533"/>
      <c r="AN541" s="625"/>
      <c r="AO541" s="625"/>
      <c r="AP541" s="625"/>
      <c r="AQ541" s="625"/>
    </row>
    <row r="542" spans="1:43" s="536" customFormat="1">
      <c r="A542" s="537"/>
      <c r="B542" s="1852" t="str">
        <f t="shared" si="444"/>
        <v>OTROS INGRESOS / VENTAS</v>
      </c>
      <c r="C542" s="1853">
        <f t="shared" si="444"/>
        <v>0</v>
      </c>
      <c r="D542" s="1121"/>
      <c r="E542" s="1854">
        <f t="shared" si="445"/>
        <v>0</v>
      </c>
      <c r="F542" s="1121"/>
      <c r="G542" s="1121"/>
      <c r="H542" s="1854">
        <f t="shared" si="446"/>
        <v>0</v>
      </c>
      <c r="I542" s="1121"/>
      <c r="J542" s="1121"/>
      <c r="K542" s="1854">
        <f t="shared" si="447"/>
        <v>0</v>
      </c>
      <c r="L542" s="531"/>
      <c r="M542" s="539"/>
      <c r="N542" s="1854">
        <f t="shared" si="448"/>
        <v>0</v>
      </c>
      <c r="O542" s="531"/>
      <c r="P542" s="539"/>
      <c r="Q542" s="1854">
        <f t="shared" si="449"/>
        <v>0</v>
      </c>
      <c r="R542" s="531"/>
      <c r="S542" s="1855"/>
      <c r="T542" s="1856">
        <f t="shared" ref="T542:AI542" si="459">T448+$S542</f>
        <v>0</v>
      </c>
      <c r="U542" s="1856">
        <f t="shared" si="459"/>
        <v>0</v>
      </c>
      <c r="V542" s="1856">
        <f t="shared" si="459"/>
        <v>0</v>
      </c>
      <c r="W542" s="1856">
        <f t="shared" si="459"/>
        <v>0</v>
      </c>
      <c r="X542" s="1856">
        <f t="shared" si="459"/>
        <v>0</v>
      </c>
      <c r="Y542" s="1856">
        <f t="shared" si="459"/>
        <v>0</v>
      </c>
      <c r="Z542" s="1856">
        <f t="shared" si="459"/>
        <v>0</v>
      </c>
      <c r="AA542" s="1856">
        <f t="shared" si="459"/>
        <v>0</v>
      </c>
      <c r="AB542" s="1856">
        <f t="shared" si="459"/>
        <v>0</v>
      </c>
      <c r="AC542" s="1856">
        <f t="shared" si="459"/>
        <v>0</v>
      </c>
      <c r="AD542" s="1857">
        <f t="shared" si="459"/>
        <v>0</v>
      </c>
      <c r="AE542" s="1857">
        <f t="shared" si="459"/>
        <v>0</v>
      </c>
      <c r="AF542" s="1857">
        <f t="shared" si="459"/>
        <v>0</v>
      </c>
      <c r="AG542" s="1857">
        <f t="shared" si="459"/>
        <v>0</v>
      </c>
      <c r="AH542" s="1857">
        <f t="shared" si="459"/>
        <v>0</v>
      </c>
      <c r="AI542" s="1857">
        <f t="shared" si="459"/>
        <v>0</v>
      </c>
      <c r="AJ542" s="853"/>
      <c r="AK542" s="533"/>
      <c r="AL542" s="533"/>
      <c r="AM542" s="533"/>
      <c r="AN542" s="625"/>
      <c r="AO542" s="625"/>
      <c r="AP542" s="625"/>
      <c r="AQ542" s="625"/>
    </row>
    <row r="543" spans="1:43" s="536" customFormat="1">
      <c r="A543" s="537"/>
      <c r="B543" s="1852" t="str">
        <f t="shared" si="444"/>
        <v>OTROS EGRESOS / VENTAS</v>
      </c>
      <c r="C543" s="1853">
        <f t="shared" si="444"/>
        <v>0</v>
      </c>
      <c r="D543" s="1121"/>
      <c r="E543" s="1854">
        <f t="shared" si="445"/>
        <v>0</v>
      </c>
      <c r="F543" s="1121"/>
      <c r="G543" s="1121"/>
      <c r="H543" s="1854">
        <f t="shared" si="446"/>
        <v>0</v>
      </c>
      <c r="I543" s="1121"/>
      <c r="J543" s="1121"/>
      <c r="K543" s="1854">
        <f t="shared" si="447"/>
        <v>0</v>
      </c>
      <c r="L543" s="531"/>
      <c r="M543" s="539"/>
      <c r="N543" s="1854">
        <f t="shared" si="448"/>
        <v>0</v>
      </c>
      <c r="O543" s="531"/>
      <c r="P543" s="539"/>
      <c r="Q543" s="1854">
        <f t="shared" si="449"/>
        <v>0</v>
      </c>
      <c r="R543" s="531"/>
      <c r="S543" s="1855"/>
      <c r="T543" s="1856">
        <f t="shared" ref="T543:AI543" si="460">T449+$S543</f>
        <v>0</v>
      </c>
      <c r="U543" s="1856">
        <f t="shared" si="460"/>
        <v>0</v>
      </c>
      <c r="V543" s="1856">
        <f t="shared" si="460"/>
        <v>0</v>
      </c>
      <c r="W543" s="1856">
        <f t="shared" si="460"/>
        <v>0</v>
      </c>
      <c r="X543" s="1856">
        <f t="shared" si="460"/>
        <v>0</v>
      </c>
      <c r="Y543" s="1856">
        <f t="shared" si="460"/>
        <v>0</v>
      </c>
      <c r="Z543" s="1856">
        <f t="shared" si="460"/>
        <v>0</v>
      </c>
      <c r="AA543" s="1856">
        <f t="shared" si="460"/>
        <v>0</v>
      </c>
      <c r="AB543" s="1856">
        <f t="shared" si="460"/>
        <v>0</v>
      </c>
      <c r="AC543" s="1856">
        <f t="shared" si="460"/>
        <v>0</v>
      </c>
      <c r="AD543" s="1857">
        <f t="shared" si="460"/>
        <v>0</v>
      </c>
      <c r="AE543" s="1857">
        <f t="shared" si="460"/>
        <v>0</v>
      </c>
      <c r="AF543" s="1857">
        <f t="shared" si="460"/>
        <v>0</v>
      </c>
      <c r="AG543" s="1857">
        <f t="shared" si="460"/>
        <v>0</v>
      </c>
      <c r="AH543" s="1857">
        <f t="shared" si="460"/>
        <v>0</v>
      </c>
      <c r="AI543" s="1857">
        <f t="shared" si="460"/>
        <v>0</v>
      </c>
      <c r="AJ543" s="853"/>
      <c r="AK543" s="533"/>
      <c r="AL543" s="533"/>
      <c r="AM543" s="533"/>
      <c r="AN543" s="625"/>
      <c r="AO543" s="625"/>
      <c r="AP543" s="625"/>
      <c r="AQ543" s="625"/>
    </row>
    <row r="544" spans="1:43" s="536" customFormat="1">
      <c r="A544" s="537"/>
      <c r="B544" s="1869" t="str">
        <f t="shared" si="444"/>
        <v>IMPUESTOS / UTILIDAD NETA</v>
      </c>
      <c r="C544" s="1870">
        <f t="shared" si="444"/>
        <v>0</v>
      </c>
      <c r="D544" s="1121"/>
      <c r="E544" s="1871">
        <f t="shared" si="445"/>
        <v>0</v>
      </c>
      <c r="F544" s="1121"/>
      <c r="G544" s="1121"/>
      <c r="H544" s="1871">
        <f t="shared" si="446"/>
        <v>0</v>
      </c>
      <c r="I544" s="1121"/>
      <c r="J544" s="1121"/>
      <c r="K544" s="1871">
        <f t="shared" si="447"/>
        <v>0</v>
      </c>
      <c r="L544" s="531"/>
      <c r="M544" s="539"/>
      <c r="N544" s="1871">
        <f t="shared" si="448"/>
        <v>0</v>
      </c>
      <c r="O544" s="531"/>
      <c r="P544" s="539"/>
      <c r="Q544" s="1871">
        <f t="shared" si="449"/>
        <v>0</v>
      </c>
      <c r="R544" s="531"/>
      <c r="S544" s="1872"/>
      <c r="T544" s="1873">
        <f t="shared" ref="T544:AI544" si="461">T450+$S544</f>
        <v>0</v>
      </c>
      <c r="U544" s="1873">
        <f t="shared" si="461"/>
        <v>0</v>
      </c>
      <c r="V544" s="1873">
        <f t="shared" si="461"/>
        <v>0</v>
      </c>
      <c r="W544" s="1873">
        <f t="shared" si="461"/>
        <v>0</v>
      </c>
      <c r="X544" s="1873">
        <f t="shared" si="461"/>
        <v>0</v>
      </c>
      <c r="Y544" s="1873">
        <f t="shared" si="461"/>
        <v>0</v>
      </c>
      <c r="Z544" s="1873">
        <f t="shared" si="461"/>
        <v>0</v>
      </c>
      <c r="AA544" s="1873">
        <f t="shared" si="461"/>
        <v>0</v>
      </c>
      <c r="AB544" s="1873">
        <f t="shared" si="461"/>
        <v>0</v>
      </c>
      <c r="AC544" s="1873">
        <f t="shared" si="461"/>
        <v>0</v>
      </c>
      <c r="AD544" s="1874">
        <f t="shared" si="461"/>
        <v>0</v>
      </c>
      <c r="AE544" s="1874">
        <f t="shared" si="461"/>
        <v>0</v>
      </c>
      <c r="AF544" s="1874">
        <f t="shared" si="461"/>
        <v>0</v>
      </c>
      <c r="AG544" s="1874">
        <f t="shared" si="461"/>
        <v>0</v>
      </c>
      <c r="AH544" s="1874">
        <f t="shared" si="461"/>
        <v>0</v>
      </c>
      <c r="AI544" s="1874">
        <f t="shared" si="461"/>
        <v>0</v>
      </c>
      <c r="AJ544" s="853"/>
      <c r="AK544" s="533"/>
      <c r="AL544" s="533"/>
      <c r="AM544" s="533"/>
      <c r="AN544" s="625"/>
      <c r="AO544" s="625"/>
      <c r="AP544" s="625"/>
      <c r="AQ544" s="625"/>
    </row>
    <row r="545" spans="1:43" s="536" customFormat="1">
      <c r="A545" s="537"/>
      <c r="B545" s="1875"/>
      <c r="C545" s="1491"/>
      <c r="D545" s="1501"/>
      <c r="E545" s="1491"/>
      <c r="F545" s="1501"/>
      <c r="G545" s="1501"/>
      <c r="H545" s="1491"/>
      <c r="I545" s="1501"/>
      <c r="J545" s="1501"/>
      <c r="K545" s="1491"/>
      <c r="L545" s="531"/>
      <c r="M545" s="539"/>
      <c r="N545" s="1491"/>
      <c r="O545" s="531"/>
      <c r="P545" s="539"/>
      <c r="Q545" s="1491"/>
      <c r="R545" s="531"/>
      <c r="S545" s="539"/>
      <c r="T545" s="1490"/>
      <c r="U545" s="1490"/>
      <c r="V545" s="1490"/>
      <c r="W545" s="1490"/>
      <c r="X545" s="1490"/>
      <c r="Y545" s="1490"/>
      <c r="Z545" s="1490"/>
      <c r="AA545" s="1490"/>
      <c r="AB545" s="1490"/>
      <c r="AC545" s="1490"/>
      <c r="AD545" s="1490"/>
      <c r="AE545" s="1876"/>
      <c r="AF545" s="1876"/>
      <c r="AG545" s="531"/>
      <c r="AH545" s="531"/>
      <c r="AI545" s="531"/>
      <c r="AJ545" s="853"/>
      <c r="AK545" s="533"/>
      <c r="AL545" s="533"/>
      <c r="AM545" s="533"/>
      <c r="AN545" s="625"/>
      <c r="AO545" s="625"/>
      <c r="AP545" s="625"/>
      <c r="AQ545" s="625"/>
    </row>
    <row r="546" spans="1:43" s="536" customFormat="1">
      <c r="A546" s="537"/>
      <c r="B546" s="1877" t="s">
        <v>1358</v>
      </c>
      <c r="C546" s="531"/>
      <c r="D546" s="531"/>
      <c r="E546" s="531"/>
      <c r="F546" s="531"/>
      <c r="G546" s="531"/>
      <c r="H546" s="531"/>
      <c r="I546" s="530"/>
      <c r="J546" s="530"/>
      <c r="K546" s="531"/>
      <c r="L546" s="531"/>
      <c r="M546" s="539"/>
      <c r="N546" s="531"/>
      <c r="O546" s="531"/>
      <c r="P546" s="539"/>
      <c r="Q546" s="531"/>
      <c r="R546" s="531"/>
      <c r="S546" s="539"/>
      <c r="T546" s="535"/>
      <c r="U546" s="535"/>
      <c r="V546" s="534"/>
      <c r="W546" s="534"/>
      <c r="X546" s="534"/>
      <c r="Y546" s="534"/>
      <c r="Z546" s="534"/>
      <c r="AA546" s="534"/>
      <c r="AB546" s="534"/>
      <c r="AC546" s="534"/>
      <c r="AD546" s="534"/>
      <c r="AE546" s="1878"/>
      <c r="AF546" s="1878"/>
      <c r="AG546" s="531"/>
      <c r="AH546" s="531"/>
      <c r="AI546" s="531"/>
      <c r="AJ546" s="853"/>
      <c r="AK546" s="533"/>
      <c r="AL546" s="533"/>
      <c r="AM546" s="533"/>
      <c r="AN546" s="625"/>
      <c r="AO546" s="625"/>
      <c r="AP546" s="625"/>
      <c r="AQ546" s="625"/>
    </row>
    <row r="547" spans="1:43" s="536" customFormat="1">
      <c r="A547" s="537"/>
      <c r="B547" s="1846" t="str">
        <f t="shared" ref="B547:C566" si="462">B453</f>
        <v>CAJA (EN DÍAS DE VENTAS): AL PROYECTAR SE USA PARA GENERAR LA CAJA MÍNIMA REQUERIDA</v>
      </c>
      <c r="C547" s="1879">
        <f t="shared" si="462"/>
        <v>0</v>
      </c>
      <c r="D547" s="1516"/>
      <c r="E547" s="1880">
        <f t="shared" ref="E547:E566" si="463">E453</f>
        <v>0</v>
      </c>
      <c r="F547" s="1516"/>
      <c r="G547" s="1516"/>
      <c r="H547" s="1880">
        <f t="shared" ref="H547:H566" si="464">H453</f>
        <v>0</v>
      </c>
      <c r="I547" s="1516"/>
      <c r="J547" s="1516"/>
      <c r="K547" s="1880">
        <f t="shared" ref="K547:K566" si="465">K453</f>
        <v>0</v>
      </c>
      <c r="L547" s="531"/>
      <c r="M547" s="539"/>
      <c r="N547" s="1880">
        <f t="shared" ref="N547:N566" si="466">N453</f>
        <v>0</v>
      </c>
      <c r="O547" s="531"/>
      <c r="P547" s="539"/>
      <c r="Q547" s="1880">
        <f t="shared" ref="Q547:Q566" si="467">Q453</f>
        <v>0</v>
      </c>
      <c r="R547" s="531"/>
      <c r="S547" s="1881"/>
      <c r="T547" s="1882">
        <f t="shared" ref="T547:AI547" si="468">T453+$S547</f>
        <v>0</v>
      </c>
      <c r="U547" s="1882">
        <f t="shared" si="468"/>
        <v>0</v>
      </c>
      <c r="V547" s="1882">
        <f t="shared" si="468"/>
        <v>0</v>
      </c>
      <c r="W547" s="1882">
        <f t="shared" si="468"/>
        <v>0</v>
      </c>
      <c r="X547" s="1882">
        <f t="shared" si="468"/>
        <v>0</v>
      </c>
      <c r="Y547" s="1882">
        <f t="shared" si="468"/>
        <v>0</v>
      </c>
      <c r="Z547" s="1882">
        <f t="shared" si="468"/>
        <v>0</v>
      </c>
      <c r="AA547" s="1882">
        <f t="shared" si="468"/>
        <v>0</v>
      </c>
      <c r="AB547" s="1882">
        <f t="shared" si="468"/>
        <v>0</v>
      </c>
      <c r="AC547" s="1882">
        <f t="shared" si="468"/>
        <v>0</v>
      </c>
      <c r="AD547" s="1883">
        <f t="shared" si="468"/>
        <v>0</v>
      </c>
      <c r="AE547" s="1883">
        <f t="shared" si="468"/>
        <v>0</v>
      </c>
      <c r="AF547" s="1883">
        <f t="shared" si="468"/>
        <v>0</v>
      </c>
      <c r="AG547" s="1883">
        <f t="shared" si="468"/>
        <v>0</v>
      </c>
      <c r="AH547" s="1883">
        <f t="shared" si="468"/>
        <v>0</v>
      </c>
      <c r="AI547" s="1883">
        <f t="shared" si="468"/>
        <v>0</v>
      </c>
      <c r="AJ547" s="853"/>
      <c r="AK547" s="533"/>
      <c r="AL547" s="533"/>
      <c r="AM547" s="533"/>
      <c r="AN547" s="625"/>
      <c r="AO547" s="625"/>
      <c r="AP547" s="625"/>
      <c r="AQ547" s="625"/>
    </row>
    <row r="548" spans="1:43" s="536" customFormat="1">
      <c r="A548" s="537"/>
      <c r="B548" s="1852" t="str">
        <f t="shared" si="462"/>
        <v>DÍAS CARTERA BRUTA</v>
      </c>
      <c r="C548" s="1884">
        <f t="shared" si="462"/>
        <v>0</v>
      </c>
      <c r="D548" s="1516"/>
      <c r="E548" s="1885">
        <f t="shared" si="463"/>
        <v>0</v>
      </c>
      <c r="F548" s="1516"/>
      <c r="G548" s="1516"/>
      <c r="H548" s="1885">
        <f t="shared" si="464"/>
        <v>0</v>
      </c>
      <c r="I548" s="1516"/>
      <c r="J548" s="1516"/>
      <c r="K548" s="1885">
        <f t="shared" si="465"/>
        <v>0</v>
      </c>
      <c r="L548" s="531"/>
      <c r="M548" s="539"/>
      <c r="N548" s="1885">
        <f t="shared" si="466"/>
        <v>0</v>
      </c>
      <c r="O548" s="531"/>
      <c r="P548" s="539"/>
      <c r="Q548" s="1885">
        <f t="shared" si="467"/>
        <v>0</v>
      </c>
      <c r="R548" s="531"/>
      <c r="S548" s="1886"/>
      <c r="T548" s="1887">
        <f t="shared" ref="T548:AI548" si="469">T454+$S548</f>
        <v>0</v>
      </c>
      <c r="U548" s="1887">
        <f t="shared" si="469"/>
        <v>0</v>
      </c>
      <c r="V548" s="1887">
        <f t="shared" si="469"/>
        <v>0</v>
      </c>
      <c r="W548" s="1887">
        <f t="shared" si="469"/>
        <v>0</v>
      </c>
      <c r="X548" s="1887">
        <f t="shared" si="469"/>
        <v>0</v>
      </c>
      <c r="Y548" s="1887">
        <f t="shared" si="469"/>
        <v>0</v>
      </c>
      <c r="Z548" s="1887">
        <f t="shared" si="469"/>
        <v>0</v>
      </c>
      <c r="AA548" s="1887">
        <f t="shared" si="469"/>
        <v>0</v>
      </c>
      <c r="AB548" s="1887">
        <f t="shared" si="469"/>
        <v>0</v>
      </c>
      <c r="AC548" s="1887">
        <f t="shared" si="469"/>
        <v>0</v>
      </c>
      <c r="AD548" s="1888">
        <f t="shared" si="469"/>
        <v>0</v>
      </c>
      <c r="AE548" s="1888">
        <f t="shared" si="469"/>
        <v>0</v>
      </c>
      <c r="AF548" s="1888">
        <f t="shared" si="469"/>
        <v>0</v>
      </c>
      <c r="AG548" s="1888">
        <f t="shared" si="469"/>
        <v>0</v>
      </c>
      <c r="AH548" s="1888">
        <f t="shared" si="469"/>
        <v>0</v>
      </c>
      <c r="AI548" s="1888">
        <f t="shared" si="469"/>
        <v>0</v>
      </c>
      <c r="AJ548" s="853"/>
      <c r="AK548" s="533"/>
      <c r="AL548" s="533"/>
      <c r="AM548" s="533"/>
      <c r="AN548" s="625"/>
      <c r="AO548" s="625"/>
      <c r="AP548" s="625"/>
      <c r="AQ548" s="625"/>
    </row>
    <row r="549" spans="1:43" s="536" customFormat="1">
      <c r="A549" s="537"/>
      <c r="B549" s="1852" t="str">
        <f t="shared" si="462"/>
        <v>PROVISIONES CUENTAS POR COBRAR  (% SOBRE LAS CUENTAS POR COBRAR)</v>
      </c>
      <c r="C549" s="1889">
        <f t="shared" si="462"/>
        <v>0</v>
      </c>
      <c r="D549" s="1516"/>
      <c r="E549" s="1890">
        <f t="shared" si="463"/>
        <v>0</v>
      </c>
      <c r="F549" s="1516"/>
      <c r="G549" s="1516"/>
      <c r="H549" s="1890">
        <f t="shared" si="464"/>
        <v>0</v>
      </c>
      <c r="I549" s="1516"/>
      <c r="J549" s="1516"/>
      <c r="K549" s="1890">
        <f t="shared" si="465"/>
        <v>0</v>
      </c>
      <c r="L549" s="531"/>
      <c r="M549" s="539"/>
      <c r="N549" s="1890">
        <f t="shared" si="466"/>
        <v>0</v>
      </c>
      <c r="O549" s="531"/>
      <c r="P549" s="539"/>
      <c r="Q549" s="1890">
        <f t="shared" si="467"/>
        <v>0</v>
      </c>
      <c r="R549" s="531"/>
      <c r="S549" s="1855"/>
      <c r="T549" s="1891">
        <f t="shared" ref="T549:AI549" si="470">T455+$S549</f>
        <v>0</v>
      </c>
      <c r="U549" s="1891">
        <f t="shared" si="470"/>
        <v>0</v>
      </c>
      <c r="V549" s="1891">
        <f t="shared" si="470"/>
        <v>0</v>
      </c>
      <c r="W549" s="1891">
        <f t="shared" si="470"/>
        <v>0</v>
      </c>
      <c r="X549" s="1891">
        <f t="shared" si="470"/>
        <v>0</v>
      </c>
      <c r="Y549" s="1891">
        <f t="shared" si="470"/>
        <v>0</v>
      </c>
      <c r="Z549" s="1891">
        <f t="shared" si="470"/>
        <v>0</v>
      </c>
      <c r="AA549" s="1891">
        <f t="shared" si="470"/>
        <v>0</v>
      </c>
      <c r="AB549" s="1891">
        <f t="shared" si="470"/>
        <v>0</v>
      </c>
      <c r="AC549" s="1891">
        <f t="shared" si="470"/>
        <v>0</v>
      </c>
      <c r="AD549" s="1892">
        <f t="shared" si="470"/>
        <v>0</v>
      </c>
      <c r="AE549" s="1892">
        <f t="shared" si="470"/>
        <v>0</v>
      </c>
      <c r="AF549" s="1892">
        <f t="shared" si="470"/>
        <v>0</v>
      </c>
      <c r="AG549" s="1892">
        <f t="shared" si="470"/>
        <v>0</v>
      </c>
      <c r="AH549" s="1892">
        <f t="shared" si="470"/>
        <v>0</v>
      </c>
      <c r="AI549" s="1892">
        <f t="shared" si="470"/>
        <v>0</v>
      </c>
      <c r="AJ549" s="853"/>
      <c r="AK549" s="533"/>
      <c r="AL549" s="533"/>
      <c r="AM549" s="533"/>
      <c r="AN549" s="625"/>
      <c r="AO549" s="625"/>
      <c r="AP549" s="625"/>
      <c r="AQ549" s="625"/>
    </row>
    <row r="550" spans="1:43" s="536" customFormat="1">
      <c r="A550" s="537"/>
      <c r="B550" s="1852" t="str">
        <f t="shared" si="462"/>
        <v>DÍAS INVENTARIO BRUTO</v>
      </c>
      <c r="C550" s="1884">
        <f t="shared" si="462"/>
        <v>0</v>
      </c>
      <c r="D550" s="1516"/>
      <c r="E550" s="1885">
        <f t="shared" si="463"/>
        <v>0</v>
      </c>
      <c r="F550" s="1516"/>
      <c r="G550" s="1516"/>
      <c r="H550" s="1885">
        <f t="shared" si="464"/>
        <v>0</v>
      </c>
      <c r="I550" s="1516"/>
      <c r="J550" s="1516"/>
      <c r="K550" s="1885">
        <f t="shared" si="465"/>
        <v>0</v>
      </c>
      <c r="L550" s="531"/>
      <c r="M550" s="539"/>
      <c r="N550" s="1885">
        <f t="shared" si="466"/>
        <v>0</v>
      </c>
      <c r="O550" s="531"/>
      <c r="P550" s="539"/>
      <c r="Q550" s="1885">
        <f t="shared" si="467"/>
        <v>0</v>
      </c>
      <c r="R550" s="531"/>
      <c r="S550" s="1886"/>
      <c r="T550" s="1887">
        <f t="shared" ref="T550:AI550" si="471">T456+$S550</f>
        <v>0</v>
      </c>
      <c r="U550" s="1887">
        <f t="shared" si="471"/>
        <v>0</v>
      </c>
      <c r="V550" s="1887">
        <f t="shared" si="471"/>
        <v>0</v>
      </c>
      <c r="W550" s="1887">
        <f t="shared" si="471"/>
        <v>0</v>
      </c>
      <c r="X550" s="1887">
        <f t="shared" si="471"/>
        <v>0</v>
      </c>
      <c r="Y550" s="1887">
        <f t="shared" si="471"/>
        <v>0</v>
      </c>
      <c r="Z550" s="1887">
        <f t="shared" si="471"/>
        <v>0</v>
      </c>
      <c r="AA550" s="1887">
        <f t="shared" si="471"/>
        <v>0</v>
      </c>
      <c r="AB550" s="1887">
        <f t="shared" si="471"/>
        <v>0</v>
      </c>
      <c r="AC550" s="1887">
        <f t="shared" si="471"/>
        <v>0</v>
      </c>
      <c r="AD550" s="1888">
        <f t="shared" si="471"/>
        <v>0</v>
      </c>
      <c r="AE550" s="1888">
        <f t="shared" si="471"/>
        <v>0</v>
      </c>
      <c r="AF550" s="1888">
        <f t="shared" si="471"/>
        <v>0</v>
      </c>
      <c r="AG550" s="1888">
        <f t="shared" si="471"/>
        <v>0</v>
      </c>
      <c r="AH550" s="1888">
        <f t="shared" si="471"/>
        <v>0</v>
      </c>
      <c r="AI550" s="1888">
        <f t="shared" si="471"/>
        <v>0</v>
      </c>
      <c r="AJ550" s="853"/>
      <c r="AK550" s="533"/>
      <c r="AL550" s="533"/>
      <c r="AM550" s="533"/>
      <c r="AN550" s="625"/>
      <c r="AO550" s="625"/>
      <c r="AP550" s="625"/>
      <c r="AQ550" s="625"/>
    </row>
    <row r="551" spans="1:43" s="536" customFormat="1">
      <c r="A551" s="537"/>
      <c r="B551" s="1852" t="str">
        <f t="shared" si="462"/>
        <v>PROVISIONES INVENTARIOS  (% SOBRE LOS INVENTARIOS)</v>
      </c>
      <c r="C551" s="1889">
        <f t="shared" si="462"/>
        <v>0</v>
      </c>
      <c r="D551" s="1516"/>
      <c r="E551" s="1890">
        <f t="shared" si="463"/>
        <v>0</v>
      </c>
      <c r="F551" s="1516"/>
      <c r="G551" s="1516"/>
      <c r="H551" s="1890">
        <f t="shared" si="464"/>
        <v>0</v>
      </c>
      <c r="I551" s="1516"/>
      <c r="J551" s="1516"/>
      <c r="K551" s="1890">
        <f t="shared" si="465"/>
        <v>0</v>
      </c>
      <c r="L551" s="531"/>
      <c r="M551" s="539"/>
      <c r="N551" s="1890">
        <f t="shared" si="466"/>
        <v>0</v>
      </c>
      <c r="O551" s="531"/>
      <c r="P551" s="539"/>
      <c r="Q551" s="1890">
        <f t="shared" si="467"/>
        <v>0</v>
      </c>
      <c r="R551" s="531"/>
      <c r="S551" s="1855"/>
      <c r="T551" s="1891">
        <f t="shared" ref="T551:AI551" si="472">T457+$S551</f>
        <v>0</v>
      </c>
      <c r="U551" s="1891">
        <f t="shared" si="472"/>
        <v>0</v>
      </c>
      <c r="V551" s="1891">
        <f t="shared" si="472"/>
        <v>0</v>
      </c>
      <c r="W551" s="1891">
        <f t="shared" si="472"/>
        <v>0</v>
      </c>
      <c r="X551" s="1891">
        <f t="shared" si="472"/>
        <v>0</v>
      </c>
      <c r="Y551" s="1891">
        <f t="shared" si="472"/>
        <v>0</v>
      </c>
      <c r="Z551" s="1891">
        <f t="shared" si="472"/>
        <v>0</v>
      </c>
      <c r="AA551" s="1891">
        <f t="shared" si="472"/>
        <v>0</v>
      </c>
      <c r="AB551" s="1891">
        <f t="shared" si="472"/>
        <v>0</v>
      </c>
      <c r="AC551" s="1891">
        <f t="shared" si="472"/>
        <v>0</v>
      </c>
      <c r="AD551" s="1892">
        <f t="shared" si="472"/>
        <v>0</v>
      </c>
      <c r="AE551" s="1892">
        <f t="shared" si="472"/>
        <v>0</v>
      </c>
      <c r="AF551" s="1892">
        <f t="shared" si="472"/>
        <v>0</v>
      </c>
      <c r="AG551" s="1892">
        <f t="shared" si="472"/>
        <v>0</v>
      </c>
      <c r="AH551" s="1892">
        <f t="shared" si="472"/>
        <v>0</v>
      </c>
      <c r="AI551" s="1892">
        <f t="shared" si="472"/>
        <v>0</v>
      </c>
      <c r="AJ551" s="853"/>
      <c r="AK551" s="533"/>
      <c r="AL551" s="533"/>
      <c r="AM551" s="533"/>
      <c r="AN551" s="625"/>
      <c r="AO551" s="625"/>
      <c r="AP551" s="625"/>
      <c r="AQ551" s="625"/>
    </row>
    <row r="552" spans="1:43" s="536" customFormat="1">
      <c r="A552" s="537"/>
      <c r="B552" s="1852" t="str">
        <f t="shared" si="462"/>
        <v>ANTICIPOS / COSTO DE VENTAS (ANUALIZADO)</v>
      </c>
      <c r="C552" s="1889">
        <f t="shared" si="462"/>
        <v>0</v>
      </c>
      <c r="D552" s="1516"/>
      <c r="E552" s="1890">
        <f t="shared" si="463"/>
        <v>0</v>
      </c>
      <c r="F552" s="1516"/>
      <c r="G552" s="1516"/>
      <c r="H552" s="1890">
        <f t="shared" si="464"/>
        <v>0</v>
      </c>
      <c r="I552" s="1516"/>
      <c r="J552" s="1516"/>
      <c r="K552" s="1890">
        <f t="shared" si="465"/>
        <v>0</v>
      </c>
      <c r="L552" s="531"/>
      <c r="M552" s="539"/>
      <c r="N552" s="1890">
        <f t="shared" si="466"/>
        <v>0</v>
      </c>
      <c r="O552" s="531"/>
      <c r="P552" s="539"/>
      <c r="Q552" s="1890">
        <f t="shared" si="467"/>
        <v>0</v>
      </c>
      <c r="R552" s="531"/>
      <c r="S552" s="1893"/>
      <c r="T552" s="1891">
        <f t="shared" ref="T552:AI552" si="473">T458+$S552</f>
        <v>0</v>
      </c>
      <c r="U552" s="1891">
        <f t="shared" si="473"/>
        <v>0</v>
      </c>
      <c r="V552" s="1891">
        <f t="shared" si="473"/>
        <v>0</v>
      </c>
      <c r="W552" s="1891">
        <f t="shared" si="473"/>
        <v>0</v>
      </c>
      <c r="X552" s="1891">
        <f t="shared" si="473"/>
        <v>0</v>
      </c>
      <c r="Y552" s="1891">
        <f t="shared" si="473"/>
        <v>0</v>
      </c>
      <c r="Z552" s="1891">
        <f t="shared" si="473"/>
        <v>0</v>
      </c>
      <c r="AA552" s="1891">
        <f t="shared" si="473"/>
        <v>0</v>
      </c>
      <c r="AB552" s="1891">
        <f t="shared" si="473"/>
        <v>0</v>
      </c>
      <c r="AC552" s="1891">
        <f t="shared" si="473"/>
        <v>0</v>
      </c>
      <c r="AD552" s="1892">
        <f t="shared" si="473"/>
        <v>0</v>
      </c>
      <c r="AE552" s="1892">
        <f t="shared" si="473"/>
        <v>0</v>
      </c>
      <c r="AF552" s="1892">
        <f t="shared" si="473"/>
        <v>0</v>
      </c>
      <c r="AG552" s="1892">
        <f t="shared" si="473"/>
        <v>0</v>
      </c>
      <c r="AH552" s="1892">
        <f t="shared" si="473"/>
        <v>0</v>
      </c>
      <c r="AI552" s="1892">
        <f t="shared" si="473"/>
        <v>0</v>
      </c>
      <c r="AJ552" s="853"/>
      <c r="AK552" s="533"/>
      <c r="AL552" s="533"/>
      <c r="AM552" s="533"/>
      <c r="AN552" s="625"/>
      <c r="AO552" s="625"/>
      <c r="AP552" s="625"/>
      <c r="AQ552" s="625"/>
    </row>
    <row r="553" spans="1:43" s="536" customFormat="1">
      <c r="A553" s="537"/>
      <c r="B553" s="1852" t="str">
        <f t="shared" si="462"/>
        <v>DÍAS PAGO</v>
      </c>
      <c r="C553" s="1884">
        <f t="shared" si="462"/>
        <v>0</v>
      </c>
      <c r="D553" s="1516"/>
      <c r="E553" s="1885">
        <f t="shared" si="463"/>
        <v>0</v>
      </c>
      <c r="F553" s="1516"/>
      <c r="G553" s="1516"/>
      <c r="H553" s="1885">
        <f t="shared" si="464"/>
        <v>0</v>
      </c>
      <c r="I553" s="1516"/>
      <c r="J553" s="1516"/>
      <c r="K553" s="1885">
        <f t="shared" si="465"/>
        <v>0</v>
      </c>
      <c r="L553" s="531"/>
      <c r="M553" s="539"/>
      <c r="N553" s="1885">
        <f t="shared" si="466"/>
        <v>0</v>
      </c>
      <c r="O553" s="531"/>
      <c r="P553" s="539"/>
      <c r="Q553" s="1885">
        <f t="shared" si="467"/>
        <v>0</v>
      </c>
      <c r="R553" s="531"/>
      <c r="S553" s="1886"/>
      <c r="T553" s="1887">
        <f t="shared" ref="T553:AI553" si="474">T459+$S553</f>
        <v>0</v>
      </c>
      <c r="U553" s="1887">
        <f t="shared" si="474"/>
        <v>0</v>
      </c>
      <c r="V553" s="1887">
        <f t="shared" si="474"/>
        <v>0</v>
      </c>
      <c r="W553" s="1887">
        <f t="shared" si="474"/>
        <v>0</v>
      </c>
      <c r="X553" s="1887">
        <f t="shared" si="474"/>
        <v>0</v>
      </c>
      <c r="Y553" s="1887">
        <f t="shared" si="474"/>
        <v>0</v>
      </c>
      <c r="Z553" s="1887">
        <f t="shared" si="474"/>
        <v>0</v>
      </c>
      <c r="AA553" s="1887">
        <f t="shared" si="474"/>
        <v>0</v>
      </c>
      <c r="AB553" s="1887">
        <f t="shared" si="474"/>
        <v>0</v>
      </c>
      <c r="AC553" s="1887">
        <f t="shared" si="474"/>
        <v>0</v>
      </c>
      <c r="AD553" s="1888">
        <f t="shared" si="474"/>
        <v>0</v>
      </c>
      <c r="AE553" s="1888">
        <f t="shared" si="474"/>
        <v>0</v>
      </c>
      <c r="AF553" s="1888">
        <f t="shared" si="474"/>
        <v>0</v>
      </c>
      <c r="AG553" s="1888">
        <f t="shared" si="474"/>
        <v>0</v>
      </c>
      <c r="AH553" s="1888">
        <f t="shared" si="474"/>
        <v>0</v>
      </c>
      <c r="AI553" s="1888">
        <f t="shared" si="474"/>
        <v>0</v>
      </c>
      <c r="AJ553" s="853"/>
      <c r="AK553" s="533"/>
      <c r="AL553" s="533"/>
      <c r="AM553" s="533"/>
      <c r="AN553" s="625"/>
      <c r="AO553" s="625"/>
      <c r="AP553" s="625"/>
      <c r="AQ553" s="625"/>
    </row>
    <row r="554" spans="1:43" s="536" customFormat="1">
      <c r="A554" s="537"/>
      <c r="B554" s="1852" t="str">
        <f t="shared" si="462"/>
        <v>CAPEX BRUTO ($MM)</v>
      </c>
      <c r="C554" s="1894" t="str">
        <f t="shared" si="462"/>
        <v>N/A</v>
      </c>
      <c r="D554" s="1516"/>
      <c r="E554" s="1862">
        <f t="shared" si="463"/>
        <v>0</v>
      </c>
      <c r="F554" s="1516"/>
      <c r="G554" s="1516"/>
      <c r="H554" s="1862">
        <f t="shared" si="464"/>
        <v>0</v>
      </c>
      <c r="I554" s="1516"/>
      <c r="J554" s="1516"/>
      <c r="K554" s="1862">
        <f t="shared" si="465"/>
        <v>0</v>
      </c>
      <c r="L554" s="531"/>
      <c r="M554" s="539"/>
      <c r="N554" s="1862">
        <f t="shared" si="466"/>
        <v>0</v>
      </c>
      <c r="O554" s="531"/>
      <c r="P554" s="539"/>
      <c r="Q554" s="1862">
        <f t="shared" si="467"/>
        <v>0</v>
      </c>
      <c r="R554" s="531"/>
      <c r="S554" s="1895"/>
      <c r="T554" s="1896">
        <f t="shared" ref="T554:AI554" si="475">T460+$S554</f>
        <v>0</v>
      </c>
      <c r="U554" s="1896">
        <f t="shared" si="475"/>
        <v>0</v>
      </c>
      <c r="V554" s="1896">
        <f t="shared" si="475"/>
        <v>0</v>
      </c>
      <c r="W554" s="1896">
        <f t="shared" si="475"/>
        <v>0</v>
      </c>
      <c r="X554" s="1896">
        <f t="shared" si="475"/>
        <v>0</v>
      </c>
      <c r="Y554" s="1896">
        <f t="shared" si="475"/>
        <v>0</v>
      </c>
      <c r="Z554" s="1896">
        <f t="shared" si="475"/>
        <v>0</v>
      </c>
      <c r="AA554" s="1896">
        <f t="shared" si="475"/>
        <v>0</v>
      </c>
      <c r="AB554" s="1896">
        <f t="shared" si="475"/>
        <v>0</v>
      </c>
      <c r="AC554" s="1896">
        <f t="shared" si="475"/>
        <v>0</v>
      </c>
      <c r="AD554" s="1897">
        <f t="shared" si="475"/>
        <v>0</v>
      </c>
      <c r="AE554" s="1897">
        <f t="shared" si="475"/>
        <v>0</v>
      </c>
      <c r="AF554" s="1897">
        <f t="shared" si="475"/>
        <v>0</v>
      </c>
      <c r="AG554" s="1897">
        <f t="shared" si="475"/>
        <v>0</v>
      </c>
      <c r="AH554" s="1897">
        <f t="shared" si="475"/>
        <v>0</v>
      </c>
      <c r="AI554" s="1897">
        <f t="shared" si="475"/>
        <v>0</v>
      </c>
      <c r="AJ554" s="853"/>
      <c r="AK554" s="533"/>
      <c r="AL554" s="533"/>
      <c r="AM554" s="533"/>
      <c r="AN554" s="625"/>
      <c r="AO554" s="625"/>
      <c r="AP554" s="625"/>
      <c r="AQ554" s="625"/>
    </row>
    <row r="555" spans="1:43" s="536" customFormat="1">
      <c r="A555" s="537"/>
      <c r="B555" s="1852" t="str">
        <f t="shared" si="462"/>
        <v>VARIACIÓN DEPRECIACIÓN ACUMULADA / ACTIVO FIJO BRUTO</v>
      </c>
      <c r="C555" s="1898" t="str">
        <f t="shared" si="462"/>
        <v>N/A</v>
      </c>
      <c r="D555" s="1516"/>
      <c r="E555" s="1899">
        <f t="shared" si="463"/>
        <v>0</v>
      </c>
      <c r="F555" s="1516"/>
      <c r="G555" s="1516"/>
      <c r="H555" s="1899">
        <f t="shared" si="464"/>
        <v>0</v>
      </c>
      <c r="I555" s="1516"/>
      <c r="J555" s="1516"/>
      <c r="K555" s="1899">
        <f t="shared" si="465"/>
        <v>0</v>
      </c>
      <c r="L555" s="531"/>
      <c r="M555" s="539"/>
      <c r="N555" s="1899">
        <f t="shared" si="466"/>
        <v>0</v>
      </c>
      <c r="O555" s="531"/>
      <c r="P555" s="539"/>
      <c r="Q555" s="1899">
        <f t="shared" si="467"/>
        <v>0</v>
      </c>
      <c r="R555" s="531"/>
      <c r="S555" s="1855"/>
      <c r="T555" s="1856">
        <f t="shared" ref="T555:AI555" si="476">T461+$S555</f>
        <v>0</v>
      </c>
      <c r="U555" s="1856">
        <f t="shared" si="476"/>
        <v>0</v>
      </c>
      <c r="V555" s="1856">
        <f t="shared" si="476"/>
        <v>0</v>
      </c>
      <c r="W555" s="1856">
        <f t="shared" si="476"/>
        <v>0</v>
      </c>
      <c r="X555" s="1856">
        <f t="shared" si="476"/>
        <v>0</v>
      </c>
      <c r="Y555" s="1856">
        <f t="shared" si="476"/>
        <v>0</v>
      </c>
      <c r="Z555" s="1856">
        <f t="shared" si="476"/>
        <v>0</v>
      </c>
      <c r="AA555" s="1856">
        <f t="shared" si="476"/>
        <v>0</v>
      </c>
      <c r="AB555" s="1856">
        <f t="shared" si="476"/>
        <v>0</v>
      </c>
      <c r="AC555" s="1856">
        <f t="shared" si="476"/>
        <v>0</v>
      </c>
      <c r="AD555" s="1857">
        <f t="shared" si="476"/>
        <v>0</v>
      </c>
      <c r="AE555" s="1857">
        <f t="shared" si="476"/>
        <v>0</v>
      </c>
      <c r="AF555" s="1857">
        <f t="shared" si="476"/>
        <v>0</v>
      </c>
      <c r="AG555" s="1857">
        <f t="shared" si="476"/>
        <v>0</v>
      </c>
      <c r="AH555" s="1857">
        <f t="shared" si="476"/>
        <v>0</v>
      </c>
      <c r="AI555" s="1857">
        <f t="shared" si="476"/>
        <v>0</v>
      </c>
      <c r="AJ555" s="853"/>
      <c r="AK555" s="533"/>
      <c r="AL555" s="533"/>
      <c r="AM555" s="533"/>
      <c r="AN555" s="625"/>
      <c r="AO555" s="625"/>
      <c r="AP555" s="625"/>
      <c r="AQ555" s="625"/>
    </row>
    <row r="556" spans="1:43" s="536" customFormat="1">
      <c r="A556" s="537"/>
      <c r="B556" s="1852" t="str">
        <f t="shared" si="462"/>
        <v>DEPRECIACIÓN / ACTIVO FIJO BRUTO</v>
      </c>
      <c r="C556" s="1853">
        <f t="shared" si="462"/>
        <v>0</v>
      </c>
      <c r="D556" s="1121"/>
      <c r="E556" s="1854">
        <f t="shared" si="463"/>
        <v>0</v>
      </c>
      <c r="F556" s="1121"/>
      <c r="G556" s="1121"/>
      <c r="H556" s="1854">
        <f t="shared" si="464"/>
        <v>0</v>
      </c>
      <c r="I556" s="1121"/>
      <c r="J556" s="1121"/>
      <c r="K556" s="1854">
        <f t="shared" si="465"/>
        <v>0</v>
      </c>
      <c r="L556" s="531"/>
      <c r="M556" s="539"/>
      <c r="N556" s="1854">
        <f t="shared" si="466"/>
        <v>0</v>
      </c>
      <c r="O556" s="531"/>
      <c r="P556" s="539"/>
      <c r="Q556" s="1854">
        <f t="shared" si="467"/>
        <v>0</v>
      </c>
      <c r="R556" s="531"/>
      <c r="S556" s="1855"/>
      <c r="T556" s="1856">
        <f t="shared" ref="T556:AI556" si="477">T462+$S556</f>
        <v>0</v>
      </c>
      <c r="U556" s="1856">
        <f t="shared" si="477"/>
        <v>0</v>
      </c>
      <c r="V556" s="1856">
        <f t="shared" si="477"/>
        <v>0</v>
      </c>
      <c r="W556" s="1856">
        <f t="shared" si="477"/>
        <v>0</v>
      </c>
      <c r="X556" s="1856">
        <f t="shared" si="477"/>
        <v>0</v>
      </c>
      <c r="Y556" s="1856">
        <f t="shared" si="477"/>
        <v>0</v>
      </c>
      <c r="Z556" s="1856">
        <f t="shared" si="477"/>
        <v>0</v>
      </c>
      <c r="AA556" s="1856">
        <f t="shared" si="477"/>
        <v>0</v>
      </c>
      <c r="AB556" s="1856">
        <f t="shared" si="477"/>
        <v>0</v>
      </c>
      <c r="AC556" s="1856">
        <f t="shared" si="477"/>
        <v>0</v>
      </c>
      <c r="AD556" s="1857">
        <f t="shared" si="477"/>
        <v>0</v>
      </c>
      <c r="AE556" s="1857">
        <f t="shared" si="477"/>
        <v>0</v>
      </c>
      <c r="AF556" s="1857">
        <f t="shared" si="477"/>
        <v>0</v>
      </c>
      <c r="AG556" s="1857">
        <f t="shared" si="477"/>
        <v>0</v>
      </c>
      <c r="AH556" s="1857">
        <f t="shared" si="477"/>
        <v>0</v>
      </c>
      <c r="AI556" s="1857">
        <f t="shared" si="477"/>
        <v>0</v>
      </c>
      <c r="AJ556" s="853"/>
      <c r="AK556" s="533"/>
      <c r="AL556" s="533"/>
      <c r="AM556" s="533"/>
      <c r="AN556" s="625"/>
      <c r="AO556" s="625"/>
      <c r="AP556" s="625"/>
      <c r="AQ556" s="625"/>
    </row>
    <row r="557" spans="1:43" s="536" customFormat="1">
      <c r="A557" s="537"/>
      <c r="B557" s="1852" t="str">
        <f t="shared" si="462"/>
        <v>VARIACIÓN INTANGIBLES</v>
      </c>
      <c r="C557" s="1900" t="str">
        <f t="shared" si="462"/>
        <v>N/A</v>
      </c>
      <c r="D557" s="1121"/>
      <c r="E557" s="1854">
        <f t="shared" si="463"/>
        <v>0</v>
      </c>
      <c r="F557" s="1121"/>
      <c r="G557" s="1121"/>
      <c r="H557" s="1854">
        <f t="shared" si="464"/>
        <v>0</v>
      </c>
      <c r="I557" s="1121"/>
      <c r="J557" s="1121"/>
      <c r="K557" s="1854">
        <f t="shared" si="465"/>
        <v>0</v>
      </c>
      <c r="L557" s="531"/>
      <c r="M557" s="539"/>
      <c r="N557" s="1854">
        <f t="shared" si="466"/>
        <v>0</v>
      </c>
      <c r="O557" s="531"/>
      <c r="P557" s="539"/>
      <c r="Q557" s="1854">
        <f t="shared" si="467"/>
        <v>0</v>
      </c>
      <c r="R557" s="531"/>
      <c r="S557" s="1855"/>
      <c r="T557" s="1856">
        <f t="shared" ref="T557:AI557" si="478">T463+$S557</f>
        <v>0</v>
      </c>
      <c r="U557" s="1856">
        <f t="shared" si="478"/>
        <v>0</v>
      </c>
      <c r="V557" s="1856">
        <f t="shared" si="478"/>
        <v>0</v>
      </c>
      <c r="W557" s="1856">
        <f t="shared" si="478"/>
        <v>0</v>
      </c>
      <c r="X557" s="1856">
        <f t="shared" si="478"/>
        <v>0</v>
      </c>
      <c r="Y557" s="1856">
        <f t="shared" si="478"/>
        <v>0</v>
      </c>
      <c r="Z557" s="1856">
        <f t="shared" si="478"/>
        <v>0</v>
      </c>
      <c r="AA557" s="1856">
        <f t="shared" si="478"/>
        <v>0</v>
      </c>
      <c r="AB557" s="1856">
        <f t="shared" si="478"/>
        <v>0</v>
      </c>
      <c r="AC557" s="1856">
        <f t="shared" si="478"/>
        <v>0</v>
      </c>
      <c r="AD557" s="1857">
        <f t="shared" si="478"/>
        <v>0</v>
      </c>
      <c r="AE557" s="1857">
        <f t="shared" si="478"/>
        <v>0</v>
      </c>
      <c r="AF557" s="1857">
        <f t="shared" si="478"/>
        <v>0</v>
      </c>
      <c r="AG557" s="1857">
        <f t="shared" si="478"/>
        <v>0</v>
      </c>
      <c r="AH557" s="1857">
        <f t="shared" si="478"/>
        <v>0</v>
      </c>
      <c r="AI557" s="1857">
        <f t="shared" si="478"/>
        <v>0</v>
      </c>
      <c r="AJ557" s="853"/>
      <c r="AK557" s="533"/>
      <c r="AL557" s="533"/>
      <c r="AM557" s="533"/>
      <c r="AN557" s="625"/>
      <c r="AO557" s="625"/>
      <c r="AP557" s="625"/>
      <c r="AQ557" s="625"/>
    </row>
    <row r="558" spans="1:43" s="536" customFormat="1">
      <c r="A558" s="537"/>
      <c r="B558" s="1852" t="str">
        <f t="shared" si="462"/>
        <v>AMORTIZACIÓN INTANGIBLES / INTANGIBLES</v>
      </c>
      <c r="C558" s="1853">
        <f t="shared" si="462"/>
        <v>0</v>
      </c>
      <c r="D558" s="1121"/>
      <c r="E558" s="1854">
        <f t="shared" si="463"/>
        <v>0</v>
      </c>
      <c r="F558" s="1121"/>
      <c r="G558" s="1121"/>
      <c r="H558" s="1854">
        <f t="shared" si="464"/>
        <v>0</v>
      </c>
      <c r="I558" s="1121"/>
      <c r="J558" s="1121"/>
      <c r="K558" s="1854">
        <f t="shared" si="465"/>
        <v>0</v>
      </c>
      <c r="L558" s="531"/>
      <c r="M558" s="539"/>
      <c r="N558" s="1854">
        <f t="shared" si="466"/>
        <v>0</v>
      </c>
      <c r="O558" s="531"/>
      <c r="P558" s="539"/>
      <c r="Q558" s="1854">
        <f t="shared" si="467"/>
        <v>0</v>
      </c>
      <c r="R558" s="531"/>
      <c r="S558" s="1855"/>
      <c r="T558" s="1856">
        <f t="shared" ref="T558:AI558" si="479">T464+$S558</f>
        <v>0</v>
      </c>
      <c r="U558" s="1856">
        <f t="shared" si="479"/>
        <v>0</v>
      </c>
      <c r="V558" s="1856">
        <f t="shared" si="479"/>
        <v>0</v>
      </c>
      <c r="W558" s="1856">
        <f t="shared" si="479"/>
        <v>0</v>
      </c>
      <c r="X558" s="1856">
        <f t="shared" si="479"/>
        <v>0</v>
      </c>
      <c r="Y558" s="1856">
        <f t="shared" si="479"/>
        <v>0</v>
      </c>
      <c r="Z558" s="1856">
        <f t="shared" si="479"/>
        <v>0</v>
      </c>
      <c r="AA558" s="1856">
        <f t="shared" si="479"/>
        <v>0</v>
      </c>
      <c r="AB558" s="1856">
        <f t="shared" si="479"/>
        <v>0</v>
      </c>
      <c r="AC558" s="1856">
        <f t="shared" si="479"/>
        <v>0</v>
      </c>
      <c r="AD558" s="1857">
        <f t="shared" si="479"/>
        <v>0</v>
      </c>
      <c r="AE558" s="1857">
        <f t="shared" si="479"/>
        <v>0</v>
      </c>
      <c r="AF558" s="1857">
        <f t="shared" si="479"/>
        <v>0</v>
      </c>
      <c r="AG558" s="1857">
        <f t="shared" si="479"/>
        <v>0</v>
      </c>
      <c r="AH558" s="1857">
        <f t="shared" si="479"/>
        <v>0</v>
      </c>
      <c r="AI558" s="1857">
        <f t="shared" si="479"/>
        <v>0</v>
      </c>
      <c r="AJ558" s="853"/>
      <c r="AK558" s="533"/>
      <c r="AL558" s="533"/>
      <c r="AM558" s="533"/>
      <c r="AN558" s="625"/>
      <c r="AO558" s="625"/>
      <c r="AP558" s="625"/>
      <c r="AQ558" s="625"/>
    </row>
    <row r="559" spans="1:43" s="536" customFormat="1">
      <c r="A559" s="537"/>
      <c r="B559" s="1852" t="str">
        <f t="shared" si="462"/>
        <v>VARIACIÓN DIFERIDOS</v>
      </c>
      <c r="C559" s="1900" t="str">
        <f t="shared" si="462"/>
        <v>N/A</v>
      </c>
      <c r="D559" s="1121"/>
      <c r="E559" s="1901">
        <f t="shared" si="463"/>
        <v>0</v>
      </c>
      <c r="F559" s="1121"/>
      <c r="G559" s="1121"/>
      <c r="H559" s="1901">
        <f t="shared" si="464"/>
        <v>0</v>
      </c>
      <c r="I559" s="1121"/>
      <c r="J559" s="1121"/>
      <c r="K559" s="1901">
        <f t="shared" si="465"/>
        <v>0</v>
      </c>
      <c r="L559" s="531"/>
      <c r="M559" s="539"/>
      <c r="N559" s="1901">
        <f t="shared" si="466"/>
        <v>0</v>
      </c>
      <c r="O559" s="531"/>
      <c r="P559" s="539"/>
      <c r="Q559" s="1901">
        <f t="shared" si="467"/>
        <v>0</v>
      </c>
      <c r="R559" s="531"/>
      <c r="S559" s="1855"/>
      <c r="T559" s="1856">
        <f t="shared" ref="T559:AI559" si="480">T465+$S559</f>
        <v>0</v>
      </c>
      <c r="U559" s="1856">
        <f t="shared" si="480"/>
        <v>0</v>
      </c>
      <c r="V559" s="1856">
        <f t="shared" si="480"/>
        <v>0</v>
      </c>
      <c r="W559" s="1856">
        <f t="shared" si="480"/>
        <v>0</v>
      </c>
      <c r="X559" s="1856">
        <f t="shared" si="480"/>
        <v>0</v>
      </c>
      <c r="Y559" s="1856">
        <f t="shared" si="480"/>
        <v>0</v>
      </c>
      <c r="Z559" s="1856">
        <f t="shared" si="480"/>
        <v>0</v>
      </c>
      <c r="AA559" s="1856">
        <f t="shared" si="480"/>
        <v>0</v>
      </c>
      <c r="AB559" s="1856">
        <f t="shared" si="480"/>
        <v>0</v>
      </c>
      <c r="AC559" s="1856">
        <f t="shared" si="480"/>
        <v>0</v>
      </c>
      <c r="AD559" s="1857">
        <f t="shared" si="480"/>
        <v>0</v>
      </c>
      <c r="AE559" s="1857">
        <f t="shared" si="480"/>
        <v>0</v>
      </c>
      <c r="AF559" s="1857">
        <f t="shared" si="480"/>
        <v>0</v>
      </c>
      <c r="AG559" s="1857">
        <f t="shared" si="480"/>
        <v>0</v>
      </c>
      <c r="AH559" s="1857">
        <f t="shared" si="480"/>
        <v>0</v>
      </c>
      <c r="AI559" s="1857">
        <f t="shared" si="480"/>
        <v>0</v>
      </c>
      <c r="AJ559" s="853"/>
      <c r="AK559" s="533"/>
      <c r="AL559" s="533"/>
      <c r="AM559" s="533"/>
      <c r="AN559" s="625"/>
      <c r="AO559" s="625"/>
      <c r="AP559" s="625"/>
      <c r="AQ559" s="625"/>
    </row>
    <row r="560" spans="1:43" s="536" customFormat="1">
      <c r="A560" s="537"/>
      <c r="B560" s="1852" t="str">
        <f t="shared" si="462"/>
        <v>AMORTIZACIÓN DIFERIDOS / DIFERIDOS</v>
      </c>
      <c r="C560" s="1853">
        <f t="shared" si="462"/>
        <v>0</v>
      </c>
      <c r="D560" s="1121"/>
      <c r="E560" s="1854">
        <f t="shared" si="463"/>
        <v>0</v>
      </c>
      <c r="F560" s="1121"/>
      <c r="G560" s="1121"/>
      <c r="H560" s="1854">
        <f t="shared" si="464"/>
        <v>0</v>
      </c>
      <c r="I560" s="1121"/>
      <c r="J560" s="1121"/>
      <c r="K560" s="1854">
        <f t="shared" si="465"/>
        <v>0</v>
      </c>
      <c r="L560" s="531"/>
      <c r="M560" s="539"/>
      <c r="N560" s="1854">
        <f t="shared" si="466"/>
        <v>0</v>
      </c>
      <c r="O560" s="531"/>
      <c r="P560" s="539"/>
      <c r="Q560" s="1854">
        <f t="shared" si="467"/>
        <v>0</v>
      </c>
      <c r="R560" s="531"/>
      <c r="S560" s="1855"/>
      <c r="T560" s="1856">
        <f t="shared" ref="T560:AI560" si="481">T466+$S560</f>
        <v>0</v>
      </c>
      <c r="U560" s="1856">
        <f t="shared" si="481"/>
        <v>0</v>
      </c>
      <c r="V560" s="1856">
        <f t="shared" si="481"/>
        <v>0</v>
      </c>
      <c r="W560" s="1856">
        <f t="shared" si="481"/>
        <v>0</v>
      </c>
      <c r="X560" s="1856">
        <f t="shared" si="481"/>
        <v>0</v>
      </c>
      <c r="Y560" s="1856">
        <f t="shared" si="481"/>
        <v>0</v>
      </c>
      <c r="Z560" s="1856">
        <f t="shared" si="481"/>
        <v>0</v>
      </c>
      <c r="AA560" s="1856">
        <f t="shared" si="481"/>
        <v>0</v>
      </c>
      <c r="AB560" s="1856">
        <f t="shared" si="481"/>
        <v>0</v>
      </c>
      <c r="AC560" s="1856">
        <f t="shared" si="481"/>
        <v>0</v>
      </c>
      <c r="AD560" s="1857">
        <f t="shared" si="481"/>
        <v>0</v>
      </c>
      <c r="AE560" s="1857">
        <f t="shared" si="481"/>
        <v>0</v>
      </c>
      <c r="AF560" s="1857">
        <f t="shared" si="481"/>
        <v>0</v>
      </c>
      <c r="AG560" s="1857">
        <f t="shared" si="481"/>
        <v>0</v>
      </c>
      <c r="AH560" s="1857">
        <f t="shared" si="481"/>
        <v>0</v>
      </c>
      <c r="AI560" s="1857">
        <f t="shared" si="481"/>
        <v>0</v>
      </c>
      <c r="AJ560" s="853"/>
      <c r="AK560" s="533"/>
      <c r="AL560" s="533"/>
      <c r="AM560" s="533"/>
      <c r="AN560" s="625"/>
      <c r="AO560" s="625"/>
      <c r="AP560" s="625"/>
      <c r="AQ560" s="625"/>
    </row>
    <row r="561" spans="1:73" s="536" customFormat="1">
      <c r="A561" s="537"/>
      <c r="B561" s="1852" t="str">
        <f t="shared" si="462"/>
        <v>PASIVOS LABORALES / GASTOS OPERACIONALES (ANUALIZADOS)</v>
      </c>
      <c r="C561" s="1853">
        <f t="shared" si="462"/>
        <v>0</v>
      </c>
      <c r="D561" s="1121"/>
      <c r="E561" s="1854">
        <f t="shared" si="463"/>
        <v>0</v>
      </c>
      <c r="F561" s="1121"/>
      <c r="G561" s="1121"/>
      <c r="H561" s="1854">
        <f t="shared" si="464"/>
        <v>0</v>
      </c>
      <c r="I561" s="1121"/>
      <c r="J561" s="1121"/>
      <c r="K561" s="1854">
        <f t="shared" si="465"/>
        <v>0</v>
      </c>
      <c r="L561" s="531"/>
      <c r="M561" s="539"/>
      <c r="N561" s="1854">
        <f t="shared" si="466"/>
        <v>0</v>
      </c>
      <c r="O561" s="531"/>
      <c r="P561" s="539"/>
      <c r="Q561" s="1854">
        <f t="shared" si="467"/>
        <v>0</v>
      </c>
      <c r="R561" s="531"/>
      <c r="S561" s="1855"/>
      <c r="T561" s="1856">
        <f t="shared" ref="T561:AI561" si="482">T467+$S561</f>
        <v>0</v>
      </c>
      <c r="U561" s="1856">
        <f t="shared" si="482"/>
        <v>0</v>
      </c>
      <c r="V561" s="1856">
        <f t="shared" si="482"/>
        <v>0</v>
      </c>
      <c r="W561" s="1856">
        <f t="shared" si="482"/>
        <v>0</v>
      </c>
      <c r="X561" s="1856">
        <f t="shared" si="482"/>
        <v>0</v>
      </c>
      <c r="Y561" s="1856">
        <f t="shared" si="482"/>
        <v>0</v>
      </c>
      <c r="Z561" s="1856">
        <f t="shared" si="482"/>
        <v>0</v>
      </c>
      <c r="AA561" s="1856">
        <f t="shared" si="482"/>
        <v>0</v>
      </c>
      <c r="AB561" s="1856">
        <f t="shared" si="482"/>
        <v>0</v>
      </c>
      <c r="AC561" s="1856">
        <f t="shared" si="482"/>
        <v>0</v>
      </c>
      <c r="AD561" s="1857">
        <f t="shared" si="482"/>
        <v>0</v>
      </c>
      <c r="AE561" s="1857">
        <f t="shared" si="482"/>
        <v>0</v>
      </c>
      <c r="AF561" s="1857">
        <f t="shared" si="482"/>
        <v>0</v>
      </c>
      <c r="AG561" s="1857">
        <f t="shared" si="482"/>
        <v>0</v>
      </c>
      <c r="AH561" s="1857">
        <f t="shared" si="482"/>
        <v>0</v>
      </c>
      <c r="AI561" s="1857">
        <f t="shared" si="482"/>
        <v>0</v>
      </c>
      <c r="AJ561" s="853"/>
      <c r="AK561" s="533"/>
      <c r="AL561" s="533"/>
      <c r="AM561" s="533"/>
      <c r="AN561" s="625"/>
      <c r="AO561" s="625"/>
      <c r="AP561" s="625"/>
      <c r="AQ561" s="625"/>
      <c r="AR561" s="533"/>
      <c r="AS561" s="533"/>
      <c r="AT561" s="533"/>
      <c r="AU561" s="533"/>
      <c r="AV561" s="533"/>
      <c r="AW561" s="533"/>
      <c r="AX561" s="533"/>
      <c r="AY561" s="533"/>
      <c r="AZ561" s="533"/>
      <c r="BA561" s="533"/>
      <c r="BB561" s="533"/>
      <c r="BC561" s="533"/>
      <c r="BD561" s="533"/>
      <c r="BE561" s="533"/>
      <c r="BF561" s="533"/>
      <c r="BG561" s="533"/>
      <c r="BH561" s="533"/>
      <c r="BI561" s="533"/>
      <c r="BJ561" s="533"/>
      <c r="BK561" s="533"/>
      <c r="BL561" s="533"/>
      <c r="BM561" s="533"/>
      <c r="BN561" s="533"/>
      <c r="BO561" s="533"/>
      <c r="BP561" s="533"/>
      <c r="BQ561" s="533"/>
    </row>
    <row r="562" spans="1:73" s="536" customFormat="1">
      <c r="A562" s="537"/>
      <c r="B562" s="1852" t="str">
        <f t="shared" si="462"/>
        <v>IMPUESTOS POR PAGAR / VENTAS (ANUALIZADAS)</v>
      </c>
      <c r="C562" s="1853">
        <f t="shared" si="462"/>
        <v>0</v>
      </c>
      <c r="D562" s="1121"/>
      <c r="E562" s="1854">
        <f t="shared" si="463"/>
        <v>0</v>
      </c>
      <c r="F562" s="1121"/>
      <c r="G562" s="1121"/>
      <c r="H562" s="1854">
        <f t="shared" si="464"/>
        <v>0</v>
      </c>
      <c r="I562" s="1121"/>
      <c r="J562" s="1121"/>
      <c r="K562" s="1854">
        <f t="shared" si="465"/>
        <v>0</v>
      </c>
      <c r="L562" s="531"/>
      <c r="M562" s="539"/>
      <c r="N562" s="1854">
        <f t="shared" si="466"/>
        <v>0</v>
      </c>
      <c r="O562" s="531"/>
      <c r="P562" s="539"/>
      <c r="Q562" s="1854">
        <f t="shared" si="467"/>
        <v>0</v>
      </c>
      <c r="R562" s="531"/>
      <c r="S562" s="1855"/>
      <c r="T562" s="1856">
        <f t="shared" ref="T562:AI562" si="483">T468+$S562</f>
        <v>0</v>
      </c>
      <c r="U562" s="1856">
        <f t="shared" si="483"/>
        <v>0</v>
      </c>
      <c r="V562" s="1856">
        <f t="shared" si="483"/>
        <v>0</v>
      </c>
      <c r="W562" s="1856">
        <f t="shared" si="483"/>
        <v>0</v>
      </c>
      <c r="X562" s="1856">
        <f t="shared" si="483"/>
        <v>0</v>
      </c>
      <c r="Y562" s="1856">
        <f t="shared" si="483"/>
        <v>0</v>
      </c>
      <c r="Z562" s="1856">
        <f t="shared" si="483"/>
        <v>0</v>
      </c>
      <c r="AA562" s="1856">
        <f t="shared" si="483"/>
        <v>0</v>
      </c>
      <c r="AB562" s="1856">
        <f t="shared" si="483"/>
        <v>0</v>
      </c>
      <c r="AC562" s="1856">
        <f t="shared" si="483"/>
        <v>0</v>
      </c>
      <c r="AD562" s="1857">
        <f t="shared" si="483"/>
        <v>0</v>
      </c>
      <c r="AE562" s="1857">
        <f t="shared" si="483"/>
        <v>0</v>
      </c>
      <c r="AF562" s="1857">
        <f t="shared" si="483"/>
        <v>0</v>
      </c>
      <c r="AG562" s="1857">
        <f t="shared" si="483"/>
        <v>0</v>
      </c>
      <c r="AH562" s="1857">
        <f t="shared" si="483"/>
        <v>0</v>
      </c>
      <c r="AI562" s="1857">
        <f t="shared" si="483"/>
        <v>0</v>
      </c>
      <c r="AJ562" s="853"/>
      <c r="AK562" s="533"/>
      <c r="AL562" s="533"/>
      <c r="AM562" s="533"/>
      <c r="AN562" s="625"/>
      <c r="AO562" s="625"/>
      <c r="AP562" s="625"/>
      <c r="AQ562" s="625"/>
      <c r="AR562" s="533"/>
      <c r="AS562" s="533"/>
      <c r="AT562" s="533"/>
      <c r="AU562" s="533"/>
      <c r="AV562" s="533"/>
      <c r="AW562" s="533"/>
      <c r="AX562" s="533"/>
      <c r="AY562" s="533"/>
      <c r="AZ562" s="533"/>
      <c r="BA562" s="533"/>
      <c r="BB562" s="533"/>
      <c r="BC562" s="533"/>
      <c r="BD562" s="533"/>
      <c r="BE562" s="533"/>
      <c r="BF562" s="533"/>
      <c r="BG562" s="533"/>
      <c r="BH562" s="533"/>
      <c r="BI562" s="533"/>
      <c r="BJ562" s="533"/>
      <c r="BK562" s="533"/>
      <c r="BL562" s="533"/>
      <c r="BM562" s="533"/>
      <c r="BN562" s="533"/>
      <c r="BO562" s="533"/>
      <c r="BP562" s="533"/>
      <c r="BQ562" s="533"/>
    </row>
    <row r="563" spans="1:73" s="536" customFormat="1">
      <c r="A563" s="537"/>
      <c r="B563" s="1852" t="str">
        <f t="shared" si="462"/>
        <v>CUENTAS POR PAGAR / COSTO DE VENTAS (ANUALIZADO)</v>
      </c>
      <c r="C563" s="1853">
        <f t="shared" si="462"/>
        <v>0</v>
      </c>
      <c r="D563" s="1121"/>
      <c r="E563" s="1854">
        <f t="shared" si="463"/>
        <v>0</v>
      </c>
      <c r="F563" s="1121"/>
      <c r="G563" s="1121"/>
      <c r="H563" s="1854">
        <f t="shared" si="464"/>
        <v>0</v>
      </c>
      <c r="I563" s="1121"/>
      <c r="J563" s="1121"/>
      <c r="K563" s="1854">
        <f t="shared" si="465"/>
        <v>0</v>
      </c>
      <c r="L563" s="531"/>
      <c r="M563" s="539"/>
      <c r="N563" s="1854">
        <f t="shared" si="466"/>
        <v>0</v>
      </c>
      <c r="O563" s="531"/>
      <c r="P563" s="539"/>
      <c r="Q563" s="1854">
        <f t="shared" si="467"/>
        <v>0</v>
      </c>
      <c r="R563" s="531"/>
      <c r="S563" s="1855"/>
      <c r="T563" s="1856">
        <f t="shared" ref="T563:AI563" si="484">T469+$S563</f>
        <v>0</v>
      </c>
      <c r="U563" s="1856">
        <f t="shared" si="484"/>
        <v>0</v>
      </c>
      <c r="V563" s="1856">
        <f t="shared" si="484"/>
        <v>0</v>
      </c>
      <c r="W563" s="1856">
        <f t="shared" si="484"/>
        <v>0</v>
      </c>
      <c r="X563" s="1856">
        <f t="shared" si="484"/>
        <v>0</v>
      </c>
      <c r="Y563" s="1856">
        <f t="shared" si="484"/>
        <v>0</v>
      </c>
      <c r="Z563" s="1856">
        <f t="shared" si="484"/>
        <v>0</v>
      </c>
      <c r="AA563" s="1856">
        <f t="shared" si="484"/>
        <v>0</v>
      </c>
      <c r="AB563" s="1856">
        <f t="shared" si="484"/>
        <v>0</v>
      </c>
      <c r="AC563" s="1856">
        <f t="shared" si="484"/>
        <v>0</v>
      </c>
      <c r="AD563" s="1857">
        <f t="shared" si="484"/>
        <v>0</v>
      </c>
      <c r="AE563" s="1857">
        <f t="shared" si="484"/>
        <v>0</v>
      </c>
      <c r="AF563" s="1857">
        <f t="shared" si="484"/>
        <v>0</v>
      </c>
      <c r="AG563" s="1857">
        <f t="shared" si="484"/>
        <v>0</v>
      </c>
      <c r="AH563" s="1857">
        <f t="shared" si="484"/>
        <v>0</v>
      </c>
      <c r="AI563" s="1857">
        <f t="shared" si="484"/>
        <v>0</v>
      </c>
      <c r="AJ563" s="853"/>
      <c r="AK563" s="533"/>
      <c r="AL563" s="533"/>
      <c r="AM563" s="533"/>
      <c r="AN563" s="625"/>
      <c r="AO563" s="625"/>
      <c r="AP563" s="625"/>
      <c r="AQ563" s="625"/>
      <c r="AR563" s="533"/>
      <c r="AS563" s="533"/>
      <c r="AT563" s="533"/>
      <c r="AU563" s="533"/>
      <c r="AV563" s="533"/>
      <c r="AW563" s="533"/>
      <c r="AX563" s="533"/>
      <c r="AY563" s="533"/>
      <c r="AZ563" s="533"/>
      <c r="BA563" s="533"/>
      <c r="BB563" s="533"/>
      <c r="BC563" s="533"/>
      <c r="BD563" s="533"/>
      <c r="BE563" s="533"/>
      <c r="BF563" s="533"/>
      <c r="BG563" s="533"/>
      <c r="BH563" s="533"/>
      <c r="BI563" s="533"/>
      <c r="BJ563" s="533"/>
      <c r="BK563" s="533"/>
      <c r="BL563" s="533"/>
      <c r="BM563" s="533"/>
      <c r="BN563" s="533"/>
      <c r="BO563" s="533"/>
      <c r="BP563" s="533"/>
      <c r="BQ563" s="533"/>
    </row>
    <row r="564" spans="1:73" s="536" customFormat="1">
      <c r="A564" s="537"/>
      <c r="B564" s="1852" t="str">
        <f t="shared" si="462"/>
        <v>PASIVOS ESTIMADOS Y PROVISIONES / GASTOS OPERACIONALES (ANUALIZADOS)</v>
      </c>
      <c r="C564" s="1853">
        <f t="shared" si="462"/>
        <v>0</v>
      </c>
      <c r="D564" s="1121"/>
      <c r="E564" s="1854">
        <f t="shared" si="463"/>
        <v>0</v>
      </c>
      <c r="F564" s="1121"/>
      <c r="G564" s="1121"/>
      <c r="H564" s="1854">
        <f t="shared" si="464"/>
        <v>0</v>
      </c>
      <c r="I564" s="1121"/>
      <c r="J564" s="1121"/>
      <c r="K564" s="1854">
        <f t="shared" si="465"/>
        <v>0</v>
      </c>
      <c r="L564" s="531"/>
      <c r="M564" s="539"/>
      <c r="N564" s="1854">
        <f t="shared" si="466"/>
        <v>0</v>
      </c>
      <c r="O564" s="531"/>
      <c r="P564" s="539"/>
      <c r="Q564" s="1854">
        <f t="shared" si="467"/>
        <v>0</v>
      </c>
      <c r="R564" s="531"/>
      <c r="S564" s="1855"/>
      <c r="T564" s="1856">
        <f t="shared" ref="T564:AI564" si="485">T470+$S564</f>
        <v>0</v>
      </c>
      <c r="U564" s="1856">
        <f t="shared" si="485"/>
        <v>0</v>
      </c>
      <c r="V564" s="1856">
        <f t="shared" si="485"/>
        <v>0</v>
      </c>
      <c r="W564" s="1856">
        <f t="shared" si="485"/>
        <v>0</v>
      </c>
      <c r="X564" s="1856">
        <f t="shared" si="485"/>
        <v>0</v>
      </c>
      <c r="Y564" s="1856">
        <f t="shared" si="485"/>
        <v>0</v>
      </c>
      <c r="Z564" s="1856">
        <f t="shared" si="485"/>
        <v>0</v>
      </c>
      <c r="AA564" s="1856">
        <f t="shared" si="485"/>
        <v>0</v>
      </c>
      <c r="AB564" s="1856">
        <f t="shared" si="485"/>
        <v>0</v>
      </c>
      <c r="AC564" s="1856">
        <f t="shared" si="485"/>
        <v>0</v>
      </c>
      <c r="AD564" s="1857">
        <f t="shared" si="485"/>
        <v>0</v>
      </c>
      <c r="AE564" s="1857">
        <f t="shared" si="485"/>
        <v>0</v>
      </c>
      <c r="AF564" s="1857">
        <f t="shared" si="485"/>
        <v>0</v>
      </c>
      <c r="AG564" s="1857">
        <f t="shared" si="485"/>
        <v>0</v>
      </c>
      <c r="AH564" s="1857">
        <f t="shared" si="485"/>
        <v>0</v>
      </c>
      <c r="AI564" s="1857">
        <f t="shared" si="485"/>
        <v>0</v>
      </c>
      <c r="AJ564" s="853"/>
      <c r="AK564" s="533"/>
      <c r="AL564" s="533"/>
      <c r="AM564" s="533"/>
      <c r="AN564" s="625"/>
      <c r="AO564" s="625"/>
      <c r="AP564" s="625"/>
      <c r="AQ564" s="625"/>
      <c r="AR564" s="533"/>
      <c r="AS564" s="533"/>
      <c r="AT564" s="533"/>
      <c r="AU564" s="533"/>
      <c r="AV564" s="533"/>
      <c r="AW564" s="533"/>
      <c r="AX564" s="533"/>
      <c r="AY564" s="533"/>
      <c r="AZ564" s="533"/>
      <c r="BA564" s="533"/>
      <c r="BB564" s="533"/>
      <c r="BC564" s="533"/>
      <c r="BD564" s="533"/>
      <c r="BE564" s="533"/>
      <c r="BF564" s="533"/>
      <c r="BG564" s="533"/>
      <c r="BH564" s="533"/>
      <c r="BI564" s="533"/>
      <c r="BJ564" s="533"/>
      <c r="BK564" s="533"/>
      <c r="BL564" s="533"/>
      <c r="BM564" s="533"/>
      <c r="BN564" s="533"/>
      <c r="BO564" s="533"/>
      <c r="BP564" s="533"/>
      <c r="BQ564" s="533"/>
    </row>
    <row r="565" spans="1:73" s="533" customFormat="1">
      <c r="A565" s="537"/>
      <c r="B565" s="1852" t="str">
        <f t="shared" si="462"/>
        <v>DIVIDENDOS PAGADOS / UTILIDAD NETA EJERCICIO ANTERIOR</v>
      </c>
      <c r="C565" s="1900" t="str">
        <f t="shared" si="462"/>
        <v>N/A</v>
      </c>
      <c r="D565" s="1121"/>
      <c r="E565" s="1854">
        <f t="shared" si="463"/>
        <v>0</v>
      </c>
      <c r="F565" s="1121"/>
      <c r="G565" s="1121"/>
      <c r="H565" s="1854">
        <f t="shared" si="464"/>
        <v>0</v>
      </c>
      <c r="I565" s="1121"/>
      <c r="J565" s="1121"/>
      <c r="K565" s="1854">
        <f t="shared" si="465"/>
        <v>0</v>
      </c>
      <c r="L565" s="531"/>
      <c r="M565" s="539"/>
      <c r="N565" s="1854">
        <f t="shared" si="466"/>
        <v>0</v>
      </c>
      <c r="O565" s="531"/>
      <c r="P565" s="539"/>
      <c r="Q565" s="1854">
        <f t="shared" si="467"/>
        <v>0</v>
      </c>
      <c r="R565" s="531"/>
      <c r="S565" s="1855"/>
      <c r="T565" s="1856">
        <f t="shared" ref="T565:AI565" si="486">T471+$S565</f>
        <v>0</v>
      </c>
      <c r="U565" s="1856">
        <f t="shared" si="486"/>
        <v>0</v>
      </c>
      <c r="V565" s="1856">
        <f t="shared" si="486"/>
        <v>0</v>
      </c>
      <c r="W565" s="1856">
        <f t="shared" si="486"/>
        <v>0</v>
      </c>
      <c r="X565" s="1856">
        <f t="shared" si="486"/>
        <v>0</v>
      </c>
      <c r="Y565" s="1856">
        <f t="shared" si="486"/>
        <v>0</v>
      </c>
      <c r="Z565" s="1856">
        <f t="shared" si="486"/>
        <v>0</v>
      </c>
      <c r="AA565" s="1856">
        <f t="shared" si="486"/>
        <v>0</v>
      </c>
      <c r="AB565" s="1856">
        <f t="shared" si="486"/>
        <v>0</v>
      </c>
      <c r="AC565" s="1856">
        <f t="shared" si="486"/>
        <v>0</v>
      </c>
      <c r="AD565" s="1857">
        <f t="shared" si="486"/>
        <v>0</v>
      </c>
      <c r="AE565" s="1857">
        <f t="shared" si="486"/>
        <v>0</v>
      </c>
      <c r="AF565" s="1857">
        <f t="shared" si="486"/>
        <v>0</v>
      </c>
      <c r="AG565" s="1857">
        <f t="shared" si="486"/>
        <v>0</v>
      </c>
      <c r="AH565" s="1857">
        <f t="shared" si="486"/>
        <v>0</v>
      </c>
      <c r="AI565" s="1857">
        <f t="shared" si="486"/>
        <v>0</v>
      </c>
      <c r="AJ565" s="853"/>
      <c r="AN565" s="625"/>
      <c r="AO565" s="625"/>
      <c r="AP565" s="625"/>
      <c r="AQ565" s="625"/>
    </row>
    <row r="566" spans="1:73" s="536" customFormat="1">
      <c r="A566" s="537"/>
      <c r="B566" s="1869" t="str">
        <f t="shared" si="462"/>
        <v>VARIACIÓN REVALORIZACIÓN PATRIMONIAL</v>
      </c>
      <c r="C566" s="1902" t="str">
        <f t="shared" si="462"/>
        <v>N/A</v>
      </c>
      <c r="D566" s="1121"/>
      <c r="E566" s="1871">
        <f t="shared" si="463"/>
        <v>0</v>
      </c>
      <c r="F566" s="1121"/>
      <c r="G566" s="1121"/>
      <c r="H566" s="1871">
        <f t="shared" si="464"/>
        <v>0</v>
      </c>
      <c r="I566" s="1121"/>
      <c r="J566" s="1121"/>
      <c r="K566" s="1871">
        <f t="shared" si="465"/>
        <v>0</v>
      </c>
      <c r="L566" s="531"/>
      <c r="M566" s="539"/>
      <c r="N566" s="1871">
        <f t="shared" si="466"/>
        <v>0</v>
      </c>
      <c r="O566" s="531"/>
      <c r="P566" s="539"/>
      <c r="Q566" s="1871">
        <f t="shared" si="467"/>
        <v>0</v>
      </c>
      <c r="R566" s="531"/>
      <c r="S566" s="1872"/>
      <c r="T566" s="1873">
        <v>0</v>
      </c>
      <c r="U566" s="1873">
        <f t="shared" ref="U566:AI566" si="487">U472+$S566</f>
        <v>0</v>
      </c>
      <c r="V566" s="1873">
        <f t="shared" si="487"/>
        <v>0</v>
      </c>
      <c r="W566" s="1873">
        <f t="shared" si="487"/>
        <v>0</v>
      </c>
      <c r="X566" s="1873">
        <f t="shared" si="487"/>
        <v>0</v>
      </c>
      <c r="Y566" s="1873">
        <f t="shared" si="487"/>
        <v>0</v>
      </c>
      <c r="Z566" s="1873">
        <f t="shared" si="487"/>
        <v>0</v>
      </c>
      <c r="AA566" s="1873">
        <f t="shared" si="487"/>
        <v>0</v>
      </c>
      <c r="AB566" s="1873">
        <f t="shared" si="487"/>
        <v>0</v>
      </c>
      <c r="AC566" s="1873">
        <f t="shared" si="487"/>
        <v>0</v>
      </c>
      <c r="AD566" s="1874">
        <f t="shared" si="487"/>
        <v>0</v>
      </c>
      <c r="AE566" s="1874">
        <f t="shared" si="487"/>
        <v>0</v>
      </c>
      <c r="AF566" s="1874">
        <f t="shared" si="487"/>
        <v>0</v>
      </c>
      <c r="AG566" s="1874">
        <f t="shared" si="487"/>
        <v>0</v>
      </c>
      <c r="AH566" s="1874">
        <f t="shared" si="487"/>
        <v>0</v>
      </c>
      <c r="AI566" s="1874">
        <f t="shared" si="487"/>
        <v>0</v>
      </c>
      <c r="AJ566" s="853"/>
      <c r="AK566" s="533"/>
      <c r="AL566" s="533"/>
      <c r="AM566" s="533"/>
      <c r="AN566" s="625"/>
      <c r="AO566" s="625"/>
      <c r="AP566" s="625"/>
      <c r="AQ566" s="625"/>
      <c r="AR566" s="533"/>
      <c r="AS566" s="533"/>
      <c r="AT566" s="533"/>
      <c r="AU566" s="533"/>
      <c r="AV566" s="533"/>
      <c r="AW566" s="533"/>
      <c r="AX566" s="533"/>
      <c r="AY566" s="533"/>
      <c r="AZ566" s="533"/>
      <c r="BA566" s="533"/>
      <c r="BB566" s="533"/>
      <c r="BC566" s="533"/>
      <c r="BD566" s="533"/>
      <c r="BE566" s="533"/>
      <c r="BF566" s="533"/>
      <c r="BG566" s="533"/>
      <c r="BH566" s="533"/>
      <c r="BI566" s="533"/>
      <c r="BJ566" s="533"/>
      <c r="BK566" s="533"/>
      <c r="BL566" s="533"/>
      <c r="BM566" s="533"/>
      <c r="BN566" s="533"/>
      <c r="BO566" s="533"/>
      <c r="BP566" s="533"/>
      <c r="BQ566" s="533"/>
    </row>
    <row r="567" spans="1:73" s="533" customFormat="1">
      <c r="A567" s="537"/>
      <c r="B567" s="1903"/>
      <c r="C567" s="531"/>
      <c r="D567" s="531"/>
      <c r="E567" s="531"/>
      <c r="F567" s="531"/>
      <c r="G567" s="531"/>
      <c r="H567" s="531"/>
      <c r="I567" s="530"/>
      <c r="J567" s="530"/>
      <c r="K567" s="530"/>
      <c r="L567" s="531"/>
      <c r="M567" s="539"/>
      <c r="N567" s="530"/>
      <c r="O567" s="531"/>
      <c r="P567" s="539"/>
      <c r="Q567" s="530"/>
      <c r="R567" s="531"/>
      <c r="S567" s="539"/>
      <c r="T567" s="539"/>
      <c r="U567" s="531"/>
      <c r="V567" s="531"/>
      <c r="W567" s="531"/>
      <c r="X567" s="531"/>
      <c r="Y567" s="531"/>
      <c r="Z567" s="531"/>
      <c r="AA567" s="531"/>
      <c r="AB567" s="531"/>
      <c r="AC567" s="531"/>
      <c r="AD567" s="531"/>
      <c r="AE567" s="1904"/>
      <c r="AF567" s="1904"/>
      <c r="AG567" s="531"/>
      <c r="AH567" s="531"/>
      <c r="AI567" s="531"/>
      <c r="AJ567" s="853"/>
      <c r="AN567" s="625"/>
      <c r="AO567" s="625"/>
      <c r="AP567" s="625"/>
      <c r="AQ567" s="625"/>
    </row>
    <row r="568" spans="1:73" s="533" customFormat="1">
      <c r="A568" s="537"/>
      <c r="B568" s="1903"/>
      <c r="C568" s="531"/>
      <c r="D568" s="531"/>
      <c r="E568" s="531"/>
      <c r="F568" s="531"/>
      <c r="G568" s="531"/>
      <c r="H568" s="531"/>
      <c r="I568" s="530"/>
      <c r="J568" s="530"/>
      <c r="K568" s="530"/>
      <c r="L568" s="531"/>
      <c r="M568" s="539"/>
      <c r="N568" s="530"/>
      <c r="O568" s="531"/>
      <c r="P568" s="539"/>
      <c r="Q568" s="530"/>
      <c r="R568" s="531"/>
      <c r="S568" s="539"/>
      <c r="T568" s="1905" t="s">
        <v>1044</v>
      </c>
      <c r="U568" s="1906" t="s">
        <v>1044</v>
      </c>
      <c r="V568" s="1906" t="s">
        <v>1044</v>
      </c>
      <c r="W568" s="1906" t="s">
        <v>1044</v>
      </c>
      <c r="X568" s="1906" t="s">
        <v>1044</v>
      </c>
      <c r="Y568" s="1906" t="s">
        <v>1044</v>
      </c>
      <c r="Z568" s="1906" t="s">
        <v>1044</v>
      </c>
      <c r="AA568" s="1906" t="s">
        <v>1044</v>
      </c>
      <c r="AB568" s="1906" t="s">
        <v>1044</v>
      </c>
      <c r="AC568" s="1906" t="s">
        <v>1044</v>
      </c>
      <c r="AD568" s="1907" t="s">
        <v>1044</v>
      </c>
      <c r="AE568" s="1907" t="s">
        <v>1044</v>
      </c>
      <c r="AF568" s="1907" t="s">
        <v>1044</v>
      </c>
      <c r="AG568" s="1907" t="s">
        <v>1044</v>
      </c>
      <c r="AH568" s="1907" t="s">
        <v>1044</v>
      </c>
      <c r="AI568" s="1907" t="s">
        <v>1044</v>
      </c>
      <c r="AJ568" s="853"/>
      <c r="AN568" s="625"/>
      <c r="AO568" s="625"/>
      <c r="AP568" s="625"/>
      <c r="AQ568" s="625"/>
    </row>
    <row r="569" spans="1:73" s="533" customFormat="1">
      <c r="A569" s="537"/>
      <c r="B569" s="1908" t="s">
        <v>1375</v>
      </c>
      <c r="C569" s="1909">
        <f>C428</f>
        <v>2016</v>
      </c>
      <c r="D569" s="531"/>
      <c r="E569" s="1910">
        <f>E428</f>
        <v>2017</v>
      </c>
      <c r="F569" s="531"/>
      <c r="G569" s="531"/>
      <c r="H569" s="1910">
        <f>H428</f>
        <v>2018</v>
      </c>
      <c r="I569" s="530"/>
      <c r="J569" s="530"/>
      <c r="K569" s="1910">
        <f>K428</f>
        <v>2019</v>
      </c>
      <c r="L569" s="531"/>
      <c r="M569" s="539"/>
      <c r="N569" s="1910">
        <f>N428</f>
        <v>2019</v>
      </c>
      <c r="O569" s="531"/>
      <c r="P569" s="539"/>
      <c r="Q569" s="1910" t="str">
        <f>Q428</f>
        <v>2020</v>
      </c>
      <c r="R569" s="531"/>
      <c r="S569" s="539"/>
      <c r="T569" s="1911">
        <f t="shared" ref="T569:AI569" si="488">T428</f>
        <v>2020</v>
      </c>
      <c r="U569" s="1912">
        <f t="shared" si="488"/>
        <v>2021</v>
      </c>
      <c r="V569" s="1912">
        <f t="shared" si="488"/>
        <v>2022</v>
      </c>
      <c r="W569" s="1912">
        <f t="shared" si="488"/>
        <v>2023</v>
      </c>
      <c r="X569" s="1912">
        <f t="shared" si="488"/>
        <v>2024</v>
      </c>
      <c r="Y569" s="1912">
        <f t="shared" si="488"/>
        <v>2025</v>
      </c>
      <c r="Z569" s="1912">
        <f t="shared" si="488"/>
        <v>2026</v>
      </c>
      <c r="AA569" s="1912">
        <f t="shared" si="488"/>
        <v>2027</v>
      </c>
      <c r="AB569" s="1912">
        <f t="shared" si="488"/>
        <v>2028</v>
      </c>
      <c r="AC569" s="1912">
        <f t="shared" si="488"/>
        <v>2029</v>
      </c>
      <c r="AD569" s="1913">
        <f t="shared" si="488"/>
        <v>2030</v>
      </c>
      <c r="AE569" s="1913">
        <f t="shared" si="488"/>
        <v>2031</v>
      </c>
      <c r="AF569" s="1913">
        <f t="shared" si="488"/>
        <v>2032</v>
      </c>
      <c r="AG569" s="1913">
        <f t="shared" si="488"/>
        <v>2033</v>
      </c>
      <c r="AH569" s="1913">
        <f t="shared" si="488"/>
        <v>2034</v>
      </c>
      <c r="AI569" s="1913">
        <f t="shared" si="488"/>
        <v>2035</v>
      </c>
      <c r="AJ569" s="853"/>
      <c r="AN569" s="625"/>
      <c r="AO569" s="625"/>
      <c r="AP569" s="625"/>
      <c r="AQ569" s="625"/>
    </row>
    <row r="570" spans="1:73" s="533" customFormat="1">
      <c r="A570" s="537"/>
      <c r="B570" s="1914" t="str">
        <f>B429</f>
        <v>Inflación</v>
      </c>
      <c r="C570" s="1915">
        <f>C429</f>
        <v>6.8000000000000005E-2</v>
      </c>
      <c r="D570" s="531"/>
      <c r="E570" s="1916">
        <f>E429</f>
        <v>3.6999999999999998E-2</v>
      </c>
      <c r="F570" s="531"/>
      <c r="G570" s="531"/>
      <c r="H570" s="1916">
        <f>H429</f>
        <v>2.4400000000000002E-2</v>
      </c>
      <c r="I570" s="530"/>
      <c r="J570" s="530"/>
      <c r="K570" s="1916" t="str">
        <f>K429</f>
        <v>N/A</v>
      </c>
      <c r="L570" s="531"/>
      <c r="M570" s="539"/>
      <c r="N570" s="1916">
        <f>N429</f>
        <v>3.6600000000000001E-2</v>
      </c>
      <c r="O570" s="531"/>
      <c r="P570" s="539"/>
      <c r="Q570" s="1916" t="str">
        <f>Q429</f>
        <v>N/A</v>
      </c>
      <c r="R570" s="531"/>
      <c r="S570" s="1802"/>
      <c r="T570" s="1917">
        <f t="shared" ref="T570:AI570" si="489">T476</f>
        <v>6.7699999999999996E-2</v>
      </c>
      <c r="U570" s="1918">
        <f t="shared" si="489"/>
        <v>3.6400000000000002E-2</v>
      </c>
      <c r="V570" s="1918">
        <f t="shared" si="489"/>
        <v>0.03</v>
      </c>
      <c r="W570" s="1918">
        <f t="shared" si="489"/>
        <v>0.03</v>
      </c>
      <c r="X570" s="1918">
        <f t="shared" si="489"/>
        <v>0.03</v>
      </c>
      <c r="Y570" s="1918">
        <f t="shared" si="489"/>
        <v>0.03</v>
      </c>
      <c r="Z570" s="1918">
        <f t="shared" si="489"/>
        <v>0.03</v>
      </c>
      <c r="AA570" s="1918">
        <f t="shared" si="489"/>
        <v>0.03</v>
      </c>
      <c r="AB570" s="1918">
        <f t="shared" si="489"/>
        <v>0.03</v>
      </c>
      <c r="AC570" s="1918">
        <f t="shared" si="489"/>
        <v>0.03</v>
      </c>
      <c r="AD570" s="1919">
        <f t="shared" si="489"/>
        <v>0.03</v>
      </c>
      <c r="AE570" s="1919">
        <f t="shared" si="489"/>
        <v>0.03</v>
      </c>
      <c r="AF570" s="1919">
        <f t="shared" si="489"/>
        <v>0.03</v>
      </c>
      <c r="AG570" s="1919">
        <f t="shared" si="489"/>
        <v>0.03</v>
      </c>
      <c r="AH570" s="1919">
        <f t="shared" si="489"/>
        <v>0.03</v>
      </c>
      <c r="AI570" s="1919">
        <f t="shared" si="489"/>
        <v>0.03</v>
      </c>
      <c r="AJ570" s="853"/>
      <c r="AN570" s="625"/>
      <c r="AO570" s="625"/>
      <c r="AP570" s="625"/>
      <c r="AQ570" s="625"/>
    </row>
    <row r="571" spans="1:73" s="533" customFormat="1">
      <c r="A571" s="537"/>
      <c r="B571" s="1920" t="str">
        <f>B430</f>
        <v>Variación TRM</v>
      </c>
      <c r="C571" s="1921">
        <f>C430</f>
        <v>4.4900000000000002E-2</v>
      </c>
      <c r="D571" s="531"/>
      <c r="E571" s="1922">
        <f>E430</f>
        <v>-0.13397724183117241</v>
      </c>
      <c r="F571" s="531"/>
      <c r="G571" s="531"/>
      <c r="H571" s="1922">
        <f>H430</f>
        <v>-9.0066906845084921E-2</v>
      </c>
      <c r="I571" s="530"/>
      <c r="J571" s="530"/>
      <c r="K571" s="1922" t="str">
        <f>K430</f>
        <v>N/A</v>
      </c>
      <c r="L571" s="531"/>
      <c r="M571" s="539"/>
      <c r="N571" s="1922">
        <f>N430</f>
        <v>0.32480404320537187</v>
      </c>
      <c r="O571" s="531"/>
      <c r="P571" s="539"/>
      <c r="Q571" s="1922" t="str">
        <f>Q430</f>
        <v>N/A</v>
      </c>
      <c r="R571" s="531"/>
      <c r="S571" s="1802"/>
      <c r="T571" s="1923">
        <f t="shared" ref="T571:AI571" si="490">T477</f>
        <v>0.38507704050111063</v>
      </c>
      <c r="U571" s="1924">
        <f t="shared" si="490"/>
        <v>-0.13692170398303674</v>
      </c>
      <c r="V571" s="1924">
        <f t="shared" si="490"/>
        <v>2.5000000000000001E-2</v>
      </c>
      <c r="W571" s="1924">
        <f t="shared" si="490"/>
        <v>0.04</v>
      </c>
      <c r="X571" s="1924">
        <f t="shared" si="490"/>
        <v>0.04</v>
      </c>
      <c r="Y571" s="1925">
        <f t="shared" si="490"/>
        <v>0.04</v>
      </c>
      <c r="Z571" s="1925">
        <f t="shared" si="490"/>
        <v>0.04</v>
      </c>
      <c r="AA571" s="1925">
        <f t="shared" si="490"/>
        <v>0.04</v>
      </c>
      <c r="AB571" s="1925">
        <f t="shared" si="490"/>
        <v>0.04</v>
      </c>
      <c r="AC571" s="1925">
        <f t="shared" si="490"/>
        <v>0.04</v>
      </c>
      <c r="AD571" s="1926">
        <f t="shared" si="490"/>
        <v>0.04</v>
      </c>
      <c r="AE571" s="1926">
        <f t="shared" si="490"/>
        <v>0.04</v>
      </c>
      <c r="AF571" s="1926">
        <f t="shared" si="490"/>
        <v>0.04</v>
      </c>
      <c r="AG571" s="1926">
        <f t="shared" si="490"/>
        <v>0.04</v>
      </c>
      <c r="AH571" s="1926">
        <f t="shared" si="490"/>
        <v>0.04</v>
      </c>
      <c r="AI571" s="1926">
        <f t="shared" si="490"/>
        <v>0.04</v>
      </c>
      <c r="AJ571" s="853"/>
      <c r="AN571" s="625"/>
      <c r="AO571" s="625"/>
      <c r="AP571" s="625"/>
      <c r="AQ571" s="625"/>
    </row>
    <row r="572" spans="1:73" s="533" customFormat="1">
      <c r="A572" s="537"/>
      <c r="B572" s="1920" t="str">
        <f>B431</f>
        <v>Crecimiento PIB</v>
      </c>
      <c r="C572" s="1921">
        <f>C431</f>
        <v>6.5799999999999997E-2</v>
      </c>
      <c r="D572" s="531"/>
      <c r="E572" s="1922">
        <f>E431</f>
        <v>4.0399999999999998E-2</v>
      </c>
      <c r="F572" s="531"/>
      <c r="G572" s="531"/>
      <c r="H572" s="1922">
        <f>H431</f>
        <v>4.9299999999999997E-2</v>
      </c>
      <c r="I572" s="530"/>
      <c r="J572" s="530"/>
      <c r="K572" s="1922" t="str">
        <f>K431</f>
        <v>N/A</v>
      </c>
      <c r="L572" s="531"/>
      <c r="M572" s="539"/>
      <c r="N572" s="1922">
        <f>N431</f>
        <v>4.5499999999999999E-2</v>
      </c>
      <c r="O572" s="531"/>
      <c r="P572" s="539"/>
      <c r="Q572" s="1922" t="str">
        <f>Q431</f>
        <v>N/A</v>
      </c>
      <c r="R572" s="531"/>
      <c r="S572" s="1802"/>
      <c r="T572" s="1927">
        <f>T573/N573-1</f>
        <v>0.38507704050111058</v>
      </c>
      <c r="U572" s="1928">
        <f>U573/T573-1</f>
        <v>-0.13692170398303671</v>
      </c>
      <c r="V572" s="1928">
        <f>V573/U573-1</f>
        <v>-0.24420714285714296</v>
      </c>
      <c r="W572" s="1928">
        <f>W573/V573-1</f>
        <v>3.5001086843522877E-2</v>
      </c>
      <c r="X572" s="1928">
        <f>X573/W573-1</f>
        <v>3.499999999999992E-2</v>
      </c>
      <c r="Y572" s="1924">
        <f>AVERAGE(T572:X572)</f>
        <v>1.4789856100890741E-2</v>
      </c>
      <c r="Z572" s="1924">
        <f t="shared" ref="Z572:AI572" si="491">Y572</f>
        <v>1.4789856100890741E-2</v>
      </c>
      <c r="AA572" s="1924">
        <f t="shared" si="491"/>
        <v>1.4789856100890741E-2</v>
      </c>
      <c r="AB572" s="1924">
        <f t="shared" si="491"/>
        <v>1.4789856100890741E-2</v>
      </c>
      <c r="AC572" s="1924">
        <f t="shared" si="491"/>
        <v>1.4789856100890741E-2</v>
      </c>
      <c r="AD572" s="1929">
        <f t="shared" si="491"/>
        <v>1.4789856100890741E-2</v>
      </c>
      <c r="AE572" s="1929">
        <f t="shared" si="491"/>
        <v>1.4789856100890741E-2</v>
      </c>
      <c r="AF572" s="1929">
        <f t="shared" si="491"/>
        <v>1.4789856100890741E-2</v>
      </c>
      <c r="AG572" s="1929">
        <f t="shared" si="491"/>
        <v>1.4789856100890741E-2</v>
      </c>
      <c r="AH572" s="1929">
        <f t="shared" si="491"/>
        <v>1.4789856100890741E-2</v>
      </c>
      <c r="AI572" s="1929">
        <f t="shared" si="491"/>
        <v>1.4789856100890741E-2</v>
      </c>
      <c r="AJ572" s="853"/>
      <c r="AN572" s="625"/>
      <c r="AO572" s="625"/>
      <c r="AP572" s="625"/>
      <c r="AQ572" s="625"/>
    </row>
    <row r="573" spans="1:73" s="533" customFormat="1" ht="13.5" thickBot="1">
      <c r="A573" s="537"/>
      <c r="B573" s="1930" t="str">
        <f>B432</f>
        <v>TRM (COP POR 1 USD)</v>
      </c>
      <c r="C573" s="1931">
        <f>C432</f>
        <v>2243.59</v>
      </c>
      <c r="D573" s="1833"/>
      <c r="E573" s="1932">
        <f>E432</f>
        <v>1943</v>
      </c>
      <c r="F573" s="1833"/>
      <c r="G573" s="1833"/>
      <c r="H573" s="1932">
        <f>H432</f>
        <v>1768</v>
      </c>
      <c r="I573" s="1933"/>
      <c r="J573" s="1933"/>
      <c r="K573" s="1932" t="str">
        <f>K432</f>
        <v>N/A</v>
      </c>
      <c r="L573" s="1833"/>
      <c r="M573" s="1934"/>
      <c r="N573" s="1932">
        <f>N432</f>
        <v>2342.2535483870975</v>
      </c>
      <c r="O573" s="1833"/>
      <c r="P573" s="1934"/>
      <c r="Q573" s="1932" t="str">
        <f>Q432</f>
        <v>N/A</v>
      </c>
      <c r="R573" s="1833"/>
      <c r="S573" s="1935"/>
      <c r="T573" s="1936">
        <f>T479</f>
        <v>3244.2016129032259</v>
      </c>
      <c r="U573" s="1937">
        <f>U479</f>
        <v>2800</v>
      </c>
      <c r="V573" s="1937">
        <f>V479</f>
        <v>2116.2199999999998</v>
      </c>
      <c r="W573" s="1937">
        <f>W479</f>
        <v>2190.29</v>
      </c>
      <c r="X573" s="1937">
        <f>X479</f>
        <v>2266.9501499999997</v>
      </c>
      <c r="Y573" s="1938">
        <f t="shared" ref="Y573:AI573" si="492">X573*(1+Y572)</f>
        <v>2300.4780165063926</v>
      </c>
      <c r="Z573" s="1938">
        <f t="shared" si="492"/>
        <v>2334.5017553337848</v>
      </c>
      <c r="AA573" s="1938">
        <f t="shared" si="492"/>
        <v>2369.0287003624485</v>
      </c>
      <c r="AB573" s="1938">
        <f t="shared" si="492"/>
        <v>2404.0662939396893</v>
      </c>
      <c r="AC573" s="1938">
        <f t="shared" si="492"/>
        <v>2439.6220884840591</v>
      </c>
      <c r="AD573" s="1939">
        <f t="shared" si="492"/>
        <v>2475.7037481132929</v>
      </c>
      <c r="AE573" s="1939">
        <f t="shared" si="492"/>
        <v>2512.3190502963243</v>
      </c>
      <c r="AF573" s="1939">
        <f t="shared" si="492"/>
        <v>2549.4758875297334</v>
      </c>
      <c r="AG573" s="1939">
        <f t="shared" si="492"/>
        <v>2587.182269038989</v>
      </c>
      <c r="AH573" s="1939">
        <f t="shared" si="492"/>
        <v>2625.4463225048517</v>
      </c>
      <c r="AI573" s="1939">
        <f t="shared" si="492"/>
        <v>2664.2762958153112</v>
      </c>
      <c r="AJ573" s="853"/>
      <c r="AN573" s="625"/>
      <c r="AO573" s="625"/>
      <c r="AQ573" s="625"/>
    </row>
    <row r="574" spans="1:73" s="533" customFormat="1" ht="13.5" thickBot="1">
      <c r="A574" s="1940"/>
      <c r="B574" s="1941"/>
      <c r="C574" s="1942"/>
      <c r="D574" s="1941"/>
      <c r="E574" s="1942"/>
      <c r="F574" s="1941"/>
      <c r="G574" s="1941"/>
      <c r="H574" s="1942"/>
      <c r="I574" s="1943"/>
      <c r="J574" s="1943"/>
      <c r="K574" s="1942"/>
      <c r="L574" s="1941"/>
      <c r="M574" s="1944"/>
      <c r="N574" s="1942"/>
      <c r="O574" s="1941"/>
      <c r="P574" s="1944"/>
      <c r="Q574" s="1944"/>
      <c r="R574" s="1945"/>
      <c r="S574" s="1945"/>
      <c r="T574" s="1946" t="str">
        <f>T480</f>
        <v>FUENTES PARA INFORMACIÓN INICIAL DE PROYECCIÓN: BANCO DE LA REPÚBLICA, DIRECCIÓN EJECUTIVA DE ESTUDIOS ECONÓMICOS, CÁLCULOS DAVIVIENDA</v>
      </c>
      <c r="U574" s="1945"/>
      <c r="V574" s="1945"/>
      <c r="W574" s="1945"/>
      <c r="X574" s="1945"/>
      <c r="Y574" s="1945"/>
      <c r="Z574" s="1945"/>
      <c r="AA574" s="1945"/>
      <c r="AB574" s="1941"/>
      <c r="AC574" s="1941"/>
      <c r="AD574" s="1941"/>
      <c r="AE574" s="1941"/>
      <c r="AF574" s="1947"/>
      <c r="AG574" s="1941"/>
      <c r="AH574" s="1941"/>
      <c r="AI574" s="1941"/>
      <c r="AJ574" s="1948"/>
      <c r="AK574" s="625"/>
      <c r="AL574" s="625"/>
      <c r="AM574" s="625"/>
      <c r="AN574" s="625"/>
    </row>
    <row r="575" spans="1:73" s="533" customFormat="1" ht="14" thickTop="1" thickBot="1">
      <c r="A575" s="537"/>
      <c r="B575" s="531"/>
      <c r="C575" s="1596"/>
      <c r="D575" s="531"/>
      <c r="E575" s="1596"/>
      <c r="F575" s="531"/>
      <c r="G575" s="531"/>
      <c r="H575" s="1596"/>
      <c r="I575" s="530"/>
      <c r="J575" s="530"/>
      <c r="K575" s="1596"/>
      <c r="L575" s="531"/>
      <c r="M575" s="539"/>
      <c r="N575" s="1596"/>
      <c r="O575" s="531"/>
      <c r="P575" s="539"/>
      <c r="Q575" s="539"/>
      <c r="R575" s="1949"/>
      <c r="S575" s="1949"/>
      <c r="T575" s="1950"/>
      <c r="U575" s="1949"/>
      <c r="V575" s="1949"/>
      <c r="W575" s="1949"/>
      <c r="X575" s="1949"/>
      <c r="Y575" s="1949"/>
      <c r="Z575" s="1949"/>
      <c r="AA575" s="1949"/>
      <c r="AB575" s="531"/>
      <c r="AC575" s="531"/>
      <c r="AD575" s="531"/>
      <c r="AE575" s="531"/>
      <c r="AF575" s="531"/>
      <c r="AG575" s="531"/>
      <c r="AH575" s="531"/>
      <c r="AI575" s="531"/>
      <c r="AJ575" s="531"/>
      <c r="AK575" s="1951"/>
      <c r="AL575" s="625"/>
      <c r="AM575" s="625"/>
      <c r="AN575" s="625"/>
    </row>
    <row r="576" spans="1:73" s="536" customFormat="1" ht="24" thickTop="1" thickBot="1">
      <c r="B576" s="1952" t="s">
        <v>1378</v>
      </c>
      <c r="AF576" s="531"/>
      <c r="AG576" s="533"/>
      <c r="AH576" s="533"/>
      <c r="AI576" s="533"/>
      <c r="AJ576" s="533"/>
      <c r="AK576" s="1953"/>
      <c r="AL576" s="1954"/>
      <c r="AM576" s="1955" t="s">
        <v>1379</v>
      </c>
      <c r="AN576" s="1956"/>
      <c r="AO576" s="1057"/>
      <c r="AP576" s="1956"/>
      <c r="AQ576" s="1057"/>
      <c r="AR576" s="1057"/>
      <c r="AS576" s="1956"/>
      <c r="AT576" s="1957"/>
      <c r="AU576" s="1957"/>
      <c r="AV576" s="1956"/>
      <c r="AW576" s="1057"/>
      <c r="AX576" s="1958"/>
      <c r="AY576" s="1956"/>
      <c r="AZ576" s="1057"/>
      <c r="BA576" s="1958"/>
      <c r="BB576" s="1958"/>
      <c r="BC576" s="1959"/>
      <c r="BD576" s="1959"/>
      <c r="BE576" s="1960"/>
      <c r="BF576" s="1959"/>
      <c r="BG576" s="1959"/>
      <c r="BH576" s="1959"/>
      <c r="BI576" s="1959"/>
      <c r="BJ576" s="1959"/>
      <c r="BK576" s="1959"/>
      <c r="BL576" s="1959"/>
      <c r="BM576" s="1057"/>
      <c r="BN576" s="1057"/>
      <c r="BO576" s="1057"/>
      <c r="BP576" s="1057"/>
      <c r="BQ576" s="1961"/>
      <c r="BR576" s="1961"/>
      <c r="BS576" s="1961"/>
      <c r="BT576" s="1961"/>
      <c r="BU576" s="1962"/>
    </row>
    <row r="577" spans="2:99" s="536" customFormat="1" ht="14.5" thickBot="1">
      <c r="B577" s="1963" t="s">
        <v>1380</v>
      </c>
      <c r="C577" s="531"/>
      <c r="D577" s="531"/>
      <c r="E577" s="531"/>
      <c r="F577" s="531"/>
      <c r="G577" s="531"/>
      <c r="H577" s="531"/>
      <c r="I577" s="530"/>
      <c r="J577" s="530"/>
      <c r="K577" s="530"/>
      <c r="L577" s="531"/>
      <c r="M577" s="539"/>
      <c r="N577" s="530"/>
      <c r="O577" s="531"/>
      <c r="P577" s="539"/>
      <c r="Q577" s="530"/>
      <c r="R577" s="531"/>
      <c r="S577" s="539"/>
      <c r="T577" s="1537" t="s">
        <v>1044</v>
      </c>
      <c r="U577" s="1353" t="s">
        <v>1044</v>
      </c>
      <c r="V577" s="1353" t="s">
        <v>1044</v>
      </c>
      <c r="AF577" s="533"/>
      <c r="AG577" s="533"/>
      <c r="AH577" s="533"/>
      <c r="AI577" s="533"/>
      <c r="AJ577" s="533"/>
      <c r="AK577" s="1964"/>
      <c r="AL577" s="1965"/>
      <c r="AM577" s="1966"/>
      <c r="AN577" s="533"/>
      <c r="AO577" s="534"/>
      <c r="AP577" s="533"/>
      <c r="AQ577" s="533"/>
      <c r="AR577" s="533"/>
      <c r="AS577" s="533"/>
      <c r="AT577" s="1967"/>
      <c r="AU577" s="1967"/>
      <c r="AV577" s="1968"/>
      <c r="AW577" s="533"/>
      <c r="AX577" s="1969"/>
      <c r="AY577" s="1968"/>
      <c r="AZ577" s="533"/>
      <c r="BA577" s="1969"/>
      <c r="BB577" s="1608"/>
      <c r="BC577" s="1608"/>
      <c r="BD577" s="1608"/>
      <c r="BE577" s="1608"/>
      <c r="BF577" s="1608"/>
      <c r="BG577" s="1608"/>
      <c r="BH577" s="1608"/>
      <c r="BI577" s="1608"/>
      <c r="BJ577" s="1608"/>
      <c r="BK577" s="1608"/>
      <c r="BL577" s="1608"/>
      <c r="BM577" s="533"/>
      <c r="BN577" s="533"/>
      <c r="BO577" s="533"/>
      <c r="BP577" s="531"/>
      <c r="BQ577" s="535"/>
      <c r="BU577" s="1970"/>
    </row>
    <row r="578" spans="2:99" s="536" customFormat="1" ht="14">
      <c r="B578" s="1349" t="s">
        <v>1381</v>
      </c>
      <c r="C578" s="1538">
        <f>$C$422</f>
        <v>2016</v>
      </c>
      <c r="D578" s="1369"/>
      <c r="E578" s="1538">
        <f>$E$422</f>
        <v>2017</v>
      </c>
      <c r="F578" s="1369"/>
      <c r="G578" s="1369"/>
      <c r="H578" s="1538">
        <f>$H$422</f>
        <v>2018</v>
      </c>
      <c r="I578" s="1540"/>
      <c r="J578" s="1540"/>
      <c r="K578" s="1538">
        <f>K$422</f>
        <v>2019</v>
      </c>
      <c r="L578" s="1369"/>
      <c r="M578" s="1486"/>
      <c r="N578" s="1538">
        <f>$N$422</f>
        <v>2019</v>
      </c>
      <c r="O578" s="1369"/>
      <c r="P578" s="1486"/>
      <c r="Q578" s="1538" t="str">
        <f>$Q$422</f>
        <v>2020</v>
      </c>
      <c r="R578" s="1369"/>
      <c r="S578" s="1486"/>
      <c r="T578" s="1538">
        <f>$T$422</f>
        <v>2020</v>
      </c>
      <c r="U578" s="1538">
        <f>$U$422</f>
        <v>2021</v>
      </c>
      <c r="V578" s="1538">
        <f>$V$422</f>
        <v>2022</v>
      </c>
      <c r="X578" s="1971" t="s">
        <v>1382</v>
      </c>
      <c r="AK578" s="1964"/>
      <c r="AL578" s="1965"/>
      <c r="AM578" s="1966"/>
      <c r="AN578" s="533"/>
      <c r="AO578" s="533"/>
      <c r="AP578" s="533"/>
      <c r="AQ578" s="533"/>
      <c r="AR578" s="533"/>
      <c r="AS578" s="533"/>
      <c r="AT578" s="1967"/>
      <c r="AU578" s="1967"/>
      <c r="AV578" s="533"/>
      <c r="AW578" s="533"/>
      <c r="AX578" s="1969"/>
      <c r="AY578" s="533"/>
      <c r="AZ578" s="533"/>
      <c r="BA578" s="1969"/>
      <c r="BB578" s="533"/>
      <c r="BC578" s="533"/>
      <c r="BD578" s="1969"/>
      <c r="BE578" s="533"/>
      <c r="BF578" s="533"/>
      <c r="BG578" s="1967"/>
      <c r="BH578" s="1967"/>
      <c r="BI578" s="1967"/>
      <c r="BJ578" s="1967"/>
      <c r="BK578" s="1967"/>
      <c r="BL578" s="1967"/>
      <c r="BM578" s="1967"/>
      <c r="BN578" s="1967"/>
      <c r="BO578" s="1967"/>
      <c r="BP578" s="531"/>
      <c r="BQ578" s="535"/>
      <c r="BR578" s="535"/>
      <c r="BS578" s="535"/>
      <c r="BT578" s="535"/>
      <c r="BU578" s="1970"/>
      <c r="BV578" s="535"/>
      <c r="BW578" s="535"/>
      <c r="BX578" s="535"/>
      <c r="BY578" s="535"/>
      <c r="BZ578" s="535"/>
      <c r="CA578" s="535"/>
      <c r="CB578" s="535"/>
      <c r="CC578" s="535"/>
      <c r="CD578" s="535"/>
      <c r="CE578" s="535"/>
      <c r="CF578" s="535"/>
      <c r="CG578" s="535"/>
      <c r="CH578" s="535"/>
      <c r="CI578" s="535"/>
      <c r="CJ578" s="535"/>
      <c r="CK578" s="535"/>
      <c r="CL578" s="535"/>
      <c r="CM578" s="535"/>
      <c r="CN578" s="535"/>
      <c r="CO578" s="535"/>
      <c r="CP578" s="535"/>
      <c r="CQ578" s="535"/>
      <c r="CR578" s="535"/>
      <c r="CS578" s="535"/>
      <c r="CT578" s="535"/>
      <c r="CU578" s="535"/>
    </row>
    <row r="579" spans="2:99" s="536" customFormat="1">
      <c r="B579" s="1545" t="s">
        <v>870</v>
      </c>
      <c r="C579" s="1571">
        <v>5.7000000000000002E-2</v>
      </c>
      <c r="D579" s="531"/>
      <c r="E579" s="1572">
        <v>4.9000000000000002E-2</v>
      </c>
      <c r="F579" s="531"/>
      <c r="G579" s="531"/>
      <c r="H579" s="1572">
        <v>4.4999999999999998E-2</v>
      </c>
      <c r="I579" s="530"/>
      <c r="J579" s="530"/>
      <c r="K579" s="1572" t="s">
        <v>1260</v>
      </c>
      <c r="L579" s="531"/>
      <c r="M579" s="539"/>
      <c r="N579" s="1572">
        <v>5.1999999999999998E-2</v>
      </c>
      <c r="O579" s="531"/>
      <c r="P579" s="539"/>
      <c r="Q579" s="1572" t="s">
        <v>1260</v>
      </c>
      <c r="R579" s="531"/>
      <c r="S579" s="539"/>
      <c r="T579" s="1573">
        <v>5.0999999999999997E-2</v>
      </c>
      <c r="U579" s="1574">
        <v>0.05</v>
      </c>
      <c r="V579" s="1574">
        <v>0.05</v>
      </c>
      <c r="X579" s="536" t="s">
        <v>1380</v>
      </c>
      <c r="AK579" s="1964"/>
      <c r="AL579" s="1965"/>
      <c r="AM579" s="1966"/>
      <c r="AN579" s="533"/>
      <c r="AO579" s="533"/>
      <c r="AP579" s="533"/>
      <c r="AQ579" s="533"/>
      <c r="AR579" s="533"/>
      <c r="AS579" s="533"/>
      <c r="AT579" s="1967"/>
      <c r="AU579" s="1967"/>
      <c r="AV579" s="533"/>
      <c r="AW579" s="533"/>
      <c r="AX579" s="1969"/>
      <c r="AY579" s="533"/>
      <c r="AZ579" s="533"/>
      <c r="BA579" s="1969"/>
      <c r="BB579" s="533"/>
      <c r="BC579" s="533"/>
      <c r="BD579" s="1969"/>
      <c r="BE579" s="533"/>
      <c r="BF579" s="533"/>
      <c r="BG579" s="1967"/>
      <c r="BH579" s="1967"/>
      <c r="BI579" s="1967"/>
      <c r="BJ579" s="1967"/>
      <c r="BK579" s="1967"/>
      <c r="BL579" s="1967"/>
      <c r="BM579" s="1967"/>
      <c r="BN579" s="1967"/>
      <c r="BO579" s="1967"/>
      <c r="BP579" s="1972"/>
      <c r="BQ579" s="535"/>
      <c r="BR579" s="535"/>
      <c r="BS579" s="535"/>
      <c r="BT579" s="535"/>
      <c r="BU579" s="1970"/>
      <c r="BV579" s="535"/>
      <c r="BW579" s="535"/>
      <c r="BX579" s="535"/>
      <c r="BY579" s="535"/>
      <c r="BZ579" s="535"/>
      <c r="CA579" s="535"/>
      <c r="CB579" s="535"/>
      <c r="CC579" s="535"/>
      <c r="CD579" s="535"/>
      <c r="CE579" s="535"/>
      <c r="CF579" s="535"/>
      <c r="CG579" s="535"/>
      <c r="CH579" s="535"/>
      <c r="CI579" s="535"/>
      <c r="CJ579" s="535"/>
      <c r="CK579" s="535"/>
      <c r="CL579" s="535"/>
      <c r="CM579" s="535"/>
      <c r="CN579" s="535"/>
      <c r="CO579" s="535"/>
      <c r="CP579" s="535"/>
      <c r="CQ579" s="535"/>
      <c r="CR579" s="535"/>
      <c r="CS579" s="535"/>
      <c r="CT579" s="535"/>
      <c r="CU579" s="535"/>
    </row>
    <row r="580" spans="2:99" s="536" customFormat="1">
      <c r="B580" s="1551" t="s">
        <v>872</v>
      </c>
      <c r="C580" s="1576">
        <v>-8.2785326797955527E-2</v>
      </c>
      <c r="D580" s="531"/>
      <c r="E580" s="1577">
        <v>-3.8358404807637476E-2</v>
      </c>
      <c r="F580" s="531"/>
      <c r="G580" s="531"/>
      <c r="H580" s="1577">
        <v>-5.4582130285172796E-3</v>
      </c>
      <c r="I580" s="530"/>
      <c r="J580" s="530"/>
      <c r="K580" s="1577" t="s">
        <v>1260</v>
      </c>
      <c r="L580" s="531"/>
      <c r="M580" s="539"/>
      <c r="N580" s="1577">
        <v>-6.2239013720421467E-3</v>
      </c>
      <c r="O580" s="531"/>
      <c r="P580" s="539"/>
      <c r="Q580" s="1577" t="s">
        <v>1260</v>
      </c>
      <c r="R580" s="531"/>
      <c r="S580" s="539"/>
      <c r="T580" s="1578">
        <v>6.7030834183724519E-2</v>
      </c>
      <c r="U580" s="1579">
        <v>-4.2942599433682073E-3</v>
      </c>
      <c r="V580" s="1579">
        <v>2.2938717089155805E-2</v>
      </c>
      <c r="X580" s="536" t="s">
        <v>1383</v>
      </c>
      <c r="AK580" s="1964"/>
      <c r="AL580" s="1965"/>
      <c r="AM580" s="1966"/>
      <c r="AN580" s="533"/>
      <c r="AO580" s="533"/>
      <c r="AP580" s="533"/>
      <c r="AQ580" s="533"/>
      <c r="AR580" s="533"/>
      <c r="AS580" s="533"/>
      <c r="AT580" s="1967"/>
      <c r="AU580" s="1967"/>
      <c r="AV580" s="533"/>
      <c r="AW580" s="533"/>
      <c r="AX580" s="1969"/>
      <c r="AY580" s="533"/>
      <c r="AZ580" s="533"/>
      <c r="BA580" s="1969"/>
      <c r="BB580" s="533"/>
      <c r="BC580" s="533"/>
      <c r="BD580" s="1969"/>
      <c r="BE580" s="533"/>
      <c r="BF580" s="533"/>
      <c r="BG580" s="1967"/>
      <c r="BH580" s="1967"/>
      <c r="BI580" s="1967"/>
      <c r="BJ580" s="1967"/>
      <c r="BK580" s="1967"/>
      <c r="BL580" s="1967"/>
      <c r="BM580" s="1967"/>
      <c r="BN580" s="1967"/>
      <c r="BO580" s="1967"/>
      <c r="BP580" s="1973"/>
      <c r="BQ580" s="535"/>
      <c r="BR580" s="535"/>
      <c r="BS580" s="535"/>
      <c r="BT580" s="535"/>
      <c r="BU580" s="1970"/>
      <c r="BV580" s="535"/>
      <c r="BW580" s="535"/>
      <c r="BX580" s="535"/>
      <c r="BY580" s="535"/>
      <c r="BZ580" s="535"/>
      <c r="CA580" s="535"/>
      <c r="CB580" s="535"/>
      <c r="CC580" s="535"/>
      <c r="CD580" s="535"/>
      <c r="CE580" s="535"/>
      <c r="CF580" s="535"/>
      <c r="CG580" s="535"/>
      <c r="CH580" s="535"/>
      <c r="CI580" s="535"/>
      <c r="CJ580" s="535"/>
      <c r="CK580" s="535"/>
      <c r="CL580" s="535"/>
      <c r="CM580" s="535"/>
      <c r="CN580" s="535"/>
      <c r="CO580" s="535"/>
      <c r="CP580" s="535"/>
      <c r="CQ580" s="535"/>
      <c r="CR580" s="535"/>
      <c r="CS580" s="535"/>
      <c r="CT580" s="535"/>
      <c r="CU580" s="535"/>
    </row>
    <row r="581" spans="2:99" s="1974" customFormat="1" ht="14">
      <c r="B581" s="1551" t="s">
        <v>874</v>
      </c>
      <c r="C581" s="1576">
        <v>0.05</v>
      </c>
      <c r="D581" s="531"/>
      <c r="E581" s="1577">
        <v>4.4999999999999998E-2</v>
      </c>
      <c r="F581" s="531"/>
      <c r="G581" s="531"/>
      <c r="H581" s="1577">
        <v>5.0999999999999997E-2</v>
      </c>
      <c r="I581" s="530"/>
      <c r="J581" s="530"/>
      <c r="K581" s="1577" t="s">
        <v>1260</v>
      </c>
      <c r="L581" s="531"/>
      <c r="M581" s="539"/>
      <c r="N581" s="1577">
        <v>3.5000000000000003E-2</v>
      </c>
      <c r="O581" s="531"/>
      <c r="P581" s="539"/>
      <c r="Q581" s="1577" t="s">
        <v>1260</v>
      </c>
      <c r="R581" s="531"/>
      <c r="S581" s="539"/>
      <c r="T581" s="1578">
        <v>3.6999999999999998E-2</v>
      </c>
      <c r="U581" s="1579">
        <v>4.1000000000000002E-2</v>
      </c>
      <c r="V581" s="1579">
        <v>4.2000000000000003E-2</v>
      </c>
      <c r="X581" s="536" t="s">
        <v>1384</v>
      </c>
      <c r="AK581" s="1975"/>
      <c r="AL581" s="1976"/>
      <c r="AM581" s="1977" t="str">
        <f>B13</f>
        <v>ANEXO - ESTADOS FINANCIEROS0</v>
      </c>
      <c r="AN581" s="1978"/>
      <c r="AO581" s="1978"/>
      <c r="AQ581" s="1978"/>
      <c r="AR581" s="1978"/>
      <c r="AS581" s="1979">
        <f ca="1">NOW()</f>
        <v>45203.393931018516</v>
      </c>
      <c r="AT581" s="1978"/>
      <c r="AU581" s="1978"/>
      <c r="AV581" s="1978"/>
      <c r="AW581" s="1978"/>
      <c r="AX581" s="1978"/>
      <c r="AY581" s="1980" t="str">
        <f>C13</f>
        <v xml:space="preserve">Miles de </v>
      </c>
      <c r="AZ581" s="1978"/>
      <c r="BA581" s="1978"/>
      <c r="BB581" s="1978"/>
      <c r="BC581" s="1978"/>
      <c r="BD581" s="1978"/>
      <c r="BE581" s="1981" t="str">
        <f>IF($W$241="SI","ESCENARIO "&amp;$V$242,0)</f>
        <v>ESCENARIO BASE</v>
      </c>
      <c r="BF581" s="1978"/>
      <c r="BG581" s="1982"/>
      <c r="BH581" s="1982"/>
      <c r="BI581" s="1982"/>
      <c r="BJ581" s="1982"/>
      <c r="BK581" s="1982"/>
      <c r="BL581" s="1982"/>
      <c r="BM581" s="1982"/>
      <c r="BN581" s="1982"/>
      <c r="BO581" s="1982"/>
      <c r="BP581" s="1983"/>
      <c r="BQ581" s="1984"/>
      <c r="BU581" s="1985"/>
    </row>
    <row r="582" spans="2:99" s="1974" customFormat="1" ht="14.5" thickBot="1">
      <c r="B582" s="1582" t="s">
        <v>1344</v>
      </c>
      <c r="C582" s="1583">
        <v>525.83000000000004</v>
      </c>
      <c r="D582" s="1584"/>
      <c r="E582" s="1585">
        <v>505.66</v>
      </c>
      <c r="F582" s="1584"/>
      <c r="G582" s="1584"/>
      <c r="H582" s="1585">
        <v>502.9</v>
      </c>
      <c r="I582" s="1586"/>
      <c r="J582" s="1586"/>
      <c r="K582" s="1587" t="s">
        <v>1260</v>
      </c>
      <c r="L582" s="1584"/>
      <c r="M582" s="1588"/>
      <c r="N582" s="1587">
        <v>499.77</v>
      </c>
      <c r="O582" s="1584"/>
      <c r="P582" s="1588"/>
      <c r="Q582" s="1587" t="s">
        <v>1260</v>
      </c>
      <c r="R582" s="1584"/>
      <c r="S582" s="1588"/>
      <c r="T582" s="1589">
        <v>533.27</v>
      </c>
      <c r="U582" s="1590">
        <v>530.98</v>
      </c>
      <c r="V582" s="1590">
        <v>543.16</v>
      </c>
      <c r="X582" s="536" t="s">
        <v>1385</v>
      </c>
      <c r="AK582" s="1975"/>
      <c r="AL582" s="1976"/>
      <c r="AM582" s="1986" t="str">
        <f>B14</f>
        <v/>
      </c>
      <c r="AN582" s="1978"/>
      <c r="AO582" s="1978"/>
      <c r="AP582" s="1987"/>
      <c r="AQ582" s="1987"/>
      <c r="AR582" s="1987"/>
      <c r="AS582" s="1987"/>
      <c r="AT582" s="1987"/>
      <c r="AU582" s="1987"/>
      <c r="AV582" s="1987"/>
      <c r="AW582" s="1987"/>
      <c r="AX582" s="1987"/>
      <c r="AY582" s="1987"/>
      <c r="AZ582" s="1987"/>
      <c r="BA582" s="1987"/>
      <c r="BB582" s="1987"/>
      <c r="BC582" s="1987"/>
      <c r="BD582" s="1987"/>
      <c r="BE582" s="1988" t="s">
        <v>1044</v>
      </c>
      <c r="BF582" s="1988" t="s">
        <v>1044</v>
      </c>
      <c r="BG582" s="1988" t="s">
        <v>1044</v>
      </c>
      <c r="BH582" s="1988" t="s">
        <v>1044</v>
      </c>
      <c r="BI582" s="1988" t="s">
        <v>1044</v>
      </c>
      <c r="BJ582" s="1988" t="s">
        <v>1044</v>
      </c>
      <c r="BK582" s="1988" t="s">
        <v>1044</v>
      </c>
      <c r="BL582" s="1988" t="s">
        <v>1044</v>
      </c>
      <c r="BM582" s="1988" t="s">
        <v>1044</v>
      </c>
      <c r="BN582" s="1988" t="s">
        <v>1044</v>
      </c>
      <c r="BO582" s="1988" t="s">
        <v>1044</v>
      </c>
      <c r="BP582" s="1988" t="s">
        <v>1044</v>
      </c>
      <c r="BQ582" s="1988" t="s">
        <v>1044</v>
      </c>
      <c r="BR582" s="1988" t="s">
        <v>1044</v>
      </c>
      <c r="BS582" s="1988" t="s">
        <v>1044</v>
      </c>
      <c r="BT582" s="1988" t="s">
        <v>1044</v>
      </c>
      <c r="BU582" s="1985"/>
    </row>
    <row r="583" spans="2:99" s="536" customFormat="1" ht="15.5">
      <c r="X583" s="536" t="s">
        <v>1386</v>
      </c>
      <c r="AK583" s="1964"/>
      <c r="AL583" s="1965"/>
      <c r="AM583" s="1989" t="s">
        <v>536</v>
      </c>
      <c r="AN583" s="1990">
        <f>C15</f>
        <v>2016</v>
      </c>
      <c r="AO583" s="4073" t="s">
        <v>1258</v>
      </c>
      <c r="AP583" s="1991">
        <f>E15</f>
        <v>2017</v>
      </c>
      <c r="AQ583" s="1992" t="s">
        <v>1258</v>
      </c>
      <c r="AR583" s="1993" t="s">
        <v>1259</v>
      </c>
      <c r="AS583" s="1991">
        <f>H15</f>
        <v>2018</v>
      </c>
      <c r="AT583" s="1992" t="s">
        <v>1258</v>
      </c>
      <c r="AU583" s="1993" t="s">
        <v>1259</v>
      </c>
      <c r="AV583" s="1991">
        <f>K15</f>
        <v>2019</v>
      </c>
      <c r="AW583" s="1992" t="s">
        <v>1258</v>
      </c>
      <c r="AX583" s="1994" t="s">
        <v>1259</v>
      </c>
      <c r="AY583" s="1991">
        <f>N15</f>
        <v>2019</v>
      </c>
      <c r="AZ583" s="1992" t="s">
        <v>1258</v>
      </c>
      <c r="BA583" s="1994" t="s">
        <v>1259</v>
      </c>
      <c r="BB583" s="1991" t="str">
        <f>Q15</f>
        <v>2020</v>
      </c>
      <c r="BC583" s="1992" t="s">
        <v>1258</v>
      </c>
      <c r="BD583" s="1994" t="s">
        <v>1259</v>
      </c>
      <c r="BE583" s="1991">
        <f t="shared" ref="BE583:BT583" si="493">T15</f>
        <v>2020</v>
      </c>
      <c r="BF583" s="1991">
        <f t="shared" si="493"/>
        <v>2021</v>
      </c>
      <c r="BG583" s="1991">
        <f t="shared" si="493"/>
        <v>2022</v>
      </c>
      <c r="BH583" s="1991">
        <f t="shared" si="493"/>
        <v>2023</v>
      </c>
      <c r="BI583" s="1991">
        <f t="shared" si="493"/>
        <v>2024</v>
      </c>
      <c r="BJ583" s="1991">
        <f t="shared" si="493"/>
        <v>2025</v>
      </c>
      <c r="BK583" s="1991">
        <f t="shared" si="493"/>
        <v>2026</v>
      </c>
      <c r="BL583" s="1991">
        <f t="shared" si="493"/>
        <v>2027</v>
      </c>
      <c r="BM583" s="1991">
        <f t="shared" si="493"/>
        <v>2028</v>
      </c>
      <c r="BN583" s="1991">
        <f t="shared" si="493"/>
        <v>2029</v>
      </c>
      <c r="BO583" s="1991">
        <f t="shared" si="493"/>
        <v>2030</v>
      </c>
      <c r="BP583" s="1991">
        <f t="shared" si="493"/>
        <v>2031</v>
      </c>
      <c r="BQ583" s="1991">
        <f t="shared" si="493"/>
        <v>2032</v>
      </c>
      <c r="BR583" s="1991">
        <f t="shared" si="493"/>
        <v>2033</v>
      </c>
      <c r="BS583" s="1991">
        <f t="shared" si="493"/>
        <v>2034</v>
      </c>
      <c r="BT583" s="1991">
        <f t="shared" si="493"/>
        <v>2035</v>
      </c>
      <c r="BU583" s="1970"/>
    </row>
    <row r="584" spans="2:99" s="536" customFormat="1" ht="16" thickBot="1">
      <c r="AK584" s="1964"/>
      <c r="AL584" s="1965"/>
      <c r="AM584" s="1995" t="s">
        <v>871</v>
      </c>
      <c r="AN584" s="1996">
        <f>C17</f>
        <v>360</v>
      </c>
      <c r="AO584" s="4074"/>
      <c r="AP584" s="1997">
        <f>E17</f>
        <v>360</v>
      </c>
      <c r="AQ584" s="1998"/>
      <c r="AR584" s="1999"/>
      <c r="AS584" s="1997">
        <f>H17</f>
        <v>360</v>
      </c>
      <c r="AT584" s="1998"/>
      <c r="AU584" s="1999"/>
      <c r="AV584" s="2000">
        <f>K17</f>
        <v>180</v>
      </c>
      <c r="AW584" s="1998"/>
      <c r="AX584" s="2001"/>
      <c r="AY584" s="1997">
        <f>N17</f>
        <v>360</v>
      </c>
      <c r="AZ584" s="1998"/>
      <c r="BA584" s="2001"/>
      <c r="BB584" s="2000">
        <f>Q17</f>
        <v>360</v>
      </c>
      <c r="BC584" s="1998"/>
      <c r="BD584" s="2001"/>
      <c r="BE584" s="1997">
        <f t="shared" ref="BE584:BT584" si="494">T17</f>
        <v>360</v>
      </c>
      <c r="BF584" s="1997">
        <f t="shared" si="494"/>
        <v>360</v>
      </c>
      <c r="BG584" s="1997">
        <f t="shared" si="494"/>
        <v>360</v>
      </c>
      <c r="BH584" s="1997">
        <f t="shared" si="494"/>
        <v>360</v>
      </c>
      <c r="BI584" s="1997">
        <f t="shared" si="494"/>
        <v>360</v>
      </c>
      <c r="BJ584" s="1997">
        <f t="shared" si="494"/>
        <v>360</v>
      </c>
      <c r="BK584" s="1997">
        <f t="shared" si="494"/>
        <v>360</v>
      </c>
      <c r="BL584" s="1997">
        <f t="shared" si="494"/>
        <v>360</v>
      </c>
      <c r="BM584" s="1997">
        <f t="shared" si="494"/>
        <v>360</v>
      </c>
      <c r="BN584" s="1997">
        <f t="shared" si="494"/>
        <v>360</v>
      </c>
      <c r="BO584" s="1997">
        <f t="shared" si="494"/>
        <v>360</v>
      </c>
      <c r="BP584" s="1997">
        <f t="shared" si="494"/>
        <v>360</v>
      </c>
      <c r="BQ584" s="1997">
        <f t="shared" si="494"/>
        <v>360</v>
      </c>
      <c r="BR584" s="1997">
        <f t="shared" si="494"/>
        <v>360</v>
      </c>
      <c r="BS584" s="1997">
        <f t="shared" si="494"/>
        <v>360</v>
      </c>
      <c r="BT584" s="1997">
        <f t="shared" si="494"/>
        <v>360</v>
      </c>
      <c r="BU584" s="1970"/>
    </row>
    <row r="585" spans="2:99" s="535" customFormat="1" ht="16" thickBot="1">
      <c r="B585" s="1963" t="s">
        <v>1383</v>
      </c>
      <c r="C585" s="531"/>
      <c r="D585" s="531"/>
      <c r="E585" s="531"/>
      <c r="F585" s="531"/>
      <c r="G585" s="531"/>
      <c r="H585" s="531"/>
      <c r="I585" s="530"/>
      <c r="J585" s="530"/>
      <c r="K585" s="530"/>
      <c r="L585" s="531"/>
      <c r="M585" s="539"/>
      <c r="N585" s="530"/>
      <c r="O585" s="531"/>
      <c r="P585" s="539"/>
      <c r="Q585" s="530"/>
      <c r="R585" s="531"/>
      <c r="S585" s="539"/>
      <c r="T585" s="1537" t="s">
        <v>1044</v>
      </c>
      <c r="U585" s="1353" t="s">
        <v>1044</v>
      </c>
      <c r="V585" s="1353" t="s">
        <v>1044</v>
      </c>
      <c r="AK585" s="1964"/>
      <c r="AL585" s="547"/>
      <c r="AM585" s="2002" t="s">
        <v>541</v>
      </c>
      <c r="AN585" s="2003"/>
      <c r="AO585" s="2004"/>
      <c r="AP585" s="2003"/>
      <c r="AQ585" s="2004"/>
      <c r="AR585" s="2004"/>
      <c r="AS585" s="2003"/>
      <c r="AT585" s="2004"/>
      <c r="AU585" s="2004"/>
      <c r="AV585" s="2003"/>
      <c r="AW585" s="2004"/>
      <c r="AX585" s="2005"/>
      <c r="AY585" s="2003"/>
      <c r="AZ585" s="2004"/>
      <c r="BA585" s="2005"/>
      <c r="BB585" s="2003"/>
      <c r="BC585" s="2004"/>
      <c r="BD585" s="2005"/>
      <c r="BE585" s="1566"/>
      <c r="BF585" s="1566"/>
      <c r="BG585" s="1566"/>
      <c r="BH585" s="1566"/>
      <c r="BI585" s="1566"/>
      <c r="BJ585" s="1566"/>
      <c r="BK585" s="1566"/>
      <c r="BL585" s="1566"/>
      <c r="BM585" s="1566"/>
      <c r="BN585" s="1566"/>
      <c r="BO585" s="1566"/>
      <c r="BP585" s="2006"/>
      <c r="BQ585" s="2007"/>
      <c r="BU585" s="1970"/>
    </row>
    <row r="586" spans="2:99" s="536" customFormat="1">
      <c r="B586" s="1349" t="s">
        <v>1381</v>
      </c>
      <c r="C586" s="1538">
        <f>$C$422</f>
        <v>2016</v>
      </c>
      <c r="D586" s="1369"/>
      <c r="E586" s="1538">
        <f>$E$422</f>
        <v>2017</v>
      </c>
      <c r="F586" s="1369"/>
      <c r="G586" s="1369"/>
      <c r="H586" s="1538">
        <f>$H$422</f>
        <v>2018</v>
      </c>
      <c r="I586" s="1540"/>
      <c r="J586" s="1540"/>
      <c r="K586" s="1538">
        <f>K$422</f>
        <v>2019</v>
      </c>
      <c r="L586" s="1369"/>
      <c r="M586" s="1486"/>
      <c r="N586" s="1538">
        <f>$N$422</f>
        <v>2019</v>
      </c>
      <c r="O586" s="1369"/>
      <c r="P586" s="1486"/>
      <c r="Q586" s="1538" t="str">
        <f>$Q$422</f>
        <v>2020</v>
      </c>
      <c r="R586" s="1369"/>
      <c r="S586" s="1486"/>
      <c r="T586" s="1538">
        <f>$T$422</f>
        <v>2020</v>
      </c>
      <c r="U586" s="1538">
        <f>$U$422</f>
        <v>2021</v>
      </c>
      <c r="V586" s="1538">
        <f>$V$422</f>
        <v>2022</v>
      </c>
      <c r="AK586" s="1964"/>
      <c r="AL586" s="2008">
        <f t="shared" ref="AL586:AM588" si="495">A18</f>
        <v>1</v>
      </c>
      <c r="AM586" s="2009" t="str">
        <f t="shared" si="495"/>
        <v>CAJA E INVERSIONES TEMPORALES</v>
      </c>
      <c r="AN586" s="2010"/>
      <c r="AO586" s="2011">
        <f t="shared" ref="AO586:AO616" si="496">IF(OR(AN586=0,AN$616=0),0,AN586/AN$616)</f>
        <v>0</v>
      </c>
      <c r="AP586" s="2012">
        <f>E18</f>
        <v>0</v>
      </c>
      <c r="AQ586" s="2013">
        <f t="shared" ref="AQ586:AQ616" si="497">IF(OR(AP586=0,AP$616=0),0,AP586/AP$616)</f>
        <v>0</v>
      </c>
      <c r="AR586" s="2014">
        <f t="shared" ref="AR586:AR617" si="498">IF(OR(AN586=0,AP586=0),0,IF(ABS((AP586/AN586)-1)&gt;1000000%,0,(AP586/AN586)-1))</f>
        <v>0</v>
      </c>
      <c r="AS586" s="2012">
        <f>H18</f>
        <v>0</v>
      </c>
      <c r="AT586" s="2013">
        <f t="shared" ref="AT586:AT616" si="499">IF(OR(AS586=0,AS$616=0),0,AS586/AS$616)</f>
        <v>0</v>
      </c>
      <c r="AU586" s="2014">
        <f t="shared" ref="AU586:AU617" si="500">IF(OR(AP586=0,AS586=0),0,IF(ABS((AS586/AP586)-1)&gt;1000000%,0,(AS586/AP586)-1))</f>
        <v>0</v>
      </c>
      <c r="AV586" s="2012">
        <f>K18</f>
        <v>0</v>
      </c>
      <c r="AW586" s="2013">
        <f t="shared" ref="AW586:AW616" si="501">IF(OR(AV586=0,AV$616=0),0,AV586/AV$616)</f>
        <v>0</v>
      </c>
      <c r="AX586" s="2015">
        <f t="shared" ref="AX586:AX617" si="502">IF(OR(AS586=0,AV586=0),0,IF(ABS((AV586/AS586)-1)&gt;1000000%,0,(AV586/AS586)-1))</f>
        <v>0</v>
      </c>
      <c r="AY586" s="2012">
        <f>N18</f>
        <v>0</v>
      </c>
      <c r="AZ586" s="2013">
        <f t="shared" ref="AZ586:AZ616" si="503">IF(OR(AY586=0,AY$616=0),0,AY586/AY$616)</f>
        <v>0</v>
      </c>
      <c r="BA586" s="2015">
        <f t="shared" ref="BA586:BA617" si="504">IF(OR(AS586=0,AY586=0),0,IF(ABS((AY586/AS586)-1)&gt;1000000%,0,(AY586/AS586)-1))</f>
        <v>0</v>
      </c>
      <c r="BB586" s="2012">
        <f>Q18</f>
        <v>0</v>
      </c>
      <c r="BC586" s="2013">
        <f t="shared" ref="BC586:BC616" si="505">IF(OR(BB586=0,BB$616=0),0,BB586/BB$616)</f>
        <v>0</v>
      </c>
      <c r="BD586" s="2015">
        <f t="shared" ref="BD586:BD617" si="506">IF(OR(AY586=0,BB586=0),0,IF(ABS((BB586/AY586)-1)&gt;1000000%,0,(BB586/AY586)-1))</f>
        <v>0</v>
      </c>
      <c r="BE586" s="2016">
        <f t="shared" ref="BE586:BT588" si="507">T18</f>
        <v>0</v>
      </c>
      <c r="BF586" s="2016">
        <f t="shared" si="507"/>
        <v>0</v>
      </c>
      <c r="BG586" s="2016">
        <f t="shared" si="507"/>
        <v>0</v>
      </c>
      <c r="BH586" s="2016">
        <f t="shared" si="507"/>
        <v>0</v>
      </c>
      <c r="BI586" s="2016">
        <f t="shared" si="507"/>
        <v>0</v>
      </c>
      <c r="BJ586" s="2016">
        <f t="shared" si="507"/>
        <v>0</v>
      </c>
      <c r="BK586" s="2016">
        <f t="shared" si="507"/>
        <v>0</v>
      </c>
      <c r="BL586" s="2016">
        <f t="shared" si="507"/>
        <v>0</v>
      </c>
      <c r="BM586" s="2016">
        <f t="shared" si="507"/>
        <v>0</v>
      </c>
      <c r="BN586" s="2016">
        <f t="shared" si="507"/>
        <v>0</v>
      </c>
      <c r="BO586" s="2016">
        <f t="shared" si="507"/>
        <v>0</v>
      </c>
      <c r="BP586" s="2016">
        <f t="shared" si="507"/>
        <v>0</v>
      </c>
      <c r="BQ586" s="2016">
        <f t="shared" si="507"/>
        <v>0</v>
      </c>
      <c r="BR586" s="2016">
        <f t="shared" si="507"/>
        <v>0</v>
      </c>
      <c r="BS586" s="2016">
        <f t="shared" si="507"/>
        <v>0</v>
      </c>
      <c r="BT586" s="2016">
        <f t="shared" si="507"/>
        <v>0</v>
      </c>
      <c r="BU586" s="1970"/>
    </row>
    <row r="587" spans="2:99" s="536" customFormat="1">
      <c r="B587" s="1545" t="s">
        <v>870</v>
      </c>
      <c r="C587" s="1571">
        <v>8.9999999999999993E-3</v>
      </c>
      <c r="D587" s="531"/>
      <c r="E587" s="1572">
        <v>5.0999999999999997E-2</v>
      </c>
      <c r="F587" s="531"/>
      <c r="G587" s="531"/>
      <c r="H587" s="1572">
        <v>1.7000000000000001E-2</v>
      </c>
      <c r="I587" s="530"/>
      <c r="J587" s="530"/>
      <c r="K587" s="1572" t="s">
        <v>1260</v>
      </c>
      <c r="L587" s="531"/>
      <c r="M587" s="539"/>
      <c r="N587" s="1572">
        <v>8.0000000000000002E-3</v>
      </c>
      <c r="O587" s="531"/>
      <c r="P587" s="539"/>
      <c r="Q587" s="1572" t="s">
        <v>1260</v>
      </c>
      <c r="R587" s="531"/>
      <c r="S587" s="539"/>
      <c r="T587" s="1573">
        <v>5.0000000000000001E-3</v>
      </c>
      <c r="U587" s="1574">
        <v>6.0000000000000001E-3</v>
      </c>
      <c r="V587" s="1574">
        <v>6.0000000000000001E-3</v>
      </c>
      <c r="AK587" s="1964"/>
      <c r="AL587" s="2017" t="str">
        <f t="shared" si="495"/>
        <v>2.1</v>
      </c>
      <c r="AM587" s="2018" t="str">
        <f t="shared" si="495"/>
        <v>DEUDORES COMERCIALES</v>
      </c>
      <c r="AN587" s="2019">
        <f>C19</f>
        <v>0</v>
      </c>
      <c r="AO587" s="2020">
        <f t="shared" si="496"/>
        <v>0</v>
      </c>
      <c r="AP587" s="2021">
        <f>E19</f>
        <v>0</v>
      </c>
      <c r="AQ587" s="2022">
        <f t="shared" si="497"/>
        <v>0</v>
      </c>
      <c r="AR587" s="2023">
        <f t="shared" si="498"/>
        <v>0</v>
      </c>
      <c r="AS587" s="2021">
        <f>H19</f>
        <v>0</v>
      </c>
      <c r="AT587" s="2022">
        <f t="shared" si="499"/>
        <v>0</v>
      </c>
      <c r="AU587" s="2023">
        <f t="shared" si="500"/>
        <v>0</v>
      </c>
      <c r="AV587" s="2021">
        <f>K19</f>
        <v>0</v>
      </c>
      <c r="AW587" s="2022">
        <f t="shared" si="501"/>
        <v>0</v>
      </c>
      <c r="AX587" s="2024">
        <f t="shared" si="502"/>
        <v>0</v>
      </c>
      <c r="AY587" s="2021">
        <f>N19</f>
        <v>0</v>
      </c>
      <c r="AZ587" s="2022">
        <f t="shared" si="503"/>
        <v>0</v>
      </c>
      <c r="BA587" s="2024">
        <f t="shared" si="504"/>
        <v>0</v>
      </c>
      <c r="BB587" s="2021">
        <f>Q19</f>
        <v>0</v>
      </c>
      <c r="BC587" s="2022">
        <f t="shared" si="505"/>
        <v>0</v>
      </c>
      <c r="BD587" s="2024">
        <f t="shared" si="506"/>
        <v>0</v>
      </c>
      <c r="BE587" s="2025">
        <f t="shared" si="507"/>
        <v>0</v>
      </c>
      <c r="BF587" s="2025">
        <f t="shared" si="507"/>
        <v>0</v>
      </c>
      <c r="BG587" s="2025">
        <f t="shared" si="507"/>
        <v>0</v>
      </c>
      <c r="BH587" s="2025">
        <f t="shared" si="507"/>
        <v>0</v>
      </c>
      <c r="BI587" s="2025">
        <f t="shared" si="507"/>
        <v>0</v>
      </c>
      <c r="BJ587" s="2025">
        <f t="shared" si="507"/>
        <v>0</v>
      </c>
      <c r="BK587" s="2025">
        <f t="shared" si="507"/>
        <v>0</v>
      </c>
      <c r="BL587" s="2025">
        <f t="shared" si="507"/>
        <v>0</v>
      </c>
      <c r="BM587" s="2025">
        <f t="shared" si="507"/>
        <v>0</v>
      </c>
      <c r="BN587" s="2025">
        <f t="shared" si="507"/>
        <v>0</v>
      </c>
      <c r="BO587" s="2025">
        <f t="shared" si="507"/>
        <v>0</v>
      </c>
      <c r="BP587" s="2025">
        <f t="shared" si="507"/>
        <v>0</v>
      </c>
      <c r="BQ587" s="2025">
        <f t="shared" si="507"/>
        <v>0</v>
      </c>
      <c r="BR587" s="2025">
        <f t="shared" si="507"/>
        <v>0</v>
      </c>
      <c r="BS587" s="2025">
        <f t="shared" si="507"/>
        <v>0</v>
      </c>
      <c r="BT587" s="2025">
        <f t="shared" si="507"/>
        <v>0</v>
      </c>
      <c r="BU587" s="1970"/>
    </row>
    <row r="588" spans="2:99" s="536" customFormat="1">
      <c r="B588" s="1551" t="s">
        <v>872</v>
      </c>
      <c r="C588" s="1576" t="s">
        <v>1260</v>
      </c>
      <c r="D588" s="531"/>
      <c r="E588" s="1576" t="s">
        <v>1260</v>
      </c>
      <c r="F588" s="531"/>
      <c r="G588" s="531"/>
      <c r="H588" s="1576" t="s">
        <v>1260</v>
      </c>
      <c r="I588" s="530"/>
      <c r="J588" s="530"/>
      <c r="K588" s="1577" t="s">
        <v>1260</v>
      </c>
      <c r="L588" s="531"/>
      <c r="M588" s="539"/>
      <c r="N588" s="1576" t="s">
        <v>1260</v>
      </c>
      <c r="O588" s="531"/>
      <c r="P588" s="539"/>
      <c r="Q588" s="1577" t="s">
        <v>1260</v>
      </c>
      <c r="R588" s="531"/>
      <c r="S588" s="539"/>
      <c r="T588" s="1576" t="s">
        <v>1260</v>
      </c>
      <c r="U588" s="1576" t="s">
        <v>1260</v>
      </c>
      <c r="V588" s="1576" t="s">
        <v>1260</v>
      </c>
      <c r="AK588" s="1964"/>
      <c r="AL588" s="2017" t="str">
        <f t="shared" si="495"/>
        <v>2.2</v>
      </c>
      <c r="AM588" s="2018" t="str">
        <f t="shared" si="495"/>
        <v>PROVISIONES DEUDORES COMERCIALES</v>
      </c>
      <c r="AN588" s="2019">
        <f>C20</f>
        <v>0</v>
      </c>
      <c r="AO588" s="2020">
        <f t="shared" si="496"/>
        <v>0</v>
      </c>
      <c r="AP588" s="2021">
        <f>E20</f>
        <v>0</v>
      </c>
      <c r="AQ588" s="2022">
        <f t="shared" si="497"/>
        <v>0</v>
      </c>
      <c r="AR588" s="2023">
        <f t="shared" si="498"/>
        <v>0</v>
      </c>
      <c r="AS588" s="2021">
        <f>H20</f>
        <v>0</v>
      </c>
      <c r="AT588" s="2022">
        <f t="shared" si="499"/>
        <v>0</v>
      </c>
      <c r="AU588" s="2023">
        <f t="shared" si="500"/>
        <v>0</v>
      </c>
      <c r="AV588" s="2021">
        <f>K20</f>
        <v>0</v>
      </c>
      <c r="AW588" s="2022">
        <f t="shared" si="501"/>
        <v>0</v>
      </c>
      <c r="AX588" s="2024">
        <f t="shared" si="502"/>
        <v>0</v>
      </c>
      <c r="AY588" s="2021">
        <f>N20</f>
        <v>0</v>
      </c>
      <c r="AZ588" s="2022">
        <f t="shared" si="503"/>
        <v>0</v>
      </c>
      <c r="BA588" s="2024">
        <f t="shared" si="504"/>
        <v>0</v>
      </c>
      <c r="BB588" s="2021">
        <f>Q20</f>
        <v>0</v>
      </c>
      <c r="BC588" s="2022">
        <f t="shared" si="505"/>
        <v>0</v>
      </c>
      <c r="BD588" s="2024">
        <f t="shared" si="506"/>
        <v>0</v>
      </c>
      <c r="BE588" s="2025">
        <f t="shared" si="507"/>
        <v>0</v>
      </c>
      <c r="BF588" s="2025">
        <f t="shared" si="507"/>
        <v>0</v>
      </c>
      <c r="BG588" s="2025">
        <f t="shared" si="507"/>
        <v>0</v>
      </c>
      <c r="BH588" s="2025">
        <f t="shared" si="507"/>
        <v>0</v>
      </c>
      <c r="BI588" s="2025">
        <f t="shared" si="507"/>
        <v>0</v>
      </c>
      <c r="BJ588" s="2025">
        <f t="shared" si="507"/>
        <v>0</v>
      </c>
      <c r="BK588" s="2025">
        <f t="shared" si="507"/>
        <v>0</v>
      </c>
      <c r="BL588" s="2025">
        <f t="shared" si="507"/>
        <v>0</v>
      </c>
      <c r="BM588" s="2025">
        <f t="shared" si="507"/>
        <v>0</v>
      </c>
      <c r="BN588" s="2025">
        <f t="shared" si="507"/>
        <v>0</v>
      </c>
      <c r="BO588" s="2025">
        <f t="shared" si="507"/>
        <v>0</v>
      </c>
      <c r="BP588" s="2025">
        <f t="shared" si="507"/>
        <v>0</v>
      </c>
      <c r="BQ588" s="2025">
        <f t="shared" si="507"/>
        <v>0</v>
      </c>
      <c r="BR588" s="2025">
        <f t="shared" si="507"/>
        <v>0</v>
      </c>
      <c r="BS588" s="2025">
        <f t="shared" si="507"/>
        <v>0</v>
      </c>
      <c r="BT588" s="2025">
        <f t="shared" si="507"/>
        <v>0</v>
      </c>
      <c r="BU588" s="1970"/>
    </row>
    <row r="589" spans="2:99" s="536" customFormat="1">
      <c r="B589" s="1551" t="s">
        <v>874</v>
      </c>
      <c r="C589" s="1576">
        <v>1.4E-2</v>
      </c>
      <c r="D589" s="531"/>
      <c r="E589" s="1577">
        <v>2.1999999999999999E-2</v>
      </c>
      <c r="F589" s="531"/>
      <c r="G589" s="531"/>
      <c r="H589" s="1577">
        <v>1.9E-2</v>
      </c>
      <c r="I589" s="530"/>
      <c r="J589" s="530"/>
      <c r="K589" s="1577" t="s">
        <v>1260</v>
      </c>
      <c r="L589" s="531"/>
      <c r="M589" s="539"/>
      <c r="N589" s="1577">
        <v>1.7000000000000001E-2</v>
      </c>
      <c r="O589" s="531"/>
      <c r="P589" s="539"/>
      <c r="Q589" s="1577" t="s">
        <v>1260</v>
      </c>
      <c r="R589" s="531"/>
      <c r="S589" s="539"/>
      <c r="T589" s="1578">
        <v>1.9E-2</v>
      </c>
      <c r="U589" s="1579">
        <v>2.4E-2</v>
      </c>
      <c r="V589" s="1579">
        <v>2.7E-2</v>
      </c>
      <c r="AK589" s="1964"/>
      <c r="AL589" s="2017">
        <v>2</v>
      </c>
      <c r="AM589" s="2026" t="s">
        <v>1387</v>
      </c>
      <c r="AN589" s="2027">
        <f>AN587+AN588</f>
        <v>0</v>
      </c>
      <c r="AO589" s="2020">
        <f t="shared" si="496"/>
        <v>0</v>
      </c>
      <c r="AP589" s="2028">
        <f>AP587+AP588</f>
        <v>0</v>
      </c>
      <c r="AQ589" s="2022">
        <f t="shared" si="497"/>
        <v>0</v>
      </c>
      <c r="AR589" s="2023">
        <f t="shared" si="498"/>
        <v>0</v>
      </c>
      <c r="AS589" s="2028">
        <f>AS587+AS588</f>
        <v>0</v>
      </c>
      <c r="AT589" s="2022">
        <f t="shared" si="499"/>
        <v>0</v>
      </c>
      <c r="AU589" s="2023">
        <f t="shared" si="500"/>
        <v>0</v>
      </c>
      <c r="AV589" s="2028">
        <f>AV587+AV588</f>
        <v>0</v>
      </c>
      <c r="AW589" s="2022">
        <f t="shared" si="501"/>
        <v>0</v>
      </c>
      <c r="AX589" s="2024">
        <f t="shared" si="502"/>
        <v>0</v>
      </c>
      <c r="AY589" s="2028">
        <f>AY587+AY588</f>
        <v>0</v>
      </c>
      <c r="AZ589" s="2022">
        <f t="shared" si="503"/>
        <v>0</v>
      </c>
      <c r="BA589" s="2024">
        <f t="shared" si="504"/>
        <v>0</v>
      </c>
      <c r="BB589" s="2028">
        <f>BB587+BB588</f>
        <v>0</v>
      </c>
      <c r="BC589" s="2022">
        <f t="shared" si="505"/>
        <v>0</v>
      </c>
      <c r="BD589" s="2024">
        <f t="shared" si="506"/>
        <v>0</v>
      </c>
      <c r="BE589" s="2028">
        <f t="shared" ref="BE589:BT589" si="508">BE587+BE588</f>
        <v>0</v>
      </c>
      <c r="BF589" s="2028">
        <f t="shared" si="508"/>
        <v>0</v>
      </c>
      <c r="BG589" s="2028">
        <f t="shared" si="508"/>
        <v>0</v>
      </c>
      <c r="BH589" s="2028">
        <f t="shared" si="508"/>
        <v>0</v>
      </c>
      <c r="BI589" s="2028">
        <f t="shared" si="508"/>
        <v>0</v>
      </c>
      <c r="BJ589" s="2028">
        <f t="shared" si="508"/>
        <v>0</v>
      </c>
      <c r="BK589" s="2028">
        <f t="shared" si="508"/>
        <v>0</v>
      </c>
      <c r="BL589" s="2028">
        <f t="shared" si="508"/>
        <v>0</v>
      </c>
      <c r="BM589" s="2028">
        <f t="shared" si="508"/>
        <v>0</v>
      </c>
      <c r="BN589" s="2028">
        <f t="shared" si="508"/>
        <v>0</v>
      </c>
      <c r="BO589" s="2028">
        <f t="shared" si="508"/>
        <v>0</v>
      </c>
      <c r="BP589" s="2028">
        <f t="shared" si="508"/>
        <v>0</v>
      </c>
      <c r="BQ589" s="2028">
        <f t="shared" si="508"/>
        <v>0</v>
      </c>
      <c r="BR589" s="2028">
        <f t="shared" si="508"/>
        <v>0</v>
      </c>
      <c r="BS589" s="2028">
        <f t="shared" si="508"/>
        <v>0</v>
      </c>
      <c r="BT589" s="2028">
        <f t="shared" si="508"/>
        <v>0</v>
      </c>
      <c r="BU589" s="1970"/>
    </row>
    <row r="590" spans="2:99" s="536" customFormat="1" ht="13.5" thickBot="1">
      <c r="B590" s="1582" t="s">
        <v>1344</v>
      </c>
      <c r="C590" s="1583">
        <v>1</v>
      </c>
      <c r="D590" s="1584"/>
      <c r="E590" s="1585">
        <v>1</v>
      </c>
      <c r="F590" s="1584"/>
      <c r="G590" s="1584"/>
      <c r="H590" s="1585">
        <v>1</v>
      </c>
      <c r="I590" s="1586"/>
      <c r="J590" s="1586"/>
      <c r="K590" s="1587" t="s">
        <v>1260</v>
      </c>
      <c r="L590" s="1584"/>
      <c r="M590" s="1588"/>
      <c r="N590" s="1587">
        <v>1</v>
      </c>
      <c r="O590" s="1584"/>
      <c r="P590" s="1588"/>
      <c r="Q590" s="1587" t="s">
        <v>1260</v>
      </c>
      <c r="R590" s="1584"/>
      <c r="S590" s="1588"/>
      <c r="T590" s="1589">
        <v>1</v>
      </c>
      <c r="U590" s="1590">
        <v>1</v>
      </c>
      <c r="V590" s="1590">
        <v>1</v>
      </c>
      <c r="AK590" s="1964"/>
      <c r="AL590" s="2017" t="str">
        <f>A21</f>
        <v>3.1</v>
      </c>
      <c r="AM590" s="2018" t="str">
        <f>B21</f>
        <v>INVENTARIOS</v>
      </c>
      <c r="AN590" s="2019">
        <f>C21-C113</f>
        <v>0</v>
      </c>
      <c r="AO590" s="2020">
        <f t="shared" si="496"/>
        <v>0</v>
      </c>
      <c r="AP590" s="2021">
        <f>E21-E113</f>
        <v>0</v>
      </c>
      <c r="AQ590" s="2022">
        <f t="shared" si="497"/>
        <v>0</v>
      </c>
      <c r="AR590" s="2023">
        <f t="shared" si="498"/>
        <v>0</v>
      </c>
      <c r="AS590" s="2021">
        <f>H21-H113</f>
        <v>0</v>
      </c>
      <c r="AT590" s="2022">
        <f t="shared" si="499"/>
        <v>0</v>
      </c>
      <c r="AU590" s="2023">
        <f t="shared" si="500"/>
        <v>0</v>
      </c>
      <c r="AV590" s="2021">
        <f>K21-K113</f>
        <v>0</v>
      </c>
      <c r="AW590" s="2022">
        <f t="shared" si="501"/>
        <v>0</v>
      </c>
      <c r="AX590" s="2024">
        <f t="shared" si="502"/>
        <v>0</v>
      </c>
      <c r="AY590" s="2021">
        <f>N21-N113</f>
        <v>0</v>
      </c>
      <c r="AZ590" s="2022">
        <f t="shared" si="503"/>
        <v>0</v>
      </c>
      <c r="BA590" s="2024">
        <f t="shared" si="504"/>
        <v>0</v>
      </c>
      <c r="BB590" s="2021">
        <f>Q21-Q113</f>
        <v>0</v>
      </c>
      <c r="BC590" s="2022">
        <f t="shared" si="505"/>
        <v>0</v>
      </c>
      <c r="BD590" s="2024">
        <f t="shared" si="506"/>
        <v>0</v>
      </c>
      <c r="BE590" s="2025">
        <f t="shared" ref="BE590:BT590" si="509">T21-T113</f>
        <v>0</v>
      </c>
      <c r="BF590" s="2025">
        <f t="shared" si="509"/>
        <v>0</v>
      </c>
      <c r="BG590" s="2025">
        <f t="shared" si="509"/>
        <v>0</v>
      </c>
      <c r="BH590" s="2025">
        <f t="shared" si="509"/>
        <v>0</v>
      </c>
      <c r="BI590" s="2025">
        <f t="shared" si="509"/>
        <v>0</v>
      </c>
      <c r="BJ590" s="2025">
        <f t="shared" si="509"/>
        <v>0</v>
      </c>
      <c r="BK590" s="2025">
        <f t="shared" si="509"/>
        <v>0</v>
      </c>
      <c r="BL590" s="2025">
        <f t="shared" si="509"/>
        <v>0</v>
      </c>
      <c r="BM590" s="2025">
        <f t="shared" si="509"/>
        <v>0</v>
      </c>
      <c r="BN590" s="2025">
        <f t="shared" si="509"/>
        <v>0</v>
      </c>
      <c r="BO590" s="2025">
        <f t="shared" si="509"/>
        <v>0</v>
      </c>
      <c r="BP590" s="2025">
        <f t="shared" si="509"/>
        <v>0</v>
      </c>
      <c r="BQ590" s="2025">
        <f t="shared" si="509"/>
        <v>0</v>
      </c>
      <c r="BR590" s="2025">
        <f t="shared" si="509"/>
        <v>0</v>
      </c>
      <c r="BS590" s="2025">
        <f t="shared" si="509"/>
        <v>0</v>
      </c>
      <c r="BT590" s="2025">
        <f t="shared" si="509"/>
        <v>0</v>
      </c>
      <c r="BU590" s="1970"/>
    </row>
    <row r="591" spans="2:99" s="536" customFormat="1">
      <c r="AK591" s="1964"/>
      <c r="AL591" s="2017" t="str">
        <f>A22</f>
        <v>3.2</v>
      </c>
      <c r="AM591" s="2018" t="str">
        <f>B22</f>
        <v>PROVISIONES INVENTARIOS</v>
      </c>
      <c r="AN591" s="2019">
        <f>C22</f>
        <v>0</v>
      </c>
      <c r="AO591" s="2020">
        <f t="shared" si="496"/>
        <v>0</v>
      </c>
      <c r="AP591" s="2021">
        <f>E22</f>
        <v>0</v>
      </c>
      <c r="AQ591" s="2022">
        <f t="shared" si="497"/>
        <v>0</v>
      </c>
      <c r="AR591" s="2023">
        <f t="shared" si="498"/>
        <v>0</v>
      </c>
      <c r="AS591" s="2021">
        <f>H22</f>
        <v>0</v>
      </c>
      <c r="AT591" s="2022">
        <f t="shared" si="499"/>
        <v>0</v>
      </c>
      <c r="AU591" s="2023">
        <f t="shared" si="500"/>
        <v>0</v>
      </c>
      <c r="AV591" s="2021">
        <f>K22</f>
        <v>0</v>
      </c>
      <c r="AW591" s="2022">
        <f t="shared" si="501"/>
        <v>0</v>
      </c>
      <c r="AX591" s="2024">
        <f t="shared" si="502"/>
        <v>0</v>
      </c>
      <c r="AY591" s="2021">
        <f>N22</f>
        <v>0</v>
      </c>
      <c r="AZ591" s="2022">
        <f t="shared" si="503"/>
        <v>0</v>
      </c>
      <c r="BA591" s="2024">
        <f t="shared" si="504"/>
        <v>0</v>
      </c>
      <c r="BB591" s="2021">
        <f>Q22</f>
        <v>0</v>
      </c>
      <c r="BC591" s="2022">
        <f t="shared" si="505"/>
        <v>0</v>
      </c>
      <c r="BD591" s="2024">
        <f t="shared" si="506"/>
        <v>0</v>
      </c>
      <c r="BE591" s="2025">
        <f t="shared" ref="BE591:BT591" si="510">T22</f>
        <v>0</v>
      </c>
      <c r="BF591" s="2025">
        <f t="shared" si="510"/>
        <v>0</v>
      </c>
      <c r="BG591" s="2025">
        <f t="shared" si="510"/>
        <v>0</v>
      </c>
      <c r="BH591" s="2025">
        <f t="shared" si="510"/>
        <v>0</v>
      </c>
      <c r="BI591" s="2025">
        <f t="shared" si="510"/>
        <v>0</v>
      </c>
      <c r="BJ591" s="2025">
        <f t="shared" si="510"/>
        <v>0</v>
      </c>
      <c r="BK591" s="2025">
        <f t="shared" si="510"/>
        <v>0</v>
      </c>
      <c r="BL591" s="2025">
        <f t="shared" si="510"/>
        <v>0</v>
      </c>
      <c r="BM591" s="2025">
        <f t="shared" si="510"/>
        <v>0</v>
      </c>
      <c r="BN591" s="2025">
        <f t="shared" si="510"/>
        <v>0</v>
      </c>
      <c r="BO591" s="2025">
        <f t="shared" si="510"/>
        <v>0</v>
      </c>
      <c r="BP591" s="2025">
        <f t="shared" si="510"/>
        <v>0</v>
      </c>
      <c r="BQ591" s="2025">
        <f t="shared" si="510"/>
        <v>0</v>
      </c>
      <c r="BR591" s="2025">
        <f t="shared" si="510"/>
        <v>0</v>
      </c>
      <c r="BS591" s="2025">
        <f t="shared" si="510"/>
        <v>0</v>
      </c>
      <c r="BT591" s="2025">
        <f t="shared" si="510"/>
        <v>0</v>
      </c>
      <c r="BU591" s="1970"/>
    </row>
    <row r="592" spans="2:99" s="536" customFormat="1" ht="13.5" thickBot="1">
      <c r="AK592" s="1964"/>
      <c r="AL592" s="2029" t="s">
        <v>1388</v>
      </c>
      <c r="AM592" s="2018" t="str">
        <f>B113</f>
        <v>AJUSTE POR INFLACIÓN  INVENTARIOS</v>
      </c>
      <c r="AN592" s="2019">
        <f>C113</f>
        <v>0</v>
      </c>
      <c r="AO592" s="2020">
        <f t="shared" si="496"/>
        <v>0</v>
      </c>
      <c r="AP592" s="2021">
        <f>E113</f>
        <v>0</v>
      </c>
      <c r="AQ592" s="2022">
        <f t="shared" si="497"/>
        <v>0</v>
      </c>
      <c r="AR592" s="2023">
        <f t="shared" si="498"/>
        <v>0</v>
      </c>
      <c r="AS592" s="2021">
        <f>H113</f>
        <v>0</v>
      </c>
      <c r="AT592" s="2022">
        <f t="shared" si="499"/>
        <v>0</v>
      </c>
      <c r="AU592" s="2023">
        <f t="shared" si="500"/>
        <v>0</v>
      </c>
      <c r="AV592" s="2021">
        <f>K113</f>
        <v>0</v>
      </c>
      <c r="AW592" s="2022">
        <f t="shared" si="501"/>
        <v>0</v>
      </c>
      <c r="AX592" s="2024">
        <f t="shared" si="502"/>
        <v>0</v>
      </c>
      <c r="AY592" s="2021">
        <f>N113</f>
        <v>0</v>
      </c>
      <c r="AZ592" s="2022">
        <f t="shared" si="503"/>
        <v>0</v>
      </c>
      <c r="BA592" s="2024">
        <f t="shared" si="504"/>
        <v>0</v>
      </c>
      <c r="BB592" s="2021">
        <f>Q113</f>
        <v>0</v>
      </c>
      <c r="BC592" s="2022">
        <f t="shared" si="505"/>
        <v>0</v>
      </c>
      <c r="BD592" s="2024">
        <f t="shared" si="506"/>
        <v>0</v>
      </c>
      <c r="BE592" s="2025">
        <f t="shared" ref="BE592:BT592" si="511">T113</f>
        <v>0</v>
      </c>
      <c r="BF592" s="2025">
        <f t="shared" si="511"/>
        <v>0</v>
      </c>
      <c r="BG592" s="2025">
        <f t="shared" si="511"/>
        <v>0</v>
      </c>
      <c r="BH592" s="2025">
        <f t="shared" si="511"/>
        <v>0</v>
      </c>
      <c r="BI592" s="2025">
        <f t="shared" si="511"/>
        <v>0</v>
      </c>
      <c r="BJ592" s="2025">
        <f t="shared" si="511"/>
        <v>0</v>
      </c>
      <c r="BK592" s="2025">
        <f t="shared" si="511"/>
        <v>0</v>
      </c>
      <c r="BL592" s="2025">
        <f t="shared" si="511"/>
        <v>0</v>
      </c>
      <c r="BM592" s="2025">
        <f t="shared" si="511"/>
        <v>0</v>
      </c>
      <c r="BN592" s="2025">
        <f t="shared" si="511"/>
        <v>0</v>
      </c>
      <c r="BO592" s="2025">
        <f t="shared" si="511"/>
        <v>0</v>
      </c>
      <c r="BP592" s="2025">
        <f t="shared" si="511"/>
        <v>0</v>
      </c>
      <c r="BQ592" s="2025">
        <f t="shared" si="511"/>
        <v>0</v>
      </c>
      <c r="BR592" s="2025">
        <f t="shared" si="511"/>
        <v>0</v>
      </c>
      <c r="BS592" s="2025">
        <f t="shared" si="511"/>
        <v>0</v>
      </c>
      <c r="BT592" s="2025">
        <f t="shared" si="511"/>
        <v>0</v>
      </c>
      <c r="BU592" s="1970"/>
    </row>
    <row r="593" spans="2:73" s="536" customFormat="1" ht="14.5" thickBot="1">
      <c r="B593" s="1963" t="s">
        <v>1384</v>
      </c>
      <c r="C593" s="531"/>
      <c r="D593" s="531"/>
      <c r="E593" s="531"/>
      <c r="F593" s="531"/>
      <c r="G593" s="531"/>
      <c r="H593" s="531"/>
      <c r="I593" s="530"/>
      <c r="J593" s="530"/>
      <c r="K593" s="530"/>
      <c r="L593" s="531"/>
      <c r="M593" s="539"/>
      <c r="N593" s="530"/>
      <c r="O593" s="531"/>
      <c r="P593" s="539"/>
      <c r="Q593" s="530"/>
      <c r="R593" s="531"/>
      <c r="S593" s="539"/>
      <c r="T593" s="1537" t="s">
        <v>1044</v>
      </c>
      <c r="U593" s="1353" t="s">
        <v>1044</v>
      </c>
      <c r="V593" s="1353" t="s">
        <v>1044</v>
      </c>
      <c r="AK593" s="1964"/>
      <c r="AL593" s="2017">
        <v>3</v>
      </c>
      <c r="AM593" s="2026" t="s">
        <v>1389</v>
      </c>
      <c r="AN593" s="2027">
        <f>SUM(AN590:AN592)</f>
        <v>0</v>
      </c>
      <c r="AO593" s="2020">
        <f t="shared" si="496"/>
        <v>0</v>
      </c>
      <c r="AP593" s="2028">
        <f>SUM(AP590:AP592)</f>
        <v>0</v>
      </c>
      <c r="AQ593" s="2022">
        <f t="shared" si="497"/>
        <v>0</v>
      </c>
      <c r="AR593" s="2023">
        <f t="shared" si="498"/>
        <v>0</v>
      </c>
      <c r="AS593" s="2028">
        <f>SUM(AS590:AS592)</f>
        <v>0</v>
      </c>
      <c r="AT593" s="2022">
        <f t="shared" si="499"/>
        <v>0</v>
      </c>
      <c r="AU593" s="2023">
        <f t="shared" si="500"/>
        <v>0</v>
      </c>
      <c r="AV593" s="2028">
        <f>SUM(AV590:AV592)</f>
        <v>0</v>
      </c>
      <c r="AW593" s="2022">
        <f t="shared" si="501"/>
        <v>0</v>
      </c>
      <c r="AX593" s="2024">
        <f t="shared" si="502"/>
        <v>0</v>
      </c>
      <c r="AY593" s="2028">
        <f>SUM(AY590:AY592)</f>
        <v>0</v>
      </c>
      <c r="AZ593" s="2022">
        <f t="shared" si="503"/>
        <v>0</v>
      </c>
      <c r="BA593" s="2024">
        <f t="shared" si="504"/>
        <v>0</v>
      </c>
      <c r="BB593" s="2028">
        <f>SUM(BB590:BB592)</f>
        <v>0</v>
      </c>
      <c r="BC593" s="2022">
        <f t="shared" si="505"/>
        <v>0</v>
      </c>
      <c r="BD593" s="2024">
        <f t="shared" si="506"/>
        <v>0</v>
      </c>
      <c r="BE593" s="2028">
        <f t="shared" ref="BE593:BT593" si="512">SUM(BE590:BE592)</f>
        <v>0</v>
      </c>
      <c r="BF593" s="2028">
        <f t="shared" si="512"/>
        <v>0</v>
      </c>
      <c r="BG593" s="2028">
        <f t="shared" si="512"/>
        <v>0</v>
      </c>
      <c r="BH593" s="2028">
        <f t="shared" si="512"/>
        <v>0</v>
      </c>
      <c r="BI593" s="2028">
        <f t="shared" si="512"/>
        <v>0</v>
      </c>
      <c r="BJ593" s="2028">
        <f t="shared" si="512"/>
        <v>0</v>
      </c>
      <c r="BK593" s="2028">
        <f t="shared" si="512"/>
        <v>0</v>
      </c>
      <c r="BL593" s="2028">
        <f t="shared" si="512"/>
        <v>0</v>
      </c>
      <c r="BM593" s="2028">
        <f t="shared" si="512"/>
        <v>0</v>
      </c>
      <c r="BN593" s="2028">
        <f t="shared" si="512"/>
        <v>0</v>
      </c>
      <c r="BO593" s="2028">
        <f t="shared" si="512"/>
        <v>0</v>
      </c>
      <c r="BP593" s="2028">
        <f t="shared" si="512"/>
        <v>0</v>
      </c>
      <c r="BQ593" s="2028">
        <f t="shared" si="512"/>
        <v>0</v>
      </c>
      <c r="BR593" s="2028">
        <f t="shared" si="512"/>
        <v>0</v>
      </c>
      <c r="BS593" s="2028">
        <f t="shared" si="512"/>
        <v>0</v>
      </c>
      <c r="BT593" s="2028">
        <f t="shared" si="512"/>
        <v>0</v>
      </c>
      <c r="BU593" s="1970"/>
    </row>
    <row r="594" spans="2:73" s="536" customFormat="1">
      <c r="B594" s="1349" t="s">
        <v>1381</v>
      </c>
      <c r="C594" s="1538">
        <f>$C$422</f>
        <v>2016</v>
      </c>
      <c r="D594" s="1369"/>
      <c r="E594" s="1538">
        <f>$E$422</f>
        <v>2017</v>
      </c>
      <c r="F594" s="1369"/>
      <c r="G594" s="1369"/>
      <c r="H594" s="1538">
        <f>$H$422</f>
        <v>2018</v>
      </c>
      <c r="I594" s="1540"/>
      <c r="J594" s="1540"/>
      <c r="K594" s="1538">
        <f>K$422</f>
        <v>2019</v>
      </c>
      <c r="L594" s="1369"/>
      <c r="M594" s="1486"/>
      <c r="N594" s="1538">
        <f>$N$422</f>
        <v>2019</v>
      </c>
      <c r="O594" s="1369"/>
      <c r="P594" s="1486"/>
      <c r="Q594" s="1538" t="str">
        <f>$Q$422</f>
        <v>2020</v>
      </c>
      <c r="R594" s="1369"/>
      <c r="S594" s="1486"/>
      <c r="T594" s="1538">
        <f>$T$422</f>
        <v>2020</v>
      </c>
      <c r="U594" s="1538">
        <f>$U$422</f>
        <v>2021</v>
      </c>
      <c r="V594" s="1538">
        <f>$V$422</f>
        <v>2022</v>
      </c>
      <c r="AK594" s="1964"/>
      <c r="AL594" s="2017">
        <f t="shared" ref="AL594:AN596" si="513">A23</f>
        <v>4</v>
      </c>
      <c r="AM594" s="2030" t="str">
        <f t="shared" si="513"/>
        <v>ANTICIPOS - IMPUESTOS</v>
      </c>
      <c r="AN594" s="2031">
        <f t="shared" si="513"/>
        <v>0</v>
      </c>
      <c r="AO594" s="2020">
        <f t="shared" si="496"/>
        <v>0</v>
      </c>
      <c r="AP594" s="2032">
        <f>E23</f>
        <v>0</v>
      </c>
      <c r="AQ594" s="2022">
        <f t="shared" si="497"/>
        <v>0</v>
      </c>
      <c r="AR594" s="2023">
        <f t="shared" si="498"/>
        <v>0</v>
      </c>
      <c r="AS594" s="2032">
        <f>H23</f>
        <v>0</v>
      </c>
      <c r="AT594" s="2022">
        <f t="shared" si="499"/>
        <v>0</v>
      </c>
      <c r="AU594" s="2023">
        <f t="shared" si="500"/>
        <v>0</v>
      </c>
      <c r="AV594" s="2032">
        <f>K23</f>
        <v>0</v>
      </c>
      <c r="AW594" s="2022">
        <f t="shared" si="501"/>
        <v>0</v>
      </c>
      <c r="AX594" s="2024">
        <f t="shared" si="502"/>
        <v>0</v>
      </c>
      <c r="AY594" s="2032">
        <f>N23</f>
        <v>0</v>
      </c>
      <c r="AZ594" s="2022">
        <f t="shared" si="503"/>
        <v>0</v>
      </c>
      <c r="BA594" s="2024">
        <f t="shared" si="504"/>
        <v>0</v>
      </c>
      <c r="BB594" s="2032">
        <f>Q23</f>
        <v>0</v>
      </c>
      <c r="BC594" s="2022">
        <f t="shared" si="505"/>
        <v>0</v>
      </c>
      <c r="BD594" s="2024">
        <f t="shared" si="506"/>
        <v>0</v>
      </c>
      <c r="BE594" s="2033">
        <f t="shared" ref="BE594:BT596" si="514">T23</f>
        <v>0</v>
      </c>
      <c r="BF594" s="2033">
        <f t="shared" si="514"/>
        <v>0</v>
      </c>
      <c r="BG594" s="2033">
        <f t="shared" si="514"/>
        <v>0</v>
      </c>
      <c r="BH594" s="2033">
        <f t="shared" si="514"/>
        <v>0</v>
      </c>
      <c r="BI594" s="2033">
        <f t="shared" si="514"/>
        <v>0</v>
      </c>
      <c r="BJ594" s="2033">
        <f t="shared" si="514"/>
        <v>0</v>
      </c>
      <c r="BK594" s="2033">
        <f t="shared" si="514"/>
        <v>0</v>
      </c>
      <c r="BL594" s="2033">
        <f t="shared" si="514"/>
        <v>0</v>
      </c>
      <c r="BM594" s="2033">
        <f t="shared" si="514"/>
        <v>0</v>
      </c>
      <c r="BN594" s="2033">
        <f t="shared" si="514"/>
        <v>0</v>
      </c>
      <c r="BO594" s="2033">
        <f t="shared" si="514"/>
        <v>0</v>
      </c>
      <c r="BP594" s="2033">
        <f t="shared" si="514"/>
        <v>0</v>
      </c>
      <c r="BQ594" s="2033">
        <f t="shared" si="514"/>
        <v>0</v>
      </c>
      <c r="BR594" s="2033">
        <f t="shared" si="514"/>
        <v>0</v>
      </c>
      <c r="BS594" s="2033">
        <f t="shared" si="514"/>
        <v>0</v>
      </c>
      <c r="BT594" s="2033">
        <f t="shared" si="514"/>
        <v>0</v>
      </c>
      <c r="BU594" s="1970"/>
    </row>
    <row r="595" spans="2:73" s="536" customFormat="1">
      <c r="B595" s="1545" t="s">
        <v>870</v>
      </c>
      <c r="C595" s="1571">
        <v>4.7E-2</v>
      </c>
      <c r="D595" s="531"/>
      <c r="E595" s="1572">
        <v>6.8000000000000005E-2</v>
      </c>
      <c r="F595" s="531"/>
      <c r="G595" s="531"/>
      <c r="H595" s="1572">
        <v>5.1999999999999998E-2</v>
      </c>
      <c r="I595" s="530"/>
      <c r="J595" s="530"/>
      <c r="K595" s="1572" t="s">
        <v>1260</v>
      </c>
      <c r="L595" s="531"/>
      <c r="M595" s="539"/>
      <c r="N595" s="1572">
        <v>5.1999999999999998E-2</v>
      </c>
      <c r="O595" s="531"/>
      <c r="P595" s="539"/>
      <c r="Q595" s="1572" t="s">
        <v>1260</v>
      </c>
      <c r="R595" s="531"/>
      <c r="S595" s="539"/>
      <c r="T595" s="1573">
        <v>5.8000000000000003E-2</v>
      </c>
      <c r="U595" s="1574">
        <v>5.5E-2</v>
      </c>
      <c r="V595" s="1574">
        <v>5.5E-2</v>
      </c>
      <c r="AK595" s="1964"/>
      <c r="AL595" s="2017" t="str">
        <f t="shared" si="513"/>
        <v>5.1</v>
      </c>
      <c r="AM595" s="2018" t="str">
        <f t="shared" si="513"/>
        <v>DEUDORES VARIOS</v>
      </c>
      <c r="AN595" s="2019">
        <f t="shared" si="513"/>
        <v>0</v>
      </c>
      <c r="AO595" s="2020">
        <f t="shared" si="496"/>
        <v>0</v>
      </c>
      <c r="AP595" s="2021">
        <f>E24</f>
        <v>0</v>
      </c>
      <c r="AQ595" s="2022">
        <f t="shared" si="497"/>
        <v>0</v>
      </c>
      <c r="AR595" s="2023">
        <f t="shared" si="498"/>
        <v>0</v>
      </c>
      <c r="AS595" s="2021">
        <f>H24</f>
        <v>0</v>
      </c>
      <c r="AT595" s="2022">
        <f t="shared" si="499"/>
        <v>0</v>
      </c>
      <c r="AU595" s="2023">
        <f t="shared" si="500"/>
        <v>0</v>
      </c>
      <c r="AV595" s="2021">
        <f>K24</f>
        <v>0</v>
      </c>
      <c r="AW595" s="2022">
        <f t="shared" si="501"/>
        <v>0</v>
      </c>
      <c r="AX595" s="2024">
        <f t="shared" si="502"/>
        <v>0</v>
      </c>
      <c r="AY595" s="2021">
        <f>N24</f>
        <v>0</v>
      </c>
      <c r="AZ595" s="2022">
        <f t="shared" si="503"/>
        <v>0</v>
      </c>
      <c r="BA595" s="2024">
        <f t="shared" si="504"/>
        <v>0</v>
      </c>
      <c r="BB595" s="2021">
        <f>Q24</f>
        <v>0</v>
      </c>
      <c r="BC595" s="2022">
        <f t="shared" si="505"/>
        <v>0</v>
      </c>
      <c r="BD595" s="2024">
        <f t="shared" si="506"/>
        <v>0</v>
      </c>
      <c r="BE595" s="2025">
        <f t="shared" si="514"/>
        <v>0</v>
      </c>
      <c r="BF595" s="2025">
        <f t="shared" si="514"/>
        <v>0</v>
      </c>
      <c r="BG595" s="2025">
        <f t="shared" si="514"/>
        <v>0</v>
      </c>
      <c r="BH595" s="2025">
        <f t="shared" si="514"/>
        <v>0</v>
      </c>
      <c r="BI595" s="2025">
        <f t="shared" si="514"/>
        <v>0</v>
      </c>
      <c r="BJ595" s="2025">
        <f t="shared" si="514"/>
        <v>0</v>
      </c>
      <c r="BK595" s="2025">
        <f t="shared" si="514"/>
        <v>0</v>
      </c>
      <c r="BL595" s="2025">
        <f t="shared" si="514"/>
        <v>0</v>
      </c>
      <c r="BM595" s="2025">
        <f t="shared" si="514"/>
        <v>0</v>
      </c>
      <c r="BN595" s="2025">
        <f t="shared" si="514"/>
        <v>0</v>
      </c>
      <c r="BO595" s="2025">
        <f t="shared" si="514"/>
        <v>0</v>
      </c>
      <c r="BP595" s="2025">
        <f t="shared" si="514"/>
        <v>0</v>
      </c>
      <c r="BQ595" s="2025">
        <f t="shared" si="514"/>
        <v>0</v>
      </c>
      <c r="BR595" s="2025">
        <f t="shared" si="514"/>
        <v>0</v>
      </c>
      <c r="BS595" s="2025">
        <f t="shared" si="514"/>
        <v>0</v>
      </c>
      <c r="BT595" s="2025">
        <f t="shared" si="514"/>
        <v>0</v>
      </c>
      <c r="BU595" s="1970"/>
    </row>
    <row r="596" spans="2:73" s="536" customFormat="1">
      <c r="B596" s="1551" t="s">
        <v>872</v>
      </c>
      <c r="C596" s="1576">
        <v>0</v>
      </c>
      <c r="D596" s="531"/>
      <c r="E596" s="1577">
        <v>1.0582010582012237E-3</v>
      </c>
      <c r="F596" s="531"/>
      <c r="G596" s="531"/>
      <c r="H596" s="1577">
        <v>3.0655391120507306E-2</v>
      </c>
      <c r="I596" s="530"/>
      <c r="J596" s="530"/>
      <c r="K596" s="1577" t="s">
        <v>1260</v>
      </c>
      <c r="L596" s="531"/>
      <c r="M596" s="539"/>
      <c r="N596" s="1577">
        <v>5.128205128205128E-2</v>
      </c>
      <c r="O596" s="531"/>
      <c r="P596" s="539"/>
      <c r="Q596" s="1577" t="s">
        <v>1260</v>
      </c>
      <c r="R596" s="531"/>
      <c r="S596" s="539"/>
      <c r="T596" s="1578">
        <v>3.0731707317073122E-2</v>
      </c>
      <c r="U596" s="1579">
        <v>-6.1523899668716993E-3</v>
      </c>
      <c r="V596" s="1579">
        <v>0</v>
      </c>
      <c r="AK596" s="1964"/>
      <c r="AL596" s="2017" t="str">
        <f t="shared" si="513"/>
        <v>5.2</v>
      </c>
      <c r="AM596" s="2018" t="str">
        <f t="shared" si="513"/>
        <v>OTROS CORRIENTES</v>
      </c>
      <c r="AN596" s="2019">
        <f t="shared" si="513"/>
        <v>0</v>
      </c>
      <c r="AO596" s="2020">
        <f t="shared" si="496"/>
        <v>0</v>
      </c>
      <c r="AP596" s="2021">
        <f>E25</f>
        <v>0</v>
      </c>
      <c r="AQ596" s="2022">
        <f t="shared" si="497"/>
        <v>0</v>
      </c>
      <c r="AR596" s="2023">
        <f t="shared" si="498"/>
        <v>0</v>
      </c>
      <c r="AS596" s="2021">
        <f>H25</f>
        <v>0</v>
      </c>
      <c r="AT596" s="2022">
        <f t="shared" si="499"/>
        <v>0</v>
      </c>
      <c r="AU596" s="2023">
        <f t="shared" si="500"/>
        <v>0</v>
      </c>
      <c r="AV596" s="2021">
        <f>K25</f>
        <v>0</v>
      </c>
      <c r="AW596" s="2022">
        <f t="shared" si="501"/>
        <v>0</v>
      </c>
      <c r="AX596" s="2024">
        <f t="shared" si="502"/>
        <v>0</v>
      </c>
      <c r="AY596" s="2021">
        <f>N25</f>
        <v>0</v>
      </c>
      <c r="AZ596" s="2022">
        <f t="shared" si="503"/>
        <v>0</v>
      </c>
      <c r="BA596" s="2024">
        <f t="shared" si="504"/>
        <v>0</v>
      </c>
      <c r="BB596" s="2021">
        <f>Q25</f>
        <v>0</v>
      </c>
      <c r="BC596" s="2022">
        <f t="shared" si="505"/>
        <v>0</v>
      </c>
      <c r="BD596" s="2024">
        <f t="shared" si="506"/>
        <v>0</v>
      </c>
      <c r="BE596" s="2025">
        <f t="shared" si="514"/>
        <v>0</v>
      </c>
      <c r="BF596" s="2025">
        <f t="shared" si="514"/>
        <v>0</v>
      </c>
      <c r="BG596" s="2025">
        <f t="shared" si="514"/>
        <v>0</v>
      </c>
      <c r="BH596" s="2025">
        <f t="shared" si="514"/>
        <v>0</v>
      </c>
      <c r="BI596" s="2025">
        <f t="shared" si="514"/>
        <v>0</v>
      </c>
      <c r="BJ596" s="2025">
        <f t="shared" si="514"/>
        <v>0</v>
      </c>
      <c r="BK596" s="2025">
        <f t="shared" si="514"/>
        <v>0</v>
      </c>
      <c r="BL596" s="2025">
        <f t="shared" si="514"/>
        <v>0</v>
      </c>
      <c r="BM596" s="2025">
        <f t="shared" si="514"/>
        <v>0</v>
      </c>
      <c r="BN596" s="2025">
        <f t="shared" si="514"/>
        <v>0</v>
      </c>
      <c r="BO596" s="2025">
        <f t="shared" si="514"/>
        <v>0</v>
      </c>
      <c r="BP596" s="2025">
        <f t="shared" si="514"/>
        <v>0</v>
      </c>
      <c r="BQ596" s="2025">
        <f t="shared" si="514"/>
        <v>0</v>
      </c>
      <c r="BR596" s="2025">
        <f t="shared" si="514"/>
        <v>0</v>
      </c>
      <c r="BS596" s="2025">
        <f t="shared" si="514"/>
        <v>0</v>
      </c>
      <c r="BT596" s="2025">
        <f t="shared" si="514"/>
        <v>0</v>
      </c>
      <c r="BU596" s="1970"/>
    </row>
    <row r="597" spans="2:73" s="536" customFormat="1">
      <c r="B597" s="1551" t="s">
        <v>874</v>
      </c>
      <c r="C597" s="1576">
        <v>3.6999999999999998E-2</v>
      </c>
      <c r="D597" s="531"/>
      <c r="E597" s="1577">
        <v>3.7999999999999999E-2</v>
      </c>
      <c r="F597" s="531"/>
      <c r="G597" s="531"/>
      <c r="H597" s="1577">
        <v>3.9E-2</v>
      </c>
      <c r="I597" s="530"/>
      <c r="J597" s="530"/>
      <c r="K597" s="1577" t="s">
        <v>1260</v>
      </c>
      <c r="L597" s="531"/>
      <c r="M597" s="539"/>
      <c r="N597" s="1577">
        <v>2.5999999999999999E-2</v>
      </c>
      <c r="O597" s="531"/>
      <c r="P597" s="539"/>
      <c r="Q597" s="1577" t="s">
        <v>1260</v>
      </c>
      <c r="R597" s="531"/>
      <c r="S597" s="539"/>
      <c r="T597" s="1578">
        <v>0.03</v>
      </c>
      <c r="U597" s="1579">
        <v>0.03</v>
      </c>
      <c r="V597" s="1579">
        <v>3.3000000000000002E-2</v>
      </c>
      <c r="AK597" s="1964"/>
      <c r="AL597" s="2034">
        <v>5</v>
      </c>
      <c r="AM597" s="2026" t="s">
        <v>1390</v>
      </c>
      <c r="AN597" s="2027">
        <f>SUM(AN595:AN596)</f>
        <v>0</v>
      </c>
      <c r="AO597" s="2020">
        <f t="shared" si="496"/>
        <v>0</v>
      </c>
      <c r="AP597" s="2028">
        <f>SUM(AP595:AP596)</f>
        <v>0</v>
      </c>
      <c r="AQ597" s="2022">
        <f t="shared" si="497"/>
        <v>0</v>
      </c>
      <c r="AR597" s="2023">
        <f t="shared" si="498"/>
        <v>0</v>
      </c>
      <c r="AS597" s="2028">
        <f>SUM(AS595:AS596)</f>
        <v>0</v>
      </c>
      <c r="AT597" s="2022">
        <f t="shared" si="499"/>
        <v>0</v>
      </c>
      <c r="AU597" s="2023">
        <f t="shared" si="500"/>
        <v>0</v>
      </c>
      <c r="AV597" s="2028">
        <f>SUM(AV595:AV596)</f>
        <v>0</v>
      </c>
      <c r="AW597" s="2022">
        <f t="shared" si="501"/>
        <v>0</v>
      </c>
      <c r="AX597" s="2024">
        <f t="shared" si="502"/>
        <v>0</v>
      </c>
      <c r="AY597" s="2028">
        <f>SUM(AY595:AY596)</f>
        <v>0</v>
      </c>
      <c r="AZ597" s="2022">
        <f t="shared" si="503"/>
        <v>0</v>
      </c>
      <c r="BA597" s="2024">
        <f t="shared" si="504"/>
        <v>0</v>
      </c>
      <c r="BB597" s="2028">
        <f>SUM(BB595:BB596)</f>
        <v>0</v>
      </c>
      <c r="BC597" s="2022">
        <f t="shared" si="505"/>
        <v>0</v>
      </c>
      <c r="BD597" s="2024">
        <f t="shared" si="506"/>
        <v>0</v>
      </c>
      <c r="BE597" s="2028">
        <f t="shared" ref="BE597:BT597" si="515">SUM(BE595:BE596)</f>
        <v>0</v>
      </c>
      <c r="BF597" s="2028">
        <f t="shared" si="515"/>
        <v>0</v>
      </c>
      <c r="BG597" s="2028">
        <f t="shared" si="515"/>
        <v>0</v>
      </c>
      <c r="BH597" s="2028">
        <f t="shared" si="515"/>
        <v>0</v>
      </c>
      <c r="BI597" s="2028">
        <f t="shared" si="515"/>
        <v>0</v>
      </c>
      <c r="BJ597" s="2028">
        <f t="shared" si="515"/>
        <v>0</v>
      </c>
      <c r="BK597" s="2028">
        <f t="shared" si="515"/>
        <v>0</v>
      </c>
      <c r="BL597" s="2028">
        <f t="shared" si="515"/>
        <v>0</v>
      </c>
      <c r="BM597" s="2028">
        <f t="shared" si="515"/>
        <v>0</v>
      </c>
      <c r="BN597" s="2028">
        <f t="shared" si="515"/>
        <v>0</v>
      </c>
      <c r="BO597" s="2028">
        <f t="shared" si="515"/>
        <v>0</v>
      </c>
      <c r="BP597" s="2028">
        <f t="shared" si="515"/>
        <v>0</v>
      </c>
      <c r="BQ597" s="2028">
        <f t="shared" si="515"/>
        <v>0</v>
      </c>
      <c r="BR597" s="2028">
        <f t="shared" si="515"/>
        <v>0</v>
      </c>
      <c r="BS597" s="2028">
        <f t="shared" si="515"/>
        <v>0</v>
      </c>
      <c r="BT597" s="2028">
        <f t="shared" si="515"/>
        <v>0</v>
      </c>
      <c r="BU597" s="1970"/>
    </row>
    <row r="598" spans="2:73" s="536" customFormat="1" ht="13.5" thickBot="1">
      <c r="B598" s="1582" t="s">
        <v>1344</v>
      </c>
      <c r="C598" s="1583">
        <v>18.899999999999999</v>
      </c>
      <c r="D598" s="1584"/>
      <c r="E598" s="1585">
        <v>18.920000000000002</v>
      </c>
      <c r="F598" s="1584"/>
      <c r="G598" s="1584"/>
      <c r="H598" s="1585">
        <v>19.5</v>
      </c>
      <c r="I598" s="1586"/>
      <c r="J598" s="1586"/>
      <c r="K598" s="1587" t="s">
        <v>1260</v>
      </c>
      <c r="L598" s="1584"/>
      <c r="M598" s="1588"/>
      <c r="N598" s="1587">
        <v>20.5</v>
      </c>
      <c r="O598" s="1584"/>
      <c r="P598" s="1588"/>
      <c r="Q598" s="1587" t="s">
        <v>1260</v>
      </c>
      <c r="R598" s="1584"/>
      <c r="S598" s="1588"/>
      <c r="T598" s="1589">
        <v>21.13</v>
      </c>
      <c r="U598" s="1590">
        <v>21</v>
      </c>
      <c r="V598" s="1590">
        <v>21</v>
      </c>
      <c r="AK598" s="1964"/>
      <c r="AL598" s="2035"/>
      <c r="AM598" s="2036" t="s">
        <v>1058</v>
      </c>
      <c r="AN598" s="2037">
        <f>SUM(AN586,AN589,AN593,AN594,AN597)</f>
        <v>0</v>
      </c>
      <c r="AO598" s="2038">
        <f t="shared" si="496"/>
        <v>0</v>
      </c>
      <c r="AP598" s="2039">
        <f>SUM(AP586,AP589,AP593,AP594,AP597)</f>
        <v>0</v>
      </c>
      <c r="AQ598" s="2040">
        <f t="shared" si="497"/>
        <v>0</v>
      </c>
      <c r="AR598" s="2041">
        <f t="shared" si="498"/>
        <v>0</v>
      </c>
      <c r="AS598" s="2039">
        <f>SUM(AS586,AS589,AS593,AS594,AS597)</f>
        <v>0</v>
      </c>
      <c r="AT598" s="2040">
        <f t="shared" si="499"/>
        <v>0</v>
      </c>
      <c r="AU598" s="2041">
        <f t="shared" si="500"/>
        <v>0</v>
      </c>
      <c r="AV598" s="2039">
        <f>SUM(AV586,AV589,AV593,AV594,AV597)</f>
        <v>0</v>
      </c>
      <c r="AW598" s="2040">
        <f t="shared" si="501"/>
        <v>0</v>
      </c>
      <c r="AX598" s="2042">
        <f t="shared" si="502"/>
        <v>0</v>
      </c>
      <c r="AY598" s="2039">
        <f>SUM(AY586,AY589,AY593,AY594,AY597)</f>
        <v>0</v>
      </c>
      <c r="AZ598" s="2040">
        <f t="shared" si="503"/>
        <v>0</v>
      </c>
      <c r="BA598" s="2042">
        <f t="shared" si="504"/>
        <v>0</v>
      </c>
      <c r="BB598" s="2039">
        <f>SUM(BB586,BB589,BB593,BB594,BB597)</f>
        <v>0</v>
      </c>
      <c r="BC598" s="2040">
        <f t="shared" si="505"/>
        <v>0</v>
      </c>
      <c r="BD598" s="2042">
        <f t="shared" si="506"/>
        <v>0</v>
      </c>
      <c r="BE598" s="2043">
        <f t="shared" ref="BE598:BT598" si="516">SUM(BE586,BE589,BE593,BE594,BE597)</f>
        <v>0</v>
      </c>
      <c r="BF598" s="2043">
        <f t="shared" si="516"/>
        <v>0</v>
      </c>
      <c r="BG598" s="2043">
        <f t="shared" si="516"/>
        <v>0</v>
      </c>
      <c r="BH598" s="2043">
        <f t="shared" si="516"/>
        <v>0</v>
      </c>
      <c r="BI598" s="2043">
        <f t="shared" si="516"/>
        <v>0</v>
      </c>
      <c r="BJ598" s="2043">
        <f t="shared" si="516"/>
        <v>0</v>
      </c>
      <c r="BK598" s="2043">
        <f t="shared" si="516"/>
        <v>0</v>
      </c>
      <c r="BL598" s="2043">
        <f t="shared" si="516"/>
        <v>0</v>
      </c>
      <c r="BM598" s="2043">
        <f t="shared" si="516"/>
        <v>0</v>
      </c>
      <c r="BN598" s="2043">
        <f t="shared" si="516"/>
        <v>0</v>
      </c>
      <c r="BO598" s="2043">
        <f t="shared" si="516"/>
        <v>0</v>
      </c>
      <c r="BP598" s="2043">
        <f t="shared" si="516"/>
        <v>0</v>
      </c>
      <c r="BQ598" s="2043">
        <f t="shared" si="516"/>
        <v>0</v>
      </c>
      <c r="BR598" s="2043">
        <f t="shared" si="516"/>
        <v>0</v>
      </c>
      <c r="BS598" s="2043">
        <f t="shared" si="516"/>
        <v>0</v>
      </c>
      <c r="BT598" s="2043">
        <f t="shared" si="516"/>
        <v>0</v>
      </c>
      <c r="BU598" s="1970"/>
    </row>
    <row r="599" spans="2:73" s="536" customFormat="1">
      <c r="AK599" s="1964"/>
      <c r="AL599" s="2044" t="s">
        <v>1391</v>
      </c>
      <c r="AM599" s="2018" t="str">
        <f>B27</f>
        <v>INVERSIONES EN FILIALES Y ASOCIADAS (PERMANENTES)</v>
      </c>
      <c r="AN599" s="2045">
        <f>C27-C118</f>
        <v>0</v>
      </c>
      <c r="AO599" s="2020">
        <f t="shared" si="496"/>
        <v>0</v>
      </c>
      <c r="AP599" s="2046">
        <f>E27-E118</f>
        <v>0</v>
      </c>
      <c r="AQ599" s="2022">
        <f t="shared" si="497"/>
        <v>0</v>
      </c>
      <c r="AR599" s="2023">
        <f t="shared" si="498"/>
        <v>0</v>
      </c>
      <c r="AS599" s="2046">
        <f>H27-H118</f>
        <v>0</v>
      </c>
      <c r="AT599" s="2022">
        <f t="shared" si="499"/>
        <v>0</v>
      </c>
      <c r="AU599" s="2023">
        <f t="shared" si="500"/>
        <v>0</v>
      </c>
      <c r="AV599" s="2046">
        <f>K27-K118</f>
        <v>0</v>
      </c>
      <c r="AW599" s="2022">
        <f t="shared" si="501"/>
        <v>0</v>
      </c>
      <c r="AX599" s="2024">
        <f t="shared" si="502"/>
        <v>0</v>
      </c>
      <c r="AY599" s="2046">
        <f>N27-N118</f>
        <v>0</v>
      </c>
      <c r="AZ599" s="2022">
        <f t="shared" si="503"/>
        <v>0</v>
      </c>
      <c r="BA599" s="2024">
        <f t="shared" si="504"/>
        <v>0</v>
      </c>
      <c r="BB599" s="2046">
        <f>Q27-Q118</f>
        <v>0</v>
      </c>
      <c r="BC599" s="2022">
        <f t="shared" si="505"/>
        <v>0</v>
      </c>
      <c r="BD599" s="2024">
        <f t="shared" si="506"/>
        <v>0</v>
      </c>
      <c r="BE599" s="2047">
        <f t="shared" ref="BE599:BT599" si="517">T27-T118</f>
        <v>0</v>
      </c>
      <c r="BF599" s="2047">
        <f t="shared" si="517"/>
        <v>0</v>
      </c>
      <c r="BG599" s="2047">
        <f t="shared" si="517"/>
        <v>0</v>
      </c>
      <c r="BH599" s="2047">
        <f t="shared" si="517"/>
        <v>0</v>
      </c>
      <c r="BI599" s="2047">
        <f t="shared" si="517"/>
        <v>0</v>
      </c>
      <c r="BJ599" s="2047">
        <f t="shared" si="517"/>
        <v>0</v>
      </c>
      <c r="BK599" s="2047">
        <f t="shared" si="517"/>
        <v>0</v>
      </c>
      <c r="BL599" s="2047">
        <f t="shared" si="517"/>
        <v>0</v>
      </c>
      <c r="BM599" s="2047">
        <f t="shared" si="517"/>
        <v>0</v>
      </c>
      <c r="BN599" s="2047">
        <f t="shared" si="517"/>
        <v>0</v>
      </c>
      <c r="BO599" s="2047">
        <f t="shared" si="517"/>
        <v>0</v>
      </c>
      <c r="BP599" s="2047">
        <f t="shared" si="517"/>
        <v>0</v>
      </c>
      <c r="BQ599" s="2047">
        <f t="shared" si="517"/>
        <v>0</v>
      </c>
      <c r="BR599" s="2047">
        <f t="shared" si="517"/>
        <v>0</v>
      </c>
      <c r="BS599" s="2047">
        <f t="shared" si="517"/>
        <v>0</v>
      </c>
      <c r="BT599" s="2047">
        <f t="shared" si="517"/>
        <v>0</v>
      </c>
      <c r="BU599" s="1970"/>
    </row>
    <row r="600" spans="2:73" s="536" customFormat="1" ht="13.5" thickBot="1">
      <c r="AK600" s="1964"/>
      <c r="AL600" s="2029" t="s">
        <v>1392</v>
      </c>
      <c r="AM600" s="2018" t="str">
        <f>B118</f>
        <v>AJUSTE POR INFLACIÓN  INVERSIONES PERMANENTES</v>
      </c>
      <c r="AN600" s="2048">
        <f>C118</f>
        <v>0</v>
      </c>
      <c r="AO600" s="2020">
        <f t="shared" si="496"/>
        <v>0</v>
      </c>
      <c r="AP600" s="2025">
        <f>E118</f>
        <v>0</v>
      </c>
      <c r="AQ600" s="2022">
        <f t="shared" si="497"/>
        <v>0</v>
      </c>
      <c r="AR600" s="2023">
        <f t="shared" si="498"/>
        <v>0</v>
      </c>
      <c r="AS600" s="2025">
        <f>H118</f>
        <v>0</v>
      </c>
      <c r="AT600" s="2022">
        <f t="shared" si="499"/>
        <v>0</v>
      </c>
      <c r="AU600" s="2023">
        <f t="shared" si="500"/>
        <v>0</v>
      </c>
      <c r="AV600" s="2025">
        <f>K118</f>
        <v>0</v>
      </c>
      <c r="AW600" s="2022">
        <f t="shared" si="501"/>
        <v>0</v>
      </c>
      <c r="AX600" s="2024">
        <f t="shared" si="502"/>
        <v>0</v>
      </c>
      <c r="AY600" s="2025">
        <f>N118</f>
        <v>0</v>
      </c>
      <c r="AZ600" s="2022">
        <f t="shared" si="503"/>
        <v>0</v>
      </c>
      <c r="BA600" s="2024">
        <f t="shared" si="504"/>
        <v>0</v>
      </c>
      <c r="BB600" s="2025">
        <f>Q118</f>
        <v>0</v>
      </c>
      <c r="BC600" s="2022">
        <f t="shared" si="505"/>
        <v>0</v>
      </c>
      <c r="BD600" s="2024">
        <f t="shared" si="506"/>
        <v>0</v>
      </c>
      <c r="BE600" s="2025">
        <f t="shared" ref="BE600:BT600" si="518">T118</f>
        <v>0</v>
      </c>
      <c r="BF600" s="2025">
        <f t="shared" si="518"/>
        <v>0</v>
      </c>
      <c r="BG600" s="2025">
        <f t="shared" si="518"/>
        <v>0</v>
      </c>
      <c r="BH600" s="2025">
        <f t="shared" si="518"/>
        <v>0</v>
      </c>
      <c r="BI600" s="2025">
        <f t="shared" si="518"/>
        <v>0</v>
      </c>
      <c r="BJ600" s="2025">
        <f t="shared" si="518"/>
        <v>0</v>
      </c>
      <c r="BK600" s="2025">
        <f t="shared" si="518"/>
        <v>0</v>
      </c>
      <c r="BL600" s="2025">
        <f t="shared" si="518"/>
        <v>0</v>
      </c>
      <c r="BM600" s="2025">
        <f t="shared" si="518"/>
        <v>0</v>
      </c>
      <c r="BN600" s="2025">
        <f t="shared" si="518"/>
        <v>0</v>
      </c>
      <c r="BO600" s="2025">
        <f t="shared" si="518"/>
        <v>0</v>
      </c>
      <c r="BP600" s="2025">
        <f t="shared" si="518"/>
        <v>0</v>
      </c>
      <c r="BQ600" s="2025">
        <f t="shared" si="518"/>
        <v>0</v>
      </c>
      <c r="BR600" s="2025">
        <f t="shared" si="518"/>
        <v>0</v>
      </c>
      <c r="BS600" s="2025">
        <f t="shared" si="518"/>
        <v>0</v>
      </c>
      <c r="BT600" s="2025">
        <f t="shared" si="518"/>
        <v>0</v>
      </c>
      <c r="BU600" s="1970"/>
    </row>
    <row r="601" spans="2:73" s="536" customFormat="1" ht="14.5" thickBot="1">
      <c r="B601" s="1963" t="s">
        <v>1385</v>
      </c>
      <c r="C601" s="531"/>
      <c r="D601" s="531"/>
      <c r="E601" s="531"/>
      <c r="F601" s="531"/>
      <c r="G601" s="531"/>
      <c r="H601" s="531"/>
      <c r="I601" s="530"/>
      <c r="J601" s="530"/>
      <c r="K601" s="530"/>
      <c r="L601" s="531"/>
      <c r="M601" s="539"/>
      <c r="N601" s="530"/>
      <c r="O601" s="531"/>
      <c r="P601" s="539"/>
      <c r="Q601" s="530"/>
      <c r="R601" s="531"/>
      <c r="S601" s="539"/>
      <c r="T601" s="1537" t="s">
        <v>1044</v>
      </c>
      <c r="U601" s="1353" t="s">
        <v>1044</v>
      </c>
      <c r="V601" s="1353" t="s">
        <v>1044</v>
      </c>
      <c r="AK601" s="1964"/>
      <c r="AL601" s="2049">
        <f>A27</f>
        <v>6</v>
      </c>
      <c r="AM601" s="2026" t="s">
        <v>1393</v>
      </c>
      <c r="AN601" s="2027">
        <f>SUM(AN599:AN600)</f>
        <v>0</v>
      </c>
      <c r="AO601" s="2020">
        <f t="shared" si="496"/>
        <v>0</v>
      </c>
      <c r="AP601" s="2028">
        <f>SUM(AP599:AP600)</f>
        <v>0</v>
      </c>
      <c r="AQ601" s="2022">
        <f t="shared" si="497"/>
        <v>0</v>
      </c>
      <c r="AR601" s="2023">
        <f t="shared" si="498"/>
        <v>0</v>
      </c>
      <c r="AS601" s="2028">
        <f>SUM(AS599:AS600)</f>
        <v>0</v>
      </c>
      <c r="AT601" s="2022">
        <f t="shared" si="499"/>
        <v>0</v>
      </c>
      <c r="AU601" s="2023">
        <f t="shared" si="500"/>
        <v>0</v>
      </c>
      <c r="AV601" s="2028">
        <f>SUM(AV599:AV600)</f>
        <v>0</v>
      </c>
      <c r="AW601" s="2022">
        <f t="shared" si="501"/>
        <v>0</v>
      </c>
      <c r="AX601" s="2024">
        <f t="shared" si="502"/>
        <v>0</v>
      </c>
      <c r="AY601" s="2028">
        <f>SUM(AY599:AY600)</f>
        <v>0</v>
      </c>
      <c r="AZ601" s="2022">
        <f t="shared" si="503"/>
        <v>0</v>
      </c>
      <c r="BA601" s="2024">
        <f t="shared" si="504"/>
        <v>0</v>
      </c>
      <c r="BB601" s="2028">
        <f>SUM(BB599:BB600)</f>
        <v>0</v>
      </c>
      <c r="BC601" s="2022">
        <f t="shared" si="505"/>
        <v>0</v>
      </c>
      <c r="BD601" s="2024">
        <f t="shared" si="506"/>
        <v>0</v>
      </c>
      <c r="BE601" s="2028">
        <f t="shared" ref="BE601:BT601" si="519">SUM(BE599:BE600)</f>
        <v>0</v>
      </c>
      <c r="BF601" s="2028">
        <f t="shared" si="519"/>
        <v>0</v>
      </c>
      <c r="BG601" s="2028">
        <f t="shared" si="519"/>
        <v>0</v>
      </c>
      <c r="BH601" s="2028">
        <f t="shared" si="519"/>
        <v>0</v>
      </c>
      <c r="BI601" s="2028">
        <f t="shared" si="519"/>
        <v>0</v>
      </c>
      <c r="BJ601" s="2028">
        <f t="shared" si="519"/>
        <v>0</v>
      </c>
      <c r="BK601" s="2028">
        <f t="shared" si="519"/>
        <v>0</v>
      </c>
      <c r="BL601" s="2028">
        <f t="shared" si="519"/>
        <v>0</v>
      </c>
      <c r="BM601" s="2028">
        <f t="shared" si="519"/>
        <v>0</v>
      </c>
      <c r="BN601" s="2028">
        <f t="shared" si="519"/>
        <v>0</v>
      </c>
      <c r="BO601" s="2028">
        <f t="shared" si="519"/>
        <v>0</v>
      </c>
      <c r="BP601" s="2028">
        <f t="shared" si="519"/>
        <v>0</v>
      </c>
      <c r="BQ601" s="2028">
        <f t="shared" si="519"/>
        <v>0</v>
      </c>
      <c r="BR601" s="2028">
        <f t="shared" si="519"/>
        <v>0</v>
      </c>
      <c r="BS601" s="2028">
        <f t="shared" si="519"/>
        <v>0</v>
      </c>
      <c r="BT601" s="2028">
        <f t="shared" si="519"/>
        <v>0</v>
      </c>
      <c r="BU601" s="1970"/>
    </row>
    <row r="602" spans="2:73" s="536" customFormat="1">
      <c r="B602" s="1349" t="s">
        <v>1381</v>
      </c>
      <c r="C602" s="1538">
        <f>$C$422</f>
        <v>2016</v>
      </c>
      <c r="D602" s="1369"/>
      <c r="E602" s="1538">
        <f>$E$422</f>
        <v>2017</v>
      </c>
      <c r="F602" s="1369"/>
      <c r="G602" s="1369"/>
      <c r="H602" s="1538">
        <f>$H$422</f>
        <v>2018</v>
      </c>
      <c r="I602" s="1540"/>
      <c r="J602" s="1540"/>
      <c r="K602" s="1538">
        <f>K$422</f>
        <v>2019</v>
      </c>
      <c r="L602" s="1369"/>
      <c r="M602" s="1486"/>
      <c r="N602" s="1538">
        <f>$N$422</f>
        <v>2019</v>
      </c>
      <c r="O602" s="1369"/>
      <c r="P602" s="1486"/>
      <c r="Q602" s="1538" t="str">
        <f>$Q$422</f>
        <v>2020</v>
      </c>
      <c r="R602" s="1369"/>
      <c r="S602" s="1486"/>
      <c r="T602" s="1538">
        <f>$T$422</f>
        <v>2020</v>
      </c>
      <c r="U602" s="1538">
        <f>$U$422</f>
        <v>2021</v>
      </c>
      <c r="V602" s="1538">
        <f>$V$422</f>
        <v>2022</v>
      </c>
      <c r="AK602" s="1964"/>
      <c r="AL602" s="2017" t="str">
        <f>A28</f>
        <v>7.1</v>
      </c>
      <c r="AM602" s="2018" t="str">
        <f>B28</f>
        <v>ACTIVOS FIJOS</v>
      </c>
      <c r="AN602" s="2048">
        <f>C28-C114</f>
        <v>0</v>
      </c>
      <c r="AO602" s="2020">
        <f t="shared" si="496"/>
        <v>0</v>
      </c>
      <c r="AP602" s="2025">
        <f>E28-E114</f>
        <v>0</v>
      </c>
      <c r="AQ602" s="2022">
        <f t="shared" si="497"/>
        <v>0</v>
      </c>
      <c r="AR602" s="2023">
        <f t="shared" si="498"/>
        <v>0</v>
      </c>
      <c r="AS602" s="2025">
        <f>H28-H114</f>
        <v>0</v>
      </c>
      <c r="AT602" s="2022">
        <f t="shared" si="499"/>
        <v>0</v>
      </c>
      <c r="AU602" s="2023">
        <f t="shared" si="500"/>
        <v>0</v>
      </c>
      <c r="AV602" s="2025">
        <f>K28-K114</f>
        <v>0</v>
      </c>
      <c r="AW602" s="2022">
        <f t="shared" si="501"/>
        <v>0</v>
      </c>
      <c r="AX602" s="2024">
        <f t="shared" si="502"/>
        <v>0</v>
      </c>
      <c r="AY602" s="2025">
        <f>N28-N114</f>
        <v>0</v>
      </c>
      <c r="AZ602" s="2022">
        <f t="shared" si="503"/>
        <v>0</v>
      </c>
      <c r="BA602" s="2024">
        <f t="shared" si="504"/>
        <v>0</v>
      </c>
      <c r="BB602" s="2025">
        <f>Q28-Q114</f>
        <v>0</v>
      </c>
      <c r="BC602" s="2022">
        <f t="shared" si="505"/>
        <v>0</v>
      </c>
      <c r="BD602" s="2024">
        <f t="shared" si="506"/>
        <v>0</v>
      </c>
      <c r="BE602" s="2025">
        <f t="shared" ref="BE602:BT602" si="520">T28-T114</f>
        <v>0</v>
      </c>
      <c r="BF602" s="2025">
        <f t="shared" si="520"/>
        <v>0</v>
      </c>
      <c r="BG602" s="2025">
        <f t="shared" si="520"/>
        <v>0</v>
      </c>
      <c r="BH602" s="2025">
        <f t="shared" si="520"/>
        <v>0</v>
      </c>
      <c r="BI602" s="2025">
        <f t="shared" si="520"/>
        <v>0</v>
      </c>
      <c r="BJ602" s="2025">
        <f t="shared" si="520"/>
        <v>0</v>
      </c>
      <c r="BK602" s="2025">
        <f t="shared" si="520"/>
        <v>0</v>
      </c>
      <c r="BL602" s="2025">
        <f t="shared" si="520"/>
        <v>0</v>
      </c>
      <c r="BM602" s="2025">
        <f t="shared" si="520"/>
        <v>0</v>
      </c>
      <c r="BN602" s="2025">
        <f t="shared" si="520"/>
        <v>0</v>
      </c>
      <c r="BO602" s="2025">
        <f t="shared" si="520"/>
        <v>0</v>
      </c>
      <c r="BP602" s="2025">
        <f t="shared" si="520"/>
        <v>0</v>
      </c>
      <c r="BQ602" s="2025">
        <f t="shared" si="520"/>
        <v>0</v>
      </c>
      <c r="BR602" s="2025">
        <f t="shared" si="520"/>
        <v>0</v>
      </c>
      <c r="BS602" s="2025">
        <f t="shared" si="520"/>
        <v>0</v>
      </c>
      <c r="BT602" s="2025">
        <f t="shared" si="520"/>
        <v>0</v>
      </c>
      <c r="BU602" s="1970"/>
    </row>
    <row r="603" spans="2:73" s="536" customFormat="1">
      <c r="B603" s="1545" t="s">
        <v>870</v>
      </c>
      <c r="C603" s="1571">
        <v>3.5000000000000003E-2</v>
      </c>
      <c r="D603" s="531"/>
      <c r="E603" s="1572">
        <v>5.8999999999999997E-2</v>
      </c>
      <c r="F603" s="531"/>
      <c r="G603" s="531"/>
      <c r="H603" s="1572">
        <v>5.7000000000000002E-2</v>
      </c>
      <c r="I603" s="530"/>
      <c r="J603" s="530"/>
      <c r="K603" s="1572" t="s">
        <v>1260</v>
      </c>
      <c r="L603" s="531"/>
      <c r="M603" s="539"/>
      <c r="N603" s="1572">
        <v>0.04</v>
      </c>
      <c r="O603" s="531"/>
      <c r="P603" s="539"/>
      <c r="Q603" s="1572" t="s">
        <v>1260</v>
      </c>
      <c r="R603" s="531"/>
      <c r="S603" s="539"/>
      <c r="T603" s="1573">
        <v>1.7000000000000001E-2</v>
      </c>
      <c r="U603" s="1574">
        <v>4.2999999999999997E-2</v>
      </c>
      <c r="V603" s="1574">
        <v>4.3999999999999997E-2</v>
      </c>
      <c r="AK603" s="1964"/>
      <c r="AL603" s="2017" t="str">
        <f>A29</f>
        <v>7.2</v>
      </c>
      <c r="AM603" s="2018" t="str">
        <f>B29</f>
        <v>DEPRECIACIÓN ACUMULADA ACTIVOS FIJOS</v>
      </c>
      <c r="AN603" s="2048">
        <f>C29+C115</f>
        <v>0</v>
      </c>
      <c r="AO603" s="2020">
        <f t="shared" si="496"/>
        <v>0</v>
      </c>
      <c r="AP603" s="2025">
        <f>E29+E115</f>
        <v>0</v>
      </c>
      <c r="AQ603" s="2022">
        <f t="shared" si="497"/>
        <v>0</v>
      </c>
      <c r="AR603" s="2023">
        <f t="shared" si="498"/>
        <v>0</v>
      </c>
      <c r="AS603" s="2025">
        <f>H29+H115</f>
        <v>0</v>
      </c>
      <c r="AT603" s="2022">
        <f t="shared" si="499"/>
        <v>0</v>
      </c>
      <c r="AU603" s="2023">
        <f t="shared" si="500"/>
        <v>0</v>
      </c>
      <c r="AV603" s="2025">
        <f>K29+K115</f>
        <v>0</v>
      </c>
      <c r="AW603" s="2022">
        <f t="shared" si="501"/>
        <v>0</v>
      </c>
      <c r="AX603" s="2024">
        <f t="shared" si="502"/>
        <v>0</v>
      </c>
      <c r="AY603" s="2025">
        <f>N29+N115</f>
        <v>0</v>
      </c>
      <c r="AZ603" s="2022">
        <f t="shared" si="503"/>
        <v>0</v>
      </c>
      <c r="BA603" s="2024">
        <f t="shared" si="504"/>
        <v>0</v>
      </c>
      <c r="BB603" s="2025">
        <f>Q29+Q115</f>
        <v>0</v>
      </c>
      <c r="BC603" s="2022">
        <f t="shared" si="505"/>
        <v>0</v>
      </c>
      <c r="BD603" s="2024">
        <f t="shared" si="506"/>
        <v>0</v>
      </c>
      <c r="BE603" s="2025">
        <f t="shared" ref="BE603:BT603" si="521">T29+T115</f>
        <v>0</v>
      </c>
      <c r="BF603" s="2025">
        <f t="shared" si="521"/>
        <v>0</v>
      </c>
      <c r="BG603" s="2025">
        <f t="shared" si="521"/>
        <v>0</v>
      </c>
      <c r="BH603" s="2025">
        <f t="shared" si="521"/>
        <v>0</v>
      </c>
      <c r="BI603" s="2025">
        <f t="shared" si="521"/>
        <v>0</v>
      </c>
      <c r="BJ603" s="2025">
        <f t="shared" si="521"/>
        <v>0</v>
      </c>
      <c r="BK603" s="2025">
        <f t="shared" si="521"/>
        <v>0</v>
      </c>
      <c r="BL603" s="2025">
        <f t="shared" si="521"/>
        <v>0</v>
      </c>
      <c r="BM603" s="2025">
        <f t="shared" si="521"/>
        <v>0</v>
      </c>
      <c r="BN603" s="2025">
        <f t="shared" si="521"/>
        <v>0</v>
      </c>
      <c r="BO603" s="2025">
        <f t="shared" si="521"/>
        <v>0</v>
      </c>
      <c r="BP603" s="2025">
        <f t="shared" si="521"/>
        <v>0</v>
      </c>
      <c r="BQ603" s="2025">
        <f t="shared" si="521"/>
        <v>0</v>
      </c>
      <c r="BR603" s="2025">
        <f t="shared" si="521"/>
        <v>0</v>
      </c>
      <c r="BS603" s="2025">
        <f t="shared" si="521"/>
        <v>0</v>
      </c>
      <c r="BT603" s="2025">
        <f t="shared" si="521"/>
        <v>0</v>
      </c>
      <c r="BU603" s="1970"/>
    </row>
    <row r="604" spans="2:73" s="536" customFormat="1">
      <c r="B604" s="1551" t="s">
        <v>872</v>
      </c>
      <c r="C604" s="1576" t="s">
        <v>1260</v>
      </c>
      <c r="D604" s="531"/>
      <c r="E604" s="1576" t="s">
        <v>1260</v>
      </c>
      <c r="F604" s="531"/>
      <c r="G604" s="531"/>
      <c r="H604" s="1576" t="s">
        <v>1260</v>
      </c>
      <c r="I604" s="530"/>
      <c r="J604" s="530"/>
      <c r="K604" s="1577" t="s">
        <v>1260</v>
      </c>
      <c r="L604" s="531"/>
      <c r="M604" s="539"/>
      <c r="N604" s="1576" t="s">
        <v>1260</v>
      </c>
      <c r="O604" s="531"/>
      <c r="P604" s="539"/>
      <c r="Q604" s="1577" t="s">
        <v>1260</v>
      </c>
      <c r="R604" s="531"/>
      <c r="S604" s="539"/>
      <c r="T604" s="1576" t="s">
        <v>1260</v>
      </c>
      <c r="U604" s="1576" t="s">
        <v>1260</v>
      </c>
      <c r="V604" s="1576" t="s">
        <v>1260</v>
      </c>
      <c r="AK604" s="1964"/>
      <c r="AL604" s="2029" t="s">
        <v>1394</v>
      </c>
      <c r="AM604" s="2018" t="s">
        <v>1395</v>
      </c>
      <c r="AN604" s="2019">
        <f>C114-C115</f>
        <v>0</v>
      </c>
      <c r="AO604" s="2020">
        <f t="shared" si="496"/>
        <v>0</v>
      </c>
      <c r="AP604" s="2021">
        <f>E114-E115</f>
        <v>0</v>
      </c>
      <c r="AQ604" s="2022">
        <f t="shared" si="497"/>
        <v>0</v>
      </c>
      <c r="AR604" s="2023">
        <f t="shared" si="498"/>
        <v>0</v>
      </c>
      <c r="AS604" s="2021">
        <f>H114-H115</f>
        <v>0</v>
      </c>
      <c r="AT604" s="2022">
        <f t="shared" si="499"/>
        <v>0</v>
      </c>
      <c r="AU604" s="2023">
        <f t="shared" si="500"/>
        <v>0</v>
      </c>
      <c r="AV604" s="2021">
        <f>K114-K115</f>
        <v>0</v>
      </c>
      <c r="AW604" s="2022">
        <f t="shared" si="501"/>
        <v>0</v>
      </c>
      <c r="AX604" s="2024">
        <f t="shared" si="502"/>
        <v>0</v>
      </c>
      <c r="AY604" s="2021">
        <f>N114-N115</f>
        <v>0</v>
      </c>
      <c r="AZ604" s="2022">
        <f t="shared" si="503"/>
        <v>0</v>
      </c>
      <c r="BA604" s="2024">
        <f t="shared" si="504"/>
        <v>0</v>
      </c>
      <c r="BB604" s="2021">
        <f>Q114-Q115</f>
        <v>0</v>
      </c>
      <c r="BC604" s="2022">
        <f t="shared" si="505"/>
        <v>0</v>
      </c>
      <c r="BD604" s="2024">
        <f t="shared" si="506"/>
        <v>0</v>
      </c>
      <c r="BE604" s="2025">
        <f t="shared" ref="BE604:BT604" si="522">T114-T115</f>
        <v>0</v>
      </c>
      <c r="BF604" s="2025">
        <f t="shared" si="522"/>
        <v>0</v>
      </c>
      <c r="BG604" s="2025">
        <f t="shared" si="522"/>
        <v>0</v>
      </c>
      <c r="BH604" s="2025">
        <f t="shared" si="522"/>
        <v>0</v>
      </c>
      <c r="BI604" s="2025">
        <f t="shared" si="522"/>
        <v>0</v>
      </c>
      <c r="BJ604" s="2025">
        <f t="shared" si="522"/>
        <v>0</v>
      </c>
      <c r="BK604" s="2025">
        <f t="shared" si="522"/>
        <v>0</v>
      </c>
      <c r="BL604" s="2025">
        <f t="shared" si="522"/>
        <v>0</v>
      </c>
      <c r="BM604" s="2025">
        <f t="shared" si="522"/>
        <v>0</v>
      </c>
      <c r="BN604" s="2025">
        <f t="shared" si="522"/>
        <v>0</v>
      </c>
      <c r="BO604" s="2025">
        <f t="shared" si="522"/>
        <v>0</v>
      </c>
      <c r="BP604" s="2025">
        <f t="shared" si="522"/>
        <v>0</v>
      </c>
      <c r="BQ604" s="2025">
        <f t="shared" si="522"/>
        <v>0</v>
      </c>
      <c r="BR604" s="2025">
        <f t="shared" si="522"/>
        <v>0</v>
      </c>
      <c r="BS604" s="2025">
        <f t="shared" si="522"/>
        <v>0</v>
      </c>
      <c r="BT604" s="2025">
        <f t="shared" si="522"/>
        <v>0</v>
      </c>
      <c r="BU604" s="1970"/>
    </row>
    <row r="605" spans="2:73" s="536" customFormat="1">
      <c r="B605" s="1551" t="s">
        <v>874</v>
      </c>
      <c r="C605" s="1576">
        <v>5.8999999999999997E-2</v>
      </c>
      <c r="D605" s="531"/>
      <c r="E605" s="1577">
        <v>0.108</v>
      </c>
      <c r="F605" s="531"/>
      <c r="G605" s="531"/>
      <c r="H605" s="1577">
        <v>0.10199999999999999</v>
      </c>
      <c r="I605" s="530"/>
      <c r="J605" s="530"/>
      <c r="K605" s="1577" t="s">
        <v>1260</v>
      </c>
      <c r="L605" s="531"/>
      <c r="M605" s="539"/>
      <c r="N605" s="1577">
        <v>8.4000000000000005E-2</v>
      </c>
      <c r="O605" s="531"/>
      <c r="P605" s="539"/>
      <c r="Q605" s="1577" t="s">
        <v>1260</v>
      </c>
      <c r="R605" s="531"/>
      <c r="S605" s="539"/>
      <c r="T605" s="1578">
        <v>6.5000000000000002E-2</v>
      </c>
      <c r="U605" s="1579">
        <v>6.0999999999999999E-2</v>
      </c>
      <c r="V605" s="1579">
        <v>5.8000000000000003E-2</v>
      </c>
      <c r="AK605" s="1964"/>
      <c r="AL605" s="2017">
        <v>7</v>
      </c>
      <c r="AM605" s="2026" t="s">
        <v>1396</v>
      </c>
      <c r="AN605" s="2027">
        <f>SUM(AN602:AN604)</f>
        <v>0</v>
      </c>
      <c r="AO605" s="2020">
        <f t="shared" si="496"/>
        <v>0</v>
      </c>
      <c r="AP605" s="2028">
        <f>SUM(AP602:AP604)</f>
        <v>0</v>
      </c>
      <c r="AQ605" s="2022">
        <f t="shared" si="497"/>
        <v>0</v>
      </c>
      <c r="AR605" s="2023">
        <f t="shared" si="498"/>
        <v>0</v>
      </c>
      <c r="AS605" s="2028">
        <f>SUM(AS602:AS604)</f>
        <v>0</v>
      </c>
      <c r="AT605" s="2022">
        <f t="shared" si="499"/>
        <v>0</v>
      </c>
      <c r="AU605" s="2023">
        <f t="shared" si="500"/>
        <v>0</v>
      </c>
      <c r="AV605" s="2028">
        <f>SUM(AV602:AV604)</f>
        <v>0</v>
      </c>
      <c r="AW605" s="2022">
        <f t="shared" si="501"/>
        <v>0</v>
      </c>
      <c r="AX605" s="2024">
        <f t="shared" si="502"/>
        <v>0</v>
      </c>
      <c r="AY605" s="2028">
        <f>SUM(AY602:AY604)</f>
        <v>0</v>
      </c>
      <c r="AZ605" s="2022">
        <f t="shared" si="503"/>
        <v>0</v>
      </c>
      <c r="BA605" s="2024">
        <f t="shared" si="504"/>
        <v>0</v>
      </c>
      <c r="BB605" s="2028">
        <f>SUM(BB602:BB604)</f>
        <v>0</v>
      </c>
      <c r="BC605" s="2022">
        <f t="shared" si="505"/>
        <v>0</v>
      </c>
      <c r="BD605" s="2024">
        <f t="shared" si="506"/>
        <v>0</v>
      </c>
      <c r="BE605" s="2028">
        <f t="shared" ref="BE605:BT605" si="523">SUM(BE602:BE604)</f>
        <v>0</v>
      </c>
      <c r="BF605" s="2028">
        <f t="shared" si="523"/>
        <v>0</v>
      </c>
      <c r="BG605" s="2028">
        <f t="shared" si="523"/>
        <v>0</v>
      </c>
      <c r="BH605" s="2028">
        <f t="shared" si="523"/>
        <v>0</v>
      </c>
      <c r="BI605" s="2028">
        <f t="shared" si="523"/>
        <v>0</v>
      </c>
      <c r="BJ605" s="2028">
        <f t="shared" si="523"/>
        <v>0</v>
      </c>
      <c r="BK605" s="2028">
        <f t="shared" si="523"/>
        <v>0</v>
      </c>
      <c r="BL605" s="2028">
        <f t="shared" si="523"/>
        <v>0</v>
      </c>
      <c r="BM605" s="2028">
        <f t="shared" si="523"/>
        <v>0</v>
      </c>
      <c r="BN605" s="2028">
        <f t="shared" si="523"/>
        <v>0</v>
      </c>
      <c r="BO605" s="2028">
        <f t="shared" si="523"/>
        <v>0</v>
      </c>
      <c r="BP605" s="2028">
        <f t="shared" si="523"/>
        <v>0</v>
      </c>
      <c r="BQ605" s="2028">
        <f t="shared" si="523"/>
        <v>0</v>
      </c>
      <c r="BR605" s="2028">
        <f t="shared" si="523"/>
        <v>0</v>
      </c>
      <c r="BS605" s="2028">
        <f t="shared" si="523"/>
        <v>0</v>
      </c>
      <c r="BT605" s="2028">
        <f t="shared" si="523"/>
        <v>0</v>
      </c>
      <c r="BU605" s="1970"/>
    </row>
    <row r="606" spans="2:73" s="536" customFormat="1" ht="13.5" thickBot="1">
      <c r="B606" s="1582" t="s">
        <v>1344</v>
      </c>
      <c r="C606" s="1583">
        <v>1</v>
      </c>
      <c r="D606" s="1584"/>
      <c r="E606" s="1585">
        <v>1</v>
      </c>
      <c r="F606" s="1584"/>
      <c r="G606" s="1584"/>
      <c r="H606" s="1585">
        <v>1</v>
      </c>
      <c r="I606" s="1586"/>
      <c r="J606" s="1586"/>
      <c r="K606" s="1587" t="s">
        <v>1260</v>
      </c>
      <c r="L606" s="1584"/>
      <c r="M606" s="1588"/>
      <c r="N606" s="1587">
        <v>1</v>
      </c>
      <c r="O606" s="1584"/>
      <c r="P606" s="1588"/>
      <c r="Q606" s="1587" t="s">
        <v>1260</v>
      </c>
      <c r="R606" s="1584"/>
      <c r="S606" s="1588"/>
      <c r="T606" s="1589">
        <v>1</v>
      </c>
      <c r="U606" s="1590">
        <v>1</v>
      </c>
      <c r="V606" s="1590">
        <v>1</v>
      </c>
      <c r="AK606" s="1964"/>
      <c r="AL606" s="2029" t="s">
        <v>1397</v>
      </c>
      <c r="AM606" s="2018" t="str">
        <f>B30</f>
        <v>INTANGIBLES NETO</v>
      </c>
      <c r="AN606" s="2019">
        <f>C30-C116+C117</f>
        <v>0</v>
      </c>
      <c r="AO606" s="2020">
        <f t="shared" si="496"/>
        <v>0</v>
      </c>
      <c r="AP606" s="2021">
        <f>E30-E116+E117</f>
        <v>0</v>
      </c>
      <c r="AQ606" s="2022">
        <f t="shared" si="497"/>
        <v>0</v>
      </c>
      <c r="AR606" s="2023">
        <f t="shared" si="498"/>
        <v>0</v>
      </c>
      <c r="AS606" s="2021">
        <f>H30-H116+H117</f>
        <v>0</v>
      </c>
      <c r="AT606" s="2022">
        <f t="shared" si="499"/>
        <v>0</v>
      </c>
      <c r="AU606" s="2023">
        <f t="shared" si="500"/>
        <v>0</v>
      </c>
      <c r="AV606" s="2021">
        <f>K30-K116+K117</f>
        <v>0</v>
      </c>
      <c r="AW606" s="2022">
        <f t="shared" si="501"/>
        <v>0</v>
      </c>
      <c r="AX606" s="2024">
        <f t="shared" si="502"/>
        <v>0</v>
      </c>
      <c r="AY606" s="2021">
        <f>N30-N116+N117</f>
        <v>0</v>
      </c>
      <c r="AZ606" s="2022">
        <f t="shared" si="503"/>
        <v>0</v>
      </c>
      <c r="BA606" s="2024">
        <f t="shared" si="504"/>
        <v>0</v>
      </c>
      <c r="BB606" s="2021">
        <f>Q30-Q116+Q117</f>
        <v>0</v>
      </c>
      <c r="BC606" s="2022">
        <f t="shared" si="505"/>
        <v>0</v>
      </c>
      <c r="BD606" s="2024">
        <f t="shared" si="506"/>
        <v>0</v>
      </c>
      <c r="BE606" s="2025">
        <f t="shared" ref="BE606:BT606" si="524">T30-T116+T117</f>
        <v>0</v>
      </c>
      <c r="BF606" s="2025">
        <f t="shared" si="524"/>
        <v>0</v>
      </c>
      <c r="BG606" s="2025">
        <f t="shared" si="524"/>
        <v>0</v>
      </c>
      <c r="BH606" s="2025">
        <f t="shared" si="524"/>
        <v>0</v>
      </c>
      <c r="BI606" s="2025">
        <f t="shared" si="524"/>
        <v>0</v>
      </c>
      <c r="BJ606" s="2025">
        <f t="shared" si="524"/>
        <v>0</v>
      </c>
      <c r="BK606" s="2025">
        <f t="shared" si="524"/>
        <v>0</v>
      </c>
      <c r="BL606" s="2025">
        <f t="shared" si="524"/>
        <v>0</v>
      </c>
      <c r="BM606" s="2025">
        <f t="shared" si="524"/>
        <v>0</v>
      </c>
      <c r="BN606" s="2025">
        <f t="shared" si="524"/>
        <v>0</v>
      </c>
      <c r="BO606" s="2025">
        <f t="shared" si="524"/>
        <v>0</v>
      </c>
      <c r="BP606" s="2025">
        <f t="shared" si="524"/>
        <v>0</v>
      </c>
      <c r="BQ606" s="2025">
        <f t="shared" si="524"/>
        <v>0</v>
      </c>
      <c r="BR606" s="2025">
        <f t="shared" si="524"/>
        <v>0</v>
      </c>
      <c r="BS606" s="2025">
        <f t="shared" si="524"/>
        <v>0</v>
      </c>
      <c r="BT606" s="2025">
        <f t="shared" si="524"/>
        <v>0</v>
      </c>
      <c r="BU606" s="1970"/>
    </row>
    <row r="607" spans="2:73" s="536" customFormat="1">
      <c r="AK607" s="1964"/>
      <c r="AL607" s="2029" t="s">
        <v>1398</v>
      </c>
      <c r="AM607" s="2018" t="s">
        <v>1399</v>
      </c>
      <c r="AN607" s="2019">
        <f>C116-C117</f>
        <v>0</v>
      </c>
      <c r="AO607" s="2020">
        <f t="shared" si="496"/>
        <v>0</v>
      </c>
      <c r="AP607" s="2021">
        <f>E116-E117</f>
        <v>0</v>
      </c>
      <c r="AQ607" s="2022">
        <f t="shared" si="497"/>
        <v>0</v>
      </c>
      <c r="AR607" s="2023">
        <f t="shared" si="498"/>
        <v>0</v>
      </c>
      <c r="AS607" s="2021">
        <f>H116-H117</f>
        <v>0</v>
      </c>
      <c r="AT607" s="2022">
        <f t="shared" si="499"/>
        <v>0</v>
      </c>
      <c r="AU607" s="2023">
        <f t="shared" si="500"/>
        <v>0</v>
      </c>
      <c r="AV607" s="2021">
        <f>K116-K117</f>
        <v>0</v>
      </c>
      <c r="AW607" s="2022">
        <f t="shared" si="501"/>
        <v>0</v>
      </c>
      <c r="AX607" s="2024">
        <f t="shared" si="502"/>
        <v>0</v>
      </c>
      <c r="AY607" s="2021">
        <f>N116-N117</f>
        <v>0</v>
      </c>
      <c r="AZ607" s="2022">
        <f t="shared" si="503"/>
        <v>0</v>
      </c>
      <c r="BA607" s="2024">
        <f t="shared" si="504"/>
        <v>0</v>
      </c>
      <c r="BB607" s="2021">
        <f>Q116-Q117</f>
        <v>0</v>
      </c>
      <c r="BC607" s="2022">
        <f t="shared" si="505"/>
        <v>0</v>
      </c>
      <c r="BD607" s="2024">
        <f t="shared" si="506"/>
        <v>0</v>
      </c>
      <c r="BE607" s="2025">
        <f t="shared" ref="BE607:BT607" si="525">T116-T117</f>
        <v>0</v>
      </c>
      <c r="BF607" s="2025">
        <f t="shared" si="525"/>
        <v>0</v>
      </c>
      <c r="BG607" s="2025">
        <f t="shared" si="525"/>
        <v>0</v>
      </c>
      <c r="BH607" s="2025">
        <f t="shared" si="525"/>
        <v>0</v>
      </c>
      <c r="BI607" s="2025">
        <f t="shared" si="525"/>
        <v>0</v>
      </c>
      <c r="BJ607" s="2025">
        <f t="shared" si="525"/>
        <v>0</v>
      </c>
      <c r="BK607" s="2025">
        <f t="shared" si="525"/>
        <v>0</v>
      </c>
      <c r="BL607" s="2025">
        <f t="shared" si="525"/>
        <v>0</v>
      </c>
      <c r="BM607" s="2025">
        <f t="shared" si="525"/>
        <v>0</v>
      </c>
      <c r="BN607" s="2025">
        <f t="shared" si="525"/>
        <v>0</v>
      </c>
      <c r="BO607" s="2025">
        <f t="shared" si="525"/>
        <v>0</v>
      </c>
      <c r="BP607" s="2025">
        <f t="shared" si="525"/>
        <v>0</v>
      </c>
      <c r="BQ607" s="2025">
        <f t="shared" si="525"/>
        <v>0</v>
      </c>
      <c r="BR607" s="2025">
        <f t="shared" si="525"/>
        <v>0</v>
      </c>
      <c r="BS607" s="2025">
        <f t="shared" si="525"/>
        <v>0</v>
      </c>
      <c r="BT607" s="2025">
        <f t="shared" si="525"/>
        <v>0</v>
      </c>
      <c r="BU607" s="1970"/>
    </row>
    <row r="608" spans="2:73" s="536" customFormat="1">
      <c r="AK608" s="1964"/>
      <c r="AL608" s="2017">
        <f>A30</f>
        <v>8</v>
      </c>
      <c r="AM608" s="2026" t="s">
        <v>1400</v>
      </c>
      <c r="AN608" s="2027">
        <f>SUM(AN606:AN607)</f>
        <v>0</v>
      </c>
      <c r="AO608" s="2020">
        <f t="shared" si="496"/>
        <v>0</v>
      </c>
      <c r="AP608" s="2028">
        <f>SUM(AP606:AP607)</f>
        <v>0</v>
      </c>
      <c r="AQ608" s="2022">
        <f t="shared" si="497"/>
        <v>0</v>
      </c>
      <c r="AR608" s="2023">
        <f t="shared" si="498"/>
        <v>0</v>
      </c>
      <c r="AS608" s="2028">
        <f>SUM(AS606:AS607)</f>
        <v>0</v>
      </c>
      <c r="AT608" s="2022">
        <f t="shared" si="499"/>
        <v>0</v>
      </c>
      <c r="AU608" s="2023">
        <f t="shared" si="500"/>
        <v>0</v>
      </c>
      <c r="AV608" s="2028">
        <f>SUM(AV606:AV607)</f>
        <v>0</v>
      </c>
      <c r="AW608" s="2022">
        <f t="shared" si="501"/>
        <v>0</v>
      </c>
      <c r="AX608" s="2024">
        <f t="shared" si="502"/>
        <v>0</v>
      </c>
      <c r="AY608" s="2028">
        <f>SUM(AY606:AY607)</f>
        <v>0</v>
      </c>
      <c r="AZ608" s="2022">
        <f t="shared" si="503"/>
        <v>0</v>
      </c>
      <c r="BA608" s="2024">
        <f t="shared" si="504"/>
        <v>0</v>
      </c>
      <c r="BB608" s="2028">
        <f>SUM(BB606:BB607)</f>
        <v>0</v>
      </c>
      <c r="BC608" s="2022">
        <f t="shared" si="505"/>
        <v>0</v>
      </c>
      <c r="BD608" s="2024">
        <f t="shared" si="506"/>
        <v>0</v>
      </c>
      <c r="BE608" s="2028">
        <f t="shared" ref="BE608:BT608" si="526">SUM(BE606:BE607)</f>
        <v>0</v>
      </c>
      <c r="BF608" s="2028">
        <f t="shared" si="526"/>
        <v>0</v>
      </c>
      <c r="BG608" s="2028">
        <f t="shared" si="526"/>
        <v>0</v>
      </c>
      <c r="BH608" s="2028">
        <f t="shared" si="526"/>
        <v>0</v>
      </c>
      <c r="BI608" s="2028">
        <f t="shared" si="526"/>
        <v>0</v>
      </c>
      <c r="BJ608" s="2028">
        <f t="shared" si="526"/>
        <v>0</v>
      </c>
      <c r="BK608" s="2028">
        <f t="shared" si="526"/>
        <v>0</v>
      </c>
      <c r="BL608" s="2028">
        <f t="shared" si="526"/>
        <v>0</v>
      </c>
      <c r="BM608" s="2028">
        <f t="shared" si="526"/>
        <v>0</v>
      </c>
      <c r="BN608" s="2028">
        <f t="shared" si="526"/>
        <v>0</v>
      </c>
      <c r="BO608" s="2028">
        <f t="shared" si="526"/>
        <v>0</v>
      </c>
      <c r="BP608" s="2028">
        <f t="shared" si="526"/>
        <v>0</v>
      </c>
      <c r="BQ608" s="2028">
        <f t="shared" si="526"/>
        <v>0</v>
      </c>
      <c r="BR608" s="2028">
        <f t="shared" si="526"/>
        <v>0</v>
      </c>
      <c r="BS608" s="2028">
        <f t="shared" si="526"/>
        <v>0</v>
      </c>
      <c r="BT608" s="2028">
        <f t="shared" si="526"/>
        <v>0</v>
      </c>
      <c r="BU608" s="1970"/>
    </row>
    <row r="609" spans="2:73" s="536" customFormat="1">
      <c r="AK609" s="1964"/>
      <c r="AL609" s="2029" t="s">
        <v>1157</v>
      </c>
      <c r="AM609" s="2018" t="str">
        <f>B31</f>
        <v>CARGOS DIFERIDOS NETO</v>
      </c>
      <c r="AN609" s="2019">
        <f>C31-C119+C120</f>
        <v>0</v>
      </c>
      <c r="AO609" s="2020">
        <f t="shared" si="496"/>
        <v>0</v>
      </c>
      <c r="AP609" s="2021">
        <f>E31-E119+E120</f>
        <v>0</v>
      </c>
      <c r="AQ609" s="2022">
        <f t="shared" si="497"/>
        <v>0</v>
      </c>
      <c r="AR609" s="2023">
        <f t="shared" si="498"/>
        <v>0</v>
      </c>
      <c r="AS609" s="2021">
        <f>H31-H119+H120</f>
        <v>0</v>
      </c>
      <c r="AT609" s="2022">
        <f t="shared" si="499"/>
        <v>0</v>
      </c>
      <c r="AU609" s="2023">
        <f t="shared" si="500"/>
        <v>0</v>
      </c>
      <c r="AV609" s="2021">
        <f>K31-K119+K120</f>
        <v>0</v>
      </c>
      <c r="AW609" s="2022">
        <f t="shared" si="501"/>
        <v>0</v>
      </c>
      <c r="AX609" s="2024">
        <f t="shared" si="502"/>
        <v>0</v>
      </c>
      <c r="AY609" s="2021">
        <f>N31-N119+N120</f>
        <v>0</v>
      </c>
      <c r="AZ609" s="2022">
        <f t="shared" si="503"/>
        <v>0</v>
      </c>
      <c r="BA609" s="2024">
        <f t="shared" si="504"/>
        <v>0</v>
      </c>
      <c r="BB609" s="2021">
        <f>Q31-Q119+Q120</f>
        <v>0</v>
      </c>
      <c r="BC609" s="2022">
        <f t="shared" si="505"/>
        <v>0</v>
      </c>
      <c r="BD609" s="2024">
        <f t="shared" si="506"/>
        <v>0</v>
      </c>
      <c r="BE609" s="2025">
        <f t="shared" ref="BE609:BT609" si="527">T31-T119+T120</f>
        <v>0</v>
      </c>
      <c r="BF609" s="2025">
        <f t="shared" si="527"/>
        <v>0</v>
      </c>
      <c r="BG609" s="2025">
        <f t="shared" si="527"/>
        <v>0</v>
      </c>
      <c r="BH609" s="2025">
        <f t="shared" si="527"/>
        <v>0</v>
      </c>
      <c r="BI609" s="2025">
        <f t="shared" si="527"/>
        <v>0</v>
      </c>
      <c r="BJ609" s="2025">
        <f t="shared" si="527"/>
        <v>0</v>
      </c>
      <c r="BK609" s="2025">
        <f t="shared" si="527"/>
        <v>0</v>
      </c>
      <c r="BL609" s="2025">
        <f t="shared" si="527"/>
        <v>0</v>
      </c>
      <c r="BM609" s="2025">
        <f t="shared" si="527"/>
        <v>0</v>
      </c>
      <c r="BN609" s="2025">
        <f t="shared" si="527"/>
        <v>0</v>
      </c>
      <c r="BO609" s="2025">
        <f t="shared" si="527"/>
        <v>0</v>
      </c>
      <c r="BP609" s="2025">
        <f t="shared" si="527"/>
        <v>0</v>
      </c>
      <c r="BQ609" s="2025">
        <f t="shared" si="527"/>
        <v>0</v>
      </c>
      <c r="BR609" s="2025">
        <f t="shared" si="527"/>
        <v>0</v>
      </c>
      <c r="BS609" s="2025">
        <f t="shared" si="527"/>
        <v>0</v>
      </c>
      <c r="BT609" s="2025">
        <f t="shared" si="527"/>
        <v>0</v>
      </c>
      <c r="BU609" s="1970"/>
    </row>
    <row r="610" spans="2:73" s="536" customFormat="1">
      <c r="AK610" s="1964"/>
      <c r="AL610" s="2029" t="s">
        <v>1159</v>
      </c>
      <c r="AM610" s="2018" t="s">
        <v>1401</v>
      </c>
      <c r="AN610" s="2019">
        <f>C119-C120</f>
        <v>0</v>
      </c>
      <c r="AO610" s="2020">
        <f t="shared" si="496"/>
        <v>0</v>
      </c>
      <c r="AP610" s="2021">
        <f>E119-E120</f>
        <v>0</v>
      </c>
      <c r="AQ610" s="2022">
        <f t="shared" si="497"/>
        <v>0</v>
      </c>
      <c r="AR610" s="2023">
        <f t="shared" si="498"/>
        <v>0</v>
      </c>
      <c r="AS610" s="2021">
        <f>H119-H120</f>
        <v>0</v>
      </c>
      <c r="AT610" s="2022">
        <f t="shared" si="499"/>
        <v>0</v>
      </c>
      <c r="AU610" s="2023">
        <f t="shared" si="500"/>
        <v>0</v>
      </c>
      <c r="AV610" s="2021">
        <f>K119-K120</f>
        <v>0</v>
      </c>
      <c r="AW610" s="2022">
        <f t="shared" si="501"/>
        <v>0</v>
      </c>
      <c r="AX610" s="2024">
        <f t="shared" si="502"/>
        <v>0</v>
      </c>
      <c r="AY610" s="2021">
        <f>N119-N120</f>
        <v>0</v>
      </c>
      <c r="AZ610" s="2022">
        <f t="shared" si="503"/>
        <v>0</v>
      </c>
      <c r="BA610" s="2024">
        <f t="shared" si="504"/>
        <v>0</v>
      </c>
      <c r="BB610" s="2021">
        <f>Q119-Q120</f>
        <v>0</v>
      </c>
      <c r="BC610" s="2022">
        <f t="shared" si="505"/>
        <v>0</v>
      </c>
      <c r="BD610" s="2024">
        <f t="shared" si="506"/>
        <v>0</v>
      </c>
      <c r="BE610" s="2025">
        <f t="shared" ref="BE610:BT610" si="528">T119-T120</f>
        <v>0</v>
      </c>
      <c r="BF610" s="2025">
        <f t="shared" si="528"/>
        <v>0</v>
      </c>
      <c r="BG610" s="2025">
        <f t="shared" si="528"/>
        <v>0</v>
      </c>
      <c r="BH610" s="2025">
        <f t="shared" si="528"/>
        <v>0</v>
      </c>
      <c r="BI610" s="2025">
        <f t="shared" si="528"/>
        <v>0</v>
      </c>
      <c r="BJ610" s="2025">
        <f t="shared" si="528"/>
        <v>0</v>
      </c>
      <c r="BK610" s="2025">
        <f t="shared" si="528"/>
        <v>0</v>
      </c>
      <c r="BL610" s="2025">
        <f t="shared" si="528"/>
        <v>0</v>
      </c>
      <c r="BM610" s="2025">
        <f t="shared" si="528"/>
        <v>0</v>
      </c>
      <c r="BN610" s="2025">
        <f t="shared" si="528"/>
        <v>0</v>
      </c>
      <c r="BO610" s="2025">
        <f t="shared" si="528"/>
        <v>0</v>
      </c>
      <c r="BP610" s="2025">
        <f t="shared" si="528"/>
        <v>0</v>
      </c>
      <c r="BQ610" s="2025">
        <f t="shared" si="528"/>
        <v>0</v>
      </c>
      <c r="BR610" s="2025">
        <f t="shared" si="528"/>
        <v>0</v>
      </c>
      <c r="BS610" s="2025">
        <f t="shared" si="528"/>
        <v>0</v>
      </c>
      <c r="BT610" s="2025">
        <f t="shared" si="528"/>
        <v>0</v>
      </c>
      <c r="BU610" s="1970"/>
    </row>
    <row r="611" spans="2:73" s="536" customFormat="1">
      <c r="AK611" s="1964"/>
      <c r="AL611" s="2017">
        <f>A31</f>
        <v>9</v>
      </c>
      <c r="AM611" s="2026" t="s">
        <v>1402</v>
      </c>
      <c r="AN611" s="2027">
        <f>SUM(AN609:AN610)</f>
        <v>0</v>
      </c>
      <c r="AO611" s="2020">
        <f t="shared" si="496"/>
        <v>0</v>
      </c>
      <c r="AP611" s="2028">
        <f>SUM(AP609:AP610)</f>
        <v>0</v>
      </c>
      <c r="AQ611" s="2022">
        <f t="shared" si="497"/>
        <v>0</v>
      </c>
      <c r="AR611" s="2023">
        <f t="shared" si="498"/>
        <v>0</v>
      </c>
      <c r="AS611" s="2028">
        <f>SUM(AS609:AS610)</f>
        <v>0</v>
      </c>
      <c r="AT611" s="2022">
        <f t="shared" si="499"/>
        <v>0</v>
      </c>
      <c r="AU611" s="2023">
        <f t="shared" si="500"/>
        <v>0</v>
      </c>
      <c r="AV611" s="2028">
        <f>SUM(AV609:AV610)</f>
        <v>0</v>
      </c>
      <c r="AW611" s="2022">
        <f t="shared" si="501"/>
        <v>0</v>
      </c>
      <c r="AX611" s="2024">
        <f t="shared" si="502"/>
        <v>0</v>
      </c>
      <c r="AY611" s="2028">
        <f>SUM(AY609:AY610)</f>
        <v>0</v>
      </c>
      <c r="AZ611" s="2022">
        <f t="shared" si="503"/>
        <v>0</v>
      </c>
      <c r="BA611" s="2024">
        <f t="shared" si="504"/>
        <v>0</v>
      </c>
      <c r="BB611" s="2028">
        <f>SUM(BB609:BB610)</f>
        <v>0</v>
      </c>
      <c r="BC611" s="2022">
        <f t="shared" si="505"/>
        <v>0</v>
      </c>
      <c r="BD611" s="2024">
        <f t="shared" si="506"/>
        <v>0</v>
      </c>
      <c r="BE611" s="2028">
        <f t="shared" ref="BE611:BT611" si="529">SUM(BE609:BE610)</f>
        <v>0</v>
      </c>
      <c r="BF611" s="2028">
        <f t="shared" si="529"/>
        <v>0</v>
      </c>
      <c r="BG611" s="2028">
        <f t="shared" si="529"/>
        <v>0</v>
      </c>
      <c r="BH611" s="2028">
        <f t="shared" si="529"/>
        <v>0</v>
      </c>
      <c r="BI611" s="2028">
        <f t="shared" si="529"/>
        <v>0</v>
      </c>
      <c r="BJ611" s="2028">
        <f t="shared" si="529"/>
        <v>0</v>
      </c>
      <c r="BK611" s="2028">
        <f t="shared" si="529"/>
        <v>0</v>
      </c>
      <c r="BL611" s="2028">
        <f t="shared" si="529"/>
        <v>0</v>
      </c>
      <c r="BM611" s="2028">
        <f t="shared" si="529"/>
        <v>0</v>
      </c>
      <c r="BN611" s="2028">
        <f t="shared" si="529"/>
        <v>0</v>
      </c>
      <c r="BO611" s="2028">
        <f t="shared" si="529"/>
        <v>0</v>
      </c>
      <c r="BP611" s="2028">
        <f t="shared" si="529"/>
        <v>0</v>
      </c>
      <c r="BQ611" s="2028">
        <f t="shared" si="529"/>
        <v>0</v>
      </c>
      <c r="BR611" s="2028">
        <f t="shared" si="529"/>
        <v>0</v>
      </c>
      <c r="BS611" s="2028">
        <f t="shared" si="529"/>
        <v>0</v>
      </c>
      <c r="BT611" s="2028">
        <f t="shared" si="529"/>
        <v>0</v>
      </c>
      <c r="BU611" s="1970"/>
    </row>
    <row r="612" spans="2:73" s="536" customFormat="1">
      <c r="AK612" s="1964"/>
      <c r="AL612" s="2029" t="s">
        <v>1166</v>
      </c>
      <c r="AM612" s="2018" t="str">
        <f>B32</f>
        <v>OTROS ACTIVOS L.P.</v>
      </c>
      <c r="AN612" s="2019">
        <f>C32-C121</f>
        <v>0</v>
      </c>
      <c r="AO612" s="2020">
        <f t="shared" si="496"/>
        <v>0</v>
      </c>
      <c r="AP612" s="2021">
        <f>E32-E121</f>
        <v>0</v>
      </c>
      <c r="AQ612" s="2022">
        <f t="shared" si="497"/>
        <v>0</v>
      </c>
      <c r="AR612" s="2023">
        <f t="shared" si="498"/>
        <v>0</v>
      </c>
      <c r="AS612" s="2021">
        <f>H32-H121</f>
        <v>0</v>
      </c>
      <c r="AT612" s="2022">
        <f t="shared" si="499"/>
        <v>0</v>
      </c>
      <c r="AU612" s="2023">
        <f t="shared" si="500"/>
        <v>0</v>
      </c>
      <c r="AV612" s="2021">
        <f>K32-K121</f>
        <v>0</v>
      </c>
      <c r="AW612" s="2022">
        <f t="shared" si="501"/>
        <v>0</v>
      </c>
      <c r="AX612" s="2024">
        <f t="shared" si="502"/>
        <v>0</v>
      </c>
      <c r="AY612" s="2021">
        <f>N32-N121</f>
        <v>0</v>
      </c>
      <c r="AZ612" s="2022">
        <f t="shared" si="503"/>
        <v>0</v>
      </c>
      <c r="BA612" s="2024">
        <f t="shared" si="504"/>
        <v>0</v>
      </c>
      <c r="BB612" s="2021">
        <f>Q32-Q121</f>
        <v>0</v>
      </c>
      <c r="BC612" s="2022">
        <f t="shared" si="505"/>
        <v>0</v>
      </c>
      <c r="BD612" s="2024">
        <f t="shared" si="506"/>
        <v>0</v>
      </c>
      <c r="BE612" s="2025">
        <f t="shared" ref="BE612:BT612" si="530">T32-T121</f>
        <v>0</v>
      </c>
      <c r="BF612" s="2025">
        <f t="shared" si="530"/>
        <v>0</v>
      </c>
      <c r="BG612" s="2025">
        <f t="shared" si="530"/>
        <v>0</v>
      </c>
      <c r="BH612" s="2025">
        <f t="shared" si="530"/>
        <v>0</v>
      </c>
      <c r="BI612" s="2025">
        <f t="shared" si="530"/>
        <v>0</v>
      </c>
      <c r="BJ612" s="2025">
        <f t="shared" si="530"/>
        <v>0</v>
      </c>
      <c r="BK612" s="2025">
        <f t="shared" si="530"/>
        <v>0</v>
      </c>
      <c r="BL612" s="2025">
        <f t="shared" si="530"/>
        <v>0</v>
      </c>
      <c r="BM612" s="2025">
        <f t="shared" si="530"/>
        <v>0</v>
      </c>
      <c r="BN612" s="2025">
        <f t="shared" si="530"/>
        <v>0</v>
      </c>
      <c r="BO612" s="2025">
        <f t="shared" si="530"/>
        <v>0</v>
      </c>
      <c r="BP612" s="2025">
        <f t="shared" si="530"/>
        <v>0</v>
      </c>
      <c r="BQ612" s="2025">
        <f t="shared" si="530"/>
        <v>0</v>
      </c>
      <c r="BR612" s="2025">
        <f t="shared" si="530"/>
        <v>0</v>
      </c>
      <c r="BS612" s="2025">
        <f t="shared" si="530"/>
        <v>0</v>
      </c>
      <c r="BT612" s="2025">
        <f t="shared" si="530"/>
        <v>0</v>
      </c>
      <c r="BU612" s="1970"/>
    </row>
    <row r="613" spans="2:73" s="536" customFormat="1">
      <c r="AK613" s="1964"/>
      <c r="AL613" s="2029" t="s">
        <v>1168</v>
      </c>
      <c r="AM613" s="2018" t="str">
        <f>B121</f>
        <v>AJ. POR INF.OTROS ACTIVOS DE LARGO PLAZO (INCLUYE CORR.MON.DIF.)</v>
      </c>
      <c r="AN613" s="2019">
        <f>C121</f>
        <v>0</v>
      </c>
      <c r="AO613" s="2020">
        <f t="shared" si="496"/>
        <v>0</v>
      </c>
      <c r="AP613" s="2021">
        <f>E121</f>
        <v>0</v>
      </c>
      <c r="AQ613" s="2022">
        <f t="shared" si="497"/>
        <v>0</v>
      </c>
      <c r="AR613" s="2023">
        <f t="shared" si="498"/>
        <v>0</v>
      </c>
      <c r="AS613" s="2021">
        <f>H121</f>
        <v>0</v>
      </c>
      <c r="AT613" s="2022">
        <f t="shared" si="499"/>
        <v>0</v>
      </c>
      <c r="AU613" s="2023">
        <f t="shared" si="500"/>
        <v>0</v>
      </c>
      <c r="AV613" s="2021">
        <f>K121</f>
        <v>0</v>
      </c>
      <c r="AW613" s="2022">
        <f t="shared" si="501"/>
        <v>0</v>
      </c>
      <c r="AX613" s="2024">
        <f t="shared" si="502"/>
        <v>0</v>
      </c>
      <c r="AY613" s="2021">
        <f>N121</f>
        <v>0</v>
      </c>
      <c r="AZ613" s="2022">
        <f t="shared" si="503"/>
        <v>0</v>
      </c>
      <c r="BA613" s="2024">
        <f t="shared" si="504"/>
        <v>0</v>
      </c>
      <c r="BB613" s="2021">
        <f>Q121</f>
        <v>0</v>
      </c>
      <c r="BC613" s="2022">
        <f t="shared" si="505"/>
        <v>0</v>
      </c>
      <c r="BD613" s="2024">
        <f t="shared" si="506"/>
        <v>0</v>
      </c>
      <c r="BE613" s="2025">
        <f t="shared" ref="BE613:BT613" si="531">T121</f>
        <v>0</v>
      </c>
      <c r="BF613" s="2025">
        <f t="shared" si="531"/>
        <v>0</v>
      </c>
      <c r="BG613" s="2025">
        <f t="shared" si="531"/>
        <v>0</v>
      </c>
      <c r="BH613" s="2025">
        <f t="shared" si="531"/>
        <v>0</v>
      </c>
      <c r="BI613" s="2025">
        <f t="shared" si="531"/>
        <v>0</v>
      </c>
      <c r="BJ613" s="2025">
        <f t="shared" si="531"/>
        <v>0</v>
      </c>
      <c r="BK613" s="2025">
        <f t="shared" si="531"/>
        <v>0</v>
      </c>
      <c r="BL613" s="2025">
        <f t="shared" si="531"/>
        <v>0</v>
      </c>
      <c r="BM613" s="2025">
        <f t="shared" si="531"/>
        <v>0</v>
      </c>
      <c r="BN613" s="2025">
        <f t="shared" si="531"/>
        <v>0</v>
      </c>
      <c r="BO613" s="2025">
        <f t="shared" si="531"/>
        <v>0</v>
      </c>
      <c r="BP613" s="2025">
        <f t="shared" si="531"/>
        <v>0</v>
      </c>
      <c r="BQ613" s="2025">
        <f t="shared" si="531"/>
        <v>0</v>
      </c>
      <c r="BR613" s="2025">
        <f t="shared" si="531"/>
        <v>0</v>
      </c>
      <c r="BS613" s="2025">
        <f t="shared" si="531"/>
        <v>0</v>
      </c>
      <c r="BT613" s="2025">
        <f t="shared" si="531"/>
        <v>0</v>
      </c>
      <c r="BU613" s="1970"/>
    </row>
    <row r="614" spans="2:73" s="536" customFormat="1">
      <c r="AK614" s="1964"/>
      <c r="AL614" s="2017">
        <f>A32</f>
        <v>10</v>
      </c>
      <c r="AM614" s="2026" t="s">
        <v>1403</v>
      </c>
      <c r="AN614" s="2027">
        <f>SUM(AN612:AN613)</f>
        <v>0</v>
      </c>
      <c r="AO614" s="2020">
        <f t="shared" si="496"/>
        <v>0</v>
      </c>
      <c r="AP614" s="2028">
        <f>SUM(AP612:AP613)</f>
        <v>0</v>
      </c>
      <c r="AQ614" s="2022">
        <f t="shared" si="497"/>
        <v>0</v>
      </c>
      <c r="AR614" s="2023">
        <f t="shared" si="498"/>
        <v>0</v>
      </c>
      <c r="AS614" s="2028">
        <f>SUM(AS612:AS613)</f>
        <v>0</v>
      </c>
      <c r="AT614" s="2022">
        <f t="shared" si="499"/>
        <v>0</v>
      </c>
      <c r="AU614" s="2023">
        <f t="shared" si="500"/>
        <v>0</v>
      </c>
      <c r="AV614" s="2028">
        <f>SUM(AV612:AV613)</f>
        <v>0</v>
      </c>
      <c r="AW614" s="2022">
        <f t="shared" si="501"/>
        <v>0</v>
      </c>
      <c r="AX614" s="2024">
        <f t="shared" si="502"/>
        <v>0</v>
      </c>
      <c r="AY614" s="2028">
        <f>SUM(AY612:AY613)</f>
        <v>0</v>
      </c>
      <c r="AZ614" s="2022">
        <f t="shared" si="503"/>
        <v>0</v>
      </c>
      <c r="BA614" s="2024">
        <f t="shared" si="504"/>
        <v>0</v>
      </c>
      <c r="BB614" s="2028">
        <f>SUM(BB612:BB613)</f>
        <v>0</v>
      </c>
      <c r="BC614" s="2022">
        <f t="shared" si="505"/>
        <v>0</v>
      </c>
      <c r="BD614" s="2024">
        <f t="shared" si="506"/>
        <v>0</v>
      </c>
      <c r="BE614" s="2028">
        <f t="shared" ref="BE614:BT614" si="532">SUM(BE612:BE613)</f>
        <v>0</v>
      </c>
      <c r="BF614" s="2028">
        <f t="shared" si="532"/>
        <v>0</v>
      </c>
      <c r="BG614" s="2028">
        <f t="shared" si="532"/>
        <v>0</v>
      </c>
      <c r="BH614" s="2028">
        <f t="shared" si="532"/>
        <v>0</v>
      </c>
      <c r="BI614" s="2028">
        <f t="shared" si="532"/>
        <v>0</v>
      </c>
      <c r="BJ614" s="2028">
        <f t="shared" si="532"/>
        <v>0</v>
      </c>
      <c r="BK614" s="2028">
        <f t="shared" si="532"/>
        <v>0</v>
      </c>
      <c r="BL614" s="2028">
        <f t="shared" si="532"/>
        <v>0</v>
      </c>
      <c r="BM614" s="2028">
        <f t="shared" si="532"/>
        <v>0</v>
      </c>
      <c r="BN614" s="2028">
        <f t="shared" si="532"/>
        <v>0</v>
      </c>
      <c r="BO614" s="2028">
        <f t="shared" si="532"/>
        <v>0</v>
      </c>
      <c r="BP614" s="2028">
        <f t="shared" si="532"/>
        <v>0</v>
      </c>
      <c r="BQ614" s="2028">
        <f t="shared" si="532"/>
        <v>0</v>
      </c>
      <c r="BR614" s="2028">
        <f t="shared" si="532"/>
        <v>0</v>
      </c>
      <c r="BS614" s="2028">
        <f t="shared" si="532"/>
        <v>0</v>
      </c>
      <c r="BT614" s="2028">
        <f t="shared" si="532"/>
        <v>0</v>
      </c>
      <c r="BU614" s="1970"/>
    </row>
    <row r="615" spans="2:73" s="536" customFormat="1" ht="12.5">
      <c r="AK615" s="1964"/>
      <c r="AL615" s="2034">
        <f>A33</f>
        <v>11</v>
      </c>
      <c r="AM615" s="2030" t="str">
        <f>B33</f>
        <v>VALORIZACIONES</v>
      </c>
      <c r="AN615" s="2031">
        <f>C33</f>
        <v>0</v>
      </c>
      <c r="AO615" s="2020">
        <f t="shared" si="496"/>
        <v>0</v>
      </c>
      <c r="AP615" s="2032">
        <f>E33</f>
        <v>0</v>
      </c>
      <c r="AQ615" s="2022">
        <f t="shared" si="497"/>
        <v>0</v>
      </c>
      <c r="AR615" s="2023">
        <f t="shared" si="498"/>
        <v>0</v>
      </c>
      <c r="AS615" s="2032">
        <f>H33</f>
        <v>0</v>
      </c>
      <c r="AT615" s="2022">
        <f t="shared" si="499"/>
        <v>0</v>
      </c>
      <c r="AU615" s="2023">
        <f t="shared" si="500"/>
        <v>0</v>
      </c>
      <c r="AV615" s="2032">
        <f>K33</f>
        <v>0</v>
      </c>
      <c r="AW615" s="2022">
        <f t="shared" si="501"/>
        <v>0</v>
      </c>
      <c r="AX615" s="2024">
        <f t="shared" si="502"/>
        <v>0</v>
      </c>
      <c r="AY615" s="2032">
        <f>N33</f>
        <v>0</v>
      </c>
      <c r="AZ615" s="2022">
        <f t="shared" si="503"/>
        <v>0</v>
      </c>
      <c r="BA615" s="2024">
        <f t="shared" si="504"/>
        <v>0</v>
      </c>
      <c r="BB615" s="2032">
        <f>Q33</f>
        <v>0</v>
      </c>
      <c r="BC615" s="2022">
        <f t="shared" si="505"/>
        <v>0</v>
      </c>
      <c r="BD615" s="2024">
        <f t="shared" si="506"/>
        <v>0</v>
      </c>
      <c r="BE615" s="2033">
        <f t="shared" ref="BE615:BT615" si="533">T33</f>
        <v>0</v>
      </c>
      <c r="BF615" s="2033">
        <f t="shared" si="533"/>
        <v>0</v>
      </c>
      <c r="BG615" s="2033">
        <f t="shared" si="533"/>
        <v>0</v>
      </c>
      <c r="BH615" s="2033">
        <f t="shared" si="533"/>
        <v>0</v>
      </c>
      <c r="BI615" s="2033">
        <f t="shared" si="533"/>
        <v>0</v>
      </c>
      <c r="BJ615" s="2033">
        <f t="shared" si="533"/>
        <v>0</v>
      </c>
      <c r="BK615" s="2033">
        <f t="shared" si="533"/>
        <v>0</v>
      </c>
      <c r="BL615" s="2033">
        <f t="shared" si="533"/>
        <v>0</v>
      </c>
      <c r="BM615" s="2033">
        <f t="shared" si="533"/>
        <v>0</v>
      </c>
      <c r="BN615" s="2033">
        <f t="shared" si="533"/>
        <v>0</v>
      </c>
      <c r="BO615" s="2033">
        <f t="shared" si="533"/>
        <v>0</v>
      </c>
      <c r="BP615" s="2033">
        <f t="shared" si="533"/>
        <v>0</v>
      </c>
      <c r="BQ615" s="2033">
        <f t="shared" si="533"/>
        <v>0</v>
      </c>
      <c r="BR615" s="2033">
        <f t="shared" si="533"/>
        <v>0</v>
      </c>
      <c r="BS615" s="2033">
        <f t="shared" si="533"/>
        <v>0</v>
      </c>
      <c r="BT615" s="2033">
        <f t="shared" si="533"/>
        <v>0</v>
      </c>
      <c r="BU615" s="1970"/>
    </row>
    <row r="616" spans="2:73" s="536" customFormat="1">
      <c r="AK616" s="1964"/>
      <c r="AL616" s="1965"/>
      <c r="AM616" s="2050" t="s">
        <v>1067</v>
      </c>
      <c r="AN616" s="2051">
        <f>SUM(AN598,AN601,AN605,AN608,AN611,AN614)</f>
        <v>0</v>
      </c>
      <c r="AO616" s="2052">
        <f t="shared" si="496"/>
        <v>0</v>
      </c>
      <c r="AP616" s="2053">
        <f>SUM(AP598,AP601,AP605,AP608,AP611,AP614)</f>
        <v>0</v>
      </c>
      <c r="AQ616" s="2054">
        <f t="shared" si="497"/>
        <v>0</v>
      </c>
      <c r="AR616" s="2055">
        <f t="shared" si="498"/>
        <v>0</v>
      </c>
      <c r="AS616" s="2053">
        <f>SUM(AS598,AS601,AS605,AS608,AS611,AS614)</f>
        <v>0</v>
      </c>
      <c r="AT616" s="2054">
        <f t="shared" si="499"/>
        <v>0</v>
      </c>
      <c r="AU616" s="2055">
        <f t="shared" si="500"/>
        <v>0</v>
      </c>
      <c r="AV616" s="2053">
        <f>SUM(AV598,AV601,AV605,AV608,AV611,AV614)</f>
        <v>0</v>
      </c>
      <c r="AW616" s="2054">
        <f t="shared" si="501"/>
        <v>0</v>
      </c>
      <c r="AX616" s="2056">
        <f t="shared" si="502"/>
        <v>0</v>
      </c>
      <c r="AY616" s="2053">
        <f>SUM(AY598,AY601,AY605,AY608,AY611,AY614)</f>
        <v>0</v>
      </c>
      <c r="AZ616" s="2054">
        <f t="shared" si="503"/>
        <v>0</v>
      </c>
      <c r="BA616" s="2056">
        <f t="shared" si="504"/>
        <v>0</v>
      </c>
      <c r="BB616" s="2053">
        <f>SUM(BB598,BB601,BB605,BB608,BB611,BB614)</f>
        <v>0</v>
      </c>
      <c r="BC616" s="2054">
        <f t="shared" si="505"/>
        <v>0</v>
      </c>
      <c r="BD616" s="2056">
        <f t="shared" si="506"/>
        <v>0</v>
      </c>
      <c r="BE616" s="2057">
        <f t="shared" ref="BE616:BT616" si="534">SUM(BE598,BE601,BE605,BE608,BE611,BE614)</f>
        <v>0</v>
      </c>
      <c r="BF616" s="2057">
        <f t="shared" si="534"/>
        <v>0</v>
      </c>
      <c r="BG616" s="2057">
        <f t="shared" si="534"/>
        <v>0</v>
      </c>
      <c r="BH616" s="2057">
        <f t="shared" si="534"/>
        <v>0</v>
      </c>
      <c r="BI616" s="2057">
        <f t="shared" si="534"/>
        <v>0</v>
      </c>
      <c r="BJ616" s="2057">
        <f t="shared" si="534"/>
        <v>0</v>
      </c>
      <c r="BK616" s="2057">
        <f t="shared" si="534"/>
        <v>0</v>
      </c>
      <c r="BL616" s="2057">
        <f t="shared" si="534"/>
        <v>0</v>
      </c>
      <c r="BM616" s="2057">
        <f t="shared" si="534"/>
        <v>0</v>
      </c>
      <c r="BN616" s="2057">
        <f t="shared" si="534"/>
        <v>0</v>
      </c>
      <c r="BO616" s="2057">
        <f t="shared" si="534"/>
        <v>0</v>
      </c>
      <c r="BP616" s="2057">
        <f t="shared" si="534"/>
        <v>0</v>
      </c>
      <c r="BQ616" s="2057">
        <f t="shared" si="534"/>
        <v>0</v>
      </c>
      <c r="BR616" s="2057">
        <f t="shared" si="534"/>
        <v>0</v>
      </c>
      <c r="BS616" s="2057">
        <f t="shared" si="534"/>
        <v>0</v>
      </c>
      <c r="BT616" s="2057">
        <f t="shared" si="534"/>
        <v>0</v>
      </c>
      <c r="BU616" s="1970"/>
    </row>
    <row r="617" spans="2:73" s="536" customFormat="1" ht="15.5">
      <c r="B617" s="2058" t="s">
        <v>1404</v>
      </c>
      <c r="AK617" s="1964"/>
      <c r="AL617" s="1965"/>
      <c r="AM617" s="2059" t="s">
        <v>1068</v>
      </c>
      <c r="AN617" s="2060">
        <f>AN615+AN616</f>
        <v>0</v>
      </c>
      <c r="AO617" s="2061"/>
      <c r="AP617" s="2062">
        <f>AP615+AP616</f>
        <v>0</v>
      </c>
      <c r="AQ617" s="2063"/>
      <c r="AR617" s="2064">
        <f t="shared" si="498"/>
        <v>0</v>
      </c>
      <c r="AS617" s="2062">
        <f>AS615+AS616</f>
        <v>0</v>
      </c>
      <c r="AT617" s="2063"/>
      <c r="AU617" s="2064">
        <f t="shared" si="500"/>
        <v>0</v>
      </c>
      <c r="AV617" s="2062">
        <f>AV615+AV616</f>
        <v>0</v>
      </c>
      <c r="AW617" s="2063"/>
      <c r="AX617" s="2065">
        <f t="shared" si="502"/>
        <v>0</v>
      </c>
      <c r="AY617" s="2062">
        <f>AY615+AY616</f>
        <v>0</v>
      </c>
      <c r="AZ617" s="2063"/>
      <c r="BA617" s="2065">
        <f t="shared" si="504"/>
        <v>0</v>
      </c>
      <c r="BB617" s="2062">
        <f>BB615+BB616</f>
        <v>0</v>
      </c>
      <c r="BC617" s="2063"/>
      <c r="BD617" s="2065">
        <f t="shared" si="506"/>
        <v>0</v>
      </c>
      <c r="BE617" s="2066">
        <f t="shared" ref="BE617:BT617" si="535">BE615+BE616</f>
        <v>0</v>
      </c>
      <c r="BF617" s="2066">
        <f t="shared" si="535"/>
        <v>0</v>
      </c>
      <c r="BG617" s="2066">
        <f t="shared" si="535"/>
        <v>0</v>
      </c>
      <c r="BH617" s="2066">
        <f t="shared" si="535"/>
        <v>0</v>
      </c>
      <c r="BI617" s="2066">
        <f t="shared" si="535"/>
        <v>0</v>
      </c>
      <c r="BJ617" s="2066">
        <f t="shared" si="535"/>
        <v>0</v>
      </c>
      <c r="BK617" s="2066">
        <f t="shared" si="535"/>
        <v>0</v>
      </c>
      <c r="BL617" s="2066">
        <f t="shared" si="535"/>
        <v>0</v>
      </c>
      <c r="BM617" s="2066">
        <f t="shared" si="535"/>
        <v>0</v>
      </c>
      <c r="BN617" s="2066">
        <f t="shared" si="535"/>
        <v>0</v>
      </c>
      <c r="BO617" s="2066">
        <f t="shared" si="535"/>
        <v>0</v>
      </c>
      <c r="BP617" s="2066">
        <f t="shared" si="535"/>
        <v>0</v>
      </c>
      <c r="BQ617" s="2066">
        <f t="shared" si="535"/>
        <v>0</v>
      </c>
      <c r="BR617" s="2066">
        <f t="shared" si="535"/>
        <v>0</v>
      </c>
      <c r="BS617" s="2066">
        <f t="shared" si="535"/>
        <v>0</v>
      </c>
      <c r="BT617" s="2066">
        <f t="shared" si="535"/>
        <v>0</v>
      </c>
      <c r="BU617" s="1970"/>
    </row>
    <row r="618" spans="2:73" s="535" customFormat="1">
      <c r="AK618" s="1964"/>
      <c r="AL618" s="2067"/>
      <c r="AM618" s="689" t="s">
        <v>678</v>
      </c>
      <c r="AN618" s="2068"/>
      <c r="AO618" s="2069"/>
      <c r="AP618" s="2068"/>
      <c r="AQ618" s="2069"/>
      <c r="AR618" s="2069"/>
      <c r="AS618" s="2068"/>
      <c r="AT618" s="2069"/>
      <c r="AU618" s="2069"/>
      <c r="AV618" s="2068"/>
      <c r="AW618" s="2069"/>
      <c r="AX618" s="2069"/>
      <c r="AY618" s="2068"/>
      <c r="AZ618" s="2069"/>
      <c r="BA618" s="2069"/>
      <c r="BB618" s="2068"/>
      <c r="BC618" s="2069"/>
      <c r="BD618" s="2069"/>
      <c r="BE618" s="2070"/>
      <c r="BF618" s="2070"/>
      <c r="BG618" s="2070"/>
      <c r="BH618" s="2070"/>
      <c r="BI618" s="2070"/>
      <c r="BJ618" s="2070"/>
      <c r="BK618" s="2070"/>
      <c r="BL618" s="2070"/>
      <c r="BM618" s="2070"/>
      <c r="BN618" s="2070"/>
      <c r="BO618" s="2070"/>
      <c r="BP618" s="2071"/>
      <c r="BQ618" s="2007"/>
      <c r="BU618" s="1970"/>
    </row>
    <row r="619" spans="2:73" s="536" customFormat="1" ht="15.5">
      <c r="B619" s="2072" t="s">
        <v>1405</v>
      </c>
      <c r="AK619" s="1964"/>
      <c r="AL619" s="2008">
        <f t="shared" ref="AL619:AL630" si="536">A36</f>
        <v>12</v>
      </c>
      <c r="AM619" s="2009" t="str">
        <f t="shared" ref="AM619:AM630" si="537">B36</f>
        <v>OBLIGACIONES FINANCIERAS CORRIENTES</v>
      </c>
      <c r="AN619" s="2073">
        <f t="shared" ref="AN619:AN630" si="538">C36</f>
        <v>0</v>
      </c>
      <c r="AO619" s="2011">
        <f t="shared" ref="AO619:AO646" si="539">IF(OR(AN619=0,AN$646=0),0,AN619/AN$646)</f>
        <v>0</v>
      </c>
      <c r="AP619" s="2012">
        <f t="shared" ref="AP619:AP630" si="540">E36</f>
        <v>0</v>
      </c>
      <c r="AQ619" s="2013">
        <f t="shared" ref="AQ619:AQ646" si="541">IF(OR(AP619=0,AP$646=0),0,AP619/AP$646)</f>
        <v>0</v>
      </c>
      <c r="AR619" s="2014">
        <f t="shared" ref="AR619:AR646" si="542">IF(OR(AN619=0,AP619=0),0,IF(ABS((AP619/AN619)-1)&gt;1000000%,0,(AP619/AN619)-1))</f>
        <v>0</v>
      </c>
      <c r="AS619" s="2012">
        <f t="shared" ref="AS619:AS630" si="543">H36</f>
        <v>0</v>
      </c>
      <c r="AT619" s="2013">
        <f t="shared" ref="AT619:AT646" si="544">IF(OR(AS619=0,AS$646=0),0,AS619/AS$646)</f>
        <v>0</v>
      </c>
      <c r="AU619" s="2014">
        <f t="shared" ref="AU619:AU646" si="545">IF(OR(AP619=0,AS619=0),0,IF(ABS((AS619/AP619)-1)&gt;1000000%,0,(AS619/AP619)-1))</f>
        <v>0</v>
      </c>
      <c r="AV619" s="2012">
        <f t="shared" ref="AV619:AV630" si="546">K36</f>
        <v>0</v>
      </c>
      <c r="AW619" s="2013">
        <f t="shared" ref="AW619:AW646" si="547">IF(OR(AV619=0,AV$646=0),0,AV619/AV$646)</f>
        <v>0</v>
      </c>
      <c r="AX619" s="2015">
        <f t="shared" ref="AX619:AX646" si="548">IF(OR(AS619=0,AV619=0),0,IF(ABS((AV619/AS619)-1)&gt;1000000%,0,(AV619/AS619)-1))</f>
        <v>0</v>
      </c>
      <c r="AY619" s="2012">
        <f t="shared" ref="AY619:AY630" si="549">N36</f>
        <v>0</v>
      </c>
      <c r="AZ619" s="2013">
        <f t="shared" ref="AZ619:AZ646" si="550">IF(OR(AY619=0,AY$646=0),0,AY619/AY$646)</f>
        <v>0</v>
      </c>
      <c r="BA619" s="2015">
        <f t="shared" ref="BA619:BA646" si="551">IF(OR(AS619=0,AY619=0),0,IF(ABS((AY619/AS619)-1)&gt;1000000%,0,(AY619/AS619)-1))</f>
        <v>0</v>
      </c>
      <c r="BB619" s="2012">
        <f t="shared" ref="BB619:BB630" si="552">Q36</f>
        <v>0</v>
      </c>
      <c r="BC619" s="2013">
        <f t="shared" ref="BC619:BC646" si="553">IF(OR(BB619=0,BB$646=0),0,BB619/BB$646)</f>
        <v>0</v>
      </c>
      <c r="BD619" s="2015">
        <f t="shared" ref="BD619:BD646" si="554">IF(OR(AY619=0,BB619=0),0,IF(ABS((BB619/AY619)-1)&gt;1000000%,0,(BB619/AY619)-1))</f>
        <v>0</v>
      </c>
      <c r="BE619" s="2016">
        <f t="shared" ref="BE619:BE630" si="555">T36</f>
        <v>0</v>
      </c>
      <c r="BF619" s="2016">
        <f t="shared" ref="BF619:BF630" si="556">U36</f>
        <v>0</v>
      </c>
      <c r="BG619" s="2016">
        <f t="shared" ref="BG619:BG630" si="557">V36</f>
        <v>0</v>
      </c>
      <c r="BH619" s="2016">
        <f t="shared" ref="BH619:BH630" si="558">W36</f>
        <v>0</v>
      </c>
      <c r="BI619" s="2016">
        <f t="shared" ref="BI619:BI630" si="559">X36</f>
        <v>0</v>
      </c>
      <c r="BJ619" s="2016">
        <f t="shared" ref="BJ619:BJ630" si="560">Y36</f>
        <v>0</v>
      </c>
      <c r="BK619" s="2016">
        <f t="shared" ref="BK619:BK630" si="561">Z36</f>
        <v>0</v>
      </c>
      <c r="BL619" s="2016">
        <f t="shared" ref="BL619:BL630" si="562">AA36</f>
        <v>0</v>
      </c>
      <c r="BM619" s="2016">
        <f t="shared" ref="BM619:BM630" si="563">AB36</f>
        <v>0</v>
      </c>
      <c r="BN619" s="2016">
        <f t="shared" ref="BN619:BN630" si="564">AC36</f>
        <v>0</v>
      </c>
      <c r="BO619" s="2016">
        <f t="shared" ref="BO619:BO630" si="565">AD36</f>
        <v>0</v>
      </c>
      <c r="BP619" s="2016">
        <f t="shared" ref="BP619:BP630" si="566">AE36</f>
        <v>0</v>
      </c>
      <c r="BQ619" s="2016">
        <f t="shared" ref="BQ619:BQ630" si="567">AF36</f>
        <v>0</v>
      </c>
      <c r="BR619" s="2016">
        <f t="shared" ref="BR619:BR630" si="568">AG36</f>
        <v>0</v>
      </c>
      <c r="BS619" s="2016">
        <f t="shared" ref="BS619:BS630" si="569">AH36</f>
        <v>0</v>
      </c>
      <c r="BT619" s="2016">
        <f t="shared" ref="BT619:BT630" si="570">AI36</f>
        <v>0</v>
      </c>
      <c r="BU619" s="1970"/>
    </row>
    <row r="620" spans="2:73" s="536" customFormat="1" ht="15.5">
      <c r="B620" s="2074" t="s">
        <v>1406</v>
      </c>
      <c r="AK620" s="1964"/>
      <c r="AL620" s="2017" t="str">
        <f t="shared" si="536"/>
        <v>13.1</v>
      </c>
      <c r="AM620" s="2075" t="str">
        <f t="shared" si="537"/>
        <v>OBLIGACIONES FINANCIERAS L.P. - PORCIÓN CORRIENTE</v>
      </c>
      <c r="AN620" s="2076">
        <f t="shared" si="538"/>
        <v>0</v>
      </c>
      <c r="AO620" s="2077">
        <f t="shared" si="539"/>
        <v>0</v>
      </c>
      <c r="AP620" s="2078">
        <f t="shared" si="540"/>
        <v>0</v>
      </c>
      <c r="AQ620" s="2079">
        <f t="shared" si="541"/>
        <v>0</v>
      </c>
      <c r="AR620" s="2080">
        <f t="shared" si="542"/>
        <v>0</v>
      </c>
      <c r="AS620" s="2078">
        <f t="shared" si="543"/>
        <v>0</v>
      </c>
      <c r="AT620" s="2079">
        <f t="shared" si="544"/>
        <v>0</v>
      </c>
      <c r="AU620" s="2080">
        <f t="shared" si="545"/>
        <v>0</v>
      </c>
      <c r="AV620" s="2078">
        <f t="shared" si="546"/>
        <v>0</v>
      </c>
      <c r="AW620" s="2079">
        <f t="shared" si="547"/>
        <v>0</v>
      </c>
      <c r="AX620" s="2081">
        <f t="shared" si="548"/>
        <v>0</v>
      </c>
      <c r="AY620" s="2078">
        <f t="shared" si="549"/>
        <v>0</v>
      </c>
      <c r="AZ620" s="2079">
        <f t="shared" si="550"/>
        <v>0</v>
      </c>
      <c r="BA620" s="2081">
        <f t="shared" si="551"/>
        <v>0</v>
      </c>
      <c r="BB620" s="2078">
        <f t="shared" si="552"/>
        <v>0</v>
      </c>
      <c r="BC620" s="2079">
        <f t="shared" si="553"/>
        <v>0</v>
      </c>
      <c r="BD620" s="2081">
        <f t="shared" si="554"/>
        <v>0</v>
      </c>
      <c r="BE620" s="2082">
        <f t="shared" si="555"/>
        <v>0</v>
      </c>
      <c r="BF620" s="2082">
        <f t="shared" si="556"/>
        <v>0</v>
      </c>
      <c r="BG620" s="2082">
        <f t="shared" si="557"/>
        <v>0</v>
      </c>
      <c r="BH620" s="2082">
        <f t="shared" si="558"/>
        <v>0</v>
      </c>
      <c r="BI620" s="2082">
        <f t="shared" si="559"/>
        <v>0</v>
      </c>
      <c r="BJ620" s="2082">
        <f t="shared" si="560"/>
        <v>0</v>
      </c>
      <c r="BK620" s="2082">
        <f t="shared" si="561"/>
        <v>0</v>
      </c>
      <c r="BL620" s="2082">
        <f t="shared" si="562"/>
        <v>0</v>
      </c>
      <c r="BM620" s="2082">
        <f t="shared" si="563"/>
        <v>0</v>
      </c>
      <c r="BN620" s="2082">
        <f t="shared" si="564"/>
        <v>0</v>
      </c>
      <c r="BO620" s="2082">
        <f t="shared" si="565"/>
        <v>0</v>
      </c>
      <c r="BP620" s="2082">
        <f t="shared" si="566"/>
        <v>0</v>
      </c>
      <c r="BQ620" s="2082">
        <f t="shared" si="567"/>
        <v>0</v>
      </c>
      <c r="BR620" s="2082">
        <f t="shared" si="568"/>
        <v>0</v>
      </c>
      <c r="BS620" s="2082">
        <f t="shared" si="569"/>
        <v>0</v>
      </c>
      <c r="BT620" s="2082">
        <f t="shared" si="570"/>
        <v>0</v>
      </c>
      <c r="BU620" s="1970"/>
    </row>
    <row r="621" spans="2:73" s="536" customFormat="1" ht="15.5">
      <c r="B621" s="2074" t="s">
        <v>1407</v>
      </c>
      <c r="AK621" s="1964"/>
      <c r="AL621" s="2017" t="str">
        <f t="shared" si="536"/>
        <v>13.2</v>
      </c>
      <c r="AM621" s="2030" t="str">
        <f t="shared" si="537"/>
        <v>BONOS - PORCIÓN CORRIENTE</v>
      </c>
      <c r="AN621" s="2031">
        <f t="shared" si="538"/>
        <v>0</v>
      </c>
      <c r="AO621" s="2020">
        <f t="shared" si="539"/>
        <v>0</v>
      </c>
      <c r="AP621" s="2032">
        <f t="shared" si="540"/>
        <v>0</v>
      </c>
      <c r="AQ621" s="2022">
        <f t="shared" si="541"/>
        <v>0</v>
      </c>
      <c r="AR621" s="2024">
        <f t="shared" si="542"/>
        <v>0</v>
      </c>
      <c r="AS621" s="2032">
        <f t="shared" si="543"/>
        <v>0</v>
      </c>
      <c r="AT621" s="2022">
        <f t="shared" si="544"/>
        <v>0</v>
      </c>
      <c r="AU621" s="2024">
        <f t="shared" si="545"/>
        <v>0</v>
      </c>
      <c r="AV621" s="2032">
        <f t="shared" si="546"/>
        <v>0</v>
      </c>
      <c r="AW621" s="2022">
        <f t="shared" si="547"/>
        <v>0</v>
      </c>
      <c r="AX621" s="2024">
        <f t="shared" si="548"/>
        <v>0</v>
      </c>
      <c r="AY621" s="2032">
        <f t="shared" si="549"/>
        <v>0</v>
      </c>
      <c r="AZ621" s="2022">
        <f t="shared" si="550"/>
        <v>0</v>
      </c>
      <c r="BA621" s="2024">
        <f t="shared" si="551"/>
        <v>0</v>
      </c>
      <c r="BB621" s="2032">
        <f t="shared" si="552"/>
        <v>0</v>
      </c>
      <c r="BC621" s="2022">
        <f t="shared" si="553"/>
        <v>0</v>
      </c>
      <c r="BD621" s="2024">
        <f t="shared" si="554"/>
        <v>0</v>
      </c>
      <c r="BE621" s="2033">
        <f t="shared" si="555"/>
        <v>0</v>
      </c>
      <c r="BF621" s="2033">
        <f t="shared" si="556"/>
        <v>0</v>
      </c>
      <c r="BG621" s="2033">
        <f t="shared" si="557"/>
        <v>0</v>
      </c>
      <c r="BH621" s="2033">
        <f t="shared" si="558"/>
        <v>0</v>
      </c>
      <c r="BI621" s="2033">
        <f t="shared" si="559"/>
        <v>0</v>
      </c>
      <c r="BJ621" s="2033">
        <f t="shared" si="560"/>
        <v>0</v>
      </c>
      <c r="BK621" s="2033">
        <f t="shared" si="561"/>
        <v>0</v>
      </c>
      <c r="BL621" s="2033">
        <f t="shared" si="562"/>
        <v>0</v>
      </c>
      <c r="BM621" s="2033">
        <f t="shared" si="563"/>
        <v>0</v>
      </c>
      <c r="BN621" s="2033">
        <f t="shared" si="564"/>
        <v>0</v>
      </c>
      <c r="BO621" s="2033">
        <f t="shared" si="565"/>
        <v>0</v>
      </c>
      <c r="BP621" s="2033">
        <f t="shared" si="566"/>
        <v>0</v>
      </c>
      <c r="BQ621" s="2033">
        <f t="shared" si="567"/>
        <v>0</v>
      </c>
      <c r="BR621" s="2033">
        <f t="shared" si="568"/>
        <v>0</v>
      </c>
      <c r="BS621" s="2033">
        <f t="shared" si="569"/>
        <v>0</v>
      </c>
      <c r="BT621" s="2033">
        <f t="shared" si="570"/>
        <v>0</v>
      </c>
      <c r="BU621" s="1970"/>
    </row>
    <row r="622" spans="2:73" s="536" customFormat="1" ht="14.5">
      <c r="B622" s="2083" t="s">
        <v>1408</v>
      </c>
      <c r="AK622" s="1964"/>
      <c r="AL622" s="2017" t="str">
        <f t="shared" si="536"/>
        <v>13.3</v>
      </c>
      <c r="AM622" s="2030" t="str">
        <f t="shared" si="537"/>
        <v>OBLIGACIONES DE LARGO PLAZO DAVIVIENDA - PORCIÓN CORRIENTE</v>
      </c>
      <c r="AN622" s="2031">
        <f t="shared" si="538"/>
        <v>0</v>
      </c>
      <c r="AO622" s="2020">
        <f t="shared" si="539"/>
        <v>0</v>
      </c>
      <c r="AP622" s="2032">
        <f t="shared" si="540"/>
        <v>0</v>
      </c>
      <c r="AQ622" s="2022">
        <f t="shared" si="541"/>
        <v>0</v>
      </c>
      <c r="AR622" s="2023">
        <f t="shared" si="542"/>
        <v>0</v>
      </c>
      <c r="AS622" s="2032">
        <f t="shared" si="543"/>
        <v>0</v>
      </c>
      <c r="AT622" s="2022">
        <f t="shared" si="544"/>
        <v>0</v>
      </c>
      <c r="AU622" s="2023">
        <f t="shared" si="545"/>
        <v>0</v>
      </c>
      <c r="AV622" s="2032">
        <f t="shared" si="546"/>
        <v>0</v>
      </c>
      <c r="AW622" s="2022">
        <f t="shared" si="547"/>
        <v>0</v>
      </c>
      <c r="AX622" s="2024">
        <f t="shared" si="548"/>
        <v>0</v>
      </c>
      <c r="AY622" s="2032">
        <f t="shared" si="549"/>
        <v>0</v>
      </c>
      <c r="AZ622" s="2022">
        <f t="shared" si="550"/>
        <v>0</v>
      </c>
      <c r="BA622" s="2024">
        <f t="shared" si="551"/>
        <v>0</v>
      </c>
      <c r="BB622" s="2032">
        <f t="shared" si="552"/>
        <v>0</v>
      </c>
      <c r="BC622" s="2022">
        <f t="shared" si="553"/>
        <v>0</v>
      </c>
      <c r="BD622" s="2024">
        <f t="shared" si="554"/>
        <v>0</v>
      </c>
      <c r="BE622" s="2033">
        <f t="shared" si="555"/>
        <v>0</v>
      </c>
      <c r="BF622" s="2033">
        <f t="shared" si="556"/>
        <v>0</v>
      </c>
      <c r="BG622" s="2033">
        <f t="shared" si="557"/>
        <v>0</v>
      </c>
      <c r="BH622" s="2033">
        <f t="shared" si="558"/>
        <v>0</v>
      </c>
      <c r="BI622" s="2033">
        <f t="shared" si="559"/>
        <v>0</v>
      </c>
      <c r="BJ622" s="2033">
        <f t="shared" si="560"/>
        <v>0</v>
      </c>
      <c r="BK622" s="2033">
        <f t="shared" si="561"/>
        <v>0</v>
      </c>
      <c r="BL622" s="2033">
        <f t="shared" si="562"/>
        <v>0</v>
      </c>
      <c r="BM622" s="2033">
        <f t="shared" si="563"/>
        <v>0</v>
      </c>
      <c r="BN622" s="2033">
        <f t="shared" si="564"/>
        <v>0</v>
      </c>
      <c r="BO622" s="2033">
        <f t="shared" si="565"/>
        <v>0</v>
      </c>
      <c r="BP622" s="2033">
        <f t="shared" si="566"/>
        <v>0</v>
      </c>
      <c r="BQ622" s="2033">
        <f t="shared" si="567"/>
        <v>0</v>
      </c>
      <c r="BR622" s="2033">
        <f t="shared" si="568"/>
        <v>0</v>
      </c>
      <c r="BS622" s="2033">
        <f t="shared" si="569"/>
        <v>0</v>
      </c>
      <c r="BT622" s="2033">
        <f t="shared" si="570"/>
        <v>0</v>
      </c>
      <c r="BU622" s="1970"/>
    </row>
    <row r="623" spans="2:73" s="536" customFormat="1" ht="15.5">
      <c r="B623" s="2074" t="s">
        <v>1409</v>
      </c>
      <c r="AK623" s="1964"/>
      <c r="AL623" s="2017">
        <f t="shared" si="536"/>
        <v>14</v>
      </c>
      <c r="AM623" s="2030" t="str">
        <f t="shared" si="537"/>
        <v>PROVEEDORES</v>
      </c>
      <c r="AN623" s="2031">
        <f t="shared" si="538"/>
        <v>0</v>
      </c>
      <c r="AO623" s="2020">
        <f t="shared" si="539"/>
        <v>0</v>
      </c>
      <c r="AP623" s="2032">
        <f t="shared" si="540"/>
        <v>0</v>
      </c>
      <c r="AQ623" s="2022">
        <f t="shared" si="541"/>
        <v>0</v>
      </c>
      <c r="AR623" s="2023">
        <f t="shared" si="542"/>
        <v>0</v>
      </c>
      <c r="AS623" s="2032">
        <f t="shared" si="543"/>
        <v>0</v>
      </c>
      <c r="AT623" s="2022">
        <f t="shared" si="544"/>
        <v>0</v>
      </c>
      <c r="AU623" s="2023">
        <f t="shared" si="545"/>
        <v>0</v>
      </c>
      <c r="AV623" s="2032">
        <f t="shared" si="546"/>
        <v>0</v>
      </c>
      <c r="AW623" s="2022">
        <f t="shared" si="547"/>
        <v>0</v>
      </c>
      <c r="AX623" s="2024">
        <f t="shared" si="548"/>
        <v>0</v>
      </c>
      <c r="AY623" s="2032">
        <f t="shared" si="549"/>
        <v>0</v>
      </c>
      <c r="AZ623" s="2022">
        <f t="shared" si="550"/>
        <v>0</v>
      </c>
      <c r="BA623" s="2024">
        <f t="shared" si="551"/>
        <v>0</v>
      </c>
      <c r="BB623" s="2032">
        <f t="shared" si="552"/>
        <v>0</v>
      </c>
      <c r="BC623" s="2022">
        <f t="shared" si="553"/>
        <v>0</v>
      </c>
      <c r="BD623" s="2024">
        <f t="shared" si="554"/>
        <v>0</v>
      </c>
      <c r="BE623" s="2033">
        <f t="shared" si="555"/>
        <v>0</v>
      </c>
      <c r="BF623" s="2033">
        <f t="shared" si="556"/>
        <v>0</v>
      </c>
      <c r="BG623" s="2033">
        <f t="shared" si="557"/>
        <v>0</v>
      </c>
      <c r="BH623" s="2033">
        <f t="shared" si="558"/>
        <v>0</v>
      </c>
      <c r="BI623" s="2033">
        <f t="shared" si="559"/>
        <v>0</v>
      </c>
      <c r="BJ623" s="2033">
        <f t="shared" si="560"/>
        <v>0</v>
      </c>
      <c r="BK623" s="2033">
        <f t="shared" si="561"/>
        <v>0</v>
      </c>
      <c r="BL623" s="2033">
        <f t="shared" si="562"/>
        <v>0</v>
      </c>
      <c r="BM623" s="2033">
        <f t="shared" si="563"/>
        <v>0</v>
      </c>
      <c r="BN623" s="2033">
        <f t="shared" si="564"/>
        <v>0</v>
      </c>
      <c r="BO623" s="2033">
        <f t="shared" si="565"/>
        <v>0</v>
      </c>
      <c r="BP623" s="2033">
        <f t="shared" si="566"/>
        <v>0</v>
      </c>
      <c r="BQ623" s="2033">
        <f t="shared" si="567"/>
        <v>0</v>
      </c>
      <c r="BR623" s="2033">
        <f t="shared" si="568"/>
        <v>0</v>
      </c>
      <c r="BS623" s="2033">
        <f t="shared" si="569"/>
        <v>0</v>
      </c>
      <c r="BT623" s="2033">
        <f t="shared" si="570"/>
        <v>0</v>
      </c>
      <c r="BU623" s="1970"/>
    </row>
    <row r="624" spans="2:73" s="536" customFormat="1" ht="15.5">
      <c r="B624" s="2074" t="s">
        <v>1410</v>
      </c>
      <c r="AK624" s="1964"/>
      <c r="AL624" s="2017">
        <f t="shared" si="536"/>
        <v>15</v>
      </c>
      <c r="AM624" s="2030" t="str">
        <f t="shared" si="537"/>
        <v>PASIVOS LABORALES C.P.</v>
      </c>
      <c r="AN624" s="2031">
        <f t="shared" si="538"/>
        <v>0</v>
      </c>
      <c r="AO624" s="2020">
        <f t="shared" si="539"/>
        <v>0</v>
      </c>
      <c r="AP624" s="2032">
        <f t="shared" si="540"/>
        <v>0</v>
      </c>
      <c r="AQ624" s="2022">
        <f t="shared" si="541"/>
        <v>0</v>
      </c>
      <c r="AR624" s="2023">
        <f t="shared" si="542"/>
        <v>0</v>
      </c>
      <c r="AS624" s="2032">
        <f t="shared" si="543"/>
        <v>0</v>
      </c>
      <c r="AT624" s="2022">
        <f t="shared" si="544"/>
        <v>0</v>
      </c>
      <c r="AU624" s="2023">
        <f t="shared" si="545"/>
        <v>0</v>
      </c>
      <c r="AV624" s="2032">
        <f t="shared" si="546"/>
        <v>0</v>
      </c>
      <c r="AW624" s="2022">
        <f t="shared" si="547"/>
        <v>0</v>
      </c>
      <c r="AX624" s="2024">
        <f t="shared" si="548"/>
        <v>0</v>
      </c>
      <c r="AY624" s="2032">
        <f t="shared" si="549"/>
        <v>0</v>
      </c>
      <c r="AZ624" s="2022">
        <f t="shared" si="550"/>
        <v>0</v>
      </c>
      <c r="BA624" s="2024">
        <f t="shared" si="551"/>
        <v>0</v>
      </c>
      <c r="BB624" s="2032">
        <f t="shared" si="552"/>
        <v>0</v>
      </c>
      <c r="BC624" s="2022">
        <f t="shared" si="553"/>
        <v>0</v>
      </c>
      <c r="BD624" s="2024">
        <f t="shared" si="554"/>
        <v>0</v>
      </c>
      <c r="BE624" s="2033">
        <f t="shared" si="555"/>
        <v>0</v>
      </c>
      <c r="BF624" s="2033">
        <f t="shared" si="556"/>
        <v>0</v>
      </c>
      <c r="BG624" s="2033">
        <f t="shared" si="557"/>
        <v>0</v>
      </c>
      <c r="BH624" s="2033">
        <f t="shared" si="558"/>
        <v>0</v>
      </c>
      <c r="BI624" s="2033">
        <f t="shared" si="559"/>
        <v>0</v>
      </c>
      <c r="BJ624" s="2033">
        <f t="shared" si="560"/>
        <v>0</v>
      </c>
      <c r="BK624" s="2033">
        <f t="shared" si="561"/>
        <v>0</v>
      </c>
      <c r="BL624" s="2033">
        <f t="shared" si="562"/>
        <v>0</v>
      </c>
      <c r="BM624" s="2033">
        <f t="shared" si="563"/>
        <v>0</v>
      </c>
      <c r="BN624" s="2033">
        <f t="shared" si="564"/>
        <v>0</v>
      </c>
      <c r="BO624" s="2033">
        <f t="shared" si="565"/>
        <v>0</v>
      </c>
      <c r="BP624" s="2033">
        <f t="shared" si="566"/>
        <v>0</v>
      </c>
      <c r="BQ624" s="2033">
        <f t="shared" si="567"/>
        <v>0</v>
      </c>
      <c r="BR624" s="2033">
        <f t="shared" si="568"/>
        <v>0</v>
      </c>
      <c r="BS624" s="2033">
        <f t="shared" si="569"/>
        <v>0</v>
      </c>
      <c r="BT624" s="2033">
        <f t="shared" si="570"/>
        <v>0</v>
      </c>
      <c r="BU624" s="1970"/>
    </row>
    <row r="625" spans="2:73" s="536" customFormat="1" ht="14.5">
      <c r="B625" s="2083" t="s">
        <v>1411</v>
      </c>
      <c r="AK625" s="1964"/>
      <c r="AL625" s="2017">
        <f t="shared" si="536"/>
        <v>16</v>
      </c>
      <c r="AM625" s="2030" t="str">
        <f t="shared" si="537"/>
        <v xml:space="preserve">IMPUESTOS POR PAGAR </v>
      </c>
      <c r="AN625" s="2031">
        <f t="shared" si="538"/>
        <v>0</v>
      </c>
      <c r="AO625" s="2020">
        <f t="shared" si="539"/>
        <v>0</v>
      </c>
      <c r="AP625" s="2032">
        <f t="shared" si="540"/>
        <v>0</v>
      </c>
      <c r="AQ625" s="2022">
        <f t="shared" si="541"/>
        <v>0</v>
      </c>
      <c r="AR625" s="2023">
        <f t="shared" si="542"/>
        <v>0</v>
      </c>
      <c r="AS625" s="2032">
        <f t="shared" si="543"/>
        <v>0</v>
      </c>
      <c r="AT625" s="2022">
        <f t="shared" si="544"/>
        <v>0</v>
      </c>
      <c r="AU625" s="2023">
        <f t="shared" si="545"/>
        <v>0</v>
      </c>
      <c r="AV625" s="2032">
        <f t="shared" si="546"/>
        <v>0</v>
      </c>
      <c r="AW625" s="2022">
        <f t="shared" si="547"/>
        <v>0</v>
      </c>
      <c r="AX625" s="2024">
        <f t="shared" si="548"/>
        <v>0</v>
      </c>
      <c r="AY625" s="2032">
        <f t="shared" si="549"/>
        <v>0</v>
      </c>
      <c r="AZ625" s="2022">
        <f t="shared" si="550"/>
        <v>0</v>
      </c>
      <c r="BA625" s="2024">
        <f t="shared" si="551"/>
        <v>0</v>
      </c>
      <c r="BB625" s="2032">
        <f t="shared" si="552"/>
        <v>0</v>
      </c>
      <c r="BC625" s="2022">
        <f t="shared" si="553"/>
        <v>0</v>
      </c>
      <c r="BD625" s="2024">
        <f t="shared" si="554"/>
        <v>0</v>
      </c>
      <c r="BE625" s="2033">
        <f t="shared" si="555"/>
        <v>0</v>
      </c>
      <c r="BF625" s="2033">
        <f t="shared" si="556"/>
        <v>0</v>
      </c>
      <c r="BG625" s="2033">
        <f t="shared" si="557"/>
        <v>0</v>
      </c>
      <c r="BH625" s="2033">
        <f t="shared" si="558"/>
        <v>0</v>
      </c>
      <c r="BI625" s="2033">
        <f t="shared" si="559"/>
        <v>0</v>
      </c>
      <c r="BJ625" s="2033">
        <f t="shared" si="560"/>
        <v>0</v>
      </c>
      <c r="BK625" s="2033">
        <f t="shared" si="561"/>
        <v>0</v>
      </c>
      <c r="BL625" s="2033">
        <f t="shared" si="562"/>
        <v>0</v>
      </c>
      <c r="BM625" s="2033">
        <f t="shared" si="563"/>
        <v>0</v>
      </c>
      <c r="BN625" s="2033">
        <f t="shared" si="564"/>
        <v>0</v>
      </c>
      <c r="BO625" s="2033">
        <f t="shared" si="565"/>
        <v>0</v>
      </c>
      <c r="BP625" s="2033">
        <f t="shared" si="566"/>
        <v>0</v>
      </c>
      <c r="BQ625" s="2033">
        <f t="shared" si="567"/>
        <v>0</v>
      </c>
      <c r="BR625" s="2033">
        <f t="shared" si="568"/>
        <v>0</v>
      </c>
      <c r="BS625" s="2033">
        <f t="shared" si="569"/>
        <v>0</v>
      </c>
      <c r="BT625" s="2033">
        <f t="shared" si="570"/>
        <v>0</v>
      </c>
      <c r="BU625" s="1970"/>
    </row>
    <row r="626" spans="2:73" s="536" customFormat="1" ht="12.5">
      <c r="AK626" s="1964"/>
      <c r="AL626" s="2017">
        <f t="shared" si="536"/>
        <v>17</v>
      </c>
      <c r="AM626" s="2030" t="str">
        <f t="shared" si="537"/>
        <v>PASIVOS DIFERIDOS C.P.</v>
      </c>
      <c r="AN626" s="2031">
        <f t="shared" si="538"/>
        <v>0</v>
      </c>
      <c r="AO626" s="2020">
        <f t="shared" si="539"/>
        <v>0</v>
      </c>
      <c r="AP626" s="2032">
        <f t="shared" si="540"/>
        <v>0</v>
      </c>
      <c r="AQ626" s="2022">
        <f t="shared" si="541"/>
        <v>0</v>
      </c>
      <c r="AR626" s="2023">
        <f t="shared" si="542"/>
        <v>0</v>
      </c>
      <c r="AS626" s="2032">
        <f t="shared" si="543"/>
        <v>0</v>
      </c>
      <c r="AT626" s="2022">
        <f t="shared" si="544"/>
        <v>0</v>
      </c>
      <c r="AU626" s="2023">
        <f t="shared" si="545"/>
        <v>0</v>
      </c>
      <c r="AV626" s="2032">
        <f t="shared" si="546"/>
        <v>0</v>
      </c>
      <c r="AW626" s="2022">
        <f t="shared" si="547"/>
        <v>0</v>
      </c>
      <c r="AX626" s="2024">
        <f t="shared" si="548"/>
        <v>0</v>
      </c>
      <c r="AY626" s="2032">
        <f t="shared" si="549"/>
        <v>0</v>
      </c>
      <c r="AZ626" s="2022">
        <f t="shared" si="550"/>
        <v>0</v>
      </c>
      <c r="BA626" s="2024">
        <f t="shared" si="551"/>
        <v>0</v>
      </c>
      <c r="BB626" s="2032">
        <f t="shared" si="552"/>
        <v>0</v>
      </c>
      <c r="BC626" s="2022">
        <f t="shared" si="553"/>
        <v>0</v>
      </c>
      <c r="BD626" s="2024">
        <f t="shared" si="554"/>
        <v>0</v>
      </c>
      <c r="BE626" s="2033">
        <f t="shared" si="555"/>
        <v>0</v>
      </c>
      <c r="BF626" s="2033">
        <f t="shared" si="556"/>
        <v>0</v>
      </c>
      <c r="BG626" s="2033">
        <f t="shared" si="557"/>
        <v>0</v>
      </c>
      <c r="BH626" s="2033">
        <f t="shared" si="558"/>
        <v>0</v>
      </c>
      <c r="BI626" s="2033">
        <f t="shared" si="559"/>
        <v>0</v>
      </c>
      <c r="BJ626" s="2033">
        <f t="shared" si="560"/>
        <v>0</v>
      </c>
      <c r="BK626" s="2033">
        <f t="shared" si="561"/>
        <v>0</v>
      </c>
      <c r="BL626" s="2033">
        <f t="shared" si="562"/>
        <v>0</v>
      </c>
      <c r="BM626" s="2033">
        <f t="shared" si="563"/>
        <v>0</v>
      </c>
      <c r="BN626" s="2033">
        <f t="shared" si="564"/>
        <v>0</v>
      </c>
      <c r="BO626" s="2033">
        <f t="shared" si="565"/>
        <v>0</v>
      </c>
      <c r="BP626" s="2033">
        <f t="shared" si="566"/>
        <v>0</v>
      </c>
      <c r="BQ626" s="2033">
        <f t="shared" si="567"/>
        <v>0</v>
      </c>
      <c r="BR626" s="2033">
        <f t="shared" si="568"/>
        <v>0</v>
      </c>
      <c r="BS626" s="2033">
        <f t="shared" si="569"/>
        <v>0</v>
      </c>
      <c r="BT626" s="2033">
        <f t="shared" si="570"/>
        <v>0</v>
      </c>
      <c r="BU626" s="1970"/>
    </row>
    <row r="627" spans="2:73" s="536" customFormat="1" ht="12.5">
      <c r="AK627" s="1964"/>
      <c r="AL627" s="2017">
        <f t="shared" si="536"/>
        <v>18</v>
      </c>
      <c r="AM627" s="2030" t="str">
        <f t="shared" si="537"/>
        <v>CUENTAS POR PAGAR</v>
      </c>
      <c r="AN627" s="2031">
        <f t="shared" si="538"/>
        <v>0</v>
      </c>
      <c r="AO627" s="2020">
        <f t="shared" si="539"/>
        <v>0</v>
      </c>
      <c r="AP627" s="2032">
        <f t="shared" si="540"/>
        <v>0</v>
      </c>
      <c r="AQ627" s="2022">
        <f t="shared" si="541"/>
        <v>0</v>
      </c>
      <c r="AR627" s="2023">
        <f t="shared" si="542"/>
        <v>0</v>
      </c>
      <c r="AS627" s="2032">
        <f t="shared" si="543"/>
        <v>0</v>
      </c>
      <c r="AT627" s="2022">
        <f t="shared" si="544"/>
        <v>0</v>
      </c>
      <c r="AU627" s="2023">
        <f t="shared" si="545"/>
        <v>0</v>
      </c>
      <c r="AV627" s="2032">
        <f t="shared" si="546"/>
        <v>0</v>
      </c>
      <c r="AW627" s="2022">
        <f t="shared" si="547"/>
        <v>0</v>
      </c>
      <c r="AX627" s="2024">
        <f t="shared" si="548"/>
        <v>0</v>
      </c>
      <c r="AY627" s="2032">
        <f t="shared" si="549"/>
        <v>0</v>
      </c>
      <c r="AZ627" s="2022">
        <f t="shared" si="550"/>
        <v>0</v>
      </c>
      <c r="BA627" s="2024">
        <f t="shared" si="551"/>
        <v>0</v>
      </c>
      <c r="BB627" s="2032">
        <f t="shared" si="552"/>
        <v>0</v>
      </c>
      <c r="BC627" s="2022">
        <f t="shared" si="553"/>
        <v>0</v>
      </c>
      <c r="BD627" s="2024">
        <f t="shared" si="554"/>
        <v>0</v>
      </c>
      <c r="BE627" s="2033">
        <f t="shared" si="555"/>
        <v>0</v>
      </c>
      <c r="BF627" s="2033">
        <f t="shared" si="556"/>
        <v>0</v>
      </c>
      <c r="BG627" s="2033">
        <f t="shared" si="557"/>
        <v>0</v>
      </c>
      <c r="BH627" s="2033">
        <f t="shared" si="558"/>
        <v>0</v>
      </c>
      <c r="BI627" s="2033">
        <f t="shared" si="559"/>
        <v>0</v>
      </c>
      <c r="BJ627" s="2033">
        <f t="shared" si="560"/>
        <v>0</v>
      </c>
      <c r="BK627" s="2033">
        <f t="shared" si="561"/>
        <v>0</v>
      </c>
      <c r="BL627" s="2033">
        <f t="shared" si="562"/>
        <v>0</v>
      </c>
      <c r="BM627" s="2033">
        <f t="shared" si="563"/>
        <v>0</v>
      </c>
      <c r="BN627" s="2033">
        <f t="shared" si="564"/>
        <v>0</v>
      </c>
      <c r="BO627" s="2033">
        <f t="shared" si="565"/>
        <v>0</v>
      </c>
      <c r="BP627" s="2033">
        <f t="shared" si="566"/>
        <v>0</v>
      </c>
      <c r="BQ627" s="2033">
        <f t="shared" si="567"/>
        <v>0</v>
      </c>
      <c r="BR627" s="2033">
        <f t="shared" si="568"/>
        <v>0</v>
      </c>
      <c r="BS627" s="2033">
        <f t="shared" si="569"/>
        <v>0</v>
      </c>
      <c r="BT627" s="2033">
        <f t="shared" si="570"/>
        <v>0</v>
      </c>
      <c r="BU627" s="1970"/>
    </row>
    <row r="628" spans="2:73" s="536" customFormat="1" ht="12.5">
      <c r="AK628" s="1964"/>
      <c r="AL628" s="2017">
        <f t="shared" si="536"/>
        <v>19</v>
      </c>
      <c r="AM628" s="2030" t="str">
        <f t="shared" si="537"/>
        <v>DEUDAS CON SOCIOS  C.P.</v>
      </c>
      <c r="AN628" s="2031">
        <f t="shared" si="538"/>
        <v>0</v>
      </c>
      <c r="AO628" s="2020">
        <f t="shared" si="539"/>
        <v>0</v>
      </c>
      <c r="AP628" s="2032">
        <f t="shared" si="540"/>
        <v>0</v>
      </c>
      <c r="AQ628" s="2022">
        <f t="shared" si="541"/>
        <v>0</v>
      </c>
      <c r="AR628" s="2023">
        <f t="shared" si="542"/>
        <v>0</v>
      </c>
      <c r="AS628" s="2032">
        <f t="shared" si="543"/>
        <v>0</v>
      </c>
      <c r="AT628" s="2022">
        <f t="shared" si="544"/>
        <v>0</v>
      </c>
      <c r="AU628" s="2023">
        <f t="shared" si="545"/>
        <v>0</v>
      </c>
      <c r="AV628" s="2032">
        <f t="shared" si="546"/>
        <v>0</v>
      </c>
      <c r="AW628" s="2022">
        <f t="shared" si="547"/>
        <v>0</v>
      </c>
      <c r="AX628" s="2024">
        <f t="shared" si="548"/>
        <v>0</v>
      </c>
      <c r="AY628" s="2032">
        <f t="shared" si="549"/>
        <v>0</v>
      </c>
      <c r="AZ628" s="2022">
        <f t="shared" si="550"/>
        <v>0</v>
      </c>
      <c r="BA628" s="2024">
        <f t="shared" si="551"/>
        <v>0</v>
      </c>
      <c r="BB628" s="2032">
        <f t="shared" si="552"/>
        <v>0</v>
      </c>
      <c r="BC628" s="2022">
        <f t="shared" si="553"/>
        <v>0</v>
      </c>
      <c r="BD628" s="2024">
        <f t="shared" si="554"/>
        <v>0</v>
      </c>
      <c r="BE628" s="2033">
        <f t="shared" si="555"/>
        <v>0</v>
      </c>
      <c r="BF628" s="2033">
        <f t="shared" si="556"/>
        <v>0</v>
      </c>
      <c r="BG628" s="2033">
        <f t="shared" si="557"/>
        <v>0</v>
      </c>
      <c r="BH628" s="2033">
        <f t="shared" si="558"/>
        <v>0</v>
      </c>
      <c r="BI628" s="2033">
        <f t="shared" si="559"/>
        <v>0</v>
      </c>
      <c r="BJ628" s="2033">
        <f t="shared" si="560"/>
        <v>0</v>
      </c>
      <c r="BK628" s="2033">
        <f t="shared" si="561"/>
        <v>0</v>
      </c>
      <c r="BL628" s="2033">
        <f t="shared" si="562"/>
        <v>0</v>
      </c>
      <c r="BM628" s="2033">
        <f t="shared" si="563"/>
        <v>0</v>
      </c>
      <c r="BN628" s="2033">
        <f t="shared" si="564"/>
        <v>0</v>
      </c>
      <c r="BO628" s="2033">
        <f t="shared" si="565"/>
        <v>0</v>
      </c>
      <c r="BP628" s="2033">
        <f t="shared" si="566"/>
        <v>0</v>
      </c>
      <c r="BQ628" s="2033">
        <f t="shared" si="567"/>
        <v>0</v>
      </c>
      <c r="BR628" s="2033">
        <f t="shared" si="568"/>
        <v>0</v>
      </c>
      <c r="BS628" s="2033">
        <f t="shared" si="569"/>
        <v>0</v>
      </c>
      <c r="BT628" s="2033">
        <f t="shared" si="570"/>
        <v>0</v>
      </c>
      <c r="BU628" s="1970"/>
    </row>
    <row r="629" spans="2:73" s="536" customFormat="1">
      <c r="AK629" s="1964"/>
      <c r="AL629" s="2017" t="str">
        <f t="shared" si="536"/>
        <v>20.1</v>
      </c>
      <c r="AM629" s="2018" t="str">
        <f t="shared" si="537"/>
        <v>PASIVOS ESTIMADOS Y PROVISIONES</v>
      </c>
      <c r="AN629" s="2019">
        <f t="shared" si="538"/>
        <v>0</v>
      </c>
      <c r="AO629" s="2020">
        <f t="shared" si="539"/>
        <v>0</v>
      </c>
      <c r="AP629" s="2021">
        <f t="shared" si="540"/>
        <v>0</v>
      </c>
      <c r="AQ629" s="2022">
        <f t="shared" si="541"/>
        <v>0</v>
      </c>
      <c r="AR629" s="2023">
        <f t="shared" si="542"/>
        <v>0</v>
      </c>
      <c r="AS629" s="2021">
        <f t="shared" si="543"/>
        <v>0</v>
      </c>
      <c r="AT629" s="2022">
        <f t="shared" si="544"/>
        <v>0</v>
      </c>
      <c r="AU629" s="2023">
        <f t="shared" si="545"/>
        <v>0</v>
      </c>
      <c r="AV629" s="2021">
        <f t="shared" si="546"/>
        <v>0</v>
      </c>
      <c r="AW629" s="2022">
        <f t="shared" si="547"/>
        <v>0</v>
      </c>
      <c r="AX629" s="2024">
        <f t="shared" si="548"/>
        <v>0</v>
      </c>
      <c r="AY629" s="2021">
        <f t="shared" si="549"/>
        <v>0</v>
      </c>
      <c r="AZ629" s="2022">
        <f t="shared" si="550"/>
        <v>0</v>
      </c>
      <c r="BA629" s="2024">
        <f t="shared" si="551"/>
        <v>0</v>
      </c>
      <c r="BB629" s="2021">
        <f t="shared" si="552"/>
        <v>0</v>
      </c>
      <c r="BC629" s="2022">
        <f t="shared" si="553"/>
        <v>0</v>
      </c>
      <c r="BD629" s="2024">
        <f t="shared" si="554"/>
        <v>0</v>
      </c>
      <c r="BE629" s="2025">
        <f t="shared" si="555"/>
        <v>0</v>
      </c>
      <c r="BF629" s="2025">
        <f t="shared" si="556"/>
        <v>0</v>
      </c>
      <c r="BG629" s="2025">
        <f t="shared" si="557"/>
        <v>0</v>
      </c>
      <c r="BH629" s="2025">
        <f t="shared" si="558"/>
        <v>0</v>
      </c>
      <c r="BI629" s="2025">
        <f t="shared" si="559"/>
        <v>0</v>
      </c>
      <c r="BJ629" s="2025">
        <f t="shared" si="560"/>
        <v>0</v>
      </c>
      <c r="BK629" s="2025">
        <f t="shared" si="561"/>
        <v>0</v>
      </c>
      <c r="BL629" s="2025">
        <f t="shared" si="562"/>
        <v>0</v>
      </c>
      <c r="BM629" s="2025">
        <f t="shared" si="563"/>
        <v>0</v>
      </c>
      <c r="BN629" s="2025">
        <f t="shared" si="564"/>
        <v>0</v>
      </c>
      <c r="BO629" s="2025">
        <f t="shared" si="565"/>
        <v>0</v>
      </c>
      <c r="BP629" s="2025">
        <f t="shared" si="566"/>
        <v>0</v>
      </c>
      <c r="BQ629" s="2025">
        <f t="shared" si="567"/>
        <v>0</v>
      </c>
      <c r="BR629" s="2025">
        <f t="shared" si="568"/>
        <v>0</v>
      </c>
      <c r="BS629" s="2025">
        <f t="shared" si="569"/>
        <v>0</v>
      </c>
      <c r="BT629" s="2025">
        <f t="shared" si="570"/>
        <v>0</v>
      </c>
      <c r="BU629" s="1970"/>
    </row>
    <row r="630" spans="2:73" s="536" customFormat="1">
      <c r="AK630" s="1964"/>
      <c r="AL630" s="2017" t="str">
        <f t="shared" si="536"/>
        <v>20.2</v>
      </c>
      <c r="AM630" s="2018" t="str">
        <f t="shared" si="537"/>
        <v>OTROS CORRIENTES</v>
      </c>
      <c r="AN630" s="2019">
        <f t="shared" si="538"/>
        <v>0</v>
      </c>
      <c r="AO630" s="2020">
        <f t="shared" si="539"/>
        <v>0</v>
      </c>
      <c r="AP630" s="2021">
        <f t="shared" si="540"/>
        <v>0</v>
      </c>
      <c r="AQ630" s="2022">
        <f t="shared" si="541"/>
        <v>0</v>
      </c>
      <c r="AR630" s="2023">
        <f t="shared" si="542"/>
        <v>0</v>
      </c>
      <c r="AS630" s="2021">
        <f t="shared" si="543"/>
        <v>0</v>
      </c>
      <c r="AT630" s="2022">
        <f t="shared" si="544"/>
        <v>0</v>
      </c>
      <c r="AU630" s="2023">
        <f t="shared" si="545"/>
        <v>0</v>
      </c>
      <c r="AV630" s="2021">
        <f t="shared" si="546"/>
        <v>0</v>
      </c>
      <c r="AW630" s="2022">
        <f t="shared" si="547"/>
        <v>0</v>
      </c>
      <c r="AX630" s="2024">
        <f t="shared" si="548"/>
        <v>0</v>
      </c>
      <c r="AY630" s="2021">
        <f t="shared" si="549"/>
        <v>0</v>
      </c>
      <c r="AZ630" s="2022">
        <f t="shared" si="550"/>
        <v>0</v>
      </c>
      <c r="BA630" s="2024">
        <f t="shared" si="551"/>
        <v>0</v>
      </c>
      <c r="BB630" s="2021">
        <f t="shared" si="552"/>
        <v>0</v>
      </c>
      <c r="BC630" s="2022">
        <f t="shared" si="553"/>
        <v>0</v>
      </c>
      <c r="BD630" s="2024">
        <f t="shared" si="554"/>
        <v>0</v>
      </c>
      <c r="BE630" s="2025">
        <f t="shared" si="555"/>
        <v>0</v>
      </c>
      <c r="BF630" s="2025">
        <f t="shared" si="556"/>
        <v>0</v>
      </c>
      <c r="BG630" s="2025">
        <f t="shared" si="557"/>
        <v>0</v>
      </c>
      <c r="BH630" s="2025">
        <f t="shared" si="558"/>
        <v>0</v>
      </c>
      <c r="BI630" s="2025">
        <f t="shared" si="559"/>
        <v>0</v>
      </c>
      <c r="BJ630" s="2025">
        <f t="shared" si="560"/>
        <v>0</v>
      </c>
      <c r="BK630" s="2025">
        <f t="shared" si="561"/>
        <v>0</v>
      </c>
      <c r="BL630" s="2025">
        <f t="shared" si="562"/>
        <v>0</v>
      </c>
      <c r="BM630" s="2025">
        <f t="shared" si="563"/>
        <v>0</v>
      </c>
      <c r="BN630" s="2025">
        <f t="shared" si="564"/>
        <v>0</v>
      </c>
      <c r="BO630" s="2025">
        <f t="shared" si="565"/>
        <v>0</v>
      </c>
      <c r="BP630" s="2025">
        <f t="shared" si="566"/>
        <v>0</v>
      </c>
      <c r="BQ630" s="2025">
        <f t="shared" si="567"/>
        <v>0</v>
      </c>
      <c r="BR630" s="2025">
        <f t="shared" si="568"/>
        <v>0</v>
      </c>
      <c r="BS630" s="2025">
        <f t="shared" si="569"/>
        <v>0</v>
      </c>
      <c r="BT630" s="2025">
        <f t="shared" si="570"/>
        <v>0</v>
      </c>
      <c r="BU630" s="1970"/>
    </row>
    <row r="631" spans="2:73" s="536" customFormat="1">
      <c r="AK631" s="1964"/>
      <c r="AL631" s="2034">
        <v>20</v>
      </c>
      <c r="AM631" s="2026" t="s">
        <v>1412</v>
      </c>
      <c r="AN631" s="2027">
        <f>SUM(AN629:AN630)</f>
        <v>0</v>
      </c>
      <c r="AO631" s="2020">
        <f t="shared" si="539"/>
        <v>0</v>
      </c>
      <c r="AP631" s="2028">
        <f>SUM(AP629:AP630)</f>
        <v>0</v>
      </c>
      <c r="AQ631" s="2022">
        <f t="shared" si="541"/>
        <v>0</v>
      </c>
      <c r="AR631" s="2023">
        <f t="shared" si="542"/>
        <v>0</v>
      </c>
      <c r="AS631" s="2028">
        <f>SUM(AS629:AS630)</f>
        <v>0</v>
      </c>
      <c r="AT631" s="2022">
        <f t="shared" si="544"/>
        <v>0</v>
      </c>
      <c r="AU631" s="2023">
        <f t="shared" si="545"/>
        <v>0</v>
      </c>
      <c r="AV631" s="2028">
        <f>SUM(AV629:AV630)</f>
        <v>0</v>
      </c>
      <c r="AW631" s="2022">
        <f t="shared" si="547"/>
        <v>0</v>
      </c>
      <c r="AX631" s="2024">
        <f t="shared" si="548"/>
        <v>0</v>
      </c>
      <c r="AY631" s="2028">
        <f>SUM(AY629:AY630)</f>
        <v>0</v>
      </c>
      <c r="AZ631" s="2022">
        <f t="shared" si="550"/>
        <v>0</v>
      </c>
      <c r="BA631" s="2024">
        <f t="shared" si="551"/>
        <v>0</v>
      </c>
      <c r="BB631" s="2028">
        <f>SUM(BB629:BB630)</f>
        <v>0</v>
      </c>
      <c r="BC631" s="2022">
        <f t="shared" si="553"/>
        <v>0</v>
      </c>
      <c r="BD631" s="2024">
        <f t="shared" si="554"/>
        <v>0</v>
      </c>
      <c r="BE631" s="2028">
        <f t="shared" ref="BE631:BT631" si="571">SUM(BE629:BE630)</f>
        <v>0</v>
      </c>
      <c r="BF631" s="2028">
        <f t="shared" si="571"/>
        <v>0</v>
      </c>
      <c r="BG631" s="2028">
        <f t="shared" si="571"/>
        <v>0</v>
      </c>
      <c r="BH631" s="2028">
        <f t="shared" si="571"/>
        <v>0</v>
      </c>
      <c r="BI631" s="2028">
        <f t="shared" si="571"/>
        <v>0</v>
      </c>
      <c r="BJ631" s="2028">
        <f t="shared" si="571"/>
        <v>0</v>
      </c>
      <c r="BK631" s="2028">
        <f t="shared" si="571"/>
        <v>0</v>
      </c>
      <c r="BL631" s="2028">
        <f t="shared" si="571"/>
        <v>0</v>
      </c>
      <c r="BM631" s="2028">
        <f t="shared" si="571"/>
        <v>0</v>
      </c>
      <c r="BN631" s="2028">
        <f t="shared" si="571"/>
        <v>0</v>
      </c>
      <c r="BO631" s="2028">
        <f t="shared" si="571"/>
        <v>0</v>
      </c>
      <c r="BP631" s="2028">
        <f t="shared" si="571"/>
        <v>0</v>
      </c>
      <c r="BQ631" s="2028">
        <f t="shared" si="571"/>
        <v>0</v>
      </c>
      <c r="BR631" s="2028">
        <f t="shared" si="571"/>
        <v>0</v>
      </c>
      <c r="BS631" s="2028">
        <f t="shared" si="571"/>
        <v>0</v>
      </c>
      <c r="BT631" s="2028">
        <f t="shared" si="571"/>
        <v>0</v>
      </c>
      <c r="BU631" s="1970"/>
    </row>
    <row r="632" spans="2:73" s="536" customFormat="1">
      <c r="AK632" s="1964"/>
      <c r="AL632" s="1965"/>
      <c r="AM632" s="2036" t="s">
        <v>679</v>
      </c>
      <c r="AN632" s="2037">
        <f>SUM(AN619:AN628,AN631)</f>
        <v>0</v>
      </c>
      <c r="AO632" s="2038">
        <f t="shared" si="539"/>
        <v>0</v>
      </c>
      <c r="AP632" s="2039">
        <f>SUM(AP619:AP628,AP631)</f>
        <v>0</v>
      </c>
      <c r="AQ632" s="2040">
        <f t="shared" si="541"/>
        <v>0</v>
      </c>
      <c r="AR632" s="2041">
        <f t="shared" si="542"/>
        <v>0</v>
      </c>
      <c r="AS632" s="2039">
        <f>SUM(AS619:AS628,AS631)</f>
        <v>0</v>
      </c>
      <c r="AT632" s="2040">
        <f t="shared" si="544"/>
        <v>0</v>
      </c>
      <c r="AU632" s="2041">
        <f t="shared" si="545"/>
        <v>0</v>
      </c>
      <c r="AV632" s="2039">
        <f>SUM(AV619:AV628,AV631)</f>
        <v>0</v>
      </c>
      <c r="AW632" s="2040">
        <f t="shared" si="547"/>
        <v>0</v>
      </c>
      <c r="AX632" s="2042">
        <f t="shared" si="548"/>
        <v>0</v>
      </c>
      <c r="AY632" s="2039">
        <f>SUM(AY619:AY628,AY631)</f>
        <v>0</v>
      </c>
      <c r="AZ632" s="2040">
        <f t="shared" si="550"/>
        <v>0</v>
      </c>
      <c r="BA632" s="2042">
        <f t="shared" si="551"/>
        <v>0</v>
      </c>
      <c r="BB632" s="2039">
        <f>SUM(BB619:BB628,BB631)</f>
        <v>0</v>
      </c>
      <c r="BC632" s="2040">
        <f t="shared" si="553"/>
        <v>0</v>
      </c>
      <c r="BD632" s="2042">
        <f t="shared" si="554"/>
        <v>0</v>
      </c>
      <c r="BE632" s="2043">
        <f t="shared" ref="BE632:BT632" si="572">SUM(BE619:BE628,BE631)</f>
        <v>0</v>
      </c>
      <c r="BF632" s="2043">
        <f t="shared" si="572"/>
        <v>0</v>
      </c>
      <c r="BG632" s="2043">
        <f t="shared" si="572"/>
        <v>0</v>
      </c>
      <c r="BH632" s="2043">
        <f t="shared" si="572"/>
        <v>0</v>
      </c>
      <c r="BI632" s="2043">
        <f t="shared" si="572"/>
        <v>0</v>
      </c>
      <c r="BJ632" s="2043">
        <f t="shared" si="572"/>
        <v>0</v>
      </c>
      <c r="BK632" s="2043">
        <f t="shared" si="572"/>
        <v>0</v>
      </c>
      <c r="BL632" s="2043">
        <f t="shared" si="572"/>
        <v>0</v>
      </c>
      <c r="BM632" s="2043">
        <f t="shared" si="572"/>
        <v>0</v>
      </c>
      <c r="BN632" s="2043">
        <f t="shared" si="572"/>
        <v>0</v>
      </c>
      <c r="BO632" s="2043">
        <f t="shared" si="572"/>
        <v>0</v>
      </c>
      <c r="BP632" s="2043">
        <f t="shared" si="572"/>
        <v>0</v>
      </c>
      <c r="BQ632" s="2043">
        <f t="shared" si="572"/>
        <v>0</v>
      </c>
      <c r="BR632" s="2043">
        <f t="shared" si="572"/>
        <v>0</v>
      </c>
      <c r="BS632" s="2043">
        <f t="shared" si="572"/>
        <v>0</v>
      </c>
      <c r="BT632" s="2043">
        <f t="shared" si="572"/>
        <v>0</v>
      </c>
      <c r="BU632" s="1970"/>
    </row>
    <row r="633" spans="2:73" s="536" customFormat="1" ht="12.5">
      <c r="AK633" s="1964"/>
      <c r="AL633" s="2008" t="str">
        <f t="shared" ref="AL633:AN637" si="573">A49</f>
        <v>21.1</v>
      </c>
      <c r="AM633" s="2030" t="str">
        <f t="shared" si="573"/>
        <v>OBLIGACIONES FINANCIERAS L.P.</v>
      </c>
      <c r="AN633" s="2031">
        <f t="shared" si="573"/>
        <v>0</v>
      </c>
      <c r="AO633" s="2020">
        <f t="shared" si="539"/>
        <v>0</v>
      </c>
      <c r="AP633" s="2032">
        <f>E49</f>
        <v>0</v>
      </c>
      <c r="AQ633" s="2022">
        <f t="shared" si="541"/>
        <v>0</v>
      </c>
      <c r="AR633" s="2023">
        <f t="shared" si="542"/>
        <v>0</v>
      </c>
      <c r="AS633" s="2032">
        <f>H49</f>
        <v>0</v>
      </c>
      <c r="AT633" s="2022">
        <f t="shared" si="544"/>
        <v>0</v>
      </c>
      <c r="AU633" s="2023">
        <f t="shared" si="545"/>
        <v>0</v>
      </c>
      <c r="AV633" s="2032">
        <f>K49</f>
        <v>0</v>
      </c>
      <c r="AW633" s="2022">
        <f t="shared" si="547"/>
        <v>0</v>
      </c>
      <c r="AX633" s="2024">
        <f t="shared" si="548"/>
        <v>0</v>
      </c>
      <c r="AY633" s="2032">
        <f>N49</f>
        <v>0</v>
      </c>
      <c r="AZ633" s="2022">
        <f t="shared" si="550"/>
        <v>0</v>
      </c>
      <c r="BA633" s="2024">
        <f t="shared" si="551"/>
        <v>0</v>
      </c>
      <c r="BB633" s="2032">
        <f>Q49</f>
        <v>0</v>
      </c>
      <c r="BC633" s="2022">
        <f t="shared" si="553"/>
        <v>0</v>
      </c>
      <c r="BD633" s="2024">
        <f t="shared" si="554"/>
        <v>0</v>
      </c>
      <c r="BE633" s="2033">
        <f t="shared" ref="BE633:BT637" si="574">T49</f>
        <v>0</v>
      </c>
      <c r="BF633" s="2033">
        <f t="shared" si="574"/>
        <v>0</v>
      </c>
      <c r="BG633" s="2033">
        <f t="shared" si="574"/>
        <v>0</v>
      </c>
      <c r="BH633" s="2033">
        <f t="shared" si="574"/>
        <v>0</v>
      </c>
      <c r="BI633" s="2033">
        <f t="shared" si="574"/>
        <v>0</v>
      </c>
      <c r="BJ633" s="2033">
        <f t="shared" si="574"/>
        <v>0</v>
      </c>
      <c r="BK633" s="2033">
        <f t="shared" si="574"/>
        <v>0</v>
      </c>
      <c r="BL633" s="2033">
        <f t="shared" si="574"/>
        <v>0</v>
      </c>
      <c r="BM633" s="2033">
        <f t="shared" si="574"/>
        <v>0</v>
      </c>
      <c r="BN633" s="2033">
        <f t="shared" si="574"/>
        <v>0</v>
      </c>
      <c r="BO633" s="2033">
        <f t="shared" si="574"/>
        <v>0</v>
      </c>
      <c r="BP633" s="2033">
        <f t="shared" si="574"/>
        <v>0</v>
      </c>
      <c r="BQ633" s="2033">
        <f t="shared" si="574"/>
        <v>0</v>
      </c>
      <c r="BR633" s="2033">
        <f t="shared" si="574"/>
        <v>0</v>
      </c>
      <c r="BS633" s="2033">
        <f t="shared" si="574"/>
        <v>0</v>
      </c>
      <c r="BT633" s="2033">
        <f t="shared" si="574"/>
        <v>0</v>
      </c>
      <c r="BU633" s="1970"/>
    </row>
    <row r="634" spans="2:73" s="536" customFormat="1" ht="12.5">
      <c r="AK634" s="1964"/>
      <c r="AL634" s="2017" t="str">
        <f t="shared" si="573"/>
        <v>21.2</v>
      </c>
      <c r="AM634" s="2030" t="str">
        <f t="shared" si="573"/>
        <v>BONOS</v>
      </c>
      <c r="AN634" s="2031">
        <f t="shared" si="573"/>
        <v>0</v>
      </c>
      <c r="AO634" s="2020">
        <f t="shared" si="539"/>
        <v>0</v>
      </c>
      <c r="AP634" s="2032">
        <f>E50</f>
        <v>0</v>
      </c>
      <c r="AQ634" s="2022">
        <f t="shared" si="541"/>
        <v>0</v>
      </c>
      <c r="AR634" s="2023">
        <f t="shared" si="542"/>
        <v>0</v>
      </c>
      <c r="AS634" s="2032">
        <f>H50</f>
        <v>0</v>
      </c>
      <c r="AT634" s="2022">
        <f t="shared" si="544"/>
        <v>0</v>
      </c>
      <c r="AU634" s="2023">
        <f t="shared" si="545"/>
        <v>0</v>
      </c>
      <c r="AV634" s="2032">
        <f>K50</f>
        <v>0</v>
      </c>
      <c r="AW634" s="2022">
        <f t="shared" si="547"/>
        <v>0</v>
      </c>
      <c r="AX634" s="2024">
        <f t="shared" si="548"/>
        <v>0</v>
      </c>
      <c r="AY634" s="2032">
        <f>N50</f>
        <v>0</v>
      </c>
      <c r="AZ634" s="2022">
        <f t="shared" si="550"/>
        <v>0</v>
      </c>
      <c r="BA634" s="2024">
        <f t="shared" si="551"/>
        <v>0</v>
      </c>
      <c r="BB634" s="2032">
        <f>Q50</f>
        <v>0</v>
      </c>
      <c r="BC634" s="2022">
        <f t="shared" si="553"/>
        <v>0</v>
      </c>
      <c r="BD634" s="2024">
        <f t="shared" si="554"/>
        <v>0</v>
      </c>
      <c r="BE634" s="2033">
        <f t="shared" si="574"/>
        <v>0</v>
      </c>
      <c r="BF634" s="2033">
        <f t="shared" si="574"/>
        <v>0</v>
      </c>
      <c r="BG634" s="2033">
        <f t="shared" si="574"/>
        <v>0</v>
      </c>
      <c r="BH634" s="2033">
        <f t="shared" si="574"/>
        <v>0</v>
      </c>
      <c r="BI634" s="2033">
        <f t="shared" si="574"/>
        <v>0</v>
      </c>
      <c r="BJ634" s="2033">
        <f t="shared" si="574"/>
        <v>0</v>
      </c>
      <c r="BK634" s="2033">
        <f t="shared" si="574"/>
        <v>0</v>
      </c>
      <c r="BL634" s="2033">
        <f t="shared" si="574"/>
        <v>0</v>
      </c>
      <c r="BM634" s="2033">
        <f t="shared" si="574"/>
        <v>0</v>
      </c>
      <c r="BN634" s="2033">
        <f t="shared" si="574"/>
        <v>0</v>
      </c>
      <c r="BO634" s="2033">
        <f t="shared" si="574"/>
        <v>0</v>
      </c>
      <c r="BP634" s="2033">
        <f t="shared" si="574"/>
        <v>0</v>
      </c>
      <c r="BQ634" s="2033">
        <f t="shared" si="574"/>
        <v>0</v>
      </c>
      <c r="BR634" s="2033">
        <f t="shared" si="574"/>
        <v>0</v>
      </c>
      <c r="BS634" s="2033">
        <f t="shared" si="574"/>
        <v>0</v>
      </c>
      <c r="BT634" s="2033">
        <f t="shared" si="574"/>
        <v>0</v>
      </c>
      <c r="BU634" s="1970"/>
    </row>
    <row r="635" spans="2:73" s="536" customFormat="1" ht="12.5">
      <c r="AK635" s="1964"/>
      <c r="AL635" s="2017" t="str">
        <f t="shared" si="573"/>
        <v>21.3</v>
      </c>
      <c r="AM635" s="2030" t="str">
        <f t="shared" si="573"/>
        <v>OBLIGACIONES DE LARGO PLAZO DAVIVIENDA</v>
      </c>
      <c r="AN635" s="2031">
        <f t="shared" si="573"/>
        <v>0</v>
      </c>
      <c r="AO635" s="2020">
        <f t="shared" si="539"/>
        <v>0</v>
      </c>
      <c r="AP635" s="2032">
        <f>E51</f>
        <v>0</v>
      </c>
      <c r="AQ635" s="2022">
        <f t="shared" si="541"/>
        <v>0</v>
      </c>
      <c r="AR635" s="2023">
        <f t="shared" si="542"/>
        <v>0</v>
      </c>
      <c r="AS635" s="2032">
        <f>H51</f>
        <v>0</v>
      </c>
      <c r="AT635" s="2022">
        <f t="shared" si="544"/>
        <v>0</v>
      </c>
      <c r="AU635" s="2023">
        <f t="shared" si="545"/>
        <v>0</v>
      </c>
      <c r="AV635" s="2032">
        <f>K51</f>
        <v>0</v>
      </c>
      <c r="AW635" s="2022">
        <f t="shared" si="547"/>
        <v>0</v>
      </c>
      <c r="AX635" s="2024">
        <f t="shared" si="548"/>
        <v>0</v>
      </c>
      <c r="AY635" s="2032">
        <f>N51</f>
        <v>0</v>
      </c>
      <c r="AZ635" s="2022">
        <f t="shared" si="550"/>
        <v>0</v>
      </c>
      <c r="BA635" s="2024">
        <f t="shared" si="551"/>
        <v>0</v>
      </c>
      <c r="BB635" s="2032">
        <f>Q51</f>
        <v>0</v>
      </c>
      <c r="BC635" s="2022">
        <f t="shared" si="553"/>
        <v>0</v>
      </c>
      <c r="BD635" s="2024">
        <f t="shared" si="554"/>
        <v>0</v>
      </c>
      <c r="BE635" s="2033">
        <f t="shared" si="574"/>
        <v>0</v>
      </c>
      <c r="BF635" s="2033">
        <f t="shared" si="574"/>
        <v>0</v>
      </c>
      <c r="BG635" s="2033">
        <f t="shared" si="574"/>
        <v>0</v>
      </c>
      <c r="BH635" s="2033">
        <f t="shared" si="574"/>
        <v>0</v>
      </c>
      <c r="BI635" s="2033">
        <f t="shared" si="574"/>
        <v>0</v>
      </c>
      <c r="BJ635" s="2033">
        <f t="shared" si="574"/>
        <v>0</v>
      </c>
      <c r="BK635" s="2033">
        <f t="shared" si="574"/>
        <v>0</v>
      </c>
      <c r="BL635" s="2033">
        <f t="shared" si="574"/>
        <v>0</v>
      </c>
      <c r="BM635" s="2033">
        <f t="shared" si="574"/>
        <v>0</v>
      </c>
      <c r="BN635" s="2033">
        <f t="shared" si="574"/>
        <v>0</v>
      </c>
      <c r="BO635" s="2033">
        <f t="shared" si="574"/>
        <v>0</v>
      </c>
      <c r="BP635" s="2033">
        <f t="shared" si="574"/>
        <v>0</v>
      </c>
      <c r="BQ635" s="2033">
        <f t="shared" si="574"/>
        <v>0</v>
      </c>
      <c r="BR635" s="2033">
        <f t="shared" si="574"/>
        <v>0</v>
      </c>
      <c r="BS635" s="2033">
        <f t="shared" si="574"/>
        <v>0</v>
      </c>
      <c r="BT635" s="2033">
        <f t="shared" si="574"/>
        <v>0</v>
      </c>
      <c r="BU635" s="1970"/>
    </row>
    <row r="636" spans="2:73" s="536" customFormat="1">
      <c r="AK636" s="1964"/>
      <c r="AL636" s="2017" t="str">
        <f t="shared" si="573"/>
        <v>22.1</v>
      </c>
      <c r="AM636" s="2018" t="str">
        <f t="shared" si="573"/>
        <v>PRESTACIONES SOCIALES L.P.</v>
      </c>
      <c r="AN636" s="2019">
        <f t="shared" si="573"/>
        <v>0</v>
      </c>
      <c r="AO636" s="2020">
        <f t="shared" si="539"/>
        <v>0</v>
      </c>
      <c r="AP636" s="2021">
        <f>E52</f>
        <v>0</v>
      </c>
      <c r="AQ636" s="2022">
        <f t="shared" si="541"/>
        <v>0</v>
      </c>
      <c r="AR636" s="2023">
        <f t="shared" si="542"/>
        <v>0</v>
      </c>
      <c r="AS636" s="2021">
        <f>H52</f>
        <v>0</v>
      </c>
      <c r="AT636" s="2022">
        <f t="shared" si="544"/>
        <v>0</v>
      </c>
      <c r="AU636" s="2023">
        <f t="shared" si="545"/>
        <v>0</v>
      </c>
      <c r="AV636" s="2021">
        <f>K52</f>
        <v>0</v>
      </c>
      <c r="AW636" s="2022">
        <f t="shared" si="547"/>
        <v>0</v>
      </c>
      <c r="AX636" s="2024">
        <f t="shared" si="548"/>
        <v>0</v>
      </c>
      <c r="AY636" s="2021">
        <f>N52</f>
        <v>0</v>
      </c>
      <c r="AZ636" s="2022">
        <f t="shared" si="550"/>
        <v>0</v>
      </c>
      <c r="BA636" s="2024">
        <f t="shared" si="551"/>
        <v>0</v>
      </c>
      <c r="BB636" s="2021">
        <f>Q52</f>
        <v>0</v>
      </c>
      <c r="BC636" s="2022">
        <f t="shared" si="553"/>
        <v>0</v>
      </c>
      <c r="BD636" s="2024">
        <f t="shared" si="554"/>
        <v>0</v>
      </c>
      <c r="BE636" s="2025">
        <f t="shared" si="574"/>
        <v>0</v>
      </c>
      <c r="BF636" s="2025">
        <f t="shared" si="574"/>
        <v>0</v>
      </c>
      <c r="BG636" s="2025">
        <f t="shared" si="574"/>
        <v>0</v>
      </c>
      <c r="BH636" s="2025">
        <f t="shared" si="574"/>
        <v>0</v>
      </c>
      <c r="BI636" s="2025">
        <f t="shared" si="574"/>
        <v>0</v>
      </c>
      <c r="BJ636" s="2025">
        <f t="shared" si="574"/>
        <v>0</v>
      </c>
      <c r="BK636" s="2025">
        <f t="shared" si="574"/>
        <v>0</v>
      </c>
      <c r="BL636" s="2025">
        <f t="shared" si="574"/>
        <v>0</v>
      </c>
      <c r="BM636" s="2025">
        <f t="shared" si="574"/>
        <v>0</v>
      </c>
      <c r="BN636" s="2025">
        <f t="shared" si="574"/>
        <v>0</v>
      </c>
      <c r="BO636" s="2025">
        <f t="shared" si="574"/>
        <v>0</v>
      </c>
      <c r="BP636" s="2025">
        <f t="shared" si="574"/>
        <v>0</v>
      </c>
      <c r="BQ636" s="2025">
        <f t="shared" si="574"/>
        <v>0</v>
      </c>
      <c r="BR636" s="2025">
        <f t="shared" si="574"/>
        <v>0</v>
      </c>
      <c r="BS636" s="2025">
        <f t="shared" si="574"/>
        <v>0</v>
      </c>
      <c r="BT636" s="2025">
        <f t="shared" si="574"/>
        <v>0</v>
      </c>
      <c r="BU636" s="1970"/>
    </row>
    <row r="637" spans="2:73" s="536" customFormat="1">
      <c r="AK637" s="1964"/>
      <c r="AL637" s="2017" t="str">
        <f t="shared" si="573"/>
        <v>22.2</v>
      </c>
      <c r="AM637" s="2018" t="str">
        <f t="shared" si="573"/>
        <v>PENSIONES DE JUBILACIÓN</v>
      </c>
      <c r="AN637" s="2019">
        <f t="shared" si="573"/>
        <v>0</v>
      </c>
      <c r="AO637" s="2020">
        <f t="shared" si="539"/>
        <v>0</v>
      </c>
      <c r="AP637" s="2021">
        <f>E53</f>
        <v>0</v>
      </c>
      <c r="AQ637" s="2022">
        <f t="shared" si="541"/>
        <v>0</v>
      </c>
      <c r="AR637" s="2023">
        <f t="shared" si="542"/>
        <v>0</v>
      </c>
      <c r="AS637" s="2021">
        <f>H53</f>
        <v>0</v>
      </c>
      <c r="AT637" s="2022">
        <f t="shared" si="544"/>
        <v>0</v>
      </c>
      <c r="AU637" s="2023">
        <f t="shared" si="545"/>
        <v>0</v>
      </c>
      <c r="AV637" s="2021">
        <f>K53</f>
        <v>0</v>
      </c>
      <c r="AW637" s="2022">
        <f t="shared" si="547"/>
        <v>0</v>
      </c>
      <c r="AX637" s="2024">
        <f t="shared" si="548"/>
        <v>0</v>
      </c>
      <c r="AY637" s="2021">
        <f>N53</f>
        <v>0</v>
      </c>
      <c r="AZ637" s="2022">
        <f t="shared" si="550"/>
        <v>0</v>
      </c>
      <c r="BA637" s="2024">
        <f t="shared" si="551"/>
        <v>0</v>
      </c>
      <c r="BB637" s="2021">
        <f>Q53</f>
        <v>0</v>
      </c>
      <c r="BC637" s="2022">
        <f t="shared" si="553"/>
        <v>0</v>
      </c>
      <c r="BD637" s="2024">
        <f t="shared" si="554"/>
        <v>0</v>
      </c>
      <c r="BE637" s="2025">
        <f t="shared" si="574"/>
        <v>0</v>
      </c>
      <c r="BF637" s="2025">
        <f t="shared" si="574"/>
        <v>0</v>
      </c>
      <c r="BG637" s="2025">
        <f t="shared" si="574"/>
        <v>0</v>
      </c>
      <c r="BH637" s="2025">
        <f t="shared" si="574"/>
        <v>0</v>
      </c>
      <c r="BI637" s="2025">
        <f t="shared" si="574"/>
        <v>0</v>
      </c>
      <c r="BJ637" s="2025">
        <f t="shared" si="574"/>
        <v>0</v>
      </c>
      <c r="BK637" s="2025">
        <f t="shared" si="574"/>
        <v>0</v>
      </c>
      <c r="BL637" s="2025">
        <f t="shared" si="574"/>
        <v>0</v>
      </c>
      <c r="BM637" s="2025">
        <f t="shared" si="574"/>
        <v>0</v>
      </c>
      <c r="BN637" s="2025">
        <f t="shared" si="574"/>
        <v>0</v>
      </c>
      <c r="BO637" s="2025">
        <f t="shared" si="574"/>
        <v>0</v>
      </c>
      <c r="BP637" s="2025">
        <f t="shared" si="574"/>
        <v>0</v>
      </c>
      <c r="BQ637" s="2025">
        <f t="shared" si="574"/>
        <v>0</v>
      </c>
      <c r="BR637" s="2025">
        <f t="shared" si="574"/>
        <v>0</v>
      </c>
      <c r="BS637" s="2025">
        <f t="shared" si="574"/>
        <v>0</v>
      </c>
      <c r="BT637" s="2025">
        <f t="shared" si="574"/>
        <v>0</v>
      </c>
      <c r="BU637" s="1970"/>
    </row>
    <row r="638" spans="2:73" s="536" customFormat="1">
      <c r="AK638" s="1964"/>
      <c r="AL638" s="2017">
        <v>22</v>
      </c>
      <c r="AM638" s="2026" t="s">
        <v>1413</v>
      </c>
      <c r="AN638" s="2027">
        <f>SUM(AN636:AN637)</f>
        <v>0</v>
      </c>
      <c r="AO638" s="2020">
        <f t="shared" si="539"/>
        <v>0</v>
      </c>
      <c r="AP638" s="2028">
        <f>SUM(AP636:AP637)</f>
        <v>0</v>
      </c>
      <c r="AQ638" s="2022">
        <f t="shared" si="541"/>
        <v>0</v>
      </c>
      <c r="AR638" s="2023">
        <f t="shared" si="542"/>
        <v>0</v>
      </c>
      <c r="AS638" s="2028">
        <f>SUM(AS636:AS637)</f>
        <v>0</v>
      </c>
      <c r="AT638" s="2022">
        <f t="shared" si="544"/>
        <v>0</v>
      </c>
      <c r="AU638" s="2023">
        <f t="shared" si="545"/>
        <v>0</v>
      </c>
      <c r="AV638" s="2028">
        <f>SUM(AV636:AV637)</f>
        <v>0</v>
      </c>
      <c r="AW638" s="2022">
        <f t="shared" si="547"/>
        <v>0</v>
      </c>
      <c r="AX638" s="2024">
        <f t="shared" si="548"/>
        <v>0</v>
      </c>
      <c r="AY638" s="2028">
        <f>SUM(AY636:AY637)</f>
        <v>0</v>
      </c>
      <c r="AZ638" s="2022">
        <f t="shared" si="550"/>
        <v>0</v>
      </c>
      <c r="BA638" s="2024">
        <f t="shared" si="551"/>
        <v>0</v>
      </c>
      <c r="BB638" s="2028">
        <f>SUM(BB636:BB637)</f>
        <v>0</v>
      </c>
      <c r="BC638" s="2022">
        <f t="shared" si="553"/>
        <v>0</v>
      </c>
      <c r="BD638" s="2024">
        <f t="shared" si="554"/>
        <v>0</v>
      </c>
      <c r="BE638" s="2028">
        <f t="shared" ref="BE638:BT638" si="575">SUM(BE636:BE637)</f>
        <v>0</v>
      </c>
      <c r="BF638" s="2028">
        <f t="shared" si="575"/>
        <v>0</v>
      </c>
      <c r="BG638" s="2028">
        <f t="shared" si="575"/>
        <v>0</v>
      </c>
      <c r="BH638" s="2028">
        <f t="shared" si="575"/>
        <v>0</v>
      </c>
      <c r="BI638" s="2028">
        <f t="shared" si="575"/>
        <v>0</v>
      </c>
      <c r="BJ638" s="2028">
        <f t="shared" si="575"/>
        <v>0</v>
      </c>
      <c r="BK638" s="2028">
        <f t="shared" si="575"/>
        <v>0</v>
      </c>
      <c r="BL638" s="2028">
        <f t="shared" si="575"/>
        <v>0</v>
      </c>
      <c r="BM638" s="2028">
        <f t="shared" si="575"/>
        <v>0</v>
      </c>
      <c r="BN638" s="2028">
        <f t="shared" si="575"/>
        <v>0</v>
      </c>
      <c r="BO638" s="2028">
        <f t="shared" si="575"/>
        <v>0</v>
      </c>
      <c r="BP638" s="2028">
        <f t="shared" si="575"/>
        <v>0</v>
      </c>
      <c r="BQ638" s="2028">
        <f t="shared" si="575"/>
        <v>0</v>
      </c>
      <c r="BR638" s="2028">
        <f t="shared" si="575"/>
        <v>0</v>
      </c>
      <c r="BS638" s="2028">
        <f t="shared" si="575"/>
        <v>0</v>
      </c>
      <c r="BT638" s="2028">
        <f t="shared" si="575"/>
        <v>0</v>
      </c>
      <c r="BU638" s="1970"/>
    </row>
    <row r="639" spans="2:73" s="536" customFormat="1" ht="12.5">
      <c r="AK639" s="1964"/>
      <c r="AL639" s="2017">
        <f t="shared" ref="AL639:AN641" si="576">A54</f>
        <v>23</v>
      </c>
      <c r="AM639" s="2030" t="str">
        <f t="shared" si="576"/>
        <v>DEUDAS CON SOCIOS L.P.</v>
      </c>
      <c r="AN639" s="2031">
        <f t="shared" si="576"/>
        <v>0</v>
      </c>
      <c r="AO639" s="2020">
        <f t="shared" si="539"/>
        <v>0</v>
      </c>
      <c r="AP639" s="2032">
        <f>E54</f>
        <v>0</v>
      </c>
      <c r="AQ639" s="2022">
        <f t="shared" si="541"/>
        <v>0</v>
      </c>
      <c r="AR639" s="2023">
        <f t="shared" si="542"/>
        <v>0</v>
      </c>
      <c r="AS639" s="2032">
        <f>H54</f>
        <v>0</v>
      </c>
      <c r="AT639" s="2022">
        <f t="shared" si="544"/>
        <v>0</v>
      </c>
      <c r="AU639" s="2023">
        <f t="shared" si="545"/>
        <v>0</v>
      </c>
      <c r="AV639" s="2032">
        <f>K54</f>
        <v>0</v>
      </c>
      <c r="AW639" s="2022">
        <f t="shared" si="547"/>
        <v>0</v>
      </c>
      <c r="AX639" s="2024">
        <f t="shared" si="548"/>
        <v>0</v>
      </c>
      <c r="AY639" s="2032">
        <f>N54</f>
        <v>0</v>
      </c>
      <c r="AZ639" s="2022">
        <f t="shared" si="550"/>
        <v>0</v>
      </c>
      <c r="BA639" s="2024">
        <f t="shared" si="551"/>
        <v>0</v>
      </c>
      <c r="BB639" s="2032">
        <f>Q54</f>
        <v>0</v>
      </c>
      <c r="BC639" s="2022">
        <f t="shared" si="553"/>
        <v>0</v>
      </c>
      <c r="BD639" s="2024">
        <f t="shared" si="554"/>
        <v>0</v>
      </c>
      <c r="BE639" s="2033">
        <f t="shared" ref="BE639:BT641" si="577">T54</f>
        <v>0</v>
      </c>
      <c r="BF639" s="2033">
        <f t="shared" si="577"/>
        <v>0</v>
      </c>
      <c r="BG639" s="2033">
        <f t="shared" si="577"/>
        <v>0</v>
      </c>
      <c r="BH639" s="2033">
        <f t="shared" si="577"/>
        <v>0</v>
      </c>
      <c r="BI639" s="2033">
        <f t="shared" si="577"/>
        <v>0</v>
      </c>
      <c r="BJ639" s="2033">
        <f t="shared" si="577"/>
        <v>0</v>
      </c>
      <c r="BK639" s="2033">
        <f t="shared" si="577"/>
        <v>0</v>
      </c>
      <c r="BL639" s="2033">
        <f t="shared" si="577"/>
        <v>0</v>
      </c>
      <c r="BM639" s="2033">
        <f t="shared" si="577"/>
        <v>0</v>
      </c>
      <c r="BN639" s="2033">
        <f t="shared" si="577"/>
        <v>0</v>
      </c>
      <c r="BO639" s="2033">
        <f t="shared" si="577"/>
        <v>0</v>
      </c>
      <c r="BP639" s="2033">
        <f t="shared" si="577"/>
        <v>0</v>
      </c>
      <c r="BQ639" s="2033">
        <f t="shared" si="577"/>
        <v>0</v>
      </c>
      <c r="BR639" s="2033">
        <f t="shared" si="577"/>
        <v>0</v>
      </c>
      <c r="BS639" s="2033">
        <f t="shared" si="577"/>
        <v>0</v>
      </c>
      <c r="BT639" s="2033">
        <f t="shared" si="577"/>
        <v>0</v>
      </c>
      <c r="BU639" s="1970"/>
    </row>
    <row r="640" spans="2:73" s="536" customFormat="1" ht="12.5">
      <c r="AK640" s="1964"/>
      <c r="AL640" s="2017">
        <f t="shared" si="576"/>
        <v>24</v>
      </c>
      <c r="AM640" s="2030" t="str">
        <f t="shared" si="576"/>
        <v>IMPUESTOS DE L.P. (DIFERIDOS)</v>
      </c>
      <c r="AN640" s="2031">
        <f t="shared" si="576"/>
        <v>0</v>
      </c>
      <c r="AO640" s="2020">
        <f t="shared" si="539"/>
        <v>0</v>
      </c>
      <c r="AP640" s="2032">
        <f>E55</f>
        <v>0</v>
      </c>
      <c r="AQ640" s="2022">
        <f t="shared" si="541"/>
        <v>0</v>
      </c>
      <c r="AR640" s="2023">
        <f t="shared" si="542"/>
        <v>0</v>
      </c>
      <c r="AS640" s="2032">
        <f>H55</f>
        <v>0</v>
      </c>
      <c r="AT640" s="2022">
        <f t="shared" si="544"/>
        <v>0</v>
      </c>
      <c r="AU640" s="2023">
        <f t="shared" si="545"/>
        <v>0</v>
      </c>
      <c r="AV640" s="2032">
        <f>K55</f>
        <v>0</v>
      </c>
      <c r="AW640" s="2022">
        <f t="shared" si="547"/>
        <v>0</v>
      </c>
      <c r="AX640" s="2024">
        <f t="shared" si="548"/>
        <v>0</v>
      </c>
      <c r="AY640" s="2032">
        <f>N55</f>
        <v>0</v>
      </c>
      <c r="AZ640" s="2022">
        <f t="shared" si="550"/>
        <v>0</v>
      </c>
      <c r="BA640" s="2024">
        <f t="shared" si="551"/>
        <v>0</v>
      </c>
      <c r="BB640" s="2032">
        <f>Q55</f>
        <v>0</v>
      </c>
      <c r="BC640" s="2022">
        <f t="shared" si="553"/>
        <v>0</v>
      </c>
      <c r="BD640" s="2024">
        <f t="shared" si="554"/>
        <v>0</v>
      </c>
      <c r="BE640" s="2033">
        <f t="shared" si="577"/>
        <v>0</v>
      </c>
      <c r="BF640" s="2033">
        <f t="shared" si="577"/>
        <v>0</v>
      </c>
      <c r="BG640" s="2033">
        <f t="shared" si="577"/>
        <v>0</v>
      </c>
      <c r="BH640" s="2033">
        <f t="shared" si="577"/>
        <v>0</v>
      </c>
      <c r="BI640" s="2033">
        <f t="shared" si="577"/>
        <v>0</v>
      </c>
      <c r="BJ640" s="2033">
        <f t="shared" si="577"/>
        <v>0</v>
      </c>
      <c r="BK640" s="2033">
        <f t="shared" si="577"/>
        <v>0</v>
      </c>
      <c r="BL640" s="2033">
        <f t="shared" si="577"/>
        <v>0</v>
      </c>
      <c r="BM640" s="2033">
        <f t="shared" si="577"/>
        <v>0</v>
      </c>
      <c r="BN640" s="2033">
        <f t="shared" si="577"/>
        <v>0</v>
      </c>
      <c r="BO640" s="2033">
        <f t="shared" si="577"/>
        <v>0</v>
      </c>
      <c r="BP640" s="2033">
        <f t="shared" si="577"/>
        <v>0</v>
      </c>
      <c r="BQ640" s="2033">
        <f t="shared" si="577"/>
        <v>0</v>
      </c>
      <c r="BR640" s="2033">
        <f t="shared" si="577"/>
        <v>0</v>
      </c>
      <c r="BS640" s="2033">
        <f t="shared" si="577"/>
        <v>0</v>
      </c>
      <c r="BT640" s="2033">
        <f t="shared" si="577"/>
        <v>0</v>
      </c>
      <c r="BU640" s="1970"/>
    </row>
    <row r="641" spans="37:73" s="536" customFormat="1">
      <c r="AK641" s="1964"/>
      <c r="AL641" s="2017" t="str">
        <f t="shared" si="576"/>
        <v>25.1</v>
      </c>
      <c r="AM641" s="2018" t="str">
        <f t="shared" si="576"/>
        <v>PASIVOS ESTIMADOS Y PROVISIONES (DIFERIDOS)</v>
      </c>
      <c r="AN641" s="2019">
        <f t="shared" si="576"/>
        <v>0</v>
      </c>
      <c r="AO641" s="2020">
        <f t="shared" si="539"/>
        <v>0</v>
      </c>
      <c r="AP641" s="2021">
        <f>E56</f>
        <v>0</v>
      </c>
      <c r="AQ641" s="2022">
        <f t="shared" si="541"/>
        <v>0</v>
      </c>
      <c r="AR641" s="2023">
        <f t="shared" si="542"/>
        <v>0</v>
      </c>
      <c r="AS641" s="2021">
        <f>H56</f>
        <v>0</v>
      </c>
      <c r="AT641" s="2022">
        <f t="shared" si="544"/>
        <v>0</v>
      </c>
      <c r="AU641" s="2023">
        <f t="shared" si="545"/>
        <v>0</v>
      </c>
      <c r="AV641" s="2021">
        <f>K56</f>
        <v>0</v>
      </c>
      <c r="AW641" s="2022">
        <f t="shared" si="547"/>
        <v>0</v>
      </c>
      <c r="AX641" s="2024">
        <f t="shared" si="548"/>
        <v>0</v>
      </c>
      <c r="AY641" s="2021">
        <f>N56</f>
        <v>0</v>
      </c>
      <c r="AZ641" s="2022">
        <f t="shared" si="550"/>
        <v>0</v>
      </c>
      <c r="BA641" s="2024">
        <f t="shared" si="551"/>
        <v>0</v>
      </c>
      <c r="BB641" s="2021">
        <f>Q56</f>
        <v>0</v>
      </c>
      <c r="BC641" s="2022">
        <f t="shared" si="553"/>
        <v>0</v>
      </c>
      <c r="BD641" s="2024">
        <f t="shared" si="554"/>
        <v>0</v>
      </c>
      <c r="BE641" s="2025">
        <f t="shared" si="577"/>
        <v>0</v>
      </c>
      <c r="BF641" s="2025">
        <f t="shared" si="577"/>
        <v>0</v>
      </c>
      <c r="BG641" s="2025">
        <f t="shared" si="577"/>
        <v>0</v>
      </c>
      <c r="BH641" s="2025">
        <f t="shared" si="577"/>
        <v>0</v>
      </c>
      <c r="BI641" s="2025">
        <f t="shared" si="577"/>
        <v>0</v>
      </c>
      <c r="BJ641" s="2025">
        <f t="shared" si="577"/>
        <v>0</v>
      </c>
      <c r="BK641" s="2025">
        <f t="shared" si="577"/>
        <v>0</v>
      </c>
      <c r="BL641" s="2025">
        <f t="shared" si="577"/>
        <v>0</v>
      </c>
      <c r="BM641" s="2025">
        <f t="shared" si="577"/>
        <v>0</v>
      </c>
      <c r="BN641" s="2025">
        <f t="shared" si="577"/>
        <v>0</v>
      </c>
      <c r="BO641" s="2025">
        <f t="shared" si="577"/>
        <v>0</v>
      </c>
      <c r="BP641" s="2025">
        <f t="shared" si="577"/>
        <v>0</v>
      </c>
      <c r="BQ641" s="2025">
        <f t="shared" si="577"/>
        <v>0</v>
      </c>
      <c r="BR641" s="2025">
        <f t="shared" si="577"/>
        <v>0</v>
      </c>
      <c r="BS641" s="2025">
        <f t="shared" si="577"/>
        <v>0</v>
      </c>
      <c r="BT641" s="2025">
        <f t="shared" si="577"/>
        <v>0</v>
      </c>
      <c r="BU641" s="1970"/>
    </row>
    <row r="642" spans="37:73" s="536" customFormat="1">
      <c r="AK642" s="1964"/>
      <c r="AL642" s="2017" t="str">
        <f>A57</f>
        <v>25.2</v>
      </c>
      <c r="AM642" s="2018" t="str">
        <f>B57</f>
        <v xml:space="preserve">OTROS PASIVOS DE LARGO PLAZO </v>
      </c>
      <c r="AN642" s="2019">
        <f>C57-AN643</f>
        <v>0</v>
      </c>
      <c r="AO642" s="2020">
        <f t="shared" si="539"/>
        <v>0</v>
      </c>
      <c r="AP642" s="2021">
        <f>E57-AP643</f>
        <v>0</v>
      </c>
      <c r="AQ642" s="2022">
        <f t="shared" si="541"/>
        <v>0</v>
      </c>
      <c r="AR642" s="2023">
        <f t="shared" si="542"/>
        <v>0</v>
      </c>
      <c r="AS642" s="2021">
        <f>H57-AS643</f>
        <v>0</v>
      </c>
      <c r="AT642" s="2022">
        <f t="shared" si="544"/>
        <v>0</v>
      </c>
      <c r="AU642" s="2023">
        <f t="shared" si="545"/>
        <v>0</v>
      </c>
      <c r="AV642" s="2021">
        <f>K57-AV643</f>
        <v>0</v>
      </c>
      <c r="AW642" s="2022">
        <f t="shared" si="547"/>
        <v>0</v>
      </c>
      <c r="AX642" s="2024">
        <f t="shared" si="548"/>
        <v>0</v>
      </c>
      <c r="AY642" s="2021">
        <f>N57-AY643</f>
        <v>0</v>
      </c>
      <c r="AZ642" s="2022">
        <f t="shared" si="550"/>
        <v>0</v>
      </c>
      <c r="BA642" s="2024">
        <f t="shared" si="551"/>
        <v>0</v>
      </c>
      <c r="BB642" s="2021">
        <f>Q57-BB643</f>
        <v>0</v>
      </c>
      <c r="BC642" s="2022">
        <f t="shared" si="553"/>
        <v>0</v>
      </c>
      <c r="BD642" s="2024">
        <f t="shared" si="554"/>
        <v>0</v>
      </c>
      <c r="BE642" s="2025">
        <f t="shared" ref="BE642:BT642" si="578">T57-BE643</f>
        <v>0</v>
      </c>
      <c r="BF642" s="2025">
        <f t="shared" si="578"/>
        <v>0</v>
      </c>
      <c r="BG642" s="2025">
        <f t="shared" si="578"/>
        <v>0</v>
      </c>
      <c r="BH642" s="2025">
        <f t="shared" si="578"/>
        <v>0</v>
      </c>
      <c r="BI642" s="2025">
        <f t="shared" si="578"/>
        <v>0</v>
      </c>
      <c r="BJ642" s="2025">
        <f t="shared" si="578"/>
        <v>0</v>
      </c>
      <c r="BK642" s="2025">
        <f t="shared" si="578"/>
        <v>0</v>
      </c>
      <c r="BL642" s="2025">
        <f t="shared" si="578"/>
        <v>0</v>
      </c>
      <c r="BM642" s="2025">
        <f t="shared" si="578"/>
        <v>0</v>
      </c>
      <c r="BN642" s="2025">
        <f t="shared" si="578"/>
        <v>0</v>
      </c>
      <c r="BO642" s="2025">
        <f t="shared" si="578"/>
        <v>0</v>
      </c>
      <c r="BP642" s="2025">
        <f t="shared" si="578"/>
        <v>0</v>
      </c>
      <c r="BQ642" s="2025">
        <f t="shared" si="578"/>
        <v>0</v>
      </c>
      <c r="BR642" s="2025">
        <f t="shared" si="578"/>
        <v>0</v>
      </c>
      <c r="BS642" s="2025">
        <f t="shared" si="578"/>
        <v>0</v>
      </c>
      <c r="BT642" s="2025">
        <f t="shared" si="578"/>
        <v>0</v>
      </c>
      <c r="BU642" s="1970"/>
    </row>
    <row r="643" spans="37:73" s="536" customFormat="1">
      <c r="AK643" s="1964"/>
      <c r="AL643" s="2029" t="s">
        <v>1414</v>
      </c>
      <c r="AM643" s="2018" t="str">
        <f>B122</f>
        <v>AJUSTE POR INFLACIÓN PASIVOS</v>
      </c>
      <c r="AN643" s="2019">
        <f>C122</f>
        <v>0</v>
      </c>
      <c r="AO643" s="2020">
        <f t="shared" si="539"/>
        <v>0</v>
      </c>
      <c r="AP643" s="2021">
        <f>E122</f>
        <v>0</v>
      </c>
      <c r="AQ643" s="2022">
        <f t="shared" si="541"/>
        <v>0</v>
      </c>
      <c r="AR643" s="2023">
        <f t="shared" si="542"/>
        <v>0</v>
      </c>
      <c r="AS643" s="2021">
        <f>H122</f>
        <v>0</v>
      </c>
      <c r="AT643" s="2022">
        <f t="shared" si="544"/>
        <v>0</v>
      </c>
      <c r="AU643" s="2023">
        <f t="shared" si="545"/>
        <v>0</v>
      </c>
      <c r="AV643" s="2021">
        <f>K122</f>
        <v>0</v>
      </c>
      <c r="AW643" s="2022">
        <f t="shared" si="547"/>
        <v>0</v>
      </c>
      <c r="AX643" s="2024">
        <f t="shared" si="548"/>
        <v>0</v>
      </c>
      <c r="AY643" s="2021">
        <f>N122</f>
        <v>0</v>
      </c>
      <c r="AZ643" s="2022">
        <f t="shared" si="550"/>
        <v>0</v>
      </c>
      <c r="BA643" s="2024">
        <f t="shared" si="551"/>
        <v>0</v>
      </c>
      <c r="BB643" s="2021">
        <f>Q122</f>
        <v>0</v>
      </c>
      <c r="BC643" s="2022">
        <f t="shared" si="553"/>
        <v>0</v>
      </c>
      <c r="BD643" s="2024">
        <f t="shared" si="554"/>
        <v>0</v>
      </c>
      <c r="BE643" s="2025">
        <f t="shared" ref="BE643:BT643" si="579">T122</f>
        <v>0</v>
      </c>
      <c r="BF643" s="2025">
        <f t="shared" si="579"/>
        <v>0</v>
      </c>
      <c r="BG643" s="2025">
        <f t="shared" si="579"/>
        <v>0</v>
      </c>
      <c r="BH643" s="2025">
        <f t="shared" si="579"/>
        <v>0</v>
      </c>
      <c r="BI643" s="2025">
        <f t="shared" si="579"/>
        <v>0</v>
      </c>
      <c r="BJ643" s="2025">
        <f t="shared" si="579"/>
        <v>0</v>
      </c>
      <c r="BK643" s="2025">
        <f t="shared" si="579"/>
        <v>0</v>
      </c>
      <c r="BL643" s="2025">
        <f t="shared" si="579"/>
        <v>0</v>
      </c>
      <c r="BM643" s="2025">
        <f t="shared" si="579"/>
        <v>0</v>
      </c>
      <c r="BN643" s="2025">
        <f t="shared" si="579"/>
        <v>0</v>
      </c>
      <c r="BO643" s="2025">
        <f t="shared" si="579"/>
        <v>0</v>
      </c>
      <c r="BP643" s="2025">
        <f t="shared" si="579"/>
        <v>0</v>
      </c>
      <c r="BQ643" s="2025">
        <f t="shared" si="579"/>
        <v>0</v>
      </c>
      <c r="BR643" s="2025">
        <f t="shared" si="579"/>
        <v>0</v>
      </c>
      <c r="BS643" s="2025">
        <f t="shared" si="579"/>
        <v>0</v>
      </c>
      <c r="BT643" s="2025">
        <f t="shared" si="579"/>
        <v>0</v>
      </c>
      <c r="BU643" s="1970"/>
    </row>
    <row r="644" spans="37:73" s="536" customFormat="1">
      <c r="AK644" s="1964"/>
      <c r="AL644" s="2034">
        <v>25</v>
      </c>
      <c r="AM644" s="2026" t="s">
        <v>1415</v>
      </c>
      <c r="AN644" s="2027">
        <f>SUM(AN641:AN643)</f>
        <v>0</v>
      </c>
      <c r="AO644" s="2020">
        <f t="shared" si="539"/>
        <v>0</v>
      </c>
      <c r="AP644" s="2028">
        <f>SUM(AP641:AP643)</f>
        <v>0</v>
      </c>
      <c r="AQ644" s="2022">
        <f t="shared" si="541"/>
        <v>0</v>
      </c>
      <c r="AR644" s="2023">
        <f t="shared" si="542"/>
        <v>0</v>
      </c>
      <c r="AS644" s="2028">
        <f>SUM(AS641:AS643)</f>
        <v>0</v>
      </c>
      <c r="AT644" s="2022">
        <f t="shared" si="544"/>
        <v>0</v>
      </c>
      <c r="AU644" s="2023">
        <f t="shared" si="545"/>
        <v>0</v>
      </c>
      <c r="AV644" s="2028">
        <f>SUM(AV641:AV643)</f>
        <v>0</v>
      </c>
      <c r="AW644" s="2022">
        <f t="shared" si="547"/>
        <v>0</v>
      </c>
      <c r="AX644" s="2024">
        <f t="shared" si="548"/>
        <v>0</v>
      </c>
      <c r="AY644" s="2028">
        <f>SUM(AY641:AY643)</f>
        <v>0</v>
      </c>
      <c r="AZ644" s="2022">
        <f t="shared" si="550"/>
        <v>0</v>
      </c>
      <c r="BA644" s="2024">
        <f t="shared" si="551"/>
        <v>0</v>
      </c>
      <c r="BB644" s="2028">
        <f>SUM(BB641:BB643)</f>
        <v>0</v>
      </c>
      <c r="BC644" s="2022">
        <f t="shared" si="553"/>
        <v>0</v>
      </c>
      <c r="BD644" s="2024">
        <f t="shared" si="554"/>
        <v>0</v>
      </c>
      <c r="BE644" s="2028">
        <f t="shared" ref="BE644:BT644" si="580">SUM(BE641:BE643)</f>
        <v>0</v>
      </c>
      <c r="BF644" s="2028">
        <f t="shared" si="580"/>
        <v>0</v>
      </c>
      <c r="BG644" s="2028">
        <f t="shared" si="580"/>
        <v>0</v>
      </c>
      <c r="BH644" s="2028">
        <f t="shared" si="580"/>
        <v>0</v>
      </c>
      <c r="BI644" s="2028">
        <f t="shared" si="580"/>
        <v>0</v>
      </c>
      <c r="BJ644" s="2028">
        <f t="shared" si="580"/>
        <v>0</v>
      </c>
      <c r="BK644" s="2028">
        <f t="shared" si="580"/>
        <v>0</v>
      </c>
      <c r="BL644" s="2028">
        <f t="shared" si="580"/>
        <v>0</v>
      </c>
      <c r="BM644" s="2028">
        <f t="shared" si="580"/>
        <v>0</v>
      </c>
      <c r="BN644" s="2028">
        <f t="shared" si="580"/>
        <v>0</v>
      </c>
      <c r="BO644" s="2028">
        <f t="shared" si="580"/>
        <v>0</v>
      </c>
      <c r="BP644" s="2028">
        <f t="shared" si="580"/>
        <v>0</v>
      </c>
      <c r="BQ644" s="2028">
        <f t="shared" si="580"/>
        <v>0</v>
      </c>
      <c r="BR644" s="2028">
        <f t="shared" si="580"/>
        <v>0</v>
      </c>
      <c r="BS644" s="2028">
        <f t="shared" si="580"/>
        <v>0</v>
      </c>
      <c r="BT644" s="2028">
        <f t="shared" si="580"/>
        <v>0</v>
      </c>
      <c r="BU644" s="1970"/>
    </row>
    <row r="645" spans="37:73" s="536" customFormat="1">
      <c r="AK645" s="1964"/>
      <c r="AL645" s="1965"/>
      <c r="AM645" s="2036" t="s">
        <v>1097</v>
      </c>
      <c r="AN645" s="2037">
        <f>SUM(AN633:AN635,AN638:AN640,AN644)</f>
        <v>0</v>
      </c>
      <c r="AO645" s="2038">
        <f t="shared" si="539"/>
        <v>0</v>
      </c>
      <c r="AP645" s="2039">
        <f>SUM(AP633:AP635,AP638:AP640,AP644)</f>
        <v>0</v>
      </c>
      <c r="AQ645" s="2040">
        <f t="shared" si="541"/>
        <v>0</v>
      </c>
      <c r="AR645" s="2041">
        <f t="shared" si="542"/>
        <v>0</v>
      </c>
      <c r="AS645" s="2039">
        <f>SUM(AS633:AS635,AS638:AS640,AS644)</f>
        <v>0</v>
      </c>
      <c r="AT645" s="2040">
        <f t="shared" si="544"/>
        <v>0</v>
      </c>
      <c r="AU645" s="2041">
        <f t="shared" si="545"/>
        <v>0</v>
      </c>
      <c r="AV645" s="2039">
        <f>SUM(AV633:AV635,AV638:AV640,AV644)</f>
        <v>0</v>
      </c>
      <c r="AW645" s="2040">
        <f t="shared" si="547"/>
        <v>0</v>
      </c>
      <c r="AX645" s="2042">
        <f t="shared" si="548"/>
        <v>0</v>
      </c>
      <c r="AY645" s="2039">
        <f>SUM(AY633:AY635,AY638:AY640,AY644)</f>
        <v>0</v>
      </c>
      <c r="AZ645" s="2040">
        <f t="shared" si="550"/>
        <v>0</v>
      </c>
      <c r="BA645" s="2042">
        <f t="shared" si="551"/>
        <v>0</v>
      </c>
      <c r="BB645" s="2039">
        <f>SUM(BB633:BB635,BB638:BB640,BB644)</f>
        <v>0</v>
      </c>
      <c r="BC645" s="2040">
        <f t="shared" si="553"/>
        <v>0</v>
      </c>
      <c r="BD645" s="2042">
        <f t="shared" si="554"/>
        <v>0</v>
      </c>
      <c r="BE645" s="2043">
        <f t="shared" ref="BE645:BT645" si="581">SUM(BE633:BE635,BE638:BE640,BE644)</f>
        <v>0</v>
      </c>
      <c r="BF645" s="2043">
        <f t="shared" si="581"/>
        <v>0</v>
      </c>
      <c r="BG645" s="2043">
        <f t="shared" si="581"/>
        <v>0</v>
      </c>
      <c r="BH645" s="2043">
        <f t="shared" si="581"/>
        <v>0</v>
      </c>
      <c r="BI645" s="2043">
        <f t="shared" si="581"/>
        <v>0</v>
      </c>
      <c r="BJ645" s="2043">
        <f t="shared" si="581"/>
        <v>0</v>
      </c>
      <c r="BK645" s="2043">
        <f t="shared" si="581"/>
        <v>0</v>
      </c>
      <c r="BL645" s="2043">
        <f t="shared" si="581"/>
        <v>0</v>
      </c>
      <c r="BM645" s="2043">
        <f t="shared" si="581"/>
        <v>0</v>
      </c>
      <c r="BN645" s="2043">
        <f t="shared" si="581"/>
        <v>0</v>
      </c>
      <c r="BO645" s="2043">
        <f t="shared" si="581"/>
        <v>0</v>
      </c>
      <c r="BP645" s="2043">
        <f t="shared" si="581"/>
        <v>0</v>
      </c>
      <c r="BQ645" s="2043">
        <f t="shared" si="581"/>
        <v>0</v>
      </c>
      <c r="BR645" s="2043">
        <f t="shared" si="581"/>
        <v>0</v>
      </c>
      <c r="BS645" s="2043">
        <f t="shared" si="581"/>
        <v>0</v>
      </c>
      <c r="BT645" s="2043">
        <f t="shared" si="581"/>
        <v>0</v>
      </c>
      <c r="BU645" s="1970"/>
    </row>
    <row r="646" spans="37:73" s="536" customFormat="1">
      <c r="AK646" s="1964"/>
      <c r="AL646" s="1965"/>
      <c r="AM646" s="2059" t="s">
        <v>1098</v>
      </c>
      <c r="AN646" s="2060">
        <f>AN645+AN632</f>
        <v>0</v>
      </c>
      <c r="AO646" s="2061">
        <f t="shared" si="539"/>
        <v>0</v>
      </c>
      <c r="AP646" s="2062">
        <f>AP645+AP632</f>
        <v>0</v>
      </c>
      <c r="AQ646" s="2063">
        <f t="shared" si="541"/>
        <v>0</v>
      </c>
      <c r="AR646" s="2064">
        <f t="shared" si="542"/>
        <v>0</v>
      </c>
      <c r="AS646" s="2062">
        <f>AS645+AS632</f>
        <v>0</v>
      </c>
      <c r="AT646" s="2063">
        <f t="shared" si="544"/>
        <v>0</v>
      </c>
      <c r="AU646" s="2064">
        <f t="shared" si="545"/>
        <v>0</v>
      </c>
      <c r="AV646" s="2062">
        <f>AV645+AV632</f>
        <v>0</v>
      </c>
      <c r="AW646" s="2063">
        <f t="shared" si="547"/>
        <v>0</v>
      </c>
      <c r="AX646" s="2065">
        <f t="shared" si="548"/>
        <v>0</v>
      </c>
      <c r="AY646" s="2062">
        <f>AY645+AY632</f>
        <v>0</v>
      </c>
      <c r="AZ646" s="2063">
        <f t="shared" si="550"/>
        <v>0</v>
      </c>
      <c r="BA646" s="2065">
        <f t="shared" si="551"/>
        <v>0</v>
      </c>
      <c r="BB646" s="2062">
        <f>BB645+BB632</f>
        <v>0</v>
      </c>
      <c r="BC646" s="2063">
        <f t="shared" si="553"/>
        <v>0</v>
      </c>
      <c r="BD646" s="2065">
        <f t="shared" si="554"/>
        <v>0</v>
      </c>
      <c r="BE646" s="2066">
        <f t="shared" ref="BE646:BT646" si="582">BE645+BE632</f>
        <v>0</v>
      </c>
      <c r="BF646" s="2066">
        <f t="shared" si="582"/>
        <v>0</v>
      </c>
      <c r="BG646" s="2066">
        <f t="shared" si="582"/>
        <v>0</v>
      </c>
      <c r="BH646" s="2066">
        <f t="shared" si="582"/>
        <v>0</v>
      </c>
      <c r="BI646" s="2066">
        <f t="shared" si="582"/>
        <v>0</v>
      </c>
      <c r="BJ646" s="2066">
        <f t="shared" si="582"/>
        <v>0</v>
      </c>
      <c r="BK646" s="2066">
        <f t="shared" si="582"/>
        <v>0</v>
      </c>
      <c r="BL646" s="2066">
        <f t="shared" si="582"/>
        <v>0</v>
      </c>
      <c r="BM646" s="2066">
        <f t="shared" si="582"/>
        <v>0</v>
      </c>
      <c r="BN646" s="2066">
        <f t="shared" si="582"/>
        <v>0</v>
      </c>
      <c r="BO646" s="2066">
        <f t="shared" si="582"/>
        <v>0</v>
      </c>
      <c r="BP646" s="2066">
        <f t="shared" si="582"/>
        <v>0</v>
      </c>
      <c r="BQ646" s="2066">
        <f t="shared" si="582"/>
        <v>0</v>
      </c>
      <c r="BR646" s="2066">
        <f t="shared" si="582"/>
        <v>0</v>
      </c>
      <c r="BS646" s="2066">
        <f t="shared" si="582"/>
        <v>0</v>
      </c>
      <c r="BT646" s="2066">
        <f t="shared" si="582"/>
        <v>0</v>
      </c>
      <c r="BU646" s="1970"/>
    </row>
    <row r="647" spans="37:73" s="535" customFormat="1">
      <c r="AK647" s="1964"/>
      <c r="AL647" s="2067"/>
      <c r="AM647" s="689" t="s">
        <v>764</v>
      </c>
      <c r="AN647" s="2068"/>
      <c r="AO647" s="2069"/>
      <c r="AP647" s="2068"/>
      <c r="AQ647" s="2069"/>
      <c r="AR647" s="2069"/>
      <c r="AS647" s="2068"/>
      <c r="AT647" s="2069"/>
      <c r="AU647" s="2069"/>
      <c r="AV647" s="2068"/>
      <c r="AW647" s="2069"/>
      <c r="AX647" s="2069"/>
      <c r="AY647" s="2068"/>
      <c r="AZ647" s="2069"/>
      <c r="BA647" s="2069"/>
      <c r="BB647" s="2068"/>
      <c r="BC647" s="2069"/>
      <c r="BD647" s="2069"/>
      <c r="BE647" s="2070"/>
      <c r="BF647" s="2070"/>
      <c r="BG647" s="2070"/>
      <c r="BH647" s="2070"/>
      <c r="BI647" s="2070"/>
      <c r="BJ647" s="2070"/>
      <c r="BK647" s="2070"/>
      <c r="BL647" s="2070"/>
      <c r="BM647" s="2070"/>
      <c r="BN647" s="2070"/>
      <c r="BO647" s="2070"/>
      <c r="BP647" s="1973"/>
      <c r="BQ647" s="2007"/>
      <c r="BU647" s="1970"/>
    </row>
    <row r="648" spans="37:73" s="536" customFormat="1" ht="12.5">
      <c r="AK648" s="1964"/>
      <c r="AL648" s="2008">
        <f t="shared" ref="AL648:AN654" si="583">A60</f>
        <v>26</v>
      </c>
      <c r="AM648" s="2009" t="str">
        <f t="shared" si="583"/>
        <v>CAPITAL PAGADO</v>
      </c>
      <c r="AN648" s="2073">
        <f t="shared" si="583"/>
        <v>0</v>
      </c>
      <c r="AO648" s="2011">
        <f t="shared" ref="AO648:AO655" si="584">IF(OR(AN648=0,AN$655=0),0,AN648/AN$655)</f>
        <v>0</v>
      </c>
      <c r="AP648" s="2012">
        <f t="shared" ref="AP648:AP654" si="585">E60</f>
        <v>0</v>
      </c>
      <c r="AQ648" s="2013">
        <f t="shared" ref="AQ648:AQ655" si="586">IF(OR(AP648=0,AP$655=0),0,AP648/AP$655)</f>
        <v>0</v>
      </c>
      <c r="AR648" s="2014">
        <f t="shared" ref="AR648:AR657" si="587">IF(OR(AN648=0,AP648=0),0,IF(ABS((AP648/AN648)-1)&gt;1000000%,0,(AP648/AN648)-1))</f>
        <v>0</v>
      </c>
      <c r="AS648" s="2012">
        <f t="shared" ref="AS648:AS654" si="588">H60</f>
        <v>0</v>
      </c>
      <c r="AT648" s="2013">
        <f t="shared" ref="AT648:AT655" si="589">IF(OR(AS648=0,AS$655=0),0,AS648/AS$655)</f>
        <v>0</v>
      </c>
      <c r="AU648" s="2014">
        <f t="shared" ref="AU648:AU657" si="590">IF(OR(AP648=0,AS648=0),0,IF(ABS((AS648/AP648)-1)&gt;1000000%,0,(AS648/AP648)-1))</f>
        <v>0</v>
      </c>
      <c r="AV648" s="2012">
        <f t="shared" ref="AV648:AV654" si="591">K60</f>
        <v>0</v>
      </c>
      <c r="AW648" s="2013">
        <f t="shared" ref="AW648:AW655" si="592">IF(OR(AV648=0,AV$655=0),0,AV648/AV$655)</f>
        <v>0</v>
      </c>
      <c r="AX648" s="2015">
        <f t="shared" ref="AX648:AX657" si="593">IF(OR(AS648=0,AV648=0),0,IF(ABS((AV648/AS648)-1)&gt;1000000%,0,(AV648/AS648)-1))</f>
        <v>0</v>
      </c>
      <c r="AY648" s="2012">
        <f t="shared" ref="AY648:AY654" si="594">N60</f>
        <v>0</v>
      </c>
      <c r="AZ648" s="2013">
        <f t="shared" ref="AZ648:AZ655" si="595">IF(OR(AY648=0,AY$655=0),0,AY648/AY$655)</f>
        <v>0</v>
      </c>
      <c r="BA648" s="2015">
        <f t="shared" ref="BA648:BA657" si="596">IF(OR(AS648=0,AY648=0),0,IF(ABS((AY648/AS648)-1)&gt;1000000%,0,(AY648/AS648)-1))</f>
        <v>0</v>
      </c>
      <c r="BB648" s="2012">
        <f t="shared" ref="BB648:BB654" si="597">Q60</f>
        <v>0</v>
      </c>
      <c r="BC648" s="2013">
        <f t="shared" ref="BC648:BC655" si="598">IF(OR(BB648=0,BB$655=0),0,BB648/BB$655)</f>
        <v>0</v>
      </c>
      <c r="BD648" s="2015">
        <f t="shared" ref="BD648:BD657" si="599">IF(OR(AY648=0,BB648=0),0,IF(ABS((BB648/AY648)-1)&gt;1000000%,0,(BB648/AY648)-1))</f>
        <v>0</v>
      </c>
      <c r="BE648" s="2016">
        <f t="shared" ref="BE648:BT654" si="600">T60</f>
        <v>0</v>
      </c>
      <c r="BF648" s="2016">
        <f t="shared" si="600"/>
        <v>0</v>
      </c>
      <c r="BG648" s="2016">
        <f t="shared" si="600"/>
        <v>0</v>
      </c>
      <c r="BH648" s="2016">
        <f t="shared" si="600"/>
        <v>0</v>
      </c>
      <c r="BI648" s="2016">
        <f t="shared" si="600"/>
        <v>0</v>
      </c>
      <c r="BJ648" s="2016">
        <f t="shared" si="600"/>
        <v>0</v>
      </c>
      <c r="BK648" s="2016">
        <f t="shared" si="600"/>
        <v>0</v>
      </c>
      <c r="BL648" s="2016">
        <f t="shared" si="600"/>
        <v>0</v>
      </c>
      <c r="BM648" s="2016">
        <f t="shared" si="600"/>
        <v>0</v>
      </c>
      <c r="BN648" s="2016">
        <f t="shared" si="600"/>
        <v>0</v>
      </c>
      <c r="BO648" s="2016">
        <f t="shared" si="600"/>
        <v>0</v>
      </c>
      <c r="BP648" s="2016">
        <f t="shared" si="600"/>
        <v>0</v>
      </c>
      <c r="BQ648" s="2016">
        <f t="shared" si="600"/>
        <v>0</v>
      </c>
      <c r="BR648" s="2016">
        <f t="shared" si="600"/>
        <v>0</v>
      </c>
      <c r="BS648" s="2016">
        <f t="shared" si="600"/>
        <v>0</v>
      </c>
      <c r="BT648" s="2016">
        <f t="shared" si="600"/>
        <v>0</v>
      </c>
      <c r="BU648" s="1970"/>
    </row>
    <row r="649" spans="37:73" s="536" customFormat="1" ht="12.5">
      <c r="AK649" s="1964"/>
      <c r="AL649" s="2017">
        <f t="shared" si="583"/>
        <v>27</v>
      </c>
      <c r="AM649" s="2030" t="str">
        <f t="shared" si="583"/>
        <v>PRIMA EN COLOCACIÓN DE ACCIONES (SUPERÁVIT DE CAPITAL)</v>
      </c>
      <c r="AN649" s="2031">
        <f t="shared" si="583"/>
        <v>0</v>
      </c>
      <c r="AO649" s="2020">
        <f t="shared" si="584"/>
        <v>0</v>
      </c>
      <c r="AP649" s="2032">
        <f t="shared" si="585"/>
        <v>0</v>
      </c>
      <c r="AQ649" s="2022">
        <f t="shared" si="586"/>
        <v>0</v>
      </c>
      <c r="AR649" s="2023">
        <f t="shared" si="587"/>
        <v>0</v>
      </c>
      <c r="AS649" s="2032">
        <f t="shared" si="588"/>
        <v>0</v>
      </c>
      <c r="AT649" s="2022">
        <f t="shared" si="589"/>
        <v>0</v>
      </c>
      <c r="AU649" s="2023">
        <f t="shared" si="590"/>
        <v>0</v>
      </c>
      <c r="AV649" s="2032">
        <f t="shared" si="591"/>
        <v>0</v>
      </c>
      <c r="AW649" s="2022">
        <f t="shared" si="592"/>
        <v>0</v>
      </c>
      <c r="AX649" s="2024">
        <f t="shared" si="593"/>
        <v>0</v>
      </c>
      <c r="AY649" s="2032">
        <f t="shared" si="594"/>
        <v>0</v>
      </c>
      <c r="AZ649" s="2022">
        <f t="shared" si="595"/>
        <v>0</v>
      </c>
      <c r="BA649" s="2024">
        <f t="shared" si="596"/>
        <v>0</v>
      </c>
      <c r="BB649" s="2032">
        <f t="shared" si="597"/>
        <v>0</v>
      </c>
      <c r="BC649" s="2022">
        <f t="shared" si="598"/>
        <v>0</v>
      </c>
      <c r="BD649" s="2024">
        <f t="shared" si="599"/>
        <v>0</v>
      </c>
      <c r="BE649" s="2033">
        <f t="shared" si="600"/>
        <v>0</v>
      </c>
      <c r="BF649" s="2033">
        <f t="shared" si="600"/>
        <v>0</v>
      </c>
      <c r="BG649" s="2033">
        <f t="shared" si="600"/>
        <v>0</v>
      </c>
      <c r="BH649" s="2033">
        <f t="shared" si="600"/>
        <v>0</v>
      </c>
      <c r="BI649" s="2033">
        <f t="shared" si="600"/>
        <v>0</v>
      </c>
      <c r="BJ649" s="2033">
        <f t="shared" si="600"/>
        <v>0</v>
      </c>
      <c r="BK649" s="2033">
        <f t="shared" si="600"/>
        <v>0</v>
      </c>
      <c r="BL649" s="2033">
        <f t="shared" si="600"/>
        <v>0</v>
      </c>
      <c r="BM649" s="2033">
        <f t="shared" si="600"/>
        <v>0</v>
      </c>
      <c r="BN649" s="2033">
        <f t="shared" si="600"/>
        <v>0</v>
      </c>
      <c r="BO649" s="2033">
        <f t="shared" si="600"/>
        <v>0</v>
      </c>
      <c r="BP649" s="2033">
        <f t="shared" si="600"/>
        <v>0</v>
      </c>
      <c r="BQ649" s="2033">
        <f t="shared" si="600"/>
        <v>0</v>
      </c>
      <c r="BR649" s="2033">
        <f t="shared" si="600"/>
        <v>0</v>
      </c>
      <c r="BS649" s="2033">
        <f t="shared" si="600"/>
        <v>0</v>
      </c>
      <c r="BT649" s="2033">
        <f t="shared" si="600"/>
        <v>0</v>
      </c>
      <c r="BU649" s="1970"/>
    </row>
    <row r="650" spans="37:73" s="536" customFormat="1" ht="12.5">
      <c r="AK650" s="1964"/>
      <c r="AL650" s="2017">
        <f t="shared" si="583"/>
        <v>28</v>
      </c>
      <c r="AM650" s="2030" t="str">
        <f t="shared" si="583"/>
        <v>RESERVA LEGAL</v>
      </c>
      <c r="AN650" s="2031">
        <f t="shared" si="583"/>
        <v>0</v>
      </c>
      <c r="AO650" s="2020">
        <f t="shared" si="584"/>
        <v>0</v>
      </c>
      <c r="AP650" s="2032">
        <f t="shared" si="585"/>
        <v>0</v>
      </c>
      <c r="AQ650" s="2022">
        <f t="shared" si="586"/>
        <v>0</v>
      </c>
      <c r="AR650" s="2023">
        <f t="shared" si="587"/>
        <v>0</v>
      </c>
      <c r="AS650" s="2032">
        <f t="shared" si="588"/>
        <v>0</v>
      </c>
      <c r="AT650" s="2022">
        <f t="shared" si="589"/>
        <v>0</v>
      </c>
      <c r="AU650" s="2023">
        <f t="shared" si="590"/>
        <v>0</v>
      </c>
      <c r="AV650" s="2032">
        <f t="shared" si="591"/>
        <v>0</v>
      </c>
      <c r="AW650" s="2022">
        <f t="shared" si="592"/>
        <v>0</v>
      </c>
      <c r="AX650" s="2024">
        <f t="shared" si="593"/>
        <v>0</v>
      </c>
      <c r="AY650" s="2032">
        <f t="shared" si="594"/>
        <v>0</v>
      </c>
      <c r="AZ650" s="2022">
        <f t="shared" si="595"/>
        <v>0</v>
      </c>
      <c r="BA650" s="2024">
        <f t="shared" si="596"/>
        <v>0</v>
      </c>
      <c r="BB650" s="2032">
        <f t="shared" si="597"/>
        <v>0</v>
      </c>
      <c r="BC650" s="2022">
        <f t="shared" si="598"/>
        <v>0</v>
      </c>
      <c r="BD650" s="2024">
        <f t="shared" si="599"/>
        <v>0</v>
      </c>
      <c r="BE650" s="2033">
        <f t="shared" si="600"/>
        <v>0</v>
      </c>
      <c r="BF650" s="2033">
        <f t="shared" si="600"/>
        <v>0</v>
      </c>
      <c r="BG650" s="2033">
        <f t="shared" si="600"/>
        <v>0</v>
      </c>
      <c r="BH650" s="2033">
        <f t="shared" si="600"/>
        <v>0</v>
      </c>
      <c r="BI650" s="2033">
        <f t="shared" si="600"/>
        <v>0</v>
      </c>
      <c r="BJ650" s="2033">
        <f t="shared" si="600"/>
        <v>0</v>
      </c>
      <c r="BK650" s="2033">
        <f t="shared" si="600"/>
        <v>0</v>
      </c>
      <c r="BL650" s="2033">
        <f t="shared" si="600"/>
        <v>0</v>
      </c>
      <c r="BM650" s="2033">
        <f t="shared" si="600"/>
        <v>0</v>
      </c>
      <c r="BN650" s="2033">
        <f t="shared" si="600"/>
        <v>0</v>
      </c>
      <c r="BO650" s="2033">
        <f t="shared" si="600"/>
        <v>0</v>
      </c>
      <c r="BP650" s="2033">
        <f t="shared" si="600"/>
        <v>0</v>
      </c>
      <c r="BQ650" s="2033">
        <f t="shared" si="600"/>
        <v>0</v>
      </c>
      <c r="BR650" s="2033">
        <f t="shared" si="600"/>
        <v>0</v>
      </c>
      <c r="BS650" s="2033">
        <f t="shared" si="600"/>
        <v>0</v>
      </c>
      <c r="BT650" s="2033">
        <f t="shared" si="600"/>
        <v>0</v>
      </c>
      <c r="BU650" s="1970"/>
    </row>
    <row r="651" spans="37:73" s="536" customFormat="1" ht="12.5">
      <c r="AK651" s="1964"/>
      <c r="AL651" s="2017">
        <f t="shared" si="583"/>
        <v>29</v>
      </c>
      <c r="AM651" s="2030" t="str">
        <f t="shared" si="583"/>
        <v>UTILIDADES ACUMULADAS DE EJERCICIOS ANTERIORES</v>
      </c>
      <c r="AN651" s="2031">
        <f t="shared" si="583"/>
        <v>0</v>
      </c>
      <c r="AO651" s="2020">
        <f t="shared" si="584"/>
        <v>0</v>
      </c>
      <c r="AP651" s="2032">
        <f t="shared" si="585"/>
        <v>0</v>
      </c>
      <c r="AQ651" s="2022">
        <f t="shared" si="586"/>
        <v>0</v>
      </c>
      <c r="AR651" s="2023">
        <f t="shared" si="587"/>
        <v>0</v>
      </c>
      <c r="AS651" s="2032">
        <f t="shared" si="588"/>
        <v>0</v>
      </c>
      <c r="AT651" s="2022">
        <f t="shared" si="589"/>
        <v>0</v>
      </c>
      <c r="AU651" s="2023">
        <f t="shared" si="590"/>
        <v>0</v>
      </c>
      <c r="AV651" s="2032">
        <f t="shared" si="591"/>
        <v>0</v>
      </c>
      <c r="AW651" s="2022">
        <f t="shared" si="592"/>
        <v>0</v>
      </c>
      <c r="AX651" s="2024">
        <f t="shared" si="593"/>
        <v>0</v>
      </c>
      <c r="AY651" s="2032">
        <f t="shared" si="594"/>
        <v>0</v>
      </c>
      <c r="AZ651" s="2022">
        <f t="shared" si="595"/>
        <v>0</v>
      </c>
      <c r="BA651" s="2024">
        <f t="shared" si="596"/>
        <v>0</v>
      </c>
      <c r="BB651" s="2032">
        <f t="shared" si="597"/>
        <v>0</v>
      </c>
      <c r="BC651" s="2022">
        <f t="shared" si="598"/>
        <v>0</v>
      </c>
      <c r="BD651" s="2024">
        <f t="shared" si="599"/>
        <v>0</v>
      </c>
      <c r="BE651" s="2033">
        <f t="shared" si="600"/>
        <v>0</v>
      </c>
      <c r="BF651" s="2033">
        <f t="shared" si="600"/>
        <v>0</v>
      </c>
      <c r="BG651" s="2033">
        <f t="shared" si="600"/>
        <v>0</v>
      </c>
      <c r="BH651" s="2033">
        <f t="shared" si="600"/>
        <v>0</v>
      </c>
      <c r="BI651" s="2033">
        <f t="shared" si="600"/>
        <v>0</v>
      </c>
      <c r="BJ651" s="2033">
        <f t="shared" si="600"/>
        <v>0</v>
      </c>
      <c r="BK651" s="2033">
        <f t="shared" si="600"/>
        <v>0</v>
      </c>
      <c r="BL651" s="2033">
        <f t="shared" si="600"/>
        <v>0</v>
      </c>
      <c r="BM651" s="2033">
        <f t="shared" si="600"/>
        <v>0</v>
      </c>
      <c r="BN651" s="2033">
        <f t="shared" si="600"/>
        <v>0</v>
      </c>
      <c r="BO651" s="2033">
        <f t="shared" si="600"/>
        <v>0</v>
      </c>
      <c r="BP651" s="2033">
        <f t="shared" si="600"/>
        <v>0</v>
      </c>
      <c r="BQ651" s="2033">
        <f t="shared" si="600"/>
        <v>0</v>
      </c>
      <c r="BR651" s="2033">
        <f t="shared" si="600"/>
        <v>0</v>
      </c>
      <c r="BS651" s="2033">
        <f t="shared" si="600"/>
        <v>0</v>
      </c>
      <c r="BT651" s="2033">
        <f t="shared" si="600"/>
        <v>0</v>
      </c>
      <c r="BU651" s="1970"/>
    </row>
    <row r="652" spans="37:73" s="536" customFormat="1" ht="12.5">
      <c r="AK652" s="1964"/>
      <c r="AL652" s="2017">
        <f t="shared" si="583"/>
        <v>30</v>
      </c>
      <c r="AM652" s="2030" t="str">
        <f t="shared" si="583"/>
        <v>UTILIDAD DEL EJERCICIO</v>
      </c>
      <c r="AN652" s="2031">
        <f t="shared" si="583"/>
        <v>0</v>
      </c>
      <c r="AO652" s="2020">
        <f t="shared" si="584"/>
        <v>0</v>
      </c>
      <c r="AP652" s="2032">
        <f t="shared" si="585"/>
        <v>0</v>
      </c>
      <c r="AQ652" s="2022">
        <f t="shared" si="586"/>
        <v>0</v>
      </c>
      <c r="AR652" s="2023">
        <f t="shared" si="587"/>
        <v>0</v>
      </c>
      <c r="AS652" s="2032">
        <f t="shared" si="588"/>
        <v>0</v>
      </c>
      <c r="AT652" s="2022">
        <f t="shared" si="589"/>
        <v>0</v>
      </c>
      <c r="AU652" s="2023">
        <f t="shared" si="590"/>
        <v>0</v>
      </c>
      <c r="AV652" s="2032">
        <f t="shared" si="591"/>
        <v>0</v>
      </c>
      <c r="AW652" s="2022">
        <f t="shared" si="592"/>
        <v>0</v>
      </c>
      <c r="AX652" s="2024">
        <f t="shared" si="593"/>
        <v>0</v>
      </c>
      <c r="AY652" s="2032">
        <f t="shared" si="594"/>
        <v>0</v>
      </c>
      <c r="AZ652" s="2022">
        <f t="shared" si="595"/>
        <v>0</v>
      </c>
      <c r="BA652" s="2024">
        <f t="shared" si="596"/>
        <v>0</v>
      </c>
      <c r="BB652" s="2032">
        <f t="shared" si="597"/>
        <v>0</v>
      </c>
      <c r="BC652" s="2022">
        <f t="shared" si="598"/>
        <v>0</v>
      </c>
      <c r="BD652" s="2024">
        <f t="shared" si="599"/>
        <v>0</v>
      </c>
      <c r="BE652" s="2033">
        <f t="shared" si="600"/>
        <v>0</v>
      </c>
      <c r="BF652" s="2033">
        <f t="shared" si="600"/>
        <v>0</v>
      </c>
      <c r="BG652" s="2033">
        <f t="shared" si="600"/>
        <v>0</v>
      </c>
      <c r="BH652" s="2033">
        <f t="shared" si="600"/>
        <v>0</v>
      </c>
      <c r="BI652" s="2033">
        <f t="shared" si="600"/>
        <v>0</v>
      </c>
      <c r="BJ652" s="2033">
        <f t="shared" si="600"/>
        <v>0</v>
      </c>
      <c r="BK652" s="2033">
        <f t="shared" si="600"/>
        <v>0</v>
      </c>
      <c r="BL652" s="2033">
        <f t="shared" si="600"/>
        <v>0</v>
      </c>
      <c r="BM652" s="2033">
        <f t="shared" si="600"/>
        <v>0</v>
      </c>
      <c r="BN652" s="2033">
        <f t="shared" si="600"/>
        <v>0</v>
      </c>
      <c r="BO652" s="2033">
        <f t="shared" si="600"/>
        <v>0</v>
      </c>
      <c r="BP652" s="2033">
        <f t="shared" si="600"/>
        <v>0</v>
      </c>
      <c r="BQ652" s="2033">
        <f t="shared" si="600"/>
        <v>0</v>
      </c>
      <c r="BR652" s="2033">
        <f t="shared" si="600"/>
        <v>0</v>
      </c>
      <c r="BS652" s="2033">
        <f t="shared" si="600"/>
        <v>0</v>
      </c>
      <c r="BT652" s="2033">
        <f t="shared" si="600"/>
        <v>0</v>
      </c>
      <c r="BU652" s="1970"/>
    </row>
    <row r="653" spans="37:73" s="536" customFormat="1" ht="12.5">
      <c r="AK653" s="1964"/>
      <c r="AL653" s="2017">
        <f t="shared" si="583"/>
        <v>31</v>
      </c>
      <c r="AM653" s="2030" t="str">
        <f t="shared" si="583"/>
        <v>REVALORIZACIÓN PATRIMONIAL</v>
      </c>
      <c r="AN653" s="2031">
        <f t="shared" si="583"/>
        <v>0</v>
      </c>
      <c r="AO653" s="2020">
        <f t="shared" si="584"/>
        <v>0</v>
      </c>
      <c r="AP653" s="2032">
        <f t="shared" si="585"/>
        <v>0</v>
      </c>
      <c r="AQ653" s="2022">
        <f t="shared" si="586"/>
        <v>0</v>
      </c>
      <c r="AR653" s="2023">
        <f t="shared" si="587"/>
        <v>0</v>
      </c>
      <c r="AS653" s="2032">
        <f t="shared" si="588"/>
        <v>0</v>
      </c>
      <c r="AT653" s="2022">
        <f t="shared" si="589"/>
        <v>0</v>
      </c>
      <c r="AU653" s="2023">
        <f t="shared" si="590"/>
        <v>0</v>
      </c>
      <c r="AV653" s="2032">
        <f t="shared" si="591"/>
        <v>0</v>
      </c>
      <c r="AW653" s="2022">
        <f t="shared" si="592"/>
        <v>0</v>
      </c>
      <c r="AX653" s="2024">
        <f t="shared" si="593"/>
        <v>0</v>
      </c>
      <c r="AY653" s="2032">
        <f t="shared" si="594"/>
        <v>0</v>
      </c>
      <c r="AZ653" s="2022">
        <f t="shared" si="595"/>
        <v>0</v>
      </c>
      <c r="BA653" s="2024">
        <f t="shared" si="596"/>
        <v>0</v>
      </c>
      <c r="BB653" s="2032">
        <f t="shared" si="597"/>
        <v>0</v>
      </c>
      <c r="BC653" s="2022">
        <f t="shared" si="598"/>
        <v>0</v>
      </c>
      <c r="BD653" s="2024">
        <f t="shared" si="599"/>
        <v>0</v>
      </c>
      <c r="BE653" s="2033">
        <f t="shared" si="600"/>
        <v>0</v>
      </c>
      <c r="BF653" s="2033">
        <f t="shared" si="600"/>
        <v>0</v>
      </c>
      <c r="BG653" s="2033">
        <f t="shared" si="600"/>
        <v>0</v>
      </c>
      <c r="BH653" s="2033">
        <f t="shared" si="600"/>
        <v>0</v>
      </c>
      <c r="BI653" s="2033">
        <f t="shared" si="600"/>
        <v>0</v>
      </c>
      <c r="BJ653" s="2033">
        <f t="shared" si="600"/>
        <v>0</v>
      </c>
      <c r="BK653" s="2033">
        <f t="shared" si="600"/>
        <v>0</v>
      </c>
      <c r="BL653" s="2033">
        <f t="shared" si="600"/>
        <v>0</v>
      </c>
      <c r="BM653" s="2033">
        <f t="shared" si="600"/>
        <v>0</v>
      </c>
      <c r="BN653" s="2033">
        <f t="shared" si="600"/>
        <v>0</v>
      </c>
      <c r="BO653" s="2033">
        <f t="shared" si="600"/>
        <v>0</v>
      </c>
      <c r="BP653" s="2033">
        <f t="shared" si="600"/>
        <v>0</v>
      </c>
      <c r="BQ653" s="2033">
        <f t="shared" si="600"/>
        <v>0</v>
      </c>
      <c r="BR653" s="2033">
        <f t="shared" si="600"/>
        <v>0</v>
      </c>
      <c r="BS653" s="2033">
        <f t="shared" si="600"/>
        <v>0</v>
      </c>
      <c r="BT653" s="2033">
        <f t="shared" si="600"/>
        <v>0</v>
      </c>
      <c r="BU653" s="1970"/>
    </row>
    <row r="654" spans="37:73" s="536" customFormat="1" ht="12.5">
      <c r="AK654" s="1964"/>
      <c r="AL654" s="2034">
        <f t="shared" si="583"/>
        <v>32</v>
      </c>
      <c r="AM654" s="2030" t="str">
        <f t="shared" si="583"/>
        <v>OTROS PATRIMONIO</v>
      </c>
      <c r="AN654" s="2031">
        <f t="shared" si="583"/>
        <v>0</v>
      </c>
      <c r="AO654" s="2020">
        <f t="shared" si="584"/>
        <v>0</v>
      </c>
      <c r="AP654" s="2032">
        <f t="shared" si="585"/>
        <v>0</v>
      </c>
      <c r="AQ654" s="2022">
        <f t="shared" si="586"/>
        <v>0</v>
      </c>
      <c r="AR654" s="2023">
        <f t="shared" si="587"/>
        <v>0</v>
      </c>
      <c r="AS654" s="2032">
        <f t="shared" si="588"/>
        <v>0</v>
      </c>
      <c r="AT654" s="2022">
        <f t="shared" si="589"/>
        <v>0</v>
      </c>
      <c r="AU654" s="2023">
        <f t="shared" si="590"/>
        <v>0</v>
      </c>
      <c r="AV654" s="2032">
        <f t="shared" si="591"/>
        <v>0</v>
      </c>
      <c r="AW654" s="2022">
        <f t="shared" si="592"/>
        <v>0</v>
      </c>
      <c r="AX654" s="2024">
        <f t="shared" si="593"/>
        <v>0</v>
      </c>
      <c r="AY654" s="2032">
        <f t="shared" si="594"/>
        <v>0</v>
      </c>
      <c r="AZ654" s="2022">
        <f t="shared" si="595"/>
        <v>0</v>
      </c>
      <c r="BA654" s="2024">
        <f t="shared" si="596"/>
        <v>0</v>
      </c>
      <c r="BB654" s="2032">
        <f t="shared" si="597"/>
        <v>0</v>
      </c>
      <c r="BC654" s="2022">
        <f t="shared" si="598"/>
        <v>0</v>
      </c>
      <c r="BD654" s="2024">
        <f t="shared" si="599"/>
        <v>0</v>
      </c>
      <c r="BE654" s="2033">
        <f t="shared" si="600"/>
        <v>0</v>
      </c>
      <c r="BF654" s="2033">
        <f t="shared" si="600"/>
        <v>0</v>
      </c>
      <c r="BG654" s="2033">
        <f t="shared" si="600"/>
        <v>0</v>
      </c>
      <c r="BH654" s="2033">
        <f t="shared" si="600"/>
        <v>0</v>
      </c>
      <c r="BI654" s="2033">
        <f t="shared" si="600"/>
        <v>0</v>
      </c>
      <c r="BJ654" s="2033">
        <f t="shared" si="600"/>
        <v>0</v>
      </c>
      <c r="BK654" s="2033">
        <f t="shared" si="600"/>
        <v>0</v>
      </c>
      <c r="BL654" s="2033">
        <f t="shared" si="600"/>
        <v>0</v>
      </c>
      <c r="BM654" s="2033">
        <f t="shared" si="600"/>
        <v>0</v>
      </c>
      <c r="BN654" s="2033">
        <f t="shared" si="600"/>
        <v>0</v>
      </c>
      <c r="BO654" s="2033">
        <f t="shared" si="600"/>
        <v>0</v>
      </c>
      <c r="BP654" s="2033">
        <f t="shared" si="600"/>
        <v>0</v>
      </c>
      <c r="BQ654" s="2033">
        <f t="shared" si="600"/>
        <v>0</v>
      </c>
      <c r="BR654" s="2033">
        <f t="shared" si="600"/>
        <v>0</v>
      </c>
      <c r="BS654" s="2033">
        <f t="shared" si="600"/>
        <v>0</v>
      </c>
      <c r="BT654" s="2033">
        <f t="shared" si="600"/>
        <v>0</v>
      </c>
      <c r="BU654" s="1970"/>
    </row>
    <row r="655" spans="37:73" s="536" customFormat="1" ht="12.5">
      <c r="AK655" s="1964"/>
      <c r="AL655" s="2084"/>
      <c r="AM655" s="2050" t="s">
        <v>764</v>
      </c>
      <c r="AN655" s="2051">
        <f>SUM(AN648:AN654)</f>
        <v>0</v>
      </c>
      <c r="AO655" s="2052">
        <f t="shared" si="584"/>
        <v>0</v>
      </c>
      <c r="AP655" s="2053">
        <f>SUM(AP648:AP654)</f>
        <v>0</v>
      </c>
      <c r="AQ655" s="2054">
        <f t="shared" si="586"/>
        <v>0</v>
      </c>
      <c r="AR655" s="2055">
        <f t="shared" si="587"/>
        <v>0</v>
      </c>
      <c r="AS655" s="2053">
        <f>SUM(AS648:AS654)</f>
        <v>0</v>
      </c>
      <c r="AT655" s="2054">
        <f t="shared" si="589"/>
        <v>0</v>
      </c>
      <c r="AU655" s="2055">
        <f t="shared" si="590"/>
        <v>0</v>
      </c>
      <c r="AV655" s="2053">
        <f>SUM(AV648:AV654)</f>
        <v>0</v>
      </c>
      <c r="AW655" s="2054">
        <f t="shared" si="592"/>
        <v>0</v>
      </c>
      <c r="AX655" s="2056">
        <f t="shared" si="593"/>
        <v>0</v>
      </c>
      <c r="AY655" s="2053">
        <f>SUM(AY648:AY654)</f>
        <v>0</v>
      </c>
      <c r="AZ655" s="2054">
        <f t="shared" si="595"/>
        <v>0</v>
      </c>
      <c r="BA655" s="2056">
        <f t="shared" si="596"/>
        <v>0</v>
      </c>
      <c r="BB655" s="2053">
        <f>SUM(BB648:BB654)</f>
        <v>0</v>
      </c>
      <c r="BC655" s="2054">
        <f t="shared" si="598"/>
        <v>0</v>
      </c>
      <c r="BD655" s="2056">
        <f t="shared" si="599"/>
        <v>0</v>
      </c>
      <c r="BE655" s="2057">
        <f t="shared" ref="BE655:BT655" si="601">SUM(BE648:BE654)</f>
        <v>0</v>
      </c>
      <c r="BF655" s="2057">
        <f t="shared" si="601"/>
        <v>0</v>
      </c>
      <c r="BG655" s="2057">
        <f t="shared" si="601"/>
        <v>0</v>
      </c>
      <c r="BH655" s="2057">
        <f t="shared" si="601"/>
        <v>0</v>
      </c>
      <c r="BI655" s="2057">
        <f t="shared" si="601"/>
        <v>0</v>
      </c>
      <c r="BJ655" s="2057">
        <f t="shared" si="601"/>
        <v>0</v>
      </c>
      <c r="BK655" s="2057">
        <f t="shared" si="601"/>
        <v>0</v>
      </c>
      <c r="BL655" s="2057">
        <f t="shared" si="601"/>
        <v>0</v>
      </c>
      <c r="BM655" s="2057">
        <f t="shared" si="601"/>
        <v>0</v>
      </c>
      <c r="BN655" s="2057">
        <f t="shared" si="601"/>
        <v>0</v>
      </c>
      <c r="BO655" s="2057">
        <f t="shared" si="601"/>
        <v>0</v>
      </c>
      <c r="BP655" s="2057">
        <f t="shared" si="601"/>
        <v>0</v>
      </c>
      <c r="BQ655" s="2057">
        <f t="shared" si="601"/>
        <v>0</v>
      </c>
      <c r="BR655" s="2057">
        <f t="shared" si="601"/>
        <v>0</v>
      </c>
      <c r="BS655" s="2057">
        <f t="shared" si="601"/>
        <v>0</v>
      </c>
      <c r="BT655" s="2057">
        <f t="shared" si="601"/>
        <v>0</v>
      </c>
      <c r="BU655" s="1970"/>
    </row>
    <row r="656" spans="37:73" s="536" customFormat="1" ht="12.5">
      <c r="AK656" s="1964"/>
      <c r="AL656" s="2008">
        <f t="shared" ref="AL656:AN657" si="602">A68</f>
        <v>33</v>
      </c>
      <c r="AM656" s="2039" t="str">
        <f t="shared" si="602"/>
        <v>CUENTAS DE ORDEN</v>
      </c>
      <c r="AN656" s="2037">
        <f t="shared" si="602"/>
        <v>0</v>
      </c>
      <c r="AO656" s="2038"/>
      <c r="AP656" s="2039">
        <f>E68</f>
        <v>0</v>
      </c>
      <c r="AQ656" s="2040"/>
      <c r="AR656" s="2041">
        <f t="shared" si="587"/>
        <v>0</v>
      </c>
      <c r="AS656" s="2039">
        <f>H68</f>
        <v>0</v>
      </c>
      <c r="AT656" s="2040"/>
      <c r="AU656" s="2041">
        <f t="shared" si="590"/>
        <v>0</v>
      </c>
      <c r="AV656" s="2039">
        <f>K68</f>
        <v>0</v>
      </c>
      <c r="AW656" s="2040"/>
      <c r="AX656" s="2042">
        <f t="shared" si="593"/>
        <v>0</v>
      </c>
      <c r="AY656" s="2039">
        <f>N68</f>
        <v>0</v>
      </c>
      <c r="AZ656" s="2040"/>
      <c r="BA656" s="2042">
        <f t="shared" si="596"/>
        <v>0</v>
      </c>
      <c r="BB656" s="2039">
        <f>Q68</f>
        <v>0</v>
      </c>
      <c r="BC656" s="2040"/>
      <c r="BD656" s="2042">
        <f t="shared" si="599"/>
        <v>0</v>
      </c>
      <c r="BE656" s="2043">
        <f t="shared" ref="BE656:BT657" si="603">T68</f>
        <v>0</v>
      </c>
      <c r="BF656" s="2043">
        <f t="shared" si="603"/>
        <v>0</v>
      </c>
      <c r="BG656" s="2043">
        <f t="shared" si="603"/>
        <v>0</v>
      </c>
      <c r="BH656" s="2043">
        <f t="shared" si="603"/>
        <v>0</v>
      </c>
      <c r="BI656" s="2043">
        <f t="shared" si="603"/>
        <v>0</v>
      </c>
      <c r="BJ656" s="2043">
        <f t="shared" si="603"/>
        <v>0</v>
      </c>
      <c r="BK656" s="2043">
        <f t="shared" si="603"/>
        <v>0</v>
      </c>
      <c r="BL656" s="2043">
        <f t="shared" si="603"/>
        <v>0</v>
      </c>
      <c r="BM656" s="2043">
        <f t="shared" si="603"/>
        <v>0</v>
      </c>
      <c r="BN656" s="2043">
        <f t="shared" si="603"/>
        <v>0</v>
      </c>
      <c r="BO656" s="2043">
        <f t="shared" si="603"/>
        <v>0</v>
      </c>
      <c r="BP656" s="2043">
        <f t="shared" si="603"/>
        <v>0</v>
      </c>
      <c r="BQ656" s="2043">
        <f t="shared" si="603"/>
        <v>0</v>
      </c>
      <c r="BR656" s="2043">
        <f t="shared" si="603"/>
        <v>0</v>
      </c>
      <c r="BS656" s="2043">
        <f t="shared" si="603"/>
        <v>0</v>
      </c>
      <c r="BT656" s="2043">
        <f t="shared" si="603"/>
        <v>0</v>
      </c>
      <c r="BU656" s="1970"/>
    </row>
    <row r="657" spans="37:73" s="536" customFormat="1" ht="12.5">
      <c r="AK657" s="1964"/>
      <c r="AL657" s="2034">
        <f t="shared" si="602"/>
        <v>34</v>
      </c>
      <c r="AM657" s="2039" t="str">
        <f t="shared" si="602"/>
        <v>CONTINGENTES FINANCIEROS (LEASING - CARTAS DE CRÉDITO ABIERTAS)</v>
      </c>
      <c r="AN657" s="2037">
        <f t="shared" si="602"/>
        <v>0</v>
      </c>
      <c r="AO657" s="2038"/>
      <c r="AP657" s="2039">
        <f>E69</f>
        <v>0</v>
      </c>
      <c r="AQ657" s="2040"/>
      <c r="AR657" s="2041">
        <f t="shared" si="587"/>
        <v>0</v>
      </c>
      <c r="AS657" s="2039">
        <f>H69</f>
        <v>0</v>
      </c>
      <c r="AT657" s="2040"/>
      <c r="AU657" s="2041">
        <f t="shared" si="590"/>
        <v>0</v>
      </c>
      <c r="AV657" s="2039">
        <f>K69</f>
        <v>0</v>
      </c>
      <c r="AW657" s="2040"/>
      <c r="AX657" s="2042">
        <f t="shared" si="593"/>
        <v>0</v>
      </c>
      <c r="AY657" s="2039">
        <f>N69</f>
        <v>0</v>
      </c>
      <c r="AZ657" s="2040"/>
      <c r="BA657" s="2042">
        <f t="shared" si="596"/>
        <v>0</v>
      </c>
      <c r="BB657" s="2039">
        <f>Q69</f>
        <v>0</v>
      </c>
      <c r="BC657" s="2040"/>
      <c r="BD657" s="2042">
        <f t="shared" si="599"/>
        <v>0</v>
      </c>
      <c r="BE657" s="2043">
        <f t="shared" si="603"/>
        <v>0</v>
      </c>
      <c r="BF657" s="2043">
        <f t="shared" si="603"/>
        <v>0</v>
      </c>
      <c r="BG657" s="2043">
        <f t="shared" si="603"/>
        <v>0</v>
      </c>
      <c r="BH657" s="2043">
        <f t="shared" si="603"/>
        <v>0</v>
      </c>
      <c r="BI657" s="2043">
        <f t="shared" si="603"/>
        <v>0</v>
      </c>
      <c r="BJ657" s="2043">
        <f t="shared" si="603"/>
        <v>0</v>
      </c>
      <c r="BK657" s="2043">
        <f t="shared" si="603"/>
        <v>0</v>
      </c>
      <c r="BL657" s="2043">
        <f t="shared" si="603"/>
        <v>0</v>
      </c>
      <c r="BM657" s="2043">
        <f t="shared" si="603"/>
        <v>0</v>
      </c>
      <c r="BN657" s="2043">
        <f t="shared" si="603"/>
        <v>0</v>
      </c>
      <c r="BO657" s="2043">
        <f t="shared" si="603"/>
        <v>0</v>
      </c>
      <c r="BP657" s="2043">
        <f t="shared" si="603"/>
        <v>0</v>
      </c>
      <c r="BQ657" s="2043">
        <f t="shared" si="603"/>
        <v>0</v>
      </c>
      <c r="BR657" s="2043">
        <f t="shared" si="603"/>
        <v>0</v>
      </c>
      <c r="BS657" s="2043">
        <f t="shared" si="603"/>
        <v>0</v>
      </c>
      <c r="BT657" s="2043">
        <f t="shared" si="603"/>
        <v>0</v>
      </c>
      <c r="BU657" s="1970"/>
    </row>
    <row r="658" spans="37:73" s="536" customFormat="1">
      <c r="AK658" s="1964"/>
      <c r="AL658" s="1965"/>
      <c r="AM658" s="2085" t="s">
        <v>1102</v>
      </c>
      <c r="AN658" s="2086">
        <f>AN655+AN646-AN616</f>
        <v>0</v>
      </c>
      <c r="AO658" s="2087"/>
      <c r="AP658" s="2088">
        <f>AP655+AP646-AP616</f>
        <v>0</v>
      </c>
      <c r="AQ658" s="2089"/>
      <c r="AR658" s="2090"/>
      <c r="AS658" s="2088">
        <f>AS655+AS646-AS616</f>
        <v>0</v>
      </c>
      <c r="AT658" s="2089"/>
      <c r="AU658" s="2090"/>
      <c r="AV658" s="2088">
        <f>AV655+AV646-AV616</f>
        <v>0</v>
      </c>
      <c r="AW658" s="2089"/>
      <c r="AX658" s="2091"/>
      <c r="AY658" s="2088">
        <f>AY655+AY646-AY616</f>
        <v>0</v>
      </c>
      <c r="AZ658" s="2089"/>
      <c r="BA658" s="2091"/>
      <c r="BB658" s="2088">
        <f>BB655+BB646-BB616</f>
        <v>0</v>
      </c>
      <c r="BC658" s="2089"/>
      <c r="BD658" s="2091"/>
      <c r="BE658" s="2092">
        <f t="shared" ref="BE658:BT658" si="604">BE655+BE646-BE616</f>
        <v>0</v>
      </c>
      <c r="BF658" s="2092">
        <f t="shared" si="604"/>
        <v>0</v>
      </c>
      <c r="BG658" s="2092">
        <f t="shared" si="604"/>
        <v>0</v>
      </c>
      <c r="BH658" s="2092">
        <f t="shared" si="604"/>
        <v>0</v>
      </c>
      <c r="BI658" s="2092">
        <f t="shared" si="604"/>
        <v>0</v>
      </c>
      <c r="BJ658" s="2092">
        <f t="shared" si="604"/>
        <v>0</v>
      </c>
      <c r="BK658" s="2092">
        <f t="shared" si="604"/>
        <v>0</v>
      </c>
      <c r="BL658" s="2092">
        <f t="shared" si="604"/>
        <v>0</v>
      </c>
      <c r="BM658" s="2092">
        <f t="shared" si="604"/>
        <v>0</v>
      </c>
      <c r="BN658" s="2092">
        <f t="shared" si="604"/>
        <v>0</v>
      </c>
      <c r="BO658" s="2092">
        <f t="shared" si="604"/>
        <v>0</v>
      </c>
      <c r="BP658" s="2092">
        <f t="shared" si="604"/>
        <v>0</v>
      </c>
      <c r="BQ658" s="2092">
        <f t="shared" si="604"/>
        <v>0</v>
      </c>
      <c r="BR658" s="2092">
        <f t="shared" si="604"/>
        <v>0</v>
      </c>
      <c r="BS658" s="2092">
        <f t="shared" si="604"/>
        <v>0</v>
      </c>
      <c r="BT658" s="2092">
        <f t="shared" si="604"/>
        <v>0</v>
      </c>
      <c r="BU658" s="1970"/>
    </row>
    <row r="659" spans="37:73" s="535" customFormat="1">
      <c r="AK659" s="1964"/>
      <c r="AL659" s="2067"/>
      <c r="AM659" s="689" t="s">
        <v>801</v>
      </c>
      <c r="AN659" s="2093"/>
      <c r="AO659" s="2069"/>
      <c r="AP659" s="2093"/>
      <c r="AQ659" s="2069"/>
      <c r="AR659" s="2069"/>
      <c r="AS659" s="2093"/>
      <c r="AT659" s="2069"/>
      <c r="AU659" s="2069"/>
      <c r="AV659" s="2093"/>
      <c r="AW659" s="2069"/>
      <c r="AX659" s="2069"/>
      <c r="AY659" s="2093"/>
      <c r="AZ659" s="2069"/>
      <c r="BA659" s="2069"/>
      <c r="BB659" s="2093"/>
      <c r="BC659" s="2069"/>
      <c r="BD659" s="2069"/>
      <c r="BE659" s="2094"/>
      <c r="BF659" s="2094"/>
      <c r="BG659" s="2094"/>
      <c r="BH659" s="2094"/>
      <c r="BI659" s="2094"/>
      <c r="BJ659" s="2094"/>
      <c r="BK659" s="2094"/>
      <c r="BL659" s="2094"/>
      <c r="BM659" s="2094"/>
      <c r="BN659" s="2094"/>
      <c r="BO659" s="2094"/>
      <c r="BP659" s="2071"/>
      <c r="BQ659" s="2007"/>
      <c r="BU659" s="1970"/>
    </row>
    <row r="660" spans="37:73" s="536" customFormat="1" ht="12.5">
      <c r="AK660" s="1964"/>
      <c r="AL660" s="2008">
        <f t="shared" ref="AL660:AN661" si="605">A71</f>
        <v>35</v>
      </c>
      <c r="AM660" s="2009" t="str">
        <f t="shared" si="605"/>
        <v>VENTAS</v>
      </c>
      <c r="AN660" s="2073">
        <f t="shared" si="605"/>
        <v>0</v>
      </c>
      <c r="AO660" s="2011">
        <f t="shared" ref="AO660:AO683" si="606">IF(OR(AN660=0,AN$660=0),0,AN660/AN$660)</f>
        <v>0</v>
      </c>
      <c r="AP660" s="2012">
        <f>E71</f>
        <v>0</v>
      </c>
      <c r="AQ660" s="2013">
        <f t="shared" ref="AQ660:AQ683" si="607">IF(OR(AP660=0,AP$660=0),0,AP660/AP$660)</f>
        <v>0</v>
      </c>
      <c r="AR660" s="2014">
        <f t="shared" ref="AR660:AR683" si="608">IF(OR(AN660=0,AP660=0),0,IF(ABS(((AP660*360/AP$584)/(AN660*360/AN$584))-1)&gt;1000000%,0,((AP660*360/AP$584)/(AN660*360/AN$584))-1))</f>
        <v>0</v>
      </c>
      <c r="AS660" s="2012">
        <f>H71</f>
        <v>0</v>
      </c>
      <c r="AT660" s="2013">
        <f t="shared" ref="AT660:AT683" si="609">IF(OR(AS660=0,AS$660=0),0,AS660/AS$660)</f>
        <v>0</v>
      </c>
      <c r="AU660" s="2014">
        <f t="shared" ref="AU660:AU683" si="610">IF(OR(AP660=0,AS660=0),0,IF(ABS(((AS660*360/AS$584)/(AP660*360/AP$584))-1)&gt;1000000%,0,((AS660*360/AS$584)/(AP660*360/AP$584))-1))</f>
        <v>0</v>
      </c>
      <c r="AV660" s="2012">
        <f>K71</f>
        <v>0</v>
      </c>
      <c r="AW660" s="2013">
        <f t="shared" ref="AW660:AW683" si="611">IF(OR(AV660=0,AV$660=0),0,AV660/AV$660)</f>
        <v>0</v>
      </c>
      <c r="AX660" s="2015">
        <f t="shared" ref="AX660:AX683" si="612">IF(OR(AS660=0,AV660=0),0,IF(ABS(((AV660*360/AV$584)/(AS660*360/AS$584))-1)&gt;1000000%,0,((AV660*360/AV$584)/(AS660*360/AS$584))-1))</f>
        <v>0</v>
      </c>
      <c r="AY660" s="2012">
        <f>N71</f>
        <v>0</v>
      </c>
      <c r="AZ660" s="2013">
        <f t="shared" ref="AZ660:AZ683" si="613">IF(OR(AY660=0,AY$660=0),0,AY660/AY$660)</f>
        <v>0</v>
      </c>
      <c r="BA660" s="2015">
        <f t="shared" ref="BA660:BA683" si="614">IF(OR(AS660=0,AY660=0),0,IF(ABS(((AY660*360/AY$584)/(AS660*360/AS$584))-1)&gt;1000000%,0,((AY660*360/AY$584)/(AS660*360/AS$584))-1))</f>
        <v>0</v>
      </c>
      <c r="BB660" s="2012">
        <f>Q71</f>
        <v>0</v>
      </c>
      <c r="BC660" s="2013">
        <f t="shared" ref="BC660:BC683" si="615">IF(OR(BB660=0,BB$660=0),0,BB660/BB$660)</f>
        <v>0</v>
      </c>
      <c r="BD660" s="2015">
        <f t="shared" ref="BD660:BD683" si="616">IF(OR(AY660=0,BB660=0),0,IF(ABS(((BB660*360/BB$584)/(AY660*360/AY$584))-1)&gt;1000000%,0,((BB660*360/BB$584)/(AY660*360/AY$584))-1))</f>
        <v>0</v>
      </c>
      <c r="BE660" s="2016">
        <f t="shared" ref="BE660:BT661" si="617">T71</f>
        <v>0</v>
      </c>
      <c r="BF660" s="2016">
        <f t="shared" si="617"/>
        <v>0</v>
      </c>
      <c r="BG660" s="2016">
        <f t="shared" si="617"/>
        <v>0</v>
      </c>
      <c r="BH660" s="2016">
        <f t="shared" si="617"/>
        <v>0</v>
      </c>
      <c r="BI660" s="2016">
        <f t="shared" si="617"/>
        <v>0</v>
      </c>
      <c r="BJ660" s="2016">
        <f t="shared" si="617"/>
        <v>0</v>
      </c>
      <c r="BK660" s="2016">
        <f t="shared" si="617"/>
        <v>0</v>
      </c>
      <c r="BL660" s="2016">
        <f t="shared" si="617"/>
        <v>0</v>
      </c>
      <c r="BM660" s="2016">
        <f t="shared" si="617"/>
        <v>0</v>
      </c>
      <c r="BN660" s="2016">
        <f t="shared" si="617"/>
        <v>0</v>
      </c>
      <c r="BO660" s="2016">
        <f t="shared" si="617"/>
        <v>0</v>
      </c>
      <c r="BP660" s="2016">
        <f t="shared" si="617"/>
        <v>0</v>
      </c>
      <c r="BQ660" s="2016">
        <f t="shared" si="617"/>
        <v>0</v>
      </c>
      <c r="BR660" s="2016">
        <f t="shared" si="617"/>
        <v>0</v>
      </c>
      <c r="BS660" s="2016">
        <f t="shared" si="617"/>
        <v>0</v>
      </c>
      <c r="BT660" s="2016">
        <f t="shared" si="617"/>
        <v>0</v>
      </c>
      <c r="BU660" s="1970"/>
    </row>
    <row r="661" spans="37:73" s="536" customFormat="1" ht="12.5">
      <c r="AK661" s="1964"/>
      <c r="AL661" s="2034">
        <f t="shared" si="605"/>
        <v>36</v>
      </c>
      <c r="AM661" s="2030" t="str">
        <f t="shared" si="605"/>
        <v>COSTO DE VENTAS</v>
      </c>
      <c r="AN661" s="2031">
        <f t="shared" si="605"/>
        <v>0</v>
      </c>
      <c r="AO661" s="2020">
        <f t="shared" si="606"/>
        <v>0</v>
      </c>
      <c r="AP661" s="2032">
        <f>E72</f>
        <v>0</v>
      </c>
      <c r="AQ661" s="2022">
        <f t="shared" si="607"/>
        <v>0</v>
      </c>
      <c r="AR661" s="2023">
        <f t="shared" si="608"/>
        <v>0</v>
      </c>
      <c r="AS661" s="2032">
        <f>H72</f>
        <v>0</v>
      </c>
      <c r="AT661" s="2022">
        <f t="shared" si="609"/>
        <v>0</v>
      </c>
      <c r="AU661" s="2023">
        <f t="shared" si="610"/>
        <v>0</v>
      </c>
      <c r="AV661" s="2032">
        <f>K72</f>
        <v>0</v>
      </c>
      <c r="AW661" s="2022">
        <f t="shared" si="611"/>
        <v>0</v>
      </c>
      <c r="AX661" s="2024">
        <f t="shared" si="612"/>
        <v>0</v>
      </c>
      <c r="AY661" s="2032">
        <f>N72</f>
        <v>0</v>
      </c>
      <c r="AZ661" s="2022">
        <f t="shared" si="613"/>
        <v>0</v>
      </c>
      <c r="BA661" s="2024">
        <f t="shared" si="614"/>
        <v>0</v>
      </c>
      <c r="BB661" s="2032">
        <f>Q72</f>
        <v>0</v>
      </c>
      <c r="BC661" s="2022">
        <f t="shared" si="615"/>
        <v>0</v>
      </c>
      <c r="BD661" s="2024">
        <f t="shared" si="616"/>
        <v>0</v>
      </c>
      <c r="BE661" s="2033">
        <f t="shared" si="617"/>
        <v>0</v>
      </c>
      <c r="BF661" s="2033">
        <f t="shared" si="617"/>
        <v>0</v>
      </c>
      <c r="BG661" s="2033">
        <f t="shared" si="617"/>
        <v>0</v>
      </c>
      <c r="BH661" s="2033">
        <f t="shared" si="617"/>
        <v>0</v>
      </c>
      <c r="BI661" s="2033">
        <f t="shared" si="617"/>
        <v>0</v>
      </c>
      <c r="BJ661" s="2033">
        <f t="shared" si="617"/>
        <v>0</v>
      </c>
      <c r="BK661" s="2033">
        <f t="shared" si="617"/>
        <v>0</v>
      </c>
      <c r="BL661" s="2033">
        <f t="shared" si="617"/>
        <v>0</v>
      </c>
      <c r="BM661" s="2033">
        <f t="shared" si="617"/>
        <v>0</v>
      </c>
      <c r="BN661" s="2033">
        <f t="shared" si="617"/>
        <v>0</v>
      </c>
      <c r="BO661" s="2033">
        <f t="shared" si="617"/>
        <v>0</v>
      </c>
      <c r="BP661" s="2033">
        <f t="shared" si="617"/>
        <v>0</v>
      </c>
      <c r="BQ661" s="2033">
        <f t="shared" si="617"/>
        <v>0</v>
      </c>
      <c r="BR661" s="2033">
        <f t="shared" si="617"/>
        <v>0</v>
      </c>
      <c r="BS661" s="2033">
        <f t="shared" si="617"/>
        <v>0</v>
      </c>
      <c r="BT661" s="2033">
        <f t="shared" si="617"/>
        <v>0</v>
      </c>
      <c r="BU661" s="1970"/>
    </row>
    <row r="662" spans="37:73" s="536" customFormat="1" ht="12.5">
      <c r="AK662" s="1964"/>
      <c r="AL662" s="2084"/>
      <c r="AM662" s="2050" t="s">
        <v>807</v>
      </c>
      <c r="AN662" s="2051">
        <f>AN660-AN661</f>
        <v>0</v>
      </c>
      <c r="AO662" s="2052">
        <f t="shared" si="606"/>
        <v>0</v>
      </c>
      <c r="AP662" s="2053">
        <f>AP660-AP661</f>
        <v>0</v>
      </c>
      <c r="AQ662" s="2054">
        <f t="shared" si="607"/>
        <v>0</v>
      </c>
      <c r="AR662" s="2055">
        <f t="shared" si="608"/>
        <v>0</v>
      </c>
      <c r="AS662" s="2053">
        <f>AS660-AS661</f>
        <v>0</v>
      </c>
      <c r="AT662" s="2054">
        <f t="shared" si="609"/>
        <v>0</v>
      </c>
      <c r="AU662" s="2055">
        <f t="shared" si="610"/>
        <v>0</v>
      </c>
      <c r="AV662" s="2053">
        <f>AV660-AV661</f>
        <v>0</v>
      </c>
      <c r="AW662" s="2054">
        <f t="shared" si="611"/>
        <v>0</v>
      </c>
      <c r="AX662" s="2056">
        <f t="shared" si="612"/>
        <v>0</v>
      </c>
      <c r="AY662" s="2053">
        <f>AY660-AY661</f>
        <v>0</v>
      </c>
      <c r="AZ662" s="2054">
        <f t="shared" si="613"/>
        <v>0</v>
      </c>
      <c r="BA662" s="2056">
        <f t="shared" si="614"/>
        <v>0</v>
      </c>
      <c r="BB662" s="2053">
        <f>BB660-BB661</f>
        <v>0</v>
      </c>
      <c r="BC662" s="2054">
        <f t="shared" si="615"/>
        <v>0</v>
      </c>
      <c r="BD662" s="2056">
        <f t="shared" si="616"/>
        <v>0</v>
      </c>
      <c r="BE662" s="2057">
        <f t="shared" ref="BE662:BT662" si="618">BE660-BE661</f>
        <v>0</v>
      </c>
      <c r="BF662" s="2057">
        <f t="shared" si="618"/>
        <v>0</v>
      </c>
      <c r="BG662" s="2057">
        <f t="shared" si="618"/>
        <v>0</v>
      </c>
      <c r="BH662" s="2057">
        <f t="shared" si="618"/>
        <v>0</v>
      </c>
      <c r="BI662" s="2057">
        <f t="shared" si="618"/>
        <v>0</v>
      </c>
      <c r="BJ662" s="2057">
        <f t="shared" si="618"/>
        <v>0</v>
      </c>
      <c r="BK662" s="2057">
        <f t="shared" si="618"/>
        <v>0</v>
      </c>
      <c r="BL662" s="2057">
        <f t="shared" si="618"/>
        <v>0</v>
      </c>
      <c r="BM662" s="2057">
        <f t="shared" si="618"/>
        <v>0</v>
      </c>
      <c r="BN662" s="2057">
        <f t="shared" si="618"/>
        <v>0</v>
      </c>
      <c r="BO662" s="2057">
        <f t="shared" si="618"/>
        <v>0</v>
      </c>
      <c r="BP662" s="2057">
        <f t="shared" si="618"/>
        <v>0</v>
      </c>
      <c r="BQ662" s="2057">
        <f t="shared" si="618"/>
        <v>0</v>
      </c>
      <c r="BR662" s="2057">
        <f t="shared" si="618"/>
        <v>0</v>
      </c>
      <c r="BS662" s="2057">
        <f t="shared" si="618"/>
        <v>0</v>
      </c>
      <c r="BT662" s="2057">
        <f t="shared" si="618"/>
        <v>0</v>
      </c>
      <c r="BU662" s="1970"/>
    </row>
    <row r="663" spans="37:73" s="536" customFormat="1" ht="12.5">
      <c r="AK663" s="1964"/>
      <c r="AL663" s="2095">
        <f>A74</f>
        <v>37</v>
      </c>
      <c r="AM663" s="2030" t="str">
        <f>B74</f>
        <v>GASTOS DE ADMINISTRACIÓN Y VENTAS</v>
      </c>
      <c r="AN663" s="2031">
        <f>C74</f>
        <v>0</v>
      </c>
      <c r="AO663" s="2020">
        <f t="shared" si="606"/>
        <v>0</v>
      </c>
      <c r="AP663" s="2032">
        <f>E74</f>
        <v>0</v>
      </c>
      <c r="AQ663" s="2022">
        <f t="shared" si="607"/>
        <v>0</v>
      </c>
      <c r="AR663" s="2023">
        <f t="shared" si="608"/>
        <v>0</v>
      </c>
      <c r="AS663" s="2032">
        <f>H74</f>
        <v>0</v>
      </c>
      <c r="AT663" s="2022">
        <f t="shared" si="609"/>
        <v>0</v>
      </c>
      <c r="AU663" s="2023">
        <f t="shared" si="610"/>
        <v>0</v>
      </c>
      <c r="AV663" s="2032">
        <f>K74</f>
        <v>0</v>
      </c>
      <c r="AW663" s="2022">
        <f t="shared" si="611"/>
        <v>0</v>
      </c>
      <c r="AX663" s="2024">
        <f t="shared" si="612"/>
        <v>0</v>
      </c>
      <c r="AY663" s="2032">
        <f>N74</f>
        <v>0</v>
      </c>
      <c r="AZ663" s="2022">
        <f t="shared" si="613"/>
        <v>0</v>
      </c>
      <c r="BA663" s="2024">
        <f t="shared" si="614"/>
        <v>0</v>
      </c>
      <c r="BB663" s="2032">
        <f>Q74</f>
        <v>0</v>
      </c>
      <c r="BC663" s="2022">
        <f t="shared" si="615"/>
        <v>0</v>
      </c>
      <c r="BD663" s="2024">
        <f t="shared" si="616"/>
        <v>0</v>
      </c>
      <c r="BE663" s="2033">
        <f t="shared" ref="BE663:BT663" si="619">T74</f>
        <v>0</v>
      </c>
      <c r="BF663" s="2033">
        <f t="shared" si="619"/>
        <v>0</v>
      </c>
      <c r="BG663" s="2033">
        <f t="shared" si="619"/>
        <v>0</v>
      </c>
      <c r="BH663" s="2033">
        <f t="shared" si="619"/>
        <v>0</v>
      </c>
      <c r="BI663" s="2033">
        <f t="shared" si="619"/>
        <v>0</v>
      </c>
      <c r="BJ663" s="2033">
        <f t="shared" si="619"/>
        <v>0</v>
      </c>
      <c r="BK663" s="2033">
        <f t="shared" si="619"/>
        <v>0</v>
      </c>
      <c r="BL663" s="2033">
        <f t="shared" si="619"/>
        <v>0</v>
      </c>
      <c r="BM663" s="2033">
        <f t="shared" si="619"/>
        <v>0</v>
      </c>
      <c r="BN663" s="2033">
        <f t="shared" si="619"/>
        <v>0</v>
      </c>
      <c r="BO663" s="2033">
        <f t="shared" si="619"/>
        <v>0</v>
      </c>
      <c r="BP663" s="2033">
        <f t="shared" si="619"/>
        <v>0</v>
      </c>
      <c r="BQ663" s="2033">
        <f t="shared" si="619"/>
        <v>0</v>
      </c>
      <c r="BR663" s="2033">
        <f t="shared" si="619"/>
        <v>0</v>
      </c>
      <c r="BS663" s="2033">
        <f t="shared" si="619"/>
        <v>0</v>
      </c>
      <c r="BT663" s="2033">
        <f t="shared" si="619"/>
        <v>0</v>
      </c>
      <c r="BU663" s="1970"/>
    </row>
    <row r="664" spans="37:73" s="536" customFormat="1" ht="12.5">
      <c r="AK664" s="1964"/>
      <c r="AL664" s="2084"/>
      <c r="AM664" s="2050" t="s">
        <v>1105</v>
      </c>
      <c r="AN664" s="2051">
        <f>AN662-AN663</f>
        <v>0</v>
      </c>
      <c r="AO664" s="2052">
        <f t="shared" si="606"/>
        <v>0</v>
      </c>
      <c r="AP664" s="2053">
        <f>AP662-AP663</f>
        <v>0</v>
      </c>
      <c r="AQ664" s="2054">
        <f t="shared" si="607"/>
        <v>0</v>
      </c>
      <c r="AR664" s="2055">
        <f t="shared" si="608"/>
        <v>0</v>
      </c>
      <c r="AS664" s="2053">
        <f>AS662-AS663</f>
        <v>0</v>
      </c>
      <c r="AT664" s="2054">
        <f t="shared" si="609"/>
        <v>0</v>
      </c>
      <c r="AU664" s="2055">
        <f t="shared" si="610"/>
        <v>0</v>
      </c>
      <c r="AV664" s="2053">
        <f>AV662-AV663</f>
        <v>0</v>
      </c>
      <c r="AW664" s="2054">
        <f t="shared" si="611"/>
        <v>0</v>
      </c>
      <c r="AX664" s="2056">
        <f t="shared" si="612"/>
        <v>0</v>
      </c>
      <c r="AY664" s="2053">
        <f>AY662-AY663</f>
        <v>0</v>
      </c>
      <c r="AZ664" s="2054">
        <f t="shared" si="613"/>
        <v>0</v>
      </c>
      <c r="BA664" s="2056">
        <f t="shared" si="614"/>
        <v>0</v>
      </c>
      <c r="BB664" s="2053">
        <f>BB662-BB663</f>
        <v>0</v>
      </c>
      <c r="BC664" s="2054">
        <f t="shared" si="615"/>
        <v>0</v>
      </c>
      <c r="BD664" s="2056">
        <f t="shared" si="616"/>
        <v>0</v>
      </c>
      <c r="BE664" s="2057">
        <f t="shared" ref="BE664:BT664" si="620">BE662-BE663</f>
        <v>0</v>
      </c>
      <c r="BF664" s="2057">
        <f t="shared" si="620"/>
        <v>0</v>
      </c>
      <c r="BG664" s="2057">
        <f t="shared" si="620"/>
        <v>0</v>
      </c>
      <c r="BH664" s="2057">
        <f t="shared" si="620"/>
        <v>0</v>
      </c>
      <c r="BI664" s="2057">
        <f t="shared" si="620"/>
        <v>0</v>
      </c>
      <c r="BJ664" s="2057">
        <f t="shared" si="620"/>
        <v>0</v>
      </c>
      <c r="BK664" s="2057">
        <f t="shared" si="620"/>
        <v>0</v>
      </c>
      <c r="BL664" s="2057">
        <f t="shared" si="620"/>
        <v>0</v>
      </c>
      <c r="BM664" s="2057">
        <f t="shared" si="620"/>
        <v>0</v>
      </c>
      <c r="BN664" s="2057">
        <f t="shared" si="620"/>
        <v>0</v>
      </c>
      <c r="BO664" s="2057">
        <f t="shared" si="620"/>
        <v>0</v>
      </c>
      <c r="BP664" s="2057">
        <f t="shared" si="620"/>
        <v>0</v>
      </c>
      <c r="BQ664" s="2057">
        <f t="shared" si="620"/>
        <v>0</v>
      </c>
      <c r="BR664" s="2057">
        <f t="shared" si="620"/>
        <v>0</v>
      </c>
      <c r="BS664" s="2057">
        <f t="shared" si="620"/>
        <v>0</v>
      </c>
      <c r="BT664" s="2057">
        <f t="shared" si="620"/>
        <v>0</v>
      </c>
      <c r="BU664" s="1970"/>
    </row>
    <row r="665" spans="37:73" s="536" customFormat="1" ht="12.5">
      <c r="AK665" s="1964"/>
      <c r="AL665" s="2008">
        <f t="shared" ref="AL665:AN667" si="621">A76</f>
        <v>38</v>
      </c>
      <c r="AM665" s="2030" t="str">
        <f t="shared" si="621"/>
        <v>GASTOS FINANCIEROS</v>
      </c>
      <c r="AN665" s="2031">
        <f t="shared" si="621"/>
        <v>0</v>
      </c>
      <c r="AO665" s="2020">
        <f t="shared" si="606"/>
        <v>0</v>
      </c>
      <c r="AP665" s="2032">
        <f t="shared" ref="AP665:AP675" si="622">E76</f>
        <v>0</v>
      </c>
      <c r="AQ665" s="2022">
        <f t="shared" si="607"/>
        <v>0</v>
      </c>
      <c r="AR665" s="2023">
        <f t="shared" si="608"/>
        <v>0</v>
      </c>
      <c r="AS665" s="2032">
        <f t="shared" ref="AS665:AS675" si="623">H76</f>
        <v>0</v>
      </c>
      <c r="AT665" s="2022">
        <f t="shared" si="609"/>
        <v>0</v>
      </c>
      <c r="AU665" s="2023">
        <f t="shared" si="610"/>
        <v>0</v>
      </c>
      <c r="AV665" s="2032">
        <f t="shared" ref="AV665:AV675" si="624">K76</f>
        <v>0</v>
      </c>
      <c r="AW665" s="2022">
        <f t="shared" si="611"/>
        <v>0</v>
      </c>
      <c r="AX665" s="2024">
        <f t="shared" si="612"/>
        <v>0</v>
      </c>
      <c r="AY665" s="2032">
        <f t="shared" ref="AY665:AY675" si="625">N76</f>
        <v>0</v>
      </c>
      <c r="AZ665" s="2022">
        <f t="shared" si="613"/>
        <v>0</v>
      </c>
      <c r="BA665" s="2024">
        <f t="shared" si="614"/>
        <v>0</v>
      </c>
      <c r="BB665" s="2032">
        <f t="shared" ref="BB665:BB675" si="626">Q76</f>
        <v>0</v>
      </c>
      <c r="BC665" s="2022">
        <f t="shared" si="615"/>
        <v>0</v>
      </c>
      <c r="BD665" s="2024">
        <f t="shared" si="616"/>
        <v>0</v>
      </c>
      <c r="BE665" s="2033">
        <f t="shared" ref="BE665:BE675" si="627">T76</f>
        <v>0</v>
      </c>
      <c r="BF665" s="2033">
        <f t="shared" ref="BF665:BF675" si="628">U76</f>
        <v>0</v>
      </c>
      <c r="BG665" s="2033">
        <f t="shared" ref="BG665:BG675" si="629">V76</f>
        <v>0</v>
      </c>
      <c r="BH665" s="2033">
        <f t="shared" ref="BH665:BH675" si="630">W76</f>
        <v>0</v>
      </c>
      <c r="BI665" s="2033">
        <f t="shared" ref="BI665:BI675" si="631">X76</f>
        <v>0</v>
      </c>
      <c r="BJ665" s="2033">
        <f t="shared" ref="BJ665:BJ675" si="632">Y76</f>
        <v>0</v>
      </c>
      <c r="BK665" s="2033">
        <f t="shared" ref="BK665:BK675" si="633">Z76</f>
        <v>0</v>
      </c>
      <c r="BL665" s="2033">
        <f t="shared" ref="BL665:BL675" si="634">AA76</f>
        <v>0</v>
      </c>
      <c r="BM665" s="2033">
        <f t="shared" ref="BM665:BM675" si="635">AB76</f>
        <v>0</v>
      </c>
      <c r="BN665" s="2033">
        <f t="shared" ref="BN665:BN675" si="636">AC76</f>
        <v>0</v>
      </c>
      <c r="BO665" s="2033">
        <f t="shared" ref="BO665:BO675" si="637">AD76</f>
        <v>0</v>
      </c>
      <c r="BP665" s="2033">
        <f t="shared" ref="BP665:BP675" si="638">AE76</f>
        <v>0</v>
      </c>
      <c r="BQ665" s="2033">
        <f t="shared" ref="BQ665:BQ675" si="639">AF76</f>
        <v>0</v>
      </c>
      <c r="BR665" s="2033">
        <f t="shared" ref="BR665:BR675" si="640">AG76</f>
        <v>0</v>
      </c>
      <c r="BS665" s="2033">
        <f t="shared" ref="BS665:BS675" si="641">AH76</f>
        <v>0</v>
      </c>
      <c r="BT665" s="2033">
        <f t="shared" ref="BT665:BT675" si="642">AI76</f>
        <v>0</v>
      </c>
      <c r="BU665" s="1970"/>
    </row>
    <row r="666" spans="37:73" s="536" customFormat="1" ht="12.5">
      <c r="AK666" s="1964"/>
      <c r="AL666" s="2017">
        <f t="shared" si="621"/>
        <v>39</v>
      </c>
      <c r="AM666" s="2030" t="str">
        <f t="shared" si="621"/>
        <v>CORRECCIÓN MONETARIA</v>
      </c>
      <c r="AN666" s="2031">
        <f t="shared" si="621"/>
        <v>0</v>
      </c>
      <c r="AO666" s="2020">
        <f t="shared" si="606"/>
        <v>0</v>
      </c>
      <c r="AP666" s="2032">
        <f t="shared" si="622"/>
        <v>0</v>
      </c>
      <c r="AQ666" s="2022">
        <f t="shared" si="607"/>
        <v>0</v>
      </c>
      <c r="AR666" s="2023">
        <f t="shared" si="608"/>
        <v>0</v>
      </c>
      <c r="AS666" s="2032">
        <f t="shared" si="623"/>
        <v>0</v>
      </c>
      <c r="AT666" s="2022">
        <f t="shared" si="609"/>
        <v>0</v>
      </c>
      <c r="AU666" s="2023">
        <f t="shared" si="610"/>
        <v>0</v>
      </c>
      <c r="AV666" s="2032">
        <f t="shared" si="624"/>
        <v>0</v>
      </c>
      <c r="AW666" s="2022">
        <f t="shared" si="611"/>
        <v>0</v>
      </c>
      <c r="AX666" s="2024">
        <f t="shared" si="612"/>
        <v>0</v>
      </c>
      <c r="AY666" s="2032">
        <f t="shared" si="625"/>
        <v>0</v>
      </c>
      <c r="AZ666" s="2022">
        <f t="shared" si="613"/>
        <v>0</v>
      </c>
      <c r="BA666" s="2024">
        <f t="shared" si="614"/>
        <v>0</v>
      </c>
      <c r="BB666" s="2032">
        <f t="shared" si="626"/>
        <v>0</v>
      </c>
      <c r="BC666" s="2022">
        <f t="shared" si="615"/>
        <v>0</v>
      </c>
      <c r="BD666" s="2024">
        <f t="shared" si="616"/>
        <v>0</v>
      </c>
      <c r="BE666" s="2033">
        <f t="shared" si="627"/>
        <v>0</v>
      </c>
      <c r="BF666" s="2033">
        <f t="shared" si="628"/>
        <v>0</v>
      </c>
      <c r="BG666" s="2033">
        <f t="shared" si="629"/>
        <v>0</v>
      </c>
      <c r="BH666" s="2033">
        <f t="shared" si="630"/>
        <v>0</v>
      </c>
      <c r="BI666" s="2033">
        <f t="shared" si="631"/>
        <v>0</v>
      </c>
      <c r="BJ666" s="2033">
        <f t="shared" si="632"/>
        <v>0</v>
      </c>
      <c r="BK666" s="2033">
        <f t="shared" si="633"/>
        <v>0</v>
      </c>
      <c r="BL666" s="2033">
        <f t="shared" si="634"/>
        <v>0</v>
      </c>
      <c r="BM666" s="2033">
        <f t="shared" si="635"/>
        <v>0</v>
      </c>
      <c r="BN666" s="2033">
        <f t="shared" si="636"/>
        <v>0</v>
      </c>
      <c r="BO666" s="2033">
        <f t="shared" si="637"/>
        <v>0</v>
      </c>
      <c r="BP666" s="2033">
        <f t="shared" si="638"/>
        <v>0</v>
      </c>
      <c r="BQ666" s="2033">
        <f t="shared" si="639"/>
        <v>0</v>
      </c>
      <c r="BR666" s="2033">
        <f t="shared" si="640"/>
        <v>0</v>
      </c>
      <c r="BS666" s="2033">
        <f t="shared" si="641"/>
        <v>0</v>
      </c>
      <c r="BT666" s="2033">
        <f t="shared" si="642"/>
        <v>0</v>
      </c>
      <c r="BU666" s="1970"/>
    </row>
    <row r="667" spans="37:73" s="536" customFormat="1" ht="12.5">
      <c r="AK667" s="1964"/>
      <c r="AL667" s="2017">
        <f t="shared" si="621"/>
        <v>40</v>
      </c>
      <c r="AM667" s="2030" t="str">
        <f t="shared" si="621"/>
        <v>DIFERENCIA EN CAMBIO (NETA)</v>
      </c>
      <c r="AN667" s="2096">
        <f t="shared" si="621"/>
        <v>0</v>
      </c>
      <c r="AO667" s="2020">
        <f t="shared" si="606"/>
        <v>0</v>
      </c>
      <c r="AP667" s="2097">
        <f t="shared" si="622"/>
        <v>0</v>
      </c>
      <c r="AQ667" s="2022">
        <f t="shared" si="607"/>
        <v>0</v>
      </c>
      <c r="AR667" s="2023">
        <f t="shared" si="608"/>
        <v>0</v>
      </c>
      <c r="AS667" s="2097">
        <f t="shared" si="623"/>
        <v>0</v>
      </c>
      <c r="AT667" s="2022">
        <f t="shared" si="609"/>
        <v>0</v>
      </c>
      <c r="AU667" s="2023">
        <f t="shared" si="610"/>
        <v>0</v>
      </c>
      <c r="AV667" s="2097">
        <f t="shared" si="624"/>
        <v>0</v>
      </c>
      <c r="AW667" s="2022">
        <f t="shared" si="611"/>
        <v>0</v>
      </c>
      <c r="AX667" s="2024">
        <f t="shared" si="612"/>
        <v>0</v>
      </c>
      <c r="AY667" s="2097">
        <f t="shared" si="625"/>
        <v>0</v>
      </c>
      <c r="AZ667" s="2022">
        <f t="shared" si="613"/>
        <v>0</v>
      </c>
      <c r="BA667" s="2024">
        <f t="shared" si="614"/>
        <v>0</v>
      </c>
      <c r="BB667" s="2097">
        <f t="shared" si="626"/>
        <v>0</v>
      </c>
      <c r="BC667" s="2022">
        <f t="shared" si="615"/>
        <v>0</v>
      </c>
      <c r="BD667" s="2024">
        <f t="shared" si="616"/>
        <v>0</v>
      </c>
      <c r="BE667" s="2098">
        <f t="shared" si="627"/>
        <v>0</v>
      </c>
      <c r="BF667" s="2098">
        <f t="shared" si="628"/>
        <v>0</v>
      </c>
      <c r="BG667" s="2098">
        <f t="shared" si="629"/>
        <v>0</v>
      </c>
      <c r="BH667" s="2098">
        <f t="shared" si="630"/>
        <v>0</v>
      </c>
      <c r="BI667" s="2098">
        <f t="shared" si="631"/>
        <v>0</v>
      </c>
      <c r="BJ667" s="2098">
        <f t="shared" si="632"/>
        <v>0</v>
      </c>
      <c r="BK667" s="2098">
        <f t="shared" si="633"/>
        <v>0</v>
      </c>
      <c r="BL667" s="2098">
        <f t="shared" si="634"/>
        <v>0</v>
      </c>
      <c r="BM667" s="2098">
        <f t="shared" si="635"/>
        <v>0</v>
      </c>
      <c r="BN667" s="2098">
        <f t="shared" si="636"/>
        <v>0</v>
      </c>
      <c r="BO667" s="2098">
        <f t="shared" si="637"/>
        <v>0</v>
      </c>
      <c r="BP667" s="2098">
        <f t="shared" si="638"/>
        <v>0</v>
      </c>
      <c r="BQ667" s="2098">
        <f t="shared" si="639"/>
        <v>0</v>
      </c>
      <c r="BR667" s="2098">
        <f t="shared" si="640"/>
        <v>0</v>
      </c>
      <c r="BS667" s="2098">
        <f t="shared" si="641"/>
        <v>0</v>
      </c>
      <c r="BT667" s="2098">
        <f t="shared" si="642"/>
        <v>0</v>
      </c>
      <c r="BU667" s="1970"/>
    </row>
    <row r="668" spans="37:73" s="536" customFormat="1">
      <c r="AK668" s="1964"/>
      <c r="AL668" s="2017" t="str">
        <f t="shared" ref="AL668:AL675" si="643">A79</f>
        <v>41.1</v>
      </c>
      <c r="AM668" s="2099" t="s">
        <v>1110</v>
      </c>
      <c r="AN668" s="2019">
        <f t="shared" ref="AN668:AN675" si="644">C79</f>
        <v>0</v>
      </c>
      <c r="AO668" s="2020">
        <f t="shared" si="606"/>
        <v>0</v>
      </c>
      <c r="AP668" s="2021">
        <f t="shared" si="622"/>
        <v>0</v>
      </c>
      <c r="AQ668" s="2022">
        <f t="shared" si="607"/>
        <v>0</v>
      </c>
      <c r="AR668" s="2023">
        <f t="shared" si="608"/>
        <v>0</v>
      </c>
      <c r="AS668" s="2021">
        <f t="shared" si="623"/>
        <v>0</v>
      </c>
      <c r="AT668" s="2022">
        <f t="shared" si="609"/>
        <v>0</v>
      </c>
      <c r="AU668" s="2023">
        <f t="shared" si="610"/>
        <v>0</v>
      </c>
      <c r="AV668" s="2021">
        <f t="shared" si="624"/>
        <v>0</v>
      </c>
      <c r="AW668" s="2022">
        <f t="shared" si="611"/>
        <v>0</v>
      </c>
      <c r="AX668" s="2024">
        <f t="shared" si="612"/>
        <v>0</v>
      </c>
      <c r="AY668" s="2021">
        <f t="shared" si="625"/>
        <v>0</v>
      </c>
      <c r="AZ668" s="2022">
        <f t="shared" si="613"/>
        <v>0</v>
      </c>
      <c r="BA668" s="2024">
        <f t="shared" si="614"/>
        <v>0</v>
      </c>
      <c r="BB668" s="2021">
        <f t="shared" si="626"/>
        <v>0</v>
      </c>
      <c r="BC668" s="2022">
        <f t="shared" si="615"/>
        <v>0</v>
      </c>
      <c r="BD668" s="2024">
        <f t="shared" si="616"/>
        <v>0</v>
      </c>
      <c r="BE668" s="2025">
        <f t="shared" si="627"/>
        <v>0</v>
      </c>
      <c r="BF668" s="2025">
        <f t="shared" si="628"/>
        <v>0</v>
      </c>
      <c r="BG668" s="2025">
        <f t="shared" si="629"/>
        <v>0</v>
      </c>
      <c r="BH668" s="2025">
        <f t="shared" si="630"/>
        <v>0</v>
      </c>
      <c r="BI668" s="2025">
        <f t="shared" si="631"/>
        <v>0</v>
      </c>
      <c r="BJ668" s="2025">
        <f t="shared" si="632"/>
        <v>0</v>
      </c>
      <c r="BK668" s="2025">
        <f t="shared" si="633"/>
        <v>0</v>
      </c>
      <c r="BL668" s="2025">
        <f t="shared" si="634"/>
        <v>0</v>
      </c>
      <c r="BM668" s="2025">
        <f t="shared" si="635"/>
        <v>0</v>
      </c>
      <c r="BN668" s="2025">
        <f t="shared" si="636"/>
        <v>0</v>
      </c>
      <c r="BO668" s="2025">
        <f t="shared" si="637"/>
        <v>0</v>
      </c>
      <c r="BP668" s="2025">
        <f t="shared" si="638"/>
        <v>0</v>
      </c>
      <c r="BQ668" s="2025">
        <f t="shared" si="639"/>
        <v>0</v>
      </c>
      <c r="BR668" s="2025">
        <f t="shared" si="640"/>
        <v>0</v>
      </c>
      <c r="BS668" s="2025">
        <f t="shared" si="641"/>
        <v>0</v>
      </c>
      <c r="BT668" s="2025">
        <f t="shared" si="642"/>
        <v>0</v>
      </c>
      <c r="BU668" s="1970"/>
    </row>
    <row r="669" spans="37:73" s="536" customFormat="1">
      <c r="AK669" s="1964"/>
      <c r="AL669" s="2017" t="str">
        <f t="shared" si="643"/>
        <v>41.2</v>
      </c>
      <c r="AM669" s="2099" t="s">
        <v>1112</v>
      </c>
      <c r="AN669" s="2019">
        <f t="shared" si="644"/>
        <v>0</v>
      </c>
      <c r="AO669" s="2020">
        <f t="shared" si="606"/>
        <v>0</v>
      </c>
      <c r="AP669" s="2021">
        <f t="shared" si="622"/>
        <v>0</v>
      </c>
      <c r="AQ669" s="2022">
        <f t="shared" si="607"/>
        <v>0</v>
      </c>
      <c r="AR669" s="2023">
        <f t="shared" si="608"/>
        <v>0</v>
      </c>
      <c r="AS669" s="2021">
        <f t="shared" si="623"/>
        <v>0</v>
      </c>
      <c r="AT669" s="2022">
        <f t="shared" si="609"/>
        <v>0</v>
      </c>
      <c r="AU669" s="2023">
        <f t="shared" si="610"/>
        <v>0</v>
      </c>
      <c r="AV669" s="2021">
        <f t="shared" si="624"/>
        <v>0</v>
      </c>
      <c r="AW669" s="2022">
        <f t="shared" si="611"/>
        <v>0</v>
      </c>
      <c r="AX669" s="2024">
        <f t="shared" si="612"/>
        <v>0</v>
      </c>
      <c r="AY669" s="2021">
        <f t="shared" si="625"/>
        <v>0</v>
      </c>
      <c r="AZ669" s="2022">
        <f t="shared" si="613"/>
        <v>0</v>
      </c>
      <c r="BA669" s="2024">
        <f t="shared" si="614"/>
        <v>0</v>
      </c>
      <c r="BB669" s="2021">
        <f t="shared" si="626"/>
        <v>0</v>
      </c>
      <c r="BC669" s="2022">
        <f t="shared" si="615"/>
        <v>0</v>
      </c>
      <c r="BD669" s="2024">
        <f t="shared" si="616"/>
        <v>0</v>
      </c>
      <c r="BE669" s="2025">
        <f t="shared" si="627"/>
        <v>0</v>
      </c>
      <c r="BF669" s="2025">
        <f t="shared" si="628"/>
        <v>0</v>
      </c>
      <c r="BG669" s="2025">
        <f t="shared" si="629"/>
        <v>0</v>
      </c>
      <c r="BH669" s="2025">
        <f t="shared" si="630"/>
        <v>0</v>
      </c>
      <c r="BI669" s="2025">
        <f t="shared" si="631"/>
        <v>0</v>
      </c>
      <c r="BJ669" s="2025">
        <f t="shared" si="632"/>
        <v>0</v>
      </c>
      <c r="BK669" s="2025">
        <f t="shared" si="633"/>
        <v>0</v>
      </c>
      <c r="BL669" s="2025">
        <f t="shared" si="634"/>
        <v>0</v>
      </c>
      <c r="BM669" s="2025">
        <f t="shared" si="635"/>
        <v>0</v>
      </c>
      <c r="BN669" s="2025">
        <f t="shared" si="636"/>
        <v>0</v>
      </c>
      <c r="BO669" s="2025">
        <f t="shared" si="637"/>
        <v>0</v>
      </c>
      <c r="BP669" s="2025">
        <f t="shared" si="638"/>
        <v>0</v>
      </c>
      <c r="BQ669" s="2025">
        <f t="shared" si="639"/>
        <v>0</v>
      </c>
      <c r="BR669" s="2025">
        <f t="shared" si="640"/>
        <v>0</v>
      </c>
      <c r="BS669" s="2025">
        <f t="shared" si="641"/>
        <v>0</v>
      </c>
      <c r="BT669" s="2025">
        <f t="shared" si="642"/>
        <v>0</v>
      </c>
      <c r="BU669" s="1970"/>
    </row>
    <row r="670" spans="37:73" s="536" customFormat="1">
      <c r="AK670" s="1964"/>
      <c r="AL670" s="2017" t="str">
        <f t="shared" si="643"/>
        <v>41.3</v>
      </c>
      <c r="AM670" s="2018" t="str">
        <f t="shared" ref="AM670:AM675" si="645">B81</f>
        <v>INGRESOS FINANCIEROS</v>
      </c>
      <c r="AN670" s="2019">
        <f t="shared" si="644"/>
        <v>0</v>
      </c>
      <c r="AO670" s="2020">
        <f t="shared" si="606"/>
        <v>0</v>
      </c>
      <c r="AP670" s="2021">
        <f t="shared" si="622"/>
        <v>0</v>
      </c>
      <c r="AQ670" s="2022">
        <f t="shared" si="607"/>
        <v>0</v>
      </c>
      <c r="AR670" s="2023">
        <f t="shared" si="608"/>
        <v>0</v>
      </c>
      <c r="AS670" s="2021">
        <f t="shared" si="623"/>
        <v>0</v>
      </c>
      <c r="AT670" s="2022">
        <f t="shared" si="609"/>
        <v>0</v>
      </c>
      <c r="AU670" s="2023">
        <f t="shared" si="610"/>
        <v>0</v>
      </c>
      <c r="AV670" s="2021">
        <f t="shared" si="624"/>
        <v>0</v>
      </c>
      <c r="AW670" s="2022">
        <f t="shared" si="611"/>
        <v>0</v>
      </c>
      <c r="AX670" s="2024">
        <f t="shared" si="612"/>
        <v>0</v>
      </c>
      <c r="AY670" s="2021">
        <f t="shared" si="625"/>
        <v>0</v>
      </c>
      <c r="AZ670" s="2022">
        <f t="shared" si="613"/>
        <v>0</v>
      </c>
      <c r="BA670" s="2024">
        <f t="shared" si="614"/>
        <v>0</v>
      </c>
      <c r="BB670" s="2021">
        <f t="shared" si="626"/>
        <v>0</v>
      </c>
      <c r="BC670" s="2022">
        <f t="shared" si="615"/>
        <v>0</v>
      </c>
      <c r="BD670" s="2024">
        <f t="shared" si="616"/>
        <v>0</v>
      </c>
      <c r="BE670" s="2025">
        <f t="shared" si="627"/>
        <v>0</v>
      </c>
      <c r="BF670" s="2025">
        <f t="shared" si="628"/>
        <v>0</v>
      </c>
      <c r="BG670" s="2025">
        <f t="shared" si="629"/>
        <v>0</v>
      </c>
      <c r="BH670" s="2025">
        <f t="shared" si="630"/>
        <v>0</v>
      </c>
      <c r="BI670" s="2025">
        <f t="shared" si="631"/>
        <v>0</v>
      </c>
      <c r="BJ670" s="2025">
        <f t="shared" si="632"/>
        <v>0</v>
      </c>
      <c r="BK670" s="2025">
        <f t="shared" si="633"/>
        <v>0</v>
      </c>
      <c r="BL670" s="2025">
        <f t="shared" si="634"/>
        <v>0</v>
      </c>
      <c r="BM670" s="2025">
        <f t="shared" si="635"/>
        <v>0</v>
      </c>
      <c r="BN670" s="2025">
        <f t="shared" si="636"/>
        <v>0</v>
      </c>
      <c r="BO670" s="2025">
        <f t="shared" si="637"/>
        <v>0</v>
      </c>
      <c r="BP670" s="2025">
        <f t="shared" si="638"/>
        <v>0</v>
      </c>
      <c r="BQ670" s="2025">
        <f t="shared" si="639"/>
        <v>0</v>
      </c>
      <c r="BR670" s="2025">
        <f t="shared" si="640"/>
        <v>0</v>
      </c>
      <c r="BS670" s="2025">
        <f t="shared" si="641"/>
        <v>0</v>
      </c>
      <c r="BT670" s="2025">
        <f t="shared" si="642"/>
        <v>0</v>
      </c>
      <c r="BU670" s="1970"/>
    </row>
    <row r="671" spans="37:73" s="536" customFormat="1">
      <c r="AK671" s="1964"/>
      <c r="AL671" s="2017" t="str">
        <f t="shared" si="643"/>
        <v>41.4</v>
      </c>
      <c r="AM671" s="2018" t="str">
        <f t="shared" si="645"/>
        <v>UTILIDAD (PÉRDIDA) EN VENTA DE ACTIVOS FIJOS</v>
      </c>
      <c r="AN671" s="2045">
        <f t="shared" si="644"/>
        <v>0</v>
      </c>
      <c r="AO671" s="2020">
        <f t="shared" si="606"/>
        <v>0</v>
      </c>
      <c r="AP671" s="2046">
        <f t="shared" si="622"/>
        <v>0</v>
      </c>
      <c r="AQ671" s="2022">
        <f t="shared" si="607"/>
        <v>0</v>
      </c>
      <c r="AR671" s="2023">
        <f t="shared" si="608"/>
        <v>0</v>
      </c>
      <c r="AS671" s="2046">
        <f t="shared" si="623"/>
        <v>0</v>
      </c>
      <c r="AT671" s="2022">
        <f t="shared" si="609"/>
        <v>0</v>
      </c>
      <c r="AU671" s="2023">
        <f t="shared" si="610"/>
        <v>0</v>
      </c>
      <c r="AV671" s="2046">
        <f t="shared" si="624"/>
        <v>0</v>
      </c>
      <c r="AW671" s="2022">
        <f t="shared" si="611"/>
        <v>0</v>
      </c>
      <c r="AX671" s="2024">
        <f t="shared" si="612"/>
        <v>0</v>
      </c>
      <c r="AY671" s="2046">
        <f t="shared" si="625"/>
        <v>0</v>
      </c>
      <c r="AZ671" s="2022">
        <f t="shared" si="613"/>
        <v>0</v>
      </c>
      <c r="BA671" s="2024">
        <f t="shared" si="614"/>
        <v>0</v>
      </c>
      <c r="BB671" s="2046">
        <f t="shared" si="626"/>
        <v>0</v>
      </c>
      <c r="BC671" s="2022">
        <f t="shared" si="615"/>
        <v>0</v>
      </c>
      <c r="BD671" s="2024">
        <f t="shared" si="616"/>
        <v>0</v>
      </c>
      <c r="BE671" s="2047">
        <f t="shared" si="627"/>
        <v>0</v>
      </c>
      <c r="BF671" s="2047">
        <f t="shared" si="628"/>
        <v>0</v>
      </c>
      <c r="BG671" s="2047">
        <f t="shared" si="629"/>
        <v>0</v>
      </c>
      <c r="BH671" s="2047">
        <f t="shared" si="630"/>
        <v>0</v>
      </c>
      <c r="BI671" s="2047">
        <f t="shared" si="631"/>
        <v>0</v>
      </c>
      <c r="BJ671" s="2047">
        <f t="shared" si="632"/>
        <v>0</v>
      </c>
      <c r="BK671" s="2047">
        <f t="shared" si="633"/>
        <v>0</v>
      </c>
      <c r="BL671" s="2047">
        <f t="shared" si="634"/>
        <v>0</v>
      </c>
      <c r="BM671" s="2047">
        <f t="shared" si="635"/>
        <v>0</v>
      </c>
      <c r="BN671" s="2047">
        <f t="shared" si="636"/>
        <v>0</v>
      </c>
      <c r="BO671" s="2047">
        <f t="shared" si="637"/>
        <v>0</v>
      </c>
      <c r="BP671" s="2047">
        <f t="shared" si="638"/>
        <v>0</v>
      </c>
      <c r="BQ671" s="2047">
        <f t="shared" si="639"/>
        <v>0</v>
      </c>
      <c r="BR671" s="2047">
        <f t="shared" si="640"/>
        <v>0</v>
      </c>
      <c r="BS671" s="2047">
        <f t="shared" si="641"/>
        <v>0</v>
      </c>
      <c r="BT671" s="2047">
        <f t="shared" si="642"/>
        <v>0</v>
      </c>
      <c r="BU671" s="1970"/>
    </row>
    <row r="672" spans="37:73" s="536" customFormat="1">
      <c r="AK672" s="1964"/>
      <c r="AL672" s="2017" t="str">
        <f t="shared" si="643"/>
        <v>41.5</v>
      </c>
      <c r="AM672" s="2018" t="str">
        <f t="shared" si="645"/>
        <v>UTILIDAD (PÉRDIDA) EN VENTA DE INVERSIONES</v>
      </c>
      <c r="AN672" s="2045">
        <f t="shared" si="644"/>
        <v>0</v>
      </c>
      <c r="AO672" s="2020">
        <f t="shared" si="606"/>
        <v>0</v>
      </c>
      <c r="AP672" s="2046">
        <f t="shared" si="622"/>
        <v>0</v>
      </c>
      <c r="AQ672" s="2022">
        <f t="shared" si="607"/>
        <v>0</v>
      </c>
      <c r="AR672" s="2023">
        <f t="shared" si="608"/>
        <v>0</v>
      </c>
      <c r="AS672" s="2046">
        <f t="shared" si="623"/>
        <v>0</v>
      </c>
      <c r="AT672" s="2022">
        <f t="shared" si="609"/>
        <v>0</v>
      </c>
      <c r="AU672" s="2023">
        <f t="shared" si="610"/>
        <v>0</v>
      </c>
      <c r="AV672" s="2046">
        <f t="shared" si="624"/>
        <v>0</v>
      </c>
      <c r="AW672" s="2022">
        <f t="shared" si="611"/>
        <v>0</v>
      </c>
      <c r="AX672" s="2024">
        <f t="shared" si="612"/>
        <v>0</v>
      </c>
      <c r="AY672" s="2046">
        <f t="shared" si="625"/>
        <v>0</v>
      </c>
      <c r="AZ672" s="2022">
        <f t="shared" si="613"/>
        <v>0</v>
      </c>
      <c r="BA672" s="2024">
        <f t="shared" si="614"/>
        <v>0</v>
      </c>
      <c r="BB672" s="2046">
        <f t="shared" si="626"/>
        <v>0</v>
      </c>
      <c r="BC672" s="2022">
        <f t="shared" si="615"/>
        <v>0</v>
      </c>
      <c r="BD672" s="2024">
        <f t="shared" si="616"/>
        <v>0</v>
      </c>
      <c r="BE672" s="2047">
        <f t="shared" si="627"/>
        <v>0</v>
      </c>
      <c r="BF672" s="2047">
        <f t="shared" si="628"/>
        <v>0</v>
      </c>
      <c r="BG672" s="2047">
        <f t="shared" si="629"/>
        <v>0</v>
      </c>
      <c r="BH672" s="2047">
        <f t="shared" si="630"/>
        <v>0</v>
      </c>
      <c r="BI672" s="2047">
        <f t="shared" si="631"/>
        <v>0</v>
      </c>
      <c r="BJ672" s="2047">
        <f t="shared" si="632"/>
        <v>0</v>
      </c>
      <c r="BK672" s="2047">
        <f t="shared" si="633"/>
        <v>0</v>
      </c>
      <c r="BL672" s="2047">
        <f t="shared" si="634"/>
        <v>0</v>
      </c>
      <c r="BM672" s="2047">
        <f t="shared" si="635"/>
        <v>0</v>
      </c>
      <c r="BN672" s="2047">
        <f t="shared" si="636"/>
        <v>0</v>
      </c>
      <c r="BO672" s="2047">
        <f t="shared" si="637"/>
        <v>0</v>
      </c>
      <c r="BP672" s="2047">
        <f t="shared" si="638"/>
        <v>0</v>
      </c>
      <c r="BQ672" s="2047">
        <f t="shared" si="639"/>
        <v>0</v>
      </c>
      <c r="BR672" s="2047">
        <f t="shared" si="640"/>
        <v>0</v>
      </c>
      <c r="BS672" s="2047">
        <f t="shared" si="641"/>
        <v>0</v>
      </c>
      <c r="BT672" s="2047">
        <f t="shared" si="642"/>
        <v>0</v>
      </c>
      <c r="BU672" s="1970"/>
    </row>
    <row r="673" spans="37:73" s="536" customFormat="1">
      <c r="AK673" s="1964"/>
      <c r="AL673" s="2017" t="str">
        <f t="shared" si="643"/>
        <v>41.6</v>
      </c>
      <c r="AM673" s="2018" t="str">
        <f t="shared" si="645"/>
        <v>INGRESOS (EGRESOS) POR MÉTODO DE PARTICIPACIÓN</v>
      </c>
      <c r="AN673" s="2045">
        <f t="shared" si="644"/>
        <v>0</v>
      </c>
      <c r="AO673" s="2020">
        <f t="shared" si="606"/>
        <v>0</v>
      </c>
      <c r="AP673" s="2046">
        <f t="shared" si="622"/>
        <v>0</v>
      </c>
      <c r="AQ673" s="2022">
        <f t="shared" si="607"/>
        <v>0</v>
      </c>
      <c r="AR673" s="2023">
        <f t="shared" si="608"/>
        <v>0</v>
      </c>
      <c r="AS673" s="2046">
        <f t="shared" si="623"/>
        <v>0</v>
      </c>
      <c r="AT673" s="2022">
        <f t="shared" si="609"/>
        <v>0</v>
      </c>
      <c r="AU673" s="2023">
        <f t="shared" si="610"/>
        <v>0</v>
      </c>
      <c r="AV673" s="2046">
        <f t="shared" si="624"/>
        <v>0</v>
      </c>
      <c r="AW673" s="2022">
        <f t="shared" si="611"/>
        <v>0</v>
      </c>
      <c r="AX673" s="2024">
        <f t="shared" si="612"/>
        <v>0</v>
      </c>
      <c r="AY673" s="2046">
        <f t="shared" si="625"/>
        <v>0</v>
      </c>
      <c r="AZ673" s="2022">
        <f t="shared" si="613"/>
        <v>0</v>
      </c>
      <c r="BA673" s="2024">
        <f t="shared" si="614"/>
        <v>0</v>
      </c>
      <c r="BB673" s="2046">
        <f t="shared" si="626"/>
        <v>0</v>
      </c>
      <c r="BC673" s="2022">
        <f t="shared" si="615"/>
        <v>0</v>
      </c>
      <c r="BD673" s="2024">
        <f t="shared" si="616"/>
        <v>0</v>
      </c>
      <c r="BE673" s="2047">
        <f t="shared" si="627"/>
        <v>0</v>
      </c>
      <c r="BF673" s="2047">
        <f t="shared" si="628"/>
        <v>0</v>
      </c>
      <c r="BG673" s="2047">
        <f t="shared" si="629"/>
        <v>0</v>
      </c>
      <c r="BH673" s="2047">
        <f t="shared" si="630"/>
        <v>0</v>
      </c>
      <c r="BI673" s="2047">
        <f t="shared" si="631"/>
        <v>0</v>
      </c>
      <c r="BJ673" s="2047">
        <f t="shared" si="632"/>
        <v>0</v>
      </c>
      <c r="BK673" s="2047">
        <f t="shared" si="633"/>
        <v>0</v>
      </c>
      <c r="BL673" s="2047">
        <f t="shared" si="634"/>
        <v>0</v>
      </c>
      <c r="BM673" s="2047">
        <f t="shared" si="635"/>
        <v>0</v>
      </c>
      <c r="BN673" s="2047">
        <f t="shared" si="636"/>
        <v>0</v>
      </c>
      <c r="BO673" s="2047">
        <f t="shared" si="637"/>
        <v>0</v>
      </c>
      <c r="BP673" s="2047">
        <f t="shared" si="638"/>
        <v>0</v>
      </c>
      <c r="BQ673" s="2047">
        <f t="shared" si="639"/>
        <v>0</v>
      </c>
      <c r="BR673" s="2047">
        <f t="shared" si="640"/>
        <v>0</v>
      </c>
      <c r="BS673" s="2047">
        <f t="shared" si="641"/>
        <v>0</v>
      </c>
      <c r="BT673" s="2047">
        <f t="shared" si="642"/>
        <v>0</v>
      </c>
      <c r="BU673" s="1970"/>
    </row>
    <row r="674" spans="37:73" s="536" customFormat="1">
      <c r="AK674" s="1964"/>
      <c r="AL674" s="2017" t="str">
        <f t="shared" si="643"/>
        <v>41.7</v>
      </c>
      <c r="AM674" s="2018" t="str">
        <f t="shared" si="645"/>
        <v>OTROS INGRESOS</v>
      </c>
      <c r="AN674" s="2019">
        <f t="shared" si="644"/>
        <v>0</v>
      </c>
      <c r="AO674" s="2020">
        <f t="shared" si="606"/>
        <v>0</v>
      </c>
      <c r="AP674" s="2021">
        <f t="shared" si="622"/>
        <v>0</v>
      </c>
      <c r="AQ674" s="2022">
        <f t="shared" si="607"/>
        <v>0</v>
      </c>
      <c r="AR674" s="2023">
        <f t="shared" si="608"/>
        <v>0</v>
      </c>
      <c r="AS674" s="2021">
        <f t="shared" si="623"/>
        <v>0</v>
      </c>
      <c r="AT674" s="2022">
        <f t="shared" si="609"/>
        <v>0</v>
      </c>
      <c r="AU674" s="2023">
        <f t="shared" si="610"/>
        <v>0</v>
      </c>
      <c r="AV674" s="2021">
        <f t="shared" si="624"/>
        <v>0</v>
      </c>
      <c r="AW674" s="2022">
        <f t="shared" si="611"/>
        <v>0</v>
      </c>
      <c r="AX674" s="2024">
        <f t="shared" si="612"/>
        <v>0</v>
      </c>
      <c r="AY674" s="2021">
        <f t="shared" si="625"/>
        <v>0</v>
      </c>
      <c r="AZ674" s="2022">
        <f t="shared" si="613"/>
        <v>0</v>
      </c>
      <c r="BA674" s="2024">
        <f t="shared" si="614"/>
        <v>0</v>
      </c>
      <c r="BB674" s="2021">
        <f t="shared" si="626"/>
        <v>0</v>
      </c>
      <c r="BC674" s="2022">
        <f t="shared" si="615"/>
        <v>0</v>
      </c>
      <c r="BD674" s="2024">
        <f t="shared" si="616"/>
        <v>0</v>
      </c>
      <c r="BE674" s="2025">
        <f t="shared" si="627"/>
        <v>0</v>
      </c>
      <c r="BF674" s="2025">
        <f t="shared" si="628"/>
        <v>0</v>
      </c>
      <c r="BG674" s="2025">
        <f t="shared" si="629"/>
        <v>0</v>
      </c>
      <c r="BH674" s="2025">
        <f t="shared" si="630"/>
        <v>0</v>
      </c>
      <c r="BI674" s="2025">
        <f t="shared" si="631"/>
        <v>0</v>
      </c>
      <c r="BJ674" s="2025">
        <f t="shared" si="632"/>
        <v>0</v>
      </c>
      <c r="BK674" s="2025">
        <f t="shared" si="633"/>
        <v>0</v>
      </c>
      <c r="BL674" s="2025">
        <f t="shared" si="634"/>
        <v>0</v>
      </c>
      <c r="BM674" s="2025">
        <f t="shared" si="635"/>
        <v>0</v>
      </c>
      <c r="BN674" s="2025">
        <f t="shared" si="636"/>
        <v>0</v>
      </c>
      <c r="BO674" s="2025">
        <f t="shared" si="637"/>
        <v>0</v>
      </c>
      <c r="BP674" s="2025">
        <f t="shared" si="638"/>
        <v>0</v>
      </c>
      <c r="BQ674" s="2025">
        <f t="shared" si="639"/>
        <v>0</v>
      </c>
      <c r="BR674" s="2025">
        <f t="shared" si="640"/>
        <v>0</v>
      </c>
      <c r="BS674" s="2025">
        <f t="shared" si="641"/>
        <v>0</v>
      </c>
      <c r="BT674" s="2025">
        <f t="shared" si="642"/>
        <v>0</v>
      </c>
      <c r="BU674" s="1970"/>
    </row>
    <row r="675" spans="37:73" s="536" customFormat="1">
      <c r="AK675" s="1964"/>
      <c r="AL675" s="2017" t="str">
        <f t="shared" si="643"/>
        <v>41.8</v>
      </c>
      <c r="AM675" s="2018" t="str">
        <f t="shared" si="645"/>
        <v>OTROS EGRESOS</v>
      </c>
      <c r="AN675" s="2045">
        <f t="shared" si="644"/>
        <v>0</v>
      </c>
      <c r="AO675" s="2020">
        <f t="shared" si="606"/>
        <v>0</v>
      </c>
      <c r="AP675" s="2046">
        <f t="shared" si="622"/>
        <v>0</v>
      </c>
      <c r="AQ675" s="2022">
        <f t="shared" si="607"/>
        <v>0</v>
      </c>
      <c r="AR675" s="2023">
        <f t="shared" si="608"/>
        <v>0</v>
      </c>
      <c r="AS675" s="2046">
        <f t="shared" si="623"/>
        <v>0</v>
      </c>
      <c r="AT675" s="2022">
        <f t="shared" si="609"/>
        <v>0</v>
      </c>
      <c r="AU675" s="2023">
        <f t="shared" si="610"/>
        <v>0</v>
      </c>
      <c r="AV675" s="2046">
        <f t="shared" si="624"/>
        <v>0</v>
      </c>
      <c r="AW675" s="2022">
        <f t="shared" si="611"/>
        <v>0</v>
      </c>
      <c r="AX675" s="2024">
        <f t="shared" si="612"/>
        <v>0</v>
      </c>
      <c r="AY675" s="2046">
        <f t="shared" si="625"/>
        <v>0</v>
      </c>
      <c r="AZ675" s="2022">
        <f t="shared" si="613"/>
        <v>0</v>
      </c>
      <c r="BA675" s="2024">
        <f t="shared" si="614"/>
        <v>0</v>
      </c>
      <c r="BB675" s="2046">
        <f t="shared" si="626"/>
        <v>0</v>
      </c>
      <c r="BC675" s="2022">
        <f t="shared" si="615"/>
        <v>0</v>
      </c>
      <c r="BD675" s="2024">
        <f t="shared" si="616"/>
        <v>0</v>
      </c>
      <c r="BE675" s="2047">
        <f t="shared" si="627"/>
        <v>0</v>
      </c>
      <c r="BF675" s="2047">
        <f t="shared" si="628"/>
        <v>0</v>
      </c>
      <c r="BG675" s="2047">
        <f t="shared" si="629"/>
        <v>0</v>
      </c>
      <c r="BH675" s="2047">
        <f t="shared" si="630"/>
        <v>0</v>
      </c>
      <c r="BI675" s="2047">
        <f t="shared" si="631"/>
        <v>0</v>
      </c>
      <c r="BJ675" s="2047">
        <f t="shared" si="632"/>
        <v>0</v>
      </c>
      <c r="BK675" s="2047">
        <f t="shared" si="633"/>
        <v>0</v>
      </c>
      <c r="BL675" s="2047">
        <f t="shared" si="634"/>
        <v>0</v>
      </c>
      <c r="BM675" s="2047">
        <f t="shared" si="635"/>
        <v>0</v>
      </c>
      <c r="BN675" s="2047">
        <f t="shared" si="636"/>
        <v>0</v>
      </c>
      <c r="BO675" s="2047">
        <f t="shared" si="637"/>
        <v>0</v>
      </c>
      <c r="BP675" s="2047">
        <f t="shared" si="638"/>
        <v>0</v>
      </c>
      <c r="BQ675" s="2047">
        <f t="shared" si="639"/>
        <v>0</v>
      </c>
      <c r="BR675" s="2047">
        <f t="shared" si="640"/>
        <v>0</v>
      </c>
      <c r="BS675" s="2047">
        <f t="shared" si="641"/>
        <v>0</v>
      </c>
      <c r="BT675" s="2047">
        <f t="shared" si="642"/>
        <v>0</v>
      </c>
      <c r="BU675" s="1970"/>
    </row>
    <row r="676" spans="37:73" s="536" customFormat="1">
      <c r="AK676" s="1964"/>
      <c r="AL676" s="2034">
        <v>41</v>
      </c>
      <c r="AM676" s="2026" t="s">
        <v>1416</v>
      </c>
      <c r="AN676" s="2100">
        <f>AN668-AN669+AN670+AN671+AN672+AN673+AN674-AN675</f>
        <v>0</v>
      </c>
      <c r="AO676" s="2020">
        <f t="shared" si="606"/>
        <v>0</v>
      </c>
      <c r="AP676" s="2101">
        <f>AP668-AP669+AP670+AP671+AP672+AP673+AP674-AP675</f>
        <v>0</v>
      </c>
      <c r="AQ676" s="2022">
        <f t="shared" si="607"/>
        <v>0</v>
      </c>
      <c r="AR676" s="2023">
        <f t="shared" si="608"/>
        <v>0</v>
      </c>
      <c r="AS676" s="2101">
        <f>AS668-AS669+AS670+AS671+AS672+AS673+AS674-AS675</f>
        <v>0</v>
      </c>
      <c r="AT676" s="2022">
        <f t="shared" si="609"/>
        <v>0</v>
      </c>
      <c r="AU676" s="2023">
        <f t="shared" si="610"/>
        <v>0</v>
      </c>
      <c r="AV676" s="2101">
        <f>AV668-AV669+AV670+AV671+AV672+AV673+AV674-AV675</f>
        <v>0</v>
      </c>
      <c r="AW676" s="2022">
        <f t="shared" si="611"/>
        <v>0</v>
      </c>
      <c r="AX676" s="2024">
        <f t="shared" si="612"/>
        <v>0</v>
      </c>
      <c r="AY676" s="2101">
        <f>AY668-AY669+AY670+AY671+AY672+AY673+AY674-AY675</f>
        <v>0</v>
      </c>
      <c r="AZ676" s="2022">
        <f t="shared" si="613"/>
        <v>0</v>
      </c>
      <c r="BA676" s="2024">
        <f t="shared" si="614"/>
        <v>0</v>
      </c>
      <c r="BB676" s="2101">
        <f>BB668-BB669+BB670+BB671+BB672+BB673+BB674-BB675</f>
        <v>0</v>
      </c>
      <c r="BC676" s="2022">
        <f t="shared" si="615"/>
        <v>0</v>
      </c>
      <c r="BD676" s="2024">
        <f t="shared" si="616"/>
        <v>0</v>
      </c>
      <c r="BE676" s="2101">
        <f t="shared" ref="BE676:BT676" si="646">BE668-BE669+BE670+BE671+BE672+BE673+BE674-BE675</f>
        <v>0</v>
      </c>
      <c r="BF676" s="2101">
        <f t="shared" si="646"/>
        <v>0</v>
      </c>
      <c r="BG676" s="2101">
        <f t="shared" si="646"/>
        <v>0</v>
      </c>
      <c r="BH676" s="2101">
        <f t="shared" si="646"/>
        <v>0</v>
      </c>
      <c r="BI676" s="2101">
        <f t="shared" si="646"/>
        <v>0</v>
      </c>
      <c r="BJ676" s="2101">
        <f t="shared" si="646"/>
        <v>0</v>
      </c>
      <c r="BK676" s="2101">
        <f t="shared" si="646"/>
        <v>0</v>
      </c>
      <c r="BL676" s="2101">
        <f t="shared" si="646"/>
        <v>0</v>
      </c>
      <c r="BM676" s="2101">
        <f t="shared" si="646"/>
        <v>0</v>
      </c>
      <c r="BN676" s="2101">
        <f t="shared" si="646"/>
        <v>0</v>
      </c>
      <c r="BO676" s="2101">
        <f t="shared" si="646"/>
        <v>0</v>
      </c>
      <c r="BP676" s="2101">
        <f t="shared" si="646"/>
        <v>0</v>
      </c>
      <c r="BQ676" s="2101">
        <f t="shared" si="646"/>
        <v>0</v>
      </c>
      <c r="BR676" s="2101">
        <f t="shared" si="646"/>
        <v>0</v>
      </c>
      <c r="BS676" s="2101">
        <f t="shared" si="646"/>
        <v>0</v>
      </c>
      <c r="BT676" s="2101">
        <f t="shared" si="646"/>
        <v>0</v>
      </c>
      <c r="BU676" s="1970"/>
    </row>
    <row r="677" spans="37:73" s="536" customFormat="1" ht="12.5">
      <c r="AK677" s="1964"/>
      <c r="AL677" s="2084"/>
      <c r="AM677" s="2102" t="s">
        <v>1125</v>
      </c>
      <c r="AN677" s="2037">
        <f>AN664-AN665+AN666+AN667+AN676</f>
        <v>0</v>
      </c>
      <c r="AO677" s="2038">
        <f t="shared" si="606"/>
        <v>0</v>
      </c>
      <c r="AP677" s="2039">
        <f>AP664-AP665+AP666+AP667+AP676</f>
        <v>0</v>
      </c>
      <c r="AQ677" s="2040">
        <f t="shared" si="607"/>
        <v>0</v>
      </c>
      <c r="AR677" s="2041">
        <f t="shared" si="608"/>
        <v>0</v>
      </c>
      <c r="AS677" s="2039">
        <f>AS664-AS665+AS666+AS667+AS676</f>
        <v>0</v>
      </c>
      <c r="AT677" s="2040">
        <f t="shared" si="609"/>
        <v>0</v>
      </c>
      <c r="AU677" s="2041">
        <f t="shared" si="610"/>
        <v>0</v>
      </c>
      <c r="AV677" s="2039">
        <f>AV664-AV665+AV666+AV667+AV676</f>
        <v>0</v>
      </c>
      <c r="AW677" s="2040">
        <f t="shared" si="611"/>
        <v>0</v>
      </c>
      <c r="AX677" s="2042">
        <f t="shared" si="612"/>
        <v>0</v>
      </c>
      <c r="AY677" s="2039">
        <f>AY664-AY665+AY666+AY667+AY676</f>
        <v>0</v>
      </c>
      <c r="AZ677" s="2040">
        <f t="shared" si="613"/>
        <v>0</v>
      </c>
      <c r="BA677" s="2042">
        <f t="shared" si="614"/>
        <v>0</v>
      </c>
      <c r="BB677" s="2039">
        <f>BB664-BB665+BB666+BB667+BB676</f>
        <v>0</v>
      </c>
      <c r="BC677" s="2040">
        <f t="shared" si="615"/>
        <v>0</v>
      </c>
      <c r="BD677" s="2042">
        <f t="shared" si="616"/>
        <v>0</v>
      </c>
      <c r="BE677" s="2043">
        <f t="shared" ref="BE677:BT677" si="647">BE664-BE665+BE666+BE667+BE676</f>
        <v>0</v>
      </c>
      <c r="BF677" s="2043">
        <f t="shared" si="647"/>
        <v>0</v>
      </c>
      <c r="BG677" s="2043">
        <f t="shared" si="647"/>
        <v>0</v>
      </c>
      <c r="BH677" s="2043">
        <f t="shared" si="647"/>
        <v>0</v>
      </c>
      <c r="BI677" s="2043">
        <f t="shared" si="647"/>
        <v>0</v>
      </c>
      <c r="BJ677" s="2043">
        <f t="shared" si="647"/>
        <v>0</v>
      </c>
      <c r="BK677" s="2043">
        <f t="shared" si="647"/>
        <v>0</v>
      </c>
      <c r="BL677" s="2043">
        <f t="shared" si="647"/>
        <v>0</v>
      </c>
      <c r="BM677" s="2043">
        <f t="shared" si="647"/>
        <v>0</v>
      </c>
      <c r="BN677" s="2043">
        <f t="shared" si="647"/>
        <v>0</v>
      </c>
      <c r="BO677" s="2043">
        <f t="shared" si="647"/>
        <v>0</v>
      </c>
      <c r="BP677" s="2043">
        <f t="shared" si="647"/>
        <v>0</v>
      </c>
      <c r="BQ677" s="2043">
        <f t="shared" si="647"/>
        <v>0</v>
      </c>
      <c r="BR677" s="2043">
        <f t="shared" si="647"/>
        <v>0</v>
      </c>
      <c r="BS677" s="2043">
        <f t="shared" si="647"/>
        <v>0</v>
      </c>
      <c r="BT677" s="2043">
        <f t="shared" si="647"/>
        <v>0</v>
      </c>
      <c r="BU677" s="1970"/>
    </row>
    <row r="678" spans="37:73" s="536" customFormat="1" ht="12.5">
      <c r="AK678" s="1964"/>
      <c r="AL678" s="2095">
        <f>A88</f>
        <v>42</v>
      </c>
      <c r="AM678" s="2030" t="str">
        <f>B88</f>
        <v>IMPUESTOS</v>
      </c>
      <c r="AN678" s="2031">
        <f>C88</f>
        <v>0</v>
      </c>
      <c r="AO678" s="2020">
        <f t="shared" si="606"/>
        <v>0</v>
      </c>
      <c r="AP678" s="2032">
        <f>E88</f>
        <v>0</v>
      </c>
      <c r="AQ678" s="2022">
        <f t="shared" si="607"/>
        <v>0</v>
      </c>
      <c r="AR678" s="2023">
        <f t="shared" si="608"/>
        <v>0</v>
      </c>
      <c r="AS678" s="2032">
        <f>H88</f>
        <v>0</v>
      </c>
      <c r="AT678" s="2022">
        <f t="shared" si="609"/>
        <v>0</v>
      </c>
      <c r="AU678" s="2023">
        <f t="shared" si="610"/>
        <v>0</v>
      </c>
      <c r="AV678" s="2032">
        <f>K88</f>
        <v>0</v>
      </c>
      <c r="AW678" s="2022">
        <f t="shared" si="611"/>
        <v>0</v>
      </c>
      <c r="AX678" s="2024">
        <f t="shared" si="612"/>
        <v>0</v>
      </c>
      <c r="AY678" s="2032">
        <f>N88</f>
        <v>0</v>
      </c>
      <c r="AZ678" s="2022">
        <f t="shared" si="613"/>
        <v>0</v>
      </c>
      <c r="BA678" s="2024">
        <f t="shared" si="614"/>
        <v>0</v>
      </c>
      <c r="BB678" s="2032">
        <f>Q88</f>
        <v>0</v>
      </c>
      <c r="BC678" s="2022">
        <f t="shared" si="615"/>
        <v>0</v>
      </c>
      <c r="BD678" s="2024">
        <f t="shared" si="616"/>
        <v>0</v>
      </c>
      <c r="BE678" s="2033">
        <f t="shared" ref="BE678:BT678" si="648">T88</f>
        <v>0</v>
      </c>
      <c r="BF678" s="2033">
        <f t="shared" si="648"/>
        <v>0</v>
      </c>
      <c r="BG678" s="2033">
        <f t="shared" si="648"/>
        <v>0</v>
      </c>
      <c r="BH678" s="2033">
        <f t="shared" si="648"/>
        <v>0</v>
      </c>
      <c r="BI678" s="2033">
        <f t="shared" si="648"/>
        <v>0</v>
      </c>
      <c r="BJ678" s="2033">
        <f t="shared" si="648"/>
        <v>0</v>
      </c>
      <c r="BK678" s="2033">
        <f t="shared" si="648"/>
        <v>0</v>
      </c>
      <c r="BL678" s="2033">
        <f t="shared" si="648"/>
        <v>0</v>
      </c>
      <c r="BM678" s="2033">
        <f t="shared" si="648"/>
        <v>0</v>
      </c>
      <c r="BN678" s="2033">
        <f t="shared" si="648"/>
        <v>0</v>
      </c>
      <c r="BO678" s="2033">
        <f t="shared" si="648"/>
        <v>0</v>
      </c>
      <c r="BP678" s="2033">
        <f t="shared" si="648"/>
        <v>0</v>
      </c>
      <c r="BQ678" s="2033">
        <f t="shared" si="648"/>
        <v>0</v>
      </c>
      <c r="BR678" s="2033">
        <f t="shared" si="648"/>
        <v>0</v>
      </c>
      <c r="BS678" s="2033">
        <f t="shared" si="648"/>
        <v>0</v>
      </c>
      <c r="BT678" s="2033">
        <f t="shared" si="648"/>
        <v>0</v>
      </c>
      <c r="BU678" s="1970"/>
    </row>
    <row r="679" spans="37:73" s="536" customFormat="1" ht="12.5">
      <c r="AK679" s="1964"/>
      <c r="AL679" s="2084"/>
      <c r="AM679" s="2050" t="s">
        <v>850</v>
      </c>
      <c r="AN679" s="2051">
        <f>AN677-AN678</f>
        <v>0</v>
      </c>
      <c r="AO679" s="2052">
        <f t="shared" si="606"/>
        <v>0</v>
      </c>
      <c r="AP679" s="2053">
        <f>AP677-AP678</f>
        <v>0</v>
      </c>
      <c r="AQ679" s="2054">
        <f t="shared" si="607"/>
        <v>0</v>
      </c>
      <c r="AR679" s="2055">
        <f t="shared" si="608"/>
        <v>0</v>
      </c>
      <c r="AS679" s="2053">
        <f>AS677-AS678</f>
        <v>0</v>
      </c>
      <c r="AT679" s="2054">
        <f t="shared" si="609"/>
        <v>0</v>
      </c>
      <c r="AU679" s="2055">
        <f t="shared" si="610"/>
        <v>0</v>
      </c>
      <c r="AV679" s="2053">
        <f>AV677-AV678</f>
        <v>0</v>
      </c>
      <c r="AW679" s="2054">
        <f t="shared" si="611"/>
        <v>0</v>
      </c>
      <c r="AX679" s="2056">
        <f t="shared" si="612"/>
        <v>0</v>
      </c>
      <c r="AY679" s="2053">
        <f>AY677-AY678</f>
        <v>0</v>
      </c>
      <c r="AZ679" s="2054">
        <f t="shared" si="613"/>
        <v>0</v>
      </c>
      <c r="BA679" s="2056">
        <f t="shared" si="614"/>
        <v>0</v>
      </c>
      <c r="BB679" s="2053">
        <f>BB677-BB678</f>
        <v>0</v>
      </c>
      <c r="BC679" s="2054">
        <f t="shared" si="615"/>
        <v>0</v>
      </c>
      <c r="BD679" s="2056">
        <f t="shared" si="616"/>
        <v>0</v>
      </c>
      <c r="BE679" s="2057">
        <f t="shared" ref="BE679:BT679" si="649">BE677-BE678</f>
        <v>0</v>
      </c>
      <c r="BF679" s="2057">
        <f t="shared" si="649"/>
        <v>0</v>
      </c>
      <c r="BG679" s="2057">
        <f t="shared" si="649"/>
        <v>0</v>
      </c>
      <c r="BH679" s="2057">
        <f t="shared" si="649"/>
        <v>0</v>
      </c>
      <c r="BI679" s="2057">
        <f t="shared" si="649"/>
        <v>0</v>
      </c>
      <c r="BJ679" s="2057">
        <f t="shared" si="649"/>
        <v>0</v>
      </c>
      <c r="BK679" s="2057">
        <f t="shared" si="649"/>
        <v>0</v>
      </c>
      <c r="BL679" s="2057">
        <f t="shared" si="649"/>
        <v>0</v>
      </c>
      <c r="BM679" s="2057">
        <f t="shared" si="649"/>
        <v>0</v>
      </c>
      <c r="BN679" s="2057">
        <f t="shared" si="649"/>
        <v>0</v>
      </c>
      <c r="BO679" s="2057">
        <f t="shared" si="649"/>
        <v>0</v>
      </c>
      <c r="BP679" s="2057">
        <f t="shared" si="649"/>
        <v>0</v>
      </c>
      <c r="BQ679" s="2057">
        <f t="shared" si="649"/>
        <v>0</v>
      </c>
      <c r="BR679" s="2057">
        <f t="shared" si="649"/>
        <v>0</v>
      </c>
      <c r="BS679" s="2057">
        <f t="shared" si="649"/>
        <v>0</v>
      </c>
      <c r="BT679" s="2057">
        <f t="shared" si="649"/>
        <v>0</v>
      </c>
      <c r="BU679" s="1970"/>
    </row>
    <row r="680" spans="37:73" s="536" customFormat="1" ht="12.5">
      <c r="AK680" s="1964"/>
      <c r="AL680" s="2008">
        <f t="shared" ref="AL680:AN682" si="650">A90</f>
        <v>43</v>
      </c>
      <c r="AM680" s="2030" t="str">
        <f t="shared" si="650"/>
        <v>DEPRECIACIÓN</v>
      </c>
      <c r="AN680" s="2096">
        <f t="shared" si="650"/>
        <v>0</v>
      </c>
      <c r="AO680" s="2020">
        <f t="shared" si="606"/>
        <v>0</v>
      </c>
      <c r="AP680" s="2097">
        <f>E90</f>
        <v>0</v>
      </c>
      <c r="AQ680" s="2022">
        <f t="shared" si="607"/>
        <v>0</v>
      </c>
      <c r="AR680" s="2023">
        <f t="shared" si="608"/>
        <v>0</v>
      </c>
      <c r="AS680" s="2097">
        <f>H90</f>
        <v>0</v>
      </c>
      <c r="AT680" s="2022">
        <f t="shared" si="609"/>
        <v>0</v>
      </c>
      <c r="AU680" s="2023">
        <f t="shared" si="610"/>
        <v>0</v>
      </c>
      <c r="AV680" s="2097">
        <f>K90</f>
        <v>0</v>
      </c>
      <c r="AW680" s="2022">
        <f t="shared" si="611"/>
        <v>0</v>
      </c>
      <c r="AX680" s="2024">
        <f t="shared" si="612"/>
        <v>0</v>
      </c>
      <c r="AY680" s="2097">
        <f>N90</f>
        <v>0</v>
      </c>
      <c r="AZ680" s="2022">
        <f t="shared" si="613"/>
        <v>0</v>
      </c>
      <c r="BA680" s="2024">
        <f t="shared" si="614"/>
        <v>0</v>
      </c>
      <c r="BB680" s="2097">
        <f>Q90</f>
        <v>0</v>
      </c>
      <c r="BC680" s="2022">
        <f t="shared" si="615"/>
        <v>0</v>
      </c>
      <c r="BD680" s="2024">
        <f t="shared" si="616"/>
        <v>0</v>
      </c>
      <c r="BE680" s="2098">
        <f t="shared" ref="BE680:BT683" si="651">T90</f>
        <v>0</v>
      </c>
      <c r="BF680" s="2098">
        <f t="shared" si="651"/>
        <v>0</v>
      </c>
      <c r="BG680" s="2098">
        <f t="shared" si="651"/>
        <v>0</v>
      </c>
      <c r="BH680" s="2098">
        <f t="shared" si="651"/>
        <v>0</v>
      </c>
      <c r="BI680" s="2098">
        <f t="shared" si="651"/>
        <v>0</v>
      </c>
      <c r="BJ680" s="2098">
        <f t="shared" si="651"/>
        <v>0</v>
      </c>
      <c r="BK680" s="2098">
        <f t="shared" si="651"/>
        <v>0</v>
      </c>
      <c r="BL680" s="2098">
        <f t="shared" si="651"/>
        <v>0</v>
      </c>
      <c r="BM680" s="2098">
        <f t="shared" si="651"/>
        <v>0</v>
      </c>
      <c r="BN680" s="2098">
        <f t="shared" si="651"/>
        <v>0</v>
      </c>
      <c r="BO680" s="2098">
        <f t="shared" si="651"/>
        <v>0</v>
      </c>
      <c r="BP680" s="2098">
        <f t="shared" si="651"/>
        <v>0</v>
      </c>
      <c r="BQ680" s="2098">
        <f t="shared" si="651"/>
        <v>0</v>
      </c>
      <c r="BR680" s="2098">
        <f t="shared" si="651"/>
        <v>0</v>
      </c>
      <c r="BS680" s="2098">
        <f t="shared" si="651"/>
        <v>0</v>
      </c>
      <c r="BT680" s="2098">
        <f t="shared" si="651"/>
        <v>0</v>
      </c>
      <c r="BU680" s="1970"/>
    </row>
    <row r="681" spans="37:73" s="536" customFormat="1" ht="12.5">
      <c r="AK681" s="1964"/>
      <c r="AL681" s="2017">
        <f t="shared" si="650"/>
        <v>44</v>
      </c>
      <c r="AM681" s="2030" t="str">
        <f t="shared" si="650"/>
        <v>AMORTIZACIÓN INTANGIBLES</v>
      </c>
      <c r="AN681" s="2096">
        <f t="shared" si="650"/>
        <v>0</v>
      </c>
      <c r="AO681" s="2020">
        <f t="shared" si="606"/>
        <v>0</v>
      </c>
      <c r="AP681" s="2097">
        <f>E91</f>
        <v>0</v>
      </c>
      <c r="AQ681" s="2022">
        <f t="shared" si="607"/>
        <v>0</v>
      </c>
      <c r="AR681" s="2023">
        <f t="shared" si="608"/>
        <v>0</v>
      </c>
      <c r="AS681" s="2097">
        <f>H91</f>
        <v>0</v>
      </c>
      <c r="AT681" s="2022">
        <f t="shared" si="609"/>
        <v>0</v>
      </c>
      <c r="AU681" s="2023">
        <f t="shared" si="610"/>
        <v>0</v>
      </c>
      <c r="AV681" s="2097">
        <f>K91</f>
        <v>0</v>
      </c>
      <c r="AW681" s="2022">
        <f t="shared" si="611"/>
        <v>0</v>
      </c>
      <c r="AX681" s="2024">
        <f t="shared" si="612"/>
        <v>0</v>
      </c>
      <c r="AY681" s="2097">
        <f>N91</f>
        <v>0</v>
      </c>
      <c r="AZ681" s="2022">
        <f t="shared" si="613"/>
        <v>0</v>
      </c>
      <c r="BA681" s="2024">
        <f t="shared" si="614"/>
        <v>0</v>
      </c>
      <c r="BB681" s="2097">
        <f>Q91</f>
        <v>0</v>
      </c>
      <c r="BC681" s="2022">
        <f t="shared" si="615"/>
        <v>0</v>
      </c>
      <c r="BD681" s="2024">
        <f t="shared" si="616"/>
        <v>0</v>
      </c>
      <c r="BE681" s="2098">
        <f t="shared" si="651"/>
        <v>0</v>
      </c>
      <c r="BF681" s="2098">
        <f t="shared" si="651"/>
        <v>0</v>
      </c>
      <c r="BG681" s="2098">
        <f t="shared" si="651"/>
        <v>0</v>
      </c>
      <c r="BH681" s="2098">
        <f t="shared" si="651"/>
        <v>0</v>
      </c>
      <c r="BI681" s="2098">
        <f t="shared" si="651"/>
        <v>0</v>
      </c>
      <c r="BJ681" s="2098">
        <f t="shared" si="651"/>
        <v>0</v>
      </c>
      <c r="BK681" s="2098">
        <f t="shared" si="651"/>
        <v>0</v>
      </c>
      <c r="BL681" s="2098">
        <f t="shared" si="651"/>
        <v>0</v>
      </c>
      <c r="BM681" s="2098">
        <f t="shared" si="651"/>
        <v>0</v>
      </c>
      <c r="BN681" s="2098">
        <f t="shared" si="651"/>
        <v>0</v>
      </c>
      <c r="BO681" s="2098">
        <f t="shared" si="651"/>
        <v>0</v>
      </c>
      <c r="BP681" s="2098">
        <f t="shared" si="651"/>
        <v>0</v>
      </c>
      <c r="BQ681" s="2098">
        <f t="shared" si="651"/>
        <v>0</v>
      </c>
      <c r="BR681" s="2098">
        <f t="shared" si="651"/>
        <v>0</v>
      </c>
      <c r="BS681" s="2098">
        <f t="shared" si="651"/>
        <v>0</v>
      </c>
      <c r="BT681" s="2098">
        <f t="shared" si="651"/>
        <v>0</v>
      </c>
      <c r="BU681" s="1970"/>
    </row>
    <row r="682" spans="37:73" s="536" customFormat="1" ht="12.5">
      <c r="AK682" s="1964"/>
      <c r="AL682" s="2103">
        <f t="shared" si="650"/>
        <v>45</v>
      </c>
      <c r="AM682" s="2104" t="str">
        <f t="shared" si="650"/>
        <v>AMORTIZACIÓN DIFERIDOS</v>
      </c>
      <c r="AN682" s="2105">
        <f t="shared" si="650"/>
        <v>0</v>
      </c>
      <c r="AO682" s="2106">
        <f t="shared" si="606"/>
        <v>0</v>
      </c>
      <c r="AP682" s="2107">
        <f>E92</f>
        <v>0</v>
      </c>
      <c r="AQ682" s="2108">
        <f t="shared" si="607"/>
        <v>0</v>
      </c>
      <c r="AR682" s="2109">
        <f t="shared" si="608"/>
        <v>0</v>
      </c>
      <c r="AS682" s="2107">
        <f>H92</f>
        <v>0</v>
      </c>
      <c r="AT682" s="2108">
        <f t="shared" si="609"/>
        <v>0</v>
      </c>
      <c r="AU682" s="2109">
        <f t="shared" si="610"/>
        <v>0</v>
      </c>
      <c r="AV682" s="2107">
        <f>K92</f>
        <v>0</v>
      </c>
      <c r="AW682" s="2108">
        <f t="shared" si="611"/>
        <v>0</v>
      </c>
      <c r="AX682" s="2110">
        <f t="shared" si="612"/>
        <v>0</v>
      </c>
      <c r="AY682" s="2107">
        <f>N92</f>
        <v>0</v>
      </c>
      <c r="AZ682" s="2108">
        <f t="shared" si="613"/>
        <v>0</v>
      </c>
      <c r="BA682" s="2110">
        <f t="shared" si="614"/>
        <v>0</v>
      </c>
      <c r="BB682" s="2107">
        <f>Q92</f>
        <v>0</v>
      </c>
      <c r="BC682" s="2108">
        <f t="shared" si="615"/>
        <v>0</v>
      </c>
      <c r="BD682" s="2110">
        <f t="shared" si="616"/>
        <v>0</v>
      </c>
      <c r="BE682" s="2111">
        <f t="shared" si="651"/>
        <v>0</v>
      </c>
      <c r="BF682" s="2111">
        <f t="shared" si="651"/>
        <v>0</v>
      </c>
      <c r="BG682" s="2111">
        <f t="shared" si="651"/>
        <v>0</v>
      </c>
      <c r="BH682" s="2111">
        <f t="shared" si="651"/>
        <v>0</v>
      </c>
      <c r="BI682" s="2111">
        <f t="shared" si="651"/>
        <v>0</v>
      </c>
      <c r="BJ682" s="2111">
        <f t="shared" si="651"/>
        <v>0</v>
      </c>
      <c r="BK682" s="2111">
        <f t="shared" si="651"/>
        <v>0</v>
      </c>
      <c r="BL682" s="2111">
        <f t="shared" si="651"/>
        <v>0</v>
      </c>
      <c r="BM682" s="2111">
        <f t="shared" si="651"/>
        <v>0</v>
      </c>
      <c r="BN682" s="2111">
        <f t="shared" si="651"/>
        <v>0</v>
      </c>
      <c r="BO682" s="2111">
        <f t="shared" si="651"/>
        <v>0</v>
      </c>
      <c r="BP682" s="2111">
        <f t="shared" si="651"/>
        <v>0</v>
      </c>
      <c r="BQ682" s="2111">
        <f t="shared" si="651"/>
        <v>0</v>
      </c>
      <c r="BR682" s="2111">
        <f t="shared" si="651"/>
        <v>0</v>
      </c>
      <c r="BS682" s="2111">
        <f t="shared" si="651"/>
        <v>0</v>
      </c>
      <c r="BT682" s="2111">
        <f t="shared" si="651"/>
        <v>0</v>
      </c>
      <c r="BU682" s="1970"/>
    </row>
    <row r="683" spans="37:73" s="536" customFormat="1" ht="12.5">
      <c r="AK683" s="1964"/>
      <c r="AL683" s="2112">
        <v>46</v>
      </c>
      <c r="AM683" s="2059" t="s">
        <v>881</v>
      </c>
      <c r="AN683" s="2113">
        <f>C93</f>
        <v>0</v>
      </c>
      <c r="AO683" s="2061">
        <f t="shared" si="606"/>
        <v>0</v>
      </c>
      <c r="AP683" s="2114">
        <f>E93</f>
        <v>0</v>
      </c>
      <c r="AQ683" s="2063">
        <f t="shared" si="607"/>
        <v>0</v>
      </c>
      <c r="AR683" s="2064">
        <f t="shared" si="608"/>
        <v>0</v>
      </c>
      <c r="AS683" s="2114">
        <f>H93</f>
        <v>0</v>
      </c>
      <c r="AT683" s="2063">
        <f t="shared" si="609"/>
        <v>0</v>
      </c>
      <c r="AU683" s="2064">
        <f t="shared" si="610"/>
        <v>0</v>
      </c>
      <c r="AV683" s="2114">
        <f>K93</f>
        <v>0</v>
      </c>
      <c r="AW683" s="2063">
        <f t="shared" si="611"/>
        <v>0</v>
      </c>
      <c r="AX683" s="2065">
        <f t="shared" si="612"/>
        <v>0</v>
      </c>
      <c r="AY683" s="2114">
        <f>N93</f>
        <v>0</v>
      </c>
      <c r="AZ683" s="2063">
        <f t="shared" si="613"/>
        <v>0</v>
      </c>
      <c r="BA683" s="2065">
        <f t="shared" si="614"/>
        <v>0</v>
      </c>
      <c r="BB683" s="2114">
        <f>Q93</f>
        <v>0</v>
      </c>
      <c r="BC683" s="2063">
        <f t="shared" si="615"/>
        <v>0</v>
      </c>
      <c r="BD683" s="2065">
        <f t="shared" si="616"/>
        <v>0</v>
      </c>
      <c r="BE683" s="2115">
        <f t="shared" si="651"/>
        <v>0</v>
      </c>
      <c r="BF683" s="2115">
        <f t="shared" si="651"/>
        <v>0</v>
      </c>
      <c r="BG683" s="2115">
        <f t="shared" si="651"/>
        <v>0</v>
      </c>
      <c r="BH683" s="2115">
        <f t="shared" si="651"/>
        <v>0</v>
      </c>
      <c r="BI683" s="2115">
        <f t="shared" si="651"/>
        <v>0</v>
      </c>
      <c r="BJ683" s="2115">
        <f t="shared" si="651"/>
        <v>0</v>
      </c>
      <c r="BK683" s="2115">
        <f t="shared" si="651"/>
        <v>0</v>
      </c>
      <c r="BL683" s="2115">
        <f t="shared" si="651"/>
        <v>0</v>
      </c>
      <c r="BM683" s="2115">
        <f t="shared" si="651"/>
        <v>0</v>
      </c>
      <c r="BN683" s="2115">
        <f t="shared" si="651"/>
        <v>0</v>
      </c>
      <c r="BO683" s="2115">
        <f t="shared" si="651"/>
        <v>0</v>
      </c>
      <c r="BP683" s="2115">
        <f t="shared" si="651"/>
        <v>0</v>
      </c>
      <c r="BQ683" s="2115">
        <f t="shared" si="651"/>
        <v>0</v>
      </c>
      <c r="BR683" s="2115">
        <f t="shared" si="651"/>
        <v>0</v>
      </c>
      <c r="BS683" s="2115">
        <f t="shared" si="651"/>
        <v>0</v>
      </c>
      <c r="BT683" s="2115">
        <f t="shared" si="651"/>
        <v>0</v>
      </c>
      <c r="BU683" s="1970"/>
    </row>
    <row r="684" spans="37:73" s="536" customFormat="1">
      <c r="AK684" s="1964"/>
      <c r="AL684" s="1965"/>
      <c r="AM684" s="2116" t="s">
        <v>1417</v>
      </c>
      <c r="AN684" s="2117"/>
      <c r="AO684" s="533"/>
      <c r="AP684" s="2118">
        <f>(AP602+AP603)-(AN602+AN603)+E90-(C114-C115)</f>
        <v>0</v>
      </c>
      <c r="AQ684" s="533"/>
      <c r="AR684" s="533"/>
      <c r="AS684" s="2118">
        <f>(AS602+AS603)-(AP602+AP603)+H90-(E114-E115)</f>
        <v>0</v>
      </c>
      <c r="AT684" s="1967"/>
      <c r="AU684" s="1967"/>
      <c r="AV684" s="2118">
        <f>(AV602+AV603)-(AS602+AS603)+K90-(H114-H115)</f>
        <v>0</v>
      </c>
      <c r="AW684" s="533"/>
      <c r="AX684" s="1969"/>
      <c r="AY684" s="2118">
        <f>(AY602+AY603)-(AS602+AS603)+N90-(H114-H115)</f>
        <v>0</v>
      </c>
      <c r="AZ684" s="533"/>
      <c r="BA684" s="1969"/>
      <c r="BB684" s="2118">
        <f>IF(OR($C$3=$L$913,$C$3=0),(BB602+BB603)-(AY602+AY603)+Q90-(N114-N115),(BB602+BB603)-(AV602+AV603)+Q90-(K114-K115))</f>
        <v>0</v>
      </c>
      <c r="BC684" s="533"/>
      <c r="BD684" s="1969"/>
      <c r="BE684" s="2119">
        <f>(BE602+BE603)-(AY602+AY603)+T90-(N114-N115)</f>
        <v>0</v>
      </c>
      <c r="BF684" s="2119">
        <f t="shared" ref="BF684:BT684" si="652">(BF602+BF603)-(BE602+BE603)+U90-(T114-T115)</f>
        <v>0</v>
      </c>
      <c r="BG684" s="2119">
        <f t="shared" si="652"/>
        <v>0</v>
      </c>
      <c r="BH684" s="2119">
        <f t="shared" si="652"/>
        <v>0</v>
      </c>
      <c r="BI684" s="2119">
        <f t="shared" si="652"/>
        <v>0</v>
      </c>
      <c r="BJ684" s="2119">
        <f t="shared" si="652"/>
        <v>0</v>
      </c>
      <c r="BK684" s="2119">
        <f t="shared" si="652"/>
        <v>0</v>
      </c>
      <c r="BL684" s="2119">
        <f t="shared" si="652"/>
        <v>0</v>
      </c>
      <c r="BM684" s="2119">
        <f t="shared" si="652"/>
        <v>0</v>
      </c>
      <c r="BN684" s="2119">
        <f t="shared" si="652"/>
        <v>0</v>
      </c>
      <c r="BO684" s="2119">
        <f t="shared" si="652"/>
        <v>0</v>
      </c>
      <c r="BP684" s="2119">
        <f t="shared" si="652"/>
        <v>0</v>
      </c>
      <c r="BQ684" s="2119">
        <f t="shared" si="652"/>
        <v>0</v>
      </c>
      <c r="BR684" s="2119">
        <f t="shared" si="652"/>
        <v>0</v>
      </c>
      <c r="BS684" s="2119">
        <f t="shared" si="652"/>
        <v>0</v>
      </c>
      <c r="BT684" s="2119">
        <f t="shared" si="652"/>
        <v>0</v>
      </c>
      <c r="BU684" s="1970"/>
    </row>
    <row r="685" spans="37:73" s="536" customFormat="1">
      <c r="AK685" s="1964"/>
      <c r="AL685" s="1965"/>
      <c r="AM685" s="2116" t="s">
        <v>1131</v>
      </c>
      <c r="AN685" s="2117"/>
      <c r="AO685" s="533"/>
      <c r="AP685" s="2118">
        <f>AP602-AN602-(C114-C115)</f>
        <v>0</v>
      </c>
      <c r="AQ685" s="533"/>
      <c r="AR685" s="533"/>
      <c r="AS685" s="2118">
        <f>AS602-AP602-(E114-E115)</f>
        <v>0</v>
      </c>
      <c r="AT685" s="1967"/>
      <c r="AU685" s="1967"/>
      <c r="AV685" s="2118">
        <f>AV602-AS602-(H114-H115)</f>
        <v>0</v>
      </c>
      <c r="AW685" s="533"/>
      <c r="AX685" s="1969"/>
      <c r="AY685" s="2118">
        <f>AY602-AS602-(H114-H115)</f>
        <v>0</v>
      </c>
      <c r="AZ685" s="533"/>
      <c r="BA685" s="1969"/>
      <c r="BB685" s="2118">
        <f>IF(OR($C$3=$L$913,$C$3=0),BB602-AY602-(N114-N115),BB602-AV602-(K114-K115))</f>
        <v>0</v>
      </c>
      <c r="BC685" s="533"/>
      <c r="BD685" s="1969"/>
      <c r="BE685" s="2119">
        <f>BE602-AY602-(N114-N115)</f>
        <v>0</v>
      </c>
      <c r="BF685" s="2119">
        <f t="shared" ref="BF685:BT685" si="653">BF602-BE602-(T114-T115)</f>
        <v>0</v>
      </c>
      <c r="BG685" s="2119">
        <f t="shared" si="653"/>
        <v>0</v>
      </c>
      <c r="BH685" s="2119">
        <f t="shared" si="653"/>
        <v>0</v>
      </c>
      <c r="BI685" s="2119">
        <f t="shared" si="653"/>
        <v>0</v>
      </c>
      <c r="BJ685" s="2119">
        <f t="shared" si="653"/>
        <v>0</v>
      </c>
      <c r="BK685" s="2119">
        <f t="shared" si="653"/>
        <v>0</v>
      </c>
      <c r="BL685" s="2119">
        <f t="shared" si="653"/>
        <v>0</v>
      </c>
      <c r="BM685" s="2119">
        <f t="shared" si="653"/>
        <v>0</v>
      </c>
      <c r="BN685" s="2119">
        <f t="shared" si="653"/>
        <v>0</v>
      </c>
      <c r="BO685" s="2119">
        <f t="shared" si="653"/>
        <v>0</v>
      </c>
      <c r="BP685" s="2119">
        <f t="shared" si="653"/>
        <v>0</v>
      </c>
      <c r="BQ685" s="2119">
        <f t="shared" si="653"/>
        <v>0</v>
      </c>
      <c r="BR685" s="2119">
        <f t="shared" si="653"/>
        <v>0</v>
      </c>
      <c r="BS685" s="2119">
        <f t="shared" si="653"/>
        <v>0</v>
      </c>
      <c r="BT685" s="2119">
        <f t="shared" si="653"/>
        <v>0</v>
      </c>
      <c r="BU685" s="1970"/>
    </row>
    <row r="686" spans="37:73" s="536" customFormat="1">
      <c r="AK686" s="1964"/>
      <c r="AL686" s="1965"/>
      <c r="AM686" s="2120" t="s">
        <v>1246</v>
      </c>
      <c r="AN686" s="2121"/>
      <c r="AO686" s="533"/>
      <c r="AP686" s="2122"/>
      <c r="AQ686" s="533"/>
      <c r="AR686" s="533"/>
      <c r="AS686" s="2122"/>
      <c r="AT686" s="1967"/>
      <c r="AU686" s="1967"/>
      <c r="AV686" s="2122"/>
      <c r="AW686" s="533"/>
      <c r="AX686" s="1969"/>
      <c r="AY686" s="2122"/>
      <c r="AZ686" s="533"/>
      <c r="BA686" s="1969"/>
      <c r="BB686" s="2122"/>
      <c r="BC686" s="533"/>
      <c r="BD686" s="1969"/>
      <c r="BE686" s="2123"/>
      <c r="BF686" s="2123"/>
      <c r="BG686" s="2123"/>
      <c r="BH686" s="2123"/>
      <c r="BI686" s="2123"/>
      <c r="BJ686" s="2123"/>
      <c r="BK686" s="2123"/>
      <c r="BL686" s="2123"/>
      <c r="BM686" s="2123"/>
      <c r="BN686" s="2123"/>
      <c r="BO686" s="2123"/>
      <c r="BP686" s="531"/>
      <c r="BQ686" s="2124"/>
      <c r="BU686" s="1970"/>
    </row>
    <row r="687" spans="37:73" s="536" customFormat="1">
      <c r="AK687" s="1964"/>
      <c r="AL687" s="1965"/>
      <c r="AM687" s="2125" t="s">
        <v>1418</v>
      </c>
      <c r="AN687" s="2121"/>
      <c r="AO687" s="533"/>
      <c r="AP687" s="2122"/>
      <c r="AQ687" s="533"/>
      <c r="AR687" s="533"/>
      <c r="AS687" s="2122"/>
      <c r="AT687" s="1967"/>
      <c r="AU687" s="1967"/>
      <c r="AV687" s="2122"/>
      <c r="AW687" s="533"/>
      <c r="AX687" s="1969"/>
      <c r="AY687" s="2122"/>
      <c r="AZ687" s="533"/>
      <c r="BA687" s="1969"/>
      <c r="BB687" s="2122"/>
      <c r="BC687" s="533"/>
      <c r="BD687" s="1969"/>
      <c r="BE687" s="2123"/>
      <c r="BF687" s="2123"/>
      <c r="BG687" s="2123"/>
      <c r="BH687" s="2123"/>
      <c r="BI687" s="2123"/>
      <c r="BJ687" s="2123"/>
      <c r="BK687" s="2123"/>
      <c r="BL687" s="2123"/>
      <c r="BM687" s="2123"/>
      <c r="BN687" s="2123"/>
      <c r="BO687" s="2123"/>
      <c r="BP687" s="531"/>
      <c r="BQ687" s="535"/>
      <c r="BU687" s="1970"/>
    </row>
    <row r="688" spans="37:73" s="536" customFormat="1">
      <c r="AK688" s="1964"/>
      <c r="AL688" s="1965"/>
      <c r="AM688" s="2126"/>
      <c r="AN688" s="2121"/>
      <c r="AO688" s="533"/>
      <c r="AP688" s="2122"/>
      <c r="AQ688" s="533"/>
      <c r="AR688" s="533"/>
      <c r="AS688" s="2122"/>
      <c r="AT688" s="1967"/>
      <c r="AU688" s="1967"/>
      <c r="AV688" s="2122"/>
      <c r="AW688" s="533"/>
      <c r="AX688" s="1969"/>
      <c r="AY688" s="2122"/>
      <c r="AZ688" s="533"/>
      <c r="BA688" s="1969"/>
      <c r="BB688" s="2122"/>
      <c r="BC688" s="533"/>
      <c r="BD688" s="1969"/>
      <c r="BE688" s="2123"/>
      <c r="BF688" s="2123"/>
      <c r="BG688" s="2123"/>
      <c r="BH688" s="2123"/>
      <c r="BI688" s="2123"/>
      <c r="BJ688" s="2123"/>
      <c r="BK688" s="2123"/>
      <c r="BL688" s="2123"/>
      <c r="BM688" s="2123"/>
      <c r="BN688" s="2123"/>
      <c r="BO688" s="2123"/>
      <c r="BP688" s="531"/>
      <c r="BQ688" s="535"/>
      <c r="BU688" s="1970"/>
    </row>
    <row r="689" spans="37:73" s="536" customFormat="1">
      <c r="AK689" s="1964"/>
      <c r="AL689" s="1965"/>
      <c r="AM689" s="1966"/>
      <c r="AN689" s="2121"/>
      <c r="AO689" s="533"/>
      <c r="AP689" s="2127"/>
      <c r="AQ689" s="533"/>
      <c r="AR689" s="533"/>
      <c r="AS689" s="2121"/>
      <c r="AT689" s="1967"/>
      <c r="AU689" s="1967"/>
      <c r="AV689" s="2121"/>
      <c r="AW689" s="533"/>
      <c r="AX689" s="1969"/>
      <c r="AY689" s="2121"/>
      <c r="AZ689" s="533"/>
      <c r="BA689" s="1969"/>
      <c r="BB689" s="2121"/>
      <c r="BC689" s="533"/>
      <c r="BD689" s="1969"/>
      <c r="BE689" s="2121"/>
      <c r="BF689" s="2121"/>
      <c r="BG689" s="2128"/>
      <c r="BH689" s="2128"/>
      <c r="BI689" s="2128"/>
      <c r="BJ689" s="2128"/>
      <c r="BK689" s="2128"/>
      <c r="BL689" s="2128"/>
      <c r="BM689" s="2128"/>
      <c r="BN689" s="2128"/>
      <c r="BO689" s="2128"/>
      <c r="BP689" s="531"/>
      <c r="BQ689" s="535"/>
      <c r="BU689" s="1970"/>
    </row>
    <row r="690" spans="37:73" s="536" customFormat="1">
      <c r="AK690" s="1964"/>
      <c r="AL690" s="1965"/>
      <c r="AM690" s="1966"/>
      <c r="AN690" s="2121"/>
      <c r="AO690" s="533"/>
      <c r="AP690" s="2121"/>
      <c r="AQ690" s="533"/>
      <c r="AR690" s="533"/>
      <c r="AS690" s="2121"/>
      <c r="AT690" s="1967"/>
      <c r="AU690" s="1967"/>
      <c r="AV690" s="2121"/>
      <c r="AW690" s="533"/>
      <c r="AX690" s="1969"/>
      <c r="AY690" s="2121"/>
      <c r="AZ690" s="533"/>
      <c r="BA690" s="1969"/>
      <c r="BB690" s="2121"/>
      <c r="BC690" s="533"/>
      <c r="BD690" s="1969"/>
      <c r="BE690" s="2121"/>
      <c r="BF690" s="2121"/>
      <c r="BG690" s="2128"/>
      <c r="BH690" s="2128"/>
      <c r="BI690" s="2128"/>
      <c r="BJ690" s="2128"/>
      <c r="BK690" s="2128"/>
      <c r="BL690" s="2128"/>
      <c r="BM690" s="2128"/>
      <c r="BN690" s="2128"/>
      <c r="BO690" s="2128"/>
      <c r="BP690" s="531"/>
      <c r="BQ690" s="535"/>
      <c r="BU690" s="1970"/>
    </row>
    <row r="691" spans="37:73" s="536" customFormat="1">
      <c r="AK691" s="1964"/>
      <c r="AL691" s="1965"/>
      <c r="AM691" s="1966"/>
      <c r="AN691" s="2121"/>
      <c r="AO691" s="533"/>
      <c r="AP691" s="2121"/>
      <c r="AQ691" s="533"/>
      <c r="AR691" s="533"/>
      <c r="AS691" s="2121"/>
      <c r="AT691" s="1967"/>
      <c r="AU691" s="1967"/>
      <c r="AV691" s="2121"/>
      <c r="AW691" s="533"/>
      <c r="AX691" s="1969"/>
      <c r="AY691" s="2121"/>
      <c r="AZ691" s="533"/>
      <c r="BA691" s="1969"/>
      <c r="BB691" s="2121"/>
      <c r="BC691" s="533"/>
      <c r="BD691" s="1969"/>
      <c r="BE691" s="2121"/>
      <c r="BF691" s="2121"/>
      <c r="BG691" s="2128"/>
      <c r="BH691" s="2128"/>
      <c r="BI691" s="2128"/>
      <c r="BJ691" s="2128"/>
      <c r="BK691" s="2128"/>
      <c r="BL691" s="2128"/>
      <c r="BM691" s="2128"/>
      <c r="BN691" s="2128"/>
      <c r="BO691" s="2128"/>
      <c r="BP691" s="531"/>
      <c r="BQ691" s="535"/>
      <c r="BU691" s="1970"/>
    </row>
    <row r="692" spans="37:73" s="536" customFormat="1" ht="14">
      <c r="AK692" s="1964"/>
      <c r="AL692" s="1965"/>
      <c r="AM692" s="1977" t="str">
        <f>"DATOS FINANCIEROS SOBRESALIENTES E INDICADORES"&amp;IF($R$956&lt;&gt;$E$913," - CORTE "&amp;Q16,0)</f>
        <v>DATOS FINANCIEROS SOBRESALIENTES E INDICADORES0</v>
      </c>
      <c r="AN692" s="2129"/>
      <c r="AO692" s="533"/>
      <c r="AP692" s="2129"/>
      <c r="AQ692" s="533"/>
      <c r="AR692" s="533"/>
      <c r="AS692" s="2129"/>
      <c r="AT692" s="1967"/>
      <c r="AU692" s="1967"/>
      <c r="AV692" s="2129"/>
      <c r="AW692" s="533"/>
      <c r="AX692" s="1969"/>
      <c r="AY692" s="2129"/>
      <c r="AZ692" s="533"/>
      <c r="BA692" s="1969"/>
      <c r="BB692" s="2129"/>
      <c r="BC692" s="533"/>
      <c r="BD692" s="1969"/>
      <c r="BE692" s="2129"/>
      <c r="BF692" s="2129"/>
      <c r="BG692" s="2130"/>
      <c r="BH692" s="2130"/>
      <c r="BI692" s="2130"/>
      <c r="BJ692" s="2130"/>
      <c r="BK692" s="2130"/>
      <c r="BL692" s="2130"/>
      <c r="BM692" s="2130"/>
      <c r="BN692" s="2130"/>
      <c r="BO692" s="2130"/>
      <c r="BP692" s="531"/>
      <c r="BQ692" s="535"/>
      <c r="BU692" s="1970"/>
    </row>
    <row r="693" spans="37:73" s="536" customFormat="1" ht="14">
      <c r="AK693" s="1964"/>
      <c r="AL693" s="1965"/>
      <c r="AM693" s="2131" t="str">
        <f>AM582</f>
        <v/>
      </c>
      <c r="AN693" s="2129"/>
      <c r="AO693" s="533"/>
      <c r="AP693" s="2129"/>
      <c r="AQ693" s="533"/>
      <c r="AR693" s="533"/>
      <c r="AS693" s="2129"/>
      <c r="AT693" s="1967"/>
      <c r="AU693" s="1967"/>
      <c r="AV693" s="2129"/>
      <c r="AW693" s="533"/>
      <c r="AX693" s="1969"/>
      <c r="AY693" s="2129"/>
      <c r="AZ693" s="533"/>
      <c r="BA693" s="1969"/>
      <c r="BB693" s="2129"/>
      <c r="BC693" s="533"/>
      <c r="BD693" s="1969"/>
      <c r="BE693" s="2129" t="str">
        <f>IF($W$241="SI","ESCENARIO "&amp;$V$242,0)</f>
        <v>ESCENARIO BASE</v>
      </c>
      <c r="BF693" s="2129"/>
      <c r="BG693" s="2130"/>
      <c r="BH693" s="2130"/>
      <c r="BI693" s="2130"/>
      <c r="BJ693" s="2130"/>
      <c r="BK693" s="2130"/>
      <c r="BL693" s="2130"/>
      <c r="BM693" s="2130"/>
      <c r="BN693" s="2130"/>
      <c r="BO693" s="2130"/>
      <c r="BP693" s="531"/>
      <c r="BQ693" s="535"/>
      <c r="BU693" s="1970"/>
    </row>
    <row r="694" spans="37:73" s="536" customFormat="1">
      <c r="AK694" s="1964"/>
      <c r="AL694" s="1965"/>
      <c r="AM694" s="2126" t="str">
        <f>C13</f>
        <v xml:space="preserve">Miles de </v>
      </c>
      <c r="AN694" s="2132"/>
      <c r="AO694" s="533"/>
      <c r="AP694" s="2133"/>
      <c r="AQ694" s="533"/>
      <c r="AR694" s="533"/>
      <c r="AS694" s="2133"/>
      <c r="AT694" s="1967"/>
      <c r="AU694" s="1967"/>
      <c r="AV694" s="2129"/>
      <c r="AW694" s="533"/>
      <c r="AX694" s="1969"/>
      <c r="AY694" s="2129"/>
      <c r="AZ694" s="533"/>
      <c r="BA694" s="1969"/>
      <c r="BB694" s="2129"/>
      <c r="BC694" s="533"/>
      <c r="BD694" s="1969"/>
      <c r="BE694" s="2129"/>
      <c r="BF694" s="2129"/>
      <c r="BG694" s="2130"/>
      <c r="BH694" s="2130"/>
      <c r="BI694" s="2130"/>
      <c r="BJ694" s="2130"/>
      <c r="BK694" s="2130"/>
      <c r="BL694" s="2130"/>
      <c r="BM694" s="2130"/>
      <c r="BN694" s="2130"/>
      <c r="BO694" s="2130"/>
      <c r="BP694" s="531"/>
      <c r="BQ694" s="696"/>
      <c r="BU694" s="1970"/>
    </row>
    <row r="695" spans="37:73" s="536" customFormat="1">
      <c r="AK695" s="1964"/>
      <c r="AL695" s="1965"/>
      <c r="AM695" s="2134">
        <f ca="1">NOW()</f>
        <v>45203.393931018516</v>
      </c>
      <c r="AN695" s="2135"/>
      <c r="AO695" s="533"/>
      <c r="AP695" s="2133"/>
      <c r="AQ695" s="533"/>
      <c r="AR695" s="533"/>
      <c r="AS695" s="2133"/>
      <c r="AT695" s="1967"/>
      <c r="AU695" s="1967"/>
      <c r="AV695" s="2129"/>
      <c r="AW695" s="533"/>
      <c r="AX695" s="1969"/>
      <c r="AY695" s="2129"/>
      <c r="AZ695" s="533"/>
      <c r="BA695" s="1969"/>
      <c r="BB695" s="2129"/>
      <c r="BC695" s="533"/>
      <c r="BD695" s="1969"/>
      <c r="BE695" s="1988" t="s">
        <v>1044</v>
      </c>
      <c r="BF695" s="1988" t="s">
        <v>1044</v>
      </c>
      <c r="BG695" s="1988" t="s">
        <v>1044</v>
      </c>
      <c r="BH695" s="1988" t="s">
        <v>1044</v>
      </c>
      <c r="BI695" s="1988" t="s">
        <v>1044</v>
      </c>
      <c r="BJ695" s="1988" t="s">
        <v>1044</v>
      </c>
      <c r="BK695" s="1988" t="s">
        <v>1044</v>
      </c>
      <c r="BL695" s="1988" t="s">
        <v>1044</v>
      </c>
      <c r="BM695" s="1988" t="s">
        <v>1044</v>
      </c>
      <c r="BN695" s="1988" t="s">
        <v>1044</v>
      </c>
      <c r="BO695" s="1988" t="s">
        <v>1044</v>
      </c>
      <c r="BP695" s="1988" t="s">
        <v>1044</v>
      </c>
      <c r="BQ695" s="1988" t="s">
        <v>1044</v>
      </c>
      <c r="BR695" s="1988" t="s">
        <v>1044</v>
      </c>
      <c r="BS695" s="1988" t="s">
        <v>1044</v>
      </c>
      <c r="BT695" s="1988" t="s">
        <v>1044</v>
      </c>
      <c r="BU695" s="1970"/>
    </row>
    <row r="696" spans="37:73" s="536" customFormat="1">
      <c r="AK696" s="1964"/>
      <c r="AL696" s="1965"/>
      <c r="AM696" s="2136" t="s">
        <v>1419</v>
      </c>
      <c r="AN696" s="2137">
        <f>AN583</f>
        <v>2016</v>
      </c>
      <c r="AO696" s="533"/>
      <c r="AP696" s="2138">
        <f>AP583</f>
        <v>2017</v>
      </c>
      <c r="AQ696" s="1969"/>
      <c r="AR696" s="533"/>
      <c r="AS696" s="2138">
        <f>AS583</f>
        <v>2018</v>
      </c>
      <c r="AT696" s="1967"/>
      <c r="AU696" s="1967"/>
      <c r="AV696" s="2138">
        <f>AV583</f>
        <v>2019</v>
      </c>
      <c r="AW696" s="533"/>
      <c r="AX696" s="1969"/>
      <c r="AY696" s="2138">
        <f>AY583</f>
        <v>2019</v>
      </c>
      <c r="AZ696" s="533"/>
      <c r="BA696" s="1969"/>
      <c r="BB696" s="2138" t="str">
        <f>BB583</f>
        <v>2020</v>
      </c>
      <c r="BC696" s="533"/>
      <c r="BD696" s="1969"/>
      <c r="BE696" s="2138">
        <f t="shared" ref="BE696:BT696" si="654">BE583</f>
        <v>2020</v>
      </c>
      <c r="BF696" s="2138">
        <f t="shared" si="654"/>
        <v>2021</v>
      </c>
      <c r="BG696" s="2138">
        <f t="shared" si="654"/>
        <v>2022</v>
      </c>
      <c r="BH696" s="2138">
        <f t="shared" si="654"/>
        <v>2023</v>
      </c>
      <c r="BI696" s="2138">
        <f t="shared" si="654"/>
        <v>2024</v>
      </c>
      <c r="BJ696" s="2138">
        <f t="shared" si="654"/>
        <v>2025</v>
      </c>
      <c r="BK696" s="2138">
        <f t="shared" si="654"/>
        <v>2026</v>
      </c>
      <c r="BL696" s="2138">
        <f t="shared" si="654"/>
        <v>2027</v>
      </c>
      <c r="BM696" s="2138">
        <f t="shared" si="654"/>
        <v>2028</v>
      </c>
      <c r="BN696" s="2138">
        <f t="shared" si="654"/>
        <v>2029</v>
      </c>
      <c r="BO696" s="2138">
        <f t="shared" si="654"/>
        <v>2030</v>
      </c>
      <c r="BP696" s="2138">
        <f t="shared" si="654"/>
        <v>2031</v>
      </c>
      <c r="BQ696" s="2138">
        <f t="shared" si="654"/>
        <v>2032</v>
      </c>
      <c r="BR696" s="2138">
        <f t="shared" si="654"/>
        <v>2033</v>
      </c>
      <c r="BS696" s="2138">
        <f t="shared" si="654"/>
        <v>2034</v>
      </c>
      <c r="BT696" s="2138">
        <f t="shared" si="654"/>
        <v>2035</v>
      </c>
      <c r="BU696" s="1970"/>
    </row>
    <row r="697" spans="37:73" s="536" customFormat="1" ht="14">
      <c r="AK697" s="1964"/>
      <c r="AL697" s="1965"/>
      <c r="AM697" s="2136" t="s">
        <v>871</v>
      </c>
      <c r="AN697" s="2137">
        <f>AN584</f>
        <v>360</v>
      </c>
      <c r="AO697" s="533"/>
      <c r="AP697" s="2138">
        <f>AP584</f>
        <v>360</v>
      </c>
      <c r="AQ697" s="1969"/>
      <c r="AR697" s="533"/>
      <c r="AS697" s="2138">
        <f>AS584</f>
        <v>360</v>
      </c>
      <c r="AT697" s="1967"/>
      <c r="AU697" s="1967"/>
      <c r="AV697" s="2139">
        <f>AV584</f>
        <v>180</v>
      </c>
      <c r="AW697" s="533"/>
      <c r="AX697" s="1969"/>
      <c r="AY697" s="2138">
        <f>AY584</f>
        <v>360</v>
      </c>
      <c r="AZ697" s="533"/>
      <c r="BA697" s="1969"/>
      <c r="BB697" s="2139">
        <f>BB584</f>
        <v>360</v>
      </c>
      <c r="BC697" s="533"/>
      <c r="BD697" s="1969"/>
      <c r="BE697" s="2138">
        <f t="shared" ref="BE697:BT697" si="655">BE584</f>
        <v>360</v>
      </c>
      <c r="BF697" s="2138">
        <f t="shared" si="655"/>
        <v>360</v>
      </c>
      <c r="BG697" s="2138">
        <f t="shared" si="655"/>
        <v>360</v>
      </c>
      <c r="BH697" s="2138">
        <f t="shared" si="655"/>
        <v>360</v>
      </c>
      <c r="BI697" s="2138">
        <f t="shared" si="655"/>
        <v>360</v>
      </c>
      <c r="BJ697" s="2138">
        <f t="shared" si="655"/>
        <v>360</v>
      </c>
      <c r="BK697" s="2138">
        <f t="shared" si="655"/>
        <v>360</v>
      </c>
      <c r="BL697" s="2138">
        <f t="shared" si="655"/>
        <v>360</v>
      </c>
      <c r="BM697" s="2138">
        <f t="shared" si="655"/>
        <v>360</v>
      </c>
      <c r="BN697" s="2138">
        <f t="shared" si="655"/>
        <v>360</v>
      </c>
      <c r="BO697" s="2138">
        <f t="shared" si="655"/>
        <v>360</v>
      </c>
      <c r="BP697" s="2138">
        <f t="shared" si="655"/>
        <v>360</v>
      </c>
      <c r="BQ697" s="2138">
        <f t="shared" si="655"/>
        <v>360</v>
      </c>
      <c r="BR697" s="2138">
        <f t="shared" si="655"/>
        <v>360</v>
      </c>
      <c r="BS697" s="2138">
        <f t="shared" si="655"/>
        <v>360</v>
      </c>
      <c r="BT697" s="2138">
        <f t="shared" si="655"/>
        <v>360</v>
      </c>
      <c r="BU697" s="1970"/>
    </row>
    <row r="698" spans="37:73" s="536" customFormat="1" ht="12.5">
      <c r="AK698" s="1964"/>
      <c r="AL698" s="2140">
        <v>1</v>
      </c>
      <c r="AM698" s="2141" t="s">
        <v>1420</v>
      </c>
      <c r="AN698" s="2142">
        <f>AN589</f>
        <v>0</v>
      </c>
      <c r="AO698" s="533"/>
      <c r="AP698" s="2143">
        <f>AP589</f>
        <v>0</v>
      </c>
      <c r="AQ698" s="1969"/>
      <c r="AR698" s="533"/>
      <c r="AS698" s="2143">
        <f>AS589</f>
        <v>0</v>
      </c>
      <c r="AT698" s="1967"/>
      <c r="AU698" s="1967"/>
      <c r="AV698" s="2143">
        <f>AV589</f>
        <v>0</v>
      </c>
      <c r="AW698" s="533"/>
      <c r="AX698" s="1969"/>
      <c r="AY698" s="2143">
        <f>AY589</f>
        <v>0</v>
      </c>
      <c r="AZ698" s="533"/>
      <c r="BA698" s="1969"/>
      <c r="BB698" s="2143">
        <f>BB589</f>
        <v>0</v>
      </c>
      <c r="BC698" s="533"/>
      <c r="BD698" s="1969"/>
      <c r="BE698" s="2143">
        <f t="shared" ref="BE698:BT698" si="656">BE589</f>
        <v>0</v>
      </c>
      <c r="BF698" s="2143">
        <f t="shared" si="656"/>
        <v>0</v>
      </c>
      <c r="BG698" s="2143">
        <f t="shared" si="656"/>
        <v>0</v>
      </c>
      <c r="BH698" s="2143">
        <f t="shared" si="656"/>
        <v>0</v>
      </c>
      <c r="BI698" s="2143">
        <f t="shared" si="656"/>
        <v>0</v>
      </c>
      <c r="BJ698" s="2143">
        <f t="shared" si="656"/>
        <v>0</v>
      </c>
      <c r="BK698" s="2143">
        <f t="shared" si="656"/>
        <v>0</v>
      </c>
      <c r="BL698" s="2143">
        <f t="shared" si="656"/>
        <v>0</v>
      </c>
      <c r="BM698" s="2143">
        <f t="shared" si="656"/>
        <v>0</v>
      </c>
      <c r="BN698" s="2143">
        <f t="shared" si="656"/>
        <v>0</v>
      </c>
      <c r="BO698" s="2143">
        <f t="shared" si="656"/>
        <v>0</v>
      </c>
      <c r="BP698" s="2143">
        <f t="shared" si="656"/>
        <v>0</v>
      </c>
      <c r="BQ698" s="2143">
        <f t="shared" si="656"/>
        <v>0</v>
      </c>
      <c r="BR698" s="2143">
        <f t="shared" si="656"/>
        <v>0</v>
      </c>
      <c r="BS698" s="2143">
        <f t="shared" si="656"/>
        <v>0</v>
      </c>
      <c r="BT698" s="2143">
        <f t="shared" si="656"/>
        <v>0</v>
      </c>
      <c r="BU698" s="1970"/>
    </row>
    <row r="699" spans="37:73" s="536" customFormat="1" ht="12.5">
      <c r="AK699" s="1964"/>
      <c r="AL699" s="2144">
        <f t="shared" ref="AL699:AL710" si="657">AL698+1</f>
        <v>2</v>
      </c>
      <c r="AM699" s="2145" t="s">
        <v>1421</v>
      </c>
      <c r="AN699" s="2146">
        <f>AN593</f>
        <v>0</v>
      </c>
      <c r="AO699" s="533"/>
      <c r="AP699" s="2147">
        <f>AP593</f>
        <v>0</v>
      </c>
      <c r="AQ699" s="1969"/>
      <c r="AR699" s="533"/>
      <c r="AS699" s="2147">
        <f>AS593</f>
        <v>0</v>
      </c>
      <c r="AT699" s="1967"/>
      <c r="AU699" s="1967"/>
      <c r="AV699" s="2147">
        <f>AV593</f>
        <v>0</v>
      </c>
      <c r="AW699" s="533"/>
      <c r="AX699" s="1969"/>
      <c r="AY699" s="2147">
        <f>AY593</f>
        <v>0</v>
      </c>
      <c r="AZ699" s="533"/>
      <c r="BA699" s="1969"/>
      <c r="BB699" s="2147">
        <f>BB593</f>
        <v>0</v>
      </c>
      <c r="BC699" s="533"/>
      <c r="BD699" s="1969"/>
      <c r="BE699" s="2147">
        <f t="shared" ref="BE699:BT699" si="658">BE593</f>
        <v>0</v>
      </c>
      <c r="BF699" s="2147">
        <f t="shared" si="658"/>
        <v>0</v>
      </c>
      <c r="BG699" s="2147">
        <f t="shared" si="658"/>
        <v>0</v>
      </c>
      <c r="BH699" s="2147">
        <f t="shared" si="658"/>
        <v>0</v>
      </c>
      <c r="BI699" s="2147">
        <f t="shared" si="658"/>
        <v>0</v>
      </c>
      <c r="BJ699" s="2147">
        <f t="shared" si="658"/>
        <v>0</v>
      </c>
      <c r="BK699" s="2147">
        <f t="shared" si="658"/>
        <v>0</v>
      </c>
      <c r="BL699" s="2147">
        <f t="shared" si="658"/>
        <v>0</v>
      </c>
      <c r="BM699" s="2147">
        <f t="shared" si="658"/>
        <v>0</v>
      </c>
      <c r="BN699" s="2147">
        <f t="shared" si="658"/>
        <v>0</v>
      </c>
      <c r="BO699" s="2147">
        <f t="shared" si="658"/>
        <v>0</v>
      </c>
      <c r="BP699" s="2147">
        <f t="shared" si="658"/>
        <v>0</v>
      </c>
      <c r="BQ699" s="2147">
        <f t="shared" si="658"/>
        <v>0</v>
      </c>
      <c r="BR699" s="2147">
        <f t="shared" si="658"/>
        <v>0</v>
      </c>
      <c r="BS699" s="2147">
        <f t="shared" si="658"/>
        <v>0</v>
      </c>
      <c r="BT699" s="2147">
        <f t="shared" si="658"/>
        <v>0</v>
      </c>
      <c r="BU699" s="1970"/>
    </row>
    <row r="700" spans="37:73" s="536" customFormat="1" ht="12.5">
      <c r="AK700" s="1964"/>
      <c r="AL700" s="2144">
        <f t="shared" si="657"/>
        <v>3</v>
      </c>
      <c r="AM700" s="2145" t="s">
        <v>1058</v>
      </c>
      <c r="AN700" s="2146">
        <f>AN598</f>
        <v>0</v>
      </c>
      <c r="AO700" s="533"/>
      <c r="AP700" s="2147">
        <f>AP598</f>
        <v>0</v>
      </c>
      <c r="AQ700" s="1969"/>
      <c r="AR700" s="533"/>
      <c r="AS700" s="2147">
        <f>AS598</f>
        <v>0</v>
      </c>
      <c r="AT700" s="1967"/>
      <c r="AU700" s="1967"/>
      <c r="AV700" s="2147">
        <f>AV598</f>
        <v>0</v>
      </c>
      <c r="AW700" s="533"/>
      <c r="AX700" s="1969"/>
      <c r="AY700" s="2147">
        <f>AY598</f>
        <v>0</v>
      </c>
      <c r="AZ700" s="533"/>
      <c r="BA700" s="1969"/>
      <c r="BB700" s="2147">
        <f>BB598</f>
        <v>0</v>
      </c>
      <c r="BC700" s="533"/>
      <c r="BD700" s="1969"/>
      <c r="BE700" s="2147">
        <f t="shared" ref="BE700:BT700" si="659">BE598</f>
        <v>0</v>
      </c>
      <c r="BF700" s="2147">
        <f t="shared" si="659"/>
        <v>0</v>
      </c>
      <c r="BG700" s="2147">
        <f t="shared" si="659"/>
        <v>0</v>
      </c>
      <c r="BH700" s="2147">
        <f t="shared" si="659"/>
        <v>0</v>
      </c>
      <c r="BI700" s="2147">
        <f t="shared" si="659"/>
        <v>0</v>
      </c>
      <c r="BJ700" s="2147">
        <f t="shared" si="659"/>
        <v>0</v>
      </c>
      <c r="BK700" s="2147">
        <f t="shared" si="659"/>
        <v>0</v>
      </c>
      <c r="BL700" s="2147">
        <f t="shared" si="659"/>
        <v>0</v>
      </c>
      <c r="BM700" s="2147">
        <f t="shared" si="659"/>
        <v>0</v>
      </c>
      <c r="BN700" s="2147">
        <f t="shared" si="659"/>
        <v>0</v>
      </c>
      <c r="BO700" s="2147">
        <f t="shared" si="659"/>
        <v>0</v>
      </c>
      <c r="BP700" s="2147">
        <f t="shared" si="659"/>
        <v>0</v>
      </c>
      <c r="BQ700" s="2147">
        <f t="shared" si="659"/>
        <v>0</v>
      </c>
      <c r="BR700" s="2147">
        <f t="shared" si="659"/>
        <v>0</v>
      </c>
      <c r="BS700" s="2147">
        <f t="shared" si="659"/>
        <v>0</v>
      </c>
      <c r="BT700" s="2147">
        <f t="shared" si="659"/>
        <v>0</v>
      </c>
      <c r="BU700" s="1970"/>
    </row>
    <row r="701" spans="37:73" s="536" customFormat="1" ht="12.5">
      <c r="AK701" s="1964"/>
      <c r="AL701" s="2144">
        <f t="shared" si="657"/>
        <v>4</v>
      </c>
      <c r="AM701" s="2145" t="s">
        <v>1422</v>
      </c>
      <c r="AN701" s="2146">
        <f>AN605</f>
        <v>0</v>
      </c>
      <c r="AO701" s="533"/>
      <c r="AP701" s="2147">
        <f>AP605</f>
        <v>0</v>
      </c>
      <c r="AQ701" s="1969"/>
      <c r="AR701" s="533"/>
      <c r="AS701" s="2147">
        <f>AS605</f>
        <v>0</v>
      </c>
      <c r="AT701" s="1967"/>
      <c r="AU701" s="1967"/>
      <c r="AV701" s="2147">
        <f>AV605</f>
        <v>0</v>
      </c>
      <c r="AW701" s="533"/>
      <c r="AX701" s="1969"/>
      <c r="AY701" s="2147">
        <f>AY605</f>
        <v>0</v>
      </c>
      <c r="AZ701" s="533"/>
      <c r="BA701" s="1969"/>
      <c r="BB701" s="2147">
        <f>BB605</f>
        <v>0</v>
      </c>
      <c r="BC701" s="533"/>
      <c r="BD701" s="1969"/>
      <c r="BE701" s="2147">
        <f t="shared" ref="BE701:BT701" si="660">BE605</f>
        <v>0</v>
      </c>
      <c r="BF701" s="2147">
        <f t="shared" si="660"/>
        <v>0</v>
      </c>
      <c r="BG701" s="2147">
        <f t="shared" si="660"/>
        <v>0</v>
      </c>
      <c r="BH701" s="2147">
        <f t="shared" si="660"/>
        <v>0</v>
      </c>
      <c r="BI701" s="2147">
        <f t="shared" si="660"/>
        <v>0</v>
      </c>
      <c r="BJ701" s="2147">
        <f t="shared" si="660"/>
        <v>0</v>
      </c>
      <c r="BK701" s="2147">
        <f t="shared" si="660"/>
        <v>0</v>
      </c>
      <c r="BL701" s="2147">
        <f t="shared" si="660"/>
        <v>0</v>
      </c>
      <c r="BM701" s="2147">
        <f t="shared" si="660"/>
        <v>0</v>
      </c>
      <c r="BN701" s="2147">
        <f t="shared" si="660"/>
        <v>0</v>
      </c>
      <c r="BO701" s="2147">
        <f t="shared" si="660"/>
        <v>0</v>
      </c>
      <c r="BP701" s="2147">
        <f t="shared" si="660"/>
        <v>0</v>
      </c>
      <c r="BQ701" s="2147">
        <f t="shared" si="660"/>
        <v>0</v>
      </c>
      <c r="BR701" s="2147">
        <f t="shared" si="660"/>
        <v>0</v>
      </c>
      <c r="BS701" s="2147">
        <f t="shared" si="660"/>
        <v>0</v>
      </c>
      <c r="BT701" s="2147">
        <f t="shared" si="660"/>
        <v>0</v>
      </c>
      <c r="BU701" s="1970"/>
    </row>
    <row r="702" spans="37:73" s="536" customFormat="1" ht="12.5">
      <c r="AK702" s="1964"/>
      <c r="AL702" s="2144">
        <f t="shared" si="657"/>
        <v>5</v>
      </c>
      <c r="AM702" s="2145" t="s">
        <v>665</v>
      </c>
      <c r="AN702" s="2146">
        <f>AN615</f>
        <v>0</v>
      </c>
      <c r="AO702" s="533"/>
      <c r="AP702" s="2147">
        <f>AP615</f>
        <v>0</v>
      </c>
      <c r="AQ702" s="1969"/>
      <c r="AR702" s="533"/>
      <c r="AS702" s="2147">
        <f>AS615</f>
        <v>0</v>
      </c>
      <c r="AT702" s="1967"/>
      <c r="AU702" s="1967"/>
      <c r="AV702" s="2147">
        <f>AV615</f>
        <v>0</v>
      </c>
      <c r="AW702" s="533"/>
      <c r="AX702" s="1969"/>
      <c r="AY702" s="2147">
        <f>AY615</f>
        <v>0</v>
      </c>
      <c r="AZ702" s="533"/>
      <c r="BA702" s="1969"/>
      <c r="BB702" s="2147">
        <f>BB615</f>
        <v>0</v>
      </c>
      <c r="BC702" s="533"/>
      <c r="BD702" s="1969"/>
      <c r="BE702" s="2147">
        <f t="shared" ref="BE702:BT702" si="661">BE615</f>
        <v>0</v>
      </c>
      <c r="BF702" s="2147">
        <f t="shared" si="661"/>
        <v>0</v>
      </c>
      <c r="BG702" s="2147">
        <f t="shared" si="661"/>
        <v>0</v>
      </c>
      <c r="BH702" s="2147">
        <f t="shared" si="661"/>
        <v>0</v>
      </c>
      <c r="BI702" s="2147">
        <f t="shared" si="661"/>
        <v>0</v>
      </c>
      <c r="BJ702" s="2147">
        <f t="shared" si="661"/>
        <v>0</v>
      </c>
      <c r="BK702" s="2147">
        <f t="shared" si="661"/>
        <v>0</v>
      </c>
      <c r="BL702" s="2147">
        <f t="shared" si="661"/>
        <v>0</v>
      </c>
      <c r="BM702" s="2147">
        <f t="shared" si="661"/>
        <v>0</v>
      </c>
      <c r="BN702" s="2147">
        <f t="shared" si="661"/>
        <v>0</v>
      </c>
      <c r="BO702" s="2147">
        <f t="shared" si="661"/>
        <v>0</v>
      </c>
      <c r="BP702" s="2147">
        <f t="shared" si="661"/>
        <v>0</v>
      </c>
      <c r="BQ702" s="2147">
        <f t="shared" si="661"/>
        <v>0</v>
      </c>
      <c r="BR702" s="2147">
        <f t="shared" si="661"/>
        <v>0</v>
      </c>
      <c r="BS702" s="2147">
        <f t="shared" si="661"/>
        <v>0</v>
      </c>
      <c r="BT702" s="2147">
        <f t="shared" si="661"/>
        <v>0</v>
      </c>
      <c r="BU702" s="1970"/>
    </row>
    <row r="703" spans="37:73" s="536" customFormat="1" ht="12.5">
      <c r="AK703" s="1964"/>
      <c r="AL703" s="2144">
        <f t="shared" si="657"/>
        <v>6</v>
      </c>
      <c r="AM703" s="2145" t="s">
        <v>1067</v>
      </c>
      <c r="AN703" s="2146">
        <f>AN616</f>
        <v>0</v>
      </c>
      <c r="AO703" s="533"/>
      <c r="AP703" s="2147">
        <f>AP616</f>
        <v>0</v>
      </c>
      <c r="AQ703" s="1969"/>
      <c r="AR703" s="533"/>
      <c r="AS703" s="2147">
        <f>AS616</f>
        <v>0</v>
      </c>
      <c r="AT703" s="1967"/>
      <c r="AU703" s="1967"/>
      <c r="AV703" s="2147">
        <f>AV616</f>
        <v>0</v>
      </c>
      <c r="AW703" s="533"/>
      <c r="AX703" s="1969"/>
      <c r="AY703" s="2147">
        <f>AY616</f>
        <v>0</v>
      </c>
      <c r="AZ703" s="533"/>
      <c r="BA703" s="1969"/>
      <c r="BB703" s="2147">
        <f>BB616</f>
        <v>0</v>
      </c>
      <c r="BC703" s="533"/>
      <c r="BD703" s="1969"/>
      <c r="BE703" s="2147">
        <f t="shared" ref="BE703:BT703" si="662">BE616</f>
        <v>0</v>
      </c>
      <c r="BF703" s="2147">
        <f t="shared" si="662"/>
        <v>0</v>
      </c>
      <c r="BG703" s="2147">
        <f t="shared" si="662"/>
        <v>0</v>
      </c>
      <c r="BH703" s="2147">
        <f t="shared" si="662"/>
        <v>0</v>
      </c>
      <c r="BI703" s="2147">
        <f t="shared" si="662"/>
        <v>0</v>
      </c>
      <c r="BJ703" s="2147">
        <f t="shared" si="662"/>
        <v>0</v>
      </c>
      <c r="BK703" s="2147">
        <f t="shared" si="662"/>
        <v>0</v>
      </c>
      <c r="BL703" s="2147">
        <f t="shared" si="662"/>
        <v>0</v>
      </c>
      <c r="BM703" s="2147">
        <f t="shared" si="662"/>
        <v>0</v>
      </c>
      <c r="BN703" s="2147">
        <f t="shared" si="662"/>
        <v>0</v>
      </c>
      <c r="BO703" s="2147">
        <f t="shared" si="662"/>
        <v>0</v>
      </c>
      <c r="BP703" s="2147">
        <f t="shared" si="662"/>
        <v>0</v>
      </c>
      <c r="BQ703" s="2147">
        <f t="shared" si="662"/>
        <v>0</v>
      </c>
      <c r="BR703" s="2147">
        <f t="shared" si="662"/>
        <v>0</v>
      </c>
      <c r="BS703" s="2147">
        <f t="shared" si="662"/>
        <v>0</v>
      </c>
      <c r="BT703" s="2147">
        <f t="shared" si="662"/>
        <v>0</v>
      </c>
      <c r="BU703" s="1970"/>
    </row>
    <row r="704" spans="37:73" s="536" customFormat="1" ht="12.5">
      <c r="AK704" s="1964"/>
      <c r="AL704" s="2144">
        <f t="shared" si="657"/>
        <v>7</v>
      </c>
      <c r="AM704" s="2145" t="s">
        <v>680</v>
      </c>
      <c r="AN704" s="2146">
        <f>AN619+AN620+AN621+AN622+AN633+AN634+AN635</f>
        <v>0</v>
      </c>
      <c r="AO704" s="533"/>
      <c r="AP704" s="2147">
        <f>AP619+AP620+AP621+AP622+AP633+AP634+AP635</f>
        <v>0</v>
      </c>
      <c r="AQ704" s="1969"/>
      <c r="AR704" s="533"/>
      <c r="AS704" s="2147">
        <f>AS619+AS620+AS621+AS622+AS633+AS634+AS635</f>
        <v>0</v>
      </c>
      <c r="AT704" s="1967"/>
      <c r="AU704" s="1967"/>
      <c r="AV704" s="2147">
        <f>AV619+AV620+AV621+AV622+AV633+AV634+AV635</f>
        <v>0</v>
      </c>
      <c r="AW704" s="533"/>
      <c r="AX704" s="1969"/>
      <c r="AY704" s="2147">
        <f>AY619+AY620+AY621+AY622+AY633+AY634+AY635</f>
        <v>0</v>
      </c>
      <c r="AZ704" s="533"/>
      <c r="BA704" s="1969"/>
      <c r="BB704" s="2147">
        <f>BB619+BB620+BB621+BB622+BB633+BB634+BB635</f>
        <v>0</v>
      </c>
      <c r="BC704" s="533"/>
      <c r="BD704" s="1969"/>
      <c r="BE704" s="2148">
        <f t="shared" ref="BE704:BT704" si="663">BE619+BE620+BE621+BE622+BE633+BE634+BE635</f>
        <v>0</v>
      </c>
      <c r="BF704" s="2148">
        <f t="shared" si="663"/>
        <v>0</v>
      </c>
      <c r="BG704" s="2148">
        <f t="shared" si="663"/>
        <v>0</v>
      </c>
      <c r="BH704" s="2148">
        <f t="shared" si="663"/>
        <v>0</v>
      </c>
      <c r="BI704" s="2148">
        <f t="shared" si="663"/>
        <v>0</v>
      </c>
      <c r="BJ704" s="2148">
        <f t="shared" si="663"/>
        <v>0</v>
      </c>
      <c r="BK704" s="2148">
        <f t="shared" si="663"/>
        <v>0</v>
      </c>
      <c r="BL704" s="2148">
        <f t="shared" si="663"/>
        <v>0</v>
      </c>
      <c r="BM704" s="2148">
        <f t="shared" si="663"/>
        <v>0</v>
      </c>
      <c r="BN704" s="2148">
        <f t="shared" si="663"/>
        <v>0</v>
      </c>
      <c r="BO704" s="2148">
        <f t="shared" si="663"/>
        <v>0</v>
      </c>
      <c r="BP704" s="2148">
        <f t="shared" si="663"/>
        <v>0</v>
      </c>
      <c r="BQ704" s="2148">
        <f t="shared" si="663"/>
        <v>0</v>
      </c>
      <c r="BR704" s="2148">
        <f t="shared" si="663"/>
        <v>0</v>
      </c>
      <c r="BS704" s="2148">
        <f t="shared" si="663"/>
        <v>0</v>
      </c>
      <c r="BT704" s="2148">
        <f t="shared" si="663"/>
        <v>0</v>
      </c>
      <c r="BU704" s="1970"/>
    </row>
    <row r="705" spans="37:73" s="536" customFormat="1" ht="12.5">
      <c r="AK705" s="1964"/>
      <c r="AL705" s="2144">
        <f t="shared" si="657"/>
        <v>8</v>
      </c>
      <c r="AM705" s="2145" t="s">
        <v>679</v>
      </c>
      <c r="AN705" s="2146">
        <f>AN632</f>
        <v>0</v>
      </c>
      <c r="AO705" s="533"/>
      <c r="AP705" s="2147">
        <f>AP632</f>
        <v>0</v>
      </c>
      <c r="AQ705" s="1969"/>
      <c r="AR705" s="533"/>
      <c r="AS705" s="2147">
        <f>AS632</f>
        <v>0</v>
      </c>
      <c r="AT705" s="1967"/>
      <c r="AU705" s="1967"/>
      <c r="AV705" s="2147">
        <f>AV632</f>
        <v>0</v>
      </c>
      <c r="AW705" s="533"/>
      <c r="AX705" s="1969"/>
      <c r="AY705" s="2147">
        <f>AY632</f>
        <v>0</v>
      </c>
      <c r="AZ705" s="533"/>
      <c r="BA705" s="1969"/>
      <c r="BB705" s="2147">
        <f>BB632</f>
        <v>0</v>
      </c>
      <c r="BC705" s="533"/>
      <c r="BD705" s="1969"/>
      <c r="BE705" s="2147">
        <f t="shared" ref="BE705:BT705" si="664">BE632</f>
        <v>0</v>
      </c>
      <c r="BF705" s="2147">
        <f t="shared" si="664"/>
        <v>0</v>
      </c>
      <c r="BG705" s="2147">
        <f t="shared" si="664"/>
        <v>0</v>
      </c>
      <c r="BH705" s="2147">
        <f t="shared" si="664"/>
        <v>0</v>
      </c>
      <c r="BI705" s="2147">
        <f t="shared" si="664"/>
        <v>0</v>
      </c>
      <c r="BJ705" s="2147">
        <f t="shared" si="664"/>
        <v>0</v>
      </c>
      <c r="BK705" s="2147">
        <f t="shared" si="664"/>
        <v>0</v>
      </c>
      <c r="BL705" s="2147">
        <f t="shared" si="664"/>
        <v>0</v>
      </c>
      <c r="BM705" s="2147">
        <f t="shared" si="664"/>
        <v>0</v>
      </c>
      <c r="BN705" s="2147">
        <f t="shared" si="664"/>
        <v>0</v>
      </c>
      <c r="BO705" s="2147">
        <f t="shared" si="664"/>
        <v>0</v>
      </c>
      <c r="BP705" s="2147">
        <f t="shared" si="664"/>
        <v>0</v>
      </c>
      <c r="BQ705" s="2147">
        <f t="shared" si="664"/>
        <v>0</v>
      </c>
      <c r="BR705" s="2147">
        <f t="shared" si="664"/>
        <v>0</v>
      </c>
      <c r="BS705" s="2147">
        <f t="shared" si="664"/>
        <v>0</v>
      </c>
      <c r="BT705" s="2147">
        <f t="shared" si="664"/>
        <v>0</v>
      </c>
      <c r="BU705" s="1970"/>
    </row>
    <row r="706" spans="37:73" s="536" customFormat="1" ht="12.5">
      <c r="AK706" s="1964"/>
      <c r="AL706" s="2144">
        <f t="shared" si="657"/>
        <v>9</v>
      </c>
      <c r="AM706" s="2145" t="s">
        <v>740</v>
      </c>
      <c r="AN706" s="2146">
        <f>AN645</f>
        <v>0</v>
      </c>
      <c r="AO706" s="533"/>
      <c r="AP706" s="2147">
        <f>AP645</f>
        <v>0</v>
      </c>
      <c r="AQ706" s="1969"/>
      <c r="AR706" s="533"/>
      <c r="AS706" s="2147">
        <f>AS645</f>
        <v>0</v>
      </c>
      <c r="AT706" s="1967"/>
      <c r="AU706" s="1967"/>
      <c r="AV706" s="2147">
        <f>AV645</f>
        <v>0</v>
      </c>
      <c r="AW706" s="533"/>
      <c r="AX706" s="1969"/>
      <c r="AY706" s="2147">
        <f>AY645</f>
        <v>0</v>
      </c>
      <c r="AZ706" s="533"/>
      <c r="BA706" s="1969"/>
      <c r="BB706" s="2147">
        <f>BB645</f>
        <v>0</v>
      </c>
      <c r="BC706" s="533"/>
      <c r="BD706" s="1969"/>
      <c r="BE706" s="2147">
        <f t="shared" ref="BE706:BT706" si="665">BE645</f>
        <v>0</v>
      </c>
      <c r="BF706" s="2147">
        <f t="shared" si="665"/>
        <v>0</v>
      </c>
      <c r="BG706" s="2147">
        <f t="shared" si="665"/>
        <v>0</v>
      </c>
      <c r="BH706" s="2147">
        <f t="shared" si="665"/>
        <v>0</v>
      </c>
      <c r="BI706" s="2147">
        <f t="shared" si="665"/>
        <v>0</v>
      </c>
      <c r="BJ706" s="2147">
        <f t="shared" si="665"/>
        <v>0</v>
      </c>
      <c r="BK706" s="2147">
        <f t="shared" si="665"/>
        <v>0</v>
      </c>
      <c r="BL706" s="2147">
        <f t="shared" si="665"/>
        <v>0</v>
      </c>
      <c r="BM706" s="2147">
        <f t="shared" si="665"/>
        <v>0</v>
      </c>
      <c r="BN706" s="2147">
        <f t="shared" si="665"/>
        <v>0</v>
      </c>
      <c r="BO706" s="2147">
        <f t="shared" si="665"/>
        <v>0</v>
      </c>
      <c r="BP706" s="2147">
        <f t="shared" si="665"/>
        <v>0</v>
      </c>
      <c r="BQ706" s="2147">
        <f t="shared" si="665"/>
        <v>0</v>
      </c>
      <c r="BR706" s="2147">
        <f t="shared" si="665"/>
        <v>0</v>
      </c>
      <c r="BS706" s="2147">
        <f t="shared" si="665"/>
        <v>0</v>
      </c>
      <c r="BT706" s="2147">
        <f t="shared" si="665"/>
        <v>0</v>
      </c>
      <c r="BU706" s="1970"/>
    </row>
    <row r="707" spans="37:73" s="536" customFormat="1" ht="12.5">
      <c r="AK707" s="1964"/>
      <c r="AL707" s="2144">
        <f t="shared" si="657"/>
        <v>10</v>
      </c>
      <c r="AM707" s="2145" t="s">
        <v>1423</v>
      </c>
      <c r="AN707" s="2146">
        <f>AN648+AN649</f>
        <v>0</v>
      </c>
      <c r="AO707" s="533"/>
      <c r="AP707" s="2147">
        <f>AP648+AP649</f>
        <v>0</v>
      </c>
      <c r="AQ707" s="1969"/>
      <c r="AR707" s="533"/>
      <c r="AS707" s="2147">
        <f>AS648+AS649</f>
        <v>0</v>
      </c>
      <c r="AT707" s="1967"/>
      <c r="AU707" s="1967"/>
      <c r="AV707" s="2147">
        <f>AV648+AV649</f>
        <v>0</v>
      </c>
      <c r="AW707" s="533"/>
      <c r="AX707" s="1969"/>
      <c r="AY707" s="2147">
        <f>AY648+AY649</f>
        <v>0</v>
      </c>
      <c r="AZ707" s="533"/>
      <c r="BA707" s="1969"/>
      <c r="BB707" s="2147">
        <f>BB648+BB649</f>
        <v>0</v>
      </c>
      <c r="BC707" s="533"/>
      <c r="BD707" s="1969"/>
      <c r="BE707" s="2147">
        <f t="shared" ref="BE707:BT707" si="666">BE648+BE649</f>
        <v>0</v>
      </c>
      <c r="BF707" s="2147">
        <f t="shared" si="666"/>
        <v>0</v>
      </c>
      <c r="BG707" s="2147">
        <f t="shared" si="666"/>
        <v>0</v>
      </c>
      <c r="BH707" s="2147">
        <f t="shared" si="666"/>
        <v>0</v>
      </c>
      <c r="BI707" s="2147">
        <f t="shared" si="666"/>
        <v>0</v>
      </c>
      <c r="BJ707" s="2147">
        <f t="shared" si="666"/>
        <v>0</v>
      </c>
      <c r="BK707" s="2147">
        <f t="shared" si="666"/>
        <v>0</v>
      </c>
      <c r="BL707" s="2147">
        <f t="shared" si="666"/>
        <v>0</v>
      </c>
      <c r="BM707" s="2147">
        <f t="shared" si="666"/>
        <v>0</v>
      </c>
      <c r="BN707" s="2147">
        <f t="shared" si="666"/>
        <v>0</v>
      </c>
      <c r="BO707" s="2147">
        <f t="shared" si="666"/>
        <v>0</v>
      </c>
      <c r="BP707" s="2147">
        <f t="shared" si="666"/>
        <v>0</v>
      </c>
      <c r="BQ707" s="2147">
        <f t="shared" si="666"/>
        <v>0</v>
      </c>
      <c r="BR707" s="2147">
        <f t="shared" si="666"/>
        <v>0</v>
      </c>
      <c r="BS707" s="2147">
        <f t="shared" si="666"/>
        <v>0</v>
      </c>
      <c r="BT707" s="2147">
        <f t="shared" si="666"/>
        <v>0</v>
      </c>
      <c r="BU707" s="1970"/>
    </row>
    <row r="708" spans="37:73" s="536" customFormat="1" ht="12.5">
      <c r="AK708" s="1964"/>
      <c r="AL708" s="2144">
        <f t="shared" si="657"/>
        <v>11</v>
      </c>
      <c r="AM708" s="2145" t="s">
        <v>1424</v>
      </c>
      <c r="AN708" s="2149">
        <f>IF(AN655=0,0,AN653/AN655)</f>
        <v>0</v>
      </c>
      <c r="AO708" s="533"/>
      <c r="AP708" s="2150">
        <f>IF(AP655=0,0,AP653/AP655)</f>
        <v>0</v>
      </c>
      <c r="AQ708" s="1969"/>
      <c r="AR708" s="533"/>
      <c r="AS708" s="2150">
        <f>IF(AS655=0,0,AS653/AS655)</f>
        <v>0</v>
      </c>
      <c r="AT708" s="1967"/>
      <c r="AU708" s="1967"/>
      <c r="AV708" s="2150">
        <f>IF(AV655=0,0,AV653/AV655)</f>
        <v>0</v>
      </c>
      <c r="AW708" s="533"/>
      <c r="AX708" s="1969"/>
      <c r="AY708" s="2150">
        <f>IF(AY655=0,0,AY653/AY655)</f>
        <v>0</v>
      </c>
      <c r="AZ708" s="533"/>
      <c r="BA708" s="1969"/>
      <c r="BB708" s="2150">
        <f>IF(BB655=0,0,BB653/BB655)</f>
        <v>0</v>
      </c>
      <c r="BC708" s="533"/>
      <c r="BD708" s="1969"/>
      <c r="BE708" s="2151">
        <f t="shared" ref="BE708:BT708" si="667">IF(BE655=0,0,BE653/BE655)</f>
        <v>0</v>
      </c>
      <c r="BF708" s="2151">
        <f t="shared" si="667"/>
        <v>0</v>
      </c>
      <c r="BG708" s="2151">
        <f t="shared" si="667"/>
        <v>0</v>
      </c>
      <c r="BH708" s="2151">
        <f t="shared" si="667"/>
        <v>0</v>
      </c>
      <c r="BI708" s="2151">
        <f t="shared" si="667"/>
        <v>0</v>
      </c>
      <c r="BJ708" s="2151">
        <f t="shared" si="667"/>
        <v>0</v>
      </c>
      <c r="BK708" s="2151">
        <f t="shared" si="667"/>
        <v>0</v>
      </c>
      <c r="BL708" s="2151">
        <f t="shared" si="667"/>
        <v>0</v>
      </c>
      <c r="BM708" s="2151">
        <f t="shared" si="667"/>
        <v>0</v>
      </c>
      <c r="BN708" s="2151">
        <f t="shared" si="667"/>
        <v>0</v>
      </c>
      <c r="BO708" s="2151">
        <f t="shared" si="667"/>
        <v>0</v>
      </c>
      <c r="BP708" s="2151">
        <f t="shared" si="667"/>
        <v>0</v>
      </c>
      <c r="BQ708" s="2151">
        <f t="shared" si="667"/>
        <v>0</v>
      </c>
      <c r="BR708" s="2151">
        <f t="shared" si="667"/>
        <v>0</v>
      </c>
      <c r="BS708" s="2151">
        <f t="shared" si="667"/>
        <v>0</v>
      </c>
      <c r="BT708" s="2151">
        <f t="shared" si="667"/>
        <v>0</v>
      </c>
      <c r="BU708" s="1970"/>
    </row>
    <row r="709" spans="37:73" s="536" customFormat="1" ht="12.5">
      <c r="AK709" s="1964"/>
      <c r="AL709" s="2144">
        <f t="shared" si="657"/>
        <v>12</v>
      </c>
      <c r="AM709" s="2145" t="s">
        <v>764</v>
      </c>
      <c r="AN709" s="2146">
        <f>AN655</f>
        <v>0</v>
      </c>
      <c r="AO709" s="533"/>
      <c r="AP709" s="2147">
        <f>AP655</f>
        <v>0</v>
      </c>
      <c r="AQ709" s="1969"/>
      <c r="AR709" s="533"/>
      <c r="AS709" s="2147">
        <f>AS655</f>
        <v>0</v>
      </c>
      <c r="AT709" s="1967"/>
      <c r="AU709" s="1967"/>
      <c r="AV709" s="2147">
        <f>AV655</f>
        <v>0</v>
      </c>
      <c r="AW709" s="533"/>
      <c r="AX709" s="1969"/>
      <c r="AY709" s="2147">
        <f>AY655</f>
        <v>0</v>
      </c>
      <c r="AZ709" s="533"/>
      <c r="BA709" s="1969"/>
      <c r="BB709" s="2147">
        <f>BB655</f>
        <v>0</v>
      </c>
      <c r="BC709" s="533"/>
      <c r="BD709" s="1969"/>
      <c r="BE709" s="2147">
        <f t="shared" ref="BE709:BT709" si="668">BE655</f>
        <v>0</v>
      </c>
      <c r="BF709" s="2147">
        <f t="shared" si="668"/>
        <v>0</v>
      </c>
      <c r="BG709" s="2147">
        <f t="shared" si="668"/>
        <v>0</v>
      </c>
      <c r="BH709" s="2147">
        <f t="shared" si="668"/>
        <v>0</v>
      </c>
      <c r="BI709" s="2147">
        <f t="shared" si="668"/>
        <v>0</v>
      </c>
      <c r="BJ709" s="2147">
        <f t="shared" si="668"/>
        <v>0</v>
      </c>
      <c r="BK709" s="2147">
        <f t="shared" si="668"/>
        <v>0</v>
      </c>
      <c r="BL709" s="2147">
        <f t="shared" si="668"/>
        <v>0</v>
      </c>
      <c r="BM709" s="2147">
        <f t="shared" si="668"/>
        <v>0</v>
      </c>
      <c r="BN709" s="2147">
        <f t="shared" si="668"/>
        <v>0</v>
      </c>
      <c r="BO709" s="2147">
        <f t="shared" si="668"/>
        <v>0</v>
      </c>
      <c r="BP709" s="2147">
        <f t="shared" si="668"/>
        <v>0</v>
      </c>
      <c r="BQ709" s="2147">
        <f t="shared" si="668"/>
        <v>0</v>
      </c>
      <c r="BR709" s="2147">
        <f t="shared" si="668"/>
        <v>0</v>
      </c>
      <c r="BS709" s="2147">
        <f t="shared" si="668"/>
        <v>0</v>
      </c>
      <c r="BT709" s="2147">
        <f t="shared" si="668"/>
        <v>0</v>
      </c>
      <c r="BU709" s="1970"/>
    </row>
    <row r="710" spans="37:73" s="536" customFormat="1" ht="12.5">
      <c r="AK710" s="1964"/>
      <c r="AL710" s="2152">
        <f t="shared" si="657"/>
        <v>13</v>
      </c>
      <c r="AM710" s="2153" t="s">
        <v>1425</v>
      </c>
      <c r="AN710" s="2154">
        <f>AN709-(AN606+AN607)-(AN609+AN610)</f>
        <v>0</v>
      </c>
      <c r="AO710" s="533"/>
      <c r="AP710" s="2155">
        <f>AP709-(AP606+AP607)-(AP609+AP610)</f>
        <v>0</v>
      </c>
      <c r="AQ710" s="1969"/>
      <c r="AR710" s="533"/>
      <c r="AS710" s="2155">
        <f>AS709-(AS606+AS607)-(AS609+AS610)</f>
        <v>0</v>
      </c>
      <c r="AT710" s="1967"/>
      <c r="AU710" s="1967"/>
      <c r="AV710" s="2155">
        <f>AV709-(AV606+AV607)-(AV609+AV610)</f>
        <v>0</v>
      </c>
      <c r="AW710" s="533"/>
      <c r="AX710" s="1969"/>
      <c r="AY710" s="2155">
        <f>AY709-(AY606+AY607)-(AY609+AY610)</f>
        <v>0</v>
      </c>
      <c r="AZ710" s="533"/>
      <c r="BA710" s="1969"/>
      <c r="BB710" s="2155">
        <f>BB709-(BB606+BB607)-(BB609+BB610)</f>
        <v>0</v>
      </c>
      <c r="BC710" s="533"/>
      <c r="BD710" s="1969"/>
      <c r="BE710" s="2155">
        <f t="shared" ref="BE710:BT710" si="669">BE709-(BE606+BE607)-(BE609+BE610)</f>
        <v>0</v>
      </c>
      <c r="BF710" s="2155">
        <f t="shared" si="669"/>
        <v>0</v>
      </c>
      <c r="BG710" s="2155">
        <f t="shared" si="669"/>
        <v>0</v>
      </c>
      <c r="BH710" s="2155">
        <f t="shared" si="669"/>
        <v>0</v>
      </c>
      <c r="BI710" s="2155">
        <f t="shared" si="669"/>
        <v>0</v>
      </c>
      <c r="BJ710" s="2155">
        <f t="shared" si="669"/>
        <v>0</v>
      </c>
      <c r="BK710" s="2155">
        <f t="shared" si="669"/>
        <v>0</v>
      </c>
      <c r="BL710" s="2155">
        <f t="shared" si="669"/>
        <v>0</v>
      </c>
      <c r="BM710" s="2155">
        <f t="shared" si="669"/>
        <v>0</v>
      </c>
      <c r="BN710" s="2155">
        <f t="shared" si="669"/>
        <v>0</v>
      </c>
      <c r="BO710" s="2155">
        <f t="shared" si="669"/>
        <v>0</v>
      </c>
      <c r="BP710" s="2155">
        <f t="shared" si="669"/>
        <v>0</v>
      </c>
      <c r="BQ710" s="2155">
        <f t="shared" si="669"/>
        <v>0</v>
      </c>
      <c r="BR710" s="2155">
        <f t="shared" si="669"/>
        <v>0</v>
      </c>
      <c r="BS710" s="2155">
        <f t="shared" si="669"/>
        <v>0</v>
      </c>
      <c r="BT710" s="2155">
        <f t="shared" si="669"/>
        <v>0</v>
      </c>
      <c r="BU710" s="1970"/>
    </row>
    <row r="711" spans="37:73" s="536" customFormat="1">
      <c r="AK711" s="1964"/>
      <c r="AL711" s="1965"/>
      <c r="AM711" s="2156" t="s">
        <v>1426</v>
      </c>
      <c r="AN711" s="2157"/>
      <c r="AO711" s="533"/>
      <c r="AP711" s="2157"/>
      <c r="AQ711" s="533"/>
      <c r="AR711" s="533"/>
      <c r="AS711" s="2157"/>
      <c r="AT711" s="1967"/>
      <c r="AU711" s="1967"/>
      <c r="AV711" s="2157"/>
      <c r="AW711" s="533"/>
      <c r="AX711" s="1969"/>
      <c r="AY711" s="2157"/>
      <c r="AZ711" s="533"/>
      <c r="BA711" s="1969"/>
      <c r="BB711" s="2157"/>
      <c r="BC711" s="533"/>
      <c r="BD711" s="1969"/>
      <c r="BE711" s="2157"/>
      <c r="BF711" s="2157"/>
      <c r="BG711" s="2157"/>
      <c r="BH711" s="2157"/>
      <c r="BI711" s="2157"/>
      <c r="BJ711" s="2157"/>
      <c r="BK711" s="2157"/>
      <c r="BL711" s="2157"/>
      <c r="BM711" s="2157"/>
      <c r="BN711" s="2157"/>
      <c r="BO711" s="2157"/>
      <c r="BP711" s="531"/>
      <c r="BQ711" s="2124"/>
      <c r="BU711" s="1970"/>
    </row>
    <row r="712" spans="37:73" s="536" customFormat="1">
      <c r="AK712" s="1964"/>
      <c r="AL712" s="1965"/>
      <c r="AM712" s="2158" t="s">
        <v>1427</v>
      </c>
      <c r="AN712" s="2157"/>
      <c r="AO712" s="533"/>
      <c r="AP712" s="2157"/>
      <c r="AQ712" s="533"/>
      <c r="AR712" s="533"/>
      <c r="AS712" s="2157"/>
      <c r="AT712" s="1967"/>
      <c r="AU712" s="1967"/>
      <c r="AV712" s="2157"/>
      <c r="AW712" s="533"/>
      <c r="AX712" s="1969"/>
      <c r="AY712" s="2157"/>
      <c r="AZ712" s="533"/>
      <c r="BA712" s="1969"/>
      <c r="BB712" s="2157"/>
      <c r="BC712" s="533"/>
      <c r="BD712" s="1969"/>
      <c r="BE712" s="2157"/>
      <c r="BF712" s="2157"/>
      <c r="BG712" s="2157"/>
      <c r="BH712" s="2157"/>
      <c r="BI712" s="2157"/>
      <c r="BJ712" s="2157"/>
      <c r="BK712" s="2157"/>
      <c r="BL712" s="2157"/>
      <c r="BM712" s="2157"/>
      <c r="BN712" s="2157"/>
      <c r="BO712" s="2157"/>
      <c r="BP712" s="531"/>
      <c r="BQ712" s="696"/>
      <c r="BU712" s="1970"/>
    </row>
    <row r="713" spans="37:73" s="536" customFormat="1" ht="12.5">
      <c r="AK713" s="1964"/>
      <c r="AL713" s="2140">
        <f>AL710+1</f>
        <v>14</v>
      </c>
      <c r="AM713" s="2141" t="s">
        <v>1428</v>
      </c>
      <c r="AN713" s="2142">
        <f>AN660</f>
        <v>0</v>
      </c>
      <c r="AO713" s="533"/>
      <c r="AP713" s="2143">
        <f>AP660</f>
        <v>0</v>
      </c>
      <c r="AQ713" s="1969"/>
      <c r="AR713" s="533"/>
      <c r="AS713" s="2143">
        <f>AS660</f>
        <v>0</v>
      </c>
      <c r="AT713" s="1967"/>
      <c r="AU713" s="1967"/>
      <c r="AV713" s="2143">
        <f>AV660</f>
        <v>0</v>
      </c>
      <c r="AW713" s="533"/>
      <c r="AX713" s="1969"/>
      <c r="AY713" s="2143">
        <f>AY660</f>
        <v>0</v>
      </c>
      <c r="AZ713" s="533"/>
      <c r="BA713" s="1969"/>
      <c r="BB713" s="2143">
        <f>BB660</f>
        <v>0</v>
      </c>
      <c r="BC713" s="533"/>
      <c r="BD713" s="1969"/>
      <c r="BE713" s="2143">
        <f t="shared" ref="BE713:BT713" si="670">BE660</f>
        <v>0</v>
      </c>
      <c r="BF713" s="2143">
        <f t="shared" si="670"/>
        <v>0</v>
      </c>
      <c r="BG713" s="2143">
        <f t="shared" si="670"/>
        <v>0</v>
      </c>
      <c r="BH713" s="2143">
        <f t="shared" si="670"/>
        <v>0</v>
      </c>
      <c r="BI713" s="2143">
        <f t="shared" si="670"/>
        <v>0</v>
      </c>
      <c r="BJ713" s="2143">
        <f t="shared" si="670"/>
        <v>0</v>
      </c>
      <c r="BK713" s="2143">
        <f t="shared" si="670"/>
        <v>0</v>
      </c>
      <c r="BL713" s="2143">
        <f t="shared" si="670"/>
        <v>0</v>
      </c>
      <c r="BM713" s="2143">
        <f t="shared" si="670"/>
        <v>0</v>
      </c>
      <c r="BN713" s="2143">
        <f t="shared" si="670"/>
        <v>0</v>
      </c>
      <c r="BO713" s="2143">
        <f t="shared" si="670"/>
        <v>0</v>
      </c>
      <c r="BP713" s="2143">
        <f t="shared" si="670"/>
        <v>0</v>
      </c>
      <c r="BQ713" s="2143">
        <f t="shared" si="670"/>
        <v>0</v>
      </c>
      <c r="BR713" s="2143">
        <f t="shared" si="670"/>
        <v>0</v>
      </c>
      <c r="BS713" s="2143">
        <f t="shared" si="670"/>
        <v>0</v>
      </c>
      <c r="BT713" s="2143">
        <f t="shared" si="670"/>
        <v>0</v>
      </c>
      <c r="BU713" s="1970"/>
    </row>
    <row r="714" spans="37:73" s="536" customFormat="1" ht="12.5">
      <c r="AK714" s="1964"/>
      <c r="AL714" s="2144">
        <f t="shared" ref="AL714:AL721" si="671">AL713+1</f>
        <v>15</v>
      </c>
      <c r="AM714" s="2145" t="s">
        <v>1429</v>
      </c>
      <c r="AN714" s="2159" t="s">
        <v>1260</v>
      </c>
      <c r="AO714" s="533"/>
      <c r="AP714" s="2160" t="str">
        <f>IF(OR(AN713=0,AN713=0),"N/A",(AP713*360/AP$584)/(AN713*360/AN$584)-1)</f>
        <v>N/A</v>
      </c>
      <c r="AQ714" s="1969"/>
      <c r="AR714" s="533"/>
      <c r="AS714" s="2160" t="str">
        <f>IF(OR(AP713=0,AP713=0),"N/A",(AS713*360/AS$584)/(AP713*360/AP$584)-1)</f>
        <v>N/A</v>
      </c>
      <c r="AT714" s="1967"/>
      <c r="AU714" s="1967"/>
      <c r="AV714" s="2160" t="str">
        <f>IF(OR(AS713=0,AS713=0),"N/A",(AV713*360/AV$584)/(AS713*360/AS$584)-1)</f>
        <v>N/A</v>
      </c>
      <c r="AW714" s="533"/>
      <c r="AX714" s="1969"/>
      <c r="AY714" s="2160" t="str">
        <f>IF(OR(AS713=0,AS713=0),"N/A",(AY713*360/AY584)/(AS713*360/AS584)-1)</f>
        <v>N/A</v>
      </c>
      <c r="AZ714" s="533"/>
      <c r="BA714" s="1969"/>
      <c r="BB714" s="2160" t="str">
        <f>IF(OR(AY713=0,AY713=0),"N/A",(BB713*360/BB$584)/(AY713*360/AY$584)-1)</f>
        <v>N/A</v>
      </c>
      <c r="BC714" s="533"/>
      <c r="BD714" s="1969"/>
      <c r="BE714" s="2160" t="str">
        <f>IF(OR(AY713=0,AY713=0),"N/A",(BE713*360/BE$584)/(AY713*360/AY$584)-1)</f>
        <v>N/A</v>
      </c>
      <c r="BF714" s="2160" t="str">
        <f t="shared" ref="BF714:BT714" si="672">IF(OR(BE713=0,BE713=0),"N/A",(BF713*360/BF584)/(BE713*360/BE584)-1)</f>
        <v>N/A</v>
      </c>
      <c r="BG714" s="2160" t="str">
        <f t="shared" si="672"/>
        <v>N/A</v>
      </c>
      <c r="BH714" s="2160" t="str">
        <f t="shared" si="672"/>
        <v>N/A</v>
      </c>
      <c r="BI714" s="2160" t="str">
        <f t="shared" si="672"/>
        <v>N/A</v>
      </c>
      <c r="BJ714" s="2160" t="str">
        <f t="shared" si="672"/>
        <v>N/A</v>
      </c>
      <c r="BK714" s="2160" t="str">
        <f t="shared" si="672"/>
        <v>N/A</v>
      </c>
      <c r="BL714" s="2160" t="str">
        <f t="shared" si="672"/>
        <v>N/A</v>
      </c>
      <c r="BM714" s="2160" t="str">
        <f t="shared" si="672"/>
        <v>N/A</v>
      </c>
      <c r="BN714" s="2160" t="str">
        <f t="shared" si="672"/>
        <v>N/A</v>
      </c>
      <c r="BO714" s="2160" t="str">
        <f t="shared" si="672"/>
        <v>N/A</v>
      </c>
      <c r="BP714" s="2160" t="str">
        <f t="shared" si="672"/>
        <v>N/A</v>
      </c>
      <c r="BQ714" s="2160" t="str">
        <f t="shared" si="672"/>
        <v>N/A</v>
      </c>
      <c r="BR714" s="2160" t="str">
        <f t="shared" si="672"/>
        <v>N/A</v>
      </c>
      <c r="BS714" s="2160" t="str">
        <f t="shared" si="672"/>
        <v>N/A</v>
      </c>
      <c r="BT714" s="2160" t="str">
        <f t="shared" si="672"/>
        <v>N/A</v>
      </c>
      <c r="BU714" s="1970"/>
    </row>
    <row r="715" spans="37:73" s="536" customFormat="1" ht="12.5">
      <c r="AK715" s="1964"/>
      <c r="AL715" s="2144">
        <f t="shared" si="671"/>
        <v>16</v>
      </c>
      <c r="AM715" s="2145" t="s">
        <v>1430</v>
      </c>
      <c r="AN715" s="2159" t="s">
        <v>1260</v>
      </c>
      <c r="AO715" s="533"/>
      <c r="AP715" s="2160" t="s">
        <v>1260</v>
      </c>
      <c r="AQ715" s="1969"/>
      <c r="AR715" s="533"/>
      <c r="AS715" s="2160" t="s">
        <v>1260</v>
      </c>
      <c r="AT715" s="1967"/>
      <c r="AU715" s="1967"/>
      <c r="AV715" s="2160" t="s">
        <v>1260</v>
      </c>
      <c r="AW715" s="533"/>
      <c r="AX715" s="1969"/>
      <c r="AY715" s="2160" t="str">
        <f>IF(OR(AV713=0,AV713=0),"N/A",(AY713*360/AY584)/(AV713*360/AV584)-1)</f>
        <v>N/A</v>
      </c>
      <c r="AZ715" s="533"/>
      <c r="BA715" s="1969"/>
      <c r="BB715" s="2160" t="str">
        <f>IF(OR(AV713=0,AV713=0),"N/A",(BB713*360/BB584)/(AV713*360/AV584)-1)</f>
        <v>N/A</v>
      </c>
      <c r="BC715" s="533"/>
      <c r="BD715" s="1969"/>
      <c r="BE715" s="2160"/>
      <c r="BF715" s="2160"/>
      <c r="BG715" s="2160"/>
      <c r="BH715" s="2160"/>
      <c r="BI715" s="2160"/>
      <c r="BJ715" s="2160"/>
      <c r="BK715" s="2160"/>
      <c r="BL715" s="2160"/>
      <c r="BM715" s="2160"/>
      <c r="BN715" s="2160"/>
      <c r="BO715" s="2160"/>
      <c r="BP715" s="2160"/>
      <c r="BQ715" s="2160"/>
      <c r="BR715" s="2160"/>
      <c r="BS715" s="2160"/>
      <c r="BT715" s="2160"/>
      <c r="BU715" s="1970"/>
    </row>
    <row r="716" spans="37:73" s="1509" customFormat="1" ht="12.5">
      <c r="AK716" s="2161"/>
      <c r="AL716" s="2144">
        <f t="shared" si="671"/>
        <v>17</v>
      </c>
      <c r="AM716" s="2162" t="s">
        <v>1347</v>
      </c>
      <c r="AN716" s="2159">
        <f>IF(AN660=0,0,AN662/AN660)</f>
        <v>0</v>
      </c>
      <c r="AO716" s="1126"/>
      <c r="AP716" s="2160">
        <f>IF(AP660=0,0,AP662/AP660)</f>
        <v>0</v>
      </c>
      <c r="AQ716" s="1969"/>
      <c r="AR716" s="1126"/>
      <c r="AS716" s="2160">
        <f>IF(AS660=0,0,AS662/AS660)</f>
        <v>0</v>
      </c>
      <c r="AT716" s="1126"/>
      <c r="AU716" s="1126"/>
      <c r="AV716" s="2160">
        <f>IF(AV660=0,0,AV662/AV660)</f>
        <v>0</v>
      </c>
      <c r="AW716" s="1126"/>
      <c r="AX716" s="1126"/>
      <c r="AY716" s="2160">
        <f>IF(AY660=0,0,AY662/AY660)</f>
        <v>0</v>
      </c>
      <c r="AZ716" s="1126"/>
      <c r="BA716" s="1126"/>
      <c r="BB716" s="2160">
        <f>IF(BB660=0,0,BB662/BB660)</f>
        <v>0</v>
      </c>
      <c r="BC716" s="1126"/>
      <c r="BD716" s="1126"/>
      <c r="BE716" s="2160">
        <f t="shared" ref="BE716:BT716" si="673">IF(BE660=0,0,BE662/BE660)</f>
        <v>0</v>
      </c>
      <c r="BF716" s="2160">
        <f t="shared" si="673"/>
        <v>0</v>
      </c>
      <c r="BG716" s="2160">
        <f t="shared" si="673"/>
        <v>0</v>
      </c>
      <c r="BH716" s="2160">
        <f t="shared" si="673"/>
        <v>0</v>
      </c>
      <c r="BI716" s="2160">
        <f t="shared" si="673"/>
        <v>0</v>
      </c>
      <c r="BJ716" s="2160">
        <f t="shared" si="673"/>
        <v>0</v>
      </c>
      <c r="BK716" s="2160">
        <f t="shared" si="673"/>
        <v>0</v>
      </c>
      <c r="BL716" s="2160">
        <f t="shared" si="673"/>
        <v>0</v>
      </c>
      <c r="BM716" s="2160">
        <f t="shared" si="673"/>
        <v>0</v>
      </c>
      <c r="BN716" s="2160">
        <f t="shared" si="673"/>
        <v>0</v>
      </c>
      <c r="BO716" s="2160">
        <f t="shared" si="673"/>
        <v>0</v>
      </c>
      <c r="BP716" s="2160">
        <f t="shared" si="673"/>
        <v>0</v>
      </c>
      <c r="BQ716" s="2160">
        <f t="shared" si="673"/>
        <v>0</v>
      </c>
      <c r="BR716" s="2160">
        <f t="shared" si="673"/>
        <v>0</v>
      </c>
      <c r="BS716" s="2160">
        <f t="shared" si="673"/>
        <v>0</v>
      </c>
      <c r="BT716" s="2160">
        <f t="shared" si="673"/>
        <v>0</v>
      </c>
      <c r="BU716" s="2163"/>
    </row>
    <row r="717" spans="37:73" s="1509" customFormat="1" ht="12.5">
      <c r="AK717" s="2161"/>
      <c r="AL717" s="2144">
        <f t="shared" si="671"/>
        <v>18</v>
      </c>
      <c r="AM717" s="2162" t="s">
        <v>1348</v>
      </c>
      <c r="AN717" s="2159">
        <f>IF(AN660=0,0,AN663/AN660)</f>
        <v>0</v>
      </c>
      <c r="AO717" s="1126"/>
      <c r="AP717" s="2160">
        <f>IF(AP660=0,0,AP663/AP660)</f>
        <v>0</v>
      </c>
      <c r="AQ717" s="1969"/>
      <c r="AR717" s="1126"/>
      <c r="AS717" s="2160">
        <f>IF(AS660=0,0,AS663/AS660)</f>
        <v>0</v>
      </c>
      <c r="AT717" s="1126"/>
      <c r="AU717" s="1126"/>
      <c r="AV717" s="2160">
        <f>IF(AV660=0,0,AV663/AV660)</f>
        <v>0</v>
      </c>
      <c r="AW717" s="1126"/>
      <c r="AX717" s="1126"/>
      <c r="AY717" s="2160">
        <f>IF(AY660=0,0,AY663/AY660)</f>
        <v>0</v>
      </c>
      <c r="AZ717" s="1126"/>
      <c r="BA717" s="1126"/>
      <c r="BB717" s="2160">
        <f>IF(BB660=0,0,BB663/BB660)</f>
        <v>0</v>
      </c>
      <c r="BC717" s="1126"/>
      <c r="BD717" s="1126"/>
      <c r="BE717" s="2160">
        <f t="shared" ref="BE717:BT717" si="674">IF(BE660=0,0,BE663/BE660)</f>
        <v>0</v>
      </c>
      <c r="BF717" s="2160">
        <f t="shared" si="674"/>
        <v>0</v>
      </c>
      <c r="BG717" s="2160">
        <f t="shared" si="674"/>
        <v>0</v>
      </c>
      <c r="BH717" s="2160">
        <f t="shared" si="674"/>
        <v>0</v>
      </c>
      <c r="BI717" s="2160">
        <f t="shared" si="674"/>
        <v>0</v>
      </c>
      <c r="BJ717" s="2160">
        <f t="shared" si="674"/>
        <v>0</v>
      </c>
      <c r="BK717" s="2160">
        <f t="shared" si="674"/>
        <v>0</v>
      </c>
      <c r="BL717" s="2160">
        <f t="shared" si="674"/>
        <v>0</v>
      </c>
      <c r="BM717" s="2160">
        <f t="shared" si="674"/>
        <v>0</v>
      </c>
      <c r="BN717" s="2160">
        <f t="shared" si="674"/>
        <v>0</v>
      </c>
      <c r="BO717" s="2160">
        <f t="shared" si="674"/>
        <v>0</v>
      </c>
      <c r="BP717" s="2160">
        <f t="shared" si="674"/>
        <v>0</v>
      </c>
      <c r="BQ717" s="2160">
        <f t="shared" si="674"/>
        <v>0</v>
      </c>
      <c r="BR717" s="2160">
        <f t="shared" si="674"/>
        <v>0</v>
      </c>
      <c r="BS717" s="2160">
        <f t="shared" si="674"/>
        <v>0</v>
      </c>
      <c r="BT717" s="2160">
        <f t="shared" si="674"/>
        <v>0</v>
      </c>
      <c r="BU717" s="2163"/>
    </row>
    <row r="718" spans="37:73" s="1509" customFormat="1" ht="12.5">
      <c r="AK718" s="2161"/>
      <c r="AL718" s="2144">
        <f t="shared" si="671"/>
        <v>19</v>
      </c>
      <c r="AM718" s="2162" t="s">
        <v>1431</v>
      </c>
      <c r="AN718" s="2159">
        <f>IF(AN660=0,0,AN664/AN660)</f>
        <v>0</v>
      </c>
      <c r="AO718" s="1126"/>
      <c r="AP718" s="2160">
        <f>IF(AP660=0,0,AP664/AP660)</f>
        <v>0</v>
      </c>
      <c r="AQ718" s="1969"/>
      <c r="AR718" s="1126"/>
      <c r="AS718" s="2160">
        <f>IF(AS660=0,0,AS664/AS660)</f>
        <v>0</v>
      </c>
      <c r="AT718" s="1126"/>
      <c r="AU718" s="1126"/>
      <c r="AV718" s="2160">
        <f>IF(AV660=0,0,AV664/AV660)</f>
        <v>0</v>
      </c>
      <c r="AW718" s="1126"/>
      <c r="AX718" s="1126"/>
      <c r="AY718" s="2160">
        <f>IF(AY660=0,0,AY664/AY660)</f>
        <v>0</v>
      </c>
      <c r="AZ718" s="1126"/>
      <c r="BA718" s="1126"/>
      <c r="BB718" s="2160">
        <f>IF(BB660=0,0,BB664/BB660)</f>
        <v>0</v>
      </c>
      <c r="BC718" s="1126"/>
      <c r="BD718" s="1126"/>
      <c r="BE718" s="2160">
        <f t="shared" ref="BE718:BT718" si="675">IF(BE660=0,0,BE664/BE660)</f>
        <v>0</v>
      </c>
      <c r="BF718" s="2160">
        <f t="shared" si="675"/>
        <v>0</v>
      </c>
      <c r="BG718" s="2160">
        <f t="shared" si="675"/>
        <v>0</v>
      </c>
      <c r="BH718" s="2160">
        <f t="shared" si="675"/>
        <v>0</v>
      </c>
      <c r="BI718" s="2160">
        <f t="shared" si="675"/>
        <v>0</v>
      </c>
      <c r="BJ718" s="2160">
        <f t="shared" si="675"/>
        <v>0</v>
      </c>
      <c r="BK718" s="2160">
        <f t="shared" si="675"/>
        <v>0</v>
      </c>
      <c r="BL718" s="2160">
        <f t="shared" si="675"/>
        <v>0</v>
      </c>
      <c r="BM718" s="2160">
        <f t="shared" si="675"/>
        <v>0</v>
      </c>
      <c r="BN718" s="2160">
        <f t="shared" si="675"/>
        <v>0</v>
      </c>
      <c r="BO718" s="2160">
        <f t="shared" si="675"/>
        <v>0</v>
      </c>
      <c r="BP718" s="2160">
        <f t="shared" si="675"/>
        <v>0</v>
      </c>
      <c r="BQ718" s="2160">
        <f t="shared" si="675"/>
        <v>0</v>
      </c>
      <c r="BR718" s="2160">
        <f t="shared" si="675"/>
        <v>0</v>
      </c>
      <c r="BS718" s="2160">
        <f t="shared" si="675"/>
        <v>0</v>
      </c>
      <c r="BT718" s="2160">
        <f t="shared" si="675"/>
        <v>0</v>
      </c>
      <c r="BU718" s="2163"/>
    </row>
    <row r="719" spans="37:73" s="1509" customFormat="1" ht="12.5">
      <c r="AK719" s="2161"/>
      <c r="AL719" s="2144">
        <f t="shared" si="671"/>
        <v>20</v>
      </c>
      <c r="AM719" s="2162" t="s">
        <v>1432</v>
      </c>
      <c r="AN719" s="2159">
        <f>IF(AN660=0,0,AN683/AN660)</f>
        <v>0</v>
      </c>
      <c r="AO719" s="1126"/>
      <c r="AP719" s="2160">
        <f>IF(AP660=0,0,AP683/AP660)</f>
        <v>0</v>
      </c>
      <c r="AQ719" s="1969"/>
      <c r="AR719" s="1126"/>
      <c r="AS719" s="2160">
        <f>IF(AS660=0,0,AS683/AS660)</f>
        <v>0</v>
      </c>
      <c r="AT719" s="1126"/>
      <c r="AU719" s="1126"/>
      <c r="AV719" s="2160">
        <f>IF(AV660=0,0,AV683/AV660)</f>
        <v>0</v>
      </c>
      <c r="AW719" s="1126"/>
      <c r="AX719" s="1126"/>
      <c r="AY719" s="2160">
        <f>IF(AY660=0,0,AY683/AY660)</f>
        <v>0</v>
      </c>
      <c r="AZ719" s="1126"/>
      <c r="BA719" s="1126"/>
      <c r="BB719" s="2160">
        <f>IF(BB660=0,0,BB683/BB660)</f>
        <v>0</v>
      </c>
      <c r="BC719" s="1126"/>
      <c r="BD719" s="1126"/>
      <c r="BE719" s="2160">
        <f t="shared" ref="BE719:BT719" si="676">IF(BE660=0,0,BE683/BE660)</f>
        <v>0</v>
      </c>
      <c r="BF719" s="2160">
        <f t="shared" si="676"/>
        <v>0</v>
      </c>
      <c r="BG719" s="2160">
        <f t="shared" si="676"/>
        <v>0</v>
      </c>
      <c r="BH719" s="2160">
        <f t="shared" si="676"/>
        <v>0</v>
      </c>
      <c r="BI719" s="2160">
        <f t="shared" si="676"/>
        <v>0</v>
      </c>
      <c r="BJ719" s="2160">
        <f t="shared" si="676"/>
        <v>0</v>
      </c>
      <c r="BK719" s="2160">
        <f t="shared" si="676"/>
        <v>0</v>
      </c>
      <c r="BL719" s="2160">
        <f t="shared" si="676"/>
        <v>0</v>
      </c>
      <c r="BM719" s="2160">
        <f t="shared" si="676"/>
        <v>0</v>
      </c>
      <c r="BN719" s="2160">
        <f t="shared" si="676"/>
        <v>0</v>
      </c>
      <c r="BO719" s="2160">
        <f t="shared" si="676"/>
        <v>0</v>
      </c>
      <c r="BP719" s="2160">
        <f t="shared" si="676"/>
        <v>0</v>
      </c>
      <c r="BQ719" s="2160">
        <f t="shared" si="676"/>
        <v>0</v>
      </c>
      <c r="BR719" s="2160">
        <f t="shared" si="676"/>
        <v>0</v>
      </c>
      <c r="BS719" s="2160">
        <f t="shared" si="676"/>
        <v>0</v>
      </c>
      <c r="BT719" s="2160">
        <f t="shared" si="676"/>
        <v>0</v>
      </c>
      <c r="BU719" s="2163"/>
    </row>
    <row r="720" spans="37:73" s="536" customFormat="1" ht="12.5">
      <c r="AK720" s="1964"/>
      <c r="AL720" s="2144">
        <f t="shared" si="671"/>
        <v>21</v>
      </c>
      <c r="AM720" s="2162" t="s">
        <v>1433</v>
      </c>
      <c r="AN720" s="2159">
        <f>IF(AN664=0,0,IF(C78&lt;0,(AN665-AN667)/AN664,AN665/AN664))</f>
        <v>0</v>
      </c>
      <c r="AO720" s="1126"/>
      <c r="AP720" s="2160">
        <f>IF(AP664=0,0,IF(E78&lt;0,(AP665-AP667)/AP664,AP665/AP664))</f>
        <v>0</v>
      </c>
      <c r="AQ720" s="1969"/>
      <c r="AR720" s="1126"/>
      <c r="AS720" s="2160">
        <f>IF(AS664=0,0,IF(H78&lt;0,(AS665-AS667)/AS664,AS665/AS664))</f>
        <v>0</v>
      </c>
      <c r="AT720" s="1126"/>
      <c r="AU720" s="1126"/>
      <c r="AV720" s="2160">
        <f>IF(AV664=0,0,IF(K78&lt;0,(AV665-AV667)/AV664,AV665/AV664))</f>
        <v>0</v>
      </c>
      <c r="AW720" s="1126"/>
      <c r="AX720" s="1126"/>
      <c r="AY720" s="2160">
        <f>IF(AY664=0,0,IF(N78&lt;0,(AY665-AY667)/AY664,AY665/AY664))</f>
        <v>0</v>
      </c>
      <c r="AZ720" s="1126"/>
      <c r="BA720" s="1126"/>
      <c r="BB720" s="2160">
        <f>IF(BB664=0,0,IF(Q78&lt;0,(BB665-BB667)/BB664,BB665/BB664))</f>
        <v>0</v>
      </c>
      <c r="BC720" s="1126"/>
      <c r="BD720" s="1126"/>
      <c r="BE720" s="2160">
        <f t="shared" ref="BE720:BT720" si="677">IF(BE664=0,0,IF(T78&lt;0,(BE665-BE667)/BE664,BE665/BE664))</f>
        <v>0</v>
      </c>
      <c r="BF720" s="2160">
        <f t="shared" si="677"/>
        <v>0</v>
      </c>
      <c r="BG720" s="2160">
        <f t="shared" si="677"/>
        <v>0</v>
      </c>
      <c r="BH720" s="2160">
        <f t="shared" si="677"/>
        <v>0</v>
      </c>
      <c r="BI720" s="2160">
        <f t="shared" si="677"/>
        <v>0</v>
      </c>
      <c r="BJ720" s="2160">
        <f t="shared" si="677"/>
        <v>0</v>
      </c>
      <c r="BK720" s="2160">
        <f t="shared" si="677"/>
        <v>0</v>
      </c>
      <c r="BL720" s="2160">
        <f t="shared" si="677"/>
        <v>0</v>
      </c>
      <c r="BM720" s="2160">
        <f t="shared" si="677"/>
        <v>0</v>
      </c>
      <c r="BN720" s="2160">
        <f t="shared" si="677"/>
        <v>0</v>
      </c>
      <c r="BO720" s="2160">
        <f t="shared" si="677"/>
        <v>0</v>
      </c>
      <c r="BP720" s="2160">
        <f t="shared" si="677"/>
        <v>0</v>
      </c>
      <c r="BQ720" s="2160">
        <f t="shared" si="677"/>
        <v>0</v>
      </c>
      <c r="BR720" s="2160">
        <f t="shared" si="677"/>
        <v>0</v>
      </c>
      <c r="BS720" s="2160">
        <f t="shared" si="677"/>
        <v>0</v>
      </c>
      <c r="BT720" s="2160">
        <f t="shared" si="677"/>
        <v>0</v>
      </c>
      <c r="BU720" s="1970"/>
    </row>
    <row r="721" spans="37:73" s="536" customFormat="1" ht="12.5">
      <c r="AK721" s="1964"/>
      <c r="AL721" s="2152">
        <f t="shared" si="671"/>
        <v>22</v>
      </c>
      <c r="AM721" s="2164" t="s">
        <v>1434</v>
      </c>
      <c r="AN721" s="2165">
        <f>IF(AN660=0,0,AN679/AN660)</f>
        <v>0</v>
      </c>
      <c r="AO721" s="1126"/>
      <c r="AP721" s="2166">
        <f>IF(AP660=0,0,AP679/AP660)</f>
        <v>0</v>
      </c>
      <c r="AQ721" s="1969"/>
      <c r="AR721" s="1126"/>
      <c r="AS721" s="2166">
        <f>IF(AS660=0,0,AS679/AS660)</f>
        <v>0</v>
      </c>
      <c r="AT721" s="1126"/>
      <c r="AU721" s="1126"/>
      <c r="AV721" s="2166">
        <f>IF(AV660=0,0,AV679/AV660)</f>
        <v>0</v>
      </c>
      <c r="AW721" s="1126"/>
      <c r="AX721" s="1126"/>
      <c r="AY721" s="2166">
        <f>IF(AY660=0,0,AY679/AY660)</f>
        <v>0</v>
      </c>
      <c r="AZ721" s="1126"/>
      <c r="BA721" s="1126"/>
      <c r="BB721" s="2166">
        <f>IF(BB660=0,0,BB679/BB660)</f>
        <v>0</v>
      </c>
      <c r="BC721" s="1126"/>
      <c r="BD721" s="1126"/>
      <c r="BE721" s="2166">
        <f t="shared" ref="BE721:BT721" si="678">IF(BE660=0,0,BE679/BE660)</f>
        <v>0</v>
      </c>
      <c r="BF721" s="2166">
        <f t="shared" si="678"/>
        <v>0</v>
      </c>
      <c r="BG721" s="2166">
        <f t="shared" si="678"/>
        <v>0</v>
      </c>
      <c r="BH721" s="2166">
        <f t="shared" si="678"/>
        <v>0</v>
      </c>
      <c r="BI721" s="2166">
        <f t="shared" si="678"/>
        <v>0</v>
      </c>
      <c r="BJ721" s="2166">
        <f t="shared" si="678"/>
        <v>0</v>
      </c>
      <c r="BK721" s="2166">
        <f t="shared" si="678"/>
        <v>0</v>
      </c>
      <c r="BL721" s="2166">
        <f t="shared" si="678"/>
        <v>0</v>
      </c>
      <c r="BM721" s="2166">
        <f t="shared" si="678"/>
        <v>0</v>
      </c>
      <c r="BN721" s="2166">
        <f t="shared" si="678"/>
        <v>0</v>
      </c>
      <c r="BO721" s="2166">
        <f t="shared" si="678"/>
        <v>0</v>
      </c>
      <c r="BP721" s="2166">
        <f t="shared" si="678"/>
        <v>0</v>
      </c>
      <c r="BQ721" s="2166">
        <f t="shared" si="678"/>
        <v>0</v>
      </c>
      <c r="BR721" s="2166">
        <f t="shared" si="678"/>
        <v>0</v>
      </c>
      <c r="BS721" s="2166">
        <f t="shared" si="678"/>
        <v>0</v>
      </c>
      <c r="BT721" s="2166">
        <f t="shared" si="678"/>
        <v>0</v>
      </c>
      <c r="BU721" s="1970"/>
    </row>
    <row r="722" spans="37:73" s="1509" customFormat="1">
      <c r="AK722" s="2161"/>
      <c r="AL722" s="1965"/>
      <c r="AM722" s="2167"/>
      <c r="AN722" s="2168"/>
      <c r="AO722" s="533"/>
      <c r="AP722" s="2168"/>
      <c r="AQ722" s="533"/>
      <c r="AR722" s="533"/>
      <c r="AS722" s="2168"/>
      <c r="AT722" s="1967"/>
      <c r="AU722" s="1967"/>
      <c r="AV722" s="2168"/>
      <c r="AW722" s="533"/>
      <c r="AX722" s="1969"/>
      <c r="AY722" s="2168"/>
      <c r="AZ722" s="533"/>
      <c r="BA722" s="1969"/>
      <c r="BB722" s="2168"/>
      <c r="BC722" s="533"/>
      <c r="BD722" s="1969"/>
      <c r="BE722" s="2168"/>
      <c r="BF722" s="2168"/>
      <c r="BG722" s="2168"/>
      <c r="BH722" s="2168"/>
      <c r="BI722" s="2168"/>
      <c r="BJ722" s="2168"/>
      <c r="BK722" s="2168"/>
      <c r="BL722" s="2168"/>
      <c r="BM722" s="2168"/>
      <c r="BN722" s="2168"/>
      <c r="BO722" s="2168"/>
      <c r="BP722" s="1121"/>
      <c r="BQ722" s="1507"/>
      <c r="BU722" s="2163"/>
    </row>
    <row r="723" spans="37:73" s="536" customFormat="1">
      <c r="AK723" s="1964"/>
      <c r="AL723" s="2169"/>
      <c r="AM723" s="2158" t="s">
        <v>894</v>
      </c>
      <c r="AN723" s="2170"/>
      <c r="AO723" s="533"/>
      <c r="AP723" s="2170"/>
      <c r="AQ723" s="533"/>
      <c r="AR723" s="533"/>
      <c r="AS723" s="2170"/>
      <c r="AT723" s="1967"/>
      <c r="AU723" s="1967"/>
      <c r="AV723" s="2170"/>
      <c r="AW723" s="533"/>
      <c r="AX723" s="1969"/>
      <c r="AY723" s="2170"/>
      <c r="AZ723" s="533"/>
      <c r="BA723" s="1969"/>
      <c r="BB723" s="2170"/>
      <c r="BC723" s="533"/>
      <c r="BD723" s="1969"/>
      <c r="BE723" s="2170"/>
      <c r="BF723" s="2170"/>
      <c r="BG723" s="2170"/>
      <c r="BH723" s="2170"/>
      <c r="BI723" s="2170"/>
      <c r="BJ723" s="2170"/>
      <c r="BK723" s="2170"/>
      <c r="BL723" s="2170"/>
      <c r="BM723" s="2170"/>
      <c r="BN723" s="2170"/>
      <c r="BO723" s="2170"/>
      <c r="BP723" s="531"/>
      <c r="BQ723" s="696"/>
      <c r="BU723" s="1970"/>
    </row>
    <row r="724" spans="37:73" s="1509" customFormat="1" ht="12.5">
      <c r="AK724" s="2161"/>
      <c r="AL724" s="2140" t="str">
        <f>CONCATENATE(TEXT(AL725,"#")," A")</f>
        <v>23 A</v>
      </c>
      <c r="AM724" s="2141" t="s">
        <v>1435</v>
      </c>
      <c r="AN724" s="2142">
        <f>IF(AN660=0,0,AN587*AN584/AN660)</f>
        <v>0</v>
      </c>
      <c r="AO724" s="533"/>
      <c r="AP724" s="2143">
        <f>IF(AP660=0,0,AP587*AP584/AP660)</f>
        <v>0</v>
      </c>
      <c r="AQ724" s="1969"/>
      <c r="AR724" s="533"/>
      <c r="AS724" s="2143">
        <f>IF(AS660=0,0,AS587*AS584/AS660)</f>
        <v>0</v>
      </c>
      <c r="AT724" s="1967"/>
      <c r="AU724" s="1967"/>
      <c r="AV724" s="2143">
        <f>IF(AV660=0,0,AV587*AV584/AV660)</f>
        <v>0</v>
      </c>
      <c r="AW724" s="533"/>
      <c r="AX724" s="1969"/>
      <c r="AY724" s="2143">
        <f>IF(AY660=0,0,AY587*AY584/AY660)</f>
        <v>0</v>
      </c>
      <c r="AZ724" s="533"/>
      <c r="BA724" s="1969"/>
      <c r="BB724" s="2143">
        <f>IF(BB660=0,0,BB587*BB584/BB660)</f>
        <v>0</v>
      </c>
      <c r="BC724" s="533"/>
      <c r="BD724" s="1969"/>
      <c r="BE724" s="2143">
        <f t="shared" ref="BE724:BT724" si="679">IF(BE660=0,0,BE587*BE584/BE660)</f>
        <v>0</v>
      </c>
      <c r="BF724" s="2143">
        <f t="shared" si="679"/>
        <v>0</v>
      </c>
      <c r="BG724" s="2143">
        <f t="shared" si="679"/>
        <v>0</v>
      </c>
      <c r="BH724" s="2143">
        <f t="shared" si="679"/>
        <v>0</v>
      </c>
      <c r="BI724" s="2143">
        <f t="shared" si="679"/>
        <v>0</v>
      </c>
      <c r="BJ724" s="2143">
        <f t="shared" si="679"/>
        <v>0</v>
      </c>
      <c r="BK724" s="2143">
        <f t="shared" si="679"/>
        <v>0</v>
      </c>
      <c r="BL724" s="2143">
        <f t="shared" si="679"/>
        <v>0</v>
      </c>
      <c r="BM724" s="2143">
        <f t="shared" si="679"/>
        <v>0</v>
      </c>
      <c r="BN724" s="2143">
        <f t="shared" si="679"/>
        <v>0</v>
      </c>
      <c r="BO724" s="2143">
        <f t="shared" si="679"/>
        <v>0</v>
      </c>
      <c r="BP724" s="2143">
        <f t="shared" si="679"/>
        <v>0</v>
      </c>
      <c r="BQ724" s="2143">
        <f t="shared" si="679"/>
        <v>0</v>
      </c>
      <c r="BR724" s="2143">
        <f t="shared" si="679"/>
        <v>0</v>
      </c>
      <c r="BS724" s="2143">
        <f t="shared" si="679"/>
        <v>0</v>
      </c>
      <c r="BT724" s="2143">
        <f t="shared" si="679"/>
        <v>0</v>
      </c>
      <c r="BU724" s="2163"/>
    </row>
    <row r="725" spans="37:73" s="536" customFormat="1" ht="12.5">
      <c r="AK725" s="1964"/>
      <c r="AL725" s="2144">
        <f>AL721+1</f>
        <v>23</v>
      </c>
      <c r="AM725" s="2145" t="s">
        <v>1436</v>
      </c>
      <c r="AN725" s="2146">
        <f>IF(AN660=0,0,AN589*AN584/AN660)</f>
        <v>0</v>
      </c>
      <c r="AO725" s="533"/>
      <c r="AP725" s="2147">
        <f>IF(AP660=0,0,AP589*AP584/AP660)</f>
        <v>0</v>
      </c>
      <c r="AQ725" s="1969"/>
      <c r="AR725" s="533"/>
      <c r="AS725" s="2147">
        <f>IF(AS660=0,0,AS589*AS584/AS660)</f>
        <v>0</v>
      </c>
      <c r="AT725" s="1967"/>
      <c r="AU725" s="1967"/>
      <c r="AV725" s="2147">
        <f>IF(AV660=0,0,AV589*AV584/AV660)</f>
        <v>0</v>
      </c>
      <c r="AW725" s="533"/>
      <c r="AX725" s="1969"/>
      <c r="AY725" s="2147">
        <f>IF(AY660=0,0,AY589*AY584/AY660)</f>
        <v>0</v>
      </c>
      <c r="AZ725" s="533"/>
      <c r="BA725" s="1969"/>
      <c r="BB725" s="2147">
        <f>IF(BB660=0,0,BB589*BB584/BB660)</f>
        <v>0</v>
      </c>
      <c r="BC725" s="533"/>
      <c r="BD725" s="1969"/>
      <c r="BE725" s="2147">
        <f t="shared" ref="BE725:BT725" si="680">IF(BE660=0,0,BE589*BE584/BE660)</f>
        <v>0</v>
      </c>
      <c r="BF725" s="2147">
        <f t="shared" si="680"/>
        <v>0</v>
      </c>
      <c r="BG725" s="2147">
        <f t="shared" si="680"/>
        <v>0</v>
      </c>
      <c r="BH725" s="2147">
        <f t="shared" si="680"/>
        <v>0</v>
      </c>
      <c r="BI725" s="2147">
        <f t="shared" si="680"/>
        <v>0</v>
      </c>
      <c r="BJ725" s="2147">
        <f t="shared" si="680"/>
        <v>0</v>
      </c>
      <c r="BK725" s="2147">
        <f t="shared" si="680"/>
        <v>0</v>
      </c>
      <c r="BL725" s="2147">
        <f t="shared" si="680"/>
        <v>0</v>
      </c>
      <c r="BM725" s="2147">
        <f t="shared" si="680"/>
        <v>0</v>
      </c>
      <c r="BN725" s="2147">
        <f t="shared" si="680"/>
        <v>0</v>
      </c>
      <c r="BO725" s="2147">
        <f t="shared" si="680"/>
        <v>0</v>
      </c>
      <c r="BP725" s="2147">
        <f t="shared" si="680"/>
        <v>0</v>
      </c>
      <c r="BQ725" s="2147">
        <f t="shared" si="680"/>
        <v>0</v>
      </c>
      <c r="BR725" s="2147">
        <f t="shared" si="680"/>
        <v>0</v>
      </c>
      <c r="BS725" s="2147">
        <f t="shared" si="680"/>
        <v>0</v>
      </c>
      <c r="BT725" s="2147">
        <f t="shared" si="680"/>
        <v>0</v>
      </c>
      <c r="BU725" s="1970"/>
    </row>
    <row r="726" spans="37:73" s="536" customFormat="1" ht="12.5">
      <c r="AK726" s="1964"/>
      <c r="AL726" s="2144" t="str">
        <f>CONCATENATE(TEXT(AL727,"#")," A")</f>
        <v>24 A</v>
      </c>
      <c r="AM726" s="2145" t="s">
        <v>1437</v>
      </c>
      <c r="AN726" s="2146">
        <f>IF(AND(AN661=0,AN663=0),0,IF(AN661&lt;&gt;0,(AN593-AN591)*AN584/AN661,(AN593-AN591)*AN584/AN663))</f>
        <v>0</v>
      </c>
      <c r="AO726" s="533"/>
      <c r="AP726" s="2147">
        <f>IF(AND(AP661=0,AP663=0),0,IF(AP661&lt;&gt;0,(AP593-AP591)*AP584/AP661,(AP593-AP591)*AP584/AP663))</f>
        <v>0</v>
      </c>
      <c r="AQ726" s="1969"/>
      <c r="AR726" s="533"/>
      <c r="AS726" s="2147">
        <f>IF(AND(AS661=0,AS663=0),0,IF(AS661&lt;&gt;0,(AS593-AS591)*AS584/AS661,(AS593-AS591)*AS584/AS663))</f>
        <v>0</v>
      </c>
      <c r="AT726" s="1967"/>
      <c r="AU726" s="1967"/>
      <c r="AV726" s="2147">
        <f>IF(AND(AV661=0,AV663=0),0,IF(AV661&lt;&gt;0,(AV593-AV591)*AV584/AV661,(AV593-AV591)*AV584/AV663))</f>
        <v>0</v>
      </c>
      <c r="AW726" s="533"/>
      <c r="AX726" s="1969"/>
      <c r="AY726" s="2147">
        <f>IF(AND(AY661=0,AY663=0),0,IF(AY661&lt;&gt;0,(AY593-AY591)*AY584/AY661,(AY593-AY591)*AY584/AY663))</f>
        <v>0</v>
      </c>
      <c r="AZ726" s="533"/>
      <c r="BA726" s="1969"/>
      <c r="BB726" s="2147">
        <f>IF(AND(BB661=0,BB663=0),0,IF(BB661&lt;&gt;0,(BB593-BB591)*BB584/BB661,(BB593-BB591)*BB584/BB663))</f>
        <v>0</v>
      </c>
      <c r="BC726" s="533"/>
      <c r="BD726" s="1969"/>
      <c r="BE726" s="2147">
        <f t="shared" ref="BE726:BT726" si="681">IF(AND(BE661=0,BE663=0),0,IF(BE661&lt;&gt;0,(BE593-BE591)*BE584/BE661,(BE593-BE591)*BE584/BE663))</f>
        <v>0</v>
      </c>
      <c r="BF726" s="2147">
        <f t="shared" si="681"/>
        <v>0</v>
      </c>
      <c r="BG726" s="2147">
        <f t="shared" si="681"/>
        <v>0</v>
      </c>
      <c r="BH726" s="2147">
        <f t="shared" si="681"/>
        <v>0</v>
      </c>
      <c r="BI726" s="2147">
        <f t="shared" si="681"/>
        <v>0</v>
      </c>
      <c r="BJ726" s="2147">
        <f t="shared" si="681"/>
        <v>0</v>
      </c>
      <c r="BK726" s="2147">
        <f t="shared" si="681"/>
        <v>0</v>
      </c>
      <c r="BL726" s="2147">
        <f t="shared" si="681"/>
        <v>0</v>
      </c>
      <c r="BM726" s="2147">
        <f t="shared" si="681"/>
        <v>0</v>
      </c>
      <c r="BN726" s="2147">
        <f t="shared" si="681"/>
        <v>0</v>
      </c>
      <c r="BO726" s="2147">
        <f t="shared" si="681"/>
        <v>0</v>
      </c>
      <c r="BP726" s="2147">
        <f t="shared" si="681"/>
        <v>0</v>
      </c>
      <c r="BQ726" s="2147">
        <f t="shared" si="681"/>
        <v>0</v>
      </c>
      <c r="BR726" s="2147">
        <f t="shared" si="681"/>
        <v>0</v>
      </c>
      <c r="BS726" s="2147">
        <f t="shared" si="681"/>
        <v>0</v>
      </c>
      <c r="BT726" s="2147">
        <f t="shared" si="681"/>
        <v>0</v>
      </c>
      <c r="BU726" s="1970"/>
    </row>
    <row r="727" spans="37:73" s="536" customFormat="1" ht="12.5">
      <c r="AK727" s="1964"/>
      <c r="AL727" s="2144">
        <f>AL725+1</f>
        <v>24</v>
      </c>
      <c r="AM727" s="2145" t="s">
        <v>1438</v>
      </c>
      <c r="AN727" s="2146">
        <f>IF(AND(AN661=0,AN663=0),0,IF(AN661&lt;&gt;0,AN593*AN584/AN661,AN593*AN584/AN663))</f>
        <v>0</v>
      </c>
      <c r="AO727" s="533"/>
      <c r="AP727" s="2147">
        <f>IF(AND(AP661=0,AP663=0),0,IF(AP661&lt;&gt;0,AP593*AP584/AP661,AP593*AP584/AP663))</f>
        <v>0</v>
      </c>
      <c r="AQ727" s="1969"/>
      <c r="AR727" s="533"/>
      <c r="AS727" s="2147">
        <f>IF(AND(AS661=0,AS663=0),0,IF(AS661&lt;&gt;0,AS593*AS584/AS661,AS593*AS584/AS663))</f>
        <v>0</v>
      </c>
      <c r="AT727" s="1967"/>
      <c r="AU727" s="1967"/>
      <c r="AV727" s="2147">
        <f>IF(AND(AV661=0,AV663=0),0,IF(AV661&lt;&gt;0,AV593*AV584/AV661,AV593*AV584/AV663))</f>
        <v>0</v>
      </c>
      <c r="AW727" s="533"/>
      <c r="AX727" s="1969"/>
      <c r="AY727" s="2147">
        <f>IF(AND(AY661=0,AY663=0),0,IF(AY661&lt;&gt;0,AY593*AY584/AY661,AY593*AY584/AY663))</f>
        <v>0</v>
      </c>
      <c r="AZ727" s="533"/>
      <c r="BA727" s="1969"/>
      <c r="BB727" s="2147">
        <f>IF(AND(BB661=0,BB663=0),0,IF(BB661&lt;&gt;0,BB593*BB584/BB661,BB593*BB584/BB663))</f>
        <v>0</v>
      </c>
      <c r="BC727" s="533"/>
      <c r="BD727" s="1969"/>
      <c r="BE727" s="2147">
        <f t="shared" ref="BE727:BT727" si="682">IF(AND(BE661=0,BE663=0),0,IF(BE661&lt;&gt;0,BE593*BE584/BE661,BE593*BE584/BE663))</f>
        <v>0</v>
      </c>
      <c r="BF727" s="2147">
        <f t="shared" si="682"/>
        <v>0</v>
      </c>
      <c r="BG727" s="2147">
        <f t="shared" si="682"/>
        <v>0</v>
      </c>
      <c r="BH727" s="2147">
        <f t="shared" si="682"/>
        <v>0</v>
      </c>
      <c r="BI727" s="2147">
        <f t="shared" si="682"/>
        <v>0</v>
      </c>
      <c r="BJ727" s="2147">
        <f t="shared" si="682"/>
        <v>0</v>
      </c>
      <c r="BK727" s="2147">
        <f t="shared" si="682"/>
        <v>0</v>
      </c>
      <c r="BL727" s="2147">
        <f t="shared" si="682"/>
        <v>0</v>
      </c>
      <c r="BM727" s="2147">
        <f t="shared" si="682"/>
        <v>0</v>
      </c>
      <c r="BN727" s="2147">
        <f t="shared" si="682"/>
        <v>0</v>
      </c>
      <c r="BO727" s="2147">
        <f t="shared" si="682"/>
        <v>0</v>
      </c>
      <c r="BP727" s="2147">
        <f t="shared" si="682"/>
        <v>0</v>
      </c>
      <c r="BQ727" s="2147">
        <f t="shared" si="682"/>
        <v>0</v>
      </c>
      <c r="BR727" s="2147">
        <f t="shared" si="682"/>
        <v>0</v>
      </c>
      <c r="BS727" s="2147">
        <f t="shared" si="682"/>
        <v>0</v>
      </c>
      <c r="BT727" s="2147">
        <f t="shared" si="682"/>
        <v>0</v>
      </c>
      <c r="BU727" s="1970"/>
    </row>
    <row r="728" spans="37:73" s="536" customFormat="1" ht="12.5">
      <c r="AK728" s="1964"/>
      <c r="AL728" s="2144" t="str">
        <f>CONCATENATE(TEXT(AL729,"#")," A")</f>
        <v>25 A</v>
      </c>
      <c r="AM728" s="2145" t="s">
        <v>1439</v>
      </c>
      <c r="AN728" s="2146">
        <f>AN724+AN726</f>
        <v>0</v>
      </c>
      <c r="AO728" s="533"/>
      <c r="AP728" s="2147">
        <f>AP724+AP726</f>
        <v>0</v>
      </c>
      <c r="AQ728" s="1969"/>
      <c r="AR728" s="533"/>
      <c r="AS728" s="2147">
        <f>AS724+AS726</f>
        <v>0</v>
      </c>
      <c r="AT728" s="1967"/>
      <c r="AU728" s="1967"/>
      <c r="AV728" s="2147">
        <f>AV724+AV726</f>
        <v>0</v>
      </c>
      <c r="AW728" s="533"/>
      <c r="AX728" s="1969"/>
      <c r="AY728" s="2147">
        <f>AY724+AY726</f>
        <v>0</v>
      </c>
      <c r="AZ728" s="533"/>
      <c r="BA728" s="1969"/>
      <c r="BB728" s="2147">
        <f>BB724+BB726</f>
        <v>0</v>
      </c>
      <c r="BC728" s="533"/>
      <c r="BD728" s="1969"/>
      <c r="BE728" s="2147">
        <f t="shared" ref="BE728:BT728" si="683">BE724+BE726</f>
        <v>0</v>
      </c>
      <c r="BF728" s="2147">
        <f t="shared" si="683"/>
        <v>0</v>
      </c>
      <c r="BG728" s="2147">
        <f t="shared" si="683"/>
        <v>0</v>
      </c>
      <c r="BH728" s="2147">
        <f t="shared" si="683"/>
        <v>0</v>
      </c>
      <c r="BI728" s="2147">
        <f t="shared" si="683"/>
        <v>0</v>
      </c>
      <c r="BJ728" s="2147">
        <f t="shared" si="683"/>
        <v>0</v>
      </c>
      <c r="BK728" s="2147">
        <f t="shared" si="683"/>
        <v>0</v>
      </c>
      <c r="BL728" s="2147">
        <f t="shared" si="683"/>
        <v>0</v>
      </c>
      <c r="BM728" s="2147">
        <f t="shared" si="683"/>
        <v>0</v>
      </c>
      <c r="BN728" s="2147">
        <f t="shared" si="683"/>
        <v>0</v>
      </c>
      <c r="BO728" s="2147">
        <f t="shared" si="683"/>
        <v>0</v>
      </c>
      <c r="BP728" s="2147">
        <f t="shared" si="683"/>
        <v>0</v>
      </c>
      <c r="BQ728" s="2147">
        <f t="shared" si="683"/>
        <v>0</v>
      </c>
      <c r="BR728" s="2147">
        <f t="shared" si="683"/>
        <v>0</v>
      </c>
      <c r="BS728" s="2147">
        <f t="shared" si="683"/>
        <v>0</v>
      </c>
      <c r="BT728" s="2147">
        <f t="shared" si="683"/>
        <v>0</v>
      </c>
      <c r="BU728" s="1970"/>
    </row>
    <row r="729" spans="37:73" s="536" customFormat="1" ht="12.5">
      <c r="AK729" s="1964"/>
      <c r="AL729" s="2144">
        <f>AL727+1</f>
        <v>25</v>
      </c>
      <c r="AM729" s="2145" t="s">
        <v>1440</v>
      </c>
      <c r="AN729" s="2146">
        <f>AN725+AN727</f>
        <v>0</v>
      </c>
      <c r="AO729" s="533"/>
      <c r="AP729" s="2147">
        <f>AP725+AP727</f>
        <v>0</v>
      </c>
      <c r="AQ729" s="1969"/>
      <c r="AR729" s="533"/>
      <c r="AS729" s="2147">
        <f>AS725+AS727</f>
        <v>0</v>
      </c>
      <c r="AT729" s="1967"/>
      <c r="AU729" s="1967"/>
      <c r="AV729" s="2147">
        <f>AV725+AV727</f>
        <v>0</v>
      </c>
      <c r="AW729" s="533"/>
      <c r="AX729" s="1969"/>
      <c r="AY729" s="2147">
        <f>AY725+AY727</f>
        <v>0</v>
      </c>
      <c r="AZ729" s="533"/>
      <c r="BA729" s="1969"/>
      <c r="BB729" s="2147">
        <f>BB725+BB727</f>
        <v>0</v>
      </c>
      <c r="BC729" s="533"/>
      <c r="BD729" s="1969"/>
      <c r="BE729" s="2147">
        <f t="shared" ref="BE729:BT729" si="684">BE725+BE727</f>
        <v>0</v>
      </c>
      <c r="BF729" s="2147">
        <f t="shared" si="684"/>
        <v>0</v>
      </c>
      <c r="BG729" s="2147">
        <f t="shared" si="684"/>
        <v>0</v>
      </c>
      <c r="BH729" s="2147">
        <f t="shared" si="684"/>
        <v>0</v>
      </c>
      <c r="BI729" s="2147">
        <f t="shared" si="684"/>
        <v>0</v>
      </c>
      <c r="BJ729" s="2147">
        <f t="shared" si="684"/>
        <v>0</v>
      </c>
      <c r="BK729" s="2147">
        <f t="shared" si="684"/>
        <v>0</v>
      </c>
      <c r="BL729" s="2147">
        <f t="shared" si="684"/>
        <v>0</v>
      </c>
      <c r="BM729" s="2147">
        <f t="shared" si="684"/>
        <v>0</v>
      </c>
      <c r="BN729" s="2147">
        <f t="shared" si="684"/>
        <v>0</v>
      </c>
      <c r="BO729" s="2147">
        <f t="shared" si="684"/>
        <v>0</v>
      </c>
      <c r="BP729" s="2147">
        <f t="shared" si="684"/>
        <v>0</v>
      </c>
      <c r="BQ729" s="2147">
        <f t="shared" si="684"/>
        <v>0</v>
      </c>
      <c r="BR729" s="2147">
        <f t="shared" si="684"/>
        <v>0</v>
      </c>
      <c r="BS729" s="2147">
        <f t="shared" si="684"/>
        <v>0</v>
      </c>
      <c r="BT729" s="2147">
        <f t="shared" si="684"/>
        <v>0</v>
      </c>
      <c r="BU729" s="1970"/>
    </row>
    <row r="730" spans="37:73" s="536" customFormat="1" ht="12.5">
      <c r="AK730" s="1964"/>
      <c r="AL730" s="2152">
        <f>AL729+1</f>
        <v>26</v>
      </c>
      <c r="AM730" s="2153" t="s">
        <v>1441</v>
      </c>
      <c r="AN730" s="2154">
        <f>IF(AND(AN661=0,AN663=0),0,IF(AN661&lt;&gt;0,AN623*AN584/AN661,AN623*AN584/AN663))</f>
        <v>0</v>
      </c>
      <c r="AO730" s="533"/>
      <c r="AP730" s="2155">
        <f>IF(AND(AP661=0,AP663=0),0,IF(AP661&lt;&gt;0,AP623*AP584/AP661,AP623*AP584/AP663))</f>
        <v>0</v>
      </c>
      <c r="AQ730" s="1969"/>
      <c r="AR730" s="533"/>
      <c r="AS730" s="2155">
        <f>IF(AND(AS661=0,AS663=0),0,IF(AS661&lt;&gt;0,AS623*AS584/AS661,AS623*AS584/AS663))</f>
        <v>0</v>
      </c>
      <c r="AT730" s="1967"/>
      <c r="AU730" s="1967"/>
      <c r="AV730" s="2155">
        <f>IF(AND(AV661=0,AV663=0),0,IF(AV661&lt;&gt;0,AV623*AV584/AV661,AV623*AV584/AV663))</f>
        <v>0</v>
      </c>
      <c r="AW730" s="533"/>
      <c r="AX730" s="1969"/>
      <c r="AY730" s="2155">
        <f>IF(AND(AY661=0,AY663=0),0,IF(AY661&lt;&gt;0,AY623*AY584/AY661,AY623*AY584/AY663))</f>
        <v>0</v>
      </c>
      <c r="AZ730" s="533"/>
      <c r="BA730" s="1969"/>
      <c r="BB730" s="2155">
        <f>IF(AND(BB661=0,BB663=0),0,IF(BB661&lt;&gt;0,BB623*BB584/BB661,BB623*BB584/BB663))</f>
        <v>0</v>
      </c>
      <c r="BC730" s="533"/>
      <c r="BD730" s="1969"/>
      <c r="BE730" s="2155">
        <f t="shared" ref="BE730:BT730" si="685">IF(AND(BE661=0,BE663=0),0,IF(BE661&lt;&gt;0,BE623*BE584/BE661,BE623*BE584/BE663))</f>
        <v>0</v>
      </c>
      <c r="BF730" s="2155">
        <f t="shared" si="685"/>
        <v>0</v>
      </c>
      <c r="BG730" s="2155">
        <f t="shared" si="685"/>
        <v>0</v>
      </c>
      <c r="BH730" s="2155">
        <f t="shared" si="685"/>
        <v>0</v>
      </c>
      <c r="BI730" s="2155">
        <f t="shared" si="685"/>
        <v>0</v>
      </c>
      <c r="BJ730" s="2155">
        <f t="shared" si="685"/>
        <v>0</v>
      </c>
      <c r="BK730" s="2155">
        <f t="shared" si="685"/>
        <v>0</v>
      </c>
      <c r="BL730" s="2155">
        <f t="shared" si="685"/>
        <v>0</v>
      </c>
      <c r="BM730" s="2155">
        <f t="shared" si="685"/>
        <v>0</v>
      </c>
      <c r="BN730" s="2155">
        <f t="shared" si="685"/>
        <v>0</v>
      </c>
      <c r="BO730" s="2155">
        <f t="shared" si="685"/>
        <v>0</v>
      </c>
      <c r="BP730" s="2155">
        <f t="shared" si="685"/>
        <v>0</v>
      </c>
      <c r="BQ730" s="2155">
        <f t="shared" si="685"/>
        <v>0</v>
      </c>
      <c r="BR730" s="2155">
        <f t="shared" si="685"/>
        <v>0</v>
      </c>
      <c r="BS730" s="2155">
        <f t="shared" si="685"/>
        <v>0</v>
      </c>
      <c r="BT730" s="2155">
        <f t="shared" si="685"/>
        <v>0</v>
      </c>
      <c r="BU730" s="1970"/>
    </row>
    <row r="731" spans="37:73" s="536" customFormat="1">
      <c r="AK731" s="1964"/>
      <c r="AL731" s="1965"/>
      <c r="AM731" s="2126"/>
      <c r="AN731" s="2157"/>
      <c r="AO731" s="533"/>
      <c r="AP731" s="2157"/>
      <c r="AQ731" s="533"/>
      <c r="AR731" s="533"/>
      <c r="AS731" s="2157"/>
      <c r="AT731" s="1967"/>
      <c r="AU731" s="1967"/>
      <c r="AV731" s="2157"/>
      <c r="AW731" s="533"/>
      <c r="AX731" s="1969"/>
      <c r="AY731" s="2157"/>
      <c r="AZ731" s="533"/>
      <c r="BA731" s="1969"/>
      <c r="BB731" s="2157"/>
      <c r="BC731" s="533"/>
      <c r="BD731" s="1969"/>
      <c r="BE731" s="2157"/>
      <c r="BF731" s="2157"/>
      <c r="BG731" s="2157"/>
      <c r="BH731" s="2157"/>
      <c r="BI731" s="2157"/>
      <c r="BJ731" s="2157"/>
      <c r="BK731" s="2157"/>
      <c r="BL731" s="2157"/>
      <c r="BM731" s="2157"/>
      <c r="BN731" s="2157"/>
      <c r="BO731" s="2157"/>
      <c r="BP731" s="531"/>
      <c r="BQ731" s="2124"/>
      <c r="BU731" s="1970"/>
    </row>
    <row r="732" spans="37:73" s="536" customFormat="1">
      <c r="AK732" s="1964"/>
      <c r="AL732" s="1965"/>
      <c r="AM732" s="2158" t="s">
        <v>1442</v>
      </c>
      <c r="AN732" s="2157"/>
      <c r="AO732" s="533"/>
      <c r="AP732" s="2157"/>
      <c r="AQ732" s="533"/>
      <c r="AR732" s="533"/>
      <c r="AS732" s="2157"/>
      <c r="AT732" s="1967"/>
      <c r="AU732" s="1967"/>
      <c r="AV732" s="2157"/>
      <c r="AW732" s="533"/>
      <c r="AX732" s="1969"/>
      <c r="AY732" s="2157"/>
      <c r="AZ732" s="533"/>
      <c r="BA732" s="1969"/>
      <c r="BB732" s="2157"/>
      <c r="BC732" s="533"/>
      <c r="BD732" s="1969"/>
      <c r="BE732" s="2157"/>
      <c r="BF732" s="2157"/>
      <c r="BG732" s="2157"/>
      <c r="BH732" s="2157"/>
      <c r="BI732" s="2157"/>
      <c r="BJ732" s="2157"/>
      <c r="BK732" s="2157"/>
      <c r="BL732" s="2157"/>
      <c r="BM732" s="2157"/>
      <c r="BN732" s="2157"/>
      <c r="BO732" s="2157"/>
      <c r="BP732" s="531"/>
      <c r="BQ732" s="696"/>
      <c r="BU732" s="1970"/>
    </row>
    <row r="733" spans="37:73" s="536" customFormat="1" ht="12.5">
      <c r="AK733" s="1964"/>
      <c r="AL733" s="2140">
        <f>AL730+1</f>
        <v>27</v>
      </c>
      <c r="AM733" s="2141" t="s">
        <v>1443</v>
      </c>
      <c r="AN733" s="2142">
        <f>AN598-AN592-AN632</f>
        <v>0</v>
      </c>
      <c r="AO733" s="533"/>
      <c r="AP733" s="2143">
        <f>AP598-AP592-AP632</f>
        <v>0</v>
      </c>
      <c r="AQ733" s="1969"/>
      <c r="AR733" s="533"/>
      <c r="AS733" s="2143">
        <f>AS598-AS592-AS632</f>
        <v>0</v>
      </c>
      <c r="AT733" s="1967"/>
      <c r="AU733" s="1967"/>
      <c r="AV733" s="2143">
        <f>AV598-AV592-AV632</f>
        <v>0</v>
      </c>
      <c r="AW733" s="533"/>
      <c r="AX733" s="1969"/>
      <c r="AY733" s="2143">
        <f>AY598-AY592-AY632</f>
        <v>0</v>
      </c>
      <c r="AZ733" s="533"/>
      <c r="BA733" s="1969"/>
      <c r="BB733" s="2143">
        <f>BB598-BB592-BB632</f>
        <v>0</v>
      </c>
      <c r="BC733" s="533"/>
      <c r="BD733" s="1969"/>
      <c r="BE733" s="2143">
        <f t="shared" ref="BE733:BT733" si="686">BE598-BE592-BE632</f>
        <v>0</v>
      </c>
      <c r="BF733" s="2143">
        <f t="shared" si="686"/>
        <v>0</v>
      </c>
      <c r="BG733" s="2143">
        <f t="shared" si="686"/>
        <v>0</v>
      </c>
      <c r="BH733" s="2143">
        <f t="shared" si="686"/>
        <v>0</v>
      </c>
      <c r="BI733" s="2143">
        <f t="shared" si="686"/>
        <v>0</v>
      </c>
      <c r="BJ733" s="2143">
        <f t="shared" si="686"/>
        <v>0</v>
      </c>
      <c r="BK733" s="2143">
        <f t="shared" si="686"/>
        <v>0</v>
      </c>
      <c r="BL733" s="2143">
        <f t="shared" si="686"/>
        <v>0</v>
      </c>
      <c r="BM733" s="2143">
        <f t="shared" si="686"/>
        <v>0</v>
      </c>
      <c r="BN733" s="2143">
        <f t="shared" si="686"/>
        <v>0</v>
      </c>
      <c r="BO733" s="2143">
        <f t="shared" si="686"/>
        <v>0</v>
      </c>
      <c r="BP733" s="2143">
        <f t="shared" si="686"/>
        <v>0</v>
      </c>
      <c r="BQ733" s="2143">
        <f t="shared" si="686"/>
        <v>0</v>
      </c>
      <c r="BR733" s="2143">
        <f t="shared" si="686"/>
        <v>0</v>
      </c>
      <c r="BS733" s="2143">
        <f t="shared" si="686"/>
        <v>0</v>
      </c>
      <c r="BT733" s="2143">
        <f t="shared" si="686"/>
        <v>0</v>
      </c>
      <c r="BU733" s="1970"/>
    </row>
    <row r="734" spans="37:73" s="536" customFormat="1" ht="12.5">
      <c r="AK734" s="1964"/>
      <c r="AL734" s="2144">
        <f t="shared" ref="AL734:AL739" si="687">AL733+1</f>
        <v>28</v>
      </c>
      <c r="AM734" s="2145" t="s">
        <v>1444</v>
      </c>
      <c r="AN734" s="2146">
        <f>SUM(AN589,AN593)-SUM(AN619,AN623,AN627)</f>
        <v>0</v>
      </c>
      <c r="AO734" s="533"/>
      <c r="AP734" s="2147">
        <f>SUM(AP589,AP593,'Estados Financieros'!E44)-SUM(AP619,AP623,AP627)</f>
        <v>0</v>
      </c>
      <c r="AQ734" s="1969"/>
      <c r="AR734" s="533"/>
      <c r="AS734" s="2147">
        <f>SUM(AS589,AS593,'Estados Financieros'!F44)-SUM(AS619,AS623,AS627)</f>
        <v>0</v>
      </c>
      <c r="AT734" s="1967"/>
      <c r="AU734" s="1967"/>
      <c r="AV734" s="2147">
        <f>SUM(AV589,AV593,'Estados Financieros'!I44)-SUM(AV619,AV623,AV627)</f>
        <v>0</v>
      </c>
      <c r="AW734" s="533"/>
      <c r="AX734" s="1969"/>
      <c r="AY734" s="2147">
        <f>SUM(AY589,AY593,'Estados Financieros'!G44)-SUM(AY619,AY623,AY627)</f>
        <v>0</v>
      </c>
      <c r="AZ734" s="533"/>
      <c r="BA734" s="1969"/>
      <c r="BB734" s="2147">
        <f>SUM(BB589,BB593,'Estados Financieros'!H44)-SUM(BB619,BB623,BB627)</f>
        <v>0</v>
      </c>
      <c r="BC734" s="533"/>
      <c r="BD734" s="1969"/>
      <c r="BE734" s="2147">
        <f>SUM(BE589,BE593,BE594*((IF($AP$594=0,0,'Estados Financieros'!$E$44/$AP$594)*IF(AND($C$241&lt;&gt;0,$C$241&lt;&gt;0),SUM($E$241,$C$241/2),$E$241))+(IF($AS$594=0,0,'Estados Financieros'!$F$44/$AS$594)*IF(AND($C$241&lt;&gt;0,$C$241&lt;&gt;0),SUM($H$241,$C$241/2),$H$241))+(IF($AY$594=0,0,'Estados Financieros'!$G$44/$AY$594)*$N$241)+(IF($BB$594=0,0,'Estados Financieros'!$H$44/$BB$594)*$Q$241)))-SUM(BE619,BE623,BE627)</f>
        <v>0</v>
      </c>
      <c r="BF734" s="2147">
        <f>SUM(BF589,BF593,BF594*((IF($AP$594=0,0,'Estados Financieros'!$E$44/$AP$594)*IF(AND($C$241&lt;&gt;0,$C$241&lt;&gt;0),SUM($E$241,$C$241/2),$E$241))+(IF($AS$594=0,0,'Estados Financieros'!$F$44/$AS$594)*IF(AND($C$241&lt;&gt;0,$C$241&lt;&gt;0),SUM($H$241,$C$241/2),$H$241))+(IF($AY$594=0,0,'Estados Financieros'!$G$44/$AY$594)*$N$241)+(IF($BB$594=0,0,'Estados Financieros'!$H$44/$BB$594)*$Q$241)))-SUM(BF619,BF623,BF627)</f>
        <v>0</v>
      </c>
      <c r="BG734" s="2147">
        <f>SUM(BG589,BG593,BG594*((IF($AP$594=0,0,'Estados Financieros'!$E$44/$AP$594)*IF(AND($C$241&lt;&gt;0,$C$241&lt;&gt;0),SUM($E$241,$C$241/2),$E$241))+(IF($AS$594=0,0,'Estados Financieros'!$F$44/$AS$594)*IF(AND($C$241&lt;&gt;0,$C$241&lt;&gt;0),SUM($H$241,$C$241/2),$H$241))+(IF($AY$594=0,0,'Estados Financieros'!$G$44/$AY$594)*$N$241)+(IF($BB$594=0,0,'Estados Financieros'!$H$44/$BB$594)*$Q$241)))-SUM(BG619,BG623,BG627)</f>
        <v>0</v>
      </c>
      <c r="BH734" s="2147">
        <f>SUM(BH589,BH593,BH594*((IF($AP$594=0,0,'Estados Financieros'!$E$44/$AP$594)*IF(AND($C$241&lt;&gt;0,$C$241&lt;&gt;0),SUM($E$241,$C$241/2),$E$241))+(IF($AS$594=0,0,'Estados Financieros'!$F$44/$AS$594)*IF(AND($C$241&lt;&gt;0,$C$241&lt;&gt;0),SUM($H$241,$C$241/2),$H$241))+(IF($AY$594=0,0,'Estados Financieros'!$G$44/$AY$594)*$N$241)+(IF($BB$594=0,0,'Estados Financieros'!$H$44/$BB$594)*$Q$241)))-SUM(BH619,BH623,BH627)</f>
        <v>0</v>
      </c>
      <c r="BI734" s="2147">
        <f>SUM(BI589,BI593,BI594*((IF($AP$594=0,0,'Estados Financieros'!$E$44/$AP$594)*IF(AND($C$241&lt;&gt;0,$C$241&lt;&gt;0),SUM($E$241,$C$241/2),$E$241))+(IF($AS$594=0,0,'Estados Financieros'!$F$44/$AS$594)*IF(AND($C$241&lt;&gt;0,$C$241&lt;&gt;0),SUM($H$241,$C$241/2),$H$241))+(IF($AY$594=0,0,'Estados Financieros'!$G$44/$AY$594)*$N$241)+(IF($BB$594=0,0,'Estados Financieros'!$H$44/$BB$594)*$Q$241)))-SUM(BI619,BI623,BI627)</f>
        <v>0</v>
      </c>
      <c r="BJ734" s="2147">
        <f>SUM(BJ589,BJ593,BJ594*((IF($AP$594=0,0,'Estados Financieros'!$E$44/$AP$594)*IF(AND($C$241&lt;&gt;0,$C$241&lt;&gt;0),SUM($E$241,$C$241/2),$E$241))+(IF($AS$594=0,0,'Estados Financieros'!$F$44/$AS$594)*IF(AND($C$241&lt;&gt;0,$C$241&lt;&gt;0),SUM($H$241,$C$241/2),$H$241))+(IF($AY$594=0,0,'Estados Financieros'!$G$44/$AY$594)*$N$241)+(IF($BB$594=0,0,'Estados Financieros'!$H$44/$BB$594)*$Q$241)))-SUM(BJ619,BJ623,BJ627)</f>
        <v>0</v>
      </c>
      <c r="BK734" s="2147">
        <f>SUM(BK589,BK593,BK594*((IF($AP$594=0,0,'Estados Financieros'!$E$44/$AP$594)*IF(AND($C$241&lt;&gt;0,$C$241&lt;&gt;0),SUM($E$241,$C$241/2),$E$241))+(IF($AS$594=0,0,'Estados Financieros'!$F$44/$AS$594)*IF(AND($C$241&lt;&gt;0,$C$241&lt;&gt;0),SUM($H$241,$C$241/2),$H$241))+(IF($AY$594=0,0,'Estados Financieros'!$G$44/$AY$594)*$N$241)+(IF($BB$594=0,0,'Estados Financieros'!$H$44/$BB$594)*$Q$241)))-SUM(BK619,BK623,BK627)</f>
        <v>0</v>
      </c>
      <c r="BL734" s="2147">
        <f>SUM(BL589,BL593,BL594*((IF($AP$594=0,0,'Estados Financieros'!$E$44/$AP$594)*IF(AND($C$241&lt;&gt;0,$C$241&lt;&gt;0),SUM($E$241,$C$241/2),$E$241))+(IF($AS$594=0,0,'Estados Financieros'!$F$44/$AS$594)*IF(AND($C$241&lt;&gt;0,$C$241&lt;&gt;0),SUM($H$241,$C$241/2),$H$241))+(IF($AY$594=0,0,'Estados Financieros'!$G$44/$AY$594)*$N$241)+(IF($BB$594=0,0,'Estados Financieros'!$H$44/$BB$594)*$Q$241)))-SUM(BL619,BL623,BL627)</f>
        <v>0</v>
      </c>
      <c r="BM734" s="2147">
        <f>SUM(BM589,BM593,BM594*((IF($AP$594=0,0,'Estados Financieros'!$E$44/$AP$594)*IF(AND($C$241&lt;&gt;0,$C$241&lt;&gt;0),SUM($E$241,$C$241/2),$E$241))+(IF($AS$594=0,0,'Estados Financieros'!$F$44/$AS$594)*IF(AND($C$241&lt;&gt;0,$C$241&lt;&gt;0),SUM($H$241,$C$241/2),$H$241))+(IF($AY$594=0,0,'Estados Financieros'!$G$44/$AY$594)*$N$241)+(IF($BB$594=0,0,'Estados Financieros'!$H$44/$BB$594)*$Q$241)))-SUM(BM619,BM623,BM627)</f>
        <v>0</v>
      </c>
      <c r="BN734" s="2147">
        <f>SUM(BN589,BN593,BN594*((IF($AP$594=0,0,'Estados Financieros'!$E$44/$AP$594)*IF(AND($C$241&lt;&gt;0,$C$241&lt;&gt;0),SUM($E$241,$C$241/2),$E$241))+(IF($AS$594=0,0,'Estados Financieros'!$F$44/$AS$594)*IF(AND($C$241&lt;&gt;0,$C$241&lt;&gt;0),SUM($H$241,$C$241/2),$H$241))+(IF($AY$594=0,0,'Estados Financieros'!$G$44/$AY$594)*$N$241)+(IF($BB$594=0,0,'Estados Financieros'!$H$44/$BB$594)*$Q$241)))-SUM(BN619,BN623,BN627)</f>
        <v>0</v>
      </c>
      <c r="BO734" s="2147">
        <f>SUM(BO589,BO593,BO594*((IF($AP$594=0,0,'Estados Financieros'!$E$44/$AP$594)*IF(AND($C$241&lt;&gt;0,$C$241&lt;&gt;0),SUM($E$241,$C$241/2),$E$241))+(IF($AS$594=0,0,'Estados Financieros'!$F$44/$AS$594)*IF(AND($C$241&lt;&gt;0,$C$241&lt;&gt;0),SUM($H$241,$C$241/2),$H$241))+(IF($AY$594=0,0,'Estados Financieros'!$G$44/$AY$594)*$N$241)+(IF($BB$594=0,0,'Estados Financieros'!$H$44/$BB$594)*$Q$241)))-SUM(BO619,BO623,BO627)</f>
        <v>0</v>
      </c>
      <c r="BP734" s="2147">
        <f>SUM(BP589,BP593,BP594*((IF($AP$594=0,0,'Estados Financieros'!$E$44/$AP$594)*IF(AND($C$241&lt;&gt;0,$C$241&lt;&gt;0),SUM($E$241,$C$241/2),$E$241))+(IF($AS$594=0,0,'Estados Financieros'!$F$44/$AS$594)*IF(AND($C$241&lt;&gt;0,$C$241&lt;&gt;0),SUM($H$241,$C$241/2),$H$241))+(IF($AY$594=0,0,'Estados Financieros'!$G$44/$AY$594)*$N$241)+(IF($BB$594=0,0,'Estados Financieros'!$H$44/$BB$594)*$Q$241)))-SUM(BP619,BP623,BP627)</f>
        <v>0</v>
      </c>
      <c r="BQ734" s="2147">
        <f>SUM(BQ589,BQ593,BQ594*((IF($AP$594=0,0,'Estados Financieros'!$E$44/$AP$594)*IF(AND($C$241&lt;&gt;0,$C$241&lt;&gt;0),SUM($E$241,$C$241/2),$E$241))+(IF($AS$594=0,0,'Estados Financieros'!$F$44/$AS$594)*IF(AND($C$241&lt;&gt;0,$C$241&lt;&gt;0),SUM($H$241,$C$241/2),$H$241))+(IF($AY$594=0,0,'Estados Financieros'!$G$44/$AY$594)*$N$241)+(IF($BB$594=0,0,'Estados Financieros'!$H$44/$BB$594)*$Q$241)))-SUM(BQ619,BQ623,BQ627)</f>
        <v>0</v>
      </c>
      <c r="BR734" s="2147">
        <f>SUM(BR589,BR593,BR594*((IF($AP$594=0,0,'Estados Financieros'!$E$44/$AP$594)*IF(AND($C$241&lt;&gt;0,$C$241&lt;&gt;0),SUM($E$241,$C$241/2),$E$241))+(IF($AS$594=0,0,'Estados Financieros'!$F$44/$AS$594)*IF(AND($C$241&lt;&gt;0,$C$241&lt;&gt;0),SUM($H$241,$C$241/2),$H$241))+(IF($AY$594=0,0,'Estados Financieros'!$G$44/$AY$594)*$N$241)+(IF($BB$594=0,0,'Estados Financieros'!$H$44/$BB$594)*$Q$241)))-SUM(BR619,BR623,BR627)</f>
        <v>0</v>
      </c>
      <c r="BS734" s="2147">
        <f>SUM(BS589,BS593,BS594*((IF($AP$594=0,0,'Estados Financieros'!$E$44/$AP$594)*IF(AND($C$241&lt;&gt;0,$C$241&lt;&gt;0),SUM($E$241,$C$241/2),$E$241))+(IF($AS$594=0,0,'Estados Financieros'!$F$44/$AS$594)*IF(AND($C$241&lt;&gt;0,$C$241&lt;&gt;0),SUM($H$241,$C$241/2),$H$241))+(IF($AY$594=0,0,'Estados Financieros'!$G$44/$AY$594)*$N$241)+(IF($BB$594=0,0,'Estados Financieros'!$H$44/$BB$594)*$Q$241)))-SUM(BS619,BS623,BS627)</f>
        <v>0</v>
      </c>
      <c r="BT734" s="2147">
        <f>SUM(BT589,BT593,BT594*((IF($AP$594=0,0,'Estados Financieros'!$E$44/$AP$594)*IF(AND($C$241&lt;&gt;0,$C$241&lt;&gt;0),SUM($E$241,$C$241/2),$E$241))+(IF($AS$594=0,0,'Estados Financieros'!$F$44/$AS$594)*IF(AND($C$241&lt;&gt;0,$C$241&lt;&gt;0),SUM($H$241,$C$241/2),$H$241))+(IF($AY$594=0,0,'Estados Financieros'!$G$44/$AY$594)*$N$241)+(IF($BB$594=0,0,'Estados Financieros'!$H$44/$BB$594)*$Q$241)))-SUM(BT619,BT623,BT627)</f>
        <v>0</v>
      </c>
      <c r="BU734" s="1970"/>
    </row>
    <row r="735" spans="37:73" s="536" customFormat="1" ht="12.5">
      <c r="AK735" s="1964"/>
      <c r="AL735" s="2144">
        <f t="shared" si="687"/>
        <v>29</v>
      </c>
      <c r="AM735" s="2145" t="s">
        <v>1445</v>
      </c>
      <c r="AN735" s="2171">
        <f>IF(AN632=0,0,AN598/AN632)</f>
        <v>0</v>
      </c>
      <c r="AO735" s="533"/>
      <c r="AP735" s="2172">
        <f>IF(AP632=0,0,AP598/AP632)</f>
        <v>0</v>
      </c>
      <c r="AQ735" s="1969"/>
      <c r="AR735" s="533"/>
      <c r="AS735" s="2172">
        <f>IF(AS632=0,0,AS598/AS632)</f>
        <v>0</v>
      </c>
      <c r="AT735" s="1967"/>
      <c r="AU735" s="1967"/>
      <c r="AV735" s="2172">
        <f>IF(AV632=0,0,AV598/AV632)</f>
        <v>0</v>
      </c>
      <c r="AW735" s="533"/>
      <c r="AX735" s="1969"/>
      <c r="AY735" s="2172">
        <f>IF(AY632=0,0,AY598/AY632)</f>
        <v>0</v>
      </c>
      <c r="AZ735" s="533"/>
      <c r="BA735" s="1969"/>
      <c r="BB735" s="2172">
        <f>IF(BB632=0,0,BB598/BB632)</f>
        <v>0</v>
      </c>
      <c r="BC735" s="533"/>
      <c r="BD735" s="1969"/>
      <c r="BE735" s="2172">
        <f t="shared" ref="BE735:BT735" si="688">IF(BE632=0,0,BE598/BE632)</f>
        <v>0</v>
      </c>
      <c r="BF735" s="2172">
        <f t="shared" si="688"/>
        <v>0</v>
      </c>
      <c r="BG735" s="2172">
        <f t="shared" si="688"/>
        <v>0</v>
      </c>
      <c r="BH735" s="2172">
        <f t="shared" si="688"/>
        <v>0</v>
      </c>
      <c r="BI735" s="2172">
        <f t="shared" si="688"/>
        <v>0</v>
      </c>
      <c r="BJ735" s="2172">
        <f t="shared" si="688"/>
        <v>0</v>
      </c>
      <c r="BK735" s="2172">
        <f t="shared" si="688"/>
        <v>0</v>
      </c>
      <c r="BL735" s="2172">
        <f t="shared" si="688"/>
        <v>0</v>
      </c>
      <c r="BM735" s="2172">
        <f t="shared" si="688"/>
        <v>0</v>
      </c>
      <c r="BN735" s="2172">
        <f t="shared" si="688"/>
        <v>0</v>
      </c>
      <c r="BO735" s="2172">
        <f t="shared" si="688"/>
        <v>0</v>
      </c>
      <c r="BP735" s="2172">
        <f t="shared" si="688"/>
        <v>0</v>
      </c>
      <c r="BQ735" s="2172">
        <f t="shared" si="688"/>
        <v>0</v>
      </c>
      <c r="BR735" s="2172">
        <f t="shared" si="688"/>
        <v>0</v>
      </c>
      <c r="BS735" s="2172">
        <f t="shared" si="688"/>
        <v>0</v>
      </c>
      <c r="BT735" s="2172">
        <f t="shared" si="688"/>
        <v>0</v>
      </c>
      <c r="BU735" s="1970"/>
    </row>
    <row r="736" spans="37:73" s="536" customFormat="1" ht="12.5">
      <c r="AK736" s="1964"/>
      <c r="AL736" s="2144">
        <f t="shared" si="687"/>
        <v>30</v>
      </c>
      <c r="AM736" s="2145" t="s">
        <v>1446</v>
      </c>
      <c r="AN736" s="2171">
        <f>IF(AN632=0,0,(AN598-AN593)/AN632)</f>
        <v>0</v>
      </c>
      <c r="AO736" s="533"/>
      <c r="AP736" s="2172">
        <f>IF(AP632=0,0,(AP598-AP593)/AP632)</f>
        <v>0</v>
      </c>
      <c r="AQ736" s="1969"/>
      <c r="AR736" s="533"/>
      <c r="AS736" s="2172">
        <f>IF(AS632=0,0,(AS598-AS593)/AS632)</f>
        <v>0</v>
      </c>
      <c r="AT736" s="1967"/>
      <c r="AU736" s="1967"/>
      <c r="AV736" s="2172">
        <f>IF(AV632=0,0,(AV598-AV593)/AV632)</f>
        <v>0</v>
      </c>
      <c r="AW736" s="533"/>
      <c r="AX736" s="1969"/>
      <c r="AY736" s="2172">
        <f>IF(AY632=0,0,(AY598-AY593)/AY632)</f>
        <v>0</v>
      </c>
      <c r="AZ736" s="533"/>
      <c r="BA736" s="1969"/>
      <c r="BB736" s="2172">
        <f>IF(BB632=0,0,(BB598-BB593)/BB632)</f>
        <v>0</v>
      </c>
      <c r="BC736" s="533"/>
      <c r="BD736" s="1969"/>
      <c r="BE736" s="2172">
        <f t="shared" ref="BE736:BT736" si="689">IF(BE632=0,0,(BE598-BE593)/BE632)</f>
        <v>0</v>
      </c>
      <c r="BF736" s="2172">
        <f t="shared" si="689"/>
        <v>0</v>
      </c>
      <c r="BG736" s="2172">
        <f t="shared" si="689"/>
        <v>0</v>
      </c>
      <c r="BH736" s="2172">
        <f t="shared" si="689"/>
        <v>0</v>
      </c>
      <c r="BI736" s="2172">
        <f t="shared" si="689"/>
        <v>0</v>
      </c>
      <c r="BJ736" s="2172">
        <f t="shared" si="689"/>
        <v>0</v>
      </c>
      <c r="BK736" s="2172">
        <f t="shared" si="689"/>
        <v>0</v>
      </c>
      <c r="BL736" s="2172">
        <f t="shared" si="689"/>
        <v>0</v>
      </c>
      <c r="BM736" s="2172">
        <f t="shared" si="689"/>
        <v>0</v>
      </c>
      <c r="BN736" s="2172">
        <f t="shared" si="689"/>
        <v>0</v>
      </c>
      <c r="BO736" s="2172">
        <f t="shared" si="689"/>
        <v>0</v>
      </c>
      <c r="BP736" s="2172">
        <f t="shared" si="689"/>
        <v>0</v>
      </c>
      <c r="BQ736" s="2172">
        <f t="shared" si="689"/>
        <v>0</v>
      </c>
      <c r="BR736" s="2172">
        <f t="shared" si="689"/>
        <v>0</v>
      </c>
      <c r="BS736" s="2172">
        <f t="shared" si="689"/>
        <v>0</v>
      </c>
      <c r="BT736" s="2172">
        <f t="shared" si="689"/>
        <v>0</v>
      </c>
      <c r="BU736" s="1970"/>
    </row>
    <row r="737" spans="37:73" s="536" customFormat="1" ht="12.5">
      <c r="AK737" s="1964"/>
      <c r="AL737" s="2173">
        <f t="shared" si="687"/>
        <v>31</v>
      </c>
      <c r="AM737" s="2174" t="s">
        <v>1447</v>
      </c>
      <c r="AN737" s="2175">
        <f>IF(C155=0,0,C93/-C155)</f>
        <v>0</v>
      </c>
      <c r="AO737" s="533"/>
      <c r="AP737" s="2176">
        <f>IF(E155=0,0,E93/-E155)</f>
        <v>0</v>
      </c>
      <c r="AQ737" s="1969"/>
      <c r="AR737" s="533"/>
      <c r="AS737" s="2176">
        <f>IF(H155=0,0,H93/-H155)</f>
        <v>0</v>
      </c>
      <c r="AT737" s="1967"/>
      <c r="AU737" s="1967"/>
      <c r="AV737" s="2176">
        <f>IF(K155=0,0,K93/-K155)</f>
        <v>0</v>
      </c>
      <c r="AW737" s="533"/>
      <c r="AX737" s="1969"/>
      <c r="AY737" s="2176">
        <f>IF(N155=0,0,N93/-N155)</f>
        <v>0</v>
      </c>
      <c r="AZ737" s="533"/>
      <c r="BA737" s="1969"/>
      <c r="BB737" s="2176">
        <f>IF(Q155=0,0,Q93/-Q155)</f>
        <v>0</v>
      </c>
      <c r="BC737" s="533"/>
      <c r="BD737" s="1969"/>
      <c r="BE737" s="2176">
        <f t="shared" ref="BE737:BT737" si="690">IF(T155=0,0,T93/-T155)</f>
        <v>0</v>
      </c>
      <c r="BF737" s="2176">
        <f t="shared" si="690"/>
        <v>0</v>
      </c>
      <c r="BG737" s="2176">
        <f t="shared" si="690"/>
        <v>0</v>
      </c>
      <c r="BH737" s="2176">
        <f t="shared" si="690"/>
        <v>0</v>
      </c>
      <c r="BI737" s="2176">
        <f t="shared" si="690"/>
        <v>0</v>
      </c>
      <c r="BJ737" s="2176">
        <f t="shared" si="690"/>
        <v>0</v>
      </c>
      <c r="BK737" s="2176">
        <f t="shared" si="690"/>
        <v>0</v>
      </c>
      <c r="BL737" s="2176">
        <f t="shared" si="690"/>
        <v>0</v>
      </c>
      <c r="BM737" s="2176">
        <f t="shared" si="690"/>
        <v>0</v>
      </c>
      <c r="BN737" s="2176">
        <f t="shared" si="690"/>
        <v>0</v>
      </c>
      <c r="BO737" s="2176">
        <f t="shared" si="690"/>
        <v>0</v>
      </c>
      <c r="BP737" s="2176">
        <f t="shared" si="690"/>
        <v>0</v>
      </c>
      <c r="BQ737" s="2176">
        <f t="shared" si="690"/>
        <v>0</v>
      </c>
      <c r="BR737" s="2176">
        <f t="shared" si="690"/>
        <v>0</v>
      </c>
      <c r="BS737" s="2176">
        <f t="shared" si="690"/>
        <v>0</v>
      </c>
      <c r="BT737" s="2176">
        <f t="shared" si="690"/>
        <v>0</v>
      </c>
      <c r="BU737" s="1970"/>
    </row>
    <row r="738" spans="37:73" s="536" customFormat="1" ht="12.5">
      <c r="AK738" s="1964"/>
      <c r="AL738" s="2144">
        <f t="shared" si="687"/>
        <v>32</v>
      </c>
      <c r="AM738" s="2145" t="s">
        <v>1448</v>
      </c>
      <c r="AN738" s="2177" t="s">
        <v>1260</v>
      </c>
      <c r="AO738" s="533"/>
      <c r="AP738" s="2178" t="str">
        <f>IF(AP779&gt;=0,"N/A",AP767/-AP779)</f>
        <v>N/A</v>
      </c>
      <c r="AQ738" s="1969"/>
      <c r="AR738" s="533"/>
      <c r="AS738" s="2178" t="str">
        <f>IF(AS779&gt;=0,"N/A",AS767/-AS779)</f>
        <v>N/A</v>
      </c>
      <c r="AT738" s="1967"/>
      <c r="AU738" s="1967"/>
      <c r="AV738" s="2178" t="str">
        <f>IF(AV779&gt;=0,"N/A",AV767/-AV779)</f>
        <v>N/A</v>
      </c>
      <c r="AW738" s="533"/>
      <c r="AX738" s="1969"/>
      <c r="AY738" s="2178" t="str">
        <f>IF(AY779&gt;=0,"N/A",AY767/-AY779)</f>
        <v>N/A</v>
      </c>
      <c r="AZ738" s="533"/>
      <c r="BA738" s="1969"/>
      <c r="BB738" s="2178" t="str">
        <f>IF(BB779&gt;=0,"N/A",BB767/-BB779)</f>
        <v>N/A</v>
      </c>
      <c r="BC738" s="533"/>
      <c r="BD738" s="1969"/>
      <c r="BE738" s="2178" t="str">
        <f t="shared" ref="BE738:BT738" si="691">IF(BE779&gt;=0,"N/A",BE767/-BE779)</f>
        <v>N/A</v>
      </c>
      <c r="BF738" s="2178" t="str">
        <f t="shared" si="691"/>
        <v>N/A</v>
      </c>
      <c r="BG738" s="2178" t="str">
        <f t="shared" si="691"/>
        <v>N/A</v>
      </c>
      <c r="BH738" s="2178" t="str">
        <f t="shared" si="691"/>
        <v>N/A</v>
      </c>
      <c r="BI738" s="2178" t="str">
        <f t="shared" si="691"/>
        <v>N/A</v>
      </c>
      <c r="BJ738" s="2178" t="str">
        <f t="shared" si="691"/>
        <v>N/A</v>
      </c>
      <c r="BK738" s="2178" t="str">
        <f t="shared" si="691"/>
        <v>N/A</v>
      </c>
      <c r="BL738" s="2178" t="str">
        <f t="shared" si="691"/>
        <v>N/A</v>
      </c>
      <c r="BM738" s="2178" t="str">
        <f t="shared" si="691"/>
        <v>N/A</v>
      </c>
      <c r="BN738" s="2178" t="str">
        <f t="shared" si="691"/>
        <v>N/A</v>
      </c>
      <c r="BO738" s="2178" t="str">
        <f t="shared" si="691"/>
        <v>N/A</v>
      </c>
      <c r="BP738" s="2178" t="str">
        <f t="shared" si="691"/>
        <v>N/A</v>
      </c>
      <c r="BQ738" s="2178" t="str">
        <f t="shared" si="691"/>
        <v>N/A</v>
      </c>
      <c r="BR738" s="2178" t="str">
        <f t="shared" si="691"/>
        <v>N/A</v>
      </c>
      <c r="BS738" s="2178" t="str">
        <f t="shared" si="691"/>
        <v>N/A</v>
      </c>
      <c r="BT738" s="2178" t="str">
        <f t="shared" si="691"/>
        <v>N/A</v>
      </c>
      <c r="BU738" s="1970"/>
    </row>
    <row r="739" spans="37:73" s="536" customFormat="1" ht="12.5">
      <c r="AK739" s="1964"/>
      <c r="AL739" s="2173">
        <f t="shared" si="687"/>
        <v>33</v>
      </c>
      <c r="AM739" s="2174" t="s">
        <v>1449</v>
      </c>
      <c r="AN739" s="2175" t="s">
        <v>1260</v>
      </c>
      <c r="AO739" s="533"/>
      <c r="AP739" s="2176">
        <f>IF(E156=0,0,E151/-E156)</f>
        <v>0</v>
      </c>
      <c r="AQ739" s="1969"/>
      <c r="AR739" s="533"/>
      <c r="AS739" s="2176">
        <f>IF(H156=0,0,H151/-H156)</f>
        <v>0</v>
      </c>
      <c r="AT739" s="1967"/>
      <c r="AU739" s="1967"/>
      <c r="AV739" s="2176">
        <f>IF(K156=0,0,K151/-K156)</f>
        <v>0</v>
      </c>
      <c r="AW739" s="533"/>
      <c r="AX739" s="1969"/>
      <c r="AY739" s="2176">
        <f>IF(N156=0,0,N151/-N156)</f>
        <v>0</v>
      </c>
      <c r="AZ739" s="533"/>
      <c r="BA739" s="1969"/>
      <c r="BB739" s="2176">
        <f>IF(Q156=0,0,Q151/-Q156)</f>
        <v>0</v>
      </c>
      <c r="BC739" s="533"/>
      <c r="BD739" s="1969"/>
      <c r="BE739" s="2176">
        <f t="shared" ref="BE739:BT739" si="692">IF(T156=0,0,T151/-T156)</f>
        <v>0</v>
      </c>
      <c r="BF739" s="2176">
        <f t="shared" si="692"/>
        <v>0</v>
      </c>
      <c r="BG739" s="2176">
        <f t="shared" si="692"/>
        <v>0</v>
      </c>
      <c r="BH739" s="2176">
        <f t="shared" si="692"/>
        <v>0</v>
      </c>
      <c r="BI739" s="2176">
        <f t="shared" si="692"/>
        <v>0</v>
      </c>
      <c r="BJ739" s="2176">
        <f t="shared" si="692"/>
        <v>0</v>
      </c>
      <c r="BK739" s="2176">
        <f t="shared" si="692"/>
        <v>0</v>
      </c>
      <c r="BL739" s="2176">
        <f t="shared" si="692"/>
        <v>0</v>
      </c>
      <c r="BM739" s="2176">
        <f t="shared" si="692"/>
        <v>0</v>
      </c>
      <c r="BN739" s="2176">
        <f t="shared" si="692"/>
        <v>0</v>
      </c>
      <c r="BO739" s="2176">
        <f t="shared" si="692"/>
        <v>0</v>
      </c>
      <c r="BP739" s="2176">
        <f t="shared" si="692"/>
        <v>0</v>
      </c>
      <c r="BQ739" s="2176">
        <f t="shared" si="692"/>
        <v>0</v>
      </c>
      <c r="BR739" s="2176">
        <f t="shared" si="692"/>
        <v>0</v>
      </c>
      <c r="BS739" s="2176">
        <f t="shared" si="692"/>
        <v>0</v>
      </c>
      <c r="BT739" s="2176">
        <f t="shared" si="692"/>
        <v>0</v>
      </c>
      <c r="BU739" s="1970"/>
    </row>
    <row r="740" spans="37:73" s="536" customFormat="1" ht="12.5">
      <c r="AK740" s="1964"/>
      <c r="AL740" s="2152">
        <v>34</v>
      </c>
      <c r="AM740" s="2153" t="s">
        <v>1450</v>
      </c>
      <c r="AN740" s="2179"/>
      <c r="AO740" s="2180"/>
      <c r="AP740" s="2147">
        <f>E138+E139+E150+E182+E186</f>
        <v>0</v>
      </c>
      <c r="AQ740" s="1969"/>
      <c r="AR740" s="533"/>
      <c r="AS740" s="2147">
        <f>H138+H139+H150+H182+H186</f>
        <v>0</v>
      </c>
      <c r="AT740" s="1967"/>
      <c r="AU740" s="1967"/>
      <c r="AV740" s="2147">
        <f>K138+K139+K150+K182+K186</f>
        <v>0</v>
      </c>
      <c r="AW740" s="533"/>
      <c r="AX740" s="1969"/>
      <c r="AY740" s="2147">
        <f>N138+N139+N150+N182+N186</f>
        <v>0</v>
      </c>
      <c r="AZ740" s="533"/>
      <c r="BA740" s="1969"/>
      <c r="BB740" s="2147">
        <f>Q138+Q139+Q150+Q182+Q186</f>
        <v>0</v>
      </c>
      <c r="BC740" s="533"/>
      <c r="BD740" s="1969"/>
      <c r="BE740" s="2147">
        <f t="shared" ref="BE740:BT740" si="693">T138+T139+T150+T182+T186</f>
        <v>0</v>
      </c>
      <c r="BF740" s="2147">
        <f t="shared" si="693"/>
        <v>0</v>
      </c>
      <c r="BG740" s="2147">
        <f t="shared" si="693"/>
        <v>0</v>
      </c>
      <c r="BH740" s="2147">
        <f t="shared" si="693"/>
        <v>0</v>
      </c>
      <c r="BI740" s="2147">
        <f t="shared" si="693"/>
        <v>0</v>
      </c>
      <c r="BJ740" s="2147">
        <f t="shared" si="693"/>
        <v>0</v>
      </c>
      <c r="BK740" s="2147">
        <f t="shared" si="693"/>
        <v>0</v>
      </c>
      <c r="BL740" s="2147">
        <f t="shared" si="693"/>
        <v>0</v>
      </c>
      <c r="BM740" s="2147">
        <f t="shared" si="693"/>
        <v>0</v>
      </c>
      <c r="BN740" s="2147">
        <f t="shared" si="693"/>
        <v>0</v>
      </c>
      <c r="BO740" s="2147">
        <f t="shared" si="693"/>
        <v>0</v>
      </c>
      <c r="BP740" s="2147">
        <f t="shared" si="693"/>
        <v>0</v>
      </c>
      <c r="BQ740" s="2147">
        <f t="shared" si="693"/>
        <v>0</v>
      </c>
      <c r="BR740" s="2147">
        <f t="shared" si="693"/>
        <v>0</v>
      </c>
      <c r="BS740" s="2147">
        <f t="shared" si="693"/>
        <v>0</v>
      </c>
      <c r="BT740" s="2147">
        <f t="shared" si="693"/>
        <v>0</v>
      </c>
      <c r="BU740" s="1970"/>
    </row>
    <row r="741" spans="37:73" s="536" customFormat="1" ht="12.5">
      <c r="AK741" s="1964"/>
      <c r="AL741" s="2181"/>
      <c r="AM741" s="2153" t="s">
        <v>922</v>
      </c>
      <c r="AN741" s="2175">
        <f>IF(C155=0,0,C93/(C76+C37))</f>
        <v>0</v>
      </c>
      <c r="AO741" s="533"/>
      <c r="AP741" s="2176">
        <f>IF(E155=0,0,E93/(E76+E37))</f>
        <v>0</v>
      </c>
      <c r="AQ741" s="1969"/>
      <c r="AR741" s="533"/>
      <c r="AS741" s="2176">
        <f>IF(H155=0,0,H93/(H76+H37))</f>
        <v>0</v>
      </c>
      <c r="AT741" s="1967"/>
      <c r="AU741" s="1967"/>
      <c r="AV741" s="2176">
        <f>IF(K155=0,0,K93/(K76+K37))</f>
        <v>0</v>
      </c>
      <c r="AW741" s="533"/>
      <c r="AX741" s="1969"/>
      <c r="AY741" s="2176">
        <f>IF(N155=0,0,N93/(N76+N37))</f>
        <v>0</v>
      </c>
      <c r="AZ741" s="2182"/>
      <c r="BA741" s="2182"/>
      <c r="BB741" s="2176">
        <f>IF(Q155=0,0,Q93/(Q76+Q37))</f>
        <v>0</v>
      </c>
      <c r="BE741" s="2176">
        <f t="shared" ref="BE741:BT741" si="694">IF(T155=0,0,T93/(T76+T37))</f>
        <v>0</v>
      </c>
      <c r="BF741" s="2176">
        <f t="shared" si="694"/>
        <v>0</v>
      </c>
      <c r="BG741" s="2176">
        <f t="shared" si="694"/>
        <v>0</v>
      </c>
      <c r="BH741" s="2176">
        <f t="shared" si="694"/>
        <v>0</v>
      </c>
      <c r="BI741" s="2176">
        <f t="shared" si="694"/>
        <v>0</v>
      </c>
      <c r="BJ741" s="2176">
        <f t="shared" si="694"/>
        <v>0</v>
      </c>
      <c r="BK741" s="2176">
        <f t="shared" si="694"/>
        <v>0</v>
      </c>
      <c r="BL741" s="2176">
        <f t="shared" si="694"/>
        <v>0</v>
      </c>
      <c r="BM741" s="2176">
        <f t="shared" si="694"/>
        <v>0</v>
      </c>
      <c r="BN741" s="2176">
        <f t="shared" si="694"/>
        <v>0</v>
      </c>
      <c r="BO741" s="2176">
        <f t="shared" si="694"/>
        <v>0</v>
      </c>
      <c r="BP741" s="2176">
        <f t="shared" si="694"/>
        <v>0</v>
      </c>
      <c r="BQ741" s="2176">
        <f t="shared" si="694"/>
        <v>0</v>
      </c>
      <c r="BR741" s="2176">
        <f t="shared" si="694"/>
        <v>0</v>
      </c>
      <c r="BS741" s="2176">
        <f t="shared" si="694"/>
        <v>0</v>
      </c>
      <c r="BT741" s="2176">
        <f t="shared" si="694"/>
        <v>0</v>
      </c>
      <c r="BU741" s="1970"/>
    </row>
    <row r="742" spans="37:73" s="536" customFormat="1">
      <c r="AK742" s="1964"/>
      <c r="AL742" s="1965"/>
      <c r="AM742" s="2183" t="str">
        <f>IF(AND($B$617=$B$623,$B$617&lt;&gt;0),"DEUDA","DEUDA (INCLUYENDO CONTINGENTES FINANCIEROS)")</f>
        <v>DEUDA (INCLUYENDO CONTINGENTES FINANCIEROS)</v>
      </c>
      <c r="AN742" s="2184"/>
      <c r="AO742" s="533"/>
      <c r="AP742" s="2184"/>
      <c r="AQ742" s="2184"/>
      <c r="AR742" s="533"/>
      <c r="AS742" s="2184"/>
      <c r="AT742" s="1967"/>
      <c r="AU742" s="1967"/>
      <c r="AV742" s="2184"/>
      <c r="AW742" s="533"/>
      <c r="AX742" s="1969"/>
      <c r="AY742" s="2184"/>
      <c r="AZ742" s="533"/>
      <c r="BA742" s="1969"/>
      <c r="BB742" s="2184"/>
      <c r="BC742" s="533"/>
      <c r="BD742" s="1969"/>
      <c r="BE742" s="2184"/>
      <c r="BF742" s="2184"/>
      <c r="BG742" s="2184"/>
      <c r="BH742" s="2184"/>
      <c r="BI742" s="2184"/>
      <c r="BJ742" s="2184"/>
      <c r="BK742" s="2184"/>
      <c r="BL742" s="2184"/>
      <c r="BM742" s="2184"/>
      <c r="BN742" s="2184"/>
      <c r="BO742" s="2184"/>
      <c r="BP742" s="531"/>
      <c r="BQ742" s="696"/>
      <c r="BU742" s="1970"/>
    </row>
    <row r="743" spans="37:73" s="536" customFormat="1" ht="12.5">
      <c r="AK743" s="1964"/>
      <c r="AL743" s="2140">
        <f>AL740+1</f>
        <v>35</v>
      </c>
      <c r="AM743" s="2185" t="s">
        <v>1451</v>
      </c>
      <c r="AN743" s="2186">
        <f>IF(OR(AN713=0,AN584=0),0,(AN704+IF(AND($B$617=$B$623,$B$617&lt;&gt;0),0,AN657))/((AN713*360/AN584)+IF(AND($B$617=$B$623,$B$617&lt;&gt;0),0,AN657)))</f>
        <v>0</v>
      </c>
      <c r="AO743" s="2187"/>
      <c r="AP743" s="2188">
        <f>IF(OR(AP713=0,AP584=0),0,(AP704+IF(AND($B$617=$B$623,$B$617&lt;&gt;0),0,AP657))/((AP713*360/AP584)+IF(AND($B$617=$B$623,$B$617&lt;&gt;0),0,AP657)))</f>
        <v>0</v>
      </c>
      <c r="AQ743" s="2187"/>
      <c r="AR743" s="2187"/>
      <c r="AS743" s="2188">
        <f>IF(OR(AS713=0,AS584=0),0,(AS704+IF(AND($B$617=$B$623,$B$617&lt;&gt;0),0,AS657))/((AS713*360/AS584)+IF(AND($B$617=$B$623,$B$617&lt;&gt;0),0,AS657)))</f>
        <v>0</v>
      </c>
      <c r="AT743" s="2187"/>
      <c r="AU743" s="2187"/>
      <c r="AV743" s="2188">
        <f>IF(OR(AV713=0,AV584=0),0,(AV704+IF(AND($B$617=$B$623,$B$617&lt;&gt;0),0,AV657))/((AV713*360/AV584)+IF(AND($B$617=$B$623,$B$617&lt;&gt;0),0,AV657)))</f>
        <v>0</v>
      </c>
      <c r="AW743" s="2187"/>
      <c r="AX743" s="2187"/>
      <c r="AY743" s="2188">
        <f>IF(OR(AY713=0,AY584=0),0,(AY704+IF(AND($B$617=$B$623,$B$617&lt;&gt;0),0,AY657))/((AY713*360/AY584)+IF(AND($B$617=$B$623,$B$617&lt;&gt;0),0,AY657)))</f>
        <v>0</v>
      </c>
      <c r="AZ743" s="2187"/>
      <c r="BA743" s="2187"/>
      <c r="BB743" s="2188">
        <f>IF(OR(BB713=0,BB584=0),0,(BB704+IF(AND($B$617=$B$623,$B$617&lt;&gt;0),0,BB657))/((BB713*360/BB584)+IF(AND($B$617=$B$623,$B$617&lt;&gt;0),0,BB657)))</f>
        <v>0</v>
      </c>
      <c r="BC743" s="2187"/>
      <c r="BD743" s="2187"/>
      <c r="BE743" s="2188">
        <f t="shared" ref="BE743:BT743" si="695">IF(OR(BE713=0,BE584=0),0,(BE704+IF(AND($B$617=$B$623,$B$617&lt;&gt;0),0,BE657))/((BE713*360/BE584)+IF(AND($B$617=$B$623,$B$617&lt;&gt;0),0,BE657)))</f>
        <v>0</v>
      </c>
      <c r="BF743" s="2189">
        <f t="shared" si="695"/>
        <v>0</v>
      </c>
      <c r="BG743" s="2188">
        <f t="shared" si="695"/>
        <v>0</v>
      </c>
      <c r="BH743" s="2188">
        <f t="shared" si="695"/>
        <v>0</v>
      </c>
      <c r="BI743" s="2188">
        <f t="shared" si="695"/>
        <v>0</v>
      </c>
      <c r="BJ743" s="2188">
        <f t="shared" si="695"/>
        <v>0</v>
      </c>
      <c r="BK743" s="2188">
        <f t="shared" si="695"/>
        <v>0</v>
      </c>
      <c r="BL743" s="2188">
        <f t="shared" si="695"/>
        <v>0</v>
      </c>
      <c r="BM743" s="2188">
        <f t="shared" si="695"/>
        <v>0</v>
      </c>
      <c r="BN743" s="2188">
        <f t="shared" si="695"/>
        <v>0</v>
      </c>
      <c r="BO743" s="2188">
        <f t="shared" si="695"/>
        <v>0</v>
      </c>
      <c r="BP743" s="2188">
        <f t="shared" si="695"/>
        <v>0</v>
      </c>
      <c r="BQ743" s="2188">
        <f t="shared" si="695"/>
        <v>0</v>
      </c>
      <c r="BR743" s="2188">
        <f t="shared" si="695"/>
        <v>0</v>
      </c>
      <c r="BS743" s="2188">
        <f t="shared" si="695"/>
        <v>0</v>
      </c>
      <c r="BT743" s="2188">
        <f t="shared" si="695"/>
        <v>0</v>
      </c>
      <c r="BU743" s="1970"/>
    </row>
    <row r="744" spans="37:73" s="536" customFormat="1" ht="12.5">
      <c r="AK744" s="1964"/>
      <c r="AL744" s="2144">
        <f t="shared" ref="AL744:AL752" si="696">AL743+1</f>
        <v>36</v>
      </c>
      <c r="AM744" s="2190" t="s">
        <v>1452</v>
      </c>
      <c r="AN744" s="2191">
        <f>IF(OR(AN683=0,AN584=0),0,(AN704+IF(AND($B$617=$B$623,$B$617&lt;&gt;0),0,AN657))/((AN683*360/AN584)+IF(AND($B$617=$B$623,$B$617&lt;&gt;0),0,AN657)))</f>
        <v>0</v>
      </c>
      <c r="AO744" s="2192"/>
      <c r="AP744" s="2193">
        <f>IF(OR(AP683=0,AP584=0),0,(AP704+IF(AND($B$617=$B$623,$B$617&lt;&gt;0),0,AP657))/((AP683*360/AP584)+IF(AND($B$617=$B$623,$B$617&lt;&gt;0),0,AP657)))</f>
        <v>0</v>
      </c>
      <c r="AQ744" s="2192"/>
      <c r="AR744" s="2192"/>
      <c r="AS744" s="2193">
        <f>IF(OR(AS683=0,AS584=0),0,(AS704+IF(AND($B$617=$B$623,$B$617&lt;&gt;0),0,AS657))/((AS683*360/AS584)+IF(AND($B$617=$B$623,$B$617&lt;&gt;0),0,AS657)))</f>
        <v>0</v>
      </c>
      <c r="AT744" s="2192"/>
      <c r="AU744" s="2192"/>
      <c r="AV744" s="2193">
        <f>IF(OR(AV683=0,AV584=0),0,(AV704+IF(AND($B$617=$B$623,$B$617&lt;&gt;0),0,AV657))/((AV683*360/AV584)+IF(AND($B$617=$B$623,$B$617&lt;&gt;0),0,AV657)))</f>
        <v>0</v>
      </c>
      <c r="AW744" s="2192"/>
      <c r="AX744" s="2192"/>
      <c r="AY744" s="2193">
        <f>IF(OR(AY683=0,AY584=0),0,(AY704+IF(AND($B$617=$B$623,$B$617&lt;&gt;0),0,AY657))/((AY683*360/AY584)+IF(AND($B$617=$B$623,$B$617&lt;&gt;0),0,AY657)))</f>
        <v>0</v>
      </c>
      <c r="AZ744" s="2192"/>
      <c r="BA744" s="2192"/>
      <c r="BB744" s="2193">
        <f>IF(OR(BB683=0,BB584=0),0,(BB704+IF(AND($B$617=$B$623,$B$617&lt;&gt;0),0,BB657))/((BB683*360/BB584)+IF(AND($B$617=$B$623,$B$617&lt;&gt;0),0,BB657)))</f>
        <v>0</v>
      </c>
      <c r="BC744" s="2194"/>
      <c r="BD744" s="2192"/>
      <c r="BE744" s="2193">
        <f t="shared" ref="BE744:BT744" si="697">IF(OR(BE683=0,BE584=0),0,(BE704+IF(AND($B$617=$B$623,$B$617&lt;&gt;0),0,BE657))/((BE683*360/BE584)+IF(AND($B$617=$B$623,$B$617&lt;&gt;0),0,BE657)))</f>
        <v>0</v>
      </c>
      <c r="BF744" s="2195">
        <f t="shared" si="697"/>
        <v>0</v>
      </c>
      <c r="BG744" s="2193">
        <f t="shared" si="697"/>
        <v>0</v>
      </c>
      <c r="BH744" s="2193">
        <f t="shared" si="697"/>
        <v>0</v>
      </c>
      <c r="BI744" s="2193">
        <f t="shared" si="697"/>
        <v>0</v>
      </c>
      <c r="BJ744" s="2193">
        <f t="shared" si="697"/>
        <v>0</v>
      </c>
      <c r="BK744" s="2193">
        <f t="shared" si="697"/>
        <v>0</v>
      </c>
      <c r="BL744" s="2193">
        <f t="shared" si="697"/>
        <v>0</v>
      </c>
      <c r="BM744" s="2193">
        <f t="shared" si="697"/>
        <v>0</v>
      </c>
      <c r="BN744" s="2193">
        <f t="shared" si="697"/>
        <v>0</v>
      </c>
      <c r="BO744" s="2193">
        <f t="shared" si="697"/>
        <v>0</v>
      </c>
      <c r="BP744" s="2193">
        <f t="shared" si="697"/>
        <v>0</v>
      </c>
      <c r="BQ744" s="2193">
        <f t="shared" si="697"/>
        <v>0</v>
      </c>
      <c r="BR744" s="2193">
        <f t="shared" si="697"/>
        <v>0</v>
      </c>
      <c r="BS744" s="2193">
        <f t="shared" si="697"/>
        <v>0</v>
      </c>
      <c r="BT744" s="2193">
        <f t="shared" si="697"/>
        <v>0</v>
      </c>
      <c r="BU744" s="1970"/>
    </row>
    <row r="745" spans="37:73" s="536" customFormat="1" ht="12.5">
      <c r="AK745" s="1964"/>
      <c r="AL745" s="2144">
        <f t="shared" si="696"/>
        <v>37</v>
      </c>
      <c r="AM745" s="2190" t="s">
        <v>1453</v>
      </c>
      <c r="AN745" s="2191">
        <f>IF(AN655=0,0,((AN619+AN620+AN621+AN622+AN633+AN634+AN635)+IF(AND($B$617=$B$623,$B$617&lt;&gt;0),0,AN657))/(AN683+IF(AND($B$617=$B$623,$B$617&lt;&gt;0),0,AN657)))</f>
        <v>0</v>
      </c>
      <c r="AO745" s="2192"/>
      <c r="AP745" s="2193">
        <f>IF(AP655=0,0,((AP619+AP620+AP621+AP622+AP633+AP634+AP635)+IF(AND($B$617=$B$623,$B$617&lt;&gt;0),0,AP657))/(AP683))</f>
        <v>0</v>
      </c>
      <c r="AQ745" s="2192"/>
      <c r="AR745" s="2192"/>
      <c r="AS745" s="2193">
        <f>IF(AS655=0,0,((AS619+AS620+AS621+AS622+AS633+AS634+AS635)+IF(AND($B$617=$B$623,$B$617&lt;&gt;0),0,AS657))/(AS683))</f>
        <v>0</v>
      </c>
      <c r="AT745" s="2192"/>
      <c r="AU745" s="2192"/>
      <c r="AV745" s="2193">
        <f>IF(AV655=0,0,((AV619+AV620+AV621+AV622+AV633+AV634+AV635)+IF(AND($B$617=$B$623,$B$617&lt;&gt;0),0,AV657))/(AV683/AW745*12))</f>
        <v>0</v>
      </c>
      <c r="AW745" s="2196">
        <f>IF(AV697=30,1,IF(AV697=60,2,IF(AV697=90,3,IF(AV697=120,4,IF(AV697=150,5,IF(AV697=180,6,IF(AV697=210,7,IF(AV697=240,8,IF(AV697=270,9,IF(AV697=300,10,IF(AV697=330,11,IF(AV697=360,12))))))))))))</f>
        <v>6</v>
      </c>
      <c r="AX745" s="2192"/>
      <c r="AY745" s="2193">
        <f>IF(AY655=0,0,((AY619+AY620+AY621+AY622+AY633+AY634+AY635)+IF(AND($B$617=$B$623,$B$617&lt;&gt;0),0,AY657))/(AY683))</f>
        <v>0</v>
      </c>
      <c r="AZ745" s="2192"/>
      <c r="BA745" s="2192"/>
      <c r="BB745" s="2193">
        <f>IF(BB655=0,0,((BB619+BB620+BB621+BB622+BB633+BB634+BB635)+IF(AND($B$617=$B$623,$B$617&lt;&gt;0),0,BB657))/(BB683/BC745*12))</f>
        <v>0</v>
      </c>
      <c r="BC745" s="2196">
        <f>IF(BB697=30,1,IF(BB697=60,2,IF(BB697=90,3,IF(BB697=120,4,IF(BB697=150,5,IF(BB697=180,6,IF(BB697=210,7,IF(BB697=240,8,IF(BB697=270,9,IF(BB697=300,10,IF(BB697=330,11,IF(BB697=360,12))))))))))))</f>
        <v>12</v>
      </c>
      <c r="BD745" s="2192"/>
      <c r="BE745" s="2193">
        <f t="shared" ref="BE745:BT745" si="698">IF(BE655=0,0,((BE619+BE620+BE621+BE622+BE633+BE634+BE635)+IF(AND($B$617=$B$623,$B$617&lt;&gt;0),0,BE657))/(BE683))</f>
        <v>0</v>
      </c>
      <c r="BF745" s="2195">
        <f t="shared" si="698"/>
        <v>0</v>
      </c>
      <c r="BG745" s="2193">
        <f t="shared" si="698"/>
        <v>0</v>
      </c>
      <c r="BH745" s="2193">
        <f t="shared" si="698"/>
        <v>0</v>
      </c>
      <c r="BI745" s="2193">
        <f t="shared" si="698"/>
        <v>0</v>
      </c>
      <c r="BJ745" s="2193">
        <f t="shared" si="698"/>
        <v>0</v>
      </c>
      <c r="BK745" s="2193">
        <f t="shared" si="698"/>
        <v>0</v>
      </c>
      <c r="BL745" s="2193">
        <f t="shared" si="698"/>
        <v>0</v>
      </c>
      <c r="BM745" s="2193">
        <f t="shared" si="698"/>
        <v>0</v>
      </c>
      <c r="BN745" s="2193">
        <f t="shared" si="698"/>
        <v>0</v>
      </c>
      <c r="BO745" s="2193">
        <f t="shared" si="698"/>
        <v>0</v>
      </c>
      <c r="BP745" s="2193">
        <f t="shared" si="698"/>
        <v>0</v>
      </c>
      <c r="BQ745" s="2193">
        <f t="shared" si="698"/>
        <v>0</v>
      </c>
      <c r="BR745" s="2193">
        <f t="shared" si="698"/>
        <v>0</v>
      </c>
      <c r="BS745" s="2193">
        <f t="shared" si="698"/>
        <v>0</v>
      </c>
      <c r="BT745" s="2193">
        <f t="shared" si="698"/>
        <v>0</v>
      </c>
      <c r="BU745" s="1970"/>
    </row>
    <row r="746" spans="37:73" s="536" customFormat="1" ht="12.5">
      <c r="AK746" s="1964"/>
      <c r="AL746" s="2144">
        <f t="shared" si="696"/>
        <v>38</v>
      </c>
      <c r="AM746" s="2190" t="s">
        <v>1454</v>
      </c>
      <c r="AN746" s="2197"/>
      <c r="AO746" s="2192"/>
      <c r="AP746" s="2193">
        <f>IF(OR(AP683=0,AP584=0),0,((AP704-AP586)+IF(AND($B$617=$B$623,$B$617&lt;&gt;0),0,AP657))/((AP683*360/AP584)+IF(AND($B$617=$B$623,$B$617&lt;&gt;0),0,AP657)))</f>
        <v>0</v>
      </c>
      <c r="AQ746" s="2192"/>
      <c r="AR746" s="2192"/>
      <c r="AS746" s="2193">
        <f>IF(OR(AS683=0,AS584=0),0,((AS704-AS586)+IF(AND($B$617=$B$623,$B$617&lt;&gt;0),0,AS657))/((AS683*360/AS584)+IF(AND($B$617=$B$623,$B$617&lt;&gt;0),0,AS657)))</f>
        <v>0</v>
      </c>
      <c r="AT746" s="2192"/>
      <c r="AU746" s="2192"/>
      <c r="AV746" s="2193">
        <f>IF(OR(AV683=0,AV584=0),0,((AV704-AV586)+IF(AND($B$617=$B$623,$B$617&lt;&gt;0),0,AV657))/((AV683*360/AV584)+IF(AND($B$617=$B$623,$B$617&lt;&gt;0),0,AV657)))</f>
        <v>0</v>
      </c>
      <c r="AW746" s="2198"/>
      <c r="AX746" s="2192"/>
      <c r="AY746" s="2193">
        <f>IF(OR(AY683=0,AY584=0),0,((AY704-AY586)+IF(AND($B$617=$B$623,$B$617&lt;&gt;0),0,AY657))/((AY683*360/AY584)+IF(AND($B$617=$B$623,$B$617&lt;&gt;0),0,AY657)))</f>
        <v>0</v>
      </c>
      <c r="AZ746" s="2192"/>
      <c r="BA746" s="2192"/>
      <c r="BB746" s="2193">
        <f>IF(OR(BB683=0,BB584=0),0,((BB704-BB586)+IF(AND($B$617=$B$623,$B$617&lt;&gt;0),0,BB657))/((BB683*360/BB584)+IF(AND($B$617=$B$623,$B$617&lt;&gt;0),0,BB657)))</f>
        <v>0</v>
      </c>
      <c r="BC746" s="2198"/>
      <c r="BD746" s="2192"/>
      <c r="BE746" s="2193">
        <f t="shared" ref="BE746:BT746" si="699">IF(OR(BE683=0,BE584=0),0,((BE704-BE586)+IF(AND($B$617=$B$623,$B$617&lt;&gt;0),0,BE657))/((BE683*360/BE584)+IF(AND($B$617=$B$623,$B$617&lt;&gt;0),0,BE657)))</f>
        <v>0</v>
      </c>
      <c r="BF746" s="2195">
        <f t="shared" si="699"/>
        <v>0</v>
      </c>
      <c r="BG746" s="2193">
        <f t="shared" si="699"/>
        <v>0</v>
      </c>
      <c r="BH746" s="2193">
        <f t="shared" si="699"/>
        <v>0</v>
      </c>
      <c r="BI746" s="2193">
        <f t="shared" si="699"/>
        <v>0</v>
      </c>
      <c r="BJ746" s="2193">
        <f t="shared" si="699"/>
        <v>0</v>
      </c>
      <c r="BK746" s="2193">
        <f t="shared" si="699"/>
        <v>0</v>
      </c>
      <c r="BL746" s="2193">
        <f t="shared" si="699"/>
        <v>0</v>
      </c>
      <c r="BM746" s="2193">
        <f t="shared" si="699"/>
        <v>0</v>
      </c>
      <c r="BN746" s="2193">
        <f t="shared" si="699"/>
        <v>0</v>
      </c>
      <c r="BO746" s="2193">
        <f t="shared" si="699"/>
        <v>0</v>
      </c>
      <c r="BP746" s="2193">
        <f t="shared" si="699"/>
        <v>0</v>
      </c>
      <c r="BQ746" s="2193">
        <f t="shared" si="699"/>
        <v>0</v>
      </c>
      <c r="BR746" s="2193">
        <f t="shared" si="699"/>
        <v>0</v>
      </c>
      <c r="BS746" s="2193">
        <f t="shared" si="699"/>
        <v>0</v>
      </c>
      <c r="BT746" s="2193">
        <f t="shared" si="699"/>
        <v>0</v>
      </c>
      <c r="BU746" s="1970"/>
    </row>
    <row r="747" spans="37:73" s="536" customFormat="1" ht="12.5">
      <c r="AK747" s="1964"/>
      <c r="AL747" s="2144">
        <f t="shared" si="696"/>
        <v>39</v>
      </c>
      <c r="AM747" s="2190" t="s">
        <v>1432</v>
      </c>
      <c r="AN747" s="2199">
        <f>IF(AN660=0,0,(AN683/AN660))</f>
        <v>0</v>
      </c>
      <c r="AO747" s="2192"/>
      <c r="AP747" s="2200">
        <f>IF(AP660=0,0,(AP683/AP660))</f>
        <v>0</v>
      </c>
      <c r="AQ747" s="2192"/>
      <c r="AR747" s="2192"/>
      <c r="AS747" s="2200">
        <f>IF(AS660=0,0,(AS683/AS660))</f>
        <v>0</v>
      </c>
      <c r="AT747" s="2192"/>
      <c r="AU747" s="2192"/>
      <c r="AV747" s="2200">
        <f>IF(AV660=0,0,(AV683/AV660))</f>
        <v>0</v>
      </c>
      <c r="AW747" s="2192"/>
      <c r="AX747" s="2192"/>
      <c r="AY747" s="2200">
        <f>IF(AY660=0,0,(AY683/AY660))</f>
        <v>0</v>
      </c>
      <c r="AZ747" s="2192"/>
      <c r="BA747" s="2192"/>
      <c r="BB747" s="2200">
        <f>IF(BB660=0,0,(BB683/BB660))</f>
        <v>0</v>
      </c>
      <c r="BC747" s="2192"/>
      <c r="BD747" s="2192"/>
      <c r="BE747" s="2193">
        <f t="shared" ref="BE747:BT747" si="700">IF(BE660=0,0,(BE683/BE660))</f>
        <v>0</v>
      </c>
      <c r="BF747" s="2195">
        <f t="shared" si="700"/>
        <v>0</v>
      </c>
      <c r="BG747" s="2193">
        <f t="shared" si="700"/>
        <v>0</v>
      </c>
      <c r="BH747" s="2193">
        <f t="shared" si="700"/>
        <v>0</v>
      </c>
      <c r="BI747" s="2193">
        <f t="shared" si="700"/>
        <v>0</v>
      </c>
      <c r="BJ747" s="2193">
        <f t="shared" si="700"/>
        <v>0</v>
      </c>
      <c r="BK747" s="2193">
        <f t="shared" si="700"/>
        <v>0</v>
      </c>
      <c r="BL747" s="2193">
        <f t="shared" si="700"/>
        <v>0</v>
      </c>
      <c r="BM747" s="2193">
        <f t="shared" si="700"/>
        <v>0</v>
      </c>
      <c r="BN747" s="2193">
        <f t="shared" si="700"/>
        <v>0</v>
      </c>
      <c r="BO747" s="2193">
        <f t="shared" si="700"/>
        <v>0</v>
      </c>
      <c r="BP747" s="2193">
        <f t="shared" si="700"/>
        <v>0</v>
      </c>
      <c r="BQ747" s="2193">
        <f t="shared" si="700"/>
        <v>0</v>
      </c>
      <c r="BR747" s="2193">
        <f t="shared" si="700"/>
        <v>0</v>
      </c>
      <c r="BS747" s="2193">
        <f t="shared" si="700"/>
        <v>0</v>
      </c>
      <c r="BT747" s="2193">
        <f t="shared" si="700"/>
        <v>0</v>
      </c>
      <c r="BU747" s="1970"/>
    </row>
    <row r="748" spans="37:73" s="536" customFormat="1" ht="12.5">
      <c r="AK748" s="1964"/>
      <c r="AL748" s="2144">
        <f t="shared" si="696"/>
        <v>40</v>
      </c>
      <c r="AM748" s="2145" t="s">
        <v>1455</v>
      </c>
      <c r="AN748" s="2191">
        <f>IF(AN710=0,0,(AN646+IF(AND($B$617=$B$623,$B$617&lt;&gt;0),0,AN657))/AN710)</f>
        <v>0</v>
      </c>
      <c r="AO748" s="533"/>
      <c r="AP748" s="2193">
        <f>IF(AP710=0,0,(AP646+IF(AND($B$617=$B$623,$B$617&lt;&gt;0),0,AP657))/AP710)</f>
        <v>0</v>
      </c>
      <c r="AQ748" s="2184"/>
      <c r="AR748" s="533"/>
      <c r="AS748" s="2193">
        <f>IF(AS710=0,0,(AS646+IF(AND($B$617=$B$623,$B$617&lt;&gt;0),0,AS657))/AS710)</f>
        <v>0</v>
      </c>
      <c r="AT748" s="1967"/>
      <c r="AU748" s="1967"/>
      <c r="AV748" s="2193">
        <f>IF(AV710=0,0,(AV646+IF(AND($B$617=$B$623,$B$617&lt;&gt;0),0,AV657))/AV710)</f>
        <v>0</v>
      </c>
      <c r="AW748" s="533"/>
      <c r="AX748" s="1969"/>
      <c r="AY748" s="2193">
        <f>IF(AY710=0,0,(AY646+IF(AND($B$617=$B$623,$B$617&lt;&gt;0),0,AY657))/AY710)</f>
        <v>0</v>
      </c>
      <c r="AZ748" s="533"/>
      <c r="BA748" s="1969"/>
      <c r="BB748" s="2193">
        <f>IF(BB710=0,0,(BB646+IF(AND($B$617=$B$623,$B$617&lt;&gt;0),0,BB657))/BB710)</f>
        <v>0</v>
      </c>
      <c r="BC748" s="533"/>
      <c r="BD748" s="1969"/>
      <c r="BE748" s="2193">
        <f t="shared" ref="BE748:BT748" si="701">IF(BE710=0,0,(BE646+IF(AND($B$617=$B$623,$B$617&lt;&gt;0),0,BE657))/BE710)</f>
        <v>0</v>
      </c>
      <c r="BF748" s="2193">
        <f t="shared" si="701"/>
        <v>0</v>
      </c>
      <c r="BG748" s="2193">
        <f t="shared" si="701"/>
        <v>0</v>
      </c>
      <c r="BH748" s="2193">
        <f t="shared" si="701"/>
        <v>0</v>
      </c>
      <c r="BI748" s="2193">
        <f t="shared" si="701"/>
        <v>0</v>
      </c>
      <c r="BJ748" s="2193">
        <f t="shared" si="701"/>
        <v>0</v>
      </c>
      <c r="BK748" s="2193">
        <f t="shared" si="701"/>
        <v>0</v>
      </c>
      <c r="BL748" s="2193">
        <f t="shared" si="701"/>
        <v>0</v>
      </c>
      <c r="BM748" s="2193">
        <f t="shared" si="701"/>
        <v>0</v>
      </c>
      <c r="BN748" s="2193">
        <f t="shared" si="701"/>
        <v>0</v>
      </c>
      <c r="BO748" s="2193">
        <f t="shared" si="701"/>
        <v>0</v>
      </c>
      <c r="BP748" s="2193">
        <f t="shared" si="701"/>
        <v>0</v>
      </c>
      <c r="BQ748" s="2193">
        <f t="shared" si="701"/>
        <v>0</v>
      </c>
      <c r="BR748" s="2193">
        <f t="shared" si="701"/>
        <v>0</v>
      </c>
      <c r="BS748" s="2193">
        <f t="shared" si="701"/>
        <v>0</v>
      </c>
      <c r="BT748" s="2193">
        <f t="shared" si="701"/>
        <v>0</v>
      </c>
      <c r="BU748" s="1970"/>
    </row>
    <row r="749" spans="37:73" s="536" customFormat="1" ht="12.5">
      <c r="AK749" s="1964"/>
      <c r="AL749" s="2144">
        <f t="shared" si="696"/>
        <v>41</v>
      </c>
      <c r="AM749" s="2145" t="s">
        <v>1456</v>
      </c>
      <c r="AN749" s="2191">
        <f>IF(AN710=0,0,(AN704+IF(AND($B$617=$B$623,$B$617&lt;&gt;0),0,AN657))/AN710)</f>
        <v>0</v>
      </c>
      <c r="AO749" s="533"/>
      <c r="AP749" s="2193">
        <f>IF(AP710=0,0,(AP704+IF(AND($B$617=$B$623,$B$617&lt;&gt;0),0,AP657))/AP710)</f>
        <v>0</v>
      </c>
      <c r="AQ749" s="2184"/>
      <c r="AR749" s="533"/>
      <c r="AS749" s="2193">
        <f>IF(AS710=0,0,(AS704+IF(AND($B$617=$B$623,$B$617&lt;&gt;0),0,AS657))/AS710)</f>
        <v>0</v>
      </c>
      <c r="AT749" s="1967"/>
      <c r="AU749" s="1967"/>
      <c r="AV749" s="2193">
        <f>IF(AV710=0,0,(AV704+IF(AND($B$617=$B$623,$B$617&lt;&gt;0),0,AV657))/AV710)</f>
        <v>0</v>
      </c>
      <c r="AW749" s="533"/>
      <c r="AX749" s="1969"/>
      <c r="AY749" s="2193">
        <f>IF(AY710=0,0,(AY704+IF(AND($B$617=$B$623,$B$617&lt;&gt;0),0,AY657))/AY710)</f>
        <v>0</v>
      </c>
      <c r="AZ749" s="533"/>
      <c r="BA749" s="1969"/>
      <c r="BB749" s="2193">
        <f>IF(BB710=0,0,(BB704+IF(AND($B$617=$B$623,$B$617&lt;&gt;0),0,BB657))/BB710)</f>
        <v>0</v>
      </c>
      <c r="BC749" s="533"/>
      <c r="BD749" s="1969"/>
      <c r="BE749" s="2193">
        <f t="shared" ref="BE749:BT749" si="702">IF(BE710=0,0,(BE704+IF(AND($B$617=$B$623,$B$617&lt;&gt;0),0,BE657))/BE710)</f>
        <v>0</v>
      </c>
      <c r="BF749" s="2193">
        <f t="shared" si="702"/>
        <v>0</v>
      </c>
      <c r="BG749" s="2193">
        <f t="shared" si="702"/>
        <v>0</v>
      </c>
      <c r="BH749" s="2193">
        <f t="shared" si="702"/>
        <v>0</v>
      </c>
      <c r="BI749" s="2193">
        <f t="shared" si="702"/>
        <v>0</v>
      </c>
      <c r="BJ749" s="2193">
        <f t="shared" si="702"/>
        <v>0</v>
      </c>
      <c r="BK749" s="2193">
        <f t="shared" si="702"/>
        <v>0</v>
      </c>
      <c r="BL749" s="2193">
        <f t="shared" si="702"/>
        <v>0</v>
      </c>
      <c r="BM749" s="2193">
        <f t="shared" si="702"/>
        <v>0</v>
      </c>
      <c r="BN749" s="2193">
        <f t="shared" si="702"/>
        <v>0</v>
      </c>
      <c r="BO749" s="2193">
        <f t="shared" si="702"/>
        <v>0</v>
      </c>
      <c r="BP749" s="2193">
        <f t="shared" si="702"/>
        <v>0</v>
      </c>
      <c r="BQ749" s="2193">
        <f t="shared" si="702"/>
        <v>0</v>
      </c>
      <c r="BR749" s="2193">
        <f t="shared" si="702"/>
        <v>0</v>
      </c>
      <c r="BS749" s="2193">
        <f t="shared" si="702"/>
        <v>0</v>
      </c>
      <c r="BT749" s="2193">
        <f t="shared" si="702"/>
        <v>0</v>
      </c>
      <c r="BU749" s="1970"/>
    </row>
    <row r="750" spans="37:73" s="536" customFormat="1" ht="12.5">
      <c r="AK750" s="1964"/>
      <c r="AL750" s="2144">
        <f t="shared" si="696"/>
        <v>42</v>
      </c>
      <c r="AM750" s="2201" t="str">
        <f>IF(AND(B617=B623,B617&lt;&gt;0),"ENDEUDAMIENTO CON VALORIZACIONES, SIN ANTICIPOS RECIBIDOS","ENDEUDAMIENTO CON VALORIZACIONES")</f>
        <v>ENDEUDAMIENTO CON VALORIZACIONES</v>
      </c>
      <c r="AN750" s="2202">
        <f>IF(AN617=0,0,(AN646+IF(AND($B$617=$B$623,$B$617&lt;&gt;0),0,AN657))/(AN617+IF(AND($B$617=$B$623,$B$617&lt;&gt;0),0,AN657)))</f>
        <v>0</v>
      </c>
      <c r="AO750" s="2180"/>
      <c r="AP750" s="2203">
        <f>IF(AP617=0,0,(AP646+IF(AND($B$617=$B$623,$B$617&lt;&gt;0),0,AP657))/(AP617+IF(AND($B$617=$B$623,$B$617&lt;&gt;0),0,AP657)))</f>
        <v>0</v>
      </c>
      <c r="AQ750" s="2180"/>
      <c r="AR750" s="2180"/>
      <c r="AS750" s="2203">
        <f>IF(AS617=0,0,(AS646+IF(AND($B$617=$B$623,$B$617&lt;&gt;0),0,AS657))/(AS617+IF(AND($B$617=$B$623,$B$617&lt;&gt;0),0,AS657)))</f>
        <v>0</v>
      </c>
      <c r="AT750" s="2180"/>
      <c r="AU750" s="2180"/>
      <c r="AV750" s="2203">
        <f>IF(AV617=0,0,(AV646+IF(AND($B$617=$B$623,$B$617&lt;&gt;0),0,AV657))/(AV617+IF(AND($B$617=$B$623,$B$617&lt;&gt;0),0,AV657)))</f>
        <v>0</v>
      </c>
      <c r="AW750" s="2180"/>
      <c r="AX750" s="2180"/>
      <c r="AY750" s="2203">
        <f>IF(AY617=0,0,(AY646+IF(AND($B$617=$B$623,$B$617&lt;&gt;0),0,AY657))/(AY617+IF(AND($B$617=$B$623,$B$617&lt;&gt;0),0,AY657)))</f>
        <v>0</v>
      </c>
      <c r="AZ750" s="2180"/>
      <c r="BA750" s="2180"/>
      <c r="BB750" s="2203">
        <f>IF(BB617=0,0,(BB646+IF(AND($B$617=$B$623,$B$617&lt;&gt;0),0,BB657))/(BB617+IF(AND($B$617=$B$623,$B$617&lt;&gt;0),0,BB657)))</f>
        <v>0</v>
      </c>
      <c r="BC750" s="2180"/>
      <c r="BD750" s="2180"/>
      <c r="BE750" s="2203">
        <f t="shared" ref="BE750:BT750" si="703">IF(BE617=0,0,(BE646+IF(AND($B$617=$B$623,$B$617&lt;&gt;0),0,BE657))/(BE617+IF(AND($B$617=$B$623,$B$617&lt;&gt;0),0,BE657)))</f>
        <v>0</v>
      </c>
      <c r="BF750" s="2204">
        <f t="shared" si="703"/>
        <v>0</v>
      </c>
      <c r="BG750" s="2203">
        <f t="shared" si="703"/>
        <v>0</v>
      </c>
      <c r="BH750" s="2203">
        <f t="shared" si="703"/>
        <v>0</v>
      </c>
      <c r="BI750" s="2203">
        <f t="shared" si="703"/>
        <v>0</v>
      </c>
      <c r="BJ750" s="2203">
        <f t="shared" si="703"/>
        <v>0</v>
      </c>
      <c r="BK750" s="2203">
        <f t="shared" si="703"/>
        <v>0</v>
      </c>
      <c r="BL750" s="2203">
        <f t="shared" si="703"/>
        <v>0</v>
      </c>
      <c r="BM750" s="2203">
        <f t="shared" si="703"/>
        <v>0</v>
      </c>
      <c r="BN750" s="2203">
        <f t="shared" si="703"/>
        <v>0</v>
      </c>
      <c r="BO750" s="2203">
        <f t="shared" si="703"/>
        <v>0</v>
      </c>
      <c r="BP750" s="2203">
        <f t="shared" si="703"/>
        <v>0</v>
      </c>
      <c r="BQ750" s="2203">
        <f t="shared" si="703"/>
        <v>0</v>
      </c>
      <c r="BR750" s="2203">
        <f t="shared" si="703"/>
        <v>0</v>
      </c>
      <c r="BS750" s="2203">
        <f t="shared" si="703"/>
        <v>0</v>
      </c>
      <c r="BT750" s="2203">
        <f t="shared" si="703"/>
        <v>0</v>
      </c>
      <c r="BU750" s="1970"/>
    </row>
    <row r="751" spans="37:73" s="536" customFormat="1" ht="12.5">
      <c r="AK751" s="1964"/>
      <c r="AL751" s="2144">
        <f t="shared" si="696"/>
        <v>43</v>
      </c>
      <c r="AM751" s="2201" t="str">
        <f>IF(AND(B617=B623,B617&lt;&gt;0),"ENDEUDAMIENTO SIN VALORIZACIONES, SIN ANTICIPOS RECIBIDOS","ENDEUDAMIENTO SIN VALORIZACIONES")</f>
        <v>ENDEUDAMIENTO SIN VALORIZACIONES</v>
      </c>
      <c r="AN751" s="2202">
        <f>IF(AN616=0,0,(AN646+IF(AND($B$617=$B$623,$B$617&lt;&gt;0),0,AN657)-IF(AND($B$617=$B$623,$B$617&lt;&gt;0),'Estados Financieros'!C263,0))/(AN616-IF(AND($B$617=$B$623,$B$617&lt;&gt;0),'Estados Financieros'!C263,0)+IF(AND($B$617=$B$623,$B$617&lt;&gt;0),0,AN657)))</f>
        <v>0</v>
      </c>
      <c r="AO751" s="2180"/>
      <c r="AP751" s="2203">
        <f>IF(AP616=0,0,(AP646+IF(AND($B$617=$B$623,$B$617&lt;&gt;0),0,AP657)-IF(AND($B$617=$B$623,$B$617&lt;&gt;0),'Estados Financieros'!E263,0))/(AP616-IF(AND($B$617=$B$623,$B$617&lt;&gt;0),'Estados Financieros'!E263,0)+IF(AND($B$617=$B$623,$B$617&lt;&gt;0),0,AP657)))</f>
        <v>0</v>
      </c>
      <c r="AQ751" s="2180"/>
      <c r="AR751" s="2180"/>
      <c r="AS751" s="2203">
        <f>IF(AS616=0,0,(AS646+IF(AND($B$617=$B$623,$B$617&lt;&gt;0),0,AS657)-IF(AND($B$617=$B$623,$B$617&lt;&gt;0),'Estados Financieros'!H263,0))/(AS616-IF(AND($B$617=$B$623,$B$617&lt;&gt;0),'Estados Financieros'!H263,0)+IF(AND($B$617=$B$623,$B$617&lt;&gt;0),0,AS657)))</f>
        <v>0</v>
      </c>
      <c r="AT751" s="2180"/>
      <c r="AU751" s="2180"/>
      <c r="AV751" s="2203">
        <f>IF(AV616=0,0,(AV646+IF(AND($B$617=$B$623,$B$617&lt;&gt;0),0,AV657)-IF(AND($B$617=$B$623,$B$617&lt;&gt;0),'Estados Financieros'!K263,0))/(AV616-IF(AND($B$617=$B$623,$B$617&lt;&gt;0),'Estados Financieros'!K263,0)+IF(AND($B$617=$B$623,$B$617&lt;&gt;0),0,AV657)))</f>
        <v>0</v>
      </c>
      <c r="AW751" s="2180"/>
      <c r="AX751" s="2180"/>
      <c r="AY751" s="2203">
        <f>IF(AY616=0,0,(AY646+IF(AND($B$617=$B$623,$B$617&lt;&gt;0),0,AY657)-IF(AND($B$617=$B$623,$B$617&lt;&gt;0),'Estados Financieros'!N263,0))/(AY616-IF(AND($B$617=$B$623,$B$617&lt;&gt;0),'Estados Financieros'!N263,0)+IF(AND($B$617=$B$623,$B$617&lt;&gt;0),0,AY657)))</f>
        <v>0</v>
      </c>
      <c r="AZ751" s="2180"/>
      <c r="BA751" s="2180"/>
      <c r="BB751" s="2203">
        <f>IF(BB616=0,0,(BB646+IF(AND($B$617=$B$623,$B$617&lt;&gt;0),0,BB657)-IF(AND($B$617=$B$623,$B$617&lt;&gt;0),'Estados Financieros'!R263,0))/(BB616-IF(AND($B$617=$B$623,$B$617&lt;&gt;0),'Estados Financieros'!R263,0)+IF(AND($B$617=$B$623,$B$617&lt;&gt;0),0,BB657)))</f>
        <v>0</v>
      </c>
      <c r="BC751" s="2180"/>
      <c r="BD751" s="2180"/>
      <c r="BE751" s="2203">
        <f>IF(BE616=0,0,(BE646+IF(AND($B$617=$B$623,$B$617&lt;&gt;0),0,BE657)-IF(AND($B$617=$B$623,$B$617&lt;&gt;0),'Estados Financieros'!U263,0))/(BE616-IF(AND($B$617=$B$623,$B$617&lt;&gt;0),'Estados Financieros'!U263,0)+IF(AND($B$617=$B$623,$B$617&lt;&gt;0),0,BE657)))</f>
        <v>0</v>
      </c>
      <c r="BF751" s="2204">
        <f>IF(BF616=0,0,(BF646+IF(AND($B$617=$B$623,$B$617&lt;&gt;0),0,BF657)-IF(AND($B$617=$B$623,$B$617&lt;&gt;0),'Estados Financieros'!V263,0))/(BF616-IF(AND($B$617=$B$623,$B$617&lt;&gt;0),'Estados Financieros'!V263,0)+IF(AND($B$617=$B$623,$B$617&lt;&gt;0),0,BF657)))</f>
        <v>0</v>
      </c>
      <c r="BG751" s="2203">
        <f>IF(BG616=0,0,(BG646+IF(AND($B$617=$B$623,$B$617&lt;&gt;0),0,BG657)-IF(AND($B$617=$B$623,$B$617&lt;&gt;0),'Estados Financieros'!W263,0))/(BG616-IF(AND($B$617=$B$623,$B$617&lt;&gt;0),'Estados Financieros'!W263,0)+IF(AND($B$617=$B$623,$B$617&lt;&gt;0),0,BG657)))</f>
        <v>0</v>
      </c>
      <c r="BH751" s="2203">
        <f>IF(BH616=0,0,(BH646+IF(AND($B$617=$B$623,$B$617&lt;&gt;0),0,BH657)-IF(AND($B$617=$B$623,$B$617&lt;&gt;0),'Estados Financieros'!X263,0))/(BH616-IF(AND($B$617=$B$623,$B$617&lt;&gt;0),'Estados Financieros'!X263,0)+IF(AND($B$617=$B$623,$B$617&lt;&gt;0),0,BH657)))</f>
        <v>0</v>
      </c>
      <c r="BI751" s="2203">
        <f>IF(BI616=0,0,(BI646+IF(AND($B$617=$B$623,$B$617&lt;&gt;0),0,BI657)-IF(AND($B$617=$B$623,$B$617&lt;&gt;0),'Estados Financieros'!Y263,0))/(BI616-IF(AND($B$617=$B$623,$B$617&lt;&gt;0),'Estados Financieros'!Y263,0)+IF(AND($B$617=$B$623,$B$617&lt;&gt;0),0,BI657)))</f>
        <v>0</v>
      </c>
      <c r="BJ751" s="2203">
        <f>IF(BJ616=0,0,(BJ646+IF(AND($B$617=$B$623,$B$617&lt;&gt;0),0,BJ657)-IF(AND($B$617=$B$623,$B$617&lt;&gt;0),'Estados Financieros'!Z263,0))/(BJ616-IF(AND($B$617=$B$623,$B$617&lt;&gt;0),'Estados Financieros'!Z263,0)+IF(AND($B$617=$B$623,$B$617&lt;&gt;0),0,BJ657)))</f>
        <v>0</v>
      </c>
      <c r="BK751" s="2203">
        <f>IF(BK616=0,0,(BK646+IF(AND($B$617=$B$623,$B$617&lt;&gt;0),0,BK657)-IF(AND($B$617=$B$623,$B$617&lt;&gt;0),'Estados Financieros'!AA263,0))/(BK616-IF(AND($B$617=$B$623,$B$617&lt;&gt;0),'Estados Financieros'!AA263,0)+IF(AND($B$617=$B$623,$B$617&lt;&gt;0),0,BK657)))</f>
        <v>0</v>
      </c>
      <c r="BL751" s="2203">
        <f>IF(BL616=0,0,(BL646+IF(AND($B$617=$B$623,$B$617&lt;&gt;0),0,BL657)-IF(AND($B$617=$B$623,$B$617&lt;&gt;0),'Estados Financieros'!AB263,0))/(BL616-IF(AND($B$617=$B$623,$B$617&lt;&gt;0),'Estados Financieros'!AB263,0)+IF(AND($B$617=$B$623,$B$617&lt;&gt;0),0,BL657)))</f>
        <v>0</v>
      </c>
      <c r="BM751" s="2203">
        <f>IF(BM616=0,0,(BM646+IF(AND($B$617=$B$623,$B$617&lt;&gt;0),0,BM657)-IF(AND($B$617=$B$623,$B$617&lt;&gt;0),'Estados Financieros'!AC263,0))/(BM616-IF(AND($B$617=$B$623,$B$617&lt;&gt;0),'Estados Financieros'!AC263,0)+IF(AND($B$617=$B$623,$B$617&lt;&gt;0),0,BM657)))</f>
        <v>0</v>
      </c>
      <c r="BN751" s="2203">
        <f>IF(BN616=0,0,(BN646+IF(AND($B$617=$B$623,$B$617&lt;&gt;0),0,BN657)-IF(AND($B$617=$B$623,$B$617&lt;&gt;0),'Estados Financieros'!AD263,0))/(BN616-IF(AND($B$617=$B$623,$B$617&lt;&gt;0),'Estados Financieros'!AD263,0)+IF(AND($B$617=$B$623,$B$617&lt;&gt;0),0,BN657)))</f>
        <v>0</v>
      </c>
      <c r="BO751" s="2203">
        <f>IF(BO616=0,0,(BO646+IF(AND($B$617=$B$623,$B$617&lt;&gt;0),0,BO657)-IF(AND($B$617=$B$623,$B$617&lt;&gt;0),'Estados Financieros'!AE263,0))/(BO616-IF(AND($B$617=$B$623,$B$617&lt;&gt;0),'Estados Financieros'!AE263,0)+IF(AND($B$617=$B$623,$B$617&lt;&gt;0),0,BO657)))</f>
        <v>0</v>
      </c>
      <c r="BP751" s="2203">
        <f>IF(BP616=0,0,(BP646+IF(AND($B$617=$B$623,$B$617&lt;&gt;0),0,BP657)-IF(AND($B$617=$B$623,$B$617&lt;&gt;0),'Estados Financieros'!AF263,0))/(BP616-IF(AND($B$617=$B$623,$B$617&lt;&gt;0),'Estados Financieros'!AF263,0)+IF(AND($B$617=$B$623,$B$617&lt;&gt;0),0,BP657)))</f>
        <v>0</v>
      </c>
      <c r="BQ751" s="2203">
        <f>IF(BQ616=0,0,(BQ646+IF(AND($B$617=$B$623,$B$617&lt;&gt;0),0,BQ657)-IF(AND($B$617=$B$623,$B$617&lt;&gt;0),'Estados Financieros'!AG263,0))/(BQ616-IF(AND($B$617=$B$623,$B$617&lt;&gt;0),'Estados Financieros'!AG263,0)+IF(AND($B$617=$B$623,$B$617&lt;&gt;0),0,BQ657)))</f>
        <v>0</v>
      </c>
      <c r="BR751" s="2203">
        <f>IF(BR616=0,0,(BR646+IF(AND($B$617=$B$623,$B$617&lt;&gt;0),0,BR657)-IF(AND($B$617=$B$623,$B$617&lt;&gt;0),'Estados Financieros'!AH263,0))/(BR616-IF(AND($B$617=$B$623,$B$617&lt;&gt;0),'Estados Financieros'!AH263,0)+IF(AND($B$617=$B$623,$B$617&lt;&gt;0),0,BR657)))</f>
        <v>0</v>
      </c>
      <c r="BS751" s="2203">
        <f>IF(BS616=0,0,(BS646+IF(AND($B$617=$B$623,$B$617&lt;&gt;0),0,BS657)-IF(AND($B$617=$B$623,$B$617&lt;&gt;0),'Estados Financieros'!AI263,0))/(BS616-IF(AND($B$617=$B$623,$B$617&lt;&gt;0),'Estados Financieros'!AI263,0)+IF(AND($B$617=$B$623,$B$617&lt;&gt;0),0,BS657)))</f>
        <v>0</v>
      </c>
      <c r="BT751" s="2203">
        <f>IF(BT616=0,0,(BT646+IF(AND($B$617=$B$623,$B$617&lt;&gt;0),0,BT657)-IF(AND($B$617=$B$623,$B$617&lt;&gt;0),'Estados Financieros'!AJ263,0))/(BT616-IF(AND($B$617=$B$623,$B$617&lt;&gt;0),'Estados Financieros'!AJ263,0)+IF(AND($B$617=$B$623,$B$617&lt;&gt;0),0,BT657)))</f>
        <v>0</v>
      </c>
      <c r="BU751" s="1970"/>
    </row>
    <row r="752" spans="37:73" s="536" customFormat="1" ht="12.5">
      <c r="AK752" s="1964"/>
      <c r="AL752" s="2144">
        <f t="shared" si="696"/>
        <v>44</v>
      </c>
      <c r="AM752" s="2205" t="s">
        <v>1457</v>
      </c>
      <c r="AN752" s="2179"/>
      <c r="AO752" s="2180"/>
      <c r="AP752" s="2206">
        <f>IF(OR(AP683=0,AP584=0),0,AP704/(AP709+AP615))</f>
        <v>0</v>
      </c>
      <c r="AQ752" s="2180"/>
      <c r="AR752" s="2180"/>
      <c r="AS752" s="2206">
        <f>IF(OR(AS683=0,AS584=0),0,AS704/(AS709+AS615))</f>
        <v>0</v>
      </c>
      <c r="AT752" s="2180"/>
      <c r="AU752" s="2180"/>
      <c r="AV752" s="2206">
        <f>IF(OR(AV683=0,AV584=0),0,AV704/(AV709+AV615))</f>
        <v>0</v>
      </c>
      <c r="AW752" s="2180"/>
      <c r="AX752" s="2180"/>
      <c r="AY752" s="2206">
        <f>IF(OR(AY683=0,AY584=0),0,AY704/(AY709+AY615))</f>
        <v>0</v>
      </c>
      <c r="AZ752" s="2180"/>
      <c r="BA752" s="2180"/>
      <c r="BB752" s="2206">
        <f>IF(OR(BB683=0,BB584=0),0,BB704/(BB709+BB615))</f>
        <v>0</v>
      </c>
      <c r="BC752" s="2180"/>
      <c r="BD752" s="2180"/>
      <c r="BE752" s="2207">
        <f t="shared" ref="BE752:BT752" si="704">IF(OR(BE683=0,BE584=0),0,BE704/BE709)</f>
        <v>0</v>
      </c>
      <c r="BF752" s="2207">
        <f t="shared" si="704"/>
        <v>0</v>
      </c>
      <c r="BG752" s="2207">
        <f t="shared" si="704"/>
        <v>0</v>
      </c>
      <c r="BH752" s="2207">
        <f t="shared" si="704"/>
        <v>0</v>
      </c>
      <c r="BI752" s="2207">
        <f t="shared" si="704"/>
        <v>0</v>
      </c>
      <c r="BJ752" s="2207">
        <f t="shared" si="704"/>
        <v>0</v>
      </c>
      <c r="BK752" s="2207">
        <f t="shared" si="704"/>
        <v>0</v>
      </c>
      <c r="BL752" s="2207">
        <f t="shared" si="704"/>
        <v>0</v>
      </c>
      <c r="BM752" s="2207">
        <f t="shared" si="704"/>
        <v>0</v>
      </c>
      <c r="BN752" s="2207">
        <f t="shared" si="704"/>
        <v>0</v>
      </c>
      <c r="BO752" s="2207">
        <f t="shared" si="704"/>
        <v>0</v>
      </c>
      <c r="BP752" s="2207">
        <f t="shared" si="704"/>
        <v>0</v>
      </c>
      <c r="BQ752" s="2207">
        <f t="shared" si="704"/>
        <v>0</v>
      </c>
      <c r="BR752" s="2207">
        <f t="shared" si="704"/>
        <v>0</v>
      </c>
      <c r="BS752" s="2207">
        <f t="shared" si="704"/>
        <v>0</v>
      </c>
      <c r="BT752" s="2207">
        <f t="shared" si="704"/>
        <v>0</v>
      </c>
      <c r="BU752" s="1970"/>
    </row>
    <row r="753" spans="37:73" s="536" customFormat="1">
      <c r="AK753" s="1964"/>
      <c r="AL753" s="1965"/>
      <c r="AM753" s="2002"/>
      <c r="AN753" s="2121"/>
      <c r="AO753" s="533"/>
      <c r="AP753" s="2208"/>
      <c r="AQ753" s="533"/>
      <c r="AR753" s="533"/>
      <c r="AS753" s="2208"/>
      <c r="AT753" s="1967"/>
      <c r="AU753" s="1967"/>
      <c r="AV753" s="2208"/>
      <c r="AW753" s="533"/>
      <c r="AX753" s="1969"/>
      <c r="AY753" s="2208"/>
      <c r="AZ753" s="533"/>
      <c r="BA753" s="1969"/>
      <c r="BB753" s="2208"/>
      <c r="BC753" s="533"/>
      <c r="BD753" s="1969"/>
      <c r="BE753" s="2208"/>
      <c r="BF753" s="2208"/>
      <c r="BG753" s="2209"/>
      <c r="BH753" s="2209"/>
      <c r="BI753" s="2209"/>
      <c r="BJ753" s="2209"/>
      <c r="BK753" s="2209"/>
      <c r="BL753" s="2209"/>
      <c r="BM753" s="2209"/>
      <c r="BN753" s="2209"/>
      <c r="BO753" s="2209"/>
      <c r="BP753" s="531"/>
      <c r="BQ753" s="535"/>
      <c r="BU753" s="1970"/>
    </row>
    <row r="754" spans="37:73" s="536" customFormat="1">
      <c r="AK754" s="1964"/>
      <c r="AL754" s="1965"/>
      <c r="AM754" s="2158" t="s">
        <v>531</v>
      </c>
      <c r="AN754" s="2184"/>
      <c r="AO754" s="533"/>
      <c r="AP754" s="2184"/>
      <c r="AQ754" s="2184"/>
      <c r="AR754" s="533"/>
      <c r="AS754" s="2184"/>
      <c r="AT754" s="1967"/>
      <c r="AU754" s="1967"/>
      <c r="AV754" s="2184"/>
      <c r="AW754" s="533"/>
      <c r="AX754" s="1969"/>
      <c r="AY754" s="2184"/>
      <c r="AZ754" s="533"/>
      <c r="BA754" s="1969"/>
      <c r="BB754" s="2184"/>
      <c r="BC754" s="533"/>
      <c r="BD754" s="1969"/>
      <c r="BE754" s="2184"/>
      <c r="BF754" s="2184"/>
      <c r="BG754" s="2184"/>
      <c r="BH754" s="2184"/>
      <c r="BI754" s="2184"/>
      <c r="BJ754" s="2184"/>
      <c r="BK754" s="2184"/>
      <c r="BL754" s="2184"/>
      <c r="BM754" s="2184"/>
      <c r="BN754" s="2184"/>
      <c r="BO754" s="2184"/>
      <c r="BP754" s="531"/>
      <c r="BQ754" s="696"/>
      <c r="BU754" s="1970"/>
    </row>
    <row r="755" spans="37:73" s="536" customFormat="1" ht="12.5">
      <c r="AK755" s="1964"/>
      <c r="AL755" s="2140">
        <f>AL752+1</f>
        <v>45</v>
      </c>
      <c r="AM755" s="2185" t="s">
        <v>1458</v>
      </c>
      <c r="AN755" s="2210"/>
      <c r="AO755" s="2187"/>
      <c r="AP755" s="2211">
        <f>IF(OR($AP$679=0,$AP$617=0),0,$AP$679/$AS$617)</f>
        <v>0</v>
      </c>
      <c r="AQ755" s="2187"/>
      <c r="AR755" s="2187"/>
      <c r="AS755" s="2211">
        <f>IF(OR($AS$679=0,$AS$617=0),0,$AS$679/$AS$617)</f>
        <v>0</v>
      </c>
      <c r="AT755" s="2187"/>
      <c r="AU755" s="2187"/>
      <c r="AV755" s="2211">
        <f>IF(OR($AV$679=0,$AV$617=0),0,($AV$679*(12/$AW$757))/$AV$617)</f>
        <v>0</v>
      </c>
      <c r="AW755" s="2187"/>
      <c r="AX755" s="2187"/>
      <c r="AY755" s="2211">
        <f>IF(OR($AY$679=0,$AY$617=0),0,$AY$679/$AY$617)</f>
        <v>0</v>
      </c>
      <c r="AZ755" s="2187"/>
      <c r="BA755" s="2187"/>
      <c r="BB755" s="2211">
        <f>IF(OR($BB$679=0,$BB$617=0),0,($BB$679*(12/$BC$757))/$BB$617)</f>
        <v>0</v>
      </c>
      <c r="BC755" s="2187"/>
      <c r="BD755" s="2187"/>
      <c r="BE755" s="2188">
        <f t="shared" ref="BE755:BT755" si="705">IF(OR(BE724=0,BE595=0),0,(BE715+IF(AND($B$617=$B$623,$B$617&lt;&gt;0),0,BE668))/((BE724*360/BE595)+IF(AND($B$617=$B$623,$B$617&lt;&gt;0),0,BE668)))</f>
        <v>0</v>
      </c>
      <c r="BF755" s="2189">
        <f t="shared" si="705"/>
        <v>0</v>
      </c>
      <c r="BG755" s="2188">
        <f t="shared" si="705"/>
        <v>0</v>
      </c>
      <c r="BH755" s="2188">
        <f t="shared" si="705"/>
        <v>0</v>
      </c>
      <c r="BI755" s="2188">
        <f t="shared" si="705"/>
        <v>0</v>
      </c>
      <c r="BJ755" s="2188">
        <f t="shared" si="705"/>
        <v>0</v>
      </c>
      <c r="BK755" s="2188">
        <f t="shared" si="705"/>
        <v>0</v>
      </c>
      <c r="BL755" s="2188">
        <f t="shared" si="705"/>
        <v>0</v>
      </c>
      <c r="BM755" s="2188">
        <f t="shared" si="705"/>
        <v>0</v>
      </c>
      <c r="BN755" s="2188">
        <f t="shared" si="705"/>
        <v>0</v>
      </c>
      <c r="BO755" s="2188">
        <f t="shared" si="705"/>
        <v>0</v>
      </c>
      <c r="BP755" s="2188">
        <f t="shared" si="705"/>
        <v>0</v>
      </c>
      <c r="BQ755" s="2188">
        <f t="shared" si="705"/>
        <v>0</v>
      </c>
      <c r="BR755" s="2188">
        <f t="shared" si="705"/>
        <v>0</v>
      </c>
      <c r="BS755" s="2188">
        <f t="shared" si="705"/>
        <v>0</v>
      </c>
      <c r="BT755" s="2188">
        <f t="shared" si="705"/>
        <v>0</v>
      </c>
      <c r="BU755" s="1970"/>
    </row>
    <row r="756" spans="37:73" s="536" customFormat="1" ht="12.5">
      <c r="AK756" s="1964"/>
      <c r="AL756" s="2144">
        <f>AL755+1</f>
        <v>46</v>
      </c>
      <c r="AM756" s="2190" t="s">
        <v>1459</v>
      </c>
      <c r="AN756" s="2197"/>
      <c r="AO756" s="2192"/>
      <c r="AP756" s="2212">
        <f>IF(OR($AP$679=0,$AP$616=0),0,$AP$679/$AP$616)</f>
        <v>0</v>
      </c>
      <c r="AQ756" s="2192"/>
      <c r="AR756" s="2192"/>
      <c r="AS756" s="2212">
        <f>IF(OR($AS$679=0,$AS$616=0),0,$AS$679/$AS$616)</f>
        <v>0</v>
      </c>
      <c r="AT756" s="2192"/>
      <c r="AU756" s="2192"/>
      <c r="AV756" s="2212">
        <f>IF(OR($AV$679=0,$AV$616=0),0,($AV$679*(12/$AW$757))/$AV$616)</f>
        <v>0</v>
      </c>
      <c r="AW756" s="2192"/>
      <c r="AX756" s="2192"/>
      <c r="AY756" s="2212">
        <f>IF(OR($AY$679=0,$AY$616=0),0,$AY$679/$AY$616)</f>
        <v>0</v>
      </c>
      <c r="AZ756" s="2192"/>
      <c r="BA756" s="2192"/>
      <c r="BB756" s="2212">
        <f>IF(OR($BB$679=0,$BB$616=0),0,($BB$679*(12/$BC$757))/$BB$616)</f>
        <v>0</v>
      </c>
      <c r="BC756" s="2194"/>
      <c r="BD756" s="2192"/>
      <c r="BE756" s="2193">
        <f t="shared" ref="BE756:BT756" si="706">IF(OR(BE694=0,BE595=0),0,(BE715+IF(AND($B$617=$B$623,$B$617&lt;&gt;0),0,BE668))/((BE694*360/BE595)+IF(AND($B$617=$B$623,$B$617&lt;&gt;0),0,BE668)))</f>
        <v>0</v>
      </c>
      <c r="BF756" s="2195">
        <f t="shared" si="706"/>
        <v>0</v>
      </c>
      <c r="BG756" s="2193">
        <f t="shared" si="706"/>
        <v>0</v>
      </c>
      <c r="BH756" s="2193">
        <f t="shared" si="706"/>
        <v>0</v>
      </c>
      <c r="BI756" s="2193">
        <f t="shared" si="706"/>
        <v>0</v>
      </c>
      <c r="BJ756" s="2193">
        <f t="shared" si="706"/>
        <v>0</v>
      </c>
      <c r="BK756" s="2193">
        <f t="shared" si="706"/>
        <v>0</v>
      </c>
      <c r="BL756" s="2193">
        <f t="shared" si="706"/>
        <v>0</v>
      </c>
      <c r="BM756" s="2193">
        <f t="shared" si="706"/>
        <v>0</v>
      </c>
      <c r="BN756" s="2193">
        <f t="shared" si="706"/>
        <v>0</v>
      </c>
      <c r="BO756" s="2193">
        <f t="shared" si="706"/>
        <v>0</v>
      </c>
      <c r="BP756" s="2193">
        <f t="shared" si="706"/>
        <v>0</v>
      </c>
      <c r="BQ756" s="2193">
        <f t="shared" si="706"/>
        <v>0</v>
      </c>
      <c r="BR756" s="2193">
        <f t="shared" si="706"/>
        <v>0</v>
      </c>
      <c r="BS756" s="2193">
        <f t="shared" si="706"/>
        <v>0</v>
      </c>
      <c r="BT756" s="2193">
        <f t="shared" si="706"/>
        <v>0</v>
      </c>
      <c r="BU756" s="1970"/>
    </row>
    <row r="757" spans="37:73" s="536" customFormat="1" ht="12.5">
      <c r="AK757" s="1964"/>
      <c r="AL757" s="2144">
        <f>AL756+1</f>
        <v>47</v>
      </c>
      <c r="AM757" s="2190" t="s">
        <v>1460</v>
      </c>
      <c r="AN757" s="2197"/>
      <c r="AO757" s="2192"/>
      <c r="AP757" s="2160">
        <f>IF(OR($AP$679=0,$AP$655=0),0,$AP$679/($AP$655+$AP$615))</f>
        <v>0</v>
      </c>
      <c r="AQ757" s="2192"/>
      <c r="AR757" s="2192"/>
      <c r="AS757" s="2160">
        <f>IF(OR($AS$679=0,$AS$655=0),0,$AS$679/($AS$655+AS615))</f>
        <v>0</v>
      </c>
      <c r="AT757" s="2192"/>
      <c r="AU757" s="2192"/>
      <c r="AV757" s="2212">
        <f>IF(OR($AV$679=0,$AV$655=0),0,($AV$679*(12/$AW$757))/($AV$655+AV615))</f>
        <v>0</v>
      </c>
      <c r="AW757" s="2196">
        <f>IF(AV697=30,1,IF(AV697=60,2,IF(AV697=90,3,IF(AV697=120,4,IF(AV697=150,5,IF(AV697=180,6,IF(AV697=210,7,IF(AV697=240,8,IF(AV697=270,9,IF(AV697=300,10,IF(AV697=330,11,IF(AV697=360,12))))))))))))</f>
        <v>6</v>
      </c>
      <c r="AX757" s="2192"/>
      <c r="AY757" s="2160">
        <f>IF(OR($AY$679=0,$AY$655=0),0,$AY$679/($AY$655+AY615))</f>
        <v>0</v>
      </c>
      <c r="AZ757" s="2192"/>
      <c r="BA757" s="2192"/>
      <c r="BB757" s="2212">
        <f>IF(OR($BB$679=0,$BB$655=0),0,($BB$679*(12/$BC$757))/($BB$655+BB615))</f>
        <v>0</v>
      </c>
      <c r="BC757" s="2196">
        <f>IF(BB697=30,1,IF(BB697=60,2,IF(BB697=90,3,IF(BB697=120,4,IF(BB697=150,5,IF(BB697=180,6,IF(BB697=210,7,IF(BB697=240,8,IF(BB697=270,9,IF(BB697=300,10,IF(BB697=330,11,IF(BB697=360,12))))))))))))</f>
        <v>12</v>
      </c>
      <c r="BD757" s="2192"/>
      <c r="BE757" s="2193">
        <f t="shared" ref="BE757:BT757" si="707">IF(BE666=0,0,((BE630+BE631+BE632+BE633+BE644+BE645+BE646)+IF(AND($B$617=$B$623,$B$617&lt;&gt;0),0,BE668))/(BE694))</f>
        <v>0</v>
      </c>
      <c r="BF757" s="2195">
        <f t="shared" si="707"/>
        <v>0</v>
      </c>
      <c r="BG757" s="2193">
        <f t="shared" si="707"/>
        <v>0</v>
      </c>
      <c r="BH757" s="2193">
        <f t="shared" si="707"/>
        <v>0</v>
      </c>
      <c r="BI757" s="2193">
        <f t="shared" si="707"/>
        <v>0</v>
      </c>
      <c r="BJ757" s="2193">
        <f t="shared" si="707"/>
        <v>0</v>
      </c>
      <c r="BK757" s="2193">
        <f t="shared" si="707"/>
        <v>0</v>
      </c>
      <c r="BL757" s="2193">
        <f t="shared" si="707"/>
        <v>0</v>
      </c>
      <c r="BM757" s="2193">
        <f t="shared" si="707"/>
        <v>0</v>
      </c>
      <c r="BN757" s="2193">
        <f t="shared" si="707"/>
        <v>0</v>
      </c>
      <c r="BO757" s="2193">
        <f t="shared" si="707"/>
        <v>0</v>
      </c>
      <c r="BP757" s="2193">
        <f t="shared" si="707"/>
        <v>0</v>
      </c>
      <c r="BQ757" s="2193">
        <f t="shared" si="707"/>
        <v>0</v>
      </c>
      <c r="BR757" s="2193">
        <f t="shared" si="707"/>
        <v>0</v>
      </c>
      <c r="BS757" s="2193">
        <f t="shared" si="707"/>
        <v>0</v>
      </c>
      <c r="BT757" s="2193">
        <f t="shared" si="707"/>
        <v>0</v>
      </c>
      <c r="BU757" s="1970"/>
    </row>
    <row r="758" spans="37:73" s="536" customFormat="1" ht="12.5">
      <c r="AK758" s="1964"/>
      <c r="AL758" s="2144">
        <f>AL757+1</f>
        <v>48</v>
      </c>
      <c r="AM758" s="2190" t="s">
        <v>1461</v>
      </c>
      <c r="AN758" s="2197"/>
      <c r="AO758" s="2192"/>
      <c r="AP758" s="2212">
        <f>IF(OR($AP$679=0,$AP$655=0),0,$AP$679/$AP$655)</f>
        <v>0</v>
      </c>
      <c r="AQ758" s="2192"/>
      <c r="AR758" s="2192"/>
      <c r="AS758" s="2212">
        <f>IF(OR($AS$679=0,$AS$655=0),0,$AS$679/$AS$655)</f>
        <v>0</v>
      </c>
      <c r="AT758" s="2192"/>
      <c r="AU758" s="2192"/>
      <c r="AV758" s="2212">
        <f>IF(OR($AV$679=0,$AV$655=0),0,($AV$679*(12/$AW$757))/$AV$655)</f>
        <v>0</v>
      </c>
      <c r="AW758" s="2192"/>
      <c r="AX758" s="2192"/>
      <c r="AY758" s="2212">
        <f>IF(OR($AY$679=0,$AY$655=0),0,$AY$679/$AY$655)</f>
        <v>0</v>
      </c>
      <c r="AZ758" s="2192"/>
      <c r="BA758" s="2192"/>
      <c r="BB758" s="2212">
        <f>IF(OR($BB$679=0,$BB$655=0),0,($BB$679*(12/$BC$757))/$BB$655)</f>
        <v>0</v>
      </c>
      <c r="BC758" s="2192"/>
      <c r="BD758" s="2192"/>
      <c r="BE758" s="2200">
        <f t="shared" ref="BE758:BT758" si="708">IF(BE671=0,0,(BE694/BE671))</f>
        <v>0</v>
      </c>
      <c r="BF758" s="2213">
        <f t="shared" si="708"/>
        <v>0</v>
      </c>
      <c r="BG758" s="2200">
        <f t="shared" si="708"/>
        <v>0</v>
      </c>
      <c r="BH758" s="2200">
        <f t="shared" si="708"/>
        <v>0</v>
      </c>
      <c r="BI758" s="2200">
        <f t="shared" si="708"/>
        <v>0</v>
      </c>
      <c r="BJ758" s="2200">
        <f t="shared" si="708"/>
        <v>0</v>
      </c>
      <c r="BK758" s="2200">
        <f t="shared" si="708"/>
        <v>0</v>
      </c>
      <c r="BL758" s="2200">
        <f t="shared" si="708"/>
        <v>0</v>
      </c>
      <c r="BM758" s="2200">
        <f t="shared" si="708"/>
        <v>0</v>
      </c>
      <c r="BN758" s="2200">
        <f t="shared" si="708"/>
        <v>0</v>
      </c>
      <c r="BO758" s="2200">
        <f t="shared" si="708"/>
        <v>0</v>
      </c>
      <c r="BP758" s="2200">
        <f t="shared" si="708"/>
        <v>0</v>
      </c>
      <c r="BQ758" s="2200">
        <f t="shared" si="708"/>
        <v>0</v>
      </c>
      <c r="BR758" s="2200">
        <f t="shared" si="708"/>
        <v>0</v>
      </c>
      <c r="BS758" s="2200">
        <f t="shared" si="708"/>
        <v>0</v>
      </c>
      <c r="BT758" s="2200">
        <f t="shared" si="708"/>
        <v>0</v>
      </c>
      <c r="BU758" s="1970"/>
    </row>
    <row r="759" spans="37:73" s="536" customFormat="1">
      <c r="AK759" s="1964"/>
      <c r="AL759" s="2214"/>
      <c r="AM759" s="689"/>
      <c r="AN759" s="2215"/>
      <c r="AP759" s="690"/>
      <c r="AS759" s="690"/>
      <c r="AT759" s="2216"/>
      <c r="AU759" s="2216"/>
      <c r="AV759" s="690"/>
      <c r="AX759" s="803"/>
      <c r="AY759" s="690"/>
      <c r="BA759" s="803"/>
      <c r="BB759" s="690"/>
      <c r="BD759" s="803"/>
      <c r="BE759" s="690"/>
      <c r="BF759" s="690"/>
      <c r="BG759" s="692"/>
      <c r="BH759" s="692"/>
      <c r="BI759" s="692"/>
      <c r="BJ759" s="692"/>
      <c r="BK759" s="692"/>
      <c r="BL759" s="692"/>
      <c r="BM759" s="692"/>
      <c r="BN759" s="692"/>
      <c r="BO759" s="692"/>
      <c r="BP759" s="535"/>
      <c r="BQ759" s="535"/>
      <c r="BU759" s="1970"/>
    </row>
    <row r="760" spans="37:73" s="536" customFormat="1">
      <c r="AK760" s="1964"/>
      <c r="AL760" s="2214"/>
      <c r="AM760" s="2181"/>
      <c r="AT760" s="2216"/>
      <c r="AU760" s="2216"/>
      <c r="AX760" s="803"/>
      <c r="BA760" s="803"/>
      <c r="BD760" s="803"/>
      <c r="BG760" s="2216"/>
      <c r="BH760" s="2216"/>
      <c r="BI760" s="2216"/>
      <c r="BJ760" s="2216"/>
      <c r="BK760" s="2216"/>
      <c r="BL760" s="2216"/>
      <c r="BM760" s="2216"/>
      <c r="BN760" s="2216"/>
      <c r="BO760" s="2216"/>
      <c r="BP760" s="535"/>
      <c r="BQ760" s="535"/>
      <c r="BU760" s="1970"/>
    </row>
    <row r="761" spans="37:73" s="536" customFormat="1" ht="14">
      <c r="AK761" s="1964"/>
      <c r="AL761" s="2214"/>
      <c r="AM761" s="694" t="str">
        <f>AM582</f>
        <v/>
      </c>
      <c r="AN761" s="726"/>
      <c r="AT761" s="2216"/>
      <c r="AU761" s="2216"/>
      <c r="AX761" s="803"/>
      <c r="BA761" s="803"/>
      <c r="BD761" s="803"/>
      <c r="BE761" s="2217" t="str">
        <f>IF($W$241="SI","ESCENARIO "&amp;$V$242,0)</f>
        <v>ESCENARIO BASE</v>
      </c>
      <c r="BG761" s="2216"/>
      <c r="BH761" s="2216"/>
      <c r="BI761" s="2216"/>
      <c r="BJ761" s="2216"/>
      <c r="BK761" s="2216"/>
      <c r="BL761" s="2216"/>
      <c r="BM761" s="2216"/>
      <c r="BN761" s="2216"/>
      <c r="BO761" s="2216"/>
      <c r="BP761" s="535"/>
      <c r="BQ761" s="696"/>
      <c r="BU761" s="1970"/>
    </row>
    <row r="762" spans="37:73" s="721" customFormat="1">
      <c r="AK762" s="1964"/>
      <c r="AL762" s="2214"/>
      <c r="AM762" s="2218">
        <f ca="1">NOW()</f>
        <v>45203.393931018516</v>
      </c>
      <c r="AN762" s="2219"/>
      <c r="AO762" s="536"/>
      <c r="AP762" s="726"/>
      <c r="AQ762" s="536"/>
      <c r="AR762" s="536"/>
      <c r="AS762" s="726"/>
      <c r="AT762" s="2216"/>
      <c r="AU762" s="2216"/>
      <c r="AV762" s="726"/>
      <c r="AW762" s="536"/>
      <c r="AX762" s="803"/>
      <c r="AY762" s="1980" t="str">
        <f>C13</f>
        <v xml:space="preserve">Miles de </v>
      </c>
      <c r="AZ762" s="536"/>
      <c r="BA762" s="803"/>
      <c r="BB762" s="1980">
        <f>IF(AY762=0,"(CIFRAS EN $MM)",0)</f>
        <v>0</v>
      </c>
      <c r="BC762" s="536"/>
      <c r="BD762" s="803"/>
      <c r="BE762" s="700" t="s">
        <v>1044</v>
      </c>
      <c r="BF762" s="700" t="s">
        <v>1044</v>
      </c>
      <c r="BG762" s="700" t="s">
        <v>1044</v>
      </c>
      <c r="BH762" s="700" t="s">
        <v>1044</v>
      </c>
      <c r="BI762" s="700" t="s">
        <v>1044</v>
      </c>
      <c r="BJ762" s="700" t="s">
        <v>1044</v>
      </c>
      <c r="BK762" s="700" t="s">
        <v>1044</v>
      </c>
      <c r="BL762" s="700" t="s">
        <v>1044</v>
      </c>
      <c r="BM762" s="700" t="s">
        <v>1044</v>
      </c>
      <c r="BN762" s="700" t="s">
        <v>1044</v>
      </c>
      <c r="BO762" s="700" t="s">
        <v>1044</v>
      </c>
      <c r="BP762" s="700" t="s">
        <v>1044</v>
      </c>
      <c r="BQ762" s="700" t="s">
        <v>1044</v>
      </c>
      <c r="BR762" s="700" t="s">
        <v>1044</v>
      </c>
      <c r="BS762" s="700" t="s">
        <v>1044</v>
      </c>
      <c r="BT762" s="700" t="s">
        <v>1044</v>
      </c>
      <c r="BU762" s="1970"/>
    </row>
    <row r="763" spans="37:73" s="721" customFormat="1" ht="14">
      <c r="AK763" s="1964"/>
      <c r="AL763" s="2214"/>
      <c r="AM763" s="701" t="str">
        <f>B134</f>
        <v>FLUJO DE CAJA 0</v>
      </c>
      <c r="AN763" s="976"/>
      <c r="AO763" s="536"/>
      <c r="AP763" s="702">
        <f>AP583</f>
        <v>2017</v>
      </c>
      <c r="AQ763" s="536"/>
      <c r="AR763" s="536"/>
      <c r="AS763" s="702">
        <f>AS583</f>
        <v>2018</v>
      </c>
      <c r="AT763" s="2216"/>
      <c r="AU763" s="2216"/>
      <c r="AV763" s="702">
        <f>AV583</f>
        <v>2019</v>
      </c>
      <c r="AW763" s="536"/>
      <c r="AX763" s="803"/>
      <c r="AY763" s="702">
        <f>AY583</f>
        <v>2019</v>
      </c>
      <c r="AZ763" s="536"/>
      <c r="BA763" s="803"/>
      <c r="BB763" s="702" t="str">
        <f>BB583</f>
        <v>2020</v>
      </c>
      <c r="BC763" s="536"/>
      <c r="BD763" s="803"/>
      <c r="BE763" s="702">
        <f t="shared" ref="BE763:BT763" si="709">BE583</f>
        <v>2020</v>
      </c>
      <c r="BF763" s="702">
        <f t="shared" si="709"/>
        <v>2021</v>
      </c>
      <c r="BG763" s="702">
        <f t="shared" si="709"/>
        <v>2022</v>
      </c>
      <c r="BH763" s="702">
        <f t="shared" si="709"/>
        <v>2023</v>
      </c>
      <c r="BI763" s="702">
        <f t="shared" si="709"/>
        <v>2024</v>
      </c>
      <c r="BJ763" s="702">
        <f t="shared" si="709"/>
        <v>2025</v>
      </c>
      <c r="BK763" s="702">
        <f t="shared" si="709"/>
        <v>2026</v>
      </c>
      <c r="BL763" s="702">
        <f t="shared" si="709"/>
        <v>2027</v>
      </c>
      <c r="BM763" s="702">
        <f t="shared" si="709"/>
        <v>2028</v>
      </c>
      <c r="BN763" s="702">
        <f t="shared" si="709"/>
        <v>2029</v>
      </c>
      <c r="BO763" s="702">
        <f t="shared" si="709"/>
        <v>2030</v>
      </c>
      <c r="BP763" s="702">
        <f t="shared" si="709"/>
        <v>2031</v>
      </c>
      <c r="BQ763" s="702">
        <f t="shared" si="709"/>
        <v>2032</v>
      </c>
      <c r="BR763" s="702">
        <f t="shared" si="709"/>
        <v>2033</v>
      </c>
      <c r="BS763" s="702">
        <f t="shared" si="709"/>
        <v>2034</v>
      </c>
      <c r="BT763" s="702">
        <f t="shared" si="709"/>
        <v>2035</v>
      </c>
      <c r="BU763" s="1970"/>
    </row>
    <row r="764" spans="37:73" s="726" customFormat="1" ht="14">
      <c r="AK764" s="1964"/>
      <c r="AL764" s="2214"/>
      <c r="AM764" s="701" t="s">
        <v>871</v>
      </c>
      <c r="AN764" s="2220"/>
      <c r="AO764" s="536"/>
      <c r="AP764" s="702">
        <f>AP584</f>
        <v>360</v>
      </c>
      <c r="AQ764" s="536"/>
      <c r="AR764" s="536"/>
      <c r="AS764" s="702">
        <f>AS584</f>
        <v>360</v>
      </c>
      <c r="AT764" s="2216"/>
      <c r="AU764" s="2216"/>
      <c r="AV764" s="2221">
        <f>AV584</f>
        <v>180</v>
      </c>
      <c r="AW764" s="536"/>
      <c r="AX764" s="803"/>
      <c r="AY764" s="702">
        <f>AY584</f>
        <v>360</v>
      </c>
      <c r="AZ764" s="536"/>
      <c r="BA764" s="803"/>
      <c r="BB764" s="2221">
        <f>BB584</f>
        <v>360</v>
      </c>
      <c r="BC764" s="536"/>
      <c r="BD764" s="803"/>
      <c r="BE764" s="702">
        <f t="shared" ref="BE764:BT764" si="710">BE584</f>
        <v>360</v>
      </c>
      <c r="BF764" s="702">
        <f t="shared" si="710"/>
        <v>360</v>
      </c>
      <c r="BG764" s="702">
        <f t="shared" si="710"/>
        <v>360</v>
      </c>
      <c r="BH764" s="702">
        <f t="shared" si="710"/>
        <v>360</v>
      </c>
      <c r="BI764" s="702">
        <f t="shared" si="710"/>
        <v>360</v>
      </c>
      <c r="BJ764" s="702">
        <f t="shared" si="710"/>
        <v>360</v>
      </c>
      <c r="BK764" s="702">
        <f t="shared" si="710"/>
        <v>360</v>
      </c>
      <c r="BL764" s="702">
        <f t="shared" si="710"/>
        <v>360</v>
      </c>
      <c r="BM764" s="702">
        <f t="shared" si="710"/>
        <v>360</v>
      </c>
      <c r="BN764" s="702">
        <f t="shared" si="710"/>
        <v>360</v>
      </c>
      <c r="BO764" s="702">
        <f t="shared" si="710"/>
        <v>360</v>
      </c>
      <c r="BP764" s="702">
        <f t="shared" si="710"/>
        <v>360</v>
      </c>
      <c r="BQ764" s="702">
        <f t="shared" si="710"/>
        <v>360</v>
      </c>
      <c r="BR764" s="702">
        <f t="shared" si="710"/>
        <v>360</v>
      </c>
      <c r="BS764" s="702">
        <f t="shared" si="710"/>
        <v>360</v>
      </c>
      <c r="BT764" s="702">
        <f t="shared" si="710"/>
        <v>360</v>
      </c>
      <c r="BU764" s="1970"/>
    </row>
    <row r="765" spans="37:73" s="726" customFormat="1" ht="12.5">
      <c r="AK765" s="1964"/>
      <c r="AL765" s="2222">
        <v>1</v>
      </c>
      <c r="AM765" s="2223" t="s">
        <v>826</v>
      </c>
      <c r="AN765" s="2224"/>
      <c r="AO765" s="536"/>
      <c r="AP765" s="2225">
        <f>AP664</f>
        <v>0</v>
      </c>
      <c r="AQ765" s="536"/>
      <c r="AR765" s="536"/>
      <c r="AS765" s="2225">
        <f>AS664</f>
        <v>0</v>
      </c>
      <c r="AT765" s="2216"/>
      <c r="AU765" s="2216"/>
      <c r="AV765" s="2225">
        <f>AV664</f>
        <v>0</v>
      </c>
      <c r="AW765" s="536"/>
      <c r="AX765" s="803"/>
      <c r="AY765" s="2225">
        <f>AY664</f>
        <v>0</v>
      </c>
      <c r="AZ765" s="536"/>
      <c r="BA765" s="803"/>
      <c r="BB765" s="2225">
        <f>BB664</f>
        <v>0</v>
      </c>
      <c r="BC765" s="536"/>
      <c r="BD765" s="803"/>
      <c r="BE765" s="2226">
        <f t="shared" ref="BE765:BT765" si="711">BE664</f>
        <v>0</v>
      </c>
      <c r="BF765" s="2226">
        <f t="shared" si="711"/>
        <v>0</v>
      </c>
      <c r="BG765" s="2226">
        <f t="shared" si="711"/>
        <v>0</v>
      </c>
      <c r="BH765" s="2226">
        <f t="shared" si="711"/>
        <v>0</v>
      </c>
      <c r="BI765" s="2226">
        <f t="shared" si="711"/>
        <v>0</v>
      </c>
      <c r="BJ765" s="2226">
        <f t="shared" si="711"/>
        <v>0</v>
      </c>
      <c r="BK765" s="2226">
        <f t="shared" si="711"/>
        <v>0</v>
      </c>
      <c r="BL765" s="2226">
        <f t="shared" si="711"/>
        <v>0</v>
      </c>
      <c r="BM765" s="2226">
        <f t="shared" si="711"/>
        <v>0</v>
      </c>
      <c r="BN765" s="2226">
        <f t="shared" si="711"/>
        <v>0</v>
      </c>
      <c r="BO765" s="2226">
        <f t="shared" si="711"/>
        <v>0</v>
      </c>
      <c r="BP765" s="2226">
        <f t="shared" si="711"/>
        <v>0</v>
      </c>
      <c r="BQ765" s="2226">
        <f t="shared" si="711"/>
        <v>0</v>
      </c>
      <c r="BR765" s="2226">
        <f t="shared" si="711"/>
        <v>0</v>
      </c>
      <c r="BS765" s="2226">
        <f t="shared" si="711"/>
        <v>0</v>
      </c>
      <c r="BT765" s="2226">
        <f t="shared" si="711"/>
        <v>0</v>
      </c>
      <c r="BU765" s="1970"/>
    </row>
    <row r="766" spans="37:73" s="536" customFormat="1" ht="12.5">
      <c r="AK766" s="1964"/>
      <c r="AL766" s="2227">
        <v>2</v>
      </c>
      <c r="AM766" s="733" t="s">
        <v>1150</v>
      </c>
      <c r="AN766" s="2228"/>
      <c r="AP766" s="734">
        <f>SUM(AP680:AP682)</f>
        <v>0</v>
      </c>
      <c r="AS766" s="734">
        <f>SUM(AS680:AS682)</f>
        <v>0</v>
      </c>
      <c r="AT766" s="2216"/>
      <c r="AU766" s="2216"/>
      <c r="AV766" s="734">
        <f>SUM(AV680:AV682)</f>
        <v>0</v>
      </c>
      <c r="AX766" s="803"/>
      <c r="AY766" s="734">
        <f>SUM(AY680:AY682)</f>
        <v>0</v>
      </c>
      <c r="BA766" s="803"/>
      <c r="BB766" s="734">
        <f>SUM(BB680:BB682)</f>
        <v>0</v>
      </c>
      <c r="BD766" s="803"/>
      <c r="BE766" s="735">
        <f t="shared" ref="BE766:BT766" si="712">SUM(BE680:BE682)</f>
        <v>0</v>
      </c>
      <c r="BF766" s="735">
        <f t="shared" si="712"/>
        <v>0</v>
      </c>
      <c r="BG766" s="735">
        <f t="shared" si="712"/>
        <v>0</v>
      </c>
      <c r="BH766" s="735">
        <f t="shared" si="712"/>
        <v>0</v>
      </c>
      <c r="BI766" s="735">
        <f t="shared" si="712"/>
        <v>0</v>
      </c>
      <c r="BJ766" s="735">
        <f t="shared" si="712"/>
        <v>0</v>
      </c>
      <c r="BK766" s="735">
        <f t="shared" si="712"/>
        <v>0</v>
      </c>
      <c r="BL766" s="735">
        <f t="shared" si="712"/>
        <v>0</v>
      </c>
      <c r="BM766" s="735">
        <f t="shared" si="712"/>
        <v>0</v>
      </c>
      <c r="BN766" s="735">
        <f t="shared" si="712"/>
        <v>0</v>
      </c>
      <c r="BO766" s="735">
        <f t="shared" si="712"/>
        <v>0</v>
      </c>
      <c r="BP766" s="735">
        <f t="shared" si="712"/>
        <v>0</v>
      </c>
      <c r="BQ766" s="735">
        <f t="shared" si="712"/>
        <v>0</v>
      </c>
      <c r="BR766" s="735">
        <f t="shared" si="712"/>
        <v>0</v>
      </c>
      <c r="BS766" s="735">
        <f t="shared" si="712"/>
        <v>0</v>
      </c>
      <c r="BT766" s="735">
        <f t="shared" si="712"/>
        <v>0</v>
      </c>
      <c r="BU766" s="1970"/>
    </row>
    <row r="767" spans="37:73" s="536" customFormat="1">
      <c r="AK767" s="2229"/>
      <c r="AL767" s="2230"/>
      <c r="AM767" s="2231" t="s">
        <v>881</v>
      </c>
      <c r="AN767" s="2232"/>
      <c r="AO767" s="721"/>
      <c r="AP767" s="2233">
        <f>AP765+AP766</f>
        <v>0</v>
      </c>
      <c r="AQ767" s="721"/>
      <c r="AR767" s="721"/>
      <c r="AS767" s="2233">
        <f>AS765+AS766</f>
        <v>0</v>
      </c>
      <c r="AT767" s="2234"/>
      <c r="AU767" s="2234"/>
      <c r="AV767" s="2233">
        <f>AV765+AV766</f>
        <v>0</v>
      </c>
      <c r="AW767" s="721"/>
      <c r="AX767" s="2235"/>
      <c r="AY767" s="2233">
        <f>AY765+AY766</f>
        <v>0</v>
      </c>
      <c r="AZ767" s="721"/>
      <c r="BA767" s="2235"/>
      <c r="BB767" s="2233">
        <f>BB765+BB766</f>
        <v>0</v>
      </c>
      <c r="BC767" s="721"/>
      <c r="BD767" s="2235"/>
      <c r="BE767" s="2236">
        <f t="shared" ref="BE767:BT767" si="713">BE765+BE766</f>
        <v>0</v>
      </c>
      <c r="BF767" s="2236">
        <f t="shared" si="713"/>
        <v>0</v>
      </c>
      <c r="BG767" s="2236">
        <f t="shared" si="713"/>
        <v>0</v>
      </c>
      <c r="BH767" s="2236">
        <f t="shared" si="713"/>
        <v>0</v>
      </c>
      <c r="BI767" s="2236">
        <f t="shared" si="713"/>
        <v>0</v>
      </c>
      <c r="BJ767" s="2236">
        <f t="shared" si="713"/>
        <v>0</v>
      </c>
      <c r="BK767" s="2236">
        <f t="shared" si="713"/>
        <v>0</v>
      </c>
      <c r="BL767" s="2236">
        <f t="shared" si="713"/>
        <v>0</v>
      </c>
      <c r="BM767" s="2236">
        <f t="shared" si="713"/>
        <v>0</v>
      </c>
      <c r="BN767" s="2236">
        <f t="shared" si="713"/>
        <v>0</v>
      </c>
      <c r="BO767" s="2236">
        <f t="shared" si="713"/>
        <v>0</v>
      </c>
      <c r="BP767" s="2236">
        <f t="shared" si="713"/>
        <v>0</v>
      </c>
      <c r="BQ767" s="2236">
        <f t="shared" si="713"/>
        <v>0</v>
      </c>
      <c r="BR767" s="2236">
        <f t="shared" si="713"/>
        <v>0</v>
      </c>
      <c r="BS767" s="2236">
        <f t="shared" si="713"/>
        <v>0</v>
      </c>
      <c r="BT767" s="2236">
        <f t="shared" si="713"/>
        <v>0</v>
      </c>
      <c r="BU767" s="2237"/>
    </row>
    <row r="768" spans="37:73" s="536" customFormat="1">
      <c r="AK768" s="2229"/>
      <c r="AL768" s="2222">
        <v>3</v>
      </c>
      <c r="AM768" s="733" t="s">
        <v>1151</v>
      </c>
      <c r="AN768" s="2238"/>
      <c r="AO768" s="721"/>
      <c r="AP768" s="735">
        <f>-AN678</f>
        <v>0</v>
      </c>
      <c r="AQ768" s="721"/>
      <c r="AR768" s="721"/>
      <c r="AS768" s="735">
        <f>-AP678</f>
        <v>0</v>
      </c>
      <c r="AT768" s="2234"/>
      <c r="AU768" s="2234"/>
      <c r="AV768" s="735">
        <f>-AS678</f>
        <v>0</v>
      </c>
      <c r="AW768" s="721"/>
      <c r="AX768" s="2235"/>
      <c r="AY768" s="735">
        <f>-AS678</f>
        <v>0</v>
      </c>
      <c r="AZ768" s="721"/>
      <c r="BA768" s="2235"/>
      <c r="BB768" s="735">
        <f>IF(OR($C$3=$L$913,$C$3=0),-AY678,-AV678)</f>
        <v>0</v>
      </c>
      <c r="BC768" s="721"/>
      <c r="BD768" s="2235"/>
      <c r="BE768" s="735">
        <f>-AY678</f>
        <v>0</v>
      </c>
      <c r="BF768" s="735">
        <f t="shared" ref="BF768:BT768" si="714">-BE678</f>
        <v>0</v>
      </c>
      <c r="BG768" s="735">
        <f t="shared" si="714"/>
        <v>0</v>
      </c>
      <c r="BH768" s="735">
        <f t="shared" si="714"/>
        <v>0</v>
      </c>
      <c r="BI768" s="735">
        <f t="shared" si="714"/>
        <v>0</v>
      </c>
      <c r="BJ768" s="735">
        <f t="shared" si="714"/>
        <v>0</v>
      </c>
      <c r="BK768" s="735">
        <f t="shared" si="714"/>
        <v>0</v>
      </c>
      <c r="BL768" s="735">
        <f t="shared" si="714"/>
        <v>0</v>
      </c>
      <c r="BM768" s="735">
        <f t="shared" si="714"/>
        <v>0</v>
      </c>
      <c r="BN768" s="735">
        <f t="shared" si="714"/>
        <v>0</v>
      </c>
      <c r="BO768" s="735">
        <f t="shared" si="714"/>
        <v>0</v>
      </c>
      <c r="BP768" s="735">
        <f t="shared" si="714"/>
        <v>0</v>
      </c>
      <c r="BQ768" s="735">
        <f t="shared" si="714"/>
        <v>0</v>
      </c>
      <c r="BR768" s="735">
        <f t="shared" si="714"/>
        <v>0</v>
      </c>
      <c r="BS768" s="735">
        <f t="shared" si="714"/>
        <v>0</v>
      </c>
      <c r="BT768" s="735">
        <f t="shared" si="714"/>
        <v>0</v>
      </c>
      <c r="BU768" s="2237"/>
    </row>
    <row r="769" spans="37:73" s="536" customFormat="1" ht="12.5">
      <c r="AK769" s="2239"/>
      <c r="AL769" s="2227">
        <v>4</v>
      </c>
      <c r="AM769" s="2240" t="str">
        <f>"-  DIVIDENDOS PAGADOS "&amp;IF(AND($C$3=$L$914,Q234&lt;&gt;0,OR($R$956&lt;&gt;$E$913,$R$956=0)),CONCATENATE("+ RESULTADO ",LEFT(K16,3),". '",RIGHT(TEXT(K15,"0.00"),2)," A ",LEFT(N16,3),". '",RIGHT(TEXT(N15,"0.00"),2)," (PARA EL FLUJO DE ",LEFT(Q16,3),". '",RIGHT(TEXT(Q15,"0.00"),2),")"),0)</f>
        <v>-  DIVIDENDOS PAGADOS 0</v>
      </c>
      <c r="AN769" s="990"/>
      <c r="AO769" s="726"/>
      <c r="AP769" s="735">
        <f>-E233</f>
        <v>0</v>
      </c>
      <c r="AQ769" s="726"/>
      <c r="AR769" s="726"/>
      <c r="AS769" s="735">
        <f>-H233</f>
        <v>0</v>
      </c>
      <c r="AT769" s="2241"/>
      <c r="AU769" s="2241"/>
      <c r="AV769" s="735">
        <f>-K233</f>
        <v>0</v>
      </c>
      <c r="AW769" s="726"/>
      <c r="AX769" s="2242"/>
      <c r="AY769" s="735">
        <f>-N233</f>
        <v>0</v>
      </c>
      <c r="AZ769" s="726"/>
      <c r="BA769" s="2242"/>
      <c r="BB769" s="735">
        <f>IF(OR($C$3=$L$913,$C$3=0),-Q233,-Q233+Q234)</f>
        <v>0</v>
      </c>
      <c r="BC769" s="726"/>
      <c r="BD769" s="2242"/>
      <c r="BE769" s="735">
        <f t="shared" ref="BE769:BT769" si="715">-T233</f>
        <v>0</v>
      </c>
      <c r="BF769" s="735">
        <f t="shared" si="715"/>
        <v>0</v>
      </c>
      <c r="BG769" s="735">
        <f t="shared" si="715"/>
        <v>0</v>
      </c>
      <c r="BH769" s="735">
        <f t="shared" si="715"/>
        <v>0</v>
      </c>
      <c r="BI769" s="735">
        <f t="shared" si="715"/>
        <v>0</v>
      </c>
      <c r="BJ769" s="735">
        <f t="shared" si="715"/>
        <v>0</v>
      </c>
      <c r="BK769" s="735">
        <f t="shared" si="715"/>
        <v>0</v>
      </c>
      <c r="BL769" s="735">
        <f t="shared" si="715"/>
        <v>0</v>
      </c>
      <c r="BM769" s="735">
        <f t="shared" si="715"/>
        <v>0</v>
      </c>
      <c r="BN769" s="735">
        <f t="shared" si="715"/>
        <v>0</v>
      </c>
      <c r="BO769" s="735">
        <f t="shared" si="715"/>
        <v>0</v>
      </c>
      <c r="BP769" s="735">
        <f t="shared" si="715"/>
        <v>0</v>
      </c>
      <c r="BQ769" s="735">
        <f t="shared" si="715"/>
        <v>0</v>
      </c>
      <c r="BR769" s="735">
        <f t="shared" si="715"/>
        <v>0</v>
      </c>
      <c r="BS769" s="735">
        <f t="shared" si="715"/>
        <v>0</v>
      </c>
      <c r="BT769" s="735">
        <f t="shared" si="715"/>
        <v>0</v>
      </c>
      <c r="BU769" s="2243"/>
    </row>
    <row r="770" spans="37:73" s="742" customFormat="1">
      <c r="AK770" s="2239"/>
      <c r="AL770" s="2244"/>
      <c r="AM770" s="2245" t="s">
        <v>1152</v>
      </c>
      <c r="AN770" s="2246"/>
      <c r="AO770" s="726"/>
      <c r="AP770" s="2247">
        <f>AP767+AP768+AP769</f>
        <v>0</v>
      </c>
      <c r="AQ770" s="726"/>
      <c r="AR770" s="726"/>
      <c r="AS770" s="2247">
        <f>AS767+AS768+AS769</f>
        <v>0</v>
      </c>
      <c r="AT770" s="2241"/>
      <c r="AU770" s="2241"/>
      <c r="AV770" s="2247">
        <f>AV767+AV768+AV769</f>
        <v>0</v>
      </c>
      <c r="AW770" s="726"/>
      <c r="AX770" s="2248"/>
      <c r="AY770" s="2247">
        <f>AY767+AY768+AY769</f>
        <v>0</v>
      </c>
      <c r="AZ770" s="726"/>
      <c r="BA770" s="2248"/>
      <c r="BB770" s="2247">
        <f>BB767+BB768+BB769</f>
        <v>0</v>
      </c>
      <c r="BC770" s="726"/>
      <c r="BD770" s="2248"/>
      <c r="BE770" s="2247">
        <f t="shared" ref="BE770:BT770" si="716">BE767+BE768+BE769</f>
        <v>0</v>
      </c>
      <c r="BF770" s="2247">
        <f t="shared" si="716"/>
        <v>0</v>
      </c>
      <c r="BG770" s="2247">
        <f t="shared" si="716"/>
        <v>0</v>
      </c>
      <c r="BH770" s="2247">
        <f t="shared" si="716"/>
        <v>0</v>
      </c>
      <c r="BI770" s="2247">
        <f t="shared" si="716"/>
        <v>0</v>
      </c>
      <c r="BJ770" s="2247">
        <f t="shared" si="716"/>
        <v>0</v>
      </c>
      <c r="BK770" s="2247">
        <f t="shared" si="716"/>
        <v>0</v>
      </c>
      <c r="BL770" s="2247">
        <f t="shared" si="716"/>
        <v>0</v>
      </c>
      <c r="BM770" s="2247">
        <f t="shared" si="716"/>
        <v>0</v>
      </c>
      <c r="BN770" s="2247">
        <f t="shared" si="716"/>
        <v>0</v>
      </c>
      <c r="BO770" s="2247">
        <f t="shared" si="716"/>
        <v>0</v>
      </c>
      <c r="BP770" s="2247">
        <f t="shared" si="716"/>
        <v>0</v>
      </c>
      <c r="BQ770" s="2247">
        <f t="shared" si="716"/>
        <v>0</v>
      </c>
      <c r="BR770" s="2247">
        <f t="shared" si="716"/>
        <v>0</v>
      </c>
      <c r="BS770" s="2247">
        <f t="shared" si="716"/>
        <v>0</v>
      </c>
      <c r="BT770" s="2247">
        <f t="shared" si="716"/>
        <v>0</v>
      </c>
      <c r="BU770" s="2243"/>
    </row>
    <row r="771" spans="37:73" s="742" customFormat="1">
      <c r="AK771" s="1964"/>
      <c r="AL771" s="2222">
        <v>5</v>
      </c>
      <c r="AM771" s="733" t="s">
        <v>1153</v>
      </c>
      <c r="AN771" s="990"/>
      <c r="AO771" s="536"/>
      <c r="AP771" s="734">
        <f>-(AP587-AN587)</f>
        <v>0</v>
      </c>
      <c r="AQ771" s="536"/>
      <c r="AR771" s="536"/>
      <c r="AS771" s="734">
        <f>-(AS587-AP587)</f>
        <v>0</v>
      </c>
      <c r="AT771" s="2216"/>
      <c r="AU771" s="2216"/>
      <c r="AV771" s="734">
        <f>-(AV587-AS587)</f>
        <v>0</v>
      </c>
      <c r="AW771" s="536"/>
      <c r="AX771" s="803"/>
      <c r="AY771" s="734">
        <f>-(AY587-AS587)</f>
        <v>0</v>
      </c>
      <c r="AZ771" s="536"/>
      <c r="BA771" s="803"/>
      <c r="BB771" s="734">
        <f>IF(OR($C$3=$L$913,$C$3=0),-(BB587-AY587),-(BB587-AV587))</f>
        <v>0</v>
      </c>
      <c r="BC771" s="536"/>
      <c r="BD771" s="803"/>
      <c r="BE771" s="735">
        <f>-(BE587-AY587)</f>
        <v>0</v>
      </c>
      <c r="BF771" s="735">
        <f t="shared" ref="BF771:BT771" si="717">-(BF587-BE587)</f>
        <v>0</v>
      </c>
      <c r="BG771" s="735">
        <f t="shared" si="717"/>
        <v>0</v>
      </c>
      <c r="BH771" s="735">
        <f t="shared" si="717"/>
        <v>0</v>
      </c>
      <c r="BI771" s="735">
        <f t="shared" si="717"/>
        <v>0</v>
      </c>
      <c r="BJ771" s="735">
        <f t="shared" si="717"/>
        <v>0</v>
      </c>
      <c r="BK771" s="735">
        <f t="shared" si="717"/>
        <v>0</v>
      </c>
      <c r="BL771" s="735">
        <f t="shared" si="717"/>
        <v>0</v>
      </c>
      <c r="BM771" s="735">
        <f t="shared" si="717"/>
        <v>0</v>
      </c>
      <c r="BN771" s="735">
        <f t="shared" si="717"/>
        <v>0</v>
      </c>
      <c r="BO771" s="735">
        <f t="shared" si="717"/>
        <v>0</v>
      </c>
      <c r="BP771" s="735">
        <f t="shared" si="717"/>
        <v>0</v>
      </c>
      <c r="BQ771" s="735">
        <f t="shared" si="717"/>
        <v>0</v>
      </c>
      <c r="BR771" s="735">
        <f t="shared" si="717"/>
        <v>0</v>
      </c>
      <c r="BS771" s="735">
        <f t="shared" si="717"/>
        <v>0</v>
      </c>
      <c r="BT771" s="735">
        <f t="shared" si="717"/>
        <v>0</v>
      </c>
      <c r="BU771" s="1970"/>
    </row>
    <row r="772" spans="37:73" s="742" customFormat="1">
      <c r="AK772" s="1964"/>
      <c r="AL772" s="2249">
        <v>6</v>
      </c>
      <c r="AM772" s="733" t="s">
        <v>1154</v>
      </c>
      <c r="AN772" s="990"/>
      <c r="AO772" s="536"/>
      <c r="AP772" s="734">
        <f>-(AP590-AN590)</f>
        <v>0</v>
      </c>
      <c r="AQ772" s="536"/>
      <c r="AR772" s="536"/>
      <c r="AS772" s="734">
        <f>-(AS590-AP590)</f>
        <v>0</v>
      </c>
      <c r="AT772" s="2216"/>
      <c r="AU772" s="2216"/>
      <c r="AV772" s="734">
        <f>-(AV590-AS590)</f>
        <v>0</v>
      </c>
      <c r="AW772" s="536"/>
      <c r="AX772" s="803"/>
      <c r="AY772" s="734">
        <f>-(AY590-AS590)</f>
        <v>0</v>
      </c>
      <c r="AZ772" s="536"/>
      <c r="BA772" s="803"/>
      <c r="BB772" s="734">
        <f>IF(OR($C$3=$L$913,$C$3=0),-(BB590-AY590),-(BB590-AV590))</f>
        <v>0</v>
      </c>
      <c r="BC772" s="536"/>
      <c r="BD772" s="803"/>
      <c r="BE772" s="735">
        <f>-(BE590-AY590)</f>
        <v>0</v>
      </c>
      <c r="BF772" s="735">
        <f t="shared" ref="BF772:BT772" si="718">-(BF590-BE590)</f>
        <v>0</v>
      </c>
      <c r="BG772" s="735">
        <f t="shared" si="718"/>
        <v>0</v>
      </c>
      <c r="BH772" s="735">
        <f t="shared" si="718"/>
        <v>0</v>
      </c>
      <c r="BI772" s="735">
        <f t="shared" si="718"/>
        <v>0</v>
      </c>
      <c r="BJ772" s="735">
        <f t="shared" si="718"/>
        <v>0</v>
      </c>
      <c r="BK772" s="735">
        <f t="shared" si="718"/>
        <v>0</v>
      </c>
      <c r="BL772" s="735">
        <f t="shared" si="718"/>
        <v>0</v>
      </c>
      <c r="BM772" s="735">
        <f t="shared" si="718"/>
        <v>0</v>
      </c>
      <c r="BN772" s="735">
        <f t="shared" si="718"/>
        <v>0</v>
      </c>
      <c r="BO772" s="735">
        <f t="shared" si="718"/>
        <v>0</v>
      </c>
      <c r="BP772" s="735">
        <f t="shared" si="718"/>
        <v>0</v>
      </c>
      <c r="BQ772" s="735">
        <f t="shared" si="718"/>
        <v>0</v>
      </c>
      <c r="BR772" s="735">
        <f t="shared" si="718"/>
        <v>0</v>
      </c>
      <c r="BS772" s="735">
        <f t="shared" si="718"/>
        <v>0</v>
      </c>
      <c r="BT772" s="735">
        <f t="shared" si="718"/>
        <v>0</v>
      </c>
      <c r="BU772" s="1970"/>
    </row>
    <row r="773" spans="37:73" s="721" customFormat="1">
      <c r="AK773" s="1964"/>
      <c r="AL773" s="2249">
        <v>7</v>
      </c>
      <c r="AM773" s="733" t="s">
        <v>1155</v>
      </c>
      <c r="AN773" s="990"/>
      <c r="AO773" s="536"/>
      <c r="AP773" s="734">
        <f>-(AP594-AN594)</f>
        <v>0</v>
      </c>
      <c r="AQ773" s="536"/>
      <c r="AR773" s="536"/>
      <c r="AS773" s="734">
        <f>-(AS594-AP594)</f>
        <v>0</v>
      </c>
      <c r="AT773" s="2216"/>
      <c r="AU773" s="2216"/>
      <c r="AV773" s="734">
        <f>-(AV594-AS594)</f>
        <v>0</v>
      </c>
      <c r="AW773" s="536"/>
      <c r="AX773" s="803"/>
      <c r="AY773" s="734">
        <f>-(AY594-AS594)</f>
        <v>0</v>
      </c>
      <c r="AZ773" s="536"/>
      <c r="BA773" s="803"/>
      <c r="BB773" s="734">
        <f>IF(OR($C$3=$L$913,$C$3=0),-(BB594-AY594),-(BB594-AV594))</f>
        <v>0</v>
      </c>
      <c r="BC773" s="536"/>
      <c r="BD773" s="803"/>
      <c r="BE773" s="735">
        <f>-(BE594-AY594)</f>
        <v>0</v>
      </c>
      <c r="BF773" s="735">
        <f t="shared" ref="BF773:BT773" si="719">-(BF594-BE594)</f>
        <v>0</v>
      </c>
      <c r="BG773" s="735">
        <f t="shared" si="719"/>
        <v>0</v>
      </c>
      <c r="BH773" s="735">
        <f t="shared" si="719"/>
        <v>0</v>
      </c>
      <c r="BI773" s="735">
        <f t="shared" si="719"/>
        <v>0</v>
      </c>
      <c r="BJ773" s="735">
        <f t="shared" si="719"/>
        <v>0</v>
      </c>
      <c r="BK773" s="735">
        <f t="shared" si="719"/>
        <v>0</v>
      </c>
      <c r="BL773" s="735">
        <f t="shared" si="719"/>
        <v>0</v>
      </c>
      <c r="BM773" s="735">
        <f t="shared" si="719"/>
        <v>0</v>
      </c>
      <c r="BN773" s="735">
        <f t="shared" si="719"/>
        <v>0</v>
      </c>
      <c r="BO773" s="735">
        <f t="shared" si="719"/>
        <v>0</v>
      </c>
      <c r="BP773" s="735">
        <f t="shared" si="719"/>
        <v>0</v>
      </c>
      <c r="BQ773" s="735">
        <f t="shared" si="719"/>
        <v>0</v>
      </c>
      <c r="BR773" s="735">
        <f t="shared" si="719"/>
        <v>0</v>
      </c>
      <c r="BS773" s="735">
        <f t="shared" si="719"/>
        <v>0</v>
      </c>
      <c r="BT773" s="735">
        <f t="shared" si="719"/>
        <v>0</v>
      </c>
      <c r="BU773" s="1970"/>
    </row>
    <row r="774" spans="37:73" s="721" customFormat="1">
      <c r="AK774" s="1964"/>
      <c r="AL774" s="2249">
        <v>8</v>
      </c>
      <c r="AM774" s="733" t="s">
        <v>1156</v>
      </c>
      <c r="AN774" s="990"/>
      <c r="AO774" s="536"/>
      <c r="AP774" s="734">
        <f>AP623-AN623</f>
        <v>0</v>
      </c>
      <c r="AQ774" s="536"/>
      <c r="AR774" s="536"/>
      <c r="AS774" s="734">
        <f>AS623-AP623</f>
        <v>0</v>
      </c>
      <c r="AT774" s="2216"/>
      <c r="AU774" s="2216"/>
      <c r="AV774" s="734">
        <f>AV623-AS623</f>
        <v>0</v>
      </c>
      <c r="AW774" s="536"/>
      <c r="AX774" s="803"/>
      <c r="AY774" s="734">
        <f>AY623-AS623</f>
        <v>0</v>
      </c>
      <c r="AZ774" s="536"/>
      <c r="BA774" s="803"/>
      <c r="BB774" s="734">
        <f>IF(OR($C$3=$L$913,$C$3=0),BB623-AY623,BB623-AV623)</f>
        <v>0</v>
      </c>
      <c r="BC774" s="536"/>
      <c r="BD774" s="803"/>
      <c r="BE774" s="735">
        <f>BE623-AY623</f>
        <v>0</v>
      </c>
      <c r="BF774" s="735">
        <f t="shared" ref="BF774:BT774" si="720">BF623-BE623</f>
        <v>0</v>
      </c>
      <c r="BG774" s="735">
        <f t="shared" si="720"/>
        <v>0</v>
      </c>
      <c r="BH774" s="735">
        <f t="shared" si="720"/>
        <v>0</v>
      </c>
      <c r="BI774" s="735">
        <f t="shared" si="720"/>
        <v>0</v>
      </c>
      <c r="BJ774" s="735">
        <f t="shared" si="720"/>
        <v>0</v>
      </c>
      <c r="BK774" s="735">
        <f t="shared" si="720"/>
        <v>0</v>
      </c>
      <c r="BL774" s="735">
        <f t="shared" si="720"/>
        <v>0</v>
      </c>
      <c r="BM774" s="735">
        <f t="shared" si="720"/>
        <v>0</v>
      </c>
      <c r="BN774" s="735">
        <f t="shared" si="720"/>
        <v>0</v>
      </c>
      <c r="BO774" s="735">
        <f t="shared" si="720"/>
        <v>0</v>
      </c>
      <c r="BP774" s="735">
        <f t="shared" si="720"/>
        <v>0</v>
      </c>
      <c r="BQ774" s="735">
        <f t="shared" si="720"/>
        <v>0</v>
      </c>
      <c r="BR774" s="735">
        <f t="shared" si="720"/>
        <v>0</v>
      </c>
      <c r="BS774" s="735">
        <f t="shared" si="720"/>
        <v>0</v>
      </c>
      <c r="BT774" s="735">
        <f t="shared" si="720"/>
        <v>0</v>
      </c>
      <c r="BU774" s="1970"/>
    </row>
    <row r="775" spans="37:73" s="536" customFormat="1">
      <c r="AK775" s="2250"/>
      <c r="AL775" s="2251" t="s">
        <v>1157</v>
      </c>
      <c r="AM775" s="737" t="s">
        <v>1158</v>
      </c>
      <c r="AN775" s="991"/>
      <c r="AO775" s="742"/>
      <c r="AP775" s="738">
        <f>AP624-AN624</f>
        <v>0</v>
      </c>
      <c r="AQ775" s="742"/>
      <c r="AR775" s="742"/>
      <c r="AS775" s="738">
        <f>AS624-AP624</f>
        <v>0</v>
      </c>
      <c r="AT775" s="2252"/>
      <c r="AU775" s="2252"/>
      <c r="AV775" s="738">
        <f>AV624-AS624</f>
        <v>0</v>
      </c>
      <c r="AW775" s="742"/>
      <c r="AX775" s="2253"/>
      <c r="AY775" s="738">
        <f>AY624-AS624</f>
        <v>0</v>
      </c>
      <c r="AZ775" s="742"/>
      <c r="BA775" s="2253"/>
      <c r="BB775" s="738">
        <f>IF(OR($C$3=$L$913,$C$3=0),BB624-AY624,BB624-AV624)</f>
        <v>0</v>
      </c>
      <c r="BC775" s="742"/>
      <c r="BD775" s="2253"/>
      <c r="BE775" s="741">
        <f>BE624-AY624</f>
        <v>0</v>
      </c>
      <c r="BF775" s="741">
        <f t="shared" ref="BF775:BT775" si="721">BF624-BE624</f>
        <v>0</v>
      </c>
      <c r="BG775" s="741">
        <f t="shared" si="721"/>
        <v>0</v>
      </c>
      <c r="BH775" s="741">
        <f t="shared" si="721"/>
        <v>0</v>
      </c>
      <c r="BI775" s="741">
        <f t="shared" si="721"/>
        <v>0</v>
      </c>
      <c r="BJ775" s="741">
        <f t="shared" si="721"/>
        <v>0</v>
      </c>
      <c r="BK775" s="741">
        <f t="shared" si="721"/>
        <v>0</v>
      </c>
      <c r="BL775" s="741">
        <f t="shared" si="721"/>
        <v>0</v>
      </c>
      <c r="BM775" s="741">
        <f t="shared" si="721"/>
        <v>0</v>
      </c>
      <c r="BN775" s="741">
        <f t="shared" si="721"/>
        <v>0</v>
      </c>
      <c r="BO775" s="741">
        <f t="shared" si="721"/>
        <v>0</v>
      </c>
      <c r="BP775" s="741">
        <f t="shared" si="721"/>
        <v>0</v>
      </c>
      <c r="BQ775" s="741">
        <f t="shared" si="721"/>
        <v>0</v>
      </c>
      <c r="BR775" s="741">
        <f t="shared" si="721"/>
        <v>0</v>
      </c>
      <c r="BS775" s="741">
        <f t="shared" si="721"/>
        <v>0</v>
      </c>
      <c r="BT775" s="741">
        <f t="shared" si="721"/>
        <v>0</v>
      </c>
      <c r="BU775" s="2254"/>
    </row>
    <row r="776" spans="37:73" s="726" customFormat="1">
      <c r="AK776" s="2250"/>
      <c r="AL776" s="2251" t="s">
        <v>1159</v>
      </c>
      <c r="AM776" s="737" t="s">
        <v>1160</v>
      </c>
      <c r="AN776" s="991"/>
      <c r="AO776" s="742"/>
      <c r="AP776" s="738">
        <f>AP625-AN625-(AP678-AN678)</f>
        <v>0</v>
      </c>
      <c r="AQ776" s="742"/>
      <c r="AR776" s="742"/>
      <c r="AS776" s="738">
        <f>AS625-AP625-(AS678-AP678)</f>
        <v>0</v>
      </c>
      <c r="AT776" s="2252"/>
      <c r="AU776" s="2252"/>
      <c r="AV776" s="738">
        <f>AV625-AS625-(AV678-AS678)</f>
        <v>0</v>
      </c>
      <c r="AW776" s="742"/>
      <c r="AX776" s="2255"/>
      <c r="AY776" s="738">
        <f>AY625-AS625-(AY678-AS678)</f>
        <v>0</v>
      </c>
      <c r="AZ776" s="742"/>
      <c r="BA776" s="2255"/>
      <c r="BB776" s="738">
        <f>IF(OR($C$3=$L$913,$C$3=0),BB625-AY625-(BB678-AY678),BB625-AV625-(BB678-AV678))</f>
        <v>0</v>
      </c>
      <c r="BC776" s="742"/>
      <c r="BD776" s="2255"/>
      <c r="BE776" s="741">
        <f>BE625-AY625-(BE678-AY678)</f>
        <v>0</v>
      </c>
      <c r="BF776" s="741">
        <f t="shared" ref="BF776:BT776" si="722">BF625-BE625-(BF678-BE678)</f>
        <v>0</v>
      </c>
      <c r="BG776" s="741">
        <f t="shared" si="722"/>
        <v>0</v>
      </c>
      <c r="BH776" s="741">
        <f t="shared" si="722"/>
        <v>0</v>
      </c>
      <c r="BI776" s="741">
        <f t="shared" si="722"/>
        <v>0</v>
      </c>
      <c r="BJ776" s="741">
        <f t="shared" si="722"/>
        <v>0</v>
      </c>
      <c r="BK776" s="741">
        <f t="shared" si="722"/>
        <v>0</v>
      </c>
      <c r="BL776" s="741">
        <f t="shared" si="722"/>
        <v>0</v>
      </c>
      <c r="BM776" s="741">
        <f t="shared" si="722"/>
        <v>0</v>
      </c>
      <c r="BN776" s="741">
        <f t="shared" si="722"/>
        <v>0</v>
      </c>
      <c r="BO776" s="741">
        <f t="shared" si="722"/>
        <v>0</v>
      </c>
      <c r="BP776" s="741">
        <f t="shared" si="722"/>
        <v>0</v>
      </c>
      <c r="BQ776" s="741">
        <f t="shared" si="722"/>
        <v>0</v>
      </c>
      <c r="BR776" s="741">
        <f t="shared" si="722"/>
        <v>0</v>
      </c>
      <c r="BS776" s="741">
        <f t="shared" si="722"/>
        <v>0</v>
      </c>
      <c r="BT776" s="741">
        <f t="shared" si="722"/>
        <v>0</v>
      </c>
      <c r="BU776" s="2254"/>
    </row>
    <row r="777" spans="37:73" s="726" customFormat="1">
      <c r="AK777" s="2250"/>
      <c r="AL777" s="2251" t="s">
        <v>1161</v>
      </c>
      <c r="AM777" s="737" t="s">
        <v>1162</v>
      </c>
      <c r="AN777" s="995"/>
      <c r="AO777" s="742"/>
      <c r="AP777" s="738">
        <f>AP627-AN627</f>
        <v>0</v>
      </c>
      <c r="AQ777" s="742"/>
      <c r="AR777" s="742"/>
      <c r="AS777" s="738">
        <f>AS627-AP627</f>
        <v>0</v>
      </c>
      <c r="AT777" s="2252"/>
      <c r="AU777" s="2252"/>
      <c r="AV777" s="738">
        <f>AV627-AS627</f>
        <v>0</v>
      </c>
      <c r="AW777" s="742"/>
      <c r="AX777" s="2253"/>
      <c r="AY777" s="738">
        <f>AY627-AS627</f>
        <v>0</v>
      </c>
      <c r="AZ777" s="742"/>
      <c r="BA777" s="2253"/>
      <c r="BB777" s="738">
        <f>IF(OR($C$3=$L$913,$C$3=0),BB627-AY627,BB627-AV627)</f>
        <v>0</v>
      </c>
      <c r="BC777" s="742"/>
      <c r="BD777" s="2253"/>
      <c r="BE777" s="741">
        <f>BE627-AY627</f>
        <v>0</v>
      </c>
      <c r="BF777" s="741">
        <f t="shared" ref="BF777:BT777" si="723">BF627-BE627</f>
        <v>0</v>
      </c>
      <c r="BG777" s="741">
        <f t="shared" si="723"/>
        <v>0</v>
      </c>
      <c r="BH777" s="741">
        <f t="shared" si="723"/>
        <v>0</v>
      </c>
      <c r="BI777" s="741">
        <f t="shared" si="723"/>
        <v>0</v>
      </c>
      <c r="BJ777" s="741">
        <f t="shared" si="723"/>
        <v>0</v>
      </c>
      <c r="BK777" s="741">
        <f t="shared" si="723"/>
        <v>0</v>
      </c>
      <c r="BL777" s="741">
        <f t="shared" si="723"/>
        <v>0</v>
      </c>
      <c r="BM777" s="741">
        <f t="shared" si="723"/>
        <v>0</v>
      </c>
      <c r="BN777" s="741">
        <f t="shared" si="723"/>
        <v>0</v>
      </c>
      <c r="BO777" s="741">
        <f t="shared" si="723"/>
        <v>0</v>
      </c>
      <c r="BP777" s="741">
        <f t="shared" si="723"/>
        <v>0</v>
      </c>
      <c r="BQ777" s="741">
        <f t="shared" si="723"/>
        <v>0</v>
      </c>
      <c r="BR777" s="741">
        <f t="shared" si="723"/>
        <v>0</v>
      </c>
      <c r="BS777" s="741">
        <f t="shared" si="723"/>
        <v>0</v>
      </c>
      <c r="BT777" s="741">
        <f t="shared" si="723"/>
        <v>0</v>
      </c>
      <c r="BU777" s="2254"/>
    </row>
    <row r="778" spans="37:73" s="726" customFormat="1">
      <c r="AK778" s="2229"/>
      <c r="AL778" s="2227">
        <v>9</v>
      </c>
      <c r="AM778" s="775" t="s">
        <v>1163</v>
      </c>
      <c r="AN778" s="995"/>
      <c r="AO778" s="721"/>
      <c r="AP778" s="2256">
        <f>SUM(AP775:AP777)</f>
        <v>0</v>
      </c>
      <c r="AQ778" s="721"/>
      <c r="AR778" s="721"/>
      <c r="AS778" s="776">
        <f>SUM(AS775:AS777)</f>
        <v>0</v>
      </c>
      <c r="AT778" s="2234"/>
      <c r="AU778" s="2234"/>
      <c r="AV778" s="776">
        <f>SUM(AV775:AV777)</f>
        <v>0</v>
      </c>
      <c r="AW778" s="721"/>
      <c r="AX778" s="2257"/>
      <c r="AY778" s="776">
        <f>SUM(AY775:AY777)</f>
        <v>0</v>
      </c>
      <c r="AZ778" s="721"/>
      <c r="BA778" s="2257"/>
      <c r="BB778" s="776">
        <f>SUM(BB775:BB777)</f>
        <v>0</v>
      </c>
      <c r="BC778" s="721"/>
      <c r="BD778" s="2257"/>
      <c r="BE778" s="774">
        <f t="shared" ref="BE778:BT778" si="724">SUM(BE775:BE777)</f>
        <v>0</v>
      </c>
      <c r="BF778" s="774">
        <f t="shared" si="724"/>
        <v>0</v>
      </c>
      <c r="BG778" s="774">
        <f t="shared" si="724"/>
        <v>0</v>
      </c>
      <c r="BH778" s="774">
        <f t="shared" si="724"/>
        <v>0</v>
      </c>
      <c r="BI778" s="774">
        <f t="shared" si="724"/>
        <v>0</v>
      </c>
      <c r="BJ778" s="774">
        <f t="shared" si="724"/>
        <v>0</v>
      </c>
      <c r="BK778" s="774">
        <f t="shared" si="724"/>
        <v>0</v>
      </c>
      <c r="BL778" s="774">
        <f t="shared" si="724"/>
        <v>0</v>
      </c>
      <c r="BM778" s="774">
        <f t="shared" si="724"/>
        <v>0</v>
      </c>
      <c r="BN778" s="774">
        <f t="shared" si="724"/>
        <v>0</v>
      </c>
      <c r="BO778" s="774">
        <f t="shared" si="724"/>
        <v>0</v>
      </c>
      <c r="BP778" s="774">
        <f t="shared" si="724"/>
        <v>0</v>
      </c>
      <c r="BQ778" s="774">
        <f t="shared" si="724"/>
        <v>0</v>
      </c>
      <c r="BR778" s="774">
        <f t="shared" si="724"/>
        <v>0</v>
      </c>
      <c r="BS778" s="774">
        <f t="shared" si="724"/>
        <v>0</v>
      </c>
      <c r="BT778" s="774">
        <f t="shared" si="724"/>
        <v>0</v>
      </c>
      <c r="BU778" s="2237"/>
    </row>
    <row r="779" spans="37:73" s="726" customFormat="1">
      <c r="AK779" s="2229"/>
      <c r="AL779" s="2258"/>
      <c r="AM779" s="2245" t="s">
        <v>1164</v>
      </c>
      <c r="AN779" s="2246"/>
      <c r="AO779" s="753"/>
      <c r="AP779" s="2259">
        <f>SUM(AP771:AP774)+AP778+AP822+AP823</f>
        <v>0</v>
      </c>
      <c r="AQ779" s="753"/>
      <c r="AR779" s="753"/>
      <c r="AS779" s="2260">
        <f>SUM(AS771:AS774)+AS778+AS822+AS823</f>
        <v>0</v>
      </c>
      <c r="AT779" s="2261"/>
      <c r="AU779" s="2261"/>
      <c r="AV779" s="2260">
        <f>SUM(AV771:AV774)+AV778+AV822+AV823</f>
        <v>0</v>
      </c>
      <c r="AW779" s="753"/>
      <c r="AX779" s="2262"/>
      <c r="AY779" s="2260">
        <f>SUM(AY771:AY774)+AY778+AY822+AY823</f>
        <v>0</v>
      </c>
      <c r="AZ779" s="753"/>
      <c r="BA779" s="2262"/>
      <c r="BB779" s="2260">
        <f>SUM(BB771:BB774)+BB778+BB822+BB823</f>
        <v>0</v>
      </c>
      <c r="BC779" s="753"/>
      <c r="BD779" s="2262"/>
      <c r="BE779" s="2247">
        <f t="shared" ref="BE779:BT779" si="725">SUM(BE771:BE774)+BE778+BE822+BE823</f>
        <v>0</v>
      </c>
      <c r="BF779" s="2247">
        <f t="shared" si="725"/>
        <v>0</v>
      </c>
      <c r="BG779" s="2247">
        <f t="shared" si="725"/>
        <v>0</v>
      </c>
      <c r="BH779" s="2247">
        <f t="shared" si="725"/>
        <v>0</v>
      </c>
      <c r="BI779" s="2247">
        <f t="shared" si="725"/>
        <v>0</v>
      </c>
      <c r="BJ779" s="2247">
        <f t="shared" si="725"/>
        <v>0</v>
      </c>
      <c r="BK779" s="2247">
        <f t="shared" si="725"/>
        <v>0</v>
      </c>
      <c r="BL779" s="2247">
        <f t="shared" si="725"/>
        <v>0</v>
      </c>
      <c r="BM779" s="2247">
        <f t="shared" si="725"/>
        <v>0</v>
      </c>
      <c r="BN779" s="2247">
        <f t="shared" si="725"/>
        <v>0</v>
      </c>
      <c r="BO779" s="2247">
        <f t="shared" si="725"/>
        <v>0</v>
      </c>
      <c r="BP779" s="2247">
        <f t="shared" si="725"/>
        <v>0</v>
      </c>
      <c r="BQ779" s="2247">
        <f t="shared" si="725"/>
        <v>0</v>
      </c>
      <c r="BR779" s="2247">
        <f t="shared" si="725"/>
        <v>0</v>
      </c>
      <c r="BS779" s="2247">
        <f t="shared" si="725"/>
        <v>0</v>
      </c>
      <c r="BT779" s="2247">
        <f t="shared" si="725"/>
        <v>0</v>
      </c>
      <c r="BU779" s="2237"/>
    </row>
    <row r="780" spans="37:73" s="768" customFormat="1">
      <c r="AK780" s="1964"/>
      <c r="AL780" s="2214"/>
      <c r="AM780" s="2263" t="s">
        <v>1165</v>
      </c>
      <c r="AN780" s="2264"/>
      <c r="AO780" s="1003"/>
      <c r="AP780" s="2265">
        <f>AP770+AP779</f>
        <v>0</v>
      </c>
      <c r="AQ780" s="536"/>
      <c r="AR780" s="536"/>
      <c r="AS780" s="2265">
        <f>AS770+AS779</f>
        <v>0</v>
      </c>
      <c r="AT780" s="2216"/>
      <c r="AU780" s="2216"/>
      <c r="AV780" s="2265">
        <f>AV770+AV779</f>
        <v>0</v>
      </c>
      <c r="AW780" s="536"/>
      <c r="AX780" s="803"/>
      <c r="AY780" s="2265">
        <f>AY770+AY779</f>
        <v>0</v>
      </c>
      <c r="AZ780" s="536"/>
      <c r="BA780" s="803"/>
      <c r="BB780" s="2265">
        <f>BB770+BB779</f>
        <v>0</v>
      </c>
      <c r="BC780" s="536"/>
      <c r="BD780" s="803"/>
      <c r="BE780" s="2266">
        <f t="shared" ref="BE780:BT780" si="726">BE770+BE779</f>
        <v>0</v>
      </c>
      <c r="BF780" s="2266">
        <f t="shared" si="726"/>
        <v>0</v>
      </c>
      <c r="BG780" s="2266">
        <f t="shared" si="726"/>
        <v>0</v>
      </c>
      <c r="BH780" s="2266">
        <f t="shared" si="726"/>
        <v>0</v>
      </c>
      <c r="BI780" s="2266">
        <f t="shared" si="726"/>
        <v>0</v>
      </c>
      <c r="BJ780" s="2266">
        <f t="shared" si="726"/>
        <v>0</v>
      </c>
      <c r="BK780" s="2266">
        <f t="shared" si="726"/>
        <v>0</v>
      </c>
      <c r="BL780" s="2266">
        <f t="shared" si="726"/>
        <v>0</v>
      </c>
      <c r="BM780" s="2266">
        <f t="shared" si="726"/>
        <v>0</v>
      </c>
      <c r="BN780" s="2266">
        <f t="shared" si="726"/>
        <v>0</v>
      </c>
      <c r="BO780" s="2266">
        <f t="shared" si="726"/>
        <v>0</v>
      </c>
      <c r="BP780" s="2266">
        <f t="shared" si="726"/>
        <v>0</v>
      </c>
      <c r="BQ780" s="2266">
        <f t="shared" si="726"/>
        <v>0</v>
      </c>
      <c r="BR780" s="2266">
        <f t="shared" si="726"/>
        <v>0</v>
      </c>
      <c r="BS780" s="2266">
        <f t="shared" si="726"/>
        <v>0</v>
      </c>
      <c r="BT780" s="2266">
        <f t="shared" si="726"/>
        <v>0</v>
      </c>
      <c r="BU780" s="1970"/>
    </row>
    <row r="781" spans="37:73" s="768" customFormat="1" ht="12">
      <c r="AK781" s="2239"/>
      <c r="AL781" s="2267" t="s">
        <v>1166</v>
      </c>
      <c r="AM781" s="763" t="s">
        <v>1462</v>
      </c>
      <c r="AN781" s="990"/>
      <c r="AO781" s="726"/>
      <c r="AP781" s="2268">
        <f>IF(AP619-AN619&lt;0,AP619-AN619,0)</f>
        <v>0</v>
      </c>
      <c r="AQ781" s="726"/>
      <c r="AR781" s="726"/>
      <c r="AS781" s="2268">
        <f>IF(AS619-AP619&lt;0,AS619-AP619,0)</f>
        <v>0</v>
      </c>
      <c r="AT781" s="2241"/>
      <c r="AU781" s="2241"/>
      <c r="AV781" s="764">
        <f>IF(AV619-AS619&lt;0,AV619-AS619,0)</f>
        <v>0</v>
      </c>
      <c r="AW781" s="726"/>
      <c r="AX781" s="2248"/>
      <c r="AY781" s="764">
        <f>IF(AY619-AS619&lt;0,AY619-AS619,0)</f>
        <v>0</v>
      </c>
      <c r="AZ781" s="726"/>
      <c r="BA781" s="2248"/>
      <c r="BB781" s="764">
        <f>IF(OR($C$3=$L$913,$C$3=0),IF(BB619-AY619&lt;0,BB619-AY619,0),IF(BB619-AV619&lt;0,BB619-AV619,0))</f>
        <v>0</v>
      </c>
      <c r="BC781" s="726"/>
      <c r="BD781" s="2248"/>
      <c r="BE781" s="2269">
        <f>IF(BE619-AY619&lt;0,BE619-AY619,0)</f>
        <v>0</v>
      </c>
      <c r="BF781" s="741">
        <f t="shared" ref="BF781:BT781" si="727">IF(BF619-BE619&lt;0,BF619-BE619,0)</f>
        <v>0</v>
      </c>
      <c r="BG781" s="741">
        <f t="shared" si="727"/>
        <v>0</v>
      </c>
      <c r="BH781" s="741">
        <f t="shared" si="727"/>
        <v>0</v>
      </c>
      <c r="BI781" s="741">
        <f t="shared" si="727"/>
        <v>0</v>
      </c>
      <c r="BJ781" s="741">
        <f t="shared" si="727"/>
        <v>0</v>
      </c>
      <c r="BK781" s="741">
        <f t="shared" si="727"/>
        <v>0</v>
      </c>
      <c r="BL781" s="741">
        <f t="shared" si="727"/>
        <v>0</v>
      </c>
      <c r="BM781" s="741">
        <f t="shared" si="727"/>
        <v>0</v>
      </c>
      <c r="BN781" s="741">
        <f t="shared" si="727"/>
        <v>0</v>
      </c>
      <c r="BO781" s="741">
        <f t="shared" si="727"/>
        <v>0</v>
      </c>
      <c r="BP781" s="741">
        <f t="shared" si="727"/>
        <v>0</v>
      </c>
      <c r="BQ781" s="741">
        <f t="shared" si="727"/>
        <v>0</v>
      </c>
      <c r="BR781" s="741">
        <f t="shared" si="727"/>
        <v>0</v>
      </c>
      <c r="BS781" s="741">
        <f t="shared" si="727"/>
        <v>0</v>
      </c>
      <c r="BT781" s="741">
        <f t="shared" si="727"/>
        <v>0</v>
      </c>
      <c r="BU781" s="2243"/>
    </row>
    <row r="782" spans="37:73" s="536" customFormat="1" ht="12.5">
      <c r="AK782" s="2239"/>
      <c r="AL782" s="2251" t="s">
        <v>1168</v>
      </c>
      <c r="AM782" s="763" t="s">
        <v>1463</v>
      </c>
      <c r="AN782" s="990"/>
      <c r="AO782" s="726"/>
      <c r="AP782" s="764">
        <f>IF(((AP633-AN633)+(AP634-AN634)+(AP620-AN620)+(AP621-AN621))&lt;0,(AP633-AN633)+(AP634-AN634)+(AP620-AN620)+(AP621-AN621),0)</f>
        <v>0</v>
      </c>
      <c r="AQ782" s="726"/>
      <c r="AR782" s="726"/>
      <c r="AS782" s="764">
        <f>IF(((AS633-AP633)+(AS634-AP634)+(AS620-AP620)+(AS621-AP621))&lt;0,(AS633-AP633)+(AS634-AP634)+(AS620-AP620)+(AS621-AP621),0)</f>
        <v>0</v>
      </c>
      <c r="AT782" s="2241"/>
      <c r="AU782" s="2241"/>
      <c r="AV782" s="764">
        <f>IF(((AV633-AS633)+(AV634-AS634)+(AV620-AS620)+(AV621-AS621))&lt;0,(AV633-AS633)+(AV634-AS634)+(AV620-AS620)+(AV621-AS621),0)</f>
        <v>0</v>
      </c>
      <c r="AW782" s="726"/>
      <c r="AX782" s="2248"/>
      <c r="AY782" s="764">
        <f>IF(((AY633-AS633)+(AY634-AS634)+(AY620-AS620)+(AY621-AS621))&lt;0,(AY633-AS633)+(AY634-AS634)+(AY620-AS620)+(AY621-AS621),0)</f>
        <v>0</v>
      </c>
      <c r="AZ782" s="726"/>
      <c r="BA782" s="2248"/>
      <c r="BB782" s="764">
        <f>IF(OR($C$3=$L$913,$C$3=0),IF(((BB633-AY633)+(BB634-AY634)+(BB620-AY620)+(BB621-AY621))&lt;0,(BB633-AY633)+(BB634-AY634)+(BB620-AY620)+(BB621-AY621),0),IF(((BB633-AV633)+(BB634-AV634)+(BB620-AV620)+(BB621-AV621))&lt;0,(BB633-AV633)+(BB634-AV634)+(BB620-AV620)+(BB621-AV621),0))</f>
        <v>0</v>
      </c>
      <c r="BC782" s="726"/>
      <c r="BD782" s="2248"/>
      <c r="BE782" s="2269">
        <f>-SUM($T$249,$T$261,$T$275,$T$313,$T$323,$T$333)</f>
        <v>0</v>
      </c>
      <c r="BF782" s="741">
        <f>-SUM($U$249,$U$261,$U$275,$U$313,$U$323,$U$333)</f>
        <v>0</v>
      </c>
      <c r="BG782" s="741">
        <f>-SUM($V$249,$V$261,$V$275,$V$313,$V$323,$V$333)</f>
        <v>0</v>
      </c>
      <c r="BH782" s="741">
        <f>-SUM($W$249,$W$261,$W$275,$W$313,$W$323,$W$333)</f>
        <v>0</v>
      </c>
      <c r="BI782" s="741">
        <f>-SUM($X$249,$X$261,$X$275,$X$313,$X$323,$X$333)</f>
        <v>0</v>
      </c>
      <c r="BJ782" s="741">
        <f>-SUM($Y$249,$Y$261,$Y$275,$Y$313,$Y$323,$Y$333)</f>
        <v>0</v>
      </c>
      <c r="BK782" s="741">
        <f>-SUM($Z$249,$Z$261,$Z$275,$Z$313,$Z$323,$Z$333)</f>
        <v>0</v>
      </c>
      <c r="BL782" s="741">
        <f>-SUM($AA$249,$AA$261,$AA$275,$AA$313,$AA$323,$AA$333)</f>
        <v>0</v>
      </c>
      <c r="BM782" s="741">
        <f>-SUM($AB$249,$AB$261,$AB$275,$AB$313,$AB$323,$AB$333)</f>
        <v>0</v>
      </c>
      <c r="BN782" s="741">
        <f>-SUM($AC$249,$AC$261,$AC$275,$AC$313,$AC$323,$AC$333)</f>
        <v>0</v>
      </c>
      <c r="BO782" s="741">
        <f>-SUM($AD$249,$AD$261,$AD$275,$AD$313,$AD$323,$AD$333)</f>
        <v>0</v>
      </c>
      <c r="BP782" s="741">
        <f>-SUM($AE$249,$AE$261,$AE$275,$AE$313,$AE$323,$AE$333)</f>
        <v>0</v>
      </c>
      <c r="BQ782" s="741">
        <f>-SUM($AF$249,$AF$261,$AF$275,$AF$313,$AF$323,$AF$333)</f>
        <v>0</v>
      </c>
      <c r="BR782" s="741">
        <f>-SUM($AG$249,$AG$261,$AG$275,$AG$313,$AG$323,$AG$333)</f>
        <v>0</v>
      </c>
      <c r="BS782" s="741">
        <f>-SUM($AH$249,$AH$261,$AH$275,$AH$313,$AH$323,$AH$333)</f>
        <v>0</v>
      </c>
      <c r="BT782" s="741">
        <f>-SUM($AI$249,$AI$261,$AI$275,$AI$313,$AI$323,$AI$333)</f>
        <v>0</v>
      </c>
      <c r="BU782" s="2243"/>
    </row>
    <row r="783" spans="37:73" s="536" customFormat="1" ht="12.5">
      <c r="AK783" s="2239"/>
      <c r="AL783" s="2251" t="s">
        <v>1170</v>
      </c>
      <c r="AM783" s="763" t="s">
        <v>1171</v>
      </c>
      <c r="AN783" s="990"/>
      <c r="AO783" s="726"/>
      <c r="AP783" s="764">
        <f>IF(((AP635-AN635)+(AP622-AN622))&lt;0,(AP635-AN635)+(AP622-AN622),0)</f>
        <v>0</v>
      </c>
      <c r="AQ783" s="726"/>
      <c r="AR783" s="726"/>
      <c r="AS783" s="764">
        <f>IF(((AS635-AP635)+(AS622-AP622))&lt;0,(AS635-AP635)+(AS622-AP622),0)</f>
        <v>0</v>
      </c>
      <c r="AT783" s="2241"/>
      <c r="AU783" s="2241"/>
      <c r="AV783" s="764">
        <f>IF(((AV635-AS635)+(AV622-AS622))&lt;0,(AV635-AS635)+(AV622-AS622),0)</f>
        <v>0</v>
      </c>
      <c r="AW783" s="726"/>
      <c r="AX783" s="2248"/>
      <c r="AY783" s="764">
        <f>IF(((AY635-AS635)+(AY622-AS622))&lt;0,(AY635-AS635)+(AY622-AS622),0)</f>
        <v>0</v>
      </c>
      <c r="AZ783" s="726"/>
      <c r="BA783" s="2248"/>
      <c r="BB783" s="764">
        <f>IF(((BB635-AY635)+(BB622-AY622))&lt;0,(BB635-AY635)+(BB622-AY622),0)</f>
        <v>0</v>
      </c>
      <c r="BC783" s="726"/>
      <c r="BD783" s="2248"/>
      <c r="BE783" s="2269">
        <f>-SUM($T$353,$T$363,$T$373)</f>
        <v>0</v>
      </c>
      <c r="BF783" s="741">
        <f>-SUM($U$353,$U$363,$U$373)</f>
        <v>0</v>
      </c>
      <c r="BG783" s="741">
        <f>-SUM($V$353,$V$363,$V$373)</f>
        <v>0</v>
      </c>
      <c r="BH783" s="741">
        <f>-SUM($W$353,$W$363,$W$373)</f>
        <v>0</v>
      </c>
      <c r="BI783" s="741">
        <f>-SUM($X$353,$X$363,$X$373)</f>
        <v>0</v>
      </c>
      <c r="BJ783" s="741">
        <f>-SUM($Y$353,$Y$363,$Y$373)</f>
        <v>0</v>
      </c>
      <c r="BK783" s="741">
        <f>-SUM($Z$353,$Z$363,$Z$373)</f>
        <v>0</v>
      </c>
      <c r="BL783" s="741">
        <f>-SUM($AA$353,$AA$363,$AA$373)</f>
        <v>0</v>
      </c>
      <c r="BM783" s="741">
        <f>-SUM($AB$353,$AB$363,$AB$373)</f>
        <v>0</v>
      </c>
      <c r="BN783" s="741">
        <f>-SUM($AC$353,$AC$363,$AC$373)</f>
        <v>0</v>
      </c>
      <c r="BO783" s="741">
        <f>-SUM($AD$353,$AD$363,$AD$373)</f>
        <v>0</v>
      </c>
      <c r="BP783" s="741">
        <f>-SUM($AE$353,$AE$363,$AE$373)</f>
        <v>0</v>
      </c>
      <c r="BQ783" s="741">
        <f>-SUM($AF$353,$AF$363,$AF$373)</f>
        <v>0</v>
      </c>
      <c r="BR783" s="741">
        <f>-SUM($AG$353,$AG$363,$AG$373)</f>
        <v>0</v>
      </c>
      <c r="BS783" s="741">
        <f>-SUM($AH$353,$AH$363,$AH$373)</f>
        <v>0</v>
      </c>
      <c r="BT783" s="741">
        <f>-SUM($AI$353,$AI$363,$AI$373)</f>
        <v>0</v>
      </c>
      <c r="BU783" s="2243"/>
    </row>
    <row r="784" spans="37:73" s="536" customFormat="1" ht="12.5">
      <c r="AK784" s="2239"/>
      <c r="AL784" s="2251" t="s">
        <v>1172</v>
      </c>
      <c r="AM784" s="737" t="s">
        <v>1464</v>
      </c>
      <c r="AN784" s="1005"/>
      <c r="AO784" s="726"/>
      <c r="AP784" s="735">
        <f>IF(AP667&lt;0,-AP665+AP667,-AP665)</f>
        <v>0</v>
      </c>
      <c r="AQ784" s="726"/>
      <c r="AR784" s="726"/>
      <c r="AS784" s="735">
        <f>IF(AS667&lt;0,-AS665+AS667,-AS665)</f>
        <v>0</v>
      </c>
      <c r="AT784" s="2241"/>
      <c r="AU784" s="2241"/>
      <c r="AV784" s="735">
        <f>IF(AV667&lt;0,-AV665+AV667,-AV665)</f>
        <v>0</v>
      </c>
      <c r="AW784" s="726"/>
      <c r="AX784" s="2248"/>
      <c r="AY784" s="735">
        <f>IF(AY667&lt;0,-AY665+AY667,-AY665)</f>
        <v>0</v>
      </c>
      <c r="AZ784" s="726"/>
      <c r="BA784" s="2248"/>
      <c r="BB784" s="735">
        <f>IF(BB667&lt;0,-BB665+BB667,-BB665)</f>
        <v>0</v>
      </c>
      <c r="BC784" s="726"/>
      <c r="BD784" s="2248"/>
      <c r="BE784" s="741">
        <f t="shared" ref="BE784:BT784" si="728">IF(BE667&lt;0,-BE665+BE667,-BE665)</f>
        <v>0</v>
      </c>
      <c r="BF784" s="741">
        <f t="shared" si="728"/>
        <v>0</v>
      </c>
      <c r="BG784" s="741">
        <f t="shared" si="728"/>
        <v>0</v>
      </c>
      <c r="BH784" s="741">
        <f t="shared" si="728"/>
        <v>0</v>
      </c>
      <c r="BI784" s="741">
        <f t="shared" si="728"/>
        <v>0</v>
      </c>
      <c r="BJ784" s="741">
        <f t="shared" si="728"/>
        <v>0</v>
      </c>
      <c r="BK784" s="741">
        <f t="shared" si="728"/>
        <v>0</v>
      </c>
      <c r="BL784" s="741">
        <f t="shared" si="728"/>
        <v>0</v>
      </c>
      <c r="BM784" s="741">
        <f t="shared" si="728"/>
        <v>0</v>
      </c>
      <c r="BN784" s="741">
        <f t="shared" si="728"/>
        <v>0</v>
      </c>
      <c r="BO784" s="741">
        <f t="shared" si="728"/>
        <v>0</v>
      </c>
      <c r="BP784" s="741">
        <f t="shared" si="728"/>
        <v>0</v>
      </c>
      <c r="BQ784" s="741">
        <f t="shared" si="728"/>
        <v>0</v>
      </c>
      <c r="BR784" s="741">
        <f t="shared" si="728"/>
        <v>0</v>
      </c>
      <c r="BS784" s="741">
        <f t="shared" si="728"/>
        <v>0</v>
      </c>
      <c r="BT784" s="741">
        <f t="shared" si="728"/>
        <v>0</v>
      </c>
      <c r="BU784" s="2243"/>
    </row>
    <row r="785" spans="37:73" s="742" customFormat="1">
      <c r="AK785" s="2270"/>
      <c r="AL785" s="2227">
        <v>10</v>
      </c>
      <c r="AM785" s="775" t="s">
        <v>1174</v>
      </c>
      <c r="AN785" s="995"/>
      <c r="AO785" s="768"/>
      <c r="AP785" s="774">
        <f>SUM(AP781:AP784)</f>
        <v>0</v>
      </c>
      <c r="AQ785" s="768"/>
      <c r="AR785" s="768"/>
      <c r="AS785" s="774">
        <f>SUM(AS781:AS784)</f>
        <v>0</v>
      </c>
      <c r="AT785" s="2271"/>
      <c r="AU785" s="2271"/>
      <c r="AV785" s="774">
        <f>SUM(AV781:AV784)</f>
        <v>0</v>
      </c>
      <c r="AW785" s="768"/>
      <c r="AX785" s="2272"/>
      <c r="AY785" s="774">
        <f>SUM(AY781:AY784)</f>
        <v>0</v>
      </c>
      <c r="AZ785" s="768"/>
      <c r="BA785" s="2272"/>
      <c r="BB785" s="774">
        <f>SUM(BB781:BB784)</f>
        <v>0</v>
      </c>
      <c r="BC785" s="768"/>
      <c r="BD785" s="2272"/>
      <c r="BE785" s="774">
        <f t="shared" ref="BE785:BT785" si="729">SUM(BE781:BE784)</f>
        <v>0</v>
      </c>
      <c r="BF785" s="774">
        <f t="shared" si="729"/>
        <v>0</v>
      </c>
      <c r="BG785" s="774">
        <f t="shared" si="729"/>
        <v>0</v>
      </c>
      <c r="BH785" s="774">
        <f t="shared" si="729"/>
        <v>0</v>
      </c>
      <c r="BI785" s="774">
        <f t="shared" si="729"/>
        <v>0</v>
      </c>
      <c r="BJ785" s="774">
        <f t="shared" si="729"/>
        <v>0</v>
      </c>
      <c r="BK785" s="774">
        <f t="shared" si="729"/>
        <v>0</v>
      </c>
      <c r="BL785" s="774">
        <f t="shared" si="729"/>
        <v>0</v>
      </c>
      <c r="BM785" s="774">
        <f t="shared" si="729"/>
        <v>0</v>
      </c>
      <c r="BN785" s="774">
        <f t="shared" si="729"/>
        <v>0</v>
      </c>
      <c r="BO785" s="774">
        <f t="shared" si="729"/>
        <v>0</v>
      </c>
      <c r="BP785" s="774">
        <f t="shared" si="729"/>
        <v>0</v>
      </c>
      <c r="BQ785" s="774">
        <f t="shared" si="729"/>
        <v>0</v>
      </c>
      <c r="BR785" s="774">
        <f t="shared" si="729"/>
        <v>0</v>
      </c>
      <c r="BS785" s="774">
        <f t="shared" si="729"/>
        <v>0</v>
      </c>
      <c r="BT785" s="774">
        <f t="shared" si="729"/>
        <v>0</v>
      </c>
      <c r="BU785" s="2273"/>
    </row>
    <row r="786" spans="37:73" s="742" customFormat="1">
      <c r="AK786" s="2270"/>
      <c r="AL786" s="2274"/>
      <c r="AM786" s="2263" t="s">
        <v>1175</v>
      </c>
      <c r="AN786" s="2275"/>
      <c r="AO786" s="772"/>
      <c r="AP786" s="2266">
        <f>AP780+AP785</f>
        <v>0</v>
      </c>
      <c r="AQ786" s="772"/>
      <c r="AR786" s="772"/>
      <c r="AS786" s="2266">
        <f>AS780+AS785</f>
        <v>0</v>
      </c>
      <c r="AT786" s="2276"/>
      <c r="AU786" s="2276"/>
      <c r="AV786" s="2266">
        <f>AV780+AV785</f>
        <v>0</v>
      </c>
      <c r="AW786" s="772"/>
      <c r="AX786" s="2277"/>
      <c r="AY786" s="2266">
        <f>AY780+AY785</f>
        <v>0</v>
      </c>
      <c r="AZ786" s="772"/>
      <c r="BA786" s="2277"/>
      <c r="BB786" s="2266">
        <f>BB780+BB785</f>
        <v>0</v>
      </c>
      <c r="BC786" s="772"/>
      <c r="BD786" s="2277"/>
      <c r="BE786" s="2266">
        <f t="shared" ref="BE786:BT786" si="730">BE780+BE785</f>
        <v>0</v>
      </c>
      <c r="BF786" s="2266">
        <f t="shared" si="730"/>
        <v>0</v>
      </c>
      <c r="BG786" s="2266">
        <f t="shared" si="730"/>
        <v>0</v>
      </c>
      <c r="BH786" s="2266">
        <f t="shared" si="730"/>
        <v>0</v>
      </c>
      <c r="BI786" s="2266">
        <f t="shared" si="730"/>
        <v>0</v>
      </c>
      <c r="BJ786" s="2266">
        <f t="shared" si="730"/>
        <v>0</v>
      </c>
      <c r="BK786" s="2266">
        <f t="shared" si="730"/>
        <v>0</v>
      </c>
      <c r="BL786" s="2266">
        <f t="shared" si="730"/>
        <v>0</v>
      </c>
      <c r="BM786" s="2266">
        <f t="shared" si="730"/>
        <v>0</v>
      </c>
      <c r="BN786" s="2266">
        <f t="shared" si="730"/>
        <v>0</v>
      </c>
      <c r="BO786" s="2266">
        <f t="shared" si="730"/>
        <v>0</v>
      </c>
      <c r="BP786" s="2266">
        <f t="shared" si="730"/>
        <v>0</v>
      </c>
      <c r="BQ786" s="2266">
        <f t="shared" si="730"/>
        <v>0</v>
      </c>
      <c r="BR786" s="2266">
        <f t="shared" si="730"/>
        <v>0</v>
      </c>
      <c r="BS786" s="2266">
        <f t="shared" si="730"/>
        <v>0</v>
      </c>
      <c r="BT786" s="2266">
        <f t="shared" si="730"/>
        <v>0</v>
      </c>
      <c r="BU786" s="2273"/>
    </row>
    <row r="787" spans="37:73" s="742" customFormat="1">
      <c r="AK787" s="1964"/>
      <c r="AL787" s="2222">
        <v>11</v>
      </c>
      <c r="AM787" s="733" t="s">
        <v>1176</v>
      </c>
      <c r="AN787" s="990"/>
      <c r="AO787" s="536"/>
      <c r="AP787" s="734">
        <f>IF(AP619-AN619&gt;=0,AP619-AN619,0)</f>
        <v>0</v>
      </c>
      <c r="AQ787" s="536"/>
      <c r="AR787" s="536"/>
      <c r="AS787" s="734">
        <f>IF(AS619-AP619&gt;=0,AS619-AP619,0)</f>
        <v>0</v>
      </c>
      <c r="AT787" s="2216"/>
      <c r="AU787" s="2216"/>
      <c r="AV787" s="734">
        <f>IF(AV619-AS619&gt;=0,AV619-AS619,0)</f>
        <v>0</v>
      </c>
      <c r="AW787" s="536"/>
      <c r="AX787" s="803"/>
      <c r="AY787" s="734">
        <f>IF(AY619-AS619&gt;=0,AY619-AS619,0)</f>
        <v>0</v>
      </c>
      <c r="AZ787" s="536"/>
      <c r="BA787" s="803"/>
      <c r="BB787" s="734">
        <f>IF(OR($C$3=$L$913,$C$3=0),IF(BB619-AY619&gt;=0,BB619-AY619,0),IF(BB619-AV619&gt;=0,BB619-AV619,0))</f>
        <v>0</v>
      </c>
      <c r="BC787" s="536"/>
      <c r="BD787" s="803"/>
      <c r="BE787" s="735">
        <f>IF(BE619-AY619&gt;=0,BE619-AY619,0)</f>
        <v>0</v>
      </c>
      <c r="BF787" s="735">
        <f t="shared" ref="BF787:BT787" si="731">IF(BF619-BE619&gt;=0,BF619-BE619,0)</f>
        <v>0</v>
      </c>
      <c r="BG787" s="735">
        <f t="shared" si="731"/>
        <v>0</v>
      </c>
      <c r="BH787" s="735">
        <f t="shared" si="731"/>
        <v>0</v>
      </c>
      <c r="BI787" s="735">
        <f t="shared" si="731"/>
        <v>0</v>
      </c>
      <c r="BJ787" s="735">
        <f t="shared" si="731"/>
        <v>0</v>
      </c>
      <c r="BK787" s="735">
        <f t="shared" si="731"/>
        <v>0</v>
      </c>
      <c r="BL787" s="735">
        <f t="shared" si="731"/>
        <v>0</v>
      </c>
      <c r="BM787" s="735">
        <f t="shared" si="731"/>
        <v>0</v>
      </c>
      <c r="BN787" s="735">
        <f t="shared" si="731"/>
        <v>0</v>
      </c>
      <c r="BO787" s="735">
        <f t="shared" si="731"/>
        <v>0</v>
      </c>
      <c r="BP787" s="735">
        <f t="shared" si="731"/>
        <v>0</v>
      </c>
      <c r="BQ787" s="735">
        <f t="shared" si="731"/>
        <v>0</v>
      </c>
      <c r="BR787" s="735">
        <f t="shared" si="731"/>
        <v>0</v>
      </c>
      <c r="BS787" s="735">
        <f t="shared" si="731"/>
        <v>0</v>
      </c>
      <c r="BT787" s="735">
        <f t="shared" si="731"/>
        <v>0</v>
      </c>
      <c r="BU787" s="1970"/>
    </row>
    <row r="788" spans="37:73" s="742" customFormat="1">
      <c r="AK788" s="1964"/>
      <c r="AL788" s="2251" t="s">
        <v>1177</v>
      </c>
      <c r="AM788" s="733" t="s">
        <v>1178</v>
      </c>
      <c r="AN788" s="990"/>
      <c r="AO788" s="536"/>
      <c r="AP788" s="734">
        <f>IF(((AP633-AN633)+(AP634-AN634)+(AP620-AN620)+(AP621-AN621))&gt;=0,(AP633-AN633)+(AP634-AN634)+(AP620-AN620)+(AP621-AN621),0)</f>
        <v>0</v>
      </c>
      <c r="AQ788" s="536"/>
      <c r="AR788" s="536"/>
      <c r="AS788" s="734">
        <f>IF(((AS633-AP633)+(AS634-AP634)+(AS620-AP620)+(AS621-AP621))&gt;=0,(AS633-AP633)+(AS634-AP634)+(AS620-AP620)+(AS621-AP621),0)</f>
        <v>0</v>
      </c>
      <c r="AT788" s="2216"/>
      <c r="AU788" s="2216"/>
      <c r="AV788" s="734">
        <f>IF(((AV633-AS633)+(AV634-AS634)+(AV620-AS620)+(AV621-AS621))&gt;=0,(AV633-AS633)+(AV634-AS634)+(AV620-AS620)+(AV621-AS621),0)</f>
        <v>0</v>
      </c>
      <c r="AW788" s="536"/>
      <c r="AX788" s="803"/>
      <c r="AY788" s="734">
        <f>IF(((AY633-AS633)+(AY634-AS634)+(AY620-AS620)+(AY621-AS621))&gt;=0,(AY633-AS633)+(AY634-AS634)+(AY620-AS620)+(AY621-AS621),0)</f>
        <v>0</v>
      </c>
      <c r="AZ788" s="536"/>
      <c r="BA788" s="803"/>
      <c r="BB788" s="734">
        <f>IF(OR($C$3=$L$913,$C$3=0),IF(((BB633-AY633)+(BB634-AY634)+(BB620-AY620)+(BB621-AY621))&gt;=0,(BB633-AY633)+(BB634-AY634)+(BB620-AY620)+(BB621-AY621),0),IF(((BB633-AV633)+(BB634-AV634)+(BB620-AV620)+(BB621-AV621))&gt;=0,(BB633-AV633)+(BB634-AV634)+(BB620-AV620)+(BB621-AV621),0))</f>
        <v>0</v>
      </c>
      <c r="BC788" s="536"/>
      <c r="BD788" s="803"/>
      <c r="BE788" s="735">
        <f>$T$272+IF(AND($C$310&lt;&gt;0,$C$314=BE763),$C$310,0)+IF(AND($C$320&lt;&gt;0,$C$324=BE763),$C$320,0)+IF(AND($C$330&lt;&gt;0,$C$334=BE763),$C$330,0)</f>
        <v>0</v>
      </c>
      <c r="BF788" s="735">
        <f>$U$272+IF(AND($C$310&lt;&gt;0,$C$314=BF763),$C$310,0)+IF(AND($C$320&lt;&gt;0,$C$324=BF763),$C$320,0)+IF(AND($C$330&lt;&gt;0,$C$334=BF763),$C$330,0)</f>
        <v>0</v>
      </c>
      <c r="BG788" s="735">
        <f>$V$272+IF(AND($C$310&lt;&gt;0,$C$314=BG763),$C$310,0)+IF(AND($C$320&lt;&gt;0,$C$324=BG763),$C$320,0)+IF(AND($C$330&lt;&gt;0,$C$334=BG763),$C$330,0)</f>
        <v>0</v>
      </c>
      <c r="BH788" s="735">
        <f>$W$272+IF(AND($C$310&lt;&gt;0,$C$314=BH763),$C$310,0)+IF(AND($C$320&lt;&gt;0,$C$324=BH763),$C$320,0)+IF(AND($C$330&lt;&gt;0,$C$334=BH763),$C$330,0)</f>
        <v>0</v>
      </c>
      <c r="BI788" s="735">
        <f>$X$272+IF(AND($C$310&lt;&gt;0,$C$314=BI763),$C$310,0)+IF(AND($C$320&lt;&gt;0,$C$324=BI763),$C$320,0)+IF(AND($C$330&lt;&gt;0,$C$334=BI763),$C$330,0)</f>
        <v>0</v>
      </c>
      <c r="BJ788" s="735">
        <f>$Y$272+IF(AND($C$310&lt;&gt;0,$C$314=BJ763),$C$310,0)+IF(AND($C$320&lt;&gt;0,$C$324=BJ763),$C$320,0)+IF(AND($C$330&lt;&gt;0,$C$334=BJ763),$C$330,0)</f>
        <v>0</v>
      </c>
      <c r="BK788" s="735">
        <f>$Z$272+IF(AND($C$310&lt;&gt;0,$C$314=BK763),$C$310,0)+IF(AND($C$320&lt;&gt;0,$C$324=BK763),$C$320,0)+IF(AND($C$330&lt;&gt;0,$C$334=BK763),$C$330,0)</f>
        <v>0</v>
      </c>
      <c r="BL788" s="735">
        <f>$AA$272+IF(AND($C$310&lt;&gt;0,$C$314=BL763),$C$310,0)+IF(AND($C$320&lt;&gt;0,$C$324=BL763),$C$320,0)+IF(AND($C$330&lt;&gt;0,$C$334=BL763),$C$330,0)</f>
        <v>0</v>
      </c>
      <c r="BM788" s="735">
        <f>$AB$272+IF(AND($C$310&lt;&gt;0,$C$314=BM763),$C$310,0)+IF(AND($C$320&lt;&gt;0,$C$324=BM763),$C$320,0)+IF(AND($C$330&lt;&gt;0,$C$334=BM763),$C$330,0)</f>
        <v>0</v>
      </c>
      <c r="BN788" s="735">
        <f>$AC$272+IF(AND($C$310&lt;&gt;0,$C$314=BN763),$C$310,0)+IF(AND($C$320&lt;&gt;0,$C$324=BN763),$C$320,0)+IF(AND($C$330&lt;&gt;0,$C$334=BN763),$C$330,0)</f>
        <v>0</v>
      </c>
      <c r="BO788" s="735">
        <f>$AD$272+IF(AND($C$310&lt;&gt;0,$C$314=BO763),$C$310,0)+IF(AND($C$320&lt;&gt;0,$C$324=BO763),$C$320,0)+IF(AND($C$330&lt;&gt;0,$C$334=BO763),$C$330,0)</f>
        <v>0</v>
      </c>
      <c r="BP788" s="735">
        <f>$AE$272+IF(AND($C$310&lt;&gt;0,$C$314=BP763),$C$310,0)+IF(AND($C$320&lt;&gt;0,$C$324=BP763),$C$320,0)+IF(AND($C$330&lt;&gt;0,$C$334=BP763),$C$330,0)</f>
        <v>0</v>
      </c>
      <c r="BQ788" s="735">
        <f>$AF$272+IF(AND($C$310&lt;&gt;0,$C$314=BQ763),$C$310,0)+IF(AND($C$320&lt;&gt;0,$C$324=BQ763),$C$320,0)+IF(AND($C$330&lt;&gt;0,$C$334=BQ763),$C$330,0)</f>
        <v>0</v>
      </c>
      <c r="BR788" s="735">
        <f>$AG$272+IF(AND($C$310&lt;&gt;0,$C$314=BR763),$C$310,0)+IF(AND($C$320&lt;&gt;0,$C$324=BR763),$C$320,0)+IF(AND($C$330&lt;&gt;0,$C$334=BR763),$C$330,0)</f>
        <v>0</v>
      </c>
      <c r="BS788" s="735">
        <f>$AH$272+IF(AND($C$310&lt;&gt;0,$C$314=BS763),$C$310,0)+IF(AND($C$320&lt;&gt;0,$C$324=BS763),$C$320,0)+IF(AND($C$330&lt;&gt;0,$C$334=BS763),$C$330,0)</f>
        <v>0</v>
      </c>
      <c r="BT788" s="735">
        <f>$AI$272+IF(AND($C$310&lt;&gt;0,$C$314=BT763),$C$310,0)+IF(AND($C$320&lt;&gt;0,$C$324=BT763),$C$320,0)+IF(AND($C$330&lt;&gt;0,$C$334=BT763),$C$330,0)</f>
        <v>0</v>
      </c>
      <c r="BU788" s="1970"/>
    </row>
    <row r="789" spans="37:73" s="721" customFormat="1">
      <c r="AK789" s="1964"/>
      <c r="AL789" s="2251" t="s">
        <v>1179</v>
      </c>
      <c r="AM789" s="733" t="s">
        <v>1180</v>
      </c>
      <c r="AN789" s="990"/>
      <c r="AO789" s="536"/>
      <c r="AP789" s="734">
        <f>IF(((AP635-AN635)+(AP622-AN622))&gt;=0,(AP635-AN635)+(AP622-AN622),0)</f>
        <v>0</v>
      </c>
      <c r="AQ789" s="536"/>
      <c r="AR789" s="536"/>
      <c r="AS789" s="734">
        <f>IF(((AS635-AP635)+(AS622-AP622))&gt;=0,(AS635-AP635)+(AS622-AP622),0)</f>
        <v>0</v>
      </c>
      <c r="AT789" s="2216"/>
      <c r="AU789" s="2216"/>
      <c r="AV789" s="734">
        <f>IF(((AV635-AS635)+(AV622-AS622))&gt;=0,(AV635-AS635)+(AV622-AS622),0)</f>
        <v>0</v>
      </c>
      <c r="AW789" s="536"/>
      <c r="AX789" s="803"/>
      <c r="AY789" s="734">
        <f>IF(((AY635-AS635)+(AY622-AS622))&gt;=0,(AY635-AS635)+(AY622-AS622),0)</f>
        <v>0</v>
      </c>
      <c r="AZ789" s="536"/>
      <c r="BA789" s="803"/>
      <c r="BB789" s="734">
        <f>IF(((BB635-AY635)+(BB622-AY622))&gt;=0,(BB635-AY635)+(BB622-AY622),0)</f>
        <v>0</v>
      </c>
      <c r="BC789" s="536"/>
      <c r="BD789" s="803"/>
      <c r="BE789" s="735">
        <f t="shared" ref="BE789:BT789" si="732">IF(AND($C$350&lt;&gt;0,$C$354=BE763),$C$350,0)+IF(AND($C$360&lt;&gt;0,$C$364=BE763),$C$360,0)+IF(AND($C$370&lt;&gt;0,$C$374=BE763),$C$370,0)</f>
        <v>0</v>
      </c>
      <c r="BF789" s="735">
        <f t="shared" si="732"/>
        <v>0</v>
      </c>
      <c r="BG789" s="735">
        <f t="shared" si="732"/>
        <v>0</v>
      </c>
      <c r="BH789" s="735">
        <f t="shared" si="732"/>
        <v>0</v>
      </c>
      <c r="BI789" s="735">
        <f t="shared" si="732"/>
        <v>0</v>
      </c>
      <c r="BJ789" s="735">
        <f t="shared" si="732"/>
        <v>0</v>
      </c>
      <c r="BK789" s="735">
        <f t="shared" si="732"/>
        <v>0</v>
      </c>
      <c r="BL789" s="735">
        <f t="shared" si="732"/>
        <v>0</v>
      </c>
      <c r="BM789" s="735">
        <f t="shared" si="732"/>
        <v>0</v>
      </c>
      <c r="BN789" s="735">
        <f t="shared" si="732"/>
        <v>0</v>
      </c>
      <c r="BO789" s="735">
        <f t="shared" si="732"/>
        <v>0</v>
      </c>
      <c r="BP789" s="735">
        <f t="shared" si="732"/>
        <v>0</v>
      </c>
      <c r="BQ789" s="735">
        <f t="shared" si="732"/>
        <v>0</v>
      </c>
      <c r="BR789" s="735">
        <f t="shared" si="732"/>
        <v>0</v>
      </c>
      <c r="BS789" s="735">
        <f t="shared" si="732"/>
        <v>0</v>
      </c>
      <c r="BT789" s="735">
        <f t="shared" si="732"/>
        <v>0</v>
      </c>
      <c r="BU789" s="1970"/>
    </row>
    <row r="790" spans="37:73" s="742" customFormat="1">
      <c r="AK790" s="2250"/>
      <c r="AL790" s="2251" t="s">
        <v>1070</v>
      </c>
      <c r="AM790" s="773" t="str">
        <f>"+ / - "&amp;AM626</f>
        <v>+ / - PASIVOS DIFERIDOS C.P.</v>
      </c>
      <c r="AN790" s="995"/>
      <c r="AP790" s="738">
        <f>AP626-AN626</f>
        <v>0</v>
      </c>
      <c r="AS790" s="738">
        <f>AS626-AP626</f>
        <v>0</v>
      </c>
      <c r="AT790" s="2252"/>
      <c r="AU790" s="2252"/>
      <c r="AV790" s="738">
        <f>AV626-AS626</f>
        <v>0</v>
      </c>
      <c r="AX790" s="2255"/>
      <c r="AY790" s="738">
        <f>AY626-AS626</f>
        <v>0</v>
      </c>
      <c r="BA790" s="2255"/>
      <c r="BB790" s="738">
        <f>IF(OR($C$3=$L$913,$C$3=0),BB626-AY626,BB626-AV626)</f>
        <v>0</v>
      </c>
      <c r="BD790" s="2255"/>
      <c r="BE790" s="741">
        <f>BE626-AY626</f>
        <v>0</v>
      </c>
      <c r="BF790" s="741">
        <f t="shared" ref="BF790:BT790" si="733">BF626-BE626</f>
        <v>0</v>
      </c>
      <c r="BG790" s="741">
        <f t="shared" si="733"/>
        <v>0</v>
      </c>
      <c r="BH790" s="741">
        <f t="shared" si="733"/>
        <v>0</v>
      </c>
      <c r="BI790" s="741">
        <f t="shared" si="733"/>
        <v>0</v>
      </c>
      <c r="BJ790" s="741">
        <f t="shared" si="733"/>
        <v>0</v>
      </c>
      <c r="BK790" s="741">
        <f t="shared" si="733"/>
        <v>0</v>
      </c>
      <c r="BL790" s="741">
        <f t="shared" si="733"/>
        <v>0</v>
      </c>
      <c r="BM790" s="741">
        <f t="shared" si="733"/>
        <v>0</v>
      </c>
      <c r="BN790" s="741">
        <f t="shared" si="733"/>
        <v>0</v>
      </c>
      <c r="BO790" s="741">
        <f t="shared" si="733"/>
        <v>0</v>
      </c>
      <c r="BP790" s="741">
        <f t="shared" si="733"/>
        <v>0</v>
      </c>
      <c r="BQ790" s="741">
        <f t="shared" si="733"/>
        <v>0</v>
      </c>
      <c r="BR790" s="741">
        <f t="shared" si="733"/>
        <v>0</v>
      </c>
      <c r="BS790" s="741">
        <f t="shared" si="733"/>
        <v>0</v>
      </c>
      <c r="BT790" s="741">
        <f t="shared" si="733"/>
        <v>0</v>
      </c>
      <c r="BU790" s="2254"/>
    </row>
    <row r="791" spans="37:73" s="742" customFormat="1">
      <c r="AK791" s="2250"/>
      <c r="AL791" s="2251" t="s">
        <v>1072</v>
      </c>
      <c r="AM791" s="773" t="str">
        <f>"+ / - "&amp;AM628</f>
        <v>+ / - DEUDAS CON SOCIOS  C.P.</v>
      </c>
      <c r="AN791" s="995"/>
      <c r="AP791" s="738">
        <f>AP628-AN628</f>
        <v>0</v>
      </c>
      <c r="AS791" s="738">
        <f>AS628-AP628</f>
        <v>0</v>
      </c>
      <c r="AT791" s="2252"/>
      <c r="AU791" s="2252"/>
      <c r="AV791" s="738">
        <f>AV628-AS628</f>
        <v>0</v>
      </c>
      <c r="AX791" s="2255"/>
      <c r="AY791" s="738">
        <f>AY628-AS628</f>
        <v>0</v>
      </c>
      <c r="BA791" s="2255"/>
      <c r="BB791" s="738">
        <f>IF(OR($C$3=$L$913,$C$3=0),BB628-AY628,BB628-AV628)</f>
        <v>0</v>
      </c>
      <c r="BD791" s="2255"/>
      <c r="BE791" s="741">
        <f>BE628-AY628</f>
        <v>0</v>
      </c>
      <c r="BF791" s="741">
        <f t="shared" ref="BF791:BT791" si="734">BF628-BE628</f>
        <v>0</v>
      </c>
      <c r="BG791" s="741">
        <f t="shared" si="734"/>
        <v>0</v>
      </c>
      <c r="BH791" s="741">
        <f t="shared" si="734"/>
        <v>0</v>
      </c>
      <c r="BI791" s="741">
        <f t="shared" si="734"/>
        <v>0</v>
      </c>
      <c r="BJ791" s="741">
        <f t="shared" si="734"/>
        <v>0</v>
      </c>
      <c r="BK791" s="741">
        <f t="shared" si="734"/>
        <v>0</v>
      </c>
      <c r="BL791" s="741">
        <f t="shared" si="734"/>
        <v>0</v>
      </c>
      <c r="BM791" s="741">
        <f t="shared" si="734"/>
        <v>0</v>
      </c>
      <c r="BN791" s="741">
        <f t="shared" si="734"/>
        <v>0</v>
      </c>
      <c r="BO791" s="741">
        <f t="shared" si="734"/>
        <v>0</v>
      </c>
      <c r="BP791" s="741">
        <f t="shared" si="734"/>
        <v>0</v>
      </c>
      <c r="BQ791" s="741">
        <f t="shared" si="734"/>
        <v>0</v>
      </c>
      <c r="BR791" s="741">
        <f t="shared" si="734"/>
        <v>0</v>
      </c>
      <c r="BS791" s="741">
        <f t="shared" si="734"/>
        <v>0</v>
      </c>
      <c r="BT791" s="741">
        <f t="shared" si="734"/>
        <v>0</v>
      </c>
      <c r="BU791" s="2254"/>
    </row>
    <row r="792" spans="37:73" s="742" customFormat="1">
      <c r="AK792" s="2250"/>
      <c r="AL792" s="2251" t="s">
        <v>1074</v>
      </c>
      <c r="AM792" s="773" t="str">
        <f>"+ / - "&amp;AM629</f>
        <v>+ / - PASIVOS ESTIMADOS Y PROVISIONES</v>
      </c>
      <c r="AN792" s="995"/>
      <c r="AP792" s="738">
        <f>AP629-AN629</f>
        <v>0</v>
      </c>
      <c r="AS792" s="738">
        <f>AS629-AP629</f>
        <v>0</v>
      </c>
      <c r="AT792" s="2252"/>
      <c r="AU792" s="2252"/>
      <c r="AV792" s="738">
        <f>AV629-AS629</f>
        <v>0</v>
      </c>
      <c r="AX792" s="2255"/>
      <c r="AY792" s="738">
        <f>AY629-AS629</f>
        <v>0</v>
      </c>
      <c r="BA792" s="2255"/>
      <c r="BB792" s="738">
        <f>IF(OR($C$3=$L$913,$C$3=0),BB629-AY629,BB629-AV629)</f>
        <v>0</v>
      </c>
      <c r="BD792" s="2255"/>
      <c r="BE792" s="741">
        <f>BE629-AY629</f>
        <v>0</v>
      </c>
      <c r="BF792" s="741">
        <f t="shared" ref="BF792:BT792" si="735">BF629-BE629</f>
        <v>0</v>
      </c>
      <c r="BG792" s="741">
        <f t="shared" si="735"/>
        <v>0</v>
      </c>
      <c r="BH792" s="741">
        <f t="shared" si="735"/>
        <v>0</v>
      </c>
      <c r="BI792" s="741">
        <f t="shared" si="735"/>
        <v>0</v>
      </c>
      <c r="BJ792" s="741">
        <f t="shared" si="735"/>
        <v>0</v>
      </c>
      <c r="BK792" s="741">
        <f t="shared" si="735"/>
        <v>0</v>
      </c>
      <c r="BL792" s="741">
        <f t="shared" si="735"/>
        <v>0</v>
      </c>
      <c r="BM792" s="741">
        <f t="shared" si="735"/>
        <v>0</v>
      </c>
      <c r="BN792" s="741">
        <f t="shared" si="735"/>
        <v>0</v>
      </c>
      <c r="BO792" s="741">
        <f t="shared" si="735"/>
        <v>0</v>
      </c>
      <c r="BP792" s="741">
        <f t="shared" si="735"/>
        <v>0</v>
      </c>
      <c r="BQ792" s="741">
        <f t="shared" si="735"/>
        <v>0</v>
      </c>
      <c r="BR792" s="741">
        <f t="shared" si="735"/>
        <v>0</v>
      </c>
      <c r="BS792" s="741">
        <f t="shared" si="735"/>
        <v>0</v>
      </c>
      <c r="BT792" s="741">
        <f t="shared" si="735"/>
        <v>0</v>
      </c>
      <c r="BU792" s="2254"/>
    </row>
    <row r="793" spans="37:73" s="742" customFormat="1">
      <c r="AK793" s="2250"/>
      <c r="AL793" s="2251" t="s">
        <v>1181</v>
      </c>
      <c r="AM793" s="773" t="str">
        <f>"+ / - "&amp;AM630</f>
        <v>+ / - OTROS CORRIENTES</v>
      </c>
      <c r="AN793" s="995"/>
      <c r="AP793" s="738">
        <f>AP630-AN630</f>
        <v>0</v>
      </c>
      <c r="AS793" s="738">
        <f>AS630-AP630</f>
        <v>0</v>
      </c>
      <c r="AT793" s="2252"/>
      <c r="AU793" s="2252"/>
      <c r="AV793" s="738">
        <f>AV630-AS630</f>
        <v>0</v>
      </c>
      <c r="AX793" s="2255"/>
      <c r="AY793" s="738">
        <f>AY630-AS630</f>
        <v>0</v>
      </c>
      <c r="BA793" s="2255"/>
      <c r="BB793" s="738">
        <f>IF(OR($C$3=$L$913,$C$3=0),BB630-AY630,BB630-AV630)</f>
        <v>0</v>
      </c>
      <c r="BD793" s="2255"/>
      <c r="BE793" s="741">
        <f>BE630-AY630</f>
        <v>0</v>
      </c>
      <c r="BF793" s="741">
        <f t="shared" ref="BF793:BT793" si="736">BF630-BE630</f>
        <v>0</v>
      </c>
      <c r="BG793" s="741">
        <f t="shared" si="736"/>
        <v>0</v>
      </c>
      <c r="BH793" s="741">
        <f t="shared" si="736"/>
        <v>0</v>
      </c>
      <c r="BI793" s="741">
        <f t="shared" si="736"/>
        <v>0</v>
      </c>
      <c r="BJ793" s="741">
        <f t="shared" si="736"/>
        <v>0</v>
      </c>
      <c r="BK793" s="741">
        <f t="shared" si="736"/>
        <v>0</v>
      </c>
      <c r="BL793" s="741">
        <f t="shared" si="736"/>
        <v>0</v>
      </c>
      <c r="BM793" s="741">
        <f t="shared" si="736"/>
        <v>0</v>
      </c>
      <c r="BN793" s="741">
        <f t="shared" si="736"/>
        <v>0</v>
      </c>
      <c r="BO793" s="741">
        <f t="shared" si="736"/>
        <v>0</v>
      </c>
      <c r="BP793" s="741">
        <f t="shared" si="736"/>
        <v>0</v>
      </c>
      <c r="BQ793" s="741">
        <f t="shared" si="736"/>
        <v>0</v>
      </c>
      <c r="BR793" s="741">
        <f t="shared" si="736"/>
        <v>0</v>
      </c>
      <c r="BS793" s="741">
        <f t="shared" si="736"/>
        <v>0</v>
      </c>
      <c r="BT793" s="741">
        <f t="shared" si="736"/>
        <v>0</v>
      </c>
      <c r="BU793" s="2254"/>
    </row>
    <row r="794" spans="37:73" s="742" customFormat="1">
      <c r="AK794" s="2229"/>
      <c r="AL794" s="2249">
        <v>13</v>
      </c>
      <c r="AM794" s="775" t="s">
        <v>1182</v>
      </c>
      <c r="AN794" s="995"/>
      <c r="AO794" s="721"/>
      <c r="AP794" s="776">
        <f>SUM(AP790:AP793)</f>
        <v>0</v>
      </c>
      <c r="AQ794" s="721"/>
      <c r="AR794" s="721"/>
      <c r="AS794" s="776">
        <f>SUM(AS790:AS793)</f>
        <v>0</v>
      </c>
      <c r="AT794" s="2234"/>
      <c r="AU794" s="2234"/>
      <c r="AV794" s="776">
        <f>SUM(AV790:AV793)</f>
        <v>0</v>
      </c>
      <c r="AW794" s="721"/>
      <c r="AX794" s="2235"/>
      <c r="AY794" s="776">
        <f>SUM(AY790:AY793)</f>
        <v>0</v>
      </c>
      <c r="AZ794" s="721"/>
      <c r="BA794" s="2235"/>
      <c r="BB794" s="776">
        <f>SUM(BB790:BB793)</f>
        <v>0</v>
      </c>
      <c r="BC794" s="721"/>
      <c r="BD794" s="2235"/>
      <c r="BE794" s="774">
        <f t="shared" ref="BE794:BT794" si="737">SUM(BE790:BE793)</f>
        <v>0</v>
      </c>
      <c r="BF794" s="774">
        <f t="shared" si="737"/>
        <v>0</v>
      </c>
      <c r="BG794" s="774">
        <f t="shared" si="737"/>
        <v>0</v>
      </c>
      <c r="BH794" s="774">
        <f t="shared" si="737"/>
        <v>0</v>
      </c>
      <c r="BI794" s="774">
        <f t="shared" si="737"/>
        <v>0</v>
      </c>
      <c r="BJ794" s="774">
        <f t="shared" si="737"/>
        <v>0</v>
      </c>
      <c r="BK794" s="774">
        <f t="shared" si="737"/>
        <v>0</v>
      </c>
      <c r="BL794" s="774">
        <f t="shared" si="737"/>
        <v>0</v>
      </c>
      <c r="BM794" s="774">
        <f t="shared" si="737"/>
        <v>0</v>
      </c>
      <c r="BN794" s="774">
        <f t="shared" si="737"/>
        <v>0</v>
      </c>
      <c r="BO794" s="774">
        <f t="shared" si="737"/>
        <v>0</v>
      </c>
      <c r="BP794" s="774">
        <f t="shared" si="737"/>
        <v>0</v>
      </c>
      <c r="BQ794" s="774">
        <f t="shared" si="737"/>
        <v>0</v>
      </c>
      <c r="BR794" s="774">
        <f t="shared" si="737"/>
        <v>0</v>
      </c>
      <c r="BS794" s="774">
        <f t="shared" si="737"/>
        <v>0</v>
      </c>
      <c r="BT794" s="774">
        <f t="shared" si="737"/>
        <v>0</v>
      </c>
      <c r="BU794" s="2237"/>
    </row>
    <row r="795" spans="37:73" s="742" customFormat="1">
      <c r="AK795" s="2250"/>
      <c r="AL795" s="2251" t="s">
        <v>1183</v>
      </c>
      <c r="AM795" s="773" t="str">
        <f>"+ / - "&amp;AM636</f>
        <v>+ / - PRESTACIONES SOCIALES L.P.</v>
      </c>
      <c r="AN795" s="991"/>
      <c r="AP795" s="1013">
        <f>AP636-AN636</f>
        <v>0</v>
      </c>
      <c r="AS795" s="738">
        <f>AS636-AP636</f>
        <v>0</v>
      </c>
      <c r="AT795" s="2252"/>
      <c r="AU795" s="2252"/>
      <c r="AV795" s="738">
        <f>AV636-AS636</f>
        <v>0</v>
      </c>
      <c r="AX795" s="2255"/>
      <c r="AY795" s="738">
        <f>AY636-AS636</f>
        <v>0</v>
      </c>
      <c r="BA795" s="2255"/>
      <c r="BB795" s="738">
        <f>IF(OR($C$3=$L$913,$C$3=0),BB636-AY636,BB636-AV636)</f>
        <v>0</v>
      </c>
      <c r="BD795" s="2255"/>
      <c r="BE795" s="741">
        <f>BE636-AY636</f>
        <v>0</v>
      </c>
      <c r="BF795" s="741">
        <f t="shared" ref="BF795:BT795" si="738">BF636-BE636</f>
        <v>0</v>
      </c>
      <c r="BG795" s="741">
        <f t="shared" si="738"/>
        <v>0</v>
      </c>
      <c r="BH795" s="741">
        <f t="shared" si="738"/>
        <v>0</v>
      </c>
      <c r="BI795" s="741">
        <f t="shared" si="738"/>
        <v>0</v>
      </c>
      <c r="BJ795" s="741">
        <f t="shared" si="738"/>
        <v>0</v>
      </c>
      <c r="BK795" s="741">
        <f t="shared" si="738"/>
        <v>0</v>
      </c>
      <c r="BL795" s="741">
        <f t="shared" si="738"/>
        <v>0</v>
      </c>
      <c r="BM795" s="741">
        <f t="shared" si="738"/>
        <v>0</v>
      </c>
      <c r="BN795" s="741">
        <f t="shared" si="738"/>
        <v>0</v>
      </c>
      <c r="BO795" s="741">
        <f t="shared" si="738"/>
        <v>0</v>
      </c>
      <c r="BP795" s="741">
        <f t="shared" si="738"/>
        <v>0</v>
      </c>
      <c r="BQ795" s="741">
        <f t="shared" si="738"/>
        <v>0</v>
      </c>
      <c r="BR795" s="741">
        <f t="shared" si="738"/>
        <v>0</v>
      </c>
      <c r="BS795" s="741">
        <f t="shared" si="738"/>
        <v>0</v>
      </c>
      <c r="BT795" s="741">
        <f t="shared" si="738"/>
        <v>0</v>
      </c>
      <c r="BU795" s="2254"/>
    </row>
    <row r="796" spans="37:73" s="721" customFormat="1">
      <c r="AK796" s="2250"/>
      <c r="AL796" s="2251" t="s">
        <v>1184</v>
      </c>
      <c r="AM796" s="773" t="str">
        <f>"+ / - "&amp;AM637</f>
        <v>+ / - PENSIONES DE JUBILACIÓN</v>
      </c>
      <c r="AN796" s="991"/>
      <c r="AO796" s="742"/>
      <c r="AP796" s="1013">
        <f>AP637-AN637</f>
        <v>0</v>
      </c>
      <c r="AQ796" s="742"/>
      <c r="AR796" s="742"/>
      <c r="AS796" s="738">
        <f>AS637-AP637</f>
        <v>0</v>
      </c>
      <c r="AT796" s="2252"/>
      <c r="AU796" s="2252"/>
      <c r="AV796" s="738">
        <f>AV637-AS637</f>
        <v>0</v>
      </c>
      <c r="AW796" s="742"/>
      <c r="AX796" s="2255"/>
      <c r="AY796" s="738">
        <f>AY637-AS637</f>
        <v>0</v>
      </c>
      <c r="AZ796" s="742"/>
      <c r="BA796" s="2255"/>
      <c r="BB796" s="738">
        <f>IF(OR($C$3=$L$913,$C$3=0),BB637-AY637,BB637-AV637)</f>
        <v>0</v>
      </c>
      <c r="BC796" s="742"/>
      <c r="BD796" s="2255"/>
      <c r="BE796" s="741">
        <f>BE637-AY637</f>
        <v>0</v>
      </c>
      <c r="BF796" s="741">
        <f t="shared" ref="BF796:BT796" si="739">BF637-BE637</f>
        <v>0</v>
      </c>
      <c r="BG796" s="741">
        <f t="shared" si="739"/>
        <v>0</v>
      </c>
      <c r="BH796" s="741">
        <f t="shared" si="739"/>
        <v>0</v>
      </c>
      <c r="BI796" s="741">
        <f t="shared" si="739"/>
        <v>0</v>
      </c>
      <c r="BJ796" s="741">
        <f t="shared" si="739"/>
        <v>0</v>
      </c>
      <c r="BK796" s="741">
        <f t="shared" si="739"/>
        <v>0</v>
      </c>
      <c r="BL796" s="741">
        <f t="shared" si="739"/>
        <v>0</v>
      </c>
      <c r="BM796" s="741">
        <f t="shared" si="739"/>
        <v>0</v>
      </c>
      <c r="BN796" s="741">
        <f t="shared" si="739"/>
        <v>0</v>
      </c>
      <c r="BO796" s="741">
        <f t="shared" si="739"/>
        <v>0</v>
      </c>
      <c r="BP796" s="741">
        <f t="shared" si="739"/>
        <v>0</v>
      </c>
      <c r="BQ796" s="741">
        <f t="shared" si="739"/>
        <v>0</v>
      </c>
      <c r="BR796" s="741">
        <f t="shared" si="739"/>
        <v>0</v>
      </c>
      <c r="BS796" s="741">
        <f t="shared" si="739"/>
        <v>0</v>
      </c>
      <c r="BT796" s="741">
        <f t="shared" si="739"/>
        <v>0</v>
      </c>
      <c r="BU796" s="2254"/>
    </row>
    <row r="797" spans="37:73" s="536" customFormat="1">
      <c r="AK797" s="2250"/>
      <c r="AL797" s="2251" t="s">
        <v>1185</v>
      </c>
      <c r="AM797" s="773" t="str">
        <f>"+ / - "&amp;AM639</f>
        <v>+ / - DEUDAS CON SOCIOS L.P.</v>
      </c>
      <c r="AN797" s="991"/>
      <c r="AO797" s="742"/>
      <c r="AP797" s="1013">
        <f>AP639-AN639</f>
        <v>0</v>
      </c>
      <c r="AQ797" s="742"/>
      <c r="AR797" s="742"/>
      <c r="AS797" s="738">
        <f>AS639-AP639</f>
        <v>0</v>
      </c>
      <c r="AT797" s="2252"/>
      <c r="AU797" s="2252"/>
      <c r="AV797" s="738">
        <f>AV639-AS639</f>
        <v>0</v>
      </c>
      <c r="AW797" s="742"/>
      <c r="AX797" s="2255"/>
      <c r="AY797" s="738">
        <f>AY639-AS639</f>
        <v>0</v>
      </c>
      <c r="AZ797" s="742"/>
      <c r="BA797" s="2255"/>
      <c r="BB797" s="738">
        <f>IF(OR($C$3=$L$913,$C$3=0),BB639-AY639,BB639-AV639)</f>
        <v>0</v>
      </c>
      <c r="BC797" s="742"/>
      <c r="BD797" s="2255"/>
      <c r="BE797" s="741">
        <f>BE639-AY639</f>
        <v>0</v>
      </c>
      <c r="BF797" s="741">
        <f t="shared" ref="BF797:BT797" si="740">BF639-BE639</f>
        <v>0</v>
      </c>
      <c r="BG797" s="741">
        <f t="shared" si="740"/>
        <v>0</v>
      </c>
      <c r="BH797" s="741">
        <f t="shared" si="740"/>
        <v>0</v>
      </c>
      <c r="BI797" s="741">
        <f t="shared" si="740"/>
        <v>0</v>
      </c>
      <c r="BJ797" s="741">
        <f t="shared" si="740"/>
        <v>0</v>
      </c>
      <c r="BK797" s="741">
        <f t="shared" si="740"/>
        <v>0</v>
      </c>
      <c r="BL797" s="741">
        <f t="shared" si="740"/>
        <v>0</v>
      </c>
      <c r="BM797" s="741">
        <f t="shared" si="740"/>
        <v>0</v>
      </c>
      <c r="BN797" s="741">
        <f t="shared" si="740"/>
        <v>0</v>
      </c>
      <c r="BO797" s="741">
        <f t="shared" si="740"/>
        <v>0</v>
      </c>
      <c r="BP797" s="741">
        <f t="shared" si="740"/>
        <v>0</v>
      </c>
      <c r="BQ797" s="741">
        <f t="shared" si="740"/>
        <v>0</v>
      </c>
      <c r="BR797" s="741">
        <f t="shared" si="740"/>
        <v>0</v>
      </c>
      <c r="BS797" s="741">
        <f t="shared" si="740"/>
        <v>0</v>
      </c>
      <c r="BT797" s="741">
        <f t="shared" si="740"/>
        <v>0</v>
      </c>
      <c r="BU797" s="2254"/>
    </row>
    <row r="798" spans="37:73" s="726" customFormat="1">
      <c r="AK798" s="2250"/>
      <c r="AL798" s="2251" t="s">
        <v>1186</v>
      </c>
      <c r="AM798" s="773" t="str">
        <f>"+ / - "&amp;AM640</f>
        <v>+ / - IMPUESTOS DE L.P. (DIFERIDOS)</v>
      </c>
      <c r="AN798" s="991"/>
      <c r="AO798" s="742"/>
      <c r="AP798" s="1013">
        <f>AP640-AN640</f>
        <v>0</v>
      </c>
      <c r="AQ798" s="742"/>
      <c r="AR798" s="742"/>
      <c r="AS798" s="738">
        <f>AS640-AP640</f>
        <v>0</v>
      </c>
      <c r="AT798" s="2252"/>
      <c r="AU798" s="2252"/>
      <c r="AV798" s="738">
        <f>AV640-AS640</f>
        <v>0</v>
      </c>
      <c r="AW798" s="742"/>
      <c r="AX798" s="2255"/>
      <c r="AY798" s="738">
        <f>AY640-AS640</f>
        <v>0</v>
      </c>
      <c r="AZ798" s="742"/>
      <c r="BA798" s="2255"/>
      <c r="BB798" s="738">
        <f>IF(OR($C$3=$L$913,$C$3=0),BB640-AY640,BB640-AV640)</f>
        <v>0</v>
      </c>
      <c r="BC798" s="742"/>
      <c r="BD798" s="2255"/>
      <c r="BE798" s="741">
        <f>BE640-AY640</f>
        <v>0</v>
      </c>
      <c r="BF798" s="741">
        <f t="shared" ref="BF798:BT798" si="741">BF640-BE640</f>
        <v>0</v>
      </c>
      <c r="BG798" s="741">
        <f t="shared" si="741"/>
        <v>0</v>
      </c>
      <c r="BH798" s="741">
        <f t="shared" si="741"/>
        <v>0</v>
      </c>
      <c r="BI798" s="741">
        <f t="shared" si="741"/>
        <v>0</v>
      </c>
      <c r="BJ798" s="741">
        <f t="shared" si="741"/>
        <v>0</v>
      </c>
      <c r="BK798" s="741">
        <f t="shared" si="741"/>
        <v>0</v>
      </c>
      <c r="BL798" s="741">
        <f t="shared" si="741"/>
        <v>0</v>
      </c>
      <c r="BM798" s="741">
        <f t="shared" si="741"/>
        <v>0</v>
      </c>
      <c r="BN798" s="741">
        <f t="shared" si="741"/>
        <v>0</v>
      </c>
      <c r="BO798" s="741">
        <f t="shared" si="741"/>
        <v>0</v>
      </c>
      <c r="BP798" s="741">
        <f t="shared" si="741"/>
        <v>0</v>
      </c>
      <c r="BQ798" s="741">
        <f t="shared" si="741"/>
        <v>0</v>
      </c>
      <c r="BR798" s="741">
        <f t="shared" si="741"/>
        <v>0</v>
      </c>
      <c r="BS798" s="741">
        <f t="shared" si="741"/>
        <v>0</v>
      </c>
      <c r="BT798" s="741">
        <f t="shared" si="741"/>
        <v>0</v>
      </c>
      <c r="BU798" s="2254"/>
    </row>
    <row r="799" spans="37:73" s="742" customFormat="1">
      <c r="AK799" s="2250"/>
      <c r="AL799" s="2251" t="s">
        <v>1187</v>
      </c>
      <c r="AM799" s="777" t="str">
        <f>"+ / - "&amp;AM641</f>
        <v>+ / - PASIVOS ESTIMADOS Y PROVISIONES (DIFERIDOS)</v>
      </c>
      <c r="AN799" s="1014"/>
      <c r="AP799" s="738">
        <f>AP641-AN641</f>
        <v>0</v>
      </c>
      <c r="AS799" s="738">
        <f>AS641-AP641</f>
        <v>0</v>
      </c>
      <c r="AT799" s="2252"/>
      <c r="AU799" s="2252"/>
      <c r="AV799" s="738">
        <f>AV641-AS641</f>
        <v>0</v>
      </c>
      <c r="AX799" s="2255"/>
      <c r="AY799" s="738">
        <f>AY641-AS641</f>
        <v>0</v>
      </c>
      <c r="BA799" s="2255"/>
      <c r="BB799" s="738">
        <f>IF(OR($C$3=$L$913,$C$3=0),BB641-AY641,BB641-AV641)</f>
        <v>0</v>
      </c>
      <c r="BD799" s="2255"/>
      <c r="BE799" s="741">
        <f>BE641-AY641</f>
        <v>0</v>
      </c>
      <c r="BF799" s="741">
        <f t="shared" ref="BF799:BT799" si="742">BF641-BE641</f>
        <v>0</v>
      </c>
      <c r="BG799" s="741">
        <f t="shared" si="742"/>
        <v>0</v>
      </c>
      <c r="BH799" s="741">
        <f t="shared" si="742"/>
        <v>0</v>
      </c>
      <c r="BI799" s="741">
        <f t="shared" si="742"/>
        <v>0</v>
      </c>
      <c r="BJ799" s="741">
        <f t="shared" si="742"/>
        <v>0</v>
      </c>
      <c r="BK799" s="741">
        <f t="shared" si="742"/>
        <v>0</v>
      </c>
      <c r="BL799" s="741">
        <f t="shared" si="742"/>
        <v>0</v>
      </c>
      <c r="BM799" s="741">
        <f t="shared" si="742"/>
        <v>0</v>
      </c>
      <c r="BN799" s="741">
        <f t="shared" si="742"/>
        <v>0</v>
      </c>
      <c r="BO799" s="741">
        <f t="shared" si="742"/>
        <v>0</v>
      </c>
      <c r="BP799" s="741">
        <f t="shared" si="742"/>
        <v>0</v>
      </c>
      <c r="BQ799" s="741">
        <f t="shared" si="742"/>
        <v>0</v>
      </c>
      <c r="BR799" s="741">
        <f t="shared" si="742"/>
        <v>0</v>
      </c>
      <c r="BS799" s="741">
        <f t="shared" si="742"/>
        <v>0</v>
      </c>
      <c r="BT799" s="741">
        <f t="shared" si="742"/>
        <v>0</v>
      </c>
      <c r="BU799" s="2254"/>
    </row>
    <row r="800" spans="37:73" s="742" customFormat="1">
      <c r="AK800" s="2250"/>
      <c r="AL800" s="2251" t="s">
        <v>1188</v>
      </c>
      <c r="AM800" s="773" t="str">
        <f>"+ / - "&amp;AM642</f>
        <v xml:space="preserve">+ / - OTROS PASIVOS DE LARGO PLAZO </v>
      </c>
      <c r="AN800" s="991"/>
      <c r="AP800" s="1013">
        <f>AP642-AN642</f>
        <v>0</v>
      </c>
      <c r="AS800" s="738">
        <f>AS642-AP642</f>
        <v>0</v>
      </c>
      <c r="AT800" s="2252"/>
      <c r="AU800" s="2252"/>
      <c r="AV800" s="738">
        <f>AV642-AS642</f>
        <v>0</v>
      </c>
      <c r="AX800" s="2255"/>
      <c r="AY800" s="738">
        <f>AY642-AS642</f>
        <v>0</v>
      </c>
      <c r="BA800" s="2255"/>
      <c r="BB800" s="738">
        <f>IF(OR($C$3=$L$913,$C$3=0),BB642-AY642,BB642-AV642)</f>
        <v>0</v>
      </c>
      <c r="BD800" s="2255"/>
      <c r="BE800" s="741">
        <f>BE642-AY642</f>
        <v>0</v>
      </c>
      <c r="BF800" s="741">
        <f t="shared" ref="BF800:BT800" si="743">BF642-BE642</f>
        <v>0</v>
      </c>
      <c r="BG800" s="741">
        <f t="shared" si="743"/>
        <v>0</v>
      </c>
      <c r="BH800" s="741">
        <f t="shared" si="743"/>
        <v>0</v>
      </c>
      <c r="BI800" s="741">
        <f t="shared" si="743"/>
        <v>0</v>
      </c>
      <c r="BJ800" s="741">
        <f t="shared" si="743"/>
        <v>0</v>
      </c>
      <c r="BK800" s="741">
        <f t="shared" si="743"/>
        <v>0</v>
      </c>
      <c r="BL800" s="741">
        <f t="shared" si="743"/>
        <v>0</v>
      </c>
      <c r="BM800" s="741">
        <f t="shared" si="743"/>
        <v>0</v>
      </c>
      <c r="BN800" s="741">
        <f t="shared" si="743"/>
        <v>0</v>
      </c>
      <c r="BO800" s="741">
        <f t="shared" si="743"/>
        <v>0</v>
      </c>
      <c r="BP800" s="741">
        <f t="shared" si="743"/>
        <v>0</v>
      </c>
      <c r="BQ800" s="741">
        <f t="shared" si="743"/>
        <v>0</v>
      </c>
      <c r="BR800" s="741">
        <f t="shared" si="743"/>
        <v>0</v>
      </c>
      <c r="BS800" s="741">
        <f t="shared" si="743"/>
        <v>0</v>
      </c>
      <c r="BT800" s="741">
        <f t="shared" si="743"/>
        <v>0</v>
      </c>
      <c r="BU800" s="2254"/>
    </row>
    <row r="801" spans="37:73" s="742" customFormat="1">
      <c r="AK801" s="2229"/>
      <c r="AL801" s="2249">
        <v>14</v>
      </c>
      <c r="AM801" s="775" t="s">
        <v>1189</v>
      </c>
      <c r="AN801" s="995"/>
      <c r="AO801" s="721"/>
      <c r="AP801" s="1015">
        <f>SUM(AP795:AP800)</f>
        <v>0</v>
      </c>
      <c r="AQ801" s="721"/>
      <c r="AR801" s="721"/>
      <c r="AS801" s="776">
        <f>SUM(AS795:AS800)</f>
        <v>0</v>
      </c>
      <c r="AT801" s="2234"/>
      <c r="AU801" s="2234"/>
      <c r="AV801" s="776">
        <f>SUM(AV795:AV800)</f>
        <v>0</v>
      </c>
      <c r="AW801" s="721"/>
      <c r="AX801" s="2235"/>
      <c r="AY801" s="776">
        <f>SUM(AY795:AY800)</f>
        <v>0</v>
      </c>
      <c r="AZ801" s="721"/>
      <c r="BA801" s="2235"/>
      <c r="BB801" s="776">
        <f>SUM(BB795:BB800)</f>
        <v>0</v>
      </c>
      <c r="BC801" s="721"/>
      <c r="BD801" s="2235"/>
      <c r="BE801" s="774">
        <f t="shared" ref="BE801:BT801" si="744">SUM(BE795:BE800)</f>
        <v>0</v>
      </c>
      <c r="BF801" s="774">
        <f t="shared" si="744"/>
        <v>0</v>
      </c>
      <c r="BG801" s="774">
        <f t="shared" si="744"/>
        <v>0</v>
      </c>
      <c r="BH801" s="774">
        <f t="shared" si="744"/>
        <v>0</v>
      </c>
      <c r="BI801" s="774">
        <f t="shared" si="744"/>
        <v>0</v>
      </c>
      <c r="BJ801" s="774">
        <f t="shared" si="744"/>
        <v>0</v>
      </c>
      <c r="BK801" s="774">
        <f t="shared" si="744"/>
        <v>0</v>
      </c>
      <c r="BL801" s="774">
        <f t="shared" si="744"/>
        <v>0</v>
      </c>
      <c r="BM801" s="774">
        <f t="shared" si="744"/>
        <v>0</v>
      </c>
      <c r="BN801" s="774">
        <f t="shared" si="744"/>
        <v>0</v>
      </c>
      <c r="BO801" s="774">
        <f t="shared" si="744"/>
        <v>0</v>
      </c>
      <c r="BP801" s="774">
        <f t="shared" si="744"/>
        <v>0</v>
      </c>
      <c r="BQ801" s="774">
        <f t="shared" si="744"/>
        <v>0</v>
      </c>
      <c r="BR801" s="774">
        <f t="shared" si="744"/>
        <v>0</v>
      </c>
      <c r="BS801" s="774">
        <f t="shared" si="744"/>
        <v>0</v>
      </c>
      <c r="BT801" s="774">
        <f t="shared" si="744"/>
        <v>0</v>
      </c>
      <c r="BU801" s="2237"/>
    </row>
    <row r="802" spans="37:73" s="742" customFormat="1">
      <c r="AK802" s="1964"/>
      <c r="AL802" s="2249">
        <v>15</v>
      </c>
      <c r="AM802" s="733" t="s">
        <v>1190</v>
      </c>
      <c r="AN802" s="990"/>
      <c r="AO802" s="536"/>
      <c r="AP802" s="734">
        <f>E232</f>
        <v>0</v>
      </c>
      <c r="AQ802" s="536"/>
      <c r="AR802" s="536"/>
      <c r="AS802" s="734">
        <f>H232</f>
        <v>0</v>
      </c>
      <c r="AT802" s="2216"/>
      <c r="AU802" s="2216"/>
      <c r="AV802" s="734">
        <f>K232</f>
        <v>0</v>
      </c>
      <c r="AW802" s="536"/>
      <c r="AX802" s="803"/>
      <c r="AY802" s="734">
        <f>N232</f>
        <v>0</v>
      </c>
      <c r="AZ802" s="536"/>
      <c r="BA802" s="803"/>
      <c r="BB802" s="734">
        <f>Q232</f>
        <v>0</v>
      </c>
      <c r="BC802" s="536"/>
      <c r="BD802" s="803"/>
      <c r="BE802" s="735">
        <f t="shared" ref="BE802:BT802" si="745">T232</f>
        <v>0</v>
      </c>
      <c r="BF802" s="735">
        <f t="shared" si="745"/>
        <v>0</v>
      </c>
      <c r="BG802" s="735">
        <f t="shared" si="745"/>
        <v>0</v>
      </c>
      <c r="BH802" s="735">
        <f t="shared" si="745"/>
        <v>0</v>
      </c>
      <c r="BI802" s="735">
        <f t="shared" si="745"/>
        <v>0</v>
      </c>
      <c r="BJ802" s="735">
        <f t="shared" si="745"/>
        <v>0</v>
      </c>
      <c r="BK802" s="735">
        <f t="shared" si="745"/>
        <v>0</v>
      </c>
      <c r="BL802" s="735">
        <f t="shared" si="745"/>
        <v>0</v>
      </c>
      <c r="BM802" s="735">
        <f t="shared" si="745"/>
        <v>0</v>
      </c>
      <c r="BN802" s="735">
        <f t="shared" si="745"/>
        <v>0</v>
      </c>
      <c r="BO802" s="735">
        <f t="shared" si="745"/>
        <v>0</v>
      </c>
      <c r="BP802" s="735">
        <f t="shared" si="745"/>
        <v>0</v>
      </c>
      <c r="BQ802" s="735">
        <f t="shared" si="745"/>
        <v>0</v>
      </c>
      <c r="BR802" s="735">
        <f t="shared" si="745"/>
        <v>0</v>
      </c>
      <c r="BS802" s="735">
        <f t="shared" si="745"/>
        <v>0</v>
      </c>
      <c r="BT802" s="735">
        <f t="shared" si="745"/>
        <v>0</v>
      </c>
      <c r="BU802" s="1970"/>
    </row>
    <row r="803" spans="37:73" s="742" customFormat="1">
      <c r="AK803" s="2239"/>
      <c r="AL803" s="2251" t="s">
        <v>1191</v>
      </c>
      <c r="AM803" s="737" t="s">
        <v>1192</v>
      </c>
      <c r="AN803" s="991"/>
      <c r="AO803" s="726"/>
      <c r="AP803" s="741">
        <f>AP668-AP669</f>
        <v>0</v>
      </c>
      <c r="AQ803" s="726"/>
      <c r="AR803" s="726"/>
      <c r="AS803" s="741">
        <f>AS668-AS669</f>
        <v>0</v>
      </c>
      <c r="AT803" s="2241"/>
      <c r="AU803" s="2241"/>
      <c r="AV803" s="741">
        <f>AV668-AV669</f>
        <v>0</v>
      </c>
      <c r="AW803" s="726"/>
      <c r="AX803" s="2248"/>
      <c r="AY803" s="741">
        <f>AY668-AY669</f>
        <v>0</v>
      </c>
      <c r="AZ803" s="726"/>
      <c r="BA803" s="2248"/>
      <c r="BB803" s="741">
        <f>BB668-BB669</f>
        <v>0</v>
      </c>
      <c r="BC803" s="726"/>
      <c r="BD803" s="2248"/>
      <c r="BE803" s="741">
        <f t="shared" ref="BE803:BT803" si="746">BE668-BE669</f>
        <v>0</v>
      </c>
      <c r="BF803" s="741">
        <f t="shared" si="746"/>
        <v>0</v>
      </c>
      <c r="BG803" s="741">
        <f t="shared" si="746"/>
        <v>0</v>
      </c>
      <c r="BH803" s="741">
        <f t="shared" si="746"/>
        <v>0</v>
      </c>
      <c r="BI803" s="741">
        <f t="shared" si="746"/>
        <v>0</v>
      </c>
      <c r="BJ803" s="741">
        <f t="shared" si="746"/>
        <v>0</v>
      </c>
      <c r="BK803" s="741">
        <f t="shared" si="746"/>
        <v>0</v>
      </c>
      <c r="BL803" s="741">
        <f t="shared" si="746"/>
        <v>0</v>
      </c>
      <c r="BM803" s="741">
        <f t="shared" si="746"/>
        <v>0</v>
      </c>
      <c r="BN803" s="741">
        <f t="shared" si="746"/>
        <v>0</v>
      </c>
      <c r="BO803" s="741">
        <f t="shared" si="746"/>
        <v>0</v>
      </c>
      <c r="BP803" s="741">
        <f t="shared" si="746"/>
        <v>0</v>
      </c>
      <c r="BQ803" s="741">
        <f t="shared" si="746"/>
        <v>0</v>
      </c>
      <c r="BR803" s="741">
        <f t="shared" si="746"/>
        <v>0</v>
      </c>
      <c r="BS803" s="741">
        <f t="shared" si="746"/>
        <v>0</v>
      </c>
      <c r="BT803" s="741">
        <f t="shared" si="746"/>
        <v>0</v>
      </c>
      <c r="BU803" s="2243"/>
    </row>
    <row r="804" spans="37:73" s="721" customFormat="1">
      <c r="AK804" s="2250"/>
      <c r="AL804" s="2278" t="s">
        <v>1193</v>
      </c>
      <c r="AM804" s="737" t="s">
        <v>1465</v>
      </c>
      <c r="AN804" s="991"/>
      <c r="AO804" s="742"/>
      <c r="AP804" s="738">
        <f>AP670</f>
        <v>0</v>
      </c>
      <c r="AQ804" s="742"/>
      <c r="AR804" s="742"/>
      <c r="AS804" s="738">
        <f>AS670</f>
        <v>0</v>
      </c>
      <c r="AT804" s="2252"/>
      <c r="AU804" s="2252"/>
      <c r="AV804" s="738">
        <f>AV670</f>
        <v>0</v>
      </c>
      <c r="AW804" s="742"/>
      <c r="AX804" s="2255"/>
      <c r="AY804" s="738">
        <f>AY670</f>
        <v>0</v>
      </c>
      <c r="AZ804" s="742"/>
      <c r="BA804" s="2255"/>
      <c r="BB804" s="738">
        <f>BB670</f>
        <v>0</v>
      </c>
      <c r="BC804" s="742"/>
      <c r="BD804" s="2255"/>
      <c r="BE804" s="741">
        <f t="shared" ref="BE804:BT804" si="747">BE670</f>
        <v>0</v>
      </c>
      <c r="BF804" s="741">
        <f t="shared" si="747"/>
        <v>0</v>
      </c>
      <c r="BG804" s="741">
        <f t="shared" si="747"/>
        <v>0</v>
      </c>
      <c r="BH804" s="741">
        <f t="shared" si="747"/>
        <v>0</v>
      </c>
      <c r="BI804" s="741">
        <f t="shared" si="747"/>
        <v>0</v>
      </c>
      <c r="BJ804" s="741">
        <f t="shared" si="747"/>
        <v>0</v>
      </c>
      <c r="BK804" s="741">
        <f t="shared" si="747"/>
        <v>0</v>
      </c>
      <c r="BL804" s="741">
        <f t="shared" si="747"/>
        <v>0</v>
      </c>
      <c r="BM804" s="741">
        <f t="shared" si="747"/>
        <v>0</v>
      </c>
      <c r="BN804" s="741">
        <f t="shared" si="747"/>
        <v>0</v>
      </c>
      <c r="BO804" s="741">
        <f t="shared" si="747"/>
        <v>0</v>
      </c>
      <c r="BP804" s="741">
        <f t="shared" si="747"/>
        <v>0</v>
      </c>
      <c r="BQ804" s="741">
        <f t="shared" si="747"/>
        <v>0</v>
      </c>
      <c r="BR804" s="741">
        <f t="shared" si="747"/>
        <v>0</v>
      </c>
      <c r="BS804" s="741">
        <f t="shared" si="747"/>
        <v>0</v>
      </c>
      <c r="BT804" s="741">
        <f t="shared" si="747"/>
        <v>0</v>
      </c>
      <c r="BU804" s="2254"/>
    </row>
    <row r="805" spans="37:73" s="536" customFormat="1">
      <c r="AK805" s="2250"/>
      <c r="AL805" s="2251" t="s">
        <v>1194</v>
      </c>
      <c r="AM805" s="737" t="s">
        <v>1466</v>
      </c>
      <c r="AN805" s="991"/>
      <c r="AO805" s="742"/>
      <c r="AP805" s="738">
        <f>AP671</f>
        <v>0</v>
      </c>
      <c r="AQ805" s="742"/>
      <c r="AR805" s="742"/>
      <c r="AS805" s="738">
        <f>AS671</f>
        <v>0</v>
      </c>
      <c r="AT805" s="2252"/>
      <c r="AU805" s="2252"/>
      <c r="AV805" s="738">
        <f>AV671</f>
        <v>0</v>
      </c>
      <c r="AW805" s="742"/>
      <c r="AX805" s="2255"/>
      <c r="AY805" s="738">
        <f>AY671</f>
        <v>0</v>
      </c>
      <c r="AZ805" s="742"/>
      <c r="BA805" s="2255"/>
      <c r="BB805" s="738">
        <f>BB671</f>
        <v>0</v>
      </c>
      <c r="BC805" s="742"/>
      <c r="BD805" s="2255"/>
      <c r="BE805" s="741">
        <f t="shared" ref="BE805:BT805" si="748">BE671</f>
        <v>0</v>
      </c>
      <c r="BF805" s="741">
        <f t="shared" si="748"/>
        <v>0</v>
      </c>
      <c r="BG805" s="741">
        <f t="shared" si="748"/>
        <v>0</v>
      </c>
      <c r="BH805" s="741">
        <f t="shared" si="748"/>
        <v>0</v>
      </c>
      <c r="BI805" s="741">
        <f t="shared" si="748"/>
        <v>0</v>
      </c>
      <c r="BJ805" s="741">
        <f t="shared" si="748"/>
        <v>0</v>
      </c>
      <c r="BK805" s="741">
        <f t="shared" si="748"/>
        <v>0</v>
      </c>
      <c r="BL805" s="741">
        <f t="shared" si="748"/>
        <v>0</v>
      </c>
      <c r="BM805" s="741">
        <f t="shared" si="748"/>
        <v>0</v>
      </c>
      <c r="BN805" s="741">
        <f t="shared" si="748"/>
        <v>0</v>
      </c>
      <c r="BO805" s="741">
        <f t="shared" si="748"/>
        <v>0</v>
      </c>
      <c r="BP805" s="741">
        <f t="shared" si="748"/>
        <v>0</v>
      </c>
      <c r="BQ805" s="741">
        <f t="shared" si="748"/>
        <v>0</v>
      </c>
      <c r="BR805" s="741">
        <f t="shared" si="748"/>
        <v>0</v>
      </c>
      <c r="BS805" s="741">
        <f t="shared" si="748"/>
        <v>0</v>
      </c>
      <c r="BT805" s="741">
        <f t="shared" si="748"/>
        <v>0</v>
      </c>
      <c r="BU805" s="2254"/>
    </row>
    <row r="806" spans="37:73" s="726" customFormat="1">
      <c r="AK806" s="2250"/>
      <c r="AL806" s="2251" t="s">
        <v>1195</v>
      </c>
      <c r="AM806" s="737" t="s">
        <v>1467</v>
      </c>
      <c r="AN806" s="991"/>
      <c r="AO806" s="742"/>
      <c r="AP806" s="738">
        <f>AP672</f>
        <v>0</v>
      </c>
      <c r="AQ806" s="742"/>
      <c r="AR806" s="742"/>
      <c r="AS806" s="738">
        <f>AS672</f>
        <v>0</v>
      </c>
      <c r="AT806" s="2252"/>
      <c r="AU806" s="2252"/>
      <c r="AV806" s="738">
        <f>AV672</f>
        <v>0</v>
      </c>
      <c r="AW806" s="742"/>
      <c r="AX806" s="2255"/>
      <c r="AY806" s="738">
        <f>AY672</f>
        <v>0</v>
      </c>
      <c r="AZ806" s="742"/>
      <c r="BA806" s="2255"/>
      <c r="BB806" s="738">
        <f>BB672</f>
        <v>0</v>
      </c>
      <c r="BC806" s="742"/>
      <c r="BD806" s="2255"/>
      <c r="BE806" s="741">
        <f t="shared" ref="BE806:BT806" si="749">BE672</f>
        <v>0</v>
      </c>
      <c r="BF806" s="741">
        <f t="shared" si="749"/>
        <v>0</v>
      </c>
      <c r="BG806" s="741">
        <f t="shared" si="749"/>
        <v>0</v>
      </c>
      <c r="BH806" s="741">
        <f t="shared" si="749"/>
        <v>0</v>
      </c>
      <c r="BI806" s="741">
        <f t="shared" si="749"/>
        <v>0</v>
      </c>
      <c r="BJ806" s="741">
        <f t="shared" si="749"/>
        <v>0</v>
      </c>
      <c r="BK806" s="741">
        <f t="shared" si="749"/>
        <v>0</v>
      </c>
      <c r="BL806" s="741">
        <f t="shared" si="749"/>
        <v>0</v>
      </c>
      <c r="BM806" s="741">
        <f t="shared" si="749"/>
        <v>0</v>
      </c>
      <c r="BN806" s="741">
        <f t="shared" si="749"/>
        <v>0</v>
      </c>
      <c r="BO806" s="741">
        <f t="shared" si="749"/>
        <v>0</v>
      </c>
      <c r="BP806" s="741">
        <f t="shared" si="749"/>
        <v>0</v>
      </c>
      <c r="BQ806" s="741">
        <f t="shared" si="749"/>
        <v>0</v>
      </c>
      <c r="BR806" s="741">
        <f t="shared" si="749"/>
        <v>0</v>
      </c>
      <c r="BS806" s="741">
        <f t="shared" si="749"/>
        <v>0</v>
      </c>
      <c r="BT806" s="741">
        <f t="shared" si="749"/>
        <v>0</v>
      </c>
      <c r="BU806" s="2254"/>
    </row>
    <row r="807" spans="37:73" s="742" customFormat="1">
      <c r="AK807" s="2250"/>
      <c r="AL807" s="2251" t="s">
        <v>1196</v>
      </c>
      <c r="AM807" s="780" t="s">
        <v>1468</v>
      </c>
      <c r="AN807" s="1014"/>
      <c r="AP807" s="738">
        <f>AP673</f>
        <v>0</v>
      </c>
      <c r="AS807" s="738">
        <f>AS673</f>
        <v>0</v>
      </c>
      <c r="AT807" s="2252"/>
      <c r="AU807" s="2252"/>
      <c r="AV807" s="738">
        <f>AV673</f>
        <v>0</v>
      </c>
      <c r="AX807" s="2255"/>
      <c r="AY807" s="738">
        <f>AY673</f>
        <v>0</v>
      </c>
      <c r="BA807" s="2255"/>
      <c r="BB807" s="738">
        <f>BB673</f>
        <v>0</v>
      </c>
      <c r="BD807" s="2255"/>
      <c r="BE807" s="741">
        <f t="shared" ref="BE807:BT807" si="750">BE673</f>
        <v>0</v>
      </c>
      <c r="BF807" s="741">
        <f t="shared" si="750"/>
        <v>0</v>
      </c>
      <c r="BG807" s="741">
        <f t="shared" si="750"/>
        <v>0</v>
      </c>
      <c r="BH807" s="741">
        <f t="shared" si="750"/>
        <v>0</v>
      </c>
      <c r="BI807" s="741">
        <f t="shared" si="750"/>
        <v>0</v>
      </c>
      <c r="BJ807" s="741">
        <f t="shared" si="750"/>
        <v>0</v>
      </c>
      <c r="BK807" s="741">
        <f t="shared" si="750"/>
        <v>0</v>
      </c>
      <c r="BL807" s="741">
        <f t="shared" si="750"/>
        <v>0</v>
      </c>
      <c r="BM807" s="741">
        <f t="shared" si="750"/>
        <v>0</v>
      </c>
      <c r="BN807" s="741">
        <f t="shared" si="750"/>
        <v>0</v>
      </c>
      <c r="BO807" s="741">
        <f t="shared" si="750"/>
        <v>0</v>
      </c>
      <c r="BP807" s="741">
        <f t="shared" si="750"/>
        <v>0</v>
      </c>
      <c r="BQ807" s="741">
        <f t="shared" si="750"/>
        <v>0</v>
      </c>
      <c r="BR807" s="741">
        <f t="shared" si="750"/>
        <v>0</v>
      </c>
      <c r="BS807" s="741">
        <f t="shared" si="750"/>
        <v>0</v>
      </c>
      <c r="BT807" s="741">
        <f t="shared" si="750"/>
        <v>0</v>
      </c>
      <c r="BU807" s="2254"/>
    </row>
    <row r="808" spans="37:73" s="742" customFormat="1">
      <c r="AK808" s="2250"/>
      <c r="AL808" s="2251" t="s">
        <v>1197</v>
      </c>
      <c r="AM808" s="780" t="s">
        <v>1198</v>
      </c>
      <c r="AN808" s="1014"/>
      <c r="AP808" s="738">
        <f>IF(AP667&gt;=0,AP667+AP674-AP675,AP674-AP675)</f>
        <v>0</v>
      </c>
      <c r="AS808" s="738">
        <f>IF(AS667&gt;=0,AS667+AS674-AS675,AS674-AS675)</f>
        <v>0</v>
      </c>
      <c r="AT808" s="2252"/>
      <c r="AU808" s="2252"/>
      <c r="AV808" s="738">
        <f>IF(AV667&gt;=0,AV667+AV674-AV675,AV674-AV675)</f>
        <v>0</v>
      </c>
      <c r="AX808" s="2255"/>
      <c r="AY808" s="738">
        <f>IF(AY667&gt;=0,AY667+AY674-AY675,AY674-AY675)</f>
        <v>0</v>
      </c>
      <c r="BA808" s="2255"/>
      <c r="BB808" s="738">
        <f>IF(BB667&gt;=0,BB667+BB674-BB675,BB674-BB675)</f>
        <v>0</v>
      </c>
      <c r="BD808" s="2255"/>
      <c r="BE808" s="741">
        <f t="shared" ref="BE808:BT808" si="751">IF(BE667&gt;=0,BE667+BE674-BE675,BE674-BE675)</f>
        <v>0</v>
      </c>
      <c r="BF808" s="741">
        <f t="shared" si="751"/>
        <v>0</v>
      </c>
      <c r="BG808" s="741">
        <f t="shared" si="751"/>
        <v>0</v>
      </c>
      <c r="BH808" s="741">
        <f t="shared" si="751"/>
        <v>0</v>
      </c>
      <c r="BI808" s="741">
        <f t="shared" si="751"/>
        <v>0</v>
      </c>
      <c r="BJ808" s="741">
        <f t="shared" si="751"/>
        <v>0</v>
      </c>
      <c r="BK808" s="741">
        <f t="shared" si="751"/>
        <v>0</v>
      </c>
      <c r="BL808" s="741">
        <f t="shared" si="751"/>
        <v>0</v>
      </c>
      <c r="BM808" s="741">
        <f t="shared" si="751"/>
        <v>0</v>
      </c>
      <c r="BN808" s="741">
        <f t="shared" si="751"/>
        <v>0</v>
      </c>
      <c r="BO808" s="741">
        <f t="shared" si="751"/>
        <v>0</v>
      </c>
      <c r="BP808" s="741">
        <f t="shared" si="751"/>
        <v>0</v>
      </c>
      <c r="BQ808" s="741">
        <f t="shared" si="751"/>
        <v>0</v>
      </c>
      <c r="BR808" s="741">
        <f t="shared" si="751"/>
        <v>0</v>
      </c>
      <c r="BS808" s="741">
        <f t="shared" si="751"/>
        <v>0</v>
      </c>
      <c r="BT808" s="741">
        <f t="shared" si="751"/>
        <v>0</v>
      </c>
      <c r="BU808" s="2254"/>
    </row>
    <row r="809" spans="37:73" s="721" customFormat="1">
      <c r="AK809" s="2229"/>
      <c r="AL809" s="2227">
        <v>16</v>
      </c>
      <c r="AM809" s="2279" t="s">
        <v>1199</v>
      </c>
      <c r="AN809" s="2280"/>
      <c r="AP809" s="776">
        <f>SUM(AP803:AP808)</f>
        <v>0</v>
      </c>
      <c r="AS809" s="776">
        <f>SUM(AS803:AS808)</f>
        <v>0</v>
      </c>
      <c r="AT809" s="2234"/>
      <c r="AU809" s="2234"/>
      <c r="AV809" s="776">
        <f>SUM(AV803:AV808)</f>
        <v>0</v>
      </c>
      <c r="AX809" s="2235"/>
      <c r="AY809" s="776">
        <f>SUM(AY803:AY808)</f>
        <v>0</v>
      </c>
      <c r="BA809" s="2235"/>
      <c r="BB809" s="776">
        <f>SUM(BB803:BB808)</f>
        <v>0</v>
      </c>
      <c r="BD809" s="2235"/>
      <c r="BE809" s="774">
        <f t="shared" ref="BE809:BT809" si="752">SUM(BE803:BE808)</f>
        <v>0</v>
      </c>
      <c r="BF809" s="774">
        <f t="shared" si="752"/>
        <v>0</v>
      </c>
      <c r="BG809" s="774">
        <f t="shared" si="752"/>
        <v>0</v>
      </c>
      <c r="BH809" s="774">
        <f t="shared" si="752"/>
        <v>0</v>
      </c>
      <c r="BI809" s="774">
        <f t="shared" si="752"/>
        <v>0</v>
      </c>
      <c r="BJ809" s="774">
        <f t="shared" si="752"/>
        <v>0</v>
      </c>
      <c r="BK809" s="774">
        <f t="shared" si="752"/>
        <v>0</v>
      </c>
      <c r="BL809" s="774">
        <f t="shared" si="752"/>
        <v>0</v>
      </c>
      <c r="BM809" s="774">
        <f t="shared" si="752"/>
        <v>0</v>
      </c>
      <c r="BN809" s="774">
        <f t="shared" si="752"/>
        <v>0</v>
      </c>
      <c r="BO809" s="774">
        <f t="shared" si="752"/>
        <v>0</v>
      </c>
      <c r="BP809" s="774">
        <f t="shared" si="752"/>
        <v>0</v>
      </c>
      <c r="BQ809" s="774">
        <f t="shared" si="752"/>
        <v>0</v>
      </c>
      <c r="BR809" s="774">
        <f t="shared" si="752"/>
        <v>0</v>
      </c>
      <c r="BS809" s="774">
        <f t="shared" si="752"/>
        <v>0</v>
      </c>
      <c r="BT809" s="774">
        <f t="shared" si="752"/>
        <v>0</v>
      </c>
      <c r="BU809" s="2237"/>
    </row>
    <row r="810" spans="37:73" s="784" customFormat="1">
      <c r="AK810" s="1964"/>
      <c r="AL810" s="2281"/>
      <c r="AM810" s="2245" t="s">
        <v>1200</v>
      </c>
      <c r="AN810" s="2282"/>
      <c r="AO810" s="536"/>
      <c r="AP810" s="2260">
        <f>SUM(AP787:AP789)+AP794+SUM(AP801:AP802)+AP809</f>
        <v>0</v>
      </c>
      <c r="AQ810" s="536"/>
      <c r="AR810" s="536"/>
      <c r="AS810" s="2260">
        <f>SUM(AS787:AS789)+AS794+SUM(AS801:AS802)+AS809</f>
        <v>0</v>
      </c>
      <c r="AT810" s="2216"/>
      <c r="AU810" s="2216"/>
      <c r="AV810" s="2260">
        <f>SUM(AV787:AV789)+AV794+SUM(AV801:AV802)+AV809</f>
        <v>0</v>
      </c>
      <c r="AW810" s="536"/>
      <c r="AX810" s="803"/>
      <c r="AY810" s="2260">
        <f>SUM(AY787:AY789)+AY794+SUM(AY801:AY802)+AY809</f>
        <v>0</v>
      </c>
      <c r="AZ810" s="536"/>
      <c r="BA810" s="803"/>
      <c r="BB810" s="2260">
        <f>SUM(BB787:BB789)+BB794+SUM(BB801:BB802)+BB809</f>
        <v>0</v>
      </c>
      <c r="BC810" s="536"/>
      <c r="BD810" s="803"/>
      <c r="BE810" s="2247">
        <f t="shared" ref="BE810:BT810" si="753">SUM(BE787:BE789)+BE794+SUM(BE801:BE802)+BE809</f>
        <v>0</v>
      </c>
      <c r="BF810" s="2247">
        <f t="shared" si="753"/>
        <v>0</v>
      </c>
      <c r="BG810" s="2247">
        <f t="shared" si="753"/>
        <v>0</v>
      </c>
      <c r="BH810" s="2247">
        <f t="shared" si="753"/>
        <v>0</v>
      </c>
      <c r="BI810" s="2247">
        <f t="shared" si="753"/>
        <v>0</v>
      </c>
      <c r="BJ810" s="2247">
        <f t="shared" si="753"/>
        <v>0</v>
      </c>
      <c r="BK810" s="2247">
        <f t="shared" si="753"/>
        <v>0</v>
      </c>
      <c r="BL810" s="2247">
        <f t="shared" si="753"/>
        <v>0</v>
      </c>
      <c r="BM810" s="2247">
        <f t="shared" si="753"/>
        <v>0</v>
      </c>
      <c r="BN810" s="2247">
        <f t="shared" si="753"/>
        <v>0</v>
      </c>
      <c r="BO810" s="2247">
        <f t="shared" si="753"/>
        <v>0</v>
      </c>
      <c r="BP810" s="2247">
        <f t="shared" si="753"/>
        <v>0</v>
      </c>
      <c r="BQ810" s="2247">
        <f t="shared" si="753"/>
        <v>0</v>
      </c>
      <c r="BR810" s="2247">
        <f t="shared" si="753"/>
        <v>0</v>
      </c>
      <c r="BS810" s="2247">
        <f t="shared" si="753"/>
        <v>0</v>
      </c>
      <c r="BT810" s="2247">
        <f t="shared" si="753"/>
        <v>0</v>
      </c>
      <c r="BU810" s="1970"/>
    </row>
    <row r="811" spans="37:73" s="784" customFormat="1" ht="12">
      <c r="AK811" s="2239"/>
      <c r="AL811" s="2222">
        <v>17</v>
      </c>
      <c r="AM811" s="733" t="s">
        <v>1201</v>
      </c>
      <c r="AN811" s="990"/>
      <c r="AO811" s="726"/>
      <c r="AP811" s="2283">
        <f>-AP685</f>
        <v>0</v>
      </c>
      <c r="AQ811" s="726"/>
      <c r="AR811" s="726"/>
      <c r="AS811" s="734">
        <f>-AS685</f>
        <v>0</v>
      </c>
      <c r="AT811" s="2241"/>
      <c r="AU811" s="2241"/>
      <c r="AV811" s="734">
        <f>-AV685</f>
        <v>0</v>
      </c>
      <c r="AW811" s="726"/>
      <c r="AX811" s="2248"/>
      <c r="AY811" s="734">
        <f>-AY685</f>
        <v>0</v>
      </c>
      <c r="AZ811" s="726"/>
      <c r="BA811" s="2248"/>
      <c r="BB811" s="734">
        <f>-BB685</f>
        <v>0</v>
      </c>
      <c r="BC811" s="726"/>
      <c r="BD811" s="2248"/>
      <c r="BE811" s="735">
        <f t="shared" ref="BE811:BT811" si="754">-BE685</f>
        <v>0</v>
      </c>
      <c r="BF811" s="735">
        <f t="shared" si="754"/>
        <v>0</v>
      </c>
      <c r="BG811" s="735">
        <f t="shared" si="754"/>
        <v>0</v>
      </c>
      <c r="BH811" s="735">
        <f t="shared" si="754"/>
        <v>0</v>
      </c>
      <c r="BI811" s="735">
        <f t="shared" si="754"/>
        <v>0</v>
      </c>
      <c r="BJ811" s="735">
        <f t="shared" si="754"/>
        <v>0</v>
      </c>
      <c r="BK811" s="735">
        <f t="shared" si="754"/>
        <v>0</v>
      </c>
      <c r="BL811" s="735">
        <f t="shared" si="754"/>
        <v>0</v>
      </c>
      <c r="BM811" s="735">
        <f t="shared" si="754"/>
        <v>0</v>
      </c>
      <c r="BN811" s="735">
        <f t="shared" si="754"/>
        <v>0</v>
      </c>
      <c r="BO811" s="735">
        <f t="shared" si="754"/>
        <v>0</v>
      </c>
      <c r="BP811" s="735">
        <f t="shared" si="754"/>
        <v>0</v>
      </c>
      <c r="BQ811" s="735">
        <f t="shared" si="754"/>
        <v>0</v>
      </c>
      <c r="BR811" s="735">
        <f t="shared" si="754"/>
        <v>0</v>
      </c>
      <c r="BS811" s="735">
        <f t="shared" si="754"/>
        <v>0</v>
      </c>
      <c r="BT811" s="735">
        <f t="shared" si="754"/>
        <v>0</v>
      </c>
      <c r="BU811" s="2243"/>
    </row>
    <row r="812" spans="37:73" s="742" customFormat="1">
      <c r="AK812" s="2250"/>
      <c r="AL812" s="2251" t="s">
        <v>1202</v>
      </c>
      <c r="AM812" s="773" t="str">
        <f>"- / + "&amp;AM595</f>
        <v>- / + DEUDORES VARIOS</v>
      </c>
      <c r="AN812" s="995"/>
      <c r="AP812" s="738">
        <f>-(AP595-AN595)</f>
        <v>0</v>
      </c>
      <c r="AS812" s="776">
        <f>-(AS595-AP595)</f>
        <v>0</v>
      </c>
      <c r="AT812" s="2252"/>
      <c r="AU812" s="2252"/>
      <c r="AV812" s="776">
        <f>-(AV595-AS595)</f>
        <v>0</v>
      </c>
      <c r="AX812" s="2255"/>
      <c r="AY812" s="776">
        <f>-(AY595-AS595)</f>
        <v>0</v>
      </c>
      <c r="BA812" s="2255"/>
      <c r="BB812" s="776">
        <f>IF(OR($C$3=$L$913,$C$3=0),-(BB595-AY595),-(BB595-AV595))</f>
        <v>0</v>
      </c>
      <c r="BD812" s="2255"/>
      <c r="BE812" s="741">
        <f>-(BE595-AY595)</f>
        <v>0</v>
      </c>
      <c r="BF812" s="741">
        <f t="shared" ref="BF812:BT812" si="755">-(BF595-BE595)</f>
        <v>0</v>
      </c>
      <c r="BG812" s="741">
        <f t="shared" si="755"/>
        <v>0</v>
      </c>
      <c r="BH812" s="741">
        <f t="shared" si="755"/>
        <v>0</v>
      </c>
      <c r="BI812" s="741">
        <f t="shared" si="755"/>
        <v>0</v>
      </c>
      <c r="BJ812" s="741">
        <f t="shared" si="755"/>
        <v>0</v>
      </c>
      <c r="BK812" s="741">
        <f t="shared" si="755"/>
        <v>0</v>
      </c>
      <c r="BL812" s="741">
        <f t="shared" si="755"/>
        <v>0</v>
      </c>
      <c r="BM812" s="741">
        <f t="shared" si="755"/>
        <v>0</v>
      </c>
      <c r="BN812" s="741">
        <f t="shared" si="755"/>
        <v>0</v>
      </c>
      <c r="BO812" s="741">
        <f t="shared" si="755"/>
        <v>0</v>
      </c>
      <c r="BP812" s="741">
        <f t="shared" si="755"/>
        <v>0</v>
      </c>
      <c r="BQ812" s="741">
        <f t="shared" si="755"/>
        <v>0</v>
      </c>
      <c r="BR812" s="741">
        <f t="shared" si="755"/>
        <v>0</v>
      </c>
      <c r="BS812" s="741">
        <f t="shared" si="755"/>
        <v>0</v>
      </c>
      <c r="BT812" s="741">
        <f t="shared" si="755"/>
        <v>0</v>
      </c>
      <c r="BU812" s="2254"/>
    </row>
    <row r="813" spans="37:73" s="742" customFormat="1">
      <c r="AK813" s="2250"/>
      <c r="AL813" s="2251" t="s">
        <v>1203</v>
      </c>
      <c r="AM813" s="773" t="str">
        <f>"- / + "&amp;AM596</f>
        <v>- / + OTROS CORRIENTES</v>
      </c>
      <c r="AN813" s="995"/>
      <c r="AP813" s="738">
        <f>-(AP596-AN596)</f>
        <v>0</v>
      </c>
      <c r="AS813" s="776">
        <f>-(AS596-AP596)</f>
        <v>0</v>
      </c>
      <c r="AT813" s="2252"/>
      <c r="AU813" s="2252"/>
      <c r="AV813" s="776">
        <f>-(AV596-AS596)</f>
        <v>0</v>
      </c>
      <c r="AX813" s="2255"/>
      <c r="AY813" s="776">
        <f>-(AY596-AS596)</f>
        <v>0</v>
      </c>
      <c r="BA813" s="2255"/>
      <c r="BB813" s="776">
        <f>IF(OR($C$3=$L$913,$C$3=0),-(BB596-AY596),-(BB596-AV596))</f>
        <v>0</v>
      </c>
      <c r="BD813" s="2255"/>
      <c r="BE813" s="741">
        <f>-(BE596-AY596)</f>
        <v>0</v>
      </c>
      <c r="BF813" s="741">
        <f t="shared" ref="BF813:BT813" si="756">-(BF596-BE596)</f>
        <v>0</v>
      </c>
      <c r="BG813" s="741">
        <f t="shared" si="756"/>
        <v>0</v>
      </c>
      <c r="BH813" s="741">
        <f t="shared" si="756"/>
        <v>0</v>
      </c>
      <c r="BI813" s="741">
        <f t="shared" si="756"/>
        <v>0</v>
      </c>
      <c r="BJ813" s="741">
        <f t="shared" si="756"/>
        <v>0</v>
      </c>
      <c r="BK813" s="741">
        <f t="shared" si="756"/>
        <v>0</v>
      </c>
      <c r="BL813" s="741">
        <f t="shared" si="756"/>
        <v>0</v>
      </c>
      <c r="BM813" s="741">
        <f t="shared" si="756"/>
        <v>0</v>
      </c>
      <c r="BN813" s="741">
        <f t="shared" si="756"/>
        <v>0</v>
      </c>
      <c r="BO813" s="741">
        <f t="shared" si="756"/>
        <v>0</v>
      </c>
      <c r="BP813" s="741">
        <f t="shared" si="756"/>
        <v>0</v>
      </c>
      <c r="BQ813" s="741">
        <f t="shared" si="756"/>
        <v>0</v>
      </c>
      <c r="BR813" s="741">
        <f t="shared" si="756"/>
        <v>0</v>
      </c>
      <c r="BS813" s="741">
        <f t="shared" si="756"/>
        <v>0</v>
      </c>
      <c r="BT813" s="741">
        <f t="shared" si="756"/>
        <v>0</v>
      </c>
      <c r="BU813" s="2254"/>
    </row>
    <row r="814" spans="37:73" s="721" customFormat="1">
      <c r="AK814" s="2229"/>
      <c r="AL814" s="2249">
        <v>18</v>
      </c>
      <c r="AM814" s="775" t="s">
        <v>1204</v>
      </c>
      <c r="AN814" s="995"/>
      <c r="AP814" s="776">
        <f>SUM(AP812:AP813)</f>
        <v>0</v>
      </c>
      <c r="AS814" s="776">
        <f>SUM(AS812:AS813)</f>
        <v>0</v>
      </c>
      <c r="AT814" s="2234"/>
      <c r="AU814" s="2234"/>
      <c r="AV814" s="776">
        <f>SUM(AV812:AV813)</f>
        <v>0</v>
      </c>
      <c r="AX814" s="2235"/>
      <c r="AY814" s="776">
        <f>SUM(AY812:AY813)</f>
        <v>0</v>
      </c>
      <c r="BA814" s="2235"/>
      <c r="BB814" s="776">
        <f>SUM(BB812:BB813)</f>
        <v>0</v>
      </c>
      <c r="BD814" s="2235"/>
      <c r="BE814" s="774">
        <f t="shared" ref="BE814:BT814" si="757">SUM(BE812:BE813)</f>
        <v>0</v>
      </c>
      <c r="BF814" s="774">
        <f t="shared" si="757"/>
        <v>0</v>
      </c>
      <c r="BG814" s="774">
        <f t="shared" si="757"/>
        <v>0</v>
      </c>
      <c r="BH814" s="774">
        <f t="shared" si="757"/>
        <v>0</v>
      </c>
      <c r="BI814" s="774">
        <f t="shared" si="757"/>
        <v>0</v>
      </c>
      <c r="BJ814" s="774">
        <f t="shared" si="757"/>
        <v>0</v>
      </c>
      <c r="BK814" s="774">
        <f t="shared" si="757"/>
        <v>0</v>
      </c>
      <c r="BL814" s="774">
        <f t="shared" si="757"/>
        <v>0</v>
      </c>
      <c r="BM814" s="774">
        <f t="shared" si="757"/>
        <v>0</v>
      </c>
      <c r="BN814" s="774">
        <f t="shared" si="757"/>
        <v>0</v>
      </c>
      <c r="BO814" s="774">
        <f t="shared" si="757"/>
        <v>0</v>
      </c>
      <c r="BP814" s="774">
        <f t="shared" si="757"/>
        <v>0</v>
      </c>
      <c r="BQ814" s="774">
        <f t="shared" si="757"/>
        <v>0</v>
      </c>
      <c r="BR814" s="774">
        <f t="shared" si="757"/>
        <v>0</v>
      </c>
      <c r="BS814" s="774">
        <f t="shared" si="757"/>
        <v>0</v>
      </c>
      <c r="BT814" s="774">
        <f t="shared" si="757"/>
        <v>0</v>
      </c>
      <c r="BU814" s="2237"/>
    </row>
    <row r="815" spans="37:73" s="536" customFormat="1" ht="12.5">
      <c r="AK815" s="2284"/>
      <c r="AL815" s="2251" t="s">
        <v>1205</v>
      </c>
      <c r="AM815" s="773" t="str">
        <f>"- / + "&amp;AM599</f>
        <v>- / + INVERSIONES EN FILIALES Y ASOCIADAS (PERMANENTES)</v>
      </c>
      <c r="AN815" s="991"/>
      <c r="AO815" s="784"/>
      <c r="AP815" s="1013">
        <f>-(AP599-AN599)</f>
        <v>0</v>
      </c>
      <c r="AQ815" s="784"/>
      <c r="AR815" s="784"/>
      <c r="AS815" s="738">
        <f>-(AS599-AP599)</f>
        <v>0</v>
      </c>
      <c r="AT815" s="2285"/>
      <c r="AU815" s="2285"/>
      <c r="AV815" s="738">
        <f>-(AV599-AS599)</f>
        <v>0</v>
      </c>
      <c r="AW815" s="784"/>
      <c r="AX815" s="2286"/>
      <c r="AY815" s="738">
        <f>-(AY599-AS599)</f>
        <v>0</v>
      </c>
      <c r="AZ815" s="784"/>
      <c r="BA815" s="2286"/>
      <c r="BB815" s="738">
        <f>IF(OR($C$3=$L$913,$C$3=0),-(BB599-AY599),-(BB599-AV599))</f>
        <v>0</v>
      </c>
      <c r="BC815" s="784"/>
      <c r="BD815" s="2286"/>
      <c r="BE815" s="741">
        <f>-(BE599-AY599)</f>
        <v>0</v>
      </c>
      <c r="BF815" s="741">
        <f t="shared" ref="BF815:BT815" si="758">-(BF599-BE599)</f>
        <v>0</v>
      </c>
      <c r="BG815" s="741">
        <f t="shared" si="758"/>
        <v>0</v>
      </c>
      <c r="BH815" s="741">
        <f t="shared" si="758"/>
        <v>0</v>
      </c>
      <c r="BI815" s="741">
        <f t="shared" si="758"/>
        <v>0</v>
      </c>
      <c r="BJ815" s="741">
        <f t="shared" si="758"/>
        <v>0</v>
      </c>
      <c r="BK815" s="741">
        <f t="shared" si="758"/>
        <v>0</v>
      </c>
      <c r="BL815" s="741">
        <f t="shared" si="758"/>
        <v>0</v>
      </c>
      <c r="BM815" s="741">
        <f t="shared" si="758"/>
        <v>0</v>
      </c>
      <c r="BN815" s="741">
        <f t="shared" si="758"/>
        <v>0</v>
      </c>
      <c r="BO815" s="741">
        <f t="shared" si="758"/>
        <v>0</v>
      </c>
      <c r="BP815" s="741">
        <f t="shared" si="758"/>
        <v>0</v>
      </c>
      <c r="BQ815" s="741">
        <f t="shared" si="758"/>
        <v>0</v>
      </c>
      <c r="BR815" s="741">
        <f t="shared" si="758"/>
        <v>0</v>
      </c>
      <c r="BS815" s="741">
        <f t="shared" si="758"/>
        <v>0</v>
      </c>
      <c r="BT815" s="741">
        <f t="shared" si="758"/>
        <v>0</v>
      </c>
      <c r="BU815" s="2287"/>
    </row>
    <row r="816" spans="37:73" s="768" customFormat="1" ht="12">
      <c r="AK816" s="2284"/>
      <c r="AL816" s="2251" t="s">
        <v>1206</v>
      </c>
      <c r="AM816" s="773" t="str">
        <f>"- / + "&amp;AM606</f>
        <v>- / + INTANGIBLES NETO</v>
      </c>
      <c r="AN816" s="991"/>
      <c r="AO816" s="784"/>
      <c r="AP816" s="1013">
        <f>-(AP606-AN606+AP681)</f>
        <v>0</v>
      </c>
      <c r="AQ816" s="784"/>
      <c r="AR816" s="784"/>
      <c r="AS816" s="738">
        <f>-(AS606-AP606+AS681)</f>
        <v>0</v>
      </c>
      <c r="AT816" s="2285"/>
      <c r="AU816" s="2285"/>
      <c r="AV816" s="738">
        <f>-(AV606-AS606+AV681)</f>
        <v>0</v>
      </c>
      <c r="AW816" s="784"/>
      <c r="AX816" s="2286"/>
      <c r="AY816" s="738">
        <f>-(AY606-AS606+AY681)</f>
        <v>0</v>
      </c>
      <c r="AZ816" s="784"/>
      <c r="BA816" s="2286"/>
      <c r="BB816" s="738">
        <f>IF(OR($C$3=$L$913,$C$3=0),-(BB606-AY606+BB681),-(BB606-AV606+BB681))</f>
        <v>0</v>
      </c>
      <c r="BC816" s="784"/>
      <c r="BD816" s="2286"/>
      <c r="BE816" s="741">
        <f>-(BE606-AY606+BE681)</f>
        <v>0</v>
      </c>
      <c r="BF816" s="741">
        <f t="shared" ref="BF816:BT816" si="759">-(BF606-BE606+BF681)</f>
        <v>0</v>
      </c>
      <c r="BG816" s="741">
        <f t="shared" si="759"/>
        <v>0</v>
      </c>
      <c r="BH816" s="741">
        <f t="shared" si="759"/>
        <v>0</v>
      </c>
      <c r="BI816" s="741">
        <f t="shared" si="759"/>
        <v>0</v>
      </c>
      <c r="BJ816" s="741">
        <f t="shared" si="759"/>
        <v>0</v>
      </c>
      <c r="BK816" s="741">
        <f t="shared" si="759"/>
        <v>0</v>
      </c>
      <c r="BL816" s="741">
        <f t="shared" si="759"/>
        <v>0</v>
      </c>
      <c r="BM816" s="741">
        <f t="shared" si="759"/>
        <v>0</v>
      </c>
      <c r="BN816" s="741">
        <f t="shared" si="759"/>
        <v>0</v>
      </c>
      <c r="BO816" s="741">
        <f t="shared" si="759"/>
        <v>0</v>
      </c>
      <c r="BP816" s="741">
        <f t="shared" si="759"/>
        <v>0</v>
      </c>
      <c r="BQ816" s="741">
        <f t="shared" si="759"/>
        <v>0</v>
      </c>
      <c r="BR816" s="741">
        <f t="shared" si="759"/>
        <v>0</v>
      </c>
      <c r="BS816" s="741">
        <f t="shared" si="759"/>
        <v>0</v>
      </c>
      <c r="BT816" s="741">
        <f t="shared" si="759"/>
        <v>0</v>
      </c>
      <c r="BU816" s="2287"/>
    </row>
    <row r="817" spans="37:73" s="2288" customFormat="1">
      <c r="AK817" s="2250"/>
      <c r="AL817" s="2251" t="s">
        <v>1207</v>
      </c>
      <c r="AM817" s="773" t="str">
        <f>"- / + "&amp;AM609</f>
        <v>- / + CARGOS DIFERIDOS NETO</v>
      </c>
      <c r="AN817" s="991"/>
      <c r="AO817" s="742"/>
      <c r="AP817" s="1013">
        <f>-(AP609-AN609+AP682)</f>
        <v>0</v>
      </c>
      <c r="AQ817" s="742"/>
      <c r="AR817" s="742"/>
      <c r="AS817" s="738">
        <f>-(AS609-AP609+AS682)</f>
        <v>0</v>
      </c>
      <c r="AT817" s="2252"/>
      <c r="AU817" s="2252"/>
      <c r="AV817" s="738">
        <f>-(AV609-AS609+AV682)</f>
        <v>0</v>
      </c>
      <c r="AW817" s="742"/>
      <c r="AX817" s="2253"/>
      <c r="AY817" s="738">
        <f>-(AY609-AS609+AY682)</f>
        <v>0</v>
      </c>
      <c r="AZ817" s="742"/>
      <c r="BA817" s="2253"/>
      <c r="BB817" s="738">
        <f>IF(OR($C$3=$L$913,$C$3=0),-(BB609-AY609+BB682),-(BB609-AV609+BB682))</f>
        <v>0</v>
      </c>
      <c r="BC817" s="742"/>
      <c r="BD817" s="2253"/>
      <c r="BE817" s="741">
        <f>-(BE609-AY609+BE682)</f>
        <v>0</v>
      </c>
      <c r="BF817" s="741">
        <f t="shared" ref="BF817:BT817" si="760">-(BF609-BE609+BF682)</f>
        <v>0</v>
      </c>
      <c r="BG817" s="741">
        <f t="shared" si="760"/>
        <v>0</v>
      </c>
      <c r="BH817" s="741">
        <f t="shared" si="760"/>
        <v>0</v>
      </c>
      <c r="BI817" s="741">
        <f t="shared" si="760"/>
        <v>0</v>
      </c>
      <c r="BJ817" s="741">
        <f t="shared" si="760"/>
        <v>0</v>
      </c>
      <c r="BK817" s="741">
        <f t="shared" si="760"/>
        <v>0</v>
      </c>
      <c r="BL817" s="741">
        <f t="shared" si="760"/>
        <v>0</v>
      </c>
      <c r="BM817" s="741">
        <f t="shared" si="760"/>
        <v>0</v>
      </c>
      <c r="BN817" s="741">
        <f t="shared" si="760"/>
        <v>0</v>
      </c>
      <c r="BO817" s="741">
        <f t="shared" si="760"/>
        <v>0</v>
      </c>
      <c r="BP817" s="741">
        <f t="shared" si="760"/>
        <v>0</v>
      </c>
      <c r="BQ817" s="741">
        <f t="shared" si="760"/>
        <v>0</v>
      </c>
      <c r="BR817" s="741">
        <f t="shared" si="760"/>
        <v>0</v>
      </c>
      <c r="BS817" s="741">
        <f t="shared" si="760"/>
        <v>0</v>
      </c>
      <c r="BT817" s="741">
        <f t="shared" si="760"/>
        <v>0</v>
      </c>
      <c r="BU817" s="2254"/>
    </row>
    <row r="818" spans="37:73" s="2288" customFormat="1">
      <c r="AK818" s="2250"/>
      <c r="AL818" s="2251" t="s">
        <v>1208</v>
      </c>
      <c r="AM818" s="773" t="str">
        <f>"- / + "&amp;AM612</f>
        <v>- / + OTROS ACTIVOS L.P.</v>
      </c>
      <c r="AN818" s="991"/>
      <c r="AO818" s="742"/>
      <c r="AP818" s="1013">
        <f>-(AP612-AN612)</f>
        <v>0</v>
      </c>
      <c r="AQ818" s="742"/>
      <c r="AR818" s="742"/>
      <c r="AS818" s="738">
        <f>-(AS612-AP612)</f>
        <v>0</v>
      </c>
      <c r="AT818" s="2252"/>
      <c r="AU818" s="2252"/>
      <c r="AV818" s="738">
        <f>-(AV612-AS612)</f>
        <v>0</v>
      </c>
      <c r="AW818" s="742"/>
      <c r="AX818" s="2255"/>
      <c r="AY818" s="738">
        <f>-(AY612-AS612)</f>
        <v>0</v>
      </c>
      <c r="AZ818" s="742"/>
      <c r="BA818" s="2255"/>
      <c r="BB818" s="738">
        <f>IF(OR($C$3=$L$913,$C$3=0),-(BB612-AY612),-(BB612-AV612))</f>
        <v>0</v>
      </c>
      <c r="BC818" s="742"/>
      <c r="BD818" s="2255"/>
      <c r="BE818" s="741">
        <f>-(BE612-AY612)</f>
        <v>0</v>
      </c>
      <c r="BF818" s="741">
        <f t="shared" ref="BF818:BT818" si="761">-(BF612-BE612)</f>
        <v>0</v>
      </c>
      <c r="BG818" s="741">
        <f t="shared" si="761"/>
        <v>0</v>
      </c>
      <c r="BH818" s="741">
        <f t="shared" si="761"/>
        <v>0</v>
      </c>
      <c r="BI818" s="741">
        <f t="shared" si="761"/>
        <v>0</v>
      </c>
      <c r="BJ818" s="741">
        <f t="shared" si="761"/>
        <v>0</v>
      </c>
      <c r="BK818" s="741">
        <f t="shared" si="761"/>
        <v>0</v>
      </c>
      <c r="BL818" s="741">
        <f t="shared" si="761"/>
        <v>0</v>
      </c>
      <c r="BM818" s="741">
        <f t="shared" si="761"/>
        <v>0</v>
      </c>
      <c r="BN818" s="741">
        <f t="shared" si="761"/>
        <v>0</v>
      </c>
      <c r="BO818" s="741">
        <f t="shared" si="761"/>
        <v>0</v>
      </c>
      <c r="BP818" s="741">
        <f t="shared" si="761"/>
        <v>0</v>
      </c>
      <c r="BQ818" s="741">
        <f t="shared" si="761"/>
        <v>0</v>
      </c>
      <c r="BR818" s="741">
        <f t="shared" si="761"/>
        <v>0</v>
      </c>
      <c r="BS818" s="741">
        <f t="shared" si="761"/>
        <v>0</v>
      </c>
      <c r="BT818" s="741">
        <f t="shared" si="761"/>
        <v>0</v>
      </c>
      <c r="BU818" s="2254"/>
    </row>
    <row r="819" spans="37:73" s="742" customFormat="1">
      <c r="AK819" s="2229"/>
      <c r="AL819" s="2227">
        <v>19</v>
      </c>
      <c r="AM819" s="775" t="s">
        <v>1209</v>
      </c>
      <c r="AN819" s="995"/>
      <c r="AO819" s="721"/>
      <c r="AP819" s="1015">
        <f>SUM(AP815:AP818)</f>
        <v>0</v>
      </c>
      <c r="AQ819" s="721"/>
      <c r="AR819" s="721"/>
      <c r="AS819" s="776">
        <f>SUM(AS815:AS818)</f>
        <v>0</v>
      </c>
      <c r="AT819" s="2234"/>
      <c r="AU819" s="2234"/>
      <c r="AV819" s="776">
        <f>SUM(AV815:AV818)</f>
        <v>0</v>
      </c>
      <c r="AW819" s="721"/>
      <c r="AX819" s="2235"/>
      <c r="AY819" s="776">
        <f>SUM(AY815:AY818)</f>
        <v>0</v>
      </c>
      <c r="AZ819" s="721"/>
      <c r="BA819" s="2235"/>
      <c r="BB819" s="776">
        <f>SUM(BB815:BB818)</f>
        <v>0</v>
      </c>
      <c r="BC819" s="721"/>
      <c r="BD819" s="2235"/>
      <c r="BE819" s="774">
        <f t="shared" ref="BE819:BT819" si="762">SUM(BE815:BE818)</f>
        <v>0</v>
      </c>
      <c r="BF819" s="774">
        <f t="shared" si="762"/>
        <v>0</v>
      </c>
      <c r="BG819" s="774">
        <f t="shared" si="762"/>
        <v>0</v>
      </c>
      <c r="BH819" s="774">
        <f t="shared" si="762"/>
        <v>0</v>
      </c>
      <c r="BI819" s="774">
        <f t="shared" si="762"/>
        <v>0</v>
      </c>
      <c r="BJ819" s="774">
        <f t="shared" si="762"/>
        <v>0</v>
      </c>
      <c r="BK819" s="774">
        <f t="shared" si="762"/>
        <v>0</v>
      </c>
      <c r="BL819" s="774">
        <f t="shared" si="762"/>
        <v>0</v>
      </c>
      <c r="BM819" s="774">
        <f t="shared" si="762"/>
        <v>0</v>
      </c>
      <c r="BN819" s="774">
        <f t="shared" si="762"/>
        <v>0</v>
      </c>
      <c r="BO819" s="774">
        <f t="shared" si="762"/>
        <v>0</v>
      </c>
      <c r="BP819" s="774">
        <f t="shared" si="762"/>
        <v>0</v>
      </c>
      <c r="BQ819" s="774">
        <f t="shared" si="762"/>
        <v>0</v>
      </c>
      <c r="BR819" s="774">
        <f t="shared" si="762"/>
        <v>0</v>
      </c>
      <c r="BS819" s="774">
        <f t="shared" si="762"/>
        <v>0</v>
      </c>
      <c r="BT819" s="774">
        <f t="shared" si="762"/>
        <v>0</v>
      </c>
      <c r="BU819" s="2237"/>
    </row>
    <row r="820" spans="37:73" s="721" customFormat="1">
      <c r="AK820" s="1964"/>
      <c r="AL820" s="2289"/>
      <c r="AM820" s="2290" t="s">
        <v>1210</v>
      </c>
      <c r="AN820" s="2291"/>
      <c r="AO820" s="536"/>
      <c r="AP820" s="2292">
        <f>AP811+AP814+AP819</f>
        <v>0</v>
      </c>
      <c r="AQ820" s="536"/>
      <c r="AR820" s="536"/>
      <c r="AS820" s="2292">
        <f>AS811+AS814+AS819</f>
        <v>0</v>
      </c>
      <c r="AT820" s="2216"/>
      <c r="AU820" s="2216"/>
      <c r="AV820" s="2292">
        <f>AV811+AV814+AV819</f>
        <v>0</v>
      </c>
      <c r="AW820" s="536"/>
      <c r="AX820" s="803"/>
      <c r="AY820" s="2292">
        <f>AY811+AY814+AY819</f>
        <v>0</v>
      </c>
      <c r="AZ820" s="536"/>
      <c r="BA820" s="803"/>
      <c r="BB820" s="2292">
        <f>BB811+BB814+BB819</f>
        <v>0</v>
      </c>
      <c r="BC820" s="536"/>
      <c r="BD820" s="803"/>
      <c r="BE820" s="2293">
        <f t="shared" ref="BE820:BT820" si="763">BE811+BE814+BE819</f>
        <v>0</v>
      </c>
      <c r="BF820" s="2293">
        <f t="shared" si="763"/>
        <v>0</v>
      </c>
      <c r="BG820" s="2293">
        <f t="shared" si="763"/>
        <v>0</v>
      </c>
      <c r="BH820" s="2293">
        <f t="shared" si="763"/>
        <v>0</v>
      </c>
      <c r="BI820" s="2293">
        <f t="shared" si="763"/>
        <v>0</v>
      </c>
      <c r="BJ820" s="2293">
        <f t="shared" si="763"/>
        <v>0</v>
      </c>
      <c r="BK820" s="2293">
        <f t="shared" si="763"/>
        <v>0</v>
      </c>
      <c r="BL820" s="2293">
        <f t="shared" si="763"/>
        <v>0</v>
      </c>
      <c r="BM820" s="2293">
        <f t="shared" si="763"/>
        <v>0</v>
      </c>
      <c r="BN820" s="2293">
        <f t="shared" si="763"/>
        <v>0</v>
      </c>
      <c r="BO820" s="2293">
        <f t="shared" si="763"/>
        <v>0</v>
      </c>
      <c r="BP820" s="2293">
        <f t="shared" si="763"/>
        <v>0</v>
      </c>
      <c r="BQ820" s="2293">
        <f t="shared" si="763"/>
        <v>0</v>
      </c>
      <c r="BR820" s="2293">
        <f t="shared" si="763"/>
        <v>0</v>
      </c>
      <c r="BS820" s="2293">
        <f t="shared" si="763"/>
        <v>0</v>
      </c>
      <c r="BT820" s="2293">
        <f t="shared" si="763"/>
        <v>0</v>
      </c>
      <c r="BU820" s="1970"/>
    </row>
    <row r="821" spans="37:73" s="742" customFormat="1">
      <c r="AK821" s="2270"/>
      <c r="AL821" s="2267" t="s">
        <v>1080</v>
      </c>
      <c r="AM821" s="737" t="s">
        <v>1211</v>
      </c>
      <c r="AN821" s="991"/>
      <c r="AO821" s="772"/>
      <c r="AP821" s="741">
        <f>-AP603+AN603</f>
        <v>0</v>
      </c>
      <c r="AQ821" s="772"/>
      <c r="AR821" s="772"/>
      <c r="AS821" s="741">
        <f>-AS603+AP603</f>
        <v>0</v>
      </c>
      <c r="AT821" s="2276"/>
      <c r="AU821" s="2276"/>
      <c r="AV821" s="741">
        <f>-AV603+AS603</f>
        <v>0</v>
      </c>
      <c r="AW821" s="772"/>
      <c r="AX821" s="2277"/>
      <c r="AY821" s="741">
        <f>-AY603+AS603</f>
        <v>0</v>
      </c>
      <c r="AZ821" s="772"/>
      <c r="BA821" s="2277"/>
      <c r="BB821" s="741">
        <f>IF(OR($C$3=$L$913,$C$3=0),-BB603+AY603,-BB603+AV603)</f>
        <v>0</v>
      </c>
      <c r="BC821" s="772"/>
      <c r="BD821" s="2277"/>
      <c r="BE821" s="741">
        <f>-BE603+AY603</f>
        <v>0</v>
      </c>
      <c r="BF821" s="741">
        <f t="shared" ref="BF821:BT821" si="764">-BF603+BE603</f>
        <v>0</v>
      </c>
      <c r="BG821" s="741">
        <f t="shared" si="764"/>
        <v>0</v>
      </c>
      <c r="BH821" s="741">
        <f t="shared" si="764"/>
        <v>0</v>
      </c>
      <c r="BI821" s="741">
        <f t="shared" si="764"/>
        <v>0</v>
      </c>
      <c r="BJ821" s="741">
        <f t="shared" si="764"/>
        <v>0</v>
      </c>
      <c r="BK821" s="741">
        <f t="shared" si="764"/>
        <v>0</v>
      </c>
      <c r="BL821" s="741">
        <f t="shared" si="764"/>
        <v>0</v>
      </c>
      <c r="BM821" s="741">
        <f t="shared" si="764"/>
        <v>0</v>
      </c>
      <c r="BN821" s="741">
        <f t="shared" si="764"/>
        <v>0</v>
      </c>
      <c r="BO821" s="741">
        <f t="shared" si="764"/>
        <v>0</v>
      </c>
      <c r="BP821" s="741">
        <f t="shared" si="764"/>
        <v>0</v>
      </c>
      <c r="BQ821" s="741">
        <f t="shared" si="764"/>
        <v>0</v>
      </c>
      <c r="BR821" s="741">
        <f t="shared" si="764"/>
        <v>0</v>
      </c>
      <c r="BS821" s="741">
        <f t="shared" si="764"/>
        <v>0</v>
      </c>
      <c r="BT821" s="741">
        <f t="shared" si="764"/>
        <v>0</v>
      </c>
      <c r="BU821" s="2273"/>
    </row>
    <row r="822" spans="37:73" s="742" customFormat="1">
      <c r="AK822" s="2294"/>
      <c r="AL822" s="2295" t="s">
        <v>1081</v>
      </c>
      <c r="AM822" s="2296" t="s">
        <v>1212</v>
      </c>
      <c r="AN822" s="2297"/>
      <c r="AO822" s="2288"/>
      <c r="AP822" s="2298">
        <f>-AP588+AN588</f>
        <v>0</v>
      </c>
      <c r="AQ822" s="2288"/>
      <c r="AR822" s="2288"/>
      <c r="AS822" s="2298">
        <f>-AS588+AP588</f>
        <v>0</v>
      </c>
      <c r="AT822" s="2299"/>
      <c r="AU822" s="2299"/>
      <c r="AV822" s="2298">
        <f>-AV588+AS588</f>
        <v>0</v>
      </c>
      <c r="AW822" s="2288"/>
      <c r="AX822" s="2300"/>
      <c r="AY822" s="2298">
        <f>-AY588+AS588</f>
        <v>0</v>
      </c>
      <c r="AZ822" s="2288"/>
      <c r="BA822" s="2300"/>
      <c r="BB822" s="2298">
        <f>IF(OR($C$3=$L$913,$C$3=0),-BB588+AY588,-BB588+AV588)</f>
        <v>0</v>
      </c>
      <c r="BC822" s="2288"/>
      <c r="BD822" s="2300"/>
      <c r="BE822" s="2301">
        <f>-BE588+AY588</f>
        <v>0</v>
      </c>
      <c r="BF822" s="2301">
        <f t="shared" ref="BF822:BT822" si="765">-BF588+BE588</f>
        <v>0</v>
      </c>
      <c r="BG822" s="2301">
        <f t="shared" si="765"/>
        <v>0</v>
      </c>
      <c r="BH822" s="2301">
        <f t="shared" si="765"/>
        <v>0</v>
      </c>
      <c r="BI822" s="2301">
        <f t="shared" si="765"/>
        <v>0</v>
      </c>
      <c r="BJ822" s="2301">
        <f t="shared" si="765"/>
        <v>0</v>
      </c>
      <c r="BK822" s="2301">
        <f t="shared" si="765"/>
        <v>0</v>
      </c>
      <c r="BL822" s="2301">
        <f t="shared" si="765"/>
        <v>0</v>
      </c>
      <c r="BM822" s="2301">
        <f t="shared" si="765"/>
        <v>0</v>
      </c>
      <c r="BN822" s="2301">
        <f t="shared" si="765"/>
        <v>0</v>
      </c>
      <c r="BO822" s="2301">
        <f t="shared" si="765"/>
        <v>0</v>
      </c>
      <c r="BP822" s="2301">
        <f t="shared" si="765"/>
        <v>0</v>
      </c>
      <c r="BQ822" s="2301">
        <f t="shared" si="765"/>
        <v>0</v>
      </c>
      <c r="BR822" s="2301">
        <f t="shared" si="765"/>
        <v>0</v>
      </c>
      <c r="BS822" s="2301">
        <f t="shared" si="765"/>
        <v>0</v>
      </c>
      <c r="BT822" s="2301">
        <f t="shared" si="765"/>
        <v>0</v>
      </c>
      <c r="BU822" s="2302"/>
    </row>
    <row r="823" spans="37:73" s="742" customFormat="1">
      <c r="AK823" s="2294"/>
      <c r="AL823" s="2295" t="s">
        <v>1213</v>
      </c>
      <c r="AM823" s="2296" t="s">
        <v>1214</v>
      </c>
      <c r="AN823" s="2297"/>
      <c r="AO823" s="2288"/>
      <c r="AP823" s="2298">
        <f>-AP591+AN591</f>
        <v>0</v>
      </c>
      <c r="AQ823" s="2288"/>
      <c r="AR823" s="2288"/>
      <c r="AS823" s="2298">
        <f>-AS591+AP591</f>
        <v>0</v>
      </c>
      <c r="AT823" s="2299"/>
      <c r="AU823" s="2299"/>
      <c r="AV823" s="2298">
        <f>-AV591+AS591</f>
        <v>0</v>
      </c>
      <c r="AW823" s="2288"/>
      <c r="AX823" s="2300"/>
      <c r="AY823" s="2298">
        <f>-AY591+AS591</f>
        <v>0</v>
      </c>
      <c r="AZ823" s="2288"/>
      <c r="BA823" s="2300"/>
      <c r="BB823" s="2298">
        <f>IF(OR($C$3=$L$913,$C$3=0),-BB591+AY591,-BB591+AV591)</f>
        <v>0</v>
      </c>
      <c r="BC823" s="2288"/>
      <c r="BD823" s="2300"/>
      <c r="BE823" s="2301">
        <f>-BE591+AY591</f>
        <v>0</v>
      </c>
      <c r="BF823" s="2301">
        <f t="shared" ref="BF823:BT823" si="766">-BF591+BE591</f>
        <v>0</v>
      </c>
      <c r="BG823" s="2301">
        <f t="shared" si="766"/>
        <v>0</v>
      </c>
      <c r="BH823" s="2301">
        <f t="shared" si="766"/>
        <v>0</v>
      </c>
      <c r="BI823" s="2301">
        <f t="shared" si="766"/>
        <v>0</v>
      </c>
      <c r="BJ823" s="2301">
        <f t="shared" si="766"/>
        <v>0</v>
      </c>
      <c r="BK823" s="2301">
        <f t="shared" si="766"/>
        <v>0</v>
      </c>
      <c r="BL823" s="2301">
        <f t="shared" si="766"/>
        <v>0</v>
      </c>
      <c r="BM823" s="2301">
        <f t="shared" si="766"/>
        <v>0</v>
      </c>
      <c r="BN823" s="2301">
        <f t="shared" si="766"/>
        <v>0</v>
      </c>
      <c r="BO823" s="2301">
        <f t="shared" si="766"/>
        <v>0</v>
      </c>
      <c r="BP823" s="2301">
        <f t="shared" si="766"/>
        <v>0</v>
      </c>
      <c r="BQ823" s="2301">
        <f t="shared" si="766"/>
        <v>0</v>
      </c>
      <c r="BR823" s="2301">
        <f t="shared" si="766"/>
        <v>0</v>
      </c>
      <c r="BS823" s="2301">
        <f t="shared" si="766"/>
        <v>0</v>
      </c>
      <c r="BT823" s="2301">
        <f t="shared" si="766"/>
        <v>0</v>
      </c>
      <c r="BU823" s="2302"/>
    </row>
    <row r="824" spans="37:73" s="742" customFormat="1">
      <c r="AK824" s="2250"/>
      <c r="AL824" s="2251" t="s">
        <v>1215</v>
      </c>
      <c r="AM824" s="737" t="s">
        <v>1216</v>
      </c>
      <c r="AN824" s="991"/>
      <c r="AP824" s="738">
        <f>-AP680</f>
        <v>0</v>
      </c>
      <c r="AS824" s="738">
        <f>-AS680</f>
        <v>0</v>
      </c>
      <c r="AT824" s="2252"/>
      <c r="AU824" s="2252"/>
      <c r="AV824" s="738">
        <f>-AV680</f>
        <v>0</v>
      </c>
      <c r="AX824" s="2255"/>
      <c r="AY824" s="738">
        <f>-AY680</f>
        <v>0</v>
      </c>
      <c r="BA824" s="2255"/>
      <c r="BB824" s="738">
        <f>-BB680</f>
        <v>0</v>
      </c>
      <c r="BD824" s="2255"/>
      <c r="BE824" s="741">
        <f t="shared" ref="BE824:BT824" si="767">-BE680</f>
        <v>0</v>
      </c>
      <c r="BF824" s="741">
        <f t="shared" si="767"/>
        <v>0</v>
      </c>
      <c r="BG824" s="741">
        <f t="shared" si="767"/>
        <v>0</v>
      </c>
      <c r="BH824" s="741">
        <f t="shared" si="767"/>
        <v>0</v>
      </c>
      <c r="BI824" s="741">
        <f t="shared" si="767"/>
        <v>0</v>
      </c>
      <c r="BJ824" s="741">
        <f t="shared" si="767"/>
        <v>0</v>
      </c>
      <c r="BK824" s="741">
        <f t="shared" si="767"/>
        <v>0</v>
      </c>
      <c r="BL824" s="741">
        <f t="shared" si="767"/>
        <v>0</v>
      </c>
      <c r="BM824" s="741">
        <f t="shared" si="767"/>
        <v>0</v>
      </c>
      <c r="BN824" s="741">
        <f t="shared" si="767"/>
        <v>0</v>
      </c>
      <c r="BO824" s="741">
        <f t="shared" si="767"/>
        <v>0</v>
      </c>
      <c r="BP824" s="741">
        <f t="shared" si="767"/>
        <v>0</v>
      </c>
      <c r="BQ824" s="741">
        <f t="shared" si="767"/>
        <v>0</v>
      </c>
      <c r="BR824" s="741">
        <f t="shared" si="767"/>
        <v>0</v>
      </c>
      <c r="BS824" s="741">
        <f t="shared" si="767"/>
        <v>0</v>
      </c>
      <c r="BT824" s="741">
        <f t="shared" si="767"/>
        <v>0</v>
      </c>
      <c r="BU824" s="2254"/>
    </row>
    <row r="825" spans="37:73" s="742" customFormat="1">
      <c r="AK825" s="2229"/>
      <c r="AL825" s="2249">
        <v>20</v>
      </c>
      <c r="AM825" s="775" t="s">
        <v>1217</v>
      </c>
      <c r="AN825" s="995"/>
      <c r="AO825" s="721"/>
      <c r="AP825" s="776">
        <f>SUM(AP821:AP824)</f>
        <v>0</v>
      </c>
      <c r="AQ825" s="721"/>
      <c r="AR825" s="721"/>
      <c r="AS825" s="776">
        <f>SUM(AS821:AS824)</f>
        <v>0</v>
      </c>
      <c r="AT825" s="2234"/>
      <c r="AU825" s="2234"/>
      <c r="AV825" s="776">
        <f>SUM(AV821:AV824)</f>
        <v>0</v>
      </c>
      <c r="AW825" s="721"/>
      <c r="AX825" s="2235"/>
      <c r="AY825" s="776">
        <f>SUM(AY821:AY824)</f>
        <v>0</v>
      </c>
      <c r="AZ825" s="721"/>
      <c r="BA825" s="2235"/>
      <c r="BB825" s="776">
        <f>SUM(BB821:BB824)</f>
        <v>0</v>
      </c>
      <c r="BC825" s="721"/>
      <c r="BD825" s="2235"/>
      <c r="BE825" s="774">
        <f t="shared" ref="BE825:BT825" si="768">SUM(BE821:BE824)</f>
        <v>0</v>
      </c>
      <c r="BF825" s="774">
        <f t="shared" si="768"/>
        <v>0</v>
      </c>
      <c r="BG825" s="774">
        <f t="shared" si="768"/>
        <v>0</v>
      </c>
      <c r="BH825" s="774">
        <f t="shared" si="768"/>
        <v>0</v>
      </c>
      <c r="BI825" s="774">
        <f t="shared" si="768"/>
        <v>0</v>
      </c>
      <c r="BJ825" s="774">
        <f t="shared" si="768"/>
        <v>0</v>
      </c>
      <c r="BK825" s="774">
        <f t="shared" si="768"/>
        <v>0</v>
      </c>
      <c r="BL825" s="774">
        <f t="shared" si="768"/>
        <v>0</v>
      </c>
      <c r="BM825" s="774">
        <f t="shared" si="768"/>
        <v>0</v>
      </c>
      <c r="BN825" s="774">
        <f t="shared" si="768"/>
        <v>0</v>
      </c>
      <c r="BO825" s="774">
        <f t="shared" si="768"/>
        <v>0</v>
      </c>
      <c r="BP825" s="774">
        <f t="shared" si="768"/>
        <v>0</v>
      </c>
      <c r="BQ825" s="774">
        <f t="shared" si="768"/>
        <v>0</v>
      </c>
      <c r="BR825" s="774">
        <f t="shared" si="768"/>
        <v>0</v>
      </c>
      <c r="BS825" s="774">
        <f t="shared" si="768"/>
        <v>0</v>
      </c>
      <c r="BT825" s="774">
        <f t="shared" si="768"/>
        <v>0</v>
      </c>
      <c r="BU825" s="2237"/>
    </row>
    <row r="826" spans="37:73" s="742" customFormat="1">
      <c r="AK826" s="2250"/>
      <c r="AL826" s="2251" t="s">
        <v>1082</v>
      </c>
      <c r="AM826" s="737" t="s">
        <v>1218</v>
      </c>
      <c r="AN826" s="991"/>
      <c r="AP826" s="1013">
        <f>-(E113-C113)</f>
        <v>0</v>
      </c>
      <c r="AS826" s="738">
        <f>-(H113-E113)</f>
        <v>0</v>
      </c>
      <c r="AT826" s="2252"/>
      <c r="AU826" s="2252"/>
      <c r="AV826" s="738">
        <f>-(K113-E113)</f>
        <v>0</v>
      </c>
      <c r="AX826" s="2255"/>
      <c r="AY826" s="738">
        <f>-(N113-H113)</f>
        <v>0</v>
      </c>
      <c r="BA826" s="2255"/>
      <c r="BB826" s="738">
        <f>IF(OR($C$3=$L$913,$C$3=0),-(Q113-N113),-(Q113-K113))</f>
        <v>0</v>
      </c>
      <c r="BD826" s="2255"/>
      <c r="BE826" s="738">
        <f>-(T113-N113)</f>
        <v>0</v>
      </c>
      <c r="BF826" s="741">
        <f t="shared" ref="BF826:BT826" si="769">-(U113-T113)</f>
        <v>0</v>
      </c>
      <c r="BG826" s="741">
        <f t="shared" si="769"/>
        <v>0</v>
      </c>
      <c r="BH826" s="741">
        <f t="shared" si="769"/>
        <v>0</v>
      </c>
      <c r="BI826" s="741">
        <f t="shared" si="769"/>
        <v>0</v>
      </c>
      <c r="BJ826" s="741">
        <f t="shared" si="769"/>
        <v>0</v>
      </c>
      <c r="BK826" s="741">
        <f t="shared" si="769"/>
        <v>0</v>
      </c>
      <c r="BL826" s="741">
        <f t="shared" si="769"/>
        <v>0</v>
      </c>
      <c r="BM826" s="741">
        <f t="shared" si="769"/>
        <v>0</v>
      </c>
      <c r="BN826" s="741">
        <f t="shared" si="769"/>
        <v>0</v>
      </c>
      <c r="BO826" s="741">
        <f t="shared" si="769"/>
        <v>0</v>
      </c>
      <c r="BP826" s="741">
        <f t="shared" si="769"/>
        <v>0</v>
      </c>
      <c r="BQ826" s="741">
        <f t="shared" si="769"/>
        <v>0</v>
      </c>
      <c r="BR826" s="741">
        <f t="shared" si="769"/>
        <v>0</v>
      </c>
      <c r="BS826" s="741">
        <f t="shared" si="769"/>
        <v>0</v>
      </c>
      <c r="BT826" s="741">
        <f t="shared" si="769"/>
        <v>0</v>
      </c>
      <c r="BU826" s="2254"/>
    </row>
    <row r="827" spans="37:73" s="742" customFormat="1">
      <c r="AK827" s="2250"/>
      <c r="AL827" s="2251" t="s">
        <v>1083</v>
      </c>
      <c r="AM827" s="780" t="s">
        <v>1219</v>
      </c>
      <c r="AN827" s="1014"/>
      <c r="AP827" s="738">
        <f>-E114</f>
        <v>0</v>
      </c>
      <c r="AS827" s="738">
        <f>-H114</f>
        <v>0</v>
      </c>
      <c r="AT827" s="2252"/>
      <c r="AU827" s="2252"/>
      <c r="AV827" s="738">
        <f>-K114</f>
        <v>0</v>
      </c>
      <c r="AX827" s="2255"/>
      <c r="AY827" s="738">
        <f>-N114</f>
        <v>0</v>
      </c>
      <c r="BA827" s="2255"/>
      <c r="BB827" s="738">
        <f>-Q114</f>
        <v>0</v>
      </c>
      <c r="BD827" s="2255"/>
      <c r="BE827" s="738">
        <f t="shared" ref="BE827:BT827" si="770">-T114</f>
        <v>0</v>
      </c>
      <c r="BF827" s="741">
        <f t="shared" si="770"/>
        <v>0</v>
      </c>
      <c r="BG827" s="741">
        <f t="shared" si="770"/>
        <v>0</v>
      </c>
      <c r="BH827" s="741">
        <f t="shared" si="770"/>
        <v>0</v>
      </c>
      <c r="BI827" s="741">
        <f t="shared" si="770"/>
        <v>0</v>
      </c>
      <c r="BJ827" s="741">
        <f t="shared" si="770"/>
        <v>0</v>
      </c>
      <c r="BK827" s="741">
        <f t="shared" si="770"/>
        <v>0</v>
      </c>
      <c r="BL827" s="741">
        <f t="shared" si="770"/>
        <v>0</v>
      </c>
      <c r="BM827" s="741">
        <f t="shared" si="770"/>
        <v>0</v>
      </c>
      <c r="BN827" s="741">
        <f t="shared" si="770"/>
        <v>0</v>
      </c>
      <c r="BO827" s="741">
        <f t="shared" si="770"/>
        <v>0</v>
      </c>
      <c r="BP827" s="741">
        <f t="shared" si="770"/>
        <v>0</v>
      </c>
      <c r="BQ827" s="741">
        <f t="shared" si="770"/>
        <v>0</v>
      </c>
      <c r="BR827" s="741">
        <f t="shared" si="770"/>
        <v>0</v>
      </c>
      <c r="BS827" s="741">
        <f t="shared" si="770"/>
        <v>0</v>
      </c>
      <c r="BT827" s="741">
        <f t="shared" si="770"/>
        <v>0</v>
      </c>
      <c r="BU827" s="2254"/>
    </row>
    <row r="828" spans="37:73" s="742" customFormat="1">
      <c r="AK828" s="2250"/>
      <c r="AL828" s="2251" t="s">
        <v>1085</v>
      </c>
      <c r="AM828" s="780" t="s">
        <v>1220</v>
      </c>
      <c r="AN828" s="1014"/>
      <c r="AP828" s="738">
        <f>E115</f>
        <v>0</v>
      </c>
      <c r="AS828" s="738">
        <f>H115</f>
        <v>0</v>
      </c>
      <c r="AT828" s="2252"/>
      <c r="AU828" s="2252"/>
      <c r="AV828" s="738">
        <f>K115</f>
        <v>0</v>
      </c>
      <c r="AX828" s="2255"/>
      <c r="AY828" s="738">
        <f>N115</f>
        <v>0</v>
      </c>
      <c r="BA828" s="2255"/>
      <c r="BB828" s="738">
        <f>Q115</f>
        <v>0</v>
      </c>
      <c r="BD828" s="2255"/>
      <c r="BE828" s="738">
        <f t="shared" ref="BE828:BT828" si="771">T115</f>
        <v>0</v>
      </c>
      <c r="BF828" s="741">
        <f t="shared" si="771"/>
        <v>0</v>
      </c>
      <c r="BG828" s="741">
        <f t="shared" si="771"/>
        <v>0</v>
      </c>
      <c r="BH828" s="741">
        <f t="shared" si="771"/>
        <v>0</v>
      </c>
      <c r="BI828" s="741">
        <f t="shared" si="771"/>
        <v>0</v>
      </c>
      <c r="BJ828" s="741">
        <f t="shared" si="771"/>
        <v>0</v>
      </c>
      <c r="BK828" s="741">
        <f t="shared" si="771"/>
        <v>0</v>
      </c>
      <c r="BL828" s="741">
        <f t="shared" si="771"/>
        <v>0</v>
      </c>
      <c r="BM828" s="741">
        <f t="shared" si="771"/>
        <v>0</v>
      </c>
      <c r="BN828" s="741">
        <f t="shared" si="771"/>
        <v>0</v>
      </c>
      <c r="BO828" s="741">
        <f t="shared" si="771"/>
        <v>0</v>
      </c>
      <c r="BP828" s="741">
        <f t="shared" si="771"/>
        <v>0</v>
      </c>
      <c r="BQ828" s="741">
        <f t="shared" si="771"/>
        <v>0</v>
      </c>
      <c r="BR828" s="741">
        <f t="shared" si="771"/>
        <v>0</v>
      </c>
      <c r="BS828" s="741">
        <f t="shared" si="771"/>
        <v>0</v>
      </c>
      <c r="BT828" s="741">
        <f t="shared" si="771"/>
        <v>0</v>
      </c>
      <c r="BU828" s="2254"/>
    </row>
    <row r="829" spans="37:73" s="742" customFormat="1">
      <c r="AK829" s="2250"/>
      <c r="AL829" s="2251" t="s">
        <v>1221</v>
      </c>
      <c r="AM829" s="780" t="s">
        <v>1222</v>
      </c>
      <c r="AN829" s="1014"/>
      <c r="AP829" s="738">
        <f>-(E118-C118)</f>
        <v>0</v>
      </c>
      <c r="AS829" s="738">
        <f>-(H118-E118)</f>
        <v>0</v>
      </c>
      <c r="AT829" s="2252"/>
      <c r="AU829" s="2252"/>
      <c r="AV829" s="738">
        <f>-(K118-E118)</f>
        <v>0</v>
      </c>
      <c r="AX829" s="2255"/>
      <c r="AY829" s="738">
        <f>-(N118-H118)</f>
        <v>0</v>
      </c>
      <c r="BA829" s="2255"/>
      <c r="BB829" s="738">
        <f>IF(OR($C$3=$L$913,$C$3=0),-(Q118-N118),-(Q118-K118))</f>
        <v>0</v>
      </c>
      <c r="BD829" s="2255"/>
      <c r="BE829" s="738">
        <f>-(T118-N118)</f>
        <v>0</v>
      </c>
      <c r="BF829" s="741">
        <f t="shared" ref="BF829:BT829" si="772">-(U118-T118)</f>
        <v>0</v>
      </c>
      <c r="BG829" s="741">
        <f t="shared" si="772"/>
        <v>0</v>
      </c>
      <c r="BH829" s="741">
        <f t="shared" si="772"/>
        <v>0</v>
      </c>
      <c r="BI829" s="741">
        <f t="shared" si="772"/>
        <v>0</v>
      </c>
      <c r="BJ829" s="741">
        <f t="shared" si="772"/>
        <v>0</v>
      </c>
      <c r="BK829" s="741">
        <f t="shared" si="772"/>
        <v>0</v>
      </c>
      <c r="BL829" s="741">
        <f t="shared" si="772"/>
        <v>0</v>
      </c>
      <c r="BM829" s="741">
        <f t="shared" si="772"/>
        <v>0</v>
      </c>
      <c r="BN829" s="741">
        <f t="shared" si="772"/>
        <v>0</v>
      </c>
      <c r="BO829" s="741">
        <f t="shared" si="772"/>
        <v>0</v>
      </c>
      <c r="BP829" s="741">
        <f t="shared" si="772"/>
        <v>0</v>
      </c>
      <c r="BQ829" s="741">
        <f t="shared" si="772"/>
        <v>0</v>
      </c>
      <c r="BR829" s="741">
        <f t="shared" si="772"/>
        <v>0</v>
      </c>
      <c r="BS829" s="741">
        <f t="shared" si="772"/>
        <v>0</v>
      </c>
      <c r="BT829" s="741">
        <f t="shared" si="772"/>
        <v>0</v>
      </c>
      <c r="BU829" s="2254"/>
    </row>
    <row r="830" spans="37:73" s="742" customFormat="1">
      <c r="AK830" s="2250"/>
      <c r="AL830" s="2251" t="s">
        <v>1223</v>
      </c>
      <c r="AM830" s="780" t="s">
        <v>1224</v>
      </c>
      <c r="AN830" s="1014"/>
      <c r="AP830" s="738">
        <f>-(E116-C116)</f>
        <v>0</v>
      </c>
      <c r="AS830" s="738">
        <f>-(H116-E116)</f>
        <v>0</v>
      </c>
      <c r="AT830" s="2252"/>
      <c r="AU830" s="2252"/>
      <c r="AV830" s="738">
        <f>-(K116-E116)</f>
        <v>0</v>
      </c>
      <c r="AX830" s="2255"/>
      <c r="AY830" s="738">
        <f>-(N116-H116)</f>
        <v>0</v>
      </c>
      <c r="BA830" s="2255"/>
      <c r="BB830" s="738">
        <f>IF(OR($C$3=$L$913,$C$3=0),-(Q116-N116),-(Q116-K116))</f>
        <v>0</v>
      </c>
      <c r="BD830" s="2255"/>
      <c r="BE830" s="738">
        <f>-(T116-N116)</f>
        <v>0</v>
      </c>
      <c r="BF830" s="741">
        <f t="shared" ref="BF830:BT830" si="773">-(U116-T116)</f>
        <v>0</v>
      </c>
      <c r="BG830" s="741">
        <f t="shared" si="773"/>
        <v>0</v>
      </c>
      <c r="BH830" s="741">
        <f t="shared" si="773"/>
        <v>0</v>
      </c>
      <c r="BI830" s="741">
        <f t="shared" si="773"/>
        <v>0</v>
      </c>
      <c r="BJ830" s="741">
        <f t="shared" si="773"/>
        <v>0</v>
      </c>
      <c r="BK830" s="741">
        <f t="shared" si="773"/>
        <v>0</v>
      </c>
      <c r="BL830" s="741">
        <f t="shared" si="773"/>
        <v>0</v>
      </c>
      <c r="BM830" s="741">
        <f t="shared" si="773"/>
        <v>0</v>
      </c>
      <c r="BN830" s="741">
        <f t="shared" si="773"/>
        <v>0</v>
      </c>
      <c r="BO830" s="741">
        <f t="shared" si="773"/>
        <v>0</v>
      </c>
      <c r="BP830" s="741">
        <f t="shared" si="773"/>
        <v>0</v>
      </c>
      <c r="BQ830" s="741">
        <f t="shared" si="773"/>
        <v>0</v>
      </c>
      <c r="BR830" s="741">
        <f t="shared" si="773"/>
        <v>0</v>
      </c>
      <c r="BS830" s="741">
        <f t="shared" si="773"/>
        <v>0</v>
      </c>
      <c r="BT830" s="741">
        <f t="shared" si="773"/>
        <v>0</v>
      </c>
      <c r="BU830" s="2254"/>
    </row>
    <row r="831" spans="37:73" s="742" customFormat="1">
      <c r="AK831" s="2250"/>
      <c r="AL831" s="2251" t="s">
        <v>1225</v>
      </c>
      <c r="AM831" s="780" t="s">
        <v>1226</v>
      </c>
      <c r="AN831" s="1014"/>
      <c r="AP831" s="738">
        <f>E117-C117</f>
        <v>0</v>
      </c>
      <c r="AS831" s="738">
        <f>H117-E117</f>
        <v>0</v>
      </c>
      <c r="AT831" s="2252"/>
      <c r="AU831" s="2252"/>
      <c r="AV831" s="738">
        <f>K117-E117</f>
        <v>0</v>
      </c>
      <c r="AX831" s="2255"/>
      <c r="AY831" s="738">
        <f>N117-H117</f>
        <v>0</v>
      </c>
      <c r="BA831" s="2255"/>
      <c r="BB831" s="738">
        <f>IF(OR($C$3=$L$913,$C$3=0),Q117-N117,Q117-K117)</f>
        <v>0</v>
      </c>
      <c r="BD831" s="2255"/>
      <c r="BE831" s="738">
        <f>T117-N117</f>
        <v>0</v>
      </c>
      <c r="BF831" s="741">
        <f t="shared" ref="BF831:BT831" si="774">U117-T117</f>
        <v>0</v>
      </c>
      <c r="BG831" s="741">
        <f t="shared" si="774"/>
        <v>0</v>
      </c>
      <c r="BH831" s="741">
        <f t="shared" si="774"/>
        <v>0</v>
      </c>
      <c r="BI831" s="741">
        <f t="shared" si="774"/>
        <v>0</v>
      </c>
      <c r="BJ831" s="741">
        <f t="shared" si="774"/>
        <v>0</v>
      </c>
      <c r="BK831" s="741">
        <f t="shared" si="774"/>
        <v>0</v>
      </c>
      <c r="BL831" s="741">
        <f t="shared" si="774"/>
        <v>0</v>
      </c>
      <c r="BM831" s="741">
        <f t="shared" si="774"/>
        <v>0</v>
      </c>
      <c r="BN831" s="741">
        <f t="shared" si="774"/>
        <v>0</v>
      </c>
      <c r="BO831" s="741">
        <f t="shared" si="774"/>
        <v>0</v>
      </c>
      <c r="BP831" s="741">
        <f t="shared" si="774"/>
        <v>0</v>
      </c>
      <c r="BQ831" s="741">
        <f t="shared" si="774"/>
        <v>0</v>
      </c>
      <c r="BR831" s="741">
        <f t="shared" si="774"/>
        <v>0</v>
      </c>
      <c r="BS831" s="741">
        <f t="shared" si="774"/>
        <v>0</v>
      </c>
      <c r="BT831" s="741">
        <f t="shared" si="774"/>
        <v>0</v>
      </c>
      <c r="BU831" s="2254"/>
    </row>
    <row r="832" spans="37:73" s="742" customFormat="1">
      <c r="AK832" s="2250"/>
      <c r="AL832" s="2251" t="s">
        <v>1227</v>
      </c>
      <c r="AM832" s="780" t="s">
        <v>1228</v>
      </c>
      <c r="AN832" s="1014"/>
      <c r="AP832" s="738">
        <f>-(E119-C119)</f>
        <v>0</v>
      </c>
      <c r="AS832" s="738">
        <f>-(H119-E119)</f>
        <v>0</v>
      </c>
      <c r="AT832" s="2252"/>
      <c r="AU832" s="2252"/>
      <c r="AV832" s="738">
        <f>-(K119-E119)</f>
        <v>0</v>
      </c>
      <c r="AX832" s="2253"/>
      <c r="AY832" s="738">
        <f>-(N119-H119)</f>
        <v>0</v>
      </c>
      <c r="BA832" s="2253"/>
      <c r="BB832" s="738">
        <f>IF(OR($C$3=$L$913,$C$3=0),-(Q119-N119),-(Q119-K119))</f>
        <v>0</v>
      </c>
      <c r="BD832" s="2253"/>
      <c r="BE832" s="738">
        <f>-(T119-N119)</f>
        <v>0</v>
      </c>
      <c r="BF832" s="741">
        <f t="shared" ref="BF832:BT832" si="775">-(U119-T119)</f>
        <v>0</v>
      </c>
      <c r="BG832" s="741">
        <f t="shared" si="775"/>
        <v>0</v>
      </c>
      <c r="BH832" s="741">
        <f t="shared" si="775"/>
        <v>0</v>
      </c>
      <c r="BI832" s="741">
        <f t="shared" si="775"/>
        <v>0</v>
      </c>
      <c r="BJ832" s="741">
        <f t="shared" si="775"/>
        <v>0</v>
      </c>
      <c r="BK832" s="741">
        <f t="shared" si="775"/>
        <v>0</v>
      </c>
      <c r="BL832" s="741">
        <f t="shared" si="775"/>
        <v>0</v>
      </c>
      <c r="BM832" s="741">
        <f t="shared" si="775"/>
        <v>0</v>
      </c>
      <c r="BN832" s="741">
        <f t="shared" si="775"/>
        <v>0</v>
      </c>
      <c r="BO832" s="741">
        <f t="shared" si="775"/>
        <v>0</v>
      </c>
      <c r="BP832" s="741">
        <f t="shared" si="775"/>
        <v>0</v>
      </c>
      <c r="BQ832" s="741">
        <f t="shared" si="775"/>
        <v>0</v>
      </c>
      <c r="BR832" s="741">
        <f t="shared" si="775"/>
        <v>0</v>
      </c>
      <c r="BS832" s="741">
        <f t="shared" si="775"/>
        <v>0</v>
      </c>
      <c r="BT832" s="741">
        <f t="shared" si="775"/>
        <v>0</v>
      </c>
      <c r="BU832" s="2254"/>
    </row>
    <row r="833" spans="32:129" s="721" customFormat="1">
      <c r="AK833" s="2250"/>
      <c r="AL833" s="2251" t="s">
        <v>1229</v>
      </c>
      <c r="AM833" s="780" t="s">
        <v>1230</v>
      </c>
      <c r="AN833" s="1014"/>
      <c r="AO833" s="742"/>
      <c r="AP833" s="738">
        <f>E120-C120</f>
        <v>0</v>
      </c>
      <c r="AQ833" s="742"/>
      <c r="AR833" s="742"/>
      <c r="AS833" s="738">
        <f>H120-E120</f>
        <v>0</v>
      </c>
      <c r="AT833" s="2252"/>
      <c r="AU833" s="2252"/>
      <c r="AV833" s="738">
        <f>K120-E120</f>
        <v>0</v>
      </c>
      <c r="AW833" s="742"/>
      <c r="AX833" s="2255"/>
      <c r="AY833" s="738">
        <f>N120-H120</f>
        <v>0</v>
      </c>
      <c r="AZ833" s="742"/>
      <c r="BA833" s="2255"/>
      <c r="BB833" s="738">
        <f>IF(OR($C$3=$L$913,$C$3=0),Q120-N120,Q120-K120)</f>
        <v>0</v>
      </c>
      <c r="BC833" s="742"/>
      <c r="BD833" s="2255"/>
      <c r="BE833" s="738">
        <f>T120-N120</f>
        <v>0</v>
      </c>
      <c r="BF833" s="741">
        <f t="shared" ref="BF833:BT833" si="776">U120-T120</f>
        <v>0</v>
      </c>
      <c r="BG833" s="741">
        <f t="shared" si="776"/>
        <v>0</v>
      </c>
      <c r="BH833" s="741">
        <f t="shared" si="776"/>
        <v>0</v>
      </c>
      <c r="BI833" s="741">
        <f t="shared" si="776"/>
        <v>0</v>
      </c>
      <c r="BJ833" s="741">
        <f t="shared" si="776"/>
        <v>0</v>
      </c>
      <c r="BK833" s="741">
        <f t="shared" si="776"/>
        <v>0</v>
      </c>
      <c r="BL833" s="741">
        <f t="shared" si="776"/>
        <v>0</v>
      </c>
      <c r="BM833" s="741">
        <f t="shared" si="776"/>
        <v>0</v>
      </c>
      <c r="BN833" s="741">
        <f t="shared" si="776"/>
        <v>0</v>
      </c>
      <c r="BO833" s="741">
        <f t="shared" si="776"/>
        <v>0</v>
      </c>
      <c r="BP833" s="741">
        <f t="shared" si="776"/>
        <v>0</v>
      </c>
      <c r="BQ833" s="741">
        <f t="shared" si="776"/>
        <v>0</v>
      </c>
      <c r="BR833" s="741">
        <f t="shared" si="776"/>
        <v>0</v>
      </c>
      <c r="BS833" s="741">
        <f t="shared" si="776"/>
        <v>0</v>
      </c>
      <c r="BT833" s="741">
        <f t="shared" si="776"/>
        <v>0</v>
      </c>
      <c r="BU833" s="2254"/>
    </row>
    <row r="834" spans="32:129" s="721" customFormat="1">
      <c r="AK834" s="2250"/>
      <c r="AL834" s="2251" t="s">
        <v>1231</v>
      </c>
      <c r="AM834" s="780" t="s">
        <v>1232</v>
      </c>
      <c r="AN834" s="1014"/>
      <c r="AO834" s="742"/>
      <c r="AP834" s="738">
        <f>-(E121-C121)</f>
        <v>0</v>
      </c>
      <c r="AQ834" s="742"/>
      <c r="AR834" s="742"/>
      <c r="AS834" s="738">
        <f>-(H121-E121)</f>
        <v>0</v>
      </c>
      <c r="AT834" s="2252"/>
      <c r="AU834" s="2252"/>
      <c r="AV834" s="738">
        <f>-(K121-E121)</f>
        <v>0</v>
      </c>
      <c r="AW834" s="742"/>
      <c r="AX834" s="2255"/>
      <c r="AY834" s="738">
        <f>-(N121-H121)</f>
        <v>0</v>
      </c>
      <c r="AZ834" s="742"/>
      <c r="BA834" s="2255"/>
      <c r="BB834" s="738">
        <f>IF(OR($C$3=$L$913,$C$3=0),-(Q121-N121)-(Q121-N121),-(Q121-K121))</f>
        <v>0</v>
      </c>
      <c r="BC834" s="742"/>
      <c r="BD834" s="2255"/>
      <c r="BE834" s="738">
        <f>-(T121-N121)</f>
        <v>0</v>
      </c>
      <c r="BF834" s="741">
        <f t="shared" ref="BF834:BT834" si="777">-(U121-T121)</f>
        <v>0</v>
      </c>
      <c r="BG834" s="741">
        <f t="shared" si="777"/>
        <v>0</v>
      </c>
      <c r="BH834" s="741">
        <f t="shared" si="777"/>
        <v>0</v>
      </c>
      <c r="BI834" s="741">
        <f t="shared" si="777"/>
        <v>0</v>
      </c>
      <c r="BJ834" s="741">
        <f t="shared" si="777"/>
        <v>0</v>
      </c>
      <c r="BK834" s="741">
        <f t="shared" si="777"/>
        <v>0</v>
      </c>
      <c r="BL834" s="741">
        <f t="shared" si="777"/>
        <v>0</v>
      </c>
      <c r="BM834" s="741">
        <f t="shared" si="777"/>
        <v>0</v>
      </c>
      <c r="BN834" s="741">
        <f t="shared" si="777"/>
        <v>0</v>
      </c>
      <c r="BO834" s="741">
        <f t="shared" si="777"/>
        <v>0</v>
      </c>
      <c r="BP834" s="741">
        <f t="shared" si="777"/>
        <v>0</v>
      </c>
      <c r="BQ834" s="741">
        <f t="shared" si="777"/>
        <v>0</v>
      </c>
      <c r="BR834" s="741">
        <f t="shared" si="777"/>
        <v>0</v>
      </c>
      <c r="BS834" s="741">
        <f t="shared" si="777"/>
        <v>0</v>
      </c>
      <c r="BT834" s="741">
        <f t="shared" si="777"/>
        <v>0</v>
      </c>
      <c r="BU834" s="2254"/>
    </row>
    <row r="835" spans="32:129" s="536" customFormat="1">
      <c r="AK835" s="2250"/>
      <c r="AL835" s="2251" t="s">
        <v>1233</v>
      </c>
      <c r="AM835" s="780" t="s">
        <v>1234</v>
      </c>
      <c r="AN835" s="1014"/>
      <c r="AO835" s="742"/>
      <c r="AP835" s="738">
        <f>E122-C122</f>
        <v>0</v>
      </c>
      <c r="AQ835" s="742"/>
      <c r="AR835" s="742"/>
      <c r="AS835" s="738">
        <f>H122-E122</f>
        <v>0</v>
      </c>
      <c r="AT835" s="2252"/>
      <c r="AU835" s="2252"/>
      <c r="AV835" s="738">
        <f>K122-E122</f>
        <v>0</v>
      </c>
      <c r="AW835" s="742"/>
      <c r="AX835" s="2255"/>
      <c r="AY835" s="738">
        <f>N122-H122</f>
        <v>0</v>
      </c>
      <c r="AZ835" s="742"/>
      <c r="BA835" s="2255"/>
      <c r="BB835" s="738">
        <f>IF(OR($C$3=$L$913,$C$3=0),Q122-N122,Q122-K122)</f>
        <v>0</v>
      </c>
      <c r="BC835" s="742"/>
      <c r="BD835" s="2255"/>
      <c r="BE835" s="738">
        <f>T122-N122</f>
        <v>0</v>
      </c>
      <c r="BF835" s="741">
        <f t="shared" ref="BF835:BT835" si="778">U122-T122</f>
        <v>0</v>
      </c>
      <c r="BG835" s="741">
        <f t="shared" si="778"/>
        <v>0</v>
      </c>
      <c r="BH835" s="741">
        <f t="shared" si="778"/>
        <v>0</v>
      </c>
      <c r="BI835" s="741">
        <f t="shared" si="778"/>
        <v>0</v>
      </c>
      <c r="BJ835" s="741">
        <f t="shared" si="778"/>
        <v>0</v>
      </c>
      <c r="BK835" s="741">
        <f t="shared" si="778"/>
        <v>0</v>
      </c>
      <c r="BL835" s="741">
        <f t="shared" si="778"/>
        <v>0</v>
      </c>
      <c r="BM835" s="741">
        <f t="shared" si="778"/>
        <v>0</v>
      </c>
      <c r="BN835" s="741">
        <f t="shared" si="778"/>
        <v>0</v>
      </c>
      <c r="BO835" s="741">
        <f t="shared" si="778"/>
        <v>0</v>
      </c>
      <c r="BP835" s="741">
        <f t="shared" si="778"/>
        <v>0</v>
      </c>
      <c r="BQ835" s="741">
        <f t="shared" si="778"/>
        <v>0</v>
      </c>
      <c r="BR835" s="741">
        <f t="shared" si="778"/>
        <v>0</v>
      </c>
      <c r="BS835" s="741">
        <f t="shared" si="778"/>
        <v>0</v>
      </c>
      <c r="BT835" s="741">
        <f t="shared" si="778"/>
        <v>0</v>
      </c>
      <c r="BU835" s="2254"/>
      <c r="BZ835" s="535"/>
    </row>
    <row r="836" spans="32:129" s="536" customFormat="1" ht="15.5">
      <c r="AK836" s="2250"/>
      <c r="AL836" s="2251" t="s">
        <v>1235</v>
      </c>
      <c r="AM836" s="780" t="s">
        <v>1236</v>
      </c>
      <c r="AN836" s="1014"/>
      <c r="AO836" s="742"/>
      <c r="AP836" s="738">
        <f>(AP653-AN653)+E230</f>
        <v>0</v>
      </c>
      <c r="AQ836" s="742"/>
      <c r="AR836" s="742"/>
      <c r="AS836" s="738">
        <f>(AS653-AP653)+H230</f>
        <v>0</v>
      </c>
      <c r="AT836" s="2252"/>
      <c r="AU836" s="2252"/>
      <c r="AV836" s="738">
        <f>(AV653-AS653)+K230</f>
        <v>0</v>
      </c>
      <c r="AW836" s="742"/>
      <c r="AX836" s="2255"/>
      <c r="AY836" s="738">
        <f>(AY653-AS653)+N230</f>
        <v>0</v>
      </c>
      <c r="AZ836" s="742"/>
      <c r="BA836" s="2255"/>
      <c r="BB836" s="738">
        <f>IF(OR($C$3=$L$913,$C$3=0),(BB653-AY653)+Q230,(BB653-AV653)+Q230)</f>
        <v>0</v>
      </c>
      <c r="BC836" s="742"/>
      <c r="BD836" s="2255"/>
      <c r="BE836" s="738">
        <f>(BE653-AY653)+T230</f>
        <v>0</v>
      </c>
      <c r="BF836" s="741">
        <f t="shared" ref="BF836:BT836" si="779">(BF653-BE653)+U230</f>
        <v>0</v>
      </c>
      <c r="BG836" s="741">
        <f t="shared" si="779"/>
        <v>0</v>
      </c>
      <c r="BH836" s="741">
        <f t="shared" si="779"/>
        <v>0</v>
      </c>
      <c r="BI836" s="741">
        <f t="shared" si="779"/>
        <v>0</v>
      </c>
      <c r="BJ836" s="741">
        <f t="shared" si="779"/>
        <v>0</v>
      </c>
      <c r="BK836" s="741">
        <f t="shared" si="779"/>
        <v>0</v>
      </c>
      <c r="BL836" s="741">
        <f t="shared" si="779"/>
        <v>0</v>
      </c>
      <c r="BM836" s="741">
        <f t="shared" si="779"/>
        <v>0</v>
      </c>
      <c r="BN836" s="741">
        <f t="shared" si="779"/>
        <v>0</v>
      </c>
      <c r="BO836" s="741">
        <f t="shared" si="779"/>
        <v>0</v>
      </c>
      <c r="BP836" s="741">
        <f t="shared" si="779"/>
        <v>0</v>
      </c>
      <c r="BQ836" s="741">
        <f t="shared" si="779"/>
        <v>0</v>
      </c>
      <c r="BR836" s="741">
        <f t="shared" si="779"/>
        <v>0</v>
      </c>
      <c r="BS836" s="741">
        <f t="shared" si="779"/>
        <v>0</v>
      </c>
      <c r="BT836" s="741">
        <f t="shared" si="779"/>
        <v>0</v>
      </c>
      <c r="BU836" s="2254"/>
      <c r="CC836" s="2303" t="s">
        <v>1469</v>
      </c>
    </row>
    <row r="837" spans="32:129" s="536" customFormat="1" ht="15.5">
      <c r="AK837" s="2250"/>
      <c r="AL837" s="2251" t="s">
        <v>1237</v>
      </c>
      <c r="AM837" s="780" t="s">
        <v>1238</v>
      </c>
      <c r="AN837" s="1014"/>
      <c r="AO837" s="742"/>
      <c r="AP837" s="738">
        <f>AP666</f>
        <v>0</v>
      </c>
      <c r="AQ837" s="742"/>
      <c r="AR837" s="742"/>
      <c r="AS837" s="738">
        <f>AS666</f>
        <v>0</v>
      </c>
      <c r="AT837" s="2252"/>
      <c r="AU837" s="2252"/>
      <c r="AV837" s="738">
        <f>AV666</f>
        <v>0</v>
      </c>
      <c r="AW837" s="742"/>
      <c r="AX837" s="2255"/>
      <c r="AY837" s="738">
        <f>AY666</f>
        <v>0</v>
      </c>
      <c r="AZ837" s="742"/>
      <c r="BA837" s="2255"/>
      <c r="BB837" s="738">
        <f>BB666</f>
        <v>0</v>
      </c>
      <c r="BC837" s="742"/>
      <c r="BD837" s="2255"/>
      <c r="BE837" s="738">
        <f t="shared" ref="BE837:BT837" si="780">BE666</f>
        <v>0</v>
      </c>
      <c r="BF837" s="741">
        <f t="shared" si="780"/>
        <v>0</v>
      </c>
      <c r="BG837" s="741">
        <f t="shared" si="780"/>
        <v>0</v>
      </c>
      <c r="BH837" s="741">
        <f t="shared" si="780"/>
        <v>0</v>
      </c>
      <c r="BI837" s="741">
        <f t="shared" si="780"/>
        <v>0</v>
      </c>
      <c r="BJ837" s="741">
        <f t="shared" si="780"/>
        <v>0</v>
      </c>
      <c r="BK837" s="741">
        <f t="shared" si="780"/>
        <v>0</v>
      </c>
      <c r="BL837" s="741">
        <f t="shared" si="780"/>
        <v>0</v>
      </c>
      <c r="BM837" s="741">
        <f t="shared" si="780"/>
        <v>0</v>
      </c>
      <c r="BN837" s="741">
        <f t="shared" si="780"/>
        <v>0</v>
      </c>
      <c r="BO837" s="741">
        <f t="shared" si="780"/>
        <v>0</v>
      </c>
      <c r="BP837" s="741">
        <f t="shared" si="780"/>
        <v>0</v>
      </c>
      <c r="BQ837" s="741">
        <f t="shared" si="780"/>
        <v>0</v>
      </c>
      <c r="BR837" s="741">
        <f t="shared" si="780"/>
        <v>0</v>
      </c>
      <c r="BS837" s="741">
        <f t="shared" si="780"/>
        <v>0</v>
      </c>
      <c r="BT837" s="741">
        <f t="shared" si="780"/>
        <v>0</v>
      </c>
      <c r="BU837" s="2254"/>
      <c r="CC837" s="2304" t="s">
        <v>1470</v>
      </c>
    </row>
    <row r="838" spans="32:129" s="803" customFormat="1" ht="15.5">
      <c r="AK838" s="2229"/>
      <c r="AL838" s="2227">
        <v>21</v>
      </c>
      <c r="AM838" s="2279" t="s">
        <v>1239</v>
      </c>
      <c r="AN838" s="2305"/>
      <c r="AO838" s="721"/>
      <c r="AP838" s="776">
        <f>SUM(AP826:AP837)</f>
        <v>0</v>
      </c>
      <c r="AQ838" s="721"/>
      <c r="AR838" s="721"/>
      <c r="AS838" s="776">
        <f>SUM(AS826:AS837)</f>
        <v>0</v>
      </c>
      <c r="AT838" s="2234"/>
      <c r="AU838" s="2234"/>
      <c r="AV838" s="776">
        <f>SUM(AV826:AV837)</f>
        <v>0</v>
      </c>
      <c r="AW838" s="721"/>
      <c r="AX838" s="2235"/>
      <c r="AY838" s="776">
        <f>SUM(AY826:AY837)</f>
        <v>0</v>
      </c>
      <c r="AZ838" s="721"/>
      <c r="BA838" s="2235"/>
      <c r="BB838" s="776">
        <f>SUM(BB826:BB837)</f>
        <v>0</v>
      </c>
      <c r="BC838" s="721"/>
      <c r="BD838" s="2235"/>
      <c r="BE838" s="776">
        <f t="shared" ref="BE838:BT838" si="781">SUM(BE826:BE837)</f>
        <v>0</v>
      </c>
      <c r="BF838" s="774">
        <f t="shared" si="781"/>
        <v>0</v>
      </c>
      <c r="BG838" s="774">
        <f t="shared" si="781"/>
        <v>0</v>
      </c>
      <c r="BH838" s="774">
        <f t="shared" si="781"/>
        <v>0</v>
      </c>
      <c r="BI838" s="774">
        <f t="shared" si="781"/>
        <v>0</v>
      </c>
      <c r="BJ838" s="774">
        <f t="shared" si="781"/>
        <v>0</v>
      </c>
      <c r="BK838" s="774">
        <f t="shared" si="781"/>
        <v>0</v>
      </c>
      <c r="BL838" s="774">
        <f t="shared" si="781"/>
        <v>0</v>
      </c>
      <c r="BM838" s="774">
        <f t="shared" si="781"/>
        <v>0</v>
      </c>
      <c r="BN838" s="774">
        <f t="shared" si="781"/>
        <v>0</v>
      </c>
      <c r="BO838" s="774">
        <f t="shared" si="781"/>
        <v>0</v>
      </c>
      <c r="BP838" s="774">
        <f t="shared" si="781"/>
        <v>0</v>
      </c>
      <c r="BQ838" s="774">
        <f t="shared" si="781"/>
        <v>0</v>
      </c>
      <c r="BR838" s="774">
        <f t="shared" si="781"/>
        <v>0</v>
      </c>
      <c r="BS838" s="774">
        <f t="shared" si="781"/>
        <v>0</v>
      </c>
      <c r="BT838" s="774">
        <f t="shared" si="781"/>
        <v>0</v>
      </c>
      <c r="BU838" s="2237"/>
      <c r="CC838" s="2304" t="s">
        <v>1471</v>
      </c>
    </row>
    <row r="839" spans="32:129" s="803" customFormat="1">
      <c r="AK839" s="2229"/>
      <c r="AL839" s="2230"/>
      <c r="AM839" s="2306" t="s">
        <v>1240</v>
      </c>
      <c r="AN839" s="2307"/>
      <c r="AO839" s="721"/>
      <c r="AP839" s="2260">
        <f>AP825+AP838</f>
        <v>0</v>
      </c>
      <c r="AQ839" s="721"/>
      <c r="AR839" s="721"/>
      <c r="AS839" s="2260">
        <f>AS825+AS838</f>
        <v>0</v>
      </c>
      <c r="AT839" s="2234"/>
      <c r="AU839" s="2234"/>
      <c r="AV839" s="2260">
        <f>AV825+AV838</f>
        <v>0</v>
      </c>
      <c r="AW839" s="721"/>
      <c r="AX839" s="2235"/>
      <c r="AY839" s="2260">
        <f>AY825+AY838</f>
        <v>0</v>
      </c>
      <c r="AZ839" s="721"/>
      <c r="BA839" s="2235"/>
      <c r="BB839" s="2260">
        <f>BB825+BB838</f>
        <v>0</v>
      </c>
      <c r="BC839" s="721"/>
      <c r="BD839" s="2235"/>
      <c r="BE839" s="2247">
        <f t="shared" ref="BE839:BT839" si="782">BE825+BE838</f>
        <v>0</v>
      </c>
      <c r="BF839" s="2247">
        <f t="shared" si="782"/>
        <v>0</v>
      </c>
      <c r="BG839" s="2247">
        <f t="shared" si="782"/>
        <v>0</v>
      </c>
      <c r="BH839" s="2247">
        <f t="shared" si="782"/>
        <v>0</v>
      </c>
      <c r="BI839" s="2247">
        <f t="shared" si="782"/>
        <v>0</v>
      </c>
      <c r="BJ839" s="2247">
        <f t="shared" si="782"/>
        <v>0</v>
      </c>
      <c r="BK839" s="2247">
        <f t="shared" si="782"/>
        <v>0</v>
      </c>
      <c r="BL839" s="2247">
        <f t="shared" si="782"/>
        <v>0</v>
      </c>
      <c r="BM839" s="2247">
        <f t="shared" si="782"/>
        <v>0</v>
      </c>
      <c r="BN839" s="2247">
        <f t="shared" si="782"/>
        <v>0</v>
      </c>
      <c r="BO839" s="2247">
        <f t="shared" si="782"/>
        <v>0</v>
      </c>
      <c r="BP839" s="2247">
        <f t="shared" si="782"/>
        <v>0</v>
      </c>
      <c r="BQ839" s="2247">
        <f t="shared" si="782"/>
        <v>0</v>
      </c>
      <c r="BR839" s="2247">
        <f t="shared" si="782"/>
        <v>0</v>
      </c>
      <c r="BS839" s="2247">
        <f t="shared" si="782"/>
        <v>0</v>
      </c>
      <c r="BT839" s="2247">
        <f t="shared" si="782"/>
        <v>0</v>
      </c>
      <c r="BU839" s="2237"/>
    </row>
    <row r="840" spans="32:129" s="803" customFormat="1">
      <c r="AK840" s="1964"/>
      <c r="AL840" s="2214"/>
      <c r="AM840" s="2290" t="s">
        <v>1241</v>
      </c>
      <c r="AN840" s="2291"/>
      <c r="AO840" s="536"/>
      <c r="AP840" s="2292">
        <f>-AP786-AP810-AP820-AP839</f>
        <v>0</v>
      </c>
      <c r="AQ840" s="536"/>
      <c r="AR840" s="536"/>
      <c r="AS840" s="2292">
        <f>-AS786-AS810-AS820-AS839</f>
        <v>0</v>
      </c>
      <c r="AT840" s="2216"/>
      <c r="AU840" s="2216"/>
      <c r="AV840" s="2292">
        <f>-AV786-AV810-AV820-AV839</f>
        <v>0</v>
      </c>
      <c r="AW840" s="536"/>
      <c r="AY840" s="2292">
        <f>-AY786-AY810-AY820-AY839</f>
        <v>0</v>
      </c>
      <c r="AZ840" s="536"/>
      <c r="BB840" s="2292">
        <f>-BB786-BB810-BB820-BB839</f>
        <v>0</v>
      </c>
      <c r="BC840" s="536"/>
      <c r="BE840" s="2293">
        <f t="shared" ref="BE840:BT840" si="783">-BE786-BE810-BE820-BE839</f>
        <v>0</v>
      </c>
      <c r="BF840" s="2293">
        <f t="shared" si="783"/>
        <v>0</v>
      </c>
      <c r="BG840" s="2293">
        <f t="shared" si="783"/>
        <v>0</v>
      </c>
      <c r="BH840" s="2293">
        <f t="shared" si="783"/>
        <v>0</v>
      </c>
      <c r="BI840" s="2293">
        <f t="shared" si="783"/>
        <v>0</v>
      </c>
      <c r="BJ840" s="2293">
        <f t="shared" si="783"/>
        <v>0</v>
      </c>
      <c r="BK840" s="2293">
        <f t="shared" si="783"/>
        <v>0</v>
      </c>
      <c r="BL840" s="2293">
        <f t="shared" si="783"/>
        <v>0</v>
      </c>
      <c r="BM840" s="2293">
        <f t="shared" si="783"/>
        <v>0</v>
      </c>
      <c r="BN840" s="2293">
        <f t="shared" si="783"/>
        <v>0</v>
      </c>
      <c r="BO840" s="2293">
        <f t="shared" si="783"/>
        <v>0</v>
      </c>
      <c r="BP840" s="2293">
        <f t="shared" si="783"/>
        <v>0</v>
      </c>
      <c r="BQ840" s="2293">
        <f t="shared" si="783"/>
        <v>0</v>
      </c>
      <c r="BR840" s="2293">
        <f t="shared" si="783"/>
        <v>0</v>
      </c>
      <c r="BS840" s="2293">
        <f t="shared" si="783"/>
        <v>0</v>
      </c>
      <c r="BT840" s="2293">
        <f t="shared" si="783"/>
        <v>0</v>
      </c>
      <c r="BU840" s="1970"/>
      <c r="CX840" s="545"/>
      <c r="CY840" s="545"/>
      <c r="CZ840" s="545"/>
      <c r="DA840" s="545"/>
      <c r="DB840" s="545"/>
      <c r="DC840" s="545"/>
      <c r="DD840" s="545"/>
      <c r="DE840" s="545"/>
      <c r="DF840" s="545"/>
      <c r="DG840" s="545"/>
      <c r="DH840" s="545"/>
      <c r="DI840" s="545"/>
      <c r="DJ840" s="545"/>
      <c r="DK840" s="545"/>
      <c r="DL840" s="545"/>
      <c r="DM840" s="545"/>
      <c r="DN840" s="545"/>
      <c r="DO840" s="545"/>
    </row>
    <row r="841" spans="32:129" s="536" customFormat="1" ht="13.5" thickBot="1">
      <c r="AK841" s="1964"/>
      <c r="AL841" s="2214"/>
      <c r="AM841" s="2290" t="s">
        <v>1242</v>
      </c>
      <c r="AN841" s="2291"/>
      <c r="AP841" s="2292">
        <f>AP586-AN586</f>
        <v>0</v>
      </c>
      <c r="AS841" s="2292">
        <f>AS586-AP586</f>
        <v>0</v>
      </c>
      <c r="AT841" s="2216"/>
      <c r="AU841" s="2216"/>
      <c r="AV841" s="2292">
        <f>AV586-AS586</f>
        <v>0</v>
      </c>
      <c r="AX841" s="803"/>
      <c r="AY841" s="2292">
        <f>AY586-AS586</f>
        <v>0</v>
      </c>
      <c r="BA841" s="803"/>
      <c r="BB841" s="2292">
        <f>IF(OR($C$3=$L$913,$C$3=0),BB586-AY586,BB586-AV586)</f>
        <v>0</v>
      </c>
      <c r="BD841" s="803"/>
      <c r="BE841" s="2293">
        <f>BE586-AY586</f>
        <v>0</v>
      </c>
      <c r="BF841" s="2293">
        <f t="shared" ref="BF841:BT841" si="784">BF586-BE586</f>
        <v>0</v>
      </c>
      <c r="BG841" s="2293">
        <f t="shared" si="784"/>
        <v>0</v>
      </c>
      <c r="BH841" s="2293">
        <f t="shared" si="784"/>
        <v>0</v>
      </c>
      <c r="BI841" s="2293">
        <f t="shared" si="784"/>
        <v>0</v>
      </c>
      <c r="BJ841" s="2293">
        <f t="shared" si="784"/>
        <v>0</v>
      </c>
      <c r="BK841" s="2293">
        <f t="shared" si="784"/>
        <v>0</v>
      </c>
      <c r="BL841" s="2293">
        <f t="shared" si="784"/>
        <v>0</v>
      </c>
      <c r="BM841" s="2293">
        <f t="shared" si="784"/>
        <v>0</v>
      </c>
      <c r="BN841" s="2293">
        <f t="shared" si="784"/>
        <v>0</v>
      </c>
      <c r="BO841" s="2293">
        <f t="shared" si="784"/>
        <v>0</v>
      </c>
      <c r="BP841" s="2293">
        <f t="shared" si="784"/>
        <v>0</v>
      </c>
      <c r="BQ841" s="2293">
        <f t="shared" si="784"/>
        <v>0</v>
      </c>
      <c r="BR841" s="2293">
        <f t="shared" si="784"/>
        <v>0</v>
      </c>
      <c r="BS841" s="2293">
        <f t="shared" si="784"/>
        <v>0</v>
      </c>
      <c r="BT841" s="2293">
        <f t="shared" si="784"/>
        <v>0</v>
      </c>
      <c r="BU841" s="1970"/>
      <c r="CX841" s="535"/>
      <c r="CY841" s="535"/>
      <c r="CZ841" s="535"/>
      <c r="DA841" s="535"/>
      <c r="DB841" s="535"/>
      <c r="DC841" s="535"/>
      <c r="DD841" s="535"/>
      <c r="DE841" s="535"/>
      <c r="DF841" s="535"/>
      <c r="DG841" s="535"/>
      <c r="DH841" s="535"/>
      <c r="DI841" s="535"/>
      <c r="DJ841" s="535"/>
      <c r="DK841" s="535"/>
      <c r="DL841" s="535"/>
      <c r="DM841" s="535"/>
      <c r="DN841" s="535"/>
      <c r="DO841" s="535"/>
    </row>
    <row r="842" spans="32:129" s="536" customFormat="1" ht="14" thickTop="1" thickBot="1">
      <c r="AF842" s="1961"/>
      <c r="AG842" s="537"/>
      <c r="AH842" s="531"/>
      <c r="AI842" s="531"/>
      <c r="AJ842" s="531"/>
      <c r="AK842" s="1964"/>
      <c r="AL842" s="2214"/>
      <c r="AM842" s="2308" t="s">
        <v>1243</v>
      </c>
      <c r="AN842" s="2309"/>
      <c r="AP842" s="2310">
        <f>AP840+AP841</f>
        <v>0</v>
      </c>
      <c r="AS842" s="2310">
        <f>AS840+AS841</f>
        <v>0</v>
      </c>
      <c r="AT842" s="2216"/>
      <c r="AU842" s="2216"/>
      <c r="AV842" s="2310">
        <f>AV840+AV841</f>
        <v>0</v>
      </c>
      <c r="AX842" s="803"/>
      <c r="AY842" s="2310">
        <f>AY840+AY841</f>
        <v>0</v>
      </c>
      <c r="BA842" s="803"/>
      <c r="BB842" s="2310">
        <f>BB840+BB841</f>
        <v>0</v>
      </c>
      <c r="BD842" s="803"/>
      <c r="BE842" s="2311">
        <f t="shared" ref="BE842:BT842" si="785">BE840+BE841</f>
        <v>0</v>
      </c>
      <c r="BF842" s="2311">
        <f t="shared" si="785"/>
        <v>0</v>
      </c>
      <c r="BG842" s="2311">
        <f t="shared" si="785"/>
        <v>0</v>
      </c>
      <c r="BH842" s="2311">
        <f t="shared" si="785"/>
        <v>0</v>
      </c>
      <c r="BI842" s="2311">
        <f t="shared" si="785"/>
        <v>0</v>
      </c>
      <c r="BJ842" s="2311">
        <f t="shared" si="785"/>
        <v>0</v>
      </c>
      <c r="BK842" s="2311">
        <f t="shared" si="785"/>
        <v>0</v>
      </c>
      <c r="BL842" s="2311">
        <f t="shared" si="785"/>
        <v>0</v>
      </c>
      <c r="BM842" s="2311">
        <f t="shared" si="785"/>
        <v>0</v>
      </c>
      <c r="BN842" s="2311">
        <f t="shared" si="785"/>
        <v>0</v>
      </c>
      <c r="BO842" s="2311">
        <f t="shared" si="785"/>
        <v>0</v>
      </c>
      <c r="BP842" s="2311">
        <f t="shared" si="785"/>
        <v>0</v>
      </c>
      <c r="BQ842" s="2311">
        <f t="shared" si="785"/>
        <v>0</v>
      </c>
      <c r="BR842" s="2311">
        <f t="shared" si="785"/>
        <v>0</v>
      </c>
      <c r="BS842" s="2311">
        <f t="shared" si="785"/>
        <v>0</v>
      </c>
      <c r="BT842" s="2311">
        <f t="shared" si="785"/>
        <v>0</v>
      </c>
      <c r="BU842" s="1970"/>
      <c r="BV842" s="535"/>
      <c r="BW842" s="535"/>
      <c r="BX842" s="535"/>
      <c r="BY842" s="535"/>
      <c r="BZ842" s="535"/>
      <c r="CA842" s="535"/>
      <c r="CB842" s="535"/>
      <c r="CC842" s="535"/>
      <c r="CD842" s="535"/>
      <c r="CE842" s="535"/>
      <c r="CF842" s="535"/>
      <c r="CG842" s="535"/>
      <c r="CH842" s="535"/>
      <c r="CI842" s="535"/>
      <c r="CJ842" s="535"/>
      <c r="CK842" s="535"/>
      <c r="CL842" s="535"/>
      <c r="CM842" s="535"/>
      <c r="CN842" s="535"/>
      <c r="CO842" s="535"/>
      <c r="CP842" s="535"/>
      <c r="CQ842" s="535"/>
      <c r="CR842" s="535"/>
      <c r="CS842" s="535"/>
      <c r="CT842" s="535"/>
      <c r="CU842" s="535"/>
      <c r="CX842" s="535"/>
      <c r="CY842" s="535"/>
      <c r="CZ842" s="535"/>
      <c r="DA842" s="535"/>
      <c r="DB842" s="535"/>
      <c r="DC842" s="535"/>
      <c r="DD842" s="535"/>
      <c r="DE842" s="535"/>
      <c r="DF842" s="535"/>
      <c r="DG842" s="535"/>
      <c r="DH842" s="535"/>
      <c r="DI842" s="535"/>
      <c r="DJ842" s="535"/>
      <c r="DK842" s="535"/>
      <c r="DL842" s="535"/>
      <c r="DM842" s="535"/>
      <c r="DN842" s="535"/>
      <c r="DO842" s="535"/>
    </row>
    <row r="843" spans="32:129" s="536" customFormat="1" ht="13.5" thickTop="1">
      <c r="AF843" s="535"/>
      <c r="AG843" s="644"/>
      <c r="AH843" s="535"/>
      <c r="AI843" s="535"/>
      <c r="AJ843" s="535"/>
      <c r="AK843" s="2312"/>
      <c r="AL843" s="2313"/>
      <c r="AM843" s="2314" t="s">
        <v>1244</v>
      </c>
      <c r="AN843" s="2315"/>
      <c r="AO843" s="803"/>
      <c r="AP843" s="2315"/>
      <c r="AQ843" s="803"/>
      <c r="AR843" s="803"/>
      <c r="AS843" s="2315"/>
      <c r="AT843" s="803"/>
      <c r="AU843" s="803"/>
      <c r="AV843" s="2315"/>
      <c r="AW843" s="803"/>
      <c r="AX843" s="803"/>
      <c r="AY843" s="2315"/>
      <c r="AZ843" s="803"/>
      <c r="BA843" s="803"/>
      <c r="BB843" s="2315"/>
      <c r="BC843" s="803"/>
      <c r="BD843" s="803"/>
      <c r="BE843" s="803"/>
      <c r="BF843" s="803"/>
      <c r="BG843" s="2316"/>
      <c r="BH843" s="2316"/>
      <c r="BI843" s="2316"/>
      <c r="BJ843" s="2316"/>
      <c r="BK843" s="2316"/>
      <c r="BL843" s="2316"/>
      <c r="BM843" s="2316"/>
      <c r="BN843" s="2316"/>
      <c r="BO843" s="2316"/>
      <c r="BP843" s="545"/>
      <c r="BQ843" s="802"/>
      <c r="BR843" s="803"/>
      <c r="BS843" s="803"/>
      <c r="BT843" s="803"/>
      <c r="BU843" s="2317"/>
      <c r="BV843" s="2318"/>
      <c r="BW843" s="2319"/>
      <c r="BX843" s="2319"/>
      <c r="BY843" s="2319"/>
      <c r="BZ843" s="2319"/>
      <c r="CA843" s="2319"/>
      <c r="CB843" s="2319"/>
      <c r="CC843" s="2319"/>
      <c r="CD843" s="2319"/>
      <c r="CE843" s="2319"/>
      <c r="CF843" s="2319"/>
      <c r="CG843" s="2319"/>
      <c r="CH843" s="2319"/>
      <c r="CI843" s="2319"/>
      <c r="CJ843" s="2319"/>
      <c r="CK843" s="2319"/>
      <c r="CL843" s="2319"/>
      <c r="CM843" s="2319"/>
      <c r="CN843" s="2319"/>
      <c r="CO843" s="2319"/>
      <c r="CP843" s="2319"/>
      <c r="CQ843" s="2319"/>
      <c r="CR843" s="2319"/>
      <c r="CS843" s="2319"/>
      <c r="CT843" s="2319"/>
      <c r="CU843" s="2319"/>
      <c r="CV843" s="2319"/>
      <c r="CW843" s="2319"/>
      <c r="CX843" s="2319"/>
      <c r="CY843" s="2319"/>
      <c r="CZ843" s="2319"/>
      <c r="DA843" s="2319"/>
      <c r="DB843" s="2319"/>
      <c r="DC843" s="2319"/>
      <c r="DD843" s="2319"/>
      <c r="DE843" s="2319"/>
      <c r="DF843" s="2319"/>
      <c r="DG843" s="2319"/>
      <c r="DH843" s="2319"/>
      <c r="DI843" s="2319"/>
      <c r="DJ843" s="2319"/>
      <c r="DK843" s="2319"/>
      <c r="DL843" s="2319"/>
      <c r="DM843" s="2319"/>
      <c r="DN843" s="2319"/>
      <c r="DO843" s="2319"/>
      <c r="DP843" s="2319"/>
      <c r="DQ843" s="2319"/>
      <c r="DR843" s="2319"/>
      <c r="DS843" s="2319"/>
      <c r="DT843" s="2319"/>
      <c r="DU843" s="2319"/>
      <c r="DV843" s="2319"/>
      <c r="DW843" s="2319"/>
      <c r="DX843" s="2319"/>
      <c r="DY843" s="2320"/>
    </row>
    <row r="844" spans="32:129" s="535" customFormat="1" ht="15.5">
      <c r="AG844" s="644"/>
      <c r="AK844" s="2312"/>
      <c r="AL844" s="2313"/>
      <c r="AM844" s="2321" t="s">
        <v>1245</v>
      </c>
      <c r="AN844" s="803"/>
      <c r="AO844" s="803"/>
      <c r="AP844" s="2315"/>
      <c r="AQ844" s="803"/>
      <c r="AR844" s="803"/>
      <c r="AS844" s="2315"/>
      <c r="AT844" s="803"/>
      <c r="AU844" s="803"/>
      <c r="AV844" s="2315"/>
      <c r="AW844" s="803"/>
      <c r="AX844" s="803"/>
      <c r="AY844" s="2315"/>
      <c r="AZ844" s="803"/>
      <c r="BA844" s="803"/>
      <c r="BB844" s="2315"/>
      <c r="BC844" s="803"/>
      <c r="BD844" s="803"/>
      <c r="BE844" s="803"/>
      <c r="BF844" s="803"/>
      <c r="BG844" s="2316"/>
      <c r="BH844" s="2316"/>
      <c r="BI844" s="2316"/>
      <c r="BJ844" s="2316"/>
      <c r="BK844" s="2316"/>
      <c r="BL844" s="2316"/>
      <c r="BM844" s="2316"/>
      <c r="BN844" s="2316"/>
      <c r="BO844" s="2316"/>
      <c r="BP844" s="545"/>
      <c r="BQ844" s="545"/>
      <c r="BR844" s="803"/>
      <c r="BS844" s="803"/>
      <c r="BT844" s="803"/>
      <c r="BU844" s="2317"/>
      <c r="BV844" s="2322"/>
      <c r="BW844" s="693"/>
      <c r="BX844" s="693"/>
      <c r="BY844" s="693"/>
      <c r="BZ844" s="693"/>
      <c r="CA844" s="693"/>
      <c r="CB844" s="693"/>
      <c r="CC844" s="2323" t="s">
        <v>1472</v>
      </c>
      <c r="CD844" s="2324" t="s">
        <v>1470</v>
      </c>
      <c r="CE844" s="2325"/>
      <c r="CF844" s="693"/>
      <c r="CG844" s="693"/>
      <c r="CH844" s="693"/>
      <c r="CI844" s="693"/>
      <c r="CJ844" s="693"/>
      <c r="CK844" s="693"/>
      <c r="CL844" s="693"/>
      <c r="CM844" s="693"/>
      <c r="CN844" s="693"/>
      <c r="CO844" s="693"/>
      <c r="CP844" s="693"/>
      <c r="CQ844" s="693"/>
      <c r="CR844" s="693"/>
      <c r="CS844" s="693"/>
      <c r="CT844" s="693"/>
      <c r="CU844" s="693"/>
      <c r="CV844" s="693"/>
      <c r="CW844" s="693"/>
      <c r="CX844" s="693"/>
      <c r="CY844" s="693"/>
      <c r="CZ844" s="693"/>
      <c r="DA844" s="693"/>
      <c r="DB844" s="693"/>
      <c r="DC844" s="693"/>
      <c r="DD844" s="693"/>
      <c r="DE844" s="693"/>
      <c r="DF844" s="693"/>
      <c r="DG844" s="693"/>
      <c r="DH844" s="693"/>
      <c r="DI844" s="693"/>
      <c r="DJ844" s="693"/>
      <c r="DK844" s="693"/>
      <c r="DL844" s="693"/>
      <c r="DM844" s="693"/>
      <c r="DN844" s="693"/>
      <c r="DO844" s="693"/>
      <c r="DP844" s="693"/>
      <c r="DQ844" s="693"/>
      <c r="DR844" s="693"/>
      <c r="DS844" s="693"/>
      <c r="DT844" s="693"/>
      <c r="DU844" s="693"/>
      <c r="DV844" s="693"/>
      <c r="DW844" s="693"/>
      <c r="DX844" s="693"/>
      <c r="DY844" s="2326"/>
    </row>
    <row r="845" spans="32:129" s="536" customFormat="1" ht="16.5">
      <c r="AG845" s="2327"/>
      <c r="AK845" s="2312"/>
      <c r="AL845" s="2313"/>
      <c r="AM845" s="2321" t="s">
        <v>1246</v>
      </c>
      <c r="AN845" s="2315"/>
      <c r="AO845" s="803"/>
      <c r="AP845" s="2315"/>
      <c r="AQ845" s="803"/>
      <c r="AR845" s="803"/>
      <c r="AS845" s="2315"/>
      <c r="AT845" s="803"/>
      <c r="AU845" s="803"/>
      <c r="AV845" s="2315"/>
      <c r="AW845" s="803"/>
      <c r="AX845" s="803"/>
      <c r="AY845" s="2315"/>
      <c r="AZ845" s="803"/>
      <c r="BA845" s="803"/>
      <c r="BB845" s="2315"/>
      <c r="BC845" s="803"/>
      <c r="BD845" s="803"/>
      <c r="BE845" s="803"/>
      <c r="BF845" s="803"/>
      <c r="BG845" s="2316"/>
      <c r="BH845" s="2316"/>
      <c r="BI845" s="2316"/>
      <c r="BJ845" s="2316"/>
      <c r="BK845" s="2316"/>
      <c r="BL845" s="2316"/>
      <c r="BM845" s="2316"/>
      <c r="BN845" s="2316"/>
      <c r="BO845" s="2316"/>
      <c r="BP845" s="545"/>
      <c r="BQ845" s="545"/>
      <c r="BR845" s="803"/>
      <c r="BS845" s="803"/>
      <c r="BT845" s="803"/>
      <c r="BU845" s="2317"/>
      <c r="BV845" s="2322"/>
      <c r="BW845" s="2328" t="str">
        <f>IF(ISERROR("ESTADO DE RESULTADOS PROYECTADO - "&amp;AM582&amp;IF(W241=J913," (Cifras en "&amp;IF(AND($V$913&lt;&gt;0,$V$913=$CC$838),"U$ Miles)","$MM)")," - ESCENARIO "&amp;V242&amp;" (Cifras en "&amp;IF(AND($V$913&lt;&gt;0,$V$913=$CC$838),"U$ Miles)","$MM)")))=TRUE,0,"ESTADO DE RESULTADOS PROYECTADO - "&amp;AM582&amp;IF(W241=J913," (Cifras en "&amp;IF(AND($V$913&lt;&gt;0,$V$913=$CC$838),"U$ Miles)","$MM)")," - ESCENARIO "&amp;V242&amp;" (Cifras en "&amp;IF(AND($V$913&lt;&gt;0,$V$913=$CC$838),"U$ Miles)","$MM)")))</f>
        <v>ESTADO DE RESULTADOS PROYECTADO -  - ESCENARIO BASE (Cifras en $MM)</v>
      </c>
      <c r="BX845" s="2329"/>
      <c r="BY845" s="2329"/>
      <c r="BZ845" s="2329"/>
      <c r="CA845" s="2329"/>
      <c r="CB845" s="2329"/>
      <c r="CC845" s="2329"/>
      <c r="CD845" s="2329"/>
      <c r="CE845" s="2329"/>
      <c r="CF845" s="2329"/>
      <c r="CG845" s="2329"/>
      <c r="CH845" s="2329"/>
      <c r="CI845" s="2329"/>
      <c r="CJ845" s="2330"/>
      <c r="CK845" s="2330"/>
      <c r="CL845" s="2330"/>
      <c r="CM845" s="2330"/>
      <c r="CN845" s="2330"/>
      <c r="CO845" s="2330"/>
      <c r="CP845" s="2330"/>
      <c r="CQ845" s="2330"/>
      <c r="CR845" s="2330"/>
      <c r="CS845" s="2330"/>
      <c r="CT845" s="2330"/>
      <c r="CU845" s="2330"/>
      <c r="CV845" s="2330"/>
      <c r="CW845" s="2330"/>
      <c r="CX845" s="2330"/>
      <c r="CY845" s="2330"/>
      <c r="CZ845" s="2330"/>
      <c r="DA845" s="2330"/>
      <c r="DB845" s="2330"/>
      <c r="DC845" s="2330"/>
      <c r="DD845" s="2330"/>
      <c r="DE845" s="2330"/>
      <c r="DF845" s="2330"/>
      <c r="DG845" s="2331"/>
      <c r="DH845" s="693"/>
      <c r="DI845" s="693"/>
      <c r="DJ845" s="693"/>
      <c r="DK845" s="693"/>
      <c r="DL845" s="693"/>
      <c r="DM845" s="693"/>
      <c r="DN845" s="693"/>
      <c r="DO845" s="693"/>
      <c r="DP845" s="693"/>
      <c r="DQ845" s="693"/>
      <c r="DR845" s="693"/>
      <c r="DS845" s="693"/>
      <c r="DT845" s="693"/>
      <c r="DU845" s="693"/>
      <c r="DV845" s="693"/>
      <c r="DW845" s="2331"/>
      <c r="DX845" s="693"/>
      <c r="DY845" s="2326"/>
    </row>
    <row r="846" spans="32:129" s="536" customFormat="1" ht="17" thickBot="1">
      <c r="AG846" s="2327"/>
      <c r="AK846" s="2332"/>
      <c r="AL846" s="2333"/>
      <c r="AM846" s="2334"/>
      <c r="AN846" s="2335"/>
      <c r="AO846" s="2336"/>
      <c r="AP846" s="2335"/>
      <c r="AQ846" s="2336"/>
      <c r="AR846" s="2336"/>
      <c r="AS846" s="2335"/>
      <c r="AT846" s="2337"/>
      <c r="AU846" s="2337"/>
      <c r="AV846" s="2338"/>
      <c r="AW846" s="2336"/>
      <c r="AX846" s="2339"/>
      <c r="AY846" s="2338"/>
      <c r="AZ846" s="2336"/>
      <c r="BA846" s="2339"/>
      <c r="BB846" s="2338"/>
      <c r="BC846" s="2336"/>
      <c r="BD846" s="2339"/>
      <c r="BE846" s="2340"/>
      <c r="BF846" s="2340"/>
      <c r="BG846" s="2340"/>
      <c r="BH846" s="2340"/>
      <c r="BI846" s="2340"/>
      <c r="BJ846" s="2340"/>
      <c r="BK846" s="2340"/>
      <c r="BL846" s="2340"/>
      <c r="BM846" s="2340"/>
      <c r="BN846" s="2340"/>
      <c r="BO846" s="2340"/>
      <c r="BP846" s="2336"/>
      <c r="BQ846" s="2336"/>
      <c r="BR846" s="2336"/>
      <c r="BS846" s="2336"/>
      <c r="BT846" s="2336"/>
      <c r="BU846" s="2341"/>
      <c r="BV846" s="2322"/>
      <c r="BW846" s="2181"/>
      <c r="BX846" s="2181"/>
      <c r="BY846" s="2181"/>
      <c r="BZ846" s="2342" t="s">
        <v>536</v>
      </c>
      <c r="CA846" s="2343">
        <f>AY583</f>
        <v>2019</v>
      </c>
      <c r="CB846" s="2344"/>
      <c r="CC846" s="2343">
        <f>BE583</f>
        <v>2020</v>
      </c>
      <c r="CD846" s="2344"/>
      <c r="CE846" s="2343"/>
      <c r="CF846" s="2343">
        <f>BF583</f>
        <v>2021</v>
      </c>
      <c r="CG846" s="2344"/>
      <c r="CH846" s="2343"/>
      <c r="CI846" s="2343">
        <f>BG583</f>
        <v>2022</v>
      </c>
      <c r="CJ846" s="2344"/>
      <c r="CK846" s="2343"/>
      <c r="CL846" s="2343">
        <f>BH583</f>
        <v>2023</v>
      </c>
      <c r="CM846" s="2344"/>
      <c r="CN846" s="2343"/>
      <c r="CO846" s="2343">
        <f>BI583</f>
        <v>2024</v>
      </c>
      <c r="CP846" s="2344"/>
      <c r="CQ846" s="2343"/>
      <c r="CR846" s="2343">
        <f>BJ583</f>
        <v>2025</v>
      </c>
      <c r="CS846" s="2344"/>
      <c r="CT846" s="2343"/>
      <c r="CU846" s="2343">
        <f>BK583</f>
        <v>2026</v>
      </c>
      <c r="CV846" s="2344"/>
      <c r="CW846" s="2343"/>
      <c r="CX846" s="2343">
        <f>BL583</f>
        <v>2027</v>
      </c>
      <c r="CY846" s="2344"/>
      <c r="CZ846" s="2343"/>
      <c r="DA846" s="2343">
        <f>BM583</f>
        <v>2028</v>
      </c>
      <c r="DB846" s="2344"/>
      <c r="DC846" s="2343"/>
      <c r="DD846" s="2343">
        <f>BN583</f>
        <v>2029</v>
      </c>
      <c r="DE846" s="2344"/>
      <c r="DF846" s="2343"/>
      <c r="DG846" s="2343">
        <f>BO583</f>
        <v>2030</v>
      </c>
      <c r="DH846" s="2344"/>
      <c r="DI846" s="2343"/>
      <c r="DJ846" s="2343">
        <f>BP583</f>
        <v>2031</v>
      </c>
      <c r="DK846" s="2344"/>
      <c r="DL846" s="2343"/>
      <c r="DM846" s="2343">
        <f>BQ583</f>
        <v>2032</v>
      </c>
      <c r="DN846" s="2344"/>
      <c r="DO846" s="2343"/>
      <c r="DP846" s="2343">
        <f>BR583</f>
        <v>2033</v>
      </c>
      <c r="DQ846" s="2344"/>
      <c r="DR846" s="2343"/>
      <c r="DS846" s="2343">
        <f>BS583</f>
        <v>2034</v>
      </c>
      <c r="DT846" s="2344"/>
      <c r="DU846" s="2343"/>
      <c r="DV846" s="2345">
        <f>BT583</f>
        <v>2035</v>
      </c>
      <c r="DW846" s="2344"/>
      <c r="DX846" s="2343"/>
      <c r="DY846" s="2326"/>
    </row>
    <row r="847" spans="32:129" s="536" customFormat="1" ht="17" thickTop="1">
      <c r="AG847" s="2327"/>
      <c r="AK847" s="531"/>
      <c r="AL847" s="531"/>
      <c r="AM847" s="531"/>
      <c r="AN847" s="531"/>
      <c r="AO847" s="530"/>
      <c r="AP847" s="530"/>
      <c r="AQ847" s="530"/>
      <c r="AR847" s="531"/>
      <c r="AS847" s="539"/>
      <c r="AT847" s="530"/>
      <c r="AU847" s="531"/>
      <c r="AV847" s="539"/>
      <c r="AW847" s="530"/>
      <c r="AX847" s="531"/>
      <c r="AY847" s="539"/>
      <c r="AZ847" s="539"/>
      <c r="BA847" s="531"/>
      <c r="BB847" s="531"/>
      <c r="BC847" s="531"/>
      <c r="BD847" s="531"/>
      <c r="BE847" s="531"/>
      <c r="BF847" s="531"/>
      <c r="BG847" s="531"/>
      <c r="BH847" s="531"/>
      <c r="BI847" s="531"/>
      <c r="BJ847" s="531"/>
      <c r="BK847" s="531"/>
      <c r="BL847" s="535"/>
      <c r="BM847" s="535"/>
      <c r="BN847" s="535"/>
      <c r="BO847" s="535"/>
      <c r="BP847" s="535"/>
      <c r="BQ847" s="535"/>
      <c r="BR847" s="535"/>
      <c r="BS847" s="1106"/>
      <c r="BT847" s="535"/>
      <c r="BU847" s="535"/>
      <c r="BV847" s="2322"/>
      <c r="BW847" s="2181"/>
      <c r="BX847" s="2181"/>
      <c r="BY847" s="2181"/>
      <c r="BZ847" s="2346"/>
      <c r="CA847" s="2347" t="str">
        <f>IF(AND($CD$844&lt;&gt;0,$CD$844=$CC$838),"U$ Miles","$MM")</f>
        <v>$MM</v>
      </c>
      <c r="CB847" s="2348" t="s">
        <v>1473</v>
      </c>
      <c r="CC847" s="2349" t="str">
        <f>$CA$847</f>
        <v>$MM</v>
      </c>
      <c r="CD847" s="2350" t="s">
        <v>1474</v>
      </c>
      <c r="CE847" s="2348" t="s">
        <v>1475</v>
      </c>
      <c r="CF847" s="2349" t="str">
        <f>$CA$847</f>
        <v>$MM</v>
      </c>
      <c r="CG847" s="2350" t="s">
        <v>1474</v>
      </c>
      <c r="CH847" s="2348" t="s">
        <v>1475</v>
      </c>
      <c r="CI847" s="2349" t="str">
        <f>$CA$847</f>
        <v>$MM</v>
      </c>
      <c r="CJ847" s="2350" t="s">
        <v>1474</v>
      </c>
      <c r="CK847" s="2348" t="s">
        <v>1475</v>
      </c>
      <c r="CL847" s="2349" t="str">
        <f>$CA$847</f>
        <v>$MM</v>
      </c>
      <c r="CM847" s="2350" t="s">
        <v>1474</v>
      </c>
      <c r="CN847" s="2348" t="s">
        <v>1475</v>
      </c>
      <c r="CO847" s="2349" t="str">
        <f>$CA$847</f>
        <v>$MM</v>
      </c>
      <c r="CP847" s="2350" t="s">
        <v>1474</v>
      </c>
      <c r="CQ847" s="2348" t="s">
        <v>1475</v>
      </c>
      <c r="CR847" s="2349" t="str">
        <f>$CA$847</f>
        <v>$MM</v>
      </c>
      <c r="CS847" s="2350" t="s">
        <v>1474</v>
      </c>
      <c r="CT847" s="2348" t="s">
        <v>1475</v>
      </c>
      <c r="CU847" s="2349" t="str">
        <f>$CA$847</f>
        <v>$MM</v>
      </c>
      <c r="CV847" s="2350" t="s">
        <v>1474</v>
      </c>
      <c r="CW847" s="2348" t="s">
        <v>1475</v>
      </c>
      <c r="CX847" s="2349" t="str">
        <f>$CA$847</f>
        <v>$MM</v>
      </c>
      <c r="CY847" s="2350" t="s">
        <v>1474</v>
      </c>
      <c r="CZ847" s="2348" t="s">
        <v>1475</v>
      </c>
      <c r="DA847" s="2349" t="str">
        <f>$CA$847</f>
        <v>$MM</v>
      </c>
      <c r="DB847" s="2350" t="s">
        <v>1474</v>
      </c>
      <c r="DC847" s="2348" t="s">
        <v>1475</v>
      </c>
      <c r="DD847" s="2349" t="str">
        <f>$CA$847</f>
        <v>$MM</v>
      </c>
      <c r="DE847" s="2350" t="s">
        <v>1474</v>
      </c>
      <c r="DF847" s="2348" t="s">
        <v>1475</v>
      </c>
      <c r="DG847" s="2349" t="str">
        <f>$CA$847</f>
        <v>$MM</v>
      </c>
      <c r="DH847" s="2350" t="s">
        <v>1474</v>
      </c>
      <c r="DI847" s="2348" t="s">
        <v>1475</v>
      </c>
      <c r="DJ847" s="2349" t="str">
        <f>$CA$847</f>
        <v>$MM</v>
      </c>
      <c r="DK847" s="2350" t="s">
        <v>1474</v>
      </c>
      <c r="DL847" s="2348" t="s">
        <v>1475</v>
      </c>
      <c r="DM847" s="2349" t="str">
        <f>$CA$847</f>
        <v>$MM</v>
      </c>
      <c r="DN847" s="2350" t="s">
        <v>1474</v>
      </c>
      <c r="DO847" s="2348" t="s">
        <v>1475</v>
      </c>
      <c r="DP847" s="2349" t="str">
        <f>$CA$847</f>
        <v>$MM</v>
      </c>
      <c r="DQ847" s="2350" t="s">
        <v>1474</v>
      </c>
      <c r="DR847" s="2348" t="s">
        <v>1475</v>
      </c>
      <c r="DS847" s="2349" t="str">
        <f>$CA$847</f>
        <v>$MM</v>
      </c>
      <c r="DT847" s="2350" t="s">
        <v>1474</v>
      </c>
      <c r="DU847" s="2348" t="s">
        <v>1475</v>
      </c>
      <c r="DV847" s="2350" t="str">
        <f>$CA$847</f>
        <v>$MM</v>
      </c>
      <c r="DW847" s="2350" t="s">
        <v>1474</v>
      </c>
      <c r="DX847" s="2348" t="s">
        <v>1475</v>
      </c>
      <c r="DY847" s="2326"/>
    </row>
    <row r="848" spans="32:129" s="536" customFormat="1" ht="18">
      <c r="AG848" s="2327"/>
      <c r="AK848" s="535"/>
      <c r="BV848" s="2322"/>
      <c r="BW848" s="2181"/>
      <c r="BX848" s="2181"/>
      <c r="BY848" s="2181"/>
      <c r="BZ848" s="2351" t="s">
        <v>1476</v>
      </c>
      <c r="CA848" s="2352">
        <f>AY660</f>
        <v>0</v>
      </c>
      <c r="CB848" s="2353">
        <f>IF(CA848=0,0,CA848/CA848)</f>
        <v>0</v>
      </c>
      <c r="CC848" s="2352">
        <f>BE660</f>
        <v>0</v>
      </c>
      <c r="CD848" s="2354">
        <f>IF(CC848=0,0,CC848/CC848)</f>
        <v>0</v>
      </c>
      <c r="CE848" s="2353">
        <f t="shared" ref="CE848:CE854" si="786">IF(CA848=0,0,IF(ABS(CC848/(CA848*360/$N$17)-1)&gt;10000%,0,CC848/(CA848*360/$N$17)-1))</f>
        <v>0</v>
      </c>
      <c r="CF848" s="2352">
        <f>BF660</f>
        <v>0</v>
      </c>
      <c r="CG848" s="2354">
        <f>IF(CF848=0,0,CF848/CF848)</f>
        <v>0</v>
      </c>
      <c r="CH848" s="2353">
        <f t="shared" ref="CH848:CH854" si="787">IF(CC848=0,0,CF848/CC848-1)</f>
        <v>0</v>
      </c>
      <c r="CI848" s="2352">
        <f>BG660</f>
        <v>0</v>
      </c>
      <c r="CJ848" s="2354">
        <f>IF(CI848=0,0,CI848/CI848)</f>
        <v>0</v>
      </c>
      <c r="CK848" s="2353">
        <f t="shared" ref="CK848:CK854" si="788">IF(CF848=0,0,CI848/CF848-1)</f>
        <v>0</v>
      </c>
      <c r="CL848" s="2352">
        <f>BH660</f>
        <v>0</v>
      </c>
      <c r="CM848" s="2354">
        <f>IF(CL848=0,0,CL848/CL848)</f>
        <v>0</v>
      </c>
      <c r="CN848" s="2353">
        <f t="shared" ref="CN848:CN854" si="789">IF(CI848=0,0,CL848/CI848-1)</f>
        <v>0</v>
      </c>
      <c r="CO848" s="2352">
        <f>BI660</f>
        <v>0</v>
      </c>
      <c r="CP848" s="2354">
        <f>IF(CO848=0,0,CO848/CO848)</f>
        <v>0</v>
      </c>
      <c r="CQ848" s="2353">
        <f t="shared" ref="CQ848:CQ854" si="790">IF(CL848=0,0,CO848/CL848-1)</f>
        <v>0</v>
      </c>
      <c r="CR848" s="2352">
        <f>BJ660</f>
        <v>0</v>
      </c>
      <c r="CS848" s="2354">
        <f>IF(CR848=0,0,CR848/CR848)</f>
        <v>0</v>
      </c>
      <c r="CT848" s="2353">
        <f t="shared" ref="CT848:CT854" si="791">IF(CO848=0,0,CR848/CO848-1)</f>
        <v>0</v>
      </c>
      <c r="CU848" s="2352">
        <f>BK660</f>
        <v>0</v>
      </c>
      <c r="CV848" s="2354">
        <f>IF(CU848=0,0,CU848/CU848)</f>
        <v>0</v>
      </c>
      <c r="CW848" s="2353">
        <f t="shared" ref="CW848:CW854" si="792">IF(CR848=0,0,CU848/CR848-1)</f>
        <v>0</v>
      </c>
      <c r="CX848" s="2352">
        <f>BL660</f>
        <v>0</v>
      </c>
      <c r="CY848" s="2354">
        <f>IF(CX848=0,0,CX848/CX848)</f>
        <v>0</v>
      </c>
      <c r="CZ848" s="2353">
        <f t="shared" ref="CZ848:CZ854" si="793">IF(CU848=0,0,CX848/CU848-1)</f>
        <v>0</v>
      </c>
      <c r="DA848" s="2352">
        <f>BM660</f>
        <v>0</v>
      </c>
      <c r="DB848" s="2354">
        <f>IF(DA848=0,0,DA848/DA848)</f>
        <v>0</v>
      </c>
      <c r="DC848" s="2353">
        <f t="shared" ref="DC848:DC854" si="794">IF(CX848=0,0,DA848/CX848-1)</f>
        <v>0</v>
      </c>
      <c r="DD848" s="2352">
        <f>BN660</f>
        <v>0</v>
      </c>
      <c r="DE848" s="2354">
        <f>IF(DD848=0,0,DD848/DD848)</f>
        <v>0</v>
      </c>
      <c r="DF848" s="2353">
        <f t="shared" ref="DF848:DF854" si="795">IF(DA848=0,0,DD848/DA848-1)</f>
        <v>0</v>
      </c>
      <c r="DG848" s="2352">
        <f>BO660</f>
        <v>0</v>
      </c>
      <c r="DH848" s="2354">
        <f>IF(DG848=0,0,DG848/DG848)</f>
        <v>0</v>
      </c>
      <c r="DI848" s="2353">
        <f t="shared" ref="DI848:DI854" si="796">IF(DD848=0,0,DG848/DD848-1)</f>
        <v>0</v>
      </c>
      <c r="DJ848" s="2352">
        <f>BP660</f>
        <v>0</v>
      </c>
      <c r="DK848" s="2354">
        <f>IF(DJ848=0,0,DJ848/DJ848)</f>
        <v>0</v>
      </c>
      <c r="DL848" s="2353">
        <f t="shared" ref="DL848:DL854" si="797">IF(DG848=0,0,DJ848/DG848-1)</f>
        <v>0</v>
      </c>
      <c r="DM848" s="2352">
        <f>BQ660</f>
        <v>0</v>
      </c>
      <c r="DN848" s="2354">
        <f>IF(DM848=0,0,DM848/DM848)</f>
        <v>0</v>
      </c>
      <c r="DO848" s="2353">
        <f t="shared" ref="DO848:DO854" si="798">IF(DJ848=0,0,DM848/DJ848-1)</f>
        <v>0</v>
      </c>
      <c r="DP848" s="2352">
        <f>BR660</f>
        <v>0</v>
      </c>
      <c r="DQ848" s="2354">
        <f>IF(DP848=0,0,DP848/DP848)</f>
        <v>0</v>
      </c>
      <c r="DR848" s="2353">
        <f t="shared" ref="DR848:DR858" si="799">IF(DM848=0,0,DP848/DM848-1)</f>
        <v>0</v>
      </c>
      <c r="DS848" s="2352">
        <f>BS660</f>
        <v>0</v>
      </c>
      <c r="DT848" s="2354">
        <f>IF(DS848=0,0,DS848/DS848)</f>
        <v>0</v>
      </c>
      <c r="DU848" s="2353">
        <f t="shared" ref="DU848:DU854" si="800">IF(DP848=0,0,DS848/DP848-1)</f>
        <v>0</v>
      </c>
      <c r="DV848" s="2355">
        <f>BT660</f>
        <v>0</v>
      </c>
      <c r="DW848" s="2354">
        <f>IF(DV848=0,0,DV848/DV848)</f>
        <v>0</v>
      </c>
      <c r="DX848" s="2353">
        <f t="shared" ref="DX848:DX854" si="801">IF(DS848=0,0,DV848/DS848-1)</f>
        <v>0</v>
      </c>
      <c r="DY848" s="2326"/>
    </row>
    <row r="849" spans="33:129" s="536" customFormat="1" ht="17.5">
      <c r="AG849" s="2327"/>
      <c r="AK849" s="535"/>
      <c r="AL849" s="535"/>
      <c r="AM849" s="535"/>
      <c r="AN849" s="535"/>
      <c r="AO849" s="534"/>
      <c r="AP849" s="534"/>
      <c r="AQ849" s="534"/>
      <c r="AR849" s="535"/>
      <c r="AS849" s="545"/>
      <c r="AT849" s="534"/>
      <c r="AU849" s="535"/>
      <c r="AV849" s="545"/>
      <c r="AW849" s="534"/>
      <c r="AX849" s="535"/>
      <c r="AY849" s="545"/>
      <c r="AZ849" s="545"/>
      <c r="BA849" s="535"/>
      <c r="BB849" s="535"/>
      <c r="BC849" s="535"/>
      <c r="BD849" s="535"/>
      <c r="BE849" s="535"/>
      <c r="BF849" s="535"/>
      <c r="BG849" s="535"/>
      <c r="BH849" s="535"/>
      <c r="BI849" s="535"/>
      <c r="BJ849" s="535"/>
      <c r="BK849" s="535"/>
      <c r="BL849" s="535"/>
      <c r="BM849" s="535"/>
      <c r="BN849" s="535"/>
      <c r="BO849" s="535"/>
      <c r="BP849" s="535"/>
      <c r="BQ849" s="535"/>
      <c r="BR849" s="535"/>
      <c r="BS849" s="535"/>
      <c r="BT849" s="535"/>
      <c r="BU849" s="535"/>
      <c r="BV849" s="2322"/>
      <c r="BW849" s="2181"/>
      <c r="BX849" s="2181"/>
      <c r="BY849" s="2181"/>
      <c r="BZ849" s="2356" t="s">
        <v>1477</v>
      </c>
      <c r="CA849" s="2357">
        <f>AY661</f>
        <v>0</v>
      </c>
      <c r="CB849" s="2358">
        <f>IF(CA848=0,0,CA849/CA848)</f>
        <v>0</v>
      </c>
      <c r="CC849" s="2357">
        <f>BE661</f>
        <v>0</v>
      </c>
      <c r="CD849" s="2359">
        <f>IF(CC848=0,0,CC849/CC848)</f>
        <v>0</v>
      </c>
      <c r="CE849" s="2358">
        <f t="shared" si="786"/>
        <v>0</v>
      </c>
      <c r="CF849" s="2357">
        <f>BF661</f>
        <v>0</v>
      </c>
      <c r="CG849" s="2359">
        <f>IF(CF848=0,0,CF849/CF848)</f>
        <v>0</v>
      </c>
      <c r="CH849" s="2358">
        <f t="shared" si="787"/>
        <v>0</v>
      </c>
      <c r="CI849" s="2357">
        <f>BG661</f>
        <v>0</v>
      </c>
      <c r="CJ849" s="2359">
        <f>IF(CI848=0,0,CI849/CI848)</f>
        <v>0</v>
      </c>
      <c r="CK849" s="2358">
        <f t="shared" si="788"/>
        <v>0</v>
      </c>
      <c r="CL849" s="2357">
        <f>BH661</f>
        <v>0</v>
      </c>
      <c r="CM849" s="2359">
        <f>IF(CL848=0,0,CL849/CL848)</f>
        <v>0</v>
      </c>
      <c r="CN849" s="2358">
        <f t="shared" si="789"/>
        <v>0</v>
      </c>
      <c r="CO849" s="2357">
        <f>BI661</f>
        <v>0</v>
      </c>
      <c r="CP849" s="2359">
        <f>IF(CO848=0,0,CO849/CO848)</f>
        <v>0</v>
      </c>
      <c r="CQ849" s="2358">
        <f t="shared" si="790"/>
        <v>0</v>
      </c>
      <c r="CR849" s="2357">
        <f>BJ661</f>
        <v>0</v>
      </c>
      <c r="CS849" s="2359">
        <f>IF(CR848=0,0,CR849/CR848)</f>
        <v>0</v>
      </c>
      <c r="CT849" s="2358">
        <f t="shared" si="791"/>
        <v>0</v>
      </c>
      <c r="CU849" s="2357">
        <f>BK661</f>
        <v>0</v>
      </c>
      <c r="CV849" s="2359">
        <f>IF(CU848=0,0,CU849/CU848)</f>
        <v>0</v>
      </c>
      <c r="CW849" s="2358">
        <f t="shared" si="792"/>
        <v>0</v>
      </c>
      <c r="CX849" s="2357">
        <f>BL661</f>
        <v>0</v>
      </c>
      <c r="CY849" s="2359">
        <f>IF(CX848=0,0,CX849/CX848)</f>
        <v>0</v>
      </c>
      <c r="CZ849" s="2358">
        <f t="shared" si="793"/>
        <v>0</v>
      </c>
      <c r="DA849" s="2357">
        <f>BM661</f>
        <v>0</v>
      </c>
      <c r="DB849" s="2359">
        <f>IF(DA848=0,0,DA849/DA848)</f>
        <v>0</v>
      </c>
      <c r="DC849" s="2358">
        <f t="shared" si="794"/>
        <v>0</v>
      </c>
      <c r="DD849" s="2357">
        <f>BN661</f>
        <v>0</v>
      </c>
      <c r="DE849" s="2359">
        <f>IF(DD848=0,0,DD849/DD848)</f>
        <v>0</v>
      </c>
      <c r="DF849" s="2358">
        <f t="shared" si="795"/>
        <v>0</v>
      </c>
      <c r="DG849" s="2357">
        <f>BO661</f>
        <v>0</v>
      </c>
      <c r="DH849" s="2359">
        <f>IF(DG848=0,0,DG849/DG848)</f>
        <v>0</v>
      </c>
      <c r="DI849" s="2358">
        <f t="shared" si="796"/>
        <v>0</v>
      </c>
      <c r="DJ849" s="2357">
        <f>BP661</f>
        <v>0</v>
      </c>
      <c r="DK849" s="2359">
        <f>IF(DJ848=0,0,DJ849/DJ848)</f>
        <v>0</v>
      </c>
      <c r="DL849" s="2358">
        <f t="shared" si="797"/>
        <v>0</v>
      </c>
      <c r="DM849" s="2357">
        <f>BQ661</f>
        <v>0</v>
      </c>
      <c r="DN849" s="2359">
        <f>IF(DM848=0,0,DM849/DM848)</f>
        <v>0</v>
      </c>
      <c r="DO849" s="2358">
        <f t="shared" si="798"/>
        <v>0</v>
      </c>
      <c r="DP849" s="2357">
        <f>BR661</f>
        <v>0</v>
      </c>
      <c r="DQ849" s="2359">
        <f>IF(DP848=0,0,DP849/DP848)</f>
        <v>0</v>
      </c>
      <c r="DR849" s="2360">
        <f t="shared" si="799"/>
        <v>0</v>
      </c>
      <c r="DS849" s="2357">
        <f>BS661</f>
        <v>0</v>
      </c>
      <c r="DT849" s="2359">
        <f>IF(DS848=0,0,DS849/DS848)</f>
        <v>0</v>
      </c>
      <c r="DU849" s="2358">
        <f t="shared" si="800"/>
        <v>0</v>
      </c>
      <c r="DV849" s="2361">
        <f>BT661</f>
        <v>0</v>
      </c>
      <c r="DW849" s="2359">
        <f>IF(DV848=0,0,DV849/DV848)</f>
        <v>0</v>
      </c>
      <c r="DX849" s="2358">
        <f t="shared" si="801"/>
        <v>0</v>
      </c>
      <c r="DY849" s="2326"/>
    </row>
    <row r="850" spans="33:129" s="536" customFormat="1" ht="18">
      <c r="AG850" s="2327"/>
      <c r="AO850" s="2216"/>
      <c r="AP850" s="2216"/>
      <c r="AQ850" s="2216"/>
      <c r="AS850" s="803"/>
      <c r="AT850" s="2216"/>
      <c r="AV850" s="803"/>
      <c r="AW850" s="2216"/>
      <c r="AY850" s="803"/>
      <c r="AZ850" s="803"/>
      <c r="BA850" s="2362" t="s">
        <v>1443</v>
      </c>
      <c r="BB850" s="535"/>
      <c r="BC850" s="535"/>
      <c r="BV850" s="2322"/>
      <c r="BW850" s="2181"/>
      <c r="BX850" s="2181"/>
      <c r="BY850" s="2181"/>
      <c r="BZ850" s="2351" t="s">
        <v>1478</v>
      </c>
      <c r="CA850" s="2352">
        <f>CA848-CA849</f>
        <v>0</v>
      </c>
      <c r="CB850" s="2353">
        <f>IF(CA848=0,0,CA850/CA848)</f>
        <v>0</v>
      </c>
      <c r="CC850" s="2352">
        <f>CC848-CC849</f>
        <v>0</v>
      </c>
      <c r="CD850" s="2354">
        <f>IF(CC848=0,0,CC850/CC848)</f>
        <v>0</v>
      </c>
      <c r="CE850" s="2353">
        <f t="shared" si="786"/>
        <v>0</v>
      </c>
      <c r="CF850" s="2352">
        <f>CF848-CF849</f>
        <v>0</v>
      </c>
      <c r="CG850" s="2354">
        <f>IF(CF848=0,0,CF850/CF848)</f>
        <v>0</v>
      </c>
      <c r="CH850" s="2353">
        <f t="shared" si="787"/>
        <v>0</v>
      </c>
      <c r="CI850" s="2352">
        <f>CI848-CI849</f>
        <v>0</v>
      </c>
      <c r="CJ850" s="2354">
        <f>IF(CI848=0,0,CI850/CI848)</f>
        <v>0</v>
      </c>
      <c r="CK850" s="2353">
        <f t="shared" si="788"/>
        <v>0</v>
      </c>
      <c r="CL850" s="2352">
        <f>CL848-CL849</f>
        <v>0</v>
      </c>
      <c r="CM850" s="2354">
        <f>IF(CL848=0,0,CL850/CL848)</f>
        <v>0</v>
      </c>
      <c r="CN850" s="2353">
        <f t="shared" si="789"/>
        <v>0</v>
      </c>
      <c r="CO850" s="2352">
        <f>CO848-CO849</f>
        <v>0</v>
      </c>
      <c r="CP850" s="2354">
        <f>IF(CO848=0,0,CO850/CO848)</f>
        <v>0</v>
      </c>
      <c r="CQ850" s="2353">
        <f t="shared" si="790"/>
        <v>0</v>
      </c>
      <c r="CR850" s="2352">
        <f>CR848-CR849</f>
        <v>0</v>
      </c>
      <c r="CS850" s="2354">
        <f>IF(CR848=0,0,CR850/CR848)</f>
        <v>0</v>
      </c>
      <c r="CT850" s="2353">
        <f t="shared" si="791"/>
        <v>0</v>
      </c>
      <c r="CU850" s="2352">
        <f>CU848-CU849</f>
        <v>0</v>
      </c>
      <c r="CV850" s="2354">
        <f>IF(CU848=0,0,CU850/CU848)</f>
        <v>0</v>
      </c>
      <c r="CW850" s="2353">
        <f t="shared" si="792"/>
        <v>0</v>
      </c>
      <c r="CX850" s="2352">
        <f>CX848-CX849</f>
        <v>0</v>
      </c>
      <c r="CY850" s="2354">
        <f>IF(CX848=0,0,CX850/CX848)</f>
        <v>0</v>
      </c>
      <c r="CZ850" s="2353">
        <f t="shared" si="793"/>
        <v>0</v>
      </c>
      <c r="DA850" s="2352">
        <f>DA848-DA849</f>
        <v>0</v>
      </c>
      <c r="DB850" s="2354">
        <f>IF(DA848=0,0,DA850/DA848)</f>
        <v>0</v>
      </c>
      <c r="DC850" s="2353">
        <f t="shared" si="794"/>
        <v>0</v>
      </c>
      <c r="DD850" s="2352">
        <f>DD848-DD849</f>
        <v>0</v>
      </c>
      <c r="DE850" s="2354">
        <f>IF(DD848=0,0,DD850/DD848)</f>
        <v>0</v>
      </c>
      <c r="DF850" s="2353">
        <f t="shared" si="795"/>
        <v>0</v>
      </c>
      <c r="DG850" s="2352">
        <f>DG848-DG849</f>
        <v>0</v>
      </c>
      <c r="DH850" s="2354">
        <f>IF(DG848=0,0,DG850/DG848)</f>
        <v>0</v>
      </c>
      <c r="DI850" s="2353">
        <f t="shared" si="796"/>
        <v>0</v>
      </c>
      <c r="DJ850" s="2352">
        <f>DJ848-DJ849</f>
        <v>0</v>
      </c>
      <c r="DK850" s="2354">
        <f>IF(DJ848=0,0,DJ850/DJ848)</f>
        <v>0</v>
      </c>
      <c r="DL850" s="2353">
        <f t="shared" si="797"/>
        <v>0</v>
      </c>
      <c r="DM850" s="2352">
        <f>DM848-DM849</f>
        <v>0</v>
      </c>
      <c r="DN850" s="2354">
        <f>IF(DM848=0,0,DM850/DM848)</f>
        <v>0</v>
      </c>
      <c r="DO850" s="2353">
        <f t="shared" si="798"/>
        <v>0</v>
      </c>
      <c r="DP850" s="2352">
        <f>DP848-DP849</f>
        <v>0</v>
      </c>
      <c r="DQ850" s="2354">
        <f>IF(DP848=0,0,DP850/DP848)</f>
        <v>0</v>
      </c>
      <c r="DR850" s="2353">
        <f t="shared" si="799"/>
        <v>0</v>
      </c>
      <c r="DS850" s="2352">
        <f>DS848-DS849</f>
        <v>0</v>
      </c>
      <c r="DT850" s="2354">
        <f>IF(DS848=0,0,DS850/DS848)</f>
        <v>0</v>
      </c>
      <c r="DU850" s="2353">
        <f t="shared" si="800"/>
        <v>0</v>
      </c>
      <c r="DV850" s="2355">
        <f>DV848-DV849</f>
        <v>0</v>
      </c>
      <c r="DW850" s="2354">
        <f>IF(DV848=0,0,DV850/DV848)</f>
        <v>0</v>
      </c>
      <c r="DX850" s="2353">
        <f t="shared" si="801"/>
        <v>0</v>
      </c>
      <c r="DY850" s="2326"/>
    </row>
    <row r="851" spans="33:129" s="536" customFormat="1" ht="17.5">
      <c r="AG851" s="2327"/>
      <c r="AO851" s="2216"/>
      <c r="AP851" s="2216"/>
      <c r="AQ851" s="2216"/>
      <c r="AS851" s="803"/>
      <c r="AT851" s="2216"/>
      <c r="AV851" s="803"/>
      <c r="AW851" s="2216"/>
      <c r="AY851" s="803"/>
      <c r="AZ851" s="803"/>
      <c r="BA851" s="535"/>
      <c r="BB851" s="535"/>
      <c r="BC851" s="535"/>
      <c r="BD851" s="2363">
        <f>N15</f>
        <v>2019</v>
      </c>
      <c r="BE851" s="2363">
        <f t="shared" ref="BE851:BT851" si="802">BD851+1</f>
        <v>2020</v>
      </c>
      <c r="BF851" s="2363">
        <f t="shared" si="802"/>
        <v>2021</v>
      </c>
      <c r="BG851" s="2363">
        <f t="shared" si="802"/>
        <v>2022</v>
      </c>
      <c r="BH851" s="2363">
        <f t="shared" si="802"/>
        <v>2023</v>
      </c>
      <c r="BI851" s="2363">
        <f t="shared" si="802"/>
        <v>2024</v>
      </c>
      <c r="BJ851" s="2363">
        <f t="shared" si="802"/>
        <v>2025</v>
      </c>
      <c r="BK851" s="2363">
        <f t="shared" si="802"/>
        <v>2026</v>
      </c>
      <c r="BL851" s="2363">
        <f t="shared" si="802"/>
        <v>2027</v>
      </c>
      <c r="BM851" s="2363">
        <f t="shared" si="802"/>
        <v>2028</v>
      </c>
      <c r="BN851" s="2363">
        <f t="shared" si="802"/>
        <v>2029</v>
      </c>
      <c r="BO851" s="2363">
        <f t="shared" si="802"/>
        <v>2030</v>
      </c>
      <c r="BP851" s="2363">
        <f t="shared" si="802"/>
        <v>2031</v>
      </c>
      <c r="BQ851" s="2363">
        <f t="shared" si="802"/>
        <v>2032</v>
      </c>
      <c r="BR851" s="2363">
        <f t="shared" si="802"/>
        <v>2033</v>
      </c>
      <c r="BS851" s="2363">
        <f t="shared" si="802"/>
        <v>2034</v>
      </c>
      <c r="BT851" s="2363">
        <f t="shared" si="802"/>
        <v>2035</v>
      </c>
      <c r="BV851" s="2322"/>
      <c r="BW851" s="2181"/>
      <c r="BX851" s="2181"/>
      <c r="BY851" s="2181"/>
      <c r="BZ851" s="2356" t="s">
        <v>1479</v>
      </c>
      <c r="CA851" s="2357">
        <f>AY663</f>
        <v>0</v>
      </c>
      <c r="CB851" s="2358">
        <f>IF(CA848=0,0,CA851/CA848)</f>
        <v>0</v>
      </c>
      <c r="CC851" s="2357">
        <f>BE663</f>
        <v>0</v>
      </c>
      <c r="CD851" s="2359">
        <f>IF(CC848=0,0,CC851/CC848)</f>
        <v>0</v>
      </c>
      <c r="CE851" s="2358">
        <f t="shared" si="786"/>
        <v>0</v>
      </c>
      <c r="CF851" s="2357">
        <f>BF663</f>
        <v>0</v>
      </c>
      <c r="CG851" s="2359">
        <f>IF(CF848=0,0,CF851/CF848)</f>
        <v>0</v>
      </c>
      <c r="CH851" s="2358">
        <f t="shared" si="787"/>
        <v>0</v>
      </c>
      <c r="CI851" s="2357">
        <f>BG663</f>
        <v>0</v>
      </c>
      <c r="CJ851" s="2359">
        <f>IF(CI848=0,0,CI851/CI848)</f>
        <v>0</v>
      </c>
      <c r="CK851" s="2358">
        <f t="shared" si="788"/>
        <v>0</v>
      </c>
      <c r="CL851" s="2357">
        <f>BH663</f>
        <v>0</v>
      </c>
      <c r="CM851" s="2359">
        <f>IF(CL848=0,0,CL851/CL848)</f>
        <v>0</v>
      </c>
      <c r="CN851" s="2358">
        <f t="shared" si="789"/>
        <v>0</v>
      </c>
      <c r="CO851" s="2357">
        <f>BI663</f>
        <v>0</v>
      </c>
      <c r="CP851" s="2359">
        <f>IF(CO848=0,0,CO851/CO848)</f>
        <v>0</v>
      </c>
      <c r="CQ851" s="2358">
        <f t="shared" si="790"/>
        <v>0</v>
      </c>
      <c r="CR851" s="2357">
        <f>BJ663</f>
        <v>0</v>
      </c>
      <c r="CS851" s="2359">
        <f>IF(CR848=0,0,CR851/CR848)</f>
        <v>0</v>
      </c>
      <c r="CT851" s="2358">
        <f t="shared" si="791"/>
        <v>0</v>
      </c>
      <c r="CU851" s="2357">
        <f>BK663</f>
        <v>0</v>
      </c>
      <c r="CV851" s="2359">
        <f>IF(CU848=0,0,CU851/CU848)</f>
        <v>0</v>
      </c>
      <c r="CW851" s="2358">
        <f t="shared" si="792"/>
        <v>0</v>
      </c>
      <c r="CX851" s="2357">
        <f>BL663</f>
        <v>0</v>
      </c>
      <c r="CY851" s="2359">
        <f>IF(CX848=0,0,CX851/CX848)</f>
        <v>0</v>
      </c>
      <c r="CZ851" s="2358">
        <f t="shared" si="793"/>
        <v>0</v>
      </c>
      <c r="DA851" s="2357">
        <f>BM663</f>
        <v>0</v>
      </c>
      <c r="DB851" s="2359">
        <f>IF(DA848=0,0,DA851/DA848)</f>
        <v>0</v>
      </c>
      <c r="DC851" s="2358">
        <f t="shared" si="794"/>
        <v>0</v>
      </c>
      <c r="DD851" s="2357">
        <f>BN663</f>
        <v>0</v>
      </c>
      <c r="DE851" s="2359">
        <f>IF(DD848=0,0,DD851/DD848)</f>
        <v>0</v>
      </c>
      <c r="DF851" s="2358">
        <f t="shared" si="795"/>
        <v>0</v>
      </c>
      <c r="DG851" s="2357">
        <f>BO663</f>
        <v>0</v>
      </c>
      <c r="DH851" s="2359">
        <f>IF(DG848=0,0,DG851/DG848)</f>
        <v>0</v>
      </c>
      <c r="DI851" s="2358">
        <f t="shared" si="796"/>
        <v>0</v>
      </c>
      <c r="DJ851" s="2357">
        <f>BP663</f>
        <v>0</v>
      </c>
      <c r="DK851" s="2359">
        <f>IF(DJ848=0,0,DJ851/DJ848)</f>
        <v>0</v>
      </c>
      <c r="DL851" s="2358">
        <f t="shared" si="797"/>
        <v>0</v>
      </c>
      <c r="DM851" s="2357">
        <f>BQ663</f>
        <v>0</v>
      </c>
      <c r="DN851" s="2359">
        <f>IF(DM848=0,0,DM851/DM848)</f>
        <v>0</v>
      </c>
      <c r="DO851" s="2358">
        <f t="shared" si="798"/>
        <v>0</v>
      </c>
      <c r="DP851" s="2357">
        <f>BR663</f>
        <v>0</v>
      </c>
      <c r="DQ851" s="2359">
        <f>IF(DP848=0,0,DP851/DP848)</f>
        <v>0</v>
      </c>
      <c r="DR851" s="2360">
        <f t="shared" si="799"/>
        <v>0</v>
      </c>
      <c r="DS851" s="2357">
        <f>BS663</f>
        <v>0</v>
      </c>
      <c r="DT851" s="2359">
        <f>IF(DS848=0,0,DS851/DS848)</f>
        <v>0</v>
      </c>
      <c r="DU851" s="2358">
        <f t="shared" si="800"/>
        <v>0</v>
      </c>
      <c r="DV851" s="2361">
        <f>BT663</f>
        <v>0</v>
      </c>
      <c r="DW851" s="2359">
        <f>IF(DV848=0,0,DV851/DV848)</f>
        <v>0</v>
      </c>
      <c r="DX851" s="2358">
        <f t="shared" si="801"/>
        <v>0</v>
      </c>
      <c r="DY851" s="2326"/>
    </row>
    <row r="852" spans="33:129" s="536" customFormat="1" ht="18">
      <c r="AG852" s="2327"/>
      <c r="AO852" s="2216"/>
      <c r="AP852" s="2216"/>
      <c r="AQ852" s="2216"/>
      <c r="AS852" s="803"/>
      <c r="AT852" s="2216"/>
      <c r="AV852" s="803"/>
      <c r="AW852" s="2216"/>
      <c r="AY852" s="803"/>
      <c r="AZ852" s="803"/>
      <c r="BA852" s="2364" t="str">
        <f>AM771</f>
        <v>- / + CUENTAS POR COBRAR</v>
      </c>
      <c r="BB852" s="2007"/>
      <c r="BC852" s="2365"/>
      <c r="BD852" s="2366">
        <f>AY771</f>
        <v>0</v>
      </c>
      <c r="BE852" s="2366">
        <f t="shared" ref="BE852:BT852" si="803">BE771</f>
        <v>0</v>
      </c>
      <c r="BF852" s="2366">
        <f t="shared" si="803"/>
        <v>0</v>
      </c>
      <c r="BG852" s="2366">
        <f t="shared" si="803"/>
        <v>0</v>
      </c>
      <c r="BH852" s="2366">
        <f t="shared" si="803"/>
        <v>0</v>
      </c>
      <c r="BI852" s="2366">
        <f t="shared" si="803"/>
        <v>0</v>
      </c>
      <c r="BJ852" s="2366">
        <f t="shared" si="803"/>
        <v>0</v>
      </c>
      <c r="BK852" s="2366">
        <f t="shared" si="803"/>
        <v>0</v>
      </c>
      <c r="BL852" s="2366">
        <f t="shared" si="803"/>
        <v>0</v>
      </c>
      <c r="BM852" s="2366">
        <f t="shared" si="803"/>
        <v>0</v>
      </c>
      <c r="BN852" s="2366">
        <f t="shared" si="803"/>
        <v>0</v>
      </c>
      <c r="BO852" s="2366">
        <f t="shared" si="803"/>
        <v>0</v>
      </c>
      <c r="BP852" s="2366">
        <f t="shared" si="803"/>
        <v>0</v>
      </c>
      <c r="BQ852" s="2366">
        <f t="shared" si="803"/>
        <v>0</v>
      </c>
      <c r="BR852" s="2366">
        <f t="shared" si="803"/>
        <v>0</v>
      </c>
      <c r="BS852" s="2366">
        <f t="shared" si="803"/>
        <v>0</v>
      </c>
      <c r="BT852" s="2366">
        <f t="shared" si="803"/>
        <v>0</v>
      </c>
      <c r="BV852" s="2322"/>
      <c r="BW852" s="2181"/>
      <c r="BX852" s="2181"/>
      <c r="BY852" s="2181"/>
      <c r="BZ852" s="2351" t="s">
        <v>1480</v>
      </c>
      <c r="CA852" s="2352">
        <f>CA850-CA851</f>
        <v>0</v>
      </c>
      <c r="CB852" s="2353">
        <f>IF(CA848=0,0,CA852/CA848)</f>
        <v>0</v>
      </c>
      <c r="CC852" s="2352">
        <f>CC850-CC851</f>
        <v>0</v>
      </c>
      <c r="CD852" s="2354">
        <f>IF(CC848=0,0,CC852/CC848)</f>
        <v>0</v>
      </c>
      <c r="CE852" s="2353">
        <f t="shared" si="786"/>
        <v>0</v>
      </c>
      <c r="CF852" s="2352">
        <f>CF850-CF851</f>
        <v>0</v>
      </c>
      <c r="CG852" s="2354">
        <f>IF(CF848=0,0,CF852/CF848)</f>
        <v>0</v>
      </c>
      <c r="CH852" s="2353">
        <f t="shared" si="787"/>
        <v>0</v>
      </c>
      <c r="CI852" s="2352">
        <f>CI850-CI851</f>
        <v>0</v>
      </c>
      <c r="CJ852" s="2354">
        <f>IF(CI848=0,0,CI852/CI848)</f>
        <v>0</v>
      </c>
      <c r="CK852" s="2353">
        <f t="shared" si="788"/>
        <v>0</v>
      </c>
      <c r="CL852" s="2352">
        <f>CL850-CL851</f>
        <v>0</v>
      </c>
      <c r="CM852" s="2354">
        <f>IF(CL848=0,0,CL852/CL848)</f>
        <v>0</v>
      </c>
      <c r="CN852" s="2353">
        <f t="shared" si="789"/>
        <v>0</v>
      </c>
      <c r="CO852" s="2352">
        <f>CO850-CO851</f>
        <v>0</v>
      </c>
      <c r="CP852" s="2354">
        <f>IF(CO848=0,0,CO852/CO848)</f>
        <v>0</v>
      </c>
      <c r="CQ852" s="2353">
        <f t="shared" si="790"/>
        <v>0</v>
      </c>
      <c r="CR852" s="2352">
        <f>CR850-CR851</f>
        <v>0</v>
      </c>
      <c r="CS852" s="2354">
        <f>IF(CR848=0,0,CR852/CR848)</f>
        <v>0</v>
      </c>
      <c r="CT852" s="2353">
        <f t="shared" si="791"/>
        <v>0</v>
      </c>
      <c r="CU852" s="2352">
        <f>CU850-CU851</f>
        <v>0</v>
      </c>
      <c r="CV852" s="2354">
        <f>IF(CU848=0,0,CU852/CU848)</f>
        <v>0</v>
      </c>
      <c r="CW852" s="2353">
        <f t="shared" si="792"/>
        <v>0</v>
      </c>
      <c r="CX852" s="2352">
        <f>CX850-CX851</f>
        <v>0</v>
      </c>
      <c r="CY852" s="2354">
        <f>IF(CX848=0,0,CX852/CX848)</f>
        <v>0</v>
      </c>
      <c r="CZ852" s="2353">
        <f t="shared" si="793"/>
        <v>0</v>
      </c>
      <c r="DA852" s="2352">
        <f>DA850-DA851</f>
        <v>0</v>
      </c>
      <c r="DB852" s="2354">
        <f>IF(DA848=0,0,DA852/DA848)</f>
        <v>0</v>
      </c>
      <c r="DC852" s="2353">
        <f t="shared" si="794"/>
        <v>0</v>
      </c>
      <c r="DD852" s="2352">
        <f>DD850-DD851</f>
        <v>0</v>
      </c>
      <c r="DE852" s="2354">
        <f>IF(DD848=0,0,DD852/DD848)</f>
        <v>0</v>
      </c>
      <c r="DF852" s="2353">
        <f t="shared" si="795"/>
        <v>0</v>
      </c>
      <c r="DG852" s="2352">
        <f>DG850-DG851</f>
        <v>0</v>
      </c>
      <c r="DH852" s="2354">
        <f>IF(DG848=0,0,DG852/DG848)</f>
        <v>0</v>
      </c>
      <c r="DI852" s="2353">
        <f t="shared" si="796"/>
        <v>0</v>
      </c>
      <c r="DJ852" s="2352">
        <f>DJ850-DJ851</f>
        <v>0</v>
      </c>
      <c r="DK852" s="2354">
        <f>IF(DJ848=0,0,DJ852/DJ848)</f>
        <v>0</v>
      </c>
      <c r="DL852" s="2353">
        <f t="shared" si="797"/>
        <v>0</v>
      </c>
      <c r="DM852" s="2352">
        <f>DM850-DM851</f>
        <v>0</v>
      </c>
      <c r="DN852" s="2354">
        <f>IF(DM848=0,0,DM852/DM848)</f>
        <v>0</v>
      </c>
      <c r="DO852" s="2353">
        <f t="shared" si="798"/>
        <v>0</v>
      </c>
      <c r="DP852" s="2352">
        <f>DP850-DP851</f>
        <v>0</v>
      </c>
      <c r="DQ852" s="2354">
        <f>IF(DP848=0,0,DP852/DP848)</f>
        <v>0</v>
      </c>
      <c r="DR852" s="2353">
        <f t="shared" si="799"/>
        <v>0</v>
      </c>
      <c r="DS852" s="2352">
        <f>DS850-DS851</f>
        <v>0</v>
      </c>
      <c r="DT852" s="2354">
        <f>IF(DS848=0,0,DS852/DS848)</f>
        <v>0</v>
      </c>
      <c r="DU852" s="2353">
        <f t="shared" si="800"/>
        <v>0</v>
      </c>
      <c r="DV852" s="2355">
        <f>DV850-DV851</f>
        <v>0</v>
      </c>
      <c r="DW852" s="2354">
        <f>IF(DV848=0,0,DV852/DV848)</f>
        <v>0</v>
      </c>
      <c r="DX852" s="2353">
        <f t="shared" si="801"/>
        <v>0</v>
      </c>
      <c r="DY852" s="2326"/>
    </row>
    <row r="853" spans="33:129" s="536" customFormat="1" ht="18">
      <c r="AG853" s="2327"/>
      <c r="AO853" s="2216"/>
      <c r="AP853" s="2216"/>
      <c r="AQ853" s="2216"/>
      <c r="AS853" s="803"/>
      <c r="AT853" s="2216"/>
      <c r="AV853" s="803"/>
      <c r="AW853" s="2216"/>
      <c r="AY853" s="803"/>
      <c r="AZ853" s="803"/>
      <c r="BA853" s="2367" t="str">
        <f>AM822</f>
        <v>+ PROVISIONES CUENTAS POR COBRAR</v>
      </c>
      <c r="BB853" s="2007"/>
      <c r="BC853" s="2365"/>
      <c r="BD853" s="2368">
        <f>AY822</f>
        <v>0</v>
      </c>
      <c r="BE853" s="2366">
        <f t="shared" ref="BE853:BT853" si="804">BE822</f>
        <v>0</v>
      </c>
      <c r="BF853" s="2366">
        <f t="shared" si="804"/>
        <v>0</v>
      </c>
      <c r="BG853" s="2366">
        <f t="shared" si="804"/>
        <v>0</v>
      </c>
      <c r="BH853" s="2366">
        <f t="shared" si="804"/>
        <v>0</v>
      </c>
      <c r="BI853" s="2366">
        <f t="shared" si="804"/>
        <v>0</v>
      </c>
      <c r="BJ853" s="2366">
        <f t="shared" si="804"/>
        <v>0</v>
      </c>
      <c r="BK853" s="2366">
        <f t="shared" si="804"/>
        <v>0</v>
      </c>
      <c r="BL853" s="2366">
        <f t="shared" si="804"/>
        <v>0</v>
      </c>
      <c r="BM853" s="2366">
        <f t="shared" si="804"/>
        <v>0</v>
      </c>
      <c r="BN853" s="2366">
        <f t="shared" si="804"/>
        <v>0</v>
      </c>
      <c r="BO853" s="2366">
        <f t="shared" si="804"/>
        <v>0</v>
      </c>
      <c r="BP853" s="2366">
        <f t="shared" si="804"/>
        <v>0</v>
      </c>
      <c r="BQ853" s="2366">
        <f t="shared" si="804"/>
        <v>0</v>
      </c>
      <c r="BR853" s="2366">
        <f t="shared" si="804"/>
        <v>0</v>
      </c>
      <c r="BS853" s="2366">
        <f t="shared" si="804"/>
        <v>0</v>
      </c>
      <c r="BT853" s="2366">
        <f t="shared" si="804"/>
        <v>0</v>
      </c>
      <c r="BV853" s="2322"/>
      <c r="BW853" s="2181"/>
      <c r="BX853" s="2181"/>
      <c r="BY853" s="2181"/>
      <c r="BZ853" s="2351" t="s">
        <v>1481</v>
      </c>
      <c r="CA853" s="2352">
        <f>SUM(AY680:AY682)</f>
        <v>0</v>
      </c>
      <c r="CB853" s="2353">
        <f>IF(CA848=0,0,CA853/CA848)</f>
        <v>0</v>
      </c>
      <c r="CC853" s="2352">
        <f>SUM(BE680:BE682)</f>
        <v>0</v>
      </c>
      <c r="CD853" s="2354">
        <f>IF(CC848=0,0,CC853/CC848)</f>
        <v>0</v>
      </c>
      <c r="CE853" s="2353">
        <f t="shared" si="786"/>
        <v>0</v>
      </c>
      <c r="CF853" s="2352">
        <f>SUM(BF680:BF682)</f>
        <v>0</v>
      </c>
      <c r="CG853" s="2354">
        <f>IF(CF848=0,0,CF853/CF848)</f>
        <v>0</v>
      </c>
      <c r="CH853" s="2353">
        <f t="shared" si="787"/>
        <v>0</v>
      </c>
      <c r="CI853" s="2352">
        <f>SUM(BG680:BG682)</f>
        <v>0</v>
      </c>
      <c r="CJ853" s="2354">
        <f>IF(CI848=0,0,CI853/CI848)</f>
        <v>0</v>
      </c>
      <c r="CK853" s="2353">
        <f t="shared" si="788"/>
        <v>0</v>
      </c>
      <c r="CL853" s="2352">
        <f>SUM(BH680:BH682)</f>
        <v>0</v>
      </c>
      <c r="CM853" s="2354">
        <f>IF(CL848=0,0,CL853/CL848)</f>
        <v>0</v>
      </c>
      <c r="CN853" s="2353">
        <f t="shared" si="789"/>
        <v>0</v>
      </c>
      <c r="CO853" s="2352">
        <f>SUM(BI680:BI682)</f>
        <v>0</v>
      </c>
      <c r="CP853" s="2354">
        <f>IF(CO848=0,0,CO853/CO848)</f>
        <v>0</v>
      </c>
      <c r="CQ853" s="2353">
        <f t="shared" si="790"/>
        <v>0</v>
      </c>
      <c r="CR853" s="2352">
        <f>SUM(BJ680:BJ682)</f>
        <v>0</v>
      </c>
      <c r="CS853" s="2354">
        <f>IF(CR848=0,0,CR853/CR848)</f>
        <v>0</v>
      </c>
      <c r="CT853" s="2353">
        <f t="shared" si="791"/>
        <v>0</v>
      </c>
      <c r="CU853" s="2352">
        <f>SUM(BK680:BK682)</f>
        <v>0</v>
      </c>
      <c r="CV853" s="2354">
        <f>IF(CU848=0,0,CU853/CU848)</f>
        <v>0</v>
      </c>
      <c r="CW853" s="2353">
        <f t="shared" si="792"/>
        <v>0</v>
      </c>
      <c r="CX853" s="2352">
        <f>SUM(BL680:BL682)</f>
        <v>0</v>
      </c>
      <c r="CY853" s="2354">
        <f>IF(CX848=0,0,CX853/CX848)</f>
        <v>0</v>
      </c>
      <c r="CZ853" s="2353">
        <f t="shared" si="793"/>
        <v>0</v>
      </c>
      <c r="DA853" s="2352">
        <f>SUM(BM680:BM682)</f>
        <v>0</v>
      </c>
      <c r="DB853" s="2354">
        <f>IF(DA848=0,0,DA853/DA848)</f>
        <v>0</v>
      </c>
      <c r="DC853" s="2353">
        <f t="shared" si="794"/>
        <v>0</v>
      </c>
      <c r="DD853" s="2352">
        <f>SUM(BN680:BN682)</f>
        <v>0</v>
      </c>
      <c r="DE853" s="2354">
        <f>IF(DD848=0,0,DD853/DD848)</f>
        <v>0</v>
      </c>
      <c r="DF853" s="2353">
        <f t="shared" si="795"/>
        <v>0</v>
      </c>
      <c r="DG853" s="2352">
        <f>SUM(BO680:BO682)</f>
        <v>0</v>
      </c>
      <c r="DH853" s="2354">
        <f>IF(DG848=0,0,DG853/DG848)</f>
        <v>0</v>
      </c>
      <c r="DI853" s="2353">
        <f t="shared" si="796"/>
        <v>0</v>
      </c>
      <c r="DJ853" s="2352">
        <f>SUM(BP680:BP682)</f>
        <v>0</v>
      </c>
      <c r="DK853" s="2354">
        <f>IF(DJ848=0,0,DJ853/DJ848)</f>
        <v>0</v>
      </c>
      <c r="DL853" s="2353">
        <f t="shared" si="797"/>
        <v>0</v>
      </c>
      <c r="DM853" s="2352">
        <f>SUM(BQ680:BQ682)</f>
        <v>0</v>
      </c>
      <c r="DN853" s="2354">
        <f>IF(DM848=0,0,DM853/DM848)</f>
        <v>0</v>
      </c>
      <c r="DO853" s="2353">
        <f t="shared" si="798"/>
        <v>0</v>
      </c>
      <c r="DP853" s="2352">
        <f>SUM(BR680:BR682)</f>
        <v>0</v>
      </c>
      <c r="DQ853" s="2354">
        <f>IF(DP848=0,0,DP853/DP848)</f>
        <v>0</v>
      </c>
      <c r="DR853" s="2353">
        <f t="shared" si="799"/>
        <v>0</v>
      </c>
      <c r="DS853" s="2352">
        <f>SUM(BS680:BS682)</f>
        <v>0</v>
      </c>
      <c r="DT853" s="2354">
        <f>IF(DS848=0,0,DS853/DS848)</f>
        <v>0</v>
      </c>
      <c r="DU853" s="2353">
        <f t="shared" si="800"/>
        <v>0</v>
      </c>
      <c r="DV853" s="2355">
        <f>SUM(BT680:BT682)</f>
        <v>0</v>
      </c>
      <c r="DW853" s="2354">
        <f>IF(DV848=0,0,DV853/DV848)</f>
        <v>0</v>
      </c>
      <c r="DX853" s="2353">
        <f t="shared" si="801"/>
        <v>0</v>
      </c>
      <c r="DY853" s="2326"/>
    </row>
    <row r="854" spans="33:129" s="536" customFormat="1" ht="17.5">
      <c r="AG854" s="2327"/>
      <c r="AO854" s="2216"/>
      <c r="AP854" s="2216"/>
      <c r="AQ854" s="2216"/>
      <c r="AS854" s="803"/>
      <c r="AT854" s="2216"/>
      <c r="AV854" s="803"/>
      <c r="AW854" s="2216"/>
      <c r="AY854" s="803"/>
      <c r="AZ854" s="803"/>
      <c r="BA854" s="2364" t="str">
        <f>AM772</f>
        <v>- / + INVENTARIOS</v>
      </c>
      <c r="BB854" s="2007"/>
      <c r="BC854" s="2365"/>
      <c r="BD854" s="2368">
        <f>AY772</f>
        <v>0</v>
      </c>
      <c r="BE854" s="2366">
        <f t="shared" ref="BE854:BT854" si="805">BE772</f>
        <v>0</v>
      </c>
      <c r="BF854" s="2366">
        <f t="shared" si="805"/>
        <v>0</v>
      </c>
      <c r="BG854" s="2366">
        <f t="shared" si="805"/>
        <v>0</v>
      </c>
      <c r="BH854" s="2366">
        <f t="shared" si="805"/>
        <v>0</v>
      </c>
      <c r="BI854" s="2366">
        <f t="shared" si="805"/>
        <v>0</v>
      </c>
      <c r="BJ854" s="2366">
        <f t="shared" si="805"/>
        <v>0</v>
      </c>
      <c r="BK854" s="2366">
        <f t="shared" si="805"/>
        <v>0</v>
      </c>
      <c r="BL854" s="2366">
        <f t="shared" si="805"/>
        <v>0</v>
      </c>
      <c r="BM854" s="2366">
        <f t="shared" si="805"/>
        <v>0</v>
      </c>
      <c r="BN854" s="2366">
        <f t="shared" si="805"/>
        <v>0</v>
      </c>
      <c r="BO854" s="2366">
        <f t="shared" si="805"/>
        <v>0</v>
      </c>
      <c r="BP854" s="2366">
        <f t="shared" si="805"/>
        <v>0</v>
      </c>
      <c r="BQ854" s="2366">
        <f t="shared" si="805"/>
        <v>0</v>
      </c>
      <c r="BR854" s="2366">
        <f t="shared" si="805"/>
        <v>0</v>
      </c>
      <c r="BS854" s="2366">
        <f t="shared" si="805"/>
        <v>0</v>
      </c>
      <c r="BT854" s="2366">
        <f t="shared" si="805"/>
        <v>0</v>
      </c>
      <c r="BV854" s="2322"/>
      <c r="BW854" s="2181"/>
      <c r="BX854" s="2181"/>
      <c r="BY854" s="2181"/>
      <c r="BZ854" s="2369" t="s">
        <v>881</v>
      </c>
      <c r="CA854" s="2370">
        <f>CA852+CA853</f>
        <v>0</v>
      </c>
      <c r="CB854" s="2371">
        <f>IF(CA848=0,0,CA854/CA848)</f>
        <v>0</v>
      </c>
      <c r="CC854" s="2370">
        <f>CC852+CC853</f>
        <v>0</v>
      </c>
      <c r="CD854" s="2372">
        <f>IF(CC848=0,0,CC854/CC848)</f>
        <v>0</v>
      </c>
      <c r="CE854" s="2371">
        <f t="shared" si="786"/>
        <v>0</v>
      </c>
      <c r="CF854" s="2370">
        <f>CF852+CF853</f>
        <v>0</v>
      </c>
      <c r="CG854" s="2372">
        <f>IF(CF848=0,0,CF854/CF848)</f>
        <v>0</v>
      </c>
      <c r="CH854" s="2371">
        <f t="shared" si="787"/>
        <v>0</v>
      </c>
      <c r="CI854" s="2370">
        <f>CI852+CI853</f>
        <v>0</v>
      </c>
      <c r="CJ854" s="2372">
        <f>IF(CI848=0,0,CI854/CI848)</f>
        <v>0</v>
      </c>
      <c r="CK854" s="2371">
        <f t="shared" si="788"/>
        <v>0</v>
      </c>
      <c r="CL854" s="2370">
        <f>CL852+CL853</f>
        <v>0</v>
      </c>
      <c r="CM854" s="2372">
        <f>IF(CL848=0,0,CL854/CL848)</f>
        <v>0</v>
      </c>
      <c r="CN854" s="2371">
        <f t="shared" si="789"/>
        <v>0</v>
      </c>
      <c r="CO854" s="2370">
        <f>CO852+CO853</f>
        <v>0</v>
      </c>
      <c r="CP854" s="2372">
        <f>IF(CO848=0,0,CO854/CO848)</f>
        <v>0</v>
      </c>
      <c r="CQ854" s="2371">
        <f t="shared" si="790"/>
        <v>0</v>
      </c>
      <c r="CR854" s="2370">
        <f>CR852+CR853</f>
        <v>0</v>
      </c>
      <c r="CS854" s="2372">
        <f>IF(CR848=0,0,CR854/CR848)</f>
        <v>0</v>
      </c>
      <c r="CT854" s="2371">
        <f t="shared" si="791"/>
        <v>0</v>
      </c>
      <c r="CU854" s="2370">
        <f>CU852+CU853</f>
        <v>0</v>
      </c>
      <c r="CV854" s="2372">
        <f>IF(CU848=0,0,CU854/CU848)</f>
        <v>0</v>
      </c>
      <c r="CW854" s="2371">
        <f t="shared" si="792"/>
        <v>0</v>
      </c>
      <c r="CX854" s="2370">
        <f>CX852+CX853</f>
        <v>0</v>
      </c>
      <c r="CY854" s="2372">
        <f>IF(CX848=0,0,CX854/CX848)</f>
        <v>0</v>
      </c>
      <c r="CZ854" s="2371">
        <f t="shared" si="793"/>
        <v>0</v>
      </c>
      <c r="DA854" s="2370">
        <f>DA852+DA853</f>
        <v>0</v>
      </c>
      <c r="DB854" s="2372">
        <f>IF(DA848=0,0,DA854/DA848)</f>
        <v>0</v>
      </c>
      <c r="DC854" s="2371">
        <f t="shared" si="794"/>
        <v>0</v>
      </c>
      <c r="DD854" s="2370">
        <f>DD852+DD853</f>
        <v>0</v>
      </c>
      <c r="DE854" s="2372">
        <f>IF(DD848=0,0,DD854/DD848)</f>
        <v>0</v>
      </c>
      <c r="DF854" s="2371">
        <f t="shared" si="795"/>
        <v>0</v>
      </c>
      <c r="DG854" s="2370">
        <f>DG852+DG853</f>
        <v>0</v>
      </c>
      <c r="DH854" s="2372">
        <f>IF(DG848=0,0,DG854/DG848)</f>
        <v>0</v>
      </c>
      <c r="DI854" s="2371">
        <f t="shared" si="796"/>
        <v>0</v>
      </c>
      <c r="DJ854" s="2370">
        <f>DJ852+DJ853</f>
        <v>0</v>
      </c>
      <c r="DK854" s="2372">
        <f>IF(DJ848=0,0,DJ854/DJ848)</f>
        <v>0</v>
      </c>
      <c r="DL854" s="2371">
        <f t="shared" si="797"/>
        <v>0</v>
      </c>
      <c r="DM854" s="2370">
        <f>DM852+DM853</f>
        <v>0</v>
      </c>
      <c r="DN854" s="2372">
        <f>IF(DM848=0,0,DM854/DM848)</f>
        <v>0</v>
      </c>
      <c r="DO854" s="2371">
        <f t="shared" si="798"/>
        <v>0</v>
      </c>
      <c r="DP854" s="2370">
        <f>DP852+DP853</f>
        <v>0</v>
      </c>
      <c r="DQ854" s="2372">
        <f>IF(DP848=0,0,DP854/DP848)</f>
        <v>0</v>
      </c>
      <c r="DR854" s="2360">
        <f t="shared" si="799"/>
        <v>0</v>
      </c>
      <c r="DS854" s="2370">
        <f>DS852+DS853</f>
        <v>0</v>
      </c>
      <c r="DT854" s="2372">
        <f>IF(DS848=0,0,DS854/DS848)</f>
        <v>0</v>
      </c>
      <c r="DU854" s="2371">
        <f t="shared" si="800"/>
        <v>0</v>
      </c>
      <c r="DV854" s="2373">
        <f>DV852+DV853</f>
        <v>0</v>
      </c>
      <c r="DW854" s="2372">
        <f>IF(DV848=0,0,DV854/DV848)</f>
        <v>0</v>
      </c>
      <c r="DX854" s="2371">
        <f t="shared" si="801"/>
        <v>0</v>
      </c>
      <c r="DY854" s="2326"/>
    </row>
    <row r="855" spans="33:129" s="536" customFormat="1" ht="17.5">
      <c r="AG855" s="2327"/>
      <c r="AO855" s="2216"/>
      <c r="AP855" s="2216"/>
      <c r="AQ855" s="2216"/>
      <c r="AS855" s="803"/>
      <c r="AT855" s="2216"/>
      <c r="AV855" s="803"/>
      <c r="AW855" s="2216"/>
      <c r="AY855" s="803"/>
      <c r="AZ855" s="803"/>
      <c r="BA855" s="2374" t="str">
        <f>AM823</f>
        <v>+ PROVISIONES INVENTARIOS</v>
      </c>
      <c r="BB855" s="2124"/>
      <c r="BC855" s="2375"/>
      <c r="BD855" s="2368">
        <f>AY823</f>
        <v>0</v>
      </c>
      <c r="BE855" s="2366">
        <f t="shared" ref="BE855:BT855" si="806">BE823</f>
        <v>0</v>
      </c>
      <c r="BF855" s="2366">
        <f t="shared" si="806"/>
        <v>0</v>
      </c>
      <c r="BG855" s="2366">
        <f t="shared" si="806"/>
        <v>0</v>
      </c>
      <c r="BH855" s="2366">
        <f t="shared" si="806"/>
        <v>0</v>
      </c>
      <c r="BI855" s="2366">
        <f t="shared" si="806"/>
        <v>0</v>
      </c>
      <c r="BJ855" s="2366">
        <f t="shared" si="806"/>
        <v>0</v>
      </c>
      <c r="BK855" s="2366">
        <f t="shared" si="806"/>
        <v>0</v>
      </c>
      <c r="BL855" s="2366">
        <f t="shared" si="806"/>
        <v>0</v>
      </c>
      <c r="BM855" s="2366">
        <f t="shared" si="806"/>
        <v>0</v>
      </c>
      <c r="BN855" s="2366">
        <f t="shared" si="806"/>
        <v>0</v>
      </c>
      <c r="BO855" s="2366">
        <f t="shared" si="806"/>
        <v>0</v>
      </c>
      <c r="BP855" s="2366">
        <f t="shared" si="806"/>
        <v>0</v>
      </c>
      <c r="BQ855" s="2366">
        <f t="shared" si="806"/>
        <v>0</v>
      </c>
      <c r="BR855" s="2366">
        <f t="shared" si="806"/>
        <v>0</v>
      </c>
      <c r="BS855" s="2366">
        <f t="shared" si="806"/>
        <v>0</v>
      </c>
      <c r="BT855" s="2366">
        <f t="shared" si="806"/>
        <v>0</v>
      </c>
      <c r="BV855" s="2322"/>
      <c r="BW855" s="2181"/>
      <c r="BX855" s="2181"/>
      <c r="BY855" s="2181"/>
      <c r="BZ855" s="2356"/>
      <c r="CA855" s="2357"/>
      <c r="CB855" s="2358"/>
      <c r="CC855" s="2357"/>
      <c r="CD855" s="2359"/>
      <c r="CE855" s="2358"/>
      <c r="CF855" s="2357"/>
      <c r="CG855" s="2359"/>
      <c r="CH855" s="2358"/>
      <c r="CI855" s="2357"/>
      <c r="CJ855" s="2359"/>
      <c r="CK855" s="2358"/>
      <c r="CL855" s="2357"/>
      <c r="CM855" s="2359"/>
      <c r="CN855" s="2358"/>
      <c r="CO855" s="2357"/>
      <c r="CP855" s="2359"/>
      <c r="CQ855" s="2358"/>
      <c r="CR855" s="2357"/>
      <c r="CS855" s="2359"/>
      <c r="CT855" s="2358"/>
      <c r="CU855" s="2357"/>
      <c r="CV855" s="2359"/>
      <c r="CW855" s="2358"/>
      <c r="CX855" s="2357"/>
      <c r="CY855" s="2359"/>
      <c r="CZ855" s="2358"/>
      <c r="DA855" s="2357"/>
      <c r="DB855" s="2359"/>
      <c r="DC855" s="2358"/>
      <c r="DD855" s="2357"/>
      <c r="DE855" s="2359"/>
      <c r="DF855" s="2358"/>
      <c r="DG855" s="2357"/>
      <c r="DH855" s="2359"/>
      <c r="DI855" s="2358"/>
      <c r="DJ855" s="2357"/>
      <c r="DK855" s="2359"/>
      <c r="DL855" s="2358"/>
      <c r="DM855" s="2357"/>
      <c r="DN855" s="2359"/>
      <c r="DO855" s="2358"/>
      <c r="DP855" s="2357"/>
      <c r="DQ855" s="2359"/>
      <c r="DR855" s="2376">
        <f t="shared" si="799"/>
        <v>0</v>
      </c>
      <c r="DS855" s="2357"/>
      <c r="DT855" s="2359"/>
      <c r="DU855" s="2358"/>
      <c r="DV855" s="2361"/>
      <c r="DW855" s="2359"/>
      <c r="DX855" s="2358"/>
      <c r="DY855" s="2326"/>
    </row>
    <row r="856" spans="33:129" s="536" customFormat="1" ht="17.5">
      <c r="AG856" s="2327"/>
      <c r="AO856" s="2216"/>
      <c r="AP856" s="2216"/>
      <c r="AQ856" s="2216"/>
      <c r="AS856" s="803"/>
      <c r="AT856" s="2216"/>
      <c r="AV856" s="803"/>
      <c r="AW856" s="2216"/>
      <c r="AY856" s="803"/>
      <c r="AZ856" s="803"/>
      <c r="BA856" s="2377" t="str">
        <f>AM773</f>
        <v>- / + ANTICIPOS</v>
      </c>
      <c r="BB856" s="2007"/>
      <c r="BC856" s="2365"/>
      <c r="BD856" s="2368">
        <f>AY773</f>
        <v>0</v>
      </c>
      <c r="BE856" s="2366">
        <f t="shared" ref="BE856:BT856" si="807">BE773</f>
        <v>0</v>
      </c>
      <c r="BF856" s="2366">
        <f t="shared" si="807"/>
        <v>0</v>
      </c>
      <c r="BG856" s="2366">
        <f t="shared" si="807"/>
        <v>0</v>
      </c>
      <c r="BH856" s="2366">
        <f t="shared" si="807"/>
        <v>0</v>
      </c>
      <c r="BI856" s="2366">
        <f t="shared" si="807"/>
        <v>0</v>
      </c>
      <c r="BJ856" s="2366">
        <f t="shared" si="807"/>
        <v>0</v>
      </c>
      <c r="BK856" s="2366">
        <f t="shared" si="807"/>
        <v>0</v>
      </c>
      <c r="BL856" s="2366">
        <f t="shared" si="807"/>
        <v>0</v>
      </c>
      <c r="BM856" s="2366">
        <f t="shared" si="807"/>
        <v>0</v>
      </c>
      <c r="BN856" s="2366">
        <f t="shared" si="807"/>
        <v>0</v>
      </c>
      <c r="BO856" s="2366">
        <f t="shared" si="807"/>
        <v>0</v>
      </c>
      <c r="BP856" s="2366">
        <f t="shared" si="807"/>
        <v>0</v>
      </c>
      <c r="BQ856" s="2366">
        <f t="shared" si="807"/>
        <v>0</v>
      </c>
      <c r="BR856" s="2366">
        <f t="shared" si="807"/>
        <v>0</v>
      </c>
      <c r="BS856" s="2366">
        <f t="shared" si="807"/>
        <v>0</v>
      </c>
      <c r="BT856" s="2366">
        <f t="shared" si="807"/>
        <v>0</v>
      </c>
      <c r="BV856" s="2322"/>
      <c r="BW856" s="2181"/>
      <c r="BX856" s="2181"/>
      <c r="BY856" s="2181"/>
      <c r="BZ856" s="2356" t="s">
        <v>1482</v>
      </c>
      <c r="CA856" s="2357">
        <f>AY668+AY670+AY674+IF(AY667&gt;=0,AY667,0)+IF(AY671&gt;=0,AY671,0)+IF(AY672&gt;=0,AY672,0)+IF(AY673&gt;=0,AY673,0)</f>
        <v>0</v>
      </c>
      <c r="CB856" s="2358">
        <f>IF(CA848=0,0,CA856/CA848)</f>
        <v>0</v>
      </c>
      <c r="CC856" s="2357">
        <f>BE668+BE670+BE674+IF(BE667&gt;=0,BE667,0)+IF(BE671&gt;=0,BE671,0)+IF(BE672&gt;=0,BE672,0)+IF(BE673&gt;=0,BE673,0)</f>
        <v>0</v>
      </c>
      <c r="CD856" s="2359">
        <f>IF(CC848=0,0,CC856/CC848)</f>
        <v>0</v>
      </c>
      <c r="CE856" s="2358">
        <f>IF(CA856=0,0,IF(ABS(CC856/(CA856*360/$N$17)-1)&gt;10000%,0,CC856/(CA856*360/$N$17)-1))</f>
        <v>0</v>
      </c>
      <c r="CF856" s="2357">
        <f>BF668+BF670+BF674+IF(BF667&gt;=0,BF667,0)+IF(BF671&gt;=0,BF671,0)+IF(BF672&gt;=0,BF672,0)+IF(BF673&gt;=0,BF673,0)</f>
        <v>0</v>
      </c>
      <c r="CG856" s="2359">
        <f>IF(CF848=0,0,CF856/CF848)</f>
        <v>0</v>
      </c>
      <c r="CH856" s="2358">
        <f>IF(CC856=0,0,CF856/CC856-1)</f>
        <v>0</v>
      </c>
      <c r="CI856" s="2357">
        <f>BG668+BG670+BG674+IF(BG667&gt;=0,BG667,0)+IF(BG671&gt;=0,BG671,0)+IF(BG672&gt;=0,BG672,0)+IF(BG673&gt;=0,BG673,0)</f>
        <v>0</v>
      </c>
      <c r="CJ856" s="2359">
        <f>IF(CI848=0,0,CI856/CI848)</f>
        <v>0</v>
      </c>
      <c r="CK856" s="2358">
        <f>IF(CF856=0,0,CI856/CF856-1)</f>
        <v>0</v>
      </c>
      <c r="CL856" s="2357">
        <f>BH668+BH670+BH674+IF(BH667&gt;=0,BH667,0)+IF(BH671&gt;=0,BH671,0)+IF(BH672&gt;=0,BH672,0)+IF(BH673&gt;=0,BH673,0)</f>
        <v>0</v>
      </c>
      <c r="CM856" s="2359">
        <f>IF(CL848=0,0,CL856/CL848)</f>
        <v>0</v>
      </c>
      <c r="CN856" s="2358">
        <f>IF(CI856=0,0,CL856/CI856-1)</f>
        <v>0</v>
      </c>
      <c r="CO856" s="2357">
        <f>BI668+BI670+BI674+IF(BI667&gt;=0,BI667,0)+IF(BI671&gt;=0,BI671,0)+IF(BI672&gt;=0,BI672,0)+IF(BI673&gt;=0,BI673,0)</f>
        <v>0</v>
      </c>
      <c r="CP856" s="2359">
        <f>IF(CO848=0,0,CO856/CO848)</f>
        <v>0</v>
      </c>
      <c r="CQ856" s="2358">
        <f>IF(CL856=0,0,CO856/CL856-1)</f>
        <v>0</v>
      </c>
      <c r="CR856" s="2357">
        <f>BJ668+BJ670+BJ674+IF(BJ667&gt;=0,BJ667,0)+IF(BJ671&gt;=0,BJ671,0)+IF(BJ672&gt;=0,BJ672,0)+IF(BJ673&gt;=0,BJ673,0)</f>
        <v>0</v>
      </c>
      <c r="CS856" s="2359">
        <f>IF(CR848=0,0,CR856/CR848)</f>
        <v>0</v>
      </c>
      <c r="CT856" s="2358">
        <f>IF(CO856=0,0,CR856/CO856-1)</f>
        <v>0</v>
      </c>
      <c r="CU856" s="2357">
        <f>BK668+BK670+BK674+IF(BK667&gt;=0,BK667,0)+IF(BK671&gt;=0,BK671,0)+IF(BK672&gt;=0,BK672,0)+IF(BK673&gt;=0,BK673,0)</f>
        <v>0</v>
      </c>
      <c r="CV856" s="2359">
        <f>IF(CU848=0,0,CU856/CU848)</f>
        <v>0</v>
      </c>
      <c r="CW856" s="2358">
        <f>IF(CR856=0,0,CU856/CR856-1)</f>
        <v>0</v>
      </c>
      <c r="CX856" s="2357">
        <f>BL668+BL670+BL674+IF(BL667&gt;=0,BL667,0)+IF(BL671&gt;=0,BL671,0)+IF(BL672&gt;=0,BL672,0)+IF(BL673&gt;=0,BL673,0)</f>
        <v>0</v>
      </c>
      <c r="CY856" s="2359">
        <f>IF(CX848=0,0,CX856/CX848)</f>
        <v>0</v>
      </c>
      <c r="CZ856" s="2358">
        <f>IF(CU856=0,0,CX856/CU856-1)</f>
        <v>0</v>
      </c>
      <c r="DA856" s="2357">
        <f>BM668+BM670+BM674+IF(BM667&gt;=0,BM667,0)+IF(BM671&gt;=0,BM671,0)+IF(BM672&gt;=0,BM672,0)+IF(BM673&gt;=0,BM673,0)</f>
        <v>0</v>
      </c>
      <c r="DB856" s="2359">
        <f>IF(DA848=0,0,DA856/DA848)</f>
        <v>0</v>
      </c>
      <c r="DC856" s="2358">
        <f>IF(CX856=0,0,DA856/CX856-1)</f>
        <v>0</v>
      </c>
      <c r="DD856" s="2357">
        <f>BN668+BN670+BN674+IF(BN667&gt;=0,BN667,0)+IF(BN671&gt;=0,BN671,0)+IF(BN672&gt;=0,BN672,0)+IF(BN673&gt;=0,BN673,0)</f>
        <v>0</v>
      </c>
      <c r="DE856" s="2359">
        <f>IF(DD848=0,0,DD856/DD848)</f>
        <v>0</v>
      </c>
      <c r="DF856" s="2358">
        <f>IF(DA856=0,0,DD856/DA856-1)</f>
        <v>0</v>
      </c>
      <c r="DG856" s="2357">
        <f>BO668+BO670+BO674+IF(BO667&gt;=0,BO667,0)+IF(BO671&gt;=0,BO671,0)+IF(BO672&gt;=0,BO672,0)+IF(BO673&gt;=0,BO673,0)</f>
        <v>0</v>
      </c>
      <c r="DH856" s="2359">
        <f>IF(DG848=0,0,DG856/DG848)</f>
        <v>0</v>
      </c>
      <c r="DI856" s="2358">
        <f>IF(DD856=0,0,DG856/DD856-1)</f>
        <v>0</v>
      </c>
      <c r="DJ856" s="2357">
        <f>BP668+BP670+BP674+IF(BP667&gt;=0,BP667,0)+IF(BP671&gt;=0,BP671,0)+IF(BP672&gt;=0,BP672,0)+IF(BP673&gt;=0,BP673,0)</f>
        <v>0</v>
      </c>
      <c r="DK856" s="2359">
        <f>IF(DJ848=0,0,DJ856/DJ848)</f>
        <v>0</v>
      </c>
      <c r="DL856" s="2358">
        <f>IF(DG856=0,0,DJ856/DG856-1)</f>
        <v>0</v>
      </c>
      <c r="DM856" s="2357">
        <f>BQ668+BQ670+BQ674+IF(BQ667&gt;=0,BQ667,0)+IF(BQ671&gt;=0,BQ671,0)+IF(BQ672&gt;=0,BQ672,0)+IF(BQ673&gt;=0,BQ673,0)</f>
        <v>0</v>
      </c>
      <c r="DN856" s="2359">
        <f>IF(DM848=0,0,DM856/DM848)</f>
        <v>0</v>
      </c>
      <c r="DO856" s="2358">
        <f>IF(DJ856=0,0,DM856/DJ856-1)</f>
        <v>0</v>
      </c>
      <c r="DP856" s="2357">
        <f>BR668+BR670+BR674+IF(BR667&gt;=0,BR667,0)+IF(BR671&gt;=0,BR671,0)+IF(BR672&gt;=0,BR672,0)+IF(BR673&gt;=0,BR673,0)</f>
        <v>0</v>
      </c>
      <c r="DQ856" s="2359">
        <f>IF(DP848=0,0,DP856/DP848)</f>
        <v>0</v>
      </c>
      <c r="DR856" s="2360">
        <f t="shared" si="799"/>
        <v>0</v>
      </c>
      <c r="DS856" s="2357">
        <f>BS668+BS670+BS674+IF(BS667&gt;=0,BS667,0)+IF(BS671&gt;=0,BS671,0)+IF(BS672&gt;=0,BS672,0)+IF(BS673&gt;=0,BS673,0)</f>
        <v>0</v>
      </c>
      <c r="DT856" s="2359">
        <f>IF(DS848=0,0,DS856/DS848)</f>
        <v>0</v>
      </c>
      <c r="DU856" s="2358">
        <f>IF(DP856=0,0,DS856/DP856-1)</f>
        <v>0</v>
      </c>
      <c r="DV856" s="2361">
        <f>BT668+BT670+BT674+IF(BT667&gt;=0,BT667,0)+IF(BT671&gt;=0,BT671,0)+IF(BT672&gt;=0,BT672,0)+IF(BT673&gt;=0,BT673,0)</f>
        <v>0</v>
      </c>
      <c r="DW856" s="2359">
        <f>IF(DV848=0,0,DV856/DV848)</f>
        <v>0</v>
      </c>
      <c r="DX856" s="2358">
        <f>IF(DS856=0,0,DV856/DS856-1)</f>
        <v>0</v>
      </c>
      <c r="DY856" s="2326"/>
    </row>
    <row r="857" spans="33:129" s="536" customFormat="1" ht="17.5">
      <c r="AG857" s="2327"/>
      <c r="AO857" s="2216"/>
      <c r="AP857" s="2216"/>
      <c r="AQ857" s="2216"/>
      <c r="AS857" s="803"/>
      <c r="AT857" s="2216"/>
      <c r="AV857" s="803"/>
      <c r="AW857" s="2216"/>
      <c r="AY857" s="803"/>
      <c r="AZ857" s="803"/>
      <c r="BA857" s="2378" t="str">
        <f>AM774</f>
        <v>+ / - PROVEEDORES</v>
      </c>
      <c r="BB857" s="696"/>
      <c r="BC857" s="2379"/>
      <c r="BD857" s="2368">
        <f>AY774</f>
        <v>0</v>
      </c>
      <c r="BE857" s="2366">
        <f t="shared" ref="BE857:BT857" si="808">BE774</f>
        <v>0</v>
      </c>
      <c r="BF857" s="2366">
        <f t="shared" si="808"/>
        <v>0</v>
      </c>
      <c r="BG857" s="2366">
        <f t="shared" si="808"/>
        <v>0</v>
      </c>
      <c r="BH857" s="2366">
        <f t="shared" si="808"/>
        <v>0</v>
      </c>
      <c r="BI857" s="2366">
        <f t="shared" si="808"/>
        <v>0</v>
      </c>
      <c r="BJ857" s="2366">
        <f t="shared" si="808"/>
        <v>0</v>
      </c>
      <c r="BK857" s="2366">
        <f t="shared" si="808"/>
        <v>0</v>
      </c>
      <c r="BL857" s="2366">
        <f t="shared" si="808"/>
        <v>0</v>
      </c>
      <c r="BM857" s="2366">
        <f t="shared" si="808"/>
        <v>0</v>
      </c>
      <c r="BN857" s="2366">
        <f t="shared" si="808"/>
        <v>0</v>
      </c>
      <c r="BO857" s="2366">
        <f t="shared" si="808"/>
        <v>0</v>
      </c>
      <c r="BP857" s="2366">
        <f t="shared" si="808"/>
        <v>0</v>
      </c>
      <c r="BQ857" s="2366">
        <f t="shared" si="808"/>
        <v>0</v>
      </c>
      <c r="BR857" s="2366">
        <f t="shared" si="808"/>
        <v>0</v>
      </c>
      <c r="BS857" s="2366">
        <f t="shared" si="808"/>
        <v>0</v>
      </c>
      <c r="BT857" s="2366">
        <f t="shared" si="808"/>
        <v>0</v>
      </c>
      <c r="BV857" s="2322"/>
      <c r="BW857" s="2181"/>
      <c r="BX857" s="2181"/>
      <c r="BY857" s="2181"/>
      <c r="BZ857" s="2356" t="s">
        <v>1483</v>
      </c>
      <c r="CA857" s="2357">
        <f>AY669+AY675-IF(AY671&lt;0,AY671,0)-IF(AY672&lt;0,AY672,0)-IF(AY673&lt;0,AY673,0)</f>
        <v>0</v>
      </c>
      <c r="CB857" s="2358">
        <f>IF(CA848=0,0,CA857/CA848)</f>
        <v>0</v>
      </c>
      <c r="CC857" s="2357">
        <f>BE669+BE675-IF(BE671&lt;0,BE671,0)-IF(BE672&lt;0,BE672,0)-IF(BE673&lt;0,BE673,0)</f>
        <v>0</v>
      </c>
      <c r="CD857" s="2359">
        <f>IF(CC848=0,0,CC857/CC848)</f>
        <v>0</v>
      </c>
      <c r="CE857" s="2358">
        <f>IF(CA857=0,0,IF(ABS(CC857/(CA857*360/$N$17)-1)&gt;10000%,0,CC857/(CA857*360/$N$17)-1))</f>
        <v>0</v>
      </c>
      <c r="CF857" s="2357">
        <f>BF669+BF675-IF(BF671&lt;0,BF671,0)-IF(BF672&lt;0,BF672,0)-IF(BF673&lt;0,BF673,0)</f>
        <v>0</v>
      </c>
      <c r="CG857" s="2359">
        <f>IF(CF848=0,0,CF857/CF848)</f>
        <v>0</v>
      </c>
      <c r="CH857" s="2358">
        <f>IF(CC857=0,0,CF857/CC857-1)</f>
        <v>0</v>
      </c>
      <c r="CI857" s="2357">
        <f>BG669+BG675-IF(BG671&lt;0,BG671,0)-IF(BG672&lt;0,BG672,0)-IF(BG673&lt;0,BG673,0)</f>
        <v>0</v>
      </c>
      <c r="CJ857" s="2359">
        <f>IF(CI848=0,0,CI857/CI848)</f>
        <v>0</v>
      </c>
      <c r="CK857" s="2358">
        <f>IF(CF857=0,0,CI857/CF857-1)</f>
        <v>0</v>
      </c>
      <c r="CL857" s="2357">
        <f>BH669+BH675-IF(BH671&lt;0,BH671,0)-IF(BH672&lt;0,BH672,0)-IF(BH673&lt;0,BH673,0)</f>
        <v>0</v>
      </c>
      <c r="CM857" s="2359">
        <f>IF(CL848=0,0,CL857/CL848)</f>
        <v>0</v>
      </c>
      <c r="CN857" s="2358">
        <f>IF(CI857=0,0,CL857/CI857-1)</f>
        <v>0</v>
      </c>
      <c r="CO857" s="2357">
        <f>BI669+BI675-IF(BI671&lt;0,BI671,0)-IF(BI672&lt;0,BI672,0)-IF(BI673&lt;0,BI673,0)</f>
        <v>0</v>
      </c>
      <c r="CP857" s="2359">
        <f>IF(CO848=0,0,CO857/CO848)</f>
        <v>0</v>
      </c>
      <c r="CQ857" s="2358">
        <f>IF(CL857=0,0,CO857/CL857-1)</f>
        <v>0</v>
      </c>
      <c r="CR857" s="2357">
        <f>BJ669+BJ675-IF(BJ671&lt;0,BJ671,0)-IF(BJ672&lt;0,BJ672,0)-IF(BJ673&lt;0,BJ673,0)</f>
        <v>0</v>
      </c>
      <c r="CS857" s="2359">
        <f>IF(CR848=0,0,CR857/CR848)</f>
        <v>0</v>
      </c>
      <c r="CT857" s="2358">
        <f>IF(CO857=0,0,CR857/CO857-1)</f>
        <v>0</v>
      </c>
      <c r="CU857" s="2357">
        <f>BK669+BK675-IF(BK671&lt;0,BK671,0)-IF(BK672&lt;0,BK672,0)-IF(BK673&lt;0,BK673,0)</f>
        <v>0</v>
      </c>
      <c r="CV857" s="2359">
        <f>IF(CU848=0,0,CU857/CU848)</f>
        <v>0</v>
      </c>
      <c r="CW857" s="2358">
        <f>IF(CR857=0,0,CU857/CR857-1)</f>
        <v>0</v>
      </c>
      <c r="CX857" s="2357">
        <f>BL669+BL675-IF(BL671&lt;0,BL671,0)-IF(BL672&lt;0,BL672,0)-IF(BL673&lt;0,BL673,0)</f>
        <v>0</v>
      </c>
      <c r="CY857" s="2359">
        <f>IF(CX848=0,0,CX857/CX848)</f>
        <v>0</v>
      </c>
      <c r="CZ857" s="2358">
        <f>IF(CU857=0,0,CX857/CU857-1)</f>
        <v>0</v>
      </c>
      <c r="DA857" s="2357">
        <f>BM669+BM675-IF(BM671&lt;0,BM671,0)-IF(BM672&lt;0,BM672,0)-IF(BM673&lt;0,BM673,0)</f>
        <v>0</v>
      </c>
      <c r="DB857" s="2359">
        <f>IF(DA848=0,0,DA857/DA848)</f>
        <v>0</v>
      </c>
      <c r="DC857" s="2358">
        <f>IF(CX857=0,0,DA857/CX857-1)</f>
        <v>0</v>
      </c>
      <c r="DD857" s="2357">
        <f>BN669+BN675-IF(BN671&lt;0,BN671,0)-IF(BN672&lt;0,BN672,0)-IF(BN673&lt;0,BN673,0)</f>
        <v>0</v>
      </c>
      <c r="DE857" s="2359">
        <f>IF(DD848=0,0,DD857/DD848)</f>
        <v>0</v>
      </c>
      <c r="DF857" s="2358">
        <f>IF(DA857=0,0,DD857/DA857-1)</f>
        <v>0</v>
      </c>
      <c r="DG857" s="2357">
        <f>BO669+BO675-IF(BO671&lt;0,BO671,0)-IF(BO672&lt;0,BO672,0)-IF(BO673&lt;0,BO673,0)</f>
        <v>0</v>
      </c>
      <c r="DH857" s="2359">
        <f>IF(DG848=0,0,DG857/DG848)</f>
        <v>0</v>
      </c>
      <c r="DI857" s="2358">
        <f>IF(DD857=0,0,DG857/DD857-1)</f>
        <v>0</v>
      </c>
      <c r="DJ857" s="2357">
        <f>BP669+BP675-IF(BP671&lt;0,BP671,0)-IF(BP672&lt;0,BP672,0)-IF(BP673&lt;0,BP673,0)</f>
        <v>0</v>
      </c>
      <c r="DK857" s="2359">
        <f>IF(DJ848=0,0,DJ857/DJ848)</f>
        <v>0</v>
      </c>
      <c r="DL857" s="2358">
        <f>IF(DG857=0,0,DJ857/DG857-1)</f>
        <v>0</v>
      </c>
      <c r="DM857" s="2357">
        <f>BQ669+BQ675-IF(BQ671&lt;0,BQ671,0)-IF(BQ672&lt;0,BQ672,0)-IF(BQ673&lt;0,BQ673,0)</f>
        <v>0</v>
      </c>
      <c r="DN857" s="2359">
        <f>IF(DM848=0,0,DM857/DM848)</f>
        <v>0</v>
      </c>
      <c r="DO857" s="2358">
        <f>IF(DJ857=0,0,DM857/DJ857-1)</f>
        <v>0</v>
      </c>
      <c r="DP857" s="2357">
        <f>BR669+BR675-IF(BR671&lt;0,BR671,0)-IF(BR672&lt;0,BR672,0)-IF(BR673&lt;0,BR673,0)</f>
        <v>0</v>
      </c>
      <c r="DQ857" s="2359">
        <f>IF(DP848=0,0,DP857/DP848)</f>
        <v>0</v>
      </c>
      <c r="DR857" s="2360">
        <f t="shared" si="799"/>
        <v>0</v>
      </c>
      <c r="DS857" s="2357">
        <f>BS669+BS675-IF(BS671&lt;0,BS671,0)-IF(BS672&lt;0,BS672,0)-IF(BS673&lt;0,BS673,0)</f>
        <v>0</v>
      </c>
      <c r="DT857" s="2359">
        <f>IF(DS848=0,0,DS857/DS848)</f>
        <v>0</v>
      </c>
      <c r="DU857" s="2358">
        <f>IF(DP857=0,0,DS857/DP857-1)</f>
        <v>0</v>
      </c>
      <c r="DV857" s="2361">
        <f>BT669+BT675-IF(BT671&lt;0,BT671,0)-IF(BT672&lt;0,BT672,0)-IF(BT673&lt;0,BT673,0)</f>
        <v>0</v>
      </c>
      <c r="DW857" s="2359">
        <f>IF(DV848=0,0,DV857/DV848)</f>
        <v>0</v>
      </c>
      <c r="DX857" s="2358">
        <f>IF(DS857=0,0,DV857/DS857-1)</f>
        <v>0</v>
      </c>
      <c r="DY857" s="2326"/>
    </row>
    <row r="858" spans="33:129" s="536" customFormat="1" ht="17.5">
      <c r="AG858" s="2327"/>
      <c r="AO858" s="2216"/>
      <c r="AP858" s="2216"/>
      <c r="AQ858" s="2216"/>
      <c r="AS858" s="803"/>
      <c r="AT858" s="2216"/>
      <c r="AV858" s="803"/>
      <c r="AW858" s="2216"/>
      <c r="AY858" s="803"/>
      <c r="AZ858" s="803"/>
      <c r="BA858" s="2364" t="str">
        <f>AM775</f>
        <v>+ / - PASIVOS LABORALES C.P.</v>
      </c>
      <c r="BB858" s="2007"/>
      <c r="BC858" s="2365"/>
      <c r="BD858" s="2368">
        <f>AY775</f>
        <v>0</v>
      </c>
      <c r="BE858" s="2366">
        <f t="shared" ref="BE858:BT858" si="809">BE775</f>
        <v>0</v>
      </c>
      <c r="BF858" s="2366">
        <f t="shared" si="809"/>
        <v>0</v>
      </c>
      <c r="BG858" s="2366">
        <f t="shared" si="809"/>
        <v>0</v>
      </c>
      <c r="BH858" s="2366">
        <f t="shared" si="809"/>
        <v>0</v>
      </c>
      <c r="BI858" s="2366">
        <f t="shared" si="809"/>
        <v>0</v>
      </c>
      <c r="BJ858" s="2366">
        <f t="shared" si="809"/>
        <v>0</v>
      </c>
      <c r="BK858" s="2366">
        <f t="shared" si="809"/>
        <v>0</v>
      </c>
      <c r="BL858" s="2366">
        <f t="shared" si="809"/>
        <v>0</v>
      </c>
      <c r="BM858" s="2366">
        <f t="shared" si="809"/>
        <v>0</v>
      </c>
      <c r="BN858" s="2366">
        <f t="shared" si="809"/>
        <v>0</v>
      </c>
      <c r="BO858" s="2366">
        <f t="shared" si="809"/>
        <v>0</v>
      </c>
      <c r="BP858" s="2366">
        <f t="shared" si="809"/>
        <v>0</v>
      </c>
      <c r="BQ858" s="2366">
        <f t="shared" si="809"/>
        <v>0</v>
      </c>
      <c r="BR858" s="2366">
        <f t="shared" si="809"/>
        <v>0</v>
      </c>
      <c r="BS858" s="2366">
        <f t="shared" si="809"/>
        <v>0</v>
      </c>
      <c r="BT858" s="2366">
        <f t="shared" si="809"/>
        <v>0</v>
      </c>
      <c r="BV858" s="2322"/>
      <c r="BW858" s="2181"/>
      <c r="BX858" s="2181"/>
      <c r="BY858" s="2181"/>
      <c r="BZ858" s="2356" t="s">
        <v>1484</v>
      </c>
      <c r="CA858" s="2357">
        <f>AY665-IF(AY667&lt;0,AY667,0)</f>
        <v>0</v>
      </c>
      <c r="CB858" s="2358">
        <f>IF(CA848=0,0,CA858/CA848)</f>
        <v>0</v>
      </c>
      <c r="CC858" s="2357">
        <f>BE665-IF(BE667&lt;0,BE667,0)</f>
        <v>0</v>
      </c>
      <c r="CD858" s="2359">
        <f>IF(CC848=0,0,CC858/CC848)</f>
        <v>0</v>
      </c>
      <c r="CE858" s="2358">
        <f>IF(CA858=0,0,IF(ABS(CC858/(CA858*360/$N$17)-1)&gt;10000%,0,CC858/(CA858*360/$N$17)-1))</f>
        <v>0</v>
      </c>
      <c r="CF858" s="2357">
        <f>BF665-IF(BF667&lt;0,BF667,0)</f>
        <v>0</v>
      </c>
      <c r="CG858" s="2359">
        <f>IF(CF848=0,0,CF858/CF848)</f>
        <v>0</v>
      </c>
      <c r="CH858" s="2358">
        <f>IF(CC858=0,0,CF858/CC858-1)</f>
        <v>0</v>
      </c>
      <c r="CI858" s="2357">
        <f>BG665-IF(BG667&lt;0,BG667,0)</f>
        <v>0</v>
      </c>
      <c r="CJ858" s="2359">
        <f>IF(CI848=0,0,CI858/CI848)</f>
        <v>0</v>
      </c>
      <c r="CK858" s="2358">
        <f>IF(CF858=0,0,CI858/CF858-1)</f>
        <v>0</v>
      </c>
      <c r="CL858" s="2357">
        <f>BH665-IF(BH667&lt;0,BH667,0)</f>
        <v>0</v>
      </c>
      <c r="CM858" s="2359">
        <f>IF(CL848=0,0,CL858/CL848)</f>
        <v>0</v>
      </c>
      <c r="CN858" s="2358">
        <f>IF(CI858=0,0,CL858/CI858-1)</f>
        <v>0</v>
      </c>
      <c r="CO858" s="2357">
        <f>BI665-IF(BI667&lt;0,BI667,0)</f>
        <v>0</v>
      </c>
      <c r="CP858" s="2359">
        <f>IF(CO848=0,0,CO858/CO848)</f>
        <v>0</v>
      </c>
      <c r="CQ858" s="2358">
        <f>IF(CL858=0,0,CO858/CL858-1)</f>
        <v>0</v>
      </c>
      <c r="CR858" s="2357">
        <f>BJ665-IF(BJ667&lt;0,BJ667,0)</f>
        <v>0</v>
      </c>
      <c r="CS858" s="2359">
        <f>IF(CR848=0,0,CR858/CR848)</f>
        <v>0</v>
      </c>
      <c r="CT858" s="2358">
        <f>IF(CO858=0,0,CR858/CO858-1)</f>
        <v>0</v>
      </c>
      <c r="CU858" s="2357">
        <f>BK665-IF(BK667&lt;0,BK667,0)</f>
        <v>0</v>
      </c>
      <c r="CV858" s="2359">
        <f>IF(CU848=0,0,CU858/CU848)</f>
        <v>0</v>
      </c>
      <c r="CW858" s="2358">
        <f>IF(CR858=0,0,CU858/CR858-1)</f>
        <v>0</v>
      </c>
      <c r="CX858" s="2357">
        <f>BL665-IF(BL667&lt;0,BL667,0)</f>
        <v>0</v>
      </c>
      <c r="CY858" s="2359">
        <f>IF(CX848=0,0,CX858/CX848)</f>
        <v>0</v>
      </c>
      <c r="CZ858" s="2358">
        <f>IF(CU858=0,0,CX858/CU858-1)</f>
        <v>0</v>
      </c>
      <c r="DA858" s="2357">
        <f>BM665-IF(BM667&lt;0,BM667,0)</f>
        <v>0</v>
      </c>
      <c r="DB858" s="2359">
        <f>IF(DA848=0,0,DA858/DA848)</f>
        <v>0</v>
      </c>
      <c r="DC858" s="2358">
        <f>IF(CX858=0,0,DA858/CX858-1)</f>
        <v>0</v>
      </c>
      <c r="DD858" s="2357">
        <f>BN665-IF(BN667&lt;0,BN667,0)</f>
        <v>0</v>
      </c>
      <c r="DE858" s="2359">
        <f>IF(DD848=0,0,DD858/DD848)</f>
        <v>0</v>
      </c>
      <c r="DF858" s="2358">
        <f>IF(DA858=0,0,DD858/DA858-1)</f>
        <v>0</v>
      </c>
      <c r="DG858" s="2357">
        <f>BO665-IF(BO667&lt;0,BO667,0)</f>
        <v>0</v>
      </c>
      <c r="DH858" s="2359">
        <f>IF(DG848=0,0,DG858/DG848)</f>
        <v>0</v>
      </c>
      <c r="DI858" s="2358">
        <f>IF(DD858=0,0,DG858/DD858-1)</f>
        <v>0</v>
      </c>
      <c r="DJ858" s="2357">
        <f>BP665-IF(BP667&lt;0,BP667,0)</f>
        <v>0</v>
      </c>
      <c r="DK858" s="2359">
        <f>IF(DJ848=0,0,DJ858/DJ848)</f>
        <v>0</v>
      </c>
      <c r="DL858" s="2358">
        <f>IF(DG858=0,0,DJ858/DG858-1)</f>
        <v>0</v>
      </c>
      <c r="DM858" s="2357">
        <f>BQ665-IF(BQ667&lt;0,BQ667,0)</f>
        <v>0</v>
      </c>
      <c r="DN858" s="2359">
        <f>IF(DM848=0,0,DM858/DM848)</f>
        <v>0</v>
      </c>
      <c r="DO858" s="2358">
        <f>IF(DJ858=0,0,DM858/DJ858-1)</f>
        <v>0</v>
      </c>
      <c r="DP858" s="2357">
        <f>BR665-IF(BR667&lt;0,BR667,0)</f>
        <v>0</v>
      </c>
      <c r="DQ858" s="2359">
        <f>IF(DP848=0,0,DP858/DP848)</f>
        <v>0</v>
      </c>
      <c r="DR858" s="2360">
        <f t="shared" si="799"/>
        <v>0</v>
      </c>
      <c r="DS858" s="2357">
        <f>BS665-IF(BS667&lt;0,BS667,0)</f>
        <v>0</v>
      </c>
      <c r="DT858" s="2359">
        <f>IF(DS848=0,0,DS858/DS848)</f>
        <v>0</v>
      </c>
      <c r="DU858" s="2358">
        <f>IF(DP858=0,0,DS858/DP858-1)</f>
        <v>0</v>
      </c>
      <c r="DV858" s="2361">
        <f>BT665-IF(BT667&lt;0,BT667,0)</f>
        <v>0</v>
      </c>
      <c r="DW858" s="2359">
        <f>IF(DV848=0,0,DV858/DV848)</f>
        <v>0</v>
      </c>
      <c r="DX858" s="2358">
        <f>IF(DS858=0,0,DV858/DS858-1)</f>
        <v>0</v>
      </c>
      <c r="DY858" s="2326"/>
    </row>
    <row r="859" spans="33:129" s="536" customFormat="1" ht="17.5">
      <c r="AG859" s="2327"/>
      <c r="AO859" s="2216"/>
      <c r="AP859" s="2216"/>
      <c r="AQ859" s="2216"/>
      <c r="AS859" s="803"/>
      <c r="AT859" s="2216"/>
      <c r="AV859" s="803"/>
      <c r="AW859" s="2216"/>
      <c r="AY859" s="803"/>
      <c r="AZ859" s="803"/>
      <c r="BA859" s="2364" t="str">
        <f>AM776</f>
        <v>+ / - IMPUESTOS POR PAGAR</v>
      </c>
      <c r="BB859" s="2007"/>
      <c r="BC859" s="2365"/>
      <c r="BD859" s="2368">
        <f>AY776</f>
        <v>0</v>
      </c>
      <c r="BE859" s="2366">
        <f t="shared" ref="BE859:BT859" si="810">BE776</f>
        <v>0</v>
      </c>
      <c r="BF859" s="2366">
        <f t="shared" si="810"/>
        <v>0</v>
      </c>
      <c r="BG859" s="2366">
        <f t="shared" si="810"/>
        <v>0</v>
      </c>
      <c r="BH859" s="2366">
        <f t="shared" si="810"/>
        <v>0</v>
      </c>
      <c r="BI859" s="2366">
        <f t="shared" si="810"/>
        <v>0</v>
      </c>
      <c r="BJ859" s="2366">
        <f t="shared" si="810"/>
        <v>0</v>
      </c>
      <c r="BK859" s="2366">
        <f t="shared" si="810"/>
        <v>0</v>
      </c>
      <c r="BL859" s="2366">
        <f t="shared" si="810"/>
        <v>0</v>
      </c>
      <c r="BM859" s="2366">
        <f t="shared" si="810"/>
        <v>0</v>
      </c>
      <c r="BN859" s="2366">
        <f t="shared" si="810"/>
        <v>0</v>
      </c>
      <c r="BO859" s="2366">
        <f t="shared" si="810"/>
        <v>0</v>
      </c>
      <c r="BP859" s="2366">
        <f t="shared" si="810"/>
        <v>0</v>
      </c>
      <c r="BQ859" s="2366">
        <f t="shared" si="810"/>
        <v>0</v>
      </c>
      <c r="BR859" s="2366">
        <f t="shared" si="810"/>
        <v>0</v>
      </c>
      <c r="BS859" s="2366">
        <f t="shared" si="810"/>
        <v>0</v>
      </c>
      <c r="BT859" s="2366">
        <f t="shared" si="810"/>
        <v>0</v>
      </c>
      <c r="BV859" s="2322"/>
      <c r="BW859" s="2181"/>
      <c r="BX859" s="2181"/>
      <c r="BY859" s="2181"/>
      <c r="BZ859" s="2356"/>
      <c r="CA859" s="2357"/>
      <c r="CB859" s="2358"/>
      <c r="CC859" s="2357"/>
      <c r="CD859" s="2359"/>
      <c r="CE859" s="2358"/>
      <c r="CF859" s="2357"/>
      <c r="CG859" s="2359"/>
      <c r="CH859" s="2358"/>
      <c r="CI859" s="2357"/>
      <c r="CJ859" s="2359"/>
      <c r="CK859" s="2358"/>
      <c r="CL859" s="2357"/>
      <c r="CM859" s="2359"/>
      <c r="CN859" s="2358"/>
      <c r="CO859" s="2357"/>
      <c r="CP859" s="2359"/>
      <c r="CQ859" s="2358"/>
      <c r="CR859" s="2357"/>
      <c r="CS859" s="2359"/>
      <c r="CT859" s="2358"/>
      <c r="CU859" s="2357"/>
      <c r="CV859" s="2359"/>
      <c r="CW859" s="2358"/>
      <c r="CX859" s="2357"/>
      <c r="CY859" s="2359"/>
      <c r="CZ859" s="2358"/>
      <c r="DA859" s="2357"/>
      <c r="DB859" s="2359"/>
      <c r="DC859" s="2358"/>
      <c r="DD859" s="2357"/>
      <c r="DE859" s="2359"/>
      <c r="DF859" s="2358"/>
      <c r="DG859" s="2357"/>
      <c r="DH859" s="2359"/>
      <c r="DI859" s="2358"/>
      <c r="DJ859" s="2357"/>
      <c r="DK859" s="2359"/>
      <c r="DL859" s="2358"/>
      <c r="DM859" s="2357"/>
      <c r="DN859" s="2359"/>
      <c r="DO859" s="2358"/>
      <c r="DP859" s="2357"/>
      <c r="DQ859" s="2359"/>
      <c r="DR859" s="2360"/>
      <c r="DS859" s="2357"/>
      <c r="DT859" s="2359"/>
      <c r="DU859" s="2358"/>
      <c r="DV859" s="2361"/>
      <c r="DW859" s="2359"/>
      <c r="DX859" s="2358"/>
      <c r="DY859" s="2326"/>
    </row>
    <row r="860" spans="33:129" s="536" customFormat="1" ht="18">
      <c r="AG860" s="2327"/>
      <c r="AO860" s="2216"/>
      <c r="AP860" s="2216"/>
      <c r="AQ860" s="2216"/>
      <c r="AS860" s="803"/>
      <c r="AT860" s="2216"/>
      <c r="AV860" s="803"/>
      <c r="AW860" s="2216"/>
      <c r="AY860" s="803"/>
      <c r="AZ860" s="803"/>
      <c r="BA860" s="2380" t="str">
        <f>AM777</f>
        <v>+ / - CUENTAS POR PAGAR</v>
      </c>
      <c r="BB860" s="2124"/>
      <c r="BC860" s="2375"/>
      <c r="BD860" s="2368">
        <f>AY777</f>
        <v>0</v>
      </c>
      <c r="BE860" s="2366">
        <f t="shared" ref="BE860:BT860" si="811">BE777</f>
        <v>0</v>
      </c>
      <c r="BF860" s="2366">
        <f t="shared" si="811"/>
        <v>0</v>
      </c>
      <c r="BG860" s="2366">
        <f t="shared" si="811"/>
        <v>0</v>
      </c>
      <c r="BH860" s="2366">
        <f t="shared" si="811"/>
        <v>0</v>
      </c>
      <c r="BI860" s="2366">
        <f t="shared" si="811"/>
        <v>0</v>
      </c>
      <c r="BJ860" s="2366">
        <f t="shared" si="811"/>
        <v>0</v>
      </c>
      <c r="BK860" s="2366">
        <f t="shared" si="811"/>
        <v>0</v>
      </c>
      <c r="BL860" s="2366">
        <f t="shared" si="811"/>
        <v>0</v>
      </c>
      <c r="BM860" s="2366">
        <f t="shared" si="811"/>
        <v>0</v>
      </c>
      <c r="BN860" s="2366">
        <f t="shared" si="811"/>
        <v>0</v>
      </c>
      <c r="BO860" s="2366">
        <f t="shared" si="811"/>
        <v>0</v>
      </c>
      <c r="BP860" s="2366">
        <f t="shared" si="811"/>
        <v>0</v>
      </c>
      <c r="BQ860" s="2366">
        <f t="shared" si="811"/>
        <v>0</v>
      </c>
      <c r="BR860" s="2366">
        <f t="shared" si="811"/>
        <v>0</v>
      </c>
      <c r="BS860" s="2366">
        <f t="shared" si="811"/>
        <v>0</v>
      </c>
      <c r="BT860" s="2366">
        <f t="shared" si="811"/>
        <v>0</v>
      </c>
      <c r="BV860" s="2322"/>
      <c r="BW860" s="2181"/>
      <c r="BX860" s="2181"/>
      <c r="BY860" s="2181"/>
      <c r="BZ860" s="2351" t="s">
        <v>1485</v>
      </c>
      <c r="CA860" s="2352">
        <f>CA852+CA856-CA857-CA858+CA859</f>
        <v>0</v>
      </c>
      <c r="CB860" s="2353">
        <f>IF(CA848=0,0,CA860/CA848)</f>
        <v>0</v>
      </c>
      <c r="CC860" s="2352">
        <f>CC852+CC856-CC857-CC858+CC859</f>
        <v>0</v>
      </c>
      <c r="CD860" s="2354">
        <f>IF(CC848=0,0,CC860/CC848)</f>
        <v>0</v>
      </c>
      <c r="CE860" s="2353">
        <f>IF(CA860=0,0,IF(ABS(CC860/(CA860*360/$N$17)-1)&gt;10000%,0,CC860/(CA860*360/$N$17)-1))</f>
        <v>0</v>
      </c>
      <c r="CF860" s="2352">
        <f>CF852+CF856-CF857-CF858+CF859</f>
        <v>0</v>
      </c>
      <c r="CG860" s="2354">
        <f>IF(CF848=0,0,CF860/CF848)</f>
        <v>0</v>
      </c>
      <c r="CH860" s="2353">
        <f>IF(CC860=0,0,CF860/CC860-1)</f>
        <v>0</v>
      </c>
      <c r="CI860" s="2352">
        <f>CI852+CI856-CI857-CI858+CI859</f>
        <v>0</v>
      </c>
      <c r="CJ860" s="2354">
        <f>IF(CI848=0,0,CI860/CI848)</f>
        <v>0</v>
      </c>
      <c r="CK860" s="2353">
        <f>IF(CF860=0,0,CI860/CF860-1)</f>
        <v>0</v>
      </c>
      <c r="CL860" s="2352">
        <f>CL852+CL856-CL857-CL858+CL859</f>
        <v>0</v>
      </c>
      <c r="CM860" s="2354">
        <f>IF(CL848=0,0,CL860/CL848)</f>
        <v>0</v>
      </c>
      <c r="CN860" s="2353">
        <f>IF(CI860=0,0,CL860/CI860-1)</f>
        <v>0</v>
      </c>
      <c r="CO860" s="2352">
        <f>CO852+CO856-CO857-CO858+CO859</f>
        <v>0</v>
      </c>
      <c r="CP860" s="2354">
        <f>IF(CO848=0,0,CO860/CO848)</f>
        <v>0</v>
      </c>
      <c r="CQ860" s="2353">
        <f>IF(CL860=0,0,CO860/CL860-1)</f>
        <v>0</v>
      </c>
      <c r="CR860" s="2352">
        <f>CR852+CR856-CR857-CR858+CR859</f>
        <v>0</v>
      </c>
      <c r="CS860" s="2354">
        <f>IF(CR848=0,0,CR860/CR848)</f>
        <v>0</v>
      </c>
      <c r="CT860" s="2353">
        <f>IF(CO860=0,0,CR860/CO860-1)</f>
        <v>0</v>
      </c>
      <c r="CU860" s="2352">
        <f>CU852+CU856-CU857-CU858+CU859</f>
        <v>0</v>
      </c>
      <c r="CV860" s="2354">
        <f>IF(CU848=0,0,CU860/CU848)</f>
        <v>0</v>
      </c>
      <c r="CW860" s="2353">
        <f>IF(CR860=0,0,CU860/CR860-1)</f>
        <v>0</v>
      </c>
      <c r="CX860" s="2352">
        <f>CX852+CX856-CX857-CX858+CX859</f>
        <v>0</v>
      </c>
      <c r="CY860" s="2354">
        <f>IF(CX848=0,0,CX860/CX848)</f>
        <v>0</v>
      </c>
      <c r="CZ860" s="2353">
        <f>IF(CU860=0,0,CX860/CU860-1)</f>
        <v>0</v>
      </c>
      <c r="DA860" s="2352">
        <f>DA852+DA856-DA857-DA858+DA859</f>
        <v>0</v>
      </c>
      <c r="DB860" s="2354">
        <f>IF(DA848=0,0,DA860/DA848)</f>
        <v>0</v>
      </c>
      <c r="DC860" s="2353">
        <f>IF(CX860=0,0,DA860/CX860-1)</f>
        <v>0</v>
      </c>
      <c r="DD860" s="2352">
        <f>DD852+DD856-DD857-DD858+DD859</f>
        <v>0</v>
      </c>
      <c r="DE860" s="2354">
        <f>IF(DD848=0,0,DD860/DD848)</f>
        <v>0</v>
      </c>
      <c r="DF860" s="2353">
        <f>IF(DA860=0,0,DD860/DA860-1)</f>
        <v>0</v>
      </c>
      <c r="DG860" s="2352">
        <f>DG852+DG856-DG857-DG858+DG859</f>
        <v>0</v>
      </c>
      <c r="DH860" s="2354">
        <f>IF(DG848=0,0,DG860/DG848)</f>
        <v>0</v>
      </c>
      <c r="DI860" s="2353">
        <f>IF(DD860=0,0,DG860/DD860-1)</f>
        <v>0</v>
      </c>
      <c r="DJ860" s="2352">
        <f>DJ852+DJ856-DJ857-DJ858+DJ859</f>
        <v>0</v>
      </c>
      <c r="DK860" s="2354">
        <f>IF(DJ848=0,0,DJ860/DJ848)</f>
        <v>0</v>
      </c>
      <c r="DL860" s="2353">
        <f>IF(DG860=0,0,DJ860/DG860-1)</f>
        <v>0</v>
      </c>
      <c r="DM860" s="2352">
        <f>DM852+DM856-DM857-DM858+DM859</f>
        <v>0</v>
      </c>
      <c r="DN860" s="2354">
        <f>IF(DM848=0,0,DM860/DM848)</f>
        <v>0</v>
      </c>
      <c r="DO860" s="2353">
        <f>IF(DJ860=0,0,DM860/DJ860-1)</f>
        <v>0</v>
      </c>
      <c r="DP860" s="2352">
        <f>DP852+DP856-DP857-DP858+DP859</f>
        <v>0</v>
      </c>
      <c r="DQ860" s="2354">
        <f>IF(DP848=0,0,DP860/DP848)</f>
        <v>0</v>
      </c>
      <c r="DR860" s="2353">
        <f>IF(DM860=0,0,DP860/DM860-1)</f>
        <v>0</v>
      </c>
      <c r="DS860" s="2352">
        <f>DS852+DS856-DS857-DS858+DS859</f>
        <v>0</v>
      </c>
      <c r="DT860" s="2354">
        <f>IF(DS848=0,0,DS860/DS848)</f>
        <v>0</v>
      </c>
      <c r="DU860" s="2353">
        <f>IF(DP860=0,0,DS860/DP860-1)</f>
        <v>0</v>
      </c>
      <c r="DV860" s="2355">
        <f>DV852+DV856-DV857-DV858+DV859</f>
        <v>0</v>
      </c>
      <c r="DW860" s="2354">
        <f>IF(DV848=0,0,DV860/DV848)</f>
        <v>0</v>
      </c>
      <c r="DX860" s="2353">
        <f>IF(DS860=0,0,DV860/DS860-1)</f>
        <v>0</v>
      </c>
      <c r="DY860" s="2326"/>
    </row>
    <row r="861" spans="33:129" s="536" customFormat="1" ht="17.5">
      <c r="AG861" s="2327"/>
      <c r="AO861" s="2216"/>
      <c r="AP861" s="2216"/>
      <c r="AQ861" s="2216"/>
      <c r="AS861" s="803"/>
      <c r="AT861" s="2216"/>
      <c r="AV861" s="803"/>
      <c r="AW861" s="2216"/>
      <c r="AY861" s="803"/>
      <c r="AZ861" s="803"/>
      <c r="BA861" s="2381" t="s">
        <v>229</v>
      </c>
      <c r="BB861" s="2382"/>
      <c r="BC861" s="2383"/>
      <c r="BD861" s="2384">
        <f t="shared" ref="BD861:BT861" si="812">SUM(BD852:BD860)</f>
        <v>0</v>
      </c>
      <c r="BE861" s="2385">
        <f t="shared" si="812"/>
        <v>0</v>
      </c>
      <c r="BF861" s="2385">
        <f t="shared" si="812"/>
        <v>0</v>
      </c>
      <c r="BG861" s="2385">
        <f t="shared" si="812"/>
        <v>0</v>
      </c>
      <c r="BH861" s="2385">
        <f t="shared" si="812"/>
        <v>0</v>
      </c>
      <c r="BI861" s="2385">
        <f t="shared" si="812"/>
        <v>0</v>
      </c>
      <c r="BJ861" s="2385">
        <f t="shared" si="812"/>
        <v>0</v>
      </c>
      <c r="BK861" s="2385">
        <f t="shared" si="812"/>
        <v>0</v>
      </c>
      <c r="BL861" s="2385">
        <f t="shared" si="812"/>
        <v>0</v>
      </c>
      <c r="BM861" s="2385">
        <f t="shared" si="812"/>
        <v>0</v>
      </c>
      <c r="BN861" s="2385">
        <f t="shared" si="812"/>
        <v>0</v>
      </c>
      <c r="BO861" s="2385">
        <f t="shared" si="812"/>
        <v>0</v>
      </c>
      <c r="BP861" s="2385">
        <f t="shared" si="812"/>
        <v>0</v>
      </c>
      <c r="BQ861" s="2385">
        <f t="shared" si="812"/>
        <v>0</v>
      </c>
      <c r="BR861" s="2385">
        <f t="shared" si="812"/>
        <v>0</v>
      </c>
      <c r="BS861" s="2385">
        <f t="shared" si="812"/>
        <v>0</v>
      </c>
      <c r="BT861" s="2385">
        <f t="shared" si="812"/>
        <v>0</v>
      </c>
      <c r="BV861" s="2322"/>
      <c r="BW861" s="2181"/>
      <c r="BX861" s="2181"/>
      <c r="BY861" s="2181"/>
      <c r="BZ861" s="2356" t="s">
        <v>1486</v>
      </c>
      <c r="CA861" s="2357">
        <f>AY678</f>
        <v>0</v>
      </c>
      <c r="CB861" s="2358">
        <f>IF(CA848=0,0,CA861/CA848)</f>
        <v>0</v>
      </c>
      <c r="CC861" s="2357">
        <f>BE678</f>
        <v>0</v>
      </c>
      <c r="CD861" s="2359">
        <f>IF(CC848=0,0,CC861/CC848)</f>
        <v>0</v>
      </c>
      <c r="CE861" s="2358">
        <f>IF(CA861=0,0,IF(ABS(CC861/(CA861*360/$N$17)-1)&gt;10000%,0,CC861/(CA861*360/$N$17)-1))</f>
        <v>0</v>
      </c>
      <c r="CF861" s="2357">
        <f>BF678</f>
        <v>0</v>
      </c>
      <c r="CG861" s="2359">
        <f>IF(CF848=0,0,CF861/CF848)</f>
        <v>0</v>
      </c>
      <c r="CH861" s="2358">
        <f>IF(CC861=0,0,CF861/CC861-1)</f>
        <v>0</v>
      </c>
      <c r="CI861" s="2357">
        <f>BG678</f>
        <v>0</v>
      </c>
      <c r="CJ861" s="2359">
        <f>IF(CI848=0,0,CI861/CI848)</f>
        <v>0</v>
      </c>
      <c r="CK861" s="2358">
        <f>IF(CF861=0,0,CI861/CF861-1)</f>
        <v>0</v>
      </c>
      <c r="CL861" s="2357">
        <f>BH678</f>
        <v>0</v>
      </c>
      <c r="CM861" s="2359">
        <f>IF(CL848=0,0,CL861/CL848)</f>
        <v>0</v>
      </c>
      <c r="CN861" s="2358">
        <f>IF(CI861=0,0,CL861/CI861-1)</f>
        <v>0</v>
      </c>
      <c r="CO861" s="2357">
        <f>BI678</f>
        <v>0</v>
      </c>
      <c r="CP861" s="2359">
        <f>IF(CO848=0,0,CO861/CO848)</f>
        <v>0</v>
      </c>
      <c r="CQ861" s="2358">
        <f>IF(CL861=0,0,CO861/CL861-1)</f>
        <v>0</v>
      </c>
      <c r="CR861" s="2357">
        <f>BJ678</f>
        <v>0</v>
      </c>
      <c r="CS861" s="2359">
        <f>IF(CR848=0,0,CR861/CR848)</f>
        <v>0</v>
      </c>
      <c r="CT861" s="2358">
        <f>IF(CO861=0,0,CR861/CO861-1)</f>
        <v>0</v>
      </c>
      <c r="CU861" s="2357">
        <f>BK678</f>
        <v>0</v>
      </c>
      <c r="CV861" s="2359">
        <f>IF(CU848=0,0,CU861/CU848)</f>
        <v>0</v>
      </c>
      <c r="CW861" s="2358">
        <f>IF(CR861=0,0,CU861/CR861-1)</f>
        <v>0</v>
      </c>
      <c r="CX861" s="2357">
        <f>BL678</f>
        <v>0</v>
      </c>
      <c r="CY861" s="2359">
        <f>IF(CX848=0,0,CX861/CX848)</f>
        <v>0</v>
      </c>
      <c r="CZ861" s="2358">
        <f>IF(CU861=0,0,CX861/CU861-1)</f>
        <v>0</v>
      </c>
      <c r="DA861" s="2357">
        <f>BM678</f>
        <v>0</v>
      </c>
      <c r="DB861" s="2359">
        <f>IF(DA848=0,0,DA861/DA848)</f>
        <v>0</v>
      </c>
      <c r="DC861" s="2358">
        <f>IF(CX861=0,0,DA861/CX861-1)</f>
        <v>0</v>
      </c>
      <c r="DD861" s="2357">
        <f>BN678</f>
        <v>0</v>
      </c>
      <c r="DE861" s="2359">
        <f>IF(DD848=0,0,DD861/DD848)</f>
        <v>0</v>
      </c>
      <c r="DF861" s="2358">
        <f>IF(DA861=0,0,DD861/DA861-1)</f>
        <v>0</v>
      </c>
      <c r="DG861" s="2357">
        <f>BO678</f>
        <v>0</v>
      </c>
      <c r="DH861" s="2359">
        <f>IF(DG848=0,0,DG861/DG848)</f>
        <v>0</v>
      </c>
      <c r="DI861" s="2358">
        <f>IF(DD861=0,0,DG861/DD861-1)</f>
        <v>0</v>
      </c>
      <c r="DJ861" s="2357">
        <f>BP678</f>
        <v>0</v>
      </c>
      <c r="DK861" s="2359">
        <f>IF(DJ848=0,0,DJ861/DJ848)</f>
        <v>0</v>
      </c>
      <c r="DL861" s="2358">
        <f>IF(DG861=0,0,DJ861/DG861-1)</f>
        <v>0</v>
      </c>
      <c r="DM861" s="2357">
        <f>BQ678</f>
        <v>0</v>
      </c>
      <c r="DN861" s="2359">
        <f>IF(DM848=0,0,DM861/DM848)</f>
        <v>0</v>
      </c>
      <c r="DO861" s="2358">
        <f>IF(DJ861=0,0,DM861/DJ861-1)</f>
        <v>0</v>
      </c>
      <c r="DP861" s="2357">
        <f>BR678</f>
        <v>0</v>
      </c>
      <c r="DQ861" s="2359">
        <f>IF(DP848=0,0,DP861/DP848)</f>
        <v>0</v>
      </c>
      <c r="DR861" s="2360">
        <f>IF(DM861=0,0,DP861/DM861-1)</f>
        <v>0</v>
      </c>
      <c r="DS861" s="2357">
        <f>BS678</f>
        <v>0</v>
      </c>
      <c r="DT861" s="2359">
        <f>IF(DS848=0,0,DS861/DS848)</f>
        <v>0</v>
      </c>
      <c r="DU861" s="2358">
        <f>IF(DP861=0,0,DS861/DP861-1)</f>
        <v>0</v>
      </c>
      <c r="DV861" s="2361">
        <f>BT678</f>
        <v>0</v>
      </c>
      <c r="DW861" s="2359">
        <f>IF(DV848=0,0,DV861/DV848)</f>
        <v>0</v>
      </c>
      <c r="DX861" s="2358">
        <f>IF(DS861=0,0,DV861/DS861-1)</f>
        <v>0</v>
      </c>
      <c r="DY861" s="2326"/>
    </row>
    <row r="862" spans="33:129" s="536" customFormat="1" ht="18">
      <c r="AG862" s="2327"/>
      <c r="AO862" s="2216"/>
      <c r="AP862" s="2216"/>
      <c r="AQ862" s="2216"/>
      <c r="AS862" s="803"/>
      <c r="AT862" s="2216"/>
      <c r="AV862" s="803"/>
      <c r="AW862" s="2216"/>
      <c r="AY862" s="803"/>
      <c r="AZ862" s="803"/>
      <c r="BA862"/>
      <c r="BD862"/>
      <c r="BE862"/>
      <c r="BF862"/>
      <c r="BG862"/>
      <c r="BH862"/>
      <c r="BI862"/>
      <c r="BJ862"/>
      <c r="BK862"/>
      <c r="BL862"/>
      <c r="BM862"/>
      <c r="BN862"/>
      <c r="BO862"/>
      <c r="BP862"/>
      <c r="BQ862"/>
      <c r="BR862"/>
      <c r="BS862"/>
      <c r="BT862"/>
      <c r="BV862" s="2322"/>
      <c r="BW862" s="2181"/>
      <c r="BX862" s="2181"/>
      <c r="BY862" s="2181"/>
      <c r="BZ862" s="2386" t="s">
        <v>1487</v>
      </c>
      <c r="CA862" s="2387">
        <f>CA860-CA861</f>
        <v>0</v>
      </c>
      <c r="CB862" s="2388">
        <f>IF(CA848=0,0,CA862/CA848)</f>
        <v>0</v>
      </c>
      <c r="CC862" s="2387">
        <f>CC860-CC861</f>
        <v>0</v>
      </c>
      <c r="CD862" s="2389">
        <f>IF(CC848=0,0,CC862/CC848)</f>
        <v>0</v>
      </c>
      <c r="CE862" s="2388">
        <f>IF(CA862=0,0,IF(ABS(CC862/(CA862*360/$N$17)-1)&gt;10000%,0,CC862/(CA862*360/$N$17)-1))</f>
        <v>0</v>
      </c>
      <c r="CF862" s="2387">
        <f>CF860-CF861</f>
        <v>0</v>
      </c>
      <c r="CG862" s="2389">
        <f>IF(CF848=0,0,CF862/CF848)</f>
        <v>0</v>
      </c>
      <c r="CH862" s="2388">
        <f>IF(CC862=0,0,CF862/CC862-1)</f>
        <v>0</v>
      </c>
      <c r="CI862" s="2387">
        <f>CI860-CI861</f>
        <v>0</v>
      </c>
      <c r="CJ862" s="2389">
        <f>IF(CI848=0,0,CI862/CI848)</f>
        <v>0</v>
      </c>
      <c r="CK862" s="2388">
        <f>IF(CF862=0,0,CI862/CF862-1)</f>
        <v>0</v>
      </c>
      <c r="CL862" s="2387">
        <f>CL860-CL861</f>
        <v>0</v>
      </c>
      <c r="CM862" s="2389">
        <f>IF(CL848=0,0,CL862/CL848)</f>
        <v>0</v>
      </c>
      <c r="CN862" s="2388">
        <f>IF(CI862=0,0,CL862/CI862-1)</f>
        <v>0</v>
      </c>
      <c r="CO862" s="2387">
        <f>CO860-CO861</f>
        <v>0</v>
      </c>
      <c r="CP862" s="2389">
        <f>IF(CO848=0,0,CO862/CO848)</f>
        <v>0</v>
      </c>
      <c r="CQ862" s="2388">
        <f>IF(CL862=0,0,CO862/CL862-1)</f>
        <v>0</v>
      </c>
      <c r="CR862" s="2387">
        <f>CR860-CR861</f>
        <v>0</v>
      </c>
      <c r="CS862" s="2389">
        <f>IF(CR848=0,0,CR862/CR848)</f>
        <v>0</v>
      </c>
      <c r="CT862" s="2388">
        <f>IF(CO862=0,0,CR862/CO862-1)</f>
        <v>0</v>
      </c>
      <c r="CU862" s="2387">
        <f>CU860-CU861</f>
        <v>0</v>
      </c>
      <c r="CV862" s="2389">
        <f>IF(CU848=0,0,CU862/CU848)</f>
        <v>0</v>
      </c>
      <c r="CW862" s="2388">
        <f>IF(CR862=0,0,CU862/CR862-1)</f>
        <v>0</v>
      </c>
      <c r="CX862" s="2387">
        <f>CX860-CX861</f>
        <v>0</v>
      </c>
      <c r="CY862" s="2389">
        <f>IF(CX848=0,0,CX862/CX848)</f>
        <v>0</v>
      </c>
      <c r="CZ862" s="2388">
        <f>IF(CU862=0,0,CX862/CU862-1)</f>
        <v>0</v>
      </c>
      <c r="DA862" s="2387">
        <f>DA860-DA861</f>
        <v>0</v>
      </c>
      <c r="DB862" s="2389">
        <f>IF(DA848=0,0,DA862/DA848)</f>
        <v>0</v>
      </c>
      <c r="DC862" s="2388">
        <f>IF(CX862=0,0,DA862/CX862-1)</f>
        <v>0</v>
      </c>
      <c r="DD862" s="2387">
        <f>DD860-DD861</f>
        <v>0</v>
      </c>
      <c r="DE862" s="2389">
        <f>IF(DD848=0,0,DD862/DD848)</f>
        <v>0</v>
      </c>
      <c r="DF862" s="2388">
        <f>IF(DA862=0,0,DD862/DA862-1)</f>
        <v>0</v>
      </c>
      <c r="DG862" s="2387">
        <f>DG860-DG861</f>
        <v>0</v>
      </c>
      <c r="DH862" s="2389">
        <f>IF(DG848=0,0,DG862/DG848)</f>
        <v>0</v>
      </c>
      <c r="DI862" s="2388">
        <f>IF(DD862=0,0,DG862/DD862-1)</f>
        <v>0</v>
      </c>
      <c r="DJ862" s="2387">
        <f>DJ860-DJ861</f>
        <v>0</v>
      </c>
      <c r="DK862" s="2389">
        <f>IF(DJ848=0,0,DJ862/DJ848)</f>
        <v>0</v>
      </c>
      <c r="DL862" s="2388">
        <f>IF(DG862=0,0,DJ862/DG862-1)</f>
        <v>0</v>
      </c>
      <c r="DM862" s="2387">
        <f>DM860-DM861</f>
        <v>0</v>
      </c>
      <c r="DN862" s="2389">
        <f>IF(DM848=0,0,DM862/DM848)</f>
        <v>0</v>
      </c>
      <c r="DO862" s="2388">
        <f>IF(DJ862=0,0,DM862/DJ862-1)</f>
        <v>0</v>
      </c>
      <c r="DP862" s="2387">
        <f>DP860-DP861</f>
        <v>0</v>
      </c>
      <c r="DQ862" s="2389">
        <f>IF(DP848=0,0,DP862/DP848)</f>
        <v>0</v>
      </c>
      <c r="DR862" s="2388">
        <f>IF(DM862=0,0,DP862/DM862-1)</f>
        <v>0</v>
      </c>
      <c r="DS862" s="2387">
        <f>DS860-DS861</f>
        <v>0</v>
      </c>
      <c r="DT862" s="2389">
        <f>IF(DS848=0,0,DS862/DS848)</f>
        <v>0</v>
      </c>
      <c r="DU862" s="2388">
        <f>IF(DP862=0,0,DS862/DP862-1)</f>
        <v>0</v>
      </c>
      <c r="DV862" s="2390">
        <f>DV860-DV861</f>
        <v>0</v>
      </c>
      <c r="DW862" s="2389">
        <f>IF(DV848=0,0,DV862/DV848)</f>
        <v>0</v>
      </c>
      <c r="DX862" s="2388">
        <f>IF(DS862=0,0,DV862/DS862-1)</f>
        <v>0</v>
      </c>
      <c r="DY862" s="2326"/>
    </row>
    <row r="863" spans="33:129" s="536" customFormat="1" ht="16.5">
      <c r="AG863" s="2327"/>
      <c r="AO863" s="2216"/>
      <c r="AP863" s="2216"/>
      <c r="AQ863" s="2216"/>
      <c r="AS863" s="803"/>
      <c r="AT863" s="2216"/>
      <c r="AV863" s="803"/>
      <c r="AW863" s="2216"/>
      <c r="AY863" s="803"/>
      <c r="AZ863" s="803"/>
      <c r="BA863"/>
      <c r="BD863"/>
      <c r="BE863"/>
      <c r="BF863"/>
      <c r="BG863"/>
      <c r="BH863"/>
      <c r="BI863"/>
      <c r="BJ863"/>
      <c r="BK863"/>
      <c r="BL863"/>
      <c r="BM863"/>
      <c r="BN863"/>
      <c r="BO863"/>
      <c r="BP863"/>
      <c r="BQ863"/>
      <c r="BR863"/>
      <c r="BS863"/>
      <c r="BT863"/>
      <c r="BV863" s="2322"/>
      <c r="BW863" s="2181"/>
      <c r="BX863" s="2181"/>
      <c r="BY863" s="2181"/>
      <c r="BZ863" s="2391"/>
      <c r="CA863" s="2392"/>
      <c r="CB863" s="2392"/>
      <c r="CC863" s="2392"/>
      <c r="CD863" s="2392"/>
      <c r="CE863" s="2392"/>
      <c r="CF863" s="2392"/>
      <c r="CG863" s="2392"/>
      <c r="CH863" s="2392"/>
      <c r="CI863" s="2392"/>
      <c r="CJ863" s="2392"/>
      <c r="CK863" s="2392"/>
      <c r="CL863" s="2392"/>
      <c r="CM863" s="2392"/>
      <c r="CN863" s="2392"/>
      <c r="CO863" s="2392"/>
      <c r="CP863" s="2392"/>
      <c r="CQ863" s="2392"/>
      <c r="CR863" s="2392"/>
      <c r="CS863" s="2392"/>
      <c r="CT863" s="2392"/>
      <c r="CU863" s="2392"/>
      <c r="CV863" s="2392"/>
      <c r="CW863" s="2392"/>
      <c r="CX863" s="2392"/>
      <c r="CY863" s="2392"/>
      <c r="CZ863" s="2392"/>
      <c r="DA863" s="2392"/>
      <c r="DB863" s="2392"/>
      <c r="DC863" s="2392"/>
      <c r="DD863" s="2392"/>
      <c r="DE863" s="2392"/>
      <c r="DF863" s="2392"/>
      <c r="DG863" s="2392"/>
      <c r="DH863" s="2392"/>
      <c r="DI863" s="2392"/>
      <c r="DJ863" s="2392"/>
      <c r="DK863" s="2392"/>
      <c r="DL863" s="2392"/>
      <c r="DM863" s="2392"/>
      <c r="DN863" s="2392"/>
      <c r="DO863" s="2392"/>
      <c r="DP863" s="2392"/>
      <c r="DQ863" s="2392"/>
      <c r="DR863" s="2392"/>
      <c r="DS863" s="2392"/>
      <c r="DT863" s="2392"/>
      <c r="DU863" s="2392"/>
      <c r="DV863" s="2393"/>
      <c r="DW863" s="2392"/>
      <c r="DX863" s="2394"/>
      <c r="DY863" s="2326"/>
    </row>
    <row r="864" spans="33:129" s="536" customFormat="1" ht="16.5">
      <c r="AG864" s="2327"/>
      <c r="AO864" s="2216"/>
      <c r="AP864" s="2216"/>
      <c r="AQ864" s="2216"/>
      <c r="AS864" s="803"/>
      <c r="AT864" s="2216"/>
      <c r="AV864" s="803"/>
      <c r="AW864" s="2216"/>
      <c r="AY864" s="803"/>
      <c r="AZ864" s="803"/>
      <c r="BA864" s="2395"/>
      <c r="BD864" s="2395"/>
      <c r="BE864" s="2395"/>
      <c r="BF864" s="2395"/>
      <c r="BG864" s="2395"/>
      <c r="BH864" s="2395"/>
      <c r="BI864" s="533"/>
      <c r="BJ864" s="533"/>
      <c r="BK864" s="533"/>
      <c r="BL864" s="533"/>
      <c r="BM864" s="533"/>
      <c r="BN864" s="533"/>
      <c r="BO864" s="533"/>
      <c r="BP864" s="533"/>
      <c r="BQ864" s="533"/>
      <c r="BR864" s="533"/>
      <c r="BS864" s="533"/>
      <c r="BT864" s="533"/>
      <c r="BV864" s="2322"/>
      <c r="BW864" s="2181"/>
      <c r="BX864" s="2181"/>
      <c r="BY864" s="2181"/>
      <c r="BZ864" s="2328" t="str">
        <f>IF(ISERROR("FLUJO DE CAJA PROYECTADO - "&amp;AM582&amp;IF(W241=J913," (Cifras en "&amp;IF(AND($V$913&lt;&gt;0,$V$913=$CC$838),"U$ Miles)","$MM)")," - ESCENARIO "&amp;V242&amp;" (Cifras en "&amp;IF(AND($V$913&lt;&gt;0,$V$913=$CC$838),"U$ Miles)","$MM)")))=TRUE,0,"FLUJO DE CAJA PROYECTADO - "&amp;AM582&amp;IF(W241=J913," (Cifras en "&amp;IF(AND($V$913&lt;&gt;0,$V$913=$CC$838),"U$ Miles)","$MM)")," - ESCENARIO "&amp;V242&amp;" (Cifras en "&amp;IF(AND($V$913&lt;&gt;0,$V$913=$CC$838),"U$ Miles)","$MM)")))</f>
        <v>FLUJO DE CAJA PROYECTADO -  - ESCENARIO BASE (Cifras en $MM)</v>
      </c>
      <c r="CA864" s="2329"/>
      <c r="CB864" s="2329"/>
      <c r="CC864" s="2329"/>
      <c r="CD864" s="2329"/>
      <c r="CE864" s="2329"/>
      <c r="CF864" s="2329"/>
      <c r="CG864" s="2329"/>
      <c r="CH864" s="2329"/>
      <c r="CI864" s="2329"/>
      <c r="CJ864" s="2329"/>
      <c r="CK864" s="2329"/>
      <c r="CL864" s="2329"/>
      <c r="CM864" s="2396"/>
      <c r="CN864" s="2396"/>
      <c r="CO864" s="2396"/>
      <c r="CP864" s="2396"/>
      <c r="CQ864" s="2396"/>
      <c r="CR864" s="2396"/>
      <c r="CS864" s="2396"/>
      <c r="CT864" s="2396"/>
      <c r="CU864" s="2396"/>
      <c r="CV864" s="2396"/>
      <c r="CW864" s="2396"/>
      <c r="CX864" s="2396"/>
      <c r="CY864" s="2396"/>
      <c r="CZ864" s="2396"/>
      <c r="DA864" s="2396"/>
      <c r="DB864" s="2396"/>
      <c r="DC864" s="2396"/>
      <c r="DD864" s="2396"/>
      <c r="DE864" s="2396"/>
      <c r="DF864" s="2396"/>
      <c r="DG864" s="2396"/>
      <c r="DH864" s="2396"/>
      <c r="DI864" s="2396"/>
      <c r="DJ864" s="2396"/>
      <c r="DK864" s="2396"/>
      <c r="DL864" s="2396"/>
      <c r="DM864" s="2396"/>
      <c r="DN864" s="2396"/>
      <c r="DO864" s="2396"/>
      <c r="DP864" s="2396"/>
      <c r="DQ864" s="2396"/>
      <c r="DR864" s="2396"/>
      <c r="DS864" s="2396"/>
      <c r="DT864" s="2396"/>
      <c r="DU864" s="2397"/>
      <c r="DV864" s="2396"/>
      <c r="DW864" s="2396"/>
      <c r="DX864" s="2397"/>
      <c r="DY864" s="2326"/>
    </row>
    <row r="865" spans="33:129" s="536" customFormat="1" ht="16.5">
      <c r="AG865" s="2327"/>
      <c r="AO865" s="2216"/>
      <c r="AP865" s="2216"/>
      <c r="AQ865" s="2216"/>
      <c r="AS865" s="803"/>
      <c r="AT865" s="2216"/>
      <c r="AV865" s="803"/>
      <c r="AW865" s="2216"/>
      <c r="AY865" s="803"/>
      <c r="AZ865" s="803"/>
      <c r="BA865"/>
      <c r="BD865"/>
      <c r="BE865"/>
      <c r="BF865"/>
      <c r="BG865"/>
      <c r="BH865"/>
      <c r="BI865"/>
      <c r="BJ865"/>
      <c r="BK865"/>
      <c r="BL865"/>
      <c r="BM865"/>
      <c r="BN865"/>
      <c r="BO865"/>
      <c r="BP865"/>
      <c r="BQ865"/>
      <c r="BR865"/>
      <c r="BS865"/>
      <c r="BT865"/>
      <c r="BV865" s="2322"/>
      <c r="BW865" s="2181"/>
      <c r="BX865" s="2181"/>
      <c r="BY865" s="2181"/>
      <c r="BZ865" s="2398" t="s">
        <v>536</v>
      </c>
      <c r="CA865" s="2343">
        <f>AY583</f>
        <v>2019</v>
      </c>
      <c r="CB865" s="2344"/>
      <c r="CC865" s="2343">
        <f>BE583</f>
        <v>2020</v>
      </c>
      <c r="CD865" s="2344"/>
      <c r="CE865" s="2343"/>
      <c r="CF865" s="2343">
        <f>BF583</f>
        <v>2021</v>
      </c>
      <c r="CG865" s="2344"/>
      <c r="CH865" s="2343"/>
      <c r="CI865" s="2343">
        <f>BG583</f>
        <v>2022</v>
      </c>
      <c r="CJ865" s="2344"/>
      <c r="CK865" s="2343"/>
      <c r="CL865" s="2343">
        <f>BH583</f>
        <v>2023</v>
      </c>
      <c r="CM865" s="2344"/>
      <c r="CN865" s="2343"/>
      <c r="CO865" s="2343">
        <f>BI583</f>
        <v>2024</v>
      </c>
      <c r="CP865" s="2344"/>
      <c r="CQ865" s="2343"/>
      <c r="CR865" s="2343">
        <f>BJ583</f>
        <v>2025</v>
      </c>
      <c r="CS865" s="2344"/>
      <c r="CT865" s="2343"/>
      <c r="CU865" s="2343">
        <f>BK583</f>
        <v>2026</v>
      </c>
      <c r="CV865" s="2344"/>
      <c r="CW865" s="2343"/>
      <c r="CX865" s="2343">
        <f>BL583</f>
        <v>2027</v>
      </c>
      <c r="CY865" s="2344"/>
      <c r="CZ865" s="2343"/>
      <c r="DA865" s="2343">
        <f>BM583</f>
        <v>2028</v>
      </c>
      <c r="DB865" s="2344"/>
      <c r="DC865" s="2343"/>
      <c r="DD865" s="2343">
        <f>BN583</f>
        <v>2029</v>
      </c>
      <c r="DE865" s="2344"/>
      <c r="DF865" s="2343"/>
      <c r="DG865" s="2343">
        <f>BO583</f>
        <v>2030</v>
      </c>
      <c r="DH865" s="2344"/>
      <c r="DI865" s="2343"/>
      <c r="DJ865" s="2343">
        <f>BP583</f>
        <v>2031</v>
      </c>
      <c r="DK865" s="2344"/>
      <c r="DL865" s="2343"/>
      <c r="DM865" s="2343">
        <f>BQ583</f>
        <v>2032</v>
      </c>
      <c r="DN865" s="2344"/>
      <c r="DO865" s="2343"/>
      <c r="DP865" s="2343">
        <f>BR583</f>
        <v>2033</v>
      </c>
      <c r="DQ865" s="2344"/>
      <c r="DR865" s="2343"/>
      <c r="DS865" s="2343">
        <f>BS583</f>
        <v>2034</v>
      </c>
      <c r="DT865" s="2344"/>
      <c r="DU865" s="2343"/>
      <c r="DV865" s="2345">
        <f>BT583</f>
        <v>2035</v>
      </c>
      <c r="DW865" s="2344"/>
      <c r="DX865" s="2343"/>
      <c r="DY865" s="2326"/>
    </row>
    <row r="866" spans="33:129" s="536" customFormat="1" ht="16.5">
      <c r="AG866" s="2327"/>
      <c r="AO866" s="2216"/>
      <c r="AP866" s="2216"/>
      <c r="AQ866" s="2216"/>
      <c r="AS866" s="803"/>
      <c r="AT866" s="2216"/>
      <c r="AV866" s="803"/>
      <c r="AW866" s="2216"/>
      <c r="AY866" s="803"/>
      <c r="AZ866" s="803"/>
      <c r="BA866" s="2399" t="s">
        <v>1488</v>
      </c>
      <c r="BD866" s="2400"/>
      <c r="BE866"/>
      <c r="BF866"/>
      <c r="BG866"/>
      <c r="BH866"/>
      <c r="BI866"/>
      <c r="BJ866"/>
      <c r="BK866"/>
      <c r="BL866"/>
      <c r="BM866"/>
      <c r="BN866"/>
      <c r="BO866"/>
      <c r="BP866"/>
      <c r="BQ866"/>
      <c r="BR866"/>
      <c r="BS866"/>
      <c r="BT866"/>
      <c r="BV866" s="2322"/>
      <c r="BW866" s="2181"/>
      <c r="BX866" s="2181"/>
      <c r="BY866" s="2181"/>
      <c r="BZ866" s="2401"/>
      <c r="CA866" s="2349" t="str">
        <f>$CA$847</f>
        <v>$MM</v>
      </c>
      <c r="CB866" s="2348" t="s">
        <v>1473</v>
      </c>
      <c r="CC866" s="2349" t="str">
        <f>$CA$847</f>
        <v>$MM</v>
      </c>
      <c r="CD866" s="2350" t="s">
        <v>1474</v>
      </c>
      <c r="CE866" s="2348" t="s">
        <v>1475</v>
      </c>
      <c r="CF866" s="2349" t="str">
        <f>$CA$847</f>
        <v>$MM</v>
      </c>
      <c r="CG866" s="2350" t="s">
        <v>1474</v>
      </c>
      <c r="CH866" s="2348" t="s">
        <v>1475</v>
      </c>
      <c r="CI866" s="2349" t="str">
        <f>$CA$847</f>
        <v>$MM</v>
      </c>
      <c r="CJ866" s="2350" t="s">
        <v>1474</v>
      </c>
      <c r="CK866" s="2348" t="s">
        <v>1475</v>
      </c>
      <c r="CL866" s="2349" t="str">
        <f>$CA$847</f>
        <v>$MM</v>
      </c>
      <c r="CM866" s="2350" t="s">
        <v>1474</v>
      </c>
      <c r="CN866" s="2348" t="s">
        <v>1475</v>
      </c>
      <c r="CO866" s="2349" t="str">
        <f>$CA$847</f>
        <v>$MM</v>
      </c>
      <c r="CP866" s="2350" t="s">
        <v>1474</v>
      </c>
      <c r="CQ866" s="2348" t="s">
        <v>1475</v>
      </c>
      <c r="CR866" s="2349" t="str">
        <f>$CA$847</f>
        <v>$MM</v>
      </c>
      <c r="CS866" s="2350" t="s">
        <v>1474</v>
      </c>
      <c r="CT866" s="2348" t="s">
        <v>1475</v>
      </c>
      <c r="CU866" s="2349" t="str">
        <f>$CA$847</f>
        <v>$MM</v>
      </c>
      <c r="CV866" s="2350" t="s">
        <v>1474</v>
      </c>
      <c r="CW866" s="2348" t="s">
        <v>1475</v>
      </c>
      <c r="CX866" s="2349" t="str">
        <f>$CA$847</f>
        <v>$MM</v>
      </c>
      <c r="CY866" s="2350" t="s">
        <v>1474</v>
      </c>
      <c r="CZ866" s="2348" t="s">
        <v>1475</v>
      </c>
      <c r="DA866" s="2349" t="str">
        <f>$CA$847</f>
        <v>$MM</v>
      </c>
      <c r="DB866" s="2350" t="s">
        <v>1474</v>
      </c>
      <c r="DC866" s="2348" t="s">
        <v>1475</v>
      </c>
      <c r="DD866" s="2349" t="str">
        <f>$CA$847</f>
        <v>$MM</v>
      </c>
      <c r="DE866" s="2350" t="s">
        <v>1474</v>
      </c>
      <c r="DF866" s="2348" t="s">
        <v>1475</v>
      </c>
      <c r="DG866" s="2349" t="str">
        <f>$CA$847</f>
        <v>$MM</v>
      </c>
      <c r="DH866" s="2350" t="s">
        <v>1474</v>
      </c>
      <c r="DI866" s="2348" t="s">
        <v>1475</v>
      </c>
      <c r="DJ866" s="2349" t="str">
        <f>$CA$847</f>
        <v>$MM</v>
      </c>
      <c r="DK866" s="2350" t="s">
        <v>1474</v>
      </c>
      <c r="DL866" s="2348" t="s">
        <v>1475</v>
      </c>
      <c r="DM866" s="2349" t="str">
        <f>$CA$847</f>
        <v>$MM</v>
      </c>
      <c r="DN866" s="2350" t="s">
        <v>1474</v>
      </c>
      <c r="DO866" s="2348" t="s">
        <v>1475</v>
      </c>
      <c r="DP866" s="2349" t="str">
        <f>$CA$847</f>
        <v>$MM</v>
      </c>
      <c r="DQ866" s="2350" t="s">
        <v>1474</v>
      </c>
      <c r="DR866" s="2348" t="s">
        <v>1475</v>
      </c>
      <c r="DS866" s="2349" t="str">
        <f>$CA$847</f>
        <v>$MM</v>
      </c>
      <c r="DT866" s="2350" t="s">
        <v>1474</v>
      </c>
      <c r="DU866" s="2348" t="s">
        <v>1475</v>
      </c>
      <c r="DV866" s="2350" t="str">
        <f>$CA$847</f>
        <v>$MM</v>
      </c>
      <c r="DW866" s="2350" t="s">
        <v>1474</v>
      </c>
      <c r="DX866" s="2348" t="s">
        <v>1475</v>
      </c>
      <c r="DY866" s="2326"/>
    </row>
    <row r="867" spans="33:129" s="536" customFormat="1" ht="18">
      <c r="AG867" s="2327"/>
      <c r="AO867" s="2216"/>
      <c r="AP867" s="2216"/>
      <c r="AQ867" s="2216"/>
      <c r="AS867" s="803"/>
      <c r="AT867" s="2216"/>
      <c r="AV867" s="803"/>
      <c r="AW867" s="2216"/>
      <c r="AY867" s="803"/>
      <c r="AZ867" s="803"/>
      <c r="BA867" s="2364" t="str">
        <f>AM790</f>
        <v>+ / - PASIVOS DIFERIDOS C.P.</v>
      </c>
      <c r="BB867" s="2007"/>
      <c r="BC867" s="2365"/>
      <c r="BD867" s="2402">
        <f>AY790</f>
        <v>0</v>
      </c>
      <c r="BE867" s="2366">
        <f t="shared" ref="BE867:BT867" si="813">BE790</f>
        <v>0</v>
      </c>
      <c r="BF867" s="2366">
        <f t="shared" si="813"/>
        <v>0</v>
      </c>
      <c r="BG867" s="2366">
        <f t="shared" si="813"/>
        <v>0</v>
      </c>
      <c r="BH867" s="2366">
        <f t="shared" si="813"/>
        <v>0</v>
      </c>
      <c r="BI867" s="2366">
        <f t="shared" si="813"/>
        <v>0</v>
      </c>
      <c r="BJ867" s="2366">
        <f t="shared" si="813"/>
        <v>0</v>
      </c>
      <c r="BK867" s="2366">
        <f t="shared" si="813"/>
        <v>0</v>
      </c>
      <c r="BL867" s="2366">
        <f t="shared" si="813"/>
        <v>0</v>
      </c>
      <c r="BM867" s="2366">
        <f t="shared" si="813"/>
        <v>0</v>
      </c>
      <c r="BN867" s="2366">
        <f t="shared" si="813"/>
        <v>0</v>
      </c>
      <c r="BO867" s="2366">
        <f t="shared" si="813"/>
        <v>0</v>
      </c>
      <c r="BP867" s="2366">
        <f t="shared" si="813"/>
        <v>0</v>
      </c>
      <c r="BQ867" s="2366">
        <f t="shared" si="813"/>
        <v>0</v>
      </c>
      <c r="BR867" s="2366">
        <f t="shared" si="813"/>
        <v>0</v>
      </c>
      <c r="BS867" s="2366">
        <f t="shared" si="813"/>
        <v>0</v>
      </c>
      <c r="BT867" s="2366">
        <f t="shared" si="813"/>
        <v>0</v>
      </c>
      <c r="BV867" s="2322"/>
      <c r="BW867" s="2181"/>
      <c r="BX867" s="2181"/>
      <c r="BY867" s="2181"/>
      <c r="BZ867" s="2351" t="s">
        <v>881</v>
      </c>
      <c r="CA867" s="2352">
        <f>CA854</f>
        <v>0</v>
      </c>
      <c r="CB867" s="2353">
        <f>IF(CA867=0,0,CA867/CA867)</f>
        <v>0</v>
      </c>
      <c r="CC867" s="2355">
        <f>CC854</f>
        <v>0</v>
      </c>
      <c r="CD867" s="2354">
        <f>IF(CC867=0,0,CC867/CC867)</f>
        <v>0</v>
      </c>
      <c r="CE867" s="2353">
        <f>IF(CA867=0,0,IF(ABS(CC867/(CA867*360/$N$17)-1)&gt;10000%,0,CC867/(CA867*360/$N$17)-1))</f>
        <v>0</v>
      </c>
      <c r="CF867" s="2355">
        <f>CF854</f>
        <v>0</v>
      </c>
      <c r="CG867" s="2354">
        <f>IF(CF867=0,0,CF867/CF867)</f>
        <v>0</v>
      </c>
      <c r="CH867" s="2353">
        <f t="shared" ref="CH867:CH872" si="814">IF(CC867=0,0,IF(ABS(CF867/CC867-1)&gt;10000%,0,CF867/CC867-1))</f>
        <v>0</v>
      </c>
      <c r="CI867" s="2355">
        <f>CI854</f>
        <v>0</v>
      </c>
      <c r="CJ867" s="2354">
        <f>IF(CI867=0,0,CI867/CI867)</f>
        <v>0</v>
      </c>
      <c r="CK867" s="2353">
        <f t="shared" ref="CK867:CK872" si="815">IF(CF867=0,0,IF(ABS(CI867/CF867-1)&gt;10000%,0,CI867/CF867-1))</f>
        <v>0</v>
      </c>
      <c r="CL867" s="2355">
        <f>CL854</f>
        <v>0</v>
      </c>
      <c r="CM867" s="2354">
        <f>IF(CL867=0,0,CL867/CL867)</f>
        <v>0</v>
      </c>
      <c r="CN867" s="2353">
        <f t="shared" ref="CN867:CN872" si="816">IF(CI867=0,0,IF(ABS(CL867/CI867-1)&gt;10000%,0,CL867/CI867-1))</f>
        <v>0</v>
      </c>
      <c r="CO867" s="2355">
        <f>CO854</f>
        <v>0</v>
      </c>
      <c r="CP867" s="2354">
        <f>IF(CO867=0,0,CO867/CO867)</f>
        <v>0</v>
      </c>
      <c r="CQ867" s="2353">
        <f t="shared" ref="CQ867:CQ872" si="817">IF(CL867=0,0,IF(ABS(CO867/CL867-1)&gt;10000%,0,CO867/CL867-1))</f>
        <v>0</v>
      </c>
      <c r="CR867" s="2355">
        <f>CR854</f>
        <v>0</v>
      </c>
      <c r="CS867" s="2354">
        <f>IF(CR867=0,0,CR867/CR867)</f>
        <v>0</v>
      </c>
      <c r="CT867" s="2353">
        <f t="shared" ref="CT867:CT872" si="818">IF(CO867=0,0,IF(ABS(CR867/CO867-1)&gt;10000%,0,CR867/CO867-1))</f>
        <v>0</v>
      </c>
      <c r="CU867" s="2355">
        <f>CU854</f>
        <v>0</v>
      </c>
      <c r="CV867" s="2354">
        <f>IF(CU867=0,0,CU867/CU867)</f>
        <v>0</v>
      </c>
      <c r="CW867" s="2353">
        <f t="shared" ref="CW867:CW872" si="819">IF(CR867=0,0,IF(ABS(CU867/CR867-1)&gt;10000%,0,CU867/CR867-1))</f>
        <v>0</v>
      </c>
      <c r="CX867" s="2355">
        <f>CX854</f>
        <v>0</v>
      </c>
      <c r="CY867" s="2354">
        <f>IF(CX867=0,0,CX867/CX867)</f>
        <v>0</v>
      </c>
      <c r="CZ867" s="2353">
        <f t="shared" ref="CZ867:CZ872" si="820">IF(CU867=0,0,IF(ABS(CX867/CU867-1)&gt;10000%,0,CX867/CU867-1))</f>
        <v>0</v>
      </c>
      <c r="DA867" s="2355">
        <f>DA854</f>
        <v>0</v>
      </c>
      <c r="DB867" s="2354">
        <f>IF(DA867=0,0,DA867/DA867)</f>
        <v>0</v>
      </c>
      <c r="DC867" s="2353">
        <f t="shared" ref="DC867:DC872" si="821">IF(CX867=0,0,IF(ABS(DA867/CX867-1)&gt;10000%,0,DA867/CX867-1))</f>
        <v>0</v>
      </c>
      <c r="DD867" s="2355">
        <f>DD854</f>
        <v>0</v>
      </c>
      <c r="DE867" s="2354">
        <f>IF(DD867=0,0,DD867/DD867)</f>
        <v>0</v>
      </c>
      <c r="DF867" s="2353">
        <f t="shared" ref="DF867:DF872" si="822">IF(DA867=0,0,IF(ABS(DD867/DA867-1)&gt;10000%,0,DD867/DA867-1))</f>
        <v>0</v>
      </c>
      <c r="DG867" s="2355">
        <f>DG854</f>
        <v>0</v>
      </c>
      <c r="DH867" s="2354">
        <f>IF(DG867=0,0,DG867/DG867)</f>
        <v>0</v>
      </c>
      <c r="DI867" s="2353">
        <f t="shared" ref="DI867:DI872" si="823">IF(DD867=0,0,IF(ABS(DG867/DD867-1)&gt;10000%,0,DG867/DD867-1))</f>
        <v>0</v>
      </c>
      <c r="DJ867" s="2355">
        <f>DJ854</f>
        <v>0</v>
      </c>
      <c r="DK867" s="2354">
        <f>IF(DJ867=0,0,DJ867/DJ867)</f>
        <v>0</v>
      </c>
      <c r="DL867" s="2353">
        <f t="shared" ref="DL867:DL872" si="824">IF(DG867=0,0,IF(ABS(DJ867/DG867-1)&gt;10000%,0,DJ867/DG867-1))</f>
        <v>0</v>
      </c>
      <c r="DM867" s="2355">
        <f>DM854</f>
        <v>0</v>
      </c>
      <c r="DN867" s="2354">
        <f>IF(DM867=0,0,DM867/DM867)</f>
        <v>0</v>
      </c>
      <c r="DO867" s="2353">
        <f t="shared" ref="DO867:DO872" si="825">IF(DJ867=0,0,IF(ABS(DM867/DJ867-1)&gt;10000%,0,DM867/DJ867-1))</f>
        <v>0</v>
      </c>
      <c r="DP867" s="2355">
        <f>DP854</f>
        <v>0</v>
      </c>
      <c r="DQ867" s="2354">
        <f>IF(DP867=0,0,DP867/DP867)</f>
        <v>0</v>
      </c>
      <c r="DR867" s="2353">
        <f t="shared" ref="DR867:DR872" si="826">IF(DM867=0,0,IF(ABS(DP867/DM867-1)&gt;10000%,0,DP867/DM867-1))</f>
        <v>0</v>
      </c>
      <c r="DS867" s="2355">
        <f>DS854</f>
        <v>0</v>
      </c>
      <c r="DT867" s="2354">
        <f>IF(DS867=0,0,DS867/DS867)</f>
        <v>0</v>
      </c>
      <c r="DU867" s="2353">
        <f t="shared" ref="DU867:DU872" si="827">IF(DP867=0,0,IF(ABS(DS867/DP867-1)&gt;10000%,0,DS867/DP867-1))</f>
        <v>0</v>
      </c>
      <c r="DV867" s="2355">
        <f>DV854</f>
        <v>0</v>
      </c>
      <c r="DW867" s="2354">
        <f>IF(DV867=0,0,DV867/DV867)</f>
        <v>0</v>
      </c>
      <c r="DX867" s="2353">
        <f t="shared" ref="DX867:DX872" si="828">IF(DS867=0,0,IF(ABS(DV867/DS867-1)&gt;10000%,0,DV867/DS867-1))</f>
        <v>0</v>
      </c>
      <c r="DY867" s="2326"/>
    </row>
    <row r="868" spans="33:129" s="536" customFormat="1" ht="17.5">
      <c r="AG868" s="2327"/>
      <c r="AO868" s="2216"/>
      <c r="AP868" s="2216"/>
      <c r="AQ868" s="2216"/>
      <c r="AS868" s="803"/>
      <c r="AT868" s="2216"/>
      <c r="AV868" s="803"/>
      <c r="AW868" s="2216"/>
      <c r="AY868" s="803"/>
      <c r="AZ868" s="803"/>
      <c r="BA868" s="2364" t="str">
        <f>AM791</f>
        <v>+ / - DEUDAS CON SOCIOS  C.P.</v>
      </c>
      <c r="BB868" s="2007"/>
      <c r="BC868" s="2365"/>
      <c r="BD868" s="2366">
        <f>AY791</f>
        <v>0</v>
      </c>
      <c r="BE868" s="2366">
        <f t="shared" ref="BE868:BT868" si="829">BE791</f>
        <v>0</v>
      </c>
      <c r="BF868" s="2366">
        <f t="shared" si="829"/>
        <v>0</v>
      </c>
      <c r="BG868" s="2366">
        <f t="shared" si="829"/>
        <v>0</v>
      </c>
      <c r="BH868" s="2366">
        <f t="shared" si="829"/>
        <v>0</v>
      </c>
      <c r="BI868" s="2366">
        <f t="shared" si="829"/>
        <v>0</v>
      </c>
      <c r="BJ868" s="2366">
        <f t="shared" si="829"/>
        <v>0</v>
      </c>
      <c r="BK868" s="2366">
        <f t="shared" si="829"/>
        <v>0</v>
      </c>
      <c r="BL868" s="2366">
        <f t="shared" si="829"/>
        <v>0</v>
      </c>
      <c r="BM868" s="2366">
        <f t="shared" si="829"/>
        <v>0</v>
      </c>
      <c r="BN868" s="2366">
        <f t="shared" si="829"/>
        <v>0</v>
      </c>
      <c r="BO868" s="2366">
        <f t="shared" si="829"/>
        <v>0</v>
      </c>
      <c r="BP868" s="2366">
        <f t="shared" si="829"/>
        <v>0</v>
      </c>
      <c r="BQ868" s="2366">
        <f t="shared" si="829"/>
        <v>0</v>
      </c>
      <c r="BR868" s="2366">
        <f t="shared" si="829"/>
        <v>0</v>
      </c>
      <c r="BS868" s="2366">
        <f t="shared" si="829"/>
        <v>0</v>
      </c>
      <c r="BT868" s="2366">
        <f t="shared" si="829"/>
        <v>0</v>
      </c>
      <c r="BV868" s="2322"/>
      <c r="BW868" s="2181"/>
      <c r="BX868" s="2181"/>
      <c r="BY868" s="2181"/>
      <c r="BZ868" s="2356" t="s">
        <v>811</v>
      </c>
      <c r="CA868" s="2357">
        <f>AY768</f>
        <v>0</v>
      </c>
      <c r="CB868" s="2358">
        <f>IF(CA867=0,0,CA868/CA867)</f>
        <v>0</v>
      </c>
      <c r="CC868" s="2361">
        <f>BE768</f>
        <v>0</v>
      </c>
      <c r="CD868" s="2359">
        <f>IF(CC867=0,0,CC868/CC867)</f>
        <v>0</v>
      </c>
      <c r="CE868" s="2358">
        <f>IF(CA868=0,0,IF(ABS(CC868/(CA868*360/$N$17)-1)&gt;10000%,0,CC868/(CA868*360/$N$17)-1))</f>
        <v>0</v>
      </c>
      <c r="CF868" s="2361">
        <f>BF768</f>
        <v>0</v>
      </c>
      <c r="CG868" s="2359">
        <f>IF(CF867=0,0,CF868/CF867)</f>
        <v>0</v>
      </c>
      <c r="CH868" s="2358">
        <f t="shared" si="814"/>
        <v>0</v>
      </c>
      <c r="CI868" s="2361">
        <f>BG768</f>
        <v>0</v>
      </c>
      <c r="CJ868" s="2359">
        <f>IF(CI867=0,0,CI868/CI867)</f>
        <v>0</v>
      </c>
      <c r="CK868" s="2358">
        <f t="shared" si="815"/>
        <v>0</v>
      </c>
      <c r="CL868" s="2361">
        <f>BH768</f>
        <v>0</v>
      </c>
      <c r="CM868" s="2359">
        <f>IF(CL867=0,0,CL868/CL867)</f>
        <v>0</v>
      </c>
      <c r="CN868" s="2358">
        <f t="shared" si="816"/>
        <v>0</v>
      </c>
      <c r="CO868" s="2361">
        <f>BI768</f>
        <v>0</v>
      </c>
      <c r="CP868" s="2359">
        <f>IF(CO867=0,0,CO868/CO867)</f>
        <v>0</v>
      </c>
      <c r="CQ868" s="2358">
        <f t="shared" si="817"/>
        <v>0</v>
      </c>
      <c r="CR868" s="2361">
        <f>BJ768</f>
        <v>0</v>
      </c>
      <c r="CS868" s="2359">
        <f>IF(CR867=0,0,CR868/CR867)</f>
        <v>0</v>
      </c>
      <c r="CT868" s="2358">
        <f t="shared" si="818"/>
        <v>0</v>
      </c>
      <c r="CU868" s="2361">
        <f>BK768</f>
        <v>0</v>
      </c>
      <c r="CV868" s="2359">
        <f>IF(CU867=0,0,CU868/CU867)</f>
        <v>0</v>
      </c>
      <c r="CW868" s="2358">
        <f t="shared" si="819"/>
        <v>0</v>
      </c>
      <c r="CX868" s="2361">
        <f>BL768</f>
        <v>0</v>
      </c>
      <c r="CY868" s="2359">
        <f>IF(CX867=0,0,CX868/CX867)</f>
        <v>0</v>
      </c>
      <c r="CZ868" s="2358">
        <f t="shared" si="820"/>
        <v>0</v>
      </c>
      <c r="DA868" s="2361">
        <f>BM768</f>
        <v>0</v>
      </c>
      <c r="DB868" s="2359">
        <f>IF(DA867=0,0,DA868/DA867)</f>
        <v>0</v>
      </c>
      <c r="DC868" s="2358">
        <f t="shared" si="821"/>
        <v>0</v>
      </c>
      <c r="DD868" s="2361">
        <f>BN768</f>
        <v>0</v>
      </c>
      <c r="DE868" s="2359">
        <f>IF(DD867=0,0,DD868/DD867)</f>
        <v>0</v>
      </c>
      <c r="DF868" s="2358">
        <f t="shared" si="822"/>
        <v>0</v>
      </c>
      <c r="DG868" s="2361">
        <f>BO768</f>
        <v>0</v>
      </c>
      <c r="DH868" s="2359">
        <f>IF(DG867=0,0,DG868/DG867)</f>
        <v>0</v>
      </c>
      <c r="DI868" s="2358">
        <f t="shared" si="823"/>
        <v>0</v>
      </c>
      <c r="DJ868" s="2361">
        <f>BP768</f>
        <v>0</v>
      </c>
      <c r="DK868" s="2359">
        <f>IF(DJ867=0,0,DJ868/DJ867)</f>
        <v>0</v>
      </c>
      <c r="DL868" s="2358">
        <f t="shared" si="824"/>
        <v>0</v>
      </c>
      <c r="DM868" s="2361">
        <f>BQ768</f>
        <v>0</v>
      </c>
      <c r="DN868" s="2359">
        <f>IF(DM867=0,0,DM868/DM867)</f>
        <v>0</v>
      </c>
      <c r="DO868" s="2358">
        <f t="shared" si="825"/>
        <v>0</v>
      </c>
      <c r="DP868" s="2361">
        <f>BR768</f>
        <v>0</v>
      </c>
      <c r="DQ868" s="2359">
        <f>IF(DP867=0,0,DP868/DP867)</f>
        <v>0</v>
      </c>
      <c r="DR868" s="2360">
        <f t="shared" si="826"/>
        <v>0</v>
      </c>
      <c r="DS868" s="2361">
        <f>BS768</f>
        <v>0</v>
      </c>
      <c r="DT868" s="2359">
        <f>IF(DS867=0,0,DS868/DS867)</f>
        <v>0</v>
      </c>
      <c r="DU868" s="2358">
        <f t="shared" si="827"/>
        <v>0</v>
      </c>
      <c r="DV868" s="2361">
        <f>BT768</f>
        <v>0</v>
      </c>
      <c r="DW868" s="2359">
        <f>IF(DV867=0,0,DV868/DV867)</f>
        <v>0</v>
      </c>
      <c r="DX868" s="2358">
        <f t="shared" si="828"/>
        <v>0</v>
      </c>
      <c r="DY868" s="2326"/>
    </row>
    <row r="869" spans="33:129" s="617" customFormat="1" ht="17.5">
      <c r="AG869" s="2403"/>
      <c r="AK869" s="536"/>
      <c r="AL869" s="536"/>
      <c r="AM869" s="536"/>
      <c r="AN869" s="536"/>
      <c r="AO869" s="2216"/>
      <c r="AP869" s="2216"/>
      <c r="AQ869" s="2216"/>
      <c r="AR869" s="536"/>
      <c r="AS869" s="803"/>
      <c r="AT869" s="2216"/>
      <c r="AU869" s="536"/>
      <c r="AV869" s="803"/>
      <c r="AW869" s="2216"/>
      <c r="AX869" s="536"/>
      <c r="AY869" s="803"/>
      <c r="AZ869" s="803"/>
      <c r="BA869" s="2364" t="str">
        <f>AM792</f>
        <v>+ / - PASIVOS ESTIMADOS Y PROVISIONES</v>
      </c>
      <c r="BB869" s="2007"/>
      <c r="BC869" s="2365"/>
      <c r="BD869" s="2366">
        <f>AY792</f>
        <v>0</v>
      </c>
      <c r="BE869" s="2366">
        <f t="shared" ref="BE869:BT869" si="830">BE792</f>
        <v>0</v>
      </c>
      <c r="BF869" s="2366">
        <f t="shared" si="830"/>
        <v>0</v>
      </c>
      <c r="BG869" s="2366">
        <f t="shared" si="830"/>
        <v>0</v>
      </c>
      <c r="BH869" s="2366">
        <f t="shared" si="830"/>
        <v>0</v>
      </c>
      <c r="BI869" s="2366">
        <f t="shared" si="830"/>
        <v>0</v>
      </c>
      <c r="BJ869" s="2366">
        <f t="shared" si="830"/>
        <v>0</v>
      </c>
      <c r="BK869" s="2366">
        <f t="shared" si="830"/>
        <v>0</v>
      </c>
      <c r="BL869" s="2366">
        <f t="shared" si="830"/>
        <v>0</v>
      </c>
      <c r="BM869" s="2366">
        <f t="shared" si="830"/>
        <v>0</v>
      </c>
      <c r="BN869" s="2366">
        <f t="shared" si="830"/>
        <v>0</v>
      </c>
      <c r="BO869" s="2366">
        <f t="shared" si="830"/>
        <v>0</v>
      </c>
      <c r="BP869" s="2366">
        <f t="shared" si="830"/>
        <v>0</v>
      </c>
      <c r="BQ869" s="2366">
        <f t="shared" si="830"/>
        <v>0</v>
      </c>
      <c r="BR869" s="2366">
        <f t="shared" si="830"/>
        <v>0</v>
      </c>
      <c r="BS869" s="2366">
        <f t="shared" si="830"/>
        <v>0</v>
      </c>
      <c r="BT869" s="2366">
        <f t="shared" si="830"/>
        <v>0</v>
      </c>
      <c r="BU869" s="536"/>
      <c r="BV869" s="2404"/>
      <c r="BW869" s="2405"/>
      <c r="BX869" s="2405"/>
      <c r="BY869" s="2405"/>
      <c r="BZ869" s="2406" t="s">
        <v>1489</v>
      </c>
      <c r="CA869" s="2407">
        <f>AY779</f>
        <v>0</v>
      </c>
      <c r="CB869" s="2408">
        <f>IF(CA867=0,0,CA869/CA867)</f>
        <v>0</v>
      </c>
      <c r="CC869" s="2409">
        <f>BE779</f>
        <v>0</v>
      </c>
      <c r="CD869" s="2410">
        <f>IF(CC867=0,0,CC869/CC867)</f>
        <v>0</v>
      </c>
      <c r="CE869" s="2408">
        <f>IF(CA869=0,0,IF(ABS(CC869/CA869-1)&gt;10000%,0,CC869/CA869-1))</f>
        <v>0</v>
      </c>
      <c r="CF869" s="2409">
        <f>BF779</f>
        <v>0</v>
      </c>
      <c r="CG869" s="2410">
        <f>IF(CF867=0,0,CF869/CF867)</f>
        <v>0</v>
      </c>
      <c r="CH869" s="2408">
        <f t="shared" si="814"/>
        <v>0</v>
      </c>
      <c r="CI869" s="2409">
        <f>BG779</f>
        <v>0</v>
      </c>
      <c r="CJ869" s="2410">
        <f>IF(CI867=0,0,CI869/CI867)</f>
        <v>0</v>
      </c>
      <c r="CK869" s="2408">
        <f t="shared" si="815"/>
        <v>0</v>
      </c>
      <c r="CL869" s="2409">
        <f>BH779</f>
        <v>0</v>
      </c>
      <c r="CM869" s="2410">
        <f>IF(CL867=0,0,CL869/CL867)</f>
        <v>0</v>
      </c>
      <c r="CN869" s="2408">
        <f t="shared" si="816"/>
        <v>0</v>
      </c>
      <c r="CO869" s="2409">
        <f>BI779</f>
        <v>0</v>
      </c>
      <c r="CP869" s="2410">
        <f>IF(CO867=0,0,CO869/CO867)</f>
        <v>0</v>
      </c>
      <c r="CQ869" s="2408">
        <f t="shared" si="817"/>
        <v>0</v>
      </c>
      <c r="CR869" s="2409">
        <f>BJ779</f>
        <v>0</v>
      </c>
      <c r="CS869" s="2410">
        <f>IF(CR867=0,0,CR869/CR867)</f>
        <v>0</v>
      </c>
      <c r="CT869" s="2408">
        <f t="shared" si="818"/>
        <v>0</v>
      </c>
      <c r="CU869" s="2409">
        <f>BK779</f>
        <v>0</v>
      </c>
      <c r="CV869" s="2410">
        <f>IF(CU867=0,0,CU869/CU867)</f>
        <v>0</v>
      </c>
      <c r="CW869" s="2408">
        <f t="shared" si="819"/>
        <v>0</v>
      </c>
      <c r="CX869" s="2409">
        <f>BL779</f>
        <v>0</v>
      </c>
      <c r="CY869" s="2410">
        <f>IF(CX867=0,0,CX869/CX867)</f>
        <v>0</v>
      </c>
      <c r="CZ869" s="2408">
        <f t="shared" si="820"/>
        <v>0</v>
      </c>
      <c r="DA869" s="2409">
        <f>BM779</f>
        <v>0</v>
      </c>
      <c r="DB869" s="2410">
        <f>IF(DA867=0,0,DA869/DA867)</f>
        <v>0</v>
      </c>
      <c r="DC869" s="2408">
        <f t="shared" si="821"/>
        <v>0</v>
      </c>
      <c r="DD869" s="2409">
        <f>BN779</f>
        <v>0</v>
      </c>
      <c r="DE869" s="2410">
        <f>IF(DD867=0,0,DD869/DD867)</f>
        <v>0</v>
      </c>
      <c r="DF869" s="2408">
        <f t="shared" si="822"/>
        <v>0</v>
      </c>
      <c r="DG869" s="2409">
        <f>BO779</f>
        <v>0</v>
      </c>
      <c r="DH869" s="2410">
        <f>IF(DG867=0,0,DG869/DG867)</f>
        <v>0</v>
      </c>
      <c r="DI869" s="2408">
        <f t="shared" si="823"/>
        <v>0</v>
      </c>
      <c r="DJ869" s="2409">
        <f>BP779</f>
        <v>0</v>
      </c>
      <c r="DK869" s="2410">
        <f>IF(DJ867=0,0,DJ869/DJ867)</f>
        <v>0</v>
      </c>
      <c r="DL869" s="2408">
        <f t="shared" si="824"/>
        <v>0</v>
      </c>
      <c r="DM869" s="2409">
        <f>BQ779</f>
        <v>0</v>
      </c>
      <c r="DN869" s="2410">
        <f>IF(DM867=0,0,DM869/DM867)</f>
        <v>0</v>
      </c>
      <c r="DO869" s="2408">
        <f t="shared" si="825"/>
        <v>0</v>
      </c>
      <c r="DP869" s="2409">
        <f>BR779</f>
        <v>0</v>
      </c>
      <c r="DQ869" s="2410">
        <f>IF(DP867=0,0,DP869/DP867)</f>
        <v>0</v>
      </c>
      <c r="DR869" s="2411">
        <f t="shared" si="826"/>
        <v>0</v>
      </c>
      <c r="DS869" s="2409">
        <f>BS779</f>
        <v>0</v>
      </c>
      <c r="DT869" s="2410">
        <f>IF(DS867=0,0,DS869/DS867)</f>
        <v>0</v>
      </c>
      <c r="DU869" s="2408">
        <f t="shared" si="827"/>
        <v>0</v>
      </c>
      <c r="DV869" s="2409">
        <f>BT779</f>
        <v>0</v>
      </c>
      <c r="DW869" s="2410">
        <f>IF(DV867=0,0,DV869/DV867)</f>
        <v>0</v>
      </c>
      <c r="DX869" s="2408">
        <f t="shared" si="828"/>
        <v>0</v>
      </c>
      <c r="DY869" s="2412"/>
    </row>
    <row r="870" spans="33:129" s="536" customFormat="1" ht="17.5">
      <c r="AG870" s="2327"/>
      <c r="AO870" s="2216"/>
      <c r="AP870" s="2216"/>
      <c r="AQ870" s="2216"/>
      <c r="AS870" s="803"/>
      <c r="AT870" s="2216"/>
      <c r="AV870" s="803"/>
      <c r="AW870" s="2216"/>
      <c r="AY870" s="803"/>
      <c r="AZ870" s="803"/>
      <c r="BA870" s="2364" t="str">
        <f>AM793</f>
        <v>+ / - OTROS CORRIENTES</v>
      </c>
      <c r="BB870" s="2007"/>
      <c r="BC870" s="2365"/>
      <c r="BD870" s="2366">
        <f>AY793</f>
        <v>0</v>
      </c>
      <c r="BE870" s="2366">
        <f t="shared" ref="BE870:BT870" si="831">BE793</f>
        <v>0</v>
      </c>
      <c r="BF870" s="2366">
        <f t="shared" si="831"/>
        <v>0</v>
      </c>
      <c r="BG870" s="2366">
        <f t="shared" si="831"/>
        <v>0</v>
      </c>
      <c r="BH870" s="2366">
        <f t="shared" si="831"/>
        <v>0</v>
      </c>
      <c r="BI870" s="2366">
        <f t="shared" si="831"/>
        <v>0</v>
      </c>
      <c r="BJ870" s="2366">
        <f t="shared" si="831"/>
        <v>0</v>
      </c>
      <c r="BK870" s="2366">
        <f t="shared" si="831"/>
        <v>0</v>
      </c>
      <c r="BL870" s="2366">
        <f t="shared" si="831"/>
        <v>0</v>
      </c>
      <c r="BM870" s="2366">
        <f t="shared" si="831"/>
        <v>0</v>
      </c>
      <c r="BN870" s="2366">
        <f t="shared" si="831"/>
        <v>0</v>
      </c>
      <c r="BO870" s="2366">
        <f t="shared" si="831"/>
        <v>0</v>
      </c>
      <c r="BP870" s="2366">
        <f t="shared" si="831"/>
        <v>0</v>
      </c>
      <c r="BQ870" s="2366">
        <f t="shared" si="831"/>
        <v>0</v>
      </c>
      <c r="BR870" s="2366">
        <f t="shared" si="831"/>
        <v>0</v>
      </c>
      <c r="BS870" s="2366">
        <f t="shared" si="831"/>
        <v>0</v>
      </c>
      <c r="BT870" s="2366">
        <f t="shared" si="831"/>
        <v>0</v>
      </c>
      <c r="BV870" s="2322"/>
      <c r="BW870" s="2181"/>
      <c r="BX870" s="2181"/>
      <c r="BY870" s="2181"/>
      <c r="BZ870" s="2356" t="s">
        <v>1490</v>
      </c>
      <c r="CA870" s="2357">
        <f>AY811</f>
        <v>0</v>
      </c>
      <c r="CB870" s="2358">
        <f>IF(CA867=0,0,CA870/CA867)</f>
        <v>0</v>
      </c>
      <c r="CC870" s="2361">
        <f>BE811</f>
        <v>0</v>
      </c>
      <c r="CD870" s="2359">
        <f>IF(CC867=0,0,CC870/CC867)</f>
        <v>0</v>
      </c>
      <c r="CE870" s="2358">
        <f>IF(CA870=0,0,IF(ABS(CC870/CA870-1)&gt;10000%,0,CC870/CA870-1))</f>
        <v>0</v>
      </c>
      <c r="CF870" s="2361">
        <f>BF811</f>
        <v>0</v>
      </c>
      <c r="CG870" s="2359">
        <f>IF(CF867=0,0,CF870/CF867)</f>
        <v>0</v>
      </c>
      <c r="CH870" s="2358">
        <f t="shared" si="814"/>
        <v>0</v>
      </c>
      <c r="CI870" s="2361">
        <f>BG811</f>
        <v>0</v>
      </c>
      <c r="CJ870" s="2359">
        <f>IF(CI867=0,0,CI870/CI867)</f>
        <v>0</v>
      </c>
      <c r="CK870" s="2358">
        <f t="shared" si="815"/>
        <v>0</v>
      </c>
      <c r="CL870" s="2361">
        <f>BH811</f>
        <v>0</v>
      </c>
      <c r="CM870" s="2359">
        <f>IF(CL867=0,0,CL870/CL867)</f>
        <v>0</v>
      </c>
      <c r="CN870" s="2358">
        <f t="shared" si="816"/>
        <v>0</v>
      </c>
      <c r="CO870" s="2361">
        <f>BI811</f>
        <v>0</v>
      </c>
      <c r="CP870" s="2359">
        <f>IF(CO867=0,0,CO870/CO867)</f>
        <v>0</v>
      </c>
      <c r="CQ870" s="2358">
        <f t="shared" si="817"/>
        <v>0</v>
      </c>
      <c r="CR870" s="2361">
        <f>BJ811</f>
        <v>0</v>
      </c>
      <c r="CS870" s="2359">
        <f>IF(CR867=0,0,CR870/CR867)</f>
        <v>0</v>
      </c>
      <c r="CT870" s="2358">
        <f t="shared" si="818"/>
        <v>0</v>
      </c>
      <c r="CU870" s="2361">
        <f>BK811</f>
        <v>0</v>
      </c>
      <c r="CV870" s="2359">
        <f>IF(CU867=0,0,CU870/CU867)</f>
        <v>0</v>
      </c>
      <c r="CW870" s="2358">
        <f t="shared" si="819"/>
        <v>0</v>
      </c>
      <c r="CX870" s="2361">
        <f>BL811</f>
        <v>0</v>
      </c>
      <c r="CY870" s="2359">
        <f>IF(CX867=0,0,CX870/CX867)</f>
        <v>0</v>
      </c>
      <c r="CZ870" s="2358">
        <f t="shared" si="820"/>
        <v>0</v>
      </c>
      <c r="DA870" s="2361">
        <f>BM811</f>
        <v>0</v>
      </c>
      <c r="DB870" s="2359">
        <f>IF(DA867=0,0,DA870/DA867)</f>
        <v>0</v>
      </c>
      <c r="DC870" s="2358">
        <f t="shared" si="821"/>
        <v>0</v>
      </c>
      <c r="DD870" s="2361">
        <f>BN811</f>
        <v>0</v>
      </c>
      <c r="DE870" s="2359">
        <f>IF(DD867=0,0,DD870/DD867)</f>
        <v>0</v>
      </c>
      <c r="DF870" s="2358">
        <f t="shared" si="822"/>
        <v>0</v>
      </c>
      <c r="DG870" s="2361">
        <f>BO811</f>
        <v>0</v>
      </c>
      <c r="DH870" s="2359">
        <f>IF(DG867=0,0,DG870/DG867)</f>
        <v>0</v>
      </c>
      <c r="DI870" s="2358">
        <f t="shared" si="823"/>
        <v>0</v>
      </c>
      <c r="DJ870" s="2361">
        <f>BP811</f>
        <v>0</v>
      </c>
      <c r="DK870" s="2359">
        <f>IF(DJ867=0,0,DJ870/DJ867)</f>
        <v>0</v>
      </c>
      <c r="DL870" s="2358">
        <f t="shared" si="824"/>
        <v>0</v>
      </c>
      <c r="DM870" s="2361">
        <f>BQ811</f>
        <v>0</v>
      </c>
      <c r="DN870" s="2359">
        <f>IF(DM867=0,0,DM870/DM867)</f>
        <v>0</v>
      </c>
      <c r="DO870" s="2358">
        <f t="shared" si="825"/>
        <v>0</v>
      </c>
      <c r="DP870" s="2361">
        <f>BR811</f>
        <v>0</v>
      </c>
      <c r="DQ870" s="2359">
        <f>IF(DP867=0,0,DP870/DP867)</f>
        <v>0</v>
      </c>
      <c r="DR870" s="2360">
        <f t="shared" si="826"/>
        <v>0</v>
      </c>
      <c r="DS870" s="2361">
        <f>BS811</f>
        <v>0</v>
      </c>
      <c r="DT870" s="2359">
        <f>IF(DS867=0,0,DS870/DS867)</f>
        <v>0</v>
      </c>
      <c r="DU870" s="2358">
        <f t="shared" si="827"/>
        <v>0</v>
      </c>
      <c r="DV870" s="2361">
        <f>BT811</f>
        <v>0</v>
      </c>
      <c r="DW870" s="2359">
        <f>IF(DV867=0,0,DV870/DV867)</f>
        <v>0</v>
      </c>
      <c r="DX870" s="2358">
        <f t="shared" si="828"/>
        <v>0</v>
      </c>
      <c r="DY870" s="2326"/>
    </row>
    <row r="871" spans="33:129" s="536" customFormat="1" ht="17.5">
      <c r="AG871" s="2327"/>
      <c r="AO871" s="2216"/>
      <c r="AP871" s="2216"/>
      <c r="AQ871" s="2216"/>
      <c r="AS871" s="803"/>
      <c r="AT871" s="2216"/>
      <c r="AV871" s="803"/>
      <c r="AW871" s="2216"/>
      <c r="AY871" s="803"/>
      <c r="AZ871" s="803"/>
      <c r="BA871" s="2364" t="str">
        <f t="shared" ref="BA871:BA876" si="832">AM795</f>
        <v>+ / - PRESTACIONES SOCIALES L.P.</v>
      </c>
      <c r="BB871" s="2007"/>
      <c r="BC871" s="2365"/>
      <c r="BD871" s="2366">
        <f t="shared" ref="BD871:BD876" si="833">AY795</f>
        <v>0</v>
      </c>
      <c r="BE871" s="2366">
        <f t="shared" ref="BE871:BT871" si="834">BE795</f>
        <v>0</v>
      </c>
      <c r="BF871" s="2366">
        <f t="shared" si="834"/>
        <v>0</v>
      </c>
      <c r="BG871" s="2366">
        <f t="shared" si="834"/>
        <v>0</v>
      </c>
      <c r="BH871" s="2366">
        <f t="shared" si="834"/>
        <v>0</v>
      </c>
      <c r="BI871" s="2366">
        <f t="shared" si="834"/>
        <v>0</v>
      </c>
      <c r="BJ871" s="2366">
        <f t="shared" si="834"/>
        <v>0</v>
      </c>
      <c r="BK871" s="2366">
        <f t="shared" si="834"/>
        <v>0</v>
      </c>
      <c r="BL871" s="2366">
        <f t="shared" si="834"/>
        <v>0</v>
      </c>
      <c r="BM871" s="2366">
        <f t="shared" si="834"/>
        <v>0</v>
      </c>
      <c r="BN871" s="2366">
        <f t="shared" si="834"/>
        <v>0</v>
      </c>
      <c r="BO871" s="2366">
        <f t="shared" si="834"/>
        <v>0</v>
      </c>
      <c r="BP871" s="2366">
        <f t="shared" si="834"/>
        <v>0</v>
      </c>
      <c r="BQ871" s="2366">
        <f t="shared" si="834"/>
        <v>0</v>
      </c>
      <c r="BR871" s="2366">
        <f t="shared" si="834"/>
        <v>0</v>
      </c>
      <c r="BS871" s="2366">
        <f t="shared" si="834"/>
        <v>0</v>
      </c>
      <c r="BT871" s="2366">
        <f t="shared" si="834"/>
        <v>0</v>
      </c>
      <c r="BV871" s="2322"/>
      <c r="BW871" s="2181"/>
      <c r="BX871" s="2181"/>
      <c r="BY871" s="2181"/>
      <c r="BZ871" s="2356" t="s">
        <v>1491</v>
      </c>
      <c r="CA871" s="2357">
        <f>AY815</f>
        <v>0</v>
      </c>
      <c r="CB871" s="2358">
        <f>IF(CA867=0,0,CA871/CA867)</f>
        <v>0</v>
      </c>
      <c r="CC871" s="2361">
        <f>BE815</f>
        <v>0</v>
      </c>
      <c r="CD871" s="2359">
        <f>IF(CC867=0,0,CC871/CC867)</f>
        <v>0</v>
      </c>
      <c r="CE871" s="2358">
        <f>IF(CA871=0,0,IF(ABS(CC871/CA871-1)&gt;10000%,0,CC871/CA871-1))</f>
        <v>0</v>
      </c>
      <c r="CF871" s="2361">
        <f>BF815</f>
        <v>0</v>
      </c>
      <c r="CG871" s="2359">
        <f>IF(CF867=0,0,CF871/CF867)</f>
        <v>0</v>
      </c>
      <c r="CH871" s="2358">
        <f t="shared" si="814"/>
        <v>0</v>
      </c>
      <c r="CI871" s="2361">
        <f>BG815</f>
        <v>0</v>
      </c>
      <c r="CJ871" s="2359">
        <f>IF(CI867=0,0,CI871/CI867)</f>
        <v>0</v>
      </c>
      <c r="CK871" s="2358">
        <f t="shared" si="815"/>
        <v>0</v>
      </c>
      <c r="CL871" s="2361">
        <f>BH815</f>
        <v>0</v>
      </c>
      <c r="CM871" s="2359">
        <f>IF(CL867=0,0,CL871/CL867)</f>
        <v>0</v>
      </c>
      <c r="CN871" s="2358">
        <f t="shared" si="816"/>
        <v>0</v>
      </c>
      <c r="CO871" s="2361">
        <f>BI815</f>
        <v>0</v>
      </c>
      <c r="CP871" s="2359">
        <f>IF(CO867=0,0,CO871/CO867)</f>
        <v>0</v>
      </c>
      <c r="CQ871" s="2358">
        <f t="shared" si="817"/>
        <v>0</v>
      </c>
      <c r="CR871" s="2361">
        <f>BJ815</f>
        <v>0</v>
      </c>
      <c r="CS871" s="2359">
        <f>IF(CR867=0,0,CR871/CR867)</f>
        <v>0</v>
      </c>
      <c r="CT871" s="2358">
        <f t="shared" si="818"/>
        <v>0</v>
      </c>
      <c r="CU871" s="2361">
        <f>BK815</f>
        <v>0</v>
      </c>
      <c r="CV871" s="2359">
        <f>IF(CU867=0,0,CU871/CU867)</f>
        <v>0</v>
      </c>
      <c r="CW871" s="2358">
        <f t="shared" si="819"/>
        <v>0</v>
      </c>
      <c r="CX871" s="2361">
        <f>BL815</f>
        <v>0</v>
      </c>
      <c r="CY871" s="2359">
        <f>IF(CX867=0,0,CX871/CX867)</f>
        <v>0</v>
      </c>
      <c r="CZ871" s="2358">
        <f t="shared" si="820"/>
        <v>0</v>
      </c>
      <c r="DA871" s="2361">
        <f>BM815</f>
        <v>0</v>
      </c>
      <c r="DB871" s="2359">
        <f>IF(DA867=0,0,DA871/DA867)</f>
        <v>0</v>
      </c>
      <c r="DC871" s="2358">
        <f t="shared" si="821"/>
        <v>0</v>
      </c>
      <c r="DD871" s="2361">
        <f>BN815</f>
        <v>0</v>
      </c>
      <c r="DE871" s="2359">
        <f>IF(DD867=0,0,DD871/DD867)</f>
        <v>0</v>
      </c>
      <c r="DF871" s="2358">
        <f t="shared" si="822"/>
        <v>0</v>
      </c>
      <c r="DG871" s="2361">
        <f>BO815</f>
        <v>0</v>
      </c>
      <c r="DH871" s="2359">
        <f>IF(DG867=0,0,DG871/DG867)</f>
        <v>0</v>
      </c>
      <c r="DI871" s="2358">
        <f t="shared" si="823"/>
        <v>0</v>
      </c>
      <c r="DJ871" s="2361">
        <f>BP815</f>
        <v>0</v>
      </c>
      <c r="DK871" s="2359">
        <f>IF(DJ867=0,0,DJ871/DJ867)</f>
        <v>0</v>
      </c>
      <c r="DL871" s="2358">
        <f t="shared" si="824"/>
        <v>0</v>
      </c>
      <c r="DM871" s="2361">
        <f>BQ815</f>
        <v>0</v>
      </c>
      <c r="DN871" s="2359">
        <f>IF(DM867=0,0,DM871/DM867)</f>
        <v>0</v>
      </c>
      <c r="DO871" s="2358">
        <f t="shared" si="825"/>
        <v>0</v>
      </c>
      <c r="DP871" s="2361">
        <f>BR815</f>
        <v>0</v>
      </c>
      <c r="DQ871" s="2359">
        <f>IF(DP867=0,0,DP871/DP867)</f>
        <v>0</v>
      </c>
      <c r="DR871" s="2360">
        <f t="shared" si="826"/>
        <v>0</v>
      </c>
      <c r="DS871" s="2361">
        <f>BS815</f>
        <v>0</v>
      </c>
      <c r="DT871" s="2359">
        <f>IF(DS867=0,0,DS871/DS867)</f>
        <v>0</v>
      </c>
      <c r="DU871" s="2358">
        <f t="shared" si="827"/>
        <v>0</v>
      </c>
      <c r="DV871" s="2361">
        <f>BT815</f>
        <v>0</v>
      </c>
      <c r="DW871" s="2359">
        <f>IF(DV867=0,0,DV871/DV867)</f>
        <v>0</v>
      </c>
      <c r="DX871" s="2358">
        <f t="shared" si="828"/>
        <v>0</v>
      </c>
      <c r="DY871" s="2326"/>
    </row>
    <row r="872" spans="33:129" s="536" customFormat="1" ht="18">
      <c r="AG872" s="2327"/>
      <c r="AO872" s="2216"/>
      <c r="AP872" s="2216"/>
      <c r="AQ872" s="2216"/>
      <c r="AS872" s="803"/>
      <c r="AT872" s="2216"/>
      <c r="AV872" s="803"/>
      <c r="AW872" s="2216"/>
      <c r="AY872" s="803"/>
      <c r="AZ872" s="803"/>
      <c r="BA872" s="2364" t="str">
        <f t="shared" si="832"/>
        <v>+ / - PENSIONES DE JUBILACIÓN</v>
      </c>
      <c r="BB872" s="2007"/>
      <c r="BC872" s="2365"/>
      <c r="BD872" s="2366">
        <f t="shared" si="833"/>
        <v>0</v>
      </c>
      <c r="BE872" s="2366">
        <f t="shared" ref="BE872:BT872" si="835">BE796</f>
        <v>0</v>
      </c>
      <c r="BF872" s="2366">
        <f t="shared" si="835"/>
        <v>0</v>
      </c>
      <c r="BG872" s="2366">
        <f t="shared" si="835"/>
        <v>0</v>
      </c>
      <c r="BH872" s="2366">
        <f t="shared" si="835"/>
        <v>0</v>
      </c>
      <c r="BI872" s="2366">
        <f t="shared" si="835"/>
        <v>0</v>
      </c>
      <c r="BJ872" s="2366">
        <f t="shared" si="835"/>
        <v>0</v>
      </c>
      <c r="BK872" s="2366">
        <f t="shared" si="835"/>
        <v>0</v>
      </c>
      <c r="BL872" s="2366">
        <f t="shared" si="835"/>
        <v>0</v>
      </c>
      <c r="BM872" s="2366">
        <f t="shared" si="835"/>
        <v>0</v>
      </c>
      <c r="BN872" s="2366">
        <f t="shared" si="835"/>
        <v>0</v>
      </c>
      <c r="BO872" s="2366">
        <f t="shared" si="835"/>
        <v>0</v>
      </c>
      <c r="BP872" s="2366">
        <f t="shared" si="835"/>
        <v>0</v>
      </c>
      <c r="BQ872" s="2366">
        <f t="shared" si="835"/>
        <v>0</v>
      </c>
      <c r="BR872" s="2366">
        <f t="shared" si="835"/>
        <v>0</v>
      </c>
      <c r="BS872" s="2366">
        <f t="shared" si="835"/>
        <v>0</v>
      </c>
      <c r="BT872" s="2366">
        <f t="shared" si="835"/>
        <v>0</v>
      </c>
      <c r="BV872" s="2322"/>
      <c r="BW872" s="2181"/>
      <c r="BX872" s="2181"/>
      <c r="BY872" s="2181"/>
      <c r="BZ872" s="2386" t="s">
        <v>1492</v>
      </c>
      <c r="CA872" s="2387">
        <f>SUM(CA867:CA871)</f>
        <v>0</v>
      </c>
      <c r="CB872" s="2388">
        <f>IF(CA867=0,0,CA872/CA867)</f>
        <v>0</v>
      </c>
      <c r="CC872" s="2390">
        <f>SUM(CC867:CC871)</f>
        <v>0</v>
      </c>
      <c r="CD872" s="2389">
        <f>IF(CC867=0,0,CC872/CC867)</f>
        <v>0</v>
      </c>
      <c r="CE872" s="2388">
        <f>IF(CA872=0,0,IF(ABS(CC872/CA872-1)&gt;10000%,0,CC872/CA872-1))</f>
        <v>0</v>
      </c>
      <c r="CF872" s="2390">
        <f>SUM(CF867:CF871)</f>
        <v>0</v>
      </c>
      <c r="CG872" s="2389">
        <f>IF(CF867=0,0,CF872/CF867)</f>
        <v>0</v>
      </c>
      <c r="CH872" s="2388">
        <f t="shared" si="814"/>
        <v>0</v>
      </c>
      <c r="CI872" s="2390">
        <f>SUM(CI867:CI871)</f>
        <v>0</v>
      </c>
      <c r="CJ872" s="2389">
        <f>IF(CI867=0,0,CI872/CI867)</f>
        <v>0</v>
      </c>
      <c r="CK872" s="2388">
        <f t="shared" si="815"/>
        <v>0</v>
      </c>
      <c r="CL872" s="2390">
        <f>SUM(CL867:CL871)</f>
        <v>0</v>
      </c>
      <c r="CM872" s="2389">
        <f>IF(CL867=0,0,CL872/CL867)</f>
        <v>0</v>
      </c>
      <c r="CN872" s="2388">
        <f t="shared" si="816"/>
        <v>0</v>
      </c>
      <c r="CO872" s="2390">
        <f>SUM(CO867:CO871)</f>
        <v>0</v>
      </c>
      <c r="CP872" s="2389">
        <f>IF(CO867=0,0,CO872/CO867)</f>
        <v>0</v>
      </c>
      <c r="CQ872" s="2388">
        <f t="shared" si="817"/>
        <v>0</v>
      </c>
      <c r="CR872" s="2390">
        <f>SUM(CR867:CR871)</f>
        <v>0</v>
      </c>
      <c r="CS872" s="2389">
        <f>IF(CR867=0,0,CR872/CR867)</f>
        <v>0</v>
      </c>
      <c r="CT872" s="2388">
        <f t="shared" si="818"/>
        <v>0</v>
      </c>
      <c r="CU872" s="2390">
        <f>SUM(CU867:CU871)</f>
        <v>0</v>
      </c>
      <c r="CV872" s="2389">
        <f>IF(CU867=0,0,CU872/CU867)</f>
        <v>0</v>
      </c>
      <c r="CW872" s="2388">
        <f t="shared" si="819"/>
        <v>0</v>
      </c>
      <c r="CX872" s="2390">
        <f>SUM(CX867:CX871)</f>
        <v>0</v>
      </c>
      <c r="CY872" s="2389">
        <f>IF(CX867=0,0,CX872/CX867)</f>
        <v>0</v>
      </c>
      <c r="CZ872" s="2388">
        <f t="shared" si="820"/>
        <v>0</v>
      </c>
      <c r="DA872" s="2390">
        <f>SUM(DA867:DA871)</f>
        <v>0</v>
      </c>
      <c r="DB872" s="2389">
        <f>IF(DA867=0,0,DA872/DA867)</f>
        <v>0</v>
      </c>
      <c r="DC872" s="2388">
        <f t="shared" si="821"/>
        <v>0</v>
      </c>
      <c r="DD872" s="2390">
        <f>SUM(DD867:DD871)</f>
        <v>0</v>
      </c>
      <c r="DE872" s="2389">
        <f>IF(DD867=0,0,DD872/DD867)</f>
        <v>0</v>
      </c>
      <c r="DF872" s="2388">
        <f t="shared" si="822"/>
        <v>0</v>
      </c>
      <c r="DG872" s="2390">
        <f>SUM(DG867:DG871)</f>
        <v>0</v>
      </c>
      <c r="DH872" s="2389">
        <f>IF(DG867=0,0,DG872/DG867)</f>
        <v>0</v>
      </c>
      <c r="DI872" s="2388">
        <f t="shared" si="823"/>
        <v>0</v>
      </c>
      <c r="DJ872" s="2390">
        <f>SUM(DJ867:DJ871)</f>
        <v>0</v>
      </c>
      <c r="DK872" s="2389">
        <f>IF(DJ867=0,0,DJ872/DJ867)</f>
        <v>0</v>
      </c>
      <c r="DL872" s="2388">
        <f t="shared" si="824"/>
        <v>0</v>
      </c>
      <c r="DM872" s="2390">
        <f>SUM(DM867:DM871)</f>
        <v>0</v>
      </c>
      <c r="DN872" s="2389">
        <f>IF(DM867=0,0,DM872/DM867)</f>
        <v>0</v>
      </c>
      <c r="DO872" s="2388">
        <f t="shared" si="825"/>
        <v>0</v>
      </c>
      <c r="DP872" s="2390">
        <f>SUM(DP867:DP871)</f>
        <v>0</v>
      </c>
      <c r="DQ872" s="2389">
        <f>IF(DP867=0,0,DP872/DP867)</f>
        <v>0</v>
      </c>
      <c r="DR872" s="2388">
        <f t="shared" si="826"/>
        <v>0</v>
      </c>
      <c r="DS872" s="2390">
        <f>SUM(DS867:DS871)</f>
        <v>0</v>
      </c>
      <c r="DT872" s="2389">
        <f>IF(DS867=0,0,DS872/DS867)</f>
        <v>0</v>
      </c>
      <c r="DU872" s="2388">
        <f t="shared" si="827"/>
        <v>0</v>
      </c>
      <c r="DV872" s="2390">
        <f>SUM(DV867:DV871)</f>
        <v>0</v>
      </c>
      <c r="DW872" s="2389">
        <f>IF(DV867=0,0,DV872/DV867)</f>
        <v>0</v>
      </c>
      <c r="DX872" s="2388">
        <f t="shared" si="828"/>
        <v>0</v>
      </c>
      <c r="DY872" s="2326"/>
    </row>
    <row r="873" spans="33:129" s="536" customFormat="1" ht="17.5">
      <c r="AG873" s="2327"/>
      <c r="AO873" s="2216"/>
      <c r="AP873" s="2216"/>
      <c r="AQ873" s="2216"/>
      <c r="AS873" s="803"/>
      <c r="AT873" s="2216"/>
      <c r="AV873" s="803"/>
      <c r="AW873" s="2216"/>
      <c r="AY873" s="803"/>
      <c r="AZ873" s="803"/>
      <c r="BA873" s="2366" t="str">
        <f t="shared" si="832"/>
        <v>+ / - DEUDAS CON SOCIOS L.P.</v>
      </c>
      <c r="BD873" s="2366">
        <f t="shared" si="833"/>
        <v>0</v>
      </c>
      <c r="BE873" s="2366">
        <f t="shared" ref="BE873:BT873" si="836">BE797</f>
        <v>0</v>
      </c>
      <c r="BF873" s="2366">
        <f t="shared" si="836"/>
        <v>0</v>
      </c>
      <c r="BG873" s="2366">
        <f t="shared" si="836"/>
        <v>0</v>
      </c>
      <c r="BH873" s="2366">
        <f t="shared" si="836"/>
        <v>0</v>
      </c>
      <c r="BI873" s="2366">
        <f t="shared" si="836"/>
        <v>0</v>
      </c>
      <c r="BJ873" s="2366">
        <f t="shared" si="836"/>
        <v>0</v>
      </c>
      <c r="BK873" s="2366">
        <f t="shared" si="836"/>
        <v>0</v>
      </c>
      <c r="BL873" s="2366">
        <f t="shared" si="836"/>
        <v>0</v>
      </c>
      <c r="BM873" s="2366">
        <f t="shared" si="836"/>
        <v>0</v>
      </c>
      <c r="BN873" s="2366">
        <f t="shared" si="836"/>
        <v>0</v>
      </c>
      <c r="BO873" s="2366">
        <f t="shared" si="836"/>
        <v>0</v>
      </c>
      <c r="BP873" s="2366">
        <f t="shared" si="836"/>
        <v>0</v>
      </c>
      <c r="BQ873" s="2366">
        <f t="shared" si="836"/>
        <v>0</v>
      </c>
      <c r="BR873" s="2366">
        <f t="shared" si="836"/>
        <v>0</v>
      </c>
      <c r="BS873" s="2366">
        <f t="shared" si="836"/>
        <v>0</v>
      </c>
      <c r="BT873" s="2366">
        <f t="shared" si="836"/>
        <v>0</v>
      </c>
      <c r="BV873" s="2322"/>
      <c r="BW873" s="2181"/>
      <c r="BX873" s="2181"/>
      <c r="BY873" s="2181"/>
      <c r="BZ873" s="2356"/>
      <c r="CA873" s="2357"/>
      <c r="CB873" s="2358"/>
      <c r="CC873" s="2361"/>
      <c r="CD873" s="2359"/>
      <c r="CE873" s="2358"/>
      <c r="CF873" s="2361"/>
      <c r="CG873" s="2359"/>
      <c r="CH873" s="2358"/>
      <c r="CI873" s="2361"/>
      <c r="CJ873" s="2359"/>
      <c r="CK873" s="2358"/>
      <c r="CL873" s="2361"/>
      <c r="CM873" s="2359"/>
      <c r="CN873" s="2358"/>
      <c r="CO873" s="2361"/>
      <c r="CP873" s="2359"/>
      <c r="CQ873" s="2358"/>
      <c r="CR873" s="2361"/>
      <c r="CS873" s="2359"/>
      <c r="CT873" s="2358"/>
      <c r="CU873" s="2361"/>
      <c r="CV873" s="2359"/>
      <c r="CW873" s="2358"/>
      <c r="CX873" s="2361"/>
      <c r="CY873" s="2359"/>
      <c r="CZ873" s="2358"/>
      <c r="DA873" s="2361"/>
      <c r="DB873" s="2359"/>
      <c r="DC873" s="2358"/>
      <c r="DD873" s="2361"/>
      <c r="DE873" s="2359"/>
      <c r="DF873" s="2358"/>
      <c r="DG873" s="2361"/>
      <c r="DH873" s="2359"/>
      <c r="DI873" s="2358"/>
      <c r="DJ873" s="2361"/>
      <c r="DK873" s="2359"/>
      <c r="DL873" s="2358"/>
      <c r="DM873" s="2361"/>
      <c r="DN873" s="2359"/>
      <c r="DO873" s="2358"/>
      <c r="DP873" s="2361"/>
      <c r="DQ873" s="2359"/>
      <c r="DR873" s="2376"/>
      <c r="DS873" s="2361"/>
      <c r="DT873" s="2359"/>
      <c r="DU873" s="2358"/>
      <c r="DV873" s="2361"/>
      <c r="DW873" s="2359"/>
      <c r="DX873" s="2358"/>
      <c r="DY873" s="2326"/>
    </row>
    <row r="874" spans="33:129" s="536" customFormat="1" ht="17.5">
      <c r="AG874" s="2327"/>
      <c r="AK874" s="617"/>
      <c r="AL874" s="617"/>
      <c r="AM874" s="617"/>
      <c r="AN874" s="617"/>
      <c r="AO874" s="2413"/>
      <c r="AP874" s="2413"/>
      <c r="AQ874" s="2413"/>
      <c r="AR874" s="617"/>
      <c r="AS874" s="2414"/>
      <c r="AT874" s="2413"/>
      <c r="AU874" s="617"/>
      <c r="AV874" s="2414"/>
      <c r="AW874" s="2413"/>
      <c r="AX874" s="617"/>
      <c r="AY874" s="2414"/>
      <c r="AZ874" s="2414"/>
      <c r="BA874" s="2364" t="str">
        <f t="shared" si="832"/>
        <v>+ / - IMPUESTOS DE L.P. (DIFERIDOS)</v>
      </c>
      <c r="BB874" s="2007"/>
      <c r="BC874" s="2365"/>
      <c r="BD874" s="2366">
        <f t="shared" si="833"/>
        <v>0</v>
      </c>
      <c r="BE874" s="2366">
        <f t="shared" ref="BE874:BT874" si="837">BE798</f>
        <v>0</v>
      </c>
      <c r="BF874" s="2366">
        <f t="shared" si="837"/>
        <v>0</v>
      </c>
      <c r="BG874" s="2366">
        <f t="shared" si="837"/>
        <v>0</v>
      </c>
      <c r="BH874" s="2366">
        <f t="shared" si="837"/>
        <v>0</v>
      </c>
      <c r="BI874" s="2366">
        <f t="shared" si="837"/>
        <v>0</v>
      </c>
      <c r="BJ874" s="2366">
        <f t="shared" si="837"/>
        <v>0</v>
      </c>
      <c r="BK874" s="2366">
        <f t="shared" si="837"/>
        <v>0</v>
      </c>
      <c r="BL874" s="2366">
        <f t="shared" si="837"/>
        <v>0</v>
      </c>
      <c r="BM874" s="2366">
        <f t="shared" si="837"/>
        <v>0</v>
      </c>
      <c r="BN874" s="2366">
        <f t="shared" si="837"/>
        <v>0</v>
      </c>
      <c r="BO874" s="2366">
        <f t="shared" si="837"/>
        <v>0</v>
      </c>
      <c r="BP874" s="2366">
        <f t="shared" si="837"/>
        <v>0</v>
      </c>
      <c r="BQ874" s="2366">
        <f t="shared" si="837"/>
        <v>0</v>
      </c>
      <c r="BR874" s="2366">
        <f t="shared" si="837"/>
        <v>0</v>
      </c>
      <c r="BS874" s="2366">
        <f t="shared" si="837"/>
        <v>0</v>
      </c>
      <c r="BT874" s="2366">
        <f t="shared" si="837"/>
        <v>0</v>
      </c>
      <c r="BU874" s="617"/>
      <c r="BV874" s="2322"/>
      <c r="BW874" s="2181"/>
      <c r="BX874" s="2181"/>
      <c r="BY874" s="2181"/>
      <c r="BZ874" s="2356" t="s">
        <v>1482</v>
      </c>
      <c r="CA874" s="2357">
        <f>CA856</f>
        <v>0</v>
      </c>
      <c r="CB874" s="2358">
        <f>IF(CA867=0,0,CA874/CA867)</f>
        <v>0</v>
      </c>
      <c r="CC874" s="2361">
        <f>CC856</f>
        <v>0</v>
      </c>
      <c r="CD874" s="2359">
        <f>IF(CC867=0,0,CC874/CC867)</f>
        <v>0</v>
      </c>
      <c r="CE874" s="2358">
        <f>IF(CA874=0,0,IF(ABS(CC874/(CA874*360/$N$17)-1)&gt;10000%,0,CC874/(CA874*360/$N$17)-1))</f>
        <v>0</v>
      </c>
      <c r="CF874" s="2361">
        <f>CF856</f>
        <v>0</v>
      </c>
      <c r="CG874" s="2359">
        <f>IF(CF867=0,0,CF874/CF867)</f>
        <v>0</v>
      </c>
      <c r="CH874" s="2358">
        <f t="shared" ref="CH874:CH887" si="838">IF(CC874=0,0,IF(ABS(CF874/CC874-1)&gt;10000%,0,CF874/CC874-1))</f>
        <v>0</v>
      </c>
      <c r="CI874" s="2361">
        <f>CI856</f>
        <v>0</v>
      </c>
      <c r="CJ874" s="2359">
        <f>IF(CI867=0,0,CI874/CI867)</f>
        <v>0</v>
      </c>
      <c r="CK874" s="2358">
        <f t="shared" ref="CK874:CK887" si="839">IF(CF874=0,0,IF(ABS(CI874/CF874-1)&gt;10000%,0,CI874/CF874-1))</f>
        <v>0</v>
      </c>
      <c r="CL874" s="2361">
        <f>CL856</f>
        <v>0</v>
      </c>
      <c r="CM874" s="2359">
        <f>IF(CL867=0,0,CL874/CL867)</f>
        <v>0</v>
      </c>
      <c r="CN874" s="2358">
        <f t="shared" ref="CN874:CN887" si="840">IF(CI874=0,0,IF(ABS(CL874/CI874-1)&gt;10000%,0,CL874/CI874-1))</f>
        <v>0</v>
      </c>
      <c r="CO874" s="2361">
        <f>CO856</f>
        <v>0</v>
      </c>
      <c r="CP874" s="2359">
        <f>IF(CO867=0,0,CO874/CO867)</f>
        <v>0</v>
      </c>
      <c r="CQ874" s="2358">
        <f t="shared" ref="CQ874:CQ887" si="841">IF(CL874=0,0,IF(ABS(CO874/CL874-1)&gt;10000%,0,CO874/CL874-1))</f>
        <v>0</v>
      </c>
      <c r="CR874" s="2361">
        <f>CR856</f>
        <v>0</v>
      </c>
      <c r="CS874" s="2359">
        <f>IF(CR867=0,0,CR874/CR867)</f>
        <v>0</v>
      </c>
      <c r="CT874" s="2358">
        <f t="shared" ref="CT874:CT887" si="842">IF(CO874=0,0,IF(ABS(CR874/CO874-1)&gt;10000%,0,CR874/CO874-1))</f>
        <v>0</v>
      </c>
      <c r="CU874" s="2361">
        <f>CU856</f>
        <v>0</v>
      </c>
      <c r="CV874" s="2359">
        <f>IF(CU867=0,0,CU874/CU867)</f>
        <v>0</v>
      </c>
      <c r="CW874" s="2358">
        <f t="shared" ref="CW874:CW887" si="843">IF(CR874=0,0,IF(ABS(CU874/CR874-1)&gt;10000%,0,CU874/CR874-1))</f>
        <v>0</v>
      </c>
      <c r="CX874" s="2361">
        <f>CX856</f>
        <v>0</v>
      </c>
      <c r="CY874" s="2359">
        <f>IF(CX867=0,0,CX874/CX867)</f>
        <v>0</v>
      </c>
      <c r="CZ874" s="2358">
        <f t="shared" ref="CZ874:CZ887" si="844">IF(CU874=0,0,IF(ABS(CX874/CU874-1)&gt;10000%,0,CX874/CU874-1))</f>
        <v>0</v>
      </c>
      <c r="DA874" s="2361">
        <f>DA856</f>
        <v>0</v>
      </c>
      <c r="DB874" s="2359">
        <f>IF(DA867=0,0,DA874/DA867)</f>
        <v>0</v>
      </c>
      <c r="DC874" s="2358">
        <f t="shared" ref="DC874:DC887" si="845">IF(CX874=0,0,IF(ABS(DA874/CX874-1)&gt;10000%,0,DA874/CX874-1))</f>
        <v>0</v>
      </c>
      <c r="DD874" s="2361">
        <f>DD856</f>
        <v>0</v>
      </c>
      <c r="DE874" s="2359">
        <f>IF(DD867=0,0,DD874/DD867)</f>
        <v>0</v>
      </c>
      <c r="DF874" s="2358">
        <f t="shared" ref="DF874:DF887" si="846">IF(DA874=0,0,IF(ABS(DD874/DA874-1)&gt;10000%,0,DD874/DA874-1))</f>
        <v>0</v>
      </c>
      <c r="DG874" s="2361">
        <f>DG856</f>
        <v>0</v>
      </c>
      <c r="DH874" s="2359">
        <f>IF(DG867=0,0,DG874/DG867)</f>
        <v>0</v>
      </c>
      <c r="DI874" s="2358">
        <f t="shared" ref="DI874:DI887" si="847">IF(DD874=0,0,IF(ABS(DG874/DD874-1)&gt;10000%,0,DG874/DD874-1))</f>
        <v>0</v>
      </c>
      <c r="DJ874" s="2361">
        <f>DJ856</f>
        <v>0</v>
      </c>
      <c r="DK874" s="2359">
        <f>IF(DJ867=0,0,DJ874/DJ867)</f>
        <v>0</v>
      </c>
      <c r="DL874" s="2358">
        <f t="shared" ref="DL874:DL887" si="848">IF(DG874=0,0,IF(ABS(DJ874/DG874-1)&gt;10000%,0,DJ874/DG874-1))</f>
        <v>0</v>
      </c>
      <c r="DM874" s="2361">
        <f>DM856</f>
        <v>0</v>
      </c>
      <c r="DN874" s="2359">
        <f>IF(DM867=0,0,DM874/DM867)</f>
        <v>0</v>
      </c>
      <c r="DO874" s="2358">
        <f t="shared" ref="DO874:DO887" si="849">IF(DJ874=0,0,IF(ABS(DM874/DJ874-1)&gt;10000%,0,DM874/DJ874-1))</f>
        <v>0</v>
      </c>
      <c r="DP874" s="2361">
        <f>DP856</f>
        <v>0</v>
      </c>
      <c r="DQ874" s="2359">
        <f>IF(DP867=0,0,DP874/DP867)</f>
        <v>0</v>
      </c>
      <c r="DR874" s="2360">
        <f t="shared" ref="DR874:DR891" si="850">IF(DM874=0,0,IF(ABS(DP874/DM874-1)&gt;10000%,0,DP874/DM874-1))</f>
        <v>0</v>
      </c>
      <c r="DS874" s="2361">
        <f>DS856</f>
        <v>0</v>
      </c>
      <c r="DT874" s="2359">
        <f>IF(DS867=0,0,DS874/DS867)</f>
        <v>0</v>
      </c>
      <c r="DU874" s="2358">
        <f t="shared" ref="DU874:DU887" si="851">IF(DP874=0,0,IF(ABS(DS874/DP874-1)&gt;10000%,0,DS874/DP874-1))</f>
        <v>0</v>
      </c>
      <c r="DV874" s="2361">
        <f>DV856</f>
        <v>0</v>
      </c>
      <c r="DW874" s="2359">
        <f>IF(DV867=0,0,DV874/DV867)</f>
        <v>0</v>
      </c>
      <c r="DX874" s="2358">
        <f t="shared" ref="DX874:DX887" si="852">IF(DS874=0,0,IF(ABS(DV874/DS874-1)&gt;10000%,0,DV874/DS874-1))</f>
        <v>0</v>
      </c>
      <c r="DY874" s="2326"/>
    </row>
    <row r="875" spans="33:129" s="536" customFormat="1" ht="17.5">
      <c r="AG875" s="2327"/>
      <c r="AO875" s="2216"/>
      <c r="AP875" s="2216"/>
      <c r="AQ875" s="2216"/>
      <c r="AS875" s="803"/>
      <c r="AT875" s="2216"/>
      <c r="AV875" s="803"/>
      <c r="AW875" s="2216"/>
      <c r="AY875" s="803"/>
      <c r="AZ875" s="803"/>
      <c r="BA875" s="2367" t="str">
        <f t="shared" si="832"/>
        <v>+ / - PASIVOS ESTIMADOS Y PROVISIONES (DIFERIDOS)</v>
      </c>
      <c r="BB875" s="2007"/>
      <c r="BC875" s="2365"/>
      <c r="BD875" s="2366">
        <f t="shared" si="833"/>
        <v>0</v>
      </c>
      <c r="BE875" s="2366">
        <f t="shared" ref="BE875:BT875" si="853">BE799</f>
        <v>0</v>
      </c>
      <c r="BF875" s="2366">
        <f t="shared" si="853"/>
        <v>0</v>
      </c>
      <c r="BG875" s="2366">
        <f t="shared" si="853"/>
        <v>0</v>
      </c>
      <c r="BH875" s="2366">
        <f t="shared" si="853"/>
        <v>0</v>
      </c>
      <c r="BI875" s="2366">
        <f t="shared" si="853"/>
        <v>0</v>
      </c>
      <c r="BJ875" s="2366">
        <f t="shared" si="853"/>
        <v>0</v>
      </c>
      <c r="BK875" s="2366">
        <f t="shared" si="853"/>
        <v>0</v>
      </c>
      <c r="BL875" s="2366">
        <f t="shared" si="853"/>
        <v>0</v>
      </c>
      <c r="BM875" s="2366">
        <f t="shared" si="853"/>
        <v>0</v>
      </c>
      <c r="BN875" s="2366">
        <f t="shared" si="853"/>
        <v>0</v>
      </c>
      <c r="BO875" s="2366">
        <f t="shared" si="853"/>
        <v>0</v>
      </c>
      <c r="BP875" s="2366">
        <f t="shared" si="853"/>
        <v>0</v>
      </c>
      <c r="BQ875" s="2366">
        <f t="shared" si="853"/>
        <v>0</v>
      </c>
      <c r="BR875" s="2366">
        <f t="shared" si="853"/>
        <v>0</v>
      </c>
      <c r="BS875" s="2366">
        <f t="shared" si="853"/>
        <v>0</v>
      </c>
      <c r="BT875" s="2366">
        <f t="shared" si="853"/>
        <v>0</v>
      </c>
      <c r="BV875" s="2322"/>
      <c r="BW875" s="2181"/>
      <c r="BX875" s="2181"/>
      <c r="BY875" s="2181"/>
      <c r="BZ875" s="2356" t="s">
        <v>1493</v>
      </c>
      <c r="CA875" s="2357">
        <f>-CA857</f>
        <v>0</v>
      </c>
      <c r="CB875" s="2358">
        <f>IF(CA867=0,0,CA875/CA867)</f>
        <v>0</v>
      </c>
      <c r="CC875" s="2361">
        <f>-CC857</f>
        <v>0</v>
      </c>
      <c r="CD875" s="2359">
        <f>IF(CC867=0,0,CC875/CC867)</f>
        <v>0</v>
      </c>
      <c r="CE875" s="2358">
        <f>IF(CA875=0,0,IF(ABS(CC875/(CA875*360/$N$17)-1)&gt;10000%,0,CC875/(CA875*360/$N$17)-1))</f>
        <v>0</v>
      </c>
      <c r="CF875" s="2361">
        <f>-CF857</f>
        <v>0</v>
      </c>
      <c r="CG875" s="2359">
        <f>IF(CF867=0,0,CF875/CF867)</f>
        <v>0</v>
      </c>
      <c r="CH875" s="2358">
        <f t="shared" si="838"/>
        <v>0</v>
      </c>
      <c r="CI875" s="2361">
        <f>-CI857</f>
        <v>0</v>
      </c>
      <c r="CJ875" s="2359">
        <f>IF(CI867=0,0,CI875/CI867)</f>
        <v>0</v>
      </c>
      <c r="CK875" s="2358">
        <f t="shared" si="839"/>
        <v>0</v>
      </c>
      <c r="CL875" s="2361">
        <f>-CL857</f>
        <v>0</v>
      </c>
      <c r="CM875" s="2359">
        <f>IF(CL867=0,0,CL875/CL867)</f>
        <v>0</v>
      </c>
      <c r="CN875" s="2358">
        <f t="shared" si="840"/>
        <v>0</v>
      </c>
      <c r="CO875" s="2361">
        <f>-CO857</f>
        <v>0</v>
      </c>
      <c r="CP875" s="2359">
        <f>IF(CO867=0,0,CO875/CO867)</f>
        <v>0</v>
      </c>
      <c r="CQ875" s="2358">
        <f t="shared" si="841"/>
        <v>0</v>
      </c>
      <c r="CR875" s="2361">
        <f>-CR857</f>
        <v>0</v>
      </c>
      <c r="CS875" s="2359">
        <f>IF(CR867=0,0,CR875/CR867)</f>
        <v>0</v>
      </c>
      <c r="CT875" s="2358">
        <f t="shared" si="842"/>
        <v>0</v>
      </c>
      <c r="CU875" s="2361">
        <f>-CU857</f>
        <v>0</v>
      </c>
      <c r="CV875" s="2359">
        <f>IF(CU867=0,0,CU875/CU867)</f>
        <v>0</v>
      </c>
      <c r="CW875" s="2358">
        <f t="shared" si="843"/>
        <v>0</v>
      </c>
      <c r="CX875" s="2361">
        <f>-CX857</f>
        <v>0</v>
      </c>
      <c r="CY875" s="2359">
        <f>IF(CX867=0,0,CX875/CX867)</f>
        <v>0</v>
      </c>
      <c r="CZ875" s="2358">
        <f t="shared" si="844"/>
        <v>0</v>
      </c>
      <c r="DA875" s="2361">
        <f>-DA857</f>
        <v>0</v>
      </c>
      <c r="DB875" s="2359">
        <f>IF(DA867=0,0,DA875/DA867)</f>
        <v>0</v>
      </c>
      <c r="DC875" s="2358">
        <f t="shared" si="845"/>
        <v>0</v>
      </c>
      <c r="DD875" s="2361">
        <f>-DD857</f>
        <v>0</v>
      </c>
      <c r="DE875" s="2359">
        <f>IF(DD867=0,0,DD875/DD867)</f>
        <v>0</v>
      </c>
      <c r="DF875" s="2358">
        <f t="shared" si="846"/>
        <v>0</v>
      </c>
      <c r="DG875" s="2361">
        <f>-DG857</f>
        <v>0</v>
      </c>
      <c r="DH875" s="2359">
        <f>IF(DG867=0,0,DG875/DG867)</f>
        <v>0</v>
      </c>
      <c r="DI875" s="2358">
        <f t="shared" si="847"/>
        <v>0</v>
      </c>
      <c r="DJ875" s="2361">
        <f>-DJ857</f>
        <v>0</v>
      </c>
      <c r="DK875" s="2359">
        <f>IF(DJ867=0,0,DJ875/DJ867)</f>
        <v>0</v>
      </c>
      <c r="DL875" s="2358">
        <f t="shared" si="848"/>
        <v>0</v>
      </c>
      <c r="DM875" s="2361">
        <f>-DM857</f>
        <v>0</v>
      </c>
      <c r="DN875" s="2359">
        <f>IF(DM867=0,0,DM875/DM867)</f>
        <v>0</v>
      </c>
      <c r="DO875" s="2358">
        <f t="shared" si="849"/>
        <v>0</v>
      </c>
      <c r="DP875" s="2361">
        <f>-DP857</f>
        <v>0</v>
      </c>
      <c r="DQ875" s="2359">
        <f>IF(DP867=0,0,DP875/DP867)</f>
        <v>0</v>
      </c>
      <c r="DR875" s="2360">
        <f t="shared" si="850"/>
        <v>0</v>
      </c>
      <c r="DS875" s="2361">
        <f>-DS857</f>
        <v>0</v>
      </c>
      <c r="DT875" s="2359">
        <f>IF(DS867=0,0,DS875/DS867)</f>
        <v>0</v>
      </c>
      <c r="DU875" s="2358">
        <f t="shared" si="851"/>
        <v>0</v>
      </c>
      <c r="DV875" s="2361">
        <f>-DV857</f>
        <v>0</v>
      </c>
      <c r="DW875" s="2359">
        <f>IF(DV867=0,0,DV875/DV867)</f>
        <v>0</v>
      </c>
      <c r="DX875" s="2358">
        <f t="shared" si="852"/>
        <v>0</v>
      </c>
      <c r="DY875" s="2326"/>
    </row>
    <row r="876" spans="33:129" s="617" customFormat="1" ht="17.5">
      <c r="AG876" s="2403"/>
      <c r="AK876" s="536"/>
      <c r="AL876" s="536"/>
      <c r="AM876" s="536"/>
      <c r="AN876" s="536"/>
      <c r="AO876" s="2216"/>
      <c r="AP876" s="2216"/>
      <c r="AQ876" s="2216"/>
      <c r="AR876" s="536"/>
      <c r="AS876" s="803"/>
      <c r="AT876" s="2216"/>
      <c r="AU876" s="536"/>
      <c r="AV876" s="803"/>
      <c r="AW876" s="2216"/>
      <c r="AX876" s="536"/>
      <c r="AY876" s="803"/>
      <c r="AZ876" s="803"/>
      <c r="BA876" s="2364" t="str">
        <f t="shared" si="832"/>
        <v xml:space="preserve">+ / - OTROS PASIVOS DE LARGO PLAZO </v>
      </c>
      <c r="BB876" s="2007"/>
      <c r="BC876" s="2365"/>
      <c r="BD876" s="2366">
        <f t="shared" si="833"/>
        <v>0</v>
      </c>
      <c r="BE876" s="2366">
        <f t="shared" ref="BE876:BT876" si="854">BE800</f>
        <v>0</v>
      </c>
      <c r="BF876" s="2366">
        <f t="shared" si="854"/>
        <v>0</v>
      </c>
      <c r="BG876" s="2366">
        <f t="shared" si="854"/>
        <v>0</v>
      </c>
      <c r="BH876" s="2366">
        <f t="shared" si="854"/>
        <v>0</v>
      </c>
      <c r="BI876" s="2366">
        <f t="shared" si="854"/>
        <v>0</v>
      </c>
      <c r="BJ876" s="2366">
        <f t="shared" si="854"/>
        <v>0</v>
      </c>
      <c r="BK876" s="2366">
        <f t="shared" si="854"/>
        <v>0</v>
      </c>
      <c r="BL876" s="2366">
        <f t="shared" si="854"/>
        <v>0</v>
      </c>
      <c r="BM876" s="2366">
        <f t="shared" si="854"/>
        <v>0</v>
      </c>
      <c r="BN876" s="2366">
        <f t="shared" si="854"/>
        <v>0</v>
      </c>
      <c r="BO876" s="2366">
        <f t="shared" si="854"/>
        <v>0</v>
      </c>
      <c r="BP876" s="2366">
        <f t="shared" si="854"/>
        <v>0</v>
      </c>
      <c r="BQ876" s="2366">
        <f t="shared" si="854"/>
        <v>0</v>
      </c>
      <c r="BR876" s="2366">
        <f t="shared" si="854"/>
        <v>0</v>
      </c>
      <c r="BS876" s="2366">
        <f t="shared" si="854"/>
        <v>0</v>
      </c>
      <c r="BT876" s="2366">
        <f t="shared" si="854"/>
        <v>0</v>
      </c>
      <c r="BU876" s="536"/>
      <c r="BV876" s="2404"/>
      <c r="BW876" s="2405"/>
      <c r="BX876" s="2405"/>
      <c r="BY876" s="2405"/>
      <c r="BZ876" s="2415" t="s">
        <v>1494</v>
      </c>
      <c r="CA876" s="2416">
        <f>AY794+AY801+AY814+(AY819-AY815)+AY821+AY824+AY826+AY827+AY828+AY829+AY830+AY831+AY832+AY833+AY834+AY835+AY836+AY837</f>
        <v>0</v>
      </c>
      <c r="CB876" s="2417">
        <f>IF(CA867=0,0,CA876/CA867)</f>
        <v>0</v>
      </c>
      <c r="CC876" s="2418">
        <f>BE794+BE801+BE814+(BE819-BE815)+BE821+BE824+BE826+BE827+BE828+BE829+BE830+BE831+BE832+BE833+BE834+BE835+BE836+BE837</f>
        <v>0</v>
      </c>
      <c r="CD876" s="2419">
        <f>IF(CC867=0,0,CC876/CC867)</f>
        <v>0</v>
      </c>
      <c r="CE876" s="2417">
        <f>IF(CA876=0,0,IF(ABS(CC876/CA876-1)&gt;10000%,0,CC876/CA876-1))</f>
        <v>0</v>
      </c>
      <c r="CF876" s="2418">
        <f>BF794+BF801+BF814+(BF819-BF815)+BF821+BF824+BF826+BF827+BF828+BF829+BF830+BF831+BF832+BF833+BF834+BF835+BF836+BF837</f>
        <v>0</v>
      </c>
      <c r="CG876" s="2419">
        <f>IF(CF867=0,0,CF876/CF867)</f>
        <v>0</v>
      </c>
      <c r="CH876" s="2417">
        <f t="shared" si="838"/>
        <v>0</v>
      </c>
      <c r="CI876" s="2418">
        <f>BG794+BG801+BG814+(BG819-BG815)+BG821+BG824+BG826+BG827+BG828+BG829+BG830+BG831+BG832+BG833+BG834+BG835+BG836+BG837</f>
        <v>0</v>
      </c>
      <c r="CJ876" s="2419">
        <f>IF(CI867=0,0,CI876/CI867)</f>
        <v>0</v>
      </c>
      <c r="CK876" s="2417">
        <f t="shared" si="839"/>
        <v>0</v>
      </c>
      <c r="CL876" s="2418">
        <f>BH794+BH801+BH814+(BH819-BH815)+BH821+BH824+BH826+BH827+BH828+BH829+BH830+BH831+BH832+BH833+BH834+BH835+BH836+BH837</f>
        <v>0</v>
      </c>
      <c r="CM876" s="2419">
        <f>IF(CL867=0,0,CL876/CL867)</f>
        <v>0</v>
      </c>
      <c r="CN876" s="2417">
        <f t="shared" si="840"/>
        <v>0</v>
      </c>
      <c r="CO876" s="2418">
        <f>BI794+BI801+BI814+(BI819-BI815)+BI821+BI824+BI826+BI827+BI828+BI829+BI830+BI831+BI832+BI833+BI834+BI835+BI836+BI837</f>
        <v>0</v>
      </c>
      <c r="CP876" s="2419">
        <f>IF(CO867=0,0,CO876/CO867)</f>
        <v>0</v>
      </c>
      <c r="CQ876" s="2417">
        <f t="shared" si="841"/>
        <v>0</v>
      </c>
      <c r="CR876" s="2418">
        <f>BJ794+BJ801+BJ814+(BJ819-BJ815)+BJ821+BJ824+BJ826+BJ827+BJ828+BJ829+BJ830+BJ831+BJ832+BJ833+BJ834+BJ835+BJ836+BJ837</f>
        <v>0</v>
      </c>
      <c r="CS876" s="2419">
        <f>IF(CR867=0,0,CR876/CR867)</f>
        <v>0</v>
      </c>
      <c r="CT876" s="2417">
        <f t="shared" si="842"/>
        <v>0</v>
      </c>
      <c r="CU876" s="2418">
        <f>BK794+BK801+BK814+(BK819-BK815)+BK821+BK824+BK826+BK827+BK828+BK829+BK830+BK831+BK832+BK833+BK834+BK835+BK836+BK837</f>
        <v>0</v>
      </c>
      <c r="CV876" s="2419">
        <f>IF(CU867=0,0,CU876/CU867)</f>
        <v>0</v>
      </c>
      <c r="CW876" s="2417">
        <f t="shared" si="843"/>
        <v>0</v>
      </c>
      <c r="CX876" s="2418">
        <f>BL794+BL801+BL814+(BL819-BL815)+BL821+BL824+BL826+BL827+BL828+BL829+BL830+BL831+BL832+BL833+BL834+BL835+BL836+BL837</f>
        <v>0</v>
      </c>
      <c r="CY876" s="2419">
        <f>IF(CX867=0,0,CX876/CX867)</f>
        <v>0</v>
      </c>
      <c r="CZ876" s="2417">
        <f t="shared" si="844"/>
        <v>0</v>
      </c>
      <c r="DA876" s="2418">
        <f>BM794+BM801+BM814+(BM819-BM815)+BM821+BM824+BM826+BM827+BM828+BM829+BM830+BM831+BM832+BM833+BM834+BM835+BM836+BM837</f>
        <v>0</v>
      </c>
      <c r="DB876" s="2419">
        <f>IF(DA867=0,0,DA876/DA867)</f>
        <v>0</v>
      </c>
      <c r="DC876" s="2417">
        <f t="shared" si="845"/>
        <v>0</v>
      </c>
      <c r="DD876" s="2418">
        <f>BN794+BN801+BN814+(BN819-BN815)+BN821+BN824+BN826+BN827+BN828+BN829+BN830+BN831+BN832+BN833+BN834+BN835+BN836+BN837</f>
        <v>0</v>
      </c>
      <c r="DE876" s="2419">
        <f>IF(DD867=0,0,DD876/DD867)</f>
        <v>0</v>
      </c>
      <c r="DF876" s="2417">
        <f t="shared" si="846"/>
        <v>0</v>
      </c>
      <c r="DG876" s="2418">
        <f>BO794+BO801+BO814+(BO819-BO815)+BO821+BO824+BO826+BO827+BO828+BO829+BO830+BO831+BO832+BO833+BO834+BO835+BO836+BO837</f>
        <v>0</v>
      </c>
      <c r="DH876" s="2419">
        <f>IF(DG867=0,0,DG876/DG867)</f>
        <v>0</v>
      </c>
      <c r="DI876" s="2417">
        <f t="shared" si="847"/>
        <v>0</v>
      </c>
      <c r="DJ876" s="2418">
        <f>BP794+BP801+BP814+(BP819-BP815)+BP821+BP824+BP826+BP827+BP828+BP829+BP830+BP831+BP832+BP833+BP834+BP835+BP836+BP837</f>
        <v>0</v>
      </c>
      <c r="DK876" s="2419">
        <f>IF(DJ867=0,0,DJ876/DJ867)</f>
        <v>0</v>
      </c>
      <c r="DL876" s="2417">
        <f t="shared" si="848"/>
        <v>0</v>
      </c>
      <c r="DM876" s="2418">
        <f>BQ794+BQ801+BQ814+(BQ819-BQ815)+BQ821+BQ824+BQ826+BQ827+BQ828+BQ829+BQ830+BQ831+BQ832+BQ833+BQ834+BQ835+BQ836+BQ837</f>
        <v>0</v>
      </c>
      <c r="DN876" s="2419">
        <f>IF(DM867=0,0,DM876/DM867)</f>
        <v>0</v>
      </c>
      <c r="DO876" s="2417">
        <f t="shared" si="849"/>
        <v>0</v>
      </c>
      <c r="DP876" s="2418">
        <f>BR794+BR801+BR814+(BR819-BR815)+BR821+BR824+BR826+BR827+BR828+BR829+BR830+BR831+BR832+BR833+BR834+BR835+BR836+BR837</f>
        <v>0</v>
      </c>
      <c r="DQ876" s="2419">
        <f>IF(DP867=0,0,DP876/DP867)</f>
        <v>0</v>
      </c>
      <c r="DR876" s="2411">
        <f t="shared" si="850"/>
        <v>0</v>
      </c>
      <c r="DS876" s="2418">
        <f>BS794+BS801+BS814+(BS819-BS815)+BS821+BS824+BS826+BS827+BS828+BS829+BS830+BS831+BS832+BS833+BS834+BS835+BS836+BS837</f>
        <v>0</v>
      </c>
      <c r="DT876" s="2419">
        <f>IF(DS867=0,0,DS876/DS867)</f>
        <v>0</v>
      </c>
      <c r="DU876" s="2417">
        <f t="shared" si="851"/>
        <v>0</v>
      </c>
      <c r="DV876" s="2418">
        <f>BT794+BT801+BT814+(BT819-BT815)+BT821+BT824+BT826+BT827+BT828+BT829+BT830+BT831+BT832+BT833+BT834+BT835+BT836+BT837</f>
        <v>0</v>
      </c>
      <c r="DW876" s="2419">
        <f>IF(DV867=0,0,DV876/DV867)</f>
        <v>0</v>
      </c>
      <c r="DX876" s="2417">
        <f t="shared" si="852"/>
        <v>0</v>
      </c>
      <c r="DY876" s="2412"/>
    </row>
    <row r="877" spans="33:129" s="536" customFormat="1" ht="17.5">
      <c r="AG877" s="2327"/>
      <c r="AO877" s="2216"/>
      <c r="AP877" s="2216"/>
      <c r="AQ877" s="2216"/>
      <c r="AS877" s="803"/>
      <c r="AT877" s="2216"/>
      <c r="AV877" s="803"/>
      <c r="AW877" s="2216"/>
      <c r="AY877" s="803"/>
      <c r="AZ877" s="803"/>
      <c r="BA877" s="2364" t="str">
        <f>AM812</f>
        <v>- / + DEUDORES VARIOS</v>
      </c>
      <c r="BB877" s="2007"/>
      <c r="BC877" s="2365"/>
      <c r="BD877" s="2366">
        <f>AY812</f>
        <v>0</v>
      </c>
      <c r="BE877" s="2366">
        <f t="shared" ref="BE877:BT877" si="855">BE812</f>
        <v>0</v>
      </c>
      <c r="BF877" s="2366">
        <f t="shared" si="855"/>
        <v>0</v>
      </c>
      <c r="BG877" s="2366">
        <f t="shared" si="855"/>
        <v>0</v>
      </c>
      <c r="BH877" s="2366">
        <f t="shared" si="855"/>
        <v>0</v>
      </c>
      <c r="BI877" s="2366">
        <f t="shared" si="855"/>
        <v>0</v>
      </c>
      <c r="BJ877" s="2366">
        <f t="shared" si="855"/>
        <v>0</v>
      </c>
      <c r="BK877" s="2366">
        <f t="shared" si="855"/>
        <v>0</v>
      </c>
      <c r="BL877" s="2366">
        <f t="shared" si="855"/>
        <v>0</v>
      </c>
      <c r="BM877" s="2366">
        <f t="shared" si="855"/>
        <v>0</v>
      </c>
      <c r="BN877" s="2366">
        <f t="shared" si="855"/>
        <v>0</v>
      </c>
      <c r="BO877" s="2366">
        <f t="shared" si="855"/>
        <v>0</v>
      </c>
      <c r="BP877" s="2366">
        <f t="shared" si="855"/>
        <v>0</v>
      </c>
      <c r="BQ877" s="2366">
        <f t="shared" si="855"/>
        <v>0</v>
      </c>
      <c r="BR877" s="2366">
        <f t="shared" si="855"/>
        <v>0</v>
      </c>
      <c r="BS877" s="2366">
        <f t="shared" si="855"/>
        <v>0</v>
      </c>
      <c r="BT877" s="2366">
        <f t="shared" si="855"/>
        <v>0</v>
      </c>
      <c r="BV877" s="2322"/>
      <c r="BW877" s="2181"/>
      <c r="BX877" s="2181"/>
      <c r="BY877" s="2181"/>
      <c r="BZ877" s="2356" t="s">
        <v>529</v>
      </c>
      <c r="CA877" s="2357">
        <f>AY769</f>
        <v>0</v>
      </c>
      <c r="CB877" s="2358">
        <f>IF(CA867=0,0,CA877/CA867)</f>
        <v>0</v>
      </c>
      <c r="CC877" s="2361">
        <f>BE769</f>
        <v>0</v>
      </c>
      <c r="CD877" s="2359">
        <f>IF(CC867=0,0,CC877/CC867)</f>
        <v>0</v>
      </c>
      <c r="CE877" s="2358">
        <f>IF(CA877=0,0,IF(ABS(CC877/CA877-1)&gt;10000%,0,CC877/CA877-1))</f>
        <v>0</v>
      </c>
      <c r="CF877" s="2361">
        <f>BF769</f>
        <v>0</v>
      </c>
      <c r="CG877" s="2359">
        <f>IF(CF867=0,0,CF877/CF867)</f>
        <v>0</v>
      </c>
      <c r="CH877" s="2358">
        <f t="shared" si="838"/>
        <v>0</v>
      </c>
      <c r="CI877" s="2361">
        <f>BG769</f>
        <v>0</v>
      </c>
      <c r="CJ877" s="2359">
        <f>IF(CI867=0,0,CI877/CI867)</f>
        <v>0</v>
      </c>
      <c r="CK877" s="2358">
        <f t="shared" si="839"/>
        <v>0</v>
      </c>
      <c r="CL877" s="2361">
        <f>BH769</f>
        <v>0</v>
      </c>
      <c r="CM877" s="2359">
        <f>IF(CL867=0,0,CL877/CL867)</f>
        <v>0</v>
      </c>
      <c r="CN877" s="2358">
        <f t="shared" si="840"/>
        <v>0</v>
      </c>
      <c r="CO877" s="2361">
        <f>BI769</f>
        <v>0</v>
      </c>
      <c r="CP877" s="2359">
        <f>IF(CO867=0,0,CO877/CO867)</f>
        <v>0</v>
      </c>
      <c r="CQ877" s="2358">
        <f t="shared" si="841"/>
        <v>0</v>
      </c>
      <c r="CR877" s="2361">
        <f>BJ769</f>
        <v>0</v>
      </c>
      <c r="CS877" s="2359">
        <f>IF(CR867=0,0,CR877/CR867)</f>
        <v>0</v>
      </c>
      <c r="CT877" s="2358">
        <f t="shared" si="842"/>
        <v>0</v>
      </c>
      <c r="CU877" s="2361">
        <f>BK769</f>
        <v>0</v>
      </c>
      <c r="CV877" s="2359">
        <f>IF(CU867=0,0,CU877/CU867)</f>
        <v>0</v>
      </c>
      <c r="CW877" s="2358">
        <f t="shared" si="843"/>
        <v>0</v>
      </c>
      <c r="CX877" s="2361">
        <f>BL769</f>
        <v>0</v>
      </c>
      <c r="CY877" s="2359">
        <f>IF(CX867=0,0,CX877/CX867)</f>
        <v>0</v>
      </c>
      <c r="CZ877" s="2358">
        <f t="shared" si="844"/>
        <v>0</v>
      </c>
      <c r="DA877" s="2361">
        <f>BM769</f>
        <v>0</v>
      </c>
      <c r="DB877" s="2359">
        <f>IF(DA867=0,0,DA877/DA867)</f>
        <v>0</v>
      </c>
      <c r="DC877" s="2358">
        <f t="shared" si="845"/>
        <v>0</v>
      </c>
      <c r="DD877" s="2361">
        <f>BN769</f>
        <v>0</v>
      </c>
      <c r="DE877" s="2359">
        <f>IF(DD867=0,0,DD877/DD867)</f>
        <v>0</v>
      </c>
      <c r="DF877" s="2358">
        <f t="shared" si="846"/>
        <v>0</v>
      </c>
      <c r="DG877" s="2361">
        <f>BO769</f>
        <v>0</v>
      </c>
      <c r="DH877" s="2359">
        <f>IF(DG867=0,0,DG877/DG867)</f>
        <v>0</v>
      </c>
      <c r="DI877" s="2358">
        <f t="shared" si="847"/>
        <v>0</v>
      </c>
      <c r="DJ877" s="2361">
        <f>BP769</f>
        <v>0</v>
      </c>
      <c r="DK877" s="2359">
        <f>IF(DJ867=0,0,DJ877/DJ867)</f>
        <v>0</v>
      </c>
      <c r="DL877" s="2358">
        <f t="shared" si="848"/>
        <v>0</v>
      </c>
      <c r="DM877" s="2361">
        <f>BQ769</f>
        <v>0</v>
      </c>
      <c r="DN877" s="2359">
        <f>IF(DM867=0,0,DM877/DM867)</f>
        <v>0</v>
      </c>
      <c r="DO877" s="2358">
        <f t="shared" si="849"/>
        <v>0</v>
      </c>
      <c r="DP877" s="2361">
        <f>BR769</f>
        <v>0</v>
      </c>
      <c r="DQ877" s="2359">
        <f>IF(DP867=0,0,DP877/DP867)</f>
        <v>0</v>
      </c>
      <c r="DR877" s="2420">
        <f t="shared" si="850"/>
        <v>0</v>
      </c>
      <c r="DS877" s="2361">
        <f>BS769</f>
        <v>0</v>
      </c>
      <c r="DT877" s="2359">
        <f>IF(DS867=0,0,DS877/DS867)</f>
        <v>0</v>
      </c>
      <c r="DU877" s="2358">
        <f t="shared" si="851"/>
        <v>0</v>
      </c>
      <c r="DV877" s="2361">
        <f>BT769</f>
        <v>0</v>
      </c>
      <c r="DW877" s="2359">
        <f>IF(DV867=0,0,DV877/DV867)</f>
        <v>0</v>
      </c>
      <c r="DX877" s="2358">
        <f t="shared" si="852"/>
        <v>0</v>
      </c>
      <c r="DY877" s="2326"/>
    </row>
    <row r="878" spans="33:129" s="536" customFormat="1" ht="17.5">
      <c r="AG878" s="2327"/>
      <c r="AO878" s="2216"/>
      <c r="AP878" s="2216"/>
      <c r="AQ878" s="2216"/>
      <c r="AS878" s="803"/>
      <c r="AT878" s="2216"/>
      <c r="AV878" s="803"/>
      <c r="AW878" s="2216"/>
      <c r="AY878" s="803"/>
      <c r="AZ878" s="803"/>
      <c r="BA878" s="2364" t="str">
        <f>AM813</f>
        <v>- / + OTROS CORRIENTES</v>
      </c>
      <c r="BB878" s="2007"/>
      <c r="BC878" s="2365"/>
      <c r="BD878" s="2366">
        <f>AY813</f>
        <v>0</v>
      </c>
      <c r="BE878" s="2366">
        <f t="shared" ref="BE878:BT878" si="856">BE813</f>
        <v>0</v>
      </c>
      <c r="BF878" s="2366">
        <f t="shared" si="856"/>
        <v>0</v>
      </c>
      <c r="BG878" s="2366">
        <f t="shared" si="856"/>
        <v>0</v>
      </c>
      <c r="BH878" s="2366">
        <f t="shared" si="856"/>
        <v>0</v>
      </c>
      <c r="BI878" s="2366">
        <f t="shared" si="856"/>
        <v>0</v>
      </c>
      <c r="BJ878" s="2366">
        <f t="shared" si="856"/>
        <v>0</v>
      </c>
      <c r="BK878" s="2366">
        <f t="shared" si="856"/>
        <v>0</v>
      </c>
      <c r="BL878" s="2366">
        <f t="shared" si="856"/>
        <v>0</v>
      </c>
      <c r="BM878" s="2366">
        <f t="shared" si="856"/>
        <v>0</v>
      </c>
      <c r="BN878" s="2366">
        <f t="shared" si="856"/>
        <v>0</v>
      </c>
      <c r="BO878" s="2366">
        <f t="shared" si="856"/>
        <v>0</v>
      </c>
      <c r="BP878" s="2366">
        <f t="shared" si="856"/>
        <v>0</v>
      </c>
      <c r="BQ878" s="2366">
        <f t="shared" si="856"/>
        <v>0</v>
      </c>
      <c r="BR878" s="2366">
        <f t="shared" si="856"/>
        <v>0</v>
      </c>
      <c r="BS878" s="2366">
        <f t="shared" si="856"/>
        <v>0</v>
      </c>
      <c r="BT878" s="2366">
        <f t="shared" si="856"/>
        <v>0</v>
      </c>
      <c r="BV878" s="2322"/>
      <c r="BW878" s="2181"/>
      <c r="BX878" s="2181"/>
      <c r="BY878" s="2181"/>
      <c r="BZ878" s="2356" t="s">
        <v>1495</v>
      </c>
      <c r="CA878" s="2357">
        <f>AY802</f>
        <v>0</v>
      </c>
      <c r="CB878" s="2358">
        <f>IF(CA867=0,0,CA878/CA867)</f>
        <v>0</v>
      </c>
      <c r="CC878" s="2361">
        <f>BE802</f>
        <v>0</v>
      </c>
      <c r="CD878" s="2359">
        <f>IF(CC867=0,0,CC878/CC867)</f>
        <v>0</v>
      </c>
      <c r="CE878" s="2358">
        <f>IF(CA878=0,0,IF(ABS(CC878/CA878-1)&gt;10000%,0,CC878/CA878-1))</f>
        <v>0</v>
      </c>
      <c r="CF878" s="2361">
        <f>BF802</f>
        <v>0</v>
      </c>
      <c r="CG878" s="2359">
        <f>IF(CF867=0,0,CF878/CF867)</f>
        <v>0</v>
      </c>
      <c r="CH878" s="2358">
        <f t="shared" si="838"/>
        <v>0</v>
      </c>
      <c r="CI878" s="2361">
        <f>BG802</f>
        <v>0</v>
      </c>
      <c r="CJ878" s="2359">
        <f>IF(CI867=0,0,CI878/CI867)</f>
        <v>0</v>
      </c>
      <c r="CK878" s="2358">
        <f t="shared" si="839"/>
        <v>0</v>
      </c>
      <c r="CL878" s="2361">
        <f>BH802</f>
        <v>0</v>
      </c>
      <c r="CM878" s="2359">
        <f>IF(CL867=0,0,CL878/CL867)</f>
        <v>0</v>
      </c>
      <c r="CN878" s="2358">
        <f t="shared" si="840"/>
        <v>0</v>
      </c>
      <c r="CO878" s="2361">
        <f>BI802</f>
        <v>0</v>
      </c>
      <c r="CP878" s="2359">
        <f>IF(CO867=0,0,CO878/CO867)</f>
        <v>0</v>
      </c>
      <c r="CQ878" s="2358">
        <f t="shared" si="841"/>
        <v>0</v>
      </c>
      <c r="CR878" s="2361">
        <f>BJ802</f>
        <v>0</v>
      </c>
      <c r="CS878" s="2359">
        <f>IF(CR867=0,0,CR878/CR867)</f>
        <v>0</v>
      </c>
      <c r="CT878" s="2358">
        <f t="shared" si="842"/>
        <v>0</v>
      </c>
      <c r="CU878" s="2361">
        <f>BK802</f>
        <v>0</v>
      </c>
      <c r="CV878" s="2359">
        <f>IF(CU867=0,0,CU878/CU867)</f>
        <v>0</v>
      </c>
      <c r="CW878" s="2358">
        <f t="shared" si="843"/>
        <v>0</v>
      </c>
      <c r="CX878" s="2361">
        <f>BL802</f>
        <v>0</v>
      </c>
      <c r="CY878" s="2359">
        <f>IF(CX867=0,0,CX878/CX867)</f>
        <v>0</v>
      </c>
      <c r="CZ878" s="2358">
        <f t="shared" si="844"/>
        <v>0</v>
      </c>
      <c r="DA878" s="2361">
        <f>BM802</f>
        <v>0</v>
      </c>
      <c r="DB878" s="2359">
        <f>IF(DA867=0,0,DA878/DA867)</f>
        <v>0</v>
      </c>
      <c r="DC878" s="2358">
        <f t="shared" si="845"/>
        <v>0</v>
      </c>
      <c r="DD878" s="2361">
        <f>BN802</f>
        <v>0</v>
      </c>
      <c r="DE878" s="2359">
        <f>IF(DD867=0,0,DD878/DD867)</f>
        <v>0</v>
      </c>
      <c r="DF878" s="2358">
        <f t="shared" si="846"/>
        <v>0</v>
      </c>
      <c r="DG878" s="2361">
        <f>BO802</f>
        <v>0</v>
      </c>
      <c r="DH878" s="2359">
        <f>IF(DG867=0,0,DG878/DG867)</f>
        <v>0</v>
      </c>
      <c r="DI878" s="2358">
        <f t="shared" si="847"/>
        <v>0</v>
      </c>
      <c r="DJ878" s="2361">
        <f>BP802</f>
        <v>0</v>
      </c>
      <c r="DK878" s="2359">
        <f>IF(DJ867=0,0,DJ878/DJ867)</f>
        <v>0</v>
      </c>
      <c r="DL878" s="2358">
        <f t="shared" si="848"/>
        <v>0</v>
      </c>
      <c r="DM878" s="2361">
        <f>BQ802</f>
        <v>0</v>
      </c>
      <c r="DN878" s="2359">
        <f>IF(DM867=0,0,DM878/DM867)</f>
        <v>0</v>
      </c>
      <c r="DO878" s="2358">
        <f t="shared" si="849"/>
        <v>0</v>
      </c>
      <c r="DP878" s="2361">
        <f>BR802</f>
        <v>0</v>
      </c>
      <c r="DQ878" s="2359">
        <f>IF(DP867=0,0,DP878/DP867)</f>
        <v>0</v>
      </c>
      <c r="DR878" s="2360">
        <f t="shared" si="850"/>
        <v>0</v>
      </c>
      <c r="DS878" s="2361">
        <f>BS802</f>
        <v>0</v>
      </c>
      <c r="DT878" s="2359">
        <f>IF(DS867=0,0,DS878/DS867)</f>
        <v>0</v>
      </c>
      <c r="DU878" s="2358">
        <f t="shared" si="851"/>
        <v>0</v>
      </c>
      <c r="DV878" s="2361">
        <f>BT802</f>
        <v>0</v>
      </c>
      <c r="DW878" s="2359">
        <f>IF(DV867=0,0,DV878/DV867)</f>
        <v>0</v>
      </c>
      <c r="DX878" s="2358">
        <f t="shared" si="852"/>
        <v>0</v>
      </c>
      <c r="DY878" s="2326"/>
    </row>
    <row r="879" spans="33:129" s="536" customFormat="1" ht="18">
      <c r="AG879" s="2327"/>
      <c r="AO879" s="2216"/>
      <c r="AP879" s="2216"/>
      <c r="AQ879" s="2216"/>
      <c r="AS879" s="803"/>
      <c r="AT879" s="2216"/>
      <c r="AV879" s="803"/>
      <c r="AW879" s="2216"/>
      <c r="AY879" s="803"/>
      <c r="AZ879" s="803"/>
      <c r="BA879" s="2364" t="str">
        <f>AM816</f>
        <v>- / + INTANGIBLES NETO</v>
      </c>
      <c r="BB879" s="2007"/>
      <c r="BC879" s="2365"/>
      <c r="BD879" s="2366">
        <f>AY816</f>
        <v>0</v>
      </c>
      <c r="BE879" s="2366">
        <f t="shared" ref="BE879:BT879" si="857">BE816</f>
        <v>0</v>
      </c>
      <c r="BF879" s="2366">
        <f t="shared" si="857"/>
        <v>0</v>
      </c>
      <c r="BG879" s="2366">
        <f t="shared" si="857"/>
        <v>0</v>
      </c>
      <c r="BH879" s="2366">
        <f t="shared" si="857"/>
        <v>0</v>
      </c>
      <c r="BI879" s="2366">
        <f t="shared" si="857"/>
        <v>0</v>
      </c>
      <c r="BJ879" s="2366">
        <f t="shared" si="857"/>
        <v>0</v>
      </c>
      <c r="BK879" s="2366">
        <f t="shared" si="857"/>
        <v>0</v>
      </c>
      <c r="BL879" s="2366">
        <f t="shared" si="857"/>
        <v>0</v>
      </c>
      <c r="BM879" s="2366">
        <f t="shared" si="857"/>
        <v>0</v>
      </c>
      <c r="BN879" s="2366">
        <f t="shared" si="857"/>
        <v>0</v>
      </c>
      <c r="BO879" s="2366">
        <f t="shared" si="857"/>
        <v>0</v>
      </c>
      <c r="BP879" s="2366">
        <f t="shared" si="857"/>
        <v>0</v>
      </c>
      <c r="BQ879" s="2366">
        <f t="shared" si="857"/>
        <v>0</v>
      </c>
      <c r="BR879" s="2366">
        <f t="shared" si="857"/>
        <v>0</v>
      </c>
      <c r="BS879" s="2366">
        <f t="shared" si="857"/>
        <v>0</v>
      </c>
      <c r="BT879" s="2366">
        <f t="shared" si="857"/>
        <v>0</v>
      </c>
      <c r="BV879" s="2322"/>
      <c r="BW879" s="2181"/>
      <c r="BX879" s="2181"/>
      <c r="BY879" s="2181"/>
      <c r="BZ879" s="2351" t="s">
        <v>1496</v>
      </c>
      <c r="CA879" s="2352">
        <f>CA872+SUM(CA874:CA878)</f>
        <v>0</v>
      </c>
      <c r="CB879" s="2353">
        <f>IF(CA867=0,0,CA879/CA867)</f>
        <v>0</v>
      </c>
      <c r="CC879" s="2355">
        <f>CC872+SUM(CC874:CC878)</f>
        <v>0</v>
      </c>
      <c r="CD879" s="2354">
        <f>IF(CC867=0,0,CC879/CC867)</f>
        <v>0</v>
      </c>
      <c r="CE879" s="2353">
        <f>IF(CA879=0,0,IF(ABS(CC879/CA879-1)&gt;10000%,0,CC879/CA879-1))</f>
        <v>0</v>
      </c>
      <c r="CF879" s="2355">
        <f>CF872+SUM(CF874:CF878)</f>
        <v>0</v>
      </c>
      <c r="CG879" s="2354">
        <f>IF(CF867=0,0,CF879/CF867)</f>
        <v>0</v>
      </c>
      <c r="CH879" s="2353">
        <f t="shared" si="838"/>
        <v>0</v>
      </c>
      <c r="CI879" s="2355">
        <f>CI872+SUM(CI874:CI878)</f>
        <v>0</v>
      </c>
      <c r="CJ879" s="2354">
        <f>IF(CI867=0,0,CI879/CI867)</f>
        <v>0</v>
      </c>
      <c r="CK879" s="2353">
        <f t="shared" si="839"/>
        <v>0</v>
      </c>
      <c r="CL879" s="2355">
        <f>CL872+SUM(CL874:CL878)</f>
        <v>0</v>
      </c>
      <c r="CM879" s="2354">
        <f>IF(CL867=0,0,CL879/CL867)</f>
        <v>0</v>
      </c>
      <c r="CN879" s="2353">
        <f t="shared" si="840"/>
        <v>0</v>
      </c>
      <c r="CO879" s="2355">
        <f>CO872+SUM(CO874:CO878)</f>
        <v>0</v>
      </c>
      <c r="CP879" s="2354">
        <f>IF(CO867=0,0,CO879/CO867)</f>
        <v>0</v>
      </c>
      <c r="CQ879" s="2353">
        <f t="shared" si="841"/>
        <v>0</v>
      </c>
      <c r="CR879" s="2355">
        <f>CR872+SUM(CR874:CR878)</f>
        <v>0</v>
      </c>
      <c r="CS879" s="2354">
        <f>IF(CR867=0,0,CR879/CR867)</f>
        <v>0</v>
      </c>
      <c r="CT879" s="2353">
        <f t="shared" si="842"/>
        <v>0</v>
      </c>
      <c r="CU879" s="2355">
        <f>CU872+SUM(CU874:CU878)</f>
        <v>0</v>
      </c>
      <c r="CV879" s="2354">
        <f>IF(CU867=0,0,CU879/CU867)</f>
        <v>0</v>
      </c>
      <c r="CW879" s="2353">
        <f t="shared" si="843"/>
        <v>0</v>
      </c>
      <c r="CX879" s="2355">
        <f>CX872+SUM(CX874:CX878)</f>
        <v>0</v>
      </c>
      <c r="CY879" s="2354">
        <f>IF(CX867=0,0,CX879/CX867)</f>
        <v>0</v>
      </c>
      <c r="CZ879" s="2353">
        <f t="shared" si="844"/>
        <v>0</v>
      </c>
      <c r="DA879" s="2355">
        <f>DA872+SUM(DA874:DA878)</f>
        <v>0</v>
      </c>
      <c r="DB879" s="2354">
        <f>IF(DA867=0,0,DA879/DA867)</f>
        <v>0</v>
      </c>
      <c r="DC879" s="2353">
        <f t="shared" si="845"/>
        <v>0</v>
      </c>
      <c r="DD879" s="2355">
        <f>DD872+SUM(DD874:DD878)</f>
        <v>0</v>
      </c>
      <c r="DE879" s="2354">
        <f>IF(DD867=0,0,DD879/DD867)</f>
        <v>0</v>
      </c>
      <c r="DF879" s="2353">
        <f t="shared" si="846"/>
        <v>0</v>
      </c>
      <c r="DG879" s="2355">
        <f>DG872+SUM(DG874:DG878)</f>
        <v>0</v>
      </c>
      <c r="DH879" s="2354">
        <f>IF(DG867=0,0,DG879/DG867)</f>
        <v>0</v>
      </c>
      <c r="DI879" s="2353">
        <f t="shared" si="847"/>
        <v>0</v>
      </c>
      <c r="DJ879" s="2355">
        <f>DJ872+SUM(DJ874:DJ878)</f>
        <v>0</v>
      </c>
      <c r="DK879" s="2354">
        <f>IF(DJ867=0,0,DJ879/DJ867)</f>
        <v>0</v>
      </c>
      <c r="DL879" s="2353">
        <f t="shared" si="848"/>
        <v>0</v>
      </c>
      <c r="DM879" s="2355">
        <f>DM872+SUM(DM874:DM878)</f>
        <v>0</v>
      </c>
      <c r="DN879" s="2354">
        <f>IF(DM867=0,0,DM879/DM867)</f>
        <v>0</v>
      </c>
      <c r="DO879" s="2353">
        <f t="shared" si="849"/>
        <v>0</v>
      </c>
      <c r="DP879" s="2355">
        <f>DP872+SUM(DP874:DP878)</f>
        <v>0</v>
      </c>
      <c r="DQ879" s="2354">
        <f>IF(DP867=0,0,DP879/DP867)</f>
        <v>0</v>
      </c>
      <c r="DR879" s="2353">
        <f t="shared" si="850"/>
        <v>0</v>
      </c>
      <c r="DS879" s="2355">
        <f>DS872+SUM(DS874:DS878)</f>
        <v>0</v>
      </c>
      <c r="DT879" s="2354">
        <f>IF(DS867=0,0,DS879/DS867)</f>
        <v>0</v>
      </c>
      <c r="DU879" s="2353">
        <f t="shared" si="851"/>
        <v>0</v>
      </c>
      <c r="DV879" s="2355">
        <f>DV872+SUM(DV874:DV878)</f>
        <v>0</v>
      </c>
      <c r="DW879" s="2354">
        <f>IF(DV867=0,0,DV879/DV867)</f>
        <v>0</v>
      </c>
      <c r="DX879" s="2353">
        <f t="shared" si="852"/>
        <v>0</v>
      </c>
      <c r="DY879" s="2326"/>
    </row>
    <row r="880" spans="33:129" s="536" customFormat="1" ht="17.5">
      <c r="AG880" s="2327"/>
      <c r="AO880" s="2216"/>
      <c r="AP880" s="2216"/>
      <c r="AQ880" s="2216"/>
      <c r="AS880" s="803"/>
      <c r="AT880" s="2216"/>
      <c r="AV880" s="803"/>
      <c r="AW880" s="2216"/>
      <c r="AY880" s="803"/>
      <c r="AZ880" s="803"/>
      <c r="BA880" s="2364" t="str">
        <f>AM817</f>
        <v>- / + CARGOS DIFERIDOS NETO</v>
      </c>
      <c r="BB880" s="2007"/>
      <c r="BC880" s="2365"/>
      <c r="BD880" s="2366">
        <f>AY817</f>
        <v>0</v>
      </c>
      <c r="BE880" s="2366">
        <f t="shared" ref="BE880:BT880" si="858">BE817</f>
        <v>0</v>
      </c>
      <c r="BF880" s="2366">
        <f t="shared" si="858"/>
        <v>0</v>
      </c>
      <c r="BG880" s="2366">
        <f t="shared" si="858"/>
        <v>0</v>
      </c>
      <c r="BH880" s="2366">
        <f t="shared" si="858"/>
        <v>0</v>
      </c>
      <c r="BI880" s="2366">
        <f t="shared" si="858"/>
        <v>0</v>
      </c>
      <c r="BJ880" s="2366">
        <f t="shared" si="858"/>
        <v>0</v>
      </c>
      <c r="BK880" s="2366">
        <f t="shared" si="858"/>
        <v>0</v>
      </c>
      <c r="BL880" s="2366">
        <f t="shared" si="858"/>
        <v>0</v>
      </c>
      <c r="BM880" s="2366">
        <f t="shared" si="858"/>
        <v>0</v>
      </c>
      <c r="BN880" s="2366">
        <f t="shared" si="858"/>
        <v>0</v>
      </c>
      <c r="BO880" s="2366">
        <f t="shared" si="858"/>
        <v>0</v>
      </c>
      <c r="BP880" s="2366">
        <f t="shared" si="858"/>
        <v>0</v>
      </c>
      <c r="BQ880" s="2366">
        <f t="shared" si="858"/>
        <v>0</v>
      </c>
      <c r="BR880" s="2366">
        <f t="shared" si="858"/>
        <v>0</v>
      </c>
      <c r="BS880" s="2366">
        <f t="shared" si="858"/>
        <v>0</v>
      </c>
      <c r="BT880" s="2366">
        <f t="shared" si="858"/>
        <v>0</v>
      </c>
      <c r="BV880" s="2322"/>
      <c r="BW880" s="2181"/>
      <c r="BX880" s="2181"/>
      <c r="BY880" s="2181"/>
      <c r="BZ880" s="2356" t="s">
        <v>1497</v>
      </c>
      <c r="CA880" s="2357">
        <f>AY784</f>
        <v>0</v>
      </c>
      <c r="CB880" s="2358">
        <f>IF(CA867=0,0,CA880/CA867)</f>
        <v>0</v>
      </c>
      <c r="CC880" s="2361">
        <f>BE784</f>
        <v>0</v>
      </c>
      <c r="CD880" s="2359">
        <f>IF(CC867=0,0,CC880/CC867)</f>
        <v>0</v>
      </c>
      <c r="CE880" s="2358">
        <f>IF(CA880=0,0,IF(ABS(CC880/(CA880*360/$N$17)-1)&gt;10000%,0,CC880/(CA880*360/$N$17)-1))</f>
        <v>0</v>
      </c>
      <c r="CF880" s="2361">
        <f>BF784</f>
        <v>0</v>
      </c>
      <c r="CG880" s="2359">
        <f>IF(CF867=0,0,CF880/CF867)</f>
        <v>0</v>
      </c>
      <c r="CH880" s="2358">
        <f t="shared" si="838"/>
        <v>0</v>
      </c>
      <c r="CI880" s="2361">
        <f>BG784</f>
        <v>0</v>
      </c>
      <c r="CJ880" s="2359">
        <f>IF(CI867=0,0,CI880/CI867)</f>
        <v>0</v>
      </c>
      <c r="CK880" s="2358">
        <f t="shared" si="839"/>
        <v>0</v>
      </c>
      <c r="CL880" s="2361">
        <f>BH784</f>
        <v>0</v>
      </c>
      <c r="CM880" s="2359">
        <f>IF(CL867=0,0,CL880/CL867)</f>
        <v>0</v>
      </c>
      <c r="CN880" s="2358">
        <f t="shared" si="840"/>
        <v>0</v>
      </c>
      <c r="CO880" s="2361">
        <f>BI784</f>
        <v>0</v>
      </c>
      <c r="CP880" s="2359">
        <f>IF(CO867=0,0,CO880/CO867)</f>
        <v>0</v>
      </c>
      <c r="CQ880" s="2358">
        <f t="shared" si="841"/>
        <v>0</v>
      </c>
      <c r="CR880" s="2361">
        <f>BJ784</f>
        <v>0</v>
      </c>
      <c r="CS880" s="2359">
        <f>IF(CR867=0,0,CR880/CR867)</f>
        <v>0</v>
      </c>
      <c r="CT880" s="2358">
        <f t="shared" si="842"/>
        <v>0</v>
      </c>
      <c r="CU880" s="2361">
        <f>BK784</f>
        <v>0</v>
      </c>
      <c r="CV880" s="2359">
        <f>IF(CU867=0,0,CU880/CU867)</f>
        <v>0</v>
      </c>
      <c r="CW880" s="2358">
        <f t="shared" si="843"/>
        <v>0</v>
      </c>
      <c r="CX880" s="2361">
        <f>BL784</f>
        <v>0</v>
      </c>
      <c r="CY880" s="2359">
        <f>IF(CX867=0,0,CX880/CX867)</f>
        <v>0</v>
      </c>
      <c r="CZ880" s="2358">
        <f t="shared" si="844"/>
        <v>0</v>
      </c>
      <c r="DA880" s="2361">
        <f>BM784</f>
        <v>0</v>
      </c>
      <c r="DB880" s="2359">
        <f>IF(DA867=0,0,DA880/DA867)</f>
        <v>0</v>
      </c>
      <c r="DC880" s="2358">
        <f t="shared" si="845"/>
        <v>0</v>
      </c>
      <c r="DD880" s="2361">
        <f>BN784</f>
        <v>0</v>
      </c>
      <c r="DE880" s="2359">
        <f>IF(DD867=0,0,DD880/DD867)</f>
        <v>0</v>
      </c>
      <c r="DF880" s="2358">
        <f t="shared" si="846"/>
        <v>0</v>
      </c>
      <c r="DG880" s="2361">
        <f>BO784</f>
        <v>0</v>
      </c>
      <c r="DH880" s="2359">
        <f>IF(DG867=0,0,DG880/DG867)</f>
        <v>0</v>
      </c>
      <c r="DI880" s="2358">
        <f t="shared" si="847"/>
        <v>0</v>
      </c>
      <c r="DJ880" s="2361">
        <f>BP784</f>
        <v>0</v>
      </c>
      <c r="DK880" s="2359">
        <f>IF(DJ867=0,0,DJ880/DJ867)</f>
        <v>0</v>
      </c>
      <c r="DL880" s="2358">
        <f t="shared" si="848"/>
        <v>0</v>
      </c>
      <c r="DM880" s="2361">
        <f>BQ784</f>
        <v>0</v>
      </c>
      <c r="DN880" s="2359">
        <f>IF(DM867=0,0,DM880/DM867)</f>
        <v>0</v>
      </c>
      <c r="DO880" s="2358">
        <f t="shared" si="849"/>
        <v>0</v>
      </c>
      <c r="DP880" s="2361">
        <f>BR784</f>
        <v>0</v>
      </c>
      <c r="DQ880" s="2359">
        <f>IF(DP867=0,0,DP880/DP867)</f>
        <v>0</v>
      </c>
      <c r="DR880" s="2360">
        <f t="shared" si="850"/>
        <v>0</v>
      </c>
      <c r="DS880" s="2361">
        <f>BS784</f>
        <v>0</v>
      </c>
      <c r="DT880" s="2359">
        <f>IF(DS867=0,0,DS880/DS867)</f>
        <v>0</v>
      </c>
      <c r="DU880" s="2358">
        <f t="shared" si="851"/>
        <v>0</v>
      </c>
      <c r="DV880" s="2361">
        <f>BT784</f>
        <v>0</v>
      </c>
      <c r="DW880" s="2359">
        <f>IF(DV867=0,0,DV880/DV867)</f>
        <v>0</v>
      </c>
      <c r="DX880" s="2358">
        <f t="shared" si="852"/>
        <v>0</v>
      </c>
      <c r="DY880" s="2326"/>
    </row>
    <row r="881" spans="33:129" s="536" customFormat="1" ht="17.5">
      <c r="AG881" s="2327"/>
      <c r="AK881" s="617"/>
      <c r="AL881" s="617"/>
      <c r="AM881" s="617"/>
      <c r="AN881" s="617"/>
      <c r="AO881" s="2413"/>
      <c r="AP881" s="2413"/>
      <c r="AQ881" s="2413"/>
      <c r="AR881" s="617"/>
      <c r="AS881" s="2414"/>
      <c r="AT881" s="2413"/>
      <c r="AU881" s="617"/>
      <c r="AV881" s="2414"/>
      <c r="AW881" s="2413"/>
      <c r="AX881" s="617"/>
      <c r="AY881" s="2414"/>
      <c r="AZ881" s="2414"/>
      <c r="BA881" s="2364" t="str">
        <f>AM818</f>
        <v>- / + OTROS ACTIVOS L.P.</v>
      </c>
      <c r="BB881" s="2007"/>
      <c r="BC881" s="2365"/>
      <c r="BD881" s="2366">
        <f>AY818</f>
        <v>0</v>
      </c>
      <c r="BE881" s="2366">
        <f t="shared" ref="BE881:BT881" si="859">BE818</f>
        <v>0</v>
      </c>
      <c r="BF881" s="2366">
        <f t="shared" si="859"/>
        <v>0</v>
      </c>
      <c r="BG881" s="2366">
        <f t="shared" si="859"/>
        <v>0</v>
      </c>
      <c r="BH881" s="2366">
        <f t="shared" si="859"/>
        <v>0</v>
      </c>
      <c r="BI881" s="2366">
        <f t="shared" si="859"/>
        <v>0</v>
      </c>
      <c r="BJ881" s="2366">
        <f t="shared" si="859"/>
        <v>0</v>
      </c>
      <c r="BK881" s="2366">
        <f t="shared" si="859"/>
        <v>0</v>
      </c>
      <c r="BL881" s="2366">
        <f t="shared" si="859"/>
        <v>0</v>
      </c>
      <c r="BM881" s="2366">
        <f t="shared" si="859"/>
        <v>0</v>
      </c>
      <c r="BN881" s="2366">
        <f t="shared" si="859"/>
        <v>0</v>
      </c>
      <c r="BO881" s="2366">
        <f t="shared" si="859"/>
        <v>0</v>
      </c>
      <c r="BP881" s="2366">
        <f t="shared" si="859"/>
        <v>0</v>
      </c>
      <c r="BQ881" s="2366">
        <f t="shared" si="859"/>
        <v>0</v>
      </c>
      <c r="BR881" s="2366">
        <f t="shared" si="859"/>
        <v>0</v>
      </c>
      <c r="BS881" s="2366">
        <f t="shared" si="859"/>
        <v>0</v>
      </c>
      <c r="BT881" s="2366">
        <f t="shared" si="859"/>
        <v>0</v>
      </c>
      <c r="BU881" s="617"/>
      <c r="BV881" s="2322"/>
      <c r="BW881" s="2181"/>
      <c r="BX881" s="2181"/>
      <c r="BY881" s="2181"/>
      <c r="BZ881" s="2356" t="s">
        <v>1498</v>
      </c>
      <c r="CA881" s="2357">
        <f>AY781</f>
        <v>0</v>
      </c>
      <c r="CB881" s="2358">
        <f>IF(CA867=0,0,CA881/CA867)</f>
        <v>0</v>
      </c>
      <c r="CC881" s="2361">
        <f>BE781</f>
        <v>0</v>
      </c>
      <c r="CD881" s="2359">
        <f>IF(CC867=0,0,CC881/CC867)</f>
        <v>0</v>
      </c>
      <c r="CE881" s="2358">
        <f t="shared" ref="CE881:CE887" si="860">IF(CA881=0,0,IF(ABS(CC881/CA881-1)&gt;10000%,0,CC881/CA881-1))</f>
        <v>0</v>
      </c>
      <c r="CF881" s="2361">
        <f>BF781</f>
        <v>0</v>
      </c>
      <c r="CG881" s="2359">
        <f>IF(CF867=0,0,CF881/CF867)</f>
        <v>0</v>
      </c>
      <c r="CH881" s="2358">
        <f t="shared" si="838"/>
        <v>0</v>
      </c>
      <c r="CI881" s="2361">
        <f>BG781</f>
        <v>0</v>
      </c>
      <c r="CJ881" s="2359">
        <f>IF(CI867=0,0,CI881/CI867)</f>
        <v>0</v>
      </c>
      <c r="CK881" s="2358">
        <f t="shared" si="839"/>
        <v>0</v>
      </c>
      <c r="CL881" s="2361">
        <f>BH781</f>
        <v>0</v>
      </c>
      <c r="CM881" s="2359">
        <f>IF(CL867=0,0,CL881/CL867)</f>
        <v>0</v>
      </c>
      <c r="CN881" s="2358">
        <f t="shared" si="840"/>
        <v>0</v>
      </c>
      <c r="CO881" s="2361">
        <f>BI781</f>
        <v>0</v>
      </c>
      <c r="CP881" s="2359">
        <f>IF(CO867=0,0,CO881/CO867)</f>
        <v>0</v>
      </c>
      <c r="CQ881" s="2358">
        <f t="shared" si="841"/>
        <v>0</v>
      </c>
      <c r="CR881" s="2361">
        <f>BJ781</f>
        <v>0</v>
      </c>
      <c r="CS881" s="2359">
        <f>IF(CR867=0,0,CR881/CR867)</f>
        <v>0</v>
      </c>
      <c r="CT881" s="2358">
        <f t="shared" si="842"/>
        <v>0</v>
      </c>
      <c r="CU881" s="2361">
        <f>BK781</f>
        <v>0</v>
      </c>
      <c r="CV881" s="2359">
        <f>IF(CU867=0,0,CU881/CU867)</f>
        <v>0</v>
      </c>
      <c r="CW881" s="2358">
        <f t="shared" si="843"/>
        <v>0</v>
      </c>
      <c r="CX881" s="2361">
        <f>BL781</f>
        <v>0</v>
      </c>
      <c r="CY881" s="2359">
        <f>IF(CX867=0,0,CX881/CX867)</f>
        <v>0</v>
      </c>
      <c r="CZ881" s="2358">
        <f t="shared" si="844"/>
        <v>0</v>
      </c>
      <c r="DA881" s="2361">
        <f>BM781</f>
        <v>0</v>
      </c>
      <c r="DB881" s="2359">
        <f>IF(DA867=0,0,DA881/DA867)</f>
        <v>0</v>
      </c>
      <c r="DC881" s="2358">
        <f t="shared" si="845"/>
        <v>0</v>
      </c>
      <c r="DD881" s="2361">
        <f>BN781</f>
        <v>0</v>
      </c>
      <c r="DE881" s="2359">
        <f>IF(DD867=0,0,DD881/DD867)</f>
        <v>0</v>
      </c>
      <c r="DF881" s="2358">
        <f t="shared" si="846"/>
        <v>0</v>
      </c>
      <c r="DG881" s="2361">
        <f>BO781</f>
        <v>0</v>
      </c>
      <c r="DH881" s="2359">
        <f>IF(DG867=0,0,DG881/DG867)</f>
        <v>0</v>
      </c>
      <c r="DI881" s="2358">
        <f t="shared" si="847"/>
        <v>0</v>
      </c>
      <c r="DJ881" s="2361">
        <f>BP781</f>
        <v>0</v>
      </c>
      <c r="DK881" s="2359">
        <f>IF(DJ867=0,0,DJ881/DJ867)</f>
        <v>0</v>
      </c>
      <c r="DL881" s="2358">
        <f t="shared" si="848"/>
        <v>0</v>
      </c>
      <c r="DM881" s="2361">
        <f>BQ781</f>
        <v>0</v>
      </c>
      <c r="DN881" s="2359">
        <f>IF(DM867=0,0,DM881/DM867)</f>
        <v>0</v>
      </c>
      <c r="DO881" s="2358">
        <f t="shared" si="849"/>
        <v>0</v>
      </c>
      <c r="DP881" s="2361">
        <f>BR781</f>
        <v>0</v>
      </c>
      <c r="DQ881" s="2359">
        <f>IF(DP867=0,0,DP881/DP867)</f>
        <v>0</v>
      </c>
      <c r="DR881" s="2360">
        <f t="shared" si="850"/>
        <v>0</v>
      </c>
      <c r="DS881" s="2361">
        <f>BS781</f>
        <v>0</v>
      </c>
      <c r="DT881" s="2359">
        <f>IF(DS867=0,0,DS881/DS867)</f>
        <v>0</v>
      </c>
      <c r="DU881" s="2358">
        <f t="shared" si="851"/>
        <v>0</v>
      </c>
      <c r="DV881" s="2361">
        <f>BT781</f>
        <v>0</v>
      </c>
      <c r="DW881" s="2359">
        <f>IF(DV867=0,0,DV881/DV867)</f>
        <v>0</v>
      </c>
      <c r="DX881" s="2358">
        <f t="shared" si="852"/>
        <v>0</v>
      </c>
      <c r="DY881" s="2326"/>
    </row>
    <row r="882" spans="33:129" s="536" customFormat="1" ht="17.5">
      <c r="AG882" s="2327"/>
      <c r="AO882" s="2216"/>
      <c r="AP882" s="2216"/>
      <c r="AQ882" s="2216"/>
      <c r="AS882" s="803"/>
      <c r="AT882" s="2216"/>
      <c r="AV882" s="803"/>
      <c r="AW882" s="2216"/>
      <c r="AY882" s="803"/>
      <c r="AZ882" s="803"/>
      <c r="BA882" s="2364" t="str">
        <f>AM821</f>
        <v>+ DEPRECIACIÓN ACUMULADA</v>
      </c>
      <c r="BB882" s="2007"/>
      <c r="BC882" s="2365"/>
      <c r="BD882" s="2366">
        <f>AY821</f>
        <v>0</v>
      </c>
      <c r="BE882" s="2366">
        <f t="shared" ref="BE882:BT882" si="861">BE821</f>
        <v>0</v>
      </c>
      <c r="BF882" s="2366">
        <f t="shared" si="861"/>
        <v>0</v>
      </c>
      <c r="BG882" s="2366">
        <f t="shared" si="861"/>
        <v>0</v>
      </c>
      <c r="BH882" s="2366">
        <f t="shared" si="861"/>
        <v>0</v>
      </c>
      <c r="BI882" s="2366">
        <f t="shared" si="861"/>
        <v>0</v>
      </c>
      <c r="BJ882" s="2366">
        <f t="shared" si="861"/>
        <v>0</v>
      </c>
      <c r="BK882" s="2366">
        <f t="shared" si="861"/>
        <v>0</v>
      </c>
      <c r="BL882" s="2366">
        <f t="shared" si="861"/>
        <v>0</v>
      </c>
      <c r="BM882" s="2366">
        <f t="shared" si="861"/>
        <v>0</v>
      </c>
      <c r="BN882" s="2366">
        <f t="shared" si="861"/>
        <v>0</v>
      </c>
      <c r="BO882" s="2366">
        <f t="shared" si="861"/>
        <v>0</v>
      </c>
      <c r="BP882" s="2366">
        <f t="shared" si="861"/>
        <v>0</v>
      </c>
      <c r="BQ882" s="2366">
        <f t="shared" si="861"/>
        <v>0</v>
      </c>
      <c r="BR882" s="2366">
        <f t="shared" si="861"/>
        <v>0</v>
      </c>
      <c r="BS882" s="2366">
        <f t="shared" si="861"/>
        <v>0</v>
      </c>
      <c r="BT882" s="2366">
        <f t="shared" si="861"/>
        <v>0</v>
      </c>
      <c r="BV882" s="2322"/>
      <c r="BW882" s="2181"/>
      <c r="BX882" s="2181"/>
      <c r="BY882" s="2181"/>
      <c r="BZ882" s="2356" t="s">
        <v>1499</v>
      </c>
      <c r="CA882" s="2357">
        <f>AY782+AY783</f>
        <v>0</v>
      </c>
      <c r="CB882" s="2358">
        <f>IF(CA867=0,0,CA882/CA867)</f>
        <v>0</v>
      </c>
      <c r="CC882" s="2361">
        <f>BE782+BE783</f>
        <v>0</v>
      </c>
      <c r="CD882" s="2359">
        <f>IF(CC867=0,0,CC882/CC867)</f>
        <v>0</v>
      </c>
      <c r="CE882" s="2358">
        <f t="shared" si="860"/>
        <v>0</v>
      </c>
      <c r="CF882" s="2361">
        <f>BF782+BF783</f>
        <v>0</v>
      </c>
      <c r="CG882" s="2359">
        <f>IF(CF867=0,0,CF882/CF867)</f>
        <v>0</v>
      </c>
      <c r="CH882" s="2358">
        <f t="shared" si="838"/>
        <v>0</v>
      </c>
      <c r="CI882" s="2361">
        <f>BG782+BG783</f>
        <v>0</v>
      </c>
      <c r="CJ882" s="2359">
        <f>IF(CI867=0,0,CI882/CI867)</f>
        <v>0</v>
      </c>
      <c r="CK882" s="2358">
        <f t="shared" si="839"/>
        <v>0</v>
      </c>
      <c r="CL882" s="2361">
        <f>BH782+BH783</f>
        <v>0</v>
      </c>
      <c r="CM882" s="2359">
        <f>IF(CL867=0,0,CL882/CL867)</f>
        <v>0</v>
      </c>
      <c r="CN882" s="2358">
        <f t="shared" si="840"/>
        <v>0</v>
      </c>
      <c r="CO882" s="2361">
        <f>BI782+BI783</f>
        <v>0</v>
      </c>
      <c r="CP882" s="2359">
        <f>IF(CO867=0,0,CO882/CO867)</f>
        <v>0</v>
      </c>
      <c r="CQ882" s="2358">
        <f t="shared" si="841"/>
        <v>0</v>
      </c>
      <c r="CR882" s="2361">
        <f>BJ782+BJ783</f>
        <v>0</v>
      </c>
      <c r="CS882" s="2359">
        <f>IF(CR867=0,0,CR882/CR867)</f>
        <v>0</v>
      </c>
      <c r="CT882" s="2358">
        <f t="shared" si="842"/>
        <v>0</v>
      </c>
      <c r="CU882" s="2361">
        <f>BK782+BK783</f>
        <v>0</v>
      </c>
      <c r="CV882" s="2359">
        <f>IF(CU867=0,0,CU882/CU867)</f>
        <v>0</v>
      </c>
      <c r="CW882" s="2358">
        <f t="shared" si="843"/>
        <v>0</v>
      </c>
      <c r="CX882" s="2361">
        <f>BL782+BL783</f>
        <v>0</v>
      </c>
      <c r="CY882" s="2359">
        <f>IF(CX867=0,0,CX882/CX867)</f>
        <v>0</v>
      </c>
      <c r="CZ882" s="2358">
        <f t="shared" si="844"/>
        <v>0</v>
      </c>
      <c r="DA882" s="2361">
        <f>BM782+BM783</f>
        <v>0</v>
      </c>
      <c r="DB882" s="2359">
        <f>IF(DA867=0,0,DA882/DA867)</f>
        <v>0</v>
      </c>
      <c r="DC882" s="2358">
        <f t="shared" si="845"/>
        <v>0</v>
      </c>
      <c r="DD882" s="2361">
        <f>BN782+BN783</f>
        <v>0</v>
      </c>
      <c r="DE882" s="2359">
        <f>IF(DD867=0,0,DD882/DD867)</f>
        <v>0</v>
      </c>
      <c r="DF882" s="2358">
        <f t="shared" si="846"/>
        <v>0</v>
      </c>
      <c r="DG882" s="2361">
        <f>BO782+BO783</f>
        <v>0</v>
      </c>
      <c r="DH882" s="2359">
        <f>IF(DG867=0,0,DG882/DG867)</f>
        <v>0</v>
      </c>
      <c r="DI882" s="2358">
        <f t="shared" si="847"/>
        <v>0</v>
      </c>
      <c r="DJ882" s="2361">
        <f>BP782+BP783</f>
        <v>0</v>
      </c>
      <c r="DK882" s="2359">
        <f>IF(DJ867=0,0,DJ882/DJ867)</f>
        <v>0</v>
      </c>
      <c r="DL882" s="2358">
        <f t="shared" si="848"/>
        <v>0</v>
      </c>
      <c r="DM882" s="2361">
        <f>BQ782+BQ783</f>
        <v>0</v>
      </c>
      <c r="DN882" s="2359">
        <f>IF(DM867=0,0,DM882/DM867)</f>
        <v>0</v>
      </c>
      <c r="DO882" s="2358">
        <f t="shared" si="849"/>
        <v>0</v>
      </c>
      <c r="DP882" s="2361">
        <f>BR782+BR783</f>
        <v>0</v>
      </c>
      <c r="DQ882" s="2359">
        <f>IF(DP867=0,0,DP882/DP867)</f>
        <v>0</v>
      </c>
      <c r="DR882" s="2360">
        <f t="shared" si="850"/>
        <v>0</v>
      </c>
      <c r="DS882" s="2361">
        <f>BS782+BS783</f>
        <v>0</v>
      </c>
      <c r="DT882" s="2359">
        <f>IF(DS867=0,0,DS882/DS867)</f>
        <v>0</v>
      </c>
      <c r="DU882" s="2358">
        <f t="shared" si="851"/>
        <v>0</v>
      </c>
      <c r="DV882" s="2361">
        <f>BT782+BT783</f>
        <v>0</v>
      </c>
      <c r="DW882" s="2359">
        <f>IF(DV867=0,0,DV882/DV867)</f>
        <v>0</v>
      </c>
      <c r="DX882" s="2358">
        <f t="shared" si="852"/>
        <v>0</v>
      </c>
      <c r="DY882" s="2326"/>
    </row>
    <row r="883" spans="33:129" s="536" customFormat="1" ht="17.5">
      <c r="AG883" s="2327"/>
      <c r="AO883" s="2216"/>
      <c r="AP883" s="2216"/>
      <c r="AQ883" s="2216"/>
      <c r="AS883" s="803"/>
      <c r="AT883" s="2216"/>
      <c r="AV883" s="803"/>
      <c r="AW883" s="2216"/>
      <c r="AY883" s="803"/>
      <c r="AZ883" s="803"/>
      <c r="BA883" s="2364" t="str">
        <f>AM824</f>
        <v>-  DEPRECIACIÓN DEL PERÍODO</v>
      </c>
      <c r="BB883" s="2007"/>
      <c r="BC883" s="2365"/>
      <c r="BD883" s="2366">
        <f>AY824</f>
        <v>0</v>
      </c>
      <c r="BE883" s="2366">
        <f t="shared" ref="BE883:BT883" si="862">BE824</f>
        <v>0</v>
      </c>
      <c r="BF883" s="2366">
        <f t="shared" si="862"/>
        <v>0</v>
      </c>
      <c r="BG883" s="2366">
        <f t="shared" si="862"/>
        <v>0</v>
      </c>
      <c r="BH883" s="2366">
        <f t="shared" si="862"/>
        <v>0</v>
      </c>
      <c r="BI883" s="2366">
        <f t="shared" si="862"/>
        <v>0</v>
      </c>
      <c r="BJ883" s="2366">
        <f t="shared" si="862"/>
        <v>0</v>
      </c>
      <c r="BK883" s="2366">
        <f t="shared" si="862"/>
        <v>0</v>
      </c>
      <c r="BL883" s="2366">
        <f t="shared" si="862"/>
        <v>0</v>
      </c>
      <c r="BM883" s="2366">
        <f t="shared" si="862"/>
        <v>0</v>
      </c>
      <c r="BN883" s="2366">
        <f t="shared" si="862"/>
        <v>0</v>
      </c>
      <c r="BO883" s="2366">
        <f t="shared" si="862"/>
        <v>0</v>
      </c>
      <c r="BP883" s="2366">
        <f t="shared" si="862"/>
        <v>0</v>
      </c>
      <c r="BQ883" s="2366">
        <f t="shared" si="862"/>
        <v>0</v>
      </c>
      <c r="BR883" s="2366">
        <f t="shared" si="862"/>
        <v>0</v>
      </c>
      <c r="BS883" s="2366">
        <f t="shared" si="862"/>
        <v>0</v>
      </c>
      <c r="BT883" s="2366">
        <f t="shared" si="862"/>
        <v>0</v>
      </c>
      <c r="BV883" s="2322"/>
      <c r="BW883" s="2181"/>
      <c r="BX883" s="2181"/>
      <c r="BY883" s="2181"/>
      <c r="BZ883" s="2356" t="s">
        <v>1500</v>
      </c>
      <c r="CA883" s="2357">
        <f>AY787</f>
        <v>0</v>
      </c>
      <c r="CB883" s="2358">
        <f>IF(CA867=0,0,CA883/CA867)</f>
        <v>0</v>
      </c>
      <c r="CC883" s="2361">
        <f>BE787</f>
        <v>0</v>
      </c>
      <c r="CD883" s="2359">
        <f>IF(CC867=0,0,CC883/CC867)</f>
        <v>0</v>
      </c>
      <c r="CE883" s="2358">
        <f t="shared" si="860"/>
        <v>0</v>
      </c>
      <c r="CF883" s="2361">
        <f>BF787</f>
        <v>0</v>
      </c>
      <c r="CG883" s="2359">
        <f>IF(CF867=0,0,CF883/CF867)</f>
        <v>0</v>
      </c>
      <c r="CH883" s="2358">
        <f t="shared" si="838"/>
        <v>0</v>
      </c>
      <c r="CI883" s="2361">
        <f>BG787</f>
        <v>0</v>
      </c>
      <c r="CJ883" s="2359">
        <f>IF(CI867=0,0,CI883/CI867)</f>
        <v>0</v>
      </c>
      <c r="CK883" s="2358">
        <f t="shared" si="839"/>
        <v>0</v>
      </c>
      <c r="CL883" s="2361">
        <f>BH787</f>
        <v>0</v>
      </c>
      <c r="CM883" s="2359">
        <f>IF(CL867=0,0,CL883/CL867)</f>
        <v>0</v>
      </c>
      <c r="CN883" s="2358">
        <f t="shared" si="840"/>
        <v>0</v>
      </c>
      <c r="CO883" s="2361">
        <f>BI787</f>
        <v>0</v>
      </c>
      <c r="CP883" s="2359">
        <f>IF(CO867=0,0,CO883/CO867)</f>
        <v>0</v>
      </c>
      <c r="CQ883" s="2358">
        <f t="shared" si="841"/>
        <v>0</v>
      </c>
      <c r="CR883" s="2361">
        <f>BJ787</f>
        <v>0</v>
      </c>
      <c r="CS883" s="2359">
        <f>IF(CR867=0,0,CR883/CR867)</f>
        <v>0</v>
      </c>
      <c r="CT883" s="2358">
        <f t="shared" si="842"/>
        <v>0</v>
      </c>
      <c r="CU883" s="2361">
        <f>BK787</f>
        <v>0</v>
      </c>
      <c r="CV883" s="2359">
        <f>IF(CU867=0,0,CU883/CU867)</f>
        <v>0</v>
      </c>
      <c r="CW883" s="2358">
        <f t="shared" si="843"/>
        <v>0</v>
      </c>
      <c r="CX883" s="2361">
        <f>BL787</f>
        <v>0</v>
      </c>
      <c r="CY883" s="2359">
        <f>IF(CX867=0,0,CX883/CX867)</f>
        <v>0</v>
      </c>
      <c r="CZ883" s="2358">
        <f t="shared" si="844"/>
        <v>0</v>
      </c>
      <c r="DA883" s="2361">
        <f>BM787</f>
        <v>0</v>
      </c>
      <c r="DB883" s="2359">
        <f>IF(DA867=0,0,DA883/DA867)</f>
        <v>0</v>
      </c>
      <c r="DC883" s="2358">
        <f t="shared" si="845"/>
        <v>0</v>
      </c>
      <c r="DD883" s="2361">
        <f>BN787</f>
        <v>0</v>
      </c>
      <c r="DE883" s="2359">
        <f>IF(DD867=0,0,DD883/DD867)</f>
        <v>0</v>
      </c>
      <c r="DF883" s="2358">
        <f t="shared" si="846"/>
        <v>0</v>
      </c>
      <c r="DG883" s="2361">
        <f>BO787</f>
        <v>0</v>
      </c>
      <c r="DH883" s="2359">
        <f>IF(DG867=0,0,DG883/DG867)</f>
        <v>0</v>
      </c>
      <c r="DI883" s="2358">
        <f t="shared" si="847"/>
        <v>0</v>
      </c>
      <c r="DJ883" s="2361">
        <f>BP787</f>
        <v>0</v>
      </c>
      <c r="DK883" s="2359">
        <f>IF(DJ867=0,0,DJ883/DJ867)</f>
        <v>0</v>
      </c>
      <c r="DL883" s="2358">
        <f t="shared" si="848"/>
        <v>0</v>
      </c>
      <c r="DM883" s="2361">
        <f>BQ787</f>
        <v>0</v>
      </c>
      <c r="DN883" s="2359">
        <f>IF(DM867=0,0,DM883/DM867)</f>
        <v>0</v>
      </c>
      <c r="DO883" s="2358">
        <f t="shared" si="849"/>
        <v>0</v>
      </c>
      <c r="DP883" s="2361">
        <f>BR787</f>
        <v>0</v>
      </c>
      <c r="DQ883" s="2359">
        <f>IF(DP867=0,0,DP883/DP867)</f>
        <v>0</v>
      </c>
      <c r="DR883" s="2360">
        <f t="shared" si="850"/>
        <v>0</v>
      </c>
      <c r="DS883" s="2361">
        <f>BS787</f>
        <v>0</v>
      </c>
      <c r="DT883" s="2359">
        <f>IF(DS867=0,0,DS883/DS867)</f>
        <v>0</v>
      </c>
      <c r="DU883" s="2358">
        <f t="shared" si="851"/>
        <v>0</v>
      </c>
      <c r="DV883" s="2361">
        <f>BT787</f>
        <v>0</v>
      </c>
      <c r="DW883" s="2359">
        <f>IF(DV867=0,0,DV883/DV867)</f>
        <v>0</v>
      </c>
      <c r="DX883" s="2358">
        <f t="shared" si="852"/>
        <v>0</v>
      </c>
      <c r="DY883" s="2326"/>
    </row>
    <row r="884" spans="33:129" s="536" customFormat="1" ht="17.5">
      <c r="AG884" s="2327"/>
      <c r="AO884" s="2216"/>
      <c r="AP884" s="2216"/>
      <c r="AQ884" s="2216"/>
      <c r="AS884" s="803"/>
      <c r="AT884" s="2216"/>
      <c r="AV884" s="803"/>
      <c r="AW884" s="2216"/>
      <c r="AY884" s="803"/>
      <c r="AZ884" s="803"/>
      <c r="BA884" s="2366" t="str">
        <f t="shared" ref="BA884:BA895" si="863">AM826</f>
        <v>+ AJUSTE POR INFLACIÓN INVENTARIOS</v>
      </c>
      <c r="BD884" s="2366">
        <f t="shared" ref="BD884:BD895" si="864">AY826</f>
        <v>0</v>
      </c>
      <c r="BE884" s="2366">
        <f t="shared" ref="BE884:BT884" si="865">BE826</f>
        <v>0</v>
      </c>
      <c r="BF884" s="2366">
        <f t="shared" si="865"/>
        <v>0</v>
      </c>
      <c r="BG884" s="2366">
        <f t="shared" si="865"/>
        <v>0</v>
      </c>
      <c r="BH884" s="2366">
        <f t="shared" si="865"/>
        <v>0</v>
      </c>
      <c r="BI884" s="2366">
        <f t="shared" si="865"/>
        <v>0</v>
      </c>
      <c r="BJ884" s="2366">
        <f t="shared" si="865"/>
        <v>0</v>
      </c>
      <c r="BK884" s="2366">
        <f t="shared" si="865"/>
        <v>0</v>
      </c>
      <c r="BL884" s="2366">
        <f t="shared" si="865"/>
        <v>0</v>
      </c>
      <c r="BM884" s="2366">
        <f t="shared" si="865"/>
        <v>0</v>
      </c>
      <c r="BN884" s="2366">
        <f t="shared" si="865"/>
        <v>0</v>
      </c>
      <c r="BO884" s="2366">
        <f t="shared" si="865"/>
        <v>0</v>
      </c>
      <c r="BP884" s="2366">
        <f t="shared" si="865"/>
        <v>0</v>
      </c>
      <c r="BQ884" s="2366">
        <f t="shared" si="865"/>
        <v>0</v>
      </c>
      <c r="BR884" s="2366">
        <f t="shared" si="865"/>
        <v>0</v>
      </c>
      <c r="BS884" s="2366">
        <f t="shared" si="865"/>
        <v>0</v>
      </c>
      <c r="BT884" s="2366">
        <f t="shared" si="865"/>
        <v>0</v>
      </c>
      <c r="BV884" s="2322"/>
      <c r="BW884" s="2181"/>
      <c r="BX884" s="2181"/>
      <c r="BY884" s="2181"/>
      <c r="BZ884" s="2356" t="s">
        <v>1501</v>
      </c>
      <c r="CA884" s="2357">
        <f>AY788+AY789</f>
        <v>0</v>
      </c>
      <c r="CB884" s="2358">
        <f>IF(CA867=0,0,CA884/CA867)</f>
        <v>0</v>
      </c>
      <c r="CC884" s="2361">
        <f>BE788+BE789</f>
        <v>0</v>
      </c>
      <c r="CD884" s="2359">
        <f>IF(CC867=0,0,CC884/CC867)</f>
        <v>0</v>
      </c>
      <c r="CE884" s="2358">
        <f t="shared" si="860"/>
        <v>0</v>
      </c>
      <c r="CF884" s="2361">
        <f>BF788+BF789</f>
        <v>0</v>
      </c>
      <c r="CG884" s="2359">
        <f>IF(CF867=0,0,CF884/CF867)</f>
        <v>0</v>
      </c>
      <c r="CH884" s="2358">
        <f t="shared" si="838"/>
        <v>0</v>
      </c>
      <c r="CI884" s="2361">
        <f>BG788+BG789</f>
        <v>0</v>
      </c>
      <c r="CJ884" s="2359">
        <f>IF(CI867=0,0,CI884/CI867)</f>
        <v>0</v>
      </c>
      <c r="CK884" s="2358">
        <f t="shared" si="839"/>
        <v>0</v>
      </c>
      <c r="CL884" s="2361">
        <f>BH788+BH789</f>
        <v>0</v>
      </c>
      <c r="CM884" s="2359">
        <f>IF(CL867=0,0,CL884/CL867)</f>
        <v>0</v>
      </c>
      <c r="CN884" s="2358">
        <f t="shared" si="840"/>
        <v>0</v>
      </c>
      <c r="CO884" s="2361">
        <f>BI788+BI789</f>
        <v>0</v>
      </c>
      <c r="CP884" s="2359">
        <f>IF(CO867=0,0,CO884/CO867)</f>
        <v>0</v>
      </c>
      <c r="CQ884" s="2358">
        <f t="shared" si="841"/>
        <v>0</v>
      </c>
      <c r="CR884" s="2361">
        <f>BJ788+BJ789</f>
        <v>0</v>
      </c>
      <c r="CS884" s="2359">
        <f>IF(CR867=0,0,CR884/CR867)</f>
        <v>0</v>
      </c>
      <c r="CT884" s="2358">
        <f t="shared" si="842"/>
        <v>0</v>
      </c>
      <c r="CU884" s="2361">
        <f>BK788+BK789</f>
        <v>0</v>
      </c>
      <c r="CV884" s="2359">
        <f>IF(CU867=0,0,CU884/CU867)</f>
        <v>0</v>
      </c>
      <c r="CW884" s="2358">
        <f t="shared" si="843"/>
        <v>0</v>
      </c>
      <c r="CX884" s="2361">
        <f>BL788+BL789</f>
        <v>0</v>
      </c>
      <c r="CY884" s="2359">
        <f>IF(CX867=0,0,CX884/CX867)</f>
        <v>0</v>
      </c>
      <c r="CZ884" s="2358">
        <f t="shared" si="844"/>
        <v>0</v>
      </c>
      <c r="DA884" s="2361">
        <f>BM788+BM789</f>
        <v>0</v>
      </c>
      <c r="DB884" s="2359">
        <f>IF(DA867=0,0,DA884/DA867)</f>
        <v>0</v>
      </c>
      <c r="DC884" s="2358">
        <f t="shared" si="845"/>
        <v>0</v>
      </c>
      <c r="DD884" s="2361">
        <f>BN788+BN789</f>
        <v>0</v>
      </c>
      <c r="DE884" s="2359">
        <f>IF(DD867=0,0,DD884/DD867)</f>
        <v>0</v>
      </c>
      <c r="DF884" s="2358">
        <f t="shared" si="846"/>
        <v>0</v>
      </c>
      <c r="DG884" s="2361">
        <f>BO788+BO789</f>
        <v>0</v>
      </c>
      <c r="DH884" s="2359">
        <f>IF(DG867=0,0,DG884/DG867)</f>
        <v>0</v>
      </c>
      <c r="DI884" s="2358">
        <f t="shared" si="847"/>
        <v>0</v>
      </c>
      <c r="DJ884" s="2361">
        <f>BP788+BP789</f>
        <v>0</v>
      </c>
      <c r="DK884" s="2359">
        <f>IF(DJ867=0,0,DJ884/DJ867)</f>
        <v>0</v>
      </c>
      <c r="DL884" s="2358">
        <f t="shared" si="848"/>
        <v>0</v>
      </c>
      <c r="DM884" s="2361">
        <f>BQ788+BQ789</f>
        <v>0</v>
      </c>
      <c r="DN884" s="2359">
        <f>IF(DM867=0,0,DM884/DM867)</f>
        <v>0</v>
      </c>
      <c r="DO884" s="2358">
        <f t="shared" si="849"/>
        <v>0</v>
      </c>
      <c r="DP884" s="2361">
        <f>BR788+BR789</f>
        <v>0</v>
      </c>
      <c r="DQ884" s="2359">
        <f>IF(DP867=0,0,DP884/DP867)</f>
        <v>0</v>
      </c>
      <c r="DR884" s="2360">
        <f t="shared" si="850"/>
        <v>0</v>
      </c>
      <c r="DS884" s="2361">
        <f>BS788+BS789</f>
        <v>0</v>
      </c>
      <c r="DT884" s="2359">
        <f>IF(DS867=0,0,DS884/DS867)</f>
        <v>0</v>
      </c>
      <c r="DU884" s="2358">
        <f t="shared" si="851"/>
        <v>0</v>
      </c>
      <c r="DV884" s="2361">
        <f>BT788+BT789</f>
        <v>0</v>
      </c>
      <c r="DW884" s="2359">
        <f>IF(DV867=0,0,DV884/DV867)</f>
        <v>0</v>
      </c>
      <c r="DX884" s="2358">
        <f t="shared" si="852"/>
        <v>0</v>
      </c>
      <c r="DY884" s="2326"/>
    </row>
    <row r="885" spans="33:129" s="536" customFormat="1" ht="18">
      <c r="AG885" s="2327"/>
      <c r="AO885" s="2216"/>
      <c r="AP885" s="2216"/>
      <c r="AQ885" s="2216"/>
      <c r="AS885" s="803"/>
      <c r="AT885" s="2216"/>
      <c r="AV885" s="803"/>
      <c r="AW885" s="2216"/>
      <c r="AY885" s="803"/>
      <c r="AZ885" s="803"/>
      <c r="BA885" s="2367" t="str">
        <f t="shared" si="863"/>
        <v>+ AJUSTE POR INFLACIÓN ACTIVOS FIJOS</v>
      </c>
      <c r="BB885" s="2007"/>
      <c r="BC885" s="2365"/>
      <c r="BD885" s="2366">
        <f t="shared" si="864"/>
        <v>0</v>
      </c>
      <c r="BE885" s="2366">
        <f t="shared" ref="BE885:BT885" si="866">BE827</f>
        <v>0</v>
      </c>
      <c r="BF885" s="2366">
        <f t="shared" si="866"/>
        <v>0</v>
      </c>
      <c r="BG885" s="2366">
        <f t="shared" si="866"/>
        <v>0</v>
      </c>
      <c r="BH885" s="2366">
        <f t="shared" si="866"/>
        <v>0</v>
      </c>
      <c r="BI885" s="2366">
        <f t="shared" si="866"/>
        <v>0</v>
      </c>
      <c r="BJ885" s="2366">
        <f t="shared" si="866"/>
        <v>0</v>
      </c>
      <c r="BK885" s="2366">
        <f t="shared" si="866"/>
        <v>0</v>
      </c>
      <c r="BL885" s="2366">
        <f t="shared" si="866"/>
        <v>0</v>
      </c>
      <c r="BM885" s="2366">
        <f t="shared" si="866"/>
        <v>0</v>
      </c>
      <c r="BN885" s="2366">
        <f t="shared" si="866"/>
        <v>0</v>
      </c>
      <c r="BO885" s="2366">
        <f t="shared" si="866"/>
        <v>0</v>
      </c>
      <c r="BP885" s="2366">
        <f t="shared" si="866"/>
        <v>0</v>
      </c>
      <c r="BQ885" s="2366">
        <f t="shared" si="866"/>
        <v>0</v>
      </c>
      <c r="BR885" s="2366">
        <f t="shared" si="866"/>
        <v>0</v>
      </c>
      <c r="BS885" s="2366">
        <f t="shared" si="866"/>
        <v>0</v>
      </c>
      <c r="BT885" s="2366">
        <f t="shared" si="866"/>
        <v>0</v>
      </c>
      <c r="BV885" s="2322"/>
      <c r="BW885" s="2181"/>
      <c r="BX885" s="2181"/>
      <c r="BY885" s="2181"/>
      <c r="BZ885" s="2351" t="s">
        <v>1502</v>
      </c>
      <c r="CA885" s="2352">
        <f>SUM(CA879:CA884)</f>
        <v>0</v>
      </c>
      <c r="CB885" s="2353">
        <f>IF(CA867=0,0,CA885/CA867)</f>
        <v>0</v>
      </c>
      <c r="CC885" s="2355">
        <f>SUM(CC879:CC884)</f>
        <v>0</v>
      </c>
      <c r="CD885" s="2354">
        <f>IF(CC867=0,0,CC885/CC867)</f>
        <v>0</v>
      </c>
      <c r="CE885" s="2353">
        <f t="shared" si="860"/>
        <v>0</v>
      </c>
      <c r="CF885" s="2355">
        <f>SUM(CF879:CF884)</f>
        <v>0</v>
      </c>
      <c r="CG885" s="2354">
        <f>IF(CF867=0,0,CF885/CF867)</f>
        <v>0</v>
      </c>
      <c r="CH885" s="2353">
        <f t="shared" si="838"/>
        <v>0</v>
      </c>
      <c r="CI885" s="2355">
        <f>SUM(CI879:CI884)</f>
        <v>0</v>
      </c>
      <c r="CJ885" s="2354">
        <f>IF(CI867=0,0,CI885/CI867)</f>
        <v>0</v>
      </c>
      <c r="CK885" s="2353">
        <f t="shared" si="839"/>
        <v>0</v>
      </c>
      <c r="CL885" s="2355">
        <f>SUM(CL879:CL884)</f>
        <v>0</v>
      </c>
      <c r="CM885" s="2354">
        <f>IF(CL867=0,0,CL885/CL867)</f>
        <v>0</v>
      </c>
      <c r="CN885" s="2353">
        <f t="shared" si="840"/>
        <v>0</v>
      </c>
      <c r="CO885" s="2355">
        <f>SUM(CO879:CO884)</f>
        <v>0</v>
      </c>
      <c r="CP885" s="2354">
        <f>IF(CO867=0,0,CO885/CO867)</f>
        <v>0</v>
      </c>
      <c r="CQ885" s="2353">
        <f t="shared" si="841"/>
        <v>0</v>
      </c>
      <c r="CR885" s="2355">
        <f>SUM(CR879:CR884)</f>
        <v>0</v>
      </c>
      <c r="CS885" s="2354">
        <f>IF(CR867=0,0,CR885/CR867)</f>
        <v>0</v>
      </c>
      <c r="CT885" s="2353">
        <f t="shared" si="842"/>
        <v>0</v>
      </c>
      <c r="CU885" s="2355">
        <f>SUM(CU879:CU884)</f>
        <v>0</v>
      </c>
      <c r="CV885" s="2354">
        <f>IF(CU867=0,0,CU885/CU867)</f>
        <v>0</v>
      </c>
      <c r="CW885" s="2353">
        <f t="shared" si="843"/>
        <v>0</v>
      </c>
      <c r="CX885" s="2355">
        <f>SUM(CX879:CX884)</f>
        <v>0</v>
      </c>
      <c r="CY885" s="2354">
        <f>IF(CX867=0,0,CX885/CX867)</f>
        <v>0</v>
      </c>
      <c r="CZ885" s="2353">
        <f t="shared" si="844"/>
        <v>0</v>
      </c>
      <c r="DA885" s="2355">
        <f>SUM(DA879:DA884)</f>
        <v>0</v>
      </c>
      <c r="DB885" s="2354">
        <f>IF(DA867=0,0,DA885/DA867)</f>
        <v>0</v>
      </c>
      <c r="DC885" s="2353">
        <f t="shared" si="845"/>
        <v>0</v>
      </c>
      <c r="DD885" s="2355">
        <f>SUM(DD879:DD884)</f>
        <v>0</v>
      </c>
      <c r="DE885" s="2354">
        <f>IF(DD867=0,0,DD885/DD867)</f>
        <v>0</v>
      </c>
      <c r="DF885" s="2353">
        <f t="shared" si="846"/>
        <v>0</v>
      </c>
      <c r="DG885" s="2355">
        <f>SUM(DG879:DG884)</f>
        <v>0</v>
      </c>
      <c r="DH885" s="2354">
        <f>IF(DG867=0,0,DG885/DG867)</f>
        <v>0</v>
      </c>
      <c r="DI885" s="2353">
        <f t="shared" si="847"/>
        <v>0</v>
      </c>
      <c r="DJ885" s="2355">
        <f>SUM(DJ879:DJ884)</f>
        <v>0</v>
      </c>
      <c r="DK885" s="2354">
        <f>IF(DJ867=0,0,DJ885/DJ867)</f>
        <v>0</v>
      </c>
      <c r="DL885" s="2353">
        <f t="shared" si="848"/>
        <v>0</v>
      </c>
      <c r="DM885" s="2355">
        <f>SUM(DM879:DM884)</f>
        <v>0</v>
      </c>
      <c r="DN885" s="2354">
        <f>IF(DM867=0,0,DM885/DM867)</f>
        <v>0</v>
      </c>
      <c r="DO885" s="2353">
        <f t="shared" si="849"/>
        <v>0</v>
      </c>
      <c r="DP885" s="2355">
        <f>SUM(DP879:DP884)</f>
        <v>0</v>
      </c>
      <c r="DQ885" s="2354">
        <f>IF(DP867=0,0,DP885/DP867)</f>
        <v>0</v>
      </c>
      <c r="DR885" s="2353">
        <f t="shared" si="850"/>
        <v>0</v>
      </c>
      <c r="DS885" s="2355">
        <f>SUM(DS879:DS884)</f>
        <v>0</v>
      </c>
      <c r="DT885" s="2354">
        <f>IF(DS867=0,0,DS885/DS867)</f>
        <v>0</v>
      </c>
      <c r="DU885" s="2353">
        <f t="shared" si="851"/>
        <v>0</v>
      </c>
      <c r="DV885" s="2355">
        <f>SUM(DV879:DV884)</f>
        <v>0</v>
      </c>
      <c r="DW885" s="2354">
        <f>IF(DV867=0,0,DV885/DV867)</f>
        <v>0</v>
      </c>
      <c r="DX885" s="2353">
        <f t="shared" si="852"/>
        <v>0</v>
      </c>
      <c r="DY885" s="2326"/>
    </row>
    <row r="886" spans="33:129" s="536" customFormat="1" ht="17.5">
      <c r="AG886" s="2327"/>
      <c r="AO886" s="2216"/>
      <c r="AP886" s="2216"/>
      <c r="AQ886" s="2216"/>
      <c r="AS886" s="803"/>
      <c r="AT886" s="2216"/>
      <c r="AV886" s="803"/>
      <c r="AW886" s="2216"/>
      <c r="AY886" s="803"/>
      <c r="AZ886" s="803"/>
      <c r="BA886" s="2366" t="str">
        <f t="shared" si="863"/>
        <v>-  AJUSTE POR INFLACIÓN DEPRECIACIÓN</v>
      </c>
      <c r="BD886" s="2366">
        <f t="shared" si="864"/>
        <v>0</v>
      </c>
      <c r="BE886" s="2366">
        <f t="shared" ref="BE886:BT886" si="867">BE828</f>
        <v>0</v>
      </c>
      <c r="BF886" s="2366">
        <f t="shared" si="867"/>
        <v>0</v>
      </c>
      <c r="BG886" s="2366">
        <f t="shared" si="867"/>
        <v>0</v>
      </c>
      <c r="BH886" s="2366">
        <f t="shared" si="867"/>
        <v>0</v>
      </c>
      <c r="BI886" s="2366">
        <f t="shared" si="867"/>
        <v>0</v>
      </c>
      <c r="BJ886" s="2366">
        <f t="shared" si="867"/>
        <v>0</v>
      </c>
      <c r="BK886" s="2366">
        <f t="shared" si="867"/>
        <v>0</v>
      </c>
      <c r="BL886" s="2366">
        <f t="shared" si="867"/>
        <v>0</v>
      </c>
      <c r="BM886" s="2366">
        <f t="shared" si="867"/>
        <v>0</v>
      </c>
      <c r="BN886" s="2366">
        <f t="shared" si="867"/>
        <v>0</v>
      </c>
      <c r="BO886" s="2366">
        <f t="shared" si="867"/>
        <v>0</v>
      </c>
      <c r="BP886" s="2366">
        <f t="shared" si="867"/>
        <v>0</v>
      </c>
      <c r="BQ886" s="2366">
        <f t="shared" si="867"/>
        <v>0</v>
      </c>
      <c r="BR886" s="2366">
        <f t="shared" si="867"/>
        <v>0</v>
      </c>
      <c r="BS886" s="2366">
        <f t="shared" si="867"/>
        <v>0</v>
      </c>
      <c r="BT886" s="2366">
        <f t="shared" si="867"/>
        <v>0</v>
      </c>
      <c r="BV886" s="2322"/>
      <c r="BW886" s="2181"/>
      <c r="BX886" s="2181"/>
      <c r="BY886" s="2181"/>
      <c r="BZ886" s="2356" t="s">
        <v>1503</v>
      </c>
      <c r="CA886" s="2357">
        <f>AS586</f>
        <v>0</v>
      </c>
      <c r="CB886" s="2358">
        <f>IF(CA867=0,0,CA886/CA867)</f>
        <v>0</v>
      </c>
      <c r="CC886" s="2361">
        <f>AY586</f>
        <v>0</v>
      </c>
      <c r="CD886" s="2359">
        <f>IF(CC867=0,0,CC886/CC867)</f>
        <v>0</v>
      </c>
      <c r="CE886" s="2358">
        <f t="shared" si="860"/>
        <v>0</v>
      </c>
      <c r="CF886" s="2361">
        <f>BE586</f>
        <v>0</v>
      </c>
      <c r="CG886" s="2359">
        <f>IF(CF867=0,0,CF886/CF867)</f>
        <v>0</v>
      </c>
      <c r="CH886" s="2358">
        <f t="shared" si="838"/>
        <v>0</v>
      </c>
      <c r="CI886" s="2361">
        <f>BF586</f>
        <v>0</v>
      </c>
      <c r="CJ886" s="2359">
        <f>IF(CI867=0,0,CI886/CI867)</f>
        <v>0</v>
      </c>
      <c r="CK886" s="2358">
        <f t="shared" si="839"/>
        <v>0</v>
      </c>
      <c r="CL886" s="2361">
        <f>BG586</f>
        <v>0</v>
      </c>
      <c r="CM886" s="2359">
        <f>IF(CL867=0,0,CL886/CL867)</f>
        <v>0</v>
      </c>
      <c r="CN886" s="2358">
        <f t="shared" si="840"/>
        <v>0</v>
      </c>
      <c r="CO886" s="2361">
        <f>BH586</f>
        <v>0</v>
      </c>
      <c r="CP886" s="2359">
        <f>IF(CO867=0,0,CO886/CO867)</f>
        <v>0</v>
      </c>
      <c r="CQ886" s="2358">
        <f t="shared" si="841"/>
        <v>0</v>
      </c>
      <c r="CR886" s="2361">
        <f>BI586</f>
        <v>0</v>
      </c>
      <c r="CS886" s="2359">
        <f>IF(CR867=0,0,CR886/CR867)</f>
        <v>0</v>
      </c>
      <c r="CT886" s="2358">
        <f t="shared" si="842"/>
        <v>0</v>
      </c>
      <c r="CU886" s="2361">
        <f>BJ586</f>
        <v>0</v>
      </c>
      <c r="CV886" s="2359">
        <f>IF(CU867=0,0,CU886/CU867)</f>
        <v>0</v>
      </c>
      <c r="CW886" s="2358">
        <f t="shared" si="843"/>
        <v>0</v>
      </c>
      <c r="CX886" s="2361">
        <f>BK586</f>
        <v>0</v>
      </c>
      <c r="CY886" s="2359">
        <f>IF(CX867=0,0,CX886/CX867)</f>
        <v>0</v>
      </c>
      <c r="CZ886" s="2358">
        <f t="shared" si="844"/>
        <v>0</v>
      </c>
      <c r="DA886" s="2361">
        <f>BL586</f>
        <v>0</v>
      </c>
      <c r="DB886" s="2359">
        <f>IF(DA867=0,0,DA886/DA867)</f>
        <v>0</v>
      </c>
      <c r="DC886" s="2358">
        <f t="shared" si="845"/>
        <v>0</v>
      </c>
      <c r="DD886" s="2361">
        <f>BM586</f>
        <v>0</v>
      </c>
      <c r="DE886" s="2359">
        <f>IF(DD867=0,0,DD886/DD867)</f>
        <v>0</v>
      </c>
      <c r="DF886" s="2358">
        <f t="shared" si="846"/>
        <v>0</v>
      </c>
      <c r="DG886" s="2361">
        <f>BN586</f>
        <v>0</v>
      </c>
      <c r="DH886" s="2359">
        <f>IF(DG867=0,0,DG886/DG867)</f>
        <v>0</v>
      </c>
      <c r="DI886" s="2358">
        <f t="shared" si="847"/>
        <v>0</v>
      </c>
      <c r="DJ886" s="2361">
        <f>BO586</f>
        <v>0</v>
      </c>
      <c r="DK886" s="2359">
        <f>IF(DJ867=0,0,DJ886/DJ867)</f>
        <v>0</v>
      </c>
      <c r="DL886" s="2358">
        <f t="shared" si="848"/>
        <v>0</v>
      </c>
      <c r="DM886" s="2361">
        <f>BP586</f>
        <v>0</v>
      </c>
      <c r="DN886" s="2359">
        <f>IF(DM867=0,0,DM886/DM867)</f>
        <v>0</v>
      </c>
      <c r="DO886" s="2358">
        <f t="shared" si="849"/>
        <v>0</v>
      </c>
      <c r="DP886" s="2361">
        <f>BQ586</f>
        <v>0</v>
      </c>
      <c r="DQ886" s="2359">
        <f>IF(DP867=0,0,DP886/DP867)</f>
        <v>0</v>
      </c>
      <c r="DR886" s="2360">
        <f t="shared" si="850"/>
        <v>0</v>
      </c>
      <c r="DS886" s="2361">
        <f>BR586</f>
        <v>0</v>
      </c>
      <c r="DT886" s="2359">
        <f>IF(DS867=0,0,DS886/DS867)</f>
        <v>0</v>
      </c>
      <c r="DU886" s="2358">
        <f t="shared" si="851"/>
        <v>0</v>
      </c>
      <c r="DV886" s="2361">
        <f>BS586</f>
        <v>0</v>
      </c>
      <c r="DW886" s="2359">
        <f>IF(DV867=0,0,DV886/DV867)</f>
        <v>0</v>
      </c>
      <c r="DX886" s="2358">
        <f t="shared" si="852"/>
        <v>0</v>
      </c>
      <c r="DY886" s="2326"/>
    </row>
    <row r="887" spans="33:129" s="536" customFormat="1" ht="18">
      <c r="AG887" s="2327"/>
      <c r="AO887" s="2216"/>
      <c r="AP887" s="2216"/>
      <c r="AQ887" s="2216"/>
      <c r="AS887" s="803"/>
      <c r="AT887" s="2216"/>
      <c r="AV887" s="803"/>
      <c r="AW887" s="2216"/>
      <c r="AY887" s="803"/>
      <c r="AZ887" s="803"/>
      <c r="BA887" s="2367" t="str">
        <f t="shared" si="863"/>
        <v>+ AJUSTE POR INFLACIÓN INVERSIONES PERMANENTES</v>
      </c>
      <c r="BB887" s="2007"/>
      <c r="BC887" s="2365"/>
      <c r="BD887" s="2366">
        <f t="shared" si="864"/>
        <v>0</v>
      </c>
      <c r="BE887" s="2366">
        <f t="shared" ref="BE887:BT887" si="868">BE829</f>
        <v>0</v>
      </c>
      <c r="BF887" s="2366">
        <f t="shared" si="868"/>
        <v>0</v>
      </c>
      <c r="BG887" s="2366">
        <f t="shared" si="868"/>
        <v>0</v>
      </c>
      <c r="BH887" s="2366">
        <f t="shared" si="868"/>
        <v>0</v>
      </c>
      <c r="BI887" s="2366">
        <f t="shared" si="868"/>
        <v>0</v>
      </c>
      <c r="BJ887" s="2366">
        <f t="shared" si="868"/>
        <v>0</v>
      </c>
      <c r="BK887" s="2366">
        <f t="shared" si="868"/>
        <v>0</v>
      </c>
      <c r="BL887" s="2366">
        <f t="shared" si="868"/>
        <v>0</v>
      </c>
      <c r="BM887" s="2366">
        <f t="shared" si="868"/>
        <v>0</v>
      </c>
      <c r="BN887" s="2366">
        <f t="shared" si="868"/>
        <v>0</v>
      </c>
      <c r="BO887" s="2366">
        <f t="shared" si="868"/>
        <v>0</v>
      </c>
      <c r="BP887" s="2366">
        <f t="shared" si="868"/>
        <v>0</v>
      </c>
      <c r="BQ887" s="2366">
        <f t="shared" si="868"/>
        <v>0</v>
      </c>
      <c r="BR887" s="2366">
        <f t="shared" si="868"/>
        <v>0</v>
      </c>
      <c r="BS887" s="2366">
        <f t="shared" si="868"/>
        <v>0</v>
      </c>
      <c r="BT887" s="2366">
        <f t="shared" si="868"/>
        <v>0</v>
      </c>
      <c r="BV887" s="2322"/>
      <c r="BW887" s="2181"/>
      <c r="BX887" s="2181"/>
      <c r="BY887" s="2181"/>
      <c r="BZ887" s="2386" t="s">
        <v>1504</v>
      </c>
      <c r="CA887" s="2387">
        <f>CA885+CA886</f>
        <v>0</v>
      </c>
      <c r="CB887" s="2388">
        <f>IF(CA867=0,0,CA887/CA867)</f>
        <v>0</v>
      </c>
      <c r="CC887" s="2390">
        <f>CC885+CC886</f>
        <v>0</v>
      </c>
      <c r="CD887" s="2389">
        <f>IF(CC867=0,0,CC887/CC867)</f>
        <v>0</v>
      </c>
      <c r="CE887" s="2388">
        <f t="shared" si="860"/>
        <v>0</v>
      </c>
      <c r="CF887" s="2390">
        <f>CF885+CF886</f>
        <v>0</v>
      </c>
      <c r="CG887" s="2389">
        <f>IF(CF867=0,0,CF887/CF867)</f>
        <v>0</v>
      </c>
      <c r="CH887" s="2388">
        <f t="shared" si="838"/>
        <v>0</v>
      </c>
      <c r="CI887" s="2390">
        <f>CI885+CI886</f>
        <v>0</v>
      </c>
      <c r="CJ887" s="2389">
        <f>IF(CI867=0,0,CI887/CI867)</f>
        <v>0</v>
      </c>
      <c r="CK887" s="2388">
        <f t="shared" si="839"/>
        <v>0</v>
      </c>
      <c r="CL887" s="2390">
        <f>CL885+CL886</f>
        <v>0</v>
      </c>
      <c r="CM887" s="2389">
        <f>IF(CL867=0,0,CL887/CL867)</f>
        <v>0</v>
      </c>
      <c r="CN887" s="2388">
        <f t="shared" si="840"/>
        <v>0</v>
      </c>
      <c r="CO887" s="2390">
        <f>CO885+CO886</f>
        <v>0</v>
      </c>
      <c r="CP887" s="2389">
        <f>IF(CO867=0,0,CO887/CO867)</f>
        <v>0</v>
      </c>
      <c r="CQ887" s="2388">
        <f t="shared" si="841"/>
        <v>0</v>
      </c>
      <c r="CR887" s="2390">
        <f>CR885+CR886</f>
        <v>0</v>
      </c>
      <c r="CS887" s="2389">
        <f>IF(CR867=0,0,CR887/CR867)</f>
        <v>0</v>
      </c>
      <c r="CT887" s="2388">
        <f t="shared" si="842"/>
        <v>0</v>
      </c>
      <c r="CU887" s="2390">
        <f>CU885+CU886</f>
        <v>0</v>
      </c>
      <c r="CV887" s="2389">
        <f>IF(CU867=0,0,CU887/CU867)</f>
        <v>0</v>
      </c>
      <c r="CW887" s="2388">
        <f t="shared" si="843"/>
        <v>0</v>
      </c>
      <c r="CX887" s="2390">
        <f>CX885+CX886</f>
        <v>0</v>
      </c>
      <c r="CY887" s="2389">
        <f>IF(CX867=0,0,CX887/CX867)</f>
        <v>0</v>
      </c>
      <c r="CZ887" s="2388">
        <f t="shared" si="844"/>
        <v>0</v>
      </c>
      <c r="DA887" s="2390">
        <f>DA885+DA886</f>
        <v>0</v>
      </c>
      <c r="DB887" s="2389">
        <f>IF(DA867=0,0,DA887/DA867)</f>
        <v>0</v>
      </c>
      <c r="DC887" s="2388">
        <f t="shared" si="845"/>
        <v>0</v>
      </c>
      <c r="DD887" s="2390">
        <f>DD885+DD886</f>
        <v>0</v>
      </c>
      <c r="DE887" s="2389">
        <f>IF(DD867=0,0,DD887/DD867)</f>
        <v>0</v>
      </c>
      <c r="DF887" s="2388">
        <f t="shared" si="846"/>
        <v>0</v>
      </c>
      <c r="DG887" s="2390">
        <f>DG885+DG886</f>
        <v>0</v>
      </c>
      <c r="DH887" s="2389">
        <f>IF(DG867=0,0,DG887/DG867)</f>
        <v>0</v>
      </c>
      <c r="DI887" s="2388">
        <f t="shared" si="847"/>
        <v>0</v>
      </c>
      <c r="DJ887" s="2390">
        <f>DJ885+DJ886</f>
        <v>0</v>
      </c>
      <c r="DK887" s="2389">
        <f>IF(DJ867=0,0,DJ887/DJ867)</f>
        <v>0</v>
      </c>
      <c r="DL887" s="2388">
        <f t="shared" si="848"/>
        <v>0</v>
      </c>
      <c r="DM887" s="2390">
        <f>DM885+DM886</f>
        <v>0</v>
      </c>
      <c r="DN887" s="2389">
        <f>IF(DM867=0,0,DM887/DM867)</f>
        <v>0</v>
      </c>
      <c r="DO887" s="2388">
        <f t="shared" si="849"/>
        <v>0</v>
      </c>
      <c r="DP887" s="2390">
        <f>DP885+DP886</f>
        <v>0</v>
      </c>
      <c r="DQ887" s="2389">
        <f>IF(DP867=0,0,DP887/DP867)</f>
        <v>0</v>
      </c>
      <c r="DR887" s="2353">
        <f t="shared" si="850"/>
        <v>0</v>
      </c>
      <c r="DS887" s="2390">
        <f>DS885+DS886</f>
        <v>0</v>
      </c>
      <c r="DT887" s="2389">
        <f>IF(DS867=0,0,DS887/DS867)</f>
        <v>0</v>
      </c>
      <c r="DU887" s="2388">
        <f t="shared" si="851"/>
        <v>0</v>
      </c>
      <c r="DV887" s="2390">
        <f>DV885+DV886</f>
        <v>0</v>
      </c>
      <c r="DW887" s="2389">
        <f>IF(DV867=0,0,DV887/DV867)</f>
        <v>0</v>
      </c>
      <c r="DX887" s="2388">
        <f t="shared" si="852"/>
        <v>0</v>
      </c>
      <c r="DY887" s="2326"/>
    </row>
    <row r="888" spans="33:129" s="536" customFormat="1" ht="17.5">
      <c r="AG888" s="2327"/>
      <c r="AO888" s="2216"/>
      <c r="AP888" s="2216"/>
      <c r="AQ888" s="2216"/>
      <c r="AS888" s="803"/>
      <c r="AT888" s="2216"/>
      <c r="AV888" s="803"/>
      <c r="AW888" s="2216"/>
      <c r="AY888" s="803"/>
      <c r="AZ888" s="803"/>
      <c r="BA888" s="2366" t="str">
        <f t="shared" si="863"/>
        <v>+ AJUSTE POR INFLACIÓN INTANGIBLES</v>
      </c>
      <c r="BD888" s="2366">
        <f t="shared" si="864"/>
        <v>0</v>
      </c>
      <c r="BE888" s="2366">
        <f t="shared" ref="BE888:BT888" si="869">BE830</f>
        <v>0</v>
      </c>
      <c r="BF888" s="2366">
        <f t="shared" si="869"/>
        <v>0</v>
      </c>
      <c r="BG888" s="2366">
        <f t="shared" si="869"/>
        <v>0</v>
      </c>
      <c r="BH888" s="2366">
        <f t="shared" si="869"/>
        <v>0</v>
      </c>
      <c r="BI888" s="2366">
        <f t="shared" si="869"/>
        <v>0</v>
      </c>
      <c r="BJ888" s="2366">
        <f t="shared" si="869"/>
        <v>0</v>
      </c>
      <c r="BK888" s="2366">
        <f t="shared" si="869"/>
        <v>0</v>
      </c>
      <c r="BL888" s="2366">
        <f t="shared" si="869"/>
        <v>0</v>
      </c>
      <c r="BM888" s="2366">
        <f t="shared" si="869"/>
        <v>0</v>
      </c>
      <c r="BN888" s="2366">
        <f t="shared" si="869"/>
        <v>0</v>
      </c>
      <c r="BO888" s="2366">
        <f t="shared" si="869"/>
        <v>0</v>
      </c>
      <c r="BP888" s="2366">
        <f t="shared" si="869"/>
        <v>0</v>
      </c>
      <c r="BQ888" s="2366">
        <f t="shared" si="869"/>
        <v>0</v>
      </c>
      <c r="BR888" s="2366">
        <f t="shared" si="869"/>
        <v>0</v>
      </c>
      <c r="BS888" s="2366">
        <f t="shared" si="869"/>
        <v>0</v>
      </c>
      <c r="BT888" s="2366">
        <f t="shared" si="869"/>
        <v>0</v>
      </c>
      <c r="BV888" s="2322"/>
      <c r="BW888" s="2181"/>
      <c r="BX888" s="2181"/>
      <c r="BY888" s="2181"/>
      <c r="BZ888" s="2356"/>
      <c r="CA888" s="2357"/>
      <c r="CB888" s="2358"/>
      <c r="CC888" s="2361"/>
      <c r="CD888" s="2359"/>
      <c r="CE888" s="2358"/>
      <c r="CF888" s="2361"/>
      <c r="CG888" s="2359"/>
      <c r="CH888" s="2358"/>
      <c r="CI888" s="2361"/>
      <c r="CJ888" s="2359"/>
      <c r="CK888" s="2358"/>
      <c r="CL888" s="2361"/>
      <c r="CM888" s="2359"/>
      <c r="CN888" s="2358"/>
      <c r="CO888" s="2361"/>
      <c r="CP888" s="2359"/>
      <c r="CQ888" s="2358"/>
      <c r="CR888" s="2361"/>
      <c r="CS888" s="2359"/>
      <c r="CT888" s="2358"/>
      <c r="CU888" s="2361"/>
      <c r="CV888" s="2359"/>
      <c r="CW888" s="2358"/>
      <c r="CX888" s="2361"/>
      <c r="CY888" s="2359"/>
      <c r="CZ888" s="2358"/>
      <c r="DA888" s="2361"/>
      <c r="DB888" s="2359"/>
      <c r="DC888" s="2358"/>
      <c r="DD888" s="2361"/>
      <c r="DE888" s="2359"/>
      <c r="DF888" s="2358"/>
      <c r="DG888" s="2361"/>
      <c r="DH888" s="2359"/>
      <c r="DI888" s="2358"/>
      <c r="DJ888" s="2361"/>
      <c r="DK888" s="2359"/>
      <c r="DL888" s="2358"/>
      <c r="DM888" s="2361"/>
      <c r="DN888" s="2359"/>
      <c r="DO888" s="2358"/>
      <c r="DP888" s="2361"/>
      <c r="DQ888" s="2359"/>
      <c r="DR888" s="2376">
        <f t="shared" si="850"/>
        <v>0</v>
      </c>
      <c r="DS888" s="2361"/>
      <c r="DT888" s="2359"/>
      <c r="DU888" s="2358"/>
      <c r="DV888" s="2361"/>
      <c r="DW888" s="2359"/>
      <c r="DX888" s="2358"/>
      <c r="DY888" s="2326"/>
    </row>
    <row r="889" spans="33:129" s="536" customFormat="1" ht="18">
      <c r="AG889" s="2327"/>
      <c r="AO889" s="2216"/>
      <c r="AP889" s="2216"/>
      <c r="AQ889" s="2216"/>
      <c r="AS889" s="803"/>
      <c r="AT889" s="2216"/>
      <c r="AV889" s="803"/>
      <c r="AW889" s="2216"/>
      <c r="AY889" s="803"/>
      <c r="AZ889" s="803"/>
      <c r="BA889" s="2367" t="str">
        <f t="shared" si="863"/>
        <v>-  AJUSTE POR INFLACIÓN AMORTIZACIÓN INTANGIBLES</v>
      </c>
      <c r="BB889" s="2007"/>
      <c r="BC889" s="2365"/>
      <c r="BD889" s="2366">
        <f t="shared" si="864"/>
        <v>0</v>
      </c>
      <c r="BE889" s="2366">
        <f t="shared" ref="BE889:BT889" si="870">BE831</f>
        <v>0</v>
      </c>
      <c r="BF889" s="2366">
        <f t="shared" si="870"/>
        <v>0</v>
      </c>
      <c r="BG889" s="2366">
        <f t="shared" si="870"/>
        <v>0</v>
      </c>
      <c r="BH889" s="2366">
        <f t="shared" si="870"/>
        <v>0</v>
      </c>
      <c r="BI889" s="2366">
        <f t="shared" si="870"/>
        <v>0</v>
      </c>
      <c r="BJ889" s="2366">
        <f t="shared" si="870"/>
        <v>0</v>
      </c>
      <c r="BK889" s="2366">
        <f t="shared" si="870"/>
        <v>0</v>
      </c>
      <c r="BL889" s="2366">
        <f t="shared" si="870"/>
        <v>0</v>
      </c>
      <c r="BM889" s="2366">
        <f t="shared" si="870"/>
        <v>0</v>
      </c>
      <c r="BN889" s="2366">
        <f t="shared" si="870"/>
        <v>0</v>
      </c>
      <c r="BO889" s="2366">
        <f t="shared" si="870"/>
        <v>0</v>
      </c>
      <c r="BP889" s="2366">
        <f t="shared" si="870"/>
        <v>0</v>
      </c>
      <c r="BQ889" s="2366">
        <f t="shared" si="870"/>
        <v>0</v>
      </c>
      <c r="BR889" s="2366">
        <f t="shared" si="870"/>
        <v>0</v>
      </c>
      <c r="BS889" s="2366">
        <f t="shared" si="870"/>
        <v>0</v>
      </c>
      <c r="BT889" s="2366">
        <f t="shared" si="870"/>
        <v>0</v>
      </c>
      <c r="BV889" s="2322"/>
      <c r="BW889" s="2181"/>
      <c r="BX889" s="2181"/>
      <c r="BY889" s="2181"/>
      <c r="BZ889" s="2351" t="s">
        <v>1505</v>
      </c>
      <c r="CA889" s="2352">
        <f>AY619</f>
        <v>0</v>
      </c>
      <c r="CB889" s="2353">
        <f>IF(CA867=0,0,CA889/CA867)</f>
        <v>0</v>
      </c>
      <c r="CC889" s="2352">
        <f>BE619</f>
        <v>0</v>
      </c>
      <c r="CD889" s="2354">
        <f>IF(CC867=0,0,CC889/CC867)</f>
        <v>0</v>
      </c>
      <c r="CE889" s="2353">
        <f>IF(CA889=0,0,IF(ABS(CC889/CA889-1)&gt;10000%,0,CC889/CA889-1))</f>
        <v>0</v>
      </c>
      <c r="CF889" s="2352">
        <f>BF619</f>
        <v>0</v>
      </c>
      <c r="CG889" s="2354">
        <f>IF(CF867=0,0,CF889/CF867)</f>
        <v>0</v>
      </c>
      <c r="CH889" s="2353">
        <f>IF(CC889=0,0,IF(ABS(CF889/CC889-1)&gt;10000%,0,CF889/CC889-1))</f>
        <v>0</v>
      </c>
      <c r="CI889" s="2352">
        <f>BG619</f>
        <v>0</v>
      </c>
      <c r="CJ889" s="2354">
        <f>IF(CI867=0,0,CI889/CI867)</f>
        <v>0</v>
      </c>
      <c r="CK889" s="2353">
        <f>IF(CF889=0,0,IF(ABS(CI889/CF889-1)&gt;10000%,0,CI889/CF889-1))</f>
        <v>0</v>
      </c>
      <c r="CL889" s="2352">
        <f>BH619</f>
        <v>0</v>
      </c>
      <c r="CM889" s="2354">
        <f>IF(CL867=0,0,CL889/CL867)</f>
        <v>0</v>
      </c>
      <c r="CN889" s="2353">
        <f>IF(CI889=0,0,IF(ABS(CL889/CI889-1)&gt;10000%,0,CL889/CI889-1))</f>
        <v>0</v>
      </c>
      <c r="CO889" s="2352">
        <f>BI619</f>
        <v>0</v>
      </c>
      <c r="CP889" s="2354">
        <f>IF(CO867=0,0,CO889/CO867)</f>
        <v>0</v>
      </c>
      <c r="CQ889" s="2353">
        <f>IF(CL889=0,0,IF(ABS(CO889/CL889-1)&gt;10000%,0,CO889/CL889-1))</f>
        <v>0</v>
      </c>
      <c r="CR889" s="2352">
        <f>BJ619</f>
        <v>0</v>
      </c>
      <c r="CS889" s="2354">
        <f>IF(CR867=0,0,CR889/CR867)</f>
        <v>0</v>
      </c>
      <c r="CT889" s="2353">
        <f>IF(CO889=0,0,IF(ABS(CR889/CO889-1)&gt;10000%,0,CR889/CO889-1))</f>
        <v>0</v>
      </c>
      <c r="CU889" s="2352">
        <f>BK619</f>
        <v>0</v>
      </c>
      <c r="CV889" s="2354">
        <f>IF(CU867=0,0,CU889/CU867)</f>
        <v>0</v>
      </c>
      <c r="CW889" s="2353">
        <f>IF(CR889=0,0,IF(ABS(CU889/CR889-1)&gt;10000%,0,CU889/CR889-1))</f>
        <v>0</v>
      </c>
      <c r="CX889" s="2352">
        <f>BL619</f>
        <v>0</v>
      </c>
      <c r="CY889" s="2354">
        <f>IF(CX867=0,0,CX889/CX867)</f>
        <v>0</v>
      </c>
      <c r="CZ889" s="2353">
        <f>IF(CU889=0,0,IF(ABS(CX889/CU889-1)&gt;10000%,0,CX889/CU889-1))</f>
        <v>0</v>
      </c>
      <c r="DA889" s="2352">
        <f>BM619</f>
        <v>0</v>
      </c>
      <c r="DB889" s="2354">
        <f>IF(DA867=0,0,DA889/DA867)</f>
        <v>0</v>
      </c>
      <c r="DC889" s="2353">
        <f>IF(CX889=0,0,IF(ABS(DA889/CX889-1)&gt;10000%,0,DA889/CX889-1))</f>
        <v>0</v>
      </c>
      <c r="DD889" s="2352">
        <f>BN619</f>
        <v>0</v>
      </c>
      <c r="DE889" s="2354">
        <f>IF(DD867=0,0,DD889/DD867)</f>
        <v>0</v>
      </c>
      <c r="DF889" s="2353">
        <f>IF(DA889=0,0,IF(ABS(DD889/DA889-1)&gt;10000%,0,DD889/DA889-1))</f>
        <v>0</v>
      </c>
      <c r="DG889" s="2352">
        <f>BO619</f>
        <v>0</v>
      </c>
      <c r="DH889" s="2354">
        <f>IF(DG867=0,0,DG889/DG867)</f>
        <v>0</v>
      </c>
      <c r="DI889" s="2353">
        <f>IF(DD889=0,0,IF(ABS(DG889/DD889-1)&gt;10000%,0,DG889/DD889-1))</f>
        <v>0</v>
      </c>
      <c r="DJ889" s="2352">
        <f>BP619</f>
        <v>0</v>
      </c>
      <c r="DK889" s="2354">
        <f>IF(DJ867=0,0,DJ889/DJ867)</f>
        <v>0</v>
      </c>
      <c r="DL889" s="2353">
        <f>IF(DG889=0,0,IF(ABS(DJ889/DG889-1)&gt;10000%,0,DJ889/DG889-1))</f>
        <v>0</v>
      </c>
      <c r="DM889" s="2352">
        <f>BQ619</f>
        <v>0</v>
      </c>
      <c r="DN889" s="2354">
        <f>IF(DM867=0,0,DM889/DM867)</f>
        <v>0</v>
      </c>
      <c r="DO889" s="2353">
        <f>IF(DJ889=0,0,IF(ABS(DM889/DJ889-1)&gt;10000%,0,DM889/DJ889-1))</f>
        <v>0</v>
      </c>
      <c r="DP889" s="2352">
        <f>BR619</f>
        <v>0</v>
      </c>
      <c r="DQ889" s="2354">
        <f>IF(DP867=0,0,DP889/DP867)</f>
        <v>0</v>
      </c>
      <c r="DR889" s="2353">
        <f t="shared" si="850"/>
        <v>0</v>
      </c>
      <c r="DS889" s="2352">
        <f>BS619</f>
        <v>0</v>
      </c>
      <c r="DT889" s="2354">
        <f>IF(DS867=0,0,DS889/DS867)</f>
        <v>0</v>
      </c>
      <c r="DU889" s="2353">
        <f>IF(DP889=0,0,IF(ABS(DS889/DP889-1)&gt;10000%,0,DS889/DP889-1))</f>
        <v>0</v>
      </c>
      <c r="DV889" s="2355">
        <f>BT619</f>
        <v>0</v>
      </c>
      <c r="DW889" s="2354">
        <f>IF(DV867=0,0,DV889/DV867)</f>
        <v>0</v>
      </c>
      <c r="DX889" s="2353">
        <f>IF(DS889=0,0,IF(ABS(DV889/DS889-1)&gt;10000%,0,DV889/DS889-1))</f>
        <v>0</v>
      </c>
      <c r="DY889" s="2326"/>
    </row>
    <row r="890" spans="33:129" s="536" customFormat="1" ht="18">
      <c r="AG890" s="2327"/>
      <c r="AO890" s="2216"/>
      <c r="AP890" s="2216"/>
      <c r="AQ890" s="2216"/>
      <c r="AS890" s="803"/>
      <c r="AT890" s="2216"/>
      <c r="AV890" s="803"/>
      <c r="AW890" s="2216"/>
      <c r="AY890" s="803"/>
      <c r="AZ890" s="803"/>
      <c r="BA890" s="2366" t="str">
        <f t="shared" si="863"/>
        <v>+ AJUSTE POR INFLACIÓN CARGOS DIFERIDOS</v>
      </c>
      <c r="BD890" s="2366">
        <f t="shared" si="864"/>
        <v>0</v>
      </c>
      <c r="BE890" s="2366">
        <f t="shared" ref="BE890:BT890" si="871">BE832</f>
        <v>0</v>
      </c>
      <c r="BF890" s="2366">
        <f t="shared" si="871"/>
        <v>0</v>
      </c>
      <c r="BG890" s="2366">
        <f t="shared" si="871"/>
        <v>0</v>
      </c>
      <c r="BH890" s="2366">
        <f t="shared" si="871"/>
        <v>0</v>
      </c>
      <c r="BI890" s="2366">
        <f t="shared" si="871"/>
        <v>0</v>
      </c>
      <c r="BJ890" s="2366">
        <f t="shared" si="871"/>
        <v>0</v>
      </c>
      <c r="BK890" s="2366">
        <f t="shared" si="871"/>
        <v>0</v>
      </c>
      <c r="BL890" s="2366">
        <f t="shared" si="871"/>
        <v>0</v>
      </c>
      <c r="BM890" s="2366">
        <f t="shared" si="871"/>
        <v>0</v>
      </c>
      <c r="BN890" s="2366">
        <f t="shared" si="871"/>
        <v>0</v>
      </c>
      <c r="BO890" s="2366">
        <f t="shared" si="871"/>
        <v>0</v>
      </c>
      <c r="BP890" s="2366">
        <f t="shared" si="871"/>
        <v>0</v>
      </c>
      <c r="BQ890" s="2366">
        <f t="shared" si="871"/>
        <v>0</v>
      </c>
      <c r="BR890" s="2366">
        <f t="shared" si="871"/>
        <v>0</v>
      </c>
      <c r="BS890" s="2366">
        <f t="shared" si="871"/>
        <v>0</v>
      </c>
      <c r="BT890" s="2366">
        <f t="shared" si="871"/>
        <v>0</v>
      </c>
      <c r="BV890" s="2322"/>
      <c r="BW890" s="2181"/>
      <c r="BX890" s="2181"/>
      <c r="BY890" s="2181"/>
      <c r="BZ890" s="2351" t="s">
        <v>1506</v>
      </c>
      <c r="CA890" s="2352">
        <f>SUM(AY620:AY622,AY633:AY635)</f>
        <v>0</v>
      </c>
      <c r="CB890" s="2353">
        <f>IF(CA867=0,0,CA890/CA867)</f>
        <v>0</v>
      </c>
      <c r="CC890" s="2352">
        <f>SUM(BE620:BE622,BE633:BE635)</f>
        <v>0</v>
      </c>
      <c r="CD890" s="2354">
        <f>IF(CC867=0,0,CC890/CC867)</f>
        <v>0</v>
      </c>
      <c r="CE890" s="2353">
        <f>IF(CA890=0,0,IF(ABS(CC890/CA890-1)&gt;10000%,0,CC890/CA890-1))</f>
        <v>0</v>
      </c>
      <c r="CF890" s="2352">
        <f>SUM(BF620:BF622,BF633:BF635)</f>
        <v>0</v>
      </c>
      <c r="CG890" s="2354">
        <f>IF(CF867=0,0,CF890/CF867)</f>
        <v>0</v>
      </c>
      <c r="CH890" s="2353">
        <f>IF(CC890=0,0,IF(ABS(CF890/CC890-1)&gt;10000%,0,CF890/CC890-1))</f>
        <v>0</v>
      </c>
      <c r="CI890" s="2352">
        <f>SUM(BG620:BG622,BG633:BG635)</f>
        <v>0</v>
      </c>
      <c r="CJ890" s="2354">
        <f>IF(CI867=0,0,CI890/CI867)</f>
        <v>0</v>
      </c>
      <c r="CK890" s="2353">
        <f>IF(CF890=0,0,IF(ABS(CI890/CF890-1)&gt;10000%,0,CI890/CF890-1))</f>
        <v>0</v>
      </c>
      <c r="CL890" s="2352">
        <f>SUM(BH620:BH622,BH633:BH635)</f>
        <v>0</v>
      </c>
      <c r="CM890" s="2354">
        <f>IF(CL867=0,0,CL890/CL867)</f>
        <v>0</v>
      </c>
      <c r="CN890" s="2353">
        <f>IF(CI890=0,0,IF(ABS(CL890/CI890-1)&gt;10000%,0,CL890/CI890-1))</f>
        <v>0</v>
      </c>
      <c r="CO890" s="2352">
        <f>SUM(BI620:BI622,BI633:BI635)</f>
        <v>0</v>
      </c>
      <c r="CP890" s="2354">
        <f>IF(CO867=0,0,CO890/CO867)</f>
        <v>0</v>
      </c>
      <c r="CQ890" s="2353">
        <f>IF(CL890=0,0,IF(ABS(CO890/CL890-1)&gt;10000%,0,CO890/CL890-1))</f>
        <v>0</v>
      </c>
      <c r="CR890" s="2352">
        <f>SUM(BJ620:BJ622,BJ633:BJ635)</f>
        <v>0</v>
      </c>
      <c r="CS890" s="2354">
        <f>IF(CR867=0,0,CR890/CR867)</f>
        <v>0</v>
      </c>
      <c r="CT890" s="2353">
        <f>IF(CO890=0,0,IF(ABS(CR890/CO890-1)&gt;10000%,0,CR890/CO890-1))</f>
        <v>0</v>
      </c>
      <c r="CU890" s="2352">
        <f>SUM(BK620:BK622,BK633:BK635)</f>
        <v>0</v>
      </c>
      <c r="CV890" s="2354">
        <f>IF(CU867=0,0,CU890/CU867)</f>
        <v>0</v>
      </c>
      <c r="CW890" s="2353">
        <f>IF(CR890=0,0,IF(ABS(CU890/CR890-1)&gt;10000%,0,CU890/CR890-1))</f>
        <v>0</v>
      </c>
      <c r="CX890" s="2352">
        <f>SUM(BL620:BL622,BL633:BL635)</f>
        <v>0</v>
      </c>
      <c r="CY890" s="2354">
        <f>IF(CX867=0,0,CX890/CX867)</f>
        <v>0</v>
      </c>
      <c r="CZ890" s="2353">
        <f>IF(CU890=0,0,IF(ABS(CX890/CU890-1)&gt;10000%,0,CX890/CU890-1))</f>
        <v>0</v>
      </c>
      <c r="DA890" s="2352">
        <f>SUM(BM620:BM622,BM633:BM635)</f>
        <v>0</v>
      </c>
      <c r="DB890" s="2354">
        <f>IF(DA867=0,0,DA890/DA867)</f>
        <v>0</v>
      </c>
      <c r="DC890" s="2353">
        <f>IF(CX890=0,0,IF(ABS(DA890/CX890-1)&gt;10000%,0,DA890/CX890-1))</f>
        <v>0</v>
      </c>
      <c r="DD890" s="2352">
        <f>SUM(BN620:BN622,BN633:BN635)</f>
        <v>0</v>
      </c>
      <c r="DE890" s="2354">
        <f>IF(DD867=0,0,DD890/DD867)</f>
        <v>0</v>
      </c>
      <c r="DF890" s="2353">
        <f>IF(DA890=0,0,IF(ABS(DD890/DA890-1)&gt;10000%,0,DD890/DA890-1))</f>
        <v>0</v>
      </c>
      <c r="DG890" s="2352">
        <f>SUM(BO620:BO622,BO633:BO635)</f>
        <v>0</v>
      </c>
      <c r="DH890" s="2354">
        <f>IF(DG867=0,0,DG890/DG867)</f>
        <v>0</v>
      </c>
      <c r="DI890" s="2353">
        <f>IF(DD890=0,0,IF(ABS(DG890/DD890-1)&gt;10000%,0,DG890/DD890-1))</f>
        <v>0</v>
      </c>
      <c r="DJ890" s="2352">
        <f>SUM(BP620:BP622,BP633:BP635)</f>
        <v>0</v>
      </c>
      <c r="DK890" s="2354">
        <f>IF(DJ867=0,0,DJ890/DJ867)</f>
        <v>0</v>
      </c>
      <c r="DL890" s="2353">
        <f>IF(DG890=0,0,IF(ABS(DJ890/DG890-1)&gt;10000%,0,DJ890/DG890-1))</f>
        <v>0</v>
      </c>
      <c r="DM890" s="2352">
        <f>SUM(BQ620:BQ622,BQ633:BQ635)</f>
        <v>0</v>
      </c>
      <c r="DN890" s="2354">
        <f>IF(DM867=0,0,DM890/DM867)</f>
        <v>0</v>
      </c>
      <c r="DO890" s="2353">
        <f>IF(DJ890=0,0,IF(ABS(DM890/DJ890-1)&gt;10000%,0,DM890/DJ890-1))</f>
        <v>0</v>
      </c>
      <c r="DP890" s="2352">
        <f>SUM(BR620:BR622,BR633:BR635)</f>
        <v>0</v>
      </c>
      <c r="DQ890" s="2354">
        <f>IF(DP867=0,0,DP890/DP867)</f>
        <v>0</v>
      </c>
      <c r="DR890" s="2353">
        <f t="shared" si="850"/>
        <v>0</v>
      </c>
      <c r="DS890" s="2352">
        <f>SUM(BS620:BS622,BS633:BS635)</f>
        <v>0</v>
      </c>
      <c r="DT890" s="2354">
        <f>IF(DS867=0,0,DS890/DS867)</f>
        <v>0</v>
      </c>
      <c r="DU890" s="2353">
        <f>IF(DP890=0,0,IF(ABS(DS890/DP890-1)&gt;10000%,0,DS890/DP890-1))</f>
        <v>0</v>
      </c>
      <c r="DV890" s="2355">
        <f>SUM(BT620:BT622,BT633:BT635)</f>
        <v>0</v>
      </c>
      <c r="DW890" s="2354">
        <f>IF(DV867=0,0,DV890/DV867)</f>
        <v>0</v>
      </c>
      <c r="DX890" s="2353">
        <f>IF(DS890=0,0,IF(ABS(DV890/DS890-1)&gt;10000%,0,DV890/DS890-1))</f>
        <v>0</v>
      </c>
      <c r="DY890" s="2326"/>
    </row>
    <row r="891" spans="33:129" s="536" customFormat="1" ht="18">
      <c r="AG891" s="2327"/>
      <c r="AO891" s="2216"/>
      <c r="AP891" s="2216"/>
      <c r="AQ891" s="2216"/>
      <c r="AS891" s="803"/>
      <c r="AT891" s="2216"/>
      <c r="AV891" s="803"/>
      <c r="AW891" s="2216"/>
      <c r="AY891" s="803"/>
      <c r="AZ891" s="803"/>
      <c r="BA891" s="2367" t="str">
        <f t="shared" si="863"/>
        <v>-  AJUSTE POR INLFACIÓN AMORTIZACIÓN DIFERIDOS</v>
      </c>
      <c r="BB891" s="2007"/>
      <c r="BC891" s="2365"/>
      <c r="BD891" s="2366">
        <f t="shared" si="864"/>
        <v>0</v>
      </c>
      <c r="BE891" s="2366">
        <f t="shared" ref="BE891:BT891" si="872">BE833</f>
        <v>0</v>
      </c>
      <c r="BF891" s="2366">
        <f t="shared" si="872"/>
        <v>0</v>
      </c>
      <c r="BG891" s="2366">
        <f t="shared" si="872"/>
        <v>0</v>
      </c>
      <c r="BH891" s="2366">
        <f t="shared" si="872"/>
        <v>0</v>
      </c>
      <c r="BI891" s="2366">
        <f t="shared" si="872"/>
        <v>0</v>
      </c>
      <c r="BJ891" s="2366">
        <f t="shared" si="872"/>
        <v>0</v>
      </c>
      <c r="BK891" s="2366">
        <f t="shared" si="872"/>
        <v>0</v>
      </c>
      <c r="BL891" s="2366">
        <f t="shared" si="872"/>
        <v>0</v>
      </c>
      <c r="BM891" s="2366">
        <f t="shared" si="872"/>
        <v>0</v>
      </c>
      <c r="BN891" s="2366">
        <f t="shared" si="872"/>
        <v>0</v>
      </c>
      <c r="BO891" s="2366">
        <f t="shared" si="872"/>
        <v>0</v>
      </c>
      <c r="BP891" s="2366">
        <f t="shared" si="872"/>
        <v>0</v>
      </c>
      <c r="BQ891" s="2366">
        <f t="shared" si="872"/>
        <v>0</v>
      </c>
      <c r="BR891" s="2366">
        <f t="shared" si="872"/>
        <v>0</v>
      </c>
      <c r="BS891" s="2366">
        <f t="shared" si="872"/>
        <v>0</v>
      </c>
      <c r="BT891" s="2366">
        <f t="shared" si="872"/>
        <v>0</v>
      </c>
      <c r="BV891" s="2322"/>
      <c r="BW891" s="2181"/>
      <c r="BX891" s="2181"/>
      <c r="BY891" s="2181"/>
      <c r="BZ891" s="2386" t="s">
        <v>1507</v>
      </c>
      <c r="CA891" s="2387">
        <f>SUM(CA889:CA890)</f>
        <v>0</v>
      </c>
      <c r="CB891" s="2388">
        <f>IF(CA867=0,0,CA891/CA867)</f>
        <v>0</v>
      </c>
      <c r="CC891" s="2387">
        <f>SUM(CC889:CC890)</f>
        <v>0</v>
      </c>
      <c r="CD891" s="2389">
        <f>IF(CC867=0,0,CC891/CC867)</f>
        <v>0</v>
      </c>
      <c r="CE891" s="2388">
        <f>IF(CA891=0,0,IF(ABS(CC891/CA891-1)&gt;10000%,0,CC891/CA891-1))</f>
        <v>0</v>
      </c>
      <c r="CF891" s="2387">
        <f>SUM(CF889:CF890)</f>
        <v>0</v>
      </c>
      <c r="CG891" s="2389">
        <f>IF(CF867=0,0,CF891/CF867)</f>
        <v>0</v>
      </c>
      <c r="CH891" s="2388">
        <f>IF(CC891=0,0,IF(ABS(CF891/CC891-1)&gt;10000%,0,CF891/CC891-1))</f>
        <v>0</v>
      </c>
      <c r="CI891" s="2387">
        <f>SUM(CI889:CI890)</f>
        <v>0</v>
      </c>
      <c r="CJ891" s="2389">
        <f>IF(CI867=0,0,CI891/CI867)</f>
        <v>0</v>
      </c>
      <c r="CK891" s="2388">
        <f>IF(CF891=0,0,IF(ABS(CI891/CF891-1)&gt;10000%,0,CI891/CF891-1))</f>
        <v>0</v>
      </c>
      <c r="CL891" s="2387">
        <f>SUM(CL889:CL890)</f>
        <v>0</v>
      </c>
      <c r="CM891" s="2389">
        <f>IF(CL867=0,0,CL891/CL867)</f>
        <v>0</v>
      </c>
      <c r="CN891" s="2388">
        <f>IF(CI891=0,0,IF(ABS(CL891/CI891-1)&gt;10000%,0,CL891/CI891-1))</f>
        <v>0</v>
      </c>
      <c r="CO891" s="2387">
        <f>SUM(CO889:CO890)</f>
        <v>0</v>
      </c>
      <c r="CP891" s="2389">
        <f>IF(CO867=0,0,CO891/CO867)</f>
        <v>0</v>
      </c>
      <c r="CQ891" s="2388">
        <f>IF(CL891=0,0,IF(ABS(CO891/CL891-1)&gt;10000%,0,CO891/CL891-1))</f>
        <v>0</v>
      </c>
      <c r="CR891" s="2387">
        <f>SUM(CR889:CR890)</f>
        <v>0</v>
      </c>
      <c r="CS891" s="2389">
        <f>IF(CR867=0,0,CR891/CR867)</f>
        <v>0</v>
      </c>
      <c r="CT891" s="2388">
        <f>IF(CO891=0,0,IF(ABS(CR891/CO891-1)&gt;10000%,0,CR891/CO891-1))</f>
        <v>0</v>
      </c>
      <c r="CU891" s="2387">
        <f>SUM(CU889:CU890)</f>
        <v>0</v>
      </c>
      <c r="CV891" s="2389">
        <f>IF(CU867=0,0,CU891/CU867)</f>
        <v>0</v>
      </c>
      <c r="CW891" s="2388">
        <f>IF(CR891=0,0,IF(ABS(CU891/CR891-1)&gt;10000%,0,CU891/CR891-1))</f>
        <v>0</v>
      </c>
      <c r="CX891" s="2387">
        <f>SUM(CX889:CX890)</f>
        <v>0</v>
      </c>
      <c r="CY891" s="2389">
        <f>IF(CX867=0,0,CX891/CX867)</f>
        <v>0</v>
      </c>
      <c r="CZ891" s="2388">
        <f>IF(CU891=0,0,IF(ABS(CX891/CU891-1)&gt;10000%,0,CX891/CU891-1))</f>
        <v>0</v>
      </c>
      <c r="DA891" s="2387">
        <f>SUM(DA889:DA890)</f>
        <v>0</v>
      </c>
      <c r="DB891" s="2389">
        <f>IF(DA867=0,0,DA891/DA867)</f>
        <v>0</v>
      </c>
      <c r="DC891" s="2388">
        <f>IF(CX891=0,0,IF(ABS(DA891/CX891-1)&gt;10000%,0,DA891/CX891-1))</f>
        <v>0</v>
      </c>
      <c r="DD891" s="2387">
        <f>SUM(DD889:DD890)</f>
        <v>0</v>
      </c>
      <c r="DE891" s="2389">
        <f>IF(DD867=0,0,DD891/DD867)</f>
        <v>0</v>
      </c>
      <c r="DF891" s="2388">
        <f>IF(DA891=0,0,IF(ABS(DD891/DA891-1)&gt;10000%,0,DD891/DA891-1))</f>
        <v>0</v>
      </c>
      <c r="DG891" s="2387">
        <f>SUM(DG889:DG890)</f>
        <v>0</v>
      </c>
      <c r="DH891" s="2389">
        <f>IF(DG867=0,0,DG891/DG867)</f>
        <v>0</v>
      </c>
      <c r="DI891" s="2388">
        <f>IF(DD891=0,0,IF(ABS(DG891/DD891-1)&gt;10000%,0,DG891/DD891-1))</f>
        <v>0</v>
      </c>
      <c r="DJ891" s="2387">
        <f>SUM(DJ889:DJ890)</f>
        <v>0</v>
      </c>
      <c r="DK891" s="2389">
        <f>IF(DJ867=0,0,DJ891/DJ867)</f>
        <v>0</v>
      </c>
      <c r="DL891" s="2388">
        <f>IF(DG891=0,0,IF(ABS(DJ891/DG891-1)&gt;10000%,0,DJ891/DG891-1))</f>
        <v>0</v>
      </c>
      <c r="DM891" s="2387">
        <f>SUM(DM889:DM890)</f>
        <v>0</v>
      </c>
      <c r="DN891" s="2389">
        <f>IF(DM867=0,0,DM891/DM867)</f>
        <v>0</v>
      </c>
      <c r="DO891" s="2388">
        <f>IF(DJ891=0,0,IF(ABS(DM891/DJ891-1)&gt;10000%,0,DM891/DJ891-1))</f>
        <v>0</v>
      </c>
      <c r="DP891" s="2387">
        <f>SUM(DP889:DP890)</f>
        <v>0</v>
      </c>
      <c r="DQ891" s="2389">
        <f>IF(DP867=0,0,DP891/DP867)</f>
        <v>0</v>
      </c>
      <c r="DR891" s="2388">
        <f t="shared" si="850"/>
        <v>0</v>
      </c>
      <c r="DS891" s="2387">
        <f>SUM(DS889:DS890)</f>
        <v>0</v>
      </c>
      <c r="DT891" s="2389">
        <f>IF(DS867=0,0,DS891/DS867)</f>
        <v>0</v>
      </c>
      <c r="DU891" s="2388">
        <f>IF(DP891=0,0,IF(ABS(DS891/DP891-1)&gt;10000%,0,DS891/DP891-1))</f>
        <v>0</v>
      </c>
      <c r="DV891" s="2390">
        <f>SUM(DV889:DV890)</f>
        <v>0</v>
      </c>
      <c r="DW891" s="2389">
        <f>IF(DV867=0,0,DV891/DV867)</f>
        <v>0</v>
      </c>
      <c r="DX891" s="2388">
        <f>IF(DS891=0,0,IF(ABS(DV891/DS891-1)&gt;10000%,0,DV891/DS891-1))</f>
        <v>0</v>
      </c>
      <c r="DY891" s="2326"/>
    </row>
    <row r="892" spans="33:129" s="536" customFormat="1" ht="14.5">
      <c r="AG892" s="2327"/>
      <c r="AO892" s="2216"/>
      <c r="AP892" s="2216"/>
      <c r="AQ892" s="2216"/>
      <c r="AS892" s="803"/>
      <c r="AT892" s="2216"/>
      <c r="AV892" s="803"/>
      <c r="AW892" s="2216"/>
      <c r="AY892" s="803"/>
      <c r="AZ892" s="803"/>
      <c r="BA892" s="2366" t="str">
        <f t="shared" si="863"/>
        <v>+ AJUSTE POR INFLACIÓN OTROS ACTIVOS</v>
      </c>
      <c r="BD892" s="2366">
        <f t="shared" si="864"/>
        <v>0</v>
      </c>
      <c r="BE892" s="2366">
        <f t="shared" ref="BE892:BT892" si="873">BE834</f>
        <v>0</v>
      </c>
      <c r="BF892" s="2366">
        <f t="shared" si="873"/>
        <v>0</v>
      </c>
      <c r="BG892" s="2366">
        <f t="shared" si="873"/>
        <v>0</v>
      </c>
      <c r="BH892" s="2366">
        <f t="shared" si="873"/>
        <v>0</v>
      </c>
      <c r="BI892" s="2366">
        <f t="shared" si="873"/>
        <v>0</v>
      </c>
      <c r="BJ892" s="2366">
        <f t="shared" si="873"/>
        <v>0</v>
      </c>
      <c r="BK892" s="2366">
        <f t="shared" si="873"/>
        <v>0</v>
      </c>
      <c r="BL892" s="2366">
        <f t="shared" si="873"/>
        <v>0</v>
      </c>
      <c r="BM892" s="2366">
        <f t="shared" si="873"/>
        <v>0</v>
      </c>
      <c r="BN892" s="2366">
        <f t="shared" si="873"/>
        <v>0</v>
      </c>
      <c r="BO892" s="2366">
        <f t="shared" si="873"/>
        <v>0</v>
      </c>
      <c r="BP892" s="2366">
        <f t="shared" si="873"/>
        <v>0</v>
      </c>
      <c r="BQ892" s="2366">
        <f t="shared" si="873"/>
        <v>0</v>
      </c>
      <c r="BR892" s="2366">
        <f t="shared" si="873"/>
        <v>0</v>
      </c>
      <c r="BS892" s="2366">
        <f t="shared" si="873"/>
        <v>0</v>
      </c>
      <c r="BT892" s="2366">
        <f t="shared" si="873"/>
        <v>0</v>
      </c>
      <c r="BV892" s="2322"/>
      <c r="BW892" s="2181"/>
      <c r="BX892" s="2181"/>
      <c r="BY892" s="2181"/>
      <c r="DY892" s="2326"/>
    </row>
    <row r="893" spans="33:129" s="536" customFormat="1" ht="16.5">
      <c r="AG893" s="2327"/>
      <c r="AO893" s="2216"/>
      <c r="AP893" s="2216"/>
      <c r="AQ893" s="2216"/>
      <c r="AS893" s="803"/>
      <c r="AT893" s="2216"/>
      <c r="AV893" s="803"/>
      <c r="AW893" s="2216"/>
      <c r="AY893" s="803"/>
      <c r="AZ893" s="803"/>
      <c r="BA893" s="2367" t="str">
        <f t="shared" si="863"/>
        <v>-  AJUSTE POR INFLACIÓN PASIVOS</v>
      </c>
      <c r="BB893" s="2007"/>
      <c r="BC893" s="2365"/>
      <c r="BD893" s="2366">
        <f t="shared" si="864"/>
        <v>0</v>
      </c>
      <c r="BE893" s="2366">
        <f t="shared" ref="BE893:BT893" si="874">BE835</f>
        <v>0</v>
      </c>
      <c r="BF893" s="2366">
        <f t="shared" si="874"/>
        <v>0</v>
      </c>
      <c r="BG893" s="2366">
        <f t="shared" si="874"/>
        <v>0</v>
      </c>
      <c r="BH893" s="2366">
        <f t="shared" si="874"/>
        <v>0</v>
      </c>
      <c r="BI893" s="2366">
        <f t="shared" si="874"/>
        <v>0</v>
      </c>
      <c r="BJ893" s="2366">
        <f t="shared" si="874"/>
        <v>0</v>
      </c>
      <c r="BK893" s="2366">
        <f t="shared" si="874"/>
        <v>0</v>
      </c>
      <c r="BL893" s="2366">
        <f t="shared" si="874"/>
        <v>0</v>
      </c>
      <c r="BM893" s="2366">
        <f t="shared" si="874"/>
        <v>0</v>
      </c>
      <c r="BN893" s="2366">
        <f t="shared" si="874"/>
        <v>0</v>
      </c>
      <c r="BO893" s="2366">
        <f t="shared" si="874"/>
        <v>0</v>
      </c>
      <c r="BP893" s="2366">
        <f t="shared" si="874"/>
        <v>0</v>
      </c>
      <c r="BQ893" s="2366">
        <f t="shared" si="874"/>
        <v>0</v>
      </c>
      <c r="BR893" s="2366">
        <f t="shared" si="874"/>
        <v>0</v>
      </c>
      <c r="BS893" s="2366">
        <f t="shared" si="874"/>
        <v>0</v>
      </c>
      <c r="BT893" s="2366">
        <f t="shared" si="874"/>
        <v>0</v>
      </c>
      <c r="BV893" s="2322"/>
      <c r="BW893" s="2181"/>
      <c r="BX893" s="2181"/>
      <c r="BY893" s="2181"/>
      <c r="BZ893" s="2342" t="s">
        <v>536</v>
      </c>
      <c r="CA893" s="2421">
        <f>AY583</f>
        <v>2019</v>
      </c>
      <c r="CB893" s="2422"/>
      <c r="CC893" s="2345">
        <f>BE583</f>
        <v>2020</v>
      </c>
      <c r="CD893" s="2344"/>
      <c r="CE893" s="2343"/>
      <c r="CF893" s="2343">
        <f>BF583</f>
        <v>2021</v>
      </c>
      <c r="CG893" s="2344"/>
      <c r="CH893" s="2343"/>
      <c r="CI893" s="2343">
        <f>BG583</f>
        <v>2022</v>
      </c>
      <c r="CJ893" s="2344"/>
      <c r="CK893" s="2343"/>
      <c r="CL893" s="2343">
        <f>BH583</f>
        <v>2023</v>
      </c>
      <c r="CM893" s="2344"/>
      <c r="CN893" s="2343"/>
      <c r="CO893" s="2343">
        <f>BI583</f>
        <v>2024</v>
      </c>
      <c r="CP893" s="2344"/>
      <c r="CQ893" s="2343"/>
      <c r="CR893" s="2343">
        <f>BJ583</f>
        <v>2025</v>
      </c>
      <c r="CS893" s="2344"/>
      <c r="CT893" s="2343"/>
      <c r="CU893" s="2343">
        <f>BK583</f>
        <v>2026</v>
      </c>
      <c r="CV893" s="2344"/>
      <c r="CW893" s="2343"/>
      <c r="CX893" s="2343">
        <f>BL583</f>
        <v>2027</v>
      </c>
      <c r="CY893" s="2344"/>
      <c r="CZ893" s="2343"/>
      <c r="DA893" s="2343">
        <f>BM583</f>
        <v>2028</v>
      </c>
      <c r="DB893" s="2344"/>
      <c r="DC893" s="2343"/>
      <c r="DD893" s="2343">
        <f>BN583</f>
        <v>2029</v>
      </c>
      <c r="DE893" s="2344"/>
      <c r="DF893" s="2343"/>
      <c r="DG893" s="2343">
        <f>BO583</f>
        <v>2030</v>
      </c>
      <c r="DH893" s="2344"/>
      <c r="DI893" s="2343"/>
      <c r="DJ893" s="2343">
        <f>BP583</f>
        <v>2031</v>
      </c>
      <c r="DK893" s="2344"/>
      <c r="DL893" s="2343"/>
      <c r="DM893" s="2421">
        <f>BQ583</f>
        <v>2032</v>
      </c>
      <c r="DN893" s="2423"/>
      <c r="DO893" s="2424"/>
      <c r="DP893" s="2421">
        <f>BR583</f>
        <v>2033</v>
      </c>
      <c r="DQ893" s="2423"/>
      <c r="DR893" s="2345"/>
      <c r="DS893" s="2421">
        <f>BS583</f>
        <v>2034</v>
      </c>
      <c r="DT893" s="2423"/>
      <c r="DU893" s="2345"/>
      <c r="DV893" s="2424">
        <f>BT583</f>
        <v>2035</v>
      </c>
      <c r="DW893" s="2423"/>
      <c r="DX893" s="2345"/>
      <c r="DY893" s="2326"/>
    </row>
    <row r="894" spans="33:129" s="536" customFormat="1" ht="17.5">
      <c r="AG894" s="2327"/>
      <c r="AO894" s="2216"/>
      <c r="AP894" s="2216"/>
      <c r="AQ894" s="2216"/>
      <c r="AS894" s="803"/>
      <c r="AT894" s="2216"/>
      <c r="AV894" s="803"/>
      <c r="AW894" s="2216"/>
      <c r="AY894" s="803"/>
      <c r="AZ894" s="803"/>
      <c r="BA894" s="2366" t="str">
        <f t="shared" si="863"/>
        <v>-  REVALORIZACIÓN PATRIMONIAL</v>
      </c>
      <c r="BD894" s="2366">
        <f t="shared" si="864"/>
        <v>0</v>
      </c>
      <c r="BE894" s="2366">
        <f t="shared" ref="BE894:BT894" si="875">BE836</f>
        <v>0</v>
      </c>
      <c r="BF894" s="2366">
        <f t="shared" si="875"/>
        <v>0</v>
      </c>
      <c r="BG894" s="2366">
        <f t="shared" si="875"/>
        <v>0</v>
      </c>
      <c r="BH894" s="2366">
        <f t="shared" si="875"/>
        <v>0</v>
      </c>
      <c r="BI894" s="2366">
        <f t="shared" si="875"/>
        <v>0</v>
      </c>
      <c r="BJ894" s="2366">
        <f t="shared" si="875"/>
        <v>0</v>
      </c>
      <c r="BK894" s="2366">
        <f t="shared" si="875"/>
        <v>0</v>
      </c>
      <c r="BL894" s="2366">
        <f t="shared" si="875"/>
        <v>0</v>
      </c>
      <c r="BM894" s="2366">
        <f t="shared" si="875"/>
        <v>0</v>
      </c>
      <c r="BN894" s="2366">
        <f t="shared" si="875"/>
        <v>0</v>
      </c>
      <c r="BO894" s="2366">
        <f t="shared" si="875"/>
        <v>0</v>
      </c>
      <c r="BP894" s="2366">
        <f t="shared" si="875"/>
        <v>0</v>
      </c>
      <c r="BQ894" s="2366">
        <f t="shared" si="875"/>
        <v>0</v>
      </c>
      <c r="BR894" s="2366">
        <f t="shared" si="875"/>
        <v>0</v>
      </c>
      <c r="BS894" s="2366">
        <f t="shared" si="875"/>
        <v>0</v>
      </c>
      <c r="BT894" s="2366">
        <f t="shared" si="875"/>
        <v>0</v>
      </c>
      <c r="BV894" s="2322"/>
      <c r="BW894" s="2181"/>
      <c r="BX894" s="2181"/>
      <c r="BY894" s="2181"/>
      <c r="BZ894" s="2356" t="s">
        <v>1508</v>
      </c>
      <c r="CA894" s="2425">
        <f>IF(CA880+CA881+CA882=0,0,((CA872+CA886)/-(CA880+CA881+CA882)))</f>
        <v>0</v>
      </c>
      <c r="CB894" s="2426"/>
      <c r="CC894" s="2425">
        <f>IF(CC880+CC881+CC882=0,0,((CC872+CC886)/-(CC880+CC881+CC882)))</f>
        <v>0</v>
      </c>
      <c r="CD894" s="2427"/>
      <c r="CE894" s="2426"/>
      <c r="CF894" s="2425">
        <f>IF(CF880+CF881+CF882=0,0,((CF872+CF886)/-(CF880+CF881+CF882)))</f>
        <v>0</v>
      </c>
      <c r="CG894" s="2427"/>
      <c r="CH894" s="2426"/>
      <c r="CI894" s="2425">
        <f>IF(CI880+CI881+CI882=0,0,((CI872+CI886)/-(CI880+CI881+CI882)))</f>
        <v>0</v>
      </c>
      <c r="CJ894" s="2427"/>
      <c r="CK894" s="2426"/>
      <c r="CL894" s="2425">
        <f>IF(CL880+CL881+CL882=0,0,((CL872+CL886)/-(CL880+CL881+CL882)))</f>
        <v>0</v>
      </c>
      <c r="CM894" s="2427"/>
      <c r="CN894" s="2426"/>
      <c r="CO894" s="2425">
        <f>IF(CO880+CO881+CO882=0,0,((CO872+CO886)/-(CO880+CO881+CO882)))</f>
        <v>0</v>
      </c>
      <c r="CP894" s="2427"/>
      <c r="CQ894" s="2426"/>
      <c r="CR894" s="2425">
        <f>IF(CR880+CR881+CR882=0,0,((CR872+CR886)/-(CR880+CR881+CR882)))</f>
        <v>0</v>
      </c>
      <c r="CS894" s="2427"/>
      <c r="CT894" s="2426"/>
      <c r="CU894" s="2425">
        <f>IF(CU880+CU881+CU882=0,0,((CU872+CU886)/-(CU880+CU881+CU882)))</f>
        <v>0</v>
      </c>
      <c r="CV894" s="2427"/>
      <c r="CW894" s="2426"/>
      <c r="CX894" s="2425">
        <f>IF(CX880+CX881+CX882=0,0,((CX872+CX886)/-(CX880+CX881+CX882)))</f>
        <v>0</v>
      </c>
      <c r="CY894" s="2427"/>
      <c r="CZ894" s="2426"/>
      <c r="DA894" s="2425">
        <f>IF(DA880+DA881+DA882=0,0,((DA872+DA886)/-(DA880+DA881+DA882)))</f>
        <v>0</v>
      </c>
      <c r="DB894" s="2427"/>
      <c r="DC894" s="2426"/>
      <c r="DD894" s="2425">
        <f>IF(DD880+DD881+DD882=0,0,((DD872+DD886)/-(DD880+DD881+DD882)))</f>
        <v>0</v>
      </c>
      <c r="DE894" s="2427"/>
      <c r="DF894" s="2426"/>
      <c r="DG894" s="2425">
        <f>IF(DG880+DG881+DG882=0,0,((DG872+DG886)/-(DG880+DG881+DG882)))</f>
        <v>0</v>
      </c>
      <c r="DH894" s="2427"/>
      <c r="DI894" s="2426"/>
      <c r="DJ894" s="2425">
        <f>IF(DJ880+DJ881+DJ882=0,0,((DJ872+DJ886)/-(DJ880+DJ881+DJ882)))</f>
        <v>0</v>
      </c>
      <c r="DK894" s="2427"/>
      <c r="DL894" s="2426"/>
      <c r="DM894" s="2425">
        <f>IF(DM880+DM881+DM882=0,0,((DM872+DM886)/-(DM880+DM881+DM882)))</f>
        <v>0</v>
      </c>
      <c r="DN894" s="2427"/>
      <c r="DO894" s="2426"/>
      <c r="DP894" s="2425">
        <f>IF(DP880+DP881+DP882=0,0,((DP872+DP886)/-(DP880+DP881+DP882)))</f>
        <v>0</v>
      </c>
      <c r="DQ894" s="2427"/>
      <c r="DR894" s="2426"/>
      <c r="DS894" s="2425">
        <f>IF(DS880+DS881+DS882=0,0,((DS872+DS886)/-(DS880+DS881+DS882)))</f>
        <v>0</v>
      </c>
      <c r="DT894" s="2427"/>
      <c r="DU894" s="2426"/>
      <c r="DV894" s="2425">
        <f>IF(DV880+DV881+DV882=0,0,((DV872+DV886)/-(DV880+DV881+DV882)))</f>
        <v>0</v>
      </c>
      <c r="DW894" s="2427"/>
      <c r="DX894" s="2426"/>
      <c r="DY894" s="2326"/>
    </row>
    <row r="895" spans="33:129" s="536" customFormat="1" ht="17.5">
      <c r="AG895" s="2327"/>
      <c r="AO895" s="2216"/>
      <c r="AP895" s="2216"/>
      <c r="AQ895" s="2216"/>
      <c r="AS895" s="803"/>
      <c r="AT895" s="2216"/>
      <c r="AV895" s="803"/>
      <c r="AW895" s="2216"/>
      <c r="AY895" s="803"/>
      <c r="AZ895" s="803"/>
      <c r="BA895" s="2367" t="str">
        <f t="shared" si="863"/>
        <v>-  CORRECCIÓN MONETARIA</v>
      </c>
      <c r="BB895" s="2007"/>
      <c r="BC895" s="2365"/>
      <c r="BD895" s="2366">
        <f t="shared" si="864"/>
        <v>0</v>
      </c>
      <c r="BE895" s="2366">
        <f t="shared" ref="BE895:BT895" si="876">BE837</f>
        <v>0</v>
      </c>
      <c r="BF895" s="2366">
        <f t="shared" si="876"/>
        <v>0</v>
      </c>
      <c r="BG895" s="2366">
        <f t="shared" si="876"/>
        <v>0</v>
      </c>
      <c r="BH895" s="2366">
        <f t="shared" si="876"/>
        <v>0</v>
      </c>
      <c r="BI895" s="2366">
        <f t="shared" si="876"/>
        <v>0</v>
      </c>
      <c r="BJ895" s="2366">
        <f t="shared" si="876"/>
        <v>0</v>
      </c>
      <c r="BK895" s="2366">
        <f t="shared" si="876"/>
        <v>0</v>
      </c>
      <c r="BL895" s="2366">
        <f t="shared" si="876"/>
        <v>0</v>
      </c>
      <c r="BM895" s="2366">
        <f t="shared" si="876"/>
        <v>0</v>
      </c>
      <c r="BN895" s="2366">
        <f t="shared" si="876"/>
        <v>0</v>
      </c>
      <c r="BO895" s="2366">
        <f t="shared" si="876"/>
        <v>0</v>
      </c>
      <c r="BP895" s="2366">
        <f t="shared" si="876"/>
        <v>0</v>
      </c>
      <c r="BQ895" s="2366">
        <f t="shared" si="876"/>
        <v>0</v>
      </c>
      <c r="BR895" s="2366">
        <f t="shared" si="876"/>
        <v>0</v>
      </c>
      <c r="BS895" s="2366">
        <f t="shared" si="876"/>
        <v>0</v>
      </c>
      <c r="BT895" s="2366">
        <f t="shared" si="876"/>
        <v>0</v>
      </c>
      <c r="BV895" s="2322"/>
      <c r="BW895" s="2181"/>
      <c r="BX895" s="2181"/>
      <c r="BY895" s="2181"/>
      <c r="BZ895" s="2356" t="s">
        <v>918</v>
      </c>
      <c r="CA895" s="2425">
        <f>IF(CA858=0,0,((CA854/CA858)))</f>
        <v>0</v>
      </c>
      <c r="CB895" s="2426"/>
      <c r="CC895" s="2425">
        <f>IF(CC858=0,0,CC854/CC858)</f>
        <v>0</v>
      </c>
      <c r="CD895" s="2427"/>
      <c r="CE895" s="2426"/>
      <c r="CF895" s="2425">
        <f>IF(CF858=0,0,CF854/CF858)</f>
        <v>0</v>
      </c>
      <c r="CG895" s="2427"/>
      <c r="CH895" s="2426"/>
      <c r="CI895" s="2425">
        <f>IF(CI858=0,0,CI854/CI858)</f>
        <v>0</v>
      </c>
      <c r="CJ895" s="2427"/>
      <c r="CK895" s="2426"/>
      <c r="CL895" s="2425">
        <f>IF(CL858=0,0,CL854/CL858)</f>
        <v>0</v>
      </c>
      <c r="CM895" s="2427"/>
      <c r="CN895" s="2426"/>
      <c r="CO895" s="2425">
        <f>IF(CO858=0,0,CO854/CO858)</f>
        <v>0</v>
      </c>
      <c r="CP895" s="2427"/>
      <c r="CQ895" s="2426"/>
      <c r="CR895" s="2425">
        <f>IF(CR858=0,0,CR854/CR858)</f>
        <v>0</v>
      </c>
      <c r="CS895" s="2427"/>
      <c r="CT895" s="2426"/>
      <c r="CU895" s="2425">
        <f>IF(CU858=0,0,CU854/CU858)</f>
        <v>0</v>
      </c>
      <c r="CV895" s="2427"/>
      <c r="CW895" s="2426"/>
      <c r="CX895" s="2425">
        <f>IF(CX858=0,0,CX854/CX858)</f>
        <v>0</v>
      </c>
      <c r="CY895" s="2427"/>
      <c r="CZ895" s="2426"/>
      <c r="DA895" s="2425">
        <f>IF(DA858=0,0,DA854/DA858)</f>
        <v>0</v>
      </c>
      <c r="DB895" s="2427"/>
      <c r="DC895" s="2426"/>
      <c r="DD895" s="2425">
        <f>IF(DD858=0,0,DD854/DD858)</f>
        <v>0</v>
      </c>
      <c r="DE895" s="2427"/>
      <c r="DF895" s="2426"/>
      <c r="DG895" s="2425">
        <f>IF(DG858=0,0,DG854/DG858)</f>
        <v>0</v>
      </c>
      <c r="DH895" s="2427"/>
      <c r="DI895" s="2426"/>
      <c r="DJ895" s="2425">
        <f>IF(DJ858=0,0,DJ854/DJ858)</f>
        <v>0</v>
      </c>
      <c r="DK895" s="2427"/>
      <c r="DL895" s="2426"/>
      <c r="DM895" s="2425">
        <f>IF(DM858=0,0,DM854/DM858)</f>
        <v>0</v>
      </c>
      <c r="DN895" s="2427"/>
      <c r="DO895" s="2426"/>
      <c r="DP895" s="2425">
        <f>IF(DP858=0,0,DP854/DP858)</f>
        <v>0</v>
      </c>
      <c r="DQ895" s="2427"/>
      <c r="DR895" s="2426"/>
      <c r="DS895" s="2425">
        <f>IF(DS858=0,0,DS854/DS858)</f>
        <v>0</v>
      </c>
      <c r="DT895" s="2427"/>
      <c r="DU895" s="2426"/>
      <c r="DV895" s="2427">
        <f>IF(DV858=0,0,DV854/DV858)</f>
        <v>0</v>
      </c>
      <c r="DW895" s="2427"/>
      <c r="DX895" s="2426"/>
      <c r="DY895" s="2326"/>
    </row>
    <row r="896" spans="33:129" s="536" customFormat="1" ht="17.5">
      <c r="AG896" s="2327"/>
      <c r="AO896" s="2216" t="s">
        <v>1268</v>
      </c>
      <c r="AP896" s="2216"/>
      <c r="AQ896" s="2216"/>
      <c r="AS896" s="803"/>
      <c r="AT896" s="2216"/>
      <c r="AV896" s="803"/>
      <c r="AW896" s="2216"/>
      <c r="AY896" s="803"/>
      <c r="AZ896" s="803"/>
      <c r="BA896" s="2381" t="s">
        <v>229</v>
      </c>
      <c r="BB896" s="2382"/>
      <c r="BC896" s="2383"/>
      <c r="BD896" s="2385">
        <f t="shared" ref="BD896:BT896" si="877">SUM(BD867:BD895)</f>
        <v>0</v>
      </c>
      <c r="BE896" s="2385">
        <f t="shared" si="877"/>
        <v>0</v>
      </c>
      <c r="BF896" s="2385">
        <f t="shared" si="877"/>
        <v>0</v>
      </c>
      <c r="BG896" s="2385">
        <f t="shared" si="877"/>
        <v>0</v>
      </c>
      <c r="BH896" s="2385">
        <f t="shared" si="877"/>
        <v>0</v>
      </c>
      <c r="BI896" s="2385">
        <f t="shared" si="877"/>
        <v>0</v>
      </c>
      <c r="BJ896" s="2385">
        <f t="shared" si="877"/>
        <v>0</v>
      </c>
      <c r="BK896" s="2385">
        <f t="shared" si="877"/>
        <v>0</v>
      </c>
      <c r="BL896" s="2385">
        <f t="shared" si="877"/>
        <v>0</v>
      </c>
      <c r="BM896" s="2385">
        <f t="shared" si="877"/>
        <v>0</v>
      </c>
      <c r="BN896" s="2385">
        <f t="shared" si="877"/>
        <v>0</v>
      </c>
      <c r="BO896" s="2385">
        <f t="shared" si="877"/>
        <v>0</v>
      </c>
      <c r="BP896" s="2385">
        <f t="shared" si="877"/>
        <v>0</v>
      </c>
      <c r="BQ896" s="2385">
        <f t="shared" si="877"/>
        <v>0</v>
      </c>
      <c r="BR896" s="2385">
        <f t="shared" si="877"/>
        <v>0</v>
      </c>
      <c r="BS896" s="2385">
        <f t="shared" si="877"/>
        <v>0</v>
      </c>
      <c r="BT896" s="2385">
        <f t="shared" si="877"/>
        <v>0</v>
      </c>
      <c r="BV896" s="2322"/>
      <c r="BW896" s="2181"/>
      <c r="BX896" s="2181"/>
      <c r="BY896" s="2181"/>
      <c r="BZ896" s="2356" t="s">
        <v>915</v>
      </c>
      <c r="CA896" s="2428">
        <f>AY743</f>
        <v>0</v>
      </c>
      <c r="CB896" s="2429"/>
      <c r="CC896" s="2428">
        <f>BE743</f>
        <v>0</v>
      </c>
      <c r="CD896" s="2430"/>
      <c r="CE896" s="2429"/>
      <c r="CF896" s="2428">
        <f>BF743</f>
        <v>0</v>
      </c>
      <c r="CG896" s="2430"/>
      <c r="CH896" s="2429"/>
      <c r="CI896" s="2428">
        <f>BG743</f>
        <v>0</v>
      </c>
      <c r="CJ896" s="2430"/>
      <c r="CK896" s="2429"/>
      <c r="CL896" s="2428">
        <f>BH743</f>
        <v>0</v>
      </c>
      <c r="CM896" s="2430"/>
      <c r="CN896" s="2429"/>
      <c r="CO896" s="2428">
        <f>BI743</f>
        <v>0</v>
      </c>
      <c r="CP896" s="2430"/>
      <c r="CQ896" s="2429"/>
      <c r="CR896" s="2428">
        <f>BJ743</f>
        <v>0</v>
      </c>
      <c r="CS896" s="2430"/>
      <c r="CT896" s="2429"/>
      <c r="CU896" s="2428">
        <f>BK743</f>
        <v>0</v>
      </c>
      <c r="CV896" s="2430"/>
      <c r="CW896" s="2429"/>
      <c r="CX896" s="2428">
        <f>BL743</f>
        <v>0</v>
      </c>
      <c r="CY896" s="2430"/>
      <c r="CZ896" s="2429"/>
      <c r="DA896" s="2428">
        <f>BM743</f>
        <v>0</v>
      </c>
      <c r="DB896" s="2430"/>
      <c r="DC896" s="2429"/>
      <c r="DD896" s="2428">
        <f>BN743</f>
        <v>0</v>
      </c>
      <c r="DE896" s="2430"/>
      <c r="DF896" s="2429"/>
      <c r="DG896" s="2428">
        <f>BO743</f>
        <v>0</v>
      </c>
      <c r="DH896" s="2430"/>
      <c r="DI896" s="2429"/>
      <c r="DJ896" s="2428">
        <f>BP743</f>
        <v>0</v>
      </c>
      <c r="DK896" s="2430"/>
      <c r="DL896" s="2429"/>
      <c r="DM896" s="2428">
        <f>BQ743</f>
        <v>0</v>
      </c>
      <c r="DN896" s="2430"/>
      <c r="DO896" s="2429"/>
      <c r="DP896" s="2428">
        <f>BR743</f>
        <v>0</v>
      </c>
      <c r="DQ896" s="2430"/>
      <c r="DR896" s="2429"/>
      <c r="DS896" s="2428">
        <f>BS743</f>
        <v>0</v>
      </c>
      <c r="DT896" s="2430"/>
      <c r="DU896" s="2429"/>
      <c r="DV896" s="2430">
        <f>BT743</f>
        <v>0</v>
      </c>
      <c r="DW896" s="2430"/>
      <c r="DX896" s="2429"/>
      <c r="DY896" s="2326"/>
    </row>
    <row r="897" spans="1:129" s="536" customFormat="1" ht="17.5">
      <c r="AG897" s="2327"/>
      <c r="AO897" s="2216" t="s">
        <v>1509</v>
      </c>
      <c r="AP897" s="2216"/>
      <c r="AQ897" s="2216"/>
      <c r="AS897" s="803"/>
      <c r="AT897" s="2216"/>
      <c r="AV897" s="803"/>
      <c r="AW897" s="2216"/>
      <c r="AY897" s="803"/>
      <c r="AZ897" s="803"/>
      <c r="BV897" s="2322"/>
      <c r="BW897" s="2181"/>
      <c r="BX897" s="2181"/>
      <c r="BY897" s="2181"/>
      <c r="BZ897" s="2356" t="s">
        <v>1510</v>
      </c>
      <c r="CA897" s="2425">
        <f>AY745</f>
        <v>0</v>
      </c>
      <c r="CB897" s="2426"/>
      <c r="CC897" s="2425">
        <f>BE745</f>
        <v>0</v>
      </c>
      <c r="CD897" s="2427"/>
      <c r="CE897" s="2426"/>
      <c r="CF897" s="2425">
        <f>BF745</f>
        <v>0</v>
      </c>
      <c r="CG897" s="2427"/>
      <c r="CH897" s="2426"/>
      <c r="CI897" s="2425">
        <f>BG745</f>
        <v>0</v>
      </c>
      <c r="CJ897" s="2427"/>
      <c r="CK897" s="2426"/>
      <c r="CL897" s="2425">
        <f>BH745</f>
        <v>0</v>
      </c>
      <c r="CM897" s="2427"/>
      <c r="CN897" s="2426"/>
      <c r="CO897" s="2425">
        <f>BI745</f>
        <v>0</v>
      </c>
      <c r="CP897" s="2427"/>
      <c r="CQ897" s="2426"/>
      <c r="CR897" s="2425">
        <f>BJ745</f>
        <v>0</v>
      </c>
      <c r="CS897" s="2427"/>
      <c r="CT897" s="2426"/>
      <c r="CU897" s="2425">
        <f>BK745</f>
        <v>0</v>
      </c>
      <c r="CV897" s="2427"/>
      <c r="CW897" s="2426"/>
      <c r="CX897" s="2425">
        <f>BL745</f>
        <v>0</v>
      </c>
      <c r="CY897" s="2427"/>
      <c r="CZ897" s="2426"/>
      <c r="DA897" s="2425">
        <f>BM745</f>
        <v>0</v>
      </c>
      <c r="DB897" s="2427"/>
      <c r="DC897" s="2426"/>
      <c r="DD897" s="2425">
        <f>BN745</f>
        <v>0</v>
      </c>
      <c r="DE897" s="2427"/>
      <c r="DF897" s="2426"/>
      <c r="DG897" s="2425">
        <f>BO745</f>
        <v>0</v>
      </c>
      <c r="DH897" s="2427"/>
      <c r="DI897" s="2426"/>
      <c r="DJ897" s="2425">
        <f>BP745</f>
        <v>0</v>
      </c>
      <c r="DK897" s="2427"/>
      <c r="DL897" s="2426"/>
      <c r="DM897" s="2425">
        <f>BQ745</f>
        <v>0</v>
      </c>
      <c r="DN897" s="2427"/>
      <c r="DO897" s="2426"/>
      <c r="DP897" s="2425">
        <f>BR745</f>
        <v>0</v>
      </c>
      <c r="DQ897" s="2427"/>
      <c r="DR897" s="2426"/>
      <c r="DS897" s="2425">
        <f>BS745</f>
        <v>0</v>
      </c>
      <c r="DT897" s="2427"/>
      <c r="DU897" s="2426"/>
      <c r="DV897" s="2427">
        <f>BT745</f>
        <v>0</v>
      </c>
      <c r="DW897" s="2427"/>
      <c r="DX897" s="2426"/>
      <c r="DY897" s="2326"/>
    </row>
    <row r="898" spans="1:129" s="536" customFormat="1" ht="17.5">
      <c r="AG898" s="2327"/>
      <c r="AO898" s="2216"/>
      <c r="AP898" s="2216"/>
      <c r="AQ898" s="2216"/>
      <c r="AS898" s="803"/>
      <c r="AT898" s="2216"/>
      <c r="AV898" s="803"/>
      <c r="AW898" s="2216"/>
      <c r="AY898" s="803"/>
      <c r="AZ898" s="803"/>
      <c r="BV898" s="2322"/>
      <c r="BW898" s="2181"/>
      <c r="BX898" s="2181"/>
      <c r="BY898" s="2181"/>
      <c r="BZ898" s="2356" t="s">
        <v>1511</v>
      </c>
      <c r="CA898" s="2428">
        <f>AY751</f>
        <v>0</v>
      </c>
      <c r="CB898" s="2429"/>
      <c r="CC898" s="2428">
        <f>BE751</f>
        <v>0</v>
      </c>
      <c r="CD898" s="2430"/>
      <c r="CE898" s="2429"/>
      <c r="CF898" s="2428">
        <f>BF751</f>
        <v>0</v>
      </c>
      <c r="CG898" s="2430"/>
      <c r="CH898" s="2429"/>
      <c r="CI898" s="2428">
        <f>BG751</f>
        <v>0</v>
      </c>
      <c r="CJ898" s="2430"/>
      <c r="CK898" s="2429"/>
      <c r="CL898" s="2428">
        <f>BH751</f>
        <v>0</v>
      </c>
      <c r="CM898" s="2430"/>
      <c r="CN898" s="2429"/>
      <c r="CO898" s="2428">
        <f>BI751</f>
        <v>0</v>
      </c>
      <c r="CP898" s="2430"/>
      <c r="CQ898" s="2429"/>
      <c r="CR898" s="2428">
        <f>BJ751</f>
        <v>0</v>
      </c>
      <c r="CS898" s="2430"/>
      <c r="CT898" s="2429"/>
      <c r="CU898" s="2428">
        <f>BK751</f>
        <v>0</v>
      </c>
      <c r="CV898" s="2430"/>
      <c r="CW898" s="2429"/>
      <c r="CX898" s="2428">
        <f>BL751</f>
        <v>0</v>
      </c>
      <c r="CY898" s="2430"/>
      <c r="CZ898" s="2429"/>
      <c r="DA898" s="2428">
        <f>BM751</f>
        <v>0</v>
      </c>
      <c r="DB898" s="2430"/>
      <c r="DC898" s="2429"/>
      <c r="DD898" s="2428">
        <f>BN751</f>
        <v>0</v>
      </c>
      <c r="DE898" s="2430"/>
      <c r="DF898" s="2429"/>
      <c r="DG898" s="2428">
        <f>BO751</f>
        <v>0</v>
      </c>
      <c r="DH898" s="2430"/>
      <c r="DI898" s="2429"/>
      <c r="DJ898" s="2428">
        <f>BP751</f>
        <v>0</v>
      </c>
      <c r="DK898" s="2430"/>
      <c r="DL898" s="2429"/>
      <c r="DM898" s="2428">
        <f>BQ751</f>
        <v>0</v>
      </c>
      <c r="DN898" s="2430"/>
      <c r="DO898" s="2429"/>
      <c r="DP898" s="2428">
        <f>BR751</f>
        <v>0</v>
      </c>
      <c r="DQ898" s="2430"/>
      <c r="DR898" s="2429"/>
      <c r="DS898" s="2428">
        <f>BS751</f>
        <v>0</v>
      </c>
      <c r="DT898" s="2430"/>
      <c r="DU898" s="2429"/>
      <c r="DV898" s="2430">
        <f>BT751</f>
        <v>0</v>
      </c>
      <c r="DW898" s="2430"/>
      <c r="DX898" s="2429"/>
      <c r="DY898" s="2326"/>
    </row>
    <row r="899" spans="1:129" s="536" customFormat="1" ht="17.5">
      <c r="AG899" s="2327"/>
      <c r="AO899" s="2216"/>
      <c r="AP899" s="2216"/>
      <c r="AQ899" s="2216"/>
      <c r="AS899" s="803"/>
      <c r="AT899" s="2216"/>
      <c r="AV899" s="803"/>
      <c r="AW899" s="2216"/>
      <c r="AY899" s="803"/>
      <c r="AZ899" s="803"/>
      <c r="BV899" s="2322"/>
      <c r="BW899" s="2181"/>
      <c r="BX899" s="2181"/>
      <c r="BY899" s="2181"/>
      <c r="BZ899" s="2356" t="s">
        <v>1512</v>
      </c>
      <c r="CA899" s="2431">
        <f>AY725</f>
        <v>0</v>
      </c>
      <c r="CB899" s="2432"/>
      <c r="CC899" s="2431">
        <f>BE725</f>
        <v>0</v>
      </c>
      <c r="CD899" s="2433"/>
      <c r="CE899" s="2432"/>
      <c r="CF899" s="2431">
        <f>BF725</f>
        <v>0</v>
      </c>
      <c r="CG899" s="2433"/>
      <c r="CH899" s="2432"/>
      <c r="CI899" s="2431">
        <f>BG725</f>
        <v>0</v>
      </c>
      <c r="CJ899" s="2433"/>
      <c r="CK899" s="2432"/>
      <c r="CL899" s="2431">
        <f>BH725</f>
        <v>0</v>
      </c>
      <c r="CM899" s="2433"/>
      <c r="CN899" s="2432"/>
      <c r="CO899" s="2431">
        <f>BI725</f>
        <v>0</v>
      </c>
      <c r="CP899" s="2433"/>
      <c r="CQ899" s="2432"/>
      <c r="CR899" s="2431">
        <f>BJ725</f>
        <v>0</v>
      </c>
      <c r="CS899" s="2433"/>
      <c r="CT899" s="2432"/>
      <c r="CU899" s="2431">
        <f>BK725</f>
        <v>0</v>
      </c>
      <c r="CV899" s="2433"/>
      <c r="CW899" s="2432"/>
      <c r="CX899" s="2431">
        <f>BL725</f>
        <v>0</v>
      </c>
      <c r="CY899" s="2433"/>
      <c r="CZ899" s="2432"/>
      <c r="DA899" s="2431">
        <f>BM725</f>
        <v>0</v>
      </c>
      <c r="DB899" s="2433"/>
      <c r="DC899" s="2432"/>
      <c r="DD899" s="2431">
        <f>BN725</f>
        <v>0</v>
      </c>
      <c r="DE899" s="2433"/>
      <c r="DF899" s="2432"/>
      <c r="DG899" s="2431">
        <f>BO725</f>
        <v>0</v>
      </c>
      <c r="DH899" s="2433"/>
      <c r="DI899" s="2432"/>
      <c r="DJ899" s="2431">
        <f>BP725</f>
        <v>0</v>
      </c>
      <c r="DK899" s="2433"/>
      <c r="DL899" s="2432"/>
      <c r="DM899" s="2431">
        <f>BQ725</f>
        <v>0</v>
      </c>
      <c r="DN899" s="2433"/>
      <c r="DO899" s="2432"/>
      <c r="DP899" s="2431">
        <f>BR725</f>
        <v>0</v>
      </c>
      <c r="DQ899" s="2433"/>
      <c r="DR899" s="2432"/>
      <c r="DS899" s="2431">
        <f>BS725</f>
        <v>0</v>
      </c>
      <c r="DT899" s="2433"/>
      <c r="DU899" s="2432"/>
      <c r="DV899" s="2433">
        <f>BT725</f>
        <v>0</v>
      </c>
      <c r="DW899" s="2433"/>
      <c r="DX899" s="2432"/>
      <c r="DY899" s="2326"/>
    </row>
    <row r="900" spans="1:129" s="536" customFormat="1" ht="17.5">
      <c r="AG900" s="2327"/>
      <c r="AO900" s="2216"/>
      <c r="AP900" s="2216"/>
      <c r="AQ900" s="2216"/>
      <c r="AS900" s="803"/>
      <c r="AT900" s="2216"/>
      <c r="AV900" s="803"/>
      <c r="AW900" s="2216"/>
      <c r="AY900" s="803"/>
      <c r="AZ900" s="803"/>
      <c r="BV900" s="2322"/>
      <c r="BW900" s="2181"/>
      <c r="BX900" s="2181"/>
      <c r="BY900" s="2181"/>
      <c r="BZ900" s="2356" t="s">
        <v>1513</v>
      </c>
      <c r="CA900" s="2431">
        <f>AY727</f>
        <v>0</v>
      </c>
      <c r="CB900" s="2432"/>
      <c r="CC900" s="2431">
        <f>BE727</f>
        <v>0</v>
      </c>
      <c r="CD900" s="2433"/>
      <c r="CE900" s="2432"/>
      <c r="CF900" s="2431">
        <f>BF727</f>
        <v>0</v>
      </c>
      <c r="CG900" s="2433"/>
      <c r="CH900" s="2432"/>
      <c r="CI900" s="2431">
        <f>BG727</f>
        <v>0</v>
      </c>
      <c r="CJ900" s="2433"/>
      <c r="CK900" s="2432"/>
      <c r="CL900" s="2431">
        <f>BH727</f>
        <v>0</v>
      </c>
      <c r="CM900" s="2433"/>
      <c r="CN900" s="2432"/>
      <c r="CO900" s="2431">
        <f>BI727</f>
        <v>0</v>
      </c>
      <c r="CP900" s="2433"/>
      <c r="CQ900" s="2432"/>
      <c r="CR900" s="2431">
        <f>BJ727</f>
        <v>0</v>
      </c>
      <c r="CS900" s="2433"/>
      <c r="CT900" s="2432"/>
      <c r="CU900" s="2431">
        <f>BK727</f>
        <v>0</v>
      </c>
      <c r="CV900" s="2433"/>
      <c r="CW900" s="2432"/>
      <c r="CX900" s="2431">
        <f>BL727</f>
        <v>0</v>
      </c>
      <c r="CY900" s="2433"/>
      <c r="CZ900" s="2432"/>
      <c r="DA900" s="2431">
        <f>BM727</f>
        <v>0</v>
      </c>
      <c r="DB900" s="2433"/>
      <c r="DC900" s="2432"/>
      <c r="DD900" s="2431">
        <f>BN727</f>
        <v>0</v>
      </c>
      <c r="DE900" s="2433"/>
      <c r="DF900" s="2432"/>
      <c r="DG900" s="2431">
        <f>BO727</f>
        <v>0</v>
      </c>
      <c r="DH900" s="2433"/>
      <c r="DI900" s="2432"/>
      <c r="DJ900" s="2431">
        <f>BP727</f>
        <v>0</v>
      </c>
      <c r="DK900" s="2433"/>
      <c r="DL900" s="2432"/>
      <c r="DM900" s="2431">
        <f>BQ727</f>
        <v>0</v>
      </c>
      <c r="DN900" s="2433"/>
      <c r="DO900" s="2432"/>
      <c r="DP900" s="2431">
        <f>BR727</f>
        <v>0</v>
      </c>
      <c r="DQ900" s="2433"/>
      <c r="DR900" s="2432"/>
      <c r="DS900" s="2431">
        <f>BS727</f>
        <v>0</v>
      </c>
      <c r="DT900" s="2433"/>
      <c r="DU900" s="2432"/>
      <c r="DV900" s="2433">
        <f>BT727</f>
        <v>0</v>
      </c>
      <c r="DW900" s="2433"/>
      <c r="DX900" s="2432"/>
      <c r="DY900" s="2326"/>
    </row>
    <row r="901" spans="1:129" s="536" customFormat="1" ht="17.5">
      <c r="AG901" s="2327"/>
      <c r="AO901" s="2216"/>
      <c r="AP901" s="2216"/>
      <c r="AQ901" s="2216"/>
      <c r="AS901" s="803"/>
      <c r="AT901" s="2216"/>
      <c r="AV901" s="803"/>
      <c r="AW901" s="2216"/>
      <c r="AY901" s="803"/>
      <c r="AZ901" s="803"/>
      <c r="BV901" s="2322"/>
      <c r="BW901" s="2181"/>
      <c r="BX901" s="2181"/>
      <c r="BY901" s="2181"/>
      <c r="BZ901" s="2434" t="s">
        <v>1514</v>
      </c>
      <c r="CA901" s="2435">
        <f>AY730</f>
        <v>0</v>
      </c>
      <c r="CB901" s="2436"/>
      <c r="CC901" s="2435">
        <f>BE730</f>
        <v>0</v>
      </c>
      <c r="CD901" s="2437"/>
      <c r="CE901" s="2436"/>
      <c r="CF901" s="2435">
        <f>BF730</f>
        <v>0</v>
      </c>
      <c r="CG901" s="2437"/>
      <c r="CH901" s="2436"/>
      <c r="CI901" s="2435">
        <f>BG730</f>
        <v>0</v>
      </c>
      <c r="CJ901" s="2437"/>
      <c r="CK901" s="2436"/>
      <c r="CL901" s="2435">
        <f>BH730</f>
        <v>0</v>
      </c>
      <c r="CM901" s="2437"/>
      <c r="CN901" s="2436"/>
      <c r="CO901" s="2435">
        <f>BI730</f>
        <v>0</v>
      </c>
      <c r="CP901" s="2437"/>
      <c r="CQ901" s="2436"/>
      <c r="CR901" s="2435">
        <f>BJ730</f>
        <v>0</v>
      </c>
      <c r="CS901" s="2437"/>
      <c r="CT901" s="2436"/>
      <c r="CU901" s="2435">
        <f>BK730</f>
        <v>0</v>
      </c>
      <c r="CV901" s="2437"/>
      <c r="CW901" s="2436"/>
      <c r="CX901" s="2435">
        <f>BL730</f>
        <v>0</v>
      </c>
      <c r="CY901" s="2437"/>
      <c r="CZ901" s="2436"/>
      <c r="DA901" s="2435">
        <f>BM730</f>
        <v>0</v>
      </c>
      <c r="DB901" s="2437"/>
      <c r="DC901" s="2436"/>
      <c r="DD901" s="2435">
        <f>BN730</f>
        <v>0</v>
      </c>
      <c r="DE901" s="2437"/>
      <c r="DF901" s="2436"/>
      <c r="DG901" s="2435">
        <f>BO730</f>
        <v>0</v>
      </c>
      <c r="DH901" s="2433"/>
      <c r="DI901" s="2436"/>
      <c r="DJ901" s="2435">
        <f>BP730</f>
        <v>0</v>
      </c>
      <c r="DK901" s="2437"/>
      <c r="DL901" s="2436"/>
      <c r="DM901" s="2435">
        <f>BQ730</f>
        <v>0</v>
      </c>
      <c r="DN901" s="2437"/>
      <c r="DO901" s="2436"/>
      <c r="DP901" s="2435">
        <f>BR730</f>
        <v>0</v>
      </c>
      <c r="DQ901" s="2437"/>
      <c r="DR901" s="2436"/>
      <c r="DS901" s="2435">
        <f>BS730</f>
        <v>0</v>
      </c>
      <c r="DT901" s="2437"/>
      <c r="DU901" s="2436"/>
      <c r="DV901" s="2437">
        <f>BT730</f>
        <v>0</v>
      </c>
      <c r="DW901" s="2437"/>
      <c r="DX901" s="2436"/>
      <c r="DY901" s="2326"/>
    </row>
    <row r="902" spans="1:129" ht="13.5" thickBot="1">
      <c r="A902" s="2181"/>
      <c r="I902" s="2181"/>
      <c r="J902" s="2181"/>
      <c r="K902" s="2181"/>
      <c r="M902" s="2181"/>
      <c r="N902" s="2181"/>
      <c r="P902" s="2181"/>
      <c r="Q902" s="2181"/>
      <c r="AF902" s="2181"/>
      <c r="AG902" s="2214"/>
      <c r="AH902" s="2181"/>
      <c r="AI902" s="2181"/>
      <c r="AJ902" s="2181"/>
      <c r="AK902" s="536"/>
      <c r="AL902" s="536"/>
      <c r="AM902" s="536"/>
      <c r="AN902" s="536"/>
      <c r="AO902" s="2216"/>
      <c r="AP902" s="2216"/>
      <c r="AQ902" s="2216"/>
      <c r="AR902" s="536"/>
      <c r="AS902" s="803"/>
      <c r="AT902" s="2216"/>
      <c r="AU902" s="536"/>
      <c r="AV902" s="803"/>
      <c r="AW902" s="2216"/>
      <c r="AX902" s="536"/>
      <c r="AY902" s="803"/>
      <c r="AZ902" s="803"/>
      <c r="BA902" s="536"/>
      <c r="BB902" s="536"/>
      <c r="BC902" s="536"/>
      <c r="BD902" s="536"/>
      <c r="BE902" s="536"/>
      <c r="BF902" s="536"/>
      <c r="BG902" s="536"/>
      <c r="BH902" s="536"/>
      <c r="BI902" s="536"/>
      <c r="BJ902" s="536"/>
      <c r="BK902" s="536"/>
      <c r="BL902" s="536"/>
      <c r="BM902" s="536"/>
      <c r="BN902" s="536"/>
      <c r="BO902" s="536"/>
      <c r="BP902" s="536"/>
      <c r="BQ902" s="536"/>
      <c r="BR902" s="536"/>
      <c r="BS902" s="536"/>
      <c r="BT902" s="536"/>
      <c r="BU902" s="536"/>
      <c r="BV902" s="2438"/>
      <c r="BW902" s="2439"/>
      <c r="BX902" s="2440"/>
      <c r="BY902" s="2440"/>
      <c r="BZ902" s="2440"/>
      <c r="CA902" s="2440"/>
      <c r="CB902" s="2440"/>
      <c r="CC902" s="2440"/>
      <c r="CD902" s="2440"/>
      <c r="CE902" s="2440"/>
      <c r="CF902" s="2440"/>
      <c r="CG902" s="2440"/>
      <c r="CH902" s="2440"/>
      <c r="CI902" s="2440"/>
      <c r="CJ902" s="2440"/>
      <c r="CK902" s="2440"/>
      <c r="CL902" s="2440"/>
      <c r="CM902" s="2440"/>
      <c r="CN902" s="2440"/>
      <c r="CO902" s="2440"/>
      <c r="CP902" s="2440"/>
      <c r="CQ902" s="2440"/>
      <c r="CR902" s="2440"/>
      <c r="CS902" s="2440"/>
      <c r="CT902" s="2440"/>
      <c r="CU902" s="2440"/>
      <c r="CV902" s="2440"/>
      <c r="CW902" s="2440"/>
      <c r="CX902" s="2440"/>
      <c r="CY902" s="2440"/>
      <c r="CZ902" s="2440"/>
      <c r="DA902" s="2440"/>
      <c r="DB902" s="2440"/>
      <c r="DC902" s="2440"/>
      <c r="DD902" s="2440"/>
      <c r="DE902" s="2440"/>
      <c r="DF902" s="2440"/>
      <c r="DG902" s="2440"/>
      <c r="DH902" s="2441"/>
      <c r="DI902" s="2440"/>
      <c r="DJ902" s="2440"/>
      <c r="DK902" s="2440"/>
      <c r="DL902" s="2440"/>
      <c r="DM902" s="2440"/>
      <c r="DN902" s="2440"/>
      <c r="DO902" s="2440"/>
      <c r="DP902" s="2440"/>
      <c r="DQ902" s="2440"/>
      <c r="DR902" s="2440"/>
      <c r="DS902" s="2440"/>
      <c r="DT902" s="2440"/>
      <c r="DU902" s="2440"/>
      <c r="DV902" s="2440"/>
      <c r="DW902" s="2442"/>
      <c r="DX902" s="2440"/>
      <c r="DY902" s="2443"/>
    </row>
    <row r="903" spans="1:129" s="693" customFormat="1" ht="13.5" thickTop="1">
      <c r="A903" s="2067"/>
      <c r="I903" s="2444"/>
      <c r="J903" s="2444"/>
      <c r="K903" s="2444"/>
      <c r="M903" s="2445"/>
      <c r="N903" s="2444"/>
      <c r="P903" s="2445"/>
      <c r="Q903" s="2444"/>
      <c r="S903" s="2445"/>
      <c r="T903" s="2445"/>
      <c r="AK903" s="536"/>
      <c r="AL903" s="536"/>
      <c r="AM903" s="536"/>
      <c r="AN903" s="536"/>
      <c r="AO903" s="2216"/>
      <c r="AP903" s="2216"/>
      <c r="AQ903" s="2216"/>
      <c r="AR903" s="536"/>
      <c r="AS903" s="803"/>
      <c r="AT903" s="2216"/>
      <c r="AU903" s="536"/>
      <c r="AV903" s="803"/>
      <c r="AW903" s="2216"/>
      <c r="AX903" s="536"/>
      <c r="AY903" s="803"/>
      <c r="AZ903" s="803"/>
      <c r="BA903" s="536"/>
      <c r="BB903" s="536"/>
      <c r="BC903" s="536"/>
      <c r="BD903" s="536"/>
      <c r="BE903" s="536"/>
      <c r="BF903" s="536"/>
      <c r="BG903" s="536"/>
      <c r="BH903" s="536"/>
      <c r="BI903" s="536"/>
      <c r="BJ903" s="536"/>
      <c r="BK903" s="536"/>
      <c r="BL903" s="536"/>
      <c r="BM903" s="536"/>
      <c r="BN903" s="536"/>
      <c r="BO903" s="536"/>
      <c r="BP903" s="536"/>
      <c r="BQ903" s="536"/>
      <c r="BR903" s="536"/>
      <c r="BS903" s="536"/>
      <c r="BT903" s="536"/>
      <c r="BU903" s="536"/>
    </row>
    <row r="904" spans="1:129">
      <c r="AK904" s="536"/>
      <c r="AL904" s="536"/>
      <c r="AM904" s="536"/>
      <c r="AN904" s="536"/>
      <c r="AO904" s="2216"/>
      <c r="AP904" s="2216"/>
      <c r="AQ904" s="2216"/>
      <c r="AR904" s="536"/>
      <c r="AS904" s="803"/>
      <c r="AT904" s="2216"/>
      <c r="AU904" s="536"/>
      <c r="AV904" s="803"/>
      <c r="AW904" s="2216"/>
      <c r="AX904" s="536"/>
      <c r="AY904" s="803"/>
      <c r="AZ904" s="803"/>
      <c r="BA904" s="536"/>
      <c r="BB904" s="536"/>
      <c r="BC904" s="536"/>
      <c r="BD904" s="536"/>
      <c r="BE904" s="536"/>
      <c r="BF904" s="536"/>
      <c r="BG904" s="536"/>
      <c r="BH904" s="536"/>
      <c r="BI904" s="536"/>
      <c r="BJ904" s="536"/>
      <c r="BK904" s="536"/>
      <c r="BL904" s="536"/>
      <c r="BM904" s="536"/>
      <c r="BN904" s="536"/>
      <c r="BO904" s="536"/>
      <c r="BP904" s="536"/>
      <c r="BQ904" s="536"/>
      <c r="BR904" s="536"/>
      <c r="BS904" s="536"/>
      <c r="BT904" s="536"/>
      <c r="BU904" s="536"/>
    </row>
    <row r="905" spans="1:129">
      <c r="B905" s="693"/>
      <c r="C905" s="693"/>
      <c r="E905" s="693"/>
      <c r="H905" s="693"/>
      <c r="K905" s="693"/>
      <c r="N905" s="693"/>
      <c r="AK905" s="536"/>
      <c r="AL905" s="536"/>
      <c r="AM905" s="536"/>
      <c r="AN905" s="536"/>
      <c r="AO905" s="2216"/>
      <c r="AP905" s="2216"/>
      <c r="AQ905" s="2216"/>
      <c r="AR905" s="536"/>
      <c r="AS905" s="803"/>
      <c r="AT905" s="2216"/>
      <c r="AU905" s="536"/>
      <c r="AV905" s="803"/>
      <c r="AW905" s="2216"/>
      <c r="AX905" s="536"/>
      <c r="AY905" s="803"/>
      <c r="AZ905" s="803"/>
      <c r="BA905" s="536"/>
      <c r="BB905" s="536"/>
      <c r="BC905" s="536"/>
      <c r="BD905" s="536"/>
      <c r="BE905" s="536"/>
      <c r="BF905" s="536"/>
      <c r="BG905" s="536"/>
      <c r="BH905" s="536"/>
      <c r="BI905" s="536"/>
      <c r="BJ905" s="536"/>
      <c r="BK905" s="536"/>
      <c r="BL905" s="536"/>
      <c r="BM905" s="536"/>
      <c r="BN905" s="536"/>
      <c r="BO905" s="536"/>
      <c r="BP905" s="536"/>
      <c r="BQ905" s="536"/>
      <c r="BR905" s="536"/>
      <c r="BS905" s="536"/>
      <c r="BT905" s="536"/>
      <c r="BU905" s="536"/>
    </row>
    <row r="906" spans="1:129">
      <c r="L906" s="2167"/>
      <c r="N906" s="693"/>
      <c r="AK906" s="536"/>
      <c r="AL906" s="536"/>
      <c r="AM906" s="536"/>
      <c r="AN906" s="536"/>
      <c r="AO906" s="2216"/>
      <c r="AP906" s="2216"/>
      <c r="AQ906" s="2216"/>
      <c r="AR906" s="536"/>
      <c r="AS906" s="803"/>
      <c r="AT906" s="2216"/>
      <c r="AU906" s="536"/>
      <c r="AV906" s="803"/>
      <c r="AW906" s="2216"/>
      <c r="AX906" s="536"/>
      <c r="AY906" s="803"/>
      <c r="AZ906" s="803"/>
      <c r="BA906" s="536"/>
      <c r="BB906" s="536"/>
      <c r="BC906" s="536"/>
      <c r="BD906" s="536"/>
      <c r="BE906" s="536"/>
      <c r="BF906" s="536"/>
      <c r="BG906" s="536"/>
      <c r="BH906" s="536"/>
      <c r="BI906" s="536"/>
      <c r="BJ906" s="536"/>
      <c r="BK906" s="536"/>
      <c r="BL906" s="536"/>
      <c r="BM906" s="536"/>
      <c r="BN906" s="536"/>
      <c r="BO906" s="536"/>
      <c r="BP906" s="536"/>
      <c r="BQ906" s="536"/>
      <c r="BR906" s="536"/>
      <c r="BS906" s="536"/>
      <c r="BT906" s="536"/>
      <c r="BU906" s="536"/>
    </row>
    <row r="907" spans="1:129">
      <c r="L907" s="2167"/>
      <c r="N907" s="2444"/>
      <c r="AK907" s="2181"/>
      <c r="AL907" s="2181"/>
      <c r="AM907" s="2181"/>
      <c r="AN907" s="2181"/>
      <c r="AO907" s="2446"/>
      <c r="AP907" s="2446"/>
      <c r="AQ907" s="2446"/>
      <c r="AR907" s="2181"/>
      <c r="AS907" s="2447"/>
      <c r="AT907" s="2446"/>
      <c r="AU907" s="2181"/>
      <c r="AV907" s="2447"/>
      <c r="AW907" s="2446"/>
      <c r="AX907" s="2181"/>
      <c r="AY907" s="2447"/>
      <c r="AZ907" s="2447"/>
      <c r="BA907" s="2181"/>
      <c r="BB907" s="2181"/>
      <c r="BC907" s="2181"/>
      <c r="BD907" s="2181"/>
      <c r="BE907" s="2181"/>
      <c r="BF907" s="2181"/>
      <c r="BG907" s="2181"/>
      <c r="BH907" s="2181"/>
      <c r="BI907" s="2181"/>
      <c r="BJ907" s="2181"/>
      <c r="BK907" s="2181"/>
      <c r="BL907" s="2181"/>
      <c r="BM907" s="2181"/>
      <c r="BN907" s="2181"/>
      <c r="BO907" s="2181"/>
      <c r="BP907" s="2181"/>
      <c r="BQ907" s="2181"/>
    </row>
    <row r="908" spans="1:129">
      <c r="N908" s="2448"/>
      <c r="AK908" s="693"/>
      <c r="AL908" s="693"/>
      <c r="AM908" s="693"/>
      <c r="AN908" s="693"/>
      <c r="AO908" s="693"/>
      <c r="AP908" s="693"/>
      <c r="AQ908" s="693"/>
      <c r="AR908" s="693"/>
      <c r="AS908" s="693"/>
      <c r="AT908" s="693"/>
      <c r="AU908" s="693"/>
      <c r="AV908" s="693"/>
      <c r="AW908" s="693"/>
      <c r="AX908" s="693"/>
      <c r="AY908" s="693"/>
      <c r="AZ908" s="693"/>
      <c r="BA908" s="693"/>
      <c r="BB908" s="693"/>
      <c r="BC908" s="693"/>
      <c r="BD908" s="693"/>
      <c r="BE908" s="693"/>
      <c r="BF908" s="693"/>
      <c r="BG908" s="693"/>
      <c r="BH908" s="693"/>
      <c r="BI908" s="693"/>
      <c r="BJ908" s="693"/>
      <c r="BK908" s="693"/>
      <c r="BL908" s="693"/>
      <c r="BM908" s="693"/>
      <c r="BN908" s="693"/>
      <c r="BO908" s="693"/>
      <c r="BP908" s="693"/>
      <c r="BQ908" s="693"/>
      <c r="BR908" s="693"/>
      <c r="BS908" s="693"/>
      <c r="BT908" s="693"/>
      <c r="BU908" s="693"/>
    </row>
    <row r="909" spans="1:129">
      <c r="N909" s="2449"/>
    </row>
    <row r="910" spans="1:129">
      <c r="E910" s="2451"/>
      <c r="F910" s="2451"/>
      <c r="G910" s="2451"/>
      <c r="H910" s="2167"/>
      <c r="I910" s="2444"/>
      <c r="J910" s="2444"/>
      <c r="N910" s="2452"/>
    </row>
    <row r="911" spans="1:129">
      <c r="E911" s="2451"/>
      <c r="F911" s="2451"/>
      <c r="G911" s="2451"/>
      <c r="I911" s="2444"/>
      <c r="J911" s="2444"/>
    </row>
    <row r="912" spans="1:129">
      <c r="C912" s="2453" t="s">
        <v>1515</v>
      </c>
      <c r="H912" s="693"/>
      <c r="I912" s="2444"/>
      <c r="K912" s="693"/>
      <c r="T912" s="2454" t="s">
        <v>1516</v>
      </c>
    </row>
    <row r="913" spans="2:69" s="2181" customFormat="1" ht="12.5">
      <c r="C913" s="2167" t="s">
        <v>1517</v>
      </c>
      <c r="E913" s="2451" t="s">
        <v>1518</v>
      </c>
      <c r="F913" s="2167" t="s">
        <v>1519</v>
      </c>
      <c r="G913" s="2451"/>
      <c r="H913" s="2455" t="s">
        <v>1270</v>
      </c>
      <c r="I913" s="2167">
        <f>T15</f>
        <v>2020</v>
      </c>
      <c r="J913" s="2456" t="s">
        <v>1520</v>
      </c>
      <c r="K913" s="2167" t="s">
        <v>1521</v>
      </c>
      <c r="L913" s="2455" t="str">
        <f>LEFT(N16,3)&amp;". "&amp;TEXT(N15,"0.00")</f>
        <v>Dic. 2.019</v>
      </c>
      <c r="M913" s="2447"/>
      <c r="N913" s="2446"/>
      <c r="P913" s="2447"/>
      <c r="Q913" s="2447"/>
      <c r="T913" s="2457"/>
      <c r="U913" s="2457"/>
      <c r="V913" s="2457"/>
      <c r="AF913" s="1966"/>
      <c r="AG913" s="1966"/>
      <c r="AH913" s="1966"/>
      <c r="AI913" s="1966"/>
      <c r="AK913" s="2450"/>
      <c r="AL913" s="2450"/>
      <c r="AM913" s="2450"/>
      <c r="AN913" s="2450"/>
      <c r="AO913" s="1966"/>
      <c r="AP913" s="1966"/>
      <c r="AQ913" s="1966"/>
      <c r="AR913" s="1966"/>
      <c r="AS913" s="1966"/>
      <c r="AT913" s="1966"/>
      <c r="AU913" s="1966"/>
      <c r="AV913" s="1966"/>
      <c r="AW913" s="1966"/>
      <c r="AX913" s="1966"/>
      <c r="AY913" s="1966"/>
      <c r="AZ913" s="1966"/>
      <c r="BA913" s="1966"/>
      <c r="BB913" s="1966"/>
      <c r="BC913" s="1966"/>
      <c r="BD913" s="1966"/>
      <c r="BE913" s="1966"/>
      <c r="BF913" s="1966"/>
      <c r="BG913" s="1966"/>
      <c r="BH913" s="1966"/>
      <c r="BI913" s="1966"/>
      <c r="BJ913" s="1966"/>
      <c r="BK913" s="1966"/>
      <c r="BL913" s="1966"/>
      <c r="BM913" s="1966"/>
      <c r="BN913" s="1966"/>
      <c r="BO913" s="1966"/>
      <c r="BP913" s="1966"/>
      <c r="BQ913" s="1966"/>
    </row>
    <row r="914" spans="2:69" s="2181" customFormat="1" ht="12.5">
      <c r="C914" s="2167" t="s">
        <v>1522</v>
      </c>
      <c r="E914" s="2458" t="str">
        <f>Q15</f>
        <v>2020</v>
      </c>
      <c r="F914" s="2167" t="s">
        <v>1523</v>
      </c>
      <c r="G914" s="2451"/>
      <c r="H914" s="2455" t="s">
        <v>1524</v>
      </c>
      <c r="I914" s="2167">
        <f>U15</f>
        <v>2021</v>
      </c>
      <c r="J914" s="2456" t="s">
        <v>1525</v>
      </c>
      <c r="K914" s="2167" t="s">
        <v>1518</v>
      </c>
      <c r="L914" s="2455" t="str">
        <f>LEFT(K16,3)&amp;". "&amp;TEXT(K15,"0.00")</f>
        <v>Jun. 2.019</v>
      </c>
      <c r="M914" s="2447"/>
      <c r="N914" s="2454" t="s">
        <v>1526</v>
      </c>
      <c r="P914" s="2447"/>
      <c r="Q914" s="2447"/>
      <c r="T914" s="2455"/>
      <c r="X914" s="2454" t="s">
        <v>1527</v>
      </c>
      <c r="AF914" s="1966"/>
      <c r="AG914" s="1966"/>
      <c r="AH914" s="1966"/>
      <c r="AI914" s="1966"/>
      <c r="AK914" s="2450"/>
      <c r="AL914" s="2450"/>
      <c r="AM914" s="2450"/>
      <c r="AN914" s="2450"/>
      <c r="AO914" s="1966"/>
      <c r="AP914" s="1966"/>
      <c r="AQ914" s="1966"/>
      <c r="AR914" s="1966"/>
      <c r="AS914" s="1966"/>
      <c r="AT914" s="1966"/>
      <c r="AU914" s="1966"/>
      <c r="AV914" s="1966"/>
      <c r="AW914" s="1966"/>
      <c r="AX914" s="1966"/>
      <c r="AY914" s="1966"/>
      <c r="AZ914" s="1966"/>
      <c r="BA914" s="1966"/>
      <c r="BB914" s="1966"/>
      <c r="BC914" s="1966"/>
      <c r="BD914" s="1966"/>
      <c r="BE914" s="1966"/>
      <c r="BF914" s="1966"/>
      <c r="BG914" s="1966"/>
      <c r="BH914" s="1966"/>
      <c r="BI914" s="1966"/>
      <c r="BJ914" s="1966"/>
      <c r="BK914" s="1966"/>
      <c r="BL914" s="1966"/>
      <c r="BM914" s="1966"/>
      <c r="BN914" s="1966"/>
      <c r="BO914" s="1966"/>
      <c r="BP914" s="1966"/>
      <c r="BQ914" s="1966"/>
    </row>
    <row r="915" spans="2:69" s="2181" customFormat="1" ht="12.5">
      <c r="E915" s="2451" t="s">
        <v>1528</v>
      </c>
      <c r="F915" s="2167" t="s">
        <v>1529</v>
      </c>
      <c r="G915" s="2451"/>
      <c r="H915" s="2455" t="s">
        <v>1530</v>
      </c>
      <c r="I915" s="2444"/>
      <c r="J915" s="2444"/>
      <c r="K915" s="2446"/>
      <c r="M915" s="2447"/>
      <c r="N915" s="2455" t="str">
        <f ca="1">SUBSTITUTE(CELL("DIRECCION",AN586),"$",0)</f>
        <v>0AN0586</v>
      </c>
      <c r="O915" s="2455" t="str">
        <f ca="1">SUBSTITUTE(CELL("DIRECCION",AN660),"$",0)</f>
        <v>0AN0660</v>
      </c>
      <c r="P915" s="2447"/>
      <c r="Q915" s="2447"/>
      <c r="X915" s="2459">
        <v>1</v>
      </c>
      <c r="Y915" s="2459">
        <v>1</v>
      </c>
      <c r="Z915" s="2459" t="str">
        <f ca="1">CONCATENATE(HLOOKUP(Y915,$X$918:$AC$920,3,0),TEXT(HLOOKUP(X915,$X$916:$AC$920,4,0),"@"))</f>
        <v>0A724</v>
      </c>
      <c r="AA915" s="2459" t="str">
        <f ca="1">CONCATENATE(HLOOKUP(Y915,$X$918:$AC$920,3,0),TEXT(HLOOKUP(X915,$Y$917:$AC$920,3,0),"@"))</f>
        <v>0A725</v>
      </c>
      <c r="AB915" s="2459">
        <f>HLOOKUP(X915,$X$916:$AB$920,4,0)</f>
        <v>724</v>
      </c>
      <c r="AC915" s="1966"/>
      <c r="AF915" s="1966"/>
      <c r="AG915" s="1966"/>
      <c r="AH915" s="1966"/>
      <c r="AI915" s="1966"/>
      <c r="AK915" s="2450"/>
      <c r="AL915" s="2450"/>
      <c r="AM915" s="2450"/>
      <c r="AN915" s="2450"/>
      <c r="AO915" s="1966"/>
      <c r="AP915" s="1966"/>
      <c r="AQ915" s="1966"/>
      <c r="AR915" s="1966"/>
      <c r="AS915" s="1966"/>
      <c r="AT915" s="1966"/>
      <c r="AU915" s="1966"/>
      <c r="AV915" s="1966"/>
      <c r="AW915" s="1966"/>
      <c r="AX915" s="1966"/>
      <c r="AY915" s="1966"/>
      <c r="AZ915" s="1966"/>
      <c r="BA915" s="1966"/>
      <c r="BB915" s="1966"/>
      <c r="BC915" s="1966"/>
      <c r="BD915" s="1966"/>
      <c r="BE915" s="1966"/>
      <c r="BF915" s="1966"/>
      <c r="BG915" s="1966"/>
      <c r="BH915" s="1966"/>
      <c r="BI915" s="1966"/>
      <c r="BJ915" s="1966"/>
      <c r="BK915" s="1966"/>
      <c r="BL915" s="1966"/>
      <c r="BM915" s="1966"/>
      <c r="BN915" s="1966"/>
      <c r="BO915" s="1966"/>
      <c r="BP915" s="1966"/>
      <c r="BQ915" s="1966"/>
    </row>
    <row r="916" spans="2:69" s="2181" customFormat="1" ht="12.5">
      <c r="E916" s="2451"/>
      <c r="F916" s="2167" t="s">
        <v>1531</v>
      </c>
      <c r="G916" s="2451"/>
      <c r="I916" s="2444"/>
      <c r="J916" s="2444"/>
      <c r="K916" s="2446"/>
      <c r="M916" s="2447"/>
      <c r="N916" s="2455" t="str">
        <f ca="1">SUBSTITUTE(CELL("DIRECCION",AP586),"$",0)</f>
        <v>0AP0586</v>
      </c>
      <c r="O916" s="2455" t="str">
        <f ca="1">SUBSTITUTE(CELL("DIRECCION",AP660),"$",0)</f>
        <v>0AP0660</v>
      </c>
      <c r="P916" s="2447"/>
      <c r="Q916" s="2447"/>
      <c r="T916" s="2454" t="s">
        <v>1532</v>
      </c>
      <c r="X916" s="2460">
        <v>1</v>
      </c>
      <c r="Y916" s="2460"/>
      <c r="Z916" s="2460">
        <v>2</v>
      </c>
      <c r="AA916" s="2460"/>
      <c r="AB916" s="2460">
        <v>3</v>
      </c>
      <c r="AC916" s="2460"/>
      <c r="AF916" s="1966"/>
      <c r="AG916" s="1966"/>
      <c r="AH916" s="1966"/>
      <c r="AI916" s="1966"/>
      <c r="AK916" s="2450"/>
      <c r="AL916" s="2450"/>
      <c r="AM916" s="2450"/>
      <c r="AN916" s="2450"/>
      <c r="AO916" s="1966"/>
      <c r="AP916" s="1966"/>
      <c r="AQ916" s="1966"/>
      <c r="AR916" s="1966"/>
      <c r="AS916" s="1966"/>
      <c r="AT916" s="1966"/>
      <c r="AU916" s="1966"/>
      <c r="AV916" s="1966"/>
      <c r="AW916" s="1966"/>
      <c r="AX916" s="1966"/>
      <c r="AY916" s="1966"/>
      <c r="AZ916" s="1966"/>
      <c r="BA916" s="1966"/>
      <c r="BB916" s="1966"/>
      <c r="BC916" s="1966"/>
      <c r="BD916" s="1966"/>
      <c r="BE916" s="1966"/>
      <c r="BF916" s="1966"/>
      <c r="BG916" s="1966"/>
      <c r="BH916" s="1966"/>
      <c r="BI916" s="1966"/>
      <c r="BJ916" s="1966"/>
      <c r="BK916" s="1966"/>
      <c r="BL916" s="1966"/>
      <c r="BM916" s="1966"/>
      <c r="BN916" s="1966"/>
      <c r="BO916" s="1966"/>
      <c r="BP916" s="1966"/>
      <c r="BQ916" s="1966"/>
    </row>
    <row r="917" spans="2:69" s="2181" customFormat="1" ht="12.5">
      <c r="F917" s="2455"/>
      <c r="G917" s="2455"/>
      <c r="H917" s="2455"/>
      <c r="I917" s="2460"/>
      <c r="J917" s="2460"/>
      <c r="K917" s="2460"/>
      <c r="L917" s="2455"/>
      <c r="M917" s="2447"/>
      <c r="N917" s="2455" t="str">
        <f ca="1">SUBSTITUTE(CELL("DIRECCION",AS586),"$",0)</f>
        <v>0AS0586</v>
      </c>
      <c r="O917" s="2455" t="str">
        <f ca="1">SUBSTITUTE(CELL("DIRECCION",AS660),"$",0)</f>
        <v>0AS0660</v>
      </c>
      <c r="P917" s="2447"/>
      <c r="Q917" s="2447"/>
      <c r="T917" s="2461">
        <v>2005</v>
      </c>
      <c r="X917" s="2460"/>
      <c r="Y917" s="2460">
        <v>1</v>
      </c>
      <c r="Z917" s="2460"/>
      <c r="AA917" s="2460">
        <v>2</v>
      </c>
      <c r="AB917" s="2460"/>
      <c r="AC917" s="2460">
        <v>3</v>
      </c>
      <c r="AF917" s="1966"/>
      <c r="AG917" s="1966"/>
      <c r="AH917" s="1966"/>
      <c r="AI917" s="1966"/>
      <c r="AK917" s="2450"/>
      <c r="AL917" s="2450"/>
      <c r="AM917" s="2450"/>
      <c r="AN917" s="2450"/>
      <c r="AO917" s="1966"/>
      <c r="AP917" s="1966"/>
      <c r="AQ917" s="1966"/>
      <c r="AR917" s="1966"/>
      <c r="AS917" s="1966"/>
      <c r="AT917" s="1966"/>
      <c r="AU917" s="1966"/>
      <c r="AV917" s="1966"/>
      <c r="AW917" s="1966"/>
      <c r="AX917" s="1966"/>
      <c r="AY917" s="1966"/>
      <c r="AZ917" s="1966"/>
      <c r="BA917" s="1966"/>
      <c r="BB917" s="1966"/>
      <c r="BC917" s="1966"/>
      <c r="BD917" s="1966"/>
      <c r="BE917" s="1966"/>
      <c r="BF917" s="1966"/>
      <c r="BG917" s="1966"/>
      <c r="BH917" s="1966"/>
      <c r="BI917" s="1966"/>
      <c r="BJ917" s="1966"/>
      <c r="BK917" s="1966"/>
      <c r="BL917" s="1966"/>
      <c r="BM917" s="1966"/>
      <c r="BN917" s="1966"/>
      <c r="BO917" s="1966"/>
      <c r="BP917" s="1966"/>
      <c r="BQ917" s="1966"/>
    </row>
    <row r="918" spans="2:69" s="2181" customFormat="1" ht="12.5">
      <c r="F918" s="2454" t="s">
        <v>1533</v>
      </c>
      <c r="G918" s="2455"/>
      <c r="H918" s="2455"/>
      <c r="I918" s="2460"/>
      <c r="J918" s="2460"/>
      <c r="K918" s="2460"/>
      <c r="L918" s="2455"/>
      <c r="M918" s="2447"/>
      <c r="N918" s="2446"/>
      <c r="P918" s="2447"/>
      <c r="Q918" s="2447"/>
      <c r="X918" s="2460">
        <v>1</v>
      </c>
      <c r="Y918" s="2460">
        <v>2</v>
      </c>
      <c r="Z918" s="2460">
        <v>3</v>
      </c>
      <c r="AA918" s="2460">
        <v>4</v>
      </c>
      <c r="AB918" s="2460">
        <v>5</v>
      </c>
      <c r="AC918" s="2460">
        <v>6</v>
      </c>
      <c r="AF918" s="1966"/>
      <c r="AG918" s="1966"/>
      <c r="AH918" s="1966"/>
      <c r="AI918" s="1966"/>
    </row>
    <row r="919" spans="2:69" s="2181" customFormat="1" ht="12.5">
      <c r="B919" s="2126" t="s">
        <v>1534</v>
      </c>
      <c r="C919" s="2167"/>
      <c r="F919" s="2462"/>
      <c r="G919" s="2462"/>
      <c r="I919" s="2460"/>
      <c r="J919" s="2460"/>
      <c r="K919" s="2460"/>
      <c r="L919" s="2455"/>
      <c r="M919" s="2447"/>
      <c r="N919" s="2454" t="s">
        <v>1535</v>
      </c>
      <c r="P919" s="2447"/>
      <c r="Q919" s="2447"/>
      <c r="T919" s="2454" t="s">
        <v>1536</v>
      </c>
      <c r="X919" s="2460">
        <f>ROW(AN724)</f>
        <v>724</v>
      </c>
      <c r="Y919" s="2460">
        <f>ROW(AN725)</f>
        <v>725</v>
      </c>
      <c r="Z919" s="2460">
        <f>ROW(AN726)</f>
        <v>726</v>
      </c>
      <c r="AA919" s="2460">
        <f>ROW(AN727)</f>
        <v>727</v>
      </c>
      <c r="AB919" s="2460">
        <f>ROW(AN728)</f>
        <v>728</v>
      </c>
      <c r="AC919" s="2460">
        <f>ROW(AN729)</f>
        <v>729</v>
      </c>
      <c r="AF919" s="1966"/>
      <c r="AG919" s="1966"/>
      <c r="AH919" s="1966"/>
      <c r="AI919" s="1966"/>
    </row>
    <row r="920" spans="2:69" s="2181" customFormat="1" ht="12.5">
      <c r="B920" s="2463" t="s">
        <v>1537</v>
      </c>
      <c r="C920" s="2464">
        <v>0</v>
      </c>
      <c r="F920" s="2462"/>
      <c r="G920" s="2462"/>
      <c r="H920" s="2455"/>
      <c r="I920" s="2460"/>
      <c r="J920" s="2460"/>
      <c r="K920" s="2460"/>
      <c r="L920" s="2455"/>
      <c r="M920" s="2447"/>
      <c r="N920" s="2455" t="str">
        <f ca="1">CONCATENATE(CELL("DIRECCION",AL578),":",CELL("DIRECCION",BT687))</f>
        <v>$AL$578:$BT$687</v>
      </c>
      <c r="O920" s="2451"/>
      <c r="P920" s="2447"/>
      <c r="Q920" s="2447"/>
      <c r="T920" s="2461">
        <v>2008</v>
      </c>
      <c r="X920" s="2460" t="str">
        <f ca="1">LEFT(SUBSTITUTE(CELL("DIRECCION",AN723),"$",0),2)</f>
        <v>0A</v>
      </c>
      <c r="Y920" s="2460" t="str">
        <f ca="1">LEFT(SUBSTITUTE(CELL("DIRECCION",AP723),"$",0),2)</f>
        <v>0A</v>
      </c>
      <c r="Z920" s="2460" t="str">
        <f ca="1">LEFT(SUBSTITUTE(CELL("DIRECCION",AS723),"$",0),2)</f>
        <v>0A</v>
      </c>
      <c r="AA920" s="2460" t="str">
        <f ca="1">LEFT(SUBSTITUTE(CELL("DIRECCION",AV723),"$",0),2)</f>
        <v>0A</v>
      </c>
      <c r="AB920" s="2460" t="str">
        <f ca="1">LEFT(SUBSTITUTE(CELL("DIRECCION",AY723),"$",0),2)</f>
        <v>0A</v>
      </c>
      <c r="AC920" s="2460" t="str">
        <f ca="1">LEFT(SUBSTITUTE(CELL("DIRECCION",BB723),"$",0),2)</f>
        <v>0B</v>
      </c>
      <c r="AF920" s="1966"/>
      <c r="AG920" s="1966"/>
      <c r="AH920" s="1966"/>
      <c r="AI920" s="1966"/>
    </row>
    <row r="921" spans="2:69" s="2181" customFormat="1" ht="12.5">
      <c r="B921" s="2464">
        <v>0</v>
      </c>
      <c r="C921" s="2464">
        <f ca="1">IF(B921=1,SUBSTITUTE(CELL("DIRECCION",H914),"$",0),IF(B921=2,SUBSTITUTE(CELL("DIRECCION",H915),"$",0),0))</f>
        <v>0</v>
      </c>
      <c r="E921" s="2455"/>
      <c r="F921" s="2455" t="str">
        <f ca="1">SUBSTITUTE(CONCATENATE(CELL("DIRECCION",E90),":",CELL("DIRECCION",E92),",",CELL("DIRECCION",E97),":",CELL("DIRECCION",E98),",",CELL("DIRECCION",H90),":",CELL("DIRECCION",H92),",",CELL("DIRECCION",H97),":",CELL("DIRECCION",H98),",",CELL("DIRECCION",K90),":",CELL("DIRECCION",K92),",",CELL("DIRECCION",N90),":",CELL("DIRECCION",N92),",",CONCATENATE(CELL("DIRECCION",N97),":",CELL("DIRECCION",N98),",",CELL("DIRECCION",Q90),":",CELL("DIRECCION",Q92),",",CELL("DIRECCION",Q97),":",CELL("DIRECCION",Q98))),"$",0)</f>
        <v>0E090:0E092,0E097:0E098,0H090:0H092,0H097:0H098,0K090:0K092,0N090:0N092,0N097:0N098,0Q090:0Q092,0Q097:0Q098</v>
      </c>
      <c r="G921" s="2455"/>
      <c r="H921" s="2455"/>
      <c r="I921" s="2460"/>
      <c r="J921" s="2460"/>
      <c r="K921" s="2460"/>
      <c r="L921" s="2455"/>
      <c r="M921" s="2447"/>
      <c r="N921" s="2465"/>
      <c r="O921" s="2451"/>
      <c r="P921" s="2447"/>
      <c r="Q921" s="2447"/>
      <c r="AF921" s="1966"/>
      <c r="AG921" s="1966"/>
      <c r="AH921" s="1966"/>
      <c r="AI921" s="1966"/>
    </row>
    <row r="922" spans="2:69" s="2181" customFormat="1" ht="12.5">
      <c r="B922" s="806"/>
      <c r="C922" s="2466"/>
      <c r="D922" s="2467"/>
      <c r="E922" s="2467"/>
      <c r="F922" s="2462"/>
      <c r="G922" s="2455"/>
      <c r="H922" s="2455"/>
      <c r="I922" s="2460"/>
      <c r="J922" s="2460"/>
      <c r="K922" s="2468"/>
      <c r="L922" s="2167"/>
      <c r="M922" s="2167"/>
      <c r="N922" s="2455" t="str">
        <f ca="1">CONCATENATE(CELL("DIRECCION",AL758),":",CELL("DIRECCION",BT845))</f>
        <v>$AL$758:$BT$845</v>
      </c>
      <c r="O922" s="2167"/>
      <c r="P922" s="2447"/>
      <c r="Q922" s="2447"/>
      <c r="T922" s="2445" t="s">
        <v>1538</v>
      </c>
      <c r="AF922" s="1966"/>
      <c r="AG922" s="1966"/>
      <c r="AH922" s="1966"/>
      <c r="AI922" s="1966"/>
    </row>
    <row r="923" spans="2:69" s="2181" customFormat="1" ht="12.5">
      <c r="B923" s="806"/>
      <c r="C923" s="2466"/>
      <c r="D923" s="2467"/>
      <c r="E923" s="2467"/>
      <c r="I923" s="2446"/>
      <c r="J923" s="2446"/>
      <c r="K923" s="2468"/>
      <c r="L923" s="2167"/>
      <c r="M923" s="2167"/>
      <c r="N923" s="2167"/>
      <c r="O923" s="2167"/>
      <c r="P923" s="2447"/>
      <c r="Q923" s="2447"/>
      <c r="T923" s="2469">
        <f t="shared" ref="T923:AI923" si="878">T71/T17*T400</f>
        <v>0</v>
      </c>
      <c r="U923" s="2469">
        <f t="shared" si="878"/>
        <v>0</v>
      </c>
      <c r="V923" s="2469">
        <f t="shared" si="878"/>
        <v>0</v>
      </c>
      <c r="W923" s="2469">
        <f t="shared" si="878"/>
        <v>0</v>
      </c>
      <c r="X923" s="2469">
        <f t="shared" si="878"/>
        <v>0</v>
      </c>
      <c r="Y923" s="2469">
        <f t="shared" si="878"/>
        <v>0</v>
      </c>
      <c r="Z923" s="2469">
        <f t="shared" si="878"/>
        <v>0</v>
      </c>
      <c r="AA923" s="2469">
        <f t="shared" si="878"/>
        <v>0</v>
      </c>
      <c r="AB923" s="2469">
        <f t="shared" si="878"/>
        <v>0</v>
      </c>
      <c r="AC923" s="2469">
        <f t="shared" si="878"/>
        <v>0</v>
      </c>
      <c r="AD923" s="2469">
        <f t="shared" si="878"/>
        <v>0</v>
      </c>
      <c r="AE923" s="2469">
        <f t="shared" si="878"/>
        <v>0</v>
      </c>
      <c r="AF923" s="2469">
        <f t="shared" si="878"/>
        <v>0</v>
      </c>
      <c r="AG923" s="2469">
        <f t="shared" si="878"/>
        <v>0</v>
      </c>
      <c r="AH923" s="2469">
        <f t="shared" si="878"/>
        <v>0</v>
      </c>
      <c r="AI923" s="2469">
        <f t="shared" si="878"/>
        <v>0</v>
      </c>
    </row>
    <row r="924" spans="2:69" s="2181" customFormat="1" ht="12.5">
      <c r="B924" s="2126" t="s">
        <v>1539</v>
      </c>
      <c r="C924" s="2167"/>
      <c r="D924" s="2470"/>
      <c r="H924" s="2454" t="s">
        <v>1540</v>
      </c>
      <c r="I924" s="2455"/>
      <c r="L924" s="2455"/>
      <c r="M924" s="2167"/>
      <c r="N924" s="2454" t="s">
        <v>1541</v>
      </c>
      <c r="O924" s="2444"/>
      <c r="P924" s="2447"/>
      <c r="Q924" s="2447"/>
      <c r="AF924" s="1966"/>
      <c r="AG924" s="1966"/>
      <c r="AH924" s="1966"/>
      <c r="AI924" s="1966"/>
    </row>
    <row r="925" spans="2:69" s="2181" customFormat="1" ht="12.5">
      <c r="B925" s="2167" t="s">
        <v>1542</v>
      </c>
      <c r="C925" s="2167">
        <v>1</v>
      </c>
      <c r="D925" s="2167" t="s">
        <v>1543</v>
      </c>
      <c r="H925" s="2459">
        <v>2</v>
      </c>
      <c r="I925" s="2454" t="str">
        <f ca="1">IF(H925=1,I927,IF(H925=2,I933,0))</f>
        <v>370:377,379:379</v>
      </c>
      <c r="J925" s="2459" t="str">
        <f ca="1">IF(H925=1,SUBSTITUTE(CELL("DIRECCION",H927),"$",0),IF(H925=2,SUBSTITUTE(CELL("DIRECCION",H933),"$",0),0))</f>
        <v>0H0933</v>
      </c>
      <c r="K925" s="2454" t="str">
        <f ca="1">IF(H925=1,I931,IF(H925=2,I937,0))</f>
        <v>350:357,359:359,360:367,369:369,370:377,379:379</v>
      </c>
      <c r="L925" s="2459" t="str">
        <f ca="1">IF(H925=1,SUBSTITUTE(CELL("DIRECCION",S310),"$",0),IF(H925=2,SUBSTITUTE(CELL("DIRECCION",S350),"$",0),0))</f>
        <v>0S0350</v>
      </c>
      <c r="M925" s="2167"/>
      <c r="N925" s="2471" t="s">
        <v>1544</v>
      </c>
      <c r="O925" s="2444"/>
      <c r="P925" s="2447"/>
      <c r="Q925" s="2447"/>
      <c r="T925" s="2126"/>
      <c r="U925" s="2451"/>
      <c r="V925" s="2167"/>
      <c r="W925" s="2167"/>
      <c r="X925" s="2126" t="s">
        <v>1545</v>
      </c>
      <c r="AF925" s="1966"/>
      <c r="AG925" s="1966"/>
      <c r="AH925" s="1966"/>
      <c r="AI925" s="1966"/>
    </row>
    <row r="926" spans="2:69" s="2181" customFormat="1" ht="12.5">
      <c r="B926" s="2167" t="s">
        <v>1546</v>
      </c>
      <c r="C926" s="2167">
        <v>2</v>
      </c>
      <c r="D926" s="2167" t="s">
        <v>1547</v>
      </c>
      <c r="H926" s="2455" t="s">
        <v>1548</v>
      </c>
      <c r="I926" s="2455"/>
      <c r="L926" s="2455"/>
      <c r="M926" s="2167"/>
      <c r="N926" s="2455" t="str">
        <f ca="1">CONCATENATE(MID(CELL("DIRECCION",AO583),2,2),":",MID(CELL("DIRECCION",AO583),2,2),",",MID(CELL("DIRECCION",AQ583),2,2),":",MID(CELL("DIRECCION",AR583),2,2),",",MID(CELL("DIRECCION",AT583),2,2),":",MID(CELL("DIRECCION",AU583),2,2),",",MID(CELL("DIRECCION",AW583),2,2),":",MID(CELL("DIRECCION",AX583),2,2),",",MID(CELL("DIRECCION",AZ583),2,2),":",MID(CELL("DIRECCION",BA583),2,2),",",MID(CELL("DIRECCION",BC583),2,2),":",MID(CELL("DIRECCION",BD583),2,2))</f>
        <v>AO:AO,AQ:AR,AT:AU,AW:AX,AZ:BA,BC:BD</v>
      </c>
      <c r="O926" s="2444"/>
      <c r="P926" s="2447"/>
      <c r="Q926" s="2447"/>
      <c r="T926" s="2470"/>
      <c r="U926" s="2451"/>
      <c r="V926" s="2451"/>
      <c r="W926" s="2451"/>
      <c r="X926" s="2472">
        <f>AI946</f>
        <v>16</v>
      </c>
      <c r="Y926" s="2473">
        <f>AD938</f>
        <v>2030</v>
      </c>
      <c r="AF926" s="1966"/>
      <c r="AG926" s="1966"/>
      <c r="AH926" s="1966"/>
      <c r="AI926" s="1966"/>
    </row>
    <row r="927" spans="2:69" s="2181" customFormat="1" ht="12.5">
      <c r="B927" s="2167" t="s">
        <v>1549</v>
      </c>
      <c r="C927" s="2167">
        <v>3</v>
      </c>
      <c r="D927" s="2167" t="s">
        <v>1550</v>
      </c>
      <c r="H927" s="2459">
        <v>1</v>
      </c>
      <c r="I927" s="2454" t="str">
        <f ca="1">IF(H927=0,0,VLOOKUP(H927,$H$928:$I$930,2,0))</f>
        <v>320:327,329:329,330:337,339:339</v>
      </c>
      <c r="L927" s="2455"/>
      <c r="M927" s="2167"/>
      <c r="N927" s="2447" t="str">
        <f ca="1">CONCATENATE(MID(CELL("DIRECCION",AP583),2,2),":",MID(CELL("DIRECCION",AP583),2,2))</f>
        <v>AP:AP</v>
      </c>
      <c r="O927" s="2460" t="str">
        <f ca="1">CONCATENATE(MID(CELL("DIRECCION",AL583),2,2),":",MID(CELL("DIRECCION",BO583),2,2))</f>
        <v>AL:BO</v>
      </c>
      <c r="P927" s="2447"/>
      <c r="Q927" s="2447"/>
      <c r="T927" s="2474"/>
      <c r="U927" s="2167"/>
      <c r="V927" s="2451"/>
      <c r="W927" s="2451"/>
      <c r="X927" s="2451"/>
      <c r="AF927" s="1966"/>
      <c r="AG927" s="1966"/>
      <c r="AH927" s="1966"/>
      <c r="AI927" s="1966"/>
    </row>
    <row r="928" spans="2:69" s="2181" customFormat="1" ht="12.5">
      <c r="B928" s="2167" t="s">
        <v>1551</v>
      </c>
      <c r="C928" s="2167">
        <v>4</v>
      </c>
      <c r="D928" s="2167" t="s">
        <v>1552</v>
      </c>
      <c r="H928" s="2460">
        <v>1</v>
      </c>
      <c r="I928" s="2455" t="str">
        <f ca="1">CONCATENATE(RIGHT(CELL("DIRECCION",B320),3),":",RIGHT(CELL("DIRECCION",B327),3),",",RIGHT(CELL("DIRECCION",B329),3),":",RIGHT(CELL("DIRECCION",B329),3),",",RIGHT(CELL("DIRECCION",B330),3),":",RIGHT(CELL("DIRECCION",B337),3),",",RIGHT(CELL("DIRECCION",B339),3),":",RIGHT(CELL("DIRECCION",B339),3))</f>
        <v>320:327,329:329,330:337,339:339</v>
      </c>
      <c r="J928" s="1966"/>
      <c r="K928" s="1966"/>
      <c r="L928" s="1966"/>
      <c r="M928" s="2167"/>
      <c r="N928" s="2447" t="str">
        <f ca="1">CONCATENATE(MID(CELL("DIRECCION",AS583),2,2),":",MID(CELL("DIRECCION",AS583),2,2))</f>
        <v>AS:AS</v>
      </c>
      <c r="O928" s="2460" t="str">
        <f ca="1">CONCATENATE(MID(CELL("DIRECCION",CA846),2,2),":",MID(CELL("DIRECCION",DX846),2,2))</f>
        <v>CA:DX</v>
      </c>
      <c r="P928" s="2447"/>
      <c r="Q928" s="2447"/>
      <c r="T928" s="2445"/>
      <c r="U928" s="693"/>
      <c r="V928" s="693"/>
      <c r="W928" s="693"/>
      <c r="X928" s="693"/>
      <c r="Y928" s="693"/>
      <c r="Z928" s="693"/>
      <c r="AA928" s="693"/>
      <c r="AB928" s="693"/>
      <c r="AC928" s="693"/>
      <c r="AD928" s="693"/>
      <c r="AF928" s="1966"/>
      <c r="AG928" s="1966"/>
      <c r="AH928" s="1966"/>
      <c r="AI928" s="1966"/>
    </row>
    <row r="929" spans="2:34" s="2181" customFormat="1" ht="12.5">
      <c r="B929" s="2167"/>
      <c r="C929" s="2167">
        <v>5</v>
      </c>
      <c r="D929" s="2167"/>
      <c r="H929" s="2460">
        <v>2</v>
      </c>
      <c r="I929" s="2455" t="str">
        <f ca="1">CONCATENATE(RIGHT(CELL("DIRECCION",B330),3),":",RIGHT(CELL("DIRECCION",B337),3),",",RIGHT(CELL("DIRECCION",B339),3),":",RIGHT(CELL("DIRECCION",B339),3))</f>
        <v>330:337,339:339</v>
      </c>
      <c r="J929" s="1966"/>
      <c r="K929" s="1966"/>
      <c r="L929" s="1966"/>
      <c r="M929" s="2167"/>
      <c r="N929" s="2447" t="str">
        <f ca="1">CONCATENATE(MID(CELL("DIRECCION",AY583),2,2),":",MID(CELL("DIRECCION",AY583),2,2))</f>
        <v>AY:AY</v>
      </c>
      <c r="O929" s="2446"/>
      <c r="P929" s="2447"/>
      <c r="Q929" s="2447"/>
      <c r="T929" s="2471" t="s">
        <v>1553</v>
      </c>
      <c r="AF929" s="1966"/>
      <c r="AG929" s="1966"/>
      <c r="AH929" s="1966"/>
    </row>
    <row r="930" spans="2:34" s="2181" customFormat="1" ht="12.5">
      <c r="B930" s="2475"/>
      <c r="C930" s="2167"/>
      <c r="D930" s="2476"/>
      <c r="E930" s="2477"/>
      <c r="H930" s="2460">
        <v>3</v>
      </c>
      <c r="I930" s="2455"/>
      <c r="J930" s="1966"/>
      <c r="K930" s="1966"/>
      <c r="L930" s="1966"/>
      <c r="M930" s="2167"/>
      <c r="N930" s="2447" t="str">
        <f ca="1">CONCATENATE(MID(CELL("DIRECCION",AV583),2,2),":",MID(CELL("DIRECCION",AV583),2,2))</f>
        <v>AV:AV</v>
      </c>
      <c r="O930" s="2446"/>
      <c r="P930" s="2447"/>
      <c r="Q930" s="2447"/>
      <c r="T930" s="2473" t="str">
        <f ca="1">SUBSTITUTE(CELL("DIRECCION",P938)&amp;":"&amp;CELL("DIRECCION",AD938),"$",0)</f>
        <v>0P0938:0AD0938</v>
      </c>
      <c r="AF930" s="1966"/>
      <c r="AG930" s="1966"/>
      <c r="AH930" s="1966"/>
    </row>
    <row r="931" spans="2:34" s="2181" customFormat="1" ht="12.5">
      <c r="B931" s="2454" t="s">
        <v>1554</v>
      </c>
      <c r="C931" s="2478"/>
      <c r="D931" s="2479"/>
      <c r="H931" s="2460" t="s">
        <v>1555</v>
      </c>
      <c r="I931" s="2455" t="str">
        <f ca="1">CONCATENATE(RIGHT(CELL("DIRECCION",B310),3),":",RIGHT(CELL("DIRECCION",B317),3),",",RIGHT(CELL("DIRECCION",B319),3),":",RIGHT(CELL("DIRECCION",B319),3),",",RIGHT(CELL("DIRECCION",B320),3),":",RIGHT(CELL("DIRECCION",B327),3),",",RIGHT(CELL("DIRECCION",B329),3),":",RIGHT(CELL("DIRECCION",B329),3),",",RIGHT(CELL("DIRECCION",B330),3),":",RIGHT(CELL("DIRECCION",B337),3),",",RIGHT(CELL("DIRECCION",B339),3),":",RIGHT(CELL("DIRECCION",B339),3))</f>
        <v>310:317,319:319,320:327,329:329,330:337,339:339</v>
      </c>
      <c r="J931" s="1966"/>
      <c r="K931" s="1966"/>
      <c r="L931" s="1966"/>
      <c r="M931" s="2167"/>
      <c r="N931" s="2167"/>
      <c r="O931" s="2167"/>
      <c r="P931" s="2447"/>
      <c r="Q931" s="2447"/>
      <c r="T931" s="2473">
        <f>COUNT(P938:AD938)</f>
        <v>15</v>
      </c>
      <c r="U931" s="2473" t="str">
        <f ca="1">SUBSTITUTE(CELL("DIRECCION",Q938),"$",0)</f>
        <v>0Q0938</v>
      </c>
      <c r="V931" s="2473" t="str">
        <f ca="1">SUBSTITUTE(CELL("DIRECCION",S938),"$",0)</f>
        <v>0S0938</v>
      </c>
      <c r="X931" s="2454" t="s">
        <v>1556</v>
      </c>
      <c r="AF931" s="1966"/>
      <c r="AG931" s="1966"/>
      <c r="AH931" s="1966"/>
    </row>
    <row r="932" spans="2:34" s="2181" customFormat="1" ht="12.5">
      <c r="B932" s="2480" t="s">
        <v>1557</v>
      </c>
      <c r="C932" s="2481">
        <f>$C$314+IF($C$313=0,0,VLOOKUP($C$313,$B$950:$E$961,4,0)/12)+IF(OR($C$312=0,$C$312=0),0,$C$312/12)+IF($C$316=0,0,VLOOKUP($C$316,$H$950:$J$953,2,0)/12)-IF($C$316=0,0,IF(D932&gt;VLOOKUP($C$316,$H$950:$J$953,3,0),E932,0))</f>
        <v>0</v>
      </c>
      <c r="D932" s="2482">
        <f>IF($C$316=0,0,IF(F933-E933&lt;=0.01,F933,ROUNDDOWN((12-((($C$314+IF($C$313=0,0,VLOOKUP($C$313,$B$950:$E$961,4,0)/12)+IF(OR($C$312=0,$C$312=0),0,$C$312/12)+IF($C$316=0,0,VLOOKUP($C$316,$H$950:$J$953,2,0)/12))-ROUNDDOWN(($C$314+IF($C$313=0,0,VLOOKUP($C$313,$B$950:$E$961,4,0)/12)+IF(OR($C$312=0,$C$312=0),0,$C$312/12)+IF($C$316=0,0,VLOOKUP($C$316,$H$950:$J$953,2,0)/12)),0)-IF($C$316=0,0,VLOOKUP($C$316,$H$950:$J$953,2,0)/12))*12))/VLOOKUP($C$316,$H$950:$J$953,2,0),0)))</f>
        <v>0</v>
      </c>
      <c r="E932" s="2483">
        <f>IF($C$316=0,1,IF(D932&gt;VLOOKUP($C$316,$H$950:$J$953,3,0),(D932-VLOOKUP($C$316,$H$950:$J$953,3,0))/VLOOKUP($C$316,$H$950:$J$953,3,0),D932/VLOOKUP($C$316,$H$950:$J$953,3,0)))</f>
        <v>1</v>
      </c>
      <c r="F932" s="2484">
        <f>IF($C$316=0,0,ROUNDDOWN(($C$311-$C$312/12)*VLOOKUP($C$316,$H$950:$J$953,3,0),0))</f>
        <v>0</v>
      </c>
      <c r="H932" s="2455" t="s">
        <v>1558</v>
      </c>
      <c r="I932" s="2455"/>
      <c r="J932" s="1966"/>
      <c r="K932" s="1966"/>
      <c r="L932" s="1966"/>
      <c r="M932" s="2167"/>
      <c r="N932" s="2471" t="s">
        <v>1559</v>
      </c>
      <c r="O932" s="2167"/>
      <c r="P932" s="2447"/>
      <c r="Q932" s="2447"/>
      <c r="X932" s="2472">
        <f>ROW(AM622)</f>
        <v>622</v>
      </c>
      <c r="AF932" s="1966"/>
      <c r="AG932" s="1966"/>
      <c r="AH932" s="1966"/>
    </row>
    <row r="933" spans="2:34" s="2181" customFormat="1" ht="12.5">
      <c r="B933" s="2485" t="s">
        <v>1560</v>
      </c>
      <c r="C933" s="2486">
        <f>IF($C$315&lt;&gt;0,(VLOOKUP($C$315,$B$924:$C$929,2,0)),0)</f>
        <v>0</v>
      </c>
      <c r="D933" s="2487">
        <f>IF($C$313=0,0,VLOOKUP($C$313,$B$950:$C$961,2,0))</f>
        <v>0</v>
      </c>
      <c r="E933" s="2482">
        <f>IF($C$316=0,0,(12-((($C$314+IF($C$313=0,0,VLOOKUP($C$313,$B$950:$E$961,4,0)/12)+IF(OR($C$312=0,$C$312=0),0,$C$312/12)+IF($C$316=0,0,VLOOKUP($C$316,$H$950:$J$953,2,0)/12))-ROUNDDOWN(($C$314+IF($C$313=0,0,VLOOKUP($C$313,$B$950:$E$961,4,0)/12)+IF(OR($C$312=0,$C$312=0),0,$C$312/12)+IF($C$316=0,0,VLOOKUP($C$316,$H$950:$J$953,2,0)/12)),0)-IF($C$316=0,0,VLOOKUP($C$316,$H$950:$J$953,2,0)/12))*12))/VLOOKUP($C$316,$H$950:$J$953,2,0))</f>
        <v>0</v>
      </c>
      <c r="F933" s="2482">
        <f>IF($C$316=0,0,ROUND((12-((($C$314+IF($C$313=0,0,VLOOKUP($C$313,$B$950:$E$961,4,0)/12)+IF(OR($C$312=0,$C$312=0),0,$C$312/12)+IF($C$316=0,0,VLOOKUP($C$316,$H$950:$J$953,2,0)/12))-ROUNDDOWN(($C$314+IF($C$313=0,0,VLOOKUP($C$313,$B$950:$E$961,4,0)/12)+IF(OR($C$312=0,$C$312=0),0,$C$312/12)+IF($C$316=0,0,VLOOKUP($C$316,$H$950:$J$953,2,0)/12)),0)-IF($C$316=0,0,VLOOKUP($C$316,$H$950:$J$953,2,0)/12))*12))/VLOOKUP($C$316,$H$950:$J$953,2,0),0))</f>
        <v>0</v>
      </c>
      <c r="H933" s="2459">
        <v>2</v>
      </c>
      <c r="I933" s="2454" t="str">
        <f ca="1">IF(H933=0,0,VLOOKUP(H933,$H$934:$I$936,2,0))</f>
        <v>370:377,379:379</v>
      </c>
      <c r="J933" s="1966"/>
      <c r="K933" s="1966"/>
      <c r="L933" s="1966"/>
      <c r="M933" s="2167"/>
      <c r="N933" s="2447" t="str">
        <f ca="1">CONCATENATE(CELL("DIRECCION",BW844),":",CELL("DIRECCION",DX901))</f>
        <v>$BW$844:$DX$901</v>
      </c>
      <c r="O933" s="2167"/>
      <c r="P933" s="2447"/>
      <c r="Q933" s="2447"/>
      <c r="X933" s="2472">
        <f>ROW(AM635)</f>
        <v>635</v>
      </c>
      <c r="AF933" s="1966"/>
      <c r="AG933" s="1966"/>
      <c r="AH933" s="1966"/>
    </row>
    <row r="934" spans="2:34" s="2181" customFormat="1" ht="12.5">
      <c r="B934" s="2480" t="s">
        <v>1561</v>
      </c>
      <c r="C934" s="2481">
        <f>$C$324+IF($C$323=0,0,VLOOKUP($C$323,$B$950:$E$961,4,0)/12)+IF(OR($C$322=0,$C$322=0),0,$C$322/12)+IF($C$326=0,0,VLOOKUP($C$326,$H$950:$J$953,2,0)/12)-IF($C$326=0,0,IF(D934&gt;VLOOKUP($C$326,$H$950:$J$953,3,0),E934,0))</f>
        <v>0</v>
      </c>
      <c r="D934" s="2482">
        <f>IF($C$326=0,0,IF(F935-E935&lt;=0.01,F935,ROUNDDOWN((12-((($C$324+IF($C$323=0,0,VLOOKUP($C$323,$B$950:$E$961,4,0)/12)+IF(OR($C$322=0,$C$322=0),0,$C$322/12)+IF($C$326=0,0,VLOOKUP($C$326,$H$950:$J$953,2,0)/12))-ROUNDDOWN(($C$324+IF($C$323=0,0,VLOOKUP($C$323,$B$950:$E$961,4,0)/12)+IF(OR($C$322=0,$C$322=0),0,$C$322/12)+IF($C$326=0,0,VLOOKUP($C$326,$H$950:$J$953,2,0)/12)),0)-IF($C$326=0,0,VLOOKUP($C$326,$H$950:$J$953,2,0)/12))*12))/VLOOKUP($C$326,$H$950:$J$953,2,0),0)))</f>
        <v>0</v>
      </c>
      <c r="E934" s="2483">
        <f>IF($C$326=0,1,IF(D934&gt;VLOOKUP($C$326,$H$950:$J$953,3,0),(D934-VLOOKUP($C$326,$H$950:$J$953,3,0))/VLOOKUP($C$326,$H$950:$J$953,3,0),D934/VLOOKUP($C$326,$H$950:$J$953,3,0)))</f>
        <v>1</v>
      </c>
      <c r="F934" s="2484">
        <f>IF($C$326=0,0,ROUNDDOWN(($C$321-$C$322/12)*VLOOKUP($C$326,$H$950:$J$953,3,0),0))</f>
        <v>0</v>
      </c>
      <c r="H934" s="2460">
        <v>1</v>
      </c>
      <c r="I934" s="2455" t="str">
        <f ca="1">CONCATENATE(RIGHT(CELL("DIRECCION",B360),3),":",RIGHT(CELL("DIRECCION",B367),3),",",RIGHT(CELL("DIRECCION",B369),3),":",RIGHT(CELL("DIRECCION",B369),3),",",RIGHT(CELL("DIRECCION",B370),3),":",RIGHT(CELL("DIRECCION",B377),3),",",RIGHT(CELL("DIRECCION",B379),3),":",RIGHT(CELL("DIRECCION",B379),3))</f>
        <v>360:367,369:369,370:377,379:379</v>
      </c>
      <c r="J934" s="1966"/>
      <c r="K934" s="1966"/>
      <c r="L934" s="2451"/>
      <c r="M934" s="2167"/>
      <c r="N934" s="2167"/>
      <c r="O934" s="2167"/>
      <c r="P934" s="2447"/>
      <c r="Q934" s="2447"/>
      <c r="X934" s="2472">
        <f>ROW(AM783)</f>
        <v>783</v>
      </c>
      <c r="AF934" s="1966"/>
      <c r="AG934" s="1966"/>
      <c r="AH934" s="1966"/>
    </row>
    <row r="935" spans="2:34" s="2181" customFormat="1" ht="12.5">
      <c r="B935" s="2485" t="s">
        <v>1562</v>
      </c>
      <c r="C935" s="2486">
        <f>IF($C$325&lt;&gt;0,(VLOOKUP($C$325,$B$924:$C$929,2,0)),0)</f>
        <v>0</v>
      </c>
      <c r="D935" s="2487">
        <f>IF($C$323=0,0,VLOOKUP($C$323,$B$950:$C$961,2,0))</f>
        <v>0</v>
      </c>
      <c r="E935" s="2482">
        <f>IF($C$326=0,0,(12-((($C$324+IF($C$323=0,0,VLOOKUP($C$323,$B$950:$E$961,4,0)/12)+IF(OR($C$322=0,$C$322=0),0,$C$322/12)+IF($C$326=0,0,VLOOKUP($C$326,$H$950:$J$953,2,0)/12))-ROUNDDOWN(($C$324+IF($C$323=0,0,VLOOKUP($C$323,$B$950:$E$961,4,0)/12)+IF(OR($C$322=0,$C$322=0),0,$C$322/12)+IF($C$326=0,0,VLOOKUP($C$326,$H$950:$J$953,2,0)/12)),0)-IF($C$326=0,0,VLOOKUP($C$326,$H$950:$J$953,2,0)/12))*12))/VLOOKUP($C$326,$H$950:$J$953,2,0))</f>
        <v>0</v>
      </c>
      <c r="F935" s="2482">
        <f>IF($C$326=0,0,ROUND((12-((($C$324+IF($C$323=0,0,VLOOKUP($C$323,$B$950:$E$961,4,0)/12)+IF(OR($C$322=0,$C$322=0),0,$C$322/12)+IF($C$326=0,0,VLOOKUP($C$326,$H$950:$J$953,2,0)/12))-ROUNDDOWN(($C$324+IF($C$323=0,0,VLOOKUP($C$323,$B$950:$E$961,4,0)/12)+IF(OR($C$322=0,$C$322=0),0,$C$322/12)+IF($C$326=0,0,VLOOKUP($C$326,$H$950:$J$953,2,0)/12)),0)-IF($C$326=0,0,VLOOKUP($C$326,$H$950:$J$953,2,0)/12))*12))/VLOOKUP($C$326,$H$950:$J$953,2,0),0))</f>
        <v>0</v>
      </c>
      <c r="H935" s="2460">
        <v>2</v>
      </c>
      <c r="I935" s="2455" t="str">
        <f ca="1">CONCATENATE(RIGHT(CELL("DIRECCION",B370),3),":",RIGHT(CELL("DIRECCION",B377),3),",",RIGHT(CELL("DIRECCION",B379),3),":",RIGHT(CELL("DIRECCION",B379),3))</f>
        <v>370:377,379:379</v>
      </c>
      <c r="J935" s="1966"/>
      <c r="K935" s="1966"/>
      <c r="L935" s="2451"/>
      <c r="M935" s="2167"/>
      <c r="N935" s="2167"/>
      <c r="O935" s="2167"/>
      <c r="P935" s="2447"/>
      <c r="Q935" s="2447"/>
      <c r="X935" s="2472">
        <f>ROW(AM789)</f>
        <v>789</v>
      </c>
      <c r="AF935" s="1966"/>
      <c r="AG935" s="1966"/>
      <c r="AH935" s="1966"/>
    </row>
    <row r="936" spans="2:34" s="2181" customFormat="1" ht="12.5">
      <c r="B936" s="2480" t="s">
        <v>1563</v>
      </c>
      <c r="C936" s="2481">
        <f>$C$334+IF($C$333=0,0,VLOOKUP($C$333,$B$950:$E$961,4,0)/12)+IF(OR($C$332=0,$C$332=0),0,$C$332/12)+IF($C$336=0,0,VLOOKUP($C$336,$H$950:$J$953,2,0)/12)-IF($C$336=0,0,IF(D936&gt;VLOOKUP($C$336,$H$950:$J$953,3,0),E936,0))</f>
        <v>0</v>
      </c>
      <c r="D936" s="2482">
        <f>IF($C$336=0,0,IF(F937-E937&lt;=0.01,F937,ROUNDDOWN((12-((($C$334+IF($C$333=0,0,VLOOKUP($C$333,$B$950:$E$961,4,0)/12)+IF(OR($C$332=0,$C$332=0),0,$C$332/12)+IF($C$336=0,0,VLOOKUP($C$336,$H$950:$J$953,2,0)/12))-ROUNDDOWN(($C$334+IF($C$333=0,0,VLOOKUP($C$333,$B$950:$E$961,4,0)/12)+IF(OR($C$332=0,$C$332=0),0,$C$332/12)+IF($C$336=0,0,VLOOKUP($C$336,$H$950:$J$953,2,0)/12)),0)-IF($C$336=0,0,VLOOKUP($C$336,$H$950:$J$953,2,0)/12))*12))/VLOOKUP($C$336,$H$950:$J$953,2,0),0)))</f>
        <v>0</v>
      </c>
      <c r="E936" s="2483">
        <f>IF($C$336=0,1,IF(D936&gt;VLOOKUP($C$336,$H$950:$J$953,3,0),(D936-VLOOKUP($C$336,$H$950:$J$953,3,0))/VLOOKUP($C$336,$H$950:$J$953,3,0),D936/VLOOKUP($C$336,$H$950:$J$953,3,0)))</f>
        <v>1</v>
      </c>
      <c r="F936" s="2484">
        <f>IF($C$336=0,0,ROUNDDOWN(($C$331-$C$332/12)*VLOOKUP($C$336,$H$950:$J$953,3,0),0))</f>
        <v>0</v>
      </c>
      <c r="H936" s="2460">
        <v>3</v>
      </c>
      <c r="I936" s="2455"/>
      <c r="J936" s="1966"/>
      <c r="K936" s="1966"/>
      <c r="L936" s="2451"/>
      <c r="M936" s="2167"/>
      <c r="N936" s="2167"/>
      <c r="O936" s="2167"/>
      <c r="P936" s="2453" t="s">
        <v>1564</v>
      </c>
      <c r="Q936" s="2474"/>
      <c r="R936" s="2474"/>
      <c r="W936" s="2455"/>
      <c r="X936" s="2167"/>
      <c r="AF936" s="1966"/>
      <c r="AG936" s="1966"/>
      <c r="AH936" s="1966"/>
    </row>
    <row r="937" spans="2:34" s="2181" customFormat="1" ht="12.5">
      <c r="B937" s="2485" t="s">
        <v>1565</v>
      </c>
      <c r="C937" s="2486">
        <f>IF($C$335&lt;&gt;0,(VLOOKUP($C$335,$B$924:$C$929,2,0)),0)</f>
        <v>0</v>
      </c>
      <c r="D937" s="2487">
        <f>IF($C$333=0,0,VLOOKUP($C$333,$B$950:$C$961,2,0))</f>
        <v>0</v>
      </c>
      <c r="E937" s="2482">
        <f>IF($C$336=0,0,(12-((($C$334+IF($C$333=0,0,VLOOKUP($C$333,$B$950:$E$961,4,0)/12)+IF(OR($C$332=0,$C$332=0),0,$C$332/12)+IF($C$336=0,0,VLOOKUP($C$336,$H$950:$J$953,2,0)/12))-ROUNDDOWN(($C$334+IF($C$333=0,0,VLOOKUP($C$333,$B$950:$E$961,4,0)/12)+IF(OR($C$332=0,$C$332=0),0,$C$332/12)+IF($C$336=0,0,VLOOKUP($C$336,$H$950:$J$953,2,0)/12)),0)-IF($C$336=0,0,VLOOKUP($C$336,$H$950:$J$953,2,0)/12))*12))/VLOOKUP($C$336,$H$950:$J$953,2,0))</f>
        <v>0</v>
      </c>
      <c r="F937" s="2482">
        <f>IF($C$336=0,0,ROUND((12-((($C$334+IF($C$333=0,0,VLOOKUP($C$333,$B$950:$E$961,4,0)/12)+IF(OR($C$332=0,$C$332=0),0,$C$332/12)+IF($C$336=0,0,VLOOKUP($C$336,$H$950:$J$953,2,0)/12))-ROUNDDOWN(($C$334+IF($C$333=0,0,VLOOKUP($C$333,$B$950:$E$961,4,0)/12)+IF(OR($C$332=0,$C$332=0),0,$C$332/12)+IF($C$336=0,0,VLOOKUP($C$336,$H$950:$J$953,2,0)/12)),0)-IF($C$336=0,0,VLOOKUP($C$336,$H$950:$J$953,2,0)/12))*12))/VLOOKUP($C$336,$H$950:$J$953,2,0),0))</f>
        <v>0</v>
      </c>
      <c r="H937" s="2460" t="s">
        <v>1555</v>
      </c>
      <c r="I937" s="2455" t="str">
        <f ca="1">CONCATENATE(RIGHT(CELL("DIRECCION",B350),3),":",RIGHT(CELL("DIRECCION",B357),3),",",RIGHT(CELL("DIRECCION",B359),3),":",RIGHT(CELL("DIRECCION",B359),3),",",RIGHT(CELL("DIRECCION",B360),3),":",RIGHT(CELL("DIRECCION",B367),3),",",RIGHT(CELL("DIRECCION",B369),3),":",RIGHT(CELL("DIRECCION",B369),3),",",RIGHT(CELL("DIRECCION",B370),3),":",RIGHT(CELL("DIRECCION",B377),3),",",RIGHT(CELL("DIRECCION",B379),3),":",RIGHT(CELL("DIRECCION",B379),3))</f>
        <v>350:357,359:359,360:367,369:369,370:377,379:379</v>
      </c>
      <c r="J937" s="1966"/>
      <c r="K937" s="1966"/>
      <c r="L937" s="2451"/>
      <c r="M937" s="2474"/>
      <c r="N937" s="2167"/>
      <c r="O937" s="2167"/>
      <c r="P937" s="2488">
        <v>2019</v>
      </c>
      <c r="Q937" s="2126" t="str">
        <f ca="1">HLOOKUP(P937,$P$938:$AD$942,2,0)</f>
        <v>AY:AY</v>
      </c>
      <c r="R937" s="2126" t="str">
        <f>HLOOKUP(P937,$P$938:$AD$942,5,0)</f>
        <v>OCULTA</v>
      </c>
      <c r="W937" s="2455"/>
      <c r="X937" s="2167"/>
      <c r="AF937" s="1966"/>
      <c r="AG937" s="1966"/>
      <c r="AH937" s="1966"/>
    </row>
    <row r="938" spans="2:34" s="2181" customFormat="1" ht="12.5">
      <c r="B938" s="2167"/>
      <c r="C938" s="2167"/>
      <c r="D938" s="2167"/>
      <c r="E938" s="2167"/>
      <c r="F938" s="2167"/>
      <c r="I938" s="2446"/>
      <c r="J938" s="2446"/>
      <c r="K938" s="2167"/>
      <c r="L938" s="2167"/>
      <c r="M938" s="2167"/>
      <c r="N938" s="2167"/>
      <c r="O938" s="2167"/>
      <c r="P938" s="2461">
        <f>C15</f>
        <v>2016</v>
      </c>
      <c r="Q938" s="2461">
        <f>E15</f>
        <v>2017</v>
      </c>
      <c r="R938" s="2473">
        <f>H15</f>
        <v>2018</v>
      </c>
      <c r="S938" s="2473">
        <f>N15</f>
        <v>2019</v>
      </c>
      <c r="T938" s="2489">
        <f t="shared" ref="T938:AH938" si="879">T15</f>
        <v>2020</v>
      </c>
      <c r="U938" s="2490">
        <f t="shared" si="879"/>
        <v>2021</v>
      </c>
      <c r="V938" s="2490">
        <f t="shared" si="879"/>
        <v>2022</v>
      </c>
      <c r="W938" s="2490">
        <f t="shared" si="879"/>
        <v>2023</v>
      </c>
      <c r="X938" s="2489">
        <f t="shared" si="879"/>
        <v>2024</v>
      </c>
      <c r="Y938" s="2490">
        <f t="shared" si="879"/>
        <v>2025</v>
      </c>
      <c r="Z938" s="2490">
        <f t="shared" si="879"/>
        <v>2026</v>
      </c>
      <c r="AA938" s="2490">
        <f t="shared" si="879"/>
        <v>2027</v>
      </c>
      <c r="AB938" s="2490">
        <f t="shared" si="879"/>
        <v>2028</v>
      </c>
      <c r="AC938" s="2490">
        <f t="shared" si="879"/>
        <v>2029</v>
      </c>
      <c r="AD938" s="2490">
        <f t="shared" si="879"/>
        <v>2030</v>
      </c>
      <c r="AE938" s="2490">
        <f t="shared" si="879"/>
        <v>2031</v>
      </c>
      <c r="AF938" s="2490">
        <f t="shared" si="879"/>
        <v>2032</v>
      </c>
      <c r="AG938" s="2490">
        <f t="shared" si="879"/>
        <v>2033</v>
      </c>
      <c r="AH938" s="2490">
        <f t="shared" si="879"/>
        <v>2034</v>
      </c>
    </row>
    <row r="939" spans="2:34" s="2181" customFormat="1" ht="12.5">
      <c r="B939" s="2167"/>
      <c r="C939" s="2167"/>
      <c r="D939" s="2167"/>
      <c r="E939" s="2167"/>
      <c r="F939" s="2167"/>
      <c r="H939" s="2454" t="s">
        <v>1566</v>
      </c>
      <c r="I939" s="2460"/>
      <c r="J939" s="2460"/>
      <c r="K939" s="2167"/>
      <c r="L939" s="2167"/>
      <c r="M939" s="2167"/>
      <c r="N939" s="2167"/>
      <c r="O939" s="2167"/>
      <c r="P939" s="2491" t="str">
        <f ca="1">CONCATENATE(MID(CELL("DIRECCION",AN583),2,2),":",MID(CELL("DIRECCION",AN583),2,2))</f>
        <v>AN:AN</v>
      </c>
      <c r="Q939" s="2491" t="str">
        <f ca="1">CONCATENATE(MID(CELL("DIRECCION",AP583),2,2),":",MID(CELL("DIRECCION",AP583),2,2))</f>
        <v>AP:AP</v>
      </c>
      <c r="R939" s="2473" t="str">
        <f ca="1">CONCATENATE(MID(CELL("DIRECCION",AS583),2,2),":",MID(CELL("DIRECCION",AS583),2,2))</f>
        <v>AS:AS</v>
      </c>
      <c r="S939" s="2473" t="str">
        <f ca="1">CONCATENATE(MID(CELL("DIRECCION",AY583),2,2),":",MID(CELL("DIRECCION",AY583),2,2))</f>
        <v>AY:AY</v>
      </c>
      <c r="T939" s="2492" t="str">
        <f t="shared" ref="T939:AH939" ca="1" si="880">CONCATENATE(MID(CELL("DIRECCION",BE583),2,2),":",MID(CELL("DIRECCION",BE583),2,2))</f>
        <v>BE:BE</v>
      </c>
      <c r="U939" s="2473" t="str">
        <f t="shared" ca="1" si="880"/>
        <v>BF:BF</v>
      </c>
      <c r="V939" s="2473" t="str">
        <f t="shared" ca="1" si="880"/>
        <v>BG:BG</v>
      </c>
      <c r="W939" s="2473" t="str">
        <f t="shared" ca="1" si="880"/>
        <v>BH:BH</v>
      </c>
      <c r="X939" s="2492" t="str">
        <f t="shared" ca="1" si="880"/>
        <v>BI:BI</v>
      </c>
      <c r="Y939" s="2473" t="str">
        <f t="shared" ca="1" si="880"/>
        <v>BJ:BJ</v>
      </c>
      <c r="Z939" s="2473" t="str">
        <f t="shared" ca="1" si="880"/>
        <v>BK:BK</v>
      </c>
      <c r="AA939" s="2473" t="str">
        <f t="shared" ca="1" si="880"/>
        <v>BL:BL</v>
      </c>
      <c r="AB939" s="2473" t="str">
        <f t="shared" ca="1" si="880"/>
        <v>BM:BM</v>
      </c>
      <c r="AC939" s="2473" t="str">
        <f t="shared" ca="1" si="880"/>
        <v>BN:BN</v>
      </c>
      <c r="AD939" s="2473" t="str">
        <f t="shared" ca="1" si="880"/>
        <v>BO:BO</v>
      </c>
      <c r="AE939" s="2473" t="str">
        <f t="shared" ca="1" si="880"/>
        <v>BP:BP</v>
      </c>
      <c r="AF939" s="2473" t="str">
        <f t="shared" ca="1" si="880"/>
        <v>BQ:BQ</v>
      </c>
      <c r="AG939" s="2473" t="str">
        <f t="shared" ca="1" si="880"/>
        <v>BR:BR</v>
      </c>
      <c r="AH939" s="2473" t="str">
        <f t="shared" ca="1" si="880"/>
        <v>BS:BS</v>
      </c>
    </row>
    <row r="940" spans="2:34" s="2181" customFormat="1" ht="12.5">
      <c r="B940" s="2167"/>
      <c r="C940" s="2167"/>
      <c r="D940" s="2167"/>
      <c r="E940" s="2167"/>
      <c r="F940" s="2167"/>
      <c r="H940" s="2455" t="str">
        <f ca="1">CELL("DIRECCION",AY608)</f>
        <v>$AY$608</v>
      </c>
      <c r="I940" s="2460" t="str">
        <f ca="1">LEFT(CELL("DIRECCION",AS583),3)</f>
        <v>$AS</v>
      </c>
      <c r="J940" s="2460"/>
      <c r="K940" s="2468"/>
      <c r="L940" s="2167"/>
      <c r="M940" s="2167"/>
      <c r="N940" s="2167"/>
      <c r="O940" s="2167"/>
      <c r="P940" s="2491" t="str">
        <f t="shared" ref="P940:AH940" si="881">IF($T$917&gt;P938,$C$914,$C$913)</f>
        <v>VISIBLE</v>
      </c>
      <c r="Q940" s="2491" t="str">
        <f t="shared" si="881"/>
        <v>VISIBLE</v>
      </c>
      <c r="R940" s="2473" t="str">
        <f t="shared" si="881"/>
        <v>VISIBLE</v>
      </c>
      <c r="S940" s="2473" t="str">
        <f t="shared" si="881"/>
        <v>VISIBLE</v>
      </c>
      <c r="T940" s="2492" t="str">
        <f t="shared" si="881"/>
        <v>VISIBLE</v>
      </c>
      <c r="U940" s="2473" t="str">
        <f t="shared" si="881"/>
        <v>VISIBLE</v>
      </c>
      <c r="V940" s="2473" t="str">
        <f t="shared" si="881"/>
        <v>VISIBLE</v>
      </c>
      <c r="W940" s="2473" t="str">
        <f t="shared" si="881"/>
        <v>VISIBLE</v>
      </c>
      <c r="X940" s="2492" t="str">
        <f t="shared" si="881"/>
        <v>VISIBLE</v>
      </c>
      <c r="Y940" s="2473" t="str">
        <f t="shared" si="881"/>
        <v>VISIBLE</v>
      </c>
      <c r="Z940" s="2473" t="str">
        <f t="shared" si="881"/>
        <v>VISIBLE</v>
      </c>
      <c r="AA940" s="2473" t="str">
        <f t="shared" si="881"/>
        <v>VISIBLE</v>
      </c>
      <c r="AB940" s="2473" t="str">
        <f t="shared" si="881"/>
        <v>VISIBLE</v>
      </c>
      <c r="AC940" s="2473" t="str">
        <f t="shared" si="881"/>
        <v>VISIBLE</v>
      </c>
      <c r="AD940" s="2473" t="str">
        <f t="shared" si="881"/>
        <v>VISIBLE</v>
      </c>
      <c r="AE940" s="2473" t="str">
        <f t="shared" si="881"/>
        <v>VISIBLE</v>
      </c>
      <c r="AF940" s="2473" t="str">
        <f t="shared" si="881"/>
        <v>VISIBLE</v>
      </c>
      <c r="AG940" s="2473" t="str">
        <f t="shared" si="881"/>
        <v>VISIBLE</v>
      </c>
      <c r="AH940" s="2473" t="str">
        <f t="shared" si="881"/>
        <v>VISIBLE</v>
      </c>
    </row>
    <row r="941" spans="2:34" s="2181" customFormat="1" ht="12.5">
      <c r="B941" s="2454" t="s">
        <v>1567</v>
      </c>
      <c r="C941" s="2167"/>
      <c r="D941" s="2167"/>
      <c r="E941" s="2167"/>
      <c r="F941" s="2167"/>
      <c r="H941" s="2455" t="str">
        <f ca="1">CELL("DIRECCION",AY611)</f>
        <v>$AY$611</v>
      </c>
      <c r="I941" s="2460" t="str">
        <f ca="1">LEFT(CELL("DIRECCION",AY583),3)</f>
        <v>$AY</v>
      </c>
      <c r="J941" s="2460"/>
      <c r="K941" s="2474"/>
      <c r="L941" s="2474"/>
      <c r="M941" s="2474"/>
      <c r="N941" s="2474"/>
      <c r="O941" s="2468"/>
      <c r="P941" s="2491" t="str">
        <f t="shared" ref="P941:AH941" si="882">IF($T$920&lt;P938,$C$914,$C$913)</f>
        <v>OCULTA</v>
      </c>
      <c r="Q941" s="2491" t="str">
        <f t="shared" si="882"/>
        <v>OCULTA</v>
      </c>
      <c r="R941" s="2473" t="str">
        <f t="shared" si="882"/>
        <v>OCULTA</v>
      </c>
      <c r="S941" s="2473" t="str">
        <f t="shared" si="882"/>
        <v>OCULTA</v>
      </c>
      <c r="T941" s="2492" t="str">
        <f t="shared" si="882"/>
        <v>OCULTA</v>
      </c>
      <c r="U941" s="2473" t="str">
        <f t="shared" si="882"/>
        <v>OCULTA</v>
      </c>
      <c r="V941" s="2473" t="str">
        <f t="shared" si="882"/>
        <v>OCULTA</v>
      </c>
      <c r="W941" s="2473" t="str">
        <f t="shared" si="882"/>
        <v>OCULTA</v>
      </c>
      <c r="X941" s="2492" t="str">
        <f t="shared" si="882"/>
        <v>OCULTA</v>
      </c>
      <c r="Y941" s="2473" t="str">
        <f t="shared" si="882"/>
        <v>OCULTA</v>
      </c>
      <c r="Z941" s="2473" t="str">
        <f t="shared" si="882"/>
        <v>OCULTA</v>
      </c>
      <c r="AA941" s="2473" t="str">
        <f t="shared" si="882"/>
        <v>OCULTA</v>
      </c>
      <c r="AB941" s="2473" t="str">
        <f t="shared" si="882"/>
        <v>OCULTA</v>
      </c>
      <c r="AC941" s="2473" t="str">
        <f t="shared" si="882"/>
        <v>OCULTA</v>
      </c>
      <c r="AD941" s="2473" t="str">
        <f t="shared" si="882"/>
        <v>OCULTA</v>
      </c>
      <c r="AE941" s="2473" t="str">
        <f t="shared" si="882"/>
        <v>OCULTA</v>
      </c>
      <c r="AF941" s="2473" t="str">
        <f t="shared" si="882"/>
        <v>OCULTA</v>
      </c>
      <c r="AG941" s="2473" t="str">
        <f t="shared" si="882"/>
        <v>OCULTA</v>
      </c>
      <c r="AH941" s="2473" t="str">
        <f t="shared" si="882"/>
        <v>OCULTA</v>
      </c>
    </row>
    <row r="942" spans="2:34" s="2181" customFormat="1" ht="12.5">
      <c r="B942" s="2480" t="s">
        <v>1557</v>
      </c>
      <c r="C942" s="2481">
        <f>$C$354+IF($C$353=0,0,VLOOKUP($C$353,$B$950:$E$961,4,0)/12)+IF(OR($C$352=0,$C$352=0),0,$C$352/12)+IF($C$356=0,0,VLOOKUP($C$356,$H$950:$J$953,2,0)/12)-IF($C$356=0,0,IF(D942&gt;VLOOKUP($C$356,$H$950:$J$953,3,0),E942,0))</f>
        <v>0</v>
      </c>
      <c r="D942" s="2482">
        <f>IF($C$356=0,0,IF(F943-E943&lt;=0.01,F943,ROUNDDOWN((12-((($C$354+IF($C$353=0,0,VLOOKUP($C$353,$B$950:$E$961,4,0)/12)+IF(OR($C$352=0,$C$352=0),0,$C$352/12)+IF($C$356=0,0,VLOOKUP($C$356,$H$950:$J$953,2,0)/12))-ROUNDDOWN(($C$354+IF($C$353=0,0,VLOOKUP($C$353,$B$950:$E$961,4,0)/12)+IF(OR($C$352=0,$C$352=0),0,$C$352/12)+IF($C$356=0,0,VLOOKUP($C$356,$H$950:$J$953,2,0)/12)),0)-IF($C$356=0,0,VLOOKUP($C$356,$H$950:$J$953,2,0)/12))*12))/VLOOKUP($C$356,$H$950:$J$953,2,0),0)))</f>
        <v>0</v>
      </c>
      <c r="E942" s="2483">
        <f>IF($C$356=0,1,IF(D942&gt;VLOOKUP($C$356,$H$950:$J$953,3,0),(D942-VLOOKUP($C$356,$H$950:$J$953,3,0))/VLOOKUP($C$356,$H$950:$J$953,3,0),D942/VLOOKUP($C$356,$H$950:$J$953,3,0)))</f>
        <v>1</v>
      </c>
      <c r="F942" s="2484">
        <f>IF($C$356=0,0,ROUNDDOWN(($C$351-$C$352/12)*VLOOKUP($C$356,$H$950:$J$953,3,0),0))</f>
        <v>0</v>
      </c>
      <c r="H942" s="2455" t="str">
        <f ca="1">CELL("DIRECCION",AY702)</f>
        <v>$AY$702</v>
      </c>
      <c r="I942" s="2460" t="str">
        <f ca="1">LEFT(CELL("DIRECCION",BB583),3)</f>
        <v>$BB</v>
      </c>
      <c r="J942" s="2460"/>
      <c r="K942" s="2167"/>
      <c r="L942" s="2167"/>
      <c r="M942" s="2167"/>
      <c r="N942" s="1966"/>
      <c r="O942" s="1966"/>
      <c r="P942" s="2491" t="str">
        <f t="shared" ref="P942:AH942" si="883">IF(OR(P940=$C$914,P941=$C$914),$C$914,$C$913)</f>
        <v>OCULTA</v>
      </c>
      <c r="Q942" s="2491" t="str">
        <f t="shared" si="883"/>
        <v>OCULTA</v>
      </c>
      <c r="R942" s="2473" t="str">
        <f t="shared" si="883"/>
        <v>OCULTA</v>
      </c>
      <c r="S942" s="2473" t="str">
        <f t="shared" si="883"/>
        <v>OCULTA</v>
      </c>
      <c r="T942" s="2473" t="str">
        <f t="shared" si="883"/>
        <v>OCULTA</v>
      </c>
      <c r="U942" s="2473" t="str">
        <f t="shared" si="883"/>
        <v>OCULTA</v>
      </c>
      <c r="V942" s="2473" t="str">
        <f t="shared" si="883"/>
        <v>OCULTA</v>
      </c>
      <c r="W942" s="2473" t="str">
        <f t="shared" si="883"/>
        <v>OCULTA</v>
      </c>
      <c r="X942" s="2473" t="str">
        <f t="shared" si="883"/>
        <v>OCULTA</v>
      </c>
      <c r="Y942" s="2473" t="str">
        <f t="shared" si="883"/>
        <v>OCULTA</v>
      </c>
      <c r="Z942" s="2473" t="str">
        <f t="shared" si="883"/>
        <v>OCULTA</v>
      </c>
      <c r="AA942" s="2473" t="str">
        <f t="shared" si="883"/>
        <v>OCULTA</v>
      </c>
      <c r="AB942" s="2473" t="str">
        <f t="shared" si="883"/>
        <v>OCULTA</v>
      </c>
      <c r="AC942" s="2473" t="str">
        <f t="shared" si="883"/>
        <v>OCULTA</v>
      </c>
      <c r="AD942" s="2473" t="str">
        <f t="shared" si="883"/>
        <v>OCULTA</v>
      </c>
      <c r="AE942" s="2473" t="str">
        <f t="shared" si="883"/>
        <v>OCULTA</v>
      </c>
      <c r="AF942" s="2473" t="str">
        <f t="shared" si="883"/>
        <v>OCULTA</v>
      </c>
      <c r="AG942" s="2473" t="str">
        <f t="shared" si="883"/>
        <v>OCULTA</v>
      </c>
      <c r="AH942" s="2473" t="str">
        <f t="shared" si="883"/>
        <v>OCULTA</v>
      </c>
    </row>
    <row r="943" spans="2:34" s="2181" customFormat="1" ht="12.5">
      <c r="B943" s="2485" t="s">
        <v>1560</v>
      </c>
      <c r="C943" s="2486">
        <f>IF($C$355&lt;&gt;0,(VLOOKUP($C$355,$B$924:$C$929,2,0)),0)</f>
        <v>0</v>
      </c>
      <c r="D943" s="2487">
        <f>IF($C$353=0,0,VLOOKUP($C$353,$B$950:$C$961,2,0))</f>
        <v>0</v>
      </c>
      <c r="E943" s="2482">
        <f>IF($C$356=0,0,(12-((($C$354+IF($C$353=0,0,VLOOKUP($C$353,$B$950:$E$961,4,0)/12)+IF(OR($C$352=0,$C$352=0),0,$C$352/12)+IF($C$356=0,0,VLOOKUP($C$356,$H$950:$J$953,2,0)/12))-ROUNDDOWN(($C$354+IF($C$353=0,0,VLOOKUP($C$353,$B$950:$E$961,4,0)/12)+IF(OR($C$352=0,$C$352=0),0,$C$352/12)+IF($C$356=0,0,VLOOKUP($C$356,$H$950:$J$953,2,0)/12)),0)-IF($C$356=0,0,VLOOKUP($C$356,$H$950:$J$953,2,0)/12))*12))/VLOOKUP($C$356,$H$950:$J$953,2,0))</f>
        <v>0</v>
      </c>
      <c r="F943" s="2482">
        <f>IF($C$356=0,0,ROUND((12-((($C$354+IF($C$353=0,0,VLOOKUP($C$353,$B$950:$E$961,4,0)/12)+IF(OR($C$352=0,$C$352=0),0,$C$352/12)+IF($C$356=0,0,VLOOKUP($C$356,$H$950:$J$953,2,0)/12))-ROUNDDOWN(($C$354+IF($C$353=0,0,VLOOKUP($C$353,$B$950:$E$961,4,0)/12)+IF(OR($C$352=0,$C$352=0),0,$C$352/12)+IF($C$356=0,0,VLOOKUP($C$356,$H$950:$J$953,2,0)/12)),0)-IF($C$356=0,0,VLOOKUP($C$356,$H$950:$J$953,2,0)/12))*12))/VLOOKUP($C$356,$H$950:$J$953,2,0),0))</f>
        <v>0</v>
      </c>
      <c r="H943" s="2455" t="str">
        <f ca="1">CELL("DIRECCION",AY617)</f>
        <v>$AY$617</v>
      </c>
      <c r="I943" s="2460"/>
      <c r="J943" s="2460"/>
      <c r="K943" s="2460"/>
      <c r="L943" s="2455"/>
      <c r="M943" s="2447"/>
      <c r="N943" s="2446"/>
      <c r="P943" s="2447"/>
      <c r="Q943" s="2447"/>
      <c r="AF943" s="1966"/>
      <c r="AG943" s="1966"/>
      <c r="AH943" s="1966"/>
    </row>
    <row r="944" spans="2:34" s="2181" customFormat="1" ht="12.5">
      <c r="B944" s="2480" t="s">
        <v>1561</v>
      </c>
      <c r="C944" s="2481">
        <f>$C$364+IF($C$363=0,0,VLOOKUP($C$363,$B$950:$E$961,4,0)/12)+IF(OR($C$362=0,$C$362=0),0,$C$362/12)+IF($C$366=0,0,VLOOKUP($C$366,$H$950:$J$953,2,0)/12)-IF($C$366=0,0,IF(D944&gt;VLOOKUP($C$366,$H$950:$J$953,3,0),E944,0))</f>
        <v>0</v>
      </c>
      <c r="D944" s="2482">
        <f>IF($C$366=0,0,IF(F945-E945&lt;=0.01,F945,ROUNDDOWN((12-((($C$364+IF($C$363=0,0,VLOOKUP($C$363,$B$950:$E$961,4,0)/12)+IF(OR($C$362=0,$C$362=0),0,$C$362/12)+IF($C$366=0,0,VLOOKUP($C$366,$H$950:$J$953,2,0)/12))-ROUNDDOWN(($C$364+IF($C$363=0,0,VLOOKUP($C$363,$B$950:$E$961,4,0)/12)+IF(OR($C$362=0,$C$362=0),0,$C$362/12)+IF($C$366=0,0,VLOOKUP($C$366,$H$950:$J$953,2,0)/12)),0)-IF($C$366=0,0,VLOOKUP($C$366,$H$950:$J$953,2,0)/12))*12))/VLOOKUP($C$366,$H$950:$J$953,2,0),0)))</f>
        <v>0</v>
      </c>
      <c r="E944" s="2483">
        <f>IF($C$366=0,1,IF(D944&gt;VLOOKUP($C$366,$H$950:$J$953,3,0),(D944-VLOOKUP($C$366,$H$950:$J$953,3,0))/VLOOKUP($C$366,$H$950:$J$953,3,0),D944/VLOOKUP($C$366,$H$950:$J$953,3,0)))</f>
        <v>1</v>
      </c>
      <c r="F944" s="2484">
        <f>IF($C$366=0,0,ROUNDDOWN(($C$361-$C$362/12)*VLOOKUP($C$366,$H$950:$J$953,3,0),0))</f>
        <v>0</v>
      </c>
      <c r="H944" s="2455" t="str">
        <f ca="1">CELL("DIRECCION",AY766)</f>
        <v>$AY$766</v>
      </c>
      <c r="I944" s="2460"/>
      <c r="J944" s="2460"/>
      <c r="K944" s="2468"/>
      <c r="L944" s="2126" t="s">
        <v>1568</v>
      </c>
      <c r="M944" s="2167"/>
      <c r="N944" s="2167"/>
      <c r="O944" s="2167"/>
      <c r="P944" s="2488">
        <v>2008</v>
      </c>
      <c r="Q944" s="2126" t="e">
        <f>HLOOKUP(P944,$P$945:$S$949,2,0)</f>
        <v>#N/A</v>
      </c>
      <c r="R944" s="2126" t="e">
        <f>HLOOKUP(P944,$P$945:$S$949,5,0)</f>
        <v>#N/A</v>
      </c>
      <c r="T944" s="2493" t="s">
        <v>1569</v>
      </c>
      <c r="U944" s="2467"/>
      <c r="V944" s="2467"/>
      <c r="X944" s="2167"/>
      <c r="Y944" s="2167"/>
      <c r="Z944" s="2167"/>
      <c r="AA944" s="1966"/>
      <c r="AF944" s="1966"/>
      <c r="AG944" s="1966"/>
      <c r="AH944" s="1966"/>
    </row>
    <row r="945" spans="2:36" s="2181" customFormat="1" ht="12.5">
      <c r="B945" s="2485" t="s">
        <v>1562</v>
      </c>
      <c r="C945" s="2486">
        <f>IF($C$365&lt;&gt;0,(VLOOKUP($C$365,$B$924:$C$929,2,0)),0)</f>
        <v>0</v>
      </c>
      <c r="D945" s="2487">
        <f>IF($C$363=0,0,VLOOKUP($C$363,$B$950:$C$961,2,0))</f>
        <v>0</v>
      </c>
      <c r="E945" s="2482">
        <f>IF($C$366=0,0,(12-((($C$364+IF($C$363=0,0,VLOOKUP($C$363,$B$950:$E$961,4,0)/12)+IF(OR($C$362=0,$C$362=0),0,$C$362/12)+IF($C$366=0,0,VLOOKUP($C$366,$H$950:$J$953,2,0)/12))-ROUNDDOWN(($C$364+IF($C$363=0,0,VLOOKUP($C$363,$B$950:$E$961,4,0)/12)+IF(OR($C$362=0,$C$362=0),0,$C$362/12)+IF($C$366=0,0,VLOOKUP($C$366,$H$950:$J$953,2,0)/12)),0)-IF($C$366=0,0,VLOOKUP($C$366,$H$950:$J$953,2,0)/12))*12))/VLOOKUP($C$366,$H$950:$J$953,2,0))</f>
        <v>0</v>
      </c>
      <c r="F945" s="2482">
        <f>IF($C$366=0,0,ROUND((12-((($C$364+IF($C$363=0,0,VLOOKUP($C$363,$B$950:$E$961,4,0)/12)+IF(OR($C$362=0,$C$362=0),0,$C$362/12)+IF($C$366=0,0,VLOOKUP($C$366,$H$950:$J$953,2,0)/12))-ROUNDDOWN(($C$364+IF($C$363=0,0,VLOOKUP($C$363,$B$950:$E$961,4,0)/12)+IF(OR($C$362=0,$C$362=0),0,$C$362/12)+IF($C$366=0,0,VLOOKUP($C$366,$H$950:$J$953,2,0)/12)),0)-IF($C$366=0,0,VLOOKUP($C$366,$H$950:$J$953,2,0)/12))*12))/VLOOKUP($C$366,$H$950:$J$953,2,0),0))</f>
        <v>0</v>
      </c>
      <c r="H945" s="2455"/>
      <c r="I945" s="2460"/>
      <c r="J945" s="2460"/>
      <c r="K945" s="2468"/>
      <c r="L945" s="2167">
        <v>1</v>
      </c>
      <c r="M945" s="2167"/>
      <c r="N945" s="2167"/>
      <c r="O945" s="2167"/>
      <c r="P945" s="2461">
        <f>C15</f>
        <v>2016</v>
      </c>
      <c r="Q945" s="2461">
        <f>E15</f>
        <v>2017</v>
      </c>
      <c r="R945" s="2473">
        <f>H15</f>
        <v>2018</v>
      </c>
      <c r="S945" s="2473">
        <f>N15</f>
        <v>2019</v>
      </c>
      <c r="T945" s="2494">
        <f>T950</f>
        <v>16</v>
      </c>
      <c r="U945" s="2494" t="str">
        <f ca="1">IF(OR(T945=0,T945&lt;Y946),0,HLOOKUP(T945,$T$946:$AI$948,2,0))</f>
        <v>CO:DF</v>
      </c>
      <c r="V945" s="2494" t="str">
        <f ca="1">IF(OR(T945=0,T945&lt;Y946),0,HLOOKUP(T945,$T$946:$AI$948,3,0))</f>
        <v>CA:CN</v>
      </c>
      <c r="W945" s="2493" t="str">
        <f ca="1">IF(T945=10,AC949,IF(T945=11,AD949,IF(T945=12,AE949,IF(T945=13,AF949,IF(T945=14,AG949,IF(T945=15,AH949,AI949))))))</f>
        <v>DG:DX</v>
      </c>
      <c r="AF945" s="1966"/>
      <c r="AG945" s="1966"/>
      <c r="AH945" s="1966"/>
      <c r="AI945" s="1966"/>
      <c r="AJ945" s="1966"/>
    </row>
    <row r="946" spans="2:36" s="2181" customFormat="1" ht="12.5">
      <c r="B946" s="2480" t="s">
        <v>1563</v>
      </c>
      <c r="C946" s="2481">
        <f>$C$374+IF($C$373=0,0,VLOOKUP($C$373,$B$950:$E$961,4,0)/12)+IF(OR($C$372=0,$C$372=0),0,$C$372/12)+IF($C$376=0,0,VLOOKUP($C$376,$H$950:$J$953,2,0)/12)-IF($C$376=0,0,IF(D946&gt;VLOOKUP($C$376,$H$950:$J$953,3,0),E946,0))</f>
        <v>0</v>
      </c>
      <c r="D946" s="2482">
        <f>IF($C$376=0,0,IF(F947-E947&lt;=0.01,F947,ROUNDDOWN((12-((($C$374+IF($C$373=0,0,VLOOKUP($C$373,$B$950:$E$961,4,0)/12)+IF(OR($C$372=0,$C$372=0),0,$C$372/12)+IF($C$376=0,0,VLOOKUP($C$376,$H$950:$J$953,2,0)/12))-ROUNDDOWN(($C$374+IF($C$373=0,0,VLOOKUP($C$373,$B$950:$E$961,4,0)/12)+IF(OR($C$372=0,$C$372=0),0,$C$372/12)+IF($C$376=0,0,VLOOKUP($C$376,$H$950:$J$953,2,0)/12)),0)-IF($C$376=0,0,VLOOKUP($C$376,$H$950:$J$953,2,0)/12))*12))/VLOOKUP($C$376,$H$950:$J$953,2,0),0)))</f>
        <v>0</v>
      </c>
      <c r="E946" s="2483">
        <f>IF($C$376=0,1,IF(D946&gt;VLOOKUP($C$376,$H$950:$J$953,3,0),(D946-VLOOKUP($C$376,$H$950:$J$953,3,0))/VLOOKUP($C$376,$H$950:$J$953,3,0),D946/VLOOKUP($C$376,$H$950:$J$953,3,0)))</f>
        <v>1</v>
      </c>
      <c r="F946" s="2484">
        <f>IF($C$376=0,0,ROUNDDOWN(($C$371-$C$372/12)*VLOOKUP($C$376,$H$950:$J$953,3,0),0))</f>
        <v>0</v>
      </c>
      <c r="H946" s="2455"/>
      <c r="I946" s="2460"/>
      <c r="J946" s="2460"/>
      <c r="K946" s="2468"/>
      <c r="L946" s="2167">
        <v>2</v>
      </c>
      <c r="M946" s="2167"/>
      <c r="N946" s="2167"/>
      <c r="O946" s="2167"/>
      <c r="P946" s="2491" t="str">
        <f ca="1">CONCATENATE(MID(CELL("DIRECCION",AO583),2,2),":",MID(CELL("DIRECCION",AO583),2,2))</f>
        <v>AO:AO</v>
      </c>
      <c r="Q946" s="2491" t="str">
        <f ca="1">CONCATENATE(MID(CELL("DIRECCION",AQ583),2,2),":",MID(CELL("DIRECCION",AR583),2,2))</f>
        <v>AQ:AR</v>
      </c>
      <c r="R946" s="2473" t="str">
        <f ca="1">CONCATENATE(MID(CELL("DIRECCION",AT583),2,2),":",MID(CELL("DIRECCION",AU583),2,2))</f>
        <v>AT:AU</v>
      </c>
      <c r="S946" s="2473" t="str">
        <f ca="1">CONCATENATE(MID(CELL("DIRECCION",AZ583),2,2),":",MID(CELL("DIRECCION",BA583),2,2))</f>
        <v>AZ:BA</v>
      </c>
      <c r="T946" s="2473">
        <f>COUNTA($T$15:T15)</f>
        <v>1</v>
      </c>
      <c r="U946" s="2473">
        <f>COUNTA($T$15:U15)</f>
        <v>2</v>
      </c>
      <c r="V946" s="2473">
        <f>COUNTA($T$15:V15)</f>
        <v>3</v>
      </c>
      <c r="W946" s="2473">
        <f>COUNTA($T$15:W15)</f>
        <v>4</v>
      </c>
      <c r="X946" s="2473">
        <f>COUNTA($T$15:X15)</f>
        <v>5</v>
      </c>
      <c r="Y946" s="2473">
        <f>COUNTA($T$15:Y15)</f>
        <v>6</v>
      </c>
      <c r="Z946" s="2473">
        <f>COUNTA($T$15:Z15)</f>
        <v>7</v>
      </c>
      <c r="AA946" s="2473">
        <f>COUNTA($T$15:AA15)</f>
        <v>8</v>
      </c>
      <c r="AB946" s="2473">
        <f>COUNTA($T$15:AB15)</f>
        <v>9</v>
      </c>
      <c r="AC946" s="2473">
        <f>COUNTA($T$15:AC15)</f>
        <v>10</v>
      </c>
      <c r="AD946" s="2473">
        <f>COUNTA($T$15:AD15)</f>
        <v>11</v>
      </c>
      <c r="AE946" s="2473">
        <f>COUNTA($T$15:AE15)</f>
        <v>12</v>
      </c>
      <c r="AF946" s="2473">
        <f>COUNTA($T$15:AF15)</f>
        <v>13</v>
      </c>
      <c r="AG946" s="2473">
        <f>COUNTA($T$15:AG15)</f>
        <v>14</v>
      </c>
      <c r="AH946" s="2473">
        <f>COUNTA($T$15:AH15)</f>
        <v>15</v>
      </c>
      <c r="AI946" s="2473">
        <f>COUNTA($T$15:AI15)</f>
        <v>16</v>
      </c>
      <c r="AJ946" s="1966"/>
    </row>
    <row r="947" spans="2:36" s="2181" customFormat="1" ht="12.5">
      <c r="B947" s="2485" t="s">
        <v>1565</v>
      </c>
      <c r="C947" s="2486">
        <f>IF($C$375&lt;&gt;0,(VLOOKUP($C$375,$B$924:$C$929,2,0)),0)</f>
        <v>0</v>
      </c>
      <c r="D947" s="2487">
        <f>IF($C$373=0,0,VLOOKUP($C$373,$B$950:$C$961,2,0))</f>
        <v>0</v>
      </c>
      <c r="E947" s="2482">
        <f>IF($C$376=0,0,(12-((($C$374+IF($C$373=0,0,VLOOKUP($C$373,$B$950:$E$961,4,0)/12)+IF(OR($C$372=0,$C$372=0),0,$C$372/12)+IF($C$376=0,0,VLOOKUP($C$376,$H$950:$J$953,2,0)/12))-ROUNDDOWN(($C$374+IF($C$373=0,0,VLOOKUP($C$373,$B$950:$E$961,4,0)/12)+IF(OR($C$372=0,$C$372=0),0,$C$372/12)+IF($C$376=0,0,VLOOKUP($C$376,$H$950:$J$953,2,0)/12)),0)-IF($C$376=0,0,VLOOKUP($C$376,$H$950:$J$953,2,0)/12))*12))/VLOOKUP($C$376,$H$950:$J$953,2,0))</f>
        <v>0</v>
      </c>
      <c r="F947" s="2482">
        <f>IF($C$376=0,0,ROUND((12-((($C$374+IF($C$373=0,0,VLOOKUP($C$373,$B$950:$E$961,4,0)/12)+IF(OR($C$372=0,$C$372=0),0,$C$372/12)+IF($C$376=0,0,VLOOKUP($C$376,$H$950:$J$953,2,0)/12))-ROUNDDOWN(($C$374+IF($C$373=0,0,VLOOKUP($C$373,$B$950:$E$961,4,0)/12)+IF(OR($C$372=0,$C$372=0),0,$C$372/12)+IF($C$376=0,0,VLOOKUP($C$376,$H$950:$J$953,2,0)/12)),0)-IF($C$376=0,0,VLOOKUP($C$376,$H$950:$J$953,2,0)/12))*12))/VLOOKUP($C$376,$H$950:$J$953,2,0),0))</f>
        <v>0</v>
      </c>
      <c r="I947" s="2446"/>
      <c r="J947" s="2446"/>
      <c r="K947" s="2468"/>
      <c r="L947" s="2167">
        <v>3</v>
      </c>
      <c r="M947" s="2167"/>
      <c r="N947" s="2167"/>
      <c r="O947" s="2167"/>
      <c r="P947" s="2491" t="str">
        <f>IF($T$917&gt;P945,$C$914,$C$913)</f>
        <v>VISIBLE</v>
      </c>
      <c r="Q947" s="2491" t="str">
        <f>IF($T$917&gt;Q945,$C$914,$C$913)</f>
        <v>VISIBLE</v>
      </c>
      <c r="R947" s="2473" t="str">
        <f>IF($T$917&gt;R945,$C$914,$C$913)</f>
        <v>VISIBLE</v>
      </c>
      <c r="S947" s="2473" t="str">
        <f>IF($T$917&gt;S945,$C$914,$C$913)</f>
        <v>VISIBLE</v>
      </c>
      <c r="T947" s="2473"/>
      <c r="U947" s="2473"/>
      <c r="V947" s="2473"/>
      <c r="W947" s="2473"/>
      <c r="X947" s="2473"/>
      <c r="Y947" s="2473" t="str">
        <f ca="1">CONCATENATE(MID(CELL("DIRECCION",CL846),2,2),":",MID(CELL("DIRECCION",CT846),2,2))</f>
        <v>CL:CT</v>
      </c>
      <c r="Z947" s="2473" t="str">
        <f ca="1">CONCATENATE(MID(CELL("DIRECCION",CL846),2,2),":",MID(CELL("DIRECCION",CW846),2,2))</f>
        <v>CL:CW</v>
      </c>
      <c r="AA947" s="2473" t="str">
        <f ca="1">CONCATENATE(MID(CELL("DIRECCION",CL846),2,2),":",MID(CELL("DIRECCION",CZ846),2,2))</f>
        <v>CL:CZ</v>
      </c>
      <c r="AB947" s="2473" t="str">
        <f ca="1">CONCATENATE(MID(CELL("DIRECCION",CO846),2,2),":",MID(CELL("DIRECCION",DC846),2,2))</f>
        <v>CO:DC</v>
      </c>
      <c r="AC947" s="2473" t="str">
        <f ca="1">CONCATENATE(MID(CELL("DIRECCION",CL846),2,2),":",MID(CELL("DIRECCION",CZ846),2,2))</f>
        <v>CL:CZ</v>
      </c>
      <c r="AD947" s="2473" t="str">
        <f ca="1">CONCATENATE(MID(CELL("DIRECCION",CL846),2,2),":",MID(CELL("DIRECCION",CZ846),2,2))</f>
        <v>CL:CZ</v>
      </c>
      <c r="AE947" s="2473" t="str">
        <f ca="1">CONCATENATE(MID(CELL("DIRECCION",CL846),2,2),":",MID(CELL("DIRECCION",CZ846),2,2))</f>
        <v>CL:CZ</v>
      </c>
      <c r="AF947" s="2473" t="str">
        <f ca="1">CONCATENATE(MID(CELL("DIRECCION",CO846),2,2),":",MID(CELL("DIRECCION",DC846),2,2))</f>
        <v>CO:DC</v>
      </c>
      <c r="AG947" s="2473" t="str">
        <f ca="1">CONCATENATE(MID(CELL("DIRECCION",CO846),2,2),":",MID(CELL("DIRECCION",DC846),2,2))</f>
        <v>CO:DC</v>
      </c>
      <c r="AH947" s="2473" t="str">
        <f ca="1">CONCATENATE(MID(CELL("DIRECCION",CO846),2,2),":",MID(CELL("DIRECCION",DC846),2,2))</f>
        <v>CO:DC</v>
      </c>
      <c r="AI947" s="2473" t="str">
        <f ca="1">CONCATENATE(MID(CELL("DIRECCION",CO846),2,2),":",MID(CELL("DIRECCION",DF846),2,2))</f>
        <v>CO:DF</v>
      </c>
      <c r="AJ947" s="1966"/>
    </row>
    <row r="948" spans="2:36" s="2181" customFormat="1" ht="12.5">
      <c r="I948" s="2446"/>
      <c r="J948" s="2446"/>
      <c r="K948" s="2446"/>
      <c r="L948" s="2167">
        <v>4</v>
      </c>
      <c r="M948" s="2447"/>
      <c r="N948" s="2474"/>
      <c r="O948" s="2451"/>
      <c r="P948" s="2491" t="str">
        <f>IF($T$920&lt;P945,$C$914,$C$913)</f>
        <v>OCULTA</v>
      </c>
      <c r="Q948" s="2491" t="str">
        <f>IF($T$920&lt;Q945,$C$914,$C$913)</f>
        <v>OCULTA</v>
      </c>
      <c r="R948" s="2473" t="str">
        <f>IF($T$920&lt;R945,$C$914,$C$913)</f>
        <v>OCULTA</v>
      </c>
      <c r="S948" s="2473" t="str">
        <f>IF($T$920&lt;S945,$C$914,$C$913)</f>
        <v>OCULTA</v>
      </c>
      <c r="T948" s="2473"/>
      <c r="U948" s="2473"/>
      <c r="V948" s="2473"/>
      <c r="W948" s="2473"/>
      <c r="X948" s="2473"/>
      <c r="Y948" s="2473" t="str">
        <f ca="1">CONCATENATE(MID(CELL("DIRECCION",CA846),2,2),":",MID(CELL("DIRECCION",CK846),2,2))</f>
        <v>CA:CK</v>
      </c>
      <c r="Z948" s="2473" t="str">
        <f ca="1">CONCATENATE(MID(CELL("DIRECCION",CA846),2,2),":",MID(CELL("DIRECCION",CK846),2,2))</f>
        <v>CA:CK</v>
      </c>
      <c r="AA948" s="2473" t="str">
        <f ca="1">CONCATENATE(MID(CELL("DIRECCION",CA846),2,2),":",MID(CELL("DIRECCION",CK846),2,2))</f>
        <v>CA:CK</v>
      </c>
      <c r="AB948" s="2473" t="str">
        <f ca="1">CONCATENATE(MID(CELL("DIRECCION",CA846),2,2),":",MID(CELL("DIRECCION",CN846),2,2))</f>
        <v>CA:CN</v>
      </c>
      <c r="AC948" s="2473" t="str">
        <f ca="1">CONCATENATE(MID(CELL("DIRECCION",CA846),2,2),":",MID(CELL("DIRECCION",CK846),2,2))</f>
        <v>CA:CK</v>
      </c>
      <c r="AD948" s="2473" t="str">
        <f ca="1">CONCATENATE(MID(CELL("DIRECCION",CA846),2,2),":",MID(CELL("DIRECCION",CK846),2,2))</f>
        <v>CA:CK</v>
      </c>
      <c r="AE948" s="2455" t="str">
        <f ca="1">CONCATENATE(MID(CELL("DIRECCION",CA846),2,2),":",MID(CELL("DIRECCION",CK846),2,2))</f>
        <v>CA:CK</v>
      </c>
      <c r="AF948" s="2455" t="str">
        <f ca="1">CONCATENATE(MID(CELL("DIRECCION",CA846),2,2),":",MID(CELL("DIRECCION",CN846),2,2))</f>
        <v>CA:CN</v>
      </c>
      <c r="AG948" s="2455" t="str">
        <f ca="1">CONCATENATE(MID(CELL("DIRECCION",CA846),2,2),":",MID(CELL("DIRECCION",CN846),2,2))</f>
        <v>CA:CN</v>
      </c>
      <c r="AH948" s="2455" t="str">
        <f ca="1">CONCATENATE(MID(CELL("DIRECCION",CA846),2,2),":",MID(CELL("DIRECCION",CN846),2,2))</f>
        <v>CA:CN</v>
      </c>
      <c r="AI948" s="2455" t="str">
        <f ca="1">CONCATENATE(MID(CELL("DIRECCION",CA846),2,2),":",MID(CELL("DIRECCION",CN846),2,2))</f>
        <v>CA:CN</v>
      </c>
      <c r="AJ948" s="1966"/>
    </row>
    <row r="949" spans="2:36" s="2181" customFormat="1" ht="12.5">
      <c r="B949" s="2454" t="s">
        <v>1570</v>
      </c>
      <c r="C949" s="2446"/>
      <c r="D949" s="2446"/>
      <c r="E949" s="2446"/>
      <c r="G949" s="2447"/>
      <c r="H949" s="2446"/>
      <c r="J949" s="2446"/>
      <c r="K949" s="2446"/>
      <c r="L949" s="2167">
        <v>5</v>
      </c>
      <c r="M949" s="2447"/>
      <c r="N949" s="1966"/>
      <c r="O949" s="1966"/>
      <c r="P949" s="2491" t="str">
        <f>IF(OR(P947=$C$914,P948=$C$914),$C$914,$C$913)</f>
        <v>OCULTA</v>
      </c>
      <c r="Q949" s="2491" t="str">
        <f>IF(OR(Q947=$C$914,Q948=$C$914),$C$914,$C$913)</f>
        <v>OCULTA</v>
      </c>
      <c r="R949" s="2473" t="str">
        <f>IF(OR(R947=$C$914,R948=$C$914),$C$914,$C$913)</f>
        <v>OCULTA</v>
      </c>
      <c r="S949" s="2473" t="str">
        <f>IF(OR(S947=$C$914,S948=$C$914),$C$914,$C$913)</f>
        <v>OCULTA</v>
      </c>
      <c r="T949" s="2453" t="s">
        <v>1571</v>
      </c>
      <c r="U949" s="2474"/>
      <c r="X949" s="2167"/>
      <c r="Y949" s="2167"/>
      <c r="Z949" s="2167"/>
      <c r="AA949" s="2167"/>
      <c r="AC949" s="2181" t="str">
        <f ca="1">CONCATENATE(MID(CELL("DIRECCION",DA846),2,2),":",MID(CELL("DIRECCION",DF846),2,2))</f>
        <v>DA:DF</v>
      </c>
      <c r="AD949" s="2181" t="str">
        <f ca="1">CONCATENATE(MID(CELL("DIRECCION",DA846),2,2),":",MID(CELL("DIRECCION",DI846),2,2))</f>
        <v>DA:DI</v>
      </c>
      <c r="AE949" s="2473" t="str">
        <f ca="1">CONCATENATE(MID(CELL("DIRECCION",DA846),2,2),":",MID(CELL("DIRECCION",DL846),2,2))</f>
        <v>DA:DL</v>
      </c>
      <c r="AF949" s="2473" t="str">
        <f ca="1">CONCATENATE(MID(CELL("DIRECCION",DD846),2,2),":",MID(CELL("DIRECCION",DO846),2,2))</f>
        <v>DD:DO</v>
      </c>
      <c r="AG949" s="2473" t="str">
        <f ca="1">CONCATENATE(MID(CELL("DIRECCION",DD846),2,2),":",MID(CELL("DIRECCION",DR846),2,2))</f>
        <v>DD:DR</v>
      </c>
      <c r="AH949" s="2473" t="str">
        <f ca="1">CONCATENATE(MID(CELL("DIRECCION",DD846),2,2),":",MID(CELL("DIRECCION",DU846),2,2))</f>
        <v>DD:DU</v>
      </c>
      <c r="AI949" s="2473" t="str">
        <f ca="1">CONCATENATE(MID(CELL("DIRECCION",DG846),2,2),":",MID(CELL("DIRECCION",DX846),2,2))</f>
        <v>DG:DX</v>
      </c>
      <c r="AJ949" s="1966"/>
    </row>
    <row r="950" spans="2:36" s="2181" customFormat="1" ht="12.5">
      <c r="B950" s="2167" t="s">
        <v>1572</v>
      </c>
      <c r="C950" s="2495">
        <f>12/12</f>
        <v>1</v>
      </c>
      <c r="D950" s="2167">
        <v>1</v>
      </c>
      <c r="E950" s="2456">
        <v>0</v>
      </c>
      <c r="F950" s="2167" t="s">
        <v>1572</v>
      </c>
      <c r="H950" s="2167" t="s">
        <v>1573</v>
      </c>
      <c r="I950" s="2167">
        <v>1</v>
      </c>
      <c r="J950" s="2447">
        <v>12</v>
      </c>
      <c r="L950" s="2167">
        <v>6</v>
      </c>
      <c r="P950" s="2447"/>
      <c r="Q950" s="2447"/>
      <c r="T950" s="2496">
        <v>16</v>
      </c>
      <c r="U950" s="2496">
        <f>IF(ISERROR(HLOOKUP(T950,$T$951:$AH$952,2,0))=TRUE,0,HLOOKUP(T950,$T$951:$AH$952,2,0))</f>
        <v>0</v>
      </c>
      <c r="V950" s="2455"/>
      <c r="W950" s="2455"/>
      <c r="X950" s="2455"/>
      <c r="Y950" s="2167"/>
      <c r="Z950" s="2167"/>
      <c r="AA950" s="2470"/>
      <c r="AF950" s="1966"/>
      <c r="AG950" s="1966"/>
      <c r="AH950" s="1966"/>
      <c r="AI950" s="1966"/>
      <c r="AJ950" s="1966"/>
    </row>
    <row r="951" spans="2:36" s="2181" customFormat="1" ht="12.5">
      <c r="B951" s="2167" t="s">
        <v>1574</v>
      </c>
      <c r="C951" s="2495">
        <f>11/12</f>
        <v>0.91666666666666663</v>
      </c>
      <c r="D951" s="2167">
        <v>2</v>
      </c>
      <c r="E951" s="2456">
        <f>COUNTA($B$950:B950)</f>
        <v>1</v>
      </c>
      <c r="F951" s="2167" t="s">
        <v>1574</v>
      </c>
      <c r="H951" s="2167" t="s">
        <v>1575</v>
      </c>
      <c r="I951" s="2167">
        <v>3</v>
      </c>
      <c r="J951" s="2167">
        <v>4</v>
      </c>
      <c r="L951" s="2167">
        <v>7</v>
      </c>
      <c r="P951" s="2488">
        <v>2009</v>
      </c>
      <c r="Q951" s="2126" t="e">
        <f>HLOOKUP(P951,$P$953:$Q$957,2,0)</f>
        <v>#N/A</v>
      </c>
      <c r="R951" s="2126" t="e">
        <f>HLOOKUP(P951,$P$953:$Q$957,4,0)</f>
        <v>#N/A</v>
      </c>
      <c r="T951" s="2497">
        <f>COUNTA($T$15:T15)</f>
        <v>1</v>
      </c>
      <c r="U951" s="2497">
        <f>COUNTA($T$15:U15)</f>
        <v>2</v>
      </c>
      <c r="V951" s="2497">
        <f>COUNTA($T$15:V15)</f>
        <v>3</v>
      </c>
      <c r="W951" s="2497">
        <f>COUNTA($T$15:W15)</f>
        <v>4</v>
      </c>
      <c r="X951" s="2497">
        <f>COUNTA($T$15:X15)</f>
        <v>5</v>
      </c>
      <c r="Y951" s="2497">
        <f>COUNTA($T$15:Y15)</f>
        <v>6</v>
      </c>
      <c r="Z951" s="2497">
        <f>COUNTA($T$15:Z15)</f>
        <v>7</v>
      </c>
      <c r="AA951" s="2497">
        <f>COUNTA($T$15:AA15)</f>
        <v>8</v>
      </c>
      <c r="AB951" s="2497">
        <f>COUNTA($T$15:AB15)</f>
        <v>9</v>
      </c>
      <c r="AC951" s="2497">
        <f>COUNTA($T$15:AC15)</f>
        <v>10</v>
      </c>
      <c r="AD951" s="2473">
        <f>COUNTA($T$15:AD15)</f>
        <v>11</v>
      </c>
      <c r="AE951" s="2473">
        <f>COUNTA($T$15:AE15)</f>
        <v>12</v>
      </c>
      <c r="AF951" s="2473">
        <f>COUNTA($T$15:AF15)</f>
        <v>13</v>
      </c>
      <c r="AG951" s="2473">
        <f>COUNTA($T$15:AG15)</f>
        <v>14</v>
      </c>
      <c r="AH951" s="2473">
        <f>COUNTA($T$15:AH15)</f>
        <v>15</v>
      </c>
      <c r="AI951" s="2473">
        <f>COUNTA($T$15:AI15)</f>
        <v>16</v>
      </c>
      <c r="AJ951" s="1966"/>
    </row>
    <row r="952" spans="2:36" s="2181" customFormat="1" ht="12.5">
      <c r="B952" s="2167" t="s">
        <v>1576</v>
      </c>
      <c r="C952" s="2495">
        <f>10/12</f>
        <v>0.83333333333333337</v>
      </c>
      <c r="D952" s="2167">
        <v>3</v>
      </c>
      <c r="E952" s="2456">
        <f>COUNTA($B$950:B951)</f>
        <v>2</v>
      </c>
      <c r="F952" s="2167" t="s">
        <v>1576</v>
      </c>
      <c r="H952" s="2167" t="s">
        <v>1577</v>
      </c>
      <c r="I952" s="2167">
        <v>6</v>
      </c>
      <c r="J952" s="2167">
        <v>2</v>
      </c>
      <c r="L952" s="2167">
        <v>8</v>
      </c>
      <c r="P952" s="2488">
        <v>2009</v>
      </c>
      <c r="Q952" s="2126" t="e">
        <f>HLOOKUP(P952,$P$953:$Q$957,3,0)</f>
        <v>#N/A</v>
      </c>
      <c r="R952" s="2126" t="e">
        <f>HLOOKUP(P951,$P$953:$Q$957,5,0)</f>
        <v>#N/A</v>
      </c>
      <c r="T952" s="2497" t="str">
        <f ca="1">CONCATENATE(MID(CELL("DIRECCION",U14),2,1),":",MID(CELL("DIRECCION",$AI$14),2,2),",",MID(CELL("DIRECCION",BF582),2,2),":",MID(CELL("DIRECCION",$BT$582),2,2),",",MID(CELL("DIRECCION",CF846),2,2),":",MID(CELL("DIRECCION",$DX$846),2,2))</f>
        <v>U:AI,BF:BT,CF:DX</v>
      </c>
      <c r="U952" s="2497" t="str">
        <f ca="1">CONCATENATE(MID(CELL("DIRECCION",V14),2,1),":",MID(CELL("DIRECCION",$AI$14),2,2),",",MID(CELL("DIRECCION",BG582),2,2),":",MID(CELL("DIRECCION",$BT$582),2,2),",",MID(CELL("DIRECCION",CI846),2,2),":",MID(CELL("DIRECCION",$DX$846),2,2))</f>
        <v>V:AI,BG:BT,CI:DX</v>
      </c>
      <c r="V952" s="2497" t="str">
        <f ca="1">CONCATENATE(MID(CELL("DIRECCION",W14),2,1),":",MID(CELL("DIRECCION",$AI$14),2,2),",",MID(CELL("DIRECCION",BH582),2,2),":",MID(CELL("DIRECCION",$BT$582),2,2),",",MID(CELL("DIRECCION",CL846),2,2),":",MID(CELL("DIRECCION",$DX$846),2,2))</f>
        <v>W:AI,BH:BT,CL:DX</v>
      </c>
      <c r="W952" s="2497" t="str">
        <f ca="1">CONCATENATE(MID(CELL("DIRECCION",X14),2,1),":",MID(CELL("DIRECCION",$AI$14),2,2),",",MID(CELL("DIRECCION",BI582),2,2),":",MID(CELL("DIRECCION",$BT$582),2,2),",",MID(CELL("DIRECCION",CO846),2,2),":",MID(CELL("DIRECCION",$DX$846),2,2))</f>
        <v>X:AI,BI:BT,CO:DX</v>
      </c>
      <c r="X952" s="2497" t="str">
        <f ca="1">CONCATENATE(MID(CELL("DIRECCION",Y14),2,1),":",MID(CELL("DIRECCION",$AI$14),2,2),",",MID(CELL("DIRECCION",BJ582),2,2),":",MID(CELL("DIRECCION",$BT$582),2,2),",",MID(CELL("DIRECCION",CR846),2,2),":",MID(CELL("DIRECCION",$DX$846),2,2))</f>
        <v>Y:AI,BJ:BT,CR:DX</v>
      </c>
      <c r="Y952" s="2497" t="str">
        <f ca="1">CONCATENATE(MID(CELL("DIRECCION",Z14),2,1),":",MID(CELL("DIRECCION",$AI$14),2,2),",",MID(CELL("DIRECCION",BK582),2,2),":",MID(CELL("DIRECCION",$BT$582),2,2),",",MID(CELL("DIRECCION",CU846),2,2),":",MID(CELL("DIRECCION",$DX$846),2,2))</f>
        <v>Z:AI,BK:BT,CU:DX</v>
      </c>
      <c r="Z952" s="2497" t="str">
        <f ca="1">CONCATENATE(MID(CELL("DIRECCION",AA14),2,2),":",MID(CELL("DIRECCION",$AI$14),2,2),",",MID(CELL("DIRECCION",BL582),2,2),":",MID(CELL("DIRECCION",$BT$582),2,2),",",MID(CELL("DIRECCION",CX846),2,2),":",MID(CELL("DIRECCION",$DX$846),2,2))</f>
        <v>AA:AI,BL:BT,CX:DX</v>
      </c>
      <c r="AA952" s="2497" t="str">
        <f ca="1">CONCATENATE(MID(CELL("DIRECCION",AB14),2,2),":",MID(CELL("DIRECCION",$AI$14),2,2),",",MID(CELL("DIRECCION",BM582),2,2),":",MID(CELL("DIRECCION",$BT$582),2,2),",",MID(CELL("DIRECCION",DA846),2,2),":",MID(CELL("DIRECCION",$DX$846),2,2))</f>
        <v>AB:AI,BM:BT,DA:DX</v>
      </c>
      <c r="AB952" s="2497" t="str">
        <f ca="1">CONCATENATE(MID(CELL("DIRECCION",AC14),2,2),":",MID(CELL("DIRECCION",$AI$14),2,2),",",MID(CELL("DIRECCION",BN582),2,2),":",MID(CELL("DIRECCION",$BT$582),2,2),",",MID(CELL("DIRECCION",DD846),2,2),":",MID(CELL("DIRECCION",$DX$846),2,2))</f>
        <v>AC:AI,BN:BT,DD:DX</v>
      </c>
      <c r="AC952" s="2497" t="str">
        <f ca="1">CONCATENATE(MID(CELL("DIRECCION",AD14),2,2),":",MID(CELL("DIRECCION",$AI$14),2,2),",",MID(CELL("DIRECCION",BO582),2,2),":",MID(CELL("DIRECCION",$BT$582),2,2),",",MID(CELL("DIRECCION",DG846),2,2),":",MID(CELL("DIRECCION",$DX$846),2,2))</f>
        <v>AD:AI,BO:BT,DG:DX</v>
      </c>
      <c r="AD952" s="2497" t="str">
        <f ca="1">CONCATENATE(MID(CELL("DIRECCION",AE14),2,2),":",MID(CELL("DIRECCION",$AI$14),2,2),",",MID(CELL("DIRECCION",BP582),2,2),":",MID(CELL("DIRECCION",$BT$582),2,2),",",MID(CELL("DIRECCION",DJ846),2,2),":",MID(CELL("DIRECCION",$DX$846),2,2))</f>
        <v>AE:AI,BP:BT,DJ:DX</v>
      </c>
      <c r="AE952" s="2497" t="str">
        <f ca="1">CONCATENATE(MID(CELL("DIRECCION",AF14),2,2),":",MID(CELL("DIRECCION",$AI$14),2,2),",",MID(CELL("DIRECCION",BQ582),2,2),":",MID(CELL("DIRECCION",$BT$582),2,2),",",MID(CELL("DIRECCION",DM846),2,2),":",MID(CELL("DIRECCION",$DX$846),2,2))</f>
        <v>AF:AI,BQ:BT,DM:DX</v>
      </c>
      <c r="AF952" s="2497" t="str">
        <f ca="1">CONCATENATE(MID(CELL("DIRECCION",AG14),2,2),":",MID(CELL("DIRECCION",$AI$14),2,2),",",MID(CELL("DIRECCION",BR582),2,2),":",MID(CELL("DIRECCION",$BT$582),2,2),",",MID(CELL("DIRECCION",DP846),2,2),":",MID(CELL("DIRECCION",$DX$846),2,2))</f>
        <v>AG:AI,BR:BT,DP:DX</v>
      </c>
      <c r="AG952" s="2497" t="str">
        <f ca="1">CONCATENATE(MID(CELL("DIRECCION",AH14),2,2),":",MID(CELL("DIRECCION",$AI$14),2,2),",",MID(CELL("DIRECCION",BS582),2,2),":",MID(CELL("DIRECCION",$BT$582),2,2),",",MID(CELL("DIRECCION",DS846),2,2),":",MID(CELL("DIRECCION",$DX$846),2,2))</f>
        <v>AH:AI,BS:BT,DS:DX</v>
      </c>
      <c r="AH952" s="2497" t="str">
        <f ca="1">CONCATENATE(MID(CELL("DIRECCION",AI14),2,2),":",MID(CELL("DIRECCION",$AI$14),2,2),",",MID(CELL("DIRECCION",BT582),2,2),":",MID(CELL("DIRECCION",$BT$582),2,2),",",MID(CELL("DIRECCION",DV846),2,2),":",MID(CELL("DIRECCION",$DX$846),2,2))</f>
        <v>AI:AI,BT:BT,DV:DX</v>
      </c>
      <c r="AI952" s="1966"/>
      <c r="AJ952" s="1966"/>
    </row>
    <row r="953" spans="2:36" s="2181" customFormat="1" ht="12.5">
      <c r="B953" s="2167" t="s">
        <v>1578</v>
      </c>
      <c r="C953" s="2495">
        <f>9/12</f>
        <v>0.75</v>
      </c>
      <c r="D953" s="2167">
        <v>4</v>
      </c>
      <c r="E953" s="2456">
        <f>COUNTA($B$950:B952)</f>
        <v>3</v>
      </c>
      <c r="F953" s="2167" t="s">
        <v>1578</v>
      </c>
      <c r="H953" s="2455" t="s">
        <v>1579</v>
      </c>
      <c r="I953" s="2167">
        <v>12</v>
      </c>
      <c r="J953" s="2447">
        <v>1</v>
      </c>
      <c r="L953" s="2167">
        <v>9</v>
      </c>
      <c r="P953" s="2461">
        <f>K15</f>
        <v>2019</v>
      </c>
      <c r="Q953" s="2461" t="str">
        <f>Q15</f>
        <v>2020</v>
      </c>
      <c r="AF953" s="1966"/>
      <c r="AG953" s="1966"/>
      <c r="AH953" s="1966"/>
      <c r="AI953" s="1966"/>
      <c r="AJ953" s="1966"/>
    </row>
    <row r="954" spans="2:36" s="2181" customFormat="1" ht="12.5">
      <c r="B954" s="2167" t="s">
        <v>1580</v>
      </c>
      <c r="C954" s="2495">
        <f>8/12</f>
        <v>0.66666666666666663</v>
      </c>
      <c r="D954" s="2167">
        <v>5</v>
      </c>
      <c r="E954" s="2456">
        <f>COUNTA($B$950:B953)</f>
        <v>4</v>
      </c>
      <c r="F954" s="2167" t="s">
        <v>1580</v>
      </c>
      <c r="L954" s="2167">
        <v>10</v>
      </c>
      <c r="P954" s="2491" t="str">
        <f ca="1">CONCATENATE(MID(CELL("DIRECCION",AV583),2,2),":",MID(CELL("DIRECCION",AV583),2,2))</f>
        <v>AV:AV</v>
      </c>
      <c r="Q954" s="2491" t="str">
        <f ca="1">CONCATENATE(MID(CELL("DIRECCION",BB583),2,2),":",MID(CELL("DIRECCION",BB583),2,2))</f>
        <v>BB:BB</v>
      </c>
      <c r="U954" s="2454" t="s">
        <v>1581</v>
      </c>
      <c r="AF954" s="1966"/>
      <c r="AG954" s="1966"/>
      <c r="AH954" s="1966"/>
      <c r="AI954" s="1966"/>
      <c r="AJ954" s="1966"/>
    </row>
    <row r="955" spans="2:36" s="2181" customFormat="1" ht="12.5">
      <c r="B955" s="2167" t="s">
        <v>1582</v>
      </c>
      <c r="C955" s="2495">
        <f>7/12</f>
        <v>0.58333333333333337</v>
      </c>
      <c r="D955" s="2167">
        <v>6</v>
      </c>
      <c r="E955" s="2456">
        <f>COUNTA($B$950:B954)</f>
        <v>5</v>
      </c>
      <c r="F955" s="2167" t="s">
        <v>1582</v>
      </c>
      <c r="L955" s="2167">
        <v>11</v>
      </c>
      <c r="P955" s="2491" t="str">
        <f ca="1">CONCATENATE(MID(CELL("DIRECCION",AW583),2,2),":",MID(CELL("DIRECCION",AX583),2,2))</f>
        <v>AW:AX</v>
      </c>
      <c r="Q955" s="2491" t="str">
        <f ca="1">CONCATENATE(MID(CELL("DIRECCION",BC583),2,2),":",MID(CELL("DIRECCION",BD583),2,2))</f>
        <v>BC:BD</v>
      </c>
      <c r="R955" s="2453" t="s">
        <v>1583</v>
      </c>
      <c r="U955" s="2473">
        <f>COUNTA($U$15:U15)</f>
        <v>1</v>
      </c>
      <c r="V955" s="2473">
        <f>COUNTA($U$15:V15)</f>
        <v>2</v>
      </c>
      <c r="W955" s="2473">
        <f>COUNTA($U$15:W15)</f>
        <v>3</v>
      </c>
      <c r="X955" s="2473">
        <f>COUNTA($U$15:X15)</f>
        <v>4</v>
      </c>
      <c r="Y955" s="2473">
        <f>COUNTA($U$15:Y15)</f>
        <v>5</v>
      </c>
      <c r="Z955" s="2473">
        <f>COUNTA($U$15:Z15)</f>
        <v>6</v>
      </c>
      <c r="AA955" s="2473">
        <f>COUNTA($U$15:AA15)</f>
        <v>7</v>
      </c>
      <c r="AB955" s="2473">
        <f>COUNTA($U$15:AB15)</f>
        <v>8</v>
      </c>
      <c r="AC955" s="2473">
        <f>COUNTA($U$15:AC15)</f>
        <v>9</v>
      </c>
      <c r="AD955" s="2473">
        <f>COUNTA($U$15:AD15)</f>
        <v>10</v>
      </c>
      <c r="AE955" s="2473">
        <f>COUNTA($U$15:AE15)</f>
        <v>11</v>
      </c>
      <c r="AF955" s="2473">
        <f>COUNTA($U$15:AF15)</f>
        <v>12</v>
      </c>
      <c r="AG955" s="2473">
        <f>COUNTA($U$15:AG15)</f>
        <v>13</v>
      </c>
      <c r="AH955" s="2473">
        <f>COUNTA($U$15:AH15)</f>
        <v>14</v>
      </c>
      <c r="AI955" s="2473">
        <f>COUNTA($U$15:AI15)</f>
        <v>15</v>
      </c>
      <c r="AJ955" s="2473"/>
    </row>
    <row r="956" spans="2:36" s="2181" customFormat="1" ht="12.5">
      <c r="B956" s="2167" t="s">
        <v>1584</v>
      </c>
      <c r="C956" s="2495">
        <f>6/12</f>
        <v>0.5</v>
      </c>
      <c r="D956" s="2167">
        <v>7</v>
      </c>
      <c r="E956" s="2456">
        <f>COUNTA($B$950:B955)</f>
        <v>6</v>
      </c>
      <c r="F956" s="2167" t="s">
        <v>1584</v>
      </c>
      <c r="L956" s="2167">
        <v>12</v>
      </c>
      <c r="P956" s="2491" t="str">
        <f>IF($R$956&lt;&gt;$E$915,$C$914,$C$913)</f>
        <v>OCULTA</v>
      </c>
      <c r="Q956" s="2491" t="str">
        <f>IF($R$956&lt;&gt;$E$913,$C$913,$C$914)</f>
        <v>OCULTA</v>
      </c>
      <c r="R956" s="2491" t="s">
        <v>1518</v>
      </c>
      <c r="AF956" s="1966"/>
      <c r="AG956" s="1966"/>
      <c r="AH956" s="1966"/>
      <c r="AI956" s="1966"/>
      <c r="AJ956" s="1966"/>
    </row>
    <row r="957" spans="2:36" s="2181" customFormat="1" ht="12.5">
      <c r="B957" s="2167" t="s">
        <v>1585</v>
      </c>
      <c r="C957" s="2495">
        <f>5/12</f>
        <v>0.41666666666666669</v>
      </c>
      <c r="D957" s="2167">
        <v>8</v>
      </c>
      <c r="E957" s="2456">
        <f>COUNTA($B$950:B956)</f>
        <v>7</v>
      </c>
      <c r="F957" s="2167" t="s">
        <v>1585</v>
      </c>
      <c r="L957" s="2167">
        <v>13</v>
      </c>
      <c r="P957" s="2491" t="str">
        <f>IF($R$956&lt;&gt;$E$915,$C$914,$C$913)</f>
        <v>OCULTA</v>
      </c>
      <c r="Q957" s="2491" t="str">
        <f>IF($R$956&lt;&gt;$E$913,$C$913,$C$914)</f>
        <v>OCULTA</v>
      </c>
      <c r="U957" s="2454" t="s">
        <v>1586</v>
      </c>
      <c r="AF957" s="1966"/>
      <c r="AG957" s="1966"/>
      <c r="AH957" s="1966"/>
      <c r="AI957" s="1966"/>
      <c r="AJ957" s="1966"/>
    </row>
    <row r="958" spans="2:36" s="2181" customFormat="1" ht="12.5">
      <c r="B958" s="2167" t="s">
        <v>1587</v>
      </c>
      <c r="C958" s="2495">
        <f>4/12</f>
        <v>0.33333333333333331</v>
      </c>
      <c r="D958" s="2167">
        <v>9</v>
      </c>
      <c r="E958" s="2456">
        <f>COUNTA($B$950:B957)</f>
        <v>8</v>
      </c>
      <c r="F958" s="2167" t="s">
        <v>1587</v>
      </c>
      <c r="L958" s="2167">
        <v>14</v>
      </c>
      <c r="P958" s="2447"/>
      <c r="Q958" s="2447"/>
      <c r="U958" s="2473">
        <f t="shared" ref="U958:AI958" si="884">U955*12</f>
        <v>12</v>
      </c>
      <c r="V958" s="2473">
        <f t="shared" si="884"/>
        <v>24</v>
      </c>
      <c r="W958" s="2473">
        <f t="shared" si="884"/>
        <v>36</v>
      </c>
      <c r="X958" s="2473">
        <f t="shared" si="884"/>
        <v>48</v>
      </c>
      <c r="Y958" s="2473">
        <f t="shared" si="884"/>
        <v>60</v>
      </c>
      <c r="Z958" s="2473">
        <f t="shared" si="884"/>
        <v>72</v>
      </c>
      <c r="AA958" s="2473">
        <f t="shared" si="884"/>
        <v>84</v>
      </c>
      <c r="AB958" s="2473">
        <f t="shared" si="884"/>
        <v>96</v>
      </c>
      <c r="AC958" s="2473">
        <f t="shared" si="884"/>
        <v>108</v>
      </c>
      <c r="AD958" s="2473">
        <f t="shared" si="884"/>
        <v>120</v>
      </c>
      <c r="AE958" s="2473">
        <f t="shared" si="884"/>
        <v>132</v>
      </c>
      <c r="AF958" s="2473">
        <f t="shared" si="884"/>
        <v>144</v>
      </c>
      <c r="AG958" s="2473">
        <f t="shared" si="884"/>
        <v>156</v>
      </c>
      <c r="AH958" s="2473">
        <f t="shared" si="884"/>
        <v>168</v>
      </c>
      <c r="AI958" s="2473">
        <f t="shared" si="884"/>
        <v>180</v>
      </c>
      <c r="AJ958" s="1966"/>
    </row>
    <row r="959" spans="2:36" s="2181" customFormat="1" ht="12.5">
      <c r="B959" s="2167" t="s">
        <v>1588</v>
      </c>
      <c r="C959" s="2495">
        <f>3/12</f>
        <v>0.25</v>
      </c>
      <c r="D959" s="2167">
        <v>10</v>
      </c>
      <c r="E959" s="2456">
        <f>COUNTA($B$950:B958)</f>
        <v>9</v>
      </c>
      <c r="F959" s="2167" t="s">
        <v>1588</v>
      </c>
      <c r="L959" s="2167">
        <v>15</v>
      </c>
      <c r="P959" s="2447"/>
      <c r="Q959" s="2447"/>
      <c r="AF959" s="1966"/>
      <c r="AG959" s="1966"/>
      <c r="AH959" s="1966"/>
      <c r="AI959" s="1966"/>
      <c r="AJ959" s="1966"/>
    </row>
    <row r="960" spans="2:36" s="2181" customFormat="1" ht="12.5">
      <c r="B960" s="2167" t="s">
        <v>1589</v>
      </c>
      <c r="C960" s="2495">
        <f>2/12</f>
        <v>0.16666666666666666</v>
      </c>
      <c r="D960" s="2167">
        <v>11</v>
      </c>
      <c r="E960" s="2456">
        <f>COUNTA($B$950:B959)</f>
        <v>10</v>
      </c>
      <c r="F960" s="2167" t="s">
        <v>1589</v>
      </c>
      <c r="P960" s="2471"/>
      <c r="Q960" s="2447"/>
      <c r="AF960" s="1966"/>
      <c r="AG960" s="1966"/>
      <c r="AH960" s="1966"/>
      <c r="AI960" s="1966"/>
      <c r="AJ960" s="1966"/>
    </row>
    <row r="961" spans="2:30" s="2181" customFormat="1" ht="12.5">
      <c r="B961" s="2167" t="s">
        <v>1590</v>
      </c>
      <c r="C961" s="2495">
        <f>1/12</f>
        <v>8.3333333333333329E-2</v>
      </c>
      <c r="D961" s="2167">
        <v>12</v>
      </c>
      <c r="E961" s="2456">
        <f>COUNTA($B$950:B960)</f>
        <v>11</v>
      </c>
      <c r="F961" s="2167" t="s">
        <v>1590</v>
      </c>
      <c r="P961" s="2473"/>
      <c r="Q961" s="2473"/>
      <c r="R961" s="2473"/>
      <c r="S961" s="2473"/>
      <c r="T961" s="2473"/>
      <c r="U961" s="2473"/>
      <c r="V961" s="2473"/>
      <c r="W961" s="2473"/>
      <c r="X961" s="2473"/>
      <c r="Y961" s="2473"/>
      <c r="Z961" s="2473"/>
      <c r="AA961" s="2473"/>
      <c r="AB961" s="2473"/>
      <c r="AC961" s="2473"/>
      <c r="AD961" s="2473"/>
    </row>
    <row r="962" spans="2:30" s="2181" customFormat="1" ht="12.5">
      <c r="I962" s="2446"/>
      <c r="J962" s="2446"/>
      <c r="M962" s="2447"/>
      <c r="N962" s="2446"/>
      <c r="P962" s="2473"/>
      <c r="Q962" s="2473"/>
      <c r="R962" s="2473"/>
      <c r="S962" s="2473"/>
      <c r="T962" s="2489"/>
      <c r="U962" s="2490"/>
      <c r="V962" s="2490"/>
      <c r="W962" s="2490"/>
      <c r="X962" s="2489"/>
      <c r="Y962" s="2490"/>
      <c r="Z962" s="2490"/>
      <c r="AA962" s="2490"/>
      <c r="AB962" s="2490"/>
      <c r="AC962" s="2490"/>
      <c r="AD962" s="2490"/>
    </row>
    <row r="963" spans="2:30" s="2181" customFormat="1" ht="12.5">
      <c r="I963" s="2446"/>
      <c r="J963" s="2446"/>
      <c r="K963" s="2446"/>
      <c r="M963" s="2447"/>
      <c r="N963" s="2446"/>
      <c r="P963" s="2447"/>
      <c r="Q963" s="2447"/>
    </row>
    <row r="964" spans="2:30" s="2181" customFormat="1" ht="12.5">
      <c r="I964" s="2446"/>
      <c r="J964" s="2446"/>
      <c r="K964" s="2446"/>
      <c r="M964" s="2447"/>
      <c r="N964" s="2446"/>
      <c r="P964" s="2447"/>
      <c r="Q964" s="2447"/>
      <c r="W964" s="1966"/>
      <c r="X964" s="1966"/>
      <c r="Y964" s="1966"/>
      <c r="Z964" s="2167"/>
      <c r="AD964" s="2167"/>
    </row>
    <row r="965" spans="2:30" s="2181" customFormat="1" ht="12.5">
      <c r="I965" s="2446"/>
      <c r="J965" s="2446"/>
      <c r="K965" s="2446"/>
      <c r="M965" s="2447"/>
      <c r="N965" s="2446"/>
      <c r="P965" s="2447"/>
      <c r="Q965" s="2447"/>
      <c r="W965" s="1966"/>
      <c r="X965" s="1966"/>
      <c r="Y965" s="1966"/>
      <c r="Z965" s="2167"/>
      <c r="AD965" s="2167"/>
    </row>
    <row r="966" spans="2:30" s="2181" customFormat="1" ht="12.5">
      <c r="I966" s="2446"/>
      <c r="J966" s="2446"/>
      <c r="K966" s="2446"/>
      <c r="M966" s="2447"/>
      <c r="N966" s="2446"/>
      <c r="P966" s="2447"/>
      <c r="Q966" s="2447"/>
      <c r="W966" s="2451"/>
      <c r="X966" s="2451"/>
      <c r="Y966" s="2167"/>
      <c r="Z966" s="2167"/>
      <c r="AD966" s="2167"/>
    </row>
    <row r="967" spans="2:30" s="2181" customFormat="1" ht="12.5">
      <c r="I967" s="2446"/>
      <c r="J967" s="2446"/>
      <c r="K967" s="2446"/>
      <c r="M967" s="2447"/>
      <c r="N967" s="2446"/>
      <c r="P967" s="2447"/>
      <c r="Q967" s="2447"/>
      <c r="W967" s="2451"/>
      <c r="X967" s="2451"/>
      <c r="Y967" s="2167"/>
      <c r="Z967" s="2167"/>
      <c r="AD967" s="2167"/>
    </row>
    <row r="968" spans="2:30" s="2181" customFormat="1" ht="12.5">
      <c r="I968" s="2446"/>
      <c r="J968" s="2446"/>
      <c r="K968" s="2446"/>
      <c r="M968" s="2447"/>
      <c r="N968" s="2446"/>
      <c r="P968" s="2447"/>
      <c r="Q968" s="2447"/>
      <c r="W968" s="2451"/>
      <c r="X968" s="2451"/>
      <c r="Y968" s="2167"/>
      <c r="Z968" s="2167"/>
      <c r="AD968" s="2167"/>
    </row>
    <row r="969" spans="2:30" s="2181" customFormat="1" ht="12.5">
      <c r="I969" s="2446"/>
      <c r="J969" s="2446"/>
      <c r="K969" s="2446"/>
      <c r="M969" s="2447"/>
      <c r="N969" s="2446"/>
      <c r="P969" s="2447"/>
      <c r="Q969" s="2447"/>
      <c r="W969" s="2451"/>
      <c r="X969" s="2451"/>
      <c r="Y969" s="2167"/>
      <c r="Z969" s="2167"/>
      <c r="AD969" s="2167"/>
    </row>
    <row r="970" spans="2:30" s="2181" customFormat="1" ht="12.5">
      <c r="I970" s="2446"/>
      <c r="J970" s="2446"/>
      <c r="K970" s="2446"/>
      <c r="M970" s="2447"/>
      <c r="N970" s="2446"/>
      <c r="P970" s="2447"/>
      <c r="Q970" s="2447"/>
      <c r="T970" s="1966"/>
      <c r="U970" s="1966"/>
      <c r="V970" s="2451"/>
      <c r="W970" s="2451"/>
      <c r="X970" s="2451"/>
      <c r="Y970" s="2167"/>
      <c r="Z970" s="2167"/>
      <c r="AA970" s="2167"/>
      <c r="AB970" s="2167"/>
      <c r="AC970" s="2167"/>
      <c r="AD970" s="2167"/>
    </row>
    <row r="971" spans="2:30" s="2181" customFormat="1" ht="12.5">
      <c r="I971" s="2446"/>
      <c r="J971" s="2446"/>
      <c r="K971" s="2446"/>
      <c r="M971" s="2447"/>
      <c r="N971" s="2446"/>
      <c r="P971" s="2447"/>
      <c r="Q971" s="2447"/>
      <c r="T971" s="1966"/>
      <c r="U971" s="1966"/>
      <c r="V971" s="2451"/>
      <c r="W971" s="2451"/>
      <c r="X971" s="2451"/>
      <c r="Y971" s="2167"/>
      <c r="Z971" s="2167"/>
      <c r="AA971" s="2167"/>
      <c r="AB971" s="2167"/>
      <c r="AC971" s="2167"/>
      <c r="AD971" s="2167"/>
    </row>
    <row r="972" spans="2:30" s="2181" customFormat="1" ht="12.5">
      <c r="I972" s="2446"/>
      <c r="J972" s="2446"/>
      <c r="K972" s="2446"/>
      <c r="M972" s="2447"/>
      <c r="N972" s="2446"/>
      <c r="P972" s="2447"/>
      <c r="Q972" s="2447"/>
      <c r="T972" s="1966"/>
      <c r="U972" s="1966"/>
      <c r="V972" s="2451"/>
      <c r="W972" s="2451"/>
      <c r="X972" s="2451"/>
      <c r="Y972" s="2167"/>
      <c r="Z972" s="2167"/>
      <c r="AA972" s="1966"/>
      <c r="AB972" s="2167"/>
      <c r="AC972" s="2167"/>
      <c r="AD972" s="2167"/>
    </row>
    <row r="973" spans="2:30" s="2181" customFormat="1" ht="12.5">
      <c r="I973" s="2446"/>
      <c r="J973" s="2446"/>
      <c r="K973" s="2446"/>
      <c r="M973" s="2447"/>
      <c r="N973" s="2446"/>
      <c r="P973" s="2447"/>
      <c r="Q973" s="2447"/>
      <c r="T973" s="1966"/>
      <c r="U973" s="1966"/>
      <c r="V973" s="1966"/>
      <c r="W973" s="1966"/>
      <c r="X973" s="1966"/>
      <c r="Y973" s="1966"/>
      <c r="Z973" s="1966"/>
      <c r="AA973" s="1966"/>
      <c r="AB973" s="1966"/>
      <c r="AC973" s="1966"/>
      <c r="AD973" s="1966"/>
    </row>
    <row r="974" spans="2:30" s="2181" customFormat="1" ht="12.5">
      <c r="I974" s="2446"/>
      <c r="J974" s="2446"/>
      <c r="K974" s="2446"/>
      <c r="M974" s="2447"/>
      <c r="N974" s="2446"/>
      <c r="P974" s="2447"/>
      <c r="Q974" s="2447"/>
      <c r="T974" s="1966"/>
      <c r="U974" s="1966"/>
      <c r="V974" s="1966"/>
      <c r="W974" s="1966"/>
      <c r="X974" s="1966"/>
      <c r="Y974" s="1966"/>
      <c r="Z974" s="1966"/>
      <c r="AA974" s="1966"/>
      <c r="AB974" s="1966"/>
      <c r="AC974" s="1966"/>
      <c r="AD974" s="1966"/>
    </row>
    <row r="975" spans="2:30" s="2181" customFormat="1" ht="12.5">
      <c r="I975" s="2446"/>
      <c r="J975" s="2446"/>
      <c r="K975" s="2446"/>
      <c r="M975" s="2447"/>
      <c r="N975" s="2446"/>
      <c r="P975" s="2447"/>
      <c r="Q975" s="2447"/>
    </row>
    <row r="976" spans="2:30" s="2181" customFormat="1" ht="12.5">
      <c r="I976" s="2446"/>
      <c r="J976" s="2446"/>
      <c r="K976" s="2446"/>
      <c r="M976" s="2447"/>
      <c r="N976" s="2446"/>
      <c r="P976" s="2447"/>
      <c r="Q976" s="2447"/>
    </row>
    <row r="977" spans="20:30" s="2181" customFormat="1" ht="12.5"/>
    <row r="978" spans="20:30" s="2181" customFormat="1" ht="12.5"/>
    <row r="979" spans="20:30" s="2181" customFormat="1" ht="12.5">
      <c r="T979" s="2167"/>
      <c r="U979" s="2167"/>
      <c r="V979" s="2167"/>
      <c r="W979" s="2167"/>
      <c r="X979" s="2167"/>
      <c r="Y979" s="2451"/>
      <c r="Z979" s="2167"/>
      <c r="AA979" s="2167"/>
      <c r="AB979" s="2167"/>
      <c r="AC979" s="2167"/>
      <c r="AD979" s="2167"/>
    </row>
    <row r="980" spans="20:30" s="2181" customFormat="1" ht="12.5">
      <c r="T980" s="2167"/>
      <c r="Z980" s="2498"/>
      <c r="AA980" s="2498"/>
      <c r="AB980" s="2451"/>
      <c r="AC980" s="914"/>
      <c r="AD980" s="914"/>
    </row>
    <row r="981" spans="20:30" s="2181" customFormat="1" ht="12.5">
      <c r="T981" s="2167"/>
      <c r="Z981" s="693"/>
      <c r="AA981" s="693"/>
      <c r="AB981" s="693"/>
      <c r="AC981" s="693"/>
      <c r="AD981" s="693"/>
    </row>
    <row r="982" spans="20:30" s="2181" customFormat="1" ht="12.5">
      <c r="T982" s="2167"/>
      <c r="Z982" s="693"/>
      <c r="AA982" s="693"/>
      <c r="AB982" s="693"/>
      <c r="AC982" s="693"/>
      <c r="AD982" s="693"/>
    </row>
    <row r="983" spans="20:30" s="2181" customFormat="1" ht="12.5">
      <c r="T983" s="2167"/>
    </row>
    <row r="984" spans="20:30" s="2181" customFormat="1" ht="12.5">
      <c r="T984" s="2167"/>
    </row>
    <row r="985" spans="20:30" s="2181" customFormat="1" ht="12.5">
      <c r="T985" s="2167"/>
    </row>
    <row r="986" spans="20:30" s="2181" customFormat="1" ht="12.5">
      <c r="T986" s="2167"/>
    </row>
    <row r="987" spans="20:30" s="2181" customFormat="1" ht="12.5">
      <c r="T987" s="2167"/>
    </row>
    <row r="988" spans="20:30" s="2181" customFormat="1" ht="12.5">
      <c r="T988" s="2167"/>
    </row>
    <row r="989" spans="20:30" s="2181" customFormat="1" ht="12.5">
      <c r="T989" s="2167"/>
    </row>
    <row r="990" spans="20:30" s="2181" customFormat="1" ht="12.5">
      <c r="T990" s="2167"/>
    </row>
    <row r="991" spans="20:30" s="2181" customFormat="1" ht="12.5">
      <c r="T991" s="2167"/>
    </row>
    <row r="992" spans="20:30" s="2181" customFormat="1" ht="12.5">
      <c r="T992" s="2167"/>
    </row>
    <row r="993" spans="20:30" s="2181" customFormat="1" ht="12.5">
      <c r="T993" s="2167"/>
    </row>
    <row r="994" spans="20:30" s="2181" customFormat="1" ht="12.5">
      <c r="T994" s="2167"/>
    </row>
    <row r="995" spans="20:30" s="2181" customFormat="1" ht="12.5">
      <c r="T995" s="2455"/>
    </row>
    <row r="996" spans="20:30" s="2181" customFormat="1" ht="12.5">
      <c r="T996" s="2455"/>
    </row>
    <row r="997" spans="20:30" s="2181" customFormat="1" ht="12.5">
      <c r="T997" s="2455"/>
      <c r="U997" s="2455"/>
      <c r="V997" s="2455"/>
      <c r="W997" s="2455"/>
      <c r="X997" s="2455"/>
      <c r="Y997" s="2455"/>
      <c r="Z997" s="2455"/>
      <c r="AA997" s="2455"/>
      <c r="AB997" s="2455"/>
      <c r="AC997" s="2455"/>
      <c r="AD997" s="2455"/>
    </row>
    <row r="998" spans="20:30" s="2181" customFormat="1" ht="12.5">
      <c r="T998" s="2455"/>
      <c r="U998" s="2455"/>
      <c r="V998" s="2455"/>
      <c r="W998" s="2455"/>
      <c r="X998" s="2455"/>
      <c r="Y998" s="2455"/>
      <c r="Z998" s="2455"/>
      <c r="AA998" s="2455"/>
      <c r="AB998" s="2455"/>
      <c r="AC998" s="2455"/>
      <c r="AD998" s="2455"/>
    </row>
    <row r="999" spans="20:30" s="2181" customFormat="1" ht="12.5">
      <c r="T999" s="2455"/>
      <c r="U999" s="2455"/>
      <c r="V999" s="2455"/>
      <c r="W999" s="2455"/>
      <c r="X999" s="2455"/>
      <c r="Y999" s="2455"/>
    </row>
    <row r="1000" spans="20:30" s="2181" customFormat="1" ht="12.5">
      <c r="T1000" s="2455"/>
      <c r="U1000" s="2455"/>
      <c r="V1000" s="2455"/>
      <c r="W1000" s="2455"/>
      <c r="X1000" s="2455"/>
      <c r="Y1000" s="2455"/>
    </row>
    <row r="1001" spans="20:30" s="2181" customFormat="1" ht="12.5">
      <c r="T1001" s="2455"/>
      <c r="U1001" s="2455"/>
      <c r="V1001" s="2455"/>
      <c r="W1001" s="2455"/>
      <c r="X1001" s="2455"/>
      <c r="Y1001" s="2455"/>
    </row>
    <row r="1002" spans="20:30" s="2181" customFormat="1" ht="12.5">
      <c r="T1002" s="2455"/>
      <c r="U1002" s="2455"/>
      <c r="V1002" s="2455"/>
      <c r="W1002" s="2455"/>
      <c r="X1002" s="2455"/>
      <c r="Y1002" s="2455"/>
    </row>
    <row r="1003" spans="20:30" s="2181" customFormat="1" ht="12.5">
      <c r="T1003" s="2455"/>
      <c r="U1003" s="2455"/>
      <c r="V1003" s="2455"/>
      <c r="W1003" s="2455"/>
      <c r="X1003" s="2455"/>
      <c r="Y1003" s="2455"/>
    </row>
    <row r="1004" spans="20:30" s="2181" customFormat="1" ht="12.5">
      <c r="T1004" s="2455"/>
      <c r="U1004" s="2455"/>
      <c r="V1004" s="2455"/>
      <c r="W1004" s="2455"/>
      <c r="X1004" s="2455"/>
      <c r="Y1004" s="2455"/>
    </row>
    <row r="1005" spans="20:30" s="2181" customFormat="1" ht="12.5">
      <c r="T1005" s="2455"/>
      <c r="U1005" s="2455"/>
      <c r="V1005" s="2455"/>
      <c r="W1005" s="2455"/>
      <c r="X1005" s="2455"/>
      <c r="Y1005" s="2455"/>
    </row>
    <row r="1006" spans="20:30" s="2181" customFormat="1" ht="12.5">
      <c r="T1006" s="2455"/>
      <c r="U1006" s="2455"/>
      <c r="V1006" s="2455"/>
      <c r="W1006" s="2455"/>
      <c r="X1006" s="2455"/>
      <c r="Y1006" s="2455"/>
    </row>
    <row r="1007" spans="20:30" s="2181" customFormat="1" ht="12.5">
      <c r="T1007" s="2455"/>
      <c r="U1007" s="2455"/>
      <c r="V1007" s="2455"/>
      <c r="W1007" s="2455"/>
      <c r="X1007" s="2455"/>
      <c r="Y1007" s="2455"/>
    </row>
    <row r="1008" spans="20:30" s="2181" customFormat="1" ht="12.5">
      <c r="T1008" s="2455"/>
      <c r="U1008" s="2455"/>
      <c r="V1008" s="2455"/>
      <c r="W1008" s="2455"/>
      <c r="X1008" s="2455"/>
      <c r="Y1008" s="2455"/>
    </row>
    <row r="1009" spans="20:30" s="2181" customFormat="1" ht="12.5">
      <c r="T1009" s="2455"/>
      <c r="U1009" s="2455"/>
      <c r="V1009" s="2455"/>
      <c r="W1009" s="2455"/>
      <c r="X1009" s="2455"/>
      <c r="Y1009" s="2455"/>
    </row>
    <row r="1010" spans="20:30" s="2181" customFormat="1" ht="12.5">
      <c r="T1010" s="2455"/>
      <c r="U1010" s="2455"/>
      <c r="V1010" s="2455"/>
      <c r="W1010" s="2455"/>
      <c r="X1010" s="2455"/>
      <c r="Y1010" s="2455"/>
    </row>
    <row r="1011" spans="20:30" s="2181" customFormat="1" ht="12.5">
      <c r="T1011" s="2455"/>
      <c r="U1011" s="2455"/>
      <c r="V1011" s="2455"/>
      <c r="W1011" s="2455"/>
      <c r="X1011" s="2455"/>
      <c r="Y1011" s="2455"/>
    </row>
    <row r="1012" spans="20:30" s="2181" customFormat="1" ht="12.5">
      <c r="T1012" s="2455"/>
      <c r="U1012" s="2455"/>
      <c r="V1012" s="2455"/>
      <c r="W1012" s="2455"/>
      <c r="X1012" s="2455"/>
      <c r="Y1012" s="2455"/>
    </row>
    <row r="1013" spans="20:30" s="2181" customFormat="1" ht="12.5">
      <c r="T1013" s="2455"/>
      <c r="U1013" s="2455"/>
      <c r="V1013" s="2455"/>
      <c r="W1013" s="2455"/>
      <c r="X1013" s="2455"/>
      <c r="Y1013" s="2455"/>
      <c r="Z1013" s="2455"/>
      <c r="AA1013" s="2455"/>
      <c r="AB1013" s="2455"/>
      <c r="AC1013" s="2455"/>
      <c r="AD1013" s="2455"/>
    </row>
    <row r="1014" spans="20:30" s="2181" customFormat="1" ht="12.5">
      <c r="T1014" s="2455"/>
      <c r="U1014" s="2455"/>
      <c r="V1014" s="2455"/>
      <c r="W1014" s="2455"/>
      <c r="X1014" s="2455"/>
      <c r="Y1014" s="2455"/>
      <c r="Z1014" s="2455"/>
      <c r="AA1014" s="2455"/>
      <c r="AB1014" s="2455"/>
      <c r="AC1014" s="2455"/>
      <c r="AD1014" s="2455"/>
    </row>
    <row r="1015" spans="20:30" s="2181" customFormat="1" ht="12.5">
      <c r="T1015" s="2455"/>
      <c r="U1015" s="2455"/>
      <c r="V1015" s="2455"/>
      <c r="W1015" s="2455"/>
      <c r="X1015" s="2455"/>
      <c r="Y1015" s="2455"/>
      <c r="Z1015" s="2455"/>
      <c r="AA1015" s="2455"/>
      <c r="AB1015" s="2455"/>
      <c r="AC1015" s="2455"/>
      <c r="AD1015" s="2455"/>
    </row>
    <row r="1016" spans="20:30" s="2181" customFormat="1" ht="12.5">
      <c r="T1016" s="2455"/>
      <c r="U1016" s="2455"/>
      <c r="V1016" s="2455"/>
      <c r="W1016" s="2455"/>
      <c r="X1016" s="2455"/>
      <c r="Y1016" s="2455"/>
      <c r="Z1016" s="2455"/>
      <c r="AA1016" s="2455"/>
      <c r="AB1016" s="2455"/>
      <c r="AC1016" s="2455"/>
      <c r="AD1016" s="2455"/>
    </row>
    <row r="1017" spans="20:30" s="2181" customFormat="1" ht="12.5">
      <c r="T1017" s="2455"/>
      <c r="U1017" s="2455"/>
      <c r="V1017" s="2455"/>
      <c r="W1017" s="2455"/>
      <c r="X1017" s="2455"/>
      <c r="Y1017" s="2455"/>
      <c r="Z1017" s="2455"/>
      <c r="AA1017" s="2455"/>
      <c r="AB1017" s="2455"/>
      <c r="AC1017" s="2455"/>
      <c r="AD1017" s="2455"/>
    </row>
    <row r="1018" spans="20:30" s="2181" customFormat="1" ht="12.5">
      <c r="T1018" s="2455"/>
      <c r="U1018" s="2455"/>
      <c r="V1018" s="2455"/>
      <c r="W1018" s="2455"/>
      <c r="X1018" s="2455"/>
      <c r="Y1018" s="2455"/>
      <c r="Z1018" s="2455"/>
      <c r="AA1018" s="2455"/>
      <c r="AB1018" s="2455"/>
      <c r="AC1018" s="2455"/>
      <c r="AD1018" s="2455"/>
    </row>
    <row r="1019" spans="20:30" s="2181" customFormat="1" ht="12.5">
      <c r="T1019" s="2455"/>
      <c r="U1019" s="2455"/>
      <c r="V1019" s="2455"/>
      <c r="W1019" s="2455"/>
      <c r="X1019" s="2455"/>
      <c r="Y1019" s="2455"/>
      <c r="Z1019" s="2455"/>
      <c r="AA1019" s="2455"/>
      <c r="AB1019" s="2455"/>
      <c r="AC1019" s="2455"/>
      <c r="AD1019" s="2455"/>
    </row>
    <row r="1020" spans="20:30" s="2181" customFormat="1" ht="12.5">
      <c r="T1020" s="2455"/>
      <c r="U1020" s="2455"/>
      <c r="V1020" s="2455"/>
      <c r="W1020" s="2455"/>
      <c r="X1020" s="2455"/>
      <c r="Y1020" s="2455"/>
      <c r="Z1020" s="2455"/>
      <c r="AA1020" s="2455"/>
      <c r="AB1020" s="2455"/>
      <c r="AC1020" s="2455"/>
      <c r="AD1020" s="2455"/>
    </row>
    <row r="1021" spans="20:30" s="2181" customFormat="1" ht="12.5">
      <c r="T1021" s="2455"/>
      <c r="U1021" s="2455"/>
      <c r="V1021" s="2455"/>
      <c r="W1021" s="2455"/>
      <c r="X1021" s="2455"/>
      <c r="Y1021" s="2455"/>
      <c r="Z1021" s="2455"/>
      <c r="AA1021" s="2455"/>
      <c r="AB1021" s="2455"/>
      <c r="AC1021" s="2455"/>
      <c r="AD1021" s="2455"/>
    </row>
    <row r="1022" spans="20:30" s="2181" customFormat="1" ht="12.5"/>
    <row r="1023" spans="20:30" s="2181" customFormat="1" ht="12.5"/>
    <row r="1024" spans="20:30" s="2181" customFormat="1" ht="12.5"/>
    <row r="1025" s="2181" customFormat="1" ht="12.5"/>
    <row r="1026" s="2181" customFormat="1" ht="12.5"/>
    <row r="1027" s="2181" customFormat="1" ht="12.5"/>
    <row r="1028" s="2181" customFormat="1" ht="12.5"/>
    <row r="1029" s="2181" customFormat="1" ht="12.5"/>
    <row r="1030" s="2181" customFormat="1" ht="12.5"/>
    <row r="1031" s="2181" customFormat="1" ht="12.5"/>
    <row r="1032" s="2181" customFormat="1" ht="12.5"/>
    <row r="1033" s="2181" customFormat="1" ht="12.5"/>
    <row r="1034" s="2181" customFormat="1" ht="12.5"/>
    <row r="1035" s="2181" customFormat="1" ht="12.5"/>
    <row r="1036" s="2181" customFormat="1" ht="12.5"/>
    <row r="1037" s="2181" customFormat="1" ht="12.5"/>
    <row r="1038" s="2181" customFormat="1" ht="12.5"/>
    <row r="1039" s="2181" customFormat="1" ht="12.5"/>
    <row r="1040" s="2181" customFormat="1" ht="12.5"/>
    <row r="1041" spans="37:69">
      <c r="AK1041" s="2181"/>
      <c r="AL1041" s="2181"/>
      <c r="AM1041" s="2181"/>
      <c r="AN1041" s="2181"/>
      <c r="AO1041" s="2181"/>
      <c r="AP1041" s="2181"/>
      <c r="AQ1041" s="2181"/>
      <c r="AR1041" s="2181"/>
      <c r="AS1041" s="2181"/>
      <c r="AT1041" s="2181"/>
      <c r="AU1041" s="2181"/>
      <c r="AV1041" s="2181"/>
      <c r="AW1041" s="2181"/>
      <c r="AX1041" s="2181"/>
      <c r="AY1041" s="2181"/>
      <c r="AZ1041" s="2181"/>
      <c r="BA1041" s="2181"/>
      <c r="BB1041" s="2181"/>
      <c r="BC1041" s="2181"/>
      <c r="BD1041" s="2181"/>
      <c r="BE1041" s="2181"/>
      <c r="BF1041" s="2181"/>
      <c r="BG1041" s="2181"/>
      <c r="BH1041" s="2181"/>
      <c r="BI1041" s="2181"/>
      <c r="BJ1041" s="2181"/>
      <c r="BK1041" s="2181"/>
      <c r="BL1041" s="2181"/>
      <c r="BM1041" s="2181"/>
      <c r="BN1041" s="2181"/>
      <c r="BO1041" s="2181"/>
      <c r="BP1041" s="2181"/>
      <c r="BQ1041" s="2181"/>
    </row>
    <row r="1042" spans="37:69">
      <c r="AK1042" s="2181"/>
      <c r="AL1042" s="2181"/>
      <c r="AM1042" s="2181"/>
      <c r="AN1042" s="2181"/>
      <c r="AO1042" s="2181"/>
      <c r="AP1042" s="2181"/>
      <c r="AQ1042" s="2181"/>
      <c r="AR1042" s="2181"/>
      <c r="AS1042" s="2181"/>
      <c r="AT1042" s="2181"/>
      <c r="AU1042" s="2181"/>
      <c r="AV1042" s="2181"/>
      <c r="AW1042" s="2181"/>
      <c r="AX1042" s="2181"/>
      <c r="AY1042" s="2181"/>
      <c r="AZ1042" s="2181"/>
      <c r="BA1042" s="2181"/>
      <c r="BB1042" s="2181"/>
      <c r="BC1042" s="2181"/>
      <c r="BD1042" s="2181"/>
      <c r="BE1042" s="2181"/>
      <c r="BF1042" s="2181"/>
      <c r="BG1042" s="2181"/>
      <c r="BH1042" s="2181"/>
      <c r="BI1042" s="2181"/>
      <c r="BJ1042" s="2181"/>
      <c r="BK1042" s="2181"/>
      <c r="BL1042" s="2181"/>
      <c r="BM1042" s="2181"/>
      <c r="BN1042" s="2181"/>
      <c r="BO1042" s="2181"/>
      <c r="BP1042" s="2181"/>
      <c r="BQ1042" s="2181"/>
    </row>
    <row r="1043" spans="37:69">
      <c r="AK1043" s="2181"/>
      <c r="AL1043" s="2181"/>
      <c r="AM1043" s="2181"/>
      <c r="AN1043" s="2181"/>
      <c r="AO1043" s="2181"/>
      <c r="AP1043" s="2181"/>
      <c r="AQ1043" s="2181"/>
      <c r="AR1043" s="2181"/>
      <c r="AS1043" s="2181"/>
      <c r="AT1043" s="2181"/>
      <c r="AU1043" s="2181"/>
      <c r="AV1043" s="2181"/>
      <c r="AW1043" s="2181"/>
      <c r="AX1043" s="2181"/>
      <c r="AY1043" s="2181"/>
      <c r="AZ1043" s="2181"/>
      <c r="BA1043" s="2181"/>
      <c r="BB1043" s="2181"/>
      <c r="BC1043" s="2181"/>
      <c r="BD1043" s="2181"/>
      <c r="BE1043" s="2181"/>
      <c r="BF1043" s="2181"/>
      <c r="BG1043" s="2181"/>
      <c r="BH1043" s="2181"/>
      <c r="BI1043" s="2181"/>
      <c r="BJ1043" s="2181"/>
      <c r="BK1043" s="2181"/>
      <c r="BL1043" s="2181"/>
      <c r="BM1043" s="2181"/>
      <c r="BN1043" s="2181"/>
      <c r="BO1043" s="2181"/>
      <c r="BP1043" s="2181"/>
      <c r="BQ1043" s="2181"/>
    </row>
    <row r="1044" spans="37:69">
      <c r="AK1044" s="2181"/>
      <c r="AL1044" s="2181"/>
      <c r="AM1044" s="2181"/>
      <c r="AN1044" s="2181"/>
      <c r="AO1044" s="2181"/>
      <c r="AP1044" s="2181"/>
      <c r="AQ1044" s="2181"/>
      <c r="AR1044" s="2181"/>
      <c r="AS1044" s="2181"/>
      <c r="AT1044" s="2181"/>
      <c r="AU1044" s="2181"/>
      <c r="AV1044" s="2181"/>
      <c r="AW1044" s="2181"/>
      <c r="AX1044" s="2181"/>
      <c r="AY1044" s="2181"/>
      <c r="AZ1044" s="2181"/>
      <c r="BA1044" s="2181"/>
      <c r="BB1044" s="2181"/>
      <c r="BC1044" s="2181"/>
      <c r="BD1044" s="2181"/>
      <c r="BE1044" s="2181"/>
      <c r="BF1044" s="2181"/>
      <c r="BG1044" s="2181"/>
      <c r="BH1044" s="2181"/>
      <c r="BI1044" s="2181"/>
      <c r="BJ1044" s="2181"/>
      <c r="BK1044" s="2181"/>
      <c r="BL1044" s="2181"/>
      <c r="BM1044" s="2181"/>
      <c r="BN1044" s="2181"/>
      <c r="BO1044" s="2181"/>
      <c r="BP1044" s="2181"/>
      <c r="BQ1044" s="2181"/>
    </row>
    <row r="1045" spans="37:69">
      <c r="AK1045" s="2181"/>
      <c r="AL1045" s="2181"/>
      <c r="AM1045" s="2181"/>
      <c r="AN1045" s="2181"/>
      <c r="AO1045" s="2181"/>
      <c r="AP1045" s="2181"/>
      <c r="AQ1045" s="2181"/>
      <c r="AR1045" s="2181"/>
      <c r="AS1045" s="2181"/>
      <c r="AT1045" s="2181"/>
      <c r="AU1045" s="2181"/>
      <c r="AV1045" s="2181"/>
      <c r="AW1045" s="2181"/>
      <c r="AX1045" s="2181"/>
      <c r="AY1045" s="2181"/>
      <c r="AZ1045" s="2181"/>
      <c r="BA1045" s="2181"/>
      <c r="BB1045" s="2181"/>
      <c r="BC1045" s="2181"/>
      <c r="BD1045" s="2181"/>
      <c r="BE1045" s="2181"/>
      <c r="BF1045" s="2181"/>
      <c r="BG1045" s="2181"/>
      <c r="BH1045" s="2181"/>
      <c r="BI1045" s="2181"/>
      <c r="BJ1045" s="2181"/>
      <c r="BK1045" s="2181"/>
      <c r="BL1045" s="2181"/>
      <c r="BM1045" s="2181"/>
      <c r="BN1045" s="2181"/>
      <c r="BO1045" s="2181"/>
      <c r="BP1045" s="2181"/>
      <c r="BQ1045" s="2181"/>
    </row>
  </sheetData>
  <sheetProtection password="D5B5" sheet="1" objects="1" scenarios="1"/>
  <mergeCells count="1">
    <mergeCell ref="AO583:AO584"/>
  </mergeCells>
  <conditionalFormatting sqref="C3">
    <cfRule type="cellIs" dxfId="35" priority="10" stopIfTrue="1" operator="equal">
      <formula>$L$914</formula>
    </cfRule>
    <cfRule type="cellIs" dxfId="34" priority="11" stopIfTrue="1" operator="equal">
      <formula>$L$913</formula>
    </cfRule>
    <cfRule type="expression" dxfId="33" priority="12" stopIfTrue="1">
      <formula>""</formula>
    </cfRule>
  </conditionalFormatting>
  <conditionalFormatting sqref="C3">
    <cfRule type="cellIs" dxfId="32" priority="7" stopIfTrue="1" operator="equal">
      <formula>$L$914</formula>
    </cfRule>
    <cfRule type="cellIs" dxfId="31" priority="8" stopIfTrue="1" operator="equal">
      <formula>$L$913</formula>
    </cfRule>
    <cfRule type="expression" dxfId="30" priority="9" stopIfTrue="1">
      <formula>""</formula>
    </cfRule>
  </conditionalFormatting>
  <conditionalFormatting sqref="C3">
    <cfRule type="cellIs" dxfId="29" priority="4" stopIfTrue="1" operator="equal">
      <formula>$L$914</formula>
    </cfRule>
    <cfRule type="cellIs" dxfId="28" priority="5" stopIfTrue="1" operator="equal">
      <formula>$L$913</formula>
    </cfRule>
    <cfRule type="expression" dxfId="27" priority="6" stopIfTrue="1">
      <formula>""</formula>
    </cfRule>
  </conditionalFormatting>
  <conditionalFormatting sqref="C3">
    <cfRule type="cellIs" dxfId="26" priority="1" stopIfTrue="1" operator="equal">
      <formula>$L$914</formula>
    </cfRule>
    <cfRule type="cellIs" dxfId="25" priority="2" stopIfTrue="1" operator="equal">
      <formula>$L$913</formula>
    </cfRule>
    <cfRule type="expression" dxfId="24" priority="3" stopIfTrue="1">
      <formula>""</formula>
    </cfRule>
  </conditionalFormatting>
  <dataValidations disablePrompts="1" count="28">
    <dataValidation type="list" allowBlank="1" showInputMessage="1" showErrorMessage="1" sqref="V242">
      <formula1>$H$913:$H$915</formula1>
    </dataValidation>
    <dataValidation type="list" allowBlank="1" showInputMessage="1" showErrorMessage="1" sqref="W241">
      <formula1>$AO$896:$AO$897</formula1>
    </dataValidation>
    <dataValidation type="list" allowBlank="1" showInputMessage="1" showErrorMessage="1" sqref="C336">
      <formula1>H950:H953</formula1>
    </dataValidation>
    <dataValidation type="list" allowBlank="1" showInputMessage="1" showErrorMessage="1" sqref="C335">
      <formula1>B925:B929</formula1>
    </dataValidation>
    <dataValidation type="list" allowBlank="1" showInputMessage="1" showErrorMessage="1" sqref="C334">
      <formula1>T311:AI311</formula1>
    </dataValidation>
    <dataValidation type="list" allowBlank="1" showInputMessage="1" showErrorMessage="1" sqref="C333">
      <formula1>F950:F961</formula1>
    </dataValidation>
    <dataValidation type="list" allowBlank="1" showInputMessage="1" showErrorMessage="1" sqref="C331">
      <formula1>U955:AI955</formula1>
    </dataValidation>
    <dataValidation type="list" allowBlank="1" showInputMessage="1" showErrorMessage="1" sqref="C326">
      <formula1>H950:H953</formula1>
    </dataValidation>
    <dataValidation type="list" allowBlank="1" showInputMessage="1" showErrorMessage="1" sqref="C325">
      <formula1>B925:B929</formula1>
    </dataValidation>
    <dataValidation type="list" allowBlank="1" showInputMessage="1" showErrorMessage="1" sqref="C324">
      <formula1>T311:AI311</formula1>
    </dataValidation>
    <dataValidation type="list" allowBlank="1" showInputMessage="1" showErrorMessage="1" sqref="C323">
      <formula1>F950:F961</formula1>
    </dataValidation>
    <dataValidation type="list" allowBlank="1" showInputMessage="1" showErrorMessage="1" sqref="C321">
      <formula1>U955:AI955</formula1>
    </dataValidation>
    <dataValidation type="list" allowBlank="1" showInputMessage="1" showErrorMessage="1" sqref="C316">
      <formula1>H950:H953</formula1>
    </dataValidation>
    <dataValidation type="list" allowBlank="1" showInputMessage="1" showErrorMessage="1" sqref="C315">
      <formula1>B925:B929</formula1>
    </dataValidation>
    <dataValidation type="list" allowBlank="1" showInputMessage="1" showErrorMessage="1" sqref="C314">
      <formula1>T311:AI311</formula1>
    </dataValidation>
    <dataValidation type="list" allowBlank="1" showInputMessage="1" showErrorMessage="1" sqref="C313">
      <formula1>F950:F961</formula1>
    </dataValidation>
    <dataValidation type="list" allowBlank="1" showInputMessage="1" showErrorMessage="1" sqref="C311">
      <formula1>U955:AI955</formula1>
    </dataValidation>
    <dataValidation type="list" allowBlank="1" showInputMessage="1" showErrorMessage="1" sqref="C270">
      <formula1>L945:L959</formula1>
    </dataValidation>
    <dataValidation type="list" allowBlank="1" showInputMessage="1" showErrorMessage="1" sqref="C257">
      <formula1>F950:F961</formula1>
    </dataValidation>
    <dataValidation type="list" allowBlank="1" showInputMessage="1" showErrorMessage="1" sqref="C246 C258">
      <formula1>T247:AI247</formula1>
    </dataValidation>
    <dataValidation type="list" allowBlank="1" showInputMessage="1" showErrorMessage="1" sqref="C245">
      <formula1>F950:F961</formula1>
    </dataValidation>
    <dataValidation type="custom" allowBlank="1" showInputMessage="1" showErrorMessage="1" errorTitle="Período de Gracia No Aplicable" error="El período de gracia debe ser menor al plazo (en meses)." sqref="C372 C362 C352">
      <formula1>C352&lt;(C351*12)</formula1>
    </dataValidation>
    <dataValidation type="list" allowBlank="1" showInputMessage="1" showErrorMessage="1" sqref="C365 C375">
      <formula1>$B$925:$B$926</formula1>
    </dataValidation>
    <dataValidation type="list" allowBlank="1" showInputMessage="1" showErrorMessage="1" sqref="C364 C374 C354">
      <formula1>$T$311:$AI$311</formula1>
    </dataValidation>
    <dataValidation type="list" allowBlank="1" showInputMessage="1" showErrorMessage="1" sqref="C356 C366 C376">
      <formula1>$H$950:$H$953</formula1>
    </dataValidation>
    <dataValidation type="list" allowBlank="1" showInputMessage="1" showErrorMessage="1" sqref="C355">
      <formula1>$B$925:$B$929</formula1>
    </dataValidation>
    <dataValidation type="list" allowBlank="1" showInputMessage="1" showErrorMessage="1" sqref="C353 C363 C373">
      <formula1>$F$950:$F$961</formula1>
    </dataValidation>
    <dataValidation type="list" allowBlank="1" showInputMessage="1" showErrorMessage="1" sqref="C351 C361 C371">
      <formula1>$U$955:$AI$955</formula1>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Hoja42"/>
  <dimension ref="A1:XFD1048572"/>
  <sheetViews>
    <sheetView showGridLines="0" showRowColHeaders="0" topLeftCell="A25" zoomScale="50" zoomScaleNormal="50" workbookViewId="0">
      <selection activeCell="J42" sqref="J42"/>
    </sheetView>
  </sheetViews>
  <sheetFormatPr baseColWidth="10" defaultColWidth="10.26953125" defaultRowHeight="27.75" customHeight="1"/>
  <cols>
    <col min="1" max="1" width="3.1796875" style="2499" customWidth="1"/>
    <col min="2" max="2" width="59.26953125" style="725" bestFit="1" customWidth="1"/>
    <col min="3" max="3" width="31" style="725" customWidth="1"/>
    <col min="4" max="4" width="29" style="725" customWidth="1"/>
    <col min="5" max="5" width="30.453125" style="725" customWidth="1"/>
    <col min="6" max="6" width="3.1796875" style="725" customWidth="1"/>
    <col min="7" max="7" width="72.1796875" style="725" bestFit="1" customWidth="1"/>
    <col min="8" max="8" width="32.81640625" style="725" customWidth="1"/>
    <col min="9" max="9" width="30" style="725" customWidth="1"/>
    <col min="10" max="10" width="31.7265625" style="725" customWidth="1"/>
    <col min="11" max="12" width="5.1796875" style="2499" customWidth="1"/>
    <col min="13" max="13" width="6.54296875" style="2499" customWidth="1"/>
    <col min="14" max="14" width="91.1796875" style="725" customWidth="1"/>
    <col min="15" max="30" width="41.81640625" style="725" customWidth="1"/>
    <col min="31" max="32" width="10.26953125" style="2499" customWidth="1"/>
    <col min="33" max="33" width="11.7265625" style="2499" customWidth="1"/>
    <col min="34" max="34" width="63.81640625" style="2499" customWidth="1"/>
    <col min="35" max="35" width="17.453125" style="2499" customWidth="1"/>
    <col min="36" max="36" width="16.26953125" style="2499" customWidth="1"/>
    <col min="37" max="37" width="14.1796875" style="2499" customWidth="1"/>
    <col min="38" max="38" width="31.1796875" style="2499" customWidth="1"/>
    <col min="39" max="39" width="35.81640625" style="2499" customWidth="1"/>
    <col min="40" max="40" width="11.81640625" style="2499" customWidth="1"/>
    <col min="41" max="41" width="13.7265625" style="2499" hidden="1" customWidth="1"/>
    <col min="42" max="42" width="15.81640625" style="2499" customWidth="1"/>
    <col min="43" max="43" width="14.453125" style="2499" customWidth="1"/>
    <col min="44" max="44" width="15.26953125" style="2499" customWidth="1"/>
    <col min="45" max="45" width="16.1796875" style="2499" customWidth="1"/>
    <col min="46" max="46" width="13.7265625" style="2499" customWidth="1"/>
    <col min="47" max="47" width="16.26953125" style="2499" customWidth="1"/>
    <col min="48" max="56" width="10.26953125" style="2499" customWidth="1"/>
    <col min="57" max="57" width="17.1796875" style="2499" customWidth="1"/>
    <col min="58" max="62" width="10.26953125" style="2499" customWidth="1"/>
    <col min="63" max="63" width="27.81640625" style="2499" customWidth="1"/>
    <col min="64" max="69" width="10.26953125" style="2499" customWidth="1"/>
    <col min="70" max="72" width="10.26953125" style="725" customWidth="1"/>
    <col min="73" max="73" width="14.1796875" style="725" customWidth="1"/>
    <col min="74" max="74" width="15.1796875" style="725" customWidth="1"/>
    <col min="75" max="75" width="10.453125" style="725" customWidth="1"/>
    <col min="76" max="76" width="15.26953125" style="725" customWidth="1"/>
    <col min="77" max="77" width="18.453125" style="725" customWidth="1"/>
    <col min="78" max="78" width="20" style="725" customWidth="1"/>
    <col min="79" max="79" width="18" style="725" customWidth="1"/>
    <col min="80" max="80" width="17.26953125" style="725" customWidth="1"/>
    <col min="81" max="82" width="21.7265625" style="725" customWidth="1"/>
    <col min="83" max="83" width="24.26953125" style="725" customWidth="1"/>
    <col min="84" max="84" width="16.81640625" style="725" customWidth="1"/>
    <col min="85" max="85" width="16.26953125" style="725" customWidth="1"/>
    <col min="86" max="86" width="40.54296875" style="725" customWidth="1"/>
    <col min="87" max="87" width="36.1796875" style="725" customWidth="1"/>
    <col min="88" max="88" width="38.453125" style="725" customWidth="1"/>
    <col min="89" max="89" width="35.453125" style="725" customWidth="1"/>
    <col min="90" max="90" width="24" style="725" customWidth="1"/>
    <col min="91" max="91" width="22.453125" style="725" customWidth="1"/>
    <col min="92" max="16384" width="10.26953125" style="725"/>
  </cols>
  <sheetData>
    <row r="1" spans="2:46" s="2499" customFormat="1" ht="25">
      <c r="B1" s="2500"/>
      <c r="C1" s="2501"/>
      <c r="D1" s="2502"/>
      <c r="E1" s="2502"/>
    </row>
    <row r="2" spans="2:46" ht="30">
      <c r="B2" s="2503"/>
      <c r="C2" s="2504"/>
      <c r="D2" s="2502"/>
      <c r="E2" s="2502"/>
      <c r="F2" s="2499"/>
      <c r="G2" s="2499"/>
      <c r="H2" s="2499"/>
      <c r="I2" s="2499"/>
      <c r="J2" s="2499"/>
      <c r="L2" s="2505"/>
    </row>
    <row r="3" spans="2:46" s="2499" customFormat="1" ht="27.5">
      <c r="D3" s="2506"/>
    </row>
    <row r="4" spans="2:46" s="2499" customFormat="1" ht="11.5"/>
    <row r="5" spans="2:46" ht="28">
      <c r="B5" s="4171" t="s">
        <v>1591</v>
      </c>
      <c r="C5" s="4171"/>
      <c r="D5" s="4171"/>
      <c r="E5" s="4171"/>
      <c r="F5" s="4171"/>
      <c r="G5" s="4171"/>
      <c r="H5" s="4171"/>
      <c r="I5" s="4171"/>
      <c r="J5" s="4171"/>
    </row>
    <row r="6" spans="2:46" s="2499" customFormat="1" ht="28">
      <c r="B6" s="4075" t="str">
        <f>'RC'!D7</f>
        <v/>
      </c>
      <c r="C6" s="4076"/>
      <c r="D6" s="4076"/>
      <c r="E6" s="4076"/>
      <c r="F6" s="4076"/>
      <c r="G6" s="4076"/>
      <c r="H6" s="4076"/>
      <c r="I6" s="4076"/>
      <c r="J6" s="4077"/>
      <c r="N6" s="2507"/>
    </row>
    <row r="7" spans="2:46" ht="27.5">
      <c r="B7" s="2508"/>
      <c r="C7" s="3470" t="str">
        <f>'Estados Financieros'!E9</f>
        <v>Tasas:  = 0, -  = 0, -  = 0,</v>
      </c>
      <c r="D7" s="2508"/>
      <c r="E7" s="2509" t="str">
        <f>Resumen!T4</f>
        <v xml:space="preserve">Miles de </v>
      </c>
      <c r="F7" s="2508"/>
      <c r="G7" s="2508"/>
      <c r="H7" s="2508"/>
      <c r="I7" s="2508"/>
      <c r="J7" s="2508"/>
      <c r="N7" s="2507"/>
      <c r="O7" s="2499"/>
      <c r="P7" s="2499"/>
      <c r="Q7" s="2499"/>
      <c r="R7" s="2499"/>
      <c r="S7" s="2499"/>
      <c r="T7" s="2499"/>
      <c r="U7" s="2499"/>
      <c r="V7" s="2499"/>
      <c r="W7" s="2499"/>
      <c r="X7" s="2499"/>
      <c r="Y7" s="2499"/>
      <c r="Z7" s="2499"/>
      <c r="AA7" s="2499"/>
      <c r="AB7" s="2499"/>
      <c r="AC7" s="2499"/>
      <c r="AD7" s="2499"/>
    </row>
    <row r="8" spans="2:46" s="2499" customFormat="1" ht="28">
      <c r="B8" s="3563" t="s">
        <v>899</v>
      </c>
      <c r="C8" s="3564"/>
      <c r="D8" s="3564"/>
      <c r="E8" s="3565"/>
      <c r="F8" s="2508"/>
      <c r="G8" s="2510" t="s">
        <v>1592</v>
      </c>
      <c r="H8" s="2511"/>
      <c r="I8" s="2511" t="s">
        <v>865</v>
      </c>
      <c r="J8" s="2512" t="s">
        <v>865</v>
      </c>
      <c r="N8" s="2507"/>
    </row>
    <row r="9" spans="2:46" ht="28">
      <c r="B9" s="3566"/>
      <c r="C9" s="3567" t="str">
        <f>IF(('Balances y Proyecciones'!Q17)&lt;&gt;360,CONCATENATE((LEFT('Balances y Proyecciones'!H16,3))," ",RIGHT('Balances y Proyecciones'!H15,2)),CONCATENATE((LEFT('Balances y Proyecciones'!E16,3))," ",RIGHT('Balances y Proyecciones'!E15,2)))</f>
        <v>Dic 17</v>
      </c>
      <c r="D9" s="3567" t="str">
        <f>IF(('Balances y Proyecciones'!Q17)&lt;&gt;360,CONCATENATE((LEFT('Balances y Proyecciones'!N16,3))," ",RIGHT('Balances y Proyecciones'!N15,2)),CONCATENATE((LEFT('Balances y Proyecciones'!H16,3))," ",RIGHT('Balances y Proyecciones'!H15,2)))</f>
        <v>Dic 18</v>
      </c>
      <c r="E9" s="3565" t="str">
        <f>IF(('Balances y Proyecciones'!Q17)&lt;&gt;360,CONCATENATE((LEFT('Balances y Proyecciones'!Q16,3))," ",RIGHT('Balances y Proyecciones'!Q15,2)),CONCATENATE((LEFT('Balances y Proyecciones'!N16,3))," ",RIGHT('Balances y Proyecciones'!N15,2)))</f>
        <v>Dic 19</v>
      </c>
      <c r="F9" s="2508"/>
      <c r="G9" s="2513"/>
      <c r="H9" s="2514" t="str">
        <f>IF(('Balances y Proyecciones'!Q17)&lt;&gt;360,CONCATENATE((LEFT('Balances y Proyecciones'!H16,3))," ",RIGHT('Balances y Proyecciones'!H15,2)),CONCATENATE((LEFT('Balances y Proyecciones'!E16,3))," ",RIGHT('Balances y Proyecciones'!E15,2)))</f>
        <v>Dic 17</v>
      </c>
      <c r="I9" s="2514" t="str">
        <f>IF(('Balances y Proyecciones'!Q17)&lt;&gt;360,CONCATENATE((LEFT('Balances y Proyecciones'!N16,3))," ",RIGHT('Balances y Proyecciones'!N15,2)),CONCATENATE((LEFT('Balances y Proyecciones'!H16,3))," ",RIGHT('Balances y Proyecciones'!H15,2)))</f>
        <v>Dic 18</v>
      </c>
      <c r="J9" s="2512" t="str">
        <f>IF(('Balances y Proyecciones'!Q17)&lt;&gt;360,CONCATENATE((LEFT('Balances y Proyecciones'!Q16,3))," ",RIGHT('Balances y Proyecciones'!Q15,2)),CONCATENATE((LEFT('Balances y Proyecciones'!N16,3))," ",RIGHT('Balances y Proyecciones'!N15,2)))</f>
        <v>Dic 19</v>
      </c>
      <c r="N9" s="2507"/>
      <c r="O9" s="2499"/>
      <c r="P9" s="2499"/>
      <c r="Q9" s="2499"/>
      <c r="R9" s="2499"/>
      <c r="S9" s="2499"/>
      <c r="T9" s="2499"/>
      <c r="U9" s="2499"/>
      <c r="V9" s="2499"/>
      <c r="W9" s="2499"/>
      <c r="X9" s="2499"/>
      <c r="Y9" s="2499"/>
      <c r="Z9" s="2499"/>
      <c r="AA9" s="2499"/>
      <c r="AB9" s="2499"/>
      <c r="AC9" s="2499"/>
      <c r="AD9" s="2499"/>
    </row>
    <row r="10" spans="2:46" ht="28">
      <c r="B10" s="3568"/>
      <c r="C10" s="3569" t="str">
        <f>IF(('Balances y Proyecciones'!Q17)&lt;&gt;360,'Estados Financieros'!F5,'Estados Financieros'!E5)</f>
        <v>No Auditados</v>
      </c>
      <c r="D10" s="3569" t="str">
        <f>IF(('Balances y Proyecciones'!Q17)&lt;&gt;360,'Estados Financieros'!G5,'Estados Financieros'!F5)</f>
        <v>No Auditados</v>
      </c>
      <c r="E10" s="3570" t="str">
        <f>IF(('Balances y Proyecciones'!Q17)&lt;&gt;360,'Estados Financieros'!H5,'Estados Financieros'!G5)</f>
        <v>No Auditados</v>
      </c>
      <c r="F10" s="2508"/>
      <c r="G10" s="2516" t="s">
        <v>1593</v>
      </c>
      <c r="H10" s="2517">
        <f>IF(('Balances y Proyecciones'!Q17)&lt;&gt;360,'Balances y Proyecciones'!H71,'Balances y Proyecciones'!E71)</f>
        <v>0</v>
      </c>
      <c r="I10" s="2517">
        <f>IF(('Balances y Proyecciones'!Q17)&lt;&gt;360,'Balances y Proyecciones'!N71,'Balances y Proyecciones'!H71)</f>
        <v>0</v>
      </c>
      <c r="J10" s="2518">
        <f>IF(('Balances y Proyecciones'!Q17)&lt;&gt;360,'Balances y Proyecciones'!Q71,'Balances y Proyecciones'!N71)</f>
        <v>0</v>
      </c>
      <c r="N10" s="2519" t="str">
        <f>CONCATENATE(LEFT(B6,20), "  ", "(Cifras en $ MM)")</f>
        <v xml:space="preserve">  (Cifras en $ MM)</v>
      </c>
      <c r="O10" s="2508"/>
      <c r="P10" s="2508"/>
      <c r="Q10" s="2508"/>
      <c r="R10" s="2508"/>
      <c r="S10" s="2508"/>
      <c r="T10" s="2508"/>
      <c r="U10" s="2508"/>
      <c r="V10" s="2508"/>
      <c r="W10" s="2508"/>
      <c r="X10" s="2508"/>
      <c r="Y10" s="2508"/>
      <c r="Z10" s="2508"/>
      <c r="AA10" s="2508"/>
      <c r="AB10" s="2508"/>
      <c r="AC10" s="2508"/>
      <c r="AD10" s="2508"/>
    </row>
    <row r="11" spans="2:46" ht="28">
      <c r="B11" s="2520" t="s">
        <v>541</v>
      </c>
      <c r="C11" s="2521"/>
      <c r="D11" s="2521"/>
      <c r="E11" s="2522"/>
      <c r="F11" s="2508"/>
      <c r="G11" s="2516" t="s">
        <v>1594</v>
      </c>
      <c r="H11" s="2517">
        <f>IF(('Balances y Proyecciones'!Q17)&lt;&gt;360,-'Balances y Proyecciones'!H72-'Balances y Proyecciones'!H74,-'Balances y Proyecciones'!E72-'Balances y Proyecciones'!E74)</f>
        <v>0</v>
      </c>
      <c r="I11" s="2517">
        <f>IF(('Balances y Proyecciones'!Q17)&lt;&gt;360,-'Balances y Proyecciones'!N72-'Balances y Proyecciones'!N74,-'Balances y Proyecciones'!H72-'Balances y Proyecciones'!H74)</f>
        <v>0</v>
      </c>
      <c r="J11" s="2518">
        <f>IF(('Balances y Proyecciones'!Q17)&lt;&gt;360,-'Balances y Proyecciones'!Q72-'Balances y Proyecciones'!Q74,-'Balances y Proyecciones'!N72-'Balances y Proyecciones'!N74)</f>
        <v>0</v>
      </c>
      <c r="N11" s="2523" t="s">
        <v>1595</v>
      </c>
      <c r="O11" s="2524">
        <f>'Balances y Proyecciones'!BE763</f>
        <v>2020</v>
      </c>
      <c r="P11" s="2524">
        <f>'Balances y Proyecciones'!BF763</f>
        <v>2021</v>
      </c>
      <c r="Q11" s="2524">
        <f>'Balances y Proyecciones'!BG763</f>
        <v>2022</v>
      </c>
      <c r="R11" s="2524">
        <f>'Balances y Proyecciones'!BH763</f>
        <v>2023</v>
      </c>
      <c r="S11" s="2524">
        <f>'Balances y Proyecciones'!BI763</f>
        <v>2024</v>
      </c>
      <c r="T11" s="2524">
        <f>'Balances y Proyecciones'!BJ763</f>
        <v>2025</v>
      </c>
      <c r="U11" s="2524">
        <f>'Balances y Proyecciones'!BK763</f>
        <v>2026</v>
      </c>
      <c r="V11" s="2524">
        <f>'Balances y Proyecciones'!BL763</f>
        <v>2027</v>
      </c>
      <c r="W11" s="2524">
        <f>'Balances y Proyecciones'!BM763</f>
        <v>2028</v>
      </c>
      <c r="X11" s="2524">
        <f>'Balances y Proyecciones'!BN763</f>
        <v>2029</v>
      </c>
      <c r="Y11" s="2524">
        <f>'Balances y Proyecciones'!BO763</f>
        <v>2030</v>
      </c>
      <c r="Z11" s="2524">
        <f>'Balances y Proyecciones'!BP763</f>
        <v>2031</v>
      </c>
      <c r="AA11" s="2524">
        <f>'Balances y Proyecciones'!BQ763</f>
        <v>2032</v>
      </c>
      <c r="AB11" s="2524">
        <f>'Balances y Proyecciones'!BR763</f>
        <v>2033</v>
      </c>
      <c r="AC11" s="2524">
        <f>'Balances y Proyecciones'!BS763</f>
        <v>2034</v>
      </c>
      <c r="AD11" s="2524">
        <f>'Balances y Proyecciones'!BT763</f>
        <v>2035</v>
      </c>
      <c r="AG11" s="2525" t="str">
        <f>CONCATENATE(B6," ", "Covenant")</f>
        <v xml:space="preserve"> Covenant</v>
      </c>
      <c r="AH11" s="2524">
        <f>O11</f>
        <v>2020</v>
      </c>
      <c r="AI11" s="2524">
        <f t="shared" ref="AI11:AT11" si="0">AH11+1</f>
        <v>2021</v>
      </c>
      <c r="AJ11" s="2524">
        <f t="shared" si="0"/>
        <v>2022</v>
      </c>
      <c r="AK11" s="2524">
        <f t="shared" si="0"/>
        <v>2023</v>
      </c>
      <c r="AL11" s="2524">
        <f t="shared" si="0"/>
        <v>2024</v>
      </c>
      <c r="AM11" s="2524">
        <f t="shared" si="0"/>
        <v>2025</v>
      </c>
      <c r="AN11" s="2524">
        <f t="shared" si="0"/>
        <v>2026</v>
      </c>
      <c r="AO11" s="2524">
        <f t="shared" si="0"/>
        <v>2027</v>
      </c>
      <c r="AP11" s="2524">
        <f t="shared" si="0"/>
        <v>2028</v>
      </c>
      <c r="AQ11" s="2524">
        <f t="shared" si="0"/>
        <v>2029</v>
      </c>
      <c r="AR11" s="2524">
        <f t="shared" si="0"/>
        <v>2030</v>
      </c>
      <c r="AS11" s="2524">
        <f t="shared" si="0"/>
        <v>2031</v>
      </c>
      <c r="AT11" s="2524">
        <f t="shared" si="0"/>
        <v>2032</v>
      </c>
    </row>
    <row r="12" spans="2:46" ht="28">
      <c r="B12" s="2516" t="s">
        <v>543</v>
      </c>
      <c r="C12" s="2526">
        <f>IF(('Balances y Proyecciones'!Q17)&lt;&gt;360,'Balances y Proyecciones'!H18,'Balances y Proyecciones'!E18)</f>
        <v>0</v>
      </c>
      <c r="D12" s="2526">
        <f>IF(('Balances y Proyecciones'!Q17)&lt;&gt;360,'Balances y Proyecciones'!N18,'Balances y Proyecciones'!H18)</f>
        <v>0</v>
      </c>
      <c r="E12" s="2527">
        <f>IF(('Balances y Proyecciones'!Q17)&lt;&gt;360,'Balances y Proyecciones'!Q18,'Balances y Proyecciones'!N18)</f>
        <v>0</v>
      </c>
      <c r="F12" s="2508"/>
      <c r="G12" s="2528" t="s">
        <v>1480</v>
      </c>
      <c r="H12" s="2529">
        <f>H10+H11</f>
        <v>0</v>
      </c>
      <c r="I12" s="2529">
        <f>I10+I11</f>
        <v>0</v>
      </c>
      <c r="J12" s="2530">
        <f>J10+J11</f>
        <v>0</v>
      </c>
      <c r="N12" s="2531" t="s">
        <v>1596</v>
      </c>
      <c r="O12" s="2532">
        <f>'Balances y Proyecciones'!CC848</f>
        <v>0</v>
      </c>
      <c r="P12" s="2532">
        <f>'Balances y Proyecciones'!CF848</f>
        <v>0</v>
      </c>
      <c r="Q12" s="2532">
        <f>'Balances y Proyecciones'!CI848</f>
        <v>0</v>
      </c>
      <c r="R12" s="2532">
        <f>'Balances y Proyecciones'!CL848</f>
        <v>0</v>
      </c>
      <c r="S12" s="2532">
        <f>'Balances y Proyecciones'!CO848</f>
        <v>0</v>
      </c>
      <c r="T12" s="2532">
        <f>'Balances y Proyecciones'!CR848</f>
        <v>0</v>
      </c>
      <c r="U12" s="2532">
        <f>'Balances y Proyecciones'!CU848</f>
        <v>0</v>
      </c>
      <c r="V12" s="2532">
        <f>'Balances y Proyecciones'!CX848</f>
        <v>0</v>
      </c>
      <c r="W12" s="2532">
        <f>'Balances y Proyecciones'!DA848</f>
        <v>0</v>
      </c>
      <c r="X12" s="2532">
        <f>'Balances y Proyecciones'!DD848</f>
        <v>0</v>
      </c>
      <c r="Y12" s="2532">
        <f>'Balances y Proyecciones'!DG848</f>
        <v>0</v>
      </c>
      <c r="Z12" s="2532">
        <f>'Balances y Proyecciones'!DJ848</f>
        <v>0</v>
      </c>
      <c r="AA12" s="2532">
        <f>'Balances y Proyecciones'!DM848</f>
        <v>0</v>
      </c>
      <c r="AB12" s="2532">
        <f>'Balances y Proyecciones'!DP848</f>
        <v>0</v>
      </c>
      <c r="AC12" s="2532">
        <f>'Balances y Proyecciones'!DS848</f>
        <v>0</v>
      </c>
      <c r="AD12" s="2532">
        <f>'Balances y Proyecciones'!DV848</f>
        <v>0</v>
      </c>
      <c r="AG12" s="2533"/>
      <c r="AH12" s="2534"/>
      <c r="AI12" s="2534"/>
      <c r="AJ12" s="2534"/>
      <c r="AK12" s="2534"/>
      <c r="AL12" s="2534"/>
      <c r="AM12" s="2534"/>
      <c r="AN12" s="2534"/>
      <c r="AO12" s="2534"/>
      <c r="AP12" s="2534"/>
      <c r="AQ12" s="2534"/>
      <c r="AR12" s="2534"/>
      <c r="AS12" s="2534"/>
      <c r="AT12" s="2534"/>
    </row>
    <row r="13" spans="2:46" ht="28">
      <c r="B13" s="2516" t="s">
        <v>107</v>
      </c>
      <c r="C13" s="2526">
        <f>IF(('Balances y Proyecciones'!Q17)&lt;&gt;360,'Balances y Proyecciones'!H19+'Balances y Proyecciones'!H20,'Balances y Proyecciones'!E19+'Balances y Proyecciones'!E20)</f>
        <v>0</v>
      </c>
      <c r="D13" s="2526">
        <f>IF(('Balances y Proyecciones'!Q17)&lt;&gt;360,'Balances y Proyecciones'!N19+'Balances y Proyecciones'!N20,'Balances y Proyecciones'!H19+'Balances y Proyecciones'!H20)</f>
        <v>0</v>
      </c>
      <c r="E13" s="2527">
        <f>IF(('Balances y Proyecciones'!Q17)&lt;&gt;360,'Balances y Proyecciones'!Q19+'Balances y Proyecciones'!Q20,'Balances y Proyecciones'!N19+'Balances y Proyecciones'!N20)</f>
        <v>0</v>
      </c>
      <c r="F13" s="2508"/>
      <c r="G13" s="2528" t="s">
        <v>881</v>
      </c>
      <c r="H13" s="2529">
        <f>IF(('Balances y Proyecciones'!Q17)&lt;&gt;360,'Balances y Proyecciones'!H93,'Balances y Proyecciones'!E93)</f>
        <v>0</v>
      </c>
      <c r="I13" s="2529">
        <f>IF(('Balances y Proyecciones'!Q17)&lt;&gt;360,'Balances y Proyecciones'!N93,'Balances y Proyecciones'!H93)</f>
        <v>0</v>
      </c>
      <c r="J13" s="2530">
        <f>IF(('Balances y Proyecciones'!Q17)&lt;&gt;360,'Balances y Proyecciones'!Q93,'Balances y Proyecciones'!N93)</f>
        <v>0</v>
      </c>
      <c r="N13" s="2535" t="s">
        <v>1597</v>
      </c>
      <c r="O13" s="2536">
        <f>'Balances y Proyecciones'!CE848</f>
        <v>0</v>
      </c>
      <c r="P13" s="2536">
        <f>'Balances y Proyecciones'!CH848</f>
        <v>0</v>
      </c>
      <c r="Q13" s="2536">
        <f>'Balances y Proyecciones'!CK848</f>
        <v>0</v>
      </c>
      <c r="R13" s="2536">
        <f>'Balances y Proyecciones'!CN848</f>
        <v>0</v>
      </c>
      <c r="S13" s="2536">
        <f>'Balances y Proyecciones'!CQ848</f>
        <v>0</v>
      </c>
      <c r="T13" s="2536">
        <f>'Balances y Proyecciones'!CT848</f>
        <v>0</v>
      </c>
      <c r="U13" s="2536">
        <f>'Balances y Proyecciones'!CW848</f>
        <v>0</v>
      </c>
      <c r="V13" s="2536">
        <f>'Balances y Proyecciones'!CZ848</f>
        <v>0</v>
      </c>
      <c r="W13" s="2536">
        <f>'Balances y Proyecciones'!DC848</f>
        <v>0</v>
      </c>
      <c r="X13" s="2536">
        <f>'Balances y Proyecciones'!DF848</f>
        <v>0</v>
      </c>
      <c r="Y13" s="2536">
        <f>'Balances y Proyecciones'!DI848</f>
        <v>0</v>
      </c>
      <c r="Z13" s="2536">
        <f>'Balances y Proyecciones'!DL848</f>
        <v>0</v>
      </c>
      <c r="AA13" s="2536">
        <f>'Balances y Proyecciones'!DO848</f>
        <v>0</v>
      </c>
      <c r="AB13" s="2536">
        <f>'Balances y Proyecciones'!DR848</f>
        <v>0</v>
      </c>
      <c r="AC13" s="2536">
        <f>'Balances y Proyecciones'!DU848</f>
        <v>0</v>
      </c>
      <c r="AD13" s="2536">
        <f>'Balances y Proyecciones'!DX848</f>
        <v>0</v>
      </c>
      <c r="AG13" s="2533"/>
      <c r="AH13" s="2534"/>
      <c r="AI13" s="2534"/>
      <c r="AJ13" s="2534"/>
      <c r="AK13" s="2534"/>
      <c r="AL13" s="2534"/>
      <c r="AM13" s="2534"/>
      <c r="AN13" s="2534"/>
      <c r="AO13" s="2534"/>
      <c r="AP13" s="2534"/>
      <c r="AQ13" s="2534"/>
      <c r="AR13" s="2534"/>
      <c r="AS13" s="2534"/>
      <c r="AT13" s="2534"/>
    </row>
    <row r="14" spans="2:46" ht="27.5">
      <c r="B14" s="2516" t="s">
        <v>1598</v>
      </c>
      <c r="C14" s="2526">
        <f>IF(('Balances y Proyecciones'!Q17)&lt;&gt;360,'Balances y Proyecciones'!H21+'Balances y Proyecciones'!H22,'Balances y Proyecciones'!E21+'Balances y Proyecciones'!E22)</f>
        <v>0</v>
      </c>
      <c r="D14" s="2526">
        <f>IF(('Balances y Proyecciones'!Q17)&lt;&gt;360,'Balances y Proyecciones'!N21+'Balances y Proyecciones'!N22,'Balances y Proyecciones'!H21+'Balances y Proyecciones'!H22)</f>
        <v>0</v>
      </c>
      <c r="E14" s="2527">
        <f>IF(('Balances y Proyecciones'!Q17)&lt;&gt;360,'Balances y Proyecciones'!Q21+'Balances y Proyecciones'!Q22,'Balances y Proyecciones'!N21+'Balances y Proyecciones'!N22)</f>
        <v>0</v>
      </c>
      <c r="F14" s="2508"/>
      <c r="G14" s="2516" t="s">
        <v>1497</v>
      </c>
      <c r="H14" s="2517">
        <f>IF(('Balances y Proyecciones'!Q17)&lt;&gt;360,-'Balances y Proyecciones'!H76,-'Balances y Proyecciones'!E76)</f>
        <v>0</v>
      </c>
      <c r="I14" s="2517">
        <f>IF(('Balances y Proyecciones'!Q17)&lt;&gt;360,-'Balances y Proyecciones'!N76,-'Balances y Proyecciones'!H76)</f>
        <v>0</v>
      </c>
      <c r="J14" s="2518">
        <f>IF(('Balances y Proyecciones'!Q17)&lt;&gt;360,-'Balances y Proyecciones'!Q76,-'Balances y Proyecciones'!N76)</f>
        <v>0</v>
      </c>
      <c r="N14" s="2537" t="s">
        <v>881</v>
      </c>
      <c r="O14" s="2532">
        <f>'Balances y Proyecciones'!CC854</f>
        <v>0</v>
      </c>
      <c r="P14" s="2532">
        <f>'Balances y Proyecciones'!CF854</f>
        <v>0</v>
      </c>
      <c r="Q14" s="2532">
        <f>'Balances y Proyecciones'!CI854</f>
        <v>0</v>
      </c>
      <c r="R14" s="2532">
        <f>'Balances y Proyecciones'!CL854</f>
        <v>0</v>
      </c>
      <c r="S14" s="2532">
        <f>'Balances y Proyecciones'!CO854</f>
        <v>0</v>
      </c>
      <c r="T14" s="2532">
        <f>'Balances y Proyecciones'!CR854</f>
        <v>0</v>
      </c>
      <c r="U14" s="2532">
        <f>'Balances y Proyecciones'!CU854</f>
        <v>0</v>
      </c>
      <c r="V14" s="2532">
        <f>'Balances y Proyecciones'!CX854</f>
        <v>0</v>
      </c>
      <c r="W14" s="2532">
        <f>'Balances y Proyecciones'!DA854</f>
        <v>0</v>
      </c>
      <c r="X14" s="2532">
        <f>'Balances y Proyecciones'!DD854</f>
        <v>0</v>
      </c>
      <c r="Y14" s="2532">
        <f>'Balances y Proyecciones'!DG854</f>
        <v>0</v>
      </c>
      <c r="Z14" s="2532">
        <f>'Balances y Proyecciones'!DJ854</f>
        <v>0</v>
      </c>
      <c r="AA14" s="2532">
        <f>'Balances y Proyecciones'!DM854</f>
        <v>0</v>
      </c>
      <c r="AB14" s="2532">
        <f>'Balances y Proyecciones'!DP854</f>
        <v>0</v>
      </c>
      <c r="AC14" s="2532">
        <f>'Balances y Proyecciones'!DS854</f>
        <v>0</v>
      </c>
      <c r="AD14" s="2532">
        <f>'Balances y Proyecciones'!DV854</f>
        <v>0</v>
      </c>
      <c r="AG14" s="2533"/>
      <c r="AH14" s="2534"/>
      <c r="AI14" s="2534"/>
      <c r="AJ14" s="2534"/>
      <c r="AK14" s="2534"/>
      <c r="AL14" s="2534"/>
      <c r="AM14" s="2534"/>
      <c r="AN14" s="2534"/>
      <c r="AO14" s="2534"/>
      <c r="AP14" s="2534"/>
      <c r="AQ14" s="2534"/>
      <c r="AR14" s="2534"/>
      <c r="AS14" s="2534"/>
      <c r="AT14" s="2534"/>
    </row>
    <row r="15" spans="2:46" ht="27.5">
      <c r="B15" s="2538" t="s">
        <v>1599</v>
      </c>
      <c r="C15" s="2526">
        <f>IF(('Balances y Proyecciones'!Q17)&lt;&gt;360,'Balances y Proyecciones'!H24,'Balances y Proyecciones'!E24)</f>
        <v>0</v>
      </c>
      <c r="D15" s="2526">
        <f>IF(('Balances y Proyecciones'!Q17)&lt;&gt;360,'Balances y Proyecciones'!N24,'Balances y Proyecciones'!H24)</f>
        <v>0</v>
      </c>
      <c r="E15" s="2527">
        <f>IF(('Balances y Proyecciones'!Q17)&lt;&gt;360,'Balances y Proyecciones'!Q24,'Balances y Proyecciones'!N24)</f>
        <v>0</v>
      </c>
      <c r="F15" s="2508"/>
      <c r="G15" s="2516" t="s">
        <v>1600</v>
      </c>
      <c r="H15" s="2539">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0</v>
      </c>
      <c r="I15" s="2539">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0</v>
      </c>
      <c r="J15" s="2540">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0</v>
      </c>
      <c r="N15" s="2535" t="s">
        <v>882</v>
      </c>
      <c r="O15" s="2536">
        <f>'Balances y Proyecciones'!CD854</f>
        <v>0</v>
      </c>
      <c r="P15" s="2536">
        <f>'Balances y Proyecciones'!CG854</f>
        <v>0</v>
      </c>
      <c r="Q15" s="2536">
        <f>'Balances y Proyecciones'!CJ854</f>
        <v>0</v>
      </c>
      <c r="R15" s="2536">
        <f>'Balances y Proyecciones'!CM854</f>
        <v>0</v>
      </c>
      <c r="S15" s="2536">
        <f>'Balances y Proyecciones'!CP854</f>
        <v>0</v>
      </c>
      <c r="T15" s="2536">
        <f>'Balances y Proyecciones'!CS854</f>
        <v>0</v>
      </c>
      <c r="U15" s="2536">
        <f>'Balances y Proyecciones'!CV854</f>
        <v>0</v>
      </c>
      <c r="V15" s="2536">
        <f>'Balances y Proyecciones'!CY854</f>
        <v>0</v>
      </c>
      <c r="W15" s="2536">
        <f>'Balances y Proyecciones'!DB854</f>
        <v>0</v>
      </c>
      <c r="X15" s="2536">
        <f>'Balances y Proyecciones'!DE854</f>
        <v>0</v>
      </c>
      <c r="Y15" s="2536">
        <f>'Balances y Proyecciones'!DH854</f>
        <v>0</v>
      </c>
      <c r="Z15" s="2536">
        <f>'Balances y Proyecciones'!DK854</f>
        <v>0</v>
      </c>
      <c r="AA15" s="2536">
        <f>'Balances y Proyecciones'!DN854</f>
        <v>0</v>
      </c>
      <c r="AB15" s="2536">
        <f>'Balances y Proyecciones'!DO854</f>
        <v>0</v>
      </c>
      <c r="AC15" s="2536">
        <f>'Balances y Proyecciones'!DT854</f>
        <v>0</v>
      </c>
      <c r="AD15" s="2536">
        <f>'Balances y Proyecciones'!DW854</f>
        <v>0</v>
      </c>
      <c r="AG15" s="2533"/>
      <c r="AH15" s="2534"/>
      <c r="AI15" s="2534"/>
      <c r="AJ15" s="2534"/>
      <c r="AK15" s="2534"/>
      <c r="AL15" s="2534"/>
      <c r="AM15" s="2534"/>
      <c r="AN15" s="2534"/>
      <c r="AO15" s="2534"/>
      <c r="AP15" s="2534"/>
      <c r="AQ15" s="2534"/>
      <c r="AR15" s="2534"/>
      <c r="AS15" s="2534"/>
      <c r="AT15" s="2534"/>
    </row>
    <row r="16" spans="2:46" ht="27.5">
      <c r="B16" s="2516" t="s">
        <v>663</v>
      </c>
      <c r="C16" s="2526">
        <f>IF(('Balances y Proyecciones'!Q17)&lt;&gt;360,'Balances y Proyecciones'!H23+'Balances y Proyecciones'!H25,'Balances y Proyecciones'!E23+'Balances y Proyecciones'!E25)</f>
        <v>0</v>
      </c>
      <c r="D16" s="2526">
        <f>IF(('Balances y Proyecciones'!Q17)&lt;&gt;360,'Balances y Proyecciones'!N23+'Balances y Proyecciones'!N25,'Balances y Proyecciones'!H23+'Balances y Proyecciones'!H25)</f>
        <v>0</v>
      </c>
      <c r="E16" s="2527">
        <f>IF(('Balances y Proyecciones'!Q17)&lt;&gt;360,'Balances y Proyecciones'!Q23+'Balances y Proyecciones'!Q25,'Balances y Proyecciones'!N23+'Balances y Proyecciones'!N25)</f>
        <v>0</v>
      </c>
      <c r="F16" s="2508"/>
      <c r="G16" s="2516" t="s">
        <v>1601</v>
      </c>
      <c r="H16" s="2539">
        <f>IF(('Balances y Proyecciones'!Q17)&lt;&gt;360,'Balances y Proyecciones'!H78,'Balances y Proyecciones'!E78)</f>
        <v>0</v>
      </c>
      <c r="I16" s="2539">
        <f>IF(('Balances y Proyecciones'!Q17)&lt;&gt;360,'Balances y Proyecciones'!N78,'Balances y Proyecciones'!H78)</f>
        <v>0</v>
      </c>
      <c r="J16" s="2540">
        <f>IF(('Balances y Proyecciones'!Q17)&lt;&gt;360,'Balances y Proyecciones'!Q78,'Balances y Proyecciones'!N78)</f>
        <v>0</v>
      </c>
      <c r="K16" s="2541"/>
      <c r="N16" s="2537" t="s">
        <v>1602</v>
      </c>
      <c r="O16" s="2532">
        <f>'Balances y Proyecciones'!CC869</f>
        <v>0</v>
      </c>
      <c r="P16" s="2532">
        <f>'Balances y Proyecciones'!CF869</f>
        <v>0</v>
      </c>
      <c r="Q16" s="2532">
        <f>'Balances y Proyecciones'!CI869</f>
        <v>0</v>
      </c>
      <c r="R16" s="2532">
        <f>'Balances y Proyecciones'!CL869</f>
        <v>0</v>
      </c>
      <c r="S16" s="2532">
        <f>'Balances y Proyecciones'!CO869</f>
        <v>0</v>
      </c>
      <c r="T16" s="2532">
        <f>'Balances y Proyecciones'!CR869</f>
        <v>0</v>
      </c>
      <c r="U16" s="2532">
        <f>'Balances y Proyecciones'!CU869</f>
        <v>0</v>
      </c>
      <c r="V16" s="2532">
        <f>'Balances y Proyecciones'!CX869</f>
        <v>0</v>
      </c>
      <c r="W16" s="2532">
        <f>'Balances y Proyecciones'!DA869</f>
        <v>0</v>
      </c>
      <c r="X16" s="2532">
        <f>'Balances y Proyecciones'!DD869</f>
        <v>0</v>
      </c>
      <c r="Y16" s="2532">
        <f>'Balances y Proyecciones'!DG869</f>
        <v>0</v>
      </c>
      <c r="Z16" s="2532">
        <f>'Balances y Proyecciones'!DJ869</f>
        <v>0</v>
      </c>
      <c r="AA16" s="2532">
        <f>'Balances y Proyecciones'!DM869</f>
        <v>0</v>
      </c>
      <c r="AB16" s="2532">
        <f>'Balances y Proyecciones'!DP869</f>
        <v>0</v>
      </c>
      <c r="AC16" s="2532">
        <f>'Balances y Proyecciones'!DS869</f>
        <v>0</v>
      </c>
      <c r="AD16" s="2532">
        <f>'Balances y Proyecciones'!DV869</f>
        <v>0</v>
      </c>
    </row>
    <row r="17" spans="2:47" ht="28">
      <c r="B17" s="2528" t="s">
        <v>1603</v>
      </c>
      <c r="C17" s="2542">
        <f>SUM(C12:C16)</f>
        <v>0</v>
      </c>
      <c r="D17" s="2542">
        <f>SUM(D12:D16)</f>
        <v>0</v>
      </c>
      <c r="E17" s="2543">
        <f>SUM(E12:E16)</f>
        <v>0</v>
      </c>
      <c r="F17" s="2508"/>
      <c r="G17" s="2516" t="s">
        <v>811</v>
      </c>
      <c r="H17" s="2539">
        <f>IF(('Balances y Proyecciones'!Q17)&lt;&gt;360,-'Balances y Proyecciones'!H88,-'Balances y Proyecciones'!E88)</f>
        <v>0</v>
      </c>
      <c r="I17" s="2539">
        <f>IF(('Balances y Proyecciones'!Q17)&lt;&gt;360,-'Balances y Proyecciones'!N88,-'Balances y Proyecciones'!H88)</f>
        <v>0</v>
      </c>
      <c r="J17" s="2540">
        <f>IF(('Balances y Proyecciones'!Q17)&lt;&gt;360,-'Balances y Proyecciones'!Q88,-'Balances y Proyecciones'!N88)</f>
        <v>0</v>
      </c>
      <c r="N17" s="2537" t="s">
        <v>811</v>
      </c>
      <c r="O17" s="2532">
        <f>'Balances y Proyecciones'!CC868</f>
        <v>0</v>
      </c>
      <c r="P17" s="2532">
        <f>'Balances y Proyecciones'!CF868</f>
        <v>0</v>
      </c>
      <c r="Q17" s="2532">
        <f>'Balances y Proyecciones'!CI868</f>
        <v>0</v>
      </c>
      <c r="R17" s="2532">
        <f>'Balances y Proyecciones'!CL868</f>
        <v>0</v>
      </c>
      <c r="S17" s="2532">
        <f>'Balances y Proyecciones'!CO868</f>
        <v>0</v>
      </c>
      <c r="T17" s="2532">
        <f>'Balances y Proyecciones'!CR868</f>
        <v>0</v>
      </c>
      <c r="U17" s="2532">
        <f>'Balances y Proyecciones'!CU868</f>
        <v>0</v>
      </c>
      <c r="V17" s="2532">
        <f>'Balances y Proyecciones'!CX868</f>
        <v>0</v>
      </c>
      <c r="W17" s="2532">
        <f>'Balances y Proyecciones'!DA868</f>
        <v>0</v>
      </c>
      <c r="X17" s="2532">
        <f>'Balances y Proyecciones'!DD868</f>
        <v>0</v>
      </c>
      <c r="Y17" s="2532">
        <f>'Balances y Proyecciones'!DG868</f>
        <v>0</v>
      </c>
      <c r="Z17" s="2532">
        <f>'Balances y Proyecciones'!DJ868</f>
        <v>0</v>
      </c>
      <c r="AA17" s="2532">
        <f>'Balances y Proyecciones'!DM868</f>
        <v>0</v>
      </c>
      <c r="AB17" s="2532">
        <f>'Balances y Proyecciones'!DP868</f>
        <v>0</v>
      </c>
      <c r="AC17" s="2532">
        <f>'Balances y Proyecciones'!DS868</f>
        <v>0</v>
      </c>
      <c r="AD17" s="2532">
        <f>'Balances y Proyecciones'!DV868</f>
        <v>0</v>
      </c>
    </row>
    <row r="18" spans="2:47" ht="28">
      <c r="B18" s="2516" t="s">
        <v>1604</v>
      </c>
      <c r="C18" s="2526">
        <f>IF(('Balances y Proyecciones'!Q17)&lt;&gt;360,'Balances y Proyecciones'!H28+'Balances y Proyecciones'!H29,'Balances y Proyecciones'!E28+'Balances y Proyecciones'!E29)</f>
        <v>0</v>
      </c>
      <c r="D18" s="2526">
        <f>IF(('Balances y Proyecciones'!Q17)&lt;&gt;360,'Balances y Proyecciones'!N28+'Balances y Proyecciones'!N29,'Balances y Proyecciones'!H28+'Balances y Proyecciones'!H29)</f>
        <v>0</v>
      </c>
      <c r="E18" s="2527">
        <f>IF(('Balances y Proyecciones'!Q17)&lt;&gt;360,'Balances y Proyecciones'!Q28+'Balances y Proyecciones'!Q29,'Balances y Proyecciones'!N28+'Balances y Proyecciones'!N29)</f>
        <v>0</v>
      </c>
      <c r="F18" s="2508"/>
      <c r="G18" s="2544" t="s">
        <v>1487</v>
      </c>
      <c r="H18" s="2545">
        <f>H12+H14+H15+H16+H17</f>
        <v>0</v>
      </c>
      <c r="I18" s="2545">
        <f>I12+I14+I15+I16+I17</f>
        <v>0</v>
      </c>
      <c r="J18" s="2546">
        <f>J12+J14+J15+J16+J17</f>
        <v>0</v>
      </c>
      <c r="N18" s="2537" t="s">
        <v>1771</v>
      </c>
      <c r="O18" s="2532">
        <f>'Balances y Proyecciones'!CC870</f>
        <v>0</v>
      </c>
      <c r="P18" s="2532">
        <f>'Balances y Proyecciones'!CF870</f>
        <v>0</v>
      </c>
      <c r="Q18" s="2532">
        <f>'Balances y Proyecciones'!CI870</f>
        <v>0</v>
      </c>
      <c r="R18" s="2532">
        <f>'Balances y Proyecciones'!CL870</f>
        <v>0</v>
      </c>
      <c r="S18" s="2532">
        <f>'Balances y Proyecciones'!CO870</f>
        <v>0</v>
      </c>
      <c r="T18" s="2532">
        <f>'Balances y Proyecciones'!CR870</f>
        <v>0</v>
      </c>
      <c r="U18" s="2532">
        <f>'Balances y Proyecciones'!CU870</f>
        <v>0</v>
      </c>
      <c r="V18" s="2532">
        <f>'Balances y Proyecciones'!CX870</f>
        <v>0</v>
      </c>
      <c r="W18" s="2532">
        <f>'Balances y Proyecciones'!DA870</f>
        <v>0</v>
      </c>
      <c r="X18" s="2532">
        <f>'Balances y Proyecciones'!DD870</f>
        <v>0</v>
      </c>
      <c r="Y18" s="2532">
        <f>'Balances y Proyecciones'!DG870</f>
        <v>0</v>
      </c>
      <c r="Z18" s="2532">
        <f>'Balances y Proyecciones'!DJ870</f>
        <v>0</v>
      </c>
      <c r="AA18" s="2532">
        <f>'Balances y Proyecciones'!DM870</f>
        <v>0</v>
      </c>
      <c r="AB18" s="2532">
        <f>'Balances y Proyecciones'!DP870</f>
        <v>0</v>
      </c>
      <c r="AC18" s="2532">
        <f>'Balances y Proyecciones'!DS870</f>
        <v>0</v>
      </c>
      <c r="AD18" s="2532">
        <f>'Balances y Proyecciones'!DV870</f>
        <v>0</v>
      </c>
      <c r="AG18" s="2525" t="str">
        <f>CONCATENATE(B6," ", "Covenant")</f>
        <v xml:space="preserve"> Covenant</v>
      </c>
      <c r="AH18" s="2547" t="s">
        <v>1605</v>
      </c>
    </row>
    <row r="19" spans="2:47" ht="27.5">
      <c r="B19" s="2516" t="s">
        <v>1491</v>
      </c>
      <c r="C19" s="2526">
        <f>IF(('Balances y Proyecciones'!Q17)&lt;&gt;360,'Balances y Proyecciones'!H27,'Balances y Proyecciones'!E27)</f>
        <v>0</v>
      </c>
      <c r="D19" s="2526">
        <f>IF(('Balances y Proyecciones'!Q17)&lt;&gt;360,'Balances y Proyecciones'!N27,'Balances y Proyecciones'!H27)</f>
        <v>0</v>
      </c>
      <c r="E19" s="2527">
        <f>IF(('Balances y Proyecciones'!Q17)&lt;&gt;360,'Balances y Proyecciones'!Q27,'Balances y Proyecciones'!N27)</f>
        <v>0</v>
      </c>
      <c r="F19" s="2508"/>
      <c r="G19" s="2499"/>
      <c r="H19" s="2499"/>
      <c r="I19" s="2499"/>
      <c r="J19" s="2499"/>
      <c r="N19" s="2537" t="s">
        <v>1608</v>
      </c>
      <c r="O19" s="2532">
        <f>'Balances y Proyecciones'!CC871</f>
        <v>0</v>
      </c>
      <c r="P19" s="2532">
        <f>'Balances y Proyecciones'!CF871</f>
        <v>0</v>
      </c>
      <c r="Q19" s="2532">
        <f>'Balances y Proyecciones'!CI871</f>
        <v>0</v>
      </c>
      <c r="R19" s="2532">
        <f>'Balances y Proyecciones'!CL871</f>
        <v>0</v>
      </c>
      <c r="S19" s="2532">
        <f>'Balances y Proyecciones'!CO871</f>
        <v>0</v>
      </c>
      <c r="T19" s="2532">
        <f>'Balances y Proyecciones'!CR871</f>
        <v>0</v>
      </c>
      <c r="U19" s="2532">
        <f>'Balances y Proyecciones'!CU871</f>
        <v>0</v>
      </c>
      <c r="V19" s="2532">
        <f>'Balances y Proyecciones'!CX871</f>
        <v>0</v>
      </c>
      <c r="W19" s="2532">
        <f>'Balances y Proyecciones'!DA871</f>
        <v>0</v>
      </c>
      <c r="X19" s="2532">
        <f>'Balances y Proyecciones'!DD871</f>
        <v>0</v>
      </c>
      <c r="Y19" s="2532">
        <f>'Balances y Proyecciones'!DG871</f>
        <v>0</v>
      </c>
      <c r="Z19" s="2532">
        <f>'Balances y Proyecciones'!DJ871</f>
        <v>0</v>
      </c>
      <c r="AA19" s="2532">
        <f>'Balances y Proyecciones'!DM871</f>
        <v>0</v>
      </c>
      <c r="AB19" s="2532">
        <f>'Balances y Proyecciones'!DP871</f>
        <v>0</v>
      </c>
      <c r="AC19" s="2532">
        <f>'Balances y Proyecciones'!DS871</f>
        <v>0</v>
      </c>
      <c r="AD19" s="2532">
        <f>'Balances y Proyecciones'!DV871</f>
        <v>0</v>
      </c>
      <c r="AG19" s="2533"/>
      <c r="AH19" s="2534"/>
    </row>
    <row r="20" spans="2:47" ht="28">
      <c r="B20" s="2516" t="s">
        <v>1606</v>
      </c>
      <c r="C20" s="2526">
        <f>IF(('Balances y Proyecciones'!Q17)&lt;&gt;360,'Balances y Proyecciones'!H31+'Balances y Proyecciones'!H30,'Balances y Proyecciones'!E31+'Balances y Proyecciones'!E30)</f>
        <v>0</v>
      </c>
      <c r="D20" s="2526">
        <f>IF(('Balances y Proyecciones'!Q17)&lt;&gt;360,'Balances y Proyecciones'!N31+'Balances y Proyecciones'!N30,'Balances y Proyecciones'!H31+'Balances y Proyecciones'!H30)</f>
        <v>0</v>
      </c>
      <c r="E20" s="2527">
        <f>IF(('Balances y Proyecciones'!Q17)&lt;&gt;360,'Balances y Proyecciones'!Q31+'Balances y Proyecciones'!Q30,'Balances y Proyecciones'!N31+'Balances y Proyecciones'!N30)</f>
        <v>0</v>
      </c>
      <c r="F20" s="2508"/>
      <c r="G20" s="2523" t="s">
        <v>1607</v>
      </c>
      <c r="H20" s="2548"/>
      <c r="I20" s="2511" t="s">
        <v>865</v>
      </c>
      <c r="J20" s="2512" t="s">
        <v>865</v>
      </c>
      <c r="N20" s="2549" t="s">
        <v>1610</v>
      </c>
      <c r="O20" s="2550">
        <f t="shared" ref="O20:AD20" si="1">O14+O16+O17+O18+O19</f>
        <v>0</v>
      </c>
      <c r="P20" s="2550">
        <f t="shared" si="1"/>
        <v>0</v>
      </c>
      <c r="Q20" s="2550">
        <f t="shared" si="1"/>
        <v>0</v>
      </c>
      <c r="R20" s="2550">
        <f t="shared" si="1"/>
        <v>0</v>
      </c>
      <c r="S20" s="2550">
        <f t="shared" si="1"/>
        <v>0</v>
      </c>
      <c r="T20" s="2550">
        <f t="shared" si="1"/>
        <v>0</v>
      </c>
      <c r="U20" s="2550">
        <f t="shared" si="1"/>
        <v>0</v>
      </c>
      <c r="V20" s="2550">
        <f t="shared" si="1"/>
        <v>0</v>
      </c>
      <c r="W20" s="2550">
        <f t="shared" si="1"/>
        <v>0</v>
      </c>
      <c r="X20" s="2550">
        <f t="shared" si="1"/>
        <v>0</v>
      </c>
      <c r="Y20" s="2550">
        <f t="shared" si="1"/>
        <v>0</v>
      </c>
      <c r="Z20" s="2550">
        <f t="shared" si="1"/>
        <v>0</v>
      </c>
      <c r="AA20" s="2550">
        <f t="shared" si="1"/>
        <v>0</v>
      </c>
      <c r="AB20" s="2550">
        <f t="shared" si="1"/>
        <v>0</v>
      </c>
      <c r="AC20" s="2550">
        <f t="shared" si="1"/>
        <v>0</v>
      </c>
      <c r="AD20" s="2550">
        <f t="shared" si="1"/>
        <v>0</v>
      </c>
      <c r="AG20" s="2533"/>
      <c r="AH20" s="2534"/>
    </row>
    <row r="21" spans="2:47" ht="28">
      <c r="B21" s="2516" t="s">
        <v>1609</v>
      </c>
      <c r="C21" s="2526">
        <f>IF(('Balances y Proyecciones'!Q17)&lt;&gt;360,'Balances y Proyecciones'!H32,'Balances y Proyecciones'!E32)</f>
        <v>0</v>
      </c>
      <c r="D21" s="2526">
        <f>IF(('Balances y Proyecciones'!Q17)&lt;&gt;360,'Balances y Proyecciones'!N32,'Balances y Proyecciones'!H32)</f>
        <v>0</v>
      </c>
      <c r="E21" s="2527">
        <f>IF(('Balances y Proyecciones'!Q17)&lt;&gt;360,'Balances y Proyecciones'!Q32,'Balances y Proyecciones'!N32)</f>
        <v>0</v>
      </c>
      <c r="F21" s="2508"/>
      <c r="G21" s="2513"/>
      <c r="H21" s="2514" t="str">
        <f>+H9</f>
        <v>Dic 17</v>
      </c>
      <c r="I21" s="2514" t="str">
        <f>+I9</f>
        <v>Dic 18</v>
      </c>
      <c r="J21" s="2514" t="str">
        <f>+J9</f>
        <v>Dic 19</v>
      </c>
      <c r="N21" s="2537" t="s">
        <v>1613</v>
      </c>
      <c r="O21" s="2532">
        <f>'Balances y Proyecciones'!CC876</f>
        <v>0</v>
      </c>
      <c r="P21" s="2532">
        <f>'Balances y Proyecciones'!CF876</f>
        <v>0</v>
      </c>
      <c r="Q21" s="2532">
        <f>'Balances y Proyecciones'!CI876</f>
        <v>0</v>
      </c>
      <c r="R21" s="2532">
        <f>'Balances y Proyecciones'!CL876</f>
        <v>0</v>
      </c>
      <c r="S21" s="2532">
        <f>'Balances y Proyecciones'!CO876</f>
        <v>0</v>
      </c>
      <c r="T21" s="2532">
        <f>'Balances y Proyecciones'!CR876</f>
        <v>0</v>
      </c>
      <c r="U21" s="2532">
        <f>'Balances y Proyecciones'!CU876</f>
        <v>0</v>
      </c>
      <c r="V21" s="2532">
        <f>'Balances y Proyecciones'!CX876</f>
        <v>0</v>
      </c>
      <c r="W21" s="2532">
        <f>'Balances y Proyecciones'!DA876</f>
        <v>0</v>
      </c>
      <c r="X21" s="2532">
        <f>'Balances y Proyecciones'!DD876</f>
        <v>0</v>
      </c>
      <c r="Y21" s="2532">
        <f>'Balances y Proyecciones'!DG876</f>
        <v>0</v>
      </c>
      <c r="Z21" s="2532">
        <f>'Balances y Proyecciones'!DJ876</f>
        <v>0</v>
      </c>
      <c r="AA21" s="2532">
        <f>'Balances y Proyecciones'!DM876</f>
        <v>0</v>
      </c>
      <c r="AB21" s="2532">
        <f>'Balances y Proyecciones'!DP876</f>
        <v>0</v>
      </c>
      <c r="AC21" s="2532">
        <f>'Balances y Proyecciones'!DS876</f>
        <v>0</v>
      </c>
      <c r="AD21" s="2532">
        <f>'Balances y Proyecciones'!DV876</f>
        <v>0</v>
      </c>
      <c r="AG21" s="2533"/>
      <c r="AH21" s="2534"/>
    </row>
    <row r="22" spans="2:47" ht="28">
      <c r="B22" s="2516" t="s">
        <v>1611</v>
      </c>
      <c r="C22" s="2526">
        <f>IF(('Balances y Proyecciones'!Q17)&lt;&gt;360,'Balances y Proyecciones'!H33,'Balances y Proyecciones'!E33)</f>
        <v>0</v>
      </c>
      <c r="D22" s="2526">
        <f>IF(('Balances y Proyecciones'!Q17)&lt;&gt;360,'Balances y Proyecciones'!N33,'Balances y Proyecciones'!H33)</f>
        <v>0</v>
      </c>
      <c r="E22" s="2527">
        <f>IF(('Balances y Proyecciones'!Q17)&lt;&gt;360,'Balances y Proyecciones'!Q33,'Balances y Proyecciones'!N33)</f>
        <v>0</v>
      </c>
      <c r="F22" s="2508"/>
      <c r="G22" s="2551" t="s">
        <v>1612</v>
      </c>
      <c r="H22" s="2552"/>
      <c r="I22" s="2552"/>
      <c r="J22" s="2553"/>
      <c r="N22" s="2537" t="s">
        <v>1615</v>
      </c>
      <c r="O22" s="2532">
        <f>'Balances y Proyecciones'!CC874+'Balances y Proyecciones'!CC875</f>
        <v>0</v>
      </c>
      <c r="P22" s="2532">
        <f>'Balances y Proyecciones'!CF874+'Balances y Proyecciones'!CF875</f>
        <v>0</v>
      </c>
      <c r="Q22" s="2532">
        <f>'Balances y Proyecciones'!CI874+'Balances y Proyecciones'!CI875</f>
        <v>0</v>
      </c>
      <c r="R22" s="2532">
        <f>'Balances y Proyecciones'!CL874+'Balances y Proyecciones'!CL875</f>
        <v>0</v>
      </c>
      <c r="S22" s="2532">
        <f>'Balances y Proyecciones'!CO874+'Balances y Proyecciones'!CO875</f>
        <v>0</v>
      </c>
      <c r="T22" s="2532">
        <f>'Balances y Proyecciones'!CR874+'Balances y Proyecciones'!CR875</f>
        <v>0</v>
      </c>
      <c r="U22" s="2532">
        <f>'Balances y Proyecciones'!CU874+'Balances y Proyecciones'!CU875</f>
        <v>0</v>
      </c>
      <c r="V22" s="2532">
        <f>'Balances y Proyecciones'!CX874+'Balances y Proyecciones'!CX875</f>
        <v>0</v>
      </c>
      <c r="W22" s="2532">
        <f>'Balances y Proyecciones'!DA874+'Balances y Proyecciones'!DA875</f>
        <v>0</v>
      </c>
      <c r="X22" s="2532">
        <f>'Balances y Proyecciones'!DD874+'Balances y Proyecciones'!DD875</f>
        <v>0</v>
      </c>
      <c r="Y22" s="2532">
        <f>'Balances y Proyecciones'!DG874+'Balances y Proyecciones'!DG875</f>
        <v>0</v>
      </c>
      <c r="Z22" s="2532">
        <f>'Balances y Proyecciones'!DJ874+'Balances y Proyecciones'!DJ875</f>
        <v>0</v>
      </c>
      <c r="AA22" s="2532">
        <f>'Balances y Proyecciones'!DM874+'Balances y Proyecciones'!DM875</f>
        <v>0</v>
      </c>
      <c r="AB22" s="2532">
        <f>'Balances y Proyecciones'!DP874+'Balances y Proyecciones'!DP875</f>
        <v>0</v>
      </c>
      <c r="AC22" s="2532">
        <f>'Balances y Proyecciones'!DS874+'Balances y Proyecciones'!DS875</f>
        <v>0</v>
      </c>
      <c r="AD22" s="2532">
        <f>'Balances y Proyecciones'!DV874+'Balances y Proyecciones'!DV875</f>
        <v>0</v>
      </c>
    </row>
    <row r="23" spans="2:47" ht="28">
      <c r="B23" s="2528" t="s">
        <v>1614</v>
      </c>
      <c r="C23" s="2542">
        <f>SUM(C18:C22)</f>
        <v>0</v>
      </c>
      <c r="D23" s="2542">
        <f>SUM(D18:D22)</f>
        <v>0</v>
      </c>
      <c r="E23" s="2543">
        <f>SUM(E18:E22)</f>
        <v>0</v>
      </c>
      <c r="F23" s="2508"/>
      <c r="G23" s="2516" t="s">
        <v>880</v>
      </c>
      <c r="H23" s="2554">
        <f>IF(('Balances y Proyecciones'!Q17)&lt;&gt;360,'Balances y Proyecciones'!AS718,'Balances y Proyecciones'!AP718)</f>
        <v>0</v>
      </c>
      <c r="I23" s="2554">
        <f>IF(('Balances y Proyecciones'!Q17)&lt;&gt;360,'Balances y Proyecciones'!AY718,'Balances y Proyecciones'!AS718)</f>
        <v>0</v>
      </c>
      <c r="J23" s="2555">
        <f>IF(('Balances y Proyecciones'!Q17)&lt;&gt;360,'Balances y Proyecciones'!BB718,'Balances y Proyecciones'!AY718)</f>
        <v>0</v>
      </c>
      <c r="N23" s="2549" t="s">
        <v>1617</v>
      </c>
      <c r="O23" s="2550">
        <f t="shared" ref="O23:AD23" si="2">SUM(O20:O22)</f>
        <v>0</v>
      </c>
      <c r="P23" s="2550">
        <f t="shared" si="2"/>
        <v>0</v>
      </c>
      <c r="Q23" s="2550">
        <f t="shared" si="2"/>
        <v>0</v>
      </c>
      <c r="R23" s="2550">
        <f t="shared" si="2"/>
        <v>0</v>
      </c>
      <c r="S23" s="2550">
        <f t="shared" si="2"/>
        <v>0</v>
      </c>
      <c r="T23" s="2550">
        <f t="shared" si="2"/>
        <v>0</v>
      </c>
      <c r="U23" s="2550">
        <f t="shared" si="2"/>
        <v>0</v>
      </c>
      <c r="V23" s="2550">
        <f t="shared" si="2"/>
        <v>0</v>
      </c>
      <c r="W23" s="2550">
        <f t="shared" si="2"/>
        <v>0</v>
      </c>
      <c r="X23" s="2550">
        <f t="shared" si="2"/>
        <v>0</v>
      </c>
      <c r="Y23" s="2550">
        <f t="shared" si="2"/>
        <v>0</v>
      </c>
      <c r="Z23" s="2550">
        <f t="shared" si="2"/>
        <v>0</v>
      </c>
      <c r="AA23" s="2550">
        <f t="shared" si="2"/>
        <v>0</v>
      </c>
      <c r="AB23" s="2550">
        <f t="shared" si="2"/>
        <v>0</v>
      </c>
      <c r="AC23" s="2550">
        <f t="shared" si="2"/>
        <v>0</v>
      </c>
      <c r="AD23" s="2550">
        <f t="shared" si="2"/>
        <v>0</v>
      </c>
    </row>
    <row r="24" spans="2:47" ht="28">
      <c r="B24" s="2556" t="s">
        <v>671</v>
      </c>
      <c r="C24" s="2557">
        <f>C17+C23</f>
        <v>0</v>
      </c>
      <c r="D24" s="2557">
        <f>D17+D23</f>
        <v>0</v>
      </c>
      <c r="E24" s="2558">
        <f>E17+E23</f>
        <v>0</v>
      </c>
      <c r="F24" s="2508"/>
      <c r="G24" s="2516" t="s">
        <v>1616</v>
      </c>
      <c r="H24" s="2554">
        <f>IF(('Balances y Proyecciones'!Q17)&lt;&gt;360,'Balances y Proyecciones'!AS719,'Balances y Proyecciones'!AP719)</f>
        <v>0</v>
      </c>
      <c r="I24" s="2554">
        <f>IF(('Balances y Proyecciones'!Q17)&lt;&gt;360,'Balances y Proyecciones'!AY719,'Balances y Proyecciones'!AS719)</f>
        <v>0</v>
      </c>
      <c r="J24" s="2555">
        <f>IF(('Balances y Proyecciones'!Q17)&lt;&gt;360,'Balances y Proyecciones'!BB719,'Balances y Proyecciones'!AY719)</f>
        <v>0</v>
      </c>
      <c r="N24" s="2537" t="s">
        <v>1497</v>
      </c>
      <c r="O24" s="2532">
        <f>'Balances y Proyecciones'!CC880</f>
        <v>0</v>
      </c>
      <c r="P24" s="2532">
        <f>'Balances y Proyecciones'!CF880</f>
        <v>0</v>
      </c>
      <c r="Q24" s="2532">
        <f>'Balances y Proyecciones'!CI880</f>
        <v>0</v>
      </c>
      <c r="R24" s="2532">
        <f>'Balances y Proyecciones'!CL880</f>
        <v>0</v>
      </c>
      <c r="S24" s="2532">
        <f>'Balances y Proyecciones'!CO880</f>
        <v>0</v>
      </c>
      <c r="T24" s="2532">
        <f>'Balances y Proyecciones'!CR880</f>
        <v>0</v>
      </c>
      <c r="U24" s="2532">
        <f>'Balances y Proyecciones'!CU880</f>
        <v>0</v>
      </c>
      <c r="V24" s="2532">
        <f>'Balances y Proyecciones'!CX880</f>
        <v>0</v>
      </c>
      <c r="W24" s="2532">
        <f>'Balances y Proyecciones'!DA880</f>
        <v>0</v>
      </c>
      <c r="X24" s="2532">
        <f>'Balances y Proyecciones'!DD880</f>
        <v>0</v>
      </c>
      <c r="Y24" s="2532">
        <f>'Balances y Proyecciones'!DG880</f>
        <v>0</v>
      </c>
      <c r="Z24" s="2532">
        <f>'Balances y Proyecciones'!DJ880</f>
        <v>0</v>
      </c>
      <c r="AA24" s="2532">
        <f>'Balances y Proyecciones'!DM880</f>
        <v>0</v>
      </c>
      <c r="AB24" s="2532">
        <f>'Balances y Proyecciones'!DP880</f>
        <v>0</v>
      </c>
      <c r="AC24" s="2532">
        <f>'Balances y Proyecciones'!DS880</f>
        <v>0</v>
      </c>
      <c r="AD24" s="2532">
        <f>'Balances y Proyecciones'!DV880</f>
        <v>0</v>
      </c>
    </row>
    <row r="25" spans="2:47" ht="28">
      <c r="B25" s="2551" t="s">
        <v>678</v>
      </c>
      <c r="C25" s="2559"/>
      <c r="D25" s="2559"/>
      <c r="E25" s="2560"/>
      <c r="F25" s="2508"/>
      <c r="G25" s="2516" t="s">
        <v>883</v>
      </c>
      <c r="H25" s="2554">
        <f>IF(('Balances y Proyecciones'!Q17)&lt;&gt;360,'Balances y Proyecciones'!AS721,'Balances y Proyecciones'!AP721)</f>
        <v>0</v>
      </c>
      <c r="I25" s="2554">
        <f>IF(('Balances y Proyecciones'!Q17)&lt;&gt;360,'Balances y Proyecciones'!AY721,'Balances y Proyecciones'!AS721)</f>
        <v>0</v>
      </c>
      <c r="J25" s="2555">
        <f>IF(('Balances y Proyecciones'!$Q$17)&lt;&gt;360,'Balances y Proyecciones'!$BB$721,'Balances y Proyecciones'!$AY$721)</f>
        <v>0</v>
      </c>
      <c r="N25" s="2537" t="s">
        <v>1620</v>
      </c>
      <c r="O25" s="2532">
        <f>'Balances y Proyecciones'!CC881+'Balances y Proyecciones'!CC882</f>
        <v>0</v>
      </c>
      <c r="P25" s="2532">
        <f>'Balances y Proyecciones'!CF881+'Balances y Proyecciones'!CF882</f>
        <v>0</v>
      </c>
      <c r="Q25" s="2532">
        <f>'Balances y Proyecciones'!CI881+'Balances y Proyecciones'!CI882</f>
        <v>0</v>
      </c>
      <c r="R25" s="2532">
        <f>'Balances y Proyecciones'!CL881+'Balances y Proyecciones'!CL882</f>
        <v>0</v>
      </c>
      <c r="S25" s="2532">
        <f>'Balances y Proyecciones'!CO881+'Balances y Proyecciones'!CO882</f>
        <v>0</v>
      </c>
      <c r="T25" s="2532">
        <f>'Balances y Proyecciones'!CR881+'Balances y Proyecciones'!CR882</f>
        <v>0</v>
      </c>
      <c r="U25" s="2532">
        <f>'Balances y Proyecciones'!CU881+'Balances y Proyecciones'!CU882</f>
        <v>0</v>
      </c>
      <c r="V25" s="2532">
        <f>'Balances y Proyecciones'!CX881+'Balances y Proyecciones'!CX882</f>
        <v>0</v>
      </c>
      <c r="W25" s="2532">
        <f>'Balances y Proyecciones'!DA881+'Balances y Proyecciones'!DA882</f>
        <v>0</v>
      </c>
      <c r="X25" s="2532">
        <f>'Balances y Proyecciones'!DD881+'Balances y Proyecciones'!DD882</f>
        <v>0</v>
      </c>
      <c r="Y25" s="2532">
        <f>'Balances y Proyecciones'!DG881+'Balances y Proyecciones'!DG882</f>
        <v>0</v>
      </c>
      <c r="Z25" s="2532">
        <f>'Balances y Proyecciones'!DJ881+'Balances y Proyecciones'!DJ882</f>
        <v>0</v>
      </c>
      <c r="AA25" s="2532">
        <f>'Balances y Proyecciones'!DM881+'Balances y Proyecciones'!DM882</f>
        <v>0</v>
      </c>
      <c r="AB25" s="2532">
        <f>'Balances y Proyecciones'!DP881+'Balances y Proyecciones'!DP882</f>
        <v>0</v>
      </c>
      <c r="AC25" s="2532">
        <f>'Balances y Proyecciones'!DS881+'Balances y Proyecciones'!DS882</f>
        <v>0</v>
      </c>
      <c r="AD25" s="2532">
        <f>'Balances y Proyecciones'!DV881+'Balances y Proyecciones'!DV882</f>
        <v>0</v>
      </c>
    </row>
    <row r="26" spans="2:47" ht="27.5">
      <c r="B26" s="2516" t="s">
        <v>1618</v>
      </c>
      <c r="C26" s="2526">
        <f>IF(('Balances y Proyecciones'!Q17)&lt;&gt;360,'Balances y Proyecciones'!H36+'Balances y Proyecciones'!H37+'Balances y Proyecciones'!H38+'Balances y Proyecciones'!H39,'Balances y Proyecciones'!E36+'Balances y Proyecciones'!E37+'Balances y Proyecciones'!E38+'Balances y Proyecciones'!E39)</f>
        <v>0</v>
      </c>
      <c r="D26" s="2526">
        <f>IF(('Balances y Proyecciones'!Q17)&lt;&gt;360,'Balances y Proyecciones'!N36+'Balances y Proyecciones'!N37+'Balances y Proyecciones'!N38+'Balances y Proyecciones'!N39,'Balances y Proyecciones'!H36+'Balances y Proyecciones'!H37+'Balances y Proyecciones'!H38+'Balances y Proyecciones'!H39)</f>
        <v>0</v>
      </c>
      <c r="E26" s="2527">
        <f>IF(('Balances y Proyecciones'!Q17)&lt;&gt;360,'Balances y Proyecciones'!Q36+'Balances y Proyecciones'!Q37+'Balances y Proyecciones'!Q38+'Balances y Proyecciones'!Q39,'Balances y Proyecciones'!N36+'Balances y Proyecciones'!N37+'Balances y Proyecciones'!N38+'Balances y Proyecciones'!N39)</f>
        <v>0</v>
      </c>
      <c r="F26" s="2508"/>
      <c r="G26" s="2516" t="s">
        <v>1619</v>
      </c>
      <c r="H26" s="2554">
        <f>IF('Balances y Proyecciones'!$Q$17=360,'Balances y Proyecciones'!$AP$757,'Balances y Proyecciones'!$AS$757)</f>
        <v>0</v>
      </c>
      <c r="I26" s="2554">
        <f>IF('Balances y Proyecciones'!Q17=360,'Balances y Proyecciones'!AS757,'Balances y Proyecciones'!AY757)</f>
        <v>0</v>
      </c>
      <c r="J26" s="2555">
        <f>IF('Balances y Proyecciones'!$Q$17=360,'Balances y Proyecciones'!$AY$757,'Balances y Proyecciones'!$BB$757)</f>
        <v>0</v>
      </c>
      <c r="N26" s="2537" t="s">
        <v>1622</v>
      </c>
      <c r="O26" s="2532">
        <f>'Balances y Proyecciones'!CC883</f>
        <v>0</v>
      </c>
      <c r="P26" s="2532">
        <f>'Balances y Proyecciones'!CF883</f>
        <v>0</v>
      </c>
      <c r="Q26" s="2532">
        <f>'Balances y Proyecciones'!CI883</f>
        <v>0</v>
      </c>
      <c r="R26" s="2532">
        <f>'Balances y Proyecciones'!CL883</f>
        <v>0</v>
      </c>
      <c r="S26" s="2532">
        <f>'Balances y Proyecciones'!CO883</f>
        <v>0</v>
      </c>
      <c r="T26" s="2532">
        <f>'Balances y Proyecciones'!CR883</f>
        <v>0</v>
      </c>
      <c r="U26" s="2532">
        <f>'Balances y Proyecciones'!CU883</f>
        <v>0</v>
      </c>
      <c r="V26" s="2532">
        <f>'Balances y Proyecciones'!CX883</f>
        <v>0</v>
      </c>
      <c r="W26" s="2532">
        <f>'Balances y Proyecciones'!DA883</f>
        <v>0</v>
      </c>
      <c r="X26" s="2532">
        <f>'Balances y Proyecciones'!DD883</f>
        <v>0</v>
      </c>
      <c r="Y26" s="2532">
        <f>'Balances y Proyecciones'!DG883</f>
        <v>0</v>
      </c>
      <c r="Z26" s="2532">
        <f>'Balances y Proyecciones'!DJ883</f>
        <v>0</v>
      </c>
      <c r="AA26" s="2532">
        <f>'Balances y Proyecciones'!DM883</f>
        <v>0</v>
      </c>
      <c r="AB26" s="2532">
        <f>'Balances y Proyecciones'!DP883</f>
        <v>0</v>
      </c>
      <c r="AC26" s="2532">
        <f>'Balances y Proyecciones'!DS883</f>
        <v>0</v>
      </c>
      <c r="AD26" s="2532">
        <f>'Balances y Proyecciones'!DV883</f>
        <v>0</v>
      </c>
    </row>
    <row r="27" spans="2:47" ht="28">
      <c r="B27" s="2516" t="s">
        <v>108</v>
      </c>
      <c r="C27" s="2526">
        <f>IF(('Balances y Proyecciones'!Q17)&lt;&gt;360,'Balances y Proyecciones'!H40,'Balances y Proyecciones'!E40)</f>
        <v>0</v>
      </c>
      <c r="D27" s="2526">
        <f>IF(('Balances y Proyecciones'!Q17)&lt;&gt;360,'Balances y Proyecciones'!N40,'Balances y Proyecciones'!H40)</f>
        <v>0</v>
      </c>
      <c r="E27" s="2527">
        <f>IF(('Balances y Proyecciones'!Q17)&lt;&gt;360,'Balances y Proyecciones'!Q40,'Balances y Proyecciones'!N40)</f>
        <v>0</v>
      </c>
      <c r="F27" s="2508"/>
      <c r="G27" s="2551" t="s">
        <v>1621</v>
      </c>
      <c r="H27" s="2552"/>
      <c r="I27" s="2552"/>
      <c r="J27" s="2553"/>
      <c r="N27" s="2537" t="s">
        <v>1625</v>
      </c>
      <c r="O27" s="2532">
        <f>'Balances y Proyecciones'!CC884</f>
        <v>0</v>
      </c>
      <c r="P27" s="2532">
        <f>'Balances y Proyecciones'!CF884</f>
        <v>0</v>
      </c>
      <c r="Q27" s="2532">
        <f>'Balances y Proyecciones'!CI884</f>
        <v>0</v>
      </c>
      <c r="R27" s="2532">
        <f>'Balances y Proyecciones'!CL884</f>
        <v>0</v>
      </c>
      <c r="S27" s="2532">
        <f>'Balances y Proyecciones'!CO884</f>
        <v>0</v>
      </c>
      <c r="T27" s="2532">
        <f>'Balances y Proyecciones'!CR884</f>
        <v>0</v>
      </c>
      <c r="U27" s="2532">
        <f>'Balances y Proyecciones'!CU884</f>
        <v>0</v>
      </c>
      <c r="V27" s="2532">
        <f>'Balances y Proyecciones'!CX884</f>
        <v>0</v>
      </c>
      <c r="W27" s="2532">
        <f>'Balances y Proyecciones'!DA884</f>
        <v>0</v>
      </c>
      <c r="X27" s="2532">
        <f>'Balances y Proyecciones'!DD884</f>
        <v>0</v>
      </c>
      <c r="Y27" s="2532">
        <f>'Balances y Proyecciones'!DG884</f>
        <v>0</v>
      </c>
      <c r="Z27" s="2532">
        <f>'Balances y Proyecciones'!DJ884</f>
        <v>0</v>
      </c>
      <c r="AA27" s="2532">
        <f>'Balances y Proyecciones'!DM884</f>
        <v>0</v>
      </c>
      <c r="AB27" s="2532">
        <f>'Balances y Proyecciones'!DP884</f>
        <v>0</v>
      </c>
      <c r="AC27" s="2532">
        <f>'Balances y Proyecciones'!DS884</f>
        <v>0</v>
      </c>
      <c r="AD27" s="2532">
        <f>'Balances y Proyecciones'!DV884</f>
        <v>0</v>
      </c>
    </row>
    <row r="28" spans="2:47" ht="28.5" thickBot="1">
      <c r="B28" s="2538" t="s">
        <v>1623</v>
      </c>
      <c r="C28" s="2526">
        <f>IF(('Balances y Proyecciones'!Q17)&lt;&gt;360,'Balances y Proyecciones'!H44,'Balances y Proyecciones'!E44)</f>
        <v>0</v>
      </c>
      <c r="D28" s="2526">
        <f>IF(('Balances y Proyecciones'!Q17)&lt;&gt;360,'Balances y Proyecciones'!N44,'Balances y Proyecciones'!H44)</f>
        <v>0</v>
      </c>
      <c r="E28" s="2527">
        <f>IF(('Balances y Proyecciones'!Q17)&lt;&gt;360,'Balances y Proyecciones'!Q44,'Balances y Proyecciones'!N44)</f>
        <v>0</v>
      </c>
      <c r="F28" s="2508"/>
      <c r="G28" s="2538" t="s">
        <v>1624</v>
      </c>
      <c r="H28" s="2554" t="str">
        <f>IF(('Balances y Proyecciones'!Q17)&lt;&gt;360,'Balances y Proyecciones'!AS714,'Balances y Proyecciones'!AP714)</f>
        <v>N/A</v>
      </c>
      <c r="I28" s="2554" t="str">
        <f>IF(('Balances y Proyecciones'!Q17)&lt;&gt;360,'Balances y Proyecciones'!AY714,'Balances y Proyecciones'!AS714)</f>
        <v>N/A</v>
      </c>
      <c r="J28" s="2555" t="str">
        <f>IF(('Balances y Proyecciones'!Q17)&lt;&gt;360,'Balances y Proyecciones'!BB714,'Balances y Proyecciones'!AY714)</f>
        <v>N/A</v>
      </c>
      <c r="N28" s="2549" t="s">
        <v>1628</v>
      </c>
      <c r="O28" s="2550">
        <f t="shared" ref="O28:AD28" si="3">SUM(O23:O27)</f>
        <v>0</v>
      </c>
      <c r="P28" s="2550">
        <f t="shared" si="3"/>
        <v>0</v>
      </c>
      <c r="Q28" s="2550">
        <f t="shared" si="3"/>
        <v>0</v>
      </c>
      <c r="R28" s="2550">
        <f t="shared" si="3"/>
        <v>0</v>
      </c>
      <c r="S28" s="2550">
        <f t="shared" si="3"/>
        <v>0</v>
      </c>
      <c r="T28" s="2550">
        <f t="shared" si="3"/>
        <v>0</v>
      </c>
      <c r="U28" s="2550">
        <f t="shared" si="3"/>
        <v>0</v>
      </c>
      <c r="V28" s="2550">
        <f t="shared" si="3"/>
        <v>0</v>
      </c>
      <c r="W28" s="2550">
        <f t="shared" si="3"/>
        <v>0</v>
      </c>
      <c r="X28" s="2550">
        <f t="shared" si="3"/>
        <v>0</v>
      </c>
      <c r="Y28" s="2550">
        <f t="shared" si="3"/>
        <v>0</v>
      </c>
      <c r="Z28" s="2550">
        <f t="shared" si="3"/>
        <v>0</v>
      </c>
      <c r="AA28" s="2550">
        <f t="shared" si="3"/>
        <v>0</v>
      </c>
      <c r="AB28" s="2550">
        <f t="shared" si="3"/>
        <v>0</v>
      </c>
      <c r="AC28" s="2550">
        <f t="shared" si="3"/>
        <v>0</v>
      </c>
      <c r="AD28" s="2550">
        <f t="shared" si="3"/>
        <v>0</v>
      </c>
    </row>
    <row r="29" spans="2:47" ht="27.5">
      <c r="B29" s="2516" t="s">
        <v>1626</v>
      </c>
      <c r="C29" s="2526">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f>
        <v>0</v>
      </c>
      <c r="D29" s="2526">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f>
        <v>0</v>
      </c>
      <c r="E29" s="2527">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0</v>
      </c>
      <c r="F29" s="2508"/>
      <c r="G29" s="2516" t="s">
        <v>1627</v>
      </c>
      <c r="H29" s="2561">
        <f>IF(('Balances y Proyecciones'!Q17)&lt;&gt;360,'Balances y Proyecciones'!AS725,'Balances y Proyecciones'!AP725)</f>
        <v>0</v>
      </c>
      <c r="I29" s="2561">
        <f>IF(('Balances y Proyecciones'!Q17)&lt;&gt;360,'Balances y Proyecciones'!AY725,'Balances y Proyecciones'!AS725)</f>
        <v>0</v>
      </c>
      <c r="J29" s="2562">
        <f>IF(('Balances y Proyecciones'!Q17)&lt;&gt;360,'Balances y Proyecciones'!BB725,'Balances y Proyecciones'!AY725)</f>
        <v>0</v>
      </c>
      <c r="N29" s="2537" t="s">
        <v>1495</v>
      </c>
      <c r="O29" s="2532">
        <f>'Balances y Proyecciones'!CC878</f>
        <v>0</v>
      </c>
      <c r="P29" s="2532">
        <f>'Balances y Proyecciones'!CF878</f>
        <v>0</v>
      </c>
      <c r="Q29" s="2532">
        <f>'Balances y Proyecciones'!CI878</f>
        <v>0</v>
      </c>
      <c r="R29" s="2532">
        <f>'Balances y Proyecciones'!CL878</f>
        <v>0</v>
      </c>
      <c r="S29" s="2532">
        <f>'Balances y Proyecciones'!CO878</f>
        <v>0</v>
      </c>
      <c r="T29" s="2532">
        <f>'Balances y Proyecciones'!CR878</f>
        <v>0</v>
      </c>
      <c r="U29" s="2532">
        <f>'Balances y Proyecciones'!CU878</f>
        <v>0</v>
      </c>
      <c r="V29" s="2532">
        <f>'Balances y Proyecciones'!CX878</f>
        <v>0</v>
      </c>
      <c r="W29" s="2532">
        <f>'Balances y Proyecciones'!DA878</f>
        <v>0</v>
      </c>
      <c r="X29" s="2532">
        <f>'Balances y Proyecciones'!DD878</f>
        <v>0</v>
      </c>
      <c r="Y29" s="2532">
        <f>'Balances y Proyecciones'!DG878</f>
        <v>0</v>
      </c>
      <c r="Z29" s="2532">
        <f>'Balances y Proyecciones'!DJ878</f>
        <v>0</v>
      </c>
      <c r="AA29" s="2532">
        <f>'Balances y Proyecciones'!DM878</f>
        <v>0</v>
      </c>
      <c r="AB29" s="2532">
        <f>'Balances y Proyecciones'!DP878</f>
        <v>0</v>
      </c>
      <c r="AC29" s="2532">
        <f>'Balances y Proyecciones'!DS878</f>
        <v>0</v>
      </c>
      <c r="AD29" s="2532">
        <f>'Balances y Proyecciones'!DV878</f>
        <v>0</v>
      </c>
      <c r="AG29" s="4172" t="s">
        <v>1629</v>
      </c>
      <c r="AH29" s="4173"/>
      <c r="AI29" s="4173"/>
      <c r="AJ29" s="4173"/>
      <c r="AK29" s="4173"/>
      <c r="AL29" s="4173"/>
      <c r="AM29" s="4173"/>
      <c r="AN29" s="4173"/>
      <c r="AO29" s="4173"/>
      <c r="AP29" s="4173"/>
      <c r="AQ29" s="4173"/>
      <c r="AR29" s="4173"/>
      <c r="AS29" s="4173"/>
      <c r="AT29" s="4173"/>
      <c r="AU29" s="4174"/>
    </row>
    <row r="30" spans="2:47" ht="28">
      <c r="B30" s="2528" t="s">
        <v>1630</v>
      </c>
      <c r="C30" s="2542">
        <f>SUM(C26:C29)</f>
        <v>0</v>
      </c>
      <c r="D30" s="2542">
        <f>SUM(D26:D29)</f>
        <v>0</v>
      </c>
      <c r="E30" s="2543">
        <f>SUM(E26:E29)</f>
        <v>0</v>
      </c>
      <c r="F30" s="2508"/>
      <c r="G30" s="2516" t="s">
        <v>1631</v>
      </c>
      <c r="H30" s="2561">
        <f>IF(('Balances y Proyecciones'!Q17)&lt;&gt;360,'Balances y Proyecciones'!AS727,'Balances y Proyecciones'!AP727)</f>
        <v>0</v>
      </c>
      <c r="I30" s="2561">
        <f>IF(('Balances y Proyecciones'!Q17)&lt;&gt;360,'Balances y Proyecciones'!AY727,'Balances y Proyecciones'!AS727)</f>
        <v>0</v>
      </c>
      <c r="J30" s="2562">
        <f>IF(('Balances y Proyecciones'!Q17)&lt;&gt;360,'Balances y Proyecciones'!BB727,'Balances y Proyecciones'!AY727)</f>
        <v>0</v>
      </c>
      <c r="N30" s="2537" t="s">
        <v>529</v>
      </c>
      <c r="O30" s="2532">
        <f>'Balances y Proyecciones'!CC877</f>
        <v>0</v>
      </c>
      <c r="P30" s="2532">
        <f>'Balances y Proyecciones'!CF877</f>
        <v>0</v>
      </c>
      <c r="Q30" s="2532">
        <f>'Balances y Proyecciones'!CI877</f>
        <v>0</v>
      </c>
      <c r="R30" s="2532">
        <f>'Balances y Proyecciones'!CL877</f>
        <v>0</v>
      </c>
      <c r="S30" s="2532">
        <f>'Balances y Proyecciones'!CO877</f>
        <v>0</v>
      </c>
      <c r="T30" s="2532">
        <f>'Balances y Proyecciones'!CR877</f>
        <v>0</v>
      </c>
      <c r="U30" s="2532">
        <f>'Balances y Proyecciones'!CU877</f>
        <v>0</v>
      </c>
      <c r="V30" s="2532">
        <f>'Balances y Proyecciones'!CX877</f>
        <v>0</v>
      </c>
      <c r="W30" s="2532">
        <f>'Balances y Proyecciones'!DA877</f>
        <v>0</v>
      </c>
      <c r="X30" s="2532">
        <f>'Balances y Proyecciones'!DD877</f>
        <v>0</v>
      </c>
      <c r="Y30" s="2532">
        <f>'Balances y Proyecciones'!DG877</f>
        <v>0</v>
      </c>
      <c r="Z30" s="2532">
        <f>'Balances y Proyecciones'!DJ877</f>
        <v>0</v>
      </c>
      <c r="AA30" s="2532">
        <f>'Balances y Proyecciones'!DM877</f>
        <v>0</v>
      </c>
      <c r="AB30" s="2532">
        <f>'Balances y Proyecciones'!DP877</f>
        <v>0</v>
      </c>
      <c r="AC30" s="2532">
        <f>'Balances y Proyecciones'!DS877</f>
        <v>0</v>
      </c>
      <c r="AD30" s="2532">
        <f>'Balances y Proyecciones'!DV877</f>
        <v>0</v>
      </c>
      <c r="AG30" s="4175"/>
      <c r="AH30" s="4176"/>
      <c r="AI30" s="4176"/>
      <c r="AJ30" s="4176"/>
      <c r="AK30" s="4176"/>
      <c r="AL30" s="4176"/>
      <c r="AM30" s="4176"/>
      <c r="AN30" s="4176"/>
      <c r="AO30" s="4176"/>
      <c r="AP30" s="4176"/>
      <c r="AQ30" s="4176"/>
      <c r="AR30" s="4176"/>
      <c r="AS30" s="4176"/>
      <c r="AT30" s="4176"/>
      <c r="AU30" s="4177"/>
    </row>
    <row r="31" spans="2:47" ht="28.5" thickBot="1">
      <c r="B31" s="2516" t="s">
        <v>1632</v>
      </c>
      <c r="C31" s="2526">
        <f>IF(('Balances y Proyecciones'!Q17)&lt;&gt;360,'Balances y Proyecciones'!H49+'Balances y Proyecciones'!H50+'Balances y Proyecciones'!H51,'Balances y Proyecciones'!E49+'Balances y Proyecciones'!E50+'Balances y Proyecciones'!E51)</f>
        <v>0</v>
      </c>
      <c r="D31" s="2526">
        <f>IF(('Balances y Proyecciones'!Q17)&lt;&gt;360,'Balances y Proyecciones'!N49+'Balances y Proyecciones'!N50+'Balances y Proyecciones'!N51,'Balances y Proyecciones'!H49+'Balances y Proyecciones'!H50+'Balances y Proyecciones'!H51)</f>
        <v>0</v>
      </c>
      <c r="E31" s="2527">
        <f>IF(('Balances y Proyecciones'!Q17)&lt;&gt;360,'Balances y Proyecciones'!Q49+'Balances y Proyecciones'!Q50+'Balances y Proyecciones'!Q51,'Balances y Proyecciones'!N49+'Balances y Proyecciones'!N50+'Balances y Proyecciones'!N51)</f>
        <v>0</v>
      </c>
      <c r="F31" s="2508"/>
      <c r="G31" s="2516" t="s">
        <v>1633</v>
      </c>
      <c r="H31" s="2561">
        <f>H29+H30</f>
        <v>0</v>
      </c>
      <c r="I31" s="2561">
        <f>I29+I30</f>
        <v>0</v>
      </c>
      <c r="J31" s="2562">
        <f>J29+J30</f>
        <v>0</v>
      </c>
      <c r="N31" s="2549" t="s">
        <v>1636</v>
      </c>
      <c r="O31" s="2550">
        <f t="shared" ref="O31:AD31" si="4">SUM(O28:O30)</f>
        <v>0</v>
      </c>
      <c r="P31" s="2550">
        <f t="shared" si="4"/>
        <v>0</v>
      </c>
      <c r="Q31" s="2550">
        <f t="shared" si="4"/>
        <v>0</v>
      </c>
      <c r="R31" s="2550">
        <f t="shared" si="4"/>
        <v>0</v>
      </c>
      <c r="S31" s="2550">
        <f t="shared" si="4"/>
        <v>0</v>
      </c>
      <c r="T31" s="2550">
        <f t="shared" si="4"/>
        <v>0</v>
      </c>
      <c r="U31" s="2550">
        <f t="shared" si="4"/>
        <v>0</v>
      </c>
      <c r="V31" s="2550">
        <f t="shared" si="4"/>
        <v>0</v>
      </c>
      <c r="W31" s="2550">
        <f t="shared" si="4"/>
        <v>0</v>
      </c>
      <c r="X31" s="2550">
        <f t="shared" si="4"/>
        <v>0</v>
      </c>
      <c r="Y31" s="2550">
        <f t="shared" si="4"/>
        <v>0</v>
      </c>
      <c r="Z31" s="2550">
        <f t="shared" si="4"/>
        <v>0</v>
      </c>
      <c r="AA31" s="2550">
        <f t="shared" si="4"/>
        <v>0</v>
      </c>
      <c r="AB31" s="2550">
        <f t="shared" si="4"/>
        <v>0</v>
      </c>
      <c r="AC31" s="2550">
        <f t="shared" si="4"/>
        <v>0</v>
      </c>
      <c r="AD31" s="2550">
        <f t="shared" si="4"/>
        <v>0</v>
      </c>
      <c r="AG31" s="2563"/>
      <c r="AU31" s="2564"/>
    </row>
    <row r="32" spans="2:47" ht="28" thickBot="1">
      <c r="B32" s="2516" t="s">
        <v>1634</v>
      </c>
      <c r="C32" s="2526">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f>
        <v>0</v>
      </c>
      <c r="D32" s="2526">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f>
        <v>0</v>
      </c>
      <c r="E32" s="2527">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f>
        <v>0</v>
      </c>
      <c r="F32" s="2508"/>
      <c r="G32" s="2516" t="s">
        <v>1635</v>
      </c>
      <c r="H32" s="2561">
        <f>IF(('Balances y Proyecciones'!Q17)&lt;&gt;360,'Balances y Proyecciones'!AS730,'Balances y Proyecciones'!AP730)</f>
        <v>0</v>
      </c>
      <c r="I32" s="2561">
        <f>IF(('Balances y Proyecciones'!Q17)&lt;&gt;360,'Balances y Proyecciones'!AY730,'Balances y Proyecciones'!AS730)</f>
        <v>0</v>
      </c>
      <c r="J32" s="2562">
        <f>IF(('Balances y Proyecciones'!Q17)&lt;&gt;360,'Balances y Proyecciones'!BB730,'Balances y Proyecciones'!AY730)</f>
        <v>0</v>
      </c>
      <c r="N32" s="2537" t="s">
        <v>1503</v>
      </c>
      <c r="O32" s="2532">
        <f>'Balances y Proyecciones'!CC886</f>
        <v>0</v>
      </c>
      <c r="P32" s="2532">
        <f>'Balances y Proyecciones'!CF886</f>
        <v>0</v>
      </c>
      <c r="Q32" s="2532">
        <f>'Balances y Proyecciones'!CI886</f>
        <v>0</v>
      </c>
      <c r="R32" s="2532">
        <f>'Balances y Proyecciones'!CL886</f>
        <v>0</v>
      </c>
      <c r="S32" s="2532">
        <f>'Balances y Proyecciones'!CO886</f>
        <v>0</v>
      </c>
      <c r="T32" s="2532">
        <f>'Balances y Proyecciones'!CR886</f>
        <v>0</v>
      </c>
      <c r="U32" s="2532">
        <f>'Balances y Proyecciones'!CU886</f>
        <v>0</v>
      </c>
      <c r="V32" s="2532">
        <f>'Balances y Proyecciones'!CX886</f>
        <v>0</v>
      </c>
      <c r="W32" s="2532">
        <f>'Balances y Proyecciones'!DA886</f>
        <v>0</v>
      </c>
      <c r="X32" s="2532">
        <f>'Balances y Proyecciones'!DD886</f>
        <v>0</v>
      </c>
      <c r="Y32" s="2532">
        <f>'Balances y Proyecciones'!DG886</f>
        <v>0</v>
      </c>
      <c r="Z32" s="2532">
        <f>'Balances y Proyecciones'!DJ886</f>
        <v>0</v>
      </c>
      <c r="AA32" s="2532">
        <f>'Balances y Proyecciones'!DM886</f>
        <v>0</v>
      </c>
      <c r="AB32" s="2532">
        <f>'Balances y Proyecciones'!DP886</f>
        <v>0</v>
      </c>
      <c r="AC32" s="2532">
        <f>'Balances y Proyecciones'!DS886</f>
        <v>0</v>
      </c>
      <c r="AD32" s="2532">
        <f>'Balances y Proyecciones'!DV886</f>
        <v>0</v>
      </c>
      <c r="AG32" s="2563"/>
      <c r="AH32" s="2565" t="s">
        <v>1637</v>
      </c>
      <c r="AI32" s="2566" t="e">
        <f>+AJ32</f>
        <v>#VALUE!</v>
      </c>
      <c r="AJ32" s="2567" t="e">
        <f>+AU71</f>
        <v>#VALUE!</v>
      </c>
      <c r="AU32" s="2564"/>
    </row>
    <row r="33" spans="1:91" ht="28.5" thickBot="1">
      <c r="B33" s="2528" t="s">
        <v>1638</v>
      </c>
      <c r="C33" s="2542">
        <f>SUM(C31:C32)</f>
        <v>0</v>
      </c>
      <c r="D33" s="2542">
        <f>SUM(D31:D32)</f>
        <v>0</v>
      </c>
      <c r="E33" s="2543">
        <f>SUM(E31:E32)</f>
        <v>0</v>
      </c>
      <c r="F33" s="2552"/>
      <c r="G33" s="2516" t="s">
        <v>1639</v>
      </c>
      <c r="H33" s="2561">
        <f>H31-H32</f>
        <v>0</v>
      </c>
      <c r="I33" s="2561">
        <f>I31-I32</f>
        <v>0</v>
      </c>
      <c r="J33" s="2562">
        <f>J31-J32</f>
        <v>0</v>
      </c>
      <c r="N33" s="2549" t="s">
        <v>1504</v>
      </c>
      <c r="O33" s="2550">
        <f t="shared" ref="O33:AD33" si="5">O31+O32</f>
        <v>0</v>
      </c>
      <c r="P33" s="2550">
        <f t="shared" si="5"/>
        <v>0</v>
      </c>
      <c r="Q33" s="2550">
        <f t="shared" si="5"/>
        <v>0</v>
      </c>
      <c r="R33" s="2550">
        <f t="shared" si="5"/>
        <v>0</v>
      </c>
      <c r="S33" s="2550">
        <f t="shared" si="5"/>
        <v>0</v>
      </c>
      <c r="T33" s="2550">
        <f t="shared" si="5"/>
        <v>0</v>
      </c>
      <c r="U33" s="2550">
        <f t="shared" si="5"/>
        <v>0</v>
      </c>
      <c r="V33" s="2550">
        <f t="shared" si="5"/>
        <v>0</v>
      </c>
      <c r="W33" s="2550">
        <f t="shared" si="5"/>
        <v>0</v>
      </c>
      <c r="X33" s="2550">
        <f t="shared" si="5"/>
        <v>0</v>
      </c>
      <c r="Y33" s="2550">
        <f t="shared" si="5"/>
        <v>0</v>
      </c>
      <c r="Z33" s="2550">
        <f t="shared" si="5"/>
        <v>0</v>
      </c>
      <c r="AA33" s="2550">
        <f t="shared" si="5"/>
        <v>0</v>
      </c>
      <c r="AB33" s="2550">
        <f t="shared" si="5"/>
        <v>0</v>
      </c>
      <c r="AC33" s="2550">
        <f t="shared" si="5"/>
        <v>0</v>
      </c>
      <c r="AD33" s="2550">
        <f t="shared" si="5"/>
        <v>0</v>
      </c>
      <c r="AG33" s="2563"/>
      <c r="AH33" s="2565" t="s">
        <v>1640</v>
      </c>
      <c r="AI33" s="2568" t="e">
        <f>+AJ33</f>
        <v>#VALUE!</v>
      </c>
      <c r="AJ33" s="2567" t="e">
        <f>IF(AND($AJ$32&gt;=0.5,$AJ$32&lt;=1.61),"R1",IF(AND($AJ$32&gt;=1.61,$AJ$32&lt;=2.21),"R2",IF(AND($AJ$32&gt;=2.21,$AJ$32&lt;=2.81),"R3",IF(AND($AJ$32&gt;=2.81,$AJ$32&lt;=3.31),"R4",IF(AND($AJ$32&gt;=3.31,$AJ$32&lt;=4.1),"R5",0)))))</f>
        <v>#VALUE!</v>
      </c>
      <c r="AU33" s="2564"/>
    </row>
    <row r="34" spans="1:91" ht="28.5" thickBot="1">
      <c r="B34" s="2556" t="s">
        <v>763</v>
      </c>
      <c r="C34" s="2557">
        <f>C30+C33</f>
        <v>0</v>
      </c>
      <c r="D34" s="2557">
        <f>D30+D33</f>
        <v>0</v>
      </c>
      <c r="E34" s="2558">
        <f>E30+E33</f>
        <v>0</v>
      </c>
      <c r="F34" s="2508"/>
      <c r="G34" s="2551" t="s">
        <v>1641</v>
      </c>
      <c r="H34" s="2552"/>
      <c r="I34" s="2552"/>
      <c r="J34" s="2553"/>
      <c r="N34" s="2537" t="s">
        <v>1643</v>
      </c>
      <c r="O34" s="2532">
        <f>'Balances y Proyecciones'!CC891</f>
        <v>0</v>
      </c>
      <c r="P34" s="2532">
        <f>'Balances y Proyecciones'!CF891</f>
        <v>0</v>
      </c>
      <c r="Q34" s="2532">
        <f>'Balances y Proyecciones'!CI891</f>
        <v>0</v>
      </c>
      <c r="R34" s="2532">
        <f>'Balances y Proyecciones'!CL891</f>
        <v>0</v>
      </c>
      <c r="S34" s="2532">
        <f>'Balances y Proyecciones'!CO891</f>
        <v>0</v>
      </c>
      <c r="T34" s="2532">
        <f>'Balances y Proyecciones'!CR891</f>
        <v>0</v>
      </c>
      <c r="U34" s="2532">
        <f>'Balances y Proyecciones'!CU891</f>
        <v>0</v>
      </c>
      <c r="V34" s="2532">
        <f>'Balances y Proyecciones'!CX891</f>
        <v>0</v>
      </c>
      <c r="W34" s="2532">
        <f>'Balances y Proyecciones'!DA891</f>
        <v>0</v>
      </c>
      <c r="X34" s="2532">
        <f>'Balances y Proyecciones'!DD891</f>
        <v>0</v>
      </c>
      <c r="Y34" s="2532">
        <f>'Balances y Proyecciones'!DG891</f>
        <v>0</v>
      </c>
      <c r="Z34" s="2532">
        <f>'Balances y Proyecciones'!DJ891</f>
        <v>0</v>
      </c>
      <c r="AA34" s="2532">
        <f>'Balances y Proyecciones'!DM891</f>
        <v>0</v>
      </c>
      <c r="AB34" s="2532">
        <f>'Balances y Proyecciones'!DP891</f>
        <v>0</v>
      </c>
      <c r="AC34" s="2532">
        <f>'Balances y Proyecciones'!DS891</f>
        <v>0</v>
      </c>
      <c r="AD34" s="2532">
        <f>'Balances y Proyecciones'!DV891</f>
        <v>0</v>
      </c>
      <c r="AG34" s="2563"/>
      <c r="AI34" s="2569"/>
      <c r="AU34" s="2564"/>
    </row>
    <row r="35" spans="1:91" ht="28.5" thickBot="1">
      <c r="B35" s="2551" t="s">
        <v>764</v>
      </c>
      <c r="C35" s="2559"/>
      <c r="D35" s="2559"/>
      <c r="E35" s="2560"/>
      <c r="F35" s="2508"/>
      <c r="G35" s="2516" t="s">
        <v>1642</v>
      </c>
      <c r="H35" s="2554">
        <f>IF(('Balances y Proyecciones'!Q17)&lt;&gt;360,'Balances y Proyecciones'!AS751,'Balances y Proyecciones'!AP751)</f>
        <v>0</v>
      </c>
      <c r="I35" s="2554">
        <f>IF(('Balances y Proyecciones'!Q17)&lt;&gt;360,'Balances y Proyecciones'!AY751,'Balances y Proyecciones'!AS751)</f>
        <v>0</v>
      </c>
      <c r="J35" s="2555">
        <f>IF(('Balances y Proyecciones'!Q17)&lt;&gt;360,'Balances y Proyecciones'!BB751,'Balances y Proyecciones'!AY751)</f>
        <v>0</v>
      </c>
      <c r="N35" s="2537" t="s">
        <v>910</v>
      </c>
      <c r="O35" s="2571" t="e">
        <f t="shared" ref="O35:AD35" si="6">O34/O14</f>
        <v>#DIV/0!</v>
      </c>
      <c r="P35" s="2571" t="e">
        <f t="shared" si="6"/>
        <v>#DIV/0!</v>
      </c>
      <c r="Q35" s="2571" t="e">
        <f t="shared" si="6"/>
        <v>#DIV/0!</v>
      </c>
      <c r="R35" s="2571" t="e">
        <f t="shared" si="6"/>
        <v>#DIV/0!</v>
      </c>
      <c r="S35" s="2571" t="e">
        <f t="shared" si="6"/>
        <v>#DIV/0!</v>
      </c>
      <c r="T35" s="2571" t="e">
        <f t="shared" si="6"/>
        <v>#DIV/0!</v>
      </c>
      <c r="U35" s="2571" t="e">
        <f t="shared" si="6"/>
        <v>#DIV/0!</v>
      </c>
      <c r="V35" s="2571" t="e">
        <f t="shared" si="6"/>
        <v>#DIV/0!</v>
      </c>
      <c r="W35" s="2571" t="e">
        <f t="shared" si="6"/>
        <v>#DIV/0!</v>
      </c>
      <c r="X35" s="2571" t="e">
        <f t="shared" si="6"/>
        <v>#DIV/0!</v>
      </c>
      <c r="Y35" s="2571" t="e">
        <f t="shared" si="6"/>
        <v>#DIV/0!</v>
      </c>
      <c r="Z35" s="2571" t="e">
        <f t="shared" si="6"/>
        <v>#DIV/0!</v>
      </c>
      <c r="AA35" s="2571" t="e">
        <f t="shared" si="6"/>
        <v>#DIV/0!</v>
      </c>
      <c r="AB35" s="2571" t="e">
        <f t="shared" si="6"/>
        <v>#DIV/0!</v>
      </c>
      <c r="AC35" s="2571" t="e">
        <f t="shared" si="6"/>
        <v>#DIV/0!</v>
      </c>
      <c r="AD35" s="2571" t="e">
        <f t="shared" si="6"/>
        <v>#DIV/0!</v>
      </c>
      <c r="AG35" s="2563"/>
      <c r="AH35" s="2570" t="s">
        <v>1644</v>
      </c>
      <c r="AU35" s="2564"/>
    </row>
    <row r="36" spans="1:91" ht="28" thickBot="1">
      <c r="B36" s="2516" t="s">
        <v>1645</v>
      </c>
      <c r="C36" s="2526">
        <f>IF(('Balances y Proyecciones'!Q17)&lt;&gt;360,'Balances y Proyecciones'!H60,'Balances y Proyecciones'!E60)</f>
        <v>0</v>
      </c>
      <c r="D36" s="2526">
        <f>IF(('Balances y Proyecciones'!Q17)&lt;&gt;360,'Balances y Proyecciones'!N60,'Balances y Proyecciones'!H60)</f>
        <v>0</v>
      </c>
      <c r="E36" s="2527">
        <f>IF(('Balances y Proyecciones'!Q17)&lt;&gt;360,'Balances y Proyecciones'!Q60,'Balances y Proyecciones'!N60)</f>
        <v>0</v>
      </c>
      <c r="F36" s="2508"/>
      <c r="G36" s="2516" t="s">
        <v>1646</v>
      </c>
      <c r="H36" s="2554" t="e">
        <f>IF(('Balances y Proyecciones'!Q17)&lt;&gt;360,(('Balances y Proyecciones'!AS704+'Balances y Proyecciones'!AS657)/'Balances y Proyecciones'!AS703),(('Balances y Proyecciones'!AP704+'Balances y Proyecciones'!AP657)/'Balances y Proyecciones'!AP703))</f>
        <v>#DIV/0!</v>
      </c>
      <c r="I36" s="2554" t="e">
        <f>IF(('Balances y Proyecciones'!Q17)&lt;&gt;360,(('Balances y Proyecciones'!AY704+'Balances y Proyecciones'!AY657)/'Balances y Proyecciones'!AY703),(('Balances y Proyecciones'!AS704+'Balances y Proyecciones'!AS657)/'Balances y Proyecciones'!AS703))</f>
        <v>#DIV/0!</v>
      </c>
      <c r="J36" s="2555" t="e">
        <f>IF(('Balances y Proyecciones'!Q17)&lt;&gt;360,(('Balances y Proyecciones'!BB704+'Balances y Proyecciones'!BB657)/'Balances y Proyecciones'!BB703),(('Balances y Proyecciones'!AY704+'Balances y Proyecciones'!AY657)/'Balances y Proyecciones'!AY703))</f>
        <v>#DIV/0!</v>
      </c>
      <c r="N36" s="2537" t="s">
        <v>1652</v>
      </c>
      <c r="O36" s="2571" t="e">
        <f t="shared" ref="O36:AD36" si="7">O14/(-O24)</f>
        <v>#DIV/0!</v>
      </c>
      <c r="P36" s="2571" t="e">
        <f t="shared" si="7"/>
        <v>#DIV/0!</v>
      </c>
      <c r="Q36" s="2571" t="e">
        <f t="shared" si="7"/>
        <v>#DIV/0!</v>
      </c>
      <c r="R36" s="2571" t="e">
        <f t="shared" si="7"/>
        <v>#DIV/0!</v>
      </c>
      <c r="S36" s="2571" t="e">
        <f t="shared" si="7"/>
        <v>#DIV/0!</v>
      </c>
      <c r="T36" s="2571" t="e">
        <f t="shared" si="7"/>
        <v>#DIV/0!</v>
      </c>
      <c r="U36" s="2571" t="e">
        <f t="shared" si="7"/>
        <v>#DIV/0!</v>
      </c>
      <c r="V36" s="2571" t="e">
        <f t="shared" si="7"/>
        <v>#DIV/0!</v>
      </c>
      <c r="W36" s="2571" t="e">
        <f t="shared" si="7"/>
        <v>#DIV/0!</v>
      </c>
      <c r="X36" s="2571" t="e">
        <f t="shared" si="7"/>
        <v>#DIV/0!</v>
      </c>
      <c r="Y36" s="2571" t="e">
        <f t="shared" si="7"/>
        <v>#DIV/0!</v>
      </c>
      <c r="Z36" s="2571" t="e">
        <f t="shared" si="7"/>
        <v>#DIV/0!</v>
      </c>
      <c r="AA36" s="2571" t="e">
        <f t="shared" si="7"/>
        <v>#DIV/0!</v>
      </c>
      <c r="AB36" s="2571" t="e">
        <f t="shared" si="7"/>
        <v>#DIV/0!</v>
      </c>
      <c r="AC36" s="2571" t="e">
        <f t="shared" si="7"/>
        <v>#DIV/0!</v>
      </c>
      <c r="AD36" s="2571" t="e">
        <f t="shared" si="7"/>
        <v>#DIV/0!</v>
      </c>
      <c r="AG36" s="2572"/>
      <c r="AH36" s="2573"/>
      <c r="AI36" s="2573"/>
      <c r="AJ36" s="2574"/>
      <c r="AK36" s="2575"/>
      <c r="AL36" s="2574"/>
      <c r="AM36" s="2574"/>
      <c r="AN36" s="2574"/>
      <c r="AO36" s="2574"/>
      <c r="AP36" s="2576" t="s">
        <v>1647</v>
      </c>
      <c r="AQ36" s="2576" t="s">
        <v>1648</v>
      </c>
      <c r="AR36" s="2576" t="s">
        <v>1649</v>
      </c>
      <c r="AS36" s="2576" t="s">
        <v>1650</v>
      </c>
      <c r="AT36" s="2574"/>
      <c r="AU36" s="2577"/>
    </row>
    <row r="37" spans="1:91" ht="28" thickBot="1">
      <c r="A37" s="725"/>
      <c r="B37" s="2578" t="s">
        <v>1651</v>
      </c>
      <c r="C37" s="2579">
        <f>IF(('Balances y Proyecciones'!Q17)&lt;&gt;360,'Balances y Proyecciones'!H61,'Balances y Proyecciones'!E61)</f>
        <v>0</v>
      </c>
      <c r="D37" s="2579">
        <f>IF(('Balances y Proyecciones'!Q17)&lt;&gt;360,'Balances y Proyecciones'!N61,'Balances y Proyecciones'!H61)</f>
        <v>0</v>
      </c>
      <c r="E37" s="2580">
        <f>IF(('Balances y Proyecciones'!Q17)&lt;&gt;360,'Balances y Proyecciones'!Q61,'Balances y Proyecciones'!N61)</f>
        <v>0</v>
      </c>
      <c r="F37" s="2581"/>
      <c r="G37" s="2578" t="s">
        <v>915</v>
      </c>
      <c r="H37" s="2582">
        <f>IF(('Balances y Proyecciones'!Q17)&lt;&gt;360,'Balances y Proyecciones'!AS743,'Balances y Proyecciones'!AP743)</f>
        <v>0</v>
      </c>
      <c r="I37" s="2582">
        <f>IF(('Balances y Proyecciones'!Q17)&lt;&gt;360,'Balances y Proyecciones'!AY743,'Balances y Proyecciones'!AS743)</f>
        <v>0</v>
      </c>
      <c r="J37" s="2583">
        <f>IF(('Balances y Proyecciones'!Q17)&lt;&gt;360,'Balances y Proyecciones'!BB743,'Balances y Proyecciones'!AY743)</f>
        <v>0</v>
      </c>
      <c r="K37" s="725"/>
      <c r="L37" s="725"/>
      <c r="M37" s="725"/>
      <c r="N37" s="2600" t="s">
        <v>1657</v>
      </c>
      <c r="O37" s="2601" t="e">
        <f t="shared" ref="O37:AD37" si="8">O20/(-O24-O25)</f>
        <v>#DIV/0!</v>
      </c>
      <c r="P37" s="2601" t="e">
        <f t="shared" si="8"/>
        <v>#DIV/0!</v>
      </c>
      <c r="Q37" s="2601" t="e">
        <f t="shared" si="8"/>
        <v>#DIV/0!</v>
      </c>
      <c r="R37" s="2601" t="e">
        <f t="shared" si="8"/>
        <v>#DIV/0!</v>
      </c>
      <c r="S37" s="2601" t="e">
        <f t="shared" si="8"/>
        <v>#DIV/0!</v>
      </c>
      <c r="T37" s="2601" t="e">
        <f t="shared" si="8"/>
        <v>#DIV/0!</v>
      </c>
      <c r="U37" s="2601" t="e">
        <f t="shared" si="8"/>
        <v>#DIV/0!</v>
      </c>
      <c r="V37" s="2601" t="e">
        <f t="shared" si="8"/>
        <v>#DIV/0!</v>
      </c>
      <c r="W37" s="2601" t="e">
        <f t="shared" si="8"/>
        <v>#DIV/0!</v>
      </c>
      <c r="X37" s="2601" t="e">
        <f t="shared" si="8"/>
        <v>#DIV/0!</v>
      </c>
      <c r="Y37" s="2601" t="e">
        <f t="shared" si="8"/>
        <v>#DIV/0!</v>
      </c>
      <c r="Z37" s="2601" t="e">
        <f t="shared" si="8"/>
        <v>#DIV/0!</v>
      </c>
      <c r="AA37" s="2601" t="e">
        <f t="shared" si="8"/>
        <v>#DIV/0!</v>
      </c>
      <c r="AB37" s="2601" t="e">
        <f t="shared" si="8"/>
        <v>#DIV/0!</v>
      </c>
      <c r="AC37" s="2601" t="e">
        <f t="shared" si="8"/>
        <v>#DIV/0!</v>
      </c>
      <c r="AD37" s="2601" t="e">
        <f t="shared" si="8"/>
        <v>#DIV/0!</v>
      </c>
      <c r="AE37" s="725"/>
      <c r="AF37" s="725"/>
      <c r="AG37" s="2584">
        <v>1</v>
      </c>
      <c r="AH37" s="2585" t="s">
        <v>1653</v>
      </c>
      <c r="AI37" s="2586" t="e">
        <f>IF(AND($AU$37&gt;=1,$AU$37&lt;=1.61),"R1",IF(AND($AU$37&gt;1.61,$AU$37&lt;=2.21),"R2",IF(AND($AU$37&gt;2.21,$AU$37&lt;=2.81),"R3",IF(AND($AU$37&gt;2.81,$AU$37&lt;=3.31),"R4",IF(AND($AU$37&gt;3.31,$AU$37&lt;=4.1),"R5",0)))))</f>
        <v>#VALUE!</v>
      </c>
      <c r="AJ37" s="2574"/>
      <c r="AK37" s="2574"/>
      <c r="AL37" s="2574"/>
      <c r="AM37" s="2574"/>
      <c r="AN37" s="2587">
        <f>SUM(AN38:AN42)</f>
        <v>0.99999999999999989</v>
      </c>
      <c r="AO37" s="2588"/>
      <c r="AP37" s="2589">
        <v>1</v>
      </c>
      <c r="AQ37" s="2590">
        <v>2</v>
      </c>
      <c r="AR37" s="2590">
        <v>3</v>
      </c>
      <c r="AS37" s="2591">
        <v>4</v>
      </c>
      <c r="AT37" s="2592" t="s">
        <v>1654</v>
      </c>
      <c r="AU37" s="2593" t="e">
        <f>SUM(AU38:AU42)</f>
        <v>#VALUE!</v>
      </c>
      <c r="AV37" s="725"/>
      <c r="AW37" s="725"/>
      <c r="AX37" s="725"/>
      <c r="AY37" s="725"/>
      <c r="AZ37" s="725"/>
      <c r="BA37" s="725"/>
      <c r="BB37" s="725"/>
      <c r="BC37" s="725"/>
      <c r="BD37" s="725"/>
      <c r="BE37" s="725"/>
      <c r="BF37" s="725"/>
      <c r="BG37" s="725"/>
      <c r="BH37" s="725"/>
      <c r="BI37" s="725"/>
      <c r="BJ37" s="725"/>
      <c r="BK37" s="725"/>
      <c r="BL37" s="725"/>
      <c r="BM37" s="725"/>
      <c r="BN37" s="725"/>
      <c r="BO37" s="725"/>
      <c r="BP37" s="725"/>
      <c r="BQ37" s="725"/>
      <c r="CC37" s="2594"/>
      <c r="CD37" s="2595"/>
      <c r="CE37" s="2595"/>
      <c r="CF37" s="2596" t="s">
        <v>1655</v>
      </c>
      <c r="CG37" s="2597" t="s">
        <v>1655</v>
      </c>
    </row>
    <row r="38" spans="1:91" ht="31.5" thickBot="1">
      <c r="B38" s="2516" t="s">
        <v>1656</v>
      </c>
      <c r="C38" s="2526">
        <f>IF(('Balances y Proyecciones'!Q17)&lt;&gt;360,'Balances y Proyecciones'!H62+'Balances y Proyecciones'!H66-C40,'Balances y Proyecciones'!E62+'Balances y Proyecciones'!E66-C40)</f>
        <v>0</v>
      </c>
      <c r="D38" s="2526">
        <f>IF(('Balances y Proyecciones'!Q17)&lt;&gt;360,'Balances y Proyecciones'!N62+'Balances y Proyecciones'!N66-D40,'Balances y Proyecciones'!H62+'Balances y Proyecciones'!H66-D40)</f>
        <v>0</v>
      </c>
      <c r="E38" s="2527">
        <f>IF(('Balances y Proyecciones'!Q17)&lt;&gt;360,'Balances y Proyecciones'!Q62+'Balances y Proyecciones'!Q66-E40,'Balances y Proyecciones'!N62+'Balances y Proyecciones'!N66-E40)</f>
        <v>0</v>
      </c>
      <c r="F38" s="2508"/>
      <c r="G38" s="2516" t="s">
        <v>910</v>
      </c>
      <c r="H38" s="2598">
        <f>IF(('Balances y Proyecciones'!Q17)&lt;&gt;360,'Balances y Proyecciones'!AS745,'Balances y Proyecciones'!AP745)</f>
        <v>0</v>
      </c>
      <c r="I38" s="2598">
        <f>IF(('Balances y Proyecciones'!Q17)&lt;&gt;360,'Balances y Proyecciones'!AY745,'Balances y Proyecciones'!AS745)</f>
        <v>0</v>
      </c>
      <c r="J38" s="2599">
        <f>IF(('Balances y Proyecciones'!Q17)&lt;&gt;360,'Balances y Proyecciones'!BB745,'Balances y Proyecciones'!AY745)</f>
        <v>0</v>
      </c>
      <c r="N38" s="2600" t="s">
        <v>1663</v>
      </c>
      <c r="O38" s="2532">
        <f>CI66</f>
        <v>0</v>
      </c>
      <c r="P38" s="2532">
        <f>CJ66</f>
        <v>0</v>
      </c>
      <c r="Q38" s="2532">
        <f>CK66</f>
        <v>0</v>
      </c>
      <c r="R38" s="2499"/>
      <c r="S38" s="2618"/>
      <c r="T38" s="2618"/>
      <c r="U38" s="2618"/>
      <c r="V38" s="2618"/>
      <c r="W38" s="2618"/>
      <c r="X38" s="2618"/>
      <c r="Y38" s="2618"/>
      <c r="Z38" s="2618"/>
      <c r="AA38" s="2618"/>
      <c r="AB38" s="2618"/>
      <c r="AC38" s="2618"/>
      <c r="AD38" s="2618"/>
      <c r="AG38" s="2572"/>
      <c r="AH38" s="2602" t="s">
        <v>1658</v>
      </c>
      <c r="AI38" s="4178"/>
      <c r="AJ38" s="4179"/>
      <c r="AK38" s="4179"/>
      <c r="AL38" s="4179"/>
      <c r="AM38" s="4180"/>
      <c r="AN38" s="2603">
        <v>0.4</v>
      </c>
      <c r="AO38" s="2604"/>
      <c r="AP38" s="2605"/>
      <c r="AQ38" s="2606"/>
      <c r="AR38" s="2606"/>
      <c r="AS38" s="2606"/>
      <c r="AT38" s="2607" t="str">
        <f>IF(AP38&lt;&gt;"",$AP$37,IF(AQ38&lt;&gt;"",$AQ$37,IF(AR38&lt;&gt;"",$AR$37,IF(AS38&lt;&gt;"",$AS$37,"P"))))</f>
        <v>P</v>
      </c>
      <c r="AU38" s="2608" t="e">
        <f>AT38*AN38</f>
        <v>#VALUE!</v>
      </c>
      <c r="BU38" s="2609" t="s">
        <v>1659</v>
      </c>
      <c r="BV38" s="2610" t="s">
        <v>1660</v>
      </c>
      <c r="BW38" s="2609" t="s">
        <v>1605</v>
      </c>
      <c r="BX38" s="2609" t="str">
        <f>'Estados Financieros'!$E$3</f>
        <v>Información Anual</v>
      </c>
      <c r="BY38" s="2609" t="str">
        <f>+'Estados Financieros'!$F$3</f>
        <v>Información Anual</v>
      </c>
      <c r="BZ38" s="2609" t="str">
        <f>+'Estados Financieros'!$G$3</f>
        <v>Información Anual</v>
      </c>
      <c r="CA38" s="2611" t="str">
        <f>CONCATENATE('Estados Financieros'!$H$4," ",'Estados Financieros'!$H$3)</f>
        <v>2020 Ultima Inf. Mensual Nueva</v>
      </c>
      <c r="CB38" s="2612" t="str">
        <f>CONCATENATE('Estados Financieros'!$I$4," ",'Estados Financieros'!$I$3)</f>
        <v>2019 Información Mensual Histórica</v>
      </c>
      <c r="CC38" s="2613" t="str">
        <f>+BX38</f>
        <v>Información Anual</v>
      </c>
      <c r="CD38" s="2614" t="str">
        <f>+BY38</f>
        <v>Información Anual</v>
      </c>
      <c r="CE38" s="2614" t="str">
        <f>+BZ38</f>
        <v>Información Anual</v>
      </c>
      <c r="CF38" s="2615" t="str">
        <f>+CA38</f>
        <v>2020 Ultima Inf. Mensual Nueva</v>
      </c>
      <c r="CG38" s="2616" t="str">
        <f>+CB38</f>
        <v>2019 Información Mensual Histórica</v>
      </c>
      <c r="CH38" s="2617" t="s">
        <v>1661</v>
      </c>
      <c r="CI38" s="2609" t="str">
        <f>'Estados Financieros'!$E$3</f>
        <v>Información Anual</v>
      </c>
      <c r="CJ38" s="2609" t="str">
        <f>+'Estados Financieros'!$F$3</f>
        <v>Información Anual</v>
      </c>
      <c r="CK38" s="2609" t="str">
        <f>+'Estados Financieros'!$G$3</f>
        <v>Información Anual</v>
      </c>
      <c r="CL38" s="2611" t="str">
        <f>CONCATENATE('Estados Financieros'!$H$4," ",'Estados Financieros'!$H$3)</f>
        <v>2020 Ultima Inf. Mensual Nueva</v>
      </c>
      <c r="CM38" s="2612" t="str">
        <f>CONCATENATE('Estados Financieros'!$I$4," ",'Estados Financieros'!$I$3)</f>
        <v>2019 Información Mensual Histórica</v>
      </c>
    </row>
    <row r="39" spans="1:91" ht="28" thickBot="1">
      <c r="B39" s="2516" t="s">
        <v>1662</v>
      </c>
      <c r="C39" s="2526">
        <f>IF(('Balances y Proyecciones'!Q17)&lt;&gt;360,'Balances y Proyecciones'!H63+'Balances y Proyecciones'!H64+'Balances y Proyecciones'!H65,'Balances y Proyecciones'!E63+'Balances y Proyecciones'!E64+'Balances y Proyecciones'!E65)</f>
        <v>0</v>
      </c>
      <c r="D39" s="2526">
        <f>IF(('Balances y Proyecciones'!Q17)&lt;&gt;360,'Balances y Proyecciones'!N63+'Balances y Proyecciones'!N64+'Balances y Proyecciones'!N65,'Balances y Proyecciones'!H63+'Balances y Proyecciones'!H64+'Balances y Proyecciones'!H65)</f>
        <v>0</v>
      </c>
      <c r="E39" s="2527">
        <f>IF(('Balances y Proyecciones'!Q17)&lt;&gt;360,'Balances y Proyecciones'!Q63+'Balances y Proyecciones'!Q64+'Balances y Proyecciones'!Q65,'Balances y Proyecciones'!N63+'Balances y Proyecciones'!N64+'Balances y Proyecciones'!N65)</f>
        <v>0</v>
      </c>
      <c r="F39" s="2508"/>
      <c r="G39" s="2516" t="s">
        <v>911</v>
      </c>
      <c r="H39" s="2598">
        <f>IF(('Balances y Proyecciones'!Q17)&lt;&gt;360,'Balances y Proyecciones'!AS746,'Balances y Proyecciones'!AP746)</f>
        <v>0</v>
      </c>
      <c r="I39" s="2598">
        <f>IF(('Balances y Proyecciones'!Q17)&lt;&gt;360,'Balances y Proyecciones'!AY746,'Balances y Proyecciones'!AS746)</f>
        <v>0</v>
      </c>
      <c r="J39" s="2599">
        <f>IF(('Balances y Proyecciones'!Q17)&lt;&gt;360,'Balances y Proyecciones'!BB746,'Balances y Proyecciones'!AY746)</f>
        <v>0</v>
      </c>
      <c r="N39" s="3552" t="s">
        <v>1667</v>
      </c>
      <c r="O39" s="2532">
        <f>CI77</f>
        <v>0</v>
      </c>
      <c r="P39" s="2532">
        <f>CJ77</f>
        <v>0</v>
      </c>
      <c r="Q39" s="2532">
        <f>CK77</f>
        <v>0</v>
      </c>
      <c r="R39" s="2499"/>
      <c r="S39" s="2618"/>
      <c r="T39" s="2618"/>
      <c r="U39" s="2618"/>
      <c r="V39" s="2618"/>
      <c r="W39" s="2618"/>
      <c r="X39" s="2618"/>
      <c r="Y39" s="2618"/>
      <c r="Z39" s="2618"/>
      <c r="AA39" s="2618"/>
      <c r="AB39" s="2618"/>
      <c r="AC39" s="2618"/>
      <c r="AD39" s="2618"/>
      <c r="AG39" s="2572"/>
      <c r="AH39" s="2619" t="s">
        <v>1664</v>
      </c>
      <c r="AI39" s="4181"/>
      <c r="AJ39" s="4182"/>
      <c r="AK39" s="4182"/>
      <c r="AL39" s="4182"/>
      <c r="AM39" s="4183"/>
      <c r="AN39" s="2620">
        <v>0.1</v>
      </c>
      <c r="AO39" s="2621"/>
      <c r="AP39" s="2622"/>
      <c r="AQ39" s="2623"/>
      <c r="AR39" s="2623"/>
      <c r="AS39" s="2623"/>
      <c r="AT39" s="2624" t="str">
        <f>IF(AP39&lt;&gt;"",$AP$37,IF(AQ39&lt;&gt;"",$AQ$37,IF(AR39&lt;&gt;"",$AR$37,IF(AS39&lt;&gt;"",$AS$37,"P"))))</f>
        <v>P</v>
      </c>
      <c r="AU39" s="2608" t="e">
        <f>AT39*AN39</f>
        <v>#VALUE!</v>
      </c>
      <c r="BU39" s="2625" t="s">
        <v>1665</v>
      </c>
      <c r="BV39" s="2626"/>
      <c r="BW39" s="2626"/>
      <c r="BX39" s="2626"/>
      <c r="BY39" s="2627"/>
      <c r="BZ39" s="2627"/>
      <c r="CA39" s="2627"/>
      <c r="CB39" s="2627"/>
      <c r="CC39" s="2628"/>
      <c r="CF39" s="2629"/>
      <c r="CG39" s="2630"/>
      <c r="CH39" s="2626"/>
      <c r="CI39" s="2626"/>
    </row>
    <row r="40" spans="1:91" ht="28.5" thickBot="1">
      <c r="B40" s="2516" t="s">
        <v>1611</v>
      </c>
      <c r="C40" s="2526">
        <f>IF(('Balances y Proyecciones'!Q17)&lt;&gt;360,'Estados Financieros'!F372,'Estados Financieros'!E372)</f>
        <v>0</v>
      </c>
      <c r="D40" s="2526">
        <f>IF(('Balances y Proyecciones'!Q17)&lt;&gt;360,'Estados Financieros'!G372,'Estados Financieros'!F372)</f>
        <v>0</v>
      </c>
      <c r="E40" s="2527">
        <f>IF(('Balances y Proyecciones'!Q17)&lt;&gt;360,'Estados Financieros'!H372,'Estados Financieros'!G372)</f>
        <v>0</v>
      </c>
      <c r="F40" s="2508"/>
      <c r="G40" s="2551" t="s">
        <v>1666</v>
      </c>
      <c r="H40" s="2598"/>
      <c r="I40" s="2598"/>
      <c r="J40" s="2599"/>
      <c r="N40" s="2600" t="s">
        <v>1670</v>
      </c>
      <c r="O40" s="2571" t="e">
        <f>CI79</f>
        <v>#DIV/0!</v>
      </c>
      <c r="P40" s="2571" t="e">
        <f>CJ79</f>
        <v>#DIV/0!</v>
      </c>
      <c r="Q40" s="2571" t="e">
        <f>CK79</f>
        <v>#DIV/0!</v>
      </c>
      <c r="R40" s="2499"/>
      <c r="S40" s="2499"/>
      <c r="T40" s="2499"/>
      <c r="U40" s="2499"/>
      <c r="V40" s="2499"/>
      <c r="W40" s="2499"/>
      <c r="X40" s="2499"/>
      <c r="Y40" s="2499"/>
      <c r="Z40" s="2499"/>
      <c r="AA40" s="2499"/>
      <c r="AB40" s="2499"/>
      <c r="AC40" s="2499"/>
      <c r="AD40" s="2499"/>
      <c r="AG40" s="2572"/>
      <c r="AH40" s="2619" t="s">
        <v>1668</v>
      </c>
      <c r="AI40" s="4181"/>
      <c r="AJ40" s="4182"/>
      <c r="AK40" s="4182"/>
      <c r="AL40" s="4182"/>
      <c r="AM40" s="4183"/>
      <c r="AN40" s="2620">
        <v>0.1</v>
      </c>
      <c r="AO40" s="2621"/>
      <c r="AP40" s="2622"/>
      <c r="AQ40" s="2623"/>
      <c r="AR40" s="2623"/>
      <c r="AS40" s="2623"/>
      <c r="AT40" s="2624" t="str">
        <f>IF(AP40&lt;&gt;"",$AP$37,IF(AQ40&lt;&gt;"",$AQ$37,IF(AR40&lt;&gt;"",$AR$37,IF(AS40&lt;&gt;"",$AS$37,"P"))))</f>
        <v>P</v>
      </c>
      <c r="AU40" s="2608" t="e">
        <f>AT40*AN40</f>
        <v>#VALUE!</v>
      </c>
      <c r="AV40" s="176"/>
      <c r="BK40" s="2631" t="s">
        <v>1644</v>
      </c>
      <c r="BL40" s="2631">
        <v>1</v>
      </c>
      <c r="BU40" s="2632"/>
      <c r="BV40" s="2626"/>
      <c r="BW40" s="2626"/>
      <c r="BX40" s="2626"/>
      <c r="BY40" s="2627"/>
      <c r="BZ40" s="2627"/>
      <c r="CA40" s="2627"/>
      <c r="CB40" s="2627"/>
      <c r="CC40" s="2628"/>
      <c r="CF40" s="2629"/>
      <c r="CG40" s="2630"/>
      <c r="CH40" s="2626"/>
      <c r="CI40" s="2626"/>
    </row>
    <row r="41" spans="1:91" ht="28" thickBot="1">
      <c r="B41" s="2633"/>
      <c r="C41" s="2499"/>
      <c r="D41" s="2499"/>
      <c r="E41" s="2634"/>
      <c r="F41" s="2508"/>
      <c r="G41" s="2516" t="s">
        <v>1669</v>
      </c>
      <c r="H41" s="2598">
        <f>IF(('Balances y Proyecciones'!Q17)&lt;&gt;360,'Balances y Proyecciones'!AS737,'Balances y Proyecciones'!AP737)</f>
        <v>0</v>
      </c>
      <c r="I41" s="2598">
        <f>IF(('Balances y Proyecciones'!Q17)&lt;&gt;360,'Balances y Proyecciones'!AY737,'Balances y Proyecciones'!AS737)</f>
        <v>0</v>
      </c>
      <c r="J41" s="2599">
        <f>IF(('Balances y Proyecciones'!Q17)&lt;&gt;360,'Balances y Proyecciones'!BB737,'Balances y Proyecciones'!AY737)</f>
        <v>0</v>
      </c>
      <c r="N41" s="2499"/>
      <c r="O41" s="2499"/>
      <c r="P41" s="2499"/>
      <c r="Q41" s="2499"/>
      <c r="R41" s="2499"/>
      <c r="S41" s="2499"/>
      <c r="T41" s="2499"/>
      <c r="U41" s="2499"/>
      <c r="V41" s="2499"/>
      <c r="W41" s="2499"/>
      <c r="X41" s="2499"/>
      <c r="Y41" s="2499"/>
      <c r="Z41" s="2499"/>
      <c r="AA41" s="2499"/>
      <c r="AB41" s="2499"/>
      <c r="AC41" s="2499"/>
      <c r="AD41" s="2499"/>
      <c r="AG41" s="2572"/>
      <c r="AH41" s="2619" t="s">
        <v>1671</v>
      </c>
      <c r="AI41" s="4181"/>
      <c r="AJ41" s="4182"/>
      <c r="AK41" s="4182"/>
      <c r="AL41" s="4182"/>
      <c r="AM41" s="4183"/>
      <c r="AN41" s="2620">
        <v>0.3</v>
      </c>
      <c r="AO41" s="2621"/>
      <c r="AP41" s="2622"/>
      <c r="AQ41" s="2623"/>
      <c r="AR41" s="2623"/>
      <c r="AS41" s="2623"/>
      <c r="AT41" s="2624" t="str">
        <f>IF(AP41&lt;&gt;"",$AP$37,IF(AQ41&lt;&gt;"",$AQ$37,IF(AR41&lt;&gt;"",$AR$37,IF(AS41&lt;&gt;"",$AS$37,"P"))))</f>
        <v>P</v>
      </c>
      <c r="AU41" s="2608" t="e">
        <f>AT41*AN41</f>
        <v>#VALUE!</v>
      </c>
      <c r="AV41" s="176"/>
      <c r="BK41" s="2635" t="s">
        <v>1672</v>
      </c>
      <c r="BL41" s="2631">
        <v>2</v>
      </c>
      <c r="BU41" s="2632" t="s">
        <v>543</v>
      </c>
      <c r="BV41" s="2636">
        <v>5</v>
      </c>
      <c r="BW41" s="2637">
        <v>1</v>
      </c>
      <c r="BX41" s="2638" t="str">
        <f>'Estados Financieros'!E9</f>
        <v>Tasas:  = 0, -  = 0, -  = 0,</v>
      </c>
      <c r="BY41" s="2638">
        <f>'Estados Financieros'!F9</f>
        <v>0</v>
      </c>
      <c r="BZ41" s="2638">
        <f>'Estados Financieros'!G9</f>
        <v>0</v>
      </c>
      <c r="CA41" s="2638" t="str">
        <f>'Estados Financieros'!H9</f>
        <v>Corte</v>
      </c>
      <c r="CB41" s="2638" t="str">
        <f>'Estados Financieros'!I9</f>
        <v>Corte</v>
      </c>
      <c r="CC41" s="2639" t="e">
        <f t="shared" ref="CC41:CC47" si="9">+BW41*BX41</f>
        <v>#VALUE!</v>
      </c>
      <c r="CD41" s="2640">
        <f t="shared" ref="CD41:CD47" si="10">+BW41*BY41</f>
        <v>0</v>
      </c>
      <c r="CE41" s="2640">
        <f t="shared" ref="CE41:CE47" si="11">+BW41*BZ41</f>
        <v>0</v>
      </c>
      <c r="CF41" s="2640" t="e">
        <f t="shared" ref="CF41:CF47" si="12">+CA41*BW41</f>
        <v>#VALUE!</v>
      </c>
      <c r="CG41" s="2641" t="e">
        <f t="shared" ref="CG41:CG47" si="13">+CB41*BW41</f>
        <v>#VALUE!</v>
      </c>
      <c r="CH41" s="2632" t="s">
        <v>1618</v>
      </c>
      <c r="CI41" s="2638">
        <f>'Estados Financieros'!E197+'Estados Financieros'!E271</f>
        <v>0</v>
      </c>
      <c r="CJ41" s="2638">
        <f>'Estados Financieros'!F197+'Estados Financieros'!F271</f>
        <v>0</v>
      </c>
      <c r="CK41" s="2638">
        <f>'Estados Financieros'!G197+'Estados Financieros'!G271</f>
        <v>0</v>
      </c>
      <c r="CL41" s="2638">
        <f>'Estados Financieros'!H197+'Estados Financieros'!H271</f>
        <v>0</v>
      </c>
      <c r="CM41" s="2638">
        <f>'Estados Financieros'!I197+'Estados Financieros'!I271</f>
        <v>0</v>
      </c>
    </row>
    <row r="42" spans="1:91" ht="28.5" thickBot="1">
      <c r="B42" s="2642" t="s">
        <v>793</v>
      </c>
      <c r="C42" s="3455">
        <f>SUM(C36:C40)</f>
        <v>0</v>
      </c>
      <c r="D42" s="3455">
        <f>SUM(D36:D40)</f>
        <v>0</v>
      </c>
      <c r="E42" s="3456">
        <f>SUM(E36:E40)</f>
        <v>0</v>
      </c>
      <c r="F42" s="2643"/>
      <c r="G42" s="3571" t="s">
        <v>2180</v>
      </c>
      <c r="H42" s="2645">
        <f>IF(('Balances y Proyecciones'!Q17)&lt;&gt;360,'Balances y Proyecciones'!AS741,'Balances y Proyecciones'!AP741)</f>
        <v>0</v>
      </c>
      <c r="I42" s="2645">
        <f>IF(('Balances y Proyecciones'!Q17)&lt;&gt;360,'Balances y Proyecciones'!AY741,'Balances y Proyecciones'!AS741)</f>
        <v>0</v>
      </c>
      <c r="J42" s="2646">
        <f>IF(('Balances y Proyecciones'!Q17)&lt;&gt;360,'Balances y Proyecciones'!BB741,'Balances y Proyecciones'!AY741)</f>
        <v>0</v>
      </c>
      <c r="N42" s="2499"/>
      <c r="O42" s="2499"/>
      <c r="P42" s="2499"/>
      <c r="Q42" s="2499"/>
      <c r="R42" s="2499"/>
      <c r="S42" s="2499"/>
      <c r="T42" s="2499"/>
      <c r="U42" s="2499"/>
      <c r="V42" s="2499"/>
      <c r="W42" s="2499"/>
      <c r="X42" s="2499"/>
      <c r="Y42" s="2499"/>
      <c r="Z42" s="2499"/>
      <c r="AA42" s="2499"/>
      <c r="AB42" s="2499"/>
      <c r="AC42" s="2499"/>
      <c r="AD42" s="2499"/>
      <c r="AG42" s="2572"/>
      <c r="AH42" s="2647" t="s">
        <v>1673</v>
      </c>
      <c r="AI42" s="4184"/>
      <c r="AJ42" s="4185"/>
      <c r="AK42" s="4185"/>
      <c r="AL42" s="4185"/>
      <c r="AM42" s="4186"/>
      <c r="AN42" s="2648">
        <v>0.1</v>
      </c>
      <c r="AO42" s="2649"/>
      <c r="AP42" s="2650"/>
      <c r="AQ42" s="2651"/>
      <c r="AR42" s="2651"/>
      <c r="AS42" s="2651"/>
      <c r="AT42" s="2652" t="str">
        <f>IF(AP42&lt;&gt;"",$AP$37,IF(AQ42&lt;&gt;"",$AQ$37,IF(AR42&lt;&gt;"",$AR$37,IF(AS42&lt;&gt;"",$AS$37,"P"))))</f>
        <v>P</v>
      </c>
      <c r="AU42" s="2653" t="e">
        <f>AT42*AN42</f>
        <v>#VALUE!</v>
      </c>
      <c r="AV42" s="2574"/>
      <c r="BK42" s="2654" t="s">
        <v>1674</v>
      </c>
      <c r="BL42" s="2631">
        <v>3</v>
      </c>
      <c r="BU42" s="2632" t="s">
        <v>1675</v>
      </c>
      <c r="BV42" s="2636">
        <v>5</v>
      </c>
      <c r="BW42" s="2637">
        <v>1</v>
      </c>
      <c r="BX42" s="2638">
        <f>'Estados Financieros'!E17+'Estados Financieros'!E18+'Estados Financieros'!E19</f>
        <v>0</v>
      </c>
      <c r="BY42" s="2638">
        <f>'Estados Financieros'!F17+'Estados Financieros'!F18+'Estados Financieros'!F19</f>
        <v>0</v>
      </c>
      <c r="BZ42" s="2638">
        <f>'Estados Financieros'!G17+'Estados Financieros'!G18+'Estados Financieros'!G19</f>
        <v>0</v>
      </c>
      <c r="CA42" s="2638">
        <f>'Estados Financieros'!H17+'Estados Financieros'!H18+'Estados Financieros'!H19</f>
        <v>0</v>
      </c>
      <c r="CB42" s="2638">
        <f>'Estados Financieros'!I17+'Estados Financieros'!I18+'Estados Financieros'!I19</f>
        <v>0</v>
      </c>
      <c r="CC42" s="2639">
        <f t="shared" si="9"/>
        <v>0</v>
      </c>
      <c r="CD42" s="2640">
        <f t="shared" si="10"/>
        <v>0</v>
      </c>
      <c r="CE42" s="2640">
        <f t="shared" si="11"/>
        <v>0</v>
      </c>
      <c r="CF42" s="2640">
        <f t="shared" si="12"/>
        <v>0</v>
      </c>
      <c r="CG42" s="2641">
        <f t="shared" si="13"/>
        <v>0</v>
      </c>
      <c r="CH42" s="2632" t="s">
        <v>108</v>
      </c>
      <c r="CI42" s="2638">
        <f>'Estados Financieros'!E202</f>
        <v>0</v>
      </c>
      <c r="CJ42" s="2638">
        <f>'Estados Financieros'!F202</f>
        <v>0</v>
      </c>
      <c r="CK42" s="2638">
        <f>'Estados Financieros'!G202</f>
        <v>0</v>
      </c>
      <c r="CL42" s="2638">
        <f>'Estados Financieros'!H202</f>
        <v>0</v>
      </c>
      <c r="CM42" s="2638">
        <f>'Estados Financieros'!I202</f>
        <v>0</v>
      </c>
    </row>
    <row r="43" spans="1:91" ht="25.5" thickBot="1">
      <c r="B43" s="2655"/>
      <c r="C43" s="2656"/>
      <c r="D43" s="2656"/>
      <c r="E43" s="2656"/>
      <c r="F43" s="2656"/>
      <c r="G43" s="2656"/>
      <c r="H43" s="2657"/>
      <c r="I43" s="2657"/>
      <c r="J43" s="2657"/>
      <c r="N43" s="4187" t="s">
        <v>1678</v>
      </c>
      <c r="O43" s="4187"/>
      <c r="P43" s="4188"/>
      <c r="Q43" s="4188"/>
      <c r="R43" s="4188"/>
      <c r="S43" s="4188"/>
      <c r="T43" s="2499"/>
      <c r="AG43" s="2572"/>
      <c r="AH43" s="2574"/>
      <c r="AI43" s="2574"/>
      <c r="AJ43" s="2574"/>
      <c r="AK43" s="2574"/>
      <c r="AL43" s="2574"/>
      <c r="AM43" s="2621"/>
      <c r="AN43" s="2658"/>
      <c r="AO43" s="2659"/>
      <c r="AP43" s="2660"/>
      <c r="AQ43" s="2660"/>
      <c r="AR43" s="2660"/>
      <c r="AS43" s="2574"/>
      <c r="AT43" s="2574"/>
      <c r="AU43" s="2577"/>
      <c r="AV43" s="2574"/>
      <c r="BU43" s="2632" t="s">
        <v>1676</v>
      </c>
      <c r="BV43" s="2636">
        <v>4</v>
      </c>
      <c r="BW43" s="2637">
        <v>0.8</v>
      </c>
      <c r="BX43" s="2638">
        <f>+'Estados Financieros'!E31</f>
        <v>0</v>
      </c>
      <c r="BY43" s="2638">
        <f>+'Estados Financieros'!F31</f>
        <v>0</v>
      </c>
      <c r="BZ43" s="2638">
        <f>+'Estados Financieros'!G31</f>
        <v>0</v>
      </c>
      <c r="CA43" s="2638">
        <f>+'Estados Financieros'!H31</f>
        <v>0</v>
      </c>
      <c r="CB43" s="2638">
        <f>+'Estados Financieros'!I31</f>
        <v>0</v>
      </c>
      <c r="CC43" s="2639">
        <f t="shared" si="9"/>
        <v>0</v>
      </c>
      <c r="CD43" s="2640">
        <f t="shared" si="10"/>
        <v>0</v>
      </c>
      <c r="CE43" s="2640">
        <f t="shared" si="11"/>
        <v>0</v>
      </c>
      <c r="CF43" s="2640">
        <f t="shared" si="12"/>
        <v>0</v>
      </c>
      <c r="CG43" s="2641">
        <f t="shared" si="13"/>
        <v>0</v>
      </c>
      <c r="CH43" s="2632" t="s">
        <v>1677</v>
      </c>
      <c r="CI43" s="2638">
        <f>'Estados Financieros'!E219</f>
        <v>0</v>
      </c>
      <c r="CJ43" s="2638">
        <f>'Estados Financieros'!F219</f>
        <v>0</v>
      </c>
      <c r="CK43" s="2638">
        <f>'Estados Financieros'!G219</f>
        <v>0</v>
      </c>
      <c r="CL43" s="2638">
        <f>'Estados Financieros'!H219</f>
        <v>0</v>
      </c>
      <c r="CM43" s="2638">
        <f>'Estados Financieros'!I219</f>
        <v>0</v>
      </c>
    </row>
    <row r="44" spans="1:91" ht="25.5" thickBot="1">
      <c r="B44" s="2499"/>
      <c r="C44" s="2499"/>
      <c r="D44" s="2499"/>
      <c r="E44" s="2499"/>
      <c r="F44" s="2499"/>
      <c r="G44" s="2656"/>
      <c r="H44" s="2657"/>
      <c r="I44" s="2657"/>
      <c r="J44" s="2657"/>
      <c r="N44" s="2662"/>
      <c r="O44" s="2662"/>
      <c r="P44" s="2663"/>
      <c r="Q44" s="2663"/>
      <c r="R44" s="2663"/>
      <c r="S44" s="2663"/>
      <c r="T44" s="2499"/>
      <c r="U44" s="2499"/>
      <c r="V44" s="2499"/>
      <c r="W44" s="2499"/>
      <c r="X44" s="2499"/>
      <c r="Y44" s="2499"/>
      <c r="Z44" s="2499"/>
      <c r="AA44" s="2499"/>
      <c r="AB44" s="2499"/>
      <c r="AC44" s="2499"/>
      <c r="AD44" s="2499"/>
      <c r="AG44" s="2584">
        <v>2</v>
      </c>
      <c r="AH44" s="2585" t="s">
        <v>1679</v>
      </c>
      <c r="AI44" s="2586" t="e">
        <f>IF(AND($AU$45&gt;=1,$AU$45&lt;=1.61),"R1",IF(AND($AU$45&gt;1.61,$AU$45&lt;=2.21),"R2",IF(AND($AU$45&gt;2.21,$AU$45&lt;=2.81),"R3",IF(AND($AU$45&gt;2.81,$AU$45&lt;=3.31),"R4",IF(AND($AU$45&gt;3.31,$AU$45&lt;=4.1),"R5",0)))))</f>
        <v>#DIV/0!</v>
      </c>
      <c r="AJ44" s="2574"/>
      <c r="AK44" s="2574"/>
      <c r="AL44" s="2574"/>
      <c r="AM44" s="2574"/>
      <c r="AN44" s="2574"/>
      <c r="AO44" s="2574"/>
      <c r="AP44" s="2576" t="s">
        <v>1647</v>
      </c>
      <c r="AQ44" s="2576" t="s">
        <v>1648</v>
      </c>
      <c r="AR44" s="2576" t="s">
        <v>1649</v>
      </c>
      <c r="AS44" s="2576" t="s">
        <v>1650</v>
      </c>
      <c r="AT44" s="2574"/>
      <c r="AU44" s="2577"/>
      <c r="AV44" s="2574"/>
      <c r="BK44" s="2661"/>
      <c r="BU44" s="2632" t="s">
        <v>1598</v>
      </c>
      <c r="BV44" s="2636">
        <v>2</v>
      </c>
      <c r="BW44" s="2637">
        <v>0.4</v>
      </c>
      <c r="BX44" s="2638">
        <f>'Estados Financieros'!E69</f>
        <v>0</v>
      </c>
      <c r="BY44" s="2638">
        <f>'Estados Financieros'!F69</f>
        <v>0</v>
      </c>
      <c r="BZ44" s="2638">
        <f>'Estados Financieros'!G69</f>
        <v>0</v>
      </c>
      <c r="CA44" s="2638">
        <f>'Estados Financieros'!H69</f>
        <v>0</v>
      </c>
      <c r="CB44" s="2638">
        <f>'Estados Financieros'!I69</f>
        <v>0</v>
      </c>
      <c r="CC44" s="2639">
        <f t="shared" si="9"/>
        <v>0</v>
      </c>
      <c r="CD44" s="2640">
        <f t="shared" si="10"/>
        <v>0</v>
      </c>
      <c r="CE44" s="2640">
        <f t="shared" si="11"/>
        <v>0</v>
      </c>
      <c r="CF44" s="2640">
        <f t="shared" si="12"/>
        <v>0</v>
      </c>
      <c r="CG44" s="2641">
        <f t="shared" si="13"/>
        <v>0</v>
      </c>
      <c r="CH44" s="2632" t="s">
        <v>1680</v>
      </c>
      <c r="CI44" s="2638">
        <f>'Estados Financieros'!E231</f>
        <v>0</v>
      </c>
      <c r="CJ44" s="2638">
        <f>'Estados Financieros'!F231</f>
        <v>0</v>
      </c>
      <c r="CK44" s="2638">
        <f>'Estados Financieros'!G231</f>
        <v>0</v>
      </c>
      <c r="CL44" s="2638">
        <f>'Estados Financieros'!H231</f>
        <v>0</v>
      </c>
      <c r="CM44" s="2638">
        <f>'Estados Financieros'!I231</f>
        <v>0</v>
      </c>
    </row>
    <row r="45" spans="1:91" ht="28.5" thickBot="1">
      <c r="B45" s="4075" t="str">
        <f>B6</f>
        <v/>
      </c>
      <c r="C45" s="4076"/>
      <c r="D45" s="4076"/>
      <c r="E45" s="4076"/>
      <c r="F45" s="4076"/>
      <c r="G45" s="4076"/>
      <c r="H45" s="4076"/>
      <c r="I45" s="4076"/>
      <c r="J45" s="4077"/>
      <c r="N45" s="2665" t="str">
        <f>N10</f>
        <v xml:space="preserve">  (Cifras en $ MM)</v>
      </c>
      <c r="O45" s="2666" t="str">
        <f>CONCATENATE("MARC: ",Presentación!G5)</f>
        <v xml:space="preserve">MARC: </v>
      </c>
      <c r="P45" s="4196" t="s">
        <v>2167</v>
      </c>
      <c r="Q45" s="4196"/>
      <c r="R45" s="4196"/>
      <c r="S45" s="4196"/>
      <c r="T45" s="2499"/>
      <c r="U45" s="2499"/>
      <c r="V45" s="2499"/>
      <c r="W45" s="2499"/>
      <c r="X45" s="2499"/>
      <c r="Y45" s="2499"/>
      <c r="Z45" s="2499"/>
      <c r="AA45" s="2499"/>
      <c r="AB45" s="2499"/>
      <c r="AC45" s="2499"/>
      <c r="AD45" s="2499"/>
      <c r="AG45" s="2664"/>
      <c r="AH45" s="4189"/>
      <c r="AI45" s="4190"/>
      <c r="AJ45" s="4190"/>
      <c r="AK45" s="4190"/>
      <c r="AL45" s="4190"/>
      <c r="AM45" s="4190"/>
      <c r="AN45" s="4190"/>
      <c r="AO45" s="4190"/>
      <c r="AP45" s="4190"/>
      <c r="AQ45" s="4190"/>
      <c r="AR45" s="4190"/>
      <c r="AS45" s="4191"/>
      <c r="AT45" s="2592" t="s">
        <v>1654</v>
      </c>
      <c r="AU45" s="2593" t="e">
        <f>SUM(AU47:AU49)+AU51</f>
        <v>#DIV/0!</v>
      </c>
      <c r="AV45" s="2574"/>
      <c r="BU45" s="2632" t="s">
        <v>1681</v>
      </c>
      <c r="BV45" s="2636">
        <v>3</v>
      </c>
      <c r="BW45" s="2637">
        <v>0.6</v>
      </c>
      <c r="BX45" s="2638">
        <f>'Estados Financieros'!E38</f>
        <v>0</v>
      </c>
      <c r="BY45" s="2638">
        <f>'Estados Financieros'!F38</f>
        <v>0</v>
      </c>
      <c r="BZ45" s="2638">
        <f>'Estados Financieros'!G38</f>
        <v>0</v>
      </c>
      <c r="CA45" s="2638">
        <f>'Estados Financieros'!H38</f>
        <v>0</v>
      </c>
      <c r="CB45" s="2638">
        <f>'Estados Financieros'!I38</f>
        <v>0</v>
      </c>
      <c r="CC45" s="2639">
        <f t="shared" si="9"/>
        <v>0</v>
      </c>
      <c r="CD45" s="2640">
        <f t="shared" si="10"/>
        <v>0</v>
      </c>
      <c r="CE45" s="2640">
        <f t="shared" si="11"/>
        <v>0</v>
      </c>
      <c r="CF45" s="2640">
        <f t="shared" si="12"/>
        <v>0</v>
      </c>
      <c r="CG45" s="2641">
        <f t="shared" si="13"/>
        <v>0</v>
      </c>
      <c r="CH45" s="2632" t="s">
        <v>1682</v>
      </c>
      <c r="CI45" s="2638">
        <f>'Estados Financieros'!E239</f>
        <v>0</v>
      </c>
      <c r="CJ45" s="2638">
        <f>'Estados Financieros'!F239</f>
        <v>0</v>
      </c>
      <c r="CK45" s="2638">
        <f>'Estados Financieros'!G239</f>
        <v>0</v>
      </c>
      <c r="CL45" s="2638">
        <f>'Estados Financieros'!H239</f>
        <v>0</v>
      </c>
      <c r="CM45" s="2638">
        <f>'Estados Financieros'!I239</f>
        <v>0</v>
      </c>
    </row>
    <row r="46" spans="1:91" s="2499" customFormat="1" ht="28" thickBot="1">
      <c r="B46" s="2508"/>
      <c r="C46" s="2508"/>
      <c r="D46" s="2508"/>
      <c r="E46" s="2508"/>
      <c r="F46" s="2508"/>
      <c r="G46" s="2508"/>
      <c r="H46" s="2508"/>
      <c r="I46" s="2508"/>
      <c r="J46" s="2508"/>
      <c r="AG46" s="2664"/>
      <c r="AH46" s="2667" t="s">
        <v>1683</v>
      </c>
      <c r="AI46" s="4166">
        <f>$O$11</f>
        <v>2020</v>
      </c>
      <c r="AJ46" s="4167"/>
      <c r="AK46" s="4168"/>
      <c r="AL46" s="2668">
        <f>$P$11</f>
        <v>2021</v>
      </c>
      <c r="AM46" s="2668">
        <f>$Q$11</f>
        <v>2022</v>
      </c>
      <c r="AN46" s="4169">
        <v>0.35</v>
      </c>
      <c r="AO46" s="4170"/>
      <c r="AP46" s="2589">
        <v>1</v>
      </c>
      <c r="AQ46" s="2590">
        <v>2</v>
      </c>
      <c r="AR46" s="2590">
        <v>3</v>
      </c>
      <c r="AS46" s="2591">
        <v>4</v>
      </c>
      <c r="AT46" s="2592"/>
      <c r="AU46" s="2669" t="e">
        <f>+SUM(AU47:AU49)</f>
        <v>#DIV/0!</v>
      </c>
      <c r="AV46" s="2574"/>
      <c r="AW46" s="4112" t="s">
        <v>1684</v>
      </c>
      <c r="AX46" s="4112"/>
      <c r="AY46" s="4112"/>
      <c r="BA46" s="4112" t="s">
        <v>1685</v>
      </c>
      <c r="BB46" s="4112"/>
      <c r="BC46" s="4112"/>
      <c r="BE46" s="4112" t="s">
        <v>1686</v>
      </c>
      <c r="BF46" s="4112"/>
      <c r="BG46" s="4112"/>
      <c r="BI46" s="4112" t="s">
        <v>1687</v>
      </c>
      <c r="BJ46" s="4112"/>
      <c r="BK46" s="4112"/>
      <c r="BU46" s="2632" t="s">
        <v>1688</v>
      </c>
      <c r="BV46" s="2636">
        <v>2</v>
      </c>
      <c r="BW46" s="2637">
        <v>0.4</v>
      </c>
      <c r="BX46" s="2638">
        <f>'Estados Financieros'!E54-'Estados Financieros'!E42+'Estados Financieros'!E81+'Estados Financieros'!E89</f>
        <v>0</v>
      </c>
      <c r="BY46" s="2638">
        <f>'Estados Financieros'!F54-'Estados Financieros'!F42+'Estados Financieros'!F81+'Estados Financieros'!F89</f>
        <v>0</v>
      </c>
      <c r="BZ46" s="2638">
        <f>'Estados Financieros'!G54-'Estados Financieros'!G42+'Estados Financieros'!G81+'Estados Financieros'!G89</f>
        <v>0</v>
      </c>
      <c r="CA46" s="2638">
        <f>'Estados Financieros'!H54-'Estados Financieros'!H42+'Estados Financieros'!H81+'Estados Financieros'!H89</f>
        <v>0</v>
      </c>
      <c r="CB46" s="2638">
        <f>'Estados Financieros'!I54-'Estados Financieros'!I42+'Estados Financieros'!I81+'Estados Financieros'!I89</f>
        <v>0</v>
      </c>
      <c r="CC46" s="2639">
        <f t="shared" si="9"/>
        <v>0</v>
      </c>
      <c r="CD46" s="2640">
        <f t="shared" si="10"/>
        <v>0</v>
      </c>
      <c r="CE46" s="2640">
        <f t="shared" si="11"/>
        <v>0</v>
      </c>
      <c r="CF46" s="2640">
        <f t="shared" si="12"/>
        <v>0</v>
      </c>
      <c r="CG46" s="2641">
        <f t="shared" si="13"/>
        <v>0</v>
      </c>
      <c r="CH46" s="2632" t="s">
        <v>1689</v>
      </c>
      <c r="CI46" s="2638">
        <f>'Estados Financieros'!E252</f>
        <v>0</v>
      </c>
      <c r="CJ46" s="2638">
        <f>'Estados Financieros'!F252</f>
        <v>0</v>
      </c>
      <c r="CK46" s="2638">
        <f>'Estados Financieros'!G252</f>
        <v>0</v>
      </c>
      <c r="CL46" s="2638">
        <f>'Estados Financieros'!H252</f>
        <v>0</v>
      </c>
      <c r="CM46" s="2638">
        <f>'Estados Financieros'!I252</f>
        <v>0</v>
      </c>
    </row>
    <row r="47" spans="1:91" s="2499" customFormat="1" ht="28.5" thickBot="1">
      <c r="B47" s="2510" t="s">
        <v>899</v>
      </c>
      <c r="C47" s="2511"/>
      <c r="D47" s="2511"/>
      <c r="E47" s="2512"/>
      <c r="F47" s="2508"/>
      <c r="G47" s="2510" t="s">
        <v>1592</v>
      </c>
      <c r="H47" s="2511"/>
      <c r="I47" s="2511"/>
      <c r="J47" s="2512"/>
      <c r="N47" s="4192" t="s">
        <v>1691</v>
      </c>
      <c r="O47" s="4193"/>
      <c r="P47" s="2679" t="s">
        <v>1692</v>
      </c>
      <c r="Q47" s="2679" t="s">
        <v>1693</v>
      </c>
      <c r="R47" s="2679" t="s">
        <v>1694</v>
      </c>
      <c r="S47" s="2680" t="s">
        <v>1695</v>
      </c>
      <c r="AG47" s="2572"/>
      <c r="AH47" s="2670" t="s">
        <v>1690</v>
      </c>
      <c r="AI47" s="4164" t="e">
        <f>$O$37</f>
        <v>#DIV/0!</v>
      </c>
      <c r="AJ47" s="4165"/>
      <c r="AK47" s="4165"/>
      <c r="AL47" s="2671" t="e">
        <f>P37</f>
        <v>#DIV/0!</v>
      </c>
      <c r="AM47" s="2672" t="e">
        <f>Q37</f>
        <v>#DIV/0!</v>
      </c>
      <c r="AN47" s="2673">
        <v>0.1</v>
      </c>
      <c r="AO47" s="2674">
        <v>0.6</v>
      </c>
      <c r="AP47" s="2675" t="e">
        <f>IF($AW$47="1",1," ")</f>
        <v>#DIV/0!</v>
      </c>
      <c r="AQ47" s="2675" t="e">
        <f>IF($BA$47="2",2," ")</f>
        <v>#DIV/0!</v>
      </c>
      <c r="AR47" s="2675" t="e">
        <f>IF($BE$47="3",3," ")</f>
        <v>#DIV/0!</v>
      </c>
      <c r="AS47" s="2676" t="e">
        <f>IF($BI$47="4",4," ")</f>
        <v>#DIV/0!</v>
      </c>
      <c r="AT47" s="2607" t="e">
        <f>IF(AP47&lt;&gt;"",$AP$46,IF(AQ47&lt;&gt;"",$AQ$46,IF(AR47&lt;&gt;"",$AR$46,IF(AS47&lt;&gt;"",$AS$46,"P"))))</f>
        <v>#DIV/0!</v>
      </c>
      <c r="AU47" s="2677" t="e">
        <f>AT47*AN47</f>
        <v>#DIV/0!</v>
      </c>
      <c r="AV47" s="2574"/>
      <c r="AW47" s="4161" t="e">
        <f>IF(AND($AH$35="Sector Comercio",($AI$47&gt;=2)),"1",IF(AND($AH$35="Sector industrial",$AI$47&gt;2.5),"1",IF(AND($AH$35="Sector servicios",$AI$47&gt;2.3),"1",0)))</f>
        <v>#DIV/0!</v>
      </c>
      <c r="AX47" s="4162"/>
      <c r="AY47" s="4163"/>
      <c r="BA47" s="4161" t="e">
        <f>IF(AND($AH$35="Sector Comercio",($AI$47&gt;=1.2),($AI$47&lt;=1.9)),"2",IF(AND($AH$35="Sector industrial",($AI$47&gt;=1.4),($AI$47&lt;=2.4)),"2",IF(AND($AH$35="Sector servicios",($AI$47&gt;=1.4),($AI$47&lt;=2.2)),"2",0)))</f>
        <v>#DIV/0!</v>
      </c>
      <c r="BB47" s="4162"/>
      <c r="BC47" s="4163"/>
      <c r="BE47" s="4161" t="e">
        <f>IF(AND($AH$35="Sector Comercio",($AI$47&gt;=1),($AI$47&lt;=1.1)),"3",IF(AND($AH$35="Sector industrial",($AI$47&gt;=1),($AI$47&lt;=1.3)),"3",IF(AND($AH$35="Sector servicios",($AI$47&gt;=1.1),($AI$47&lt;=1.3)),"3",0)))</f>
        <v>#DIV/0!</v>
      </c>
      <c r="BF47" s="4162"/>
      <c r="BG47" s="4163"/>
      <c r="BI47" s="4161" t="e">
        <f>IF(AND($AH$35="Sector Comercio",($AI$47&lt;=1)),"4",IF(AND($AH$35="Sector industrial",($AI$47&lt;=1)),"4",IF(AND($AH$35="Sector servicios",($AI$47&lt;=1)),"4",0)))</f>
        <v>#DIV/0!</v>
      </c>
      <c r="BJ47" s="4162"/>
      <c r="BK47" s="4163"/>
      <c r="BU47" s="2632" t="s">
        <v>1689</v>
      </c>
      <c r="BV47" s="2636">
        <v>2</v>
      </c>
      <c r="BW47" s="2637">
        <v>0.4</v>
      </c>
      <c r="BX47" s="2638">
        <f>'Estados Financieros'!E42</f>
        <v>0</v>
      </c>
      <c r="BY47" s="2638">
        <f>'Estados Financieros'!F42</f>
        <v>0</v>
      </c>
      <c r="BZ47" s="2638">
        <f>'Estados Financieros'!G42</f>
        <v>0</v>
      </c>
      <c r="CA47" s="2638">
        <f>'Estados Financieros'!H42</f>
        <v>0</v>
      </c>
      <c r="CB47" s="2638">
        <f>'Estados Financieros'!I42</f>
        <v>0</v>
      </c>
      <c r="CC47" s="2639">
        <f t="shared" si="9"/>
        <v>0</v>
      </c>
      <c r="CD47" s="2640">
        <f t="shared" si="10"/>
        <v>0</v>
      </c>
      <c r="CE47" s="2640">
        <f t="shared" si="11"/>
        <v>0</v>
      </c>
      <c r="CF47" s="2640">
        <f t="shared" si="12"/>
        <v>0</v>
      </c>
      <c r="CG47" s="2641">
        <f t="shared" si="13"/>
        <v>0</v>
      </c>
      <c r="CH47" s="2632" t="s">
        <v>453</v>
      </c>
      <c r="CI47" s="2638">
        <f>'Estados Financieros'!E265</f>
        <v>0</v>
      </c>
      <c r="CJ47" s="2638">
        <f>'Estados Financieros'!F265</f>
        <v>0</v>
      </c>
      <c r="CK47" s="2638">
        <f>'Estados Financieros'!G265</f>
        <v>0</v>
      </c>
      <c r="CL47" s="2638">
        <f>'Estados Financieros'!H265</f>
        <v>0</v>
      </c>
      <c r="CM47" s="2638">
        <f>'Estados Financieros'!I265</f>
        <v>0</v>
      </c>
    </row>
    <row r="48" spans="1:91" s="2499" customFormat="1" ht="28.5" thickBot="1">
      <c r="B48" s="2513"/>
      <c r="C48" s="2548" t="str">
        <f>IF('Balances y Proyecciones'!$K$16="Diciembre","N.A",CONCATENATE(LEFT('Balances y Proyecciones'!$K$16,3)," ",CONCATENATE(RIGHT('Balances y Proyecciones'!$K$15,2))))</f>
        <v>Jun 19</v>
      </c>
      <c r="D48" s="2678"/>
      <c r="E48" s="2512" t="str">
        <f>IF('Balances y Proyecciones'!$K$16="Diciembre","N.A",CONCATENATE(LEFT('Balances y Proyecciones'!$K$16,3)," ",CONCATENATE(RIGHT('Balances y Proyecciones'!$Q$15,2))))</f>
        <v>Jun 20</v>
      </c>
      <c r="F48" s="2508"/>
      <c r="G48" s="2513"/>
      <c r="H48" s="2514" t="str">
        <f>$C$48</f>
        <v>Jun 19</v>
      </c>
      <c r="I48" s="2678"/>
      <c r="J48" s="2512" t="str">
        <f>$E$48</f>
        <v>Jun 20</v>
      </c>
      <c r="N48" s="4154" t="s">
        <v>1698</v>
      </c>
      <c r="O48" s="4155"/>
      <c r="P48" s="2694" t="s">
        <v>1699</v>
      </c>
      <c r="Q48" s="2695"/>
      <c r="R48" s="2695"/>
      <c r="S48" s="2695"/>
      <c r="AG48" s="2572"/>
      <c r="AH48" s="2681" t="s">
        <v>1696</v>
      </c>
      <c r="AI48" s="4194" t="e">
        <f>CI79</f>
        <v>#DIV/0!</v>
      </c>
      <c r="AJ48" s="4195"/>
      <c r="AK48" s="4195"/>
      <c r="AL48" s="2682" t="e">
        <f>CJ79</f>
        <v>#DIV/0!</v>
      </c>
      <c r="AM48" s="2683" t="e">
        <f>CK79</f>
        <v>#DIV/0!</v>
      </c>
      <c r="AN48" s="2684">
        <v>0.1</v>
      </c>
      <c r="AO48" s="2685"/>
      <c r="AP48" s="2675" t="e">
        <f>IF($AW$49="1",1," ")</f>
        <v>#DIV/0!</v>
      </c>
      <c r="AQ48" s="2675" t="e">
        <f>IF($BA$49="2",2," ")</f>
        <v>#DIV/0!</v>
      </c>
      <c r="AR48" s="2675" t="e">
        <f>IF($BE$49="3",3," ")</f>
        <v>#DIV/0!</v>
      </c>
      <c r="AS48" s="2676" t="e">
        <f>IF($BI$49="4",4," ")</f>
        <v>#DIV/0!</v>
      </c>
      <c r="AT48" s="2624" t="e">
        <f>IF(AP48&lt;&gt;"",$AP$46,IF(AQ48&lt;&gt;"",$AQ$46,IF(AR48&lt;&gt;"",$AR$46,IF(AS48&lt;&gt;"",$AS$46,"P"))))</f>
        <v>#DIV/0!</v>
      </c>
      <c r="AU48" s="2686" t="e">
        <f>AT48*AN48</f>
        <v>#DIV/0!</v>
      </c>
      <c r="AV48" s="176"/>
      <c r="AW48" s="4112" t="s">
        <v>1684</v>
      </c>
      <c r="AX48" s="4112"/>
      <c r="AY48" s="4112"/>
      <c r="BA48" s="4112" t="s">
        <v>1685</v>
      </c>
      <c r="BB48" s="4112"/>
      <c r="BC48" s="4112"/>
      <c r="BE48" s="4112" t="s">
        <v>1686</v>
      </c>
      <c r="BF48" s="4112"/>
      <c r="BG48" s="4112"/>
      <c r="BI48" s="4112" t="s">
        <v>1687</v>
      </c>
      <c r="BJ48" s="4112"/>
      <c r="BK48" s="4112"/>
      <c r="BU48" s="2687" t="s">
        <v>1603</v>
      </c>
      <c r="BV48" s="2688"/>
      <c r="BW48" s="2689"/>
      <c r="BX48" s="2690">
        <f>'Estados Financieros'!E96</f>
        <v>0</v>
      </c>
      <c r="BY48" s="2690">
        <f>'Estados Financieros'!F96</f>
        <v>0</v>
      </c>
      <c r="BZ48" s="2690">
        <f>'Estados Financieros'!G96</f>
        <v>0</v>
      </c>
      <c r="CA48" s="2690">
        <f>'Estados Financieros'!H96</f>
        <v>0</v>
      </c>
      <c r="CB48" s="2690">
        <f>'Estados Financieros'!I96</f>
        <v>0</v>
      </c>
      <c r="CC48" s="2639"/>
      <c r="CD48" s="2640"/>
      <c r="CE48" s="2640"/>
      <c r="CF48" s="2640"/>
      <c r="CG48" s="2641"/>
      <c r="CH48" s="2632"/>
      <c r="CI48" s="2626"/>
    </row>
    <row r="49" spans="2:91" s="2499" customFormat="1" ht="28" thickBot="1">
      <c r="B49" s="2515" t="s">
        <v>1697</v>
      </c>
      <c r="C49" s="2691" t="str">
        <f>IF(Resumen!$C$48=0,"N.D",Resumen!$C$48)</f>
        <v>N.D</v>
      </c>
      <c r="D49" s="2692"/>
      <c r="E49" s="2693" t="str">
        <f>IF(Resumen!$E$48=0,"N.D",Resumen!$E$48)</f>
        <v>N.D</v>
      </c>
      <c r="F49" s="2508"/>
      <c r="G49" s="2516" t="s">
        <v>1593</v>
      </c>
      <c r="H49" s="2517">
        <f>IF(('Balances y Proyecciones'!Q17)&lt;&gt;360,'Balances y Proyecciones'!K71,'Balances y Proyecciones'!K71)</f>
        <v>0</v>
      </c>
      <c r="I49" s="2517"/>
      <c r="J49" s="2518">
        <f>IF(('Balances y Proyecciones'!Q17)&lt;&gt;360,'Balances y Proyecciones'!Q71,'Balances y Proyecciones'!Q71)</f>
        <v>0</v>
      </c>
      <c r="N49" s="4154" t="s">
        <v>1702</v>
      </c>
      <c r="O49" s="4155"/>
      <c r="P49" s="2695"/>
      <c r="Q49" s="2695"/>
      <c r="R49" s="2695"/>
      <c r="S49" s="2695"/>
      <c r="AG49" s="2572"/>
      <c r="AH49" s="2696" t="s">
        <v>1700</v>
      </c>
      <c r="AI49" s="4159"/>
      <c r="AJ49" s="4160"/>
      <c r="AK49" s="4160"/>
      <c r="AL49" s="2697"/>
      <c r="AM49" s="2698"/>
      <c r="AN49" s="2699">
        <v>0.15</v>
      </c>
      <c r="AO49" s="2700">
        <v>0.4</v>
      </c>
      <c r="AP49" s="2701"/>
      <c r="AQ49" s="2702"/>
      <c r="AR49" s="2702"/>
      <c r="AS49" s="2703"/>
      <c r="AT49" s="2652" t="str">
        <f>IF(AP49&lt;&gt;"",$AP$46,IF(AQ49&lt;&gt;"",$AQ$46,IF(AR49&lt;&gt;"",$AR$46,IF(AS49&lt;&gt;"",$AS$46,"P"))))</f>
        <v>P</v>
      </c>
      <c r="AU49" s="2704" t="e">
        <f>AT49*AN49</f>
        <v>#VALUE!</v>
      </c>
      <c r="AV49" s="176"/>
      <c r="AW49" s="4161" t="e">
        <f>IF(AND($AH$35="Sector Comercio",($AI$48&gt;=2)),"1",IF(AND($AH$35="Sector industrial",$AI$48&gt;2.5),"1",IF(AND($AH$35="Sector servicios",$AI$48&gt;2.3),"1",0)))</f>
        <v>#DIV/0!</v>
      </c>
      <c r="AX49" s="4162"/>
      <c r="AY49" s="4163"/>
      <c r="BA49" s="4161" t="e">
        <f>IF(AND($AH$35="Sector Comercio",($AI$48&gt;=1.2),($AI$48&lt;=1.9)),"2",IF(AND($AH$35="Sector industrial",($AI$48&gt;=1.4),($AI$48&lt;=2.4)),"2",IF(AND($AH$35="Sector servicios",($AI$48&gt;=1.4),($AI$48&lt;=2.2)),"2",0)))</f>
        <v>#DIV/0!</v>
      </c>
      <c r="BB49" s="4162"/>
      <c r="BC49" s="4163"/>
      <c r="BE49" s="4161" t="e">
        <f>IF(AND($AH$35="Sector Comercio",($AI$48&gt;=1),($AI$48&lt;=1.1)),"3",IF(AND($AH$35="Sector industrial",($AI$48&gt;=1),($AI$48&lt;=1.3)),"3",IF(AND($AH$35="Sector servicios",($AI$48&gt;=1.1),($AI$48&lt;=1.3)),"3",0)))</f>
        <v>#DIV/0!</v>
      </c>
      <c r="BF49" s="4162"/>
      <c r="BG49" s="4163"/>
      <c r="BI49" s="4161" t="e">
        <f>IF(AND($AH$35="Sector Comercio",($AI$48&lt;=1)),"4",IF(AND($AH$35="Sector industrial",($AI$48&lt;=1)),"4",IF(AND($AH$35="Sector servicios",($AI$48&lt;=1)),"4",0)))</f>
        <v>#DIV/0!</v>
      </c>
      <c r="BJ49" s="4162"/>
      <c r="BK49" s="4163"/>
      <c r="BU49" s="2687" t="s">
        <v>1701</v>
      </c>
      <c r="BV49" s="2688"/>
      <c r="BW49" s="2689"/>
      <c r="BX49" s="2690">
        <f>SUM(BX41:BX47)</f>
        <v>0</v>
      </c>
      <c r="BY49" s="2690">
        <f>SUM(BY41:BY47)</f>
        <v>0</v>
      </c>
      <c r="BZ49" s="2690">
        <f>SUM(BZ41:BZ47)</f>
        <v>0</v>
      </c>
      <c r="CA49" s="2690">
        <f>SUM(CA41:CA47)</f>
        <v>0</v>
      </c>
      <c r="CB49" s="2690">
        <f>SUM(CB41:CB47)</f>
        <v>0</v>
      </c>
      <c r="CC49" s="2639"/>
      <c r="CD49" s="2640"/>
      <c r="CE49" s="2640"/>
      <c r="CF49" s="2640"/>
      <c r="CG49" s="2641"/>
      <c r="CH49" s="2632"/>
      <c r="CI49" s="2626"/>
    </row>
    <row r="50" spans="2:91" ht="28.5" thickBot="1">
      <c r="B50" s="2520" t="s">
        <v>541</v>
      </c>
      <c r="C50" s="2521"/>
      <c r="D50" s="2521"/>
      <c r="E50" s="2522"/>
      <c r="F50" s="2508"/>
      <c r="G50" s="2516" t="s">
        <v>1594</v>
      </c>
      <c r="H50" s="2517">
        <f>IF(('Balances y Proyecciones'!Q17)&lt;&gt;360,-'Balances y Proyecciones'!K72-'Balances y Proyecciones'!K74,-'Balances y Proyecciones'!K72-'Balances y Proyecciones'!K74)</f>
        <v>0</v>
      </c>
      <c r="I50" s="2517"/>
      <c r="J50" s="2518">
        <f>IF(('Balances y Proyecciones'!Q17)&lt;&gt;360,-'Balances y Proyecciones'!Q72-'Balances y Proyecciones'!Q74,-'Balances y Proyecciones'!Q72-'Balances y Proyecciones'!Q74)</f>
        <v>0</v>
      </c>
      <c r="N50" s="4154" t="s">
        <v>1704</v>
      </c>
      <c r="O50" s="4155"/>
      <c r="P50" s="2695"/>
      <c r="Q50" s="2695"/>
      <c r="R50" s="2695"/>
      <c r="S50" s="2695"/>
      <c r="T50" s="2499"/>
      <c r="U50" s="2499"/>
      <c r="V50" s="2499"/>
      <c r="W50" s="2499"/>
      <c r="X50" s="2499"/>
      <c r="Y50" s="2499"/>
      <c r="Z50" s="2499"/>
      <c r="AA50" s="2499"/>
      <c r="AB50" s="2499"/>
      <c r="AC50" s="2499"/>
      <c r="AD50" s="2499"/>
      <c r="AG50" s="2572"/>
      <c r="AH50" s="2705"/>
      <c r="AI50" s="2705"/>
      <c r="AJ50" s="2706"/>
      <c r="AK50" s="2706"/>
      <c r="AL50" s="2706"/>
      <c r="AM50" s="2707"/>
      <c r="AN50" s="2708"/>
      <c r="AO50" s="2709"/>
      <c r="AP50" s="2706"/>
      <c r="AQ50" s="2706"/>
      <c r="AR50" s="2706"/>
      <c r="AS50" s="2706"/>
      <c r="AT50" s="2574"/>
      <c r="AU50" s="2710"/>
      <c r="AV50" s="176"/>
      <c r="BU50" s="2687" t="s">
        <v>1703</v>
      </c>
      <c r="BV50" s="2688"/>
      <c r="BW50" s="2711"/>
      <c r="BX50" s="2690">
        <f>+BX48-BX49</f>
        <v>0</v>
      </c>
      <c r="BY50" s="2690">
        <f>+BY48-BY49</f>
        <v>0</v>
      </c>
      <c r="BZ50" s="2690">
        <f>+BZ48-BZ49</f>
        <v>0</v>
      </c>
      <c r="CA50" s="2690">
        <f>+CA48-CA49</f>
        <v>0</v>
      </c>
      <c r="CB50" s="2690">
        <f>+CB48-CB49</f>
        <v>0</v>
      </c>
      <c r="CC50" s="2639"/>
      <c r="CD50" s="2640"/>
      <c r="CE50" s="2640"/>
      <c r="CF50" s="2640"/>
      <c r="CG50" s="2641"/>
      <c r="CH50" s="2632"/>
      <c r="CI50" s="2626"/>
      <c r="CJ50" s="2499"/>
      <c r="CK50" s="2499"/>
      <c r="CL50" s="2499"/>
      <c r="CM50" s="2499"/>
    </row>
    <row r="51" spans="2:91" ht="28.5" thickBot="1">
      <c r="B51" s="2516" t="s">
        <v>543</v>
      </c>
      <c r="C51" s="2526">
        <f>IF(('Balances y Proyecciones'!Q17)&lt;&gt;360,'Balances y Proyecciones'!K18,'Balances y Proyecciones'!K18)</f>
        <v>0</v>
      </c>
      <c r="D51" s="2526"/>
      <c r="E51" s="2527">
        <f>IF(('Balances y Proyecciones'!Q17)&lt;&gt;360,'Balances y Proyecciones'!Q18,'Balances y Proyecciones'!Q18)</f>
        <v>0</v>
      </c>
      <c r="F51" s="2508"/>
      <c r="G51" s="2528" t="s">
        <v>1480</v>
      </c>
      <c r="H51" s="2529">
        <f>H49+H50</f>
        <v>0</v>
      </c>
      <c r="I51" s="2529"/>
      <c r="J51" s="2530">
        <f>J49+J50</f>
        <v>0</v>
      </c>
      <c r="N51" s="4154" t="s">
        <v>1707</v>
      </c>
      <c r="O51" s="4155"/>
      <c r="P51" s="2695"/>
      <c r="Q51" s="2695"/>
      <c r="R51" s="2695"/>
      <c r="S51" s="2695"/>
      <c r="T51" s="2499"/>
      <c r="U51" s="2499"/>
      <c r="V51" s="2499"/>
      <c r="W51" s="2499"/>
      <c r="X51" s="2499"/>
      <c r="Y51" s="2499"/>
      <c r="Z51" s="2499"/>
      <c r="AA51" s="2499"/>
      <c r="AB51" s="2499"/>
      <c r="AC51" s="2499"/>
      <c r="AD51" s="2499"/>
      <c r="AG51" s="2572"/>
      <c r="AH51" s="2667" t="s">
        <v>1683</v>
      </c>
      <c r="AI51" s="2712" t="str">
        <f>'Estados Financieros'!$E$3</f>
        <v>Información Anual</v>
      </c>
      <c r="AJ51" s="2712" t="str">
        <f>+'Estados Financieros'!$F$3</f>
        <v>Información Anual</v>
      </c>
      <c r="AK51" s="2712" t="str">
        <f>+'Estados Financieros'!$G$3</f>
        <v>Información Anual</v>
      </c>
      <c r="AL51" s="2713" t="str">
        <f>CONCATENATE('Estados Financieros'!$H$4," ",'Estados Financieros'!$H$3)</f>
        <v>2020 Ultima Inf. Mensual Nueva</v>
      </c>
      <c r="AM51" s="2714" t="str">
        <f>CONCATENATE('Estados Financieros'!$I$4," ",'Estados Financieros'!$I$3)</f>
        <v>2019 Información Mensual Histórica</v>
      </c>
      <c r="AN51" s="2715">
        <v>0.65</v>
      </c>
      <c r="AO51" s="2716"/>
      <c r="AP51" s="2589">
        <v>1</v>
      </c>
      <c r="AQ51" s="2590">
        <v>2</v>
      </c>
      <c r="AR51" s="2590">
        <v>3</v>
      </c>
      <c r="AS51" s="2591">
        <v>4</v>
      </c>
      <c r="AT51" s="2592" t="s">
        <v>1654</v>
      </c>
      <c r="AU51" s="2717" t="e">
        <f>SUM(AU52:AU63)</f>
        <v>#VALUE!</v>
      </c>
      <c r="AV51" s="2574"/>
      <c r="AW51" s="4112" t="s">
        <v>1684</v>
      </c>
      <c r="AX51" s="4112"/>
      <c r="AY51" s="4112"/>
      <c r="BA51" s="4112" t="s">
        <v>1685</v>
      </c>
      <c r="BB51" s="4112"/>
      <c r="BC51" s="4112"/>
      <c r="BE51" s="4112" t="s">
        <v>1686</v>
      </c>
      <c r="BF51" s="4112"/>
      <c r="BG51" s="4112"/>
      <c r="BI51" s="4112" t="s">
        <v>1687</v>
      </c>
      <c r="BJ51" s="4112"/>
      <c r="BK51" s="4112"/>
      <c r="BM51" s="4112" t="s">
        <v>1265</v>
      </c>
      <c r="BN51" s="4112"/>
      <c r="BO51" s="4112"/>
      <c r="BU51" s="2625" t="s">
        <v>1705</v>
      </c>
      <c r="BV51" s="2636"/>
      <c r="BW51" s="2636"/>
      <c r="CC51" s="2639"/>
      <c r="CD51" s="2640"/>
      <c r="CE51" s="2640"/>
      <c r="CF51" s="2640"/>
      <c r="CG51" s="2641"/>
      <c r="CH51" s="2718" t="s">
        <v>1706</v>
      </c>
      <c r="CI51" s="2719">
        <f>+SUM(CI41:CI47)</f>
        <v>0</v>
      </c>
      <c r="CJ51" s="2719">
        <f>+SUM(CJ41:CJ47)</f>
        <v>0</v>
      </c>
      <c r="CK51" s="2719">
        <f>+SUM(CK41:CK47)</f>
        <v>0</v>
      </c>
      <c r="CL51" s="2719">
        <f>+SUM(CL41:CL47)</f>
        <v>0</v>
      </c>
      <c r="CM51" s="2719">
        <f>+SUM(CM41:CM47)</f>
        <v>0</v>
      </c>
    </row>
    <row r="52" spans="2:91" ht="28.5" thickBot="1">
      <c r="B52" s="2516" t="s">
        <v>107</v>
      </c>
      <c r="C52" s="2526">
        <f>IF(('Balances y Proyecciones'!Q17)&lt;&gt;360,'Balances y Proyecciones'!K19+'Balances y Proyecciones'!K20,'Balances y Proyecciones'!K19+'Balances y Proyecciones'!K20)</f>
        <v>0</v>
      </c>
      <c r="D52" s="2526"/>
      <c r="E52" s="2527">
        <f>IF(('Balances y Proyecciones'!Q17)&lt;&gt;360,'Balances y Proyecciones'!Q19+'Balances y Proyecciones'!Q20,'Balances y Proyecciones'!Q19+'Balances y Proyecciones'!Q20)</f>
        <v>0</v>
      </c>
      <c r="F52" s="2508"/>
      <c r="G52" s="2528" t="s">
        <v>881</v>
      </c>
      <c r="H52" s="2529">
        <f>IF(('Balances y Proyecciones'!Q17)&lt;&gt;360,'Balances y Proyecciones'!K93,'Balances y Proyecciones'!K93)</f>
        <v>0</v>
      </c>
      <c r="I52" s="2529"/>
      <c r="J52" s="2530">
        <f>IF(('Balances y Proyecciones'!Q17)&lt;&gt;360,'Balances y Proyecciones'!Q93,'Balances y Proyecciones'!Q93)</f>
        <v>0</v>
      </c>
      <c r="N52" s="4154" t="s">
        <v>1709</v>
      </c>
      <c r="O52" s="4155"/>
      <c r="P52" s="2695"/>
      <c r="Q52" s="2695"/>
      <c r="R52" s="2695"/>
      <c r="S52" s="2695"/>
      <c r="AG52" s="2572"/>
      <c r="AH52" s="2670" t="s">
        <v>1708</v>
      </c>
      <c r="AI52" s="4156" t="str">
        <f>IF('Estados Financieros'!$E$387&gt;0,(('Estados Financieros'!$E$197+'Estados Financieros'!$F$271)/'Balances y Proyecciones'!$E$93)," ")</f>
        <v xml:space="preserve"> </v>
      </c>
      <c r="AJ52" s="4139" t="str">
        <f>IF('Estados Financieros'!$F$387&gt;1,('Estados Financieros'!$F$197+'Estados Financieros'!$F$271)/'Balances y Proyecciones'!$H$93," ")</f>
        <v xml:space="preserve"> </v>
      </c>
      <c r="AK52" s="4139" t="str">
        <f>IF('Estados Financieros'!$G$387&gt;1,('Estados Financieros'!$G$197+'Estados Financieros'!$G$271)/'Balances y Proyecciones'!$N$93," ")</f>
        <v xml:space="preserve"> </v>
      </c>
      <c r="AL52" s="4141" t="str">
        <f>IF('Estados Financieros'!$H$387&gt;1,('Estados Financieros'!$H$197+'Estados Financieros'!$H$271)/'Balances y Proyecciones'!$Q$93," ")</f>
        <v xml:space="preserve"> </v>
      </c>
      <c r="AM52" s="4141" t="str">
        <f>IF('Estados Financieros'!$I$387&gt;1,('Estados Financieros'!$I$197+'Estados Financieros'!$I$271)/'Balances y Proyecciones'!$K$93," ")</f>
        <v xml:space="preserve"> </v>
      </c>
      <c r="AN52" s="2720">
        <v>0.08</v>
      </c>
      <c r="AO52" s="2721">
        <v>0.2</v>
      </c>
      <c r="AP52" s="2722" t="e">
        <f>IF($AW$52="1",1," ")</f>
        <v>#VALUE!</v>
      </c>
      <c r="AQ52" s="2675" t="e">
        <f>IF($BA$52="2",2," ")</f>
        <v>#VALUE!</v>
      </c>
      <c r="AR52" s="2675" t="e">
        <f>IF($BE$52="3",3," ")</f>
        <v>#VALUE!</v>
      </c>
      <c r="AS52" s="2676" t="e">
        <f>IF($BI$52="4",4," ")</f>
        <v>#VALUE!</v>
      </c>
      <c r="AT52" s="2723" t="e">
        <f>IF(AP52&lt;&gt;" ",$AP$51,IF(AQ52&lt;&gt;" ",$AQ$51,IF(AR52&lt;&gt;" ",$AR$51,IF(AS52&lt;&gt;" ",$AS$51,"P"))))</f>
        <v>#VALUE!</v>
      </c>
      <c r="AU52" s="2677" t="e">
        <f t="shared" ref="AU52:AU63" si="14">AT52*AN52</f>
        <v>#VALUE!</v>
      </c>
      <c r="AV52" s="2574"/>
      <c r="AW52" s="4113" t="e">
        <f>IF(AND($AH$35="Sector Comercio",($BM$52&gt;=0),($BM$52&lt;=2)),"1",IF(AND($AH$35="Sector industrial",($BM$52&gt;=0),($BM$52&lt;=1.9)),"1",IF(AND($AH$35="Sector servicios",($BM$52&gt;=0),($BM$52&lt;=1.9)),"1",0)))</f>
        <v>#VALUE!</v>
      </c>
      <c r="AX52" s="4114"/>
      <c r="AY52" s="4115"/>
      <c r="BA52" s="4116" t="e">
        <f>IF(AND($AH$35="Sector Comercio",($BM$52&gt;=2),($BM$52&lt;=3.5)),"2",IF(AND($AH$35="Sector industrial",($BM$52&gt;=2),($BM$52&lt;=3)),"2",IF(AND($AH$35="Sector servicios",($BM$52&gt;=2),($BM$52&lt;=3)),"2",0)))</f>
        <v>#VALUE!</v>
      </c>
      <c r="BB52" s="4117"/>
      <c r="BC52" s="4118"/>
      <c r="BE52" s="4116" t="e">
        <f>IF(AND($AH$35="Sector Comercio",($BM$52&gt;=3.5),($BM$52&lt;=5)),"3",IF(AND($AH$35="Sector industrial",($BM$52&gt;=3),($BM$52&lt;=4.5)),"3",IF(AND($AH$35="Sector servicios",($BM$52&gt;=3),($BM$52&lt;=4.5)),"3",0)))</f>
        <v>#VALUE!</v>
      </c>
      <c r="BF52" s="4117"/>
      <c r="BG52" s="4118"/>
      <c r="BI52" s="4116" t="e">
        <f>IF(AND($AH$35="Sector Comercio",($BM$52&gt;=5)),"4",IF(AND($AH$35="Sector industrial",($BM$52&gt;=4.5)),"4",IF(AND($AH$35="Sector servicios",($BM$52&gt;=4.5)),"4",0)))</f>
        <v>#VALUE!</v>
      </c>
      <c r="BJ52" s="4117"/>
      <c r="BK52" s="4118"/>
      <c r="BM52" s="4116" t="e">
        <f>AK52*50%+AL52*50%</f>
        <v>#VALUE!</v>
      </c>
      <c r="BN52" s="4117"/>
      <c r="BO52" s="4118"/>
      <c r="BU52" s="2632" t="s">
        <v>617</v>
      </c>
      <c r="BV52" s="2636">
        <v>4</v>
      </c>
      <c r="BW52" s="2637">
        <v>0.8</v>
      </c>
      <c r="BX52" s="2638">
        <f>'Estados Financieros'!E98</f>
        <v>0</v>
      </c>
      <c r="BY52" s="2638">
        <f>'Estados Financieros'!F98</f>
        <v>0</v>
      </c>
      <c r="BZ52" s="2638">
        <f>'Estados Financieros'!G98</f>
        <v>0</v>
      </c>
      <c r="CA52" s="2638">
        <f>'Estados Financieros'!H98</f>
        <v>0</v>
      </c>
      <c r="CB52" s="2638">
        <f>'Estados Financieros'!I98</f>
        <v>0</v>
      </c>
      <c r="CC52" s="2639">
        <f t="shared" ref="CC52:CC63" si="15">+BW52*BX52</f>
        <v>0</v>
      </c>
      <c r="CD52" s="2640">
        <f t="shared" ref="CD52:CD63" si="16">+BW52*BY52</f>
        <v>0</v>
      </c>
      <c r="CE52" s="2640">
        <f t="shared" ref="CE52:CE63" si="17">+BW52*BZ52</f>
        <v>0</v>
      </c>
      <c r="CF52" s="2640">
        <f t="shared" ref="CF52:CF63" si="18">+CA52*BW52</f>
        <v>0</v>
      </c>
      <c r="CG52" s="2641">
        <f t="shared" ref="CG52:CG63" si="19">+CB52*BW52</f>
        <v>0</v>
      </c>
    </row>
    <row r="53" spans="2:91" ht="28" thickBot="1">
      <c r="B53" s="2516" t="s">
        <v>1598</v>
      </c>
      <c r="C53" s="2526">
        <f>IF(('Balances y Proyecciones'!Q17)&lt;&gt;360,'Balances y Proyecciones'!K21+'Balances y Proyecciones'!K22,'Balances y Proyecciones'!K21+'Balances y Proyecciones'!K22)</f>
        <v>0</v>
      </c>
      <c r="D53" s="2526"/>
      <c r="E53" s="2527">
        <f>IF(('Balances y Proyecciones'!Q17)&lt;&gt;360,'Balances y Proyecciones'!Q21+'Balances y Proyecciones'!Q22,'Balances y Proyecciones'!Q21+'Balances y Proyecciones'!Q22)</f>
        <v>0</v>
      </c>
      <c r="F53" s="2508"/>
      <c r="G53" s="2516" t="s">
        <v>1497</v>
      </c>
      <c r="H53" s="2517">
        <f>IF(('Balances y Proyecciones'!Q17)&lt;&gt;360,-'Balances y Proyecciones'!K76,-'Balances y Proyecciones'!K76)</f>
        <v>0</v>
      </c>
      <c r="I53" s="2517"/>
      <c r="J53" s="2518">
        <f>IF(('Balances y Proyecciones'!Q17)&lt;&gt;360,-'Balances y Proyecciones'!Q76,-'Balances y Proyecciones'!Q76)</f>
        <v>0</v>
      </c>
      <c r="N53" s="4152" t="s">
        <v>1712</v>
      </c>
      <c r="O53" s="4153"/>
      <c r="P53" s="2695"/>
      <c r="Q53" s="2695"/>
      <c r="R53" s="2695"/>
      <c r="S53" s="2695"/>
      <c r="T53" s="2499"/>
      <c r="U53" s="2499"/>
      <c r="V53" s="2499"/>
      <c r="W53" s="2499"/>
      <c r="X53" s="2499"/>
      <c r="Y53" s="2499"/>
      <c r="Z53" s="2499"/>
      <c r="AA53" s="2499"/>
      <c r="AB53" s="2499"/>
      <c r="AC53" s="2499"/>
      <c r="AD53" s="2499"/>
      <c r="AG53" s="2572"/>
      <c r="AH53" s="2696" t="s">
        <v>1710</v>
      </c>
      <c r="AI53" s="4140"/>
      <c r="AJ53" s="4157"/>
      <c r="AK53" s="4157"/>
      <c r="AL53" s="4158"/>
      <c r="AM53" s="4158"/>
      <c r="AN53" s="2724">
        <v>0.05</v>
      </c>
      <c r="AO53" s="2725">
        <v>0.05</v>
      </c>
      <c r="AP53" s="2726"/>
      <c r="AQ53" s="2727"/>
      <c r="AR53" s="2727"/>
      <c r="AS53" s="2728"/>
      <c r="AT53" s="2729" t="str">
        <f>IF(AP53&lt;&gt;"",$AP$51,IF(AQ53&lt;&gt;"",$AQ$51,IF(AR53&lt;&gt;"",$AR$51,IF(AS53&lt;&gt;"",$AS$51,"P"))))</f>
        <v>P</v>
      </c>
      <c r="AU53" s="2653" t="e">
        <f t="shared" si="14"/>
        <v>#VALUE!</v>
      </c>
      <c r="AV53" s="2574"/>
      <c r="BU53" s="2632" t="s">
        <v>1711</v>
      </c>
      <c r="BV53" s="2636">
        <v>4</v>
      </c>
      <c r="BW53" s="2637">
        <v>0.8</v>
      </c>
      <c r="BX53" s="2638">
        <f>'Estados Financieros'!E101</f>
        <v>0</v>
      </c>
      <c r="BY53" s="2638">
        <f>'Estados Financieros'!F101</f>
        <v>0</v>
      </c>
      <c r="BZ53" s="2638">
        <f>'Estados Financieros'!G101</f>
        <v>0</v>
      </c>
      <c r="CA53" s="2638">
        <f>'Estados Financieros'!H101</f>
        <v>0</v>
      </c>
      <c r="CB53" s="2638">
        <f>'Estados Financieros'!I101</f>
        <v>0</v>
      </c>
      <c r="CC53" s="2639">
        <f t="shared" si="15"/>
        <v>0</v>
      </c>
      <c r="CD53" s="2640">
        <f t="shared" si="16"/>
        <v>0</v>
      </c>
      <c r="CE53" s="2640">
        <f t="shared" si="17"/>
        <v>0</v>
      </c>
      <c r="CF53" s="2640">
        <f t="shared" si="18"/>
        <v>0</v>
      </c>
      <c r="CG53" s="2641">
        <f t="shared" si="19"/>
        <v>0</v>
      </c>
    </row>
    <row r="54" spans="2:91" ht="28" thickBot="1">
      <c r="B54" s="2516" t="s">
        <v>1599</v>
      </c>
      <c r="C54" s="2526">
        <f>IF(('Balances y Proyecciones'!Q17)&lt;&gt;360,'Balances y Proyecciones'!K24,'Balances y Proyecciones'!K24)</f>
        <v>0</v>
      </c>
      <c r="D54" s="2526"/>
      <c r="E54" s="2527">
        <f>IF(('Balances y Proyecciones'!Q17)&lt;&gt;360,'Balances y Proyecciones'!Q24,'Balances y Proyecciones'!Q24)</f>
        <v>0</v>
      </c>
      <c r="F54" s="2508"/>
      <c r="G54" s="2516" t="s">
        <v>1600</v>
      </c>
      <c r="H54" s="2539">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0</v>
      </c>
      <c r="I54" s="2539"/>
      <c r="J54" s="2540">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0</v>
      </c>
      <c r="N54" s="4147" t="s">
        <v>1714</v>
      </c>
      <c r="O54" s="4148"/>
      <c r="P54" s="4149"/>
      <c r="Q54" s="4150"/>
      <c r="R54" s="4150"/>
      <c r="S54" s="4151"/>
      <c r="T54" s="2499"/>
      <c r="U54" s="2499"/>
      <c r="V54" s="2499"/>
      <c r="W54" s="2499"/>
      <c r="X54" s="2499"/>
      <c r="Y54" s="2499"/>
      <c r="Z54" s="2499"/>
      <c r="AA54" s="2499"/>
      <c r="AB54" s="2499"/>
      <c r="AC54" s="2499"/>
      <c r="AD54" s="2499"/>
      <c r="AG54" s="2572"/>
      <c r="AH54" s="2670" t="s">
        <v>882</v>
      </c>
      <c r="AI54" s="4130" t="str">
        <f>IF('Estados Financieros'!$E$387&gt;0,('Balances y Proyecciones'!$F$93)," ")</f>
        <v xml:space="preserve"> </v>
      </c>
      <c r="AJ54" s="4130" t="str">
        <f>IF('Estados Financieros'!$F$387&gt;1,'Balances y Proyecciones'!$I$93," ")</f>
        <v xml:space="preserve"> </v>
      </c>
      <c r="AK54" s="4130" t="str">
        <f>IF('Estados Financieros'!$G$387&gt;1,'Balances y Proyecciones'!$O$93," ")</f>
        <v xml:space="preserve"> </v>
      </c>
      <c r="AL54" s="4132" t="str">
        <f>IF('Estados Financieros'!$H$387&gt;1,'Balances y Proyecciones'!$R$93," ")</f>
        <v xml:space="preserve"> </v>
      </c>
      <c r="AM54" s="4145" t="str">
        <f>IF('Estados Financieros'!$I$387&gt;1,'Balances y Proyecciones'!$L$93," ")</f>
        <v xml:space="preserve"> </v>
      </c>
      <c r="AN54" s="2730">
        <v>0.08</v>
      </c>
      <c r="AO54" s="2721">
        <v>0.2</v>
      </c>
      <c r="AP54" s="2722" t="e">
        <f>IF($AW$55="1",1," ")</f>
        <v>#VALUE!</v>
      </c>
      <c r="AQ54" s="2675" t="e">
        <f>IF($BA$55="2",2," ")</f>
        <v>#VALUE!</v>
      </c>
      <c r="AR54" s="2675" t="e">
        <f>IF($BE$55="3",3," ")</f>
        <v>#VALUE!</v>
      </c>
      <c r="AS54" s="2676" t="e">
        <f>IF($BI$55="4",4," ")</f>
        <v>#VALUE!</v>
      </c>
      <c r="AT54" s="2723" t="e">
        <f>IF(AP54&lt;&gt;" ",$AP$51,IF(AQ54&lt;&gt;" ",$AQ$51,IF(AR54&lt;&gt;" ",$AR$51,IF(AS54&lt;&gt;" ",$AS$51,"P"))))</f>
        <v>#VALUE!</v>
      </c>
      <c r="AU54" s="2677" t="e">
        <f t="shared" si="14"/>
        <v>#VALUE!</v>
      </c>
      <c r="AV54" s="2574"/>
      <c r="AW54" s="4112" t="s">
        <v>1684</v>
      </c>
      <c r="AX54" s="4112"/>
      <c r="AY54" s="4112"/>
      <c r="BA54" s="4112" t="s">
        <v>1685</v>
      </c>
      <c r="BB54" s="4112"/>
      <c r="BC54" s="4112"/>
      <c r="BE54" s="4112" t="s">
        <v>1686</v>
      </c>
      <c r="BF54" s="4112"/>
      <c r="BG54" s="4112"/>
      <c r="BI54" s="4112" t="s">
        <v>1687</v>
      </c>
      <c r="BJ54" s="4112"/>
      <c r="BK54" s="4112"/>
      <c r="BM54" s="4112" t="s">
        <v>1265</v>
      </c>
      <c r="BN54" s="4112"/>
      <c r="BO54" s="4112"/>
      <c r="BU54" s="2632" t="s">
        <v>620</v>
      </c>
      <c r="BV54" s="2636">
        <v>3</v>
      </c>
      <c r="BW54" s="2637">
        <v>0.6</v>
      </c>
      <c r="BX54" s="2638">
        <f>'Estados Financieros'!E102</f>
        <v>0</v>
      </c>
      <c r="BY54" s="2638">
        <f>'Estados Financieros'!F102</f>
        <v>0</v>
      </c>
      <c r="BZ54" s="2638">
        <f>'Estados Financieros'!G102</f>
        <v>0</v>
      </c>
      <c r="CA54" s="2638">
        <f>'Estados Financieros'!H102</f>
        <v>0</v>
      </c>
      <c r="CB54" s="2638">
        <f>'Estados Financieros'!I102</f>
        <v>0</v>
      </c>
      <c r="CC54" s="2639">
        <f t="shared" si="15"/>
        <v>0</v>
      </c>
      <c r="CD54" s="2640">
        <f t="shared" si="16"/>
        <v>0</v>
      </c>
      <c r="CE54" s="2640">
        <f t="shared" si="17"/>
        <v>0</v>
      </c>
      <c r="CF54" s="2640">
        <f t="shared" si="18"/>
        <v>0</v>
      </c>
      <c r="CG54" s="2641">
        <f t="shared" si="19"/>
        <v>0</v>
      </c>
      <c r="CH54" s="2731" t="s">
        <v>1713</v>
      </c>
      <c r="CI54" s="2595">
        <f>CI51</f>
        <v>0</v>
      </c>
      <c r="CJ54" s="2595">
        <f>CJ51</f>
        <v>0</v>
      </c>
      <c r="CK54" s="2595">
        <f>CK51</f>
        <v>0</v>
      </c>
      <c r="CL54" s="2595">
        <f>CL51</f>
        <v>0</v>
      </c>
      <c r="CM54" s="2732">
        <f>CM51</f>
        <v>0</v>
      </c>
    </row>
    <row r="55" spans="2:91" ht="28" thickBot="1">
      <c r="B55" s="2516" t="s">
        <v>663</v>
      </c>
      <c r="C55" s="2526">
        <f>IF(('Balances y Proyecciones'!Q17)&lt;&gt;360,'Balances y Proyecciones'!K23+'Balances y Proyecciones'!K25,'Balances y Proyecciones'!K23+'Balances y Proyecciones'!K25)</f>
        <v>0</v>
      </c>
      <c r="D55" s="2526"/>
      <c r="E55" s="2527">
        <f>IF(('Balances y Proyecciones'!Q17)&lt;&gt;360,'Balances y Proyecciones'!Q23+'Balances y Proyecciones'!Q25,'Balances y Proyecciones'!Q23+'Balances y Proyecciones'!Q25)</f>
        <v>0</v>
      </c>
      <c r="F55" s="2508"/>
      <c r="G55" s="2516" t="s">
        <v>1601</v>
      </c>
      <c r="H55" s="2539">
        <f>IF(('Balances y Proyecciones'!Q17)&lt;&gt;360,'Balances y Proyecciones'!K78,'Balances y Proyecciones'!K78)</f>
        <v>0</v>
      </c>
      <c r="I55" s="2539"/>
      <c r="J55" s="2540">
        <f>IF(('Balances y Proyecciones'!Q17)&lt;&gt;360,'Balances y Proyecciones'!Q78,'Balances y Proyecciones'!Q78)</f>
        <v>0</v>
      </c>
      <c r="N55" s="2499"/>
      <c r="O55" s="2499"/>
      <c r="P55" s="2499"/>
      <c r="Q55" s="2499"/>
      <c r="R55" s="2499"/>
      <c r="S55" s="2499"/>
      <c r="T55" s="2499"/>
      <c r="U55" s="2499"/>
      <c r="V55" s="2499"/>
      <c r="W55" s="2499"/>
      <c r="X55" s="2499"/>
      <c r="Y55" s="2499"/>
      <c r="Z55" s="2499"/>
      <c r="AA55" s="2499"/>
      <c r="AB55" s="2499"/>
      <c r="AC55" s="2499"/>
      <c r="AD55" s="2499"/>
      <c r="AG55" s="2572"/>
      <c r="AH55" s="2696" t="s">
        <v>1715</v>
      </c>
      <c r="AI55" s="4131"/>
      <c r="AJ55" s="4131"/>
      <c r="AK55" s="4131"/>
      <c r="AL55" s="4133"/>
      <c r="AM55" s="4146"/>
      <c r="AN55" s="2724">
        <v>0.05</v>
      </c>
      <c r="AO55" s="2725">
        <v>0.05</v>
      </c>
      <c r="AP55" s="2726"/>
      <c r="AQ55" s="2727"/>
      <c r="AR55" s="2727"/>
      <c r="AS55" s="2728"/>
      <c r="AT55" s="2729" t="str">
        <f>IF(AP55&lt;&gt;"",$AP$51,IF(AQ55&lt;&gt;"",$AQ$51,IF(AR55&lt;&gt;"",$AR$51,IF(AS55&lt;&gt;"",$AS$51,"P"))))</f>
        <v>P</v>
      </c>
      <c r="AU55" s="2653" t="e">
        <f t="shared" si="14"/>
        <v>#VALUE!</v>
      </c>
      <c r="AV55" s="2574"/>
      <c r="AW55" s="4113" t="e">
        <f>IF(AND($AH$35="Sector Comercio",($BM$55&gt;=7%)),"1",IF(AND($AH$35="Sector industrial",($BM$55&gt;=15%)),"1",IF(AND($AH$35="Sector servicios",($BM$55&gt;=15%)),"1",0)))</f>
        <v>#VALUE!</v>
      </c>
      <c r="AX55" s="4114"/>
      <c r="AY55" s="4115"/>
      <c r="BA55" s="4116" t="e">
        <f>IF(AND($AH$35="Sector Comercio",($BM$55&gt;=4%),($BM$55&lt;=6.9%)),"2",IF(AND($AH$35="Sector industrial",($BM$55&gt;=10%),($BM$55&lt;=14.9%)),"2",IF(AND($AH$35="Sector servicios",($BM$55&gt;=7%),($BM$55&lt;=9.9%)),"2",0)))</f>
        <v>#VALUE!</v>
      </c>
      <c r="BB55" s="4117"/>
      <c r="BC55" s="4118"/>
      <c r="BE55" s="4116" t="e">
        <f>IF(AND($AH$35="Sector Comercio",($BM$55&gt;=2%),($BM$55&lt;=3.9%)),"3",IF(AND($AH$35="Sector industrial",($BM$55&gt;=6%),($BM$55&lt;=9.9%)),"3",IF(AND($AH$35="Sector servicios",($BM$55&gt;=4%),($BM$55&lt;=6.9%)),"3",0)))</f>
        <v>#VALUE!</v>
      </c>
      <c r="BF55" s="4117"/>
      <c r="BG55" s="4118"/>
      <c r="BI55" s="4116" t="e">
        <f>IF(AND($AH$35="Sector Comercio",($BM$55&lt;=3.8%)),"4",IF(AND($AH$35="Sector industrial",($BM$55&lt;=6%)),"4",IF(AND($AH$35="Sector servicios",($BM$55&lt;=4%)),"4",0)))</f>
        <v>#VALUE!</v>
      </c>
      <c r="BJ55" s="4117"/>
      <c r="BK55" s="4118"/>
      <c r="BM55" s="4136" t="e">
        <f>AK54*50%+AL54*50%</f>
        <v>#VALUE!</v>
      </c>
      <c r="BN55" s="4137"/>
      <c r="BO55" s="4138"/>
      <c r="BU55" s="2632" t="s">
        <v>1716</v>
      </c>
      <c r="BV55" s="2636">
        <v>2</v>
      </c>
      <c r="BW55" s="2637">
        <v>0.4</v>
      </c>
      <c r="BX55" s="2638">
        <f>'Estados Financieros'!E103</f>
        <v>0</v>
      </c>
      <c r="BY55" s="2638">
        <f>'Estados Financieros'!F103</f>
        <v>0</v>
      </c>
      <c r="BZ55" s="2638">
        <f>'Estados Financieros'!G103</f>
        <v>0</v>
      </c>
      <c r="CA55" s="2638">
        <f>'Estados Financieros'!H103</f>
        <v>0</v>
      </c>
      <c r="CB55" s="2638">
        <f>'Estados Financieros'!I103</f>
        <v>0</v>
      </c>
      <c r="CC55" s="2639">
        <f t="shared" si="15"/>
        <v>0</v>
      </c>
      <c r="CD55" s="2640">
        <f t="shared" si="16"/>
        <v>0</v>
      </c>
      <c r="CE55" s="2640">
        <f t="shared" si="17"/>
        <v>0</v>
      </c>
      <c r="CF55" s="2640">
        <f t="shared" si="18"/>
        <v>0</v>
      </c>
      <c r="CG55" s="2641">
        <f t="shared" si="19"/>
        <v>0</v>
      </c>
      <c r="CH55" s="2733" t="s">
        <v>1717</v>
      </c>
      <c r="CI55" s="725" t="e">
        <f>CC64</f>
        <v>#VALUE!</v>
      </c>
      <c r="CJ55" s="725">
        <f>CD64</f>
        <v>0</v>
      </c>
      <c r="CK55" s="725">
        <f>CE64</f>
        <v>0</v>
      </c>
      <c r="CL55" s="725" t="e">
        <f>CF64</f>
        <v>#VALUE!</v>
      </c>
      <c r="CM55" s="2734" t="e">
        <f>CG64</f>
        <v>#VALUE!</v>
      </c>
    </row>
    <row r="56" spans="2:91" ht="28.5" thickBot="1">
      <c r="B56" s="2528" t="s">
        <v>1603</v>
      </c>
      <c r="C56" s="2542">
        <f>SUM(C51:C55)</f>
        <v>0</v>
      </c>
      <c r="D56" s="2542"/>
      <c r="E56" s="2543">
        <f>SUM(E51:E55)</f>
        <v>0</v>
      </c>
      <c r="F56" s="2508"/>
      <c r="G56" s="2516" t="s">
        <v>811</v>
      </c>
      <c r="H56" s="2539">
        <f>IF(('Balances y Proyecciones'!Q17)&lt;&gt;360,-'Balances y Proyecciones'!K88,-'Balances y Proyecciones'!K88)</f>
        <v>0</v>
      </c>
      <c r="I56" s="2539"/>
      <c r="J56" s="2540">
        <f>IF(('Balances y Proyecciones'!Q17)&lt;&gt;360,-'Balances y Proyecciones'!Q88,-'Balances y Proyecciones'!Q88)</f>
        <v>0</v>
      </c>
      <c r="N56" s="2499"/>
      <c r="O56" s="2499"/>
      <c r="P56" s="2499"/>
      <c r="Q56" s="2499"/>
      <c r="R56" s="2499"/>
      <c r="S56" s="2499"/>
      <c r="T56" s="2499"/>
      <c r="U56" s="2499"/>
      <c r="V56" s="2499"/>
      <c r="W56" s="2499"/>
      <c r="X56" s="2499"/>
      <c r="Y56" s="2499"/>
      <c r="Z56" s="2499"/>
      <c r="AA56" s="2499"/>
      <c r="AB56" s="2499"/>
      <c r="AC56" s="2499"/>
      <c r="AD56" s="2499"/>
      <c r="AG56" s="2572"/>
      <c r="AH56" s="2670" t="s">
        <v>1718</v>
      </c>
      <c r="AI56" s="4130" t="str">
        <f>IF('Estados Financieros'!$E$387&gt;0,('Balances y Proyecciones'!$G$71)," ")</f>
        <v xml:space="preserve"> </v>
      </c>
      <c r="AJ56" s="4130" t="str">
        <f>IF('Estados Financieros'!$F$387&gt;1,'Balances y Proyecciones'!$J$71," ")</f>
        <v xml:space="preserve"> </v>
      </c>
      <c r="AK56" s="4130" t="str">
        <f>IF('Estados Financieros'!$G$387&gt;1,'Balances y Proyecciones'!$P$71," ")</f>
        <v xml:space="preserve"> </v>
      </c>
      <c r="AL56" s="4132" t="str">
        <f>IF('Estados Financieros'!$H$387&gt;1,'Balances y Proyecciones'!$S$71," ")</f>
        <v xml:space="preserve"> </v>
      </c>
      <c r="AM56" s="4145" t="str">
        <f>IF('Estados Financieros'!$I$387&gt;1,'Balances y Proyecciones'!$M$71," ")</f>
        <v xml:space="preserve"> </v>
      </c>
      <c r="AN56" s="2730">
        <v>0.06</v>
      </c>
      <c r="AO56" s="2721">
        <v>0.1</v>
      </c>
      <c r="AP56" s="2722" t="e">
        <f>IF($AW$57="1",1," ")</f>
        <v>#VALUE!</v>
      </c>
      <c r="AQ56" s="2675" t="e">
        <f>IF($BA$57="2",2," ")</f>
        <v>#VALUE!</v>
      </c>
      <c r="AR56" s="2675" t="e">
        <f>IF($BE$57="3",3," ")</f>
        <v>#VALUE!</v>
      </c>
      <c r="AS56" s="2676" t="e">
        <f>IF($BI$57="4",4," ")</f>
        <v>#VALUE!</v>
      </c>
      <c r="AT56" s="2735" t="e">
        <f>IF(AP56&lt;&gt;" ",$AP$51,IF(AQ56&lt;&gt;" ",$AQ$51,IF(AR56&lt;&gt;" ",$AR$51,IF(AS56&lt;&gt;" ",$AS$51,"P"))))</f>
        <v>#VALUE!</v>
      </c>
      <c r="AU56" s="2677" t="e">
        <f t="shared" si="14"/>
        <v>#VALUE!</v>
      </c>
      <c r="AV56" s="2574"/>
      <c r="AW56" s="4112" t="s">
        <v>1684</v>
      </c>
      <c r="AX56" s="4112"/>
      <c r="AY56" s="4112"/>
      <c r="BA56" s="4112" t="s">
        <v>1685</v>
      </c>
      <c r="BB56" s="4112"/>
      <c r="BC56" s="4112"/>
      <c r="BE56" s="4112" t="s">
        <v>1686</v>
      </c>
      <c r="BF56" s="4112"/>
      <c r="BG56" s="4112"/>
      <c r="BI56" s="4112" t="s">
        <v>1687</v>
      </c>
      <c r="BJ56" s="4112"/>
      <c r="BK56" s="4112"/>
      <c r="BM56" s="4112" t="s">
        <v>1265</v>
      </c>
      <c r="BN56" s="4112"/>
      <c r="BO56" s="4112"/>
      <c r="BU56" s="2632" t="s">
        <v>1719</v>
      </c>
      <c r="BV56" s="2636">
        <v>2</v>
      </c>
      <c r="BW56" s="2637">
        <v>0.4</v>
      </c>
      <c r="BX56" s="2638">
        <f>'Estados Financieros'!E118-'Estados Financieros'!E98-'Estados Financieros'!E101-'Estados Financieros'!E102-'Estados Financieros'!E103</f>
        <v>0</v>
      </c>
      <c r="BY56" s="2638">
        <f>'Estados Financieros'!F118-'Estados Financieros'!F98-'Estados Financieros'!F101-'Estados Financieros'!F102-'Estados Financieros'!F103</f>
        <v>0</v>
      </c>
      <c r="BZ56" s="2638">
        <f>'Estados Financieros'!G118-'Estados Financieros'!G98-'Estados Financieros'!G101-'Estados Financieros'!G102-'Estados Financieros'!G103</f>
        <v>0</v>
      </c>
      <c r="CA56" s="2638">
        <f>'Estados Financieros'!H118-'Estados Financieros'!H98-'Estados Financieros'!H101-'Estados Financieros'!H102-'Estados Financieros'!H103</f>
        <v>0</v>
      </c>
      <c r="CB56" s="2638">
        <f>'Estados Financieros'!I118-'Estados Financieros'!I98-'Estados Financieros'!I101-'Estados Financieros'!I102-'Estados Financieros'!I103</f>
        <v>0</v>
      </c>
      <c r="CC56" s="2639">
        <f t="shared" si="15"/>
        <v>0</v>
      </c>
      <c r="CD56" s="2640">
        <f t="shared" si="16"/>
        <v>0</v>
      </c>
      <c r="CE56" s="2640">
        <f t="shared" si="17"/>
        <v>0</v>
      </c>
      <c r="CF56" s="2640">
        <f t="shared" si="18"/>
        <v>0</v>
      </c>
      <c r="CG56" s="2641">
        <f t="shared" si="19"/>
        <v>0</v>
      </c>
      <c r="CH56" s="2736" t="s">
        <v>1720</v>
      </c>
      <c r="CI56" s="2737" t="e">
        <f>CI54/CI55</f>
        <v>#VALUE!</v>
      </c>
      <c r="CJ56" s="2737" t="e">
        <f>CJ54/CJ55</f>
        <v>#DIV/0!</v>
      </c>
      <c r="CK56" s="2737" t="e">
        <f>CK54/CK55</f>
        <v>#DIV/0!</v>
      </c>
      <c r="CL56" s="2737" t="e">
        <f>CL54/CL55</f>
        <v>#VALUE!</v>
      </c>
      <c r="CM56" s="2738" t="e">
        <f>CM54/CM55</f>
        <v>#VALUE!</v>
      </c>
    </row>
    <row r="57" spans="2:91" ht="28.5" thickBot="1">
      <c r="B57" s="2516" t="s">
        <v>1604</v>
      </c>
      <c r="C57" s="2526">
        <f>IF(('Balances y Proyecciones'!Q17)&lt;&gt;360,'Balances y Proyecciones'!K28+'Balances y Proyecciones'!K29,'Balances y Proyecciones'!K28+'Balances y Proyecciones'!K29)</f>
        <v>0</v>
      </c>
      <c r="D57" s="2526"/>
      <c r="E57" s="2527">
        <f>IF(('Balances y Proyecciones'!Q17)&lt;&gt;360,'Balances y Proyecciones'!Q28+'Balances y Proyecciones'!Q29,'Balances y Proyecciones'!Q28+'Balances y Proyecciones'!Q29)</f>
        <v>0</v>
      </c>
      <c r="F57" s="2508"/>
      <c r="G57" s="2544" t="s">
        <v>1487</v>
      </c>
      <c r="H57" s="2545">
        <f>H51+H53+H54+H55+H56</f>
        <v>0</v>
      </c>
      <c r="I57" s="2545"/>
      <c r="J57" s="2546">
        <f>J51+J53+J54+J55+J56</f>
        <v>0</v>
      </c>
      <c r="N57" s="4093" t="s">
        <v>932</v>
      </c>
      <c r="O57" s="4094"/>
      <c r="P57" s="4094"/>
      <c r="Q57" s="4094"/>
      <c r="R57" s="4095"/>
      <c r="S57" s="2499"/>
      <c r="T57" s="2499"/>
      <c r="U57" s="2499"/>
      <c r="V57" s="2499"/>
      <c r="W57" s="2499"/>
      <c r="X57" s="2499"/>
      <c r="Y57" s="2499"/>
      <c r="Z57" s="2499"/>
      <c r="AA57" s="2499"/>
      <c r="AB57" s="2499"/>
      <c r="AC57" s="2499"/>
      <c r="AD57" s="2499"/>
      <c r="AG57" s="2572"/>
      <c r="AH57" s="2696" t="s">
        <v>1721</v>
      </c>
      <c r="AI57" s="4131"/>
      <c r="AJ57" s="4131"/>
      <c r="AK57" s="4131"/>
      <c r="AL57" s="4133"/>
      <c r="AM57" s="4146"/>
      <c r="AN57" s="2724">
        <v>0.04</v>
      </c>
      <c r="AO57" s="2725">
        <v>0.05</v>
      </c>
      <c r="AP57" s="2726"/>
      <c r="AQ57" s="2727"/>
      <c r="AR57" s="2727"/>
      <c r="AS57" s="2728"/>
      <c r="AT57" s="2729" t="str">
        <f>IF(AP57&lt;&gt;"",$AP$51,IF(AQ57&lt;&gt;"",$AQ$51,IF(AR57&lt;&gt;"",$AR$51,IF(AS57&lt;&gt;"",$AS$51,"P"))))</f>
        <v>P</v>
      </c>
      <c r="AU57" s="2653" t="e">
        <f t="shared" si="14"/>
        <v>#VALUE!</v>
      </c>
      <c r="AV57" s="2574"/>
      <c r="AW57" s="4113" t="e">
        <f>IF(AND($AH$35="Sector Comercio",($BM$57&gt;=15%)),"1",IF(AND($AH$35="Sector industrial",($BM$57&gt;=15%)),"1",IF(AND($AH$35="Sector servicios",($BM$57&gt;=15%)),"1",0)))</f>
        <v>#VALUE!</v>
      </c>
      <c r="AX57" s="4114"/>
      <c r="AY57" s="4115"/>
      <c r="BA57" s="4116" t="e">
        <f>IF(AND($AH$35="Sector Comercio",($BM$57&gt;=5%),($BM$57&lt;=14.9%)),"2",IF(AND($AH$35="Sector industrial",($BM$57&gt;=5%),($BM$57&lt;=14.9%)),"2",IF(AND($AH$35="Sector servicios",($BM$57&gt;=5%),($BM$57&lt;=14.9%)),"2",0)))</f>
        <v>#VALUE!</v>
      </c>
      <c r="BB57" s="4117"/>
      <c r="BC57" s="4118"/>
      <c r="BE57" s="4116" t="e">
        <f>IF(AND($AH$35="Sector Comercio",($BM$57&gt;=3%),($BM$57&lt;=5%)),"3",IF(AND($AH$35="Sector industrial",($BM$57&gt;=3%),($BM$57&lt;=5%)),"3",IF(AND($AH$35="Sector servicios",($BM$57&gt;=3%),($BM$57&lt;=5%)),"3",0)))</f>
        <v>#VALUE!</v>
      </c>
      <c r="BF57" s="4117"/>
      <c r="BG57" s="4118"/>
      <c r="BI57" s="4116" t="e">
        <f>IF(AND($AH$35="Sector Comercio",($BM$57&lt;=3%)),"4",IF(AND($AH$35="Sector industrial",($BM$57&lt;=3%)),"4",IF(AND($AH$35="Sector servicios",($BM$57&lt;=3%)),"4",0)))</f>
        <v>#VALUE!</v>
      </c>
      <c r="BJ57" s="4117"/>
      <c r="BK57" s="4118"/>
      <c r="BM57" s="4136" t="e">
        <f>AK56*50%+AL56*50%</f>
        <v>#VALUE!</v>
      </c>
      <c r="BN57" s="4137"/>
      <c r="BO57" s="4138"/>
      <c r="BU57" s="2632" t="s">
        <v>1722</v>
      </c>
      <c r="BV57" s="2636">
        <v>4</v>
      </c>
      <c r="BW57" s="2637">
        <v>0.8</v>
      </c>
      <c r="BX57" s="2638">
        <f>'Estados Financieros'!E168-'Estados Financieros'!E162</f>
        <v>0</v>
      </c>
      <c r="BY57" s="2638">
        <f>'Estados Financieros'!F168-'Estados Financieros'!F162</f>
        <v>0</v>
      </c>
      <c r="BZ57" s="2638">
        <f>'Estados Financieros'!G168-'Estados Financieros'!G162</f>
        <v>0</v>
      </c>
      <c r="CA57" s="2638">
        <f>'Estados Financieros'!H168-'Estados Financieros'!H162</f>
        <v>0</v>
      </c>
      <c r="CB57" s="2638">
        <f>'Estados Financieros'!I168-'Estados Financieros'!I162</f>
        <v>0</v>
      </c>
      <c r="CC57" s="2639">
        <f t="shared" si="15"/>
        <v>0</v>
      </c>
      <c r="CD57" s="2640">
        <f t="shared" si="16"/>
        <v>0</v>
      </c>
      <c r="CE57" s="2640">
        <f t="shared" si="17"/>
        <v>0</v>
      </c>
      <c r="CF57" s="2640">
        <f t="shared" si="18"/>
        <v>0</v>
      </c>
      <c r="CG57" s="2641">
        <f t="shared" si="19"/>
        <v>0</v>
      </c>
    </row>
    <row r="58" spans="2:91" ht="28" thickBot="1">
      <c r="B58" s="2516" t="s">
        <v>1491</v>
      </c>
      <c r="C58" s="2526">
        <f>IF(('Balances y Proyecciones'!Q17)&lt;&gt;360,'Balances y Proyecciones'!K27,'Balances y Proyecciones'!K27)</f>
        <v>0</v>
      </c>
      <c r="D58" s="2526"/>
      <c r="E58" s="2527">
        <f>IF(('Balances y Proyecciones'!Q17)&lt;&gt;360,'Balances y Proyecciones'!Q27,'Balances y Proyecciones'!Q27)</f>
        <v>0</v>
      </c>
      <c r="F58" s="2508"/>
      <c r="N58" s="2745"/>
      <c r="O58" s="2745"/>
      <c r="P58" s="2745"/>
      <c r="Q58" s="2745"/>
      <c r="R58" s="2745"/>
      <c r="S58" s="2499"/>
      <c r="T58" s="2499"/>
      <c r="U58" s="2499"/>
      <c r="V58" s="2499"/>
      <c r="W58" s="2499"/>
      <c r="X58" s="2499"/>
      <c r="Y58" s="2499"/>
      <c r="Z58" s="2499"/>
      <c r="AA58" s="2499"/>
      <c r="AB58" s="2499"/>
      <c r="AC58" s="2499"/>
      <c r="AD58" s="2499"/>
      <c r="AG58" s="2572"/>
      <c r="AH58" s="2739" t="s">
        <v>1723</v>
      </c>
      <c r="AI58" s="4139" t="str">
        <f>IF('Estados Financieros'!$E$387&gt;0,$CI$56," ")</f>
        <v xml:space="preserve"> </v>
      </c>
      <c r="AJ58" s="4139" t="str">
        <f>IF('Estados Financieros'!$F$387&gt;1,$CJ$56," ")</f>
        <v xml:space="preserve"> </v>
      </c>
      <c r="AK58" s="4139" t="str">
        <f>IF('Estados Financieros'!$G$387&gt;1,$CK$56," ")</f>
        <v xml:space="preserve"> </v>
      </c>
      <c r="AL58" s="4141" t="str">
        <f>IF('Estados Financieros'!$H$387&gt;1,$CL$56," ")</f>
        <v xml:space="preserve"> </v>
      </c>
      <c r="AM58" s="4143" t="str">
        <f>IF('Estados Financieros'!$I$387&gt;1,$CM$56," ")</f>
        <v xml:space="preserve"> </v>
      </c>
      <c r="AN58" s="2730">
        <v>0.1</v>
      </c>
      <c r="AO58" s="2721">
        <v>0.15</v>
      </c>
      <c r="AP58" s="2740" t="e">
        <f>IF($AW$59="1",1," ")</f>
        <v>#VALUE!</v>
      </c>
      <c r="AQ58" s="2741" t="e">
        <f>IF($BA$59="2",2," ")</f>
        <v>#VALUE!</v>
      </c>
      <c r="AR58" s="2741" t="e">
        <f>IF($BE$59="3",3," ")</f>
        <v>#VALUE!</v>
      </c>
      <c r="AS58" s="2742" t="e">
        <f>IF($BI$59="4",4," ")</f>
        <v>#VALUE!</v>
      </c>
      <c r="AT58" s="2735" t="e">
        <f>IF(AP58&lt;&gt;" ",$AP$51,IF(AQ58&lt;&gt;" ",$AQ$51,IF(AR58&lt;&gt;" ",$AR$51,IF(AS58&lt;&gt;" ",$AS$51,"P"))))</f>
        <v>#VALUE!</v>
      </c>
      <c r="AU58" s="2677" t="e">
        <f t="shared" si="14"/>
        <v>#VALUE!</v>
      </c>
      <c r="AV58" s="2574"/>
      <c r="AW58" s="4112" t="s">
        <v>1684</v>
      </c>
      <c r="AX58" s="4112"/>
      <c r="AY58" s="4112"/>
      <c r="BA58" s="4112" t="s">
        <v>1685</v>
      </c>
      <c r="BB58" s="4112"/>
      <c r="BC58" s="4112"/>
      <c r="BE58" s="4112" t="s">
        <v>1686</v>
      </c>
      <c r="BF58" s="4112"/>
      <c r="BG58" s="4112"/>
      <c r="BI58" s="4112" t="s">
        <v>1687</v>
      </c>
      <c r="BJ58" s="4112"/>
      <c r="BK58" s="4112"/>
      <c r="BM58" s="4112" t="s">
        <v>1265</v>
      </c>
      <c r="BN58" s="4112"/>
      <c r="BO58" s="4112"/>
      <c r="BU58" s="2632" t="s">
        <v>1724</v>
      </c>
      <c r="BV58" s="2636">
        <v>1</v>
      </c>
      <c r="BW58" s="2637">
        <v>0.2</v>
      </c>
      <c r="BX58" s="2638">
        <f>'Estados Financieros'!E162</f>
        <v>0</v>
      </c>
      <c r="BY58" s="2638">
        <f>'Estados Financieros'!F162</f>
        <v>0</v>
      </c>
      <c r="BZ58" s="2638">
        <f>'Estados Financieros'!G162</f>
        <v>0</v>
      </c>
      <c r="CA58" s="2638">
        <f>'Estados Financieros'!H162</f>
        <v>0</v>
      </c>
      <c r="CB58" s="2638">
        <f>'Estados Financieros'!I162</f>
        <v>0</v>
      </c>
      <c r="CC58" s="2639">
        <f t="shared" si="15"/>
        <v>0</v>
      </c>
      <c r="CD58" s="2640">
        <f t="shared" si="16"/>
        <v>0</v>
      </c>
      <c r="CE58" s="2640">
        <f t="shared" si="17"/>
        <v>0</v>
      </c>
      <c r="CF58" s="2640">
        <f t="shared" si="18"/>
        <v>0</v>
      </c>
      <c r="CG58" s="2641">
        <f t="shared" si="19"/>
        <v>0</v>
      </c>
    </row>
    <row r="59" spans="2:91" ht="29" thickBot="1">
      <c r="B59" s="2516" t="s">
        <v>1606</v>
      </c>
      <c r="C59" s="2526">
        <f>IF(('Balances y Proyecciones'!Q17)&lt;&gt;360,'Balances y Proyecciones'!K31+'Balances y Proyecciones'!K30,'Balances y Proyecciones'!K31+'Balances y Proyecciones'!K30)</f>
        <v>0</v>
      </c>
      <c r="D59" s="2743"/>
      <c r="E59" s="2527">
        <f>IF(('Balances y Proyecciones'!Q17)&lt;&gt;360,'Balances y Proyecciones'!Q31+'Balances y Proyecciones'!Q30,'Balances y Proyecciones'!Q31+'Balances y Proyecciones'!Q30)</f>
        <v>0</v>
      </c>
      <c r="F59" s="2508"/>
      <c r="G59" s="2523" t="s">
        <v>1607</v>
      </c>
      <c r="H59" s="2548"/>
      <c r="I59" s="2548"/>
      <c r="J59" s="2744"/>
      <c r="N59" s="4127" t="s">
        <v>933</v>
      </c>
      <c r="O59" s="4128" t="s">
        <v>1728</v>
      </c>
      <c r="P59" s="4129"/>
      <c r="Q59" s="4127" t="s">
        <v>935</v>
      </c>
      <c r="R59" s="4127" t="s">
        <v>1729</v>
      </c>
      <c r="S59" s="2499"/>
      <c r="T59" s="2499"/>
      <c r="U59" s="2499"/>
      <c r="V59" s="2499"/>
      <c r="W59" s="2499"/>
      <c r="X59" s="2499"/>
      <c r="Y59" s="2499"/>
      <c r="Z59" s="2499"/>
      <c r="AA59" s="2499"/>
      <c r="AB59" s="2499"/>
      <c r="AC59" s="2499"/>
      <c r="AD59" s="2499"/>
      <c r="AG59" s="2572"/>
      <c r="AH59" s="2746" t="s">
        <v>1725</v>
      </c>
      <c r="AI59" s="4140"/>
      <c r="AJ59" s="4140"/>
      <c r="AK59" s="4140"/>
      <c r="AL59" s="4142"/>
      <c r="AM59" s="4144"/>
      <c r="AN59" s="2724">
        <v>0.06</v>
      </c>
      <c r="AO59" s="2721"/>
      <c r="AP59" s="2747"/>
      <c r="AQ59" s="2727"/>
      <c r="AR59" s="2727"/>
      <c r="AS59" s="2728"/>
      <c r="AT59" s="2748" t="str">
        <f>IF(AP59&lt;&gt;"",$AP$51,IF(AQ59&lt;&gt;"",$AQ$51,IF(AR59&lt;&gt;"",$AR$51,IF(AS59&lt;&gt;"",$AS$51,"P"))))</f>
        <v>P</v>
      </c>
      <c r="AU59" s="2653" t="e">
        <f t="shared" si="14"/>
        <v>#VALUE!</v>
      </c>
      <c r="AV59" s="2574"/>
      <c r="AW59" s="4113" t="e">
        <f>IF(AND($AH$35="Sector Comercio",($BM$59&lt;=0.4)),"1",IF(AND($AH$35="Sector industrial",($BM$59&lt;=0.4)),"1",IF(AND($AH$35="Sector servicios",($BM$59&lt;=0.4)),"1",0)))</f>
        <v>#VALUE!</v>
      </c>
      <c r="AX59" s="4114"/>
      <c r="AY59" s="4115"/>
      <c r="BA59" s="4116" t="e">
        <f>IF(AND($AH$35="Sector Comercio",($BM$59&gt;=0.5),($BM$59&lt;=0.8)),"2",IF(AND($AH$35="Sector industrial",($BM$59&gt;=0.5),($BM$59&lt;=0.8)),"2",IF(AND($AH$35="Sector servicios",($BM$59&gt;=0.5),($BM$59&lt;=0.8)),"2",0)))</f>
        <v>#VALUE!</v>
      </c>
      <c r="BB59" s="4117"/>
      <c r="BC59" s="4118"/>
      <c r="BE59" s="4116" t="e">
        <f>IF(AND($AH$35="Sector Comercio",($BM$59&gt;=0.8),($BM$59&lt;=1)),"3",IF(AND($AH$35="Sector industrial",($BM$59&gt;=0.5),($BM$59&lt;=0.8)),"3",IF(AND($AH$35="Sector servicios",($BM$59&gt;=0.5),($BM$59&lt;=0.8)),"3",0)))</f>
        <v>#VALUE!</v>
      </c>
      <c r="BF59" s="4117"/>
      <c r="BG59" s="4118"/>
      <c r="BI59" s="4116" t="e">
        <f>IF(AND($AH$35="Sector Comercio",($BM$59&gt;=1)),"4",IF(AND($AH$35="Sector industrial",($BM$59&gt;=1)),"4",IF(AND($AH$35="Sector servicios",($BM$59&gt;=1)),"4",0)))</f>
        <v>#VALUE!</v>
      </c>
      <c r="BJ59" s="4117"/>
      <c r="BK59" s="4118"/>
      <c r="BM59" s="4116" t="e">
        <f>AK58*50%+AL58*50%</f>
        <v>#VALUE!</v>
      </c>
      <c r="BN59" s="4117"/>
      <c r="BO59" s="4118"/>
      <c r="BU59" s="2632" t="s">
        <v>1726</v>
      </c>
      <c r="BV59" s="2636">
        <v>3</v>
      </c>
      <c r="BW59" s="2637">
        <v>0.6</v>
      </c>
      <c r="BX59" s="2638">
        <f>'Estados Financieros'!E151</f>
        <v>0</v>
      </c>
      <c r="BY59" s="2638">
        <f>'Estados Financieros'!F151</f>
        <v>0</v>
      </c>
      <c r="BZ59" s="2638">
        <f>'Estados Financieros'!G151</f>
        <v>0</v>
      </c>
      <c r="CA59" s="2638">
        <f>'Estados Financieros'!H151</f>
        <v>0</v>
      </c>
      <c r="CB59" s="2638">
        <f>'Estados Financieros'!I151</f>
        <v>0</v>
      </c>
      <c r="CC59" s="2639">
        <f t="shared" si="15"/>
        <v>0</v>
      </c>
      <c r="CD59" s="2640">
        <f t="shared" si="16"/>
        <v>0</v>
      </c>
      <c r="CE59" s="2640">
        <f t="shared" si="17"/>
        <v>0</v>
      </c>
      <c r="CF59" s="2640">
        <f t="shared" si="18"/>
        <v>0</v>
      </c>
      <c r="CG59" s="2641">
        <f t="shared" si="19"/>
        <v>0</v>
      </c>
      <c r="CH59" s="4125" t="s">
        <v>1727</v>
      </c>
      <c r="CI59" s="4126"/>
      <c r="CJ59" s="4126"/>
      <c r="CK59" s="4126"/>
      <c r="CL59" s="4126"/>
      <c r="CM59" s="4126"/>
    </row>
    <row r="60" spans="2:91" ht="28.5" thickBot="1">
      <c r="B60" s="2516" t="s">
        <v>1609</v>
      </c>
      <c r="C60" s="2526">
        <f>IF(('Balances y Proyecciones'!Q17)&lt;&gt;360,'Balances y Proyecciones'!K32,'Balances y Proyecciones'!K32)</f>
        <v>0</v>
      </c>
      <c r="D60" s="2526"/>
      <c r="E60" s="2527">
        <f>IF(('Balances y Proyecciones'!Q17)&lt;&gt;360,'Balances y Proyecciones'!Q32,'Balances y Proyecciones'!Q32)</f>
        <v>0</v>
      </c>
      <c r="F60" s="2508"/>
      <c r="G60" s="2513"/>
      <c r="H60" s="2514" t="str">
        <f>$C$48</f>
        <v>Jun 19</v>
      </c>
      <c r="I60" s="2514"/>
      <c r="J60" s="2512" t="str">
        <f>$E$48</f>
        <v>Jun 20</v>
      </c>
      <c r="N60" s="4127"/>
      <c r="O60" s="2749" t="s">
        <v>1731</v>
      </c>
      <c r="P60" s="2749" t="s">
        <v>1732</v>
      </c>
      <c r="Q60" s="4127"/>
      <c r="R60" s="4127"/>
      <c r="S60" s="2499"/>
      <c r="T60" s="2499"/>
      <c r="U60" s="2499"/>
      <c r="V60" s="2499"/>
      <c r="W60" s="2499"/>
      <c r="X60" s="2499"/>
      <c r="Y60" s="2499"/>
      <c r="Z60" s="2499"/>
      <c r="AA60" s="2499"/>
      <c r="AB60" s="2499"/>
      <c r="AC60" s="2499"/>
      <c r="AD60" s="2499"/>
      <c r="AG60" s="2572"/>
      <c r="AH60" s="2670" t="s">
        <v>883</v>
      </c>
      <c r="AI60" s="4130" t="str">
        <f>IF('Estados Financieros'!$E$387&gt;0,'Balances y Proyecciones'!$F$89," ")</f>
        <v xml:space="preserve"> </v>
      </c>
      <c r="AJ60" s="4130" t="str">
        <f>IF('Estados Financieros'!$F$387&gt;1,'Balances y Proyecciones'!$I$89," ")</f>
        <v xml:space="preserve"> </v>
      </c>
      <c r="AK60" s="4130" t="str">
        <f>IF('Estados Financieros'!$G$387&gt;1,'Balances y Proyecciones'!$O$89," ")</f>
        <v xml:space="preserve"> </v>
      </c>
      <c r="AL60" s="4132" t="str">
        <f>IF('Estados Financieros'!$H$387&gt;1,'Balances y Proyecciones'!$R$89," ")</f>
        <v xml:space="preserve"> </v>
      </c>
      <c r="AM60" s="4134" t="str">
        <f>IF('Estados Financieros'!$I$387&gt;1,'Balances y Proyecciones'!$L$89," ")</f>
        <v xml:space="preserve"> </v>
      </c>
      <c r="AN60" s="2720">
        <f>AO60*$AN$51</f>
        <v>4.5500000000000006E-2</v>
      </c>
      <c r="AO60" s="2721">
        <v>7.0000000000000007E-2</v>
      </c>
      <c r="AP60" s="2722" t="e">
        <f>IF($AW$61="1",1," ")</f>
        <v>#VALUE!</v>
      </c>
      <c r="AQ60" s="2675" t="e">
        <f>IF($BA$61="2",2," ")</f>
        <v>#VALUE!</v>
      </c>
      <c r="AR60" s="2675" t="e">
        <f>IF($BE$61="3",3," ")</f>
        <v>#VALUE!</v>
      </c>
      <c r="AS60" s="2676" t="e">
        <f>IF($BI$61="4",4," ")</f>
        <v>#VALUE!</v>
      </c>
      <c r="AT60" s="2735" t="e">
        <f>IF(AP60&lt;&gt;" ",$AP$51,IF(AQ60&lt;&gt;" ",$AQ$51,IF(AR60&lt;&gt;" ",$AR$51,IF(AS60&lt;&gt;" ",$AS$51,"P"))))</f>
        <v>#VALUE!</v>
      </c>
      <c r="AU60" s="2677" t="e">
        <f t="shared" si="14"/>
        <v>#VALUE!</v>
      </c>
      <c r="AV60" s="2574"/>
      <c r="AW60" s="4112" t="s">
        <v>1684</v>
      </c>
      <c r="AX60" s="4112"/>
      <c r="AY60" s="4112"/>
      <c r="BA60" s="4112" t="s">
        <v>1685</v>
      </c>
      <c r="BB60" s="4112"/>
      <c r="BC60" s="4112"/>
      <c r="BE60" s="4112" t="s">
        <v>1686</v>
      </c>
      <c r="BF60" s="4112"/>
      <c r="BG60" s="4112"/>
      <c r="BI60" s="4112" t="s">
        <v>1687</v>
      </c>
      <c r="BJ60" s="4112"/>
      <c r="BK60" s="4112"/>
      <c r="BM60" s="4112" t="s">
        <v>1265</v>
      </c>
      <c r="BN60" s="4112"/>
      <c r="BO60" s="4112"/>
      <c r="BU60" s="2632" t="s">
        <v>1730</v>
      </c>
      <c r="BV60" s="2636">
        <v>1</v>
      </c>
      <c r="BW60" s="2637">
        <v>0.2</v>
      </c>
      <c r="BX60" s="2638">
        <f>'Estados Financieros'!E159</f>
        <v>0</v>
      </c>
      <c r="BY60" s="2638">
        <f>'Estados Financieros'!F159</f>
        <v>0</v>
      </c>
      <c r="BZ60" s="2638">
        <f>'Estados Financieros'!G159</f>
        <v>0</v>
      </c>
      <c r="CA60" s="2638">
        <f>'Estados Financieros'!H159</f>
        <v>0</v>
      </c>
      <c r="CB60" s="2638">
        <f>'Estados Financieros'!I159</f>
        <v>0</v>
      </c>
      <c r="CC60" s="2639">
        <f t="shared" si="15"/>
        <v>0</v>
      </c>
      <c r="CD60" s="2640">
        <f t="shared" si="16"/>
        <v>0</v>
      </c>
      <c r="CE60" s="2640">
        <f t="shared" si="17"/>
        <v>0</v>
      </c>
      <c r="CF60" s="2640">
        <f t="shared" si="18"/>
        <v>0</v>
      </c>
      <c r="CG60" s="2641">
        <f t="shared" si="19"/>
        <v>0</v>
      </c>
    </row>
    <row r="61" spans="2:91" ht="28.5" thickBot="1">
      <c r="B61" s="2516" t="s">
        <v>1611</v>
      </c>
      <c r="C61" s="2526">
        <f>IF(('Balances y Proyecciones'!Q17)&lt;&gt;360,'Balances y Proyecciones'!K33,'Balances y Proyecciones'!K33)</f>
        <v>0</v>
      </c>
      <c r="D61" s="2526"/>
      <c r="E61" s="2527">
        <f>IF(('Balances y Proyecciones'!Q17)&lt;&gt;360,'Balances y Proyecciones'!Q33,'Balances y Proyecciones'!Q33)</f>
        <v>0</v>
      </c>
      <c r="F61" s="2508"/>
      <c r="G61" s="2551" t="s">
        <v>1612</v>
      </c>
      <c r="H61" s="2552"/>
      <c r="I61" s="2552"/>
      <c r="J61" s="2553"/>
      <c r="N61" s="2755" t="s">
        <v>1728</v>
      </c>
      <c r="O61" s="2755" t="s">
        <v>1728</v>
      </c>
      <c r="P61" s="2755" t="s">
        <v>1728</v>
      </c>
      <c r="Q61" s="2755" t="s">
        <v>1728</v>
      </c>
      <c r="R61" s="2755" t="s">
        <v>1728</v>
      </c>
      <c r="S61" s="2499"/>
      <c r="T61" s="2499"/>
      <c r="U61" s="2499"/>
      <c r="V61" s="2499"/>
      <c r="W61" s="2499"/>
      <c r="X61" s="2499"/>
      <c r="Y61" s="2499"/>
      <c r="Z61" s="2499"/>
      <c r="AA61" s="2499"/>
      <c r="AB61" s="2499"/>
      <c r="AC61" s="2499"/>
      <c r="AD61" s="2499"/>
      <c r="AG61" s="2572"/>
      <c r="AH61" s="2696" t="s">
        <v>1733</v>
      </c>
      <c r="AI61" s="4131"/>
      <c r="AJ61" s="4131"/>
      <c r="AK61" s="4131"/>
      <c r="AL61" s="4133"/>
      <c r="AM61" s="4135"/>
      <c r="AN61" s="2750">
        <f>AO61*$AN$51</f>
        <v>1.95E-2</v>
      </c>
      <c r="AO61" s="2725">
        <v>0.03</v>
      </c>
      <c r="AP61" s="2726"/>
      <c r="AQ61" s="2727"/>
      <c r="AR61" s="2727"/>
      <c r="AS61" s="2728"/>
      <c r="AT61" s="2748" t="str">
        <f>IF(AP61&lt;&gt;"",$AP$51,IF(AQ61&lt;&gt;"",$AQ$51,IF(AR61&lt;&gt;"",$AR$51,IF(AS61&lt;&gt;"",$AS$51,"P"))))</f>
        <v>P</v>
      </c>
      <c r="AU61" s="2653" t="e">
        <f t="shared" si="14"/>
        <v>#VALUE!</v>
      </c>
      <c r="AV61" s="2574"/>
      <c r="AW61" s="4113" t="e">
        <f>IF(AND($AH$35="Sector Comercio",($BM$61&gt;=5%)),"1",IF(AND($AH$35="Sector industrial",($BM$61&gt;=10%)),"1",IF(AND($AH$35="Sector servicios",($BM$61&gt;=7%)),"1",0)))</f>
        <v>#VALUE!</v>
      </c>
      <c r="AX61" s="4114"/>
      <c r="AY61" s="4115"/>
      <c r="BA61" s="4116" t="e">
        <f>IF(AND($AH$35="Sector Comercio",($BM$61&gt;=3.5%),($BM$61&lt;=4.9%)),"2",IF(AND($AH$35="Sector industrial",($BM$61&gt;=5%),($BM$61&lt;=10%)),"2",IF(AND($AH$35="Sector servicios",($BM$61&gt;=5%),($BM$61&lt;=7%)),"2",0)))</f>
        <v>#VALUE!</v>
      </c>
      <c r="BB61" s="4117"/>
      <c r="BC61" s="4118"/>
      <c r="BE61" s="4116" t="e">
        <f>IF(AND($AH$35="Sector Comercio",($BM$61&gt;=2%),($BM$61&lt;=3.4%)),"3",IF(AND($AH$35="Sector industrial",($BM$61&gt;=2%),($BM$61&lt;=5%)),"3",IF(AND($AH$35="Sector servicios",($BM$61&gt;=2%),($BM$61&lt;=5%)),"3",0)))</f>
        <v>#VALUE!</v>
      </c>
      <c r="BF61" s="4117"/>
      <c r="BG61" s="4118"/>
      <c r="BI61" s="4116" t="e">
        <f>IF(AND($AH$35="Sector Comercio",($BM$61&lt;=2%)),"4",IF(AND($AH$35="Sector industrial",($BM$61&lt;=2%)),"4",IF(AND($AH$35="Sector servicios",($BM$61&lt;=2%)),"4",0)))</f>
        <v>#VALUE!</v>
      </c>
      <c r="BJ61" s="4117"/>
      <c r="BK61" s="4118"/>
      <c r="BM61" s="4136" t="e">
        <f>AK60*50%+AL60*50%</f>
        <v>#VALUE!</v>
      </c>
      <c r="BN61" s="4137"/>
      <c r="BO61" s="4138"/>
      <c r="BU61" s="2632" t="s">
        <v>1681</v>
      </c>
      <c r="BV61" s="2636">
        <v>2</v>
      </c>
      <c r="BW61" s="2637">
        <v>0.4</v>
      </c>
      <c r="BX61" s="2638">
        <f>'Estados Financieros'!E120+'Estados Financieros'!E121</f>
        <v>0</v>
      </c>
      <c r="BY61" s="2638">
        <f>'Estados Financieros'!F120+'Estados Financieros'!F121</f>
        <v>0</v>
      </c>
      <c r="BZ61" s="2638">
        <f>'Estados Financieros'!G120+'Estados Financieros'!G121</f>
        <v>0</v>
      </c>
      <c r="CA61" s="2638">
        <f>'Estados Financieros'!H120+'Estados Financieros'!H121</f>
        <v>0</v>
      </c>
      <c r="CB61" s="2638">
        <f>'Estados Financieros'!I120+'Estados Financieros'!I121</f>
        <v>0</v>
      </c>
      <c r="CC61" s="2639">
        <f t="shared" si="15"/>
        <v>0</v>
      </c>
      <c r="CD61" s="2640">
        <f t="shared" si="16"/>
        <v>0</v>
      </c>
      <c r="CE61" s="2640">
        <f t="shared" si="17"/>
        <v>0</v>
      </c>
      <c r="CF61" s="2640">
        <f t="shared" si="18"/>
        <v>0</v>
      </c>
      <c r="CG61" s="2640">
        <f t="shared" si="19"/>
        <v>0</v>
      </c>
      <c r="CH61" s="2751" t="s">
        <v>1734</v>
      </c>
      <c r="CI61" s="2752">
        <f>$O$11</f>
        <v>2020</v>
      </c>
      <c r="CJ61" s="2753">
        <f>$P$11</f>
        <v>2021</v>
      </c>
      <c r="CK61" s="2754">
        <f>$Q$11</f>
        <v>2022</v>
      </c>
    </row>
    <row r="62" spans="2:91" ht="28.5" thickBot="1">
      <c r="B62" s="2528" t="s">
        <v>1614</v>
      </c>
      <c r="C62" s="2542">
        <f>SUM(C57:C61)</f>
        <v>0</v>
      </c>
      <c r="D62" s="2542"/>
      <c r="E62" s="2543">
        <f>SUM(E57:E61)</f>
        <v>0</v>
      </c>
      <c r="F62" s="2508"/>
      <c r="G62" s="2516" t="s">
        <v>880</v>
      </c>
      <c r="H62" s="2554">
        <f>IF(('Balances y Proyecciones'!Q17)&lt;&gt;360,'Balances y Proyecciones'!AV718,'Balances y Proyecciones'!AV718)</f>
        <v>0</v>
      </c>
      <c r="I62" s="2554"/>
      <c r="J62" s="2555">
        <f>IF(('Balances y Proyecciones'!Q17)&lt;&gt;360,'Balances y Proyecciones'!BB718,'Balances y Proyecciones'!BB718)</f>
        <v>0</v>
      </c>
      <c r="N62" s="2755"/>
      <c r="O62" s="2762"/>
      <c r="P62" s="2762"/>
      <c r="Q62" s="2763"/>
      <c r="R62" s="2764"/>
      <c r="S62" s="2499"/>
      <c r="T62" s="2499"/>
      <c r="U62" s="2499"/>
      <c r="V62" s="2499"/>
      <c r="W62" s="2499"/>
      <c r="X62" s="2499"/>
      <c r="Y62" s="2499"/>
      <c r="Z62" s="2499"/>
      <c r="AA62" s="2499"/>
      <c r="AB62" s="2499"/>
      <c r="AC62" s="2499"/>
      <c r="AD62" s="2499"/>
      <c r="AG62" s="2572"/>
      <c r="AH62" s="2756" t="s">
        <v>1512</v>
      </c>
      <c r="AI62" s="4119" t="str">
        <f>IF('Estados Financieros'!$E$387&gt;0,'Balances y Proyecciones'!$E$19/'Balances y Proyecciones'!$E$71*360," ")</f>
        <v xml:space="preserve"> </v>
      </c>
      <c r="AJ62" s="4119" t="str">
        <f>IF('Estados Financieros'!$F$387&gt;1,'Balances y Proyecciones'!$H$19/'Balances y Proyecciones'!$H$71*360," ")</f>
        <v xml:space="preserve"> </v>
      </c>
      <c r="AK62" s="4119" t="str">
        <f>IF('Estados Financieros'!$G$387&gt;1,'Balances y Proyecciones'!$N$19/'Balances y Proyecciones'!$N$71*360," ")</f>
        <v xml:space="preserve"> </v>
      </c>
      <c r="AL62" s="4121" t="str">
        <f>IF('Estados Financieros'!$H$387&gt;1,'Balances y Proyecciones'!$Q$19/'Balances y Proyecciones'!$Q$71*360," ")</f>
        <v xml:space="preserve"> </v>
      </c>
      <c r="AM62" s="4123" t="str">
        <f>IF('Estados Financieros'!$I$387&gt;1,'Balances y Proyecciones'!K19/'Balances y Proyecciones'!K71*360," ")</f>
        <v xml:space="preserve"> </v>
      </c>
      <c r="AN62" s="2757">
        <f>AO62*$AN$51</f>
        <v>4.5500000000000006E-2</v>
      </c>
      <c r="AO62" s="2758">
        <v>7.0000000000000007E-2</v>
      </c>
      <c r="AP62" s="2722" t="e">
        <f>IF($AW$63="1",1," ")</f>
        <v>#VALUE!</v>
      </c>
      <c r="AQ62" s="2675" t="e">
        <f>IF($BA$63="2",2," ")</f>
        <v>#VALUE!</v>
      </c>
      <c r="AR62" s="2675" t="e">
        <f>IF($BE$63="3",3," ")</f>
        <v>#VALUE!</v>
      </c>
      <c r="AS62" s="2676" t="e">
        <f>IF($BI$63="4",4," ")</f>
        <v>#VALUE!</v>
      </c>
      <c r="AT62" s="2735" t="e">
        <f>IF(AP62&lt;&gt;" ",$AP$51,IF(AQ62&lt;&gt;" ",$AQ$51,IF(AR62&lt;&gt;" ",$AR$51,IF(AS62&lt;&gt;" ",$AS$51,"P"))))</f>
        <v>#VALUE!</v>
      </c>
      <c r="AU62" s="2608" t="e">
        <f t="shared" si="14"/>
        <v>#VALUE!</v>
      </c>
      <c r="AV62" s="2574"/>
      <c r="AW62" s="4112" t="s">
        <v>1684</v>
      </c>
      <c r="AX62" s="4112"/>
      <c r="AY62" s="4112"/>
      <c r="BA62" s="4112" t="s">
        <v>1685</v>
      </c>
      <c r="BB62" s="4112"/>
      <c r="BC62" s="4112"/>
      <c r="BE62" s="4112" t="s">
        <v>1686</v>
      </c>
      <c r="BF62" s="4112"/>
      <c r="BG62" s="4112"/>
      <c r="BI62" s="4112" t="s">
        <v>1687</v>
      </c>
      <c r="BJ62" s="4112"/>
      <c r="BK62" s="4112"/>
      <c r="BM62" s="4112" t="s">
        <v>1265</v>
      </c>
      <c r="BN62" s="4112"/>
      <c r="BO62" s="4112"/>
      <c r="BU62" s="2632" t="s">
        <v>1735</v>
      </c>
      <c r="BV62" s="2636">
        <v>1</v>
      </c>
      <c r="BW62" s="2637">
        <v>0.2</v>
      </c>
      <c r="BX62" s="2638">
        <f>'Estados Financieros'!E124+'Estados Financieros'!E125</f>
        <v>0</v>
      </c>
      <c r="BY62" s="2638">
        <f>'Estados Financieros'!F124+'Estados Financieros'!F125</f>
        <v>0</v>
      </c>
      <c r="BZ62" s="2638">
        <f>'Estados Financieros'!G124+'Estados Financieros'!G125</f>
        <v>0</v>
      </c>
      <c r="CA62" s="2638">
        <f>'Estados Financieros'!H124+'Estados Financieros'!H125</f>
        <v>0</v>
      </c>
      <c r="CB62" s="2638">
        <f>'Estados Financieros'!I124+'Estados Financieros'!I125</f>
        <v>0</v>
      </c>
      <c r="CC62" s="2639">
        <f t="shared" si="15"/>
        <v>0</v>
      </c>
      <c r="CD62" s="2640">
        <f t="shared" si="16"/>
        <v>0</v>
      </c>
      <c r="CE62" s="2640">
        <f t="shared" si="17"/>
        <v>0</v>
      </c>
      <c r="CF62" s="2640">
        <f t="shared" si="18"/>
        <v>0</v>
      </c>
      <c r="CG62" s="2640">
        <f t="shared" si="19"/>
        <v>0</v>
      </c>
      <c r="CH62" s="2759" t="s">
        <v>852</v>
      </c>
      <c r="CI62" s="2760">
        <f>+$O$14</f>
        <v>0</v>
      </c>
      <c r="CJ62" s="2760">
        <f>+$P$14</f>
        <v>0</v>
      </c>
      <c r="CK62" s="2761">
        <f>$Q$14</f>
        <v>0</v>
      </c>
    </row>
    <row r="63" spans="2:91" ht="28.5" thickBot="1">
      <c r="B63" s="2556" t="s">
        <v>671</v>
      </c>
      <c r="C63" s="2557">
        <f>C56+C62</f>
        <v>0</v>
      </c>
      <c r="D63" s="2557"/>
      <c r="E63" s="2558">
        <f>E56+E62</f>
        <v>0</v>
      </c>
      <c r="F63" s="2508"/>
      <c r="G63" s="2516" t="s">
        <v>1616</v>
      </c>
      <c r="H63" s="2554">
        <f>IF(('Balances y Proyecciones'!Q17)&lt;&gt;360,'Balances y Proyecciones'!AV719,'Balances y Proyecciones'!AV719)</f>
        <v>0</v>
      </c>
      <c r="I63" s="2554"/>
      <c r="J63" s="2555">
        <f>IF(('Balances y Proyecciones'!Q17)&lt;&gt;360,'Balances y Proyecciones'!BB719,'Balances y Proyecciones'!BB719)</f>
        <v>0</v>
      </c>
      <c r="N63" s="2755"/>
      <c r="O63" s="2762"/>
      <c r="P63" s="2762"/>
      <c r="Q63" s="2763"/>
      <c r="R63" s="2764"/>
      <c r="S63" s="2499"/>
      <c r="T63" s="2499"/>
      <c r="U63" s="2499"/>
      <c r="V63" s="2499"/>
      <c r="W63" s="2499"/>
      <c r="X63" s="2499"/>
      <c r="Y63" s="2499"/>
      <c r="Z63" s="2499"/>
      <c r="AA63" s="2499"/>
      <c r="AB63" s="2499"/>
      <c r="AC63" s="2499"/>
      <c r="AD63" s="2499"/>
      <c r="AG63" s="2572"/>
      <c r="AH63" s="2696" t="s">
        <v>1736</v>
      </c>
      <c r="AI63" s="4120"/>
      <c r="AJ63" s="4120"/>
      <c r="AK63" s="4120"/>
      <c r="AL63" s="4122"/>
      <c r="AM63" s="4124"/>
      <c r="AN63" s="2750">
        <f>AO63*$AN$51</f>
        <v>1.95E-2</v>
      </c>
      <c r="AO63" s="2725">
        <v>0.03</v>
      </c>
      <c r="AP63" s="2726"/>
      <c r="AQ63" s="2727"/>
      <c r="AR63" s="2727"/>
      <c r="AS63" s="2728"/>
      <c r="AT63" s="2748" t="str">
        <f>IF(AP63&lt;&gt;"",$AP$51,IF(AQ63&lt;&gt;"",$AQ$51,IF(AR63&lt;&gt;"",$AR$51,IF(AS63&lt;&gt;"",$AS$51,"P"))))</f>
        <v>P</v>
      </c>
      <c r="AU63" s="2653" t="e">
        <f t="shared" si="14"/>
        <v>#VALUE!</v>
      </c>
      <c r="AV63" s="2574"/>
      <c r="AW63" s="4113" t="e">
        <f>IF(AND($AH$35="Sector Comercio",($BM$63&lt;=20)),"1",IF(AND($AH$35="Sector industrial",($BM$63&lt;=20)),"1",IF(AND($AH$35="Sector servicios",($BM$63&lt;=45)),"1",0)))</f>
        <v>#VALUE!</v>
      </c>
      <c r="AX63" s="4114"/>
      <c r="AY63" s="4115"/>
      <c r="BA63" s="4116" t="e">
        <f>IF(AND($AH$35="Sector Comercio",($BM$63&gt;=21),($BM$63&lt;=45)),"2",IF(AND($AH$35="Sector industrial",($BM$63&gt;=21),($BM$63&lt;=45)),"2",IF(AND($AH$35="Sector servicios",($BM$63&gt;=45),($BM$63&lt;=60)),"2",0)))</f>
        <v>#VALUE!</v>
      </c>
      <c r="BB63" s="4117"/>
      <c r="BC63" s="4118"/>
      <c r="BE63" s="4116" t="e">
        <f>IF(AND($AH$35="Sector Comercio",($BM$63&gt;=45),($BM$63&lt;=60)),"3",IF(AND($AH$35="Sector industrial",($BM$63&gt;=45),($BM$63&lt;=60)),"3",IF(AND($AH$35="Sector servicios",($BM$63&gt;=60),($BM$63&lt;=90)),"3",0)))</f>
        <v>#VALUE!</v>
      </c>
      <c r="BF63" s="4117"/>
      <c r="BG63" s="4118"/>
      <c r="BI63" s="4116" t="e">
        <f>IF(AND($AH$35="Sector Comercio",($BM$63&gt;=60)),"4",IF(AND($AH$35="Sector industrial",($BM$63&gt;=60)),"4",IF(AND($AH$35="Sector servicios",($BM$63&gt;=90)),"4",0)))</f>
        <v>#VALUE!</v>
      </c>
      <c r="BJ63" s="4117"/>
      <c r="BK63" s="4118"/>
      <c r="BM63" s="4116" t="e">
        <f>AK62*50%+AL62*50%</f>
        <v>#VALUE!</v>
      </c>
      <c r="BN63" s="4117"/>
      <c r="BO63" s="4118"/>
      <c r="BU63" s="2632" t="s">
        <v>453</v>
      </c>
      <c r="BV63" s="2636">
        <v>2</v>
      </c>
      <c r="BW63" s="2637">
        <v>0.4</v>
      </c>
      <c r="BX63" s="2638">
        <f>+'Estados Financieros'!E140-'Estados Financieros'!E120-'Estados Financieros'!E121-'Estados Financieros'!E123-'Estados Financieros'!E124-'Estados Financieros'!E125+'Estados Financieros'!E175</f>
        <v>0</v>
      </c>
      <c r="BY63" s="2638">
        <f>+'Estados Financieros'!F140-'Estados Financieros'!F120-'Estados Financieros'!F121-'Estados Financieros'!F123-'Estados Financieros'!F124-'Estados Financieros'!F125+'Estados Financieros'!F175</f>
        <v>0</v>
      </c>
      <c r="BZ63" s="2638">
        <f>+'Estados Financieros'!G140-'Estados Financieros'!G120-'Estados Financieros'!G121-'Estados Financieros'!G123-'Estados Financieros'!G124-'Estados Financieros'!G125+'Estados Financieros'!G175</f>
        <v>0</v>
      </c>
      <c r="CA63" s="2638">
        <f>+'Estados Financieros'!H140-'Estados Financieros'!H120-'Estados Financieros'!H121-'Estados Financieros'!H123-'Estados Financieros'!H124-'Estados Financieros'!H125+'Estados Financieros'!H175</f>
        <v>0</v>
      </c>
      <c r="CB63" s="2638">
        <f>+'Estados Financieros'!I140-'Estados Financieros'!I120-'Estados Financieros'!I121-'Estados Financieros'!I123-'Estados Financieros'!I124-'Estados Financieros'!I125+'Estados Financieros'!I175</f>
        <v>0</v>
      </c>
      <c r="CC63" s="2639">
        <f t="shared" si="15"/>
        <v>0</v>
      </c>
      <c r="CD63" s="2640">
        <f t="shared" si="16"/>
        <v>0</v>
      </c>
      <c r="CE63" s="2640">
        <f t="shared" si="17"/>
        <v>0</v>
      </c>
      <c r="CF63" s="2640">
        <f t="shared" si="18"/>
        <v>0</v>
      </c>
      <c r="CG63" s="2640">
        <f t="shared" si="19"/>
        <v>0</v>
      </c>
      <c r="CH63" s="2759" t="s">
        <v>1737</v>
      </c>
      <c r="CI63" s="2760">
        <f>ABS($O$18)</f>
        <v>0</v>
      </c>
      <c r="CJ63" s="2760">
        <f>ABS($P$18)</f>
        <v>0</v>
      </c>
      <c r="CK63" s="2760">
        <f>ABS($Q$18)</f>
        <v>0</v>
      </c>
    </row>
    <row r="64" spans="2:91" ht="28.5" thickBot="1">
      <c r="B64" s="2551" t="s">
        <v>678</v>
      </c>
      <c r="C64" s="2559"/>
      <c r="D64" s="2559"/>
      <c r="E64" s="2560"/>
      <c r="F64" s="2508"/>
      <c r="G64" s="2516" t="s">
        <v>883</v>
      </c>
      <c r="H64" s="2554">
        <f>IF(('Balances y Proyecciones'!Q17)&lt;&gt;360,'Balances y Proyecciones'!AV721,'Balances y Proyecciones'!AV721)</f>
        <v>0</v>
      </c>
      <c r="I64" s="2554"/>
      <c r="J64" s="2555">
        <f>IF(('Balances y Proyecciones'!Q17)&lt;&gt;360,'Balances y Proyecciones'!BB721,'Balances y Proyecciones'!BB721)</f>
        <v>0</v>
      </c>
      <c r="N64" s="2755"/>
      <c r="O64" s="2762"/>
      <c r="P64" s="2762"/>
      <c r="Q64" s="2763"/>
      <c r="R64" s="2764"/>
      <c r="S64" s="2499"/>
      <c r="T64" s="2499"/>
      <c r="U64" s="2499"/>
      <c r="V64" s="2499"/>
      <c r="W64" s="2499"/>
      <c r="X64" s="2499"/>
      <c r="Y64" s="2499"/>
      <c r="Z64" s="2499"/>
      <c r="AA64" s="2499"/>
      <c r="AB64" s="2499"/>
      <c r="AC64" s="2499"/>
      <c r="AD64" s="2499"/>
      <c r="AG64" s="2572"/>
      <c r="AH64" s="2574"/>
      <c r="AI64" s="2574"/>
      <c r="AJ64" s="2574"/>
      <c r="AK64" s="2574"/>
      <c r="AL64" s="2574"/>
      <c r="AM64" s="2574"/>
      <c r="AN64" s="2574"/>
      <c r="AO64" s="2765">
        <f>SUM(AO52:AO63)</f>
        <v>1.0000000000000002</v>
      </c>
      <c r="AP64" s="2706"/>
      <c r="AQ64" s="2706"/>
      <c r="AR64" s="2706"/>
      <c r="AS64" s="2706"/>
      <c r="AT64" s="2574"/>
      <c r="AU64" s="2577"/>
      <c r="AV64" s="2574"/>
      <c r="BV64" s="2766"/>
      <c r="BW64" s="2767" t="s">
        <v>1706</v>
      </c>
      <c r="BX64" s="2768">
        <f>SUM(BX41:BX47)+SUM(BX52:BX63)</f>
        <v>0</v>
      </c>
      <c r="BY64" s="2768">
        <f>SUM(BY41:BY47)+SUM(BY52:BY63)</f>
        <v>0</v>
      </c>
      <c r="BZ64" s="2768">
        <f>SUM(BZ41:BZ47)+SUM(BZ52:BZ63)</f>
        <v>0</v>
      </c>
      <c r="CA64" s="2768">
        <f>SUM(CA41:CA47)+SUM(CA52:CA63)</f>
        <v>0</v>
      </c>
      <c r="CB64" s="2768">
        <f>SUM(CB41:CB47)+SUM(CB52:CB63)</f>
        <v>0</v>
      </c>
      <c r="CC64" s="2769" t="e">
        <f>SUM(CC41:CC63)</f>
        <v>#VALUE!</v>
      </c>
      <c r="CD64" s="2770">
        <f>SUM(CD41:CD63)</f>
        <v>0</v>
      </c>
      <c r="CE64" s="2770">
        <f>SUM(CE41:CE63)</f>
        <v>0</v>
      </c>
      <c r="CF64" s="2770" t="e">
        <f>SUM(CF41:CF63)</f>
        <v>#VALUE!</v>
      </c>
      <c r="CG64" s="2770" t="e">
        <f>SUM(CG41:CG63)</f>
        <v>#VALUE!</v>
      </c>
      <c r="CH64" s="2759" t="s">
        <v>1602</v>
      </c>
      <c r="CI64" s="2760">
        <f>ABS($O$16)</f>
        <v>0</v>
      </c>
      <c r="CJ64" s="2760">
        <f>ABS($P$16)</f>
        <v>0</v>
      </c>
      <c r="CK64" s="2761">
        <f>ABS($Q$16)</f>
        <v>0</v>
      </c>
    </row>
    <row r="65" spans="1:16384" ht="27.75" customHeight="1" thickBot="1">
      <c r="B65" s="2516" t="s">
        <v>1618</v>
      </c>
      <c r="C65" s="2526">
        <f>IF(('Balances y Proyecciones'!Q17)&lt;&gt;360,'Balances y Proyecciones'!K36+'Balances y Proyecciones'!K37+'Balances y Proyecciones'!K38+'Balances y Proyecciones'!K39,'Balances y Proyecciones'!K36+'Balances y Proyecciones'!K37+'Balances y Proyecciones'!K38+'Balances y Proyecciones'!K39)</f>
        <v>0</v>
      </c>
      <c r="D65" s="2526"/>
      <c r="E65" s="2527">
        <f>IF(('Balances y Proyecciones'!Q17)&lt;&gt;360,'Balances y Proyecciones'!Q36+'Balances y Proyecciones'!Q37+'Balances y Proyecciones'!Q38+'Balances y Proyecciones'!Q39,'Balances y Proyecciones'!Q36+'Balances y Proyecciones'!Q37+'Balances y Proyecciones'!Q38+'Balances y Proyecciones'!Q39)</f>
        <v>0</v>
      </c>
      <c r="F65" s="2508"/>
      <c r="G65" s="2516" t="s">
        <v>1619</v>
      </c>
      <c r="H65" s="2554">
        <f>IF('Balances y Proyecciones'!$Q$17=360,'Balances y Proyecciones'!$AV$757,'Balances y Proyecciones'!$AV$757)</f>
        <v>0</v>
      </c>
      <c r="I65" s="2771"/>
      <c r="J65" s="2555">
        <f>IF('Balances y Proyecciones'!$Q$17=360,'Balances y Proyecciones'!$BB$757,'Balances y Proyecciones'!$BB$757)</f>
        <v>0</v>
      </c>
      <c r="N65" s="2755"/>
      <c r="O65" s="2762"/>
      <c r="P65" s="2762"/>
      <c r="Q65" s="2763"/>
      <c r="R65" s="2764"/>
      <c r="S65" s="2499"/>
      <c r="T65" s="2499"/>
      <c r="U65" s="2499"/>
      <c r="V65" s="2499"/>
      <c r="W65" s="2499"/>
      <c r="X65" s="2499"/>
      <c r="Y65" s="2499"/>
      <c r="Z65" s="2499"/>
      <c r="AA65" s="2499"/>
      <c r="AB65" s="2499"/>
      <c r="AC65" s="2499"/>
      <c r="AD65" s="2499"/>
      <c r="AG65" s="2584">
        <v>3</v>
      </c>
      <c r="AH65" s="2585" t="s">
        <v>1738</v>
      </c>
      <c r="AI65" s="2586" t="e">
        <f>IF(AND($P$35&gt;=1,$P$35&lt;=1.6),"R1",IF(AND($P$35&gt;1.61,$P$35&lt;=2.2),"R2",IF(AND($P$35&gt;2.31,$P$35&lt;=2.8),"R3",IF(AND($P$35&gt;2.91,$P$35&lt;=3.3),"R4",IF(AND($P$35&gt;3.41,$P$35&lt;=4.1),"R5",0)))))</f>
        <v>#DIV/0!</v>
      </c>
      <c r="AJ65" s="2574"/>
      <c r="AK65" s="2574"/>
      <c r="AL65" s="2574"/>
      <c r="AM65" s="2574"/>
      <c r="AN65" s="2574"/>
      <c r="AO65" s="2574"/>
      <c r="AP65" s="2706"/>
      <c r="AQ65" s="2706"/>
      <c r="AR65" s="2706"/>
      <c r="AS65" s="2706"/>
      <c r="AT65" s="2574"/>
      <c r="AU65" s="2577"/>
      <c r="AV65" s="2574"/>
      <c r="BU65" s="2627"/>
      <c r="BV65" s="2627"/>
      <c r="BW65" s="2627"/>
      <c r="BX65" s="2627"/>
      <c r="BY65" s="2627"/>
      <c r="BZ65" s="2627"/>
      <c r="CA65" s="2627"/>
      <c r="CB65" s="2627"/>
      <c r="CC65" s="2627"/>
      <c r="CD65" s="2627"/>
      <c r="CE65" s="2627"/>
      <c r="CF65" s="2627"/>
      <c r="CG65" s="2627"/>
      <c r="CH65" s="2772" t="s">
        <v>811</v>
      </c>
      <c r="CI65" s="2760">
        <f>ABS($O$17)</f>
        <v>0</v>
      </c>
      <c r="CJ65" s="2760">
        <f>ABS($P$17)</f>
        <v>0</v>
      </c>
      <c r="CK65" s="2761">
        <f>ABS($Q$17)</f>
        <v>0</v>
      </c>
    </row>
    <row r="66" spans="1:16384" ht="27.75" customHeight="1" thickBot="1">
      <c r="B66" s="2516" t="s">
        <v>108</v>
      </c>
      <c r="C66" s="2526">
        <f>IF(('Balances y Proyecciones'!Q17)&lt;&gt;360,'Balances y Proyecciones'!K40,'Balances y Proyecciones'!K40)</f>
        <v>0</v>
      </c>
      <c r="D66" s="2526"/>
      <c r="E66" s="2527">
        <f>IF(('Balances y Proyecciones'!Q17)&lt;&gt;360,'Balances y Proyecciones'!Q40,'Balances y Proyecciones'!Q40)</f>
        <v>0</v>
      </c>
      <c r="F66" s="2508"/>
      <c r="G66" s="2551" t="s">
        <v>1621</v>
      </c>
      <c r="H66" s="2552"/>
      <c r="I66" s="2552"/>
      <c r="J66" s="2553"/>
      <c r="N66" s="2755"/>
      <c r="O66" s="2762"/>
      <c r="P66" s="2762"/>
      <c r="Q66" s="2763"/>
      <c r="R66" s="2764"/>
      <c r="S66" s="2499"/>
      <c r="T66" s="2499"/>
      <c r="U66" s="2499"/>
      <c r="V66" s="2499"/>
      <c r="W66" s="2499"/>
      <c r="X66" s="2499"/>
      <c r="Y66" s="2499"/>
      <c r="Z66" s="2499"/>
      <c r="AA66" s="2499"/>
      <c r="AB66" s="2499"/>
      <c r="AC66" s="2499"/>
      <c r="AD66" s="2499"/>
      <c r="AG66" s="2664"/>
      <c r="AH66" s="2773"/>
      <c r="AI66" s="2774"/>
      <c r="AJ66" s="2775"/>
      <c r="AK66" s="2775"/>
      <c r="AL66" s="2775"/>
      <c r="AM66" s="2775"/>
      <c r="AN66" s="2776">
        <f>SUM(AN67:AN69)</f>
        <v>1</v>
      </c>
      <c r="AO66" s="2777"/>
      <c r="AP66" s="2778">
        <v>1</v>
      </c>
      <c r="AQ66" s="2779">
        <v>2</v>
      </c>
      <c r="AR66" s="2779">
        <v>3</v>
      </c>
      <c r="AS66" s="2780">
        <v>4</v>
      </c>
      <c r="AT66" s="2781" t="s">
        <v>1654</v>
      </c>
      <c r="AU66" s="2593" t="e">
        <f>SUM(AU67:AU69)</f>
        <v>#VALUE!</v>
      </c>
      <c r="AV66" s="2574"/>
      <c r="BU66" s="2687" t="s">
        <v>1614</v>
      </c>
      <c r="BX66" s="2690">
        <f>'Estados Financieros'!E182</f>
        <v>0</v>
      </c>
      <c r="BY66" s="2690">
        <f>'Estados Financieros'!F182</f>
        <v>0</v>
      </c>
      <c r="BZ66" s="2690">
        <f>'Estados Financieros'!G182</f>
        <v>0</v>
      </c>
      <c r="CA66" s="2690">
        <f>'Estados Financieros'!H182</f>
        <v>0</v>
      </c>
      <c r="CB66" s="2690">
        <f>'Estados Financieros'!I182</f>
        <v>0</v>
      </c>
      <c r="CH66" s="2782" t="s">
        <v>1739</v>
      </c>
      <c r="CI66" s="2783">
        <f>CI62-CI63-CI64-CI65</f>
        <v>0</v>
      </c>
      <c r="CJ66" s="2783">
        <f>CJ62-CJ63-CJ64-CJ65</f>
        <v>0</v>
      </c>
      <c r="CK66" s="2784">
        <f>CK62-CK63-CK64-CK65</f>
        <v>0</v>
      </c>
    </row>
    <row r="67" spans="1:16384" ht="27.5">
      <c r="B67" s="2516" t="s">
        <v>1623</v>
      </c>
      <c r="C67" s="2526">
        <f>IF(('Balances y Proyecciones'!Q17)&lt;&gt;360,'Balances y Proyecciones'!K44,'Balances y Proyecciones'!K44)</f>
        <v>0</v>
      </c>
      <c r="D67" s="2526"/>
      <c r="E67" s="2527">
        <f>IF(('Balances y Proyecciones'!Q17)&lt;&gt;360,'Balances y Proyecciones'!Q44,'Balances y Proyecciones'!Q44)</f>
        <v>0</v>
      </c>
      <c r="F67" s="2508"/>
      <c r="G67" s="2538" t="s">
        <v>1624</v>
      </c>
      <c r="H67" s="2554" t="s">
        <v>1740</v>
      </c>
      <c r="I67" s="2554"/>
      <c r="J67" s="2555" t="e">
        <f>J49/H49-1</f>
        <v>#DIV/0!</v>
      </c>
      <c r="N67" s="2755"/>
      <c r="O67" s="2762"/>
      <c r="P67" s="2762"/>
      <c r="Q67" s="2763"/>
      <c r="R67" s="2764"/>
      <c r="S67" s="2499"/>
      <c r="T67" s="2499"/>
      <c r="U67" s="2499"/>
      <c r="V67" s="2499"/>
      <c r="W67" s="2499"/>
      <c r="X67" s="2499"/>
      <c r="Y67" s="2499"/>
      <c r="Z67" s="2499"/>
      <c r="AA67" s="2499"/>
      <c r="AB67" s="2499"/>
      <c r="AC67" s="2499"/>
      <c r="AD67" s="2499"/>
      <c r="AG67" s="2572"/>
      <c r="AH67" s="2785" t="s">
        <v>1741</v>
      </c>
      <c r="AI67" s="2786"/>
      <c r="AJ67" s="4104"/>
      <c r="AK67" s="4104"/>
      <c r="AL67" s="4104"/>
      <c r="AM67" s="4104"/>
      <c r="AN67" s="2787">
        <v>0.4</v>
      </c>
      <c r="AO67" s="2685"/>
      <c r="AP67" s="2788"/>
      <c r="AQ67" s="2789"/>
      <c r="AR67" s="2789"/>
      <c r="AS67" s="2790"/>
      <c r="AT67" s="2791" t="str">
        <f>IF(AP67&lt;&gt;"",$AP$66,IF(AQ67&lt;&gt;"",$AQ$66,IF(AR67&lt;&gt;"",$AR$66,IF(AS67&lt;&gt;"",$AS$66,"P"))))</f>
        <v>P</v>
      </c>
      <c r="AU67" s="2792" t="e">
        <f>AT67*AN67</f>
        <v>#VALUE!</v>
      </c>
      <c r="AV67" s="2574"/>
      <c r="BU67" s="2687" t="s">
        <v>1701</v>
      </c>
      <c r="BX67" s="2690">
        <f>SUM(BX52:BX63)</f>
        <v>0</v>
      </c>
      <c r="BY67" s="2690">
        <f>SUM(BY52:BY63)</f>
        <v>0</v>
      </c>
      <c r="BZ67" s="2690">
        <f>SUM(BZ52:BZ63)</f>
        <v>0</v>
      </c>
      <c r="CA67" s="2690">
        <f>SUM(CA52:CA63)</f>
        <v>0</v>
      </c>
      <c r="CB67" s="2690">
        <f>SUM(CB52:CB63)</f>
        <v>0</v>
      </c>
      <c r="CH67" s="2793" t="s">
        <v>1742</v>
      </c>
      <c r="CI67" s="2794">
        <f>O20</f>
        <v>0</v>
      </c>
      <c r="CJ67" s="2794">
        <f>P20</f>
        <v>0</v>
      </c>
      <c r="CK67" s="2794">
        <f>Q20</f>
        <v>0</v>
      </c>
    </row>
    <row r="68" spans="1:16384" ht="27.5">
      <c r="B68" s="2516" t="s">
        <v>1626</v>
      </c>
      <c r="C68" s="2526">
        <f>IF(('Balances y Proyecciones'!Q17)&lt;&gt;360,'Balances y Proyecciones'!K41+'Balances y Proyecciones'!K42+'Balances y Proyecciones'!K43+'Balances y Proyecciones'!K45+'Balances y Proyecciones'!K46+'Balances y Proyecciones'!K47,'Balances y Proyecciones'!K41+'Balances y Proyecciones'!K42+'Balances y Proyecciones'!K43+'Balances y Proyecciones'!K45+'Balances y Proyecciones'!K46+'Balances y Proyecciones'!K47)</f>
        <v>0</v>
      </c>
      <c r="D68" s="2526"/>
      <c r="E68" s="2527">
        <f>IF(('Balances y Proyecciones'!Q17)&lt;&gt;360,'Balances y Proyecciones'!Q41+'Balances y Proyecciones'!Q42+'Balances y Proyecciones'!Q43+'Balances y Proyecciones'!Q45+'Balances y Proyecciones'!Q46+'Balances y Proyecciones'!Q47,'Balances y Proyecciones'!Q41+'Balances y Proyecciones'!Q42+'Balances y Proyecciones'!Q43+'Balances y Proyecciones'!Q45+'Balances y Proyecciones'!Q46+'Balances y Proyecciones'!Q47)</f>
        <v>0</v>
      </c>
      <c r="F68" s="2508"/>
      <c r="G68" s="2516" t="s">
        <v>1627</v>
      </c>
      <c r="H68" s="2561">
        <f>IF(('Balances y Proyecciones'!Q17)&lt;&gt;360,'Balances y Proyecciones'!AV725,'Balances y Proyecciones'!AV725)</f>
        <v>0</v>
      </c>
      <c r="I68" s="2561"/>
      <c r="J68" s="2562">
        <f>IF(('Balances y Proyecciones'!Q17)&lt;&gt;360,'Balances y Proyecciones'!BB725,'Balances y Proyecciones'!BB725)</f>
        <v>0</v>
      </c>
      <c r="N68" s="2755"/>
      <c r="O68" s="2762"/>
      <c r="P68" s="2762"/>
      <c r="Q68" s="2763"/>
      <c r="R68" s="2764"/>
      <c r="S68" s="2499"/>
      <c r="T68" s="2499"/>
      <c r="U68" s="2499"/>
      <c r="V68" s="2499"/>
      <c r="W68" s="2499"/>
      <c r="X68" s="2499"/>
      <c r="Y68" s="2499"/>
      <c r="Z68" s="2499"/>
      <c r="AA68" s="2499"/>
      <c r="AB68" s="2499"/>
      <c r="AC68" s="2499"/>
      <c r="AD68" s="2499"/>
      <c r="AG68" s="2572"/>
      <c r="AH68" s="2795" t="s">
        <v>1743</v>
      </c>
      <c r="AI68" s="2786"/>
      <c r="AJ68" s="4104"/>
      <c r="AK68" s="4104"/>
      <c r="AL68" s="4104"/>
      <c r="AM68" s="4104"/>
      <c r="AN68" s="2796">
        <v>0.2</v>
      </c>
      <c r="AO68" s="2685"/>
      <c r="AP68" s="2797"/>
      <c r="AQ68" s="2798"/>
      <c r="AR68" s="2798"/>
      <c r="AS68" s="2799"/>
      <c r="AT68" s="2791" t="str">
        <f>IF(AP68&lt;&gt;"",$AP$66,IF(AQ68&lt;&gt;"",$AQ$66,IF(AR68&lt;&gt;"",$AR$66,IF(AS68&lt;&gt;"",$AS$66,"P"))))</f>
        <v>P</v>
      </c>
      <c r="AU68" s="2686" t="e">
        <f>AT68*AN68</f>
        <v>#VALUE!</v>
      </c>
      <c r="AV68" s="176"/>
      <c r="BU68" s="2687" t="s">
        <v>1703</v>
      </c>
      <c r="BX68" s="2690">
        <f>+BX66-BX67</f>
        <v>0</v>
      </c>
      <c r="BY68" s="2690">
        <f>+BY66-BY67</f>
        <v>0</v>
      </c>
      <c r="BZ68" s="2690">
        <f>+BZ66-BZ67</f>
        <v>0</v>
      </c>
      <c r="CA68" s="2690">
        <f>+CA66-CA67</f>
        <v>0</v>
      </c>
      <c r="CB68" s="2690">
        <f>+CB66-CB67</f>
        <v>0</v>
      </c>
    </row>
    <row r="69" spans="1:16384" ht="28.5" thickBot="1">
      <c r="B69" s="2528" t="s">
        <v>1630</v>
      </c>
      <c r="C69" s="2542">
        <f>SUM(C65:C68)</f>
        <v>0</v>
      </c>
      <c r="D69" s="2542"/>
      <c r="E69" s="2543">
        <f>SUM(E65:E68)</f>
        <v>0</v>
      </c>
      <c r="F69" s="2508"/>
      <c r="G69" s="2516" t="s">
        <v>1631</v>
      </c>
      <c r="H69" s="2561">
        <f>IF(('Balances y Proyecciones'!Q17)&lt;&gt;360,'Balances y Proyecciones'!AV727,'Balances y Proyecciones'!AV727)</f>
        <v>0</v>
      </c>
      <c r="I69" s="2561"/>
      <c r="J69" s="2562">
        <f>IF(('Balances y Proyecciones'!Q17)&lt;&gt;360,'Balances y Proyecciones'!BB727,'Balances y Proyecciones'!BB727)</f>
        <v>0</v>
      </c>
      <c r="N69" s="2755"/>
      <c r="O69" s="2762"/>
      <c r="P69" s="2762"/>
      <c r="Q69" s="2763"/>
      <c r="R69" s="2764"/>
      <c r="S69" s="2499"/>
      <c r="T69" s="2499"/>
      <c r="U69" s="2499"/>
      <c r="V69" s="2499"/>
      <c r="W69" s="2499"/>
      <c r="X69" s="2499"/>
      <c r="Y69" s="2499"/>
      <c r="Z69" s="2499"/>
      <c r="AA69" s="2499"/>
      <c r="AB69" s="2499"/>
      <c r="AC69" s="2499"/>
      <c r="AD69" s="2499"/>
      <c r="AG69" s="2572"/>
      <c r="AH69" s="2800" t="s">
        <v>1744</v>
      </c>
      <c r="AI69" s="2801"/>
      <c r="AJ69" s="4105" t="s">
        <v>2158</v>
      </c>
      <c r="AK69" s="4105"/>
      <c r="AL69" s="4105"/>
      <c r="AM69" s="4105"/>
      <c r="AN69" s="2802">
        <v>0.4</v>
      </c>
      <c r="AO69" s="2700"/>
      <c r="AP69" s="2803"/>
      <c r="AQ69" s="2804"/>
      <c r="AR69" s="2804"/>
      <c r="AS69" s="2703"/>
      <c r="AT69" s="2791" t="str">
        <f>IF(AP69&lt;&gt;"",$AP$66,IF(AQ69&lt;&gt;"",$AQ$66,IF(AR69&lt;&gt;"",$AR$66,IF(AS69&lt;&gt;"",$AS$66,"P"))))</f>
        <v>P</v>
      </c>
      <c r="AU69" s="2704" t="e">
        <f>AT69*AN69</f>
        <v>#VALUE!</v>
      </c>
      <c r="AV69" s="176"/>
      <c r="AW69" s="2805"/>
      <c r="AX69" s="2805"/>
      <c r="AY69" s="2805"/>
      <c r="AZ69" s="2805"/>
      <c r="BA69" s="2805"/>
      <c r="BB69" s="2805"/>
      <c r="BC69" s="2805"/>
      <c r="BD69" s="2805"/>
      <c r="BE69" s="2805"/>
      <c r="BF69" s="2805"/>
      <c r="BG69" s="2805"/>
      <c r="BH69" s="2805"/>
      <c r="BI69" s="2805"/>
      <c r="BJ69" s="2805"/>
      <c r="BK69" s="2805"/>
      <c r="BL69" s="2805"/>
      <c r="BM69" s="2805"/>
      <c r="BN69" s="2805"/>
      <c r="BO69" s="2805"/>
      <c r="CH69" s="2751" t="s">
        <v>1745</v>
      </c>
      <c r="CI69" s="2806"/>
      <c r="CJ69" s="2806"/>
      <c r="CK69" s="2807"/>
    </row>
    <row r="70" spans="1:16384" ht="27.75" customHeight="1" thickBot="1">
      <c r="B70" s="2516" t="s">
        <v>1632</v>
      </c>
      <c r="C70" s="2526">
        <f>IF(('Balances y Proyecciones'!Q17)&lt;&gt;360,'Balances y Proyecciones'!K49+'Balances y Proyecciones'!K50+'Balances y Proyecciones'!K51,'Balances y Proyecciones'!K49+'Balances y Proyecciones'!K50+'Balances y Proyecciones'!K51)</f>
        <v>0</v>
      </c>
      <c r="D70" s="2526"/>
      <c r="E70" s="2527">
        <f>IF(('Balances y Proyecciones'!Q17)&lt;&gt;360,'Balances y Proyecciones'!Q49+'Balances y Proyecciones'!Q50+'Balances y Proyecciones'!Q51,'Balances y Proyecciones'!Q49+'Balances y Proyecciones'!Q50+'Balances y Proyecciones'!Q51)</f>
        <v>0</v>
      </c>
      <c r="F70" s="2508"/>
      <c r="G70" s="2516" t="s">
        <v>1633</v>
      </c>
      <c r="H70" s="2561">
        <f>H68+H69</f>
        <v>0</v>
      </c>
      <c r="I70" s="2561"/>
      <c r="J70" s="2562">
        <f>J68+J69</f>
        <v>0</v>
      </c>
      <c r="N70" s="2755"/>
      <c r="O70" s="2762"/>
      <c r="P70" s="2762"/>
      <c r="Q70" s="2763"/>
      <c r="R70" s="2764"/>
      <c r="S70" s="2499"/>
      <c r="Z70" s="2499"/>
      <c r="AA70" s="2499"/>
      <c r="AB70" s="2499"/>
      <c r="AC70" s="2499"/>
      <c r="AD70" s="2499"/>
      <c r="AG70" s="2572"/>
      <c r="AH70" s="2574"/>
      <c r="AI70" s="2574"/>
      <c r="AJ70" s="2574"/>
      <c r="AK70" s="2574"/>
      <c r="AL70" s="2574"/>
      <c r="AM70" s="2808"/>
      <c r="AN70" s="2574"/>
      <c r="AO70" s="2574"/>
      <c r="AP70" s="2706"/>
      <c r="AQ70" s="2706"/>
      <c r="AR70" s="2706"/>
      <c r="AS70" s="2706"/>
      <c r="AT70" s="2574"/>
      <c r="AU70" s="2577"/>
      <c r="AV70" s="176"/>
      <c r="AW70" s="2805"/>
      <c r="AX70" s="2805"/>
      <c r="AY70" s="2805"/>
      <c r="AZ70" s="2805"/>
      <c r="BA70" s="2805"/>
      <c r="BB70" s="2805"/>
      <c r="BC70" s="2805"/>
      <c r="BD70" s="2805"/>
      <c r="BE70" s="2805"/>
      <c r="BF70" s="2805"/>
      <c r="BG70" s="2805"/>
      <c r="BH70" s="2805"/>
      <c r="BI70" s="2805"/>
      <c r="BJ70" s="2805"/>
      <c r="BK70" s="2805"/>
      <c r="BL70" s="2805"/>
      <c r="BM70" s="2805"/>
      <c r="BN70" s="2805"/>
      <c r="BO70" s="2805"/>
      <c r="CH70" s="2809" t="s">
        <v>1746</v>
      </c>
      <c r="CI70" s="2760">
        <f>ABS($O$24+$O$25)</f>
        <v>0</v>
      </c>
      <c r="CJ70" s="2760">
        <f>ABS($P$24+$P$25)</f>
        <v>0</v>
      </c>
      <c r="CK70" s="2761">
        <f>ABS($Q$24+$Q$25)</f>
        <v>0</v>
      </c>
    </row>
    <row r="71" spans="1:16384" ht="27.75" customHeight="1" thickBot="1">
      <c r="B71" s="2516" t="s">
        <v>1634</v>
      </c>
      <c r="C71" s="2526">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f>
        <v>0</v>
      </c>
      <c r="D71" s="2526"/>
      <c r="E71" s="2527">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f>
        <v>0</v>
      </c>
      <c r="F71" s="2552"/>
      <c r="G71" s="2516" t="s">
        <v>1635</v>
      </c>
      <c r="H71" s="2561">
        <f>IF(('Balances y Proyecciones'!Q17)&lt;&gt;360,'Balances y Proyecciones'!AV730,'Balances y Proyecciones'!AV730)</f>
        <v>0</v>
      </c>
      <c r="I71" s="2561"/>
      <c r="J71" s="2562">
        <f>IF(('Balances y Proyecciones'!Q17)&lt;&gt;360,'Balances y Proyecciones'!BB730,'Balances y Proyecciones'!BB730)</f>
        <v>0</v>
      </c>
      <c r="N71" s="2755"/>
      <c r="O71" s="2762"/>
      <c r="P71" s="2762"/>
      <c r="Q71" s="2763"/>
      <c r="R71" s="2764"/>
      <c r="S71" s="2499"/>
      <c r="T71" s="2499"/>
      <c r="U71" s="2499"/>
      <c r="V71" s="2499"/>
      <c r="W71" s="2499"/>
      <c r="X71" s="2499"/>
      <c r="Y71" s="2499"/>
      <c r="Z71" s="2499"/>
      <c r="AA71" s="2499"/>
      <c r="AB71" s="2499"/>
      <c r="AC71" s="2499"/>
      <c r="AD71" s="2499"/>
      <c r="AG71" s="2810"/>
      <c r="AH71" s="2811" t="s">
        <v>2159</v>
      </c>
      <c r="AI71" s="2811"/>
      <c r="AJ71" s="2811"/>
      <c r="AK71" s="2811"/>
      <c r="AL71" s="2811"/>
      <c r="AM71" s="2811"/>
      <c r="AN71" s="2811"/>
      <c r="AO71" s="2811"/>
      <c r="AP71" s="2812"/>
      <c r="AQ71" s="2812"/>
      <c r="AR71" s="4106" t="s">
        <v>229</v>
      </c>
      <c r="AS71" s="4107"/>
      <c r="AT71" s="4108"/>
      <c r="AU71" s="2813" t="e">
        <f>(AU37*45%)+(AU45*45%)+(AU66*10%)</f>
        <v>#VALUE!</v>
      </c>
      <c r="AV71" s="2574"/>
      <c r="AW71" s="2805"/>
      <c r="AX71" s="2805"/>
      <c r="AY71" s="2805"/>
      <c r="AZ71" s="2805"/>
      <c r="BA71" s="2805"/>
      <c r="BB71" s="2805"/>
      <c r="BC71" s="2805"/>
      <c r="BD71" s="2805"/>
      <c r="BE71" s="2805"/>
      <c r="BF71" s="2805"/>
      <c r="BG71" s="2805"/>
      <c r="BH71" s="2805"/>
      <c r="BI71" s="2805"/>
      <c r="BJ71" s="2805"/>
      <c r="BK71" s="2805"/>
      <c r="BL71" s="2805"/>
      <c r="BM71" s="2805"/>
      <c r="BN71" s="2805"/>
      <c r="BO71" s="2805"/>
      <c r="CH71" s="2809" t="s">
        <v>1747</v>
      </c>
      <c r="CI71" s="2760">
        <f>'Balances y Proyecciones'!$CC$889</f>
        <v>0</v>
      </c>
      <c r="CJ71" s="2760">
        <f>'Balances y Proyecciones'!$CF$889</f>
        <v>0</v>
      </c>
      <c r="CK71" s="2761">
        <f>'Balances y Proyecciones'!$CI$889</f>
        <v>0</v>
      </c>
    </row>
    <row r="72" spans="1:16384" ht="27.75" customHeight="1">
      <c r="B72" s="2528" t="s">
        <v>1638</v>
      </c>
      <c r="C72" s="2542">
        <f>SUM(C70:C71)</f>
        <v>0</v>
      </c>
      <c r="D72" s="2542"/>
      <c r="E72" s="2543">
        <f>SUM(E70:E71)</f>
        <v>0</v>
      </c>
      <c r="F72" s="2508"/>
      <c r="G72" s="2516" t="s">
        <v>1639</v>
      </c>
      <c r="H72" s="2561">
        <f>H70-H71</f>
        <v>0</v>
      </c>
      <c r="I72" s="2561"/>
      <c r="J72" s="2562">
        <f>J70-J71</f>
        <v>0</v>
      </c>
      <c r="N72" s="2755"/>
      <c r="O72" s="2762"/>
      <c r="P72" s="2762"/>
      <c r="Q72" s="2763"/>
      <c r="R72" s="2764"/>
      <c r="S72" s="2499"/>
      <c r="T72" s="2499"/>
      <c r="U72" s="2499"/>
      <c r="V72" s="2499"/>
      <c r="W72" s="2499"/>
      <c r="X72" s="2499"/>
      <c r="Y72" s="2499"/>
      <c r="Z72" s="2499"/>
      <c r="AA72" s="2499"/>
      <c r="AB72" s="2499"/>
      <c r="AC72" s="2499"/>
      <c r="AD72" s="2499"/>
      <c r="AG72" s="176"/>
      <c r="AH72" s="176" t="s">
        <v>2160</v>
      </c>
      <c r="AI72" s="176"/>
      <c r="AJ72" s="176"/>
      <c r="AK72" s="176"/>
      <c r="AL72" s="176"/>
      <c r="AM72" s="176"/>
      <c r="AN72" s="176"/>
      <c r="AO72" s="176"/>
      <c r="AP72" s="2814"/>
      <c r="AQ72" s="2814"/>
      <c r="AR72" s="2814"/>
      <c r="AS72" s="2814"/>
      <c r="AT72" s="176"/>
      <c r="AU72" s="176"/>
      <c r="AV72" s="2574"/>
      <c r="AW72" s="2805"/>
      <c r="AX72" s="2805"/>
      <c r="AY72" s="2805"/>
      <c r="AZ72" s="2805"/>
      <c r="BA72" s="2805"/>
      <c r="BB72" s="2805"/>
      <c r="BC72" s="2805"/>
      <c r="BD72" s="2805"/>
      <c r="BE72" s="2805"/>
      <c r="BF72" s="2805"/>
      <c r="BG72" s="2805"/>
      <c r="BH72" s="2805"/>
      <c r="BI72" s="2805"/>
      <c r="BJ72" s="2805"/>
      <c r="BK72" s="2805"/>
      <c r="BL72" s="2805"/>
      <c r="BM72" s="2805"/>
      <c r="BN72" s="2805"/>
      <c r="BO72" s="2805"/>
      <c r="CH72" s="2809" t="s">
        <v>1748</v>
      </c>
      <c r="CI72" s="2760">
        <f>'Balances y Proyecciones'!$CC$890</f>
        <v>0</v>
      </c>
      <c r="CJ72" s="2760">
        <f>'Balances y Proyecciones'!$CF$890</f>
        <v>0</v>
      </c>
      <c r="CK72" s="2761">
        <f>'Balances y Proyecciones'!$CI$890</f>
        <v>0</v>
      </c>
    </row>
    <row r="73" spans="1:16384" s="2815" customFormat="1" ht="27.75" customHeight="1">
      <c r="A73" s="2499"/>
      <c r="B73" s="2556" t="s">
        <v>763</v>
      </c>
      <c r="C73" s="2557">
        <f>C69+C72</f>
        <v>0</v>
      </c>
      <c r="D73" s="2557"/>
      <c r="E73" s="2558">
        <f>E69+E72</f>
        <v>0</v>
      </c>
      <c r="F73" s="2508"/>
      <c r="G73" s="2551" t="s">
        <v>1641</v>
      </c>
      <c r="H73" s="2552"/>
      <c r="I73" s="2552"/>
      <c r="J73" s="2553"/>
      <c r="K73" s="2499"/>
      <c r="L73" s="2499"/>
      <c r="M73" s="2499"/>
      <c r="N73" s="2755"/>
      <c r="O73" s="2762"/>
      <c r="P73" s="2762"/>
      <c r="Q73" s="2763"/>
      <c r="R73" s="2764"/>
      <c r="S73" s="2499"/>
      <c r="T73" s="2499"/>
      <c r="U73" s="2499"/>
      <c r="V73" s="2499"/>
      <c r="W73" s="2499"/>
      <c r="X73" s="2499"/>
      <c r="Y73" s="2499"/>
      <c r="Z73" s="2499"/>
      <c r="AA73" s="2499"/>
      <c r="AB73" s="2499"/>
      <c r="AC73" s="2499"/>
      <c r="AD73" s="2499"/>
      <c r="AE73" s="2499"/>
      <c r="AF73" s="2567"/>
      <c r="AG73" s="2567">
        <v>4</v>
      </c>
      <c r="AH73" s="2805" t="s">
        <v>935</v>
      </c>
      <c r="AI73" s="2805"/>
      <c r="AJ73" s="2805"/>
      <c r="AK73" s="2805"/>
      <c r="AL73" s="2805"/>
      <c r="AM73" s="2805"/>
      <c r="AN73" s="2805">
        <f>SUM(AN74:AN75)</f>
        <v>1</v>
      </c>
      <c r="AO73" s="2805"/>
      <c r="AP73" s="2805">
        <v>1</v>
      </c>
      <c r="AQ73" s="2805">
        <v>2</v>
      </c>
      <c r="AR73" s="2805">
        <v>3</v>
      </c>
      <c r="AS73" s="2805">
        <v>4</v>
      </c>
      <c r="AT73" s="2805" t="s">
        <v>1654</v>
      </c>
      <c r="AU73" s="2805">
        <f>SUM(AU74:AU75)+1</f>
        <v>1</v>
      </c>
      <c r="AV73" s="2805"/>
      <c r="AW73" s="2805"/>
      <c r="AX73" s="2805"/>
      <c r="AY73" s="2805"/>
      <c r="AZ73" s="2805"/>
      <c r="BA73" s="2805"/>
      <c r="BB73" s="2805"/>
      <c r="BC73" s="2805"/>
      <c r="BD73" s="2805"/>
      <c r="BE73" s="2805"/>
      <c r="BF73" s="2805"/>
      <c r="BG73" s="2805"/>
      <c r="BH73" s="2805"/>
      <c r="BI73" s="2805"/>
      <c r="BJ73" s="2805"/>
      <c r="BK73" s="2805"/>
      <c r="BL73" s="2805"/>
      <c r="BM73" s="2805"/>
      <c r="BN73" s="2805"/>
      <c r="BO73" s="2805"/>
      <c r="BP73" s="2805"/>
      <c r="BQ73" s="2805"/>
      <c r="BR73" s="2805"/>
      <c r="BS73" s="2805"/>
      <c r="BT73" s="2805"/>
      <c r="BU73" s="2805"/>
      <c r="BV73" s="2805"/>
      <c r="BW73" s="2805"/>
      <c r="BX73" s="2805"/>
      <c r="BY73" s="2805"/>
      <c r="BZ73" s="2805"/>
      <c r="CA73" s="2805"/>
      <c r="CB73" s="2805"/>
      <c r="CC73" s="2805"/>
      <c r="CD73" s="2805"/>
      <c r="CE73" s="2805"/>
      <c r="CF73" s="2805"/>
      <c r="CG73" s="2805"/>
      <c r="CH73" s="2805" t="s">
        <v>1681</v>
      </c>
      <c r="CI73" s="2805">
        <f>'Balances y Proyecciones'!$T$19</f>
        <v>0</v>
      </c>
      <c r="CJ73" s="2805">
        <f>'Balances y Proyecciones'!$U$19</f>
        <v>0</v>
      </c>
      <c r="CK73" s="2805">
        <f>'Balances y Proyecciones'!$V$19</f>
        <v>0</v>
      </c>
      <c r="CL73" s="2805"/>
      <c r="CM73" s="2805"/>
      <c r="CN73" s="2805"/>
      <c r="CO73" s="2805"/>
      <c r="CP73" s="2805"/>
      <c r="CQ73" s="2805"/>
      <c r="CR73" s="2805"/>
      <c r="CS73" s="2805"/>
      <c r="CT73" s="2805"/>
      <c r="CU73" s="2805"/>
      <c r="CV73" s="2805"/>
      <c r="CW73" s="2805"/>
      <c r="CX73" s="2805"/>
      <c r="CY73" s="2805"/>
      <c r="CZ73" s="2805"/>
      <c r="DA73" s="2805"/>
      <c r="DB73" s="2805"/>
      <c r="DC73" s="2805"/>
      <c r="DD73" s="2805"/>
      <c r="DE73" s="2805"/>
      <c r="DF73" s="2805"/>
      <c r="DG73" s="2805"/>
      <c r="DH73" s="2805"/>
      <c r="DI73" s="2805"/>
      <c r="DJ73" s="2805"/>
      <c r="DK73" s="2805"/>
      <c r="DL73" s="2805"/>
      <c r="DM73" s="2805"/>
      <c r="DN73" s="2805"/>
      <c r="DO73" s="2805"/>
      <c r="DP73" s="2805"/>
      <c r="DQ73" s="2805"/>
      <c r="DR73" s="2805"/>
      <c r="DS73" s="2805"/>
      <c r="DT73" s="2805"/>
      <c r="DU73" s="2805"/>
      <c r="DV73" s="2805"/>
      <c r="DW73" s="2805"/>
      <c r="DX73" s="2805"/>
      <c r="DY73" s="2805"/>
      <c r="DZ73" s="2805"/>
      <c r="EA73" s="2805"/>
      <c r="EB73" s="2805"/>
      <c r="EC73" s="2805"/>
      <c r="ED73" s="2805"/>
      <c r="EE73" s="2805"/>
      <c r="EF73" s="2805"/>
      <c r="EG73" s="2805"/>
      <c r="EH73" s="2805"/>
      <c r="EI73" s="2805"/>
      <c r="EJ73" s="2805"/>
      <c r="EK73" s="2805"/>
      <c r="EL73" s="2805"/>
      <c r="EM73" s="2805"/>
      <c r="EN73" s="2805"/>
      <c r="EO73" s="2805"/>
      <c r="EP73" s="2805"/>
      <c r="EQ73" s="2805"/>
      <c r="ER73" s="2805"/>
      <c r="ES73" s="2805"/>
      <c r="ET73" s="2805"/>
      <c r="EU73" s="2805"/>
      <c r="EV73" s="2805"/>
      <c r="EW73" s="2805"/>
      <c r="EX73" s="2805"/>
      <c r="EY73" s="2805"/>
      <c r="EZ73" s="2805"/>
      <c r="FA73" s="2805"/>
      <c r="FB73" s="2805"/>
      <c r="FC73" s="2805"/>
      <c r="FD73" s="2805"/>
      <c r="FE73" s="2805"/>
      <c r="FF73" s="2805"/>
      <c r="FG73" s="2805"/>
      <c r="FH73" s="2805"/>
      <c r="FI73" s="2805"/>
      <c r="FJ73" s="2805"/>
      <c r="FK73" s="2805"/>
      <c r="FL73" s="2805"/>
      <c r="FM73" s="2805"/>
      <c r="FN73" s="2805"/>
      <c r="FO73" s="2805"/>
      <c r="FP73" s="2805"/>
      <c r="FQ73" s="2805"/>
      <c r="FR73" s="2805"/>
      <c r="FS73" s="2805"/>
      <c r="FT73" s="2805"/>
      <c r="FU73" s="2805"/>
      <c r="FV73" s="2805"/>
      <c r="FW73" s="2805"/>
      <c r="FX73" s="2805"/>
      <c r="FY73" s="2805"/>
      <c r="FZ73" s="2805"/>
      <c r="GA73" s="2805"/>
      <c r="GB73" s="2805"/>
      <c r="GC73" s="2805"/>
      <c r="GD73" s="2805"/>
      <c r="GE73" s="2805"/>
      <c r="GF73" s="2805"/>
      <c r="GG73" s="2805"/>
      <c r="GH73" s="2805"/>
      <c r="GI73" s="2805"/>
      <c r="GJ73" s="2805"/>
      <c r="GK73" s="2805"/>
      <c r="GL73" s="2805"/>
      <c r="GM73" s="2805"/>
      <c r="GN73" s="2805"/>
      <c r="GO73" s="2805"/>
      <c r="GP73" s="2805"/>
      <c r="GQ73" s="2805"/>
      <c r="GR73" s="2805"/>
      <c r="GS73" s="2805"/>
      <c r="GT73" s="2805"/>
      <c r="GU73" s="2805"/>
      <c r="GV73" s="2805"/>
      <c r="GW73" s="2805"/>
      <c r="GX73" s="2805"/>
      <c r="GY73" s="2805"/>
      <c r="GZ73" s="2805"/>
      <c r="HA73" s="2805"/>
      <c r="HB73" s="2805"/>
      <c r="HC73" s="2805"/>
      <c r="HD73" s="2805"/>
      <c r="HE73" s="2805"/>
      <c r="HF73" s="2805"/>
      <c r="HG73" s="2805"/>
      <c r="HH73" s="2805"/>
      <c r="HI73" s="2805"/>
      <c r="HJ73" s="2805"/>
      <c r="HK73" s="2805"/>
      <c r="HL73" s="2805"/>
      <c r="HM73" s="2805"/>
      <c r="HN73" s="2805"/>
      <c r="HO73" s="2805"/>
      <c r="HP73" s="2805"/>
      <c r="HQ73" s="2805"/>
      <c r="HR73" s="2805"/>
      <c r="HS73" s="2805"/>
      <c r="HT73" s="2805"/>
      <c r="HU73" s="2805"/>
      <c r="HV73" s="2805"/>
      <c r="HW73" s="2805"/>
      <c r="HX73" s="2805"/>
      <c r="HY73" s="2805"/>
      <c r="HZ73" s="2805"/>
      <c r="IA73" s="2805"/>
      <c r="IB73" s="2805"/>
      <c r="IC73" s="2805"/>
      <c r="ID73" s="2805"/>
      <c r="IE73" s="2805"/>
      <c r="IF73" s="2805"/>
      <c r="IG73" s="2805"/>
      <c r="IH73" s="2805"/>
      <c r="II73" s="2805"/>
      <c r="IJ73" s="2805"/>
      <c r="IK73" s="2805"/>
      <c r="IL73" s="2805"/>
      <c r="IM73" s="2805"/>
      <c r="IN73" s="2805"/>
      <c r="IO73" s="2805"/>
      <c r="IP73" s="2805"/>
      <c r="IQ73" s="2805"/>
      <c r="IR73" s="2805"/>
      <c r="IS73" s="2805"/>
      <c r="IT73" s="2805"/>
      <c r="IU73" s="2805"/>
      <c r="IV73" s="2805"/>
      <c r="IW73" s="2805"/>
      <c r="IX73" s="2805"/>
      <c r="IY73" s="2805"/>
      <c r="IZ73" s="2805"/>
      <c r="JA73" s="2805"/>
      <c r="JB73" s="2805"/>
      <c r="JC73" s="2805"/>
      <c r="JD73" s="2805"/>
      <c r="JE73" s="2805"/>
      <c r="JF73" s="2805"/>
      <c r="JG73" s="2805"/>
      <c r="JH73" s="2805"/>
      <c r="JI73" s="2805"/>
      <c r="JJ73" s="2805"/>
      <c r="JK73" s="2805"/>
      <c r="JL73" s="2805"/>
      <c r="JM73" s="2805"/>
      <c r="JN73" s="2805"/>
      <c r="JO73" s="2805"/>
      <c r="JP73" s="2805"/>
      <c r="JQ73" s="2805"/>
      <c r="JR73" s="2805"/>
      <c r="JS73" s="2805"/>
      <c r="JT73" s="2805"/>
      <c r="JU73" s="2805"/>
      <c r="JV73" s="2805"/>
      <c r="JW73" s="2805"/>
      <c r="JX73" s="2805"/>
      <c r="JY73" s="2805"/>
      <c r="JZ73" s="2805"/>
      <c r="KA73" s="2805"/>
      <c r="KB73" s="2805"/>
      <c r="KC73" s="2805"/>
      <c r="KD73" s="2805"/>
      <c r="KE73" s="2805"/>
      <c r="KF73" s="2805"/>
      <c r="KG73" s="2805"/>
      <c r="KH73" s="2805"/>
      <c r="KI73" s="2805"/>
      <c r="KJ73" s="2805"/>
      <c r="KK73" s="2805"/>
      <c r="KL73" s="2805"/>
      <c r="KM73" s="2805"/>
      <c r="KN73" s="2805"/>
      <c r="KO73" s="2805"/>
      <c r="KP73" s="2805"/>
      <c r="KQ73" s="2805"/>
      <c r="KR73" s="2805"/>
      <c r="KS73" s="2805"/>
      <c r="KT73" s="2805"/>
      <c r="KU73" s="2805"/>
      <c r="KV73" s="2805"/>
      <c r="KW73" s="2805"/>
      <c r="KX73" s="2805"/>
      <c r="KY73" s="2805"/>
      <c r="KZ73" s="2805"/>
      <c r="LA73" s="2805"/>
      <c r="LB73" s="2805"/>
      <c r="LC73" s="2805"/>
      <c r="LD73" s="2805"/>
      <c r="LE73" s="2805"/>
      <c r="LF73" s="2805"/>
      <c r="LG73" s="2805"/>
      <c r="LH73" s="2805"/>
      <c r="LI73" s="2805"/>
      <c r="LJ73" s="2805"/>
      <c r="LK73" s="2805"/>
      <c r="LL73" s="2805"/>
      <c r="LM73" s="2805"/>
      <c r="LN73" s="2805"/>
      <c r="LO73" s="2805"/>
      <c r="LP73" s="2805"/>
      <c r="LQ73" s="2805"/>
      <c r="LR73" s="2805"/>
      <c r="LS73" s="2805"/>
      <c r="LT73" s="2805"/>
      <c r="LU73" s="2805"/>
      <c r="LV73" s="2805"/>
      <c r="LW73" s="2805"/>
      <c r="LX73" s="2805"/>
      <c r="LY73" s="2805"/>
      <c r="LZ73" s="2805"/>
      <c r="MA73" s="2805"/>
      <c r="MB73" s="2805"/>
      <c r="MC73" s="2805"/>
      <c r="MD73" s="2805"/>
      <c r="ME73" s="2805"/>
      <c r="MF73" s="2805"/>
      <c r="MG73" s="2805"/>
      <c r="MH73" s="2805"/>
      <c r="MI73" s="2805"/>
      <c r="MJ73" s="2805"/>
      <c r="MK73" s="2805"/>
      <c r="ML73" s="2805"/>
      <c r="MM73" s="2805"/>
      <c r="MN73" s="2805"/>
      <c r="MO73" s="2805"/>
      <c r="MP73" s="2805"/>
      <c r="MQ73" s="2805"/>
      <c r="MR73" s="2805"/>
      <c r="MS73" s="2805"/>
      <c r="MT73" s="2805"/>
      <c r="MU73" s="2805"/>
      <c r="MV73" s="2805"/>
      <c r="MW73" s="2805"/>
      <c r="MX73" s="2805"/>
      <c r="MY73" s="2805"/>
      <c r="MZ73" s="2805"/>
      <c r="NA73" s="2805"/>
      <c r="NB73" s="2805"/>
      <c r="NC73" s="2805"/>
      <c r="ND73" s="2805"/>
      <c r="NE73" s="2805"/>
      <c r="NF73" s="2805"/>
      <c r="NG73" s="2805"/>
      <c r="NH73" s="2805"/>
      <c r="NI73" s="2805"/>
      <c r="NJ73" s="2805"/>
      <c r="NK73" s="2805"/>
      <c r="NL73" s="2805"/>
      <c r="NM73" s="2805"/>
      <c r="NN73" s="2805"/>
      <c r="NO73" s="2805"/>
      <c r="NP73" s="2805"/>
      <c r="NQ73" s="2805"/>
      <c r="NR73" s="2805"/>
      <c r="NS73" s="2805"/>
      <c r="NT73" s="2805"/>
      <c r="NU73" s="2805"/>
      <c r="NV73" s="2805"/>
      <c r="NW73" s="2805"/>
      <c r="NX73" s="2805"/>
      <c r="NY73" s="2805"/>
      <c r="NZ73" s="2805"/>
      <c r="OA73" s="2805"/>
      <c r="OB73" s="2805"/>
      <c r="OC73" s="2805"/>
      <c r="OD73" s="2805"/>
      <c r="OE73" s="2805"/>
      <c r="OF73" s="2805"/>
      <c r="OG73" s="2805"/>
      <c r="OH73" s="2805"/>
      <c r="OI73" s="2805"/>
      <c r="OJ73" s="2805"/>
      <c r="OK73" s="2805"/>
      <c r="OL73" s="2805"/>
      <c r="OM73" s="2805"/>
      <c r="ON73" s="2805"/>
      <c r="OO73" s="2805"/>
      <c r="OP73" s="2805"/>
      <c r="OQ73" s="2805"/>
      <c r="OR73" s="2805"/>
      <c r="OS73" s="2805"/>
      <c r="OT73" s="2805"/>
      <c r="OU73" s="2805"/>
      <c r="OV73" s="2805"/>
      <c r="OW73" s="2805"/>
      <c r="OX73" s="2805"/>
      <c r="OY73" s="2805"/>
      <c r="OZ73" s="2805"/>
      <c r="PA73" s="2805"/>
      <c r="PB73" s="2805"/>
      <c r="PC73" s="2805"/>
      <c r="PD73" s="2805"/>
      <c r="PE73" s="2805"/>
      <c r="PF73" s="2805"/>
      <c r="PG73" s="2805"/>
      <c r="PH73" s="2805"/>
      <c r="PI73" s="2805"/>
      <c r="PJ73" s="2805"/>
      <c r="PK73" s="2805"/>
      <c r="PL73" s="2805"/>
      <c r="PM73" s="2805"/>
      <c r="PN73" s="2805"/>
      <c r="PO73" s="2805"/>
      <c r="PP73" s="2805"/>
      <c r="PQ73" s="2805"/>
      <c r="PR73" s="2805"/>
      <c r="PS73" s="2805"/>
      <c r="PT73" s="2805"/>
      <c r="PU73" s="2805"/>
      <c r="PV73" s="2805"/>
      <c r="PW73" s="2805"/>
      <c r="PX73" s="2805"/>
      <c r="PY73" s="2805"/>
      <c r="PZ73" s="2805"/>
      <c r="QA73" s="2805"/>
      <c r="QB73" s="2805"/>
      <c r="QC73" s="2805"/>
      <c r="QD73" s="2805"/>
      <c r="QE73" s="2805"/>
      <c r="QF73" s="2805"/>
      <c r="QG73" s="2805"/>
      <c r="QH73" s="2805"/>
      <c r="QI73" s="2805"/>
      <c r="QJ73" s="2805"/>
      <c r="QK73" s="2805"/>
      <c r="QL73" s="2805"/>
      <c r="QM73" s="2805"/>
      <c r="QN73" s="2805"/>
      <c r="QO73" s="2805"/>
      <c r="QP73" s="2805"/>
      <c r="QQ73" s="2805"/>
      <c r="QR73" s="2805"/>
      <c r="QS73" s="2805"/>
      <c r="QT73" s="2805"/>
      <c r="QU73" s="2805"/>
      <c r="QV73" s="2805"/>
      <c r="QW73" s="2805"/>
      <c r="QX73" s="2805"/>
      <c r="QY73" s="2805"/>
      <c r="QZ73" s="2805"/>
      <c r="RA73" s="2805"/>
      <c r="RB73" s="2805"/>
      <c r="RC73" s="2805"/>
      <c r="RD73" s="2805"/>
      <c r="RE73" s="2805"/>
      <c r="RF73" s="2805"/>
      <c r="RG73" s="2805"/>
      <c r="RH73" s="2805"/>
      <c r="RI73" s="2805"/>
      <c r="RJ73" s="2805"/>
      <c r="RK73" s="2805"/>
      <c r="RL73" s="2805"/>
      <c r="RM73" s="2805"/>
      <c r="RN73" s="2805"/>
      <c r="RO73" s="2805"/>
      <c r="RP73" s="2805"/>
      <c r="RQ73" s="2805"/>
      <c r="RR73" s="2805"/>
      <c r="RS73" s="2805"/>
      <c r="RT73" s="2805"/>
      <c r="RU73" s="2805"/>
      <c r="RV73" s="2805"/>
      <c r="RW73" s="2805"/>
      <c r="RX73" s="2805"/>
      <c r="RY73" s="2805"/>
      <c r="RZ73" s="2805"/>
      <c r="SA73" s="2805"/>
      <c r="SB73" s="2805"/>
      <c r="SC73" s="2805"/>
      <c r="SD73" s="2805"/>
      <c r="SE73" s="2805"/>
      <c r="SF73" s="2805"/>
      <c r="SG73" s="2805"/>
      <c r="SH73" s="2805"/>
      <c r="SI73" s="2805"/>
      <c r="SJ73" s="2805"/>
      <c r="SK73" s="2805"/>
      <c r="SL73" s="2805"/>
      <c r="SM73" s="2805"/>
      <c r="SN73" s="2805"/>
      <c r="SO73" s="2805"/>
      <c r="SP73" s="2805"/>
      <c r="SQ73" s="2805"/>
      <c r="SR73" s="2805"/>
      <c r="SS73" s="2805"/>
      <c r="ST73" s="2805"/>
      <c r="SU73" s="2805"/>
      <c r="SV73" s="2805"/>
      <c r="SW73" s="2805"/>
      <c r="SX73" s="2805"/>
      <c r="SY73" s="2805"/>
      <c r="SZ73" s="2805"/>
      <c r="TA73" s="2805"/>
      <c r="TB73" s="2805"/>
      <c r="TC73" s="2805"/>
      <c r="TD73" s="2805"/>
      <c r="TE73" s="2805"/>
      <c r="TF73" s="2805"/>
      <c r="TG73" s="2805"/>
      <c r="TH73" s="2805"/>
      <c r="TI73" s="2805"/>
      <c r="TJ73" s="2805"/>
      <c r="TK73" s="2805"/>
      <c r="TL73" s="2805"/>
      <c r="TM73" s="2805"/>
      <c r="TN73" s="2805"/>
      <c r="TO73" s="2805"/>
      <c r="TP73" s="2805"/>
      <c r="TQ73" s="2805"/>
      <c r="TR73" s="2805"/>
      <c r="TS73" s="2805"/>
      <c r="TT73" s="2805"/>
      <c r="TU73" s="2805"/>
      <c r="TV73" s="2805"/>
      <c r="TW73" s="2805"/>
      <c r="TX73" s="2805"/>
      <c r="TY73" s="2805"/>
      <c r="TZ73" s="2805"/>
      <c r="UA73" s="2805"/>
      <c r="UB73" s="2805"/>
      <c r="UC73" s="2805"/>
      <c r="UD73" s="2805"/>
      <c r="UE73" s="2805"/>
      <c r="UF73" s="2805"/>
      <c r="UG73" s="2805"/>
      <c r="UH73" s="2805"/>
      <c r="UI73" s="2805"/>
      <c r="UJ73" s="2805"/>
      <c r="UK73" s="2805"/>
      <c r="UL73" s="2805"/>
      <c r="UM73" s="2805"/>
      <c r="UN73" s="2805"/>
      <c r="UO73" s="2805"/>
      <c r="UP73" s="2805"/>
      <c r="UQ73" s="2805"/>
      <c r="UR73" s="2805"/>
      <c r="US73" s="2805"/>
      <c r="UT73" s="2805"/>
      <c r="UU73" s="2805"/>
      <c r="UV73" s="2805"/>
      <c r="UW73" s="2805"/>
      <c r="UX73" s="2805"/>
      <c r="UY73" s="2805"/>
      <c r="UZ73" s="2805"/>
      <c r="VA73" s="2805"/>
      <c r="VB73" s="2805"/>
      <c r="VC73" s="2805"/>
      <c r="VD73" s="2805"/>
      <c r="VE73" s="2805"/>
      <c r="VF73" s="2805"/>
      <c r="VG73" s="2805"/>
      <c r="VH73" s="2805"/>
      <c r="VI73" s="2805"/>
      <c r="VJ73" s="2805"/>
      <c r="VK73" s="2805"/>
      <c r="VL73" s="2805"/>
      <c r="VM73" s="2805"/>
      <c r="VN73" s="2805"/>
      <c r="VO73" s="2805"/>
      <c r="VP73" s="2805"/>
      <c r="VQ73" s="2805"/>
      <c r="VR73" s="2805"/>
      <c r="VS73" s="2805"/>
      <c r="VT73" s="2805"/>
      <c r="VU73" s="2805"/>
      <c r="VV73" s="2805"/>
      <c r="VW73" s="2805"/>
      <c r="VX73" s="2805"/>
      <c r="VY73" s="2805"/>
      <c r="VZ73" s="2805"/>
      <c r="WA73" s="2805"/>
      <c r="WB73" s="2805"/>
      <c r="WC73" s="2805"/>
      <c r="WD73" s="2805"/>
      <c r="WE73" s="2805"/>
      <c r="WF73" s="2805"/>
      <c r="WG73" s="2805"/>
      <c r="WH73" s="2805"/>
      <c r="WI73" s="2805"/>
      <c r="WJ73" s="2805"/>
      <c r="WK73" s="2805"/>
      <c r="WL73" s="2805"/>
      <c r="WM73" s="2805"/>
      <c r="WN73" s="2805"/>
      <c r="WO73" s="2805"/>
      <c r="WP73" s="2805"/>
      <c r="WQ73" s="2805"/>
      <c r="WR73" s="2805"/>
      <c r="WS73" s="2805"/>
      <c r="WT73" s="2805"/>
      <c r="WU73" s="2805"/>
      <c r="WV73" s="2805"/>
      <c r="WW73" s="2805"/>
      <c r="WX73" s="2805"/>
      <c r="WY73" s="2805"/>
      <c r="WZ73" s="2805"/>
      <c r="XA73" s="2805"/>
      <c r="XB73" s="2805"/>
      <c r="XC73" s="2805"/>
      <c r="XD73" s="2805"/>
      <c r="XE73" s="2805"/>
      <c r="XF73" s="2805"/>
      <c r="XG73" s="2805"/>
      <c r="XH73" s="2805"/>
      <c r="XI73" s="2805"/>
      <c r="XJ73" s="2805"/>
      <c r="XK73" s="2805"/>
      <c r="XL73" s="2805"/>
      <c r="XM73" s="2805"/>
      <c r="XN73" s="2805"/>
      <c r="XO73" s="2805"/>
      <c r="XP73" s="2805"/>
      <c r="XQ73" s="2805"/>
      <c r="XR73" s="2805"/>
      <c r="XS73" s="2805"/>
      <c r="XT73" s="2805"/>
      <c r="XU73" s="2805"/>
      <c r="XV73" s="2805"/>
      <c r="XW73" s="2805"/>
      <c r="XX73" s="2805"/>
      <c r="XY73" s="2805"/>
      <c r="XZ73" s="2805"/>
      <c r="YA73" s="2805"/>
      <c r="YB73" s="2805"/>
      <c r="YC73" s="2805"/>
      <c r="YD73" s="2805"/>
      <c r="YE73" s="2805"/>
      <c r="YF73" s="2805"/>
      <c r="YG73" s="2805"/>
      <c r="YH73" s="2805"/>
      <c r="YI73" s="2805"/>
      <c r="YJ73" s="2805"/>
      <c r="YK73" s="2805"/>
      <c r="YL73" s="2805"/>
      <c r="YM73" s="2805"/>
      <c r="YN73" s="2805"/>
      <c r="YO73" s="2805"/>
      <c r="YP73" s="2805"/>
      <c r="YQ73" s="2805"/>
      <c r="YR73" s="2805"/>
      <c r="YS73" s="2805"/>
      <c r="YT73" s="2805"/>
      <c r="YU73" s="2805"/>
      <c r="YV73" s="2805"/>
      <c r="YW73" s="2805"/>
      <c r="YX73" s="2805"/>
      <c r="YY73" s="2805"/>
      <c r="YZ73" s="2805"/>
      <c r="ZA73" s="2805"/>
      <c r="ZB73" s="2805"/>
      <c r="ZC73" s="2805"/>
      <c r="ZD73" s="2805"/>
      <c r="ZE73" s="2805"/>
      <c r="ZF73" s="2805"/>
      <c r="ZG73" s="2805"/>
      <c r="ZH73" s="2805"/>
      <c r="ZI73" s="2805"/>
      <c r="ZJ73" s="2805"/>
      <c r="ZK73" s="2805"/>
      <c r="ZL73" s="2805"/>
      <c r="ZM73" s="2805"/>
      <c r="ZN73" s="2805"/>
      <c r="ZO73" s="2805"/>
      <c r="ZP73" s="2805"/>
      <c r="ZQ73" s="2805"/>
      <c r="ZR73" s="2805"/>
      <c r="ZS73" s="2805"/>
      <c r="ZT73" s="2805"/>
      <c r="ZU73" s="2805"/>
      <c r="ZV73" s="2805"/>
      <c r="ZW73" s="2805"/>
      <c r="ZX73" s="2805"/>
      <c r="ZY73" s="2805"/>
      <c r="ZZ73" s="2805"/>
      <c r="AAA73" s="2805"/>
      <c r="AAB73" s="2805"/>
      <c r="AAC73" s="2805"/>
      <c r="AAD73" s="2805"/>
      <c r="AAE73" s="2805"/>
      <c r="AAF73" s="2805"/>
      <c r="AAG73" s="2805"/>
      <c r="AAH73" s="2805"/>
      <c r="AAI73" s="2805"/>
      <c r="AAJ73" s="2805"/>
      <c r="AAK73" s="2805"/>
      <c r="AAL73" s="2805"/>
      <c r="AAM73" s="2805"/>
      <c r="AAN73" s="2805"/>
      <c r="AAO73" s="2805"/>
      <c r="AAP73" s="2805"/>
      <c r="AAQ73" s="2805"/>
      <c r="AAR73" s="2805"/>
      <c r="AAS73" s="2805"/>
      <c r="AAT73" s="2805"/>
      <c r="AAU73" s="2805"/>
      <c r="AAV73" s="2805"/>
      <c r="AAW73" s="2805"/>
      <c r="AAX73" s="2805"/>
      <c r="AAY73" s="2805"/>
      <c r="AAZ73" s="2805"/>
      <c r="ABA73" s="2805"/>
      <c r="ABB73" s="2805"/>
      <c r="ABC73" s="2805"/>
      <c r="ABD73" s="2805"/>
      <c r="ABE73" s="2805"/>
      <c r="ABF73" s="2805"/>
      <c r="ABG73" s="2805"/>
      <c r="ABH73" s="2805"/>
      <c r="ABI73" s="2805"/>
      <c r="ABJ73" s="2805"/>
      <c r="ABK73" s="2805"/>
      <c r="ABL73" s="2805"/>
      <c r="ABM73" s="2805"/>
      <c r="ABN73" s="2805"/>
      <c r="ABO73" s="2805"/>
      <c r="ABP73" s="2805"/>
      <c r="ABQ73" s="2805"/>
      <c r="ABR73" s="2805"/>
      <c r="ABS73" s="2805"/>
      <c r="ABT73" s="2805"/>
      <c r="ABU73" s="2805"/>
      <c r="ABV73" s="2805"/>
      <c r="ABW73" s="2805"/>
      <c r="ABX73" s="2805"/>
      <c r="ABY73" s="2805"/>
      <c r="ABZ73" s="2805"/>
      <c r="ACA73" s="2805"/>
      <c r="ACB73" s="2805"/>
      <c r="ACC73" s="2805"/>
      <c r="ACD73" s="2805"/>
      <c r="ACE73" s="2805"/>
      <c r="ACF73" s="2805"/>
      <c r="ACG73" s="2805"/>
      <c r="ACH73" s="2805"/>
      <c r="ACI73" s="2805"/>
      <c r="ACJ73" s="2805"/>
      <c r="ACK73" s="2805"/>
      <c r="ACL73" s="2805"/>
      <c r="ACM73" s="2805"/>
      <c r="ACN73" s="2805"/>
      <c r="ACO73" s="2805"/>
      <c r="ACP73" s="2805"/>
      <c r="ACQ73" s="2805"/>
      <c r="ACR73" s="2805"/>
      <c r="ACS73" s="2805"/>
      <c r="ACT73" s="2805"/>
      <c r="ACU73" s="2805"/>
      <c r="ACV73" s="2805"/>
      <c r="ACW73" s="2805"/>
      <c r="ACX73" s="2805"/>
      <c r="ACY73" s="2805"/>
      <c r="ACZ73" s="2805"/>
      <c r="ADA73" s="2805"/>
      <c r="ADB73" s="2805"/>
      <c r="ADC73" s="2805"/>
      <c r="ADD73" s="2805"/>
      <c r="ADE73" s="2805"/>
      <c r="ADF73" s="2805"/>
      <c r="ADG73" s="2805"/>
      <c r="ADH73" s="2805"/>
      <c r="ADI73" s="2805"/>
      <c r="ADJ73" s="2805"/>
      <c r="ADK73" s="2805"/>
      <c r="ADL73" s="2805"/>
      <c r="ADM73" s="2805"/>
      <c r="ADN73" s="2805"/>
      <c r="ADO73" s="2805"/>
      <c r="ADP73" s="2805"/>
      <c r="ADQ73" s="2805"/>
      <c r="ADR73" s="2805"/>
      <c r="ADS73" s="2805"/>
      <c r="ADT73" s="2805"/>
      <c r="ADU73" s="2805"/>
      <c r="ADV73" s="2805"/>
      <c r="ADW73" s="2805"/>
      <c r="ADX73" s="2805"/>
      <c r="ADY73" s="2805"/>
      <c r="ADZ73" s="2805"/>
      <c r="AEA73" s="2805"/>
      <c r="AEB73" s="2805"/>
      <c r="AEC73" s="2805"/>
      <c r="AED73" s="2805"/>
      <c r="AEE73" s="2805"/>
      <c r="AEF73" s="2805"/>
      <c r="AEG73" s="2805"/>
      <c r="AEH73" s="2805"/>
      <c r="AEI73" s="2805"/>
      <c r="AEJ73" s="2805"/>
      <c r="AEK73" s="2805"/>
      <c r="AEL73" s="2805"/>
      <c r="AEM73" s="2805"/>
      <c r="AEN73" s="2805"/>
      <c r="AEO73" s="2805"/>
      <c r="AEP73" s="2805"/>
      <c r="AEQ73" s="2805"/>
      <c r="AER73" s="2805"/>
      <c r="AES73" s="2805"/>
      <c r="AET73" s="2805"/>
      <c r="AEU73" s="2805"/>
      <c r="AEV73" s="2805"/>
      <c r="AEW73" s="2805"/>
      <c r="AEX73" s="2805"/>
      <c r="AEY73" s="2805"/>
      <c r="AEZ73" s="2805"/>
      <c r="AFA73" s="2805"/>
      <c r="AFB73" s="2805"/>
      <c r="AFC73" s="2805"/>
      <c r="AFD73" s="2805"/>
      <c r="AFE73" s="2805"/>
      <c r="AFF73" s="2805"/>
      <c r="AFG73" s="2805"/>
      <c r="AFH73" s="2805"/>
      <c r="AFI73" s="2805"/>
      <c r="AFJ73" s="2805"/>
      <c r="AFK73" s="2805"/>
      <c r="AFL73" s="2805"/>
      <c r="AFM73" s="2805"/>
      <c r="AFN73" s="2805"/>
      <c r="AFO73" s="2805"/>
      <c r="AFP73" s="2805"/>
      <c r="AFQ73" s="2805"/>
      <c r="AFR73" s="2805"/>
      <c r="AFS73" s="2805"/>
      <c r="AFT73" s="2805"/>
      <c r="AFU73" s="2805"/>
      <c r="AFV73" s="2805"/>
      <c r="AFW73" s="2805"/>
      <c r="AFX73" s="2805"/>
      <c r="AFY73" s="2805"/>
      <c r="AFZ73" s="2805"/>
      <c r="AGA73" s="2805"/>
      <c r="AGB73" s="2805"/>
      <c r="AGC73" s="2805"/>
      <c r="AGD73" s="2805"/>
      <c r="AGE73" s="2805"/>
      <c r="AGF73" s="2805"/>
      <c r="AGG73" s="2805"/>
      <c r="AGH73" s="2805"/>
      <c r="AGI73" s="2805"/>
      <c r="AGJ73" s="2805"/>
      <c r="AGK73" s="2805"/>
      <c r="AGL73" s="2805"/>
      <c r="AGM73" s="2805"/>
      <c r="AGN73" s="2805"/>
      <c r="AGO73" s="2805"/>
      <c r="AGP73" s="2805"/>
      <c r="AGQ73" s="2805"/>
      <c r="AGR73" s="2805"/>
      <c r="AGS73" s="2805"/>
      <c r="AGT73" s="2805"/>
      <c r="AGU73" s="2805"/>
      <c r="AGV73" s="2805"/>
      <c r="AGW73" s="2805"/>
      <c r="AGX73" s="2805"/>
      <c r="AGY73" s="2805"/>
      <c r="AGZ73" s="2805"/>
      <c r="AHA73" s="2805"/>
      <c r="AHB73" s="2805"/>
      <c r="AHC73" s="2805"/>
      <c r="AHD73" s="2805"/>
      <c r="AHE73" s="2805"/>
      <c r="AHF73" s="2805"/>
      <c r="AHG73" s="2805"/>
      <c r="AHH73" s="2805"/>
      <c r="AHI73" s="2805"/>
      <c r="AHJ73" s="2805"/>
      <c r="AHK73" s="2805"/>
      <c r="AHL73" s="2805"/>
      <c r="AHM73" s="2805"/>
      <c r="AHN73" s="2805"/>
      <c r="AHO73" s="2805"/>
      <c r="AHP73" s="2805"/>
      <c r="AHQ73" s="2805"/>
      <c r="AHR73" s="2805"/>
      <c r="AHS73" s="2805"/>
      <c r="AHT73" s="2805"/>
      <c r="AHU73" s="2805"/>
      <c r="AHV73" s="2805"/>
      <c r="AHW73" s="2805"/>
      <c r="AHX73" s="2805"/>
      <c r="AHY73" s="2805"/>
      <c r="AHZ73" s="2805"/>
      <c r="AIA73" s="2805"/>
      <c r="AIB73" s="2805"/>
      <c r="AIC73" s="2805"/>
      <c r="AID73" s="2805"/>
      <c r="AIE73" s="2805"/>
      <c r="AIF73" s="2805"/>
      <c r="AIG73" s="2805"/>
      <c r="AIH73" s="2805"/>
      <c r="AII73" s="2805"/>
      <c r="AIJ73" s="2805"/>
      <c r="AIK73" s="2805"/>
      <c r="AIL73" s="2805"/>
      <c r="AIM73" s="2805"/>
      <c r="AIN73" s="2805"/>
      <c r="AIO73" s="2805"/>
      <c r="AIP73" s="2805"/>
      <c r="AIQ73" s="2805"/>
      <c r="AIR73" s="2805"/>
      <c r="AIS73" s="2805"/>
      <c r="AIT73" s="2805"/>
      <c r="AIU73" s="2805"/>
      <c r="AIV73" s="2805"/>
      <c r="AIW73" s="2805"/>
      <c r="AIX73" s="2805"/>
      <c r="AIY73" s="2805"/>
      <c r="AIZ73" s="2805"/>
      <c r="AJA73" s="2805"/>
      <c r="AJB73" s="2805"/>
      <c r="AJC73" s="2805"/>
      <c r="AJD73" s="2805"/>
      <c r="AJE73" s="2805"/>
      <c r="AJF73" s="2805"/>
      <c r="AJG73" s="2805"/>
      <c r="AJH73" s="2805"/>
      <c r="AJI73" s="2805"/>
      <c r="AJJ73" s="2805"/>
      <c r="AJK73" s="2805"/>
      <c r="AJL73" s="2805"/>
      <c r="AJM73" s="2805"/>
      <c r="AJN73" s="2805"/>
      <c r="AJO73" s="2805"/>
      <c r="AJP73" s="2805"/>
      <c r="AJQ73" s="2805"/>
      <c r="AJR73" s="2805"/>
      <c r="AJS73" s="2805"/>
      <c r="AJT73" s="2805"/>
      <c r="AJU73" s="2805"/>
      <c r="AJV73" s="2805"/>
      <c r="AJW73" s="2805"/>
      <c r="AJX73" s="2805"/>
      <c r="AJY73" s="2805"/>
      <c r="AJZ73" s="2805"/>
      <c r="AKA73" s="2805"/>
      <c r="AKB73" s="2805"/>
      <c r="AKC73" s="2805"/>
      <c r="AKD73" s="2805"/>
      <c r="AKE73" s="2805"/>
      <c r="AKF73" s="2805"/>
      <c r="AKG73" s="2805"/>
      <c r="AKH73" s="2805"/>
      <c r="AKI73" s="2805"/>
      <c r="AKJ73" s="2805"/>
      <c r="AKK73" s="2805"/>
      <c r="AKL73" s="2805"/>
      <c r="AKM73" s="2805"/>
      <c r="AKN73" s="2805"/>
      <c r="AKO73" s="2805"/>
      <c r="AKP73" s="2805"/>
      <c r="AKQ73" s="2805"/>
      <c r="AKR73" s="2805"/>
      <c r="AKS73" s="2805"/>
      <c r="AKT73" s="2805"/>
      <c r="AKU73" s="2805"/>
      <c r="AKV73" s="2805"/>
      <c r="AKW73" s="2805"/>
      <c r="AKX73" s="2805"/>
      <c r="AKY73" s="2805"/>
      <c r="AKZ73" s="2805"/>
      <c r="ALA73" s="2805"/>
      <c r="ALB73" s="2805"/>
      <c r="ALC73" s="2805"/>
      <c r="ALD73" s="2805"/>
      <c r="ALE73" s="2805"/>
      <c r="ALF73" s="2805"/>
      <c r="ALG73" s="2805"/>
      <c r="ALH73" s="2805"/>
      <c r="ALI73" s="2805"/>
      <c r="ALJ73" s="2805"/>
      <c r="ALK73" s="2805"/>
      <c r="ALL73" s="2805"/>
      <c r="ALM73" s="2805"/>
      <c r="ALN73" s="2805"/>
      <c r="ALO73" s="2805"/>
      <c r="ALP73" s="2805"/>
      <c r="ALQ73" s="2805"/>
      <c r="ALR73" s="2805"/>
      <c r="ALS73" s="2805"/>
      <c r="ALT73" s="2805"/>
      <c r="ALU73" s="2805"/>
      <c r="ALV73" s="2805"/>
      <c r="ALW73" s="2805"/>
      <c r="ALX73" s="2805"/>
      <c r="ALY73" s="2805"/>
      <c r="ALZ73" s="2805"/>
      <c r="AMA73" s="2805"/>
      <c r="AMB73" s="2805"/>
      <c r="AMC73" s="2805"/>
      <c r="AMD73" s="2805"/>
      <c r="AME73" s="2805"/>
      <c r="AMF73" s="2805"/>
      <c r="AMG73" s="2805"/>
      <c r="AMH73" s="2805"/>
      <c r="AMI73" s="2805"/>
      <c r="AMJ73" s="2805"/>
      <c r="AMK73" s="2805"/>
      <c r="AML73" s="2805"/>
      <c r="AMM73" s="2805"/>
      <c r="AMN73" s="2805"/>
      <c r="AMO73" s="2805"/>
      <c r="AMP73" s="2805"/>
      <c r="AMQ73" s="2805"/>
      <c r="AMR73" s="2805"/>
      <c r="AMS73" s="2805"/>
      <c r="AMT73" s="2805"/>
      <c r="AMU73" s="2805"/>
      <c r="AMV73" s="2805"/>
      <c r="AMW73" s="2805"/>
      <c r="AMX73" s="2805"/>
      <c r="AMY73" s="2805"/>
      <c r="AMZ73" s="2805"/>
      <c r="ANA73" s="2805"/>
      <c r="ANB73" s="2805"/>
      <c r="ANC73" s="2805"/>
      <c r="AND73" s="2805"/>
      <c r="ANE73" s="2805"/>
      <c r="ANF73" s="2805"/>
      <c r="ANG73" s="2805"/>
      <c r="ANH73" s="2805"/>
      <c r="ANI73" s="2805"/>
      <c r="ANJ73" s="2805"/>
      <c r="ANK73" s="2805"/>
      <c r="ANL73" s="2805"/>
      <c r="ANM73" s="2805"/>
      <c r="ANN73" s="2805"/>
      <c r="ANO73" s="2805"/>
      <c r="ANP73" s="2805"/>
      <c r="ANQ73" s="2805"/>
      <c r="ANR73" s="2805"/>
      <c r="ANS73" s="2805"/>
      <c r="ANT73" s="2805"/>
      <c r="ANU73" s="2805"/>
      <c r="ANV73" s="2805"/>
      <c r="ANW73" s="2805"/>
      <c r="ANX73" s="2805"/>
      <c r="ANY73" s="2805"/>
      <c r="ANZ73" s="2805"/>
      <c r="AOA73" s="2805"/>
      <c r="AOB73" s="2805"/>
      <c r="AOC73" s="2805"/>
      <c r="AOD73" s="2805"/>
      <c r="AOE73" s="2805"/>
      <c r="AOF73" s="2805"/>
      <c r="AOG73" s="2805"/>
      <c r="AOH73" s="2805"/>
      <c r="AOI73" s="2805"/>
      <c r="AOJ73" s="2805"/>
      <c r="AOK73" s="2805"/>
      <c r="AOL73" s="2805"/>
      <c r="AOM73" s="2805"/>
      <c r="AON73" s="2805"/>
      <c r="AOO73" s="2805"/>
      <c r="AOP73" s="2805"/>
      <c r="AOQ73" s="2805"/>
      <c r="AOR73" s="2805"/>
      <c r="AOS73" s="2805"/>
      <c r="AOT73" s="2805"/>
      <c r="AOU73" s="2805"/>
      <c r="AOV73" s="2805"/>
      <c r="AOW73" s="2805"/>
      <c r="AOX73" s="2805"/>
      <c r="AOY73" s="2805"/>
      <c r="AOZ73" s="2805"/>
      <c r="APA73" s="2805"/>
      <c r="APB73" s="2805"/>
      <c r="APC73" s="2805"/>
      <c r="APD73" s="2805"/>
      <c r="APE73" s="2805"/>
      <c r="APF73" s="2805"/>
      <c r="APG73" s="2805"/>
      <c r="APH73" s="2805"/>
      <c r="API73" s="2805"/>
      <c r="APJ73" s="2805"/>
      <c r="APK73" s="2805"/>
      <c r="APL73" s="2805"/>
      <c r="APM73" s="2805"/>
      <c r="APN73" s="2805"/>
      <c r="APO73" s="2805"/>
      <c r="APP73" s="2805"/>
      <c r="APQ73" s="2805"/>
      <c r="APR73" s="2805"/>
      <c r="APS73" s="2805"/>
      <c r="APT73" s="2805"/>
      <c r="APU73" s="2805"/>
      <c r="APV73" s="2805"/>
      <c r="APW73" s="2805"/>
      <c r="APX73" s="2805"/>
      <c r="APY73" s="2805"/>
      <c r="APZ73" s="2805"/>
      <c r="AQA73" s="2805"/>
      <c r="AQB73" s="2805"/>
      <c r="AQC73" s="2805"/>
      <c r="AQD73" s="2805"/>
      <c r="AQE73" s="2805"/>
      <c r="AQF73" s="2805"/>
      <c r="AQG73" s="2805"/>
      <c r="AQH73" s="2805"/>
      <c r="AQI73" s="2805"/>
      <c r="AQJ73" s="2805"/>
      <c r="AQK73" s="2805"/>
      <c r="AQL73" s="2805"/>
      <c r="AQM73" s="2805"/>
      <c r="AQN73" s="2805"/>
      <c r="AQO73" s="2805"/>
      <c r="AQP73" s="2805"/>
      <c r="AQQ73" s="2805"/>
      <c r="AQR73" s="2805"/>
      <c r="AQS73" s="2805"/>
      <c r="AQT73" s="2805"/>
      <c r="AQU73" s="2805"/>
      <c r="AQV73" s="2805"/>
      <c r="AQW73" s="2805"/>
      <c r="AQX73" s="2805"/>
      <c r="AQY73" s="2805"/>
      <c r="AQZ73" s="2805"/>
      <c r="ARA73" s="2805"/>
      <c r="ARB73" s="2805"/>
      <c r="ARC73" s="2805"/>
      <c r="ARD73" s="2805"/>
      <c r="ARE73" s="2805"/>
      <c r="ARF73" s="2805"/>
      <c r="ARG73" s="2805"/>
      <c r="ARH73" s="2805"/>
      <c r="ARI73" s="2805"/>
      <c r="ARJ73" s="2805"/>
      <c r="ARK73" s="2805"/>
      <c r="ARL73" s="2805"/>
      <c r="ARM73" s="2805"/>
      <c r="ARN73" s="2805"/>
      <c r="ARO73" s="2805"/>
      <c r="ARP73" s="2805"/>
      <c r="ARQ73" s="2805"/>
      <c r="ARR73" s="2805"/>
      <c r="ARS73" s="2805"/>
      <c r="ART73" s="2805"/>
      <c r="ARU73" s="2805"/>
      <c r="ARV73" s="2805"/>
      <c r="ARW73" s="2805"/>
      <c r="ARX73" s="2805"/>
      <c r="ARY73" s="2805"/>
      <c r="ARZ73" s="2805"/>
      <c r="ASA73" s="2805"/>
      <c r="ASB73" s="2805"/>
      <c r="ASC73" s="2805"/>
      <c r="ASD73" s="2805"/>
      <c r="ASE73" s="2805"/>
      <c r="ASF73" s="2805"/>
      <c r="ASG73" s="2805"/>
      <c r="ASH73" s="2805"/>
      <c r="ASI73" s="2805"/>
      <c r="ASJ73" s="2805"/>
      <c r="ASK73" s="2805"/>
      <c r="ASL73" s="2805"/>
      <c r="ASM73" s="2805"/>
      <c r="ASN73" s="2805"/>
      <c r="ASO73" s="2805"/>
      <c r="ASP73" s="2805"/>
      <c r="ASQ73" s="2805"/>
      <c r="ASR73" s="2805"/>
      <c r="ASS73" s="2805"/>
      <c r="AST73" s="2805"/>
      <c r="ASU73" s="2805"/>
      <c r="ASV73" s="2805"/>
      <c r="ASW73" s="2805"/>
      <c r="ASX73" s="2805"/>
      <c r="ASY73" s="2805"/>
      <c r="ASZ73" s="2805"/>
      <c r="ATA73" s="2805"/>
      <c r="ATB73" s="2805"/>
      <c r="ATC73" s="2805"/>
      <c r="ATD73" s="2805"/>
      <c r="ATE73" s="2805"/>
      <c r="ATF73" s="2805"/>
      <c r="ATG73" s="2805"/>
      <c r="ATH73" s="2805"/>
      <c r="ATI73" s="2805"/>
      <c r="ATJ73" s="2805"/>
      <c r="ATK73" s="2805"/>
      <c r="ATL73" s="2805"/>
      <c r="ATM73" s="2805"/>
      <c r="ATN73" s="2805"/>
      <c r="ATO73" s="2805"/>
      <c r="ATP73" s="2805"/>
      <c r="ATQ73" s="2805"/>
      <c r="ATR73" s="2805"/>
      <c r="ATS73" s="2805"/>
      <c r="ATT73" s="2805"/>
      <c r="ATU73" s="2805"/>
      <c r="ATV73" s="2805"/>
      <c r="ATW73" s="2805"/>
      <c r="ATX73" s="2805"/>
      <c r="ATY73" s="2805"/>
      <c r="ATZ73" s="2805"/>
      <c r="AUA73" s="2805"/>
      <c r="AUB73" s="2805"/>
      <c r="AUC73" s="2805"/>
      <c r="AUD73" s="2805"/>
      <c r="AUE73" s="2805"/>
      <c r="AUF73" s="2805"/>
      <c r="AUG73" s="2805"/>
      <c r="AUH73" s="2805"/>
      <c r="AUI73" s="2805"/>
      <c r="AUJ73" s="2805"/>
      <c r="AUK73" s="2805"/>
      <c r="AUL73" s="2805"/>
      <c r="AUM73" s="2805"/>
      <c r="AUN73" s="2805"/>
      <c r="AUO73" s="2805"/>
      <c r="AUP73" s="2805"/>
      <c r="AUQ73" s="2805"/>
      <c r="AUR73" s="2805"/>
      <c r="AUS73" s="2805"/>
      <c r="AUT73" s="2805"/>
      <c r="AUU73" s="2805"/>
      <c r="AUV73" s="2805"/>
      <c r="AUW73" s="2805"/>
      <c r="AUX73" s="2805"/>
      <c r="AUY73" s="2805"/>
      <c r="AUZ73" s="2805"/>
      <c r="AVA73" s="2805"/>
      <c r="AVB73" s="2805"/>
      <c r="AVC73" s="2805"/>
      <c r="AVD73" s="2805"/>
      <c r="AVE73" s="2805"/>
      <c r="AVF73" s="2805"/>
      <c r="AVG73" s="2805"/>
      <c r="AVH73" s="2805"/>
      <c r="AVI73" s="2805"/>
      <c r="AVJ73" s="2805"/>
      <c r="AVK73" s="2805"/>
      <c r="AVL73" s="2805"/>
      <c r="AVM73" s="2805"/>
      <c r="AVN73" s="2805"/>
      <c r="AVO73" s="2805"/>
      <c r="AVP73" s="2805"/>
      <c r="AVQ73" s="2805"/>
      <c r="AVR73" s="2805"/>
      <c r="AVS73" s="2805"/>
      <c r="AVT73" s="2805"/>
      <c r="AVU73" s="2805"/>
      <c r="AVV73" s="2805"/>
      <c r="AVW73" s="2805"/>
      <c r="AVX73" s="2805"/>
      <c r="AVY73" s="2805"/>
      <c r="AVZ73" s="2805"/>
      <c r="AWA73" s="2805"/>
      <c r="AWB73" s="2805"/>
      <c r="AWC73" s="2805"/>
      <c r="AWD73" s="2805"/>
      <c r="AWE73" s="2805"/>
      <c r="AWF73" s="2805"/>
      <c r="AWG73" s="2805"/>
      <c r="AWH73" s="2805"/>
      <c r="AWI73" s="2805"/>
      <c r="AWJ73" s="2805"/>
      <c r="AWK73" s="2805"/>
      <c r="AWL73" s="2805"/>
      <c r="AWM73" s="2805"/>
      <c r="AWN73" s="2805"/>
      <c r="AWO73" s="2805"/>
      <c r="AWP73" s="2805"/>
      <c r="AWQ73" s="2805"/>
      <c r="AWR73" s="2805"/>
      <c r="AWS73" s="2805"/>
      <c r="AWT73" s="2805"/>
      <c r="AWU73" s="2805"/>
      <c r="AWV73" s="2805"/>
      <c r="AWW73" s="2805"/>
      <c r="AWX73" s="2805"/>
      <c r="AWY73" s="2805"/>
      <c r="AWZ73" s="2805"/>
      <c r="AXA73" s="2805"/>
      <c r="AXB73" s="2805"/>
      <c r="AXC73" s="2805"/>
      <c r="AXD73" s="2805"/>
      <c r="AXE73" s="2805"/>
      <c r="AXF73" s="2805"/>
      <c r="AXG73" s="2805"/>
      <c r="AXH73" s="2805"/>
      <c r="AXI73" s="2805"/>
      <c r="AXJ73" s="2805"/>
      <c r="AXK73" s="2805"/>
      <c r="AXL73" s="2805"/>
      <c r="AXM73" s="2805"/>
      <c r="AXN73" s="2805"/>
      <c r="AXO73" s="2805"/>
      <c r="AXP73" s="2805"/>
      <c r="AXQ73" s="2805"/>
      <c r="AXR73" s="2805"/>
      <c r="AXS73" s="2805"/>
      <c r="AXT73" s="2805"/>
      <c r="AXU73" s="2805"/>
      <c r="AXV73" s="2805"/>
      <c r="AXW73" s="2805"/>
      <c r="AXX73" s="2805"/>
      <c r="AXY73" s="2805"/>
      <c r="AXZ73" s="2805"/>
      <c r="AYA73" s="2805"/>
      <c r="AYB73" s="2805"/>
      <c r="AYC73" s="2805"/>
      <c r="AYD73" s="2805"/>
      <c r="AYE73" s="2805"/>
      <c r="AYF73" s="2805"/>
      <c r="AYG73" s="2805"/>
      <c r="AYH73" s="2805"/>
      <c r="AYI73" s="2805"/>
      <c r="AYJ73" s="2805"/>
      <c r="AYK73" s="2805"/>
      <c r="AYL73" s="2805"/>
      <c r="AYM73" s="2805"/>
      <c r="AYN73" s="2805"/>
      <c r="AYO73" s="2805"/>
      <c r="AYP73" s="2805"/>
      <c r="AYQ73" s="2805"/>
      <c r="AYR73" s="2805"/>
      <c r="AYS73" s="2805"/>
      <c r="AYT73" s="2805"/>
      <c r="AYU73" s="2805"/>
      <c r="AYV73" s="2805"/>
      <c r="AYW73" s="2805"/>
      <c r="AYX73" s="2805"/>
      <c r="AYY73" s="2805"/>
      <c r="AYZ73" s="2805"/>
      <c r="AZA73" s="2805"/>
      <c r="AZB73" s="2805"/>
      <c r="AZC73" s="2805"/>
      <c r="AZD73" s="2805"/>
      <c r="AZE73" s="2805"/>
      <c r="AZF73" s="2805"/>
      <c r="AZG73" s="2805"/>
      <c r="AZH73" s="2805"/>
      <c r="AZI73" s="2805"/>
      <c r="AZJ73" s="2805"/>
      <c r="AZK73" s="2805"/>
      <c r="AZL73" s="2805"/>
      <c r="AZM73" s="2805"/>
      <c r="AZN73" s="2805"/>
      <c r="AZO73" s="2805"/>
      <c r="AZP73" s="2805"/>
      <c r="AZQ73" s="2805"/>
      <c r="AZR73" s="2805"/>
      <c r="AZS73" s="2805"/>
      <c r="AZT73" s="2805"/>
      <c r="AZU73" s="2805"/>
      <c r="AZV73" s="2805"/>
      <c r="AZW73" s="2805"/>
      <c r="AZX73" s="2805"/>
      <c r="AZY73" s="2805"/>
      <c r="AZZ73" s="2805"/>
      <c r="BAA73" s="2805"/>
      <c r="BAB73" s="2805"/>
      <c r="BAC73" s="2805"/>
      <c r="BAD73" s="2805"/>
      <c r="BAE73" s="2805"/>
      <c r="BAF73" s="2805"/>
      <c r="BAG73" s="2805"/>
      <c r="BAH73" s="2805"/>
      <c r="BAI73" s="2805"/>
      <c r="BAJ73" s="2805"/>
      <c r="BAK73" s="2805"/>
      <c r="BAL73" s="2805"/>
      <c r="BAM73" s="2805"/>
      <c r="BAN73" s="2805"/>
      <c r="BAO73" s="2805"/>
      <c r="BAP73" s="2805"/>
      <c r="BAQ73" s="2805"/>
      <c r="BAR73" s="2805"/>
      <c r="BAS73" s="2805"/>
      <c r="BAT73" s="2805"/>
      <c r="BAU73" s="2805"/>
      <c r="BAV73" s="2805"/>
      <c r="BAW73" s="2805"/>
      <c r="BAX73" s="2805"/>
      <c r="BAY73" s="2805"/>
      <c r="BAZ73" s="2805"/>
      <c r="BBA73" s="2805"/>
      <c r="BBB73" s="2805"/>
      <c r="BBC73" s="2805"/>
      <c r="BBD73" s="2805"/>
      <c r="BBE73" s="2805"/>
      <c r="BBF73" s="2805"/>
      <c r="BBG73" s="2805"/>
      <c r="BBH73" s="2805"/>
      <c r="BBI73" s="2805"/>
      <c r="BBJ73" s="2805"/>
      <c r="BBK73" s="2805"/>
      <c r="BBL73" s="2805"/>
      <c r="BBM73" s="2805"/>
      <c r="BBN73" s="2805"/>
      <c r="BBO73" s="2805"/>
      <c r="BBP73" s="2805"/>
      <c r="BBQ73" s="2805"/>
      <c r="BBR73" s="2805"/>
      <c r="BBS73" s="2805"/>
      <c r="BBT73" s="2805"/>
      <c r="BBU73" s="2805"/>
      <c r="BBV73" s="2805"/>
      <c r="BBW73" s="2805"/>
      <c r="BBX73" s="2805"/>
      <c r="BBY73" s="2805"/>
      <c r="BBZ73" s="2805"/>
      <c r="BCA73" s="2805"/>
      <c r="BCB73" s="2805"/>
      <c r="BCC73" s="2805"/>
      <c r="BCD73" s="2805"/>
      <c r="BCE73" s="2805"/>
      <c r="BCF73" s="2805"/>
      <c r="BCG73" s="2805"/>
      <c r="BCH73" s="2805"/>
      <c r="BCI73" s="2805"/>
      <c r="BCJ73" s="2805"/>
      <c r="BCK73" s="2805"/>
      <c r="BCL73" s="2805"/>
      <c r="BCM73" s="2805"/>
      <c r="BCN73" s="2805"/>
      <c r="BCO73" s="2805"/>
      <c r="BCP73" s="2805"/>
      <c r="BCQ73" s="2805"/>
      <c r="BCR73" s="2805"/>
      <c r="BCS73" s="2805"/>
      <c r="BCT73" s="2805"/>
      <c r="BCU73" s="2805"/>
      <c r="BCV73" s="2805"/>
      <c r="BCW73" s="2805"/>
      <c r="BCX73" s="2805"/>
      <c r="BCY73" s="2805"/>
      <c r="BCZ73" s="2805"/>
      <c r="BDA73" s="2805"/>
      <c r="BDB73" s="2805"/>
      <c r="BDC73" s="2805"/>
      <c r="BDD73" s="2805"/>
      <c r="BDE73" s="2805"/>
      <c r="BDF73" s="2805"/>
      <c r="BDG73" s="2805"/>
      <c r="BDH73" s="2805"/>
      <c r="BDI73" s="2805"/>
      <c r="BDJ73" s="2805"/>
      <c r="BDK73" s="2805"/>
      <c r="BDL73" s="2805"/>
      <c r="BDM73" s="2805"/>
      <c r="BDN73" s="2805"/>
      <c r="BDO73" s="2805"/>
      <c r="BDP73" s="2805"/>
      <c r="BDQ73" s="2805"/>
      <c r="BDR73" s="2805"/>
      <c r="BDS73" s="2805"/>
      <c r="BDT73" s="2805"/>
      <c r="BDU73" s="2805"/>
      <c r="BDV73" s="2805"/>
      <c r="BDW73" s="2805"/>
      <c r="BDX73" s="2805"/>
      <c r="BDY73" s="2805"/>
      <c r="BDZ73" s="2805"/>
      <c r="BEA73" s="2805"/>
      <c r="BEB73" s="2805"/>
      <c r="BEC73" s="2805"/>
      <c r="BED73" s="2805"/>
      <c r="BEE73" s="2805"/>
      <c r="BEF73" s="2805"/>
      <c r="BEG73" s="2805"/>
      <c r="BEH73" s="2805"/>
      <c r="BEI73" s="2805"/>
      <c r="BEJ73" s="2805"/>
      <c r="BEK73" s="2805"/>
      <c r="BEL73" s="2805"/>
      <c r="BEM73" s="2805"/>
      <c r="BEN73" s="2805"/>
      <c r="BEO73" s="2805"/>
      <c r="BEP73" s="2805"/>
      <c r="BEQ73" s="2805"/>
      <c r="BER73" s="2805"/>
      <c r="BES73" s="2805"/>
      <c r="BET73" s="2805"/>
      <c r="BEU73" s="2805"/>
      <c r="BEV73" s="2805"/>
      <c r="BEW73" s="2805"/>
      <c r="BEX73" s="2805"/>
      <c r="BEY73" s="2805"/>
      <c r="BEZ73" s="2805"/>
      <c r="BFA73" s="2805"/>
      <c r="BFB73" s="2805"/>
      <c r="BFC73" s="2805"/>
      <c r="BFD73" s="2805"/>
      <c r="BFE73" s="2805"/>
      <c r="BFF73" s="2805"/>
      <c r="BFG73" s="2805"/>
      <c r="BFH73" s="2805"/>
      <c r="BFI73" s="2805"/>
      <c r="BFJ73" s="2805"/>
      <c r="BFK73" s="2805"/>
      <c r="BFL73" s="2805"/>
      <c r="BFM73" s="2805"/>
      <c r="BFN73" s="2805"/>
      <c r="BFO73" s="2805"/>
      <c r="BFP73" s="2805"/>
      <c r="BFQ73" s="2805"/>
      <c r="BFR73" s="2805"/>
      <c r="BFS73" s="2805"/>
      <c r="BFT73" s="2805"/>
      <c r="BFU73" s="2805"/>
      <c r="BFV73" s="2805"/>
      <c r="BFW73" s="2805"/>
      <c r="BFX73" s="2805"/>
      <c r="BFY73" s="2805"/>
      <c r="BFZ73" s="2805"/>
      <c r="BGA73" s="2805"/>
      <c r="BGB73" s="2805"/>
      <c r="BGC73" s="2805"/>
      <c r="BGD73" s="2805"/>
      <c r="BGE73" s="2805"/>
      <c r="BGF73" s="2805"/>
      <c r="BGG73" s="2805"/>
      <c r="BGH73" s="2805"/>
      <c r="BGI73" s="2805"/>
      <c r="BGJ73" s="2805"/>
      <c r="BGK73" s="2805"/>
      <c r="BGL73" s="2805"/>
      <c r="BGM73" s="2805"/>
      <c r="BGN73" s="2805"/>
      <c r="BGO73" s="2805"/>
      <c r="BGP73" s="2805"/>
      <c r="BGQ73" s="2805"/>
      <c r="BGR73" s="2805"/>
      <c r="BGS73" s="2805"/>
      <c r="BGT73" s="2805"/>
      <c r="BGU73" s="2805"/>
      <c r="BGV73" s="2805"/>
      <c r="BGW73" s="2805"/>
      <c r="BGX73" s="2805"/>
      <c r="BGY73" s="2805"/>
      <c r="BGZ73" s="2805"/>
      <c r="BHA73" s="2805"/>
      <c r="BHB73" s="2805"/>
      <c r="BHC73" s="2805"/>
      <c r="BHD73" s="2805"/>
      <c r="BHE73" s="2805"/>
      <c r="BHF73" s="2805"/>
      <c r="BHG73" s="2805"/>
      <c r="BHH73" s="2805"/>
      <c r="BHI73" s="2805"/>
      <c r="BHJ73" s="2805"/>
      <c r="BHK73" s="2805"/>
      <c r="BHL73" s="2805"/>
      <c r="BHM73" s="2805"/>
      <c r="BHN73" s="2805"/>
      <c r="BHO73" s="2805"/>
      <c r="BHP73" s="2805"/>
      <c r="BHQ73" s="2805"/>
      <c r="BHR73" s="2805"/>
      <c r="BHS73" s="2805"/>
      <c r="BHT73" s="2805"/>
      <c r="BHU73" s="2805"/>
      <c r="BHV73" s="2805"/>
      <c r="BHW73" s="2805"/>
      <c r="BHX73" s="2805"/>
      <c r="BHY73" s="2805"/>
      <c r="BHZ73" s="2805"/>
      <c r="BIA73" s="2805"/>
      <c r="BIB73" s="2805"/>
      <c r="BIC73" s="2805"/>
      <c r="BID73" s="2805"/>
      <c r="BIE73" s="2805"/>
      <c r="BIF73" s="2805"/>
      <c r="BIG73" s="2805"/>
      <c r="BIH73" s="2805"/>
      <c r="BII73" s="2805"/>
      <c r="BIJ73" s="2805"/>
      <c r="BIK73" s="2805"/>
      <c r="BIL73" s="2805"/>
      <c r="BIM73" s="2805"/>
      <c r="BIN73" s="2805"/>
      <c r="BIO73" s="2805"/>
      <c r="BIP73" s="2805"/>
      <c r="BIQ73" s="2805"/>
      <c r="BIR73" s="2805"/>
      <c r="BIS73" s="2805"/>
      <c r="BIT73" s="2805"/>
      <c r="BIU73" s="2805"/>
      <c r="BIV73" s="2805"/>
      <c r="BIW73" s="2805"/>
      <c r="BIX73" s="2805"/>
      <c r="BIY73" s="2805"/>
      <c r="BIZ73" s="2805"/>
      <c r="BJA73" s="2805"/>
      <c r="BJB73" s="2805"/>
      <c r="BJC73" s="2805"/>
      <c r="BJD73" s="2805"/>
      <c r="BJE73" s="2805"/>
      <c r="BJF73" s="2805"/>
      <c r="BJG73" s="2805"/>
      <c r="BJH73" s="2805"/>
      <c r="BJI73" s="2805"/>
      <c r="BJJ73" s="2805"/>
      <c r="BJK73" s="2805"/>
      <c r="BJL73" s="2805"/>
      <c r="BJM73" s="2805"/>
      <c r="BJN73" s="2805"/>
      <c r="BJO73" s="2805"/>
      <c r="BJP73" s="2805"/>
      <c r="BJQ73" s="2805"/>
      <c r="BJR73" s="2805"/>
      <c r="BJS73" s="2805"/>
      <c r="BJT73" s="2805"/>
      <c r="BJU73" s="2805"/>
      <c r="BJV73" s="2805"/>
      <c r="BJW73" s="2805"/>
      <c r="BJX73" s="2805"/>
      <c r="BJY73" s="2805"/>
      <c r="BJZ73" s="2805"/>
      <c r="BKA73" s="2805"/>
      <c r="BKB73" s="2805"/>
      <c r="BKC73" s="2805"/>
      <c r="BKD73" s="2805"/>
      <c r="BKE73" s="2805"/>
      <c r="BKF73" s="2805"/>
      <c r="BKG73" s="2805"/>
      <c r="BKH73" s="2805"/>
      <c r="BKI73" s="2805"/>
      <c r="BKJ73" s="2805"/>
      <c r="BKK73" s="2805"/>
      <c r="BKL73" s="2805"/>
      <c r="BKM73" s="2805"/>
      <c r="BKN73" s="2805"/>
      <c r="BKO73" s="2805"/>
      <c r="BKP73" s="2805"/>
      <c r="BKQ73" s="2805"/>
      <c r="BKR73" s="2805"/>
      <c r="BKS73" s="2805"/>
      <c r="BKT73" s="2805"/>
      <c r="BKU73" s="2805"/>
      <c r="BKV73" s="2805"/>
      <c r="BKW73" s="2805"/>
      <c r="BKX73" s="2805"/>
      <c r="BKY73" s="2805"/>
      <c r="BKZ73" s="2805"/>
      <c r="BLA73" s="2805"/>
      <c r="BLB73" s="2805"/>
      <c r="BLC73" s="2805"/>
      <c r="BLD73" s="2805"/>
      <c r="BLE73" s="2805"/>
      <c r="BLF73" s="2805"/>
      <c r="BLG73" s="2805"/>
      <c r="BLH73" s="2805"/>
      <c r="BLI73" s="2805"/>
      <c r="BLJ73" s="2805"/>
      <c r="BLK73" s="2805"/>
      <c r="BLL73" s="2805"/>
      <c r="BLM73" s="2805"/>
      <c r="BLN73" s="2805"/>
      <c r="BLO73" s="2805"/>
      <c r="BLP73" s="2805"/>
      <c r="BLQ73" s="2805"/>
      <c r="BLR73" s="2805"/>
      <c r="BLS73" s="2805"/>
      <c r="BLT73" s="2805"/>
      <c r="BLU73" s="2805"/>
      <c r="BLV73" s="2805"/>
      <c r="BLW73" s="2805"/>
      <c r="BLX73" s="2805"/>
      <c r="BLY73" s="2805"/>
      <c r="BLZ73" s="2805"/>
      <c r="BMA73" s="2805"/>
      <c r="BMB73" s="2805"/>
      <c r="BMC73" s="2805"/>
      <c r="BMD73" s="2805"/>
      <c r="BME73" s="2805"/>
      <c r="BMF73" s="2805"/>
      <c r="BMG73" s="2805"/>
      <c r="BMH73" s="2805"/>
      <c r="BMI73" s="2805"/>
      <c r="BMJ73" s="2805"/>
      <c r="BMK73" s="2805"/>
      <c r="BML73" s="2805"/>
      <c r="BMM73" s="2805"/>
      <c r="BMN73" s="2805"/>
      <c r="BMO73" s="2805"/>
      <c r="BMP73" s="2805"/>
      <c r="BMQ73" s="2805"/>
      <c r="BMR73" s="2805"/>
      <c r="BMS73" s="2805"/>
      <c r="BMT73" s="2805"/>
      <c r="BMU73" s="2805"/>
      <c r="BMV73" s="2805"/>
      <c r="BMW73" s="2805"/>
      <c r="BMX73" s="2805"/>
      <c r="BMY73" s="2805"/>
      <c r="BMZ73" s="2805"/>
      <c r="BNA73" s="2805"/>
      <c r="BNB73" s="2805"/>
      <c r="BNC73" s="2805"/>
      <c r="BND73" s="2805"/>
      <c r="BNE73" s="2805"/>
      <c r="BNF73" s="2805"/>
      <c r="BNG73" s="2805"/>
      <c r="BNH73" s="2805"/>
      <c r="BNI73" s="2805"/>
      <c r="BNJ73" s="2805"/>
      <c r="BNK73" s="2805"/>
      <c r="BNL73" s="2805"/>
      <c r="BNM73" s="2805"/>
      <c r="BNN73" s="2805"/>
      <c r="BNO73" s="2805"/>
      <c r="BNP73" s="2805"/>
      <c r="BNQ73" s="2805"/>
      <c r="BNR73" s="2805"/>
      <c r="BNS73" s="2805"/>
      <c r="BNT73" s="2805"/>
      <c r="BNU73" s="2805"/>
      <c r="BNV73" s="2805"/>
      <c r="BNW73" s="2805"/>
      <c r="BNX73" s="2805"/>
      <c r="BNY73" s="2805"/>
      <c r="BNZ73" s="2805"/>
      <c r="BOA73" s="2805"/>
      <c r="BOB73" s="2805"/>
      <c r="BOC73" s="2805"/>
      <c r="BOD73" s="2805"/>
      <c r="BOE73" s="2805"/>
      <c r="BOF73" s="2805"/>
      <c r="BOG73" s="2805"/>
      <c r="BOH73" s="2805"/>
      <c r="BOI73" s="2805"/>
      <c r="BOJ73" s="2805"/>
      <c r="BOK73" s="2805"/>
      <c r="BOL73" s="2805"/>
      <c r="BOM73" s="2805"/>
      <c r="BON73" s="2805"/>
      <c r="BOO73" s="2805"/>
      <c r="BOP73" s="2805"/>
      <c r="BOQ73" s="2805"/>
      <c r="BOR73" s="2805"/>
      <c r="BOS73" s="2805"/>
      <c r="BOT73" s="2805"/>
      <c r="BOU73" s="2805"/>
      <c r="BOV73" s="2805"/>
      <c r="BOW73" s="2805"/>
      <c r="BOX73" s="2805"/>
      <c r="BOY73" s="2805"/>
      <c r="BOZ73" s="2805"/>
      <c r="BPA73" s="2805"/>
      <c r="BPB73" s="2805"/>
      <c r="BPC73" s="2805"/>
      <c r="BPD73" s="2805"/>
      <c r="BPE73" s="2805"/>
      <c r="BPF73" s="2805"/>
      <c r="BPG73" s="2805"/>
      <c r="BPH73" s="2805"/>
      <c r="BPI73" s="2805"/>
      <c r="BPJ73" s="2805"/>
      <c r="BPK73" s="2805"/>
      <c r="BPL73" s="2805"/>
      <c r="BPM73" s="2805"/>
      <c r="BPN73" s="2805"/>
      <c r="BPO73" s="2805"/>
      <c r="BPP73" s="2805"/>
      <c r="BPQ73" s="2805"/>
      <c r="BPR73" s="2805"/>
      <c r="BPS73" s="2805"/>
      <c r="BPT73" s="2805"/>
      <c r="BPU73" s="2805"/>
      <c r="BPV73" s="2805"/>
      <c r="BPW73" s="2805"/>
      <c r="BPX73" s="2805"/>
      <c r="BPY73" s="2805"/>
      <c r="BPZ73" s="2805"/>
      <c r="BQA73" s="2805"/>
      <c r="BQB73" s="2805"/>
      <c r="BQC73" s="2805"/>
      <c r="BQD73" s="2805"/>
      <c r="BQE73" s="2805"/>
      <c r="BQF73" s="2805"/>
      <c r="BQG73" s="2805"/>
      <c r="BQH73" s="2805"/>
      <c r="BQI73" s="2805"/>
      <c r="BQJ73" s="2805"/>
      <c r="BQK73" s="2805"/>
      <c r="BQL73" s="2805"/>
      <c r="BQM73" s="2805"/>
      <c r="BQN73" s="2805"/>
      <c r="BQO73" s="2805"/>
      <c r="BQP73" s="2805"/>
      <c r="BQQ73" s="2805"/>
      <c r="BQR73" s="2805"/>
      <c r="BQS73" s="2805"/>
      <c r="BQT73" s="2805"/>
      <c r="BQU73" s="2805"/>
      <c r="BQV73" s="2805"/>
      <c r="BQW73" s="2805"/>
      <c r="BQX73" s="2805"/>
      <c r="BQY73" s="2805"/>
      <c r="BQZ73" s="2805"/>
      <c r="BRA73" s="2805"/>
      <c r="BRB73" s="2805"/>
      <c r="BRC73" s="2805"/>
      <c r="BRD73" s="2805"/>
      <c r="BRE73" s="2805"/>
      <c r="BRF73" s="2805"/>
      <c r="BRG73" s="2805"/>
      <c r="BRH73" s="2805"/>
      <c r="BRI73" s="2805"/>
      <c r="BRJ73" s="2805"/>
      <c r="BRK73" s="2805"/>
      <c r="BRL73" s="2805"/>
      <c r="BRM73" s="2805"/>
      <c r="BRN73" s="2805"/>
      <c r="BRO73" s="2805"/>
      <c r="BRP73" s="2805"/>
      <c r="BRQ73" s="2805"/>
      <c r="BRR73" s="2805"/>
      <c r="BRS73" s="2805"/>
      <c r="BRT73" s="2805"/>
      <c r="BRU73" s="2805"/>
      <c r="BRV73" s="2805"/>
      <c r="BRW73" s="2805"/>
      <c r="BRX73" s="2805"/>
      <c r="BRY73" s="2805"/>
      <c r="BRZ73" s="2805"/>
      <c r="BSA73" s="2805"/>
      <c r="BSB73" s="2805"/>
      <c r="BSC73" s="2805"/>
      <c r="BSD73" s="2805"/>
      <c r="BSE73" s="2805"/>
      <c r="BSF73" s="2805"/>
      <c r="BSG73" s="2805"/>
      <c r="BSH73" s="2805"/>
      <c r="BSI73" s="2805"/>
      <c r="BSJ73" s="2805"/>
      <c r="BSK73" s="2805"/>
      <c r="BSL73" s="2805"/>
      <c r="BSM73" s="2805"/>
      <c r="BSN73" s="2805"/>
      <c r="BSO73" s="2805"/>
      <c r="BSP73" s="2805"/>
      <c r="BSQ73" s="2805"/>
      <c r="BSR73" s="2805"/>
      <c r="BSS73" s="2805"/>
      <c r="BST73" s="2805"/>
      <c r="BSU73" s="2805"/>
      <c r="BSV73" s="2805"/>
      <c r="BSW73" s="2805"/>
      <c r="BSX73" s="2805"/>
      <c r="BSY73" s="2805"/>
      <c r="BSZ73" s="2805"/>
      <c r="BTA73" s="2805"/>
      <c r="BTB73" s="2805"/>
      <c r="BTC73" s="2805"/>
      <c r="BTD73" s="2805"/>
      <c r="BTE73" s="2805"/>
      <c r="BTF73" s="2805"/>
      <c r="BTG73" s="2805"/>
      <c r="BTH73" s="2805"/>
      <c r="BTI73" s="2805"/>
      <c r="BTJ73" s="2805"/>
      <c r="BTK73" s="2805"/>
      <c r="BTL73" s="2805"/>
      <c r="BTM73" s="2805"/>
      <c r="BTN73" s="2805"/>
      <c r="BTO73" s="2805"/>
      <c r="BTP73" s="2805"/>
      <c r="BTQ73" s="2805"/>
      <c r="BTR73" s="2805"/>
      <c r="BTS73" s="2805"/>
      <c r="BTT73" s="2805"/>
      <c r="BTU73" s="2805"/>
      <c r="BTV73" s="2805"/>
      <c r="BTW73" s="2805"/>
      <c r="BTX73" s="2805"/>
      <c r="BTY73" s="2805"/>
      <c r="BTZ73" s="2805"/>
      <c r="BUA73" s="2805"/>
      <c r="BUB73" s="2805"/>
      <c r="BUC73" s="2805"/>
      <c r="BUD73" s="2805"/>
      <c r="BUE73" s="2805"/>
      <c r="BUF73" s="2805"/>
      <c r="BUG73" s="2805"/>
      <c r="BUH73" s="2805"/>
      <c r="BUI73" s="2805"/>
      <c r="BUJ73" s="2805"/>
      <c r="BUK73" s="2805"/>
      <c r="BUL73" s="2805"/>
      <c r="BUM73" s="2805"/>
      <c r="BUN73" s="2805"/>
      <c r="BUO73" s="2805"/>
      <c r="BUP73" s="2805"/>
      <c r="BUQ73" s="2805"/>
      <c r="BUR73" s="2805"/>
      <c r="BUS73" s="2805"/>
      <c r="BUT73" s="2805"/>
      <c r="BUU73" s="2805"/>
      <c r="BUV73" s="2805"/>
      <c r="BUW73" s="2805"/>
      <c r="BUX73" s="2805"/>
      <c r="BUY73" s="2805"/>
      <c r="BUZ73" s="2805"/>
      <c r="BVA73" s="2805"/>
      <c r="BVB73" s="2805"/>
      <c r="BVC73" s="2805"/>
      <c r="BVD73" s="2805"/>
      <c r="BVE73" s="2805"/>
      <c r="BVF73" s="2805"/>
      <c r="BVG73" s="2805"/>
      <c r="BVH73" s="2805"/>
      <c r="BVI73" s="2805"/>
      <c r="BVJ73" s="2805"/>
      <c r="BVK73" s="2805"/>
      <c r="BVL73" s="2805"/>
      <c r="BVM73" s="2805"/>
      <c r="BVN73" s="2805"/>
      <c r="BVO73" s="2805"/>
      <c r="BVP73" s="2805"/>
      <c r="BVQ73" s="2805"/>
      <c r="BVR73" s="2805"/>
      <c r="BVS73" s="2805"/>
      <c r="BVT73" s="2805"/>
      <c r="BVU73" s="2805"/>
      <c r="BVV73" s="2805"/>
      <c r="BVW73" s="2805"/>
      <c r="BVX73" s="2805"/>
      <c r="BVY73" s="2805"/>
      <c r="BVZ73" s="2805"/>
      <c r="BWA73" s="2805"/>
      <c r="BWB73" s="2805"/>
      <c r="BWC73" s="2805"/>
      <c r="BWD73" s="2805"/>
      <c r="BWE73" s="2805"/>
      <c r="BWF73" s="2805"/>
      <c r="BWG73" s="2805"/>
      <c r="BWH73" s="2805"/>
      <c r="BWI73" s="2805"/>
      <c r="BWJ73" s="2805"/>
      <c r="BWK73" s="2805"/>
      <c r="BWL73" s="2805"/>
      <c r="BWM73" s="2805"/>
      <c r="BWN73" s="2805"/>
      <c r="BWO73" s="2805"/>
      <c r="BWP73" s="2805"/>
      <c r="BWQ73" s="2805"/>
      <c r="BWR73" s="2805"/>
      <c r="BWS73" s="2805"/>
      <c r="BWT73" s="2805"/>
      <c r="BWU73" s="2805"/>
      <c r="BWV73" s="2805"/>
      <c r="BWW73" s="2805"/>
      <c r="BWX73" s="2805"/>
      <c r="BWY73" s="2805"/>
      <c r="BWZ73" s="2805"/>
      <c r="BXA73" s="2805"/>
      <c r="BXB73" s="2805"/>
      <c r="BXC73" s="2805"/>
      <c r="BXD73" s="2805"/>
      <c r="BXE73" s="2805"/>
      <c r="BXF73" s="2805"/>
      <c r="BXG73" s="2805"/>
      <c r="BXH73" s="2805"/>
      <c r="BXI73" s="2805"/>
      <c r="BXJ73" s="2805"/>
      <c r="BXK73" s="2805"/>
      <c r="BXL73" s="2805"/>
      <c r="BXM73" s="2805"/>
      <c r="BXN73" s="2805"/>
      <c r="BXO73" s="2805"/>
      <c r="BXP73" s="2805"/>
      <c r="BXQ73" s="2805"/>
      <c r="BXR73" s="2805"/>
      <c r="BXS73" s="2805"/>
      <c r="BXT73" s="2805"/>
      <c r="BXU73" s="2805"/>
      <c r="BXV73" s="2805"/>
      <c r="BXW73" s="2805"/>
      <c r="BXX73" s="2805"/>
      <c r="BXY73" s="2805"/>
      <c r="BXZ73" s="2805"/>
      <c r="BYA73" s="2805"/>
      <c r="BYB73" s="2805"/>
      <c r="BYC73" s="2805"/>
      <c r="BYD73" s="2805"/>
      <c r="BYE73" s="2805"/>
      <c r="BYF73" s="2805"/>
      <c r="BYG73" s="2805"/>
      <c r="BYH73" s="2805"/>
      <c r="BYI73" s="2805"/>
      <c r="BYJ73" s="2805"/>
      <c r="BYK73" s="2805"/>
      <c r="BYL73" s="2805"/>
      <c r="BYM73" s="2805"/>
      <c r="BYN73" s="2805"/>
      <c r="BYO73" s="2805"/>
      <c r="BYP73" s="2805"/>
      <c r="BYQ73" s="2805"/>
      <c r="BYR73" s="2805"/>
      <c r="BYS73" s="2805"/>
      <c r="BYT73" s="2805"/>
      <c r="BYU73" s="2805"/>
      <c r="BYV73" s="2805"/>
      <c r="BYW73" s="2805"/>
      <c r="BYX73" s="2805"/>
      <c r="BYY73" s="2805"/>
      <c r="BYZ73" s="2805"/>
      <c r="BZA73" s="2805"/>
      <c r="BZB73" s="2805"/>
      <c r="BZC73" s="2805"/>
      <c r="BZD73" s="2805"/>
      <c r="BZE73" s="2805"/>
      <c r="BZF73" s="2805"/>
      <c r="BZG73" s="2805"/>
      <c r="BZH73" s="2805"/>
      <c r="BZI73" s="2805"/>
      <c r="BZJ73" s="2805"/>
      <c r="BZK73" s="2805"/>
      <c r="BZL73" s="2805"/>
      <c r="BZM73" s="2805"/>
      <c r="BZN73" s="2805"/>
      <c r="BZO73" s="2805"/>
      <c r="BZP73" s="2805"/>
      <c r="BZQ73" s="2805"/>
      <c r="BZR73" s="2805"/>
      <c r="BZS73" s="2805"/>
      <c r="BZT73" s="2805"/>
      <c r="BZU73" s="2805"/>
      <c r="BZV73" s="2805"/>
      <c r="BZW73" s="2805"/>
      <c r="BZX73" s="2805"/>
      <c r="BZY73" s="2805"/>
      <c r="BZZ73" s="2805"/>
      <c r="CAA73" s="2805"/>
      <c r="CAB73" s="2805"/>
      <c r="CAC73" s="2805"/>
      <c r="CAD73" s="2805"/>
      <c r="CAE73" s="2805"/>
      <c r="CAF73" s="2805"/>
      <c r="CAG73" s="2805"/>
      <c r="CAH73" s="2805"/>
      <c r="CAI73" s="2805"/>
      <c r="CAJ73" s="2805"/>
      <c r="CAK73" s="2805"/>
      <c r="CAL73" s="2805"/>
      <c r="CAM73" s="2805"/>
      <c r="CAN73" s="2805"/>
      <c r="CAO73" s="2805"/>
      <c r="CAP73" s="2805"/>
      <c r="CAQ73" s="2805"/>
      <c r="CAR73" s="2805"/>
      <c r="CAS73" s="2805"/>
      <c r="CAT73" s="2805"/>
      <c r="CAU73" s="2805"/>
      <c r="CAV73" s="2805"/>
      <c r="CAW73" s="2805"/>
      <c r="CAX73" s="2805"/>
      <c r="CAY73" s="2805"/>
      <c r="CAZ73" s="2805"/>
      <c r="CBA73" s="2805"/>
      <c r="CBB73" s="2805"/>
      <c r="CBC73" s="2805"/>
      <c r="CBD73" s="2805"/>
      <c r="CBE73" s="2805"/>
      <c r="CBF73" s="2805"/>
      <c r="CBG73" s="2805"/>
      <c r="CBH73" s="2805"/>
      <c r="CBI73" s="2805"/>
      <c r="CBJ73" s="2805"/>
      <c r="CBK73" s="2805"/>
      <c r="CBL73" s="2805"/>
      <c r="CBM73" s="2805"/>
      <c r="CBN73" s="2805"/>
      <c r="CBO73" s="2805"/>
      <c r="CBP73" s="2805"/>
      <c r="CBQ73" s="2805"/>
      <c r="CBR73" s="2805"/>
      <c r="CBS73" s="2805"/>
      <c r="CBT73" s="2805"/>
      <c r="CBU73" s="2805"/>
      <c r="CBV73" s="2805"/>
      <c r="CBW73" s="2805"/>
      <c r="CBX73" s="2805"/>
      <c r="CBY73" s="2805"/>
      <c r="CBZ73" s="2805"/>
      <c r="CCA73" s="2805"/>
      <c r="CCB73" s="2805"/>
      <c r="CCC73" s="2805"/>
      <c r="CCD73" s="2805"/>
      <c r="CCE73" s="2805"/>
      <c r="CCF73" s="2805"/>
      <c r="CCG73" s="2805"/>
      <c r="CCH73" s="2805"/>
      <c r="CCI73" s="2805"/>
      <c r="CCJ73" s="2805"/>
      <c r="CCK73" s="2805"/>
      <c r="CCL73" s="2805"/>
      <c r="CCM73" s="2805"/>
      <c r="CCN73" s="2805"/>
      <c r="CCO73" s="2805"/>
      <c r="CCP73" s="2805"/>
      <c r="CCQ73" s="2805"/>
      <c r="CCR73" s="2805"/>
      <c r="CCS73" s="2805"/>
      <c r="CCT73" s="2805"/>
      <c r="CCU73" s="2805"/>
      <c r="CCV73" s="2805"/>
      <c r="CCW73" s="2805"/>
      <c r="CCX73" s="2805"/>
      <c r="CCY73" s="2805"/>
      <c r="CCZ73" s="2805"/>
      <c r="CDA73" s="2805"/>
      <c r="CDB73" s="2805"/>
      <c r="CDC73" s="2805"/>
      <c r="CDD73" s="2805"/>
      <c r="CDE73" s="2805"/>
      <c r="CDF73" s="2805"/>
      <c r="CDG73" s="2805"/>
      <c r="CDH73" s="2805"/>
      <c r="CDI73" s="2805"/>
      <c r="CDJ73" s="2805"/>
      <c r="CDK73" s="2805"/>
      <c r="CDL73" s="2805"/>
      <c r="CDM73" s="2805"/>
      <c r="CDN73" s="2805"/>
      <c r="CDO73" s="2805"/>
      <c r="CDP73" s="2805"/>
      <c r="CDQ73" s="2805"/>
      <c r="CDR73" s="2805"/>
      <c r="CDS73" s="2805"/>
      <c r="CDT73" s="2805"/>
      <c r="CDU73" s="2805"/>
      <c r="CDV73" s="2805"/>
      <c r="CDW73" s="2805"/>
      <c r="CDX73" s="2805"/>
      <c r="CDY73" s="2805"/>
      <c r="CDZ73" s="2805"/>
      <c r="CEA73" s="2805"/>
      <c r="CEB73" s="2805"/>
      <c r="CEC73" s="2805"/>
      <c r="CED73" s="2805"/>
      <c r="CEE73" s="2805"/>
      <c r="CEF73" s="2805"/>
      <c r="CEG73" s="2805"/>
      <c r="CEH73" s="2805"/>
      <c r="CEI73" s="2805"/>
      <c r="CEJ73" s="2805"/>
      <c r="CEK73" s="2805"/>
      <c r="CEL73" s="2805"/>
      <c r="CEM73" s="2805"/>
      <c r="CEN73" s="2805"/>
      <c r="CEO73" s="2805"/>
      <c r="CEP73" s="2805"/>
      <c r="CEQ73" s="2805"/>
      <c r="CER73" s="2805"/>
      <c r="CES73" s="2805"/>
      <c r="CET73" s="2805"/>
      <c r="CEU73" s="2805"/>
      <c r="CEV73" s="2805"/>
      <c r="CEW73" s="2805"/>
      <c r="CEX73" s="2805"/>
      <c r="CEY73" s="2805"/>
      <c r="CEZ73" s="2805"/>
      <c r="CFA73" s="2805"/>
      <c r="CFB73" s="2805"/>
      <c r="CFC73" s="2805"/>
      <c r="CFD73" s="2805"/>
      <c r="CFE73" s="2805"/>
      <c r="CFF73" s="2805"/>
      <c r="CFG73" s="2805"/>
      <c r="CFH73" s="2805"/>
      <c r="CFI73" s="2805"/>
      <c r="CFJ73" s="2805"/>
      <c r="CFK73" s="2805"/>
      <c r="CFL73" s="2805"/>
      <c r="CFM73" s="2805"/>
      <c r="CFN73" s="2805"/>
      <c r="CFO73" s="2805"/>
      <c r="CFP73" s="2805"/>
      <c r="CFQ73" s="2805"/>
      <c r="CFR73" s="2805"/>
      <c r="CFS73" s="2805"/>
      <c r="CFT73" s="2805"/>
      <c r="CFU73" s="2805"/>
      <c r="CFV73" s="2805"/>
      <c r="CFW73" s="2805"/>
      <c r="CFX73" s="2805"/>
      <c r="CFY73" s="2805"/>
      <c r="CFZ73" s="2805"/>
      <c r="CGA73" s="2805"/>
      <c r="CGB73" s="2805"/>
      <c r="CGC73" s="2805"/>
      <c r="CGD73" s="2805"/>
      <c r="CGE73" s="2805"/>
      <c r="CGF73" s="2805"/>
      <c r="CGG73" s="2805"/>
      <c r="CGH73" s="2805"/>
      <c r="CGI73" s="2805"/>
      <c r="CGJ73" s="2805"/>
      <c r="CGK73" s="2805"/>
      <c r="CGL73" s="2805"/>
      <c r="CGM73" s="2805"/>
      <c r="CGN73" s="2805"/>
      <c r="CGO73" s="2805"/>
      <c r="CGP73" s="2805"/>
      <c r="CGQ73" s="2805"/>
      <c r="CGR73" s="2805"/>
      <c r="CGS73" s="2805"/>
      <c r="CGT73" s="2805"/>
      <c r="CGU73" s="2805"/>
      <c r="CGV73" s="2805"/>
      <c r="CGW73" s="2805"/>
      <c r="CGX73" s="2805"/>
      <c r="CGY73" s="2805"/>
      <c r="CGZ73" s="2805"/>
      <c r="CHA73" s="2805"/>
      <c r="CHB73" s="2805"/>
      <c r="CHC73" s="2805"/>
      <c r="CHD73" s="2805"/>
      <c r="CHE73" s="2805"/>
      <c r="CHF73" s="2805"/>
      <c r="CHG73" s="2805"/>
      <c r="CHH73" s="2805"/>
      <c r="CHI73" s="2805"/>
      <c r="CHJ73" s="2805"/>
      <c r="CHK73" s="2805"/>
      <c r="CHL73" s="2805"/>
      <c r="CHM73" s="2805"/>
      <c r="CHN73" s="2805"/>
      <c r="CHO73" s="2805"/>
      <c r="CHP73" s="2805"/>
      <c r="CHQ73" s="2805"/>
      <c r="CHR73" s="2805"/>
      <c r="CHS73" s="2805"/>
      <c r="CHT73" s="2805"/>
      <c r="CHU73" s="2805"/>
      <c r="CHV73" s="2805"/>
      <c r="CHW73" s="2805"/>
      <c r="CHX73" s="2805"/>
      <c r="CHY73" s="2805"/>
      <c r="CHZ73" s="2805"/>
      <c r="CIA73" s="2805"/>
      <c r="CIB73" s="2805"/>
      <c r="CIC73" s="2805"/>
      <c r="CID73" s="2805"/>
      <c r="CIE73" s="2805"/>
      <c r="CIF73" s="2805"/>
      <c r="CIG73" s="2805"/>
      <c r="CIH73" s="2805"/>
      <c r="CII73" s="2805"/>
      <c r="CIJ73" s="2805"/>
      <c r="CIK73" s="2805"/>
      <c r="CIL73" s="2805"/>
      <c r="CIM73" s="2805"/>
      <c r="CIN73" s="2805"/>
      <c r="CIO73" s="2805"/>
      <c r="CIP73" s="2805"/>
      <c r="CIQ73" s="2805"/>
      <c r="CIR73" s="2805"/>
      <c r="CIS73" s="2805"/>
      <c r="CIT73" s="2805"/>
      <c r="CIU73" s="2805"/>
      <c r="CIV73" s="2805"/>
      <c r="CIW73" s="2805"/>
      <c r="CIX73" s="2805"/>
      <c r="CIY73" s="2805"/>
      <c r="CIZ73" s="2805"/>
      <c r="CJA73" s="2805"/>
      <c r="CJB73" s="2805"/>
      <c r="CJC73" s="2805"/>
      <c r="CJD73" s="2805"/>
      <c r="CJE73" s="2805"/>
      <c r="CJF73" s="2805"/>
      <c r="CJG73" s="2805"/>
      <c r="CJH73" s="2805"/>
      <c r="CJI73" s="2805"/>
      <c r="CJJ73" s="2805"/>
      <c r="CJK73" s="2805"/>
      <c r="CJL73" s="2805"/>
      <c r="CJM73" s="2805"/>
      <c r="CJN73" s="2805"/>
      <c r="CJO73" s="2805"/>
      <c r="CJP73" s="2805"/>
      <c r="CJQ73" s="2805"/>
      <c r="CJR73" s="2805"/>
      <c r="CJS73" s="2805"/>
      <c r="CJT73" s="2805"/>
      <c r="CJU73" s="2805"/>
      <c r="CJV73" s="2805"/>
      <c r="CJW73" s="2805"/>
      <c r="CJX73" s="2805"/>
      <c r="CJY73" s="2805"/>
      <c r="CJZ73" s="2805"/>
      <c r="CKA73" s="2805"/>
      <c r="CKB73" s="2805"/>
      <c r="CKC73" s="2805"/>
      <c r="CKD73" s="2805"/>
      <c r="CKE73" s="2805"/>
      <c r="CKF73" s="2805"/>
      <c r="CKG73" s="2805"/>
      <c r="CKH73" s="2805"/>
      <c r="CKI73" s="2805"/>
      <c r="CKJ73" s="2805"/>
      <c r="CKK73" s="2805"/>
      <c r="CKL73" s="2805"/>
      <c r="CKM73" s="2805"/>
      <c r="CKN73" s="2805"/>
      <c r="CKO73" s="2805"/>
      <c r="CKP73" s="2805"/>
      <c r="CKQ73" s="2805"/>
      <c r="CKR73" s="2805"/>
      <c r="CKS73" s="2805"/>
      <c r="CKT73" s="2805"/>
      <c r="CKU73" s="2805"/>
      <c r="CKV73" s="2805"/>
      <c r="CKW73" s="2805"/>
      <c r="CKX73" s="2805"/>
      <c r="CKY73" s="2805"/>
      <c r="CKZ73" s="2805"/>
      <c r="CLA73" s="2805"/>
      <c r="CLB73" s="2805"/>
      <c r="CLC73" s="2805"/>
      <c r="CLD73" s="2805"/>
      <c r="CLE73" s="2805"/>
      <c r="CLF73" s="2805"/>
      <c r="CLG73" s="2805"/>
      <c r="CLH73" s="2805"/>
      <c r="CLI73" s="2805"/>
      <c r="CLJ73" s="2805"/>
      <c r="CLK73" s="2805"/>
      <c r="CLL73" s="2805"/>
      <c r="CLM73" s="2805"/>
      <c r="CLN73" s="2805"/>
      <c r="CLO73" s="2805"/>
      <c r="CLP73" s="2805"/>
      <c r="CLQ73" s="2805"/>
      <c r="CLR73" s="2805"/>
      <c r="CLS73" s="2805"/>
      <c r="CLT73" s="2805"/>
      <c r="CLU73" s="2805"/>
      <c r="CLV73" s="2805"/>
      <c r="CLW73" s="2805"/>
      <c r="CLX73" s="2805"/>
      <c r="CLY73" s="2805"/>
      <c r="CLZ73" s="2805"/>
      <c r="CMA73" s="2805"/>
      <c r="CMB73" s="2805"/>
      <c r="CMC73" s="2805"/>
      <c r="CMD73" s="2805"/>
      <c r="CME73" s="2805"/>
      <c r="CMF73" s="2805"/>
      <c r="CMG73" s="2805"/>
      <c r="CMH73" s="2805"/>
      <c r="CMI73" s="2805"/>
      <c r="CMJ73" s="2805"/>
      <c r="CMK73" s="2805"/>
      <c r="CML73" s="2805"/>
      <c r="CMM73" s="2805"/>
      <c r="CMN73" s="2805"/>
      <c r="CMO73" s="2805"/>
      <c r="CMP73" s="2805"/>
      <c r="CMQ73" s="2805"/>
      <c r="CMR73" s="2805"/>
      <c r="CMS73" s="2805"/>
      <c r="CMT73" s="2805"/>
      <c r="CMU73" s="2805"/>
      <c r="CMV73" s="2805"/>
      <c r="CMW73" s="2805"/>
      <c r="CMX73" s="2805"/>
      <c r="CMY73" s="2805"/>
      <c r="CMZ73" s="2805"/>
      <c r="CNA73" s="2805"/>
      <c r="CNB73" s="2805"/>
      <c r="CNC73" s="2805"/>
      <c r="CND73" s="2805"/>
      <c r="CNE73" s="2805"/>
      <c r="CNF73" s="2805"/>
      <c r="CNG73" s="2805"/>
      <c r="CNH73" s="2805"/>
      <c r="CNI73" s="2805"/>
      <c r="CNJ73" s="2805"/>
      <c r="CNK73" s="2805"/>
      <c r="CNL73" s="2805"/>
      <c r="CNM73" s="2805"/>
      <c r="CNN73" s="2805"/>
      <c r="CNO73" s="2805"/>
      <c r="CNP73" s="2805"/>
      <c r="CNQ73" s="2805"/>
      <c r="CNR73" s="2805"/>
      <c r="CNS73" s="2805"/>
      <c r="CNT73" s="2805"/>
      <c r="CNU73" s="2805"/>
      <c r="CNV73" s="2805"/>
      <c r="CNW73" s="2805"/>
      <c r="CNX73" s="2805"/>
      <c r="CNY73" s="2805"/>
      <c r="CNZ73" s="2805"/>
      <c r="COA73" s="2805"/>
      <c r="COB73" s="2805"/>
      <c r="COC73" s="2805"/>
      <c r="COD73" s="2805"/>
      <c r="COE73" s="2805"/>
      <c r="COF73" s="2805"/>
      <c r="COG73" s="2805"/>
      <c r="COH73" s="2805"/>
      <c r="COI73" s="2805"/>
      <c r="COJ73" s="2805"/>
      <c r="COK73" s="2805"/>
      <c r="COL73" s="2805"/>
      <c r="COM73" s="2805"/>
      <c r="CON73" s="2805"/>
      <c r="COO73" s="2805"/>
      <c r="COP73" s="2805"/>
      <c r="COQ73" s="2805"/>
      <c r="COR73" s="2805"/>
      <c r="COS73" s="2805"/>
      <c r="COT73" s="2805"/>
      <c r="COU73" s="2805"/>
      <c r="COV73" s="2805"/>
      <c r="COW73" s="2805"/>
      <c r="COX73" s="2805"/>
      <c r="COY73" s="2805"/>
      <c r="COZ73" s="2805"/>
      <c r="CPA73" s="2805"/>
      <c r="CPB73" s="2805"/>
      <c r="CPC73" s="2805"/>
      <c r="CPD73" s="2805"/>
      <c r="CPE73" s="2805"/>
      <c r="CPF73" s="2805"/>
      <c r="CPG73" s="2805"/>
      <c r="CPH73" s="2805"/>
      <c r="CPI73" s="2805"/>
      <c r="CPJ73" s="2805"/>
      <c r="CPK73" s="2805"/>
      <c r="CPL73" s="2805"/>
      <c r="CPM73" s="2805"/>
      <c r="CPN73" s="2805"/>
      <c r="CPO73" s="2805"/>
      <c r="CPP73" s="2805"/>
      <c r="CPQ73" s="2805"/>
      <c r="CPR73" s="2805"/>
      <c r="CPS73" s="2805"/>
      <c r="CPT73" s="2805"/>
      <c r="CPU73" s="2805"/>
      <c r="CPV73" s="2805"/>
      <c r="CPW73" s="2805"/>
      <c r="CPX73" s="2805"/>
      <c r="CPY73" s="2805"/>
      <c r="CPZ73" s="2805"/>
      <c r="CQA73" s="2805"/>
      <c r="CQB73" s="2805"/>
      <c r="CQC73" s="2805"/>
      <c r="CQD73" s="2805"/>
      <c r="CQE73" s="2805"/>
      <c r="CQF73" s="2805"/>
      <c r="CQG73" s="2805"/>
      <c r="CQH73" s="2805"/>
      <c r="CQI73" s="2805"/>
      <c r="CQJ73" s="2805"/>
      <c r="CQK73" s="2805"/>
      <c r="CQL73" s="2805"/>
      <c r="CQM73" s="2805"/>
      <c r="CQN73" s="2805"/>
      <c r="CQO73" s="2805"/>
      <c r="CQP73" s="2805"/>
      <c r="CQQ73" s="2805"/>
      <c r="CQR73" s="2805"/>
      <c r="CQS73" s="2805"/>
      <c r="CQT73" s="2805"/>
      <c r="CQU73" s="2805"/>
      <c r="CQV73" s="2805"/>
      <c r="CQW73" s="2805"/>
      <c r="CQX73" s="2805"/>
      <c r="CQY73" s="2805"/>
      <c r="CQZ73" s="2805"/>
      <c r="CRA73" s="2805"/>
      <c r="CRB73" s="2805"/>
      <c r="CRC73" s="2805"/>
      <c r="CRD73" s="2805"/>
      <c r="CRE73" s="2805"/>
      <c r="CRF73" s="2805"/>
      <c r="CRG73" s="2805"/>
      <c r="CRH73" s="2805"/>
      <c r="CRI73" s="2805"/>
      <c r="CRJ73" s="2805"/>
      <c r="CRK73" s="2805"/>
      <c r="CRL73" s="2805"/>
      <c r="CRM73" s="2805"/>
      <c r="CRN73" s="2805"/>
      <c r="CRO73" s="2805"/>
      <c r="CRP73" s="2805"/>
      <c r="CRQ73" s="2805"/>
      <c r="CRR73" s="2805"/>
      <c r="CRS73" s="2805"/>
      <c r="CRT73" s="2805"/>
      <c r="CRU73" s="2805"/>
      <c r="CRV73" s="2805"/>
      <c r="CRW73" s="2805"/>
      <c r="CRX73" s="2805"/>
      <c r="CRY73" s="2805"/>
      <c r="CRZ73" s="2805"/>
      <c r="CSA73" s="2805"/>
      <c r="CSB73" s="2805"/>
      <c r="CSC73" s="2805"/>
      <c r="CSD73" s="2805"/>
      <c r="CSE73" s="2805"/>
      <c r="CSF73" s="2805"/>
      <c r="CSG73" s="2805"/>
      <c r="CSH73" s="2805"/>
      <c r="CSI73" s="2805"/>
      <c r="CSJ73" s="2805"/>
      <c r="CSK73" s="2805"/>
      <c r="CSL73" s="2805"/>
      <c r="CSM73" s="2805"/>
      <c r="CSN73" s="2805"/>
      <c r="CSO73" s="2805"/>
      <c r="CSP73" s="2805"/>
      <c r="CSQ73" s="2805"/>
      <c r="CSR73" s="2805"/>
      <c r="CSS73" s="2805"/>
      <c r="CST73" s="2805"/>
      <c r="CSU73" s="2805"/>
      <c r="CSV73" s="2805"/>
      <c r="CSW73" s="2805"/>
      <c r="CSX73" s="2805"/>
      <c r="CSY73" s="2805"/>
      <c r="CSZ73" s="2805"/>
      <c r="CTA73" s="2805"/>
      <c r="CTB73" s="2805"/>
      <c r="CTC73" s="2805"/>
      <c r="CTD73" s="2805"/>
      <c r="CTE73" s="2805"/>
      <c r="CTF73" s="2805"/>
      <c r="CTG73" s="2805"/>
      <c r="CTH73" s="2805"/>
      <c r="CTI73" s="2805"/>
      <c r="CTJ73" s="2805"/>
      <c r="CTK73" s="2805"/>
      <c r="CTL73" s="2805"/>
      <c r="CTM73" s="2805"/>
      <c r="CTN73" s="2805"/>
      <c r="CTO73" s="2805"/>
      <c r="CTP73" s="2805"/>
      <c r="CTQ73" s="2805"/>
      <c r="CTR73" s="2805"/>
      <c r="CTS73" s="2805"/>
      <c r="CTT73" s="2805"/>
      <c r="CTU73" s="2805"/>
      <c r="CTV73" s="2805"/>
      <c r="CTW73" s="2805"/>
      <c r="CTX73" s="2805"/>
      <c r="CTY73" s="2805"/>
      <c r="CTZ73" s="2805"/>
      <c r="CUA73" s="2805"/>
      <c r="CUB73" s="2805"/>
      <c r="CUC73" s="2805"/>
      <c r="CUD73" s="2805"/>
      <c r="CUE73" s="2805"/>
      <c r="CUF73" s="2805"/>
      <c r="CUG73" s="2805"/>
      <c r="CUH73" s="2805"/>
      <c r="CUI73" s="2805"/>
      <c r="CUJ73" s="2805"/>
      <c r="CUK73" s="2805"/>
      <c r="CUL73" s="2805"/>
      <c r="CUM73" s="2805"/>
      <c r="CUN73" s="2805"/>
      <c r="CUO73" s="2805"/>
      <c r="CUP73" s="2805"/>
      <c r="CUQ73" s="2805"/>
      <c r="CUR73" s="2805"/>
      <c r="CUS73" s="2805"/>
      <c r="CUT73" s="2805"/>
      <c r="CUU73" s="2805"/>
      <c r="CUV73" s="2805"/>
      <c r="CUW73" s="2805"/>
      <c r="CUX73" s="2805"/>
      <c r="CUY73" s="2805"/>
      <c r="CUZ73" s="2805"/>
      <c r="CVA73" s="2805"/>
      <c r="CVB73" s="2805"/>
      <c r="CVC73" s="2805"/>
      <c r="CVD73" s="2805"/>
      <c r="CVE73" s="2805"/>
      <c r="CVF73" s="2805"/>
      <c r="CVG73" s="2805"/>
      <c r="CVH73" s="2805"/>
      <c r="CVI73" s="2805"/>
      <c r="CVJ73" s="2805"/>
      <c r="CVK73" s="2805"/>
      <c r="CVL73" s="2805"/>
      <c r="CVM73" s="2805"/>
      <c r="CVN73" s="2805"/>
      <c r="CVO73" s="2805"/>
      <c r="CVP73" s="2805"/>
      <c r="CVQ73" s="2805"/>
      <c r="CVR73" s="2805"/>
      <c r="CVS73" s="2805"/>
      <c r="CVT73" s="2805"/>
      <c r="CVU73" s="2805"/>
      <c r="CVV73" s="2805"/>
      <c r="CVW73" s="2805"/>
      <c r="CVX73" s="2805"/>
      <c r="CVY73" s="2805"/>
      <c r="CVZ73" s="2805"/>
      <c r="CWA73" s="2805"/>
      <c r="CWB73" s="2805"/>
      <c r="CWC73" s="2805"/>
      <c r="CWD73" s="2805"/>
      <c r="CWE73" s="2805"/>
      <c r="CWF73" s="2805"/>
      <c r="CWG73" s="2805"/>
      <c r="CWH73" s="2805"/>
      <c r="CWI73" s="2805"/>
      <c r="CWJ73" s="2805"/>
      <c r="CWK73" s="2805"/>
      <c r="CWL73" s="2805"/>
      <c r="CWM73" s="2805"/>
      <c r="CWN73" s="2805"/>
      <c r="CWO73" s="2805"/>
      <c r="CWP73" s="2805"/>
      <c r="CWQ73" s="2805"/>
      <c r="CWR73" s="2805"/>
      <c r="CWS73" s="2805"/>
      <c r="CWT73" s="2805"/>
      <c r="CWU73" s="2805"/>
      <c r="CWV73" s="2805"/>
      <c r="CWW73" s="2805"/>
      <c r="CWX73" s="2805"/>
      <c r="CWY73" s="2805"/>
      <c r="CWZ73" s="2805"/>
      <c r="CXA73" s="2805"/>
      <c r="CXB73" s="2805"/>
      <c r="CXC73" s="2805"/>
      <c r="CXD73" s="2805"/>
      <c r="CXE73" s="2805"/>
      <c r="CXF73" s="2805"/>
      <c r="CXG73" s="2805"/>
      <c r="CXH73" s="2805"/>
      <c r="CXI73" s="2805"/>
      <c r="CXJ73" s="2805"/>
      <c r="CXK73" s="2805"/>
      <c r="CXL73" s="2805"/>
      <c r="CXM73" s="2805"/>
      <c r="CXN73" s="2805"/>
      <c r="CXO73" s="2805"/>
      <c r="CXP73" s="2805"/>
      <c r="CXQ73" s="2805"/>
      <c r="CXR73" s="2805"/>
      <c r="CXS73" s="2805"/>
      <c r="CXT73" s="2805"/>
      <c r="CXU73" s="2805"/>
      <c r="CXV73" s="2805"/>
      <c r="CXW73" s="2805"/>
      <c r="CXX73" s="2805"/>
      <c r="CXY73" s="2805"/>
      <c r="CXZ73" s="2805"/>
      <c r="CYA73" s="2805"/>
      <c r="CYB73" s="2805"/>
      <c r="CYC73" s="2805"/>
      <c r="CYD73" s="2805"/>
      <c r="CYE73" s="2805"/>
      <c r="CYF73" s="2805"/>
      <c r="CYG73" s="2805"/>
      <c r="CYH73" s="2805"/>
      <c r="CYI73" s="2805"/>
      <c r="CYJ73" s="2805"/>
      <c r="CYK73" s="2805"/>
      <c r="CYL73" s="2805"/>
      <c r="CYM73" s="2805"/>
      <c r="CYN73" s="2805"/>
      <c r="CYO73" s="2805"/>
      <c r="CYP73" s="2805"/>
      <c r="CYQ73" s="2805"/>
      <c r="CYR73" s="2805"/>
      <c r="CYS73" s="2805"/>
      <c r="CYT73" s="2805"/>
      <c r="CYU73" s="2805"/>
      <c r="CYV73" s="2805"/>
      <c r="CYW73" s="2805"/>
      <c r="CYX73" s="2805"/>
      <c r="CYY73" s="2805"/>
      <c r="CYZ73" s="2805"/>
      <c r="CZA73" s="2805"/>
      <c r="CZB73" s="2805"/>
      <c r="CZC73" s="2805"/>
      <c r="CZD73" s="2805"/>
      <c r="CZE73" s="2805"/>
      <c r="CZF73" s="2805"/>
      <c r="CZG73" s="2805"/>
      <c r="CZH73" s="2805"/>
      <c r="CZI73" s="2805"/>
      <c r="CZJ73" s="2805"/>
      <c r="CZK73" s="2805"/>
      <c r="CZL73" s="2805"/>
      <c r="CZM73" s="2805"/>
      <c r="CZN73" s="2805"/>
      <c r="CZO73" s="2805"/>
      <c r="CZP73" s="2805"/>
      <c r="CZQ73" s="2805"/>
      <c r="CZR73" s="2805"/>
      <c r="CZS73" s="2805"/>
      <c r="CZT73" s="2805"/>
      <c r="CZU73" s="2805"/>
      <c r="CZV73" s="2805"/>
      <c r="CZW73" s="2805"/>
      <c r="CZX73" s="2805"/>
      <c r="CZY73" s="2805"/>
      <c r="CZZ73" s="2805"/>
      <c r="DAA73" s="2805"/>
      <c r="DAB73" s="2805"/>
      <c r="DAC73" s="2805"/>
      <c r="DAD73" s="2805"/>
      <c r="DAE73" s="2805"/>
      <c r="DAF73" s="2805"/>
      <c r="DAG73" s="2805"/>
      <c r="DAH73" s="2805"/>
      <c r="DAI73" s="2805"/>
      <c r="DAJ73" s="2805"/>
      <c r="DAK73" s="2805"/>
      <c r="DAL73" s="2805"/>
      <c r="DAM73" s="2805"/>
      <c r="DAN73" s="2805"/>
      <c r="DAO73" s="2805"/>
      <c r="DAP73" s="2805"/>
      <c r="DAQ73" s="2805"/>
      <c r="DAR73" s="2805"/>
      <c r="DAS73" s="2805"/>
      <c r="DAT73" s="2805"/>
      <c r="DAU73" s="2805"/>
      <c r="DAV73" s="2805"/>
      <c r="DAW73" s="2805"/>
      <c r="DAX73" s="2805"/>
      <c r="DAY73" s="2805"/>
      <c r="DAZ73" s="2805"/>
      <c r="DBA73" s="2805"/>
      <c r="DBB73" s="2805"/>
      <c r="DBC73" s="2805"/>
      <c r="DBD73" s="2805"/>
      <c r="DBE73" s="2805"/>
      <c r="DBF73" s="2805"/>
      <c r="DBG73" s="2805"/>
      <c r="DBH73" s="2805"/>
      <c r="DBI73" s="2805"/>
      <c r="DBJ73" s="2805"/>
      <c r="DBK73" s="2805"/>
      <c r="DBL73" s="2805"/>
      <c r="DBM73" s="2805"/>
      <c r="DBN73" s="2805"/>
      <c r="DBO73" s="2805"/>
      <c r="DBP73" s="2805"/>
      <c r="DBQ73" s="2805"/>
      <c r="DBR73" s="2805"/>
      <c r="DBS73" s="2805"/>
      <c r="DBT73" s="2805"/>
      <c r="DBU73" s="2805"/>
      <c r="DBV73" s="2805"/>
      <c r="DBW73" s="2805"/>
      <c r="DBX73" s="2805"/>
      <c r="DBY73" s="2805"/>
      <c r="DBZ73" s="2805"/>
      <c r="DCA73" s="2805"/>
      <c r="DCB73" s="2805"/>
      <c r="DCC73" s="2805"/>
      <c r="DCD73" s="2805"/>
      <c r="DCE73" s="2805"/>
      <c r="DCF73" s="2805"/>
      <c r="DCG73" s="2805"/>
      <c r="DCH73" s="2805"/>
      <c r="DCI73" s="2805"/>
      <c r="DCJ73" s="2805"/>
      <c r="DCK73" s="2805"/>
      <c r="DCL73" s="2805"/>
      <c r="DCM73" s="2805"/>
      <c r="DCN73" s="2805"/>
      <c r="DCO73" s="2805"/>
      <c r="DCP73" s="2805"/>
      <c r="DCQ73" s="2805"/>
      <c r="DCR73" s="2805"/>
      <c r="DCS73" s="2805"/>
      <c r="DCT73" s="2805"/>
      <c r="DCU73" s="2805"/>
      <c r="DCV73" s="2805"/>
      <c r="DCW73" s="2805"/>
      <c r="DCX73" s="2805"/>
      <c r="DCY73" s="2805"/>
      <c r="DCZ73" s="2805"/>
      <c r="DDA73" s="2805"/>
      <c r="DDB73" s="2805"/>
      <c r="DDC73" s="2805"/>
      <c r="DDD73" s="2805"/>
      <c r="DDE73" s="2805"/>
      <c r="DDF73" s="2805"/>
      <c r="DDG73" s="2805"/>
      <c r="DDH73" s="2805"/>
      <c r="DDI73" s="2805"/>
      <c r="DDJ73" s="2805"/>
      <c r="DDK73" s="2805"/>
      <c r="DDL73" s="2805"/>
      <c r="DDM73" s="2805"/>
      <c r="DDN73" s="2805"/>
      <c r="DDO73" s="2805"/>
      <c r="DDP73" s="2805"/>
      <c r="DDQ73" s="2805"/>
      <c r="DDR73" s="2805"/>
      <c r="DDS73" s="2805"/>
      <c r="DDT73" s="2805"/>
      <c r="DDU73" s="2805"/>
      <c r="DDV73" s="2805"/>
      <c r="DDW73" s="2805"/>
      <c r="DDX73" s="2805"/>
      <c r="DDY73" s="2805"/>
      <c r="DDZ73" s="2805"/>
      <c r="DEA73" s="2805"/>
      <c r="DEB73" s="2805"/>
      <c r="DEC73" s="2805"/>
      <c r="DED73" s="2805"/>
      <c r="DEE73" s="2805"/>
      <c r="DEF73" s="2805"/>
      <c r="DEG73" s="2805"/>
      <c r="DEH73" s="2805"/>
      <c r="DEI73" s="2805"/>
      <c r="DEJ73" s="2805"/>
      <c r="DEK73" s="2805"/>
      <c r="DEL73" s="2805"/>
      <c r="DEM73" s="2805"/>
      <c r="DEN73" s="2805"/>
      <c r="DEO73" s="2805"/>
      <c r="DEP73" s="2805"/>
      <c r="DEQ73" s="2805"/>
      <c r="DER73" s="2805"/>
      <c r="DES73" s="2805"/>
      <c r="DET73" s="2805"/>
      <c r="DEU73" s="2805"/>
      <c r="DEV73" s="2805"/>
      <c r="DEW73" s="2805"/>
      <c r="DEX73" s="2805"/>
      <c r="DEY73" s="2805"/>
      <c r="DEZ73" s="2805"/>
      <c r="DFA73" s="2805"/>
      <c r="DFB73" s="2805"/>
      <c r="DFC73" s="2805"/>
      <c r="DFD73" s="2805"/>
      <c r="DFE73" s="2805"/>
      <c r="DFF73" s="2805"/>
      <c r="DFG73" s="2805"/>
      <c r="DFH73" s="2805"/>
      <c r="DFI73" s="2805"/>
      <c r="DFJ73" s="2805"/>
      <c r="DFK73" s="2805"/>
      <c r="DFL73" s="2805"/>
      <c r="DFM73" s="2805"/>
      <c r="DFN73" s="2805"/>
      <c r="DFO73" s="2805"/>
      <c r="DFP73" s="2805"/>
      <c r="DFQ73" s="2805"/>
      <c r="DFR73" s="2805"/>
      <c r="DFS73" s="2805"/>
      <c r="DFT73" s="2805"/>
      <c r="DFU73" s="2805"/>
      <c r="DFV73" s="2805"/>
      <c r="DFW73" s="2805"/>
      <c r="DFX73" s="2805"/>
      <c r="DFY73" s="2805"/>
      <c r="DFZ73" s="2805"/>
      <c r="DGA73" s="2805"/>
      <c r="DGB73" s="2805"/>
      <c r="DGC73" s="2805"/>
      <c r="DGD73" s="2805"/>
      <c r="DGE73" s="2805"/>
      <c r="DGF73" s="2805"/>
      <c r="DGG73" s="2805"/>
      <c r="DGH73" s="2805"/>
      <c r="DGI73" s="2805"/>
      <c r="DGJ73" s="2805"/>
      <c r="DGK73" s="2805"/>
      <c r="DGL73" s="2805"/>
      <c r="DGM73" s="2805"/>
      <c r="DGN73" s="2805"/>
      <c r="DGO73" s="2805"/>
      <c r="DGP73" s="2805"/>
      <c r="DGQ73" s="2805"/>
      <c r="DGR73" s="2805"/>
      <c r="DGS73" s="2805"/>
      <c r="DGT73" s="2805"/>
      <c r="DGU73" s="2805"/>
      <c r="DGV73" s="2805"/>
      <c r="DGW73" s="2805"/>
      <c r="DGX73" s="2805"/>
      <c r="DGY73" s="2805"/>
      <c r="DGZ73" s="2805"/>
      <c r="DHA73" s="2805"/>
      <c r="DHB73" s="2805"/>
      <c r="DHC73" s="2805"/>
      <c r="DHD73" s="2805"/>
      <c r="DHE73" s="2805"/>
      <c r="DHF73" s="2805"/>
      <c r="DHG73" s="2805"/>
      <c r="DHH73" s="2805"/>
      <c r="DHI73" s="2805"/>
      <c r="DHJ73" s="2805"/>
      <c r="DHK73" s="2805"/>
      <c r="DHL73" s="2805"/>
      <c r="DHM73" s="2805"/>
      <c r="DHN73" s="2805"/>
      <c r="DHO73" s="2805"/>
      <c r="DHP73" s="2805"/>
      <c r="DHQ73" s="2805"/>
      <c r="DHR73" s="2805"/>
      <c r="DHS73" s="2805"/>
      <c r="DHT73" s="2805"/>
      <c r="DHU73" s="2805"/>
      <c r="DHV73" s="2805"/>
      <c r="DHW73" s="2805"/>
      <c r="DHX73" s="2805"/>
      <c r="DHY73" s="2805"/>
      <c r="DHZ73" s="2805"/>
      <c r="DIA73" s="2805"/>
      <c r="DIB73" s="2805"/>
      <c r="DIC73" s="2805"/>
      <c r="DID73" s="2805"/>
      <c r="DIE73" s="2805"/>
      <c r="DIF73" s="2805"/>
      <c r="DIG73" s="2805"/>
      <c r="DIH73" s="2805"/>
      <c r="DII73" s="2805"/>
      <c r="DIJ73" s="2805"/>
      <c r="DIK73" s="2805"/>
      <c r="DIL73" s="2805"/>
      <c r="DIM73" s="2805"/>
      <c r="DIN73" s="2805"/>
      <c r="DIO73" s="2805"/>
      <c r="DIP73" s="2805"/>
      <c r="DIQ73" s="2805"/>
      <c r="DIR73" s="2805"/>
      <c r="DIS73" s="2805"/>
      <c r="DIT73" s="2805"/>
      <c r="DIU73" s="2805"/>
      <c r="DIV73" s="2805"/>
      <c r="DIW73" s="2805"/>
      <c r="DIX73" s="2805"/>
      <c r="DIY73" s="2805"/>
      <c r="DIZ73" s="2805"/>
      <c r="DJA73" s="2805"/>
      <c r="DJB73" s="2805"/>
      <c r="DJC73" s="2805"/>
      <c r="DJD73" s="2805"/>
      <c r="DJE73" s="2805"/>
      <c r="DJF73" s="2805"/>
      <c r="DJG73" s="2805"/>
      <c r="DJH73" s="2805"/>
      <c r="DJI73" s="2805"/>
      <c r="DJJ73" s="2805"/>
      <c r="DJK73" s="2805"/>
      <c r="DJL73" s="2805"/>
      <c r="DJM73" s="2805"/>
      <c r="DJN73" s="2805"/>
      <c r="DJO73" s="2805"/>
      <c r="DJP73" s="2805"/>
      <c r="DJQ73" s="2805"/>
      <c r="DJR73" s="2805"/>
      <c r="DJS73" s="2805"/>
      <c r="DJT73" s="2805"/>
      <c r="DJU73" s="2805"/>
      <c r="DJV73" s="2805"/>
      <c r="DJW73" s="2805"/>
      <c r="DJX73" s="2805"/>
      <c r="DJY73" s="2805"/>
      <c r="DJZ73" s="2805"/>
      <c r="DKA73" s="2805"/>
      <c r="DKB73" s="2805"/>
      <c r="DKC73" s="2805"/>
      <c r="DKD73" s="2805"/>
      <c r="DKE73" s="2805"/>
      <c r="DKF73" s="2805"/>
      <c r="DKG73" s="2805"/>
      <c r="DKH73" s="2805"/>
      <c r="DKI73" s="2805"/>
      <c r="DKJ73" s="2805"/>
      <c r="DKK73" s="2805"/>
      <c r="DKL73" s="2805"/>
      <c r="DKM73" s="2805"/>
      <c r="DKN73" s="2805"/>
      <c r="DKO73" s="2805"/>
      <c r="DKP73" s="2805"/>
      <c r="DKQ73" s="2805"/>
      <c r="DKR73" s="2805"/>
      <c r="DKS73" s="2805"/>
      <c r="DKT73" s="2805"/>
      <c r="DKU73" s="2805"/>
      <c r="DKV73" s="2805"/>
      <c r="DKW73" s="2805"/>
      <c r="DKX73" s="2805"/>
      <c r="DKY73" s="2805"/>
      <c r="DKZ73" s="2805"/>
      <c r="DLA73" s="2805"/>
      <c r="DLB73" s="2805"/>
      <c r="DLC73" s="2805"/>
      <c r="DLD73" s="2805"/>
      <c r="DLE73" s="2805"/>
      <c r="DLF73" s="2805"/>
      <c r="DLG73" s="2805"/>
      <c r="DLH73" s="2805"/>
      <c r="DLI73" s="2805"/>
      <c r="DLJ73" s="2805"/>
      <c r="DLK73" s="2805"/>
      <c r="DLL73" s="2805"/>
      <c r="DLM73" s="2805"/>
      <c r="DLN73" s="2805"/>
      <c r="DLO73" s="2805"/>
      <c r="DLP73" s="2805"/>
      <c r="DLQ73" s="2805"/>
      <c r="DLR73" s="2805"/>
      <c r="DLS73" s="2805"/>
      <c r="DLT73" s="2805"/>
      <c r="DLU73" s="2805"/>
      <c r="DLV73" s="2805"/>
      <c r="DLW73" s="2805"/>
      <c r="DLX73" s="2805"/>
      <c r="DLY73" s="2805"/>
      <c r="DLZ73" s="2805"/>
      <c r="DMA73" s="2805"/>
      <c r="DMB73" s="2805"/>
      <c r="DMC73" s="2805"/>
      <c r="DMD73" s="2805"/>
      <c r="DME73" s="2805"/>
      <c r="DMF73" s="2805"/>
      <c r="DMG73" s="2805"/>
      <c r="DMH73" s="2805"/>
      <c r="DMI73" s="2805"/>
      <c r="DMJ73" s="2805"/>
      <c r="DMK73" s="2805"/>
      <c r="DML73" s="2805"/>
      <c r="DMM73" s="2805"/>
      <c r="DMN73" s="2805"/>
      <c r="DMO73" s="2805"/>
      <c r="DMP73" s="2805"/>
      <c r="DMQ73" s="2805"/>
      <c r="DMR73" s="2805"/>
      <c r="DMS73" s="2805"/>
      <c r="DMT73" s="2805"/>
      <c r="DMU73" s="2805"/>
      <c r="DMV73" s="2805"/>
      <c r="DMW73" s="2805"/>
      <c r="DMX73" s="2805"/>
      <c r="DMY73" s="2805"/>
      <c r="DMZ73" s="2805"/>
      <c r="DNA73" s="2805"/>
      <c r="DNB73" s="2805"/>
      <c r="DNC73" s="2805"/>
      <c r="DND73" s="2805"/>
      <c r="DNE73" s="2805"/>
      <c r="DNF73" s="2805"/>
      <c r="DNG73" s="2805"/>
      <c r="DNH73" s="2805"/>
      <c r="DNI73" s="2805"/>
      <c r="DNJ73" s="2805"/>
      <c r="DNK73" s="2805"/>
      <c r="DNL73" s="2805"/>
      <c r="DNM73" s="2805"/>
      <c r="DNN73" s="2805"/>
      <c r="DNO73" s="2805"/>
      <c r="DNP73" s="2805"/>
      <c r="DNQ73" s="2805"/>
      <c r="DNR73" s="2805"/>
      <c r="DNS73" s="2805"/>
      <c r="DNT73" s="2805"/>
      <c r="DNU73" s="2805"/>
      <c r="DNV73" s="2805"/>
      <c r="DNW73" s="2805"/>
      <c r="DNX73" s="2805"/>
      <c r="DNY73" s="2805"/>
      <c r="DNZ73" s="2805"/>
      <c r="DOA73" s="2805"/>
      <c r="DOB73" s="2805"/>
      <c r="DOC73" s="2805"/>
      <c r="DOD73" s="2805"/>
      <c r="DOE73" s="2805"/>
      <c r="DOF73" s="2805"/>
      <c r="DOG73" s="2805"/>
      <c r="DOH73" s="2805"/>
      <c r="DOI73" s="2805"/>
      <c r="DOJ73" s="2805"/>
      <c r="DOK73" s="2805"/>
      <c r="DOL73" s="2805"/>
      <c r="DOM73" s="2805"/>
      <c r="DON73" s="2805"/>
      <c r="DOO73" s="2805"/>
      <c r="DOP73" s="2805"/>
      <c r="DOQ73" s="2805"/>
      <c r="DOR73" s="2805"/>
      <c r="DOS73" s="2805"/>
      <c r="DOT73" s="2805"/>
      <c r="DOU73" s="2805"/>
      <c r="DOV73" s="2805"/>
      <c r="DOW73" s="2805"/>
      <c r="DOX73" s="2805"/>
      <c r="DOY73" s="2805"/>
      <c r="DOZ73" s="2805"/>
      <c r="DPA73" s="2805"/>
      <c r="DPB73" s="2805"/>
      <c r="DPC73" s="2805"/>
      <c r="DPD73" s="2805"/>
      <c r="DPE73" s="2805"/>
      <c r="DPF73" s="2805"/>
      <c r="DPG73" s="2805"/>
      <c r="DPH73" s="2805"/>
      <c r="DPI73" s="2805"/>
      <c r="DPJ73" s="2805"/>
      <c r="DPK73" s="2805"/>
      <c r="DPL73" s="2805"/>
      <c r="DPM73" s="2805"/>
      <c r="DPN73" s="2805"/>
      <c r="DPO73" s="2805"/>
      <c r="DPP73" s="2805"/>
      <c r="DPQ73" s="2805"/>
      <c r="DPR73" s="2805"/>
      <c r="DPS73" s="2805"/>
      <c r="DPT73" s="2805"/>
      <c r="DPU73" s="2805"/>
      <c r="DPV73" s="2805"/>
      <c r="DPW73" s="2805"/>
      <c r="DPX73" s="2805"/>
      <c r="DPY73" s="2805"/>
      <c r="DPZ73" s="2805"/>
      <c r="DQA73" s="2805"/>
      <c r="DQB73" s="2805"/>
      <c r="DQC73" s="2805"/>
      <c r="DQD73" s="2805"/>
      <c r="DQE73" s="2805"/>
      <c r="DQF73" s="2805"/>
      <c r="DQG73" s="2805"/>
      <c r="DQH73" s="2805"/>
      <c r="DQI73" s="2805"/>
      <c r="DQJ73" s="2805"/>
      <c r="DQK73" s="2805"/>
      <c r="DQL73" s="2805"/>
      <c r="DQM73" s="2805"/>
      <c r="DQN73" s="2805"/>
      <c r="DQO73" s="2805"/>
      <c r="DQP73" s="2805"/>
      <c r="DQQ73" s="2805"/>
      <c r="DQR73" s="2805"/>
      <c r="DQS73" s="2805"/>
      <c r="DQT73" s="2805"/>
      <c r="DQU73" s="2805"/>
      <c r="DQV73" s="2805"/>
      <c r="DQW73" s="2805"/>
      <c r="DQX73" s="2805"/>
      <c r="DQY73" s="2805"/>
      <c r="DQZ73" s="2805"/>
      <c r="DRA73" s="2805"/>
      <c r="DRB73" s="2805"/>
      <c r="DRC73" s="2805"/>
      <c r="DRD73" s="2805"/>
      <c r="DRE73" s="2805"/>
      <c r="DRF73" s="2805"/>
      <c r="DRG73" s="2805"/>
      <c r="DRH73" s="2805"/>
      <c r="DRI73" s="2805"/>
      <c r="DRJ73" s="2805"/>
      <c r="DRK73" s="2805"/>
      <c r="DRL73" s="2805"/>
      <c r="DRM73" s="2805"/>
      <c r="DRN73" s="2805"/>
      <c r="DRO73" s="2805"/>
      <c r="DRP73" s="2805"/>
      <c r="DRQ73" s="2805"/>
      <c r="DRR73" s="2805"/>
      <c r="DRS73" s="2805"/>
      <c r="DRT73" s="2805"/>
      <c r="DRU73" s="2805"/>
      <c r="DRV73" s="2805"/>
      <c r="DRW73" s="2805"/>
      <c r="DRX73" s="2805"/>
      <c r="DRY73" s="2805"/>
      <c r="DRZ73" s="2805"/>
      <c r="DSA73" s="2805"/>
      <c r="DSB73" s="2805"/>
      <c r="DSC73" s="2805"/>
      <c r="DSD73" s="2805"/>
      <c r="DSE73" s="2805"/>
      <c r="DSF73" s="2805"/>
      <c r="DSG73" s="2805"/>
      <c r="DSH73" s="2805"/>
      <c r="DSI73" s="2805"/>
      <c r="DSJ73" s="2805"/>
      <c r="DSK73" s="2805"/>
      <c r="DSL73" s="2805"/>
      <c r="DSM73" s="2805"/>
      <c r="DSN73" s="2805"/>
      <c r="DSO73" s="2805"/>
      <c r="DSP73" s="2805"/>
      <c r="DSQ73" s="2805"/>
      <c r="DSR73" s="2805"/>
      <c r="DSS73" s="2805"/>
      <c r="DST73" s="2805"/>
      <c r="DSU73" s="2805"/>
      <c r="DSV73" s="2805"/>
      <c r="DSW73" s="2805"/>
      <c r="DSX73" s="2805"/>
      <c r="DSY73" s="2805"/>
      <c r="DSZ73" s="2805"/>
      <c r="DTA73" s="2805"/>
      <c r="DTB73" s="2805"/>
      <c r="DTC73" s="2805"/>
      <c r="DTD73" s="2805"/>
      <c r="DTE73" s="2805"/>
      <c r="DTF73" s="2805"/>
      <c r="DTG73" s="2805"/>
      <c r="DTH73" s="2805"/>
      <c r="DTI73" s="2805"/>
      <c r="DTJ73" s="2805"/>
      <c r="DTK73" s="2805"/>
      <c r="DTL73" s="2805"/>
      <c r="DTM73" s="2805"/>
      <c r="DTN73" s="2805"/>
      <c r="DTO73" s="2805"/>
      <c r="DTP73" s="2805"/>
      <c r="DTQ73" s="2805"/>
      <c r="DTR73" s="2805"/>
      <c r="DTS73" s="2805"/>
      <c r="DTT73" s="2805"/>
      <c r="DTU73" s="2805"/>
      <c r="DTV73" s="2805"/>
      <c r="DTW73" s="2805"/>
      <c r="DTX73" s="2805"/>
      <c r="DTY73" s="2805"/>
      <c r="DTZ73" s="2805"/>
      <c r="DUA73" s="2805"/>
      <c r="DUB73" s="2805"/>
      <c r="DUC73" s="2805"/>
      <c r="DUD73" s="2805"/>
      <c r="DUE73" s="2805"/>
      <c r="DUF73" s="2805"/>
      <c r="DUG73" s="2805"/>
      <c r="DUH73" s="2805"/>
      <c r="DUI73" s="2805"/>
      <c r="DUJ73" s="2805"/>
      <c r="DUK73" s="2805"/>
      <c r="DUL73" s="2805"/>
      <c r="DUM73" s="2805"/>
      <c r="DUN73" s="2805"/>
      <c r="DUO73" s="2805"/>
      <c r="DUP73" s="2805"/>
      <c r="DUQ73" s="2805"/>
      <c r="DUR73" s="2805"/>
      <c r="DUS73" s="2805"/>
      <c r="DUT73" s="2805"/>
      <c r="DUU73" s="2805"/>
      <c r="DUV73" s="2805"/>
      <c r="DUW73" s="2805"/>
      <c r="DUX73" s="2805"/>
      <c r="DUY73" s="2805"/>
      <c r="DUZ73" s="2805"/>
      <c r="DVA73" s="2805"/>
      <c r="DVB73" s="2805"/>
      <c r="DVC73" s="2805"/>
      <c r="DVD73" s="2805"/>
      <c r="DVE73" s="2805"/>
      <c r="DVF73" s="2805"/>
      <c r="DVG73" s="2805"/>
      <c r="DVH73" s="2805"/>
      <c r="DVI73" s="2805"/>
      <c r="DVJ73" s="2805"/>
      <c r="DVK73" s="2805"/>
      <c r="DVL73" s="2805"/>
      <c r="DVM73" s="2805"/>
      <c r="DVN73" s="2805"/>
      <c r="DVO73" s="2805"/>
      <c r="DVP73" s="2805"/>
      <c r="DVQ73" s="2805"/>
      <c r="DVR73" s="2805"/>
      <c r="DVS73" s="2805"/>
      <c r="DVT73" s="2805"/>
      <c r="DVU73" s="2805"/>
      <c r="DVV73" s="2805"/>
      <c r="DVW73" s="2805"/>
      <c r="DVX73" s="2805"/>
      <c r="DVY73" s="2805"/>
      <c r="DVZ73" s="2805"/>
      <c r="DWA73" s="2805"/>
      <c r="DWB73" s="2805"/>
      <c r="DWC73" s="2805"/>
      <c r="DWD73" s="2805"/>
      <c r="DWE73" s="2805"/>
      <c r="DWF73" s="2805"/>
      <c r="DWG73" s="2805"/>
      <c r="DWH73" s="2805"/>
      <c r="DWI73" s="2805"/>
      <c r="DWJ73" s="2805"/>
      <c r="DWK73" s="2805"/>
      <c r="DWL73" s="2805"/>
      <c r="DWM73" s="2805"/>
      <c r="DWN73" s="2805"/>
      <c r="DWO73" s="2805"/>
      <c r="DWP73" s="2805"/>
      <c r="DWQ73" s="2805"/>
      <c r="DWR73" s="2805"/>
      <c r="DWS73" s="2805"/>
      <c r="DWT73" s="2805"/>
      <c r="DWU73" s="2805"/>
      <c r="DWV73" s="2805"/>
      <c r="DWW73" s="2805"/>
      <c r="DWX73" s="2805"/>
      <c r="DWY73" s="2805"/>
      <c r="DWZ73" s="2805"/>
      <c r="DXA73" s="2805"/>
      <c r="DXB73" s="2805"/>
      <c r="DXC73" s="2805"/>
      <c r="DXD73" s="2805"/>
      <c r="DXE73" s="2805"/>
      <c r="DXF73" s="2805"/>
      <c r="DXG73" s="2805"/>
      <c r="DXH73" s="2805"/>
      <c r="DXI73" s="2805"/>
      <c r="DXJ73" s="2805"/>
      <c r="DXK73" s="2805"/>
      <c r="DXL73" s="2805"/>
      <c r="DXM73" s="2805"/>
      <c r="DXN73" s="2805"/>
      <c r="DXO73" s="2805"/>
      <c r="DXP73" s="2805"/>
      <c r="DXQ73" s="2805"/>
      <c r="DXR73" s="2805"/>
      <c r="DXS73" s="2805"/>
      <c r="DXT73" s="2805"/>
      <c r="DXU73" s="2805"/>
      <c r="DXV73" s="2805"/>
      <c r="DXW73" s="2805"/>
      <c r="DXX73" s="2805"/>
      <c r="DXY73" s="2805"/>
      <c r="DXZ73" s="2805"/>
      <c r="DYA73" s="2805"/>
      <c r="DYB73" s="2805"/>
      <c r="DYC73" s="2805"/>
      <c r="DYD73" s="2805"/>
      <c r="DYE73" s="2805"/>
      <c r="DYF73" s="2805"/>
      <c r="DYG73" s="2805"/>
      <c r="DYH73" s="2805"/>
      <c r="DYI73" s="2805"/>
      <c r="DYJ73" s="2805"/>
      <c r="DYK73" s="2805"/>
      <c r="DYL73" s="2805"/>
      <c r="DYM73" s="2805"/>
      <c r="DYN73" s="2805"/>
      <c r="DYO73" s="2805"/>
      <c r="DYP73" s="2805"/>
      <c r="DYQ73" s="2805"/>
      <c r="DYR73" s="2805"/>
      <c r="DYS73" s="2805"/>
      <c r="DYT73" s="2805"/>
      <c r="DYU73" s="2805"/>
      <c r="DYV73" s="2805"/>
      <c r="DYW73" s="2805"/>
      <c r="DYX73" s="2805"/>
      <c r="DYY73" s="2805"/>
      <c r="DYZ73" s="2805"/>
      <c r="DZA73" s="2805"/>
      <c r="DZB73" s="2805"/>
      <c r="DZC73" s="2805"/>
      <c r="DZD73" s="2805"/>
      <c r="DZE73" s="2805"/>
      <c r="DZF73" s="2805"/>
      <c r="DZG73" s="2805"/>
      <c r="DZH73" s="2805"/>
      <c r="DZI73" s="2805"/>
      <c r="DZJ73" s="2805"/>
      <c r="DZK73" s="2805"/>
      <c r="DZL73" s="2805"/>
      <c r="DZM73" s="2805"/>
      <c r="DZN73" s="2805"/>
      <c r="DZO73" s="2805"/>
      <c r="DZP73" s="2805"/>
      <c r="DZQ73" s="2805"/>
      <c r="DZR73" s="2805"/>
      <c r="DZS73" s="2805"/>
      <c r="DZT73" s="2805"/>
      <c r="DZU73" s="2805"/>
      <c r="DZV73" s="2805"/>
      <c r="DZW73" s="2805"/>
      <c r="DZX73" s="2805"/>
      <c r="DZY73" s="2805"/>
      <c r="DZZ73" s="2805"/>
      <c r="EAA73" s="2805"/>
      <c r="EAB73" s="2805"/>
      <c r="EAC73" s="2805"/>
      <c r="EAD73" s="2805"/>
      <c r="EAE73" s="2805"/>
      <c r="EAF73" s="2805"/>
      <c r="EAG73" s="2805"/>
      <c r="EAH73" s="2805"/>
      <c r="EAI73" s="2805"/>
      <c r="EAJ73" s="2805"/>
      <c r="EAK73" s="2805"/>
      <c r="EAL73" s="2805"/>
      <c r="EAM73" s="2805"/>
      <c r="EAN73" s="2805"/>
      <c r="EAO73" s="2805"/>
      <c r="EAP73" s="2805"/>
      <c r="EAQ73" s="2805"/>
      <c r="EAR73" s="2805"/>
      <c r="EAS73" s="2805"/>
      <c r="EAT73" s="2805"/>
      <c r="EAU73" s="2805"/>
      <c r="EAV73" s="2805"/>
      <c r="EAW73" s="2805"/>
      <c r="EAX73" s="2805"/>
      <c r="EAY73" s="2805"/>
      <c r="EAZ73" s="2805"/>
      <c r="EBA73" s="2805"/>
      <c r="EBB73" s="2805"/>
      <c r="EBC73" s="2805"/>
      <c r="EBD73" s="2805"/>
      <c r="EBE73" s="2805"/>
      <c r="EBF73" s="2805"/>
      <c r="EBG73" s="2805"/>
      <c r="EBH73" s="2805"/>
      <c r="EBI73" s="2805"/>
      <c r="EBJ73" s="2805"/>
      <c r="EBK73" s="2805"/>
      <c r="EBL73" s="2805"/>
      <c r="EBM73" s="2805"/>
      <c r="EBN73" s="2805"/>
      <c r="EBO73" s="2805"/>
      <c r="EBP73" s="2805"/>
      <c r="EBQ73" s="2805"/>
      <c r="EBR73" s="2805"/>
      <c r="EBS73" s="2805"/>
      <c r="EBT73" s="2805"/>
      <c r="EBU73" s="2805"/>
      <c r="EBV73" s="2805"/>
      <c r="EBW73" s="2805"/>
      <c r="EBX73" s="2805"/>
      <c r="EBY73" s="2805"/>
      <c r="EBZ73" s="2805"/>
      <c r="ECA73" s="2805"/>
      <c r="ECB73" s="2805"/>
      <c r="ECC73" s="2805"/>
      <c r="ECD73" s="2805"/>
      <c r="ECE73" s="2805"/>
      <c r="ECF73" s="2805"/>
      <c r="ECG73" s="2805"/>
      <c r="ECH73" s="2805"/>
      <c r="ECI73" s="2805"/>
      <c r="ECJ73" s="2805"/>
      <c r="ECK73" s="2805"/>
      <c r="ECL73" s="2805"/>
      <c r="ECM73" s="2805"/>
      <c r="ECN73" s="2805"/>
      <c r="ECO73" s="2805"/>
      <c r="ECP73" s="2805"/>
      <c r="ECQ73" s="2805"/>
      <c r="ECR73" s="2805"/>
      <c r="ECS73" s="2805"/>
      <c r="ECT73" s="2805"/>
      <c r="ECU73" s="2805"/>
      <c r="ECV73" s="2805"/>
      <c r="ECW73" s="2805"/>
      <c r="ECX73" s="2805"/>
      <c r="ECY73" s="2805"/>
      <c r="ECZ73" s="2805"/>
      <c r="EDA73" s="2805"/>
      <c r="EDB73" s="2805"/>
      <c r="EDC73" s="2805"/>
      <c r="EDD73" s="2805"/>
      <c r="EDE73" s="2805"/>
      <c r="EDF73" s="2805"/>
      <c r="EDG73" s="2805"/>
      <c r="EDH73" s="2805"/>
      <c r="EDI73" s="2805"/>
      <c r="EDJ73" s="2805"/>
      <c r="EDK73" s="2805"/>
      <c r="EDL73" s="2805"/>
      <c r="EDM73" s="2805"/>
      <c r="EDN73" s="2805"/>
      <c r="EDO73" s="2805"/>
      <c r="EDP73" s="2805"/>
      <c r="EDQ73" s="2805"/>
      <c r="EDR73" s="2805"/>
      <c r="EDS73" s="2805"/>
      <c r="EDT73" s="2805"/>
      <c r="EDU73" s="2805"/>
      <c r="EDV73" s="2805"/>
      <c r="EDW73" s="2805"/>
      <c r="EDX73" s="2805"/>
      <c r="EDY73" s="2805"/>
      <c r="EDZ73" s="2805"/>
      <c r="EEA73" s="2805"/>
      <c r="EEB73" s="2805"/>
      <c r="EEC73" s="2805"/>
      <c r="EED73" s="2805"/>
      <c r="EEE73" s="2805"/>
      <c r="EEF73" s="2805"/>
      <c r="EEG73" s="2805"/>
      <c r="EEH73" s="2805"/>
      <c r="EEI73" s="2805"/>
      <c r="EEJ73" s="2805"/>
      <c r="EEK73" s="2805"/>
      <c r="EEL73" s="2805"/>
      <c r="EEM73" s="2805"/>
      <c r="EEN73" s="2805"/>
      <c r="EEO73" s="2805"/>
      <c r="EEP73" s="2805"/>
      <c r="EEQ73" s="2805"/>
      <c r="EER73" s="2805"/>
      <c r="EES73" s="2805"/>
      <c r="EET73" s="2805"/>
      <c r="EEU73" s="2805"/>
      <c r="EEV73" s="2805"/>
      <c r="EEW73" s="2805"/>
      <c r="EEX73" s="2805"/>
      <c r="EEY73" s="2805"/>
      <c r="EEZ73" s="2805"/>
      <c r="EFA73" s="2805"/>
      <c r="EFB73" s="2805"/>
      <c r="EFC73" s="2805"/>
      <c r="EFD73" s="2805"/>
      <c r="EFE73" s="2805"/>
      <c r="EFF73" s="2805"/>
      <c r="EFG73" s="2805"/>
      <c r="EFH73" s="2805"/>
      <c r="EFI73" s="2805"/>
      <c r="EFJ73" s="2805"/>
      <c r="EFK73" s="2805"/>
      <c r="EFL73" s="2805"/>
      <c r="EFM73" s="2805"/>
      <c r="EFN73" s="2805"/>
      <c r="EFO73" s="2805"/>
      <c r="EFP73" s="2805"/>
      <c r="EFQ73" s="2805"/>
      <c r="EFR73" s="2805"/>
      <c r="EFS73" s="2805"/>
      <c r="EFT73" s="2805"/>
      <c r="EFU73" s="2805"/>
      <c r="EFV73" s="2805"/>
      <c r="EFW73" s="2805"/>
      <c r="EFX73" s="2805"/>
      <c r="EFY73" s="2805"/>
      <c r="EFZ73" s="2805"/>
      <c r="EGA73" s="2805"/>
      <c r="EGB73" s="2805"/>
      <c r="EGC73" s="2805"/>
      <c r="EGD73" s="2805"/>
      <c r="EGE73" s="2805"/>
      <c r="EGF73" s="2805"/>
      <c r="EGG73" s="2805"/>
      <c r="EGH73" s="2805"/>
      <c r="EGI73" s="2805"/>
      <c r="EGJ73" s="2805"/>
      <c r="EGK73" s="2805"/>
      <c r="EGL73" s="2805"/>
      <c r="EGM73" s="2805"/>
      <c r="EGN73" s="2805"/>
      <c r="EGO73" s="2805"/>
      <c r="EGP73" s="2805"/>
      <c r="EGQ73" s="2805"/>
      <c r="EGR73" s="2805"/>
      <c r="EGS73" s="2805"/>
      <c r="EGT73" s="2805"/>
      <c r="EGU73" s="2805"/>
      <c r="EGV73" s="2805"/>
      <c r="EGW73" s="2805"/>
      <c r="EGX73" s="2805"/>
      <c r="EGY73" s="2805"/>
      <c r="EGZ73" s="2805"/>
      <c r="EHA73" s="2805"/>
      <c r="EHB73" s="2805"/>
      <c r="EHC73" s="2805"/>
      <c r="EHD73" s="2805"/>
      <c r="EHE73" s="2805"/>
      <c r="EHF73" s="2805"/>
      <c r="EHG73" s="2805"/>
      <c r="EHH73" s="2805"/>
      <c r="EHI73" s="2805"/>
      <c r="EHJ73" s="2805"/>
      <c r="EHK73" s="2805"/>
      <c r="EHL73" s="2805"/>
      <c r="EHM73" s="2805"/>
      <c r="EHN73" s="2805"/>
      <c r="EHO73" s="2805"/>
      <c r="EHP73" s="2805"/>
      <c r="EHQ73" s="2805"/>
      <c r="EHR73" s="2805"/>
      <c r="EHS73" s="2805"/>
      <c r="EHT73" s="2805"/>
      <c r="EHU73" s="2805"/>
      <c r="EHV73" s="2805"/>
      <c r="EHW73" s="2805"/>
      <c r="EHX73" s="2805"/>
      <c r="EHY73" s="2805"/>
      <c r="EHZ73" s="2805"/>
      <c r="EIA73" s="2805"/>
      <c r="EIB73" s="2805"/>
      <c r="EIC73" s="2805"/>
      <c r="EID73" s="2805"/>
      <c r="EIE73" s="2805"/>
      <c r="EIF73" s="2805"/>
      <c r="EIG73" s="2805"/>
      <c r="EIH73" s="2805"/>
      <c r="EII73" s="2805"/>
      <c r="EIJ73" s="2805"/>
      <c r="EIK73" s="2805"/>
      <c r="EIL73" s="2805"/>
      <c r="EIM73" s="2805"/>
      <c r="EIN73" s="2805"/>
      <c r="EIO73" s="2805"/>
      <c r="EIP73" s="2805"/>
      <c r="EIQ73" s="2805"/>
      <c r="EIR73" s="2805"/>
      <c r="EIS73" s="2805"/>
      <c r="EIT73" s="2805"/>
      <c r="EIU73" s="2805"/>
      <c r="EIV73" s="2805"/>
      <c r="EIW73" s="2805"/>
      <c r="EIX73" s="2805"/>
      <c r="EIY73" s="2805"/>
      <c r="EIZ73" s="2805"/>
      <c r="EJA73" s="2805"/>
      <c r="EJB73" s="2805"/>
      <c r="EJC73" s="2805"/>
      <c r="EJD73" s="2805"/>
      <c r="EJE73" s="2805"/>
      <c r="EJF73" s="2805"/>
      <c r="EJG73" s="2805"/>
      <c r="EJH73" s="2805"/>
      <c r="EJI73" s="2805"/>
      <c r="EJJ73" s="2805"/>
      <c r="EJK73" s="2805"/>
      <c r="EJL73" s="2805"/>
      <c r="EJM73" s="2805"/>
      <c r="EJN73" s="2805"/>
      <c r="EJO73" s="2805"/>
      <c r="EJP73" s="2805"/>
      <c r="EJQ73" s="2805"/>
      <c r="EJR73" s="2805"/>
      <c r="EJS73" s="2805"/>
      <c r="EJT73" s="2805"/>
      <c r="EJU73" s="2805"/>
      <c r="EJV73" s="2805"/>
      <c r="EJW73" s="2805"/>
      <c r="EJX73" s="2805"/>
      <c r="EJY73" s="2805"/>
      <c r="EJZ73" s="2805"/>
      <c r="EKA73" s="2805"/>
      <c r="EKB73" s="2805"/>
      <c r="EKC73" s="2805"/>
      <c r="EKD73" s="2805"/>
      <c r="EKE73" s="2805"/>
      <c r="EKF73" s="2805"/>
      <c r="EKG73" s="2805"/>
      <c r="EKH73" s="2805"/>
      <c r="EKI73" s="2805"/>
      <c r="EKJ73" s="2805"/>
      <c r="EKK73" s="2805"/>
      <c r="EKL73" s="2805"/>
      <c r="EKM73" s="2805"/>
      <c r="EKN73" s="2805"/>
      <c r="EKO73" s="2805"/>
      <c r="EKP73" s="2805"/>
      <c r="EKQ73" s="2805"/>
      <c r="EKR73" s="2805"/>
      <c r="EKS73" s="2805"/>
      <c r="EKT73" s="2805"/>
      <c r="EKU73" s="2805"/>
      <c r="EKV73" s="2805"/>
      <c r="EKW73" s="2805"/>
      <c r="EKX73" s="2805"/>
      <c r="EKY73" s="2805"/>
      <c r="EKZ73" s="2805"/>
      <c r="ELA73" s="2805"/>
      <c r="ELB73" s="2805"/>
      <c r="ELC73" s="2805"/>
      <c r="ELD73" s="2805"/>
      <c r="ELE73" s="2805"/>
      <c r="ELF73" s="2805"/>
      <c r="ELG73" s="2805"/>
      <c r="ELH73" s="2805"/>
      <c r="ELI73" s="2805"/>
      <c r="ELJ73" s="2805"/>
      <c r="ELK73" s="2805"/>
      <c r="ELL73" s="2805"/>
      <c r="ELM73" s="2805"/>
      <c r="ELN73" s="2805"/>
      <c r="ELO73" s="2805"/>
      <c r="ELP73" s="2805"/>
      <c r="ELQ73" s="2805"/>
      <c r="ELR73" s="2805"/>
      <c r="ELS73" s="2805"/>
      <c r="ELT73" s="2805"/>
      <c r="ELU73" s="2805"/>
      <c r="ELV73" s="2805"/>
      <c r="ELW73" s="2805"/>
      <c r="ELX73" s="2805"/>
      <c r="ELY73" s="2805"/>
      <c r="ELZ73" s="2805"/>
      <c r="EMA73" s="2805"/>
      <c r="EMB73" s="2805"/>
      <c r="EMC73" s="2805"/>
      <c r="EMD73" s="2805"/>
      <c r="EME73" s="2805"/>
      <c r="EMF73" s="2805"/>
      <c r="EMG73" s="2805"/>
      <c r="EMH73" s="2805"/>
      <c r="EMI73" s="2805"/>
      <c r="EMJ73" s="2805"/>
      <c r="EMK73" s="2805"/>
      <c r="EML73" s="2805"/>
      <c r="EMM73" s="2805"/>
      <c r="EMN73" s="2805"/>
      <c r="EMO73" s="2805"/>
      <c r="EMP73" s="2805"/>
      <c r="EMQ73" s="2805"/>
      <c r="EMR73" s="2805"/>
      <c r="EMS73" s="2805"/>
      <c r="EMT73" s="2805"/>
      <c r="EMU73" s="2805"/>
      <c r="EMV73" s="2805"/>
      <c r="EMW73" s="2805"/>
      <c r="EMX73" s="2805"/>
      <c r="EMY73" s="2805"/>
      <c r="EMZ73" s="2805"/>
      <c r="ENA73" s="2805"/>
      <c r="ENB73" s="2805"/>
      <c r="ENC73" s="2805"/>
      <c r="END73" s="2805"/>
      <c r="ENE73" s="2805"/>
      <c r="ENF73" s="2805"/>
      <c r="ENG73" s="2805"/>
      <c r="ENH73" s="2805"/>
      <c r="ENI73" s="2805"/>
      <c r="ENJ73" s="2805"/>
      <c r="ENK73" s="2805"/>
      <c r="ENL73" s="2805"/>
      <c r="ENM73" s="2805"/>
      <c r="ENN73" s="2805"/>
      <c r="ENO73" s="2805"/>
      <c r="ENP73" s="2805"/>
      <c r="ENQ73" s="2805"/>
      <c r="ENR73" s="2805"/>
      <c r="ENS73" s="2805"/>
      <c r="ENT73" s="2805"/>
      <c r="ENU73" s="2805"/>
      <c r="ENV73" s="2805"/>
      <c r="ENW73" s="2805"/>
      <c r="ENX73" s="2805"/>
      <c r="ENY73" s="2805"/>
      <c r="ENZ73" s="2805"/>
      <c r="EOA73" s="2805"/>
      <c r="EOB73" s="2805"/>
      <c r="EOC73" s="2805"/>
      <c r="EOD73" s="2805"/>
      <c r="EOE73" s="2805"/>
      <c r="EOF73" s="2805"/>
      <c r="EOG73" s="2805"/>
      <c r="EOH73" s="2805"/>
      <c r="EOI73" s="2805"/>
      <c r="EOJ73" s="2805"/>
      <c r="EOK73" s="2805"/>
      <c r="EOL73" s="2805"/>
      <c r="EOM73" s="2805"/>
      <c r="EON73" s="2805"/>
      <c r="EOO73" s="2805"/>
      <c r="EOP73" s="2805"/>
      <c r="EOQ73" s="2805"/>
      <c r="EOR73" s="2805"/>
      <c r="EOS73" s="2805"/>
      <c r="EOT73" s="2805"/>
      <c r="EOU73" s="2805"/>
      <c r="EOV73" s="2805"/>
      <c r="EOW73" s="2805"/>
      <c r="EOX73" s="2805"/>
      <c r="EOY73" s="2805"/>
      <c r="EOZ73" s="2805"/>
      <c r="EPA73" s="2805"/>
      <c r="EPB73" s="2805"/>
      <c r="EPC73" s="2805"/>
      <c r="EPD73" s="2805"/>
      <c r="EPE73" s="2805"/>
      <c r="EPF73" s="2805"/>
      <c r="EPG73" s="2805"/>
      <c r="EPH73" s="2805"/>
      <c r="EPI73" s="2805"/>
      <c r="EPJ73" s="2805"/>
      <c r="EPK73" s="2805"/>
      <c r="EPL73" s="2805"/>
      <c r="EPM73" s="2805"/>
      <c r="EPN73" s="2805"/>
      <c r="EPO73" s="2805"/>
      <c r="EPP73" s="2805"/>
      <c r="EPQ73" s="2805"/>
      <c r="EPR73" s="2805"/>
      <c r="EPS73" s="2805"/>
      <c r="EPT73" s="2805"/>
      <c r="EPU73" s="2805"/>
      <c r="EPV73" s="2805"/>
      <c r="EPW73" s="2805"/>
      <c r="EPX73" s="2805"/>
      <c r="EPY73" s="2805"/>
      <c r="EPZ73" s="2805"/>
      <c r="EQA73" s="2805"/>
      <c r="EQB73" s="2805"/>
      <c r="EQC73" s="2805"/>
      <c r="EQD73" s="2805"/>
      <c r="EQE73" s="2805"/>
      <c r="EQF73" s="2805"/>
      <c r="EQG73" s="2805"/>
      <c r="EQH73" s="2805"/>
      <c r="EQI73" s="2805"/>
      <c r="EQJ73" s="2805"/>
      <c r="EQK73" s="2805"/>
      <c r="EQL73" s="2805"/>
      <c r="EQM73" s="2805"/>
      <c r="EQN73" s="2805"/>
      <c r="EQO73" s="2805"/>
      <c r="EQP73" s="2805"/>
      <c r="EQQ73" s="2805"/>
      <c r="EQR73" s="2805"/>
      <c r="EQS73" s="2805"/>
      <c r="EQT73" s="2805"/>
      <c r="EQU73" s="2805"/>
      <c r="EQV73" s="2805"/>
      <c r="EQW73" s="2805"/>
      <c r="EQX73" s="2805"/>
      <c r="EQY73" s="2805"/>
      <c r="EQZ73" s="2805"/>
      <c r="ERA73" s="2805"/>
      <c r="ERB73" s="2805"/>
      <c r="ERC73" s="2805"/>
      <c r="ERD73" s="2805"/>
      <c r="ERE73" s="2805"/>
      <c r="ERF73" s="2805"/>
      <c r="ERG73" s="2805"/>
      <c r="ERH73" s="2805"/>
      <c r="ERI73" s="2805"/>
      <c r="ERJ73" s="2805"/>
      <c r="ERK73" s="2805"/>
      <c r="ERL73" s="2805"/>
      <c r="ERM73" s="2805"/>
      <c r="ERN73" s="2805"/>
      <c r="ERO73" s="2805"/>
      <c r="ERP73" s="2805"/>
      <c r="ERQ73" s="2805"/>
      <c r="ERR73" s="2805"/>
      <c r="ERS73" s="2805"/>
      <c r="ERT73" s="2805"/>
      <c r="ERU73" s="2805"/>
      <c r="ERV73" s="2805"/>
      <c r="ERW73" s="2805"/>
      <c r="ERX73" s="2805"/>
      <c r="ERY73" s="2805"/>
      <c r="ERZ73" s="2805"/>
      <c r="ESA73" s="2805"/>
      <c r="ESB73" s="2805"/>
      <c r="ESC73" s="2805"/>
      <c r="ESD73" s="2805"/>
      <c r="ESE73" s="2805"/>
      <c r="ESF73" s="2805"/>
      <c r="ESG73" s="2805"/>
      <c r="ESH73" s="2805"/>
      <c r="ESI73" s="2805"/>
      <c r="ESJ73" s="2805"/>
      <c r="ESK73" s="2805"/>
      <c r="ESL73" s="2805"/>
      <c r="ESM73" s="2805"/>
      <c r="ESN73" s="2805"/>
      <c r="ESO73" s="2805"/>
      <c r="ESP73" s="2805"/>
      <c r="ESQ73" s="2805"/>
      <c r="ESR73" s="2805"/>
      <c r="ESS73" s="2805"/>
      <c r="EST73" s="2805"/>
      <c r="ESU73" s="2805"/>
      <c r="ESV73" s="2805"/>
      <c r="ESW73" s="2805"/>
      <c r="ESX73" s="2805"/>
      <c r="ESY73" s="2805"/>
      <c r="ESZ73" s="2805"/>
      <c r="ETA73" s="2805"/>
      <c r="ETB73" s="2805"/>
      <c r="ETC73" s="2805"/>
      <c r="ETD73" s="2805"/>
      <c r="ETE73" s="2805"/>
      <c r="ETF73" s="2805"/>
      <c r="ETG73" s="2805"/>
      <c r="ETH73" s="2805"/>
      <c r="ETI73" s="2805"/>
      <c r="ETJ73" s="2805"/>
      <c r="ETK73" s="2805"/>
      <c r="ETL73" s="2805"/>
      <c r="ETM73" s="2805"/>
      <c r="ETN73" s="2805"/>
      <c r="ETO73" s="2805"/>
      <c r="ETP73" s="2805"/>
      <c r="ETQ73" s="2805"/>
      <c r="ETR73" s="2805"/>
      <c r="ETS73" s="2805"/>
      <c r="ETT73" s="2805"/>
      <c r="ETU73" s="2805"/>
      <c r="ETV73" s="2805"/>
      <c r="ETW73" s="2805"/>
      <c r="ETX73" s="2805"/>
      <c r="ETY73" s="2805"/>
      <c r="ETZ73" s="2805"/>
      <c r="EUA73" s="2805"/>
      <c r="EUB73" s="2805"/>
      <c r="EUC73" s="2805"/>
      <c r="EUD73" s="2805"/>
      <c r="EUE73" s="2805"/>
      <c r="EUF73" s="2805"/>
      <c r="EUG73" s="2805"/>
      <c r="EUH73" s="2805"/>
      <c r="EUI73" s="2805"/>
      <c r="EUJ73" s="2805"/>
      <c r="EUK73" s="2805"/>
      <c r="EUL73" s="2805"/>
      <c r="EUM73" s="2805"/>
      <c r="EUN73" s="2805"/>
      <c r="EUO73" s="2805"/>
      <c r="EUP73" s="2805"/>
      <c r="EUQ73" s="2805"/>
      <c r="EUR73" s="2805"/>
      <c r="EUS73" s="2805"/>
      <c r="EUT73" s="2805"/>
      <c r="EUU73" s="2805"/>
      <c r="EUV73" s="2805"/>
      <c r="EUW73" s="2805"/>
      <c r="EUX73" s="2805"/>
      <c r="EUY73" s="2805"/>
      <c r="EUZ73" s="2805"/>
      <c r="EVA73" s="2805"/>
      <c r="EVB73" s="2805"/>
      <c r="EVC73" s="2805"/>
      <c r="EVD73" s="2805"/>
      <c r="EVE73" s="2805"/>
      <c r="EVF73" s="2805"/>
      <c r="EVG73" s="2805"/>
      <c r="EVH73" s="2805"/>
      <c r="EVI73" s="2805"/>
      <c r="EVJ73" s="2805"/>
      <c r="EVK73" s="2805"/>
      <c r="EVL73" s="2805"/>
      <c r="EVM73" s="2805"/>
      <c r="EVN73" s="2805"/>
      <c r="EVO73" s="2805"/>
      <c r="EVP73" s="2805"/>
      <c r="EVQ73" s="2805"/>
      <c r="EVR73" s="2805"/>
      <c r="EVS73" s="2805"/>
      <c r="EVT73" s="2805"/>
      <c r="EVU73" s="2805"/>
      <c r="EVV73" s="2805"/>
      <c r="EVW73" s="2805"/>
      <c r="EVX73" s="2805"/>
      <c r="EVY73" s="2805"/>
      <c r="EVZ73" s="2805"/>
      <c r="EWA73" s="2805"/>
      <c r="EWB73" s="2805"/>
      <c r="EWC73" s="2805"/>
      <c r="EWD73" s="2805"/>
      <c r="EWE73" s="2805"/>
      <c r="EWF73" s="2805"/>
      <c r="EWG73" s="2805"/>
      <c r="EWH73" s="2805"/>
      <c r="EWI73" s="2805"/>
      <c r="EWJ73" s="2805"/>
      <c r="EWK73" s="2805"/>
      <c r="EWL73" s="2805"/>
      <c r="EWM73" s="2805"/>
      <c r="EWN73" s="2805"/>
      <c r="EWO73" s="2805"/>
      <c r="EWP73" s="2805"/>
      <c r="EWQ73" s="2805"/>
      <c r="EWR73" s="2805"/>
      <c r="EWS73" s="2805"/>
      <c r="EWT73" s="2805"/>
      <c r="EWU73" s="2805"/>
      <c r="EWV73" s="2805"/>
      <c r="EWW73" s="2805"/>
      <c r="EWX73" s="2805"/>
      <c r="EWY73" s="2805"/>
      <c r="EWZ73" s="2805"/>
      <c r="EXA73" s="2805"/>
      <c r="EXB73" s="2805"/>
      <c r="EXC73" s="2805"/>
      <c r="EXD73" s="2805"/>
      <c r="EXE73" s="2805"/>
      <c r="EXF73" s="2805"/>
      <c r="EXG73" s="2805"/>
      <c r="EXH73" s="2805"/>
      <c r="EXI73" s="2805"/>
      <c r="EXJ73" s="2805"/>
      <c r="EXK73" s="2805"/>
      <c r="EXL73" s="2805"/>
      <c r="EXM73" s="2805"/>
      <c r="EXN73" s="2805"/>
      <c r="EXO73" s="2805"/>
      <c r="EXP73" s="2805"/>
      <c r="EXQ73" s="2805"/>
      <c r="EXR73" s="2805"/>
      <c r="EXS73" s="2805"/>
      <c r="EXT73" s="2805"/>
      <c r="EXU73" s="2805"/>
      <c r="EXV73" s="2805"/>
      <c r="EXW73" s="2805"/>
      <c r="EXX73" s="2805"/>
      <c r="EXY73" s="2805"/>
      <c r="EXZ73" s="2805"/>
      <c r="EYA73" s="2805"/>
      <c r="EYB73" s="2805"/>
      <c r="EYC73" s="2805"/>
      <c r="EYD73" s="2805"/>
      <c r="EYE73" s="2805"/>
      <c r="EYF73" s="2805"/>
      <c r="EYG73" s="2805"/>
      <c r="EYH73" s="2805"/>
      <c r="EYI73" s="2805"/>
      <c r="EYJ73" s="2805"/>
      <c r="EYK73" s="2805"/>
      <c r="EYL73" s="2805"/>
      <c r="EYM73" s="2805"/>
      <c r="EYN73" s="2805"/>
      <c r="EYO73" s="2805"/>
      <c r="EYP73" s="2805"/>
      <c r="EYQ73" s="2805"/>
      <c r="EYR73" s="2805"/>
      <c r="EYS73" s="2805"/>
      <c r="EYT73" s="2805"/>
      <c r="EYU73" s="2805"/>
      <c r="EYV73" s="2805"/>
      <c r="EYW73" s="2805"/>
      <c r="EYX73" s="2805"/>
      <c r="EYY73" s="2805"/>
      <c r="EYZ73" s="2805"/>
      <c r="EZA73" s="2805"/>
      <c r="EZB73" s="2805"/>
      <c r="EZC73" s="2805"/>
      <c r="EZD73" s="2805"/>
      <c r="EZE73" s="2805"/>
      <c r="EZF73" s="2805"/>
      <c r="EZG73" s="2805"/>
      <c r="EZH73" s="2805"/>
      <c r="EZI73" s="2805"/>
      <c r="EZJ73" s="2805"/>
      <c r="EZK73" s="2805"/>
      <c r="EZL73" s="2805"/>
      <c r="EZM73" s="2805"/>
      <c r="EZN73" s="2805"/>
      <c r="EZO73" s="2805"/>
      <c r="EZP73" s="2805"/>
      <c r="EZQ73" s="2805"/>
      <c r="EZR73" s="2805"/>
      <c r="EZS73" s="2805"/>
      <c r="EZT73" s="2805"/>
      <c r="EZU73" s="2805"/>
      <c r="EZV73" s="2805"/>
      <c r="EZW73" s="2805"/>
      <c r="EZX73" s="2805"/>
      <c r="EZY73" s="2805"/>
      <c r="EZZ73" s="2805"/>
      <c r="FAA73" s="2805"/>
      <c r="FAB73" s="2805"/>
      <c r="FAC73" s="2805"/>
      <c r="FAD73" s="2805"/>
      <c r="FAE73" s="2805"/>
      <c r="FAF73" s="2805"/>
      <c r="FAG73" s="2805"/>
      <c r="FAH73" s="2805"/>
      <c r="FAI73" s="2805"/>
      <c r="FAJ73" s="2805"/>
      <c r="FAK73" s="2805"/>
      <c r="FAL73" s="2805"/>
      <c r="FAM73" s="2805"/>
      <c r="FAN73" s="2805"/>
      <c r="FAO73" s="2805"/>
      <c r="FAP73" s="2805"/>
      <c r="FAQ73" s="2805"/>
      <c r="FAR73" s="2805"/>
      <c r="FAS73" s="2805"/>
      <c r="FAT73" s="2805"/>
      <c r="FAU73" s="2805"/>
      <c r="FAV73" s="2805"/>
      <c r="FAW73" s="2805"/>
      <c r="FAX73" s="2805"/>
      <c r="FAY73" s="2805"/>
      <c r="FAZ73" s="2805"/>
      <c r="FBA73" s="2805"/>
      <c r="FBB73" s="2805"/>
      <c r="FBC73" s="2805"/>
      <c r="FBD73" s="2805"/>
      <c r="FBE73" s="2805"/>
      <c r="FBF73" s="2805"/>
      <c r="FBG73" s="2805"/>
      <c r="FBH73" s="2805"/>
      <c r="FBI73" s="2805"/>
      <c r="FBJ73" s="2805"/>
      <c r="FBK73" s="2805"/>
      <c r="FBL73" s="2805"/>
      <c r="FBM73" s="2805"/>
      <c r="FBN73" s="2805"/>
      <c r="FBO73" s="2805"/>
      <c r="FBP73" s="2805"/>
      <c r="FBQ73" s="2805"/>
      <c r="FBR73" s="2805"/>
      <c r="FBS73" s="2805"/>
      <c r="FBT73" s="2805"/>
      <c r="FBU73" s="2805"/>
      <c r="FBV73" s="2805"/>
      <c r="FBW73" s="2805"/>
      <c r="FBX73" s="2805"/>
      <c r="FBY73" s="2805"/>
      <c r="FBZ73" s="2805"/>
      <c r="FCA73" s="2805"/>
      <c r="FCB73" s="2805"/>
      <c r="FCC73" s="2805"/>
      <c r="FCD73" s="2805"/>
      <c r="FCE73" s="2805"/>
      <c r="FCF73" s="2805"/>
      <c r="FCG73" s="2805"/>
      <c r="FCH73" s="2805"/>
      <c r="FCI73" s="2805"/>
      <c r="FCJ73" s="2805"/>
      <c r="FCK73" s="2805"/>
      <c r="FCL73" s="2805"/>
      <c r="FCM73" s="2805"/>
      <c r="FCN73" s="2805"/>
      <c r="FCO73" s="2805"/>
      <c r="FCP73" s="2805"/>
      <c r="FCQ73" s="2805"/>
      <c r="FCR73" s="2805"/>
      <c r="FCS73" s="2805"/>
      <c r="FCT73" s="2805"/>
      <c r="FCU73" s="2805"/>
      <c r="FCV73" s="2805"/>
      <c r="FCW73" s="2805"/>
      <c r="FCX73" s="2805"/>
      <c r="FCY73" s="2805"/>
      <c r="FCZ73" s="2805"/>
      <c r="FDA73" s="2805"/>
      <c r="FDB73" s="2805"/>
      <c r="FDC73" s="2805"/>
      <c r="FDD73" s="2805"/>
      <c r="FDE73" s="2805"/>
      <c r="FDF73" s="2805"/>
      <c r="FDG73" s="2805"/>
      <c r="FDH73" s="2805"/>
      <c r="FDI73" s="2805"/>
      <c r="FDJ73" s="2805"/>
      <c r="FDK73" s="2805"/>
      <c r="FDL73" s="2805"/>
      <c r="FDM73" s="2805"/>
      <c r="FDN73" s="2805"/>
      <c r="FDO73" s="2805"/>
      <c r="FDP73" s="2805"/>
      <c r="FDQ73" s="2805"/>
      <c r="FDR73" s="2805"/>
      <c r="FDS73" s="2805"/>
      <c r="FDT73" s="2805"/>
      <c r="FDU73" s="2805"/>
      <c r="FDV73" s="2805"/>
      <c r="FDW73" s="2805"/>
      <c r="FDX73" s="2805"/>
      <c r="FDY73" s="2805"/>
      <c r="FDZ73" s="2805"/>
      <c r="FEA73" s="2805"/>
      <c r="FEB73" s="2805"/>
      <c r="FEC73" s="2805"/>
      <c r="FED73" s="2805"/>
      <c r="FEE73" s="2805"/>
      <c r="FEF73" s="2805"/>
      <c r="FEG73" s="2805"/>
      <c r="FEH73" s="2805"/>
      <c r="FEI73" s="2805"/>
      <c r="FEJ73" s="2805"/>
      <c r="FEK73" s="2805"/>
      <c r="FEL73" s="2805"/>
      <c r="FEM73" s="2805"/>
      <c r="FEN73" s="2805"/>
      <c r="FEO73" s="2805"/>
      <c r="FEP73" s="2805"/>
      <c r="FEQ73" s="2805"/>
      <c r="FER73" s="2805"/>
      <c r="FES73" s="2805"/>
      <c r="FET73" s="2805"/>
      <c r="FEU73" s="2805"/>
      <c r="FEV73" s="2805"/>
      <c r="FEW73" s="2805"/>
      <c r="FEX73" s="2805"/>
      <c r="FEY73" s="2805"/>
      <c r="FEZ73" s="2805"/>
      <c r="FFA73" s="2805"/>
      <c r="FFB73" s="2805"/>
      <c r="FFC73" s="2805"/>
      <c r="FFD73" s="2805"/>
      <c r="FFE73" s="2805"/>
      <c r="FFF73" s="2805"/>
      <c r="FFG73" s="2805"/>
      <c r="FFH73" s="2805"/>
      <c r="FFI73" s="2805"/>
      <c r="FFJ73" s="2805"/>
      <c r="FFK73" s="2805"/>
      <c r="FFL73" s="2805"/>
      <c r="FFM73" s="2805"/>
      <c r="FFN73" s="2805"/>
      <c r="FFO73" s="2805"/>
      <c r="FFP73" s="2805"/>
      <c r="FFQ73" s="2805"/>
      <c r="FFR73" s="2805"/>
      <c r="FFS73" s="2805"/>
      <c r="FFT73" s="2805"/>
      <c r="FFU73" s="2805"/>
      <c r="FFV73" s="2805"/>
      <c r="FFW73" s="2805"/>
      <c r="FFX73" s="2805"/>
      <c r="FFY73" s="2805"/>
      <c r="FFZ73" s="2805"/>
      <c r="FGA73" s="2805"/>
      <c r="FGB73" s="2805"/>
      <c r="FGC73" s="2805"/>
      <c r="FGD73" s="2805"/>
      <c r="FGE73" s="2805"/>
      <c r="FGF73" s="2805"/>
      <c r="FGG73" s="2805"/>
      <c r="FGH73" s="2805"/>
      <c r="FGI73" s="2805"/>
      <c r="FGJ73" s="2805"/>
      <c r="FGK73" s="2805"/>
      <c r="FGL73" s="2805"/>
      <c r="FGM73" s="2805"/>
      <c r="FGN73" s="2805"/>
      <c r="FGO73" s="2805"/>
      <c r="FGP73" s="2805"/>
      <c r="FGQ73" s="2805"/>
      <c r="FGR73" s="2805"/>
      <c r="FGS73" s="2805"/>
      <c r="FGT73" s="2805"/>
      <c r="FGU73" s="2805"/>
      <c r="FGV73" s="2805"/>
      <c r="FGW73" s="2805"/>
      <c r="FGX73" s="2805"/>
      <c r="FGY73" s="2805"/>
      <c r="FGZ73" s="2805"/>
      <c r="FHA73" s="2805"/>
      <c r="FHB73" s="2805"/>
      <c r="FHC73" s="2805"/>
      <c r="FHD73" s="2805"/>
      <c r="FHE73" s="2805"/>
      <c r="FHF73" s="2805"/>
      <c r="FHG73" s="2805"/>
      <c r="FHH73" s="2805"/>
      <c r="FHI73" s="2805"/>
      <c r="FHJ73" s="2805"/>
      <c r="FHK73" s="2805"/>
      <c r="FHL73" s="2805"/>
      <c r="FHM73" s="2805"/>
      <c r="FHN73" s="2805"/>
      <c r="FHO73" s="2805"/>
      <c r="FHP73" s="2805"/>
      <c r="FHQ73" s="2805"/>
      <c r="FHR73" s="2805"/>
      <c r="FHS73" s="2805"/>
      <c r="FHT73" s="2805"/>
      <c r="FHU73" s="2805"/>
      <c r="FHV73" s="2805"/>
      <c r="FHW73" s="2805"/>
      <c r="FHX73" s="2805"/>
      <c r="FHY73" s="2805"/>
      <c r="FHZ73" s="2805"/>
      <c r="FIA73" s="2805"/>
      <c r="FIB73" s="2805"/>
      <c r="FIC73" s="2805"/>
      <c r="FID73" s="2805"/>
      <c r="FIE73" s="2805"/>
      <c r="FIF73" s="2805"/>
      <c r="FIG73" s="2805"/>
      <c r="FIH73" s="2805"/>
      <c r="FII73" s="2805"/>
      <c r="FIJ73" s="2805"/>
      <c r="FIK73" s="2805"/>
      <c r="FIL73" s="2805"/>
      <c r="FIM73" s="2805"/>
      <c r="FIN73" s="2805"/>
      <c r="FIO73" s="2805"/>
      <c r="FIP73" s="2805"/>
      <c r="FIQ73" s="2805"/>
      <c r="FIR73" s="2805"/>
      <c r="FIS73" s="2805"/>
      <c r="FIT73" s="2805"/>
      <c r="FIU73" s="2805"/>
      <c r="FIV73" s="2805"/>
      <c r="FIW73" s="2805"/>
      <c r="FIX73" s="2805"/>
      <c r="FIY73" s="2805"/>
      <c r="FIZ73" s="2805"/>
      <c r="FJA73" s="2805"/>
      <c r="FJB73" s="2805"/>
      <c r="FJC73" s="2805"/>
      <c r="FJD73" s="2805"/>
      <c r="FJE73" s="2805"/>
      <c r="FJF73" s="2805"/>
      <c r="FJG73" s="2805"/>
      <c r="FJH73" s="2805"/>
      <c r="FJI73" s="2805"/>
      <c r="FJJ73" s="2805"/>
      <c r="FJK73" s="2805"/>
      <c r="FJL73" s="2805"/>
      <c r="FJM73" s="2805"/>
      <c r="FJN73" s="2805"/>
      <c r="FJO73" s="2805"/>
      <c r="FJP73" s="2805"/>
      <c r="FJQ73" s="2805"/>
      <c r="FJR73" s="2805"/>
      <c r="FJS73" s="2805"/>
      <c r="FJT73" s="2805"/>
      <c r="FJU73" s="2805"/>
      <c r="FJV73" s="2805"/>
      <c r="FJW73" s="2805"/>
      <c r="FJX73" s="2805"/>
      <c r="FJY73" s="2805"/>
      <c r="FJZ73" s="2805"/>
      <c r="FKA73" s="2805"/>
      <c r="FKB73" s="2805"/>
      <c r="FKC73" s="2805"/>
      <c r="FKD73" s="2805"/>
      <c r="FKE73" s="2805"/>
      <c r="FKF73" s="2805"/>
      <c r="FKG73" s="2805"/>
      <c r="FKH73" s="2805"/>
      <c r="FKI73" s="2805"/>
      <c r="FKJ73" s="2805"/>
      <c r="FKK73" s="2805"/>
      <c r="FKL73" s="2805"/>
      <c r="FKM73" s="2805"/>
      <c r="FKN73" s="2805"/>
      <c r="FKO73" s="2805"/>
      <c r="FKP73" s="2805"/>
      <c r="FKQ73" s="2805"/>
      <c r="FKR73" s="2805"/>
      <c r="FKS73" s="2805"/>
      <c r="FKT73" s="2805"/>
      <c r="FKU73" s="2805"/>
      <c r="FKV73" s="2805"/>
      <c r="FKW73" s="2805"/>
      <c r="FKX73" s="2805"/>
      <c r="FKY73" s="2805"/>
      <c r="FKZ73" s="2805"/>
      <c r="FLA73" s="2805"/>
      <c r="FLB73" s="2805"/>
      <c r="FLC73" s="2805"/>
      <c r="FLD73" s="2805"/>
      <c r="FLE73" s="2805"/>
      <c r="FLF73" s="2805"/>
      <c r="FLG73" s="2805"/>
      <c r="FLH73" s="2805"/>
      <c r="FLI73" s="2805"/>
      <c r="FLJ73" s="2805"/>
      <c r="FLK73" s="2805"/>
      <c r="FLL73" s="2805"/>
      <c r="FLM73" s="2805"/>
      <c r="FLN73" s="2805"/>
      <c r="FLO73" s="2805"/>
      <c r="FLP73" s="2805"/>
      <c r="FLQ73" s="2805"/>
      <c r="FLR73" s="2805"/>
      <c r="FLS73" s="2805"/>
      <c r="FLT73" s="2805"/>
      <c r="FLU73" s="2805"/>
      <c r="FLV73" s="2805"/>
      <c r="FLW73" s="2805"/>
      <c r="FLX73" s="2805"/>
      <c r="FLY73" s="2805"/>
      <c r="FLZ73" s="2805"/>
      <c r="FMA73" s="2805"/>
      <c r="FMB73" s="2805"/>
      <c r="FMC73" s="2805"/>
      <c r="FMD73" s="2805"/>
      <c r="FME73" s="2805"/>
      <c r="FMF73" s="2805"/>
      <c r="FMG73" s="2805"/>
      <c r="FMH73" s="2805"/>
      <c r="FMI73" s="2805"/>
      <c r="FMJ73" s="2805"/>
      <c r="FMK73" s="2805"/>
      <c r="FML73" s="2805"/>
      <c r="FMM73" s="2805"/>
      <c r="FMN73" s="2805"/>
      <c r="FMO73" s="2805"/>
      <c r="FMP73" s="2805"/>
      <c r="FMQ73" s="2805"/>
      <c r="FMR73" s="2805"/>
      <c r="FMS73" s="2805"/>
      <c r="FMT73" s="2805"/>
      <c r="FMU73" s="2805"/>
      <c r="FMV73" s="2805"/>
      <c r="FMW73" s="2805"/>
      <c r="FMX73" s="2805"/>
      <c r="FMY73" s="2805"/>
      <c r="FMZ73" s="2805"/>
      <c r="FNA73" s="2805"/>
      <c r="FNB73" s="2805"/>
      <c r="FNC73" s="2805"/>
      <c r="FND73" s="2805"/>
      <c r="FNE73" s="2805"/>
      <c r="FNF73" s="2805"/>
      <c r="FNG73" s="2805"/>
      <c r="FNH73" s="2805"/>
      <c r="FNI73" s="2805"/>
      <c r="FNJ73" s="2805"/>
      <c r="FNK73" s="2805"/>
      <c r="FNL73" s="2805"/>
      <c r="FNM73" s="2805"/>
      <c r="FNN73" s="2805"/>
      <c r="FNO73" s="2805"/>
      <c r="FNP73" s="2805"/>
      <c r="FNQ73" s="2805"/>
      <c r="FNR73" s="2805"/>
      <c r="FNS73" s="2805"/>
      <c r="FNT73" s="2805"/>
      <c r="FNU73" s="2805"/>
      <c r="FNV73" s="2805"/>
      <c r="FNW73" s="2805"/>
      <c r="FNX73" s="2805"/>
      <c r="FNY73" s="2805"/>
      <c r="FNZ73" s="2805"/>
      <c r="FOA73" s="2805"/>
      <c r="FOB73" s="2805"/>
      <c r="FOC73" s="2805"/>
      <c r="FOD73" s="2805"/>
      <c r="FOE73" s="2805"/>
      <c r="FOF73" s="2805"/>
      <c r="FOG73" s="2805"/>
      <c r="FOH73" s="2805"/>
      <c r="FOI73" s="2805"/>
      <c r="FOJ73" s="2805"/>
      <c r="FOK73" s="2805"/>
      <c r="FOL73" s="2805"/>
      <c r="FOM73" s="2805"/>
      <c r="FON73" s="2805"/>
      <c r="FOO73" s="2805"/>
      <c r="FOP73" s="2805"/>
      <c r="FOQ73" s="2805"/>
      <c r="FOR73" s="2805"/>
      <c r="FOS73" s="2805"/>
      <c r="FOT73" s="2805"/>
      <c r="FOU73" s="2805"/>
      <c r="FOV73" s="2805"/>
      <c r="FOW73" s="2805"/>
      <c r="FOX73" s="2805"/>
      <c r="FOY73" s="2805"/>
      <c r="FOZ73" s="2805"/>
      <c r="FPA73" s="2805"/>
      <c r="FPB73" s="2805"/>
      <c r="FPC73" s="2805"/>
      <c r="FPD73" s="2805"/>
      <c r="FPE73" s="2805"/>
      <c r="FPF73" s="2805"/>
      <c r="FPG73" s="2805"/>
      <c r="FPH73" s="2805"/>
      <c r="FPI73" s="2805"/>
      <c r="FPJ73" s="2805"/>
      <c r="FPK73" s="2805"/>
      <c r="FPL73" s="2805"/>
      <c r="FPM73" s="2805"/>
      <c r="FPN73" s="2805"/>
      <c r="FPO73" s="2805"/>
      <c r="FPP73" s="2805"/>
      <c r="FPQ73" s="2805"/>
      <c r="FPR73" s="2805"/>
      <c r="FPS73" s="2805"/>
      <c r="FPT73" s="2805"/>
      <c r="FPU73" s="2805"/>
      <c r="FPV73" s="2805"/>
      <c r="FPW73" s="2805"/>
      <c r="FPX73" s="2805"/>
      <c r="FPY73" s="2805"/>
      <c r="FPZ73" s="2805"/>
      <c r="FQA73" s="2805"/>
      <c r="FQB73" s="2805"/>
      <c r="FQC73" s="2805"/>
      <c r="FQD73" s="2805"/>
      <c r="FQE73" s="2805"/>
      <c r="FQF73" s="2805"/>
      <c r="FQG73" s="2805"/>
      <c r="FQH73" s="2805"/>
      <c r="FQI73" s="2805"/>
      <c r="FQJ73" s="2805"/>
      <c r="FQK73" s="2805"/>
      <c r="FQL73" s="2805"/>
      <c r="FQM73" s="2805"/>
      <c r="FQN73" s="2805"/>
      <c r="FQO73" s="2805"/>
      <c r="FQP73" s="2805"/>
      <c r="FQQ73" s="2805"/>
      <c r="FQR73" s="2805"/>
      <c r="FQS73" s="2805"/>
      <c r="FQT73" s="2805"/>
      <c r="FQU73" s="2805"/>
      <c r="FQV73" s="2805"/>
      <c r="FQW73" s="2805"/>
      <c r="FQX73" s="2805"/>
      <c r="FQY73" s="2805"/>
      <c r="FQZ73" s="2805"/>
      <c r="FRA73" s="2805"/>
      <c r="FRB73" s="2805"/>
      <c r="FRC73" s="2805"/>
      <c r="FRD73" s="2805"/>
      <c r="FRE73" s="2805"/>
      <c r="FRF73" s="2805"/>
      <c r="FRG73" s="2805"/>
      <c r="FRH73" s="2805"/>
      <c r="FRI73" s="2805"/>
      <c r="FRJ73" s="2805"/>
      <c r="FRK73" s="2805"/>
      <c r="FRL73" s="2805"/>
      <c r="FRM73" s="2805"/>
      <c r="FRN73" s="2805"/>
      <c r="FRO73" s="2805"/>
      <c r="FRP73" s="2805"/>
      <c r="FRQ73" s="2805"/>
      <c r="FRR73" s="2805"/>
      <c r="FRS73" s="2805"/>
      <c r="FRT73" s="2805"/>
      <c r="FRU73" s="2805"/>
      <c r="FRV73" s="2805"/>
      <c r="FRW73" s="2805"/>
      <c r="FRX73" s="2805"/>
      <c r="FRY73" s="2805"/>
      <c r="FRZ73" s="2805"/>
      <c r="FSA73" s="2805"/>
      <c r="FSB73" s="2805"/>
      <c r="FSC73" s="2805"/>
      <c r="FSD73" s="2805"/>
      <c r="FSE73" s="2805"/>
      <c r="FSF73" s="2805"/>
      <c r="FSG73" s="2805"/>
      <c r="FSH73" s="2805"/>
      <c r="FSI73" s="2805"/>
      <c r="FSJ73" s="2805"/>
      <c r="FSK73" s="2805"/>
      <c r="FSL73" s="2805"/>
      <c r="FSM73" s="2805"/>
      <c r="FSN73" s="2805"/>
      <c r="FSO73" s="2805"/>
      <c r="FSP73" s="2805"/>
      <c r="FSQ73" s="2805"/>
      <c r="FSR73" s="2805"/>
      <c r="FSS73" s="2805"/>
      <c r="FST73" s="2805"/>
      <c r="FSU73" s="2805"/>
      <c r="FSV73" s="2805"/>
      <c r="FSW73" s="2805"/>
      <c r="FSX73" s="2805"/>
      <c r="FSY73" s="2805"/>
      <c r="FSZ73" s="2805"/>
      <c r="FTA73" s="2805"/>
      <c r="FTB73" s="2805"/>
      <c r="FTC73" s="2805"/>
      <c r="FTD73" s="2805"/>
      <c r="FTE73" s="2805"/>
      <c r="FTF73" s="2805"/>
      <c r="FTG73" s="2805"/>
      <c r="FTH73" s="2805"/>
      <c r="FTI73" s="2805"/>
      <c r="FTJ73" s="2805"/>
      <c r="FTK73" s="2805"/>
      <c r="FTL73" s="2805"/>
      <c r="FTM73" s="2805"/>
      <c r="FTN73" s="2805"/>
      <c r="FTO73" s="2805"/>
      <c r="FTP73" s="2805"/>
      <c r="FTQ73" s="2805"/>
      <c r="FTR73" s="2805"/>
      <c r="FTS73" s="2805"/>
      <c r="FTT73" s="2805"/>
      <c r="FTU73" s="2805"/>
      <c r="FTV73" s="2805"/>
      <c r="FTW73" s="2805"/>
      <c r="FTX73" s="2805"/>
      <c r="FTY73" s="2805"/>
      <c r="FTZ73" s="2805"/>
      <c r="FUA73" s="2805"/>
      <c r="FUB73" s="2805"/>
      <c r="FUC73" s="2805"/>
      <c r="FUD73" s="2805"/>
      <c r="FUE73" s="2805"/>
      <c r="FUF73" s="2805"/>
      <c r="FUG73" s="2805"/>
      <c r="FUH73" s="2805"/>
      <c r="FUI73" s="2805"/>
      <c r="FUJ73" s="2805"/>
      <c r="FUK73" s="2805"/>
      <c r="FUL73" s="2805"/>
      <c r="FUM73" s="2805"/>
      <c r="FUN73" s="2805"/>
      <c r="FUO73" s="2805"/>
      <c r="FUP73" s="2805"/>
      <c r="FUQ73" s="2805"/>
      <c r="FUR73" s="2805"/>
      <c r="FUS73" s="2805"/>
      <c r="FUT73" s="2805"/>
      <c r="FUU73" s="2805"/>
      <c r="FUV73" s="2805"/>
      <c r="FUW73" s="2805"/>
      <c r="FUX73" s="2805"/>
      <c r="FUY73" s="2805"/>
      <c r="FUZ73" s="2805"/>
      <c r="FVA73" s="2805"/>
      <c r="FVB73" s="2805"/>
      <c r="FVC73" s="2805"/>
      <c r="FVD73" s="2805"/>
      <c r="FVE73" s="2805"/>
      <c r="FVF73" s="2805"/>
      <c r="FVG73" s="2805"/>
      <c r="FVH73" s="2805"/>
      <c r="FVI73" s="2805"/>
      <c r="FVJ73" s="2805"/>
      <c r="FVK73" s="2805"/>
      <c r="FVL73" s="2805"/>
      <c r="FVM73" s="2805"/>
      <c r="FVN73" s="2805"/>
      <c r="FVO73" s="2805"/>
      <c r="FVP73" s="2805"/>
      <c r="FVQ73" s="2805"/>
      <c r="FVR73" s="2805"/>
      <c r="FVS73" s="2805"/>
      <c r="FVT73" s="2805"/>
      <c r="FVU73" s="2805"/>
      <c r="FVV73" s="2805"/>
      <c r="FVW73" s="2805"/>
      <c r="FVX73" s="2805"/>
      <c r="FVY73" s="2805"/>
      <c r="FVZ73" s="2805"/>
      <c r="FWA73" s="2805"/>
      <c r="FWB73" s="2805"/>
      <c r="FWC73" s="2805"/>
      <c r="FWD73" s="2805"/>
      <c r="FWE73" s="2805"/>
      <c r="FWF73" s="2805"/>
      <c r="FWG73" s="2805"/>
      <c r="FWH73" s="2805"/>
      <c r="FWI73" s="2805"/>
      <c r="FWJ73" s="2805"/>
      <c r="FWK73" s="2805"/>
      <c r="FWL73" s="2805"/>
      <c r="FWM73" s="2805"/>
      <c r="FWN73" s="2805"/>
      <c r="FWO73" s="2805"/>
      <c r="FWP73" s="2805"/>
      <c r="FWQ73" s="2805"/>
      <c r="FWR73" s="2805"/>
      <c r="FWS73" s="2805"/>
      <c r="FWT73" s="2805"/>
      <c r="FWU73" s="2805"/>
      <c r="FWV73" s="2805"/>
      <c r="FWW73" s="2805"/>
      <c r="FWX73" s="2805"/>
      <c r="FWY73" s="2805"/>
      <c r="FWZ73" s="2805"/>
      <c r="FXA73" s="2805"/>
      <c r="FXB73" s="2805"/>
      <c r="FXC73" s="2805"/>
      <c r="FXD73" s="2805"/>
      <c r="FXE73" s="2805"/>
      <c r="FXF73" s="2805"/>
      <c r="FXG73" s="2805"/>
      <c r="FXH73" s="2805"/>
      <c r="FXI73" s="2805"/>
      <c r="FXJ73" s="2805"/>
      <c r="FXK73" s="2805"/>
      <c r="FXL73" s="2805"/>
      <c r="FXM73" s="2805"/>
      <c r="FXN73" s="2805"/>
      <c r="FXO73" s="2805"/>
      <c r="FXP73" s="2805"/>
      <c r="FXQ73" s="2805"/>
      <c r="FXR73" s="2805"/>
      <c r="FXS73" s="2805"/>
      <c r="FXT73" s="2805"/>
      <c r="FXU73" s="2805"/>
      <c r="FXV73" s="2805"/>
      <c r="FXW73" s="2805"/>
      <c r="FXX73" s="2805"/>
      <c r="FXY73" s="2805"/>
      <c r="FXZ73" s="2805"/>
      <c r="FYA73" s="2805"/>
      <c r="FYB73" s="2805"/>
      <c r="FYC73" s="2805"/>
      <c r="FYD73" s="2805"/>
      <c r="FYE73" s="2805"/>
      <c r="FYF73" s="2805"/>
      <c r="FYG73" s="2805"/>
      <c r="FYH73" s="2805"/>
      <c r="FYI73" s="2805"/>
      <c r="FYJ73" s="2805"/>
      <c r="FYK73" s="2805"/>
      <c r="FYL73" s="2805"/>
      <c r="FYM73" s="2805"/>
      <c r="FYN73" s="2805"/>
      <c r="FYO73" s="2805"/>
      <c r="FYP73" s="2805"/>
      <c r="FYQ73" s="2805"/>
      <c r="FYR73" s="2805"/>
      <c r="FYS73" s="2805"/>
      <c r="FYT73" s="2805"/>
      <c r="FYU73" s="2805"/>
      <c r="FYV73" s="2805"/>
      <c r="FYW73" s="2805"/>
      <c r="FYX73" s="2805"/>
      <c r="FYY73" s="2805"/>
      <c r="FYZ73" s="2805"/>
      <c r="FZA73" s="2805"/>
      <c r="FZB73" s="2805"/>
      <c r="FZC73" s="2805"/>
      <c r="FZD73" s="2805"/>
      <c r="FZE73" s="2805"/>
      <c r="FZF73" s="2805"/>
      <c r="FZG73" s="2805"/>
      <c r="FZH73" s="2805"/>
      <c r="FZI73" s="2805"/>
      <c r="FZJ73" s="2805"/>
      <c r="FZK73" s="2805"/>
      <c r="FZL73" s="2805"/>
      <c r="FZM73" s="2805"/>
      <c r="FZN73" s="2805"/>
      <c r="FZO73" s="2805"/>
      <c r="FZP73" s="2805"/>
      <c r="FZQ73" s="2805"/>
      <c r="FZR73" s="2805"/>
      <c r="FZS73" s="2805"/>
      <c r="FZT73" s="2805"/>
      <c r="FZU73" s="2805"/>
      <c r="FZV73" s="2805"/>
      <c r="FZW73" s="2805"/>
      <c r="FZX73" s="2805"/>
      <c r="FZY73" s="2805"/>
      <c r="FZZ73" s="2805"/>
      <c r="GAA73" s="2805"/>
      <c r="GAB73" s="2805"/>
      <c r="GAC73" s="2805"/>
      <c r="GAD73" s="2805"/>
      <c r="GAE73" s="2805"/>
      <c r="GAF73" s="2805"/>
      <c r="GAG73" s="2805"/>
      <c r="GAH73" s="2805"/>
      <c r="GAI73" s="2805"/>
      <c r="GAJ73" s="2805"/>
      <c r="GAK73" s="2805"/>
      <c r="GAL73" s="2805"/>
      <c r="GAM73" s="2805"/>
      <c r="GAN73" s="2805"/>
      <c r="GAO73" s="2805"/>
      <c r="GAP73" s="2805"/>
      <c r="GAQ73" s="2805"/>
      <c r="GAR73" s="2805"/>
      <c r="GAS73" s="2805"/>
      <c r="GAT73" s="2805"/>
      <c r="GAU73" s="2805"/>
      <c r="GAV73" s="2805"/>
      <c r="GAW73" s="2805"/>
      <c r="GAX73" s="2805"/>
      <c r="GAY73" s="2805"/>
      <c r="GAZ73" s="2805"/>
      <c r="GBA73" s="2805"/>
      <c r="GBB73" s="2805"/>
      <c r="GBC73" s="2805"/>
      <c r="GBD73" s="2805"/>
      <c r="GBE73" s="2805"/>
      <c r="GBF73" s="2805"/>
      <c r="GBG73" s="2805"/>
      <c r="GBH73" s="2805"/>
      <c r="GBI73" s="2805"/>
      <c r="GBJ73" s="2805"/>
      <c r="GBK73" s="2805"/>
      <c r="GBL73" s="2805"/>
      <c r="GBM73" s="2805"/>
      <c r="GBN73" s="2805"/>
      <c r="GBO73" s="2805"/>
      <c r="GBP73" s="2805"/>
      <c r="GBQ73" s="2805"/>
      <c r="GBR73" s="2805"/>
      <c r="GBS73" s="2805"/>
      <c r="GBT73" s="2805"/>
      <c r="GBU73" s="2805"/>
      <c r="GBV73" s="2805"/>
      <c r="GBW73" s="2805"/>
      <c r="GBX73" s="2805"/>
      <c r="GBY73" s="2805"/>
      <c r="GBZ73" s="2805"/>
      <c r="GCA73" s="2805"/>
      <c r="GCB73" s="2805"/>
      <c r="GCC73" s="2805"/>
      <c r="GCD73" s="2805"/>
      <c r="GCE73" s="2805"/>
      <c r="GCF73" s="2805"/>
      <c r="GCG73" s="2805"/>
      <c r="GCH73" s="2805"/>
      <c r="GCI73" s="2805"/>
      <c r="GCJ73" s="2805"/>
      <c r="GCK73" s="2805"/>
      <c r="GCL73" s="2805"/>
      <c r="GCM73" s="2805"/>
      <c r="GCN73" s="2805"/>
      <c r="GCO73" s="2805"/>
      <c r="GCP73" s="2805"/>
      <c r="GCQ73" s="2805"/>
      <c r="GCR73" s="2805"/>
      <c r="GCS73" s="2805"/>
      <c r="GCT73" s="2805"/>
      <c r="GCU73" s="2805"/>
      <c r="GCV73" s="2805"/>
      <c r="GCW73" s="2805"/>
      <c r="GCX73" s="2805"/>
      <c r="GCY73" s="2805"/>
      <c r="GCZ73" s="2805"/>
      <c r="GDA73" s="2805"/>
      <c r="GDB73" s="2805"/>
      <c r="GDC73" s="2805"/>
      <c r="GDD73" s="2805"/>
      <c r="GDE73" s="2805"/>
      <c r="GDF73" s="2805"/>
      <c r="GDG73" s="2805"/>
      <c r="GDH73" s="2805"/>
      <c r="GDI73" s="2805"/>
      <c r="GDJ73" s="2805"/>
      <c r="GDK73" s="2805"/>
      <c r="GDL73" s="2805"/>
      <c r="GDM73" s="2805"/>
      <c r="GDN73" s="2805"/>
      <c r="GDO73" s="2805"/>
      <c r="GDP73" s="2805"/>
      <c r="GDQ73" s="2805"/>
      <c r="GDR73" s="2805"/>
      <c r="GDS73" s="2805"/>
      <c r="GDT73" s="2805"/>
      <c r="GDU73" s="2805"/>
      <c r="GDV73" s="2805"/>
      <c r="GDW73" s="2805"/>
      <c r="GDX73" s="2805"/>
      <c r="GDY73" s="2805"/>
      <c r="GDZ73" s="2805"/>
      <c r="GEA73" s="2805"/>
      <c r="GEB73" s="2805"/>
      <c r="GEC73" s="2805"/>
      <c r="GED73" s="2805"/>
      <c r="GEE73" s="2805"/>
      <c r="GEF73" s="2805"/>
      <c r="GEG73" s="2805"/>
      <c r="GEH73" s="2805"/>
      <c r="GEI73" s="2805"/>
      <c r="GEJ73" s="2805"/>
      <c r="GEK73" s="2805"/>
      <c r="GEL73" s="2805"/>
      <c r="GEM73" s="2805"/>
      <c r="GEN73" s="2805"/>
      <c r="GEO73" s="2805"/>
      <c r="GEP73" s="2805"/>
      <c r="GEQ73" s="2805"/>
      <c r="GER73" s="2805"/>
      <c r="GES73" s="2805"/>
      <c r="GET73" s="2805"/>
      <c r="GEU73" s="2805"/>
      <c r="GEV73" s="2805"/>
      <c r="GEW73" s="2805"/>
      <c r="GEX73" s="2805"/>
      <c r="GEY73" s="2805"/>
      <c r="GEZ73" s="2805"/>
      <c r="GFA73" s="2805"/>
      <c r="GFB73" s="2805"/>
      <c r="GFC73" s="2805"/>
      <c r="GFD73" s="2805"/>
      <c r="GFE73" s="2805"/>
      <c r="GFF73" s="2805"/>
      <c r="GFG73" s="2805"/>
      <c r="GFH73" s="2805"/>
      <c r="GFI73" s="2805"/>
      <c r="GFJ73" s="2805"/>
      <c r="GFK73" s="2805"/>
      <c r="GFL73" s="2805"/>
      <c r="GFM73" s="2805"/>
      <c r="GFN73" s="2805"/>
      <c r="GFO73" s="2805"/>
      <c r="GFP73" s="2805"/>
      <c r="GFQ73" s="2805"/>
      <c r="GFR73" s="2805"/>
      <c r="GFS73" s="2805"/>
      <c r="GFT73" s="2805"/>
      <c r="GFU73" s="2805"/>
      <c r="GFV73" s="2805"/>
      <c r="GFW73" s="2805"/>
      <c r="GFX73" s="2805"/>
      <c r="GFY73" s="2805"/>
      <c r="GFZ73" s="2805"/>
      <c r="GGA73" s="2805"/>
      <c r="GGB73" s="2805"/>
      <c r="GGC73" s="2805"/>
      <c r="GGD73" s="2805"/>
      <c r="GGE73" s="2805"/>
      <c r="GGF73" s="2805"/>
      <c r="GGG73" s="2805"/>
      <c r="GGH73" s="2805"/>
      <c r="GGI73" s="2805"/>
      <c r="GGJ73" s="2805"/>
      <c r="GGK73" s="2805"/>
      <c r="GGL73" s="2805"/>
      <c r="GGM73" s="2805"/>
      <c r="GGN73" s="2805"/>
      <c r="GGO73" s="2805"/>
      <c r="GGP73" s="2805"/>
      <c r="GGQ73" s="2805"/>
      <c r="GGR73" s="2805"/>
      <c r="GGS73" s="2805"/>
      <c r="GGT73" s="2805"/>
      <c r="GGU73" s="2805"/>
      <c r="GGV73" s="2805"/>
      <c r="GGW73" s="2805"/>
      <c r="GGX73" s="2805"/>
      <c r="GGY73" s="2805"/>
      <c r="GGZ73" s="2805"/>
      <c r="GHA73" s="2805"/>
      <c r="GHB73" s="2805"/>
      <c r="GHC73" s="2805"/>
      <c r="GHD73" s="2805"/>
      <c r="GHE73" s="2805"/>
      <c r="GHF73" s="2805"/>
      <c r="GHG73" s="2805"/>
      <c r="GHH73" s="2805"/>
      <c r="GHI73" s="2805"/>
      <c r="GHJ73" s="2805"/>
      <c r="GHK73" s="2805"/>
      <c r="GHL73" s="2805"/>
      <c r="GHM73" s="2805"/>
      <c r="GHN73" s="2805"/>
      <c r="GHO73" s="2805"/>
      <c r="GHP73" s="2805"/>
      <c r="GHQ73" s="2805"/>
      <c r="GHR73" s="2805"/>
      <c r="GHS73" s="2805"/>
      <c r="GHT73" s="2805"/>
      <c r="GHU73" s="2805"/>
      <c r="GHV73" s="2805"/>
      <c r="GHW73" s="2805"/>
      <c r="GHX73" s="2805"/>
      <c r="GHY73" s="2805"/>
      <c r="GHZ73" s="2805"/>
      <c r="GIA73" s="2805"/>
      <c r="GIB73" s="2805"/>
      <c r="GIC73" s="2805"/>
      <c r="GID73" s="2805"/>
      <c r="GIE73" s="2805"/>
      <c r="GIF73" s="2805"/>
      <c r="GIG73" s="2805"/>
      <c r="GIH73" s="2805"/>
      <c r="GII73" s="2805"/>
      <c r="GIJ73" s="2805"/>
      <c r="GIK73" s="2805"/>
      <c r="GIL73" s="2805"/>
      <c r="GIM73" s="2805"/>
      <c r="GIN73" s="2805"/>
      <c r="GIO73" s="2805"/>
      <c r="GIP73" s="2805"/>
      <c r="GIQ73" s="2805"/>
      <c r="GIR73" s="2805"/>
      <c r="GIS73" s="2805"/>
      <c r="GIT73" s="2805"/>
      <c r="GIU73" s="2805"/>
      <c r="GIV73" s="2805"/>
      <c r="GIW73" s="2805"/>
      <c r="GIX73" s="2805"/>
      <c r="GIY73" s="2805"/>
      <c r="GIZ73" s="2805"/>
      <c r="GJA73" s="2805"/>
      <c r="GJB73" s="2805"/>
      <c r="GJC73" s="2805"/>
      <c r="GJD73" s="2805"/>
      <c r="GJE73" s="2805"/>
      <c r="GJF73" s="2805"/>
      <c r="GJG73" s="2805"/>
      <c r="GJH73" s="2805"/>
      <c r="GJI73" s="2805"/>
      <c r="GJJ73" s="2805"/>
      <c r="GJK73" s="2805"/>
      <c r="GJL73" s="2805"/>
      <c r="GJM73" s="2805"/>
      <c r="GJN73" s="2805"/>
      <c r="GJO73" s="2805"/>
      <c r="GJP73" s="2805"/>
      <c r="GJQ73" s="2805"/>
      <c r="GJR73" s="2805"/>
      <c r="GJS73" s="2805"/>
      <c r="GJT73" s="2805"/>
      <c r="GJU73" s="2805"/>
      <c r="GJV73" s="2805"/>
      <c r="GJW73" s="2805"/>
      <c r="GJX73" s="2805"/>
      <c r="GJY73" s="2805"/>
      <c r="GJZ73" s="2805"/>
      <c r="GKA73" s="2805"/>
      <c r="GKB73" s="2805"/>
      <c r="GKC73" s="2805"/>
      <c r="GKD73" s="2805"/>
      <c r="GKE73" s="2805"/>
      <c r="GKF73" s="2805"/>
      <c r="GKG73" s="2805"/>
      <c r="GKH73" s="2805"/>
      <c r="GKI73" s="2805"/>
      <c r="GKJ73" s="2805"/>
      <c r="GKK73" s="2805"/>
      <c r="GKL73" s="2805"/>
      <c r="GKM73" s="2805"/>
      <c r="GKN73" s="2805"/>
      <c r="GKO73" s="2805"/>
      <c r="GKP73" s="2805"/>
      <c r="GKQ73" s="2805"/>
      <c r="GKR73" s="2805"/>
      <c r="GKS73" s="2805"/>
      <c r="GKT73" s="2805"/>
      <c r="GKU73" s="2805"/>
      <c r="GKV73" s="2805"/>
      <c r="GKW73" s="2805"/>
      <c r="GKX73" s="2805"/>
      <c r="GKY73" s="2805"/>
      <c r="GKZ73" s="2805"/>
      <c r="GLA73" s="2805"/>
      <c r="GLB73" s="2805"/>
      <c r="GLC73" s="2805"/>
      <c r="GLD73" s="2805"/>
      <c r="GLE73" s="2805"/>
      <c r="GLF73" s="2805"/>
      <c r="GLG73" s="2805"/>
      <c r="GLH73" s="2805"/>
      <c r="GLI73" s="2805"/>
      <c r="GLJ73" s="2805"/>
      <c r="GLK73" s="2805"/>
      <c r="GLL73" s="2805"/>
      <c r="GLM73" s="2805"/>
      <c r="GLN73" s="2805"/>
      <c r="GLO73" s="2805"/>
      <c r="GLP73" s="2805"/>
      <c r="GLQ73" s="2805"/>
      <c r="GLR73" s="2805"/>
      <c r="GLS73" s="2805"/>
      <c r="GLT73" s="2805"/>
      <c r="GLU73" s="2805"/>
      <c r="GLV73" s="2805"/>
      <c r="GLW73" s="2805"/>
      <c r="GLX73" s="2805"/>
      <c r="GLY73" s="2805"/>
      <c r="GLZ73" s="2805"/>
      <c r="GMA73" s="2805"/>
      <c r="GMB73" s="2805"/>
      <c r="GMC73" s="2805"/>
      <c r="GMD73" s="2805"/>
      <c r="GME73" s="2805"/>
      <c r="GMF73" s="2805"/>
      <c r="GMG73" s="2805"/>
      <c r="GMH73" s="2805"/>
      <c r="GMI73" s="2805"/>
      <c r="GMJ73" s="2805"/>
      <c r="GMK73" s="2805"/>
      <c r="GML73" s="2805"/>
      <c r="GMM73" s="2805"/>
      <c r="GMN73" s="2805"/>
      <c r="GMO73" s="2805"/>
      <c r="GMP73" s="2805"/>
      <c r="GMQ73" s="2805"/>
      <c r="GMR73" s="2805"/>
      <c r="GMS73" s="2805"/>
      <c r="GMT73" s="2805"/>
      <c r="GMU73" s="2805"/>
      <c r="GMV73" s="2805"/>
      <c r="GMW73" s="2805"/>
      <c r="GMX73" s="2805"/>
      <c r="GMY73" s="2805"/>
      <c r="GMZ73" s="2805"/>
      <c r="GNA73" s="2805"/>
      <c r="GNB73" s="2805"/>
      <c r="GNC73" s="2805"/>
      <c r="GND73" s="2805"/>
      <c r="GNE73" s="2805"/>
      <c r="GNF73" s="2805"/>
      <c r="GNG73" s="2805"/>
      <c r="GNH73" s="2805"/>
      <c r="GNI73" s="2805"/>
      <c r="GNJ73" s="2805"/>
      <c r="GNK73" s="2805"/>
      <c r="GNL73" s="2805"/>
      <c r="GNM73" s="2805"/>
      <c r="GNN73" s="2805"/>
      <c r="GNO73" s="2805"/>
      <c r="GNP73" s="2805"/>
      <c r="GNQ73" s="2805"/>
      <c r="GNR73" s="2805"/>
      <c r="GNS73" s="2805"/>
      <c r="GNT73" s="2805"/>
      <c r="GNU73" s="2805"/>
      <c r="GNV73" s="2805"/>
      <c r="GNW73" s="2805"/>
      <c r="GNX73" s="2805"/>
      <c r="GNY73" s="2805"/>
      <c r="GNZ73" s="2805"/>
      <c r="GOA73" s="2805"/>
      <c r="GOB73" s="2805"/>
      <c r="GOC73" s="2805"/>
      <c r="GOD73" s="2805"/>
      <c r="GOE73" s="2805"/>
      <c r="GOF73" s="2805"/>
      <c r="GOG73" s="2805"/>
      <c r="GOH73" s="2805"/>
      <c r="GOI73" s="2805"/>
      <c r="GOJ73" s="2805"/>
      <c r="GOK73" s="2805"/>
      <c r="GOL73" s="2805"/>
      <c r="GOM73" s="2805"/>
      <c r="GON73" s="2805"/>
      <c r="GOO73" s="2805"/>
      <c r="GOP73" s="2805"/>
      <c r="GOQ73" s="2805"/>
      <c r="GOR73" s="2805"/>
      <c r="GOS73" s="2805"/>
      <c r="GOT73" s="2805"/>
      <c r="GOU73" s="2805"/>
      <c r="GOV73" s="2805"/>
      <c r="GOW73" s="2805"/>
      <c r="GOX73" s="2805"/>
      <c r="GOY73" s="2805"/>
      <c r="GOZ73" s="2805"/>
      <c r="GPA73" s="2805"/>
      <c r="GPB73" s="2805"/>
      <c r="GPC73" s="2805"/>
      <c r="GPD73" s="2805"/>
      <c r="GPE73" s="2805"/>
      <c r="GPF73" s="2805"/>
      <c r="GPG73" s="2805"/>
      <c r="GPH73" s="2805"/>
      <c r="GPI73" s="2805"/>
      <c r="GPJ73" s="2805"/>
      <c r="GPK73" s="2805"/>
      <c r="GPL73" s="2805"/>
      <c r="GPM73" s="2805"/>
      <c r="GPN73" s="2805"/>
      <c r="GPO73" s="2805"/>
      <c r="GPP73" s="2805"/>
      <c r="GPQ73" s="2805"/>
      <c r="GPR73" s="2805"/>
      <c r="GPS73" s="2805"/>
      <c r="GPT73" s="2805"/>
      <c r="GPU73" s="2805"/>
      <c r="GPV73" s="2805"/>
      <c r="GPW73" s="2805"/>
      <c r="GPX73" s="2805"/>
      <c r="GPY73" s="2805"/>
      <c r="GPZ73" s="2805"/>
      <c r="GQA73" s="2805"/>
      <c r="GQB73" s="2805"/>
      <c r="GQC73" s="2805"/>
      <c r="GQD73" s="2805"/>
      <c r="GQE73" s="2805"/>
      <c r="GQF73" s="2805"/>
      <c r="GQG73" s="2805"/>
      <c r="GQH73" s="2805"/>
      <c r="GQI73" s="2805"/>
      <c r="GQJ73" s="2805"/>
      <c r="GQK73" s="2805"/>
      <c r="GQL73" s="2805"/>
      <c r="GQM73" s="2805"/>
      <c r="GQN73" s="2805"/>
      <c r="GQO73" s="2805"/>
      <c r="GQP73" s="2805"/>
      <c r="GQQ73" s="2805"/>
      <c r="GQR73" s="2805"/>
      <c r="GQS73" s="2805"/>
      <c r="GQT73" s="2805"/>
      <c r="GQU73" s="2805"/>
      <c r="GQV73" s="2805"/>
      <c r="GQW73" s="2805"/>
      <c r="GQX73" s="2805"/>
      <c r="GQY73" s="2805"/>
      <c r="GQZ73" s="2805"/>
      <c r="GRA73" s="2805"/>
      <c r="GRB73" s="2805"/>
      <c r="GRC73" s="2805"/>
      <c r="GRD73" s="2805"/>
      <c r="GRE73" s="2805"/>
      <c r="GRF73" s="2805"/>
      <c r="GRG73" s="2805"/>
      <c r="GRH73" s="2805"/>
      <c r="GRI73" s="2805"/>
      <c r="GRJ73" s="2805"/>
      <c r="GRK73" s="2805"/>
      <c r="GRL73" s="2805"/>
      <c r="GRM73" s="2805"/>
      <c r="GRN73" s="2805"/>
      <c r="GRO73" s="2805"/>
      <c r="GRP73" s="2805"/>
      <c r="GRQ73" s="2805"/>
      <c r="GRR73" s="2805"/>
      <c r="GRS73" s="2805"/>
      <c r="GRT73" s="2805"/>
      <c r="GRU73" s="2805"/>
      <c r="GRV73" s="2805"/>
      <c r="GRW73" s="2805"/>
      <c r="GRX73" s="2805"/>
      <c r="GRY73" s="2805"/>
      <c r="GRZ73" s="2805"/>
      <c r="GSA73" s="2805"/>
      <c r="GSB73" s="2805"/>
      <c r="GSC73" s="2805"/>
      <c r="GSD73" s="2805"/>
      <c r="GSE73" s="2805"/>
      <c r="GSF73" s="2805"/>
      <c r="GSG73" s="2805"/>
      <c r="GSH73" s="2805"/>
      <c r="GSI73" s="2805"/>
      <c r="GSJ73" s="2805"/>
      <c r="GSK73" s="2805"/>
      <c r="GSL73" s="2805"/>
      <c r="GSM73" s="2805"/>
      <c r="GSN73" s="2805"/>
      <c r="GSO73" s="2805"/>
      <c r="GSP73" s="2805"/>
      <c r="GSQ73" s="2805"/>
      <c r="GSR73" s="2805"/>
      <c r="GSS73" s="2805"/>
      <c r="GST73" s="2805"/>
      <c r="GSU73" s="2805"/>
      <c r="GSV73" s="2805"/>
      <c r="GSW73" s="2805"/>
      <c r="GSX73" s="2805"/>
      <c r="GSY73" s="2805"/>
      <c r="GSZ73" s="2805"/>
      <c r="GTA73" s="2805"/>
      <c r="GTB73" s="2805"/>
      <c r="GTC73" s="2805"/>
      <c r="GTD73" s="2805"/>
      <c r="GTE73" s="2805"/>
      <c r="GTF73" s="2805"/>
      <c r="GTG73" s="2805"/>
      <c r="GTH73" s="2805"/>
      <c r="GTI73" s="2805"/>
      <c r="GTJ73" s="2805"/>
      <c r="GTK73" s="2805"/>
      <c r="GTL73" s="2805"/>
      <c r="GTM73" s="2805"/>
      <c r="GTN73" s="2805"/>
      <c r="GTO73" s="2805"/>
      <c r="GTP73" s="2805"/>
      <c r="GTQ73" s="2805"/>
      <c r="GTR73" s="2805"/>
      <c r="GTS73" s="2805"/>
      <c r="GTT73" s="2805"/>
      <c r="GTU73" s="2805"/>
      <c r="GTV73" s="2805"/>
      <c r="GTW73" s="2805"/>
      <c r="GTX73" s="2805"/>
      <c r="GTY73" s="2805"/>
      <c r="GTZ73" s="2805"/>
      <c r="GUA73" s="2805"/>
      <c r="GUB73" s="2805"/>
      <c r="GUC73" s="2805"/>
      <c r="GUD73" s="2805"/>
      <c r="GUE73" s="2805"/>
      <c r="GUF73" s="2805"/>
      <c r="GUG73" s="2805"/>
      <c r="GUH73" s="2805"/>
      <c r="GUI73" s="2805"/>
      <c r="GUJ73" s="2805"/>
      <c r="GUK73" s="2805"/>
      <c r="GUL73" s="2805"/>
      <c r="GUM73" s="2805"/>
      <c r="GUN73" s="2805"/>
      <c r="GUO73" s="2805"/>
      <c r="GUP73" s="2805"/>
      <c r="GUQ73" s="2805"/>
      <c r="GUR73" s="2805"/>
      <c r="GUS73" s="2805"/>
      <c r="GUT73" s="2805"/>
      <c r="GUU73" s="2805"/>
      <c r="GUV73" s="2805"/>
      <c r="GUW73" s="2805"/>
      <c r="GUX73" s="2805"/>
      <c r="GUY73" s="2805"/>
      <c r="GUZ73" s="2805"/>
      <c r="GVA73" s="2805"/>
      <c r="GVB73" s="2805"/>
      <c r="GVC73" s="2805"/>
      <c r="GVD73" s="2805"/>
      <c r="GVE73" s="2805"/>
      <c r="GVF73" s="2805"/>
      <c r="GVG73" s="2805"/>
      <c r="GVH73" s="2805"/>
      <c r="GVI73" s="2805"/>
      <c r="GVJ73" s="2805"/>
      <c r="GVK73" s="2805"/>
      <c r="GVL73" s="2805"/>
      <c r="GVM73" s="2805"/>
      <c r="GVN73" s="2805"/>
      <c r="GVO73" s="2805"/>
      <c r="GVP73" s="2805"/>
      <c r="GVQ73" s="2805"/>
      <c r="GVR73" s="2805"/>
      <c r="GVS73" s="2805"/>
      <c r="GVT73" s="2805"/>
      <c r="GVU73" s="2805"/>
      <c r="GVV73" s="2805"/>
      <c r="GVW73" s="2805"/>
      <c r="GVX73" s="2805"/>
      <c r="GVY73" s="2805"/>
      <c r="GVZ73" s="2805"/>
      <c r="GWA73" s="2805"/>
      <c r="GWB73" s="2805"/>
      <c r="GWC73" s="2805"/>
      <c r="GWD73" s="2805"/>
      <c r="GWE73" s="2805"/>
      <c r="GWF73" s="2805"/>
      <c r="GWG73" s="2805"/>
      <c r="GWH73" s="2805"/>
      <c r="GWI73" s="2805"/>
      <c r="GWJ73" s="2805"/>
      <c r="GWK73" s="2805"/>
      <c r="GWL73" s="2805"/>
      <c r="GWM73" s="2805"/>
      <c r="GWN73" s="2805"/>
      <c r="GWO73" s="2805"/>
      <c r="GWP73" s="2805"/>
      <c r="GWQ73" s="2805"/>
      <c r="GWR73" s="2805"/>
      <c r="GWS73" s="2805"/>
      <c r="GWT73" s="2805"/>
      <c r="GWU73" s="2805"/>
      <c r="GWV73" s="2805"/>
      <c r="GWW73" s="2805"/>
      <c r="GWX73" s="2805"/>
      <c r="GWY73" s="2805"/>
      <c r="GWZ73" s="2805"/>
      <c r="GXA73" s="2805"/>
      <c r="GXB73" s="2805"/>
      <c r="GXC73" s="2805"/>
      <c r="GXD73" s="2805"/>
      <c r="GXE73" s="2805"/>
      <c r="GXF73" s="2805"/>
      <c r="GXG73" s="2805"/>
      <c r="GXH73" s="2805"/>
      <c r="GXI73" s="2805"/>
      <c r="GXJ73" s="2805"/>
      <c r="GXK73" s="2805"/>
      <c r="GXL73" s="2805"/>
      <c r="GXM73" s="2805"/>
      <c r="GXN73" s="2805"/>
      <c r="GXO73" s="2805"/>
      <c r="GXP73" s="2805"/>
      <c r="GXQ73" s="2805"/>
      <c r="GXR73" s="2805"/>
      <c r="GXS73" s="2805"/>
      <c r="GXT73" s="2805"/>
      <c r="GXU73" s="2805"/>
      <c r="GXV73" s="2805"/>
      <c r="GXW73" s="2805"/>
      <c r="GXX73" s="2805"/>
      <c r="GXY73" s="2805"/>
      <c r="GXZ73" s="2805"/>
      <c r="GYA73" s="2805"/>
      <c r="GYB73" s="2805"/>
      <c r="GYC73" s="2805"/>
      <c r="GYD73" s="2805"/>
      <c r="GYE73" s="2805"/>
      <c r="GYF73" s="2805"/>
      <c r="GYG73" s="2805"/>
      <c r="GYH73" s="2805"/>
      <c r="GYI73" s="2805"/>
      <c r="GYJ73" s="2805"/>
      <c r="GYK73" s="2805"/>
      <c r="GYL73" s="2805"/>
      <c r="GYM73" s="2805"/>
      <c r="GYN73" s="2805"/>
      <c r="GYO73" s="2805"/>
      <c r="GYP73" s="2805"/>
      <c r="GYQ73" s="2805"/>
      <c r="GYR73" s="2805"/>
      <c r="GYS73" s="2805"/>
      <c r="GYT73" s="2805"/>
      <c r="GYU73" s="2805"/>
      <c r="GYV73" s="2805"/>
      <c r="GYW73" s="2805"/>
      <c r="GYX73" s="2805"/>
      <c r="GYY73" s="2805"/>
      <c r="GYZ73" s="2805"/>
      <c r="GZA73" s="2805"/>
      <c r="GZB73" s="2805"/>
      <c r="GZC73" s="2805"/>
      <c r="GZD73" s="2805"/>
      <c r="GZE73" s="2805"/>
      <c r="GZF73" s="2805"/>
      <c r="GZG73" s="2805"/>
      <c r="GZH73" s="2805"/>
      <c r="GZI73" s="2805"/>
      <c r="GZJ73" s="2805"/>
      <c r="GZK73" s="2805"/>
      <c r="GZL73" s="2805"/>
      <c r="GZM73" s="2805"/>
      <c r="GZN73" s="2805"/>
      <c r="GZO73" s="2805"/>
      <c r="GZP73" s="2805"/>
      <c r="GZQ73" s="2805"/>
      <c r="GZR73" s="2805"/>
      <c r="GZS73" s="2805"/>
      <c r="GZT73" s="2805"/>
      <c r="GZU73" s="2805"/>
      <c r="GZV73" s="2805"/>
      <c r="GZW73" s="2805"/>
      <c r="GZX73" s="2805"/>
      <c r="GZY73" s="2805"/>
      <c r="GZZ73" s="2805"/>
      <c r="HAA73" s="2805"/>
      <c r="HAB73" s="2805"/>
      <c r="HAC73" s="2805"/>
      <c r="HAD73" s="2805"/>
      <c r="HAE73" s="2805"/>
      <c r="HAF73" s="2805"/>
      <c r="HAG73" s="2805"/>
      <c r="HAH73" s="2805"/>
      <c r="HAI73" s="2805"/>
      <c r="HAJ73" s="2805"/>
      <c r="HAK73" s="2805"/>
      <c r="HAL73" s="2805"/>
      <c r="HAM73" s="2805"/>
      <c r="HAN73" s="2805"/>
      <c r="HAO73" s="2805"/>
      <c r="HAP73" s="2805"/>
      <c r="HAQ73" s="2805"/>
      <c r="HAR73" s="2805"/>
      <c r="HAS73" s="2805"/>
      <c r="HAT73" s="2805"/>
      <c r="HAU73" s="2805"/>
      <c r="HAV73" s="2805"/>
      <c r="HAW73" s="2805"/>
      <c r="HAX73" s="2805"/>
      <c r="HAY73" s="2805"/>
      <c r="HAZ73" s="2805"/>
      <c r="HBA73" s="2805"/>
      <c r="HBB73" s="2805"/>
      <c r="HBC73" s="2805"/>
      <c r="HBD73" s="2805"/>
      <c r="HBE73" s="2805"/>
      <c r="HBF73" s="2805"/>
      <c r="HBG73" s="2805"/>
      <c r="HBH73" s="2805"/>
      <c r="HBI73" s="2805"/>
      <c r="HBJ73" s="2805"/>
      <c r="HBK73" s="2805"/>
      <c r="HBL73" s="2805"/>
      <c r="HBM73" s="2805"/>
      <c r="HBN73" s="2805"/>
      <c r="HBO73" s="2805"/>
      <c r="HBP73" s="2805"/>
      <c r="HBQ73" s="2805"/>
      <c r="HBR73" s="2805"/>
      <c r="HBS73" s="2805"/>
      <c r="HBT73" s="2805"/>
      <c r="HBU73" s="2805"/>
      <c r="HBV73" s="2805"/>
      <c r="HBW73" s="2805"/>
      <c r="HBX73" s="2805"/>
      <c r="HBY73" s="2805"/>
      <c r="HBZ73" s="2805"/>
      <c r="HCA73" s="2805"/>
      <c r="HCB73" s="2805"/>
      <c r="HCC73" s="2805"/>
      <c r="HCD73" s="2805"/>
      <c r="HCE73" s="2805"/>
      <c r="HCF73" s="2805"/>
      <c r="HCG73" s="2805"/>
      <c r="HCH73" s="2805"/>
      <c r="HCI73" s="2805"/>
      <c r="HCJ73" s="2805"/>
      <c r="HCK73" s="2805"/>
      <c r="HCL73" s="2805"/>
      <c r="HCM73" s="2805"/>
      <c r="HCN73" s="2805"/>
      <c r="HCO73" s="2805"/>
      <c r="HCP73" s="2805"/>
      <c r="HCQ73" s="2805"/>
      <c r="HCR73" s="2805"/>
      <c r="HCS73" s="2805"/>
      <c r="HCT73" s="2805"/>
      <c r="HCU73" s="2805"/>
      <c r="HCV73" s="2805"/>
      <c r="HCW73" s="2805"/>
      <c r="HCX73" s="2805"/>
      <c r="HCY73" s="2805"/>
      <c r="HCZ73" s="2805"/>
      <c r="HDA73" s="2805"/>
      <c r="HDB73" s="2805"/>
      <c r="HDC73" s="2805"/>
      <c r="HDD73" s="2805"/>
      <c r="HDE73" s="2805"/>
      <c r="HDF73" s="2805"/>
      <c r="HDG73" s="2805"/>
      <c r="HDH73" s="2805"/>
      <c r="HDI73" s="2805"/>
      <c r="HDJ73" s="2805"/>
      <c r="HDK73" s="2805"/>
      <c r="HDL73" s="2805"/>
      <c r="HDM73" s="2805"/>
      <c r="HDN73" s="2805"/>
      <c r="HDO73" s="2805"/>
      <c r="HDP73" s="2805"/>
      <c r="HDQ73" s="2805"/>
      <c r="HDR73" s="2805"/>
      <c r="HDS73" s="2805"/>
      <c r="HDT73" s="2805"/>
      <c r="HDU73" s="2805"/>
      <c r="HDV73" s="2805"/>
      <c r="HDW73" s="2805"/>
      <c r="HDX73" s="2805"/>
      <c r="HDY73" s="2805"/>
      <c r="HDZ73" s="2805"/>
      <c r="HEA73" s="2805"/>
      <c r="HEB73" s="2805"/>
      <c r="HEC73" s="2805"/>
      <c r="HED73" s="2805"/>
      <c r="HEE73" s="2805"/>
      <c r="HEF73" s="2805"/>
      <c r="HEG73" s="2805"/>
      <c r="HEH73" s="2805"/>
      <c r="HEI73" s="2805"/>
      <c r="HEJ73" s="2805"/>
      <c r="HEK73" s="2805"/>
      <c r="HEL73" s="2805"/>
      <c r="HEM73" s="2805"/>
      <c r="HEN73" s="2805"/>
      <c r="HEO73" s="2805"/>
      <c r="HEP73" s="2805"/>
      <c r="HEQ73" s="2805"/>
      <c r="HER73" s="2805"/>
      <c r="HES73" s="2805"/>
      <c r="HET73" s="2805"/>
      <c r="HEU73" s="2805"/>
      <c r="HEV73" s="2805"/>
      <c r="HEW73" s="2805"/>
      <c r="HEX73" s="2805"/>
      <c r="HEY73" s="2805"/>
      <c r="HEZ73" s="2805"/>
      <c r="HFA73" s="2805"/>
      <c r="HFB73" s="2805"/>
      <c r="HFC73" s="2805"/>
      <c r="HFD73" s="2805"/>
      <c r="HFE73" s="2805"/>
      <c r="HFF73" s="2805"/>
      <c r="HFG73" s="2805"/>
      <c r="HFH73" s="2805"/>
      <c r="HFI73" s="2805"/>
      <c r="HFJ73" s="2805"/>
      <c r="HFK73" s="2805"/>
      <c r="HFL73" s="2805"/>
      <c r="HFM73" s="2805"/>
      <c r="HFN73" s="2805"/>
      <c r="HFO73" s="2805"/>
      <c r="HFP73" s="2805"/>
      <c r="HFQ73" s="2805"/>
      <c r="HFR73" s="2805"/>
      <c r="HFS73" s="2805"/>
      <c r="HFT73" s="2805"/>
      <c r="HFU73" s="2805"/>
      <c r="HFV73" s="2805"/>
      <c r="HFW73" s="2805"/>
      <c r="HFX73" s="2805"/>
      <c r="HFY73" s="2805"/>
      <c r="HFZ73" s="2805"/>
      <c r="HGA73" s="2805"/>
      <c r="HGB73" s="2805"/>
      <c r="HGC73" s="2805"/>
      <c r="HGD73" s="2805"/>
      <c r="HGE73" s="2805"/>
      <c r="HGF73" s="2805"/>
      <c r="HGG73" s="2805"/>
      <c r="HGH73" s="2805"/>
      <c r="HGI73" s="2805"/>
      <c r="HGJ73" s="2805"/>
      <c r="HGK73" s="2805"/>
      <c r="HGL73" s="2805"/>
      <c r="HGM73" s="2805"/>
      <c r="HGN73" s="2805"/>
      <c r="HGO73" s="2805"/>
      <c r="HGP73" s="2805"/>
      <c r="HGQ73" s="2805"/>
      <c r="HGR73" s="2805"/>
      <c r="HGS73" s="2805"/>
      <c r="HGT73" s="2805"/>
      <c r="HGU73" s="2805"/>
      <c r="HGV73" s="2805"/>
      <c r="HGW73" s="2805"/>
      <c r="HGX73" s="2805"/>
      <c r="HGY73" s="2805"/>
      <c r="HGZ73" s="2805"/>
      <c r="HHA73" s="2805"/>
      <c r="HHB73" s="2805"/>
      <c r="HHC73" s="2805"/>
      <c r="HHD73" s="2805"/>
      <c r="HHE73" s="2805"/>
      <c r="HHF73" s="2805"/>
      <c r="HHG73" s="2805"/>
      <c r="HHH73" s="2805"/>
      <c r="HHI73" s="2805"/>
      <c r="HHJ73" s="2805"/>
      <c r="HHK73" s="2805"/>
      <c r="HHL73" s="2805"/>
      <c r="HHM73" s="2805"/>
      <c r="HHN73" s="2805"/>
      <c r="HHO73" s="2805"/>
      <c r="HHP73" s="2805"/>
      <c r="HHQ73" s="2805"/>
      <c r="HHR73" s="2805"/>
      <c r="HHS73" s="2805"/>
      <c r="HHT73" s="2805"/>
      <c r="HHU73" s="2805"/>
      <c r="HHV73" s="2805"/>
      <c r="HHW73" s="2805"/>
      <c r="HHX73" s="2805"/>
      <c r="HHY73" s="2805"/>
      <c r="HHZ73" s="2805"/>
      <c r="HIA73" s="2805"/>
      <c r="HIB73" s="2805"/>
      <c r="HIC73" s="2805"/>
      <c r="HID73" s="2805"/>
      <c r="HIE73" s="2805"/>
      <c r="HIF73" s="2805"/>
      <c r="HIG73" s="2805"/>
      <c r="HIH73" s="2805"/>
      <c r="HII73" s="2805"/>
      <c r="HIJ73" s="2805"/>
      <c r="HIK73" s="2805"/>
      <c r="HIL73" s="2805"/>
      <c r="HIM73" s="2805"/>
      <c r="HIN73" s="2805"/>
      <c r="HIO73" s="2805"/>
      <c r="HIP73" s="2805"/>
      <c r="HIQ73" s="2805"/>
      <c r="HIR73" s="2805"/>
      <c r="HIS73" s="2805"/>
      <c r="HIT73" s="2805"/>
      <c r="HIU73" s="2805"/>
      <c r="HIV73" s="2805"/>
      <c r="HIW73" s="2805"/>
      <c r="HIX73" s="2805"/>
      <c r="HIY73" s="2805"/>
      <c r="HIZ73" s="2805"/>
      <c r="HJA73" s="2805"/>
      <c r="HJB73" s="2805"/>
      <c r="HJC73" s="2805"/>
      <c r="HJD73" s="2805"/>
      <c r="HJE73" s="2805"/>
      <c r="HJF73" s="2805"/>
      <c r="HJG73" s="2805"/>
      <c r="HJH73" s="2805"/>
      <c r="HJI73" s="2805"/>
      <c r="HJJ73" s="2805"/>
      <c r="HJK73" s="2805"/>
      <c r="HJL73" s="2805"/>
      <c r="HJM73" s="2805"/>
      <c r="HJN73" s="2805"/>
      <c r="HJO73" s="2805"/>
      <c r="HJP73" s="2805"/>
      <c r="HJQ73" s="2805"/>
      <c r="HJR73" s="2805"/>
      <c r="HJS73" s="2805"/>
      <c r="HJT73" s="2805"/>
      <c r="HJU73" s="2805"/>
      <c r="HJV73" s="2805"/>
      <c r="HJW73" s="2805"/>
      <c r="HJX73" s="2805"/>
      <c r="HJY73" s="2805"/>
      <c r="HJZ73" s="2805"/>
      <c r="HKA73" s="2805"/>
      <c r="HKB73" s="2805"/>
      <c r="HKC73" s="2805"/>
      <c r="HKD73" s="2805"/>
      <c r="HKE73" s="2805"/>
      <c r="HKF73" s="2805"/>
      <c r="HKG73" s="2805"/>
      <c r="HKH73" s="2805"/>
      <c r="HKI73" s="2805"/>
      <c r="HKJ73" s="2805"/>
      <c r="HKK73" s="2805"/>
      <c r="HKL73" s="2805"/>
      <c r="HKM73" s="2805"/>
      <c r="HKN73" s="2805"/>
      <c r="HKO73" s="2805"/>
      <c r="HKP73" s="2805"/>
      <c r="HKQ73" s="2805"/>
      <c r="HKR73" s="2805"/>
      <c r="HKS73" s="2805"/>
      <c r="HKT73" s="2805"/>
      <c r="HKU73" s="2805"/>
      <c r="HKV73" s="2805"/>
      <c r="HKW73" s="2805"/>
      <c r="HKX73" s="2805"/>
      <c r="HKY73" s="2805"/>
      <c r="HKZ73" s="2805"/>
      <c r="HLA73" s="2805"/>
      <c r="HLB73" s="2805"/>
      <c r="HLC73" s="2805"/>
      <c r="HLD73" s="2805"/>
      <c r="HLE73" s="2805"/>
      <c r="HLF73" s="2805"/>
      <c r="HLG73" s="2805"/>
      <c r="HLH73" s="2805"/>
      <c r="HLI73" s="2805"/>
      <c r="HLJ73" s="2805"/>
      <c r="HLK73" s="2805"/>
      <c r="HLL73" s="2805"/>
      <c r="HLM73" s="2805"/>
      <c r="HLN73" s="2805"/>
      <c r="HLO73" s="2805"/>
      <c r="HLP73" s="2805"/>
      <c r="HLQ73" s="2805"/>
      <c r="HLR73" s="2805"/>
      <c r="HLS73" s="2805"/>
      <c r="HLT73" s="2805"/>
      <c r="HLU73" s="2805"/>
      <c r="HLV73" s="2805"/>
      <c r="HLW73" s="2805"/>
      <c r="HLX73" s="2805"/>
      <c r="HLY73" s="2805"/>
      <c r="HLZ73" s="2805"/>
      <c r="HMA73" s="2805"/>
      <c r="HMB73" s="2805"/>
      <c r="HMC73" s="2805"/>
      <c r="HMD73" s="2805"/>
      <c r="HME73" s="2805"/>
      <c r="HMF73" s="2805"/>
      <c r="HMG73" s="2805"/>
      <c r="HMH73" s="2805"/>
      <c r="HMI73" s="2805"/>
      <c r="HMJ73" s="2805"/>
      <c r="HMK73" s="2805"/>
      <c r="HML73" s="2805"/>
      <c r="HMM73" s="2805"/>
      <c r="HMN73" s="2805"/>
      <c r="HMO73" s="2805"/>
      <c r="HMP73" s="2805"/>
      <c r="HMQ73" s="2805"/>
      <c r="HMR73" s="2805"/>
      <c r="HMS73" s="2805"/>
      <c r="HMT73" s="2805"/>
      <c r="HMU73" s="2805"/>
      <c r="HMV73" s="2805"/>
      <c r="HMW73" s="2805"/>
      <c r="HMX73" s="2805"/>
      <c r="HMY73" s="2805"/>
      <c r="HMZ73" s="2805"/>
      <c r="HNA73" s="2805"/>
      <c r="HNB73" s="2805"/>
      <c r="HNC73" s="2805"/>
      <c r="HND73" s="2805"/>
      <c r="HNE73" s="2805"/>
      <c r="HNF73" s="2805"/>
      <c r="HNG73" s="2805"/>
      <c r="HNH73" s="2805"/>
      <c r="HNI73" s="2805"/>
      <c r="HNJ73" s="2805"/>
      <c r="HNK73" s="2805"/>
      <c r="HNL73" s="2805"/>
      <c r="HNM73" s="2805"/>
      <c r="HNN73" s="2805"/>
      <c r="HNO73" s="2805"/>
      <c r="HNP73" s="2805"/>
      <c r="HNQ73" s="2805"/>
      <c r="HNR73" s="2805"/>
      <c r="HNS73" s="2805"/>
      <c r="HNT73" s="2805"/>
      <c r="HNU73" s="2805"/>
      <c r="HNV73" s="2805"/>
      <c r="HNW73" s="2805"/>
      <c r="HNX73" s="2805"/>
      <c r="HNY73" s="2805"/>
      <c r="HNZ73" s="2805"/>
      <c r="HOA73" s="2805"/>
      <c r="HOB73" s="2805"/>
      <c r="HOC73" s="2805"/>
      <c r="HOD73" s="2805"/>
      <c r="HOE73" s="2805"/>
      <c r="HOF73" s="2805"/>
      <c r="HOG73" s="2805"/>
      <c r="HOH73" s="2805"/>
      <c r="HOI73" s="2805"/>
      <c r="HOJ73" s="2805"/>
      <c r="HOK73" s="2805"/>
      <c r="HOL73" s="2805"/>
      <c r="HOM73" s="2805"/>
      <c r="HON73" s="2805"/>
      <c r="HOO73" s="2805"/>
      <c r="HOP73" s="2805"/>
      <c r="HOQ73" s="2805"/>
      <c r="HOR73" s="2805"/>
      <c r="HOS73" s="2805"/>
      <c r="HOT73" s="2805"/>
      <c r="HOU73" s="2805"/>
      <c r="HOV73" s="2805"/>
      <c r="HOW73" s="2805"/>
      <c r="HOX73" s="2805"/>
      <c r="HOY73" s="2805"/>
      <c r="HOZ73" s="2805"/>
      <c r="HPA73" s="2805"/>
      <c r="HPB73" s="2805"/>
      <c r="HPC73" s="2805"/>
      <c r="HPD73" s="2805"/>
      <c r="HPE73" s="2805"/>
      <c r="HPF73" s="2805"/>
      <c r="HPG73" s="2805"/>
      <c r="HPH73" s="2805"/>
      <c r="HPI73" s="2805"/>
      <c r="HPJ73" s="2805"/>
      <c r="HPK73" s="2805"/>
      <c r="HPL73" s="2805"/>
      <c r="HPM73" s="2805"/>
      <c r="HPN73" s="2805"/>
      <c r="HPO73" s="2805"/>
      <c r="HPP73" s="2805"/>
      <c r="HPQ73" s="2805"/>
      <c r="HPR73" s="2805"/>
      <c r="HPS73" s="2805"/>
      <c r="HPT73" s="2805"/>
      <c r="HPU73" s="2805"/>
      <c r="HPV73" s="2805"/>
      <c r="HPW73" s="2805"/>
      <c r="HPX73" s="2805"/>
      <c r="HPY73" s="2805"/>
      <c r="HPZ73" s="2805"/>
      <c r="HQA73" s="2805"/>
      <c r="HQB73" s="2805"/>
      <c r="HQC73" s="2805"/>
      <c r="HQD73" s="2805"/>
      <c r="HQE73" s="2805"/>
      <c r="HQF73" s="2805"/>
      <c r="HQG73" s="2805"/>
      <c r="HQH73" s="2805"/>
      <c r="HQI73" s="2805"/>
      <c r="HQJ73" s="2805"/>
      <c r="HQK73" s="2805"/>
      <c r="HQL73" s="2805"/>
      <c r="HQM73" s="2805"/>
      <c r="HQN73" s="2805"/>
      <c r="HQO73" s="2805"/>
      <c r="HQP73" s="2805"/>
      <c r="HQQ73" s="2805"/>
      <c r="HQR73" s="2805"/>
      <c r="HQS73" s="2805"/>
      <c r="HQT73" s="2805"/>
      <c r="HQU73" s="2805"/>
      <c r="HQV73" s="2805"/>
      <c r="HQW73" s="2805"/>
      <c r="HQX73" s="2805"/>
      <c r="HQY73" s="2805"/>
      <c r="HQZ73" s="2805"/>
      <c r="HRA73" s="2805"/>
      <c r="HRB73" s="2805"/>
      <c r="HRC73" s="2805"/>
      <c r="HRD73" s="2805"/>
      <c r="HRE73" s="2805"/>
      <c r="HRF73" s="2805"/>
      <c r="HRG73" s="2805"/>
      <c r="HRH73" s="2805"/>
      <c r="HRI73" s="2805"/>
      <c r="HRJ73" s="2805"/>
      <c r="HRK73" s="2805"/>
      <c r="HRL73" s="2805"/>
      <c r="HRM73" s="2805"/>
      <c r="HRN73" s="2805"/>
      <c r="HRO73" s="2805"/>
      <c r="HRP73" s="2805"/>
      <c r="HRQ73" s="2805"/>
      <c r="HRR73" s="2805"/>
      <c r="HRS73" s="2805"/>
      <c r="HRT73" s="2805"/>
      <c r="HRU73" s="2805"/>
      <c r="HRV73" s="2805"/>
      <c r="HRW73" s="2805"/>
      <c r="HRX73" s="2805"/>
      <c r="HRY73" s="2805"/>
      <c r="HRZ73" s="2805"/>
      <c r="HSA73" s="2805"/>
      <c r="HSB73" s="2805"/>
      <c r="HSC73" s="2805"/>
      <c r="HSD73" s="2805"/>
      <c r="HSE73" s="2805"/>
      <c r="HSF73" s="2805"/>
      <c r="HSG73" s="2805"/>
      <c r="HSH73" s="2805"/>
      <c r="HSI73" s="2805"/>
      <c r="HSJ73" s="2805"/>
      <c r="HSK73" s="2805"/>
      <c r="HSL73" s="2805"/>
      <c r="HSM73" s="2805"/>
      <c r="HSN73" s="2805"/>
      <c r="HSO73" s="2805"/>
      <c r="HSP73" s="2805"/>
      <c r="HSQ73" s="2805"/>
      <c r="HSR73" s="2805"/>
      <c r="HSS73" s="2805"/>
      <c r="HST73" s="2805"/>
      <c r="HSU73" s="2805"/>
      <c r="HSV73" s="2805"/>
      <c r="HSW73" s="2805"/>
      <c r="HSX73" s="2805"/>
      <c r="HSY73" s="2805"/>
      <c r="HSZ73" s="2805"/>
      <c r="HTA73" s="2805"/>
      <c r="HTB73" s="2805"/>
      <c r="HTC73" s="2805"/>
      <c r="HTD73" s="2805"/>
      <c r="HTE73" s="2805"/>
      <c r="HTF73" s="2805"/>
      <c r="HTG73" s="2805"/>
      <c r="HTH73" s="2805"/>
      <c r="HTI73" s="2805"/>
      <c r="HTJ73" s="2805"/>
      <c r="HTK73" s="2805"/>
      <c r="HTL73" s="2805"/>
      <c r="HTM73" s="2805"/>
      <c r="HTN73" s="2805"/>
      <c r="HTO73" s="2805"/>
      <c r="HTP73" s="2805"/>
      <c r="HTQ73" s="2805"/>
      <c r="HTR73" s="2805"/>
      <c r="HTS73" s="2805"/>
      <c r="HTT73" s="2805"/>
      <c r="HTU73" s="2805"/>
      <c r="HTV73" s="2805"/>
      <c r="HTW73" s="2805"/>
      <c r="HTX73" s="2805"/>
      <c r="HTY73" s="2805"/>
      <c r="HTZ73" s="2805"/>
      <c r="HUA73" s="2805"/>
      <c r="HUB73" s="2805"/>
      <c r="HUC73" s="2805"/>
      <c r="HUD73" s="2805"/>
      <c r="HUE73" s="2805"/>
      <c r="HUF73" s="2805"/>
      <c r="HUG73" s="2805"/>
      <c r="HUH73" s="2805"/>
      <c r="HUI73" s="2805"/>
      <c r="HUJ73" s="2805"/>
      <c r="HUK73" s="2805"/>
      <c r="HUL73" s="2805"/>
      <c r="HUM73" s="2805"/>
      <c r="HUN73" s="2805"/>
      <c r="HUO73" s="2805"/>
      <c r="HUP73" s="2805"/>
      <c r="HUQ73" s="2805"/>
      <c r="HUR73" s="2805"/>
      <c r="HUS73" s="2805"/>
      <c r="HUT73" s="2805"/>
      <c r="HUU73" s="2805"/>
      <c r="HUV73" s="2805"/>
      <c r="HUW73" s="2805"/>
      <c r="HUX73" s="2805"/>
      <c r="HUY73" s="2805"/>
      <c r="HUZ73" s="2805"/>
      <c r="HVA73" s="2805"/>
      <c r="HVB73" s="2805"/>
      <c r="HVC73" s="2805"/>
      <c r="HVD73" s="2805"/>
      <c r="HVE73" s="2805"/>
      <c r="HVF73" s="2805"/>
      <c r="HVG73" s="2805"/>
      <c r="HVH73" s="2805"/>
      <c r="HVI73" s="2805"/>
      <c r="HVJ73" s="2805"/>
      <c r="HVK73" s="2805"/>
      <c r="HVL73" s="2805"/>
      <c r="HVM73" s="2805"/>
      <c r="HVN73" s="2805"/>
      <c r="HVO73" s="2805"/>
      <c r="HVP73" s="2805"/>
      <c r="HVQ73" s="2805"/>
      <c r="HVR73" s="2805"/>
      <c r="HVS73" s="2805"/>
      <c r="HVT73" s="2805"/>
      <c r="HVU73" s="2805"/>
      <c r="HVV73" s="2805"/>
      <c r="HVW73" s="2805"/>
      <c r="HVX73" s="2805"/>
      <c r="HVY73" s="2805"/>
      <c r="HVZ73" s="2805"/>
      <c r="HWA73" s="2805"/>
      <c r="HWB73" s="2805"/>
      <c r="HWC73" s="2805"/>
      <c r="HWD73" s="2805"/>
      <c r="HWE73" s="2805"/>
      <c r="HWF73" s="2805"/>
      <c r="HWG73" s="2805"/>
      <c r="HWH73" s="2805"/>
      <c r="HWI73" s="2805"/>
      <c r="HWJ73" s="2805"/>
      <c r="HWK73" s="2805"/>
      <c r="HWL73" s="2805"/>
      <c r="HWM73" s="2805"/>
      <c r="HWN73" s="2805"/>
      <c r="HWO73" s="2805"/>
      <c r="HWP73" s="2805"/>
      <c r="HWQ73" s="2805"/>
      <c r="HWR73" s="2805"/>
      <c r="HWS73" s="2805"/>
      <c r="HWT73" s="2805"/>
      <c r="HWU73" s="2805"/>
      <c r="HWV73" s="2805"/>
      <c r="HWW73" s="2805"/>
      <c r="HWX73" s="2805"/>
      <c r="HWY73" s="2805"/>
      <c r="HWZ73" s="2805"/>
      <c r="HXA73" s="2805"/>
      <c r="HXB73" s="2805"/>
      <c r="HXC73" s="2805"/>
      <c r="HXD73" s="2805"/>
      <c r="HXE73" s="2805"/>
      <c r="HXF73" s="2805"/>
      <c r="HXG73" s="2805"/>
      <c r="HXH73" s="2805"/>
      <c r="HXI73" s="2805"/>
      <c r="HXJ73" s="2805"/>
      <c r="HXK73" s="2805"/>
      <c r="HXL73" s="2805"/>
      <c r="HXM73" s="2805"/>
      <c r="HXN73" s="2805"/>
      <c r="HXO73" s="2805"/>
      <c r="HXP73" s="2805"/>
      <c r="HXQ73" s="2805"/>
      <c r="HXR73" s="2805"/>
      <c r="HXS73" s="2805"/>
      <c r="HXT73" s="2805"/>
      <c r="HXU73" s="2805"/>
      <c r="HXV73" s="2805"/>
      <c r="HXW73" s="2805"/>
      <c r="HXX73" s="2805"/>
      <c r="HXY73" s="2805"/>
      <c r="HXZ73" s="2805"/>
      <c r="HYA73" s="2805"/>
      <c r="HYB73" s="2805"/>
      <c r="HYC73" s="2805"/>
      <c r="HYD73" s="2805"/>
      <c r="HYE73" s="2805"/>
      <c r="HYF73" s="2805"/>
      <c r="HYG73" s="2805"/>
      <c r="HYH73" s="2805"/>
      <c r="HYI73" s="2805"/>
      <c r="HYJ73" s="2805"/>
      <c r="HYK73" s="2805"/>
      <c r="HYL73" s="2805"/>
      <c r="HYM73" s="2805"/>
      <c r="HYN73" s="2805"/>
      <c r="HYO73" s="2805"/>
      <c r="HYP73" s="2805"/>
      <c r="HYQ73" s="2805"/>
      <c r="HYR73" s="2805"/>
      <c r="HYS73" s="2805"/>
      <c r="HYT73" s="2805"/>
      <c r="HYU73" s="2805"/>
      <c r="HYV73" s="2805"/>
      <c r="HYW73" s="2805"/>
      <c r="HYX73" s="2805"/>
      <c r="HYY73" s="2805"/>
      <c r="HYZ73" s="2805"/>
      <c r="HZA73" s="2805"/>
      <c r="HZB73" s="2805"/>
      <c r="HZC73" s="2805"/>
      <c r="HZD73" s="2805"/>
      <c r="HZE73" s="2805"/>
      <c r="HZF73" s="2805"/>
      <c r="HZG73" s="2805"/>
      <c r="HZH73" s="2805"/>
      <c r="HZI73" s="2805"/>
      <c r="HZJ73" s="2805"/>
      <c r="HZK73" s="2805"/>
      <c r="HZL73" s="2805"/>
      <c r="HZM73" s="2805"/>
      <c r="HZN73" s="2805"/>
      <c r="HZO73" s="2805"/>
      <c r="HZP73" s="2805"/>
      <c r="HZQ73" s="2805"/>
      <c r="HZR73" s="2805"/>
      <c r="HZS73" s="2805"/>
      <c r="HZT73" s="2805"/>
      <c r="HZU73" s="2805"/>
      <c r="HZV73" s="2805"/>
      <c r="HZW73" s="2805"/>
      <c r="HZX73" s="2805"/>
      <c r="HZY73" s="2805"/>
      <c r="HZZ73" s="2805"/>
      <c r="IAA73" s="2805"/>
      <c r="IAB73" s="2805"/>
      <c r="IAC73" s="2805"/>
      <c r="IAD73" s="2805"/>
      <c r="IAE73" s="2805"/>
      <c r="IAF73" s="2805"/>
      <c r="IAG73" s="2805"/>
      <c r="IAH73" s="2805"/>
      <c r="IAI73" s="2805"/>
      <c r="IAJ73" s="2805"/>
      <c r="IAK73" s="2805"/>
      <c r="IAL73" s="2805"/>
      <c r="IAM73" s="2805"/>
      <c r="IAN73" s="2805"/>
      <c r="IAO73" s="2805"/>
      <c r="IAP73" s="2805"/>
      <c r="IAQ73" s="2805"/>
      <c r="IAR73" s="2805"/>
      <c r="IAS73" s="2805"/>
      <c r="IAT73" s="2805"/>
      <c r="IAU73" s="2805"/>
      <c r="IAV73" s="2805"/>
      <c r="IAW73" s="2805"/>
      <c r="IAX73" s="2805"/>
      <c r="IAY73" s="2805"/>
      <c r="IAZ73" s="2805"/>
      <c r="IBA73" s="2805"/>
      <c r="IBB73" s="2805"/>
      <c r="IBC73" s="2805"/>
      <c r="IBD73" s="2805"/>
      <c r="IBE73" s="2805"/>
      <c r="IBF73" s="2805"/>
      <c r="IBG73" s="2805"/>
      <c r="IBH73" s="2805"/>
      <c r="IBI73" s="2805"/>
      <c r="IBJ73" s="2805"/>
      <c r="IBK73" s="2805"/>
      <c r="IBL73" s="2805"/>
      <c r="IBM73" s="2805"/>
      <c r="IBN73" s="2805"/>
      <c r="IBO73" s="2805"/>
      <c r="IBP73" s="2805"/>
      <c r="IBQ73" s="2805"/>
      <c r="IBR73" s="2805"/>
      <c r="IBS73" s="2805"/>
      <c r="IBT73" s="2805"/>
      <c r="IBU73" s="2805"/>
      <c r="IBV73" s="2805"/>
      <c r="IBW73" s="2805"/>
      <c r="IBX73" s="2805"/>
      <c r="IBY73" s="2805"/>
      <c r="IBZ73" s="2805"/>
      <c r="ICA73" s="2805"/>
      <c r="ICB73" s="2805"/>
      <c r="ICC73" s="2805"/>
      <c r="ICD73" s="2805"/>
      <c r="ICE73" s="2805"/>
      <c r="ICF73" s="2805"/>
      <c r="ICG73" s="2805"/>
      <c r="ICH73" s="2805"/>
      <c r="ICI73" s="2805"/>
      <c r="ICJ73" s="2805"/>
      <c r="ICK73" s="2805"/>
      <c r="ICL73" s="2805"/>
      <c r="ICM73" s="2805"/>
      <c r="ICN73" s="2805"/>
      <c r="ICO73" s="2805"/>
      <c r="ICP73" s="2805"/>
      <c r="ICQ73" s="2805"/>
      <c r="ICR73" s="2805"/>
      <c r="ICS73" s="2805"/>
      <c r="ICT73" s="2805"/>
      <c r="ICU73" s="2805"/>
      <c r="ICV73" s="2805"/>
      <c r="ICW73" s="2805"/>
      <c r="ICX73" s="2805"/>
      <c r="ICY73" s="2805"/>
      <c r="ICZ73" s="2805"/>
      <c r="IDA73" s="2805"/>
      <c r="IDB73" s="2805"/>
      <c r="IDC73" s="2805"/>
      <c r="IDD73" s="2805"/>
      <c r="IDE73" s="2805"/>
      <c r="IDF73" s="2805"/>
      <c r="IDG73" s="2805"/>
      <c r="IDH73" s="2805"/>
      <c r="IDI73" s="2805"/>
      <c r="IDJ73" s="2805"/>
      <c r="IDK73" s="2805"/>
      <c r="IDL73" s="2805"/>
      <c r="IDM73" s="2805"/>
      <c r="IDN73" s="2805"/>
      <c r="IDO73" s="2805"/>
      <c r="IDP73" s="2805"/>
      <c r="IDQ73" s="2805"/>
      <c r="IDR73" s="2805"/>
      <c r="IDS73" s="2805"/>
      <c r="IDT73" s="2805"/>
      <c r="IDU73" s="2805"/>
      <c r="IDV73" s="2805"/>
      <c r="IDW73" s="2805"/>
      <c r="IDX73" s="2805"/>
      <c r="IDY73" s="2805"/>
      <c r="IDZ73" s="2805"/>
      <c r="IEA73" s="2805"/>
      <c r="IEB73" s="2805"/>
      <c r="IEC73" s="2805"/>
      <c r="IED73" s="2805"/>
      <c r="IEE73" s="2805"/>
      <c r="IEF73" s="2805"/>
      <c r="IEG73" s="2805"/>
      <c r="IEH73" s="2805"/>
      <c r="IEI73" s="2805"/>
      <c r="IEJ73" s="2805"/>
      <c r="IEK73" s="2805"/>
      <c r="IEL73" s="2805"/>
      <c r="IEM73" s="2805"/>
      <c r="IEN73" s="2805"/>
      <c r="IEO73" s="2805"/>
      <c r="IEP73" s="2805"/>
      <c r="IEQ73" s="2805"/>
      <c r="IER73" s="2805"/>
      <c r="IES73" s="2805"/>
      <c r="IET73" s="2805"/>
      <c r="IEU73" s="2805"/>
      <c r="IEV73" s="2805"/>
      <c r="IEW73" s="2805"/>
      <c r="IEX73" s="2805"/>
      <c r="IEY73" s="2805"/>
      <c r="IEZ73" s="2805"/>
      <c r="IFA73" s="2805"/>
      <c r="IFB73" s="2805"/>
      <c r="IFC73" s="2805"/>
      <c r="IFD73" s="2805"/>
      <c r="IFE73" s="2805"/>
      <c r="IFF73" s="2805"/>
      <c r="IFG73" s="2805"/>
      <c r="IFH73" s="2805"/>
      <c r="IFI73" s="2805"/>
      <c r="IFJ73" s="2805"/>
      <c r="IFK73" s="2805"/>
      <c r="IFL73" s="2805"/>
      <c r="IFM73" s="2805"/>
      <c r="IFN73" s="2805"/>
      <c r="IFO73" s="2805"/>
      <c r="IFP73" s="2805"/>
      <c r="IFQ73" s="2805"/>
      <c r="IFR73" s="2805"/>
      <c r="IFS73" s="2805"/>
      <c r="IFT73" s="2805"/>
      <c r="IFU73" s="2805"/>
      <c r="IFV73" s="2805"/>
      <c r="IFW73" s="2805"/>
      <c r="IFX73" s="2805"/>
      <c r="IFY73" s="2805"/>
      <c r="IFZ73" s="2805"/>
      <c r="IGA73" s="2805"/>
      <c r="IGB73" s="2805"/>
      <c r="IGC73" s="2805"/>
      <c r="IGD73" s="2805"/>
      <c r="IGE73" s="2805"/>
      <c r="IGF73" s="2805"/>
      <c r="IGG73" s="2805"/>
      <c r="IGH73" s="2805"/>
      <c r="IGI73" s="2805"/>
      <c r="IGJ73" s="2805"/>
      <c r="IGK73" s="2805"/>
      <c r="IGL73" s="2805"/>
      <c r="IGM73" s="2805"/>
      <c r="IGN73" s="2805"/>
      <c r="IGO73" s="2805"/>
      <c r="IGP73" s="2805"/>
      <c r="IGQ73" s="2805"/>
      <c r="IGR73" s="2805"/>
      <c r="IGS73" s="2805"/>
      <c r="IGT73" s="2805"/>
      <c r="IGU73" s="2805"/>
      <c r="IGV73" s="2805"/>
      <c r="IGW73" s="2805"/>
      <c r="IGX73" s="2805"/>
      <c r="IGY73" s="2805"/>
      <c r="IGZ73" s="2805"/>
      <c r="IHA73" s="2805"/>
      <c r="IHB73" s="2805"/>
      <c r="IHC73" s="2805"/>
      <c r="IHD73" s="2805"/>
      <c r="IHE73" s="2805"/>
      <c r="IHF73" s="2805"/>
      <c r="IHG73" s="2805"/>
      <c r="IHH73" s="2805"/>
      <c r="IHI73" s="2805"/>
      <c r="IHJ73" s="2805"/>
      <c r="IHK73" s="2805"/>
      <c r="IHL73" s="2805"/>
      <c r="IHM73" s="2805"/>
      <c r="IHN73" s="2805"/>
      <c r="IHO73" s="2805"/>
      <c r="IHP73" s="2805"/>
      <c r="IHQ73" s="2805"/>
      <c r="IHR73" s="2805"/>
      <c r="IHS73" s="2805"/>
      <c r="IHT73" s="2805"/>
      <c r="IHU73" s="2805"/>
      <c r="IHV73" s="2805"/>
      <c r="IHW73" s="2805"/>
      <c r="IHX73" s="2805"/>
      <c r="IHY73" s="2805"/>
      <c r="IHZ73" s="2805"/>
      <c r="IIA73" s="2805"/>
      <c r="IIB73" s="2805"/>
      <c r="IIC73" s="2805"/>
      <c r="IID73" s="2805"/>
      <c r="IIE73" s="2805"/>
      <c r="IIF73" s="2805"/>
      <c r="IIG73" s="2805"/>
      <c r="IIH73" s="2805"/>
      <c r="III73" s="2805"/>
      <c r="IIJ73" s="2805"/>
      <c r="IIK73" s="2805"/>
      <c r="IIL73" s="2805"/>
      <c r="IIM73" s="2805"/>
      <c r="IIN73" s="2805"/>
      <c r="IIO73" s="2805"/>
      <c r="IIP73" s="2805"/>
      <c r="IIQ73" s="2805"/>
      <c r="IIR73" s="2805"/>
      <c r="IIS73" s="2805"/>
      <c r="IIT73" s="2805"/>
      <c r="IIU73" s="2805"/>
      <c r="IIV73" s="2805"/>
      <c r="IIW73" s="2805"/>
      <c r="IIX73" s="2805"/>
      <c r="IIY73" s="2805"/>
      <c r="IIZ73" s="2805"/>
      <c r="IJA73" s="2805"/>
      <c r="IJB73" s="2805"/>
      <c r="IJC73" s="2805"/>
      <c r="IJD73" s="2805"/>
      <c r="IJE73" s="2805"/>
      <c r="IJF73" s="2805"/>
      <c r="IJG73" s="2805"/>
      <c r="IJH73" s="2805"/>
      <c r="IJI73" s="2805"/>
      <c r="IJJ73" s="2805"/>
      <c r="IJK73" s="2805"/>
      <c r="IJL73" s="2805"/>
      <c r="IJM73" s="2805"/>
      <c r="IJN73" s="2805"/>
      <c r="IJO73" s="2805"/>
      <c r="IJP73" s="2805"/>
      <c r="IJQ73" s="2805"/>
      <c r="IJR73" s="2805"/>
      <c r="IJS73" s="2805"/>
      <c r="IJT73" s="2805"/>
      <c r="IJU73" s="2805"/>
      <c r="IJV73" s="2805"/>
      <c r="IJW73" s="2805"/>
      <c r="IJX73" s="2805"/>
      <c r="IJY73" s="2805"/>
      <c r="IJZ73" s="2805"/>
      <c r="IKA73" s="2805"/>
      <c r="IKB73" s="2805"/>
      <c r="IKC73" s="2805"/>
      <c r="IKD73" s="2805"/>
      <c r="IKE73" s="2805"/>
      <c r="IKF73" s="2805"/>
      <c r="IKG73" s="2805"/>
      <c r="IKH73" s="2805"/>
      <c r="IKI73" s="2805"/>
      <c r="IKJ73" s="2805"/>
      <c r="IKK73" s="2805"/>
      <c r="IKL73" s="2805"/>
      <c r="IKM73" s="2805"/>
      <c r="IKN73" s="2805"/>
      <c r="IKO73" s="2805"/>
      <c r="IKP73" s="2805"/>
      <c r="IKQ73" s="2805"/>
      <c r="IKR73" s="2805"/>
      <c r="IKS73" s="2805"/>
      <c r="IKT73" s="2805"/>
      <c r="IKU73" s="2805"/>
      <c r="IKV73" s="2805"/>
      <c r="IKW73" s="2805"/>
      <c r="IKX73" s="2805"/>
      <c r="IKY73" s="2805"/>
      <c r="IKZ73" s="2805"/>
      <c r="ILA73" s="2805"/>
      <c r="ILB73" s="2805"/>
      <c r="ILC73" s="2805"/>
      <c r="ILD73" s="2805"/>
      <c r="ILE73" s="2805"/>
      <c r="ILF73" s="2805"/>
      <c r="ILG73" s="2805"/>
      <c r="ILH73" s="2805"/>
      <c r="ILI73" s="2805"/>
      <c r="ILJ73" s="2805"/>
      <c r="ILK73" s="2805"/>
      <c r="ILL73" s="2805"/>
      <c r="ILM73" s="2805"/>
      <c r="ILN73" s="2805"/>
      <c r="ILO73" s="2805"/>
      <c r="ILP73" s="2805"/>
      <c r="ILQ73" s="2805"/>
      <c r="ILR73" s="2805"/>
      <c r="ILS73" s="2805"/>
      <c r="ILT73" s="2805"/>
      <c r="ILU73" s="2805"/>
      <c r="ILV73" s="2805"/>
      <c r="ILW73" s="2805"/>
      <c r="ILX73" s="2805"/>
      <c r="ILY73" s="2805"/>
      <c r="ILZ73" s="2805"/>
      <c r="IMA73" s="2805"/>
      <c r="IMB73" s="2805"/>
      <c r="IMC73" s="2805"/>
      <c r="IMD73" s="2805"/>
      <c r="IME73" s="2805"/>
      <c r="IMF73" s="2805"/>
      <c r="IMG73" s="2805"/>
      <c r="IMH73" s="2805"/>
      <c r="IMI73" s="2805"/>
      <c r="IMJ73" s="2805"/>
      <c r="IMK73" s="2805"/>
      <c r="IML73" s="2805"/>
      <c r="IMM73" s="2805"/>
      <c r="IMN73" s="2805"/>
      <c r="IMO73" s="2805"/>
      <c r="IMP73" s="2805"/>
      <c r="IMQ73" s="2805"/>
      <c r="IMR73" s="2805"/>
      <c r="IMS73" s="2805"/>
      <c r="IMT73" s="2805"/>
      <c r="IMU73" s="2805"/>
      <c r="IMV73" s="2805"/>
      <c r="IMW73" s="2805"/>
      <c r="IMX73" s="2805"/>
      <c r="IMY73" s="2805"/>
      <c r="IMZ73" s="2805"/>
      <c r="INA73" s="2805"/>
      <c r="INB73" s="2805"/>
      <c r="INC73" s="2805"/>
      <c r="IND73" s="2805"/>
      <c r="INE73" s="2805"/>
      <c r="INF73" s="2805"/>
      <c r="ING73" s="2805"/>
      <c r="INH73" s="2805"/>
      <c r="INI73" s="2805"/>
      <c r="INJ73" s="2805"/>
      <c r="INK73" s="2805"/>
      <c r="INL73" s="2805"/>
      <c r="INM73" s="2805"/>
      <c r="INN73" s="2805"/>
      <c r="INO73" s="2805"/>
      <c r="INP73" s="2805"/>
      <c r="INQ73" s="2805"/>
      <c r="INR73" s="2805"/>
      <c r="INS73" s="2805"/>
      <c r="INT73" s="2805"/>
      <c r="INU73" s="2805"/>
      <c r="INV73" s="2805"/>
      <c r="INW73" s="2805"/>
      <c r="INX73" s="2805"/>
      <c r="INY73" s="2805"/>
      <c r="INZ73" s="2805"/>
      <c r="IOA73" s="2805"/>
      <c r="IOB73" s="2805"/>
      <c r="IOC73" s="2805"/>
      <c r="IOD73" s="2805"/>
      <c r="IOE73" s="2805"/>
      <c r="IOF73" s="2805"/>
      <c r="IOG73" s="2805"/>
      <c r="IOH73" s="2805"/>
      <c r="IOI73" s="2805"/>
      <c r="IOJ73" s="2805"/>
      <c r="IOK73" s="2805"/>
      <c r="IOL73" s="2805"/>
      <c r="IOM73" s="2805"/>
      <c r="ION73" s="2805"/>
      <c r="IOO73" s="2805"/>
      <c r="IOP73" s="2805"/>
      <c r="IOQ73" s="2805"/>
      <c r="IOR73" s="2805"/>
      <c r="IOS73" s="2805"/>
      <c r="IOT73" s="2805"/>
      <c r="IOU73" s="2805"/>
      <c r="IOV73" s="2805"/>
      <c r="IOW73" s="2805"/>
      <c r="IOX73" s="2805"/>
      <c r="IOY73" s="2805"/>
      <c r="IOZ73" s="2805"/>
      <c r="IPA73" s="2805"/>
      <c r="IPB73" s="2805"/>
      <c r="IPC73" s="2805"/>
      <c r="IPD73" s="2805"/>
      <c r="IPE73" s="2805"/>
      <c r="IPF73" s="2805"/>
      <c r="IPG73" s="2805"/>
      <c r="IPH73" s="2805"/>
      <c r="IPI73" s="2805"/>
      <c r="IPJ73" s="2805"/>
      <c r="IPK73" s="2805"/>
      <c r="IPL73" s="2805"/>
      <c r="IPM73" s="2805"/>
      <c r="IPN73" s="2805"/>
      <c r="IPO73" s="2805"/>
      <c r="IPP73" s="2805"/>
      <c r="IPQ73" s="2805"/>
      <c r="IPR73" s="2805"/>
      <c r="IPS73" s="2805"/>
      <c r="IPT73" s="2805"/>
      <c r="IPU73" s="2805"/>
      <c r="IPV73" s="2805"/>
      <c r="IPW73" s="2805"/>
      <c r="IPX73" s="2805"/>
      <c r="IPY73" s="2805"/>
      <c r="IPZ73" s="2805"/>
      <c r="IQA73" s="2805"/>
      <c r="IQB73" s="2805"/>
      <c r="IQC73" s="2805"/>
      <c r="IQD73" s="2805"/>
      <c r="IQE73" s="2805"/>
      <c r="IQF73" s="2805"/>
      <c r="IQG73" s="2805"/>
      <c r="IQH73" s="2805"/>
      <c r="IQI73" s="2805"/>
      <c r="IQJ73" s="2805"/>
      <c r="IQK73" s="2805"/>
      <c r="IQL73" s="2805"/>
      <c r="IQM73" s="2805"/>
      <c r="IQN73" s="2805"/>
      <c r="IQO73" s="2805"/>
      <c r="IQP73" s="2805"/>
      <c r="IQQ73" s="2805"/>
      <c r="IQR73" s="2805"/>
      <c r="IQS73" s="2805"/>
      <c r="IQT73" s="2805"/>
      <c r="IQU73" s="2805"/>
      <c r="IQV73" s="2805"/>
      <c r="IQW73" s="2805"/>
      <c r="IQX73" s="2805"/>
      <c r="IQY73" s="2805"/>
      <c r="IQZ73" s="2805"/>
      <c r="IRA73" s="2805"/>
      <c r="IRB73" s="2805"/>
      <c r="IRC73" s="2805"/>
      <c r="IRD73" s="2805"/>
      <c r="IRE73" s="2805"/>
      <c r="IRF73" s="2805"/>
      <c r="IRG73" s="2805"/>
      <c r="IRH73" s="2805"/>
      <c r="IRI73" s="2805"/>
      <c r="IRJ73" s="2805"/>
      <c r="IRK73" s="2805"/>
      <c r="IRL73" s="2805"/>
      <c r="IRM73" s="2805"/>
      <c r="IRN73" s="2805"/>
      <c r="IRO73" s="2805"/>
      <c r="IRP73" s="2805"/>
      <c r="IRQ73" s="2805"/>
      <c r="IRR73" s="2805"/>
      <c r="IRS73" s="2805"/>
      <c r="IRT73" s="2805"/>
      <c r="IRU73" s="2805"/>
      <c r="IRV73" s="2805"/>
      <c r="IRW73" s="2805"/>
      <c r="IRX73" s="2805"/>
      <c r="IRY73" s="2805"/>
      <c r="IRZ73" s="2805"/>
      <c r="ISA73" s="2805"/>
      <c r="ISB73" s="2805"/>
      <c r="ISC73" s="2805"/>
      <c r="ISD73" s="2805"/>
      <c r="ISE73" s="2805"/>
      <c r="ISF73" s="2805"/>
      <c r="ISG73" s="2805"/>
      <c r="ISH73" s="2805"/>
      <c r="ISI73" s="2805"/>
      <c r="ISJ73" s="2805"/>
      <c r="ISK73" s="2805"/>
      <c r="ISL73" s="2805"/>
      <c r="ISM73" s="2805"/>
      <c r="ISN73" s="2805"/>
      <c r="ISO73" s="2805"/>
      <c r="ISP73" s="2805"/>
      <c r="ISQ73" s="2805"/>
      <c r="ISR73" s="2805"/>
      <c r="ISS73" s="2805"/>
      <c r="IST73" s="2805"/>
      <c r="ISU73" s="2805"/>
      <c r="ISV73" s="2805"/>
      <c r="ISW73" s="2805"/>
      <c r="ISX73" s="2805"/>
      <c r="ISY73" s="2805"/>
      <c r="ISZ73" s="2805"/>
      <c r="ITA73" s="2805"/>
      <c r="ITB73" s="2805"/>
      <c r="ITC73" s="2805"/>
      <c r="ITD73" s="2805"/>
      <c r="ITE73" s="2805"/>
      <c r="ITF73" s="2805"/>
      <c r="ITG73" s="2805"/>
      <c r="ITH73" s="2805"/>
      <c r="ITI73" s="2805"/>
      <c r="ITJ73" s="2805"/>
      <c r="ITK73" s="2805"/>
      <c r="ITL73" s="2805"/>
      <c r="ITM73" s="2805"/>
      <c r="ITN73" s="2805"/>
      <c r="ITO73" s="2805"/>
      <c r="ITP73" s="2805"/>
      <c r="ITQ73" s="2805"/>
      <c r="ITR73" s="2805"/>
      <c r="ITS73" s="2805"/>
      <c r="ITT73" s="2805"/>
      <c r="ITU73" s="2805"/>
      <c r="ITV73" s="2805"/>
      <c r="ITW73" s="2805"/>
      <c r="ITX73" s="2805"/>
      <c r="ITY73" s="2805"/>
      <c r="ITZ73" s="2805"/>
      <c r="IUA73" s="2805"/>
      <c r="IUB73" s="2805"/>
      <c r="IUC73" s="2805"/>
      <c r="IUD73" s="2805"/>
      <c r="IUE73" s="2805"/>
      <c r="IUF73" s="2805"/>
      <c r="IUG73" s="2805"/>
      <c r="IUH73" s="2805"/>
      <c r="IUI73" s="2805"/>
      <c r="IUJ73" s="2805"/>
      <c r="IUK73" s="2805"/>
      <c r="IUL73" s="2805"/>
      <c r="IUM73" s="2805"/>
      <c r="IUN73" s="2805"/>
      <c r="IUO73" s="2805"/>
      <c r="IUP73" s="2805"/>
      <c r="IUQ73" s="2805"/>
      <c r="IUR73" s="2805"/>
      <c r="IUS73" s="2805"/>
      <c r="IUT73" s="2805"/>
      <c r="IUU73" s="2805"/>
      <c r="IUV73" s="2805"/>
      <c r="IUW73" s="2805"/>
      <c r="IUX73" s="2805"/>
      <c r="IUY73" s="2805"/>
      <c r="IUZ73" s="2805"/>
      <c r="IVA73" s="2805"/>
      <c r="IVB73" s="2805"/>
      <c r="IVC73" s="2805"/>
      <c r="IVD73" s="2805"/>
      <c r="IVE73" s="2805"/>
      <c r="IVF73" s="2805"/>
      <c r="IVG73" s="2805"/>
      <c r="IVH73" s="2805"/>
      <c r="IVI73" s="2805"/>
      <c r="IVJ73" s="2805"/>
      <c r="IVK73" s="2805"/>
      <c r="IVL73" s="2805"/>
      <c r="IVM73" s="2805"/>
      <c r="IVN73" s="2805"/>
      <c r="IVO73" s="2805"/>
      <c r="IVP73" s="2805"/>
      <c r="IVQ73" s="2805"/>
      <c r="IVR73" s="2805"/>
      <c r="IVS73" s="2805"/>
      <c r="IVT73" s="2805"/>
      <c r="IVU73" s="2805"/>
      <c r="IVV73" s="2805"/>
      <c r="IVW73" s="2805"/>
      <c r="IVX73" s="2805"/>
      <c r="IVY73" s="2805"/>
      <c r="IVZ73" s="2805"/>
      <c r="IWA73" s="2805"/>
      <c r="IWB73" s="2805"/>
      <c r="IWC73" s="2805"/>
      <c r="IWD73" s="2805"/>
      <c r="IWE73" s="2805"/>
      <c r="IWF73" s="2805"/>
      <c r="IWG73" s="2805"/>
      <c r="IWH73" s="2805"/>
      <c r="IWI73" s="2805"/>
      <c r="IWJ73" s="2805"/>
      <c r="IWK73" s="2805"/>
      <c r="IWL73" s="2805"/>
      <c r="IWM73" s="2805"/>
      <c r="IWN73" s="2805"/>
      <c r="IWO73" s="2805"/>
      <c r="IWP73" s="2805"/>
      <c r="IWQ73" s="2805"/>
      <c r="IWR73" s="2805"/>
      <c r="IWS73" s="2805"/>
      <c r="IWT73" s="2805"/>
      <c r="IWU73" s="2805"/>
      <c r="IWV73" s="2805"/>
      <c r="IWW73" s="2805"/>
      <c r="IWX73" s="2805"/>
      <c r="IWY73" s="2805"/>
      <c r="IWZ73" s="2805"/>
      <c r="IXA73" s="2805"/>
      <c r="IXB73" s="2805"/>
      <c r="IXC73" s="2805"/>
      <c r="IXD73" s="2805"/>
      <c r="IXE73" s="2805"/>
      <c r="IXF73" s="2805"/>
      <c r="IXG73" s="2805"/>
      <c r="IXH73" s="2805"/>
      <c r="IXI73" s="2805"/>
      <c r="IXJ73" s="2805"/>
      <c r="IXK73" s="2805"/>
      <c r="IXL73" s="2805"/>
      <c r="IXM73" s="2805"/>
      <c r="IXN73" s="2805"/>
      <c r="IXO73" s="2805"/>
      <c r="IXP73" s="2805"/>
      <c r="IXQ73" s="2805"/>
      <c r="IXR73" s="2805"/>
      <c r="IXS73" s="2805"/>
      <c r="IXT73" s="2805"/>
      <c r="IXU73" s="2805"/>
      <c r="IXV73" s="2805"/>
      <c r="IXW73" s="2805"/>
      <c r="IXX73" s="2805"/>
      <c r="IXY73" s="2805"/>
      <c r="IXZ73" s="2805"/>
      <c r="IYA73" s="2805"/>
      <c r="IYB73" s="2805"/>
      <c r="IYC73" s="2805"/>
      <c r="IYD73" s="2805"/>
      <c r="IYE73" s="2805"/>
      <c r="IYF73" s="2805"/>
      <c r="IYG73" s="2805"/>
      <c r="IYH73" s="2805"/>
      <c r="IYI73" s="2805"/>
      <c r="IYJ73" s="2805"/>
      <c r="IYK73" s="2805"/>
      <c r="IYL73" s="2805"/>
      <c r="IYM73" s="2805"/>
      <c r="IYN73" s="2805"/>
      <c r="IYO73" s="2805"/>
      <c r="IYP73" s="2805"/>
      <c r="IYQ73" s="2805"/>
      <c r="IYR73" s="2805"/>
      <c r="IYS73" s="2805"/>
      <c r="IYT73" s="2805"/>
      <c r="IYU73" s="2805"/>
      <c r="IYV73" s="2805"/>
      <c r="IYW73" s="2805"/>
      <c r="IYX73" s="2805"/>
      <c r="IYY73" s="2805"/>
      <c r="IYZ73" s="2805"/>
      <c r="IZA73" s="2805"/>
      <c r="IZB73" s="2805"/>
      <c r="IZC73" s="2805"/>
      <c r="IZD73" s="2805"/>
      <c r="IZE73" s="2805"/>
      <c r="IZF73" s="2805"/>
      <c r="IZG73" s="2805"/>
      <c r="IZH73" s="2805"/>
      <c r="IZI73" s="2805"/>
      <c r="IZJ73" s="2805"/>
      <c r="IZK73" s="2805"/>
      <c r="IZL73" s="2805"/>
      <c r="IZM73" s="2805"/>
      <c r="IZN73" s="2805"/>
      <c r="IZO73" s="2805"/>
      <c r="IZP73" s="2805"/>
      <c r="IZQ73" s="2805"/>
      <c r="IZR73" s="2805"/>
      <c r="IZS73" s="2805"/>
      <c r="IZT73" s="2805"/>
      <c r="IZU73" s="2805"/>
      <c r="IZV73" s="2805"/>
      <c r="IZW73" s="2805"/>
      <c r="IZX73" s="2805"/>
      <c r="IZY73" s="2805"/>
      <c r="IZZ73" s="2805"/>
      <c r="JAA73" s="2805"/>
      <c r="JAB73" s="2805"/>
      <c r="JAC73" s="2805"/>
      <c r="JAD73" s="2805"/>
      <c r="JAE73" s="2805"/>
      <c r="JAF73" s="2805"/>
      <c r="JAG73" s="2805"/>
      <c r="JAH73" s="2805"/>
      <c r="JAI73" s="2805"/>
      <c r="JAJ73" s="2805"/>
      <c r="JAK73" s="2805"/>
      <c r="JAL73" s="2805"/>
      <c r="JAM73" s="2805"/>
      <c r="JAN73" s="2805"/>
      <c r="JAO73" s="2805"/>
      <c r="JAP73" s="2805"/>
      <c r="JAQ73" s="2805"/>
      <c r="JAR73" s="2805"/>
      <c r="JAS73" s="2805"/>
      <c r="JAT73" s="2805"/>
      <c r="JAU73" s="2805"/>
      <c r="JAV73" s="2805"/>
      <c r="JAW73" s="2805"/>
      <c r="JAX73" s="2805"/>
      <c r="JAY73" s="2805"/>
      <c r="JAZ73" s="2805"/>
      <c r="JBA73" s="2805"/>
      <c r="JBB73" s="2805"/>
      <c r="JBC73" s="2805"/>
      <c r="JBD73" s="2805"/>
      <c r="JBE73" s="2805"/>
      <c r="JBF73" s="2805"/>
      <c r="JBG73" s="2805"/>
      <c r="JBH73" s="2805"/>
      <c r="JBI73" s="2805"/>
      <c r="JBJ73" s="2805"/>
      <c r="JBK73" s="2805"/>
      <c r="JBL73" s="2805"/>
      <c r="JBM73" s="2805"/>
      <c r="JBN73" s="2805"/>
      <c r="JBO73" s="2805"/>
      <c r="JBP73" s="2805"/>
      <c r="JBQ73" s="2805"/>
      <c r="JBR73" s="2805"/>
      <c r="JBS73" s="2805"/>
      <c r="JBT73" s="2805"/>
      <c r="JBU73" s="2805"/>
      <c r="JBV73" s="2805"/>
      <c r="JBW73" s="2805"/>
      <c r="JBX73" s="2805"/>
      <c r="JBY73" s="2805"/>
      <c r="JBZ73" s="2805"/>
      <c r="JCA73" s="2805"/>
      <c r="JCB73" s="2805"/>
      <c r="JCC73" s="2805"/>
      <c r="JCD73" s="2805"/>
      <c r="JCE73" s="2805"/>
      <c r="JCF73" s="2805"/>
      <c r="JCG73" s="2805"/>
      <c r="JCH73" s="2805"/>
      <c r="JCI73" s="2805"/>
      <c r="JCJ73" s="2805"/>
      <c r="JCK73" s="2805"/>
      <c r="JCL73" s="2805"/>
      <c r="JCM73" s="2805"/>
      <c r="JCN73" s="2805"/>
      <c r="JCO73" s="2805"/>
      <c r="JCP73" s="2805"/>
      <c r="JCQ73" s="2805"/>
      <c r="JCR73" s="2805"/>
      <c r="JCS73" s="2805"/>
      <c r="JCT73" s="2805"/>
      <c r="JCU73" s="2805"/>
      <c r="JCV73" s="2805"/>
      <c r="JCW73" s="2805"/>
      <c r="JCX73" s="2805"/>
      <c r="JCY73" s="2805"/>
      <c r="JCZ73" s="2805"/>
      <c r="JDA73" s="2805"/>
      <c r="JDB73" s="2805"/>
      <c r="JDC73" s="2805"/>
      <c r="JDD73" s="2805"/>
      <c r="JDE73" s="2805"/>
      <c r="JDF73" s="2805"/>
      <c r="JDG73" s="2805"/>
      <c r="JDH73" s="2805"/>
      <c r="JDI73" s="2805"/>
      <c r="JDJ73" s="2805"/>
      <c r="JDK73" s="2805"/>
      <c r="JDL73" s="2805"/>
      <c r="JDM73" s="2805"/>
      <c r="JDN73" s="2805"/>
      <c r="JDO73" s="2805"/>
      <c r="JDP73" s="2805"/>
      <c r="JDQ73" s="2805"/>
      <c r="JDR73" s="2805"/>
      <c r="JDS73" s="2805"/>
      <c r="JDT73" s="2805"/>
      <c r="JDU73" s="2805"/>
      <c r="JDV73" s="2805"/>
      <c r="JDW73" s="2805"/>
      <c r="JDX73" s="2805"/>
      <c r="JDY73" s="2805"/>
      <c r="JDZ73" s="2805"/>
      <c r="JEA73" s="2805"/>
      <c r="JEB73" s="2805"/>
      <c r="JEC73" s="2805"/>
      <c r="JED73" s="2805"/>
      <c r="JEE73" s="2805"/>
      <c r="JEF73" s="2805"/>
      <c r="JEG73" s="2805"/>
      <c r="JEH73" s="2805"/>
      <c r="JEI73" s="2805"/>
      <c r="JEJ73" s="2805"/>
      <c r="JEK73" s="2805"/>
      <c r="JEL73" s="2805"/>
      <c r="JEM73" s="2805"/>
      <c r="JEN73" s="2805"/>
      <c r="JEO73" s="2805"/>
      <c r="JEP73" s="2805"/>
      <c r="JEQ73" s="2805"/>
      <c r="JER73" s="2805"/>
      <c r="JES73" s="2805"/>
      <c r="JET73" s="2805"/>
      <c r="JEU73" s="2805"/>
      <c r="JEV73" s="2805"/>
      <c r="JEW73" s="2805"/>
      <c r="JEX73" s="2805"/>
      <c r="JEY73" s="2805"/>
      <c r="JEZ73" s="2805"/>
      <c r="JFA73" s="2805"/>
      <c r="JFB73" s="2805"/>
      <c r="JFC73" s="2805"/>
      <c r="JFD73" s="2805"/>
      <c r="JFE73" s="2805"/>
      <c r="JFF73" s="2805"/>
      <c r="JFG73" s="2805"/>
      <c r="JFH73" s="2805"/>
      <c r="JFI73" s="2805"/>
      <c r="JFJ73" s="2805"/>
      <c r="JFK73" s="2805"/>
      <c r="JFL73" s="2805"/>
      <c r="JFM73" s="2805"/>
      <c r="JFN73" s="2805"/>
      <c r="JFO73" s="2805"/>
      <c r="JFP73" s="2805"/>
      <c r="JFQ73" s="2805"/>
      <c r="JFR73" s="2805"/>
      <c r="JFS73" s="2805"/>
      <c r="JFT73" s="2805"/>
      <c r="JFU73" s="2805"/>
      <c r="JFV73" s="2805"/>
      <c r="JFW73" s="2805"/>
      <c r="JFX73" s="2805"/>
      <c r="JFY73" s="2805"/>
      <c r="JFZ73" s="2805"/>
      <c r="JGA73" s="2805"/>
      <c r="JGB73" s="2805"/>
      <c r="JGC73" s="2805"/>
      <c r="JGD73" s="2805"/>
      <c r="JGE73" s="2805"/>
      <c r="JGF73" s="2805"/>
      <c r="JGG73" s="2805"/>
      <c r="JGH73" s="2805"/>
      <c r="JGI73" s="2805"/>
      <c r="JGJ73" s="2805"/>
      <c r="JGK73" s="2805"/>
      <c r="JGL73" s="2805"/>
      <c r="JGM73" s="2805"/>
      <c r="JGN73" s="2805"/>
      <c r="JGO73" s="2805"/>
      <c r="JGP73" s="2805"/>
      <c r="JGQ73" s="2805"/>
      <c r="JGR73" s="2805"/>
      <c r="JGS73" s="2805"/>
      <c r="JGT73" s="2805"/>
      <c r="JGU73" s="2805"/>
      <c r="JGV73" s="2805"/>
      <c r="JGW73" s="2805"/>
      <c r="JGX73" s="2805"/>
      <c r="JGY73" s="2805"/>
      <c r="JGZ73" s="2805"/>
      <c r="JHA73" s="2805"/>
      <c r="JHB73" s="2805"/>
      <c r="JHC73" s="2805"/>
      <c r="JHD73" s="2805"/>
      <c r="JHE73" s="2805"/>
      <c r="JHF73" s="2805"/>
      <c r="JHG73" s="2805"/>
      <c r="JHH73" s="2805"/>
      <c r="JHI73" s="2805"/>
      <c r="JHJ73" s="2805"/>
      <c r="JHK73" s="2805"/>
      <c r="JHL73" s="2805"/>
      <c r="JHM73" s="2805"/>
      <c r="JHN73" s="2805"/>
      <c r="JHO73" s="2805"/>
      <c r="JHP73" s="2805"/>
      <c r="JHQ73" s="2805"/>
      <c r="JHR73" s="2805"/>
      <c r="JHS73" s="2805"/>
      <c r="JHT73" s="2805"/>
      <c r="JHU73" s="2805"/>
      <c r="JHV73" s="2805"/>
      <c r="JHW73" s="2805"/>
      <c r="JHX73" s="2805"/>
      <c r="JHY73" s="2805"/>
      <c r="JHZ73" s="2805"/>
      <c r="JIA73" s="2805"/>
      <c r="JIB73" s="2805"/>
      <c r="JIC73" s="2805"/>
      <c r="JID73" s="2805"/>
      <c r="JIE73" s="2805"/>
      <c r="JIF73" s="2805"/>
      <c r="JIG73" s="2805"/>
      <c r="JIH73" s="2805"/>
      <c r="JII73" s="2805"/>
      <c r="JIJ73" s="2805"/>
      <c r="JIK73" s="2805"/>
      <c r="JIL73" s="2805"/>
      <c r="JIM73" s="2805"/>
      <c r="JIN73" s="2805"/>
      <c r="JIO73" s="2805"/>
      <c r="JIP73" s="2805"/>
      <c r="JIQ73" s="2805"/>
      <c r="JIR73" s="2805"/>
      <c r="JIS73" s="2805"/>
      <c r="JIT73" s="2805"/>
      <c r="JIU73" s="2805"/>
      <c r="JIV73" s="2805"/>
      <c r="JIW73" s="2805"/>
      <c r="JIX73" s="2805"/>
      <c r="JIY73" s="2805"/>
      <c r="JIZ73" s="2805"/>
      <c r="JJA73" s="2805"/>
      <c r="JJB73" s="2805"/>
      <c r="JJC73" s="2805"/>
      <c r="JJD73" s="2805"/>
      <c r="JJE73" s="2805"/>
      <c r="JJF73" s="2805"/>
      <c r="JJG73" s="2805"/>
      <c r="JJH73" s="2805"/>
      <c r="JJI73" s="2805"/>
      <c r="JJJ73" s="2805"/>
      <c r="JJK73" s="2805"/>
      <c r="JJL73" s="2805"/>
      <c r="JJM73" s="2805"/>
      <c r="JJN73" s="2805"/>
      <c r="JJO73" s="2805"/>
      <c r="JJP73" s="2805"/>
      <c r="JJQ73" s="2805"/>
      <c r="JJR73" s="2805"/>
      <c r="JJS73" s="2805"/>
      <c r="JJT73" s="2805"/>
      <c r="JJU73" s="2805"/>
      <c r="JJV73" s="2805"/>
      <c r="JJW73" s="2805"/>
      <c r="JJX73" s="2805"/>
      <c r="JJY73" s="2805"/>
      <c r="JJZ73" s="2805"/>
      <c r="JKA73" s="2805"/>
      <c r="JKB73" s="2805"/>
      <c r="JKC73" s="2805"/>
      <c r="JKD73" s="2805"/>
      <c r="JKE73" s="2805"/>
      <c r="JKF73" s="2805"/>
      <c r="JKG73" s="2805"/>
      <c r="JKH73" s="2805"/>
      <c r="JKI73" s="2805"/>
      <c r="JKJ73" s="2805"/>
      <c r="JKK73" s="2805"/>
      <c r="JKL73" s="2805"/>
      <c r="JKM73" s="2805"/>
      <c r="JKN73" s="2805"/>
      <c r="JKO73" s="2805"/>
      <c r="JKP73" s="2805"/>
      <c r="JKQ73" s="2805"/>
      <c r="JKR73" s="2805"/>
      <c r="JKS73" s="2805"/>
      <c r="JKT73" s="2805"/>
      <c r="JKU73" s="2805"/>
      <c r="JKV73" s="2805"/>
      <c r="JKW73" s="2805"/>
      <c r="JKX73" s="2805"/>
      <c r="JKY73" s="2805"/>
      <c r="JKZ73" s="2805"/>
      <c r="JLA73" s="2805"/>
      <c r="JLB73" s="2805"/>
      <c r="JLC73" s="2805"/>
      <c r="JLD73" s="2805"/>
      <c r="JLE73" s="2805"/>
      <c r="JLF73" s="2805"/>
      <c r="JLG73" s="2805"/>
      <c r="JLH73" s="2805"/>
      <c r="JLI73" s="2805"/>
      <c r="JLJ73" s="2805"/>
      <c r="JLK73" s="2805"/>
      <c r="JLL73" s="2805"/>
      <c r="JLM73" s="2805"/>
      <c r="JLN73" s="2805"/>
      <c r="JLO73" s="2805"/>
      <c r="JLP73" s="2805"/>
      <c r="JLQ73" s="2805"/>
      <c r="JLR73" s="2805"/>
      <c r="JLS73" s="2805"/>
      <c r="JLT73" s="2805"/>
      <c r="JLU73" s="2805"/>
      <c r="JLV73" s="2805"/>
      <c r="JLW73" s="2805"/>
      <c r="JLX73" s="2805"/>
      <c r="JLY73" s="2805"/>
      <c r="JLZ73" s="2805"/>
      <c r="JMA73" s="2805"/>
      <c r="JMB73" s="2805"/>
      <c r="JMC73" s="2805"/>
      <c r="JMD73" s="2805"/>
      <c r="JME73" s="2805"/>
      <c r="JMF73" s="2805"/>
      <c r="JMG73" s="2805"/>
      <c r="JMH73" s="2805"/>
      <c r="JMI73" s="2805"/>
      <c r="JMJ73" s="2805"/>
      <c r="JMK73" s="2805"/>
      <c r="JML73" s="2805"/>
      <c r="JMM73" s="2805"/>
      <c r="JMN73" s="2805"/>
      <c r="JMO73" s="2805"/>
      <c r="JMP73" s="2805"/>
      <c r="JMQ73" s="2805"/>
      <c r="JMR73" s="2805"/>
      <c r="JMS73" s="2805"/>
      <c r="JMT73" s="2805"/>
      <c r="JMU73" s="2805"/>
      <c r="JMV73" s="2805"/>
      <c r="JMW73" s="2805"/>
      <c r="JMX73" s="2805"/>
      <c r="JMY73" s="2805"/>
      <c r="JMZ73" s="2805"/>
      <c r="JNA73" s="2805"/>
      <c r="JNB73" s="2805"/>
      <c r="JNC73" s="2805"/>
      <c r="JND73" s="2805"/>
      <c r="JNE73" s="2805"/>
      <c r="JNF73" s="2805"/>
      <c r="JNG73" s="2805"/>
      <c r="JNH73" s="2805"/>
      <c r="JNI73" s="2805"/>
      <c r="JNJ73" s="2805"/>
      <c r="JNK73" s="2805"/>
      <c r="JNL73" s="2805"/>
      <c r="JNM73" s="2805"/>
      <c r="JNN73" s="2805"/>
      <c r="JNO73" s="2805"/>
      <c r="JNP73" s="2805"/>
      <c r="JNQ73" s="2805"/>
      <c r="JNR73" s="2805"/>
      <c r="JNS73" s="2805"/>
      <c r="JNT73" s="2805"/>
      <c r="JNU73" s="2805"/>
      <c r="JNV73" s="2805"/>
      <c r="JNW73" s="2805"/>
      <c r="JNX73" s="2805"/>
      <c r="JNY73" s="2805"/>
      <c r="JNZ73" s="2805"/>
      <c r="JOA73" s="2805"/>
      <c r="JOB73" s="2805"/>
      <c r="JOC73" s="2805"/>
      <c r="JOD73" s="2805"/>
      <c r="JOE73" s="2805"/>
      <c r="JOF73" s="2805"/>
      <c r="JOG73" s="2805"/>
      <c r="JOH73" s="2805"/>
      <c r="JOI73" s="2805"/>
      <c r="JOJ73" s="2805"/>
      <c r="JOK73" s="2805"/>
      <c r="JOL73" s="2805"/>
      <c r="JOM73" s="2805"/>
      <c r="JON73" s="2805"/>
      <c r="JOO73" s="2805"/>
      <c r="JOP73" s="2805"/>
      <c r="JOQ73" s="2805"/>
      <c r="JOR73" s="2805"/>
      <c r="JOS73" s="2805"/>
      <c r="JOT73" s="2805"/>
      <c r="JOU73" s="2805"/>
      <c r="JOV73" s="2805"/>
      <c r="JOW73" s="2805"/>
      <c r="JOX73" s="2805"/>
      <c r="JOY73" s="2805"/>
      <c r="JOZ73" s="2805"/>
      <c r="JPA73" s="2805"/>
      <c r="JPB73" s="2805"/>
      <c r="JPC73" s="2805"/>
      <c r="JPD73" s="2805"/>
      <c r="JPE73" s="2805"/>
      <c r="JPF73" s="2805"/>
      <c r="JPG73" s="2805"/>
      <c r="JPH73" s="2805"/>
      <c r="JPI73" s="2805"/>
      <c r="JPJ73" s="2805"/>
      <c r="JPK73" s="2805"/>
      <c r="JPL73" s="2805"/>
      <c r="JPM73" s="2805"/>
      <c r="JPN73" s="2805"/>
      <c r="JPO73" s="2805"/>
      <c r="JPP73" s="2805"/>
      <c r="JPQ73" s="2805"/>
      <c r="JPR73" s="2805"/>
      <c r="JPS73" s="2805"/>
      <c r="JPT73" s="2805"/>
      <c r="JPU73" s="2805"/>
      <c r="JPV73" s="2805"/>
      <c r="JPW73" s="2805"/>
      <c r="JPX73" s="2805"/>
      <c r="JPY73" s="2805"/>
      <c r="JPZ73" s="2805"/>
      <c r="JQA73" s="2805"/>
      <c r="JQB73" s="2805"/>
      <c r="JQC73" s="2805"/>
      <c r="JQD73" s="2805"/>
      <c r="JQE73" s="2805"/>
      <c r="JQF73" s="2805"/>
      <c r="JQG73" s="2805"/>
      <c r="JQH73" s="2805"/>
      <c r="JQI73" s="2805"/>
      <c r="JQJ73" s="2805"/>
      <c r="JQK73" s="2805"/>
      <c r="JQL73" s="2805"/>
      <c r="JQM73" s="2805"/>
      <c r="JQN73" s="2805"/>
      <c r="JQO73" s="2805"/>
      <c r="JQP73" s="2805"/>
      <c r="JQQ73" s="2805"/>
      <c r="JQR73" s="2805"/>
      <c r="JQS73" s="2805"/>
      <c r="JQT73" s="2805"/>
      <c r="JQU73" s="2805"/>
      <c r="JQV73" s="2805"/>
      <c r="JQW73" s="2805"/>
      <c r="JQX73" s="2805"/>
      <c r="JQY73" s="2805"/>
      <c r="JQZ73" s="2805"/>
      <c r="JRA73" s="2805"/>
      <c r="JRB73" s="2805"/>
      <c r="JRC73" s="2805"/>
      <c r="JRD73" s="2805"/>
      <c r="JRE73" s="2805"/>
      <c r="JRF73" s="2805"/>
      <c r="JRG73" s="2805"/>
      <c r="JRH73" s="2805"/>
      <c r="JRI73" s="2805"/>
      <c r="JRJ73" s="2805"/>
      <c r="JRK73" s="2805"/>
      <c r="JRL73" s="2805"/>
      <c r="JRM73" s="2805"/>
      <c r="JRN73" s="2805"/>
      <c r="JRO73" s="2805"/>
      <c r="JRP73" s="2805"/>
      <c r="JRQ73" s="2805"/>
      <c r="JRR73" s="2805"/>
      <c r="JRS73" s="2805"/>
      <c r="JRT73" s="2805"/>
      <c r="JRU73" s="2805"/>
      <c r="JRV73" s="2805"/>
      <c r="JRW73" s="2805"/>
      <c r="JRX73" s="2805"/>
      <c r="JRY73" s="2805"/>
      <c r="JRZ73" s="2805"/>
      <c r="JSA73" s="2805"/>
      <c r="JSB73" s="2805"/>
      <c r="JSC73" s="2805"/>
      <c r="JSD73" s="2805"/>
      <c r="JSE73" s="2805"/>
      <c r="JSF73" s="2805"/>
      <c r="JSG73" s="2805"/>
      <c r="JSH73" s="2805"/>
      <c r="JSI73" s="2805"/>
      <c r="JSJ73" s="2805"/>
      <c r="JSK73" s="2805"/>
      <c r="JSL73" s="2805"/>
      <c r="JSM73" s="2805"/>
      <c r="JSN73" s="2805"/>
      <c r="JSO73" s="2805"/>
      <c r="JSP73" s="2805"/>
      <c r="JSQ73" s="2805"/>
      <c r="JSR73" s="2805"/>
      <c r="JSS73" s="2805"/>
      <c r="JST73" s="2805"/>
      <c r="JSU73" s="2805"/>
      <c r="JSV73" s="2805"/>
      <c r="JSW73" s="2805"/>
      <c r="JSX73" s="2805"/>
      <c r="JSY73" s="2805"/>
      <c r="JSZ73" s="2805"/>
      <c r="JTA73" s="2805"/>
      <c r="JTB73" s="2805"/>
      <c r="JTC73" s="2805"/>
      <c r="JTD73" s="2805"/>
      <c r="JTE73" s="2805"/>
      <c r="JTF73" s="2805"/>
      <c r="JTG73" s="2805"/>
      <c r="JTH73" s="2805"/>
      <c r="JTI73" s="2805"/>
      <c r="JTJ73" s="2805"/>
      <c r="JTK73" s="2805"/>
      <c r="JTL73" s="2805"/>
      <c r="JTM73" s="2805"/>
      <c r="JTN73" s="2805"/>
      <c r="JTO73" s="2805"/>
      <c r="JTP73" s="2805"/>
      <c r="JTQ73" s="2805"/>
      <c r="JTR73" s="2805"/>
      <c r="JTS73" s="2805"/>
      <c r="JTT73" s="2805"/>
      <c r="JTU73" s="2805"/>
      <c r="JTV73" s="2805"/>
      <c r="JTW73" s="2805"/>
      <c r="JTX73" s="2805"/>
      <c r="JTY73" s="2805"/>
      <c r="JTZ73" s="2805"/>
      <c r="JUA73" s="2805"/>
      <c r="JUB73" s="2805"/>
      <c r="JUC73" s="2805"/>
      <c r="JUD73" s="2805"/>
      <c r="JUE73" s="2805"/>
      <c r="JUF73" s="2805"/>
      <c r="JUG73" s="2805"/>
      <c r="JUH73" s="2805"/>
      <c r="JUI73" s="2805"/>
      <c r="JUJ73" s="2805"/>
      <c r="JUK73" s="2805"/>
      <c r="JUL73" s="2805"/>
      <c r="JUM73" s="2805"/>
      <c r="JUN73" s="2805"/>
      <c r="JUO73" s="2805"/>
      <c r="JUP73" s="2805"/>
      <c r="JUQ73" s="2805"/>
      <c r="JUR73" s="2805"/>
      <c r="JUS73" s="2805"/>
      <c r="JUT73" s="2805"/>
      <c r="JUU73" s="2805"/>
      <c r="JUV73" s="2805"/>
      <c r="JUW73" s="2805"/>
      <c r="JUX73" s="2805"/>
      <c r="JUY73" s="2805"/>
      <c r="JUZ73" s="2805"/>
      <c r="JVA73" s="2805"/>
      <c r="JVB73" s="2805"/>
      <c r="JVC73" s="2805"/>
      <c r="JVD73" s="2805"/>
      <c r="JVE73" s="2805"/>
      <c r="JVF73" s="2805"/>
      <c r="JVG73" s="2805"/>
      <c r="JVH73" s="2805"/>
      <c r="JVI73" s="2805"/>
      <c r="JVJ73" s="2805"/>
      <c r="JVK73" s="2805"/>
      <c r="JVL73" s="2805"/>
      <c r="JVM73" s="2805"/>
      <c r="JVN73" s="2805"/>
      <c r="JVO73" s="2805"/>
      <c r="JVP73" s="2805"/>
      <c r="JVQ73" s="2805"/>
      <c r="JVR73" s="2805"/>
      <c r="JVS73" s="2805"/>
      <c r="JVT73" s="2805"/>
      <c r="JVU73" s="2805"/>
      <c r="JVV73" s="2805"/>
      <c r="JVW73" s="2805"/>
      <c r="JVX73" s="2805"/>
      <c r="JVY73" s="2805"/>
      <c r="JVZ73" s="2805"/>
      <c r="JWA73" s="2805"/>
      <c r="JWB73" s="2805"/>
      <c r="JWC73" s="2805"/>
      <c r="JWD73" s="2805"/>
      <c r="JWE73" s="2805"/>
      <c r="JWF73" s="2805"/>
      <c r="JWG73" s="2805"/>
      <c r="JWH73" s="2805"/>
      <c r="JWI73" s="2805"/>
      <c r="JWJ73" s="2805"/>
      <c r="JWK73" s="2805"/>
      <c r="JWL73" s="2805"/>
      <c r="JWM73" s="2805"/>
      <c r="JWN73" s="2805"/>
      <c r="JWO73" s="2805"/>
      <c r="JWP73" s="2805"/>
      <c r="JWQ73" s="2805"/>
      <c r="JWR73" s="2805"/>
      <c r="JWS73" s="2805"/>
      <c r="JWT73" s="2805"/>
      <c r="JWU73" s="2805"/>
      <c r="JWV73" s="2805"/>
      <c r="JWW73" s="2805"/>
      <c r="JWX73" s="2805"/>
      <c r="JWY73" s="2805"/>
      <c r="JWZ73" s="2805"/>
      <c r="JXA73" s="2805"/>
      <c r="JXB73" s="2805"/>
      <c r="JXC73" s="2805"/>
      <c r="JXD73" s="2805"/>
      <c r="JXE73" s="2805"/>
      <c r="JXF73" s="2805"/>
      <c r="JXG73" s="2805"/>
      <c r="JXH73" s="2805"/>
      <c r="JXI73" s="2805"/>
      <c r="JXJ73" s="2805"/>
      <c r="JXK73" s="2805"/>
      <c r="JXL73" s="2805"/>
      <c r="JXM73" s="2805"/>
      <c r="JXN73" s="2805"/>
      <c r="JXO73" s="2805"/>
      <c r="JXP73" s="2805"/>
      <c r="JXQ73" s="2805"/>
      <c r="JXR73" s="2805"/>
      <c r="JXS73" s="2805"/>
      <c r="JXT73" s="2805"/>
      <c r="JXU73" s="2805"/>
      <c r="JXV73" s="2805"/>
      <c r="JXW73" s="2805"/>
      <c r="JXX73" s="2805"/>
      <c r="JXY73" s="2805"/>
      <c r="JXZ73" s="2805"/>
      <c r="JYA73" s="2805"/>
      <c r="JYB73" s="2805"/>
      <c r="JYC73" s="2805"/>
      <c r="JYD73" s="2805"/>
      <c r="JYE73" s="2805"/>
      <c r="JYF73" s="2805"/>
      <c r="JYG73" s="2805"/>
      <c r="JYH73" s="2805"/>
      <c r="JYI73" s="2805"/>
      <c r="JYJ73" s="2805"/>
      <c r="JYK73" s="2805"/>
      <c r="JYL73" s="2805"/>
      <c r="JYM73" s="2805"/>
      <c r="JYN73" s="2805"/>
      <c r="JYO73" s="2805"/>
      <c r="JYP73" s="2805"/>
      <c r="JYQ73" s="2805"/>
      <c r="JYR73" s="2805"/>
      <c r="JYS73" s="2805"/>
      <c r="JYT73" s="2805"/>
      <c r="JYU73" s="2805"/>
      <c r="JYV73" s="2805"/>
      <c r="JYW73" s="2805"/>
      <c r="JYX73" s="2805"/>
      <c r="JYY73" s="2805"/>
      <c r="JYZ73" s="2805"/>
      <c r="JZA73" s="2805"/>
      <c r="JZB73" s="2805"/>
      <c r="JZC73" s="2805"/>
      <c r="JZD73" s="2805"/>
      <c r="JZE73" s="2805"/>
      <c r="JZF73" s="2805"/>
      <c r="JZG73" s="2805"/>
      <c r="JZH73" s="2805"/>
      <c r="JZI73" s="2805"/>
      <c r="JZJ73" s="2805"/>
      <c r="JZK73" s="2805"/>
      <c r="JZL73" s="2805"/>
      <c r="JZM73" s="2805"/>
      <c r="JZN73" s="2805"/>
      <c r="JZO73" s="2805"/>
      <c r="JZP73" s="2805"/>
      <c r="JZQ73" s="2805"/>
      <c r="JZR73" s="2805"/>
      <c r="JZS73" s="2805"/>
      <c r="JZT73" s="2805"/>
      <c r="JZU73" s="2805"/>
      <c r="JZV73" s="2805"/>
      <c r="JZW73" s="2805"/>
      <c r="JZX73" s="2805"/>
      <c r="JZY73" s="2805"/>
      <c r="JZZ73" s="2805"/>
      <c r="KAA73" s="2805"/>
      <c r="KAB73" s="2805"/>
      <c r="KAC73" s="2805"/>
      <c r="KAD73" s="2805"/>
      <c r="KAE73" s="2805"/>
      <c r="KAF73" s="2805"/>
      <c r="KAG73" s="2805"/>
      <c r="KAH73" s="2805"/>
      <c r="KAI73" s="2805"/>
      <c r="KAJ73" s="2805"/>
      <c r="KAK73" s="2805"/>
      <c r="KAL73" s="2805"/>
      <c r="KAM73" s="2805"/>
      <c r="KAN73" s="2805"/>
      <c r="KAO73" s="2805"/>
      <c r="KAP73" s="2805"/>
      <c r="KAQ73" s="2805"/>
      <c r="KAR73" s="2805"/>
      <c r="KAS73" s="2805"/>
      <c r="KAT73" s="2805"/>
      <c r="KAU73" s="2805"/>
      <c r="KAV73" s="2805"/>
      <c r="KAW73" s="2805"/>
      <c r="KAX73" s="2805"/>
      <c r="KAY73" s="2805"/>
      <c r="KAZ73" s="2805"/>
      <c r="KBA73" s="2805"/>
      <c r="KBB73" s="2805"/>
      <c r="KBC73" s="2805"/>
      <c r="KBD73" s="2805"/>
      <c r="KBE73" s="2805"/>
      <c r="KBF73" s="2805"/>
      <c r="KBG73" s="2805"/>
      <c r="KBH73" s="2805"/>
      <c r="KBI73" s="2805"/>
      <c r="KBJ73" s="2805"/>
      <c r="KBK73" s="2805"/>
      <c r="KBL73" s="2805"/>
      <c r="KBM73" s="2805"/>
      <c r="KBN73" s="2805"/>
      <c r="KBO73" s="2805"/>
      <c r="KBP73" s="2805"/>
      <c r="KBQ73" s="2805"/>
      <c r="KBR73" s="2805"/>
      <c r="KBS73" s="2805"/>
      <c r="KBT73" s="2805"/>
      <c r="KBU73" s="2805"/>
      <c r="KBV73" s="2805"/>
      <c r="KBW73" s="2805"/>
      <c r="KBX73" s="2805"/>
      <c r="KBY73" s="2805"/>
      <c r="KBZ73" s="2805"/>
      <c r="KCA73" s="2805"/>
      <c r="KCB73" s="2805"/>
      <c r="KCC73" s="2805"/>
      <c r="KCD73" s="2805"/>
      <c r="KCE73" s="2805"/>
      <c r="KCF73" s="2805"/>
      <c r="KCG73" s="2805"/>
      <c r="KCH73" s="2805"/>
      <c r="KCI73" s="2805"/>
      <c r="KCJ73" s="2805"/>
      <c r="KCK73" s="2805"/>
      <c r="KCL73" s="2805"/>
      <c r="KCM73" s="2805"/>
      <c r="KCN73" s="2805"/>
      <c r="KCO73" s="2805"/>
      <c r="KCP73" s="2805"/>
      <c r="KCQ73" s="2805"/>
      <c r="KCR73" s="2805"/>
      <c r="KCS73" s="2805"/>
      <c r="KCT73" s="2805"/>
      <c r="KCU73" s="2805"/>
      <c r="KCV73" s="2805"/>
      <c r="KCW73" s="2805"/>
      <c r="KCX73" s="2805"/>
      <c r="KCY73" s="2805"/>
      <c r="KCZ73" s="2805"/>
      <c r="KDA73" s="2805"/>
      <c r="KDB73" s="2805"/>
      <c r="KDC73" s="2805"/>
      <c r="KDD73" s="2805"/>
      <c r="KDE73" s="2805"/>
      <c r="KDF73" s="2805"/>
      <c r="KDG73" s="2805"/>
      <c r="KDH73" s="2805"/>
      <c r="KDI73" s="2805"/>
      <c r="KDJ73" s="2805"/>
      <c r="KDK73" s="2805"/>
      <c r="KDL73" s="2805"/>
      <c r="KDM73" s="2805"/>
      <c r="KDN73" s="2805"/>
      <c r="KDO73" s="2805"/>
      <c r="KDP73" s="2805"/>
      <c r="KDQ73" s="2805"/>
      <c r="KDR73" s="2805"/>
      <c r="KDS73" s="2805"/>
      <c r="KDT73" s="2805"/>
      <c r="KDU73" s="2805"/>
      <c r="KDV73" s="2805"/>
      <c r="KDW73" s="2805"/>
      <c r="KDX73" s="2805"/>
      <c r="KDY73" s="2805"/>
      <c r="KDZ73" s="2805"/>
      <c r="KEA73" s="2805"/>
      <c r="KEB73" s="2805"/>
      <c r="KEC73" s="2805"/>
      <c r="KED73" s="2805"/>
      <c r="KEE73" s="2805"/>
      <c r="KEF73" s="2805"/>
      <c r="KEG73" s="2805"/>
      <c r="KEH73" s="2805"/>
      <c r="KEI73" s="2805"/>
      <c r="KEJ73" s="2805"/>
      <c r="KEK73" s="2805"/>
      <c r="KEL73" s="2805"/>
      <c r="KEM73" s="2805"/>
      <c r="KEN73" s="2805"/>
      <c r="KEO73" s="2805"/>
      <c r="KEP73" s="2805"/>
      <c r="KEQ73" s="2805"/>
      <c r="KER73" s="2805"/>
      <c r="KES73" s="2805"/>
      <c r="KET73" s="2805"/>
      <c r="KEU73" s="2805"/>
      <c r="KEV73" s="2805"/>
      <c r="KEW73" s="2805"/>
      <c r="KEX73" s="2805"/>
      <c r="KEY73" s="2805"/>
      <c r="KEZ73" s="2805"/>
      <c r="KFA73" s="2805"/>
      <c r="KFB73" s="2805"/>
      <c r="KFC73" s="2805"/>
      <c r="KFD73" s="2805"/>
      <c r="KFE73" s="2805"/>
      <c r="KFF73" s="2805"/>
      <c r="KFG73" s="2805"/>
      <c r="KFH73" s="2805"/>
      <c r="KFI73" s="2805"/>
      <c r="KFJ73" s="2805"/>
      <c r="KFK73" s="2805"/>
      <c r="KFL73" s="2805"/>
      <c r="KFM73" s="2805"/>
      <c r="KFN73" s="2805"/>
      <c r="KFO73" s="2805"/>
      <c r="KFP73" s="2805"/>
      <c r="KFQ73" s="2805"/>
      <c r="KFR73" s="2805"/>
      <c r="KFS73" s="2805"/>
      <c r="KFT73" s="2805"/>
      <c r="KFU73" s="2805"/>
      <c r="KFV73" s="2805"/>
      <c r="KFW73" s="2805"/>
      <c r="KFX73" s="2805"/>
      <c r="KFY73" s="2805"/>
      <c r="KFZ73" s="2805"/>
      <c r="KGA73" s="2805"/>
      <c r="KGB73" s="2805"/>
      <c r="KGC73" s="2805"/>
      <c r="KGD73" s="2805"/>
      <c r="KGE73" s="2805"/>
      <c r="KGF73" s="2805"/>
      <c r="KGG73" s="2805"/>
      <c r="KGH73" s="2805"/>
      <c r="KGI73" s="2805"/>
      <c r="KGJ73" s="2805"/>
      <c r="KGK73" s="2805"/>
      <c r="KGL73" s="2805"/>
      <c r="KGM73" s="2805"/>
      <c r="KGN73" s="2805"/>
      <c r="KGO73" s="2805"/>
      <c r="KGP73" s="2805"/>
      <c r="KGQ73" s="2805"/>
      <c r="KGR73" s="2805"/>
      <c r="KGS73" s="2805"/>
      <c r="KGT73" s="2805"/>
      <c r="KGU73" s="2805"/>
      <c r="KGV73" s="2805"/>
      <c r="KGW73" s="2805"/>
      <c r="KGX73" s="2805"/>
      <c r="KGY73" s="2805"/>
      <c r="KGZ73" s="2805"/>
      <c r="KHA73" s="2805"/>
      <c r="KHB73" s="2805"/>
      <c r="KHC73" s="2805"/>
      <c r="KHD73" s="2805"/>
      <c r="KHE73" s="2805"/>
      <c r="KHF73" s="2805"/>
      <c r="KHG73" s="2805"/>
      <c r="KHH73" s="2805"/>
      <c r="KHI73" s="2805"/>
      <c r="KHJ73" s="2805"/>
      <c r="KHK73" s="2805"/>
      <c r="KHL73" s="2805"/>
      <c r="KHM73" s="2805"/>
      <c r="KHN73" s="2805"/>
      <c r="KHO73" s="2805"/>
      <c r="KHP73" s="2805"/>
      <c r="KHQ73" s="2805"/>
      <c r="KHR73" s="2805"/>
      <c r="KHS73" s="2805"/>
      <c r="KHT73" s="2805"/>
      <c r="KHU73" s="2805"/>
      <c r="KHV73" s="2805"/>
      <c r="KHW73" s="2805"/>
      <c r="KHX73" s="2805"/>
      <c r="KHY73" s="2805"/>
      <c r="KHZ73" s="2805"/>
      <c r="KIA73" s="2805"/>
      <c r="KIB73" s="2805"/>
      <c r="KIC73" s="2805"/>
      <c r="KID73" s="2805"/>
      <c r="KIE73" s="2805"/>
      <c r="KIF73" s="2805"/>
      <c r="KIG73" s="2805"/>
      <c r="KIH73" s="2805"/>
      <c r="KII73" s="2805"/>
      <c r="KIJ73" s="2805"/>
      <c r="KIK73" s="2805"/>
      <c r="KIL73" s="2805"/>
      <c r="KIM73" s="2805"/>
      <c r="KIN73" s="2805"/>
      <c r="KIO73" s="2805"/>
      <c r="KIP73" s="2805"/>
      <c r="KIQ73" s="2805"/>
      <c r="KIR73" s="2805"/>
      <c r="KIS73" s="2805"/>
      <c r="KIT73" s="2805"/>
      <c r="KIU73" s="2805"/>
      <c r="KIV73" s="2805"/>
      <c r="KIW73" s="2805"/>
      <c r="KIX73" s="2805"/>
      <c r="KIY73" s="2805"/>
      <c r="KIZ73" s="2805"/>
      <c r="KJA73" s="2805"/>
      <c r="KJB73" s="2805"/>
      <c r="KJC73" s="2805"/>
      <c r="KJD73" s="2805"/>
      <c r="KJE73" s="2805"/>
      <c r="KJF73" s="2805"/>
      <c r="KJG73" s="2805"/>
      <c r="KJH73" s="2805"/>
      <c r="KJI73" s="2805"/>
      <c r="KJJ73" s="2805"/>
      <c r="KJK73" s="2805"/>
      <c r="KJL73" s="2805"/>
      <c r="KJM73" s="2805"/>
      <c r="KJN73" s="2805"/>
      <c r="KJO73" s="2805"/>
      <c r="KJP73" s="2805"/>
      <c r="KJQ73" s="2805"/>
      <c r="KJR73" s="2805"/>
      <c r="KJS73" s="2805"/>
      <c r="KJT73" s="2805"/>
      <c r="KJU73" s="2805"/>
      <c r="KJV73" s="2805"/>
      <c r="KJW73" s="2805"/>
      <c r="KJX73" s="2805"/>
      <c r="KJY73" s="2805"/>
      <c r="KJZ73" s="2805"/>
      <c r="KKA73" s="2805"/>
      <c r="KKB73" s="2805"/>
      <c r="KKC73" s="2805"/>
      <c r="KKD73" s="2805"/>
      <c r="KKE73" s="2805"/>
      <c r="KKF73" s="2805"/>
      <c r="KKG73" s="2805"/>
      <c r="KKH73" s="2805"/>
      <c r="KKI73" s="2805"/>
      <c r="KKJ73" s="2805"/>
      <c r="KKK73" s="2805"/>
      <c r="KKL73" s="2805"/>
      <c r="KKM73" s="2805"/>
      <c r="KKN73" s="2805"/>
      <c r="KKO73" s="2805"/>
      <c r="KKP73" s="2805"/>
      <c r="KKQ73" s="2805"/>
      <c r="KKR73" s="2805"/>
      <c r="KKS73" s="2805"/>
      <c r="KKT73" s="2805"/>
      <c r="KKU73" s="2805"/>
      <c r="KKV73" s="2805"/>
      <c r="KKW73" s="2805"/>
      <c r="KKX73" s="2805"/>
      <c r="KKY73" s="2805"/>
      <c r="KKZ73" s="2805"/>
      <c r="KLA73" s="2805"/>
      <c r="KLB73" s="2805"/>
      <c r="KLC73" s="2805"/>
      <c r="KLD73" s="2805"/>
      <c r="KLE73" s="2805"/>
      <c r="KLF73" s="2805"/>
      <c r="KLG73" s="2805"/>
      <c r="KLH73" s="2805"/>
      <c r="KLI73" s="2805"/>
      <c r="KLJ73" s="2805"/>
      <c r="KLK73" s="2805"/>
      <c r="KLL73" s="2805"/>
      <c r="KLM73" s="2805"/>
      <c r="KLN73" s="2805"/>
      <c r="KLO73" s="2805"/>
      <c r="KLP73" s="2805"/>
      <c r="KLQ73" s="2805"/>
      <c r="KLR73" s="2805"/>
      <c r="KLS73" s="2805"/>
      <c r="KLT73" s="2805"/>
      <c r="KLU73" s="2805"/>
      <c r="KLV73" s="2805"/>
      <c r="KLW73" s="2805"/>
      <c r="KLX73" s="2805"/>
      <c r="KLY73" s="2805"/>
      <c r="KLZ73" s="2805"/>
      <c r="KMA73" s="2805"/>
      <c r="KMB73" s="2805"/>
      <c r="KMC73" s="2805"/>
      <c r="KMD73" s="2805"/>
      <c r="KME73" s="2805"/>
      <c r="KMF73" s="2805"/>
      <c r="KMG73" s="2805"/>
      <c r="KMH73" s="2805"/>
      <c r="KMI73" s="2805"/>
      <c r="KMJ73" s="2805"/>
      <c r="KMK73" s="2805"/>
      <c r="KML73" s="2805"/>
      <c r="KMM73" s="2805"/>
      <c r="KMN73" s="2805"/>
      <c r="KMO73" s="2805"/>
      <c r="KMP73" s="2805"/>
      <c r="KMQ73" s="2805"/>
      <c r="KMR73" s="2805"/>
      <c r="KMS73" s="2805"/>
      <c r="KMT73" s="2805"/>
      <c r="KMU73" s="2805"/>
      <c r="KMV73" s="2805"/>
      <c r="KMW73" s="2805"/>
      <c r="KMX73" s="2805"/>
      <c r="KMY73" s="2805"/>
      <c r="KMZ73" s="2805"/>
      <c r="KNA73" s="2805"/>
      <c r="KNB73" s="2805"/>
      <c r="KNC73" s="2805"/>
      <c r="KND73" s="2805"/>
      <c r="KNE73" s="2805"/>
      <c r="KNF73" s="2805"/>
      <c r="KNG73" s="2805"/>
      <c r="KNH73" s="2805"/>
      <c r="KNI73" s="2805"/>
      <c r="KNJ73" s="2805"/>
      <c r="KNK73" s="2805"/>
      <c r="KNL73" s="2805"/>
      <c r="KNM73" s="2805"/>
      <c r="KNN73" s="2805"/>
      <c r="KNO73" s="2805"/>
      <c r="KNP73" s="2805"/>
      <c r="KNQ73" s="2805"/>
      <c r="KNR73" s="2805"/>
      <c r="KNS73" s="2805"/>
      <c r="KNT73" s="2805"/>
      <c r="KNU73" s="2805"/>
      <c r="KNV73" s="2805"/>
      <c r="KNW73" s="2805"/>
      <c r="KNX73" s="2805"/>
      <c r="KNY73" s="2805"/>
      <c r="KNZ73" s="2805"/>
      <c r="KOA73" s="2805"/>
      <c r="KOB73" s="2805"/>
      <c r="KOC73" s="2805"/>
      <c r="KOD73" s="2805"/>
      <c r="KOE73" s="2805"/>
      <c r="KOF73" s="2805"/>
      <c r="KOG73" s="2805"/>
      <c r="KOH73" s="2805"/>
      <c r="KOI73" s="2805"/>
      <c r="KOJ73" s="2805"/>
      <c r="KOK73" s="2805"/>
      <c r="KOL73" s="2805"/>
      <c r="KOM73" s="2805"/>
      <c r="KON73" s="2805"/>
      <c r="KOO73" s="2805"/>
      <c r="KOP73" s="2805"/>
      <c r="KOQ73" s="2805"/>
      <c r="KOR73" s="2805"/>
      <c r="KOS73" s="2805"/>
      <c r="KOT73" s="2805"/>
      <c r="KOU73" s="2805"/>
      <c r="KOV73" s="2805"/>
      <c r="KOW73" s="2805"/>
      <c r="KOX73" s="2805"/>
      <c r="KOY73" s="2805"/>
      <c r="KOZ73" s="2805"/>
      <c r="KPA73" s="2805"/>
      <c r="KPB73" s="2805"/>
      <c r="KPC73" s="2805"/>
      <c r="KPD73" s="2805"/>
      <c r="KPE73" s="2805"/>
      <c r="KPF73" s="2805"/>
      <c r="KPG73" s="2805"/>
      <c r="KPH73" s="2805"/>
      <c r="KPI73" s="2805"/>
      <c r="KPJ73" s="2805"/>
      <c r="KPK73" s="2805"/>
      <c r="KPL73" s="2805"/>
      <c r="KPM73" s="2805"/>
      <c r="KPN73" s="2805"/>
      <c r="KPO73" s="2805"/>
      <c r="KPP73" s="2805"/>
      <c r="KPQ73" s="2805"/>
      <c r="KPR73" s="2805"/>
      <c r="KPS73" s="2805"/>
      <c r="KPT73" s="2805"/>
      <c r="KPU73" s="2805"/>
      <c r="KPV73" s="2805"/>
      <c r="KPW73" s="2805"/>
      <c r="KPX73" s="2805"/>
      <c r="KPY73" s="2805"/>
      <c r="KPZ73" s="2805"/>
      <c r="KQA73" s="2805"/>
      <c r="KQB73" s="2805"/>
      <c r="KQC73" s="2805"/>
      <c r="KQD73" s="2805"/>
      <c r="KQE73" s="2805"/>
      <c r="KQF73" s="2805"/>
      <c r="KQG73" s="2805"/>
      <c r="KQH73" s="2805"/>
      <c r="KQI73" s="2805"/>
      <c r="KQJ73" s="2805"/>
      <c r="KQK73" s="2805"/>
      <c r="KQL73" s="2805"/>
      <c r="KQM73" s="2805"/>
      <c r="KQN73" s="2805"/>
      <c r="KQO73" s="2805"/>
      <c r="KQP73" s="2805"/>
      <c r="KQQ73" s="2805"/>
      <c r="KQR73" s="2805"/>
      <c r="KQS73" s="2805"/>
      <c r="KQT73" s="2805"/>
      <c r="KQU73" s="2805"/>
      <c r="KQV73" s="2805"/>
      <c r="KQW73" s="2805"/>
      <c r="KQX73" s="2805"/>
      <c r="KQY73" s="2805"/>
      <c r="KQZ73" s="2805"/>
      <c r="KRA73" s="2805"/>
      <c r="KRB73" s="2805"/>
      <c r="KRC73" s="2805"/>
      <c r="KRD73" s="2805"/>
      <c r="KRE73" s="2805"/>
      <c r="KRF73" s="2805"/>
      <c r="KRG73" s="2805"/>
      <c r="KRH73" s="2805"/>
      <c r="KRI73" s="2805"/>
      <c r="KRJ73" s="2805"/>
      <c r="KRK73" s="2805"/>
      <c r="KRL73" s="2805"/>
      <c r="KRM73" s="2805"/>
      <c r="KRN73" s="2805"/>
      <c r="KRO73" s="2805"/>
      <c r="KRP73" s="2805"/>
      <c r="KRQ73" s="2805"/>
      <c r="KRR73" s="2805"/>
      <c r="KRS73" s="2805"/>
      <c r="KRT73" s="2805"/>
      <c r="KRU73" s="2805"/>
      <c r="KRV73" s="2805"/>
      <c r="KRW73" s="2805"/>
      <c r="KRX73" s="2805"/>
      <c r="KRY73" s="2805"/>
      <c r="KRZ73" s="2805"/>
      <c r="KSA73" s="2805"/>
      <c r="KSB73" s="2805"/>
      <c r="KSC73" s="2805"/>
      <c r="KSD73" s="2805"/>
      <c r="KSE73" s="2805"/>
      <c r="KSF73" s="2805"/>
      <c r="KSG73" s="2805"/>
      <c r="KSH73" s="2805"/>
      <c r="KSI73" s="2805"/>
      <c r="KSJ73" s="2805"/>
      <c r="KSK73" s="2805"/>
      <c r="KSL73" s="2805"/>
      <c r="KSM73" s="2805"/>
      <c r="KSN73" s="2805"/>
      <c r="KSO73" s="2805"/>
      <c r="KSP73" s="2805"/>
      <c r="KSQ73" s="2805"/>
      <c r="KSR73" s="2805"/>
      <c r="KSS73" s="2805"/>
      <c r="KST73" s="2805"/>
      <c r="KSU73" s="2805"/>
      <c r="KSV73" s="2805"/>
      <c r="KSW73" s="2805"/>
      <c r="KSX73" s="2805"/>
      <c r="KSY73" s="2805"/>
      <c r="KSZ73" s="2805"/>
      <c r="KTA73" s="2805"/>
      <c r="KTB73" s="2805"/>
      <c r="KTC73" s="2805"/>
      <c r="KTD73" s="2805"/>
      <c r="KTE73" s="2805"/>
      <c r="KTF73" s="2805"/>
      <c r="KTG73" s="2805"/>
      <c r="KTH73" s="2805"/>
      <c r="KTI73" s="2805"/>
      <c r="KTJ73" s="2805"/>
      <c r="KTK73" s="2805"/>
      <c r="KTL73" s="2805"/>
      <c r="KTM73" s="2805"/>
      <c r="KTN73" s="2805"/>
      <c r="KTO73" s="2805"/>
      <c r="KTP73" s="2805"/>
      <c r="KTQ73" s="2805"/>
      <c r="KTR73" s="2805"/>
      <c r="KTS73" s="2805"/>
      <c r="KTT73" s="2805"/>
      <c r="KTU73" s="2805"/>
      <c r="KTV73" s="2805"/>
      <c r="KTW73" s="2805"/>
      <c r="KTX73" s="2805"/>
      <c r="KTY73" s="2805"/>
      <c r="KTZ73" s="2805"/>
      <c r="KUA73" s="2805"/>
      <c r="KUB73" s="2805"/>
      <c r="KUC73" s="2805"/>
      <c r="KUD73" s="2805"/>
      <c r="KUE73" s="2805"/>
      <c r="KUF73" s="2805"/>
      <c r="KUG73" s="2805"/>
      <c r="KUH73" s="2805"/>
      <c r="KUI73" s="2805"/>
      <c r="KUJ73" s="2805"/>
      <c r="KUK73" s="2805"/>
      <c r="KUL73" s="2805"/>
      <c r="KUM73" s="2805"/>
      <c r="KUN73" s="2805"/>
      <c r="KUO73" s="2805"/>
      <c r="KUP73" s="2805"/>
      <c r="KUQ73" s="2805"/>
      <c r="KUR73" s="2805"/>
      <c r="KUS73" s="2805"/>
      <c r="KUT73" s="2805"/>
      <c r="KUU73" s="2805"/>
      <c r="KUV73" s="2805"/>
      <c r="KUW73" s="2805"/>
      <c r="KUX73" s="2805"/>
      <c r="KUY73" s="2805"/>
      <c r="KUZ73" s="2805"/>
      <c r="KVA73" s="2805"/>
      <c r="KVB73" s="2805"/>
      <c r="KVC73" s="2805"/>
      <c r="KVD73" s="2805"/>
      <c r="KVE73" s="2805"/>
      <c r="KVF73" s="2805"/>
      <c r="KVG73" s="2805"/>
      <c r="KVH73" s="2805"/>
      <c r="KVI73" s="2805"/>
      <c r="KVJ73" s="2805"/>
      <c r="KVK73" s="2805"/>
      <c r="KVL73" s="2805"/>
      <c r="KVM73" s="2805"/>
      <c r="KVN73" s="2805"/>
      <c r="KVO73" s="2805"/>
      <c r="KVP73" s="2805"/>
      <c r="KVQ73" s="2805"/>
      <c r="KVR73" s="2805"/>
      <c r="KVS73" s="2805"/>
      <c r="KVT73" s="2805"/>
      <c r="KVU73" s="2805"/>
      <c r="KVV73" s="2805"/>
      <c r="KVW73" s="2805"/>
      <c r="KVX73" s="2805"/>
      <c r="KVY73" s="2805"/>
      <c r="KVZ73" s="2805"/>
      <c r="KWA73" s="2805"/>
      <c r="KWB73" s="2805"/>
      <c r="KWC73" s="2805"/>
      <c r="KWD73" s="2805"/>
      <c r="KWE73" s="2805"/>
      <c r="KWF73" s="2805"/>
      <c r="KWG73" s="2805"/>
      <c r="KWH73" s="2805"/>
      <c r="KWI73" s="2805"/>
      <c r="KWJ73" s="2805"/>
      <c r="KWK73" s="2805"/>
      <c r="KWL73" s="2805"/>
      <c r="KWM73" s="2805"/>
      <c r="KWN73" s="2805"/>
      <c r="KWO73" s="2805"/>
      <c r="KWP73" s="2805"/>
      <c r="KWQ73" s="2805"/>
      <c r="KWR73" s="2805"/>
      <c r="KWS73" s="2805"/>
      <c r="KWT73" s="2805"/>
      <c r="KWU73" s="2805"/>
      <c r="KWV73" s="2805"/>
      <c r="KWW73" s="2805"/>
      <c r="KWX73" s="2805"/>
      <c r="KWY73" s="2805"/>
      <c r="KWZ73" s="2805"/>
      <c r="KXA73" s="2805"/>
      <c r="KXB73" s="2805"/>
      <c r="KXC73" s="2805"/>
      <c r="KXD73" s="2805"/>
      <c r="KXE73" s="2805"/>
      <c r="KXF73" s="2805"/>
      <c r="KXG73" s="2805"/>
      <c r="KXH73" s="2805"/>
      <c r="KXI73" s="2805"/>
      <c r="KXJ73" s="2805"/>
      <c r="KXK73" s="2805"/>
      <c r="KXL73" s="2805"/>
      <c r="KXM73" s="2805"/>
      <c r="KXN73" s="2805"/>
      <c r="KXO73" s="2805"/>
      <c r="KXP73" s="2805"/>
      <c r="KXQ73" s="2805"/>
      <c r="KXR73" s="2805"/>
      <c r="KXS73" s="2805"/>
      <c r="KXT73" s="2805"/>
      <c r="KXU73" s="2805"/>
      <c r="KXV73" s="2805"/>
      <c r="KXW73" s="2805"/>
      <c r="KXX73" s="2805"/>
      <c r="KXY73" s="2805"/>
      <c r="KXZ73" s="2805"/>
      <c r="KYA73" s="2805"/>
      <c r="KYB73" s="2805"/>
      <c r="KYC73" s="2805"/>
      <c r="KYD73" s="2805"/>
      <c r="KYE73" s="2805"/>
      <c r="KYF73" s="2805"/>
      <c r="KYG73" s="2805"/>
      <c r="KYH73" s="2805"/>
      <c r="KYI73" s="2805"/>
      <c r="KYJ73" s="2805"/>
      <c r="KYK73" s="2805"/>
      <c r="KYL73" s="2805"/>
      <c r="KYM73" s="2805"/>
      <c r="KYN73" s="2805"/>
      <c r="KYO73" s="2805"/>
      <c r="KYP73" s="2805"/>
      <c r="KYQ73" s="2805"/>
      <c r="KYR73" s="2805"/>
      <c r="KYS73" s="2805"/>
      <c r="KYT73" s="2805"/>
      <c r="KYU73" s="2805"/>
      <c r="KYV73" s="2805"/>
      <c r="KYW73" s="2805"/>
      <c r="KYX73" s="2805"/>
      <c r="KYY73" s="2805"/>
      <c r="KYZ73" s="2805"/>
      <c r="KZA73" s="2805"/>
      <c r="KZB73" s="2805"/>
      <c r="KZC73" s="2805"/>
      <c r="KZD73" s="2805"/>
      <c r="KZE73" s="2805"/>
      <c r="KZF73" s="2805"/>
      <c r="KZG73" s="2805"/>
      <c r="KZH73" s="2805"/>
      <c r="KZI73" s="2805"/>
      <c r="KZJ73" s="2805"/>
      <c r="KZK73" s="2805"/>
      <c r="KZL73" s="2805"/>
      <c r="KZM73" s="2805"/>
      <c r="KZN73" s="2805"/>
      <c r="KZO73" s="2805"/>
      <c r="KZP73" s="2805"/>
      <c r="KZQ73" s="2805"/>
      <c r="KZR73" s="2805"/>
      <c r="KZS73" s="2805"/>
      <c r="KZT73" s="2805"/>
      <c r="KZU73" s="2805"/>
      <c r="KZV73" s="2805"/>
      <c r="KZW73" s="2805"/>
      <c r="KZX73" s="2805"/>
      <c r="KZY73" s="2805"/>
      <c r="KZZ73" s="2805"/>
      <c r="LAA73" s="2805"/>
      <c r="LAB73" s="2805"/>
      <c r="LAC73" s="2805"/>
      <c r="LAD73" s="2805"/>
      <c r="LAE73" s="2805"/>
      <c r="LAF73" s="2805"/>
      <c r="LAG73" s="2805"/>
      <c r="LAH73" s="2805"/>
      <c r="LAI73" s="2805"/>
      <c r="LAJ73" s="2805"/>
      <c r="LAK73" s="2805"/>
      <c r="LAL73" s="2805"/>
      <c r="LAM73" s="2805"/>
      <c r="LAN73" s="2805"/>
      <c r="LAO73" s="2805"/>
      <c r="LAP73" s="2805"/>
      <c r="LAQ73" s="2805"/>
      <c r="LAR73" s="2805"/>
      <c r="LAS73" s="2805"/>
      <c r="LAT73" s="2805"/>
      <c r="LAU73" s="2805"/>
      <c r="LAV73" s="2805"/>
      <c r="LAW73" s="2805"/>
      <c r="LAX73" s="2805"/>
      <c r="LAY73" s="2805"/>
      <c r="LAZ73" s="2805"/>
      <c r="LBA73" s="2805"/>
      <c r="LBB73" s="2805"/>
      <c r="LBC73" s="2805"/>
      <c r="LBD73" s="2805"/>
      <c r="LBE73" s="2805"/>
      <c r="LBF73" s="2805"/>
      <c r="LBG73" s="2805"/>
      <c r="LBH73" s="2805"/>
      <c r="LBI73" s="2805"/>
      <c r="LBJ73" s="2805"/>
      <c r="LBK73" s="2805"/>
      <c r="LBL73" s="2805"/>
      <c r="LBM73" s="2805"/>
      <c r="LBN73" s="2805"/>
      <c r="LBO73" s="2805"/>
      <c r="LBP73" s="2805"/>
      <c r="LBQ73" s="2805"/>
      <c r="LBR73" s="2805"/>
      <c r="LBS73" s="2805"/>
      <c r="LBT73" s="2805"/>
      <c r="LBU73" s="2805"/>
      <c r="LBV73" s="2805"/>
      <c r="LBW73" s="2805"/>
      <c r="LBX73" s="2805"/>
      <c r="LBY73" s="2805"/>
      <c r="LBZ73" s="2805"/>
      <c r="LCA73" s="2805"/>
      <c r="LCB73" s="2805"/>
      <c r="LCC73" s="2805"/>
      <c r="LCD73" s="2805"/>
      <c r="LCE73" s="2805"/>
      <c r="LCF73" s="2805"/>
      <c r="LCG73" s="2805"/>
      <c r="LCH73" s="2805"/>
      <c r="LCI73" s="2805"/>
      <c r="LCJ73" s="2805"/>
      <c r="LCK73" s="2805"/>
      <c r="LCL73" s="2805"/>
      <c r="LCM73" s="2805"/>
      <c r="LCN73" s="2805"/>
      <c r="LCO73" s="2805"/>
      <c r="LCP73" s="2805"/>
      <c r="LCQ73" s="2805"/>
      <c r="LCR73" s="2805"/>
      <c r="LCS73" s="2805"/>
      <c r="LCT73" s="2805"/>
      <c r="LCU73" s="2805"/>
      <c r="LCV73" s="2805"/>
      <c r="LCW73" s="2805"/>
      <c r="LCX73" s="2805"/>
      <c r="LCY73" s="2805"/>
      <c r="LCZ73" s="2805"/>
      <c r="LDA73" s="2805"/>
      <c r="LDB73" s="2805"/>
      <c r="LDC73" s="2805"/>
      <c r="LDD73" s="2805"/>
      <c r="LDE73" s="2805"/>
      <c r="LDF73" s="2805"/>
      <c r="LDG73" s="2805"/>
      <c r="LDH73" s="2805"/>
      <c r="LDI73" s="2805"/>
      <c r="LDJ73" s="2805"/>
      <c r="LDK73" s="2805"/>
      <c r="LDL73" s="2805"/>
      <c r="LDM73" s="2805"/>
      <c r="LDN73" s="2805"/>
      <c r="LDO73" s="2805"/>
      <c r="LDP73" s="2805"/>
      <c r="LDQ73" s="2805"/>
      <c r="LDR73" s="2805"/>
      <c r="LDS73" s="2805"/>
      <c r="LDT73" s="2805"/>
      <c r="LDU73" s="2805"/>
      <c r="LDV73" s="2805"/>
      <c r="LDW73" s="2805"/>
      <c r="LDX73" s="2805"/>
      <c r="LDY73" s="2805"/>
      <c r="LDZ73" s="2805"/>
      <c r="LEA73" s="2805"/>
      <c r="LEB73" s="2805"/>
      <c r="LEC73" s="2805"/>
      <c r="LED73" s="2805"/>
      <c r="LEE73" s="2805"/>
      <c r="LEF73" s="2805"/>
      <c r="LEG73" s="2805"/>
      <c r="LEH73" s="2805"/>
      <c r="LEI73" s="2805"/>
      <c r="LEJ73" s="2805"/>
      <c r="LEK73" s="2805"/>
      <c r="LEL73" s="2805"/>
      <c r="LEM73" s="2805"/>
      <c r="LEN73" s="2805"/>
      <c r="LEO73" s="2805"/>
      <c r="LEP73" s="2805"/>
      <c r="LEQ73" s="2805"/>
      <c r="LER73" s="2805"/>
      <c r="LES73" s="2805"/>
      <c r="LET73" s="2805"/>
      <c r="LEU73" s="2805"/>
      <c r="LEV73" s="2805"/>
      <c r="LEW73" s="2805"/>
      <c r="LEX73" s="2805"/>
      <c r="LEY73" s="2805"/>
      <c r="LEZ73" s="2805"/>
      <c r="LFA73" s="2805"/>
      <c r="LFB73" s="2805"/>
      <c r="LFC73" s="2805"/>
      <c r="LFD73" s="2805"/>
      <c r="LFE73" s="2805"/>
      <c r="LFF73" s="2805"/>
      <c r="LFG73" s="2805"/>
      <c r="LFH73" s="2805"/>
      <c r="LFI73" s="2805"/>
      <c r="LFJ73" s="2805"/>
      <c r="LFK73" s="2805"/>
      <c r="LFL73" s="2805"/>
      <c r="LFM73" s="2805"/>
      <c r="LFN73" s="2805"/>
      <c r="LFO73" s="2805"/>
      <c r="LFP73" s="2805"/>
      <c r="LFQ73" s="2805"/>
      <c r="LFR73" s="2805"/>
      <c r="LFS73" s="2805"/>
      <c r="LFT73" s="2805"/>
      <c r="LFU73" s="2805"/>
      <c r="LFV73" s="2805"/>
      <c r="LFW73" s="2805"/>
      <c r="LFX73" s="2805"/>
      <c r="LFY73" s="2805"/>
      <c r="LFZ73" s="2805"/>
      <c r="LGA73" s="2805"/>
      <c r="LGB73" s="2805"/>
      <c r="LGC73" s="2805"/>
      <c r="LGD73" s="2805"/>
      <c r="LGE73" s="2805"/>
      <c r="LGF73" s="2805"/>
      <c r="LGG73" s="2805"/>
      <c r="LGH73" s="2805"/>
      <c r="LGI73" s="2805"/>
      <c r="LGJ73" s="2805"/>
      <c r="LGK73" s="2805"/>
      <c r="LGL73" s="2805"/>
      <c r="LGM73" s="2805"/>
      <c r="LGN73" s="2805"/>
      <c r="LGO73" s="2805"/>
      <c r="LGP73" s="2805"/>
      <c r="LGQ73" s="2805"/>
      <c r="LGR73" s="2805"/>
      <c r="LGS73" s="2805"/>
      <c r="LGT73" s="2805"/>
      <c r="LGU73" s="2805"/>
      <c r="LGV73" s="2805"/>
      <c r="LGW73" s="2805"/>
      <c r="LGX73" s="2805"/>
      <c r="LGY73" s="2805"/>
      <c r="LGZ73" s="2805"/>
      <c r="LHA73" s="2805"/>
      <c r="LHB73" s="2805"/>
      <c r="LHC73" s="2805"/>
      <c r="LHD73" s="2805"/>
      <c r="LHE73" s="2805"/>
      <c r="LHF73" s="2805"/>
      <c r="LHG73" s="2805"/>
      <c r="LHH73" s="2805"/>
      <c r="LHI73" s="2805"/>
      <c r="LHJ73" s="2805"/>
      <c r="LHK73" s="2805"/>
      <c r="LHL73" s="2805"/>
      <c r="LHM73" s="2805"/>
      <c r="LHN73" s="2805"/>
      <c r="LHO73" s="2805"/>
      <c r="LHP73" s="2805"/>
      <c r="LHQ73" s="2805"/>
      <c r="LHR73" s="2805"/>
      <c r="LHS73" s="2805"/>
      <c r="LHT73" s="2805"/>
      <c r="LHU73" s="2805"/>
      <c r="LHV73" s="2805"/>
      <c r="LHW73" s="2805"/>
      <c r="LHX73" s="2805"/>
      <c r="LHY73" s="2805"/>
      <c r="LHZ73" s="2805"/>
      <c r="LIA73" s="2805"/>
      <c r="LIB73" s="2805"/>
      <c r="LIC73" s="2805"/>
      <c r="LID73" s="2805"/>
      <c r="LIE73" s="2805"/>
      <c r="LIF73" s="2805"/>
      <c r="LIG73" s="2805"/>
      <c r="LIH73" s="2805"/>
      <c r="LII73" s="2805"/>
      <c r="LIJ73" s="2805"/>
      <c r="LIK73" s="2805"/>
      <c r="LIL73" s="2805"/>
      <c r="LIM73" s="2805"/>
      <c r="LIN73" s="2805"/>
      <c r="LIO73" s="2805"/>
      <c r="LIP73" s="2805"/>
      <c r="LIQ73" s="2805"/>
      <c r="LIR73" s="2805"/>
      <c r="LIS73" s="2805"/>
      <c r="LIT73" s="2805"/>
      <c r="LIU73" s="2805"/>
      <c r="LIV73" s="2805"/>
      <c r="LIW73" s="2805"/>
      <c r="LIX73" s="2805"/>
      <c r="LIY73" s="2805"/>
      <c r="LIZ73" s="2805"/>
      <c r="LJA73" s="2805"/>
      <c r="LJB73" s="2805"/>
      <c r="LJC73" s="2805"/>
      <c r="LJD73" s="2805"/>
      <c r="LJE73" s="2805"/>
      <c r="LJF73" s="2805"/>
      <c r="LJG73" s="2805"/>
      <c r="LJH73" s="2805"/>
      <c r="LJI73" s="2805"/>
      <c r="LJJ73" s="2805"/>
      <c r="LJK73" s="2805"/>
      <c r="LJL73" s="2805"/>
      <c r="LJM73" s="2805"/>
      <c r="LJN73" s="2805"/>
      <c r="LJO73" s="2805"/>
      <c r="LJP73" s="2805"/>
      <c r="LJQ73" s="2805"/>
      <c r="LJR73" s="2805"/>
      <c r="LJS73" s="2805"/>
      <c r="LJT73" s="2805"/>
      <c r="LJU73" s="2805"/>
      <c r="LJV73" s="2805"/>
      <c r="LJW73" s="2805"/>
      <c r="LJX73" s="2805"/>
      <c r="LJY73" s="2805"/>
      <c r="LJZ73" s="2805"/>
      <c r="LKA73" s="2805"/>
      <c r="LKB73" s="2805"/>
      <c r="LKC73" s="2805"/>
      <c r="LKD73" s="2805"/>
      <c r="LKE73" s="2805"/>
      <c r="LKF73" s="2805"/>
      <c r="LKG73" s="2805"/>
      <c r="LKH73" s="2805"/>
      <c r="LKI73" s="2805"/>
      <c r="LKJ73" s="2805"/>
      <c r="LKK73" s="2805"/>
      <c r="LKL73" s="2805"/>
      <c r="LKM73" s="2805"/>
      <c r="LKN73" s="2805"/>
      <c r="LKO73" s="2805"/>
      <c r="LKP73" s="2805"/>
      <c r="LKQ73" s="2805"/>
      <c r="LKR73" s="2805"/>
      <c r="LKS73" s="2805"/>
      <c r="LKT73" s="2805"/>
      <c r="LKU73" s="2805"/>
      <c r="LKV73" s="2805"/>
      <c r="LKW73" s="2805"/>
      <c r="LKX73" s="2805"/>
      <c r="LKY73" s="2805"/>
      <c r="LKZ73" s="2805"/>
      <c r="LLA73" s="2805"/>
      <c r="LLB73" s="2805"/>
      <c r="LLC73" s="2805"/>
      <c r="LLD73" s="2805"/>
      <c r="LLE73" s="2805"/>
      <c r="LLF73" s="2805"/>
      <c r="LLG73" s="2805"/>
      <c r="LLH73" s="2805"/>
      <c r="LLI73" s="2805"/>
      <c r="LLJ73" s="2805"/>
      <c r="LLK73" s="2805"/>
      <c r="LLL73" s="2805"/>
      <c r="LLM73" s="2805"/>
      <c r="LLN73" s="2805"/>
      <c r="LLO73" s="2805"/>
      <c r="LLP73" s="2805"/>
      <c r="LLQ73" s="2805"/>
      <c r="LLR73" s="2805"/>
      <c r="LLS73" s="2805"/>
      <c r="LLT73" s="2805"/>
      <c r="LLU73" s="2805"/>
      <c r="LLV73" s="2805"/>
      <c r="LLW73" s="2805"/>
      <c r="LLX73" s="2805"/>
      <c r="LLY73" s="2805"/>
      <c r="LLZ73" s="2805"/>
      <c r="LMA73" s="2805"/>
      <c r="LMB73" s="2805"/>
      <c r="LMC73" s="2805"/>
      <c r="LMD73" s="2805"/>
      <c r="LME73" s="2805"/>
      <c r="LMF73" s="2805"/>
      <c r="LMG73" s="2805"/>
      <c r="LMH73" s="2805"/>
      <c r="LMI73" s="2805"/>
      <c r="LMJ73" s="2805"/>
      <c r="LMK73" s="2805"/>
      <c r="LML73" s="2805"/>
      <c r="LMM73" s="2805"/>
      <c r="LMN73" s="2805"/>
      <c r="LMO73" s="2805"/>
      <c r="LMP73" s="2805"/>
      <c r="LMQ73" s="2805"/>
      <c r="LMR73" s="2805"/>
      <c r="LMS73" s="2805"/>
      <c r="LMT73" s="2805"/>
      <c r="LMU73" s="2805"/>
      <c r="LMV73" s="2805"/>
      <c r="LMW73" s="2805"/>
      <c r="LMX73" s="2805"/>
      <c r="LMY73" s="2805"/>
      <c r="LMZ73" s="2805"/>
      <c r="LNA73" s="2805"/>
      <c r="LNB73" s="2805"/>
      <c r="LNC73" s="2805"/>
      <c r="LND73" s="2805"/>
      <c r="LNE73" s="2805"/>
      <c r="LNF73" s="2805"/>
      <c r="LNG73" s="2805"/>
      <c r="LNH73" s="2805"/>
      <c r="LNI73" s="2805"/>
      <c r="LNJ73" s="2805"/>
      <c r="LNK73" s="2805"/>
      <c r="LNL73" s="2805"/>
      <c r="LNM73" s="2805"/>
      <c r="LNN73" s="2805"/>
      <c r="LNO73" s="2805"/>
      <c r="LNP73" s="2805"/>
      <c r="LNQ73" s="2805"/>
      <c r="LNR73" s="2805"/>
      <c r="LNS73" s="2805"/>
      <c r="LNT73" s="2805"/>
      <c r="LNU73" s="2805"/>
      <c r="LNV73" s="2805"/>
      <c r="LNW73" s="2805"/>
      <c r="LNX73" s="2805"/>
      <c r="LNY73" s="2805"/>
      <c r="LNZ73" s="2805"/>
      <c r="LOA73" s="2805"/>
      <c r="LOB73" s="2805"/>
      <c r="LOC73" s="2805"/>
      <c r="LOD73" s="2805"/>
      <c r="LOE73" s="2805"/>
      <c r="LOF73" s="2805"/>
      <c r="LOG73" s="2805"/>
      <c r="LOH73" s="2805"/>
      <c r="LOI73" s="2805"/>
      <c r="LOJ73" s="2805"/>
      <c r="LOK73" s="2805"/>
      <c r="LOL73" s="2805"/>
      <c r="LOM73" s="2805"/>
      <c r="LON73" s="2805"/>
      <c r="LOO73" s="2805"/>
      <c r="LOP73" s="2805"/>
      <c r="LOQ73" s="2805"/>
      <c r="LOR73" s="2805"/>
      <c r="LOS73" s="2805"/>
      <c r="LOT73" s="2805"/>
      <c r="LOU73" s="2805"/>
      <c r="LOV73" s="2805"/>
      <c r="LOW73" s="2805"/>
      <c r="LOX73" s="2805"/>
      <c r="LOY73" s="2805"/>
      <c r="LOZ73" s="2805"/>
      <c r="LPA73" s="2805"/>
      <c r="LPB73" s="2805"/>
      <c r="LPC73" s="2805"/>
      <c r="LPD73" s="2805"/>
      <c r="LPE73" s="2805"/>
      <c r="LPF73" s="2805"/>
      <c r="LPG73" s="2805"/>
      <c r="LPH73" s="2805"/>
      <c r="LPI73" s="2805"/>
      <c r="LPJ73" s="2805"/>
      <c r="LPK73" s="2805"/>
      <c r="LPL73" s="2805"/>
      <c r="LPM73" s="2805"/>
      <c r="LPN73" s="2805"/>
      <c r="LPO73" s="2805"/>
      <c r="LPP73" s="2805"/>
      <c r="LPQ73" s="2805"/>
      <c r="LPR73" s="2805"/>
      <c r="LPS73" s="2805"/>
      <c r="LPT73" s="2805"/>
      <c r="LPU73" s="2805"/>
      <c r="LPV73" s="2805"/>
      <c r="LPW73" s="2805"/>
      <c r="LPX73" s="2805"/>
      <c r="LPY73" s="2805"/>
      <c r="LPZ73" s="2805"/>
      <c r="LQA73" s="2805"/>
      <c r="LQB73" s="2805"/>
      <c r="LQC73" s="2805"/>
      <c r="LQD73" s="2805"/>
      <c r="LQE73" s="2805"/>
      <c r="LQF73" s="2805"/>
      <c r="LQG73" s="2805"/>
      <c r="LQH73" s="2805"/>
      <c r="LQI73" s="2805"/>
      <c r="LQJ73" s="2805"/>
      <c r="LQK73" s="2805"/>
      <c r="LQL73" s="2805"/>
      <c r="LQM73" s="2805"/>
      <c r="LQN73" s="2805"/>
      <c r="LQO73" s="2805"/>
      <c r="LQP73" s="2805"/>
      <c r="LQQ73" s="2805"/>
      <c r="LQR73" s="2805"/>
      <c r="LQS73" s="2805"/>
      <c r="LQT73" s="2805"/>
      <c r="LQU73" s="2805"/>
      <c r="LQV73" s="2805"/>
      <c r="LQW73" s="2805"/>
      <c r="LQX73" s="2805"/>
      <c r="LQY73" s="2805"/>
      <c r="LQZ73" s="2805"/>
      <c r="LRA73" s="2805"/>
      <c r="LRB73" s="2805"/>
      <c r="LRC73" s="2805"/>
      <c r="LRD73" s="2805"/>
      <c r="LRE73" s="2805"/>
      <c r="LRF73" s="2805"/>
      <c r="LRG73" s="2805"/>
      <c r="LRH73" s="2805"/>
      <c r="LRI73" s="2805"/>
      <c r="LRJ73" s="2805"/>
      <c r="LRK73" s="2805"/>
      <c r="LRL73" s="2805"/>
      <c r="LRM73" s="2805"/>
      <c r="LRN73" s="2805"/>
      <c r="LRO73" s="2805"/>
      <c r="LRP73" s="2805"/>
      <c r="LRQ73" s="2805"/>
      <c r="LRR73" s="2805"/>
      <c r="LRS73" s="2805"/>
      <c r="LRT73" s="2805"/>
      <c r="LRU73" s="2805"/>
      <c r="LRV73" s="2805"/>
      <c r="LRW73" s="2805"/>
      <c r="LRX73" s="2805"/>
      <c r="LRY73" s="2805"/>
      <c r="LRZ73" s="2805"/>
      <c r="LSA73" s="2805"/>
      <c r="LSB73" s="2805"/>
      <c r="LSC73" s="2805"/>
      <c r="LSD73" s="2805"/>
      <c r="LSE73" s="2805"/>
      <c r="LSF73" s="2805"/>
      <c r="LSG73" s="2805"/>
      <c r="LSH73" s="2805"/>
      <c r="LSI73" s="2805"/>
      <c r="LSJ73" s="2805"/>
      <c r="LSK73" s="2805"/>
      <c r="LSL73" s="2805"/>
      <c r="LSM73" s="2805"/>
      <c r="LSN73" s="2805"/>
      <c r="LSO73" s="2805"/>
      <c r="LSP73" s="2805"/>
      <c r="LSQ73" s="2805"/>
      <c r="LSR73" s="2805"/>
      <c r="LSS73" s="2805"/>
      <c r="LST73" s="2805"/>
      <c r="LSU73" s="2805"/>
      <c r="LSV73" s="2805"/>
      <c r="LSW73" s="2805"/>
      <c r="LSX73" s="2805"/>
      <c r="LSY73" s="2805"/>
      <c r="LSZ73" s="2805"/>
      <c r="LTA73" s="2805"/>
      <c r="LTB73" s="2805"/>
      <c r="LTC73" s="2805"/>
      <c r="LTD73" s="2805"/>
      <c r="LTE73" s="2805"/>
      <c r="LTF73" s="2805"/>
      <c r="LTG73" s="2805"/>
      <c r="LTH73" s="2805"/>
      <c r="LTI73" s="2805"/>
      <c r="LTJ73" s="2805"/>
      <c r="LTK73" s="2805"/>
      <c r="LTL73" s="2805"/>
      <c r="LTM73" s="2805"/>
      <c r="LTN73" s="2805"/>
      <c r="LTO73" s="2805"/>
      <c r="LTP73" s="2805"/>
      <c r="LTQ73" s="2805"/>
      <c r="LTR73" s="2805"/>
      <c r="LTS73" s="2805"/>
      <c r="LTT73" s="2805"/>
      <c r="LTU73" s="2805"/>
      <c r="LTV73" s="2805"/>
      <c r="LTW73" s="2805"/>
      <c r="LTX73" s="2805"/>
      <c r="LTY73" s="2805"/>
      <c r="LTZ73" s="2805"/>
      <c r="LUA73" s="2805"/>
      <c r="LUB73" s="2805"/>
      <c r="LUC73" s="2805"/>
      <c r="LUD73" s="2805"/>
      <c r="LUE73" s="2805"/>
      <c r="LUF73" s="2805"/>
      <c r="LUG73" s="2805"/>
      <c r="LUH73" s="2805"/>
      <c r="LUI73" s="2805"/>
      <c r="LUJ73" s="2805"/>
      <c r="LUK73" s="2805"/>
      <c r="LUL73" s="2805"/>
      <c r="LUM73" s="2805"/>
      <c r="LUN73" s="2805"/>
      <c r="LUO73" s="2805"/>
      <c r="LUP73" s="2805"/>
      <c r="LUQ73" s="2805"/>
      <c r="LUR73" s="2805"/>
      <c r="LUS73" s="2805"/>
      <c r="LUT73" s="2805"/>
      <c r="LUU73" s="2805"/>
      <c r="LUV73" s="2805"/>
      <c r="LUW73" s="2805"/>
      <c r="LUX73" s="2805"/>
      <c r="LUY73" s="2805"/>
      <c r="LUZ73" s="2805"/>
      <c r="LVA73" s="2805"/>
      <c r="LVB73" s="2805"/>
      <c r="LVC73" s="2805"/>
      <c r="LVD73" s="2805"/>
      <c r="LVE73" s="2805"/>
      <c r="LVF73" s="2805"/>
      <c r="LVG73" s="2805"/>
      <c r="LVH73" s="2805"/>
      <c r="LVI73" s="2805"/>
      <c r="LVJ73" s="2805"/>
      <c r="LVK73" s="2805"/>
      <c r="LVL73" s="2805"/>
      <c r="LVM73" s="2805"/>
      <c r="LVN73" s="2805"/>
      <c r="LVO73" s="2805"/>
      <c r="LVP73" s="2805"/>
      <c r="LVQ73" s="2805"/>
      <c r="LVR73" s="2805"/>
      <c r="LVS73" s="2805"/>
      <c r="LVT73" s="2805"/>
      <c r="LVU73" s="2805"/>
      <c r="LVV73" s="2805"/>
      <c r="LVW73" s="2805"/>
      <c r="LVX73" s="2805"/>
      <c r="LVY73" s="2805"/>
      <c r="LVZ73" s="2805"/>
      <c r="LWA73" s="2805"/>
      <c r="LWB73" s="2805"/>
      <c r="LWC73" s="2805"/>
      <c r="LWD73" s="2805"/>
      <c r="LWE73" s="2805"/>
      <c r="LWF73" s="2805"/>
      <c r="LWG73" s="2805"/>
      <c r="LWH73" s="2805"/>
      <c r="LWI73" s="2805"/>
      <c r="LWJ73" s="2805"/>
      <c r="LWK73" s="2805"/>
      <c r="LWL73" s="2805"/>
      <c r="LWM73" s="2805"/>
      <c r="LWN73" s="2805"/>
      <c r="LWO73" s="2805"/>
      <c r="LWP73" s="2805"/>
      <c r="LWQ73" s="2805"/>
      <c r="LWR73" s="2805"/>
      <c r="LWS73" s="2805"/>
      <c r="LWT73" s="2805"/>
      <c r="LWU73" s="2805"/>
      <c r="LWV73" s="2805"/>
      <c r="LWW73" s="2805"/>
      <c r="LWX73" s="2805"/>
      <c r="LWY73" s="2805"/>
      <c r="LWZ73" s="2805"/>
      <c r="LXA73" s="2805"/>
      <c r="LXB73" s="2805"/>
      <c r="LXC73" s="2805"/>
      <c r="LXD73" s="2805"/>
      <c r="LXE73" s="2805"/>
      <c r="LXF73" s="2805"/>
      <c r="LXG73" s="2805"/>
      <c r="LXH73" s="2805"/>
      <c r="LXI73" s="2805"/>
      <c r="LXJ73" s="2805"/>
      <c r="LXK73" s="2805"/>
      <c r="LXL73" s="2805"/>
      <c r="LXM73" s="2805"/>
      <c r="LXN73" s="2805"/>
      <c r="LXO73" s="2805"/>
      <c r="LXP73" s="2805"/>
      <c r="LXQ73" s="2805"/>
      <c r="LXR73" s="2805"/>
      <c r="LXS73" s="2805"/>
      <c r="LXT73" s="2805"/>
      <c r="LXU73" s="2805"/>
      <c r="LXV73" s="2805"/>
      <c r="LXW73" s="2805"/>
      <c r="LXX73" s="2805"/>
      <c r="LXY73" s="2805"/>
      <c r="LXZ73" s="2805"/>
      <c r="LYA73" s="2805"/>
      <c r="LYB73" s="2805"/>
      <c r="LYC73" s="2805"/>
      <c r="LYD73" s="2805"/>
      <c r="LYE73" s="2805"/>
      <c r="LYF73" s="2805"/>
      <c r="LYG73" s="2805"/>
      <c r="LYH73" s="2805"/>
      <c r="LYI73" s="2805"/>
      <c r="LYJ73" s="2805"/>
      <c r="LYK73" s="2805"/>
      <c r="LYL73" s="2805"/>
      <c r="LYM73" s="2805"/>
      <c r="LYN73" s="2805"/>
      <c r="LYO73" s="2805"/>
      <c r="LYP73" s="2805"/>
      <c r="LYQ73" s="2805"/>
      <c r="LYR73" s="2805"/>
      <c r="LYS73" s="2805"/>
      <c r="LYT73" s="2805"/>
      <c r="LYU73" s="2805"/>
      <c r="LYV73" s="2805"/>
      <c r="LYW73" s="2805"/>
      <c r="LYX73" s="2805"/>
      <c r="LYY73" s="2805"/>
      <c r="LYZ73" s="2805"/>
      <c r="LZA73" s="2805"/>
      <c r="LZB73" s="2805"/>
      <c r="LZC73" s="2805"/>
      <c r="LZD73" s="2805"/>
      <c r="LZE73" s="2805"/>
      <c r="LZF73" s="2805"/>
      <c r="LZG73" s="2805"/>
      <c r="LZH73" s="2805"/>
      <c r="LZI73" s="2805"/>
      <c r="LZJ73" s="2805"/>
      <c r="LZK73" s="2805"/>
      <c r="LZL73" s="2805"/>
      <c r="LZM73" s="2805"/>
      <c r="LZN73" s="2805"/>
      <c r="LZO73" s="2805"/>
      <c r="LZP73" s="2805"/>
      <c r="LZQ73" s="2805"/>
      <c r="LZR73" s="2805"/>
      <c r="LZS73" s="2805"/>
      <c r="LZT73" s="2805"/>
      <c r="LZU73" s="2805"/>
      <c r="LZV73" s="2805"/>
      <c r="LZW73" s="2805"/>
      <c r="LZX73" s="2805"/>
      <c r="LZY73" s="2805"/>
      <c r="LZZ73" s="2805"/>
      <c r="MAA73" s="2805"/>
      <c r="MAB73" s="2805"/>
      <c r="MAC73" s="2805"/>
      <c r="MAD73" s="2805"/>
      <c r="MAE73" s="2805"/>
      <c r="MAF73" s="2805"/>
      <c r="MAG73" s="2805"/>
      <c r="MAH73" s="2805"/>
      <c r="MAI73" s="2805"/>
      <c r="MAJ73" s="2805"/>
      <c r="MAK73" s="2805"/>
      <c r="MAL73" s="2805"/>
      <c r="MAM73" s="2805"/>
      <c r="MAN73" s="2805"/>
      <c r="MAO73" s="2805"/>
      <c r="MAP73" s="2805"/>
      <c r="MAQ73" s="2805"/>
      <c r="MAR73" s="2805"/>
      <c r="MAS73" s="2805"/>
      <c r="MAT73" s="2805"/>
      <c r="MAU73" s="2805"/>
      <c r="MAV73" s="2805"/>
      <c r="MAW73" s="2805"/>
      <c r="MAX73" s="2805"/>
      <c r="MAY73" s="2805"/>
      <c r="MAZ73" s="2805"/>
      <c r="MBA73" s="2805"/>
      <c r="MBB73" s="2805"/>
      <c r="MBC73" s="2805"/>
      <c r="MBD73" s="2805"/>
      <c r="MBE73" s="2805"/>
      <c r="MBF73" s="2805"/>
      <c r="MBG73" s="2805"/>
      <c r="MBH73" s="2805"/>
      <c r="MBI73" s="2805"/>
      <c r="MBJ73" s="2805"/>
      <c r="MBK73" s="2805"/>
      <c r="MBL73" s="2805"/>
      <c r="MBM73" s="2805"/>
      <c r="MBN73" s="2805"/>
      <c r="MBO73" s="2805"/>
      <c r="MBP73" s="2805"/>
      <c r="MBQ73" s="2805"/>
      <c r="MBR73" s="2805"/>
      <c r="MBS73" s="2805"/>
      <c r="MBT73" s="2805"/>
      <c r="MBU73" s="2805"/>
      <c r="MBV73" s="2805"/>
      <c r="MBW73" s="2805"/>
      <c r="MBX73" s="2805"/>
      <c r="MBY73" s="2805"/>
      <c r="MBZ73" s="2805"/>
      <c r="MCA73" s="2805"/>
      <c r="MCB73" s="2805"/>
      <c r="MCC73" s="2805"/>
      <c r="MCD73" s="2805"/>
      <c r="MCE73" s="2805"/>
      <c r="MCF73" s="2805"/>
      <c r="MCG73" s="2805"/>
      <c r="MCH73" s="2805"/>
      <c r="MCI73" s="2805"/>
      <c r="MCJ73" s="2805"/>
      <c r="MCK73" s="2805"/>
      <c r="MCL73" s="2805"/>
      <c r="MCM73" s="2805"/>
      <c r="MCN73" s="2805"/>
      <c r="MCO73" s="2805"/>
      <c r="MCP73" s="2805"/>
      <c r="MCQ73" s="2805"/>
      <c r="MCR73" s="2805"/>
      <c r="MCS73" s="2805"/>
      <c r="MCT73" s="2805"/>
      <c r="MCU73" s="2805"/>
      <c r="MCV73" s="2805"/>
      <c r="MCW73" s="2805"/>
      <c r="MCX73" s="2805"/>
      <c r="MCY73" s="2805"/>
      <c r="MCZ73" s="2805"/>
      <c r="MDA73" s="2805"/>
      <c r="MDB73" s="2805"/>
      <c r="MDC73" s="2805"/>
      <c r="MDD73" s="2805"/>
      <c r="MDE73" s="2805"/>
      <c r="MDF73" s="2805"/>
      <c r="MDG73" s="2805"/>
      <c r="MDH73" s="2805"/>
      <c r="MDI73" s="2805"/>
      <c r="MDJ73" s="2805"/>
      <c r="MDK73" s="2805"/>
      <c r="MDL73" s="2805"/>
      <c r="MDM73" s="2805"/>
      <c r="MDN73" s="2805"/>
      <c r="MDO73" s="2805"/>
      <c r="MDP73" s="2805"/>
      <c r="MDQ73" s="2805"/>
      <c r="MDR73" s="2805"/>
      <c r="MDS73" s="2805"/>
      <c r="MDT73" s="2805"/>
      <c r="MDU73" s="2805"/>
      <c r="MDV73" s="2805"/>
      <c r="MDW73" s="2805"/>
      <c r="MDX73" s="2805"/>
      <c r="MDY73" s="2805"/>
      <c r="MDZ73" s="2805"/>
      <c r="MEA73" s="2805"/>
      <c r="MEB73" s="2805"/>
      <c r="MEC73" s="2805"/>
      <c r="MED73" s="2805"/>
      <c r="MEE73" s="2805"/>
      <c r="MEF73" s="2805"/>
      <c r="MEG73" s="2805"/>
      <c r="MEH73" s="2805"/>
      <c r="MEI73" s="2805"/>
      <c r="MEJ73" s="2805"/>
      <c r="MEK73" s="2805"/>
      <c r="MEL73" s="2805"/>
      <c r="MEM73" s="2805"/>
      <c r="MEN73" s="2805"/>
      <c r="MEO73" s="2805"/>
      <c r="MEP73" s="2805"/>
      <c r="MEQ73" s="2805"/>
      <c r="MER73" s="2805"/>
      <c r="MES73" s="2805"/>
      <c r="MET73" s="2805"/>
      <c r="MEU73" s="2805"/>
      <c r="MEV73" s="2805"/>
      <c r="MEW73" s="2805"/>
      <c r="MEX73" s="2805"/>
      <c r="MEY73" s="2805"/>
      <c r="MEZ73" s="2805"/>
      <c r="MFA73" s="2805"/>
      <c r="MFB73" s="2805"/>
      <c r="MFC73" s="2805"/>
      <c r="MFD73" s="2805"/>
      <c r="MFE73" s="2805"/>
      <c r="MFF73" s="2805"/>
      <c r="MFG73" s="2805"/>
      <c r="MFH73" s="2805"/>
      <c r="MFI73" s="2805"/>
      <c r="MFJ73" s="2805"/>
      <c r="MFK73" s="2805"/>
      <c r="MFL73" s="2805"/>
      <c r="MFM73" s="2805"/>
      <c r="MFN73" s="2805"/>
      <c r="MFO73" s="2805"/>
      <c r="MFP73" s="2805"/>
      <c r="MFQ73" s="2805"/>
      <c r="MFR73" s="2805"/>
      <c r="MFS73" s="2805"/>
      <c r="MFT73" s="2805"/>
      <c r="MFU73" s="2805"/>
      <c r="MFV73" s="2805"/>
      <c r="MFW73" s="2805"/>
      <c r="MFX73" s="2805"/>
      <c r="MFY73" s="2805"/>
      <c r="MFZ73" s="2805"/>
      <c r="MGA73" s="2805"/>
      <c r="MGB73" s="2805"/>
      <c r="MGC73" s="2805"/>
      <c r="MGD73" s="2805"/>
      <c r="MGE73" s="2805"/>
      <c r="MGF73" s="2805"/>
      <c r="MGG73" s="2805"/>
      <c r="MGH73" s="2805"/>
      <c r="MGI73" s="2805"/>
      <c r="MGJ73" s="2805"/>
      <c r="MGK73" s="2805"/>
      <c r="MGL73" s="2805"/>
      <c r="MGM73" s="2805"/>
      <c r="MGN73" s="2805"/>
      <c r="MGO73" s="2805"/>
      <c r="MGP73" s="2805"/>
      <c r="MGQ73" s="2805"/>
      <c r="MGR73" s="2805"/>
      <c r="MGS73" s="2805"/>
      <c r="MGT73" s="2805"/>
      <c r="MGU73" s="2805"/>
      <c r="MGV73" s="2805"/>
      <c r="MGW73" s="2805"/>
      <c r="MGX73" s="2805"/>
      <c r="MGY73" s="2805"/>
      <c r="MGZ73" s="2805"/>
      <c r="MHA73" s="2805"/>
      <c r="MHB73" s="2805"/>
      <c r="MHC73" s="2805"/>
      <c r="MHD73" s="2805"/>
      <c r="MHE73" s="2805"/>
      <c r="MHF73" s="2805"/>
      <c r="MHG73" s="2805"/>
      <c r="MHH73" s="2805"/>
      <c r="MHI73" s="2805"/>
      <c r="MHJ73" s="2805"/>
      <c r="MHK73" s="2805"/>
      <c r="MHL73" s="2805"/>
      <c r="MHM73" s="2805"/>
      <c r="MHN73" s="2805"/>
      <c r="MHO73" s="2805"/>
      <c r="MHP73" s="2805"/>
      <c r="MHQ73" s="2805"/>
      <c r="MHR73" s="2805"/>
      <c r="MHS73" s="2805"/>
      <c r="MHT73" s="2805"/>
      <c r="MHU73" s="2805"/>
      <c r="MHV73" s="2805"/>
      <c r="MHW73" s="2805"/>
      <c r="MHX73" s="2805"/>
      <c r="MHY73" s="2805"/>
      <c r="MHZ73" s="2805"/>
      <c r="MIA73" s="2805"/>
      <c r="MIB73" s="2805"/>
      <c r="MIC73" s="2805"/>
      <c r="MID73" s="2805"/>
      <c r="MIE73" s="2805"/>
      <c r="MIF73" s="2805"/>
      <c r="MIG73" s="2805"/>
      <c r="MIH73" s="2805"/>
      <c r="MII73" s="2805"/>
      <c r="MIJ73" s="2805"/>
      <c r="MIK73" s="2805"/>
      <c r="MIL73" s="2805"/>
      <c r="MIM73" s="2805"/>
      <c r="MIN73" s="2805"/>
      <c r="MIO73" s="2805"/>
      <c r="MIP73" s="2805"/>
      <c r="MIQ73" s="2805"/>
      <c r="MIR73" s="2805"/>
      <c r="MIS73" s="2805"/>
      <c r="MIT73" s="2805"/>
      <c r="MIU73" s="2805"/>
      <c r="MIV73" s="2805"/>
      <c r="MIW73" s="2805"/>
      <c r="MIX73" s="2805"/>
      <c r="MIY73" s="2805"/>
      <c r="MIZ73" s="2805"/>
      <c r="MJA73" s="2805"/>
      <c r="MJB73" s="2805"/>
      <c r="MJC73" s="2805"/>
      <c r="MJD73" s="2805"/>
      <c r="MJE73" s="2805"/>
      <c r="MJF73" s="2805"/>
      <c r="MJG73" s="2805"/>
      <c r="MJH73" s="2805"/>
      <c r="MJI73" s="2805"/>
      <c r="MJJ73" s="2805"/>
      <c r="MJK73" s="2805"/>
      <c r="MJL73" s="2805"/>
      <c r="MJM73" s="2805"/>
      <c r="MJN73" s="2805"/>
      <c r="MJO73" s="2805"/>
      <c r="MJP73" s="2805"/>
      <c r="MJQ73" s="2805"/>
      <c r="MJR73" s="2805"/>
      <c r="MJS73" s="2805"/>
      <c r="MJT73" s="2805"/>
      <c r="MJU73" s="2805"/>
      <c r="MJV73" s="2805"/>
      <c r="MJW73" s="2805"/>
      <c r="MJX73" s="2805"/>
      <c r="MJY73" s="2805"/>
      <c r="MJZ73" s="2805"/>
      <c r="MKA73" s="2805"/>
      <c r="MKB73" s="2805"/>
      <c r="MKC73" s="2805"/>
      <c r="MKD73" s="2805"/>
      <c r="MKE73" s="2805"/>
      <c r="MKF73" s="2805"/>
      <c r="MKG73" s="2805"/>
      <c r="MKH73" s="2805"/>
      <c r="MKI73" s="2805"/>
      <c r="MKJ73" s="2805"/>
      <c r="MKK73" s="2805"/>
      <c r="MKL73" s="2805"/>
      <c r="MKM73" s="2805"/>
      <c r="MKN73" s="2805"/>
      <c r="MKO73" s="2805"/>
      <c r="MKP73" s="2805"/>
      <c r="MKQ73" s="2805"/>
      <c r="MKR73" s="2805"/>
      <c r="MKS73" s="2805"/>
      <c r="MKT73" s="2805"/>
      <c r="MKU73" s="2805"/>
      <c r="MKV73" s="2805"/>
      <c r="MKW73" s="2805"/>
      <c r="MKX73" s="2805"/>
      <c r="MKY73" s="2805"/>
      <c r="MKZ73" s="2805"/>
      <c r="MLA73" s="2805"/>
      <c r="MLB73" s="2805"/>
      <c r="MLC73" s="2805"/>
      <c r="MLD73" s="2805"/>
      <c r="MLE73" s="2805"/>
      <c r="MLF73" s="2805"/>
      <c r="MLG73" s="2805"/>
      <c r="MLH73" s="2805"/>
      <c r="MLI73" s="2805"/>
      <c r="MLJ73" s="2805"/>
      <c r="MLK73" s="2805"/>
      <c r="MLL73" s="2805"/>
      <c r="MLM73" s="2805"/>
      <c r="MLN73" s="2805"/>
      <c r="MLO73" s="2805"/>
      <c r="MLP73" s="2805"/>
      <c r="MLQ73" s="2805"/>
      <c r="MLR73" s="2805"/>
      <c r="MLS73" s="2805"/>
      <c r="MLT73" s="2805"/>
      <c r="MLU73" s="2805"/>
      <c r="MLV73" s="2805"/>
      <c r="MLW73" s="2805"/>
      <c r="MLX73" s="2805"/>
      <c r="MLY73" s="2805"/>
      <c r="MLZ73" s="2805"/>
      <c r="MMA73" s="2805"/>
      <c r="MMB73" s="2805"/>
      <c r="MMC73" s="2805"/>
      <c r="MMD73" s="2805"/>
      <c r="MME73" s="2805"/>
      <c r="MMF73" s="2805"/>
      <c r="MMG73" s="2805"/>
      <c r="MMH73" s="2805"/>
      <c r="MMI73" s="2805"/>
      <c r="MMJ73" s="2805"/>
      <c r="MMK73" s="2805"/>
      <c r="MML73" s="2805"/>
      <c r="MMM73" s="2805"/>
      <c r="MMN73" s="2805"/>
      <c r="MMO73" s="2805"/>
      <c r="MMP73" s="2805"/>
      <c r="MMQ73" s="2805"/>
      <c r="MMR73" s="2805"/>
      <c r="MMS73" s="2805"/>
      <c r="MMT73" s="2805"/>
      <c r="MMU73" s="2805"/>
      <c r="MMV73" s="2805"/>
      <c r="MMW73" s="2805"/>
      <c r="MMX73" s="2805"/>
      <c r="MMY73" s="2805"/>
      <c r="MMZ73" s="2805"/>
      <c r="MNA73" s="2805"/>
      <c r="MNB73" s="2805"/>
      <c r="MNC73" s="2805"/>
      <c r="MND73" s="2805"/>
      <c r="MNE73" s="2805"/>
      <c r="MNF73" s="2805"/>
      <c r="MNG73" s="2805"/>
      <c r="MNH73" s="2805"/>
      <c r="MNI73" s="2805"/>
      <c r="MNJ73" s="2805"/>
      <c r="MNK73" s="2805"/>
      <c r="MNL73" s="2805"/>
      <c r="MNM73" s="2805"/>
      <c r="MNN73" s="2805"/>
      <c r="MNO73" s="2805"/>
      <c r="MNP73" s="2805"/>
      <c r="MNQ73" s="2805"/>
      <c r="MNR73" s="2805"/>
      <c r="MNS73" s="2805"/>
      <c r="MNT73" s="2805"/>
      <c r="MNU73" s="2805"/>
      <c r="MNV73" s="2805"/>
      <c r="MNW73" s="2805"/>
      <c r="MNX73" s="2805"/>
      <c r="MNY73" s="2805"/>
      <c r="MNZ73" s="2805"/>
      <c r="MOA73" s="2805"/>
      <c r="MOB73" s="2805"/>
      <c r="MOC73" s="2805"/>
      <c r="MOD73" s="2805"/>
      <c r="MOE73" s="2805"/>
      <c r="MOF73" s="2805"/>
      <c r="MOG73" s="2805"/>
      <c r="MOH73" s="2805"/>
      <c r="MOI73" s="2805"/>
      <c r="MOJ73" s="2805"/>
      <c r="MOK73" s="2805"/>
      <c r="MOL73" s="2805"/>
      <c r="MOM73" s="2805"/>
      <c r="MON73" s="2805"/>
      <c r="MOO73" s="2805"/>
      <c r="MOP73" s="2805"/>
      <c r="MOQ73" s="2805"/>
      <c r="MOR73" s="2805"/>
      <c r="MOS73" s="2805"/>
      <c r="MOT73" s="2805"/>
      <c r="MOU73" s="2805"/>
      <c r="MOV73" s="2805"/>
      <c r="MOW73" s="2805"/>
      <c r="MOX73" s="2805"/>
      <c r="MOY73" s="2805"/>
      <c r="MOZ73" s="2805"/>
      <c r="MPA73" s="2805"/>
      <c r="MPB73" s="2805"/>
      <c r="MPC73" s="2805"/>
      <c r="MPD73" s="2805"/>
      <c r="MPE73" s="2805"/>
      <c r="MPF73" s="2805"/>
      <c r="MPG73" s="2805"/>
      <c r="MPH73" s="2805"/>
      <c r="MPI73" s="2805"/>
      <c r="MPJ73" s="2805"/>
      <c r="MPK73" s="2805"/>
      <c r="MPL73" s="2805"/>
      <c r="MPM73" s="2805"/>
      <c r="MPN73" s="2805"/>
      <c r="MPO73" s="2805"/>
      <c r="MPP73" s="2805"/>
      <c r="MPQ73" s="2805"/>
      <c r="MPR73" s="2805"/>
      <c r="MPS73" s="2805"/>
      <c r="MPT73" s="2805"/>
      <c r="MPU73" s="2805"/>
      <c r="MPV73" s="2805"/>
      <c r="MPW73" s="2805"/>
      <c r="MPX73" s="2805"/>
      <c r="MPY73" s="2805"/>
      <c r="MPZ73" s="2805"/>
      <c r="MQA73" s="2805"/>
      <c r="MQB73" s="2805"/>
      <c r="MQC73" s="2805"/>
      <c r="MQD73" s="2805"/>
      <c r="MQE73" s="2805"/>
      <c r="MQF73" s="2805"/>
      <c r="MQG73" s="2805"/>
      <c r="MQH73" s="2805"/>
      <c r="MQI73" s="2805"/>
      <c r="MQJ73" s="2805"/>
      <c r="MQK73" s="2805"/>
      <c r="MQL73" s="2805"/>
      <c r="MQM73" s="2805"/>
      <c r="MQN73" s="2805"/>
      <c r="MQO73" s="2805"/>
      <c r="MQP73" s="2805"/>
      <c r="MQQ73" s="2805"/>
      <c r="MQR73" s="2805"/>
      <c r="MQS73" s="2805"/>
      <c r="MQT73" s="2805"/>
      <c r="MQU73" s="2805"/>
      <c r="MQV73" s="2805"/>
      <c r="MQW73" s="2805"/>
      <c r="MQX73" s="2805"/>
      <c r="MQY73" s="2805"/>
      <c r="MQZ73" s="2805"/>
      <c r="MRA73" s="2805"/>
      <c r="MRB73" s="2805"/>
      <c r="MRC73" s="2805"/>
      <c r="MRD73" s="2805"/>
      <c r="MRE73" s="2805"/>
      <c r="MRF73" s="2805"/>
      <c r="MRG73" s="2805"/>
      <c r="MRH73" s="2805"/>
      <c r="MRI73" s="2805"/>
      <c r="MRJ73" s="2805"/>
      <c r="MRK73" s="2805"/>
      <c r="MRL73" s="2805"/>
      <c r="MRM73" s="2805"/>
      <c r="MRN73" s="2805"/>
      <c r="MRO73" s="2805"/>
      <c r="MRP73" s="2805"/>
      <c r="MRQ73" s="2805"/>
      <c r="MRR73" s="2805"/>
      <c r="MRS73" s="2805"/>
      <c r="MRT73" s="2805"/>
      <c r="MRU73" s="2805"/>
      <c r="MRV73" s="2805"/>
      <c r="MRW73" s="2805"/>
      <c r="MRX73" s="2805"/>
      <c r="MRY73" s="2805"/>
      <c r="MRZ73" s="2805"/>
      <c r="MSA73" s="2805"/>
      <c r="MSB73" s="2805"/>
      <c r="MSC73" s="2805"/>
      <c r="MSD73" s="2805"/>
      <c r="MSE73" s="2805"/>
      <c r="MSF73" s="2805"/>
      <c r="MSG73" s="2805"/>
      <c r="MSH73" s="2805"/>
      <c r="MSI73" s="2805"/>
      <c r="MSJ73" s="2805"/>
      <c r="MSK73" s="2805"/>
      <c r="MSL73" s="2805"/>
      <c r="MSM73" s="2805"/>
      <c r="MSN73" s="2805"/>
      <c r="MSO73" s="2805"/>
      <c r="MSP73" s="2805"/>
      <c r="MSQ73" s="2805"/>
      <c r="MSR73" s="2805"/>
      <c r="MSS73" s="2805"/>
      <c r="MST73" s="2805"/>
      <c r="MSU73" s="2805"/>
      <c r="MSV73" s="2805"/>
      <c r="MSW73" s="2805"/>
      <c r="MSX73" s="2805"/>
      <c r="MSY73" s="2805"/>
      <c r="MSZ73" s="2805"/>
      <c r="MTA73" s="2805"/>
      <c r="MTB73" s="2805"/>
      <c r="MTC73" s="2805"/>
      <c r="MTD73" s="2805"/>
      <c r="MTE73" s="2805"/>
      <c r="MTF73" s="2805"/>
      <c r="MTG73" s="2805"/>
      <c r="MTH73" s="2805"/>
      <c r="MTI73" s="2805"/>
      <c r="MTJ73" s="2805"/>
      <c r="MTK73" s="2805"/>
      <c r="MTL73" s="2805"/>
      <c r="MTM73" s="2805"/>
      <c r="MTN73" s="2805"/>
      <c r="MTO73" s="2805"/>
      <c r="MTP73" s="2805"/>
      <c r="MTQ73" s="2805"/>
      <c r="MTR73" s="2805"/>
      <c r="MTS73" s="2805"/>
      <c r="MTT73" s="2805"/>
      <c r="MTU73" s="2805"/>
      <c r="MTV73" s="2805"/>
      <c r="MTW73" s="2805"/>
      <c r="MTX73" s="2805"/>
      <c r="MTY73" s="2805"/>
      <c r="MTZ73" s="2805"/>
      <c r="MUA73" s="2805"/>
      <c r="MUB73" s="2805"/>
      <c r="MUC73" s="2805"/>
      <c r="MUD73" s="2805"/>
      <c r="MUE73" s="2805"/>
      <c r="MUF73" s="2805"/>
      <c r="MUG73" s="2805"/>
      <c r="MUH73" s="2805"/>
      <c r="MUI73" s="2805"/>
      <c r="MUJ73" s="2805"/>
      <c r="MUK73" s="2805"/>
      <c r="MUL73" s="2805"/>
      <c r="MUM73" s="2805"/>
      <c r="MUN73" s="2805"/>
      <c r="MUO73" s="2805"/>
      <c r="MUP73" s="2805"/>
      <c r="MUQ73" s="2805"/>
      <c r="MUR73" s="2805"/>
      <c r="MUS73" s="2805"/>
      <c r="MUT73" s="2805"/>
      <c r="MUU73" s="2805"/>
      <c r="MUV73" s="2805"/>
      <c r="MUW73" s="2805"/>
      <c r="MUX73" s="2805"/>
      <c r="MUY73" s="2805"/>
      <c r="MUZ73" s="2805"/>
      <c r="MVA73" s="2805"/>
      <c r="MVB73" s="2805"/>
      <c r="MVC73" s="2805"/>
      <c r="MVD73" s="2805"/>
      <c r="MVE73" s="2805"/>
      <c r="MVF73" s="2805"/>
      <c r="MVG73" s="2805"/>
      <c r="MVH73" s="2805"/>
      <c r="MVI73" s="2805"/>
      <c r="MVJ73" s="2805"/>
      <c r="MVK73" s="2805"/>
      <c r="MVL73" s="2805"/>
      <c r="MVM73" s="2805"/>
      <c r="MVN73" s="2805"/>
      <c r="MVO73" s="2805"/>
      <c r="MVP73" s="2805"/>
      <c r="MVQ73" s="2805"/>
      <c r="MVR73" s="2805"/>
      <c r="MVS73" s="2805"/>
      <c r="MVT73" s="2805"/>
      <c r="MVU73" s="2805"/>
      <c r="MVV73" s="2805"/>
      <c r="MVW73" s="2805"/>
      <c r="MVX73" s="2805"/>
      <c r="MVY73" s="2805"/>
      <c r="MVZ73" s="2805"/>
      <c r="MWA73" s="2805"/>
      <c r="MWB73" s="2805"/>
      <c r="MWC73" s="2805"/>
      <c r="MWD73" s="2805"/>
      <c r="MWE73" s="2805"/>
      <c r="MWF73" s="2805"/>
      <c r="MWG73" s="2805"/>
      <c r="MWH73" s="2805"/>
      <c r="MWI73" s="2805"/>
      <c r="MWJ73" s="2805"/>
      <c r="MWK73" s="2805"/>
      <c r="MWL73" s="2805"/>
      <c r="MWM73" s="2805"/>
      <c r="MWN73" s="2805"/>
      <c r="MWO73" s="2805"/>
      <c r="MWP73" s="2805"/>
      <c r="MWQ73" s="2805"/>
      <c r="MWR73" s="2805"/>
      <c r="MWS73" s="2805"/>
      <c r="MWT73" s="2805"/>
      <c r="MWU73" s="2805"/>
      <c r="MWV73" s="2805"/>
      <c r="MWW73" s="2805"/>
      <c r="MWX73" s="2805"/>
      <c r="MWY73" s="2805"/>
      <c r="MWZ73" s="2805"/>
      <c r="MXA73" s="2805"/>
      <c r="MXB73" s="2805"/>
      <c r="MXC73" s="2805"/>
      <c r="MXD73" s="2805"/>
      <c r="MXE73" s="2805"/>
      <c r="MXF73" s="2805"/>
      <c r="MXG73" s="2805"/>
      <c r="MXH73" s="2805"/>
      <c r="MXI73" s="2805"/>
      <c r="MXJ73" s="2805"/>
      <c r="MXK73" s="2805"/>
      <c r="MXL73" s="2805"/>
      <c r="MXM73" s="2805"/>
      <c r="MXN73" s="2805"/>
      <c r="MXO73" s="2805"/>
      <c r="MXP73" s="2805"/>
      <c r="MXQ73" s="2805"/>
      <c r="MXR73" s="2805"/>
      <c r="MXS73" s="2805"/>
      <c r="MXT73" s="2805"/>
      <c r="MXU73" s="2805"/>
      <c r="MXV73" s="2805"/>
      <c r="MXW73" s="2805"/>
      <c r="MXX73" s="2805"/>
      <c r="MXY73" s="2805"/>
      <c r="MXZ73" s="2805"/>
      <c r="MYA73" s="2805"/>
      <c r="MYB73" s="2805"/>
      <c r="MYC73" s="2805"/>
      <c r="MYD73" s="2805"/>
      <c r="MYE73" s="2805"/>
      <c r="MYF73" s="2805"/>
      <c r="MYG73" s="2805"/>
      <c r="MYH73" s="2805"/>
      <c r="MYI73" s="2805"/>
      <c r="MYJ73" s="2805"/>
      <c r="MYK73" s="2805"/>
      <c r="MYL73" s="2805"/>
      <c r="MYM73" s="2805"/>
      <c r="MYN73" s="2805"/>
      <c r="MYO73" s="2805"/>
      <c r="MYP73" s="2805"/>
      <c r="MYQ73" s="2805"/>
      <c r="MYR73" s="2805"/>
      <c r="MYS73" s="2805"/>
      <c r="MYT73" s="2805"/>
      <c r="MYU73" s="2805"/>
      <c r="MYV73" s="2805"/>
      <c r="MYW73" s="2805"/>
      <c r="MYX73" s="2805"/>
      <c r="MYY73" s="2805"/>
      <c r="MYZ73" s="2805"/>
      <c r="MZA73" s="2805"/>
      <c r="MZB73" s="2805"/>
      <c r="MZC73" s="2805"/>
      <c r="MZD73" s="2805"/>
      <c r="MZE73" s="2805"/>
      <c r="MZF73" s="2805"/>
      <c r="MZG73" s="2805"/>
      <c r="MZH73" s="2805"/>
      <c r="MZI73" s="2805"/>
      <c r="MZJ73" s="2805"/>
      <c r="MZK73" s="2805"/>
      <c r="MZL73" s="2805"/>
      <c r="MZM73" s="2805"/>
      <c r="MZN73" s="2805"/>
      <c r="MZO73" s="2805"/>
      <c r="MZP73" s="2805"/>
      <c r="MZQ73" s="2805"/>
      <c r="MZR73" s="2805"/>
      <c r="MZS73" s="2805"/>
      <c r="MZT73" s="2805"/>
      <c r="MZU73" s="2805"/>
      <c r="MZV73" s="2805"/>
      <c r="MZW73" s="2805"/>
      <c r="MZX73" s="2805"/>
      <c r="MZY73" s="2805"/>
      <c r="MZZ73" s="2805"/>
      <c r="NAA73" s="2805"/>
      <c r="NAB73" s="2805"/>
      <c r="NAC73" s="2805"/>
      <c r="NAD73" s="2805"/>
      <c r="NAE73" s="2805"/>
      <c r="NAF73" s="2805"/>
      <c r="NAG73" s="2805"/>
      <c r="NAH73" s="2805"/>
      <c r="NAI73" s="2805"/>
      <c r="NAJ73" s="2805"/>
      <c r="NAK73" s="2805"/>
      <c r="NAL73" s="2805"/>
      <c r="NAM73" s="2805"/>
      <c r="NAN73" s="2805"/>
      <c r="NAO73" s="2805"/>
      <c r="NAP73" s="2805"/>
      <c r="NAQ73" s="2805"/>
      <c r="NAR73" s="2805"/>
      <c r="NAS73" s="2805"/>
      <c r="NAT73" s="2805"/>
      <c r="NAU73" s="2805"/>
      <c r="NAV73" s="2805"/>
      <c r="NAW73" s="2805"/>
      <c r="NAX73" s="2805"/>
      <c r="NAY73" s="2805"/>
      <c r="NAZ73" s="2805"/>
      <c r="NBA73" s="2805"/>
      <c r="NBB73" s="2805"/>
      <c r="NBC73" s="2805"/>
      <c r="NBD73" s="2805"/>
      <c r="NBE73" s="2805"/>
      <c r="NBF73" s="2805"/>
      <c r="NBG73" s="2805"/>
      <c r="NBH73" s="2805"/>
      <c r="NBI73" s="2805"/>
      <c r="NBJ73" s="2805"/>
      <c r="NBK73" s="2805"/>
      <c r="NBL73" s="2805"/>
      <c r="NBM73" s="2805"/>
      <c r="NBN73" s="2805"/>
      <c r="NBO73" s="2805"/>
      <c r="NBP73" s="2805"/>
      <c r="NBQ73" s="2805"/>
      <c r="NBR73" s="2805"/>
      <c r="NBS73" s="2805"/>
      <c r="NBT73" s="2805"/>
      <c r="NBU73" s="2805"/>
      <c r="NBV73" s="2805"/>
      <c r="NBW73" s="2805"/>
      <c r="NBX73" s="2805"/>
      <c r="NBY73" s="2805"/>
      <c r="NBZ73" s="2805"/>
      <c r="NCA73" s="2805"/>
      <c r="NCB73" s="2805"/>
      <c r="NCC73" s="2805"/>
      <c r="NCD73" s="2805"/>
      <c r="NCE73" s="2805"/>
      <c r="NCF73" s="2805"/>
      <c r="NCG73" s="2805"/>
      <c r="NCH73" s="2805"/>
      <c r="NCI73" s="2805"/>
      <c r="NCJ73" s="2805"/>
      <c r="NCK73" s="2805"/>
      <c r="NCL73" s="2805"/>
      <c r="NCM73" s="2805"/>
      <c r="NCN73" s="2805"/>
      <c r="NCO73" s="2805"/>
      <c r="NCP73" s="2805"/>
      <c r="NCQ73" s="2805"/>
      <c r="NCR73" s="2805"/>
      <c r="NCS73" s="2805"/>
      <c r="NCT73" s="2805"/>
      <c r="NCU73" s="2805"/>
      <c r="NCV73" s="2805"/>
      <c r="NCW73" s="2805"/>
      <c r="NCX73" s="2805"/>
      <c r="NCY73" s="2805"/>
      <c r="NCZ73" s="2805"/>
      <c r="NDA73" s="2805"/>
      <c r="NDB73" s="2805"/>
      <c r="NDC73" s="2805"/>
      <c r="NDD73" s="2805"/>
      <c r="NDE73" s="2805"/>
      <c r="NDF73" s="2805"/>
      <c r="NDG73" s="2805"/>
      <c r="NDH73" s="2805"/>
      <c r="NDI73" s="2805"/>
      <c r="NDJ73" s="2805"/>
      <c r="NDK73" s="2805"/>
      <c r="NDL73" s="2805"/>
      <c r="NDM73" s="2805"/>
      <c r="NDN73" s="2805"/>
      <c r="NDO73" s="2805"/>
      <c r="NDP73" s="2805"/>
      <c r="NDQ73" s="2805"/>
      <c r="NDR73" s="2805"/>
      <c r="NDS73" s="2805"/>
      <c r="NDT73" s="2805"/>
      <c r="NDU73" s="2805"/>
      <c r="NDV73" s="2805"/>
      <c r="NDW73" s="2805"/>
      <c r="NDX73" s="2805"/>
      <c r="NDY73" s="2805"/>
      <c r="NDZ73" s="2805"/>
      <c r="NEA73" s="2805"/>
      <c r="NEB73" s="2805"/>
      <c r="NEC73" s="2805"/>
      <c r="NED73" s="2805"/>
      <c r="NEE73" s="2805"/>
      <c r="NEF73" s="2805"/>
      <c r="NEG73" s="2805"/>
      <c r="NEH73" s="2805"/>
      <c r="NEI73" s="2805"/>
      <c r="NEJ73" s="2805"/>
      <c r="NEK73" s="2805"/>
      <c r="NEL73" s="2805"/>
      <c r="NEM73" s="2805"/>
      <c r="NEN73" s="2805"/>
      <c r="NEO73" s="2805"/>
      <c r="NEP73" s="2805"/>
      <c r="NEQ73" s="2805"/>
      <c r="NER73" s="2805"/>
      <c r="NES73" s="2805"/>
      <c r="NET73" s="2805"/>
      <c r="NEU73" s="2805"/>
      <c r="NEV73" s="2805"/>
      <c r="NEW73" s="2805"/>
      <c r="NEX73" s="2805"/>
      <c r="NEY73" s="2805"/>
      <c r="NEZ73" s="2805"/>
      <c r="NFA73" s="2805"/>
      <c r="NFB73" s="2805"/>
      <c r="NFC73" s="2805"/>
      <c r="NFD73" s="2805"/>
      <c r="NFE73" s="2805"/>
      <c r="NFF73" s="2805"/>
      <c r="NFG73" s="2805"/>
      <c r="NFH73" s="2805"/>
      <c r="NFI73" s="2805"/>
      <c r="NFJ73" s="2805"/>
      <c r="NFK73" s="2805"/>
      <c r="NFL73" s="2805"/>
      <c r="NFM73" s="2805"/>
      <c r="NFN73" s="2805"/>
      <c r="NFO73" s="2805"/>
      <c r="NFP73" s="2805"/>
      <c r="NFQ73" s="2805"/>
      <c r="NFR73" s="2805"/>
      <c r="NFS73" s="2805"/>
      <c r="NFT73" s="2805"/>
      <c r="NFU73" s="2805"/>
      <c r="NFV73" s="2805"/>
      <c r="NFW73" s="2805"/>
      <c r="NFX73" s="2805"/>
      <c r="NFY73" s="2805"/>
      <c r="NFZ73" s="2805"/>
      <c r="NGA73" s="2805"/>
      <c r="NGB73" s="2805"/>
      <c r="NGC73" s="2805"/>
      <c r="NGD73" s="2805"/>
      <c r="NGE73" s="2805"/>
      <c r="NGF73" s="2805"/>
      <c r="NGG73" s="2805"/>
      <c r="NGH73" s="2805"/>
      <c r="NGI73" s="2805"/>
      <c r="NGJ73" s="2805"/>
      <c r="NGK73" s="2805"/>
      <c r="NGL73" s="2805"/>
      <c r="NGM73" s="2805"/>
      <c r="NGN73" s="2805"/>
      <c r="NGO73" s="2805"/>
      <c r="NGP73" s="2805"/>
      <c r="NGQ73" s="2805"/>
      <c r="NGR73" s="2805"/>
      <c r="NGS73" s="2805"/>
      <c r="NGT73" s="2805"/>
      <c r="NGU73" s="2805"/>
      <c r="NGV73" s="2805"/>
      <c r="NGW73" s="2805"/>
      <c r="NGX73" s="2805"/>
      <c r="NGY73" s="2805"/>
      <c r="NGZ73" s="2805"/>
      <c r="NHA73" s="2805"/>
      <c r="NHB73" s="2805"/>
      <c r="NHC73" s="2805"/>
      <c r="NHD73" s="2805"/>
      <c r="NHE73" s="2805"/>
      <c r="NHF73" s="2805"/>
      <c r="NHG73" s="2805"/>
      <c r="NHH73" s="2805"/>
      <c r="NHI73" s="2805"/>
      <c r="NHJ73" s="2805"/>
      <c r="NHK73" s="2805"/>
      <c r="NHL73" s="2805"/>
      <c r="NHM73" s="2805"/>
      <c r="NHN73" s="2805"/>
      <c r="NHO73" s="2805"/>
      <c r="NHP73" s="2805"/>
      <c r="NHQ73" s="2805"/>
      <c r="NHR73" s="2805"/>
      <c r="NHS73" s="2805"/>
      <c r="NHT73" s="2805"/>
      <c r="NHU73" s="2805"/>
      <c r="NHV73" s="2805"/>
      <c r="NHW73" s="2805"/>
      <c r="NHX73" s="2805"/>
      <c r="NHY73" s="2805"/>
      <c r="NHZ73" s="2805"/>
      <c r="NIA73" s="2805"/>
      <c r="NIB73" s="2805"/>
      <c r="NIC73" s="2805"/>
      <c r="NID73" s="2805"/>
      <c r="NIE73" s="2805"/>
      <c r="NIF73" s="2805"/>
      <c r="NIG73" s="2805"/>
      <c r="NIH73" s="2805"/>
      <c r="NII73" s="2805"/>
      <c r="NIJ73" s="2805"/>
      <c r="NIK73" s="2805"/>
      <c r="NIL73" s="2805"/>
      <c r="NIM73" s="2805"/>
      <c r="NIN73" s="2805"/>
      <c r="NIO73" s="2805"/>
      <c r="NIP73" s="2805"/>
      <c r="NIQ73" s="2805"/>
      <c r="NIR73" s="2805"/>
      <c r="NIS73" s="2805"/>
      <c r="NIT73" s="2805"/>
      <c r="NIU73" s="2805"/>
      <c r="NIV73" s="2805"/>
      <c r="NIW73" s="2805"/>
      <c r="NIX73" s="2805"/>
      <c r="NIY73" s="2805"/>
      <c r="NIZ73" s="2805"/>
      <c r="NJA73" s="2805"/>
      <c r="NJB73" s="2805"/>
      <c r="NJC73" s="2805"/>
      <c r="NJD73" s="2805"/>
      <c r="NJE73" s="2805"/>
      <c r="NJF73" s="2805"/>
      <c r="NJG73" s="2805"/>
      <c r="NJH73" s="2805"/>
      <c r="NJI73" s="2805"/>
      <c r="NJJ73" s="2805"/>
      <c r="NJK73" s="2805"/>
      <c r="NJL73" s="2805"/>
      <c r="NJM73" s="2805"/>
      <c r="NJN73" s="2805"/>
      <c r="NJO73" s="2805"/>
      <c r="NJP73" s="2805"/>
      <c r="NJQ73" s="2805"/>
      <c r="NJR73" s="2805"/>
      <c r="NJS73" s="2805"/>
      <c r="NJT73" s="2805"/>
      <c r="NJU73" s="2805"/>
      <c r="NJV73" s="2805"/>
      <c r="NJW73" s="2805"/>
      <c r="NJX73" s="2805"/>
      <c r="NJY73" s="2805"/>
      <c r="NJZ73" s="2805"/>
      <c r="NKA73" s="2805"/>
      <c r="NKB73" s="2805"/>
      <c r="NKC73" s="2805"/>
      <c r="NKD73" s="2805"/>
      <c r="NKE73" s="2805"/>
      <c r="NKF73" s="2805"/>
      <c r="NKG73" s="2805"/>
      <c r="NKH73" s="2805"/>
      <c r="NKI73" s="2805"/>
      <c r="NKJ73" s="2805"/>
      <c r="NKK73" s="2805"/>
      <c r="NKL73" s="2805"/>
      <c r="NKM73" s="2805"/>
      <c r="NKN73" s="2805"/>
      <c r="NKO73" s="2805"/>
      <c r="NKP73" s="2805"/>
      <c r="NKQ73" s="2805"/>
      <c r="NKR73" s="2805"/>
      <c r="NKS73" s="2805"/>
      <c r="NKT73" s="2805"/>
      <c r="NKU73" s="2805"/>
      <c r="NKV73" s="2805"/>
      <c r="NKW73" s="2805"/>
      <c r="NKX73" s="2805"/>
      <c r="NKY73" s="2805"/>
      <c r="NKZ73" s="2805"/>
      <c r="NLA73" s="2805"/>
      <c r="NLB73" s="2805"/>
      <c r="NLC73" s="2805"/>
      <c r="NLD73" s="2805"/>
      <c r="NLE73" s="2805"/>
      <c r="NLF73" s="2805"/>
      <c r="NLG73" s="2805"/>
      <c r="NLH73" s="2805"/>
      <c r="NLI73" s="2805"/>
      <c r="NLJ73" s="2805"/>
      <c r="NLK73" s="2805"/>
      <c r="NLL73" s="2805"/>
      <c r="NLM73" s="2805"/>
      <c r="NLN73" s="2805"/>
      <c r="NLO73" s="2805"/>
      <c r="NLP73" s="2805"/>
      <c r="NLQ73" s="2805"/>
      <c r="NLR73" s="2805"/>
      <c r="NLS73" s="2805"/>
      <c r="NLT73" s="2805"/>
      <c r="NLU73" s="2805"/>
      <c r="NLV73" s="2805"/>
      <c r="NLW73" s="2805"/>
      <c r="NLX73" s="2805"/>
      <c r="NLY73" s="2805"/>
      <c r="NLZ73" s="2805"/>
      <c r="NMA73" s="2805"/>
      <c r="NMB73" s="2805"/>
      <c r="NMC73" s="2805"/>
      <c r="NMD73" s="2805"/>
      <c r="NME73" s="2805"/>
      <c r="NMF73" s="2805"/>
      <c r="NMG73" s="2805"/>
      <c r="NMH73" s="2805"/>
      <c r="NMI73" s="2805"/>
      <c r="NMJ73" s="2805"/>
      <c r="NMK73" s="2805"/>
      <c r="NML73" s="2805"/>
      <c r="NMM73" s="2805"/>
      <c r="NMN73" s="2805"/>
      <c r="NMO73" s="2805"/>
      <c r="NMP73" s="2805"/>
      <c r="NMQ73" s="2805"/>
      <c r="NMR73" s="2805"/>
      <c r="NMS73" s="2805"/>
      <c r="NMT73" s="2805"/>
      <c r="NMU73" s="2805"/>
      <c r="NMV73" s="2805"/>
      <c r="NMW73" s="2805"/>
      <c r="NMX73" s="2805"/>
      <c r="NMY73" s="2805"/>
      <c r="NMZ73" s="2805"/>
      <c r="NNA73" s="2805"/>
      <c r="NNB73" s="2805"/>
      <c r="NNC73" s="2805"/>
      <c r="NND73" s="2805"/>
      <c r="NNE73" s="2805"/>
      <c r="NNF73" s="2805"/>
      <c r="NNG73" s="2805"/>
      <c r="NNH73" s="2805"/>
      <c r="NNI73" s="2805"/>
      <c r="NNJ73" s="2805"/>
      <c r="NNK73" s="2805"/>
      <c r="NNL73" s="2805"/>
      <c r="NNM73" s="2805"/>
      <c r="NNN73" s="2805"/>
      <c r="NNO73" s="2805"/>
      <c r="NNP73" s="2805"/>
      <c r="NNQ73" s="2805"/>
      <c r="NNR73" s="2805"/>
      <c r="NNS73" s="2805"/>
      <c r="NNT73" s="2805"/>
      <c r="NNU73" s="2805"/>
      <c r="NNV73" s="2805"/>
      <c r="NNW73" s="2805"/>
      <c r="NNX73" s="2805"/>
      <c r="NNY73" s="2805"/>
      <c r="NNZ73" s="2805"/>
      <c r="NOA73" s="2805"/>
      <c r="NOB73" s="2805"/>
      <c r="NOC73" s="2805"/>
      <c r="NOD73" s="2805"/>
      <c r="NOE73" s="2805"/>
      <c r="NOF73" s="2805"/>
      <c r="NOG73" s="2805"/>
      <c r="NOH73" s="2805"/>
      <c r="NOI73" s="2805"/>
      <c r="NOJ73" s="2805"/>
      <c r="NOK73" s="2805"/>
      <c r="NOL73" s="2805"/>
      <c r="NOM73" s="2805"/>
      <c r="NON73" s="2805"/>
      <c r="NOO73" s="2805"/>
      <c r="NOP73" s="2805"/>
      <c r="NOQ73" s="2805"/>
      <c r="NOR73" s="2805"/>
      <c r="NOS73" s="2805"/>
      <c r="NOT73" s="2805"/>
      <c r="NOU73" s="2805"/>
      <c r="NOV73" s="2805"/>
      <c r="NOW73" s="2805"/>
      <c r="NOX73" s="2805"/>
      <c r="NOY73" s="2805"/>
      <c r="NOZ73" s="2805"/>
      <c r="NPA73" s="2805"/>
      <c r="NPB73" s="2805"/>
      <c r="NPC73" s="2805"/>
      <c r="NPD73" s="2805"/>
      <c r="NPE73" s="2805"/>
      <c r="NPF73" s="2805"/>
      <c r="NPG73" s="2805"/>
      <c r="NPH73" s="2805"/>
      <c r="NPI73" s="2805"/>
      <c r="NPJ73" s="2805"/>
      <c r="NPK73" s="2805"/>
      <c r="NPL73" s="2805"/>
      <c r="NPM73" s="2805"/>
      <c r="NPN73" s="2805"/>
      <c r="NPO73" s="2805"/>
      <c r="NPP73" s="2805"/>
      <c r="NPQ73" s="2805"/>
      <c r="NPR73" s="2805"/>
      <c r="NPS73" s="2805"/>
      <c r="NPT73" s="2805"/>
      <c r="NPU73" s="2805"/>
      <c r="NPV73" s="2805"/>
      <c r="NPW73" s="2805"/>
      <c r="NPX73" s="2805"/>
      <c r="NPY73" s="2805"/>
      <c r="NPZ73" s="2805"/>
      <c r="NQA73" s="2805"/>
      <c r="NQB73" s="2805"/>
      <c r="NQC73" s="2805"/>
      <c r="NQD73" s="2805"/>
      <c r="NQE73" s="2805"/>
      <c r="NQF73" s="2805"/>
      <c r="NQG73" s="2805"/>
      <c r="NQH73" s="2805"/>
      <c r="NQI73" s="2805"/>
      <c r="NQJ73" s="2805"/>
      <c r="NQK73" s="2805"/>
      <c r="NQL73" s="2805"/>
      <c r="NQM73" s="2805"/>
      <c r="NQN73" s="2805"/>
      <c r="NQO73" s="2805"/>
      <c r="NQP73" s="2805"/>
      <c r="NQQ73" s="2805"/>
      <c r="NQR73" s="2805"/>
      <c r="NQS73" s="2805"/>
      <c r="NQT73" s="2805"/>
      <c r="NQU73" s="2805"/>
      <c r="NQV73" s="2805"/>
      <c r="NQW73" s="2805"/>
      <c r="NQX73" s="2805"/>
      <c r="NQY73" s="2805"/>
      <c r="NQZ73" s="2805"/>
      <c r="NRA73" s="2805"/>
      <c r="NRB73" s="2805"/>
      <c r="NRC73" s="2805"/>
      <c r="NRD73" s="2805"/>
      <c r="NRE73" s="2805"/>
      <c r="NRF73" s="2805"/>
      <c r="NRG73" s="2805"/>
      <c r="NRH73" s="2805"/>
      <c r="NRI73" s="2805"/>
      <c r="NRJ73" s="2805"/>
      <c r="NRK73" s="2805"/>
      <c r="NRL73" s="2805"/>
      <c r="NRM73" s="2805"/>
      <c r="NRN73" s="2805"/>
      <c r="NRO73" s="2805"/>
      <c r="NRP73" s="2805"/>
      <c r="NRQ73" s="2805"/>
      <c r="NRR73" s="2805"/>
      <c r="NRS73" s="2805"/>
      <c r="NRT73" s="2805"/>
      <c r="NRU73" s="2805"/>
      <c r="NRV73" s="2805"/>
      <c r="NRW73" s="2805"/>
      <c r="NRX73" s="2805"/>
      <c r="NRY73" s="2805"/>
      <c r="NRZ73" s="2805"/>
      <c r="NSA73" s="2805"/>
      <c r="NSB73" s="2805"/>
      <c r="NSC73" s="2805"/>
      <c r="NSD73" s="2805"/>
      <c r="NSE73" s="2805"/>
      <c r="NSF73" s="2805"/>
      <c r="NSG73" s="2805"/>
      <c r="NSH73" s="2805"/>
      <c r="NSI73" s="2805"/>
      <c r="NSJ73" s="2805"/>
      <c r="NSK73" s="2805"/>
      <c r="NSL73" s="2805"/>
      <c r="NSM73" s="2805"/>
      <c r="NSN73" s="2805"/>
      <c r="NSO73" s="2805"/>
      <c r="NSP73" s="2805"/>
      <c r="NSQ73" s="2805"/>
      <c r="NSR73" s="2805"/>
      <c r="NSS73" s="2805"/>
      <c r="NST73" s="2805"/>
      <c r="NSU73" s="2805"/>
      <c r="NSV73" s="2805"/>
      <c r="NSW73" s="2805"/>
      <c r="NSX73" s="2805"/>
      <c r="NSY73" s="2805"/>
      <c r="NSZ73" s="2805"/>
      <c r="NTA73" s="2805"/>
      <c r="NTB73" s="2805"/>
      <c r="NTC73" s="2805"/>
      <c r="NTD73" s="2805"/>
      <c r="NTE73" s="2805"/>
      <c r="NTF73" s="2805"/>
      <c r="NTG73" s="2805"/>
      <c r="NTH73" s="2805"/>
      <c r="NTI73" s="2805"/>
      <c r="NTJ73" s="2805"/>
      <c r="NTK73" s="2805"/>
      <c r="NTL73" s="2805"/>
      <c r="NTM73" s="2805"/>
      <c r="NTN73" s="2805"/>
      <c r="NTO73" s="2805"/>
      <c r="NTP73" s="2805"/>
      <c r="NTQ73" s="2805"/>
      <c r="NTR73" s="2805"/>
      <c r="NTS73" s="2805"/>
      <c r="NTT73" s="2805"/>
      <c r="NTU73" s="2805"/>
      <c r="NTV73" s="2805"/>
      <c r="NTW73" s="2805"/>
      <c r="NTX73" s="2805"/>
      <c r="NTY73" s="2805"/>
      <c r="NTZ73" s="2805"/>
      <c r="NUA73" s="2805"/>
      <c r="NUB73" s="2805"/>
      <c r="NUC73" s="2805"/>
      <c r="NUD73" s="2805"/>
      <c r="NUE73" s="2805"/>
      <c r="NUF73" s="2805"/>
      <c r="NUG73" s="2805"/>
      <c r="NUH73" s="2805"/>
      <c r="NUI73" s="2805"/>
      <c r="NUJ73" s="2805"/>
      <c r="NUK73" s="2805"/>
      <c r="NUL73" s="2805"/>
      <c r="NUM73" s="2805"/>
      <c r="NUN73" s="2805"/>
      <c r="NUO73" s="2805"/>
      <c r="NUP73" s="2805"/>
      <c r="NUQ73" s="2805"/>
      <c r="NUR73" s="2805"/>
      <c r="NUS73" s="2805"/>
      <c r="NUT73" s="2805"/>
      <c r="NUU73" s="2805"/>
      <c r="NUV73" s="2805"/>
      <c r="NUW73" s="2805"/>
      <c r="NUX73" s="2805"/>
      <c r="NUY73" s="2805"/>
      <c r="NUZ73" s="2805"/>
      <c r="NVA73" s="2805"/>
      <c r="NVB73" s="2805"/>
      <c r="NVC73" s="2805"/>
      <c r="NVD73" s="2805"/>
      <c r="NVE73" s="2805"/>
      <c r="NVF73" s="2805"/>
      <c r="NVG73" s="2805"/>
      <c r="NVH73" s="2805"/>
      <c r="NVI73" s="2805"/>
      <c r="NVJ73" s="2805"/>
      <c r="NVK73" s="2805"/>
      <c r="NVL73" s="2805"/>
      <c r="NVM73" s="2805"/>
      <c r="NVN73" s="2805"/>
      <c r="NVO73" s="2805"/>
      <c r="NVP73" s="2805"/>
      <c r="NVQ73" s="2805"/>
      <c r="NVR73" s="2805"/>
      <c r="NVS73" s="2805"/>
      <c r="NVT73" s="2805"/>
      <c r="NVU73" s="2805"/>
      <c r="NVV73" s="2805"/>
      <c r="NVW73" s="2805"/>
      <c r="NVX73" s="2805"/>
      <c r="NVY73" s="2805"/>
      <c r="NVZ73" s="2805"/>
      <c r="NWA73" s="2805"/>
      <c r="NWB73" s="2805"/>
      <c r="NWC73" s="2805"/>
      <c r="NWD73" s="2805"/>
      <c r="NWE73" s="2805"/>
      <c r="NWF73" s="2805"/>
      <c r="NWG73" s="2805"/>
      <c r="NWH73" s="2805"/>
      <c r="NWI73" s="2805"/>
      <c r="NWJ73" s="2805"/>
      <c r="NWK73" s="2805"/>
      <c r="NWL73" s="2805"/>
      <c r="NWM73" s="2805"/>
      <c r="NWN73" s="2805"/>
      <c r="NWO73" s="2805"/>
      <c r="NWP73" s="2805"/>
      <c r="NWQ73" s="2805"/>
      <c r="NWR73" s="2805"/>
      <c r="NWS73" s="2805"/>
      <c r="NWT73" s="2805"/>
      <c r="NWU73" s="2805"/>
      <c r="NWV73" s="2805"/>
      <c r="NWW73" s="2805"/>
      <c r="NWX73" s="2805"/>
      <c r="NWY73" s="2805"/>
      <c r="NWZ73" s="2805"/>
      <c r="NXA73" s="2805"/>
      <c r="NXB73" s="2805"/>
      <c r="NXC73" s="2805"/>
      <c r="NXD73" s="2805"/>
      <c r="NXE73" s="2805"/>
      <c r="NXF73" s="2805"/>
      <c r="NXG73" s="2805"/>
      <c r="NXH73" s="2805"/>
      <c r="NXI73" s="2805"/>
      <c r="NXJ73" s="2805"/>
      <c r="NXK73" s="2805"/>
      <c r="NXL73" s="2805"/>
      <c r="NXM73" s="2805"/>
      <c r="NXN73" s="2805"/>
      <c r="NXO73" s="2805"/>
      <c r="NXP73" s="2805"/>
      <c r="NXQ73" s="2805"/>
      <c r="NXR73" s="2805"/>
      <c r="NXS73" s="2805"/>
      <c r="NXT73" s="2805"/>
      <c r="NXU73" s="2805"/>
      <c r="NXV73" s="2805"/>
      <c r="NXW73" s="2805"/>
      <c r="NXX73" s="2805"/>
      <c r="NXY73" s="2805"/>
      <c r="NXZ73" s="2805"/>
      <c r="NYA73" s="2805"/>
      <c r="NYB73" s="2805"/>
      <c r="NYC73" s="2805"/>
      <c r="NYD73" s="2805"/>
      <c r="NYE73" s="2805"/>
      <c r="NYF73" s="2805"/>
      <c r="NYG73" s="2805"/>
      <c r="NYH73" s="2805"/>
      <c r="NYI73" s="2805"/>
      <c r="NYJ73" s="2805"/>
      <c r="NYK73" s="2805"/>
      <c r="NYL73" s="2805"/>
      <c r="NYM73" s="2805"/>
      <c r="NYN73" s="2805"/>
      <c r="NYO73" s="2805"/>
      <c r="NYP73" s="2805"/>
      <c r="NYQ73" s="2805"/>
      <c r="NYR73" s="2805"/>
      <c r="NYS73" s="2805"/>
      <c r="NYT73" s="2805"/>
      <c r="NYU73" s="2805"/>
      <c r="NYV73" s="2805"/>
      <c r="NYW73" s="2805"/>
      <c r="NYX73" s="2805"/>
      <c r="NYY73" s="2805"/>
      <c r="NYZ73" s="2805"/>
      <c r="NZA73" s="2805"/>
      <c r="NZB73" s="2805"/>
      <c r="NZC73" s="2805"/>
      <c r="NZD73" s="2805"/>
      <c r="NZE73" s="2805"/>
      <c r="NZF73" s="2805"/>
      <c r="NZG73" s="2805"/>
      <c r="NZH73" s="2805"/>
      <c r="NZI73" s="2805"/>
      <c r="NZJ73" s="2805"/>
      <c r="NZK73" s="2805"/>
      <c r="NZL73" s="2805"/>
      <c r="NZM73" s="2805"/>
      <c r="NZN73" s="2805"/>
      <c r="NZO73" s="2805"/>
      <c r="NZP73" s="2805"/>
      <c r="NZQ73" s="2805"/>
      <c r="NZR73" s="2805"/>
      <c r="NZS73" s="2805"/>
      <c r="NZT73" s="2805"/>
      <c r="NZU73" s="2805"/>
      <c r="NZV73" s="2805"/>
      <c r="NZW73" s="2805"/>
      <c r="NZX73" s="2805"/>
      <c r="NZY73" s="2805"/>
      <c r="NZZ73" s="2805"/>
      <c r="OAA73" s="2805"/>
      <c r="OAB73" s="2805"/>
      <c r="OAC73" s="2805"/>
      <c r="OAD73" s="2805"/>
      <c r="OAE73" s="2805"/>
      <c r="OAF73" s="2805"/>
      <c r="OAG73" s="2805"/>
      <c r="OAH73" s="2805"/>
      <c r="OAI73" s="2805"/>
      <c r="OAJ73" s="2805"/>
      <c r="OAK73" s="2805"/>
      <c r="OAL73" s="2805"/>
      <c r="OAM73" s="2805"/>
      <c r="OAN73" s="2805"/>
      <c r="OAO73" s="2805"/>
      <c r="OAP73" s="2805"/>
      <c r="OAQ73" s="2805"/>
      <c r="OAR73" s="2805"/>
      <c r="OAS73" s="2805"/>
      <c r="OAT73" s="2805"/>
      <c r="OAU73" s="2805"/>
      <c r="OAV73" s="2805"/>
      <c r="OAW73" s="2805"/>
      <c r="OAX73" s="2805"/>
      <c r="OAY73" s="2805"/>
      <c r="OAZ73" s="2805"/>
      <c r="OBA73" s="2805"/>
      <c r="OBB73" s="2805"/>
      <c r="OBC73" s="2805"/>
      <c r="OBD73" s="2805"/>
      <c r="OBE73" s="2805"/>
      <c r="OBF73" s="2805"/>
      <c r="OBG73" s="2805"/>
      <c r="OBH73" s="2805"/>
      <c r="OBI73" s="2805"/>
      <c r="OBJ73" s="2805"/>
      <c r="OBK73" s="2805"/>
      <c r="OBL73" s="2805"/>
      <c r="OBM73" s="2805"/>
      <c r="OBN73" s="2805"/>
      <c r="OBO73" s="2805"/>
      <c r="OBP73" s="2805"/>
      <c r="OBQ73" s="2805"/>
      <c r="OBR73" s="2805"/>
      <c r="OBS73" s="2805"/>
      <c r="OBT73" s="2805"/>
      <c r="OBU73" s="2805"/>
      <c r="OBV73" s="2805"/>
      <c r="OBW73" s="2805"/>
      <c r="OBX73" s="2805"/>
      <c r="OBY73" s="2805"/>
      <c r="OBZ73" s="2805"/>
      <c r="OCA73" s="2805"/>
      <c r="OCB73" s="2805"/>
      <c r="OCC73" s="2805"/>
      <c r="OCD73" s="2805"/>
      <c r="OCE73" s="2805"/>
      <c r="OCF73" s="2805"/>
      <c r="OCG73" s="2805"/>
      <c r="OCH73" s="2805"/>
      <c r="OCI73" s="2805"/>
      <c r="OCJ73" s="2805"/>
      <c r="OCK73" s="2805"/>
      <c r="OCL73" s="2805"/>
      <c r="OCM73" s="2805"/>
      <c r="OCN73" s="2805"/>
      <c r="OCO73" s="2805"/>
      <c r="OCP73" s="2805"/>
      <c r="OCQ73" s="2805"/>
      <c r="OCR73" s="2805"/>
      <c r="OCS73" s="2805"/>
      <c r="OCT73" s="2805"/>
      <c r="OCU73" s="2805"/>
      <c r="OCV73" s="2805"/>
      <c r="OCW73" s="2805"/>
      <c r="OCX73" s="2805"/>
      <c r="OCY73" s="2805"/>
      <c r="OCZ73" s="2805"/>
      <c r="ODA73" s="2805"/>
      <c r="ODB73" s="2805"/>
      <c r="ODC73" s="2805"/>
      <c r="ODD73" s="2805"/>
      <c r="ODE73" s="2805"/>
      <c r="ODF73" s="2805"/>
      <c r="ODG73" s="2805"/>
      <c r="ODH73" s="2805"/>
      <c r="ODI73" s="2805"/>
      <c r="ODJ73" s="2805"/>
      <c r="ODK73" s="2805"/>
      <c r="ODL73" s="2805"/>
      <c r="ODM73" s="2805"/>
      <c r="ODN73" s="2805"/>
      <c r="ODO73" s="2805"/>
      <c r="ODP73" s="2805"/>
      <c r="ODQ73" s="2805"/>
      <c r="ODR73" s="2805"/>
      <c r="ODS73" s="2805"/>
      <c r="ODT73" s="2805"/>
      <c r="ODU73" s="2805"/>
      <c r="ODV73" s="2805"/>
      <c r="ODW73" s="2805"/>
      <c r="ODX73" s="2805"/>
      <c r="ODY73" s="2805"/>
      <c r="ODZ73" s="2805"/>
      <c r="OEA73" s="2805"/>
      <c r="OEB73" s="2805"/>
      <c r="OEC73" s="2805"/>
      <c r="OED73" s="2805"/>
      <c r="OEE73" s="2805"/>
      <c r="OEF73" s="2805"/>
      <c r="OEG73" s="2805"/>
      <c r="OEH73" s="2805"/>
      <c r="OEI73" s="2805"/>
      <c r="OEJ73" s="2805"/>
      <c r="OEK73" s="2805"/>
      <c r="OEL73" s="2805"/>
      <c r="OEM73" s="2805"/>
      <c r="OEN73" s="2805"/>
      <c r="OEO73" s="2805"/>
      <c r="OEP73" s="2805"/>
      <c r="OEQ73" s="2805"/>
      <c r="OER73" s="2805"/>
      <c r="OES73" s="2805"/>
      <c r="OET73" s="2805"/>
      <c r="OEU73" s="2805"/>
      <c r="OEV73" s="2805"/>
      <c r="OEW73" s="2805"/>
      <c r="OEX73" s="2805"/>
      <c r="OEY73" s="2805"/>
      <c r="OEZ73" s="2805"/>
      <c r="OFA73" s="2805"/>
      <c r="OFB73" s="2805"/>
      <c r="OFC73" s="2805"/>
      <c r="OFD73" s="2805"/>
      <c r="OFE73" s="2805"/>
      <c r="OFF73" s="2805"/>
      <c r="OFG73" s="2805"/>
      <c r="OFH73" s="2805"/>
      <c r="OFI73" s="2805"/>
      <c r="OFJ73" s="2805"/>
      <c r="OFK73" s="2805"/>
      <c r="OFL73" s="2805"/>
      <c r="OFM73" s="2805"/>
      <c r="OFN73" s="2805"/>
      <c r="OFO73" s="2805"/>
      <c r="OFP73" s="2805"/>
      <c r="OFQ73" s="2805"/>
      <c r="OFR73" s="2805"/>
      <c r="OFS73" s="2805"/>
      <c r="OFT73" s="2805"/>
      <c r="OFU73" s="2805"/>
      <c r="OFV73" s="2805"/>
      <c r="OFW73" s="2805"/>
      <c r="OFX73" s="2805"/>
      <c r="OFY73" s="2805"/>
      <c r="OFZ73" s="2805"/>
      <c r="OGA73" s="2805"/>
      <c r="OGB73" s="2805"/>
      <c r="OGC73" s="2805"/>
      <c r="OGD73" s="2805"/>
      <c r="OGE73" s="2805"/>
      <c r="OGF73" s="2805"/>
      <c r="OGG73" s="2805"/>
      <c r="OGH73" s="2805"/>
      <c r="OGI73" s="2805"/>
      <c r="OGJ73" s="2805"/>
      <c r="OGK73" s="2805"/>
      <c r="OGL73" s="2805"/>
      <c r="OGM73" s="2805"/>
      <c r="OGN73" s="2805"/>
      <c r="OGO73" s="2805"/>
      <c r="OGP73" s="2805"/>
      <c r="OGQ73" s="2805"/>
      <c r="OGR73" s="2805"/>
      <c r="OGS73" s="2805"/>
      <c r="OGT73" s="2805"/>
      <c r="OGU73" s="2805"/>
      <c r="OGV73" s="2805"/>
      <c r="OGW73" s="2805"/>
      <c r="OGX73" s="2805"/>
      <c r="OGY73" s="2805"/>
      <c r="OGZ73" s="2805"/>
      <c r="OHA73" s="2805"/>
      <c r="OHB73" s="2805"/>
      <c r="OHC73" s="2805"/>
      <c r="OHD73" s="2805"/>
      <c r="OHE73" s="2805"/>
      <c r="OHF73" s="2805"/>
      <c r="OHG73" s="2805"/>
      <c r="OHH73" s="2805"/>
      <c r="OHI73" s="2805"/>
      <c r="OHJ73" s="2805"/>
      <c r="OHK73" s="2805"/>
      <c r="OHL73" s="2805"/>
      <c r="OHM73" s="2805"/>
      <c r="OHN73" s="2805"/>
      <c r="OHO73" s="2805"/>
      <c r="OHP73" s="2805"/>
      <c r="OHQ73" s="2805"/>
      <c r="OHR73" s="2805"/>
      <c r="OHS73" s="2805"/>
      <c r="OHT73" s="2805"/>
      <c r="OHU73" s="2805"/>
      <c r="OHV73" s="2805"/>
      <c r="OHW73" s="2805"/>
      <c r="OHX73" s="2805"/>
      <c r="OHY73" s="2805"/>
      <c r="OHZ73" s="2805"/>
      <c r="OIA73" s="2805"/>
      <c r="OIB73" s="2805"/>
      <c r="OIC73" s="2805"/>
      <c r="OID73" s="2805"/>
      <c r="OIE73" s="2805"/>
      <c r="OIF73" s="2805"/>
      <c r="OIG73" s="2805"/>
      <c r="OIH73" s="2805"/>
      <c r="OII73" s="2805"/>
      <c r="OIJ73" s="2805"/>
      <c r="OIK73" s="2805"/>
      <c r="OIL73" s="2805"/>
      <c r="OIM73" s="2805"/>
      <c r="OIN73" s="2805"/>
      <c r="OIO73" s="2805"/>
      <c r="OIP73" s="2805"/>
      <c r="OIQ73" s="2805"/>
      <c r="OIR73" s="2805"/>
      <c r="OIS73" s="2805"/>
      <c r="OIT73" s="2805"/>
      <c r="OIU73" s="2805"/>
      <c r="OIV73" s="2805"/>
      <c r="OIW73" s="2805"/>
      <c r="OIX73" s="2805"/>
      <c r="OIY73" s="2805"/>
      <c r="OIZ73" s="2805"/>
      <c r="OJA73" s="2805"/>
      <c r="OJB73" s="2805"/>
      <c r="OJC73" s="2805"/>
      <c r="OJD73" s="2805"/>
      <c r="OJE73" s="2805"/>
      <c r="OJF73" s="2805"/>
      <c r="OJG73" s="2805"/>
      <c r="OJH73" s="2805"/>
      <c r="OJI73" s="2805"/>
      <c r="OJJ73" s="2805"/>
      <c r="OJK73" s="2805"/>
      <c r="OJL73" s="2805"/>
      <c r="OJM73" s="2805"/>
      <c r="OJN73" s="2805"/>
      <c r="OJO73" s="2805"/>
      <c r="OJP73" s="2805"/>
      <c r="OJQ73" s="2805"/>
      <c r="OJR73" s="2805"/>
      <c r="OJS73" s="2805"/>
      <c r="OJT73" s="2805"/>
      <c r="OJU73" s="2805"/>
      <c r="OJV73" s="2805"/>
      <c r="OJW73" s="2805"/>
      <c r="OJX73" s="2805"/>
      <c r="OJY73" s="2805"/>
      <c r="OJZ73" s="2805"/>
      <c r="OKA73" s="2805"/>
      <c r="OKB73" s="2805"/>
      <c r="OKC73" s="2805"/>
      <c r="OKD73" s="2805"/>
      <c r="OKE73" s="2805"/>
      <c r="OKF73" s="2805"/>
      <c r="OKG73" s="2805"/>
      <c r="OKH73" s="2805"/>
      <c r="OKI73" s="2805"/>
      <c r="OKJ73" s="2805"/>
      <c r="OKK73" s="2805"/>
      <c r="OKL73" s="2805"/>
      <c r="OKM73" s="2805"/>
      <c r="OKN73" s="2805"/>
      <c r="OKO73" s="2805"/>
      <c r="OKP73" s="2805"/>
      <c r="OKQ73" s="2805"/>
      <c r="OKR73" s="2805"/>
      <c r="OKS73" s="2805"/>
      <c r="OKT73" s="2805"/>
      <c r="OKU73" s="2805"/>
      <c r="OKV73" s="2805"/>
      <c r="OKW73" s="2805"/>
      <c r="OKX73" s="2805"/>
      <c r="OKY73" s="2805"/>
      <c r="OKZ73" s="2805"/>
      <c r="OLA73" s="2805"/>
      <c r="OLB73" s="2805"/>
      <c r="OLC73" s="2805"/>
      <c r="OLD73" s="2805"/>
      <c r="OLE73" s="2805"/>
      <c r="OLF73" s="2805"/>
      <c r="OLG73" s="2805"/>
      <c r="OLH73" s="2805"/>
      <c r="OLI73" s="2805"/>
      <c r="OLJ73" s="2805"/>
      <c r="OLK73" s="2805"/>
      <c r="OLL73" s="2805"/>
      <c r="OLM73" s="2805"/>
      <c r="OLN73" s="2805"/>
      <c r="OLO73" s="2805"/>
      <c r="OLP73" s="2805"/>
      <c r="OLQ73" s="2805"/>
      <c r="OLR73" s="2805"/>
      <c r="OLS73" s="2805"/>
      <c r="OLT73" s="2805"/>
      <c r="OLU73" s="2805"/>
      <c r="OLV73" s="2805"/>
      <c r="OLW73" s="2805"/>
      <c r="OLX73" s="2805"/>
      <c r="OLY73" s="2805"/>
      <c r="OLZ73" s="2805"/>
      <c r="OMA73" s="2805"/>
      <c r="OMB73" s="2805"/>
      <c r="OMC73" s="2805"/>
      <c r="OMD73" s="2805"/>
      <c r="OME73" s="2805"/>
      <c r="OMF73" s="2805"/>
      <c r="OMG73" s="2805"/>
      <c r="OMH73" s="2805"/>
      <c r="OMI73" s="2805"/>
      <c r="OMJ73" s="2805"/>
      <c r="OMK73" s="2805"/>
      <c r="OML73" s="2805"/>
      <c r="OMM73" s="2805"/>
      <c r="OMN73" s="2805"/>
      <c r="OMO73" s="2805"/>
      <c r="OMP73" s="2805"/>
      <c r="OMQ73" s="2805"/>
      <c r="OMR73" s="2805"/>
      <c r="OMS73" s="2805"/>
      <c r="OMT73" s="2805"/>
      <c r="OMU73" s="2805"/>
      <c r="OMV73" s="2805"/>
      <c r="OMW73" s="2805"/>
      <c r="OMX73" s="2805"/>
      <c r="OMY73" s="2805"/>
      <c r="OMZ73" s="2805"/>
      <c r="ONA73" s="2805"/>
      <c r="ONB73" s="2805"/>
      <c r="ONC73" s="2805"/>
      <c r="OND73" s="2805"/>
      <c r="ONE73" s="2805"/>
      <c r="ONF73" s="2805"/>
      <c r="ONG73" s="2805"/>
      <c r="ONH73" s="2805"/>
      <c r="ONI73" s="2805"/>
      <c r="ONJ73" s="2805"/>
      <c r="ONK73" s="2805"/>
      <c r="ONL73" s="2805"/>
      <c r="ONM73" s="2805"/>
      <c r="ONN73" s="2805"/>
      <c r="ONO73" s="2805"/>
      <c r="ONP73" s="2805"/>
      <c r="ONQ73" s="2805"/>
      <c r="ONR73" s="2805"/>
      <c r="ONS73" s="2805"/>
      <c r="ONT73" s="2805"/>
      <c r="ONU73" s="2805"/>
      <c r="ONV73" s="2805"/>
      <c r="ONW73" s="2805"/>
      <c r="ONX73" s="2805"/>
      <c r="ONY73" s="2805"/>
      <c r="ONZ73" s="2805"/>
      <c r="OOA73" s="2805"/>
      <c r="OOB73" s="2805"/>
      <c r="OOC73" s="2805"/>
      <c r="OOD73" s="2805"/>
      <c r="OOE73" s="2805"/>
      <c r="OOF73" s="2805"/>
      <c r="OOG73" s="2805"/>
      <c r="OOH73" s="2805"/>
      <c r="OOI73" s="2805"/>
      <c r="OOJ73" s="2805"/>
      <c r="OOK73" s="2805"/>
      <c r="OOL73" s="2805"/>
      <c r="OOM73" s="2805"/>
      <c r="OON73" s="2805"/>
      <c r="OOO73" s="2805"/>
      <c r="OOP73" s="2805"/>
      <c r="OOQ73" s="2805"/>
      <c r="OOR73" s="2805"/>
      <c r="OOS73" s="2805"/>
      <c r="OOT73" s="2805"/>
      <c r="OOU73" s="2805"/>
      <c r="OOV73" s="2805"/>
      <c r="OOW73" s="2805"/>
      <c r="OOX73" s="2805"/>
      <c r="OOY73" s="2805"/>
      <c r="OOZ73" s="2805"/>
      <c r="OPA73" s="2805"/>
      <c r="OPB73" s="2805"/>
      <c r="OPC73" s="2805"/>
      <c r="OPD73" s="2805"/>
      <c r="OPE73" s="2805"/>
      <c r="OPF73" s="2805"/>
      <c r="OPG73" s="2805"/>
      <c r="OPH73" s="2805"/>
      <c r="OPI73" s="2805"/>
      <c r="OPJ73" s="2805"/>
      <c r="OPK73" s="2805"/>
      <c r="OPL73" s="2805"/>
      <c r="OPM73" s="2805"/>
      <c r="OPN73" s="2805"/>
      <c r="OPO73" s="2805"/>
      <c r="OPP73" s="2805"/>
      <c r="OPQ73" s="2805"/>
      <c r="OPR73" s="2805"/>
      <c r="OPS73" s="2805"/>
      <c r="OPT73" s="2805"/>
      <c r="OPU73" s="2805"/>
      <c r="OPV73" s="2805"/>
      <c r="OPW73" s="2805"/>
      <c r="OPX73" s="2805"/>
      <c r="OPY73" s="2805"/>
      <c r="OPZ73" s="2805"/>
      <c r="OQA73" s="2805"/>
      <c r="OQB73" s="2805"/>
      <c r="OQC73" s="2805"/>
      <c r="OQD73" s="2805"/>
      <c r="OQE73" s="2805"/>
      <c r="OQF73" s="2805"/>
      <c r="OQG73" s="2805"/>
      <c r="OQH73" s="2805"/>
      <c r="OQI73" s="2805"/>
      <c r="OQJ73" s="2805"/>
      <c r="OQK73" s="2805"/>
      <c r="OQL73" s="2805"/>
      <c r="OQM73" s="2805"/>
      <c r="OQN73" s="2805"/>
      <c r="OQO73" s="2805"/>
      <c r="OQP73" s="2805"/>
      <c r="OQQ73" s="2805"/>
      <c r="OQR73" s="2805"/>
      <c r="OQS73" s="2805"/>
      <c r="OQT73" s="2805"/>
      <c r="OQU73" s="2805"/>
      <c r="OQV73" s="2805"/>
      <c r="OQW73" s="2805"/>
      <c r="OQX73" s="2805"/>
      <c r="OQY73" s="2805"/>
      <c r="OQZ73" s="2805"/>
      <c r="ORA73" s="2805"/>
      <c r="ORB73" s="2805"/>
      <c r="ORC73" s="2805"/>
      <c r="ORD73" s="2805"/>
      <c r="ORE73" s="2805"/>
      <c r="ORF73" s="2805"/>
      <c r="ORG73" s="2805"/>
      <c r="ORH73" s="2805"/>
      <c r="ORI73" s="2805"/>
      <c r="ORJ73" s="2805"/>
      <c r="ORK73" s="2805"/>
      <c r="ORL73" s="2805"/>
      <c r="ORM73" s="2805"/>
      <c r="ORN73" s="2805"/>
      <c r="ORO73" s="2805"/>
      <c r="ORP73" s="2805"/>
      <c r="ORQ73" s="2805"/>
      <c r="ORR73" s="2805"/>
      <c r="ORS73" s="2805"/>
      <c r="ORT73" s="2805"/>
      <c r="ORU73" s="2805"/>
      <c r="ORV73" s="2805"/>
      <c r="ORW73" s="2805"/>
      <c r="ORX73" s="2805"/>
      <c r="ORY73" s="2805"/>
      <c r="ORZ73" s="2805"/>
      <c r="OSA73" s="2805"/>
      <c r="OSB73" s="2805"/>
      <c r="OSC73" s="2805"/>
      <c r="OSD73" s="2805"/>
      <c r="OSE73" s="2805"/>
      <c r="OSF73" s="2805"/>
      <c r="OSG73" s="2805"/>
      <c r="OSH73" s="2805"/>
      <c r="OSI73" s="2805"/>
      <c r="OSJ73" s="2805"/>
      <c r="OSK73" s="2805"/>
      <c r="OSL73" s="2805"/>
      <c r="OSM73" s="2805"/>
      <c r="OSN73" s="2805"/>
      <c r="OSO73" s="2805"/>
      <c r="OSP73" s="2805"/>
      <c r="OSQ73" s="2805"/>
      <c r="OSR73" s="2805"/>
      <c r="OSS73" s="2805"/>
      <c r="OST73" s="2805"/>
      <c r="OSU73" s="2805"/>
      <c r="OSV73" s="2805"/>
      <c r="OSW73" s="2805"/>
      <c r="OSX73" s="2805"/>
      <c r="OSY73" s="2805"/>
      <c r="OSZ73" s="2805"/>
      <c r="OTA73" s="2805"/>
      <c r="OTB73" s="2805"/>
      <c r="OTC73" s="2805"/>
      <c r="OTD73" s="2805"/>
      <c r="OTE73" s="2805"/>
      <c r="OTF73" s="2805"/>
      <c r="OTG73" s="2805"/>
      <c r="OTH73" s="2805"/>
      <c r="OTI73" s="2805"/>
      <c r="OTJ73" s="2805"/>
      <c r="OTK73" s="2805"/>
      <c r="OTL73" s="2805"/>
      <c r="OTM73" s="2805"/>
      <c r="OTN73" s="2805"/>
      <c r="OTO73" s="2805"/>
      <c r="OTP73" s="2805"/>
      <c r="OTQ73" s="2805"/>
      <c r="OTR73" s="2805"/>
      <c r="OTS73" s="2805"/>
      <c r="OTT73" s="2805"/>
      <c r="OTU73" s="2805"/>
      <c r="OTV73" s="2805"/>
      <c r="OTW73" s="2805"/>
      <c r="OTX73" s="2805"/>
      <c r="OTY73" s="2805"/>
      <c r="OTZ73" s="2805"/>
      <c r="OUA73" s="2805"/>
      <c r="OUB73" s="2805"/>
      <c r="OUC73" s="2805"/>
      <c r="OUD73" s="2805"/>
      <c r="OUE73" s="2805"/>
      <c r="OUF73" s="2805"/>
      <c r="OUG73" s="2805"/>
      <c r="OUH73" s="2805"/>
      <c r="OUI73" s="2805"/>
      <c r="OUJ73" s="2805"/>
      <c r="OUK73" s="2805"/>
      <c r="OUL73" s="2805"/>
      <c r="OUM73" s="2805"/>
      <c r="OUN73" s="2805"/>
      <c r="OUO73" s="2805"/>
      <c r="OUP73" s="2805"/>
      <c r="OUQ73" s="2805"/>
      <c r="OUR73" s="2805"/>
      <c r="OUS73" s="2805"/>
      <c r="OUT73" s="2805"/>
      <c r="OUU73" s="2805"/>
      <c r="OUV73" s="2805"/>
      <c r="OUW73" s="2805"/>
      <c r="OUX73" s="2805"/>
      <c r="OUY73" s="2805"/>
      <c r="OUZ73" s="2805"/>
      <c r="OVA73" s="2805"/>
      <c r="OVB73" s="2805"/>
      <c r="OVC73" s="2805"/>
      <c r="OVD73" s="2805"/>
      <c r="OVE73" s="2805"/>
      <c r="OVF73" s="2805"/>
      <c r="OVG73" s="2805"/>
      <c r="OVH73" s="2805"/>
      <c r="OVI73" s="2805"/>
      <c r="OVJ73" s="2805"/>
      <c r="OVK73" s="2805"/>
      <c r="OVL73" s="2805"/>
      <c r="OVM73" s="2805"/>
      <c r="OVN73" s="2805"/>
      <c r="OVO73" s="2805"/>
      <c r="OVP73" s="2805"/>
      <c r="OVQ73" s="2805"/>
      <c r="OVR73" s="2805"/>
      <c r="OVS73" s="2805"/>
      <c r="OVT73" s="2805"/>
      <c r="OVU73" s="2805"/>
      <c r="OVV73" s="2805"/>
      <c r="OVW73" s="2805"/>
      <c r="OVX73" s="2805"/>
      <c r="OVY73" s="2805"/>
      <c r="OVZ73" s="2805"/>
      <c r="OWA73" s="2805"/>
      <c r="OWB73" s="2805"/>
      <c r="OWC73" s="2805"/>
      <c r="OWD73" s="2805"/>
      <c r="OWE73" s="2805"/>
      <c r="OWF73" s="2805"/>
      <c r="OWG73" s="2805"/>
      <c r="OWH73" s="2805"/>
      <c r="OWI73" s="2805"/>
      <c r="OWJ73" s="2805"/>
      <c r="OWK73" s="2805"/>
      <c r="OWL73" s="2805"/>
      <c r="OWM73" s="2805"/>
      <c r="OWN73" s="2805"/>
      <c r="OWO73" s="2805"/>
      <c r="OWP73" s="2805"/>
      <c r="OWQ73" s="2805"/>
      <c r="OWR73" s="2805"/>
      <c r="OWS73" s="2805"/>
      <c r="OWT73" s="2805"/>
      <c r="OWU73" s="2805"/>
      <c r="OWV73" s="2805"/>
      <c r="OWW73" s="2805"/>
      <c r="OWX73" s="2805"/>
      <c r="OWY73" s="2805"/>
      <c r="OWZ73" s="2805"/>
      <c r="OXA73" s="2805"/>
      <c r="OXB73" s="2805"/>
      <c r="OXC73" s="2805"/>
      <c r="OXD73" s="2805"/>
      <c r="OXE73" s="2805"/>
      <c r="OXF73" s="2805"/>
      <c r="OXG73" s="2805"/>
      <c r="OXH73" s="2805"/>
      <c r="OXI73" s="2805"/>
      <c r="OXJ73" s="2805"/>
      <c r="OXK73" s="2805"/>
      <c r="OXL73" s="2805"/>
      <c r="OXM73" s="2805"/>
      <c r="OXN73" s="2805"/>
      <c r="OXO73" s="2805"/>
      <c r="OXP73" s="2805"/>
      <c r="OXQ73" s="2805"/>
      <c r="OXR73" s="2805"/>
      <c r="OXS73" s="2805"/>
      <c r="OXT73" s="2805"/>
      <c r="OXU73" s="2805"/>
      <c r="OXV73" s="2805"/>
      <c r="OXW73" s="2805"/>
      <c r="OXX73" s="2805"/>
      <c r="OXY73" s="2805"/>
      <c r="OXZ73" s="2805"/>
      <c r="OYA73" s="2805"/>
      <c r="OYB73" s="2805"/>
      <c r="OYC73" s="2805"/>
      <c r="OYD73" s="2805"/>
      <c r="OYE73" s="2805"/>
      <c r="OYF73" s="2805"/>
      <c r="OYG73" s="2805"/>
      <c r="OYH73" s="2805"/>
      <c r="OYI73" s="2805"/>
      <c r="OYJ73" s="2805"/>
      <c r="OYK73" s="2805"/>
      <c r="OYL73" s="2805"/>
      <c r="OYM73" s="2805"/>
      <c r="OYN73" s="2805"/>
      <c r="OYO73" s="2805"/>
      <c r="OYP73" s="2805"/>
      <c r="OYQ73" s="2805"/>
      <c r="OYR73" s="2805"/>
      <c r="OYS73" s="2805"/>
      <c r="OYT73" s="2805"/>
      <c r="OYU73" s="2805"/>
      <c r="OYV73" s="2805"/>
      <c r="OYW73" s="2805"/>
      <c r="OYX73" s="2805"/>
      <c r="OYY73" s="2805"/>
      <c r="OYZ73" s="2805"/>
      <c r="OZA73" s="2805"/>
      <c r="OZB73" s="2805"/>
      <c r="OZC73" s="2805"/>
      <c r="OZD73" s="2805"/>
      <c r="OZE73" s="2805"/>
      <c r="OZF73" s="2805"/>
      <c r="OZG73" s="2805"/>
      <c r="OZH73" s="2805"/>
      <c r="OZI73" s="2805"/>
      <c r="OZJ73" s="2805"/>
      <c r="OZK73" s="2805"/>
      <c r="OZL73" s="2805"/>
      <c r="OZM73" s="2805"/>
      <c r="OZN73" s="2805"/>
      <c r="OZO73" s="2805"/>
      <c r="OZP73" s="2805"/>
      <c r="OZQ73" s="2805"/>
      <c r="OZR73" s="2805"/>
      <c r="OZS73" s="2805"/>
      <c r="OZT73" s="2805"/>
      <c r="OZU73" s="2805"/>
      <c r="OZV73" s="2805"/>
      <c r="OZW73" s="2805"/>
      <c r="OZX73" s="2805"/>
      <c r="OZY73" s="2805"/>
      <c r="OZZ73" s="2805"/>
      <c r="PAA73" s="2805"/>
      <c r="PAB73" s="2805"/>
      <c r="PAC73" s="2805"/>
      <c r="PAD73" s="2805"/>
      <c r="PAE73" s="2805"/>
      <c r="PAF73" s="2805"/>
      <c r="PAG73" s="2805"/>
      <c r="PAH73" s="2805"/>
      <c r="PAI73" s="2805"/>
      <c r="PAJ73" s="2805"/>
      <c r="PAK73" s="2805"/>
      <c r="PAL73" s="2805"/>
      <c r="PAM73" s="2805"/>
      <c r="PAN73" s="2805"/>
      <c r="PAO73" s="2805"/>
      <c r="PAP73" s="2805"/>
      <c r="PAQ73" s="2805"/>
      <c r="PAR73" s="2805"/>
      <c r="PAS73" s="2805"/>
      <c r="PAT73" s="2805"/>
      <c r="PAU73" s="2805"/>
      <c r="PAV73" s="2805"/>
      <c r="PAW73" s="2805"/>
      <c r="PAX73" s="2805"/>
      <c r="PAY73" s="2805"/>
      <c r="PAZ73" s="2805"/>
      <c r="PBA73" s="2805"/>
      <c r="PBB73" s="2805"/>
      <c r="PBC73" s="2805"/>
      <c r="PBD73" s="2805"/>
      <c r="PBE73" s="2805"/>
      <c r="PBF73" s="2805"/>
      <c r="PBG73" s="2805"/>
      <c r="PBH73" s="2805"/>
      <c r="PBI73" s="2805"/>
      <c r="PBJ73" s="2805"/>
      <c r="PBK73" s="2805"/>
      <c r="PBL73" s="2805"/>
      <c r="PBM73" s="2805"/>
      <c r="PBN73" s="2805"/>
      <c r="PBO73" s="2805"/>
      <c r="PBP73" s="2805"/>
      <c r="PBQ73" s="2805"/>
      <c r="PBR73" s="2805"/>
      <c r="PBS73" s="2805"/>
      <c r="PBT73" s="2805"/>
      <c r="PBU73" s="2805"/>
      <c r="PBV73" s="2805"/>
      <c r="PBW73" s="2805"/>
      <c r="PBX73" s="2805"/>
      <c r="PBY73" s="2805"/>
      <c r="PBZ73" s="2805"/>
      <c r="PCA73" s="2805"/>
      <c r="PCB73" s="2805"/>
      <c r="PCC73" s="2805"/>
      <c r="PCD73" s="2805"/>
      <c r="PCE73" s="2805"/>
      <c r="PCF73" s="2805"/>
      <c r="PCG73" s="2805"/>
      <c r="PCH73" s="2805"/>
      <c r="PCI73" s="2805"/>
      <c r="PCJ73" s="2805"/>
      <c r="PCK73" s="2805"/>
      <c r="PCL73" s="2805"/>
      <c r="PCM73" s="2805"/>
      <c r="PCN73" s="2805"/>
      <c r="PCO73" s="2805"/>
      <c r="PCP73" s="2805"/>
      <c r="PCQ73" s="2805"/>
      <c r="PCR73" s="2805"/>
      <c r="PCS73" s="2805"/>
      <c r="PCT73" s="2805"/>
      <c r="PCU73" s="2805"/>
      <c r="PCV73" s="2805"/>
      <c r="PCW73" s="2805"/>
      <c r="PCX73" s="2805"/>
      <c r="PCY73" s="2805"/>
      <c r="PCZ73" s="2805"/>
      <c r="PDA73" s="2805"/>
      <c r="PDB73" s="2805"/>
      <c r="PDC73" s="2805"/>
      <c r="PDD73" s="2805"/>
      <c r="PDE73" s="2805"/>
      <c r="PDF73" s="2805"/>
      <c r="PDG73" s="2805"/>
      <c r="PDH73" s="2805"/>
      <c r="PDI73" s="2805"/>
      <c r="PDJ73" s="2805"/>
      <c r="PDK73" s="2805"/>
      <c r="PDL73" s="2805"/>
      <c r="PDM73" s="2805"/>
      <c r="PDN73" s="2805"/>
      <c r="PDO73" s="2805"/>
      <c r="PDP73" s="2805"/>
      <c r="PDQ73" s="2805"/>
      <c r="PDR73" s="2805"/>
      <c r="PDS73" s="2805"/>
      <c r="PDT73" s="2805"/>
      <c r="PDU73" s="2805"/>
      <c r="PDV73" s="2805"/>
      <c r="PDW73" s="2805"/>
      <c r="PDX73" s="2805"/>
      <c r="PDY73" s="2805"/>
      <c r="PDZ73" s="2805"/>
      <c r="PEA73" s="2805"/>
      <c r="PEB73" s="2805"/>
      <c r="PEC73" s="2805"/>
      <c r="PED73" s="2805"/>
      <c r="PEE73" s="2805"/>
      <c r="PEF73" s="2805"/>
      <c r="PEG73" s="2805"/>
      <c r="PEH73" s="2805"/>
      <c r="PEI73" s="2805"/>
      <c r="PEJ73" s="2805"/>
      <c r="PEK73" s="2805"/>
      <c r="PEL73" s="2805"/>
      <c r="PEM73" s="2805"/>
      <c r="PEN73" s="2805"/>
      <c r="PEO73" s="2805"/>
      <c r="PEP73" s="2805"/>
      <c r="PEQ73" s="2805"/>
      <c r="PER73" s="2805"/>
      <c r="PES73" s="2805"/>
      <c r="PET73" s="2805"/>
      <c r="PEU73" s="2805"/>
      <c r="PEV73" s="2805"/>
      <c r="PEW73" s="2805"/>
      <c r="PEX73" s="2805"/>
      <c r="PEY73" s="2805"/>
      <c r="PEZ73" s="2805"/>
      <c r="PFA73" s="2805"/>
      <c r="PFB73" s="2805"/>
      <c r="PFC73" s="2805"/>
      <c r="PFD73" s="2805"/>
      <c r="PFE73" s="2805"/>
      <c r="PFF73" s="2805"/>
      <c r="PFG73" s="2805"/>
      <c r="PFH73" s="2805"/>
      <c r="PFI73" s="2805"/>
      <c r="PFJ73" s="2805"/>
      <c r="PFK73" s="2805"/>
      <c r="PFL73" s="2805"/>
      <c r="PFM73" s="2805"/>
      <c r="PFN73" s="2805"/>
      <c r="PFO73" s="2805"/>
      <c r="PFP73" s="2805"/>
      <c r="PFQ73" s="2805"/>
      <c r="PFR73" s="2805"/>
      <c r="PFS73" s="2805"/>
      <c r="PFT73" s="2805"/>
      <c r="PFU73" s="2805"/>
      <c r="PFV73" s="2805"/>
      <c r="PFW73" s="2805"/>
      <c r="PFX73" s="2805"/>
      <c r="PFY73" s="2805"/>
      <c r="PFZ73" s="2805"/>
      <c r="PGA73" s="2805"/>
      <c r="PGB73" s="2805"/>
      <c r="PGC73" s="2805"/>
      <c r="PGD73" s="2805"/>
      <c r="PGE73" s="2805"/>
      <c r="PGF73" s="2805"/>
      <c r="PGG73" s="2805"/>
      <c r="PGH73" s="2805"/>
      <c r="PGI73" s="2805"/>
      <c r="PGJ73" s="2805"/>
      <c r="PGK73" s="2805"/>
      <c r="PGL73" s="2805"/>
      <c r="PGM73" s="2805"/>
      <c r="PGN73" s="2805"/>
      <c r="PGO73" s="2805"/>
      <c r="PGP73" s="2805"/>
      <c r="PGQ73" s="2805"/>
      <c r="PGR73" s="2805"/>
      <c r="PGS73" s="2805"/>
      <c r="PGT73" s="2805"/>
      <c r="PGU73" s="2805"/>
      <c r="PGV73" s="2805"/>
      <c r="PGW73" s="2805"/>
      <c r="PGX73" s="2805"/>
      <c r="PGY73" s="2805"/>
      <c r="PGZ73" s="2805"/>
      <c r="PHA73" s="2805"/>
      <c r="PHB73" s="2805"/>
      <c r="PHC73" s="2805"/>
      <c r="PHD73" s="2805"/>
      <c r="PHE73" s="2805"/>
      <c r="PHF73" s="2805"/>
      <c r="PHG73" s="2805"/>
      <c r="PHH73" s="2805"/>
      <c r="PHI73" s="2805"/>
      <c r="PHJ73" s="2805"/>
      <c r="PHK73" s="2805"/>
      <c r="PHL73" s="2805"/>
      <c r="PHM73" s="2805"/>
      <c r="PHN73" s="2805"/>
      <c r="PHO73" s="2805"/>
      <c r="PHP73" s="2805"/>
      <c r="PHQ73" s="2805"/>
      <c r="PHR73" s="2805"/>
      <c r="PHS73" s="2805"/>
      <c r="PHT73" s="2805"/>
      <c r="PHU73" s="2805"/>
      <c r="PHV73" s="2805"/>
      <c r="PHW73" s="2805"/>
      <c r="PHX73" s="2805"/>
      <c r="PHY73" s="2805"/>
      <c r="PHZ73" s="2805"/>
      <c r="PIA73" s="2805"/>
      <c r="PIB73" s="2805"/>
      <c r="PIC73" s="2805"/>
      <c r="PID73" s="2805"/>
      <c r="PIE73" s="2805"/>
      <c r="PIF73" s="2805"/>
      <c r="PIG73" s="2805"/>
      <c r="PIH73" s="2805"/>
      <c r="PII73" s="2805"/>
      <c r="PIJ73" s="2805"/>
      <c r="PIK73" s="2805"/>
      <c r="PIL73" s="2805"/>
      <c r="PIM73" s="2805"/>
      <c r="PIN73" s="2805"/>
      <c r="PIO73" s="2805"/>
      <c r="PIP73" s="2805"/>
      <c r="PIQ73" s="2805"/>
      <c r="PIR73" s="2805"/>
      <c r="PIS73" s="2805"/>
      <c r="PIT73" s="2805"/>
      <c r="PIU73" s="2805"/>
      <c r="PIV73" s="2805"/>
      <c r="PIW73" s="2805"/>
      <c r="PIX73" s="2805"/>
      <c r="PIY73" s="2805"/>
      <c r="PIZ73" s="2805"/>
      <c r="PJA73" s="2805"/>
      <c r="PJB73" s="2805"/>
      <c r="PJC73" s="2805"/>
      <c r="PJD73" s="2805"/>
      <c r="PJE73" s="2805"/>
      <c r="PJF73" s="2805"/>
      <c r="PJG73" s="2805"/>
      <c r="PJH73" s="2805"/>
      <c r="PJI73" s="2805"/>
      <c r="PJJ73" s="2805"/>
      <c r="PJK73" s="2805"/>
      <c r="PJL73" s="2805"/>
      <c r="PJM73" s="2805"/>
      <c r="PJN73" s="2805"/>
      <c r="PJO73" s="2805"/>
      <c r="PJP73" s="2805"/>
      <c r="PJQ73" s="2805"/>
      <c r="PJR73" s="2805"/>
      <c r="PJS73" s="2805"/>
      <c r="PJT73" s="2805"/>
      <c r="PJU73" s="2805"/>
      <c r="PJV73" s="2805"/>
      <c r="PJW73" s="2805"/>
      <c r="PJX73" s="2805"/>
      <c r="PJY73" s="2805"/>
      <c r="PJZ73" s="2805"/>
      <c r="PKA73" s="2805"/>
      <c r="PKB73" s="2805"/>
      <c r="PKC73" s="2805"/>
      <c r="PKD73" s="2805"/>
      <c r="PKE73" s="2805"/>
      <c r="PKF73" s="2805"/>
      <c r="PKG73" s="2805"/>
      <c r="PKH73" s="2805"/>
      <c r="PKI73" s="2805"/>
      <c r="PKJ73" s="2805"/>
      <c r="PKK73" s="2805"/>
      <c r="PKL73" s="2805"/>
      <c r="PKM73" s="2805"/>
      <c r="PKN73" s="2805"/>
      <c r="PKO73" s="2805"/>
      <c r="PKP73" s="2805"/>
      <c r="PKQ73" s="2805"/>
      <c r="PKR73" s="2805"/>
      <c r="PKS73" s="2805"/>
      <c r="PKT73" s="2805"/>
      <c r="PKU73" s="2805"/>
      <c r="PKV73" s="2805"/>
      <c r="PKW73" s="2805"/>
      <c r="PKX73" s="2805"/>
      <c r="PKY73" s="2805"/>
      <c r="PKZ73" s="2805"/>
      <c r="PLA73" s="2805"/>
      <c r="PLB73" s="2805"/>
      <c r="PLC73" s="2805"/>
      <c r="PLD73" s="2805"/>
      <c r="PLE73" s="2805"/>
      <c r="PLF73" s="2805"/>
      <c r="PLG73" s="2805"/>
      <c r="PLH73" s="2805"/>
      <c r="PLI73" s="2805"/>
      <c r="PLJ73" s="2805"/>
      <c r="PLK73" s="2805"/>
      <c r="PLL73" s="2805"/>
      <c r="PLM73" s="2805"/>
      <c r="PLN73" s="2805"/>
      <c r="PLO73" s="2805"/>
      <c r="PLP73" s="2805"/>
      <c r="PLQ73" s="2805"/>
      <c r="PLR73" s="2805"/>
      <c r="PLS73" s="2805"/>
      <c r="PLT73" s="2805"/>
      <c r="PLU73" s="2805"/>
      <c r="PLV73" s="2805"/>
      <c r="PLW73" s="2805"/>
      <c r="PLX73" s="2805"/>
      <c r="PLY73" s="2805"/>
      <c r="PLZ73" s="2805"/>
      <c r="PMA73" s="2805"/>
      <c r="PMB73" s="2805"/>
      <c r="PMC73" s="2805"/>
      <c r="PMD73" s="2805"/>
      <c r="PME73" s="2805"/>
      <c r="PMF73" s="2805"/>
      <c r="PMG73" s="2805"/>
      <c r="PMH73" s="2805"/>
      <c r="PMI73" s="2805"/>
      <c r="PMJ73" s="2805"/>
      <c r="PMK73" s="2805"/>
      <c r="PML73" s="2805"/>
      <c r="PMM73" s="2805"/>
      <c r="PMN73" s="2805"/>
      <c r="PMO73" s="2805"/>
      <c r="PMP73" s="2805"/>
      <c r="PMQ73" s="2805"/>
      <c r="PMR73" s="2805"/>
      <c r="PMS73" s="2805"/>
      <c r="PMT73" s="2805"/>
      <c r="PMU73" s="2805"/>
      <c r="PMV73" s="2805"/>
      <c r="PMW73" s="2805"/>
      <c r="PMX73" s="2805"/>
      <c r="PMY73" s="2805"/>
      <c r="PMZ73" s="2805"/>
      <c r="PNA73" s="2805"/>
      <c r="PNB73" s="2805"/>
      <c r="PNC73" s="2805"/>
      <c r="PND73" s="2805"/>
      <c r="PNE73" s="2805"/>
      <c r="PNF73" s="2805"/>
      <c r="PNG73" s="2805"/>
      <c r="PNH73" s="2805"/>
      <c r="PNI73" s="2805"/>
      <c r="PNJ73" s="2805"/>
      <c r="PNK73" s="2805"/>
      <c r="PNL73" s="2805"/>
      <c r="PNM73" s="2805"/>
      <c r="PNN73" s="2805"/>
      <c r="PNO73" s="2805"/>
      <c r="PNP73" s="2805"/>
      <c r="PNQ73" s="2805"/>
      <c r="PNR73" s="2805"/>
      <c r="PNS73" s="2805"/>
      <c r="PNT73" s="2805"/>
      <c r="PNU73" s="2805"/>
      <c r="PNV73" s="2805"/>
      <c r="PNW73" s="2805"/>
      <c r="PNX73" s="2805"/>
      <c r="PNY73" s="2805"/>
      <c r="PNZ73" s="2805"/>
      <c r="POA73" s="2805"/>
      <c r="POB73" s="2805"/>
      <c r="POC73" s="2805"/>
      <c r="POD73" s="2805"/>
      <c r="POE73" s="2805"/>
      <c r="POF73" s="2805"/>
      <c r="POG73" s="2805"/>
      <c r="POH73" s="2805"/>
      <c r="POI73" s="2805"/>
      <c r="POJ73" s="2805"/>
      <c r="POK73" s="2805"/>
      <c r="POL73" s="2805"/>
      <c r="POM73" s="2805"/>
      <c r="PON73" s="2805"/>
      <c r="POO73" s="2805"/>
      <c r="POP73" s="2805"/>
      <c r="POQ73" s="2805"/>
      <c r="POR73" s="2805"/>
      <c r="POS73" s="2805"/>
      <c r="POT73" s="2805"/>
      <c r="POU73" s="2805"/>
      <c r="POV73" s="2805"/>
      <c r="POW73" s="2805"/>
      <c r="POX73" s="2805"/>
      <c r="POY73" s="2805"/>
      <c r="POZ73" s="2805"/>
      <c r="PPA73" s="2805"/>
      <c r="PPB73" s="2805"/>
      <c r="PPC73" s="2805"/>
      <c r="PPD73" s="2805"/>
      <c r="PPE73" s="2805"/>
      <c r="PPF73" s="2805"/>
      <c r="PPG73" s="2805"/>
      <c r="PPH73" s="2805"/>
      <c r="PPI73" s="2805"/>
      <c r="PPJ73" s="2805"/>
      <c r="PPK73" s="2805"/>
      <c r="PPL73" s="2805"/>
      <c r="PPM73" s="2805"/>
      <c r="PPN73" s="2805"/>
      <c r="PPO73" s="2805"/>
      <c r="PPP73" s="2805"/>
      <c r="PPQ73" s="2805"/>
      <c r="PPR73" s="2805"/>
      <c r="PPS73" s="2805"/>
      <c r="PPT73" s="2805"/>
      <c r="PPU73" s="2805"/>
      <c r="PPV73" s="2805"/>
      <c r="PPW73" s="2805"/>
      <c r="PPX73" s="2805"/>
      <c r="PPY73" s="2805"/>
      <c r="PPZ73" s="2805"/>
      <c r="PQA73" s="2805"/>
      <c r="PQB73" s="2805"/>
      <c r="PQC73" s="2805"/>
      <c r="PQD73" s="2805"/>
      <c r="PQE73" s="2805"/>
      <c r="PQF73" s="2805"/>
      <c r="PQG73" s="2805"/>
      <c r="PQH73" s="2805"/>
      <c r="PQI73" s="2805"/>
      <c r="PQJ73" s="2805"/>
      <c r="PQK73" s="2805"/>
      <c r="PQL73" s="2805"/>
      <c r="PQM73" s="2805"/>
      <c r="PQN73" s="2805"/>
      <c r="PQO73" s="2805"/>
      <c r="PQP73" s="2805"/>
      <c r="PQQ73" s="2805"/>
      <c r="PQR73" s="2805"/>
      <c r="PQS73" s="2805"/>
      <c r="PQT73" s="2805"/>
      <c r="PQU73" s="2805"/>
      <c r="PQV73" s="2805"/>
      <c r="PQW73" s="2805"/>
      <c r="PQX73" s="2805"/>
      <c r="PQY73" s="2805"/>
      <c r="PQZ73" s="2805"/>
      <c r="PRA73" s="2805"/>
      <c r="PRB73" s="2805"/>
      <c r="PRC73" s="2805"/>
      <c r="PRD73" s="2805"/>
      <c r="PRE73" s="2805"/>
      <c r="PRF73" s="2805"/>
      <c r="PRG73" s="2805"/>
      <c r="PRH73" s="2805"/>
      <c r="PRI73" s="2805"/>
      <c r="PRJ73" s="2805"/>
      <c r="PRK73" s="2805"/>
      <c r="PRL73" s="2805"/>
      <c r="PRM73" s="2805"/>
      <c r="PRN73" s="2805"/>
      <c r="PRO73" s="2805"/>
      <c r="PRP73" s="2805"/>
      <c r="PRQ73" s="2805"/>
      <c r="PRR73" s="2805"/>
      <c r="PRS73" s="2805"/>
      <c r="PRT73" s="2805"/>
      <c r="PRU73" s="2805"/>
      <c r="PRV73" s="2805"/>
      <c r="PRW73" s="2805"/>
      <c r="PRX73" s="2805"/>
      <c r="PRY73" s="2805"/>
      <c r="PRZ73" s="2805"/>
      <c r="PSA73" s="2805"/>
      <c r="PSB73" s="2805"/>
      <c r="PSC73" s="2805"/>
      <c r="PSD73" s="2805"/>
      <c r="PSE73" s="2805"/>
      <c r="PSF73" s="2805"/>
      <c r="PSG73" s="2805"/>
      <c r="PSH73" s="2805"/>
      <c r="PSI73" s="2805"/>
      <c r="PSJ73" s="2805"/>
      <c r="PSK73" s="2805"/>
      <c r="PSL73" s="2805"/>
      <c r="PSM73" s="2805"/>
      <c r="PSN73" s="2805"/>
      <c r="PSO73" s="2805"/>
      <c r="PSP73" s="2805"/>
      <c r="PSQ73" s="2805"/>
      <c r="PSR73" s="2805"/>
      <c r="PSS73" s="2805"/>
      <c r="PST73" s="2805"/>
      <c r="PSU73" s="2805"/>
      <c r="PSV73" s="2805"/>
      <c r="PSW73" s="2805"/>
      <c r="PSX73" s="2805"/>
      <c r="PSY73" s="2805"/>
      <c r="PSZ73" s="2805"/>
      <c r="PTA73" s="2805"/>
      <c r="PTB73" s="2805"/>
      <c r="PTC73" s="2805"/>
      <c r="PTD73" s="2805"/>
      <c r="PTE73" s="2805"/>
      <c r="PTF73" s="2805"/>
      <c r="PTG73" s="2805"/>
      <c r="PTH73" s="2805"/>
      <c r="PTI73" s="2805"/>
      <c r="PTJ73" s="2805"/>
      <c r="PTK73" s="2805"/>
      <c r="PTL73" s="2805"/>
      <c r="PTM73" s="2805"/>
      <c r="PTN73" s="2805"/>
      <c r="PTO73" s="2805"/>
      <c r="PTP73" s="2805"/>
      <c r="PTQ73" s="2805"/>
      <c r="PTR73" s="2805"/>
      <c r="PTS73" s="2805"/>
      <c r="PTT73" s="2805"/>
      <c r="PTU73" s="2805"/>
      <c r="PTV73" s="2805"/>
      <c r="PTW73" s="2805"/>
      <c r="PTX73" s="2805"/>
      <c r="PTY73" s="2805"/>
      <c r="PTZ73" s="2805"/>
      <c r="PUA73" s="2805"/>
      <c r="PUB73" s="2805"/>
      <c r="PUC73" s="2805"/>
      <c r="PUD73" s="2805"/>
      <c r="PUE73" s="2805"/>
      <c r="PUF73" s="2805"/>
      <c r="PUG73" s="2805"/>
      <c r="PUH73" s="2805"/>
      <c r="PUI73" s="2805"/>
      <c r="PUJ73" s="2805"/>
      <c r="PUK73" s="2805"/>
      <c r="PUL73" s="2805"/>
      <c r="PUM73" s="2805"/>
      <c r="PUN73" s="2805"/>
      <c r="PUO73" s="2805"/>
      <c r="PUP73" s="2805"/>
      <c r="PUQ73" s="2805"/>
      <c r="PUR73" s="2805"/>
      <c r="PUS73" s="2805"/>
      <c r="PUT73" s="2805"/>
      <c r="PUU73" s="2805"/>
      <c r="PUV73" s="2805"/>
      <c r="PUW73" s="2805"/>
      <c r="PUX73" s="2805"/>
      <c r="PUY73" s="2805"/>
      <c r="PUZ73" s="2805"/>
      <c r="PVA73" s="2805"/>
      <c r="PVB73" s="2805"/>
      <c r="PVC73" s="2805"/>
      <c r="PVD73" s="2805"/>
      <c r="PVE73" s="2805"/>
      <c r="PVF73" s="2805"/>
      <c r="PVG73" s="2805"/>
      <c r="PVH73" s="2805"/>
      <c r="PVI73" s="2805"/>
      <c r="PVJ73" s="2805"/>
      <c r="PVK73" s="2805"/>
      <c r="PVL73" s="2805"/>
      <c r="PVM73" s="2805"/>
      <c r="PVN73" s="2805"/>
      <c r="PVO73" s="2805"/>
      <c r="PVP73" s="2805"/>
      <c r="PVQ73" s="2805"/>
      <c r="PVR73" s="2805"/>
      <c r="PVS73" s="2805"/>
      <c r="PVT73" s="2805"/>
      <c r="PVU73" s="2805"/>
      <c r="PVV73" s="2805"/>
      <c r="PVW73" s="2805"/>
      <c r="PVX73" s="2805"/>
      <c r="PVY73" s="2805"/>
      <c r="PVZ73" s="2805"/>
      <c r="PWA73" s="2805"/>
      <c r="PWB73" s="2805"/>
      <c r="PWC73" s="2805"/>
      <c r="PWD73" s="2805"/>
      <c r="PWE73" s="2805"/>
      <c r="PWF73" s="2805"/>
      <c r="PWG73" s="2805"/>
      <c r="PWH73" s="2805"/>
      <c r="PWI73" s="2805"/>
      <c r="PWJ73" s="2805"/>
      <c r="PWK73" s="2805"/>
      <c r="PWL73" s="2805"/>
      <c r="PWM73" s="2805"/>
      <c r="PWN73" s="2805"/>
      <c r="PWO73" s="2805"/>
      <c r="PWP73" s="2805"/>
      <c r="PWQ73" s="2805"/>
      <c r="PWR73" s="2805"/>
      <c r="PWS73" s="2805"/>
      <c r="PWT73" s="2805"/>
      <c r="PWU73" s="2805"/>
      <c r="PWV73" s="2805"/>
      <c r="PWW73" s="2805"/>
      <c r="PWX73" s="2805"/>
      <c r="PWY73" s="2805"/>
      <c r="PWZ73" s="2805"/>
      <c r="PXA73" s="2805"/>
      <c r="PXB73" s="2805"/>
      <c r="PXC73" s="2805"/>
      <c r="PXD73" s="2805"/>
      <c r="PXE73" s="2805"/>
      <c r="PXF73" s="2805"/>
      <c r="PXG73" s="2805"/>
      <c r="PXH73" s="2805"/>
      <c r="PXI73" s="2805"/>
      <c r="PXJ73" s="2805"/>
      <c r="PXK73" s="2805"/>
      <c r="PXL73" s="2805"/>
      <c r="PXM73" s="2805"/>
      <c r="PXN73" s="2805"/>
      <c r="PXO73" s="2805"/>
      <c r="PXP73" s="2805"/>
      <c r="PXQ73" s="2805"/>
      <c r="PXR73" s="2805"/>
      <c r="PXS73" s="2805"/>
      <c r="PXT73" s="2805"/>
      <c r="PXU73" s="2805"/>
      <c r="PXV73" s="2805"/>
      <c r="PXW73" s="2805"/>
      <c r="PXX73" s="2805"/>
      <c r="PXY73" s="2805"/>
      <c r="PXZ73" s="2805"/>
      <c r="PYA73" s="2805"/>
      <c r="PYB73" s="2805"/>
      <c r="PYC73" s="2805"/>
      <c r="PYD73" s="2805"/>
      <c r="PYE73" s="2805"/>
      <c r="PYF73" s="2805"/>
      <c r="PYG73" s="2805"/>
      <c r="PYH73" s="2805"/>
      <c r="PYI73" s="2805"/>
      <c r="PYJ73" s="2805"/>
      <c r="PYK73" s="2805"/>
      <c r="PYL73" s="2805"/>
      <c r="PYM73" s="2805"/>
      <c r="PYN73" s="2805"/>
      <c r="PYO73" s="2805"/>
      <c r="PYP73" s="2805"/>
      <c r="PYQ73" s="2805"/>
      <c r="PYR73" s="2805"/>
      <c r="PYS73" s="2805"/>
      <c r="PYT73" s="2805"/>
      <c r="PYU73" s="2805"/>
      <c r="PYV73" s="2805"/>
      <c r="PYW73" s="2805"/>
      <c r="PYX73" s="2805"/>
      <c r="PYY73" s="2805"/>
      <c r="PYZ73" s="2805"/>
      <c r="PZA73" s="2805"/>
      <c r="PZB73" s="2805"/>
      <c r="PZC73" s="2805"/>
      <c r="PZD73" s="2805"/>
      <c r="PZE73" s="2805"/>
      <c r="PZF73" s="2805"/>
      <c r="PZG73" s="2805"/>
      <c r="PZH73" s="2805"/>
      <c r="PZI73" s="2805"/>
      <c r="PZJ73" s="2805"/>
      <c r="PZK73" s="2805"/>
      <c r="PZL73" s="2805"/>
      <c r="PZM73" s="2805"/>
      <c r="PZN73" s="2805"/>
      <c r="PZO73" s="2805"/>
      <c r="PZP73" s="2805"/>
      <c r="PZQ73" s="2805"/>
      <c r="PZR73" s="2805"/>
      <c r="PZS73" s="2805"/>
      <c r="PZT73" s="2805"/>
      <c r="PZU73" s="2805"/>
      <c r="PZV73" s="2805"/>
      <c r="PZW73" s="2805"/>
      <c r="PZX73" s="2805"/>
      <c r="PZY73" s="2805"/>
      <c r="PZZ73" s="2805"/>
      <c r="QAA73" s="2805"/>
      <c r="QAB73" s="2805"/>
      <c r="QAC73" s="2805"/>
      <c r="QAD73" s="2805"/>
      <c r="QAE73" s="2805"/>
      <c r="QAF73" s="2805"/>
      <c r="QAG73" s="2805"/>
      <c r="QAH73" s="2805"/>
      <c r="QAI73" s="2805"/>
      <c r="QAJ73" s="2805"/>
      <c r="QAK73" s="2805"/>
      <c r="QAL73" s="2805"/>
      <c r="QAM73" s="2805"/>
      <c r="QAN73" s="2805"/>
      <c r="QAO73" s="2805"/>
      <c r="QAP73" s="2805"/>
      <c r="QAQ73" s="2805"/>
      <c r="QAR73" s="2805"/>
      <c r="QAS73" s="2805"/>
      <c r="QAT73" s="2805"/>
      <c r="QAU73" s="2805"/>
      <c r="QAV73" s="2805"/>
      <c r="QAW73" s="2805"/>
      <c r="QAX73" s="2805"/>
      <c r="QAY73" s="2805"/>
      <c r="QAZ73" s="2805"/>
      <c r="QBA73" s="2805"/>
      <c r="QBB73" s="2805"/>
      <c r="QBC73" s="2805"/>
      <c r="QBD73" s="2805"/>
      <c r="QBE73" s="2805"/>
      <c r="QBF73" s="2805"/>
      <c r="QBG73" s="2805"/>
      <c r="QBH73" s="2805"/>
      <c r="QBI73" s="2805"/>
      <c r="QBJ73" s="2805"/>
      <c r="QBK73" s="2805"/>
      <c r="QBL73" s="2805"/>
      <c r="QBM73" s="2805"/>
      <c r="QBN73" s="2805"/>
      <c r="QBO73" s="2805"/>
      <c r="QBP73" s="2805"/>
      <c r="QBQ73" s="2805"/>
      <c r="QBR73" s="2805"/>
      <c r="QBS73" s="2805"/>
      <c r="QBT73" s="2805"/>
      <c r="QBU73" s="2805"/>
      <c r="QBV73" s="2805"/>
      <c r="QBW73" s="2805"/>
      <c r="QBX73" s="2805"/>
      <c r="QBY73" s="2805"/>
      <c r="QBZ73" s="2805"/>
      <c r="QCA73" s="2805"/>
      <c r="QCB73" s="2805"/>
      <c r="QCC73" s="2805"/>
      <c r="QCD73" s="2805"/>
      <c r="QCE73" s="2805"/>
      <c r="QCF73" s="2805"/>
      <c r="QCG73" s="2805"/>
      <c r="QCH73" s="2805"/>
      <c r="QCI73" s="2805"/>
      <c r="QCJ73" s="2805"/>
      <c r="QCK73" s="2805"/>
      <c r="QCL73" s="2805"/>
      <c r="QCM73" s="2805"/>
      <c r="QCN73" s="2805"/>
      <c r="QCO73" s="2805"/>
      <c r="QCP73" s="2805"/>
      <c r="QCQ73" s="2805"/>
      <c r="QCR73" s="2805"/>
      <c r="QCS73" s="2805"/>
      <c r="QCT73" s="2805"/>
      <c r="QCU73" s="2805"/>
      <c r="QCV73" s="2805"/>
      <c r="QCW73" s="2805"/>
      <c r="QCX73" s="2805"/>
      <c r="QCY73" s="2805"/>
      <c r="QCZ73" s="2805"/>
      <c r="QDA73" s="2805"/>
      <c r="QDB73" s="2805"/>
      <c r="QDC73" s="2805"/>
      <c r="QDD73" s="2805"/>
      <c r="QDE73" s="2805"/>
      <c r="QDF73" s="2805"/>
      <c r="QDG73" s="2805"/>
      <c r="QDH73" s="2805"/>
      <c r="QDI73" s="2805"/>
      <c r="QDJ73" s="2805"/>
      <c r="QDK73" s="2805"/>
      <c r="QDL73" s="2805"/>
      <c r="QDM73" s="2805"/>
      <c r="QDN73" s="2805"/>
      <c r="QDO73" s="2805"/>
      <c r="QDP73" s="2805"/>
      <c r="QDQ73" s="2805"/>
      <c r="QDR73" s="2805"/>
      <c r="QDS73" s="2805"/>
      <c r="QDT73" s="2805"/>
      <c r="QDU73" s="2805"/>
      <c r="QDV73" s="2805"/>
      <c r="QDW73" s="2805"/>
      <c r="QDX73" s="2805"/>
      <c r="QDY73" s="2805"/>
      <c r="QDZ73" s="2805"/>
      <c r="QEA73" s="2805"/>
      <c r="QEB73" s="2805"/>
      <c r="QEC73" s="2805"/>
      <c r="QED73" s="2805"/>
      <c r="QEE73" s="2805"/>
      <c r="QEF73" s="2805"/>
      <c r="QEG73" s="2805"/>
      <c r="QEH73" s="2805"/>
      <c r="QEI73" s="2805"/>
      <c r="QEJ73" s="2805"/>
      <c r="QEK73" s="2805"/>
      <c r="QEL73" s="2805"/>
      <c r="QEM73" s="2805"/>
      <c r="QEN73" s="2805"/>
      <c r="QEO73" s="2805"/>
      <c r="QEP73" s="2805"/>
      <c r="QEQ73" s="2805"/>
      <c r="QER73" s="2805"/>
      <c r="QES73" s="2805"/>
      <c r="QET73" s="2805"/>
      <c r="QEU73" s="2805"/>
      <c r="QEV73" s="2805"/>
      <c r="QEW73" s="2805"/>
      <c r="QEX73" s="2805"/>
      <c r="QEY73" s="2805"/>
      <c r="QEZ73" s="2805"/>
      <c r="QFA73" s="2805"/>
      <c r="QFB73" s="2805"/>
      <c r="QFC73" s="2805"/>
      <c r="QFD73" s="2805"/>
      <c r="QFE73" s="2805"/>
      <c r="QFF73" s="2805"/>
      <c r="QFG73" s="2805"/>
      <c r="QFH73" s="2805"/>
      <c r="QFI73" s="2805"/>
      <c r="QFJ73" s="2805"/>
      <c r="QFK73" s="2805"/>
      <c r="QFL73" s="2805"/>
      <c r="QFM73" s="2805"/>
      <c r="QFN73" s="2805"/>
      <c r="QFO73" s="2805"/>
      <c r="QFP73" s="2805"/>
      <c r="QFQ73" s="2805"/>
      <c r="QFR73" s="2805"/>
      <c r="QFS73" s="2805"/>
      <c r="QFT73" s="2805"/>
      <c r="QFU73" s="2805"/>
      <c r="QFV73" s="2805"/>
      <c r="QFW73" s="2805"/>
      <c r="QFX73" s="2805"/>
      <c r="QFY73" s="2805"/>
      <c r="QFZ73" s="2805"/>
      <c r="QGA73" s="2805"/>
      <c r="QGB73" s="2805"/>
      <c r="QGC73" s="2805"/>
      <c r="QGD73" s="2805"/>
      <c r="QGE73" s="2805"/>
      <c r="QGF73" s="2805"/>
      <c r="QGG73" s="2805"/>
      <c r="QGH73" s="2805"/>
      <c r="QGI73" s="2805"/>
      <c r="QGJ73" s="2805"/>
      <c r="QGK73" s="2805"/>
      <c r="QGL73" s="2805"/>
      <c r="QGM73" s="2805"/>
      <c r="QGN73" s="2805"/>
      <c r="QGO73" s="2805"/>
      <c r="QGP73" s="2805"/>
      <c r="QGQ73" s="2805"/>
      <c r="QGR73" s="2805"/>
      <c r="QGS73" s="2805"/>
      <c r="QGT73" s="2805"/>
      <c r="QGU73" s="2805"/>
      <c r="QGV73" s="2805"/>
      <c r="QGW73" s="2805"/>
      <c r="QGX73" s="2805"/>
      <c r="QGY73" s="2805"/>
      <c r="QGZ73" s="2805"/>
      <c r="QHA73" s="2805"/>
      <c r="QHB73" s="2805"/>
      <c r="QHC73" s="2805"/>
      <c r="QHD73" s="2805"/>
      <c r="QHE73" s="2805"/>
      <c r="QHF73" s="2805"/>
      <c r="QHG73" s="2805"/>
      <c r="QHH73" s="2805"/>
      <c r="QHI73" s="2805"/>
      <c r="QHJ73" s="2805"/>
      <c r="QHK73" s="2805"/>
      <c r="QHL73" s="2805"/>
      <c r="QHM73" s="2805"/>
      <c r="QHN73" s="2805"/>
      <c r="QHO73" s="2805"/>
      <c r="QHP73" s="2805"/>
      <c r="QHQ73" s="2805"/>
      <c r="QHR73" s="2805"/>
      <c r="QHS73" s="2805"/>
      <c r="QHT73" s="2805"/>
      <c r="QHU73" s="2805"/>
      <c r="QHV73" s="2805"/>
      <c r="QHW73" s="2805"/>
      <c r="QHX73" s="2805"/>
      <c r="QHY73" s="2805"/>
      <c r="QHZ73" s="2805"/>
      <c r="QIA73" s="2805"/>
      <c r="QIB73" s="2805"/>
      <c r="QIC73" s="2805"/>
      <c r="QID73" s="2805"/>
      <c r="QIE73" s="2805"/>
      <c r="QIF73" s="2805"/>
      <c r="QIG73" s="2805"/>
      <c r="QIH73" s="2805"/>
      <c r="QII73" s="2805"/>
      <c r="QIJ73" s="2805"/>
      <c r="QIK73" s="2805"/>
      <c r="QIL73" s="2805"/>
      <c r="QIM73" s="2805"/>
      <c r="QIN73" s="2805"/>
      <c r="QIO73" s="2805"/>
      <c r="QIP73" s="2805"/>
      <c r="QIQ73" s="2805"/>
      <c r="QIR73" s="2805"/>
      <c r="QIS73" s="2805"/>
      <c r="QIT73" s="2805"/>
      <c r="QIU73" s="2805"/>
      <c r="QIV73" s="2805"/>
      <c r="QIW73" s="2805"/>
      <c r="QIX73" s="2805"/>
      <c r="QIY73" s="2805"/>
      <c r="QIZ73" s="2805"/>
      <c r="QJA73" s="2805"/>
      <c r="QJB73" s="2805"/>
      <c r="QJC73" s="2805"/>
      <c r="QJD73" s="2805"/>
      <c r="QJE73" s="2805"/>
      <c r="QJF73" s="2805"/>
      <c r="QJG73" s="2805"/>
      <c r="QJH73" s="2805"/>
      <c r="QJI73" s="2805"/>
      <c r="QJJ73" s="2805"/>
      <c r="QJK73" s="2805"/>
      <c r="QJL73" s="2805"/>
      <c r="QJM73" s="2805"/>
      <c r="QJN73" s="2805"/>
      <c r="QJO73" s="2805"/>
      <c r="QJP73" s="2805"/>
      <c r="QJQ73" s="2805"/>
      <c r="QJR73" s="2805"/>
      <c r="QJS73" s="2805"/>
      <c r="QJT73" s="2805"/>
      <c r="QJU73" s="2805"/>
      <c r="QJV73" s="2805"/>
      <c r="QJW73" s="2805"/>
      <c r="QJX73" s="2805"/>
      <c r="QJY73" s="2805"/>
      <c r="QJZ73" s="2805"/>
      <c r="QKA73" s="2805"/>
      <c r="QKB73" s="2805"/>
      <c r="QKC73" s="2805"/>
      <c r="QKD73" s="2805"/>
      <c r="QKE73" s="2805"/>
      <c r="QKF73" s="2805"/>
      <c r="QKG73" s="2805"/>
      <c r="QKH73" s="2805"/>
      <c r="QKI73" s="2805"/>
      <c r="QKJ73" s="2805"/>
      <c r="QKK73" s="2805"/>
      <c r="QKL73" s="2805"/>
      <c r="QKM73" s="2805"/>
      <c r="QKN73" s="2805"/>
      <c r="QKO73" s="2805"/>
      <c r="QKP73" s="2805"/>
      <c r="QKQ73" s="2805"/>
      <c r="QKR73" s="2805"/>
      <c r="QKS73" s="2805"/>
      <c r="QKT73" s="2805"/>
      <c r="QKU73" s="2805"/>
      <c r="QKV73" s="2805"/>
      <c r="QKW73" s="2805"/>
      <c r="QKX73" s="2805"/>
      <c r="QKY73" s="2805"/>
      <c r="QKZ73" s="2805"/>
      <c r="QLA73" s="2805"/>
      <c r="QLB73" s="2805"/>
      <c r="QLC73" s="2805"/>
      <c r="QLD73" s="2805"/>
      <c r="QLE73" s="2805"/>
      <c r="QLF73" s="2805"/>
      <c r="QLG73" s="2805"/>
      <c r="QLH73" s="2805"/>
      <c r="QLI73" s="2805"/>
      <c r="QLJ73" s="2805"/>
      <c r="QLK73" s="2805"/>
      <c r="QLL73" s="2805"/>
      <c r="QLM73" s="2805"/>
      <c r="QLN73" s="2805"/>
      <c r="QLO73" s="2805"/>
      <c r="QLP73" s="2805"/>
      <c r="QLQ73" s="2805"/>
      <c r="QLR73" s="2805"/>
      <c r="QLS73" s="2805"/>
      <c r="QLT73" s="2805"/>
      <c r="QLU73" s="2805"/>
      <c r="QLV73" s="2805"/>
      <c r="QLW73" s="2805"/>
      <c r="QLX73" s="2805"/>
      <c r="QLY73" s="2805"/>
      <c r="QLZ73" s="2805"/>
      <c r="QMA73" s="2805"/>
      <c r="QMB73" s="2805"/>
      <c r="QMC73" s="2805"/>
      <c r="QMD73" s="2805"/>
      <c r="QME73" s="2805"/>
      <c r="QMF73" s="2805"/>
      <c r="QMG73" s="2805"/>
      <c r="QMH73" s="2805"/>
      <c r="QMI73" s="2805"/>
      <c r="QMJ73" s="2805"/>
      <c r="QMK73" s="2805"/>
      <c r="QML73" s="2805"/>
      <c r="QMM73" s="2805"/>
      <c r="QMN73" s="2805"/>
      <c r="QMO73" s="2805"/>
      <c r="QMP73" s="2805"/>
      <c r="QMQ73" s="2805"/>
      <c r="QMR73" s="2805"/>
      <c r="QMS73" s="2805"/>
      <c r="QMT73" s="2805"/>
      <c r="QMU73" s="2805"/>
      <c r="QMV73" s="2805"/>
      <c r="QMW73" s="2805"/>
      <c r="QMX73" s="2805"/>
      <c r="QMY73" s="2805"/>
      <c r="QMZ73" s="2805"/>
      <c r="QNA73" s="2805"/>
      <c r="QNB73" s="2805"/>
      <c r="QNC73" s="2805"/>
      <c r="QND73" s="2805"/>
      <c r="QNE73" s="2805"/>
      <c r="QNF73" s="2805"/>
      <c r="QNG73" s="2805"/>
      <c r="QNH73" s="2805"/>
      <c r="QNI73" s="2805"/>
      <c r="QNJ73" s="2805"/>
      <c r="QNK73" s="2805"/>
      <c r="QNL73" s="2805"/>
      <c r="QNM73" s="2805"/>
      <c r="QNN73" s="2805"/>
      <c r="QNO73" s="2805"/>
      <c r="QNP73" s="2805"/>
      <c r="QNQ73" s="2805"/>
      <c r="QNR73" s="2805"/>
      <c r="QNS73" s="2805"/>
      <c r="QNT73" s="2805"/>
      <c r="QNU73" s="2805"/>
      <c r="QNV73" s="2805"/>
      <c r="QNW73" s="2805"/>
      <c r="QNX73" s="2805"/>
      <c r="QNY73" s="2805"/>
      <c r="QNZ73" s="2805"/>
      <c r="QOA73" s="2805"/>
      <c r="QOB73" s="2805"/>
      <c r="QOC73" s="2805"/>
      <c r="QOD73" s="2805"/>
      <c r="QOE73" s="2805"/>
      <c r="QOF73" s="2805"/>
      <c r="QOG73" s="2805"/>
      <c r="QOH73" s="2805"/>
      <c r="QOI73" s="2805"/>
      <c r="QOJ73" s="2805"/>
      <c r="QOK73" s="2805"/>
      <c r="QOL73" s="2805"/>
      <c r="QOM73" s="2805"/>
      <c r="QON73" s="2805"/>
      <c r="QOO73" s="2805"/>
      <c r="QOP73" s="2805"/>
      <c r="QOQ73" s="2805"/>
      <c r="QOR73" s="2805"/>
      <c r="QOS73" s="2805"/>
      <c r="QOT73" s="2805"/>
      <c r="QOU73" s="2805"/>
      <c r="QOV73" s="2805"/>
      <c r="QOW73" s="2805"/>
      <c r="QOX73" s="2805"/>
      <c r="QOY73" s="2805"/>
      <c r="QOZ73" s="2805"/>
      <c r="QPA73" s="2805"/>
      <c r="QPB73" s="2805"/>
      <c r="QPC73" s="2805"/>
      <c r="QPD73" s="2805"/>
      <c r="QPE73" s="2805"/>
      <c r="QPF73" s="2805"/>
      <c r="QPG73" s="2805"/>
      <c r="QPH73" s="2805"/>
      <c r="QPI73" s="2805"/>
      <c r="QPJ73" s="2805"/>
      <c r="QPK73" s="2805"/>
      <c r="QPL73" s="2805"/>
      <c r="QPM73" s="2805"/>
      <c r="QPN73" s="2805"/>
      <c r="QPO73" s="2805"/>
      <c r="QPP73" s="2805"/>
      <c r="QPQ73" s="2805"/>
      <c r="QPR73" s="2805"/>
      <c r="QPS73" s="2805"/>
      <c r="QPT73" s="2805"/>
      <c r="QPU73" s="2805"/>
      <c r="QPV73" s="2805"/>
      <c r="QPW73" s="2805"/>
      <c r="QPX73" s="2805"/>
      <c r="QPY73" s="2805"/>
      <c r="QPZ73" s="2805"/>
      <c r="QQA73" s="2805"/>
      <c r="QQB73" s="2805"/>
      <c r="QQC73" s="2805"/>
      <c r="QQD73" s="2805"/>
      <c r="QQE73" s="2805"/>
      <c r="QQF73" s="2805"/>
      <c r="QQG73" s="2805"/>
      <c r="QQH73" s="2805"/>
      <c r="QQI73" s="2805"/>
      <c r="QQJ73" s="2805"/>
      <c r="QQK73" s="2805"/>
      <c r="QQL73" s="2805"/>
      <c r="QQM73" s="2805"/>
      <c r="QQN73" s="2805"/>
      <c r="QQO73" s="2805"/>
      <c r="QQP73" s="2805"/>
      <c r="QQQ73" s="2805"/>
      <c r="QQR73" s="2805"/>
      <c r="QQS73" s="2805"/>
      <c r="QQT73" s="2805"/>
      <c r="QQU73" s="2805"/>
      <c r="QQV73" s="2805"/>
      <c r="QQW73" s="2805"/>
      <c r="QQX73" s="2805"/>
      <c r="QQY73" s="2805"/>
      <c r="QQZ73" s="2805"/>
      <c r="QRA73" s="2805"/>
      <c r="QRB73" s="2805"/>
      <c r="QRC73" s="2805"/>
      <c r="QRD73" s="2805"/>
      <c r="QRE73" s="2805"/>
      <c r="QRF73" s="2805"/>
      <c r="QRG73" s="2805"/>
      <c r="QRH73" s="2805"/>
      <c r="QRI73" s="2805"/>
      <c r="QRJ73" s="2805"/>
      <c r="QRK73" s="2805"/>
      <c r="QRL73" s="2805"/>
      <c r="QRM73" s="2805"/>
      <c r="QRN73" s="2805"/>
      <c r="QRO73" s="2805"/>
      <c r="QRP73" s="2805"/>
      <c r="QRQ73" s="2805"/>
      <c r="QRR73" s="2805"/>
      <c r="QRS73" s="2805"/>
      <c r="QRT73" s="2805"/>
      <c r="QRU73" s="2805"/>
      <c r="QRV73" s="2805"/>
      <c r="QRW73" s="2805"/>
      <c r="QRX73" s="2805"/>
      <c r="QRY73" s="2805"/>
      <c r="QRZ73" s="2805"/>
      <c r="QSA73" s="2805"/>
      <c r="QSB73" s="2805"/>
      <c r="QSC73" s="2805"/>
      <c r="QSD73" s="2805"/>
      <c r="QSE73" s="2805"/>
      <c r="QSF73" s="2805"/>
      <c r="QSG73" s="2805"/>
      <c r="QSH73" s="2805"/>
      <c r="QSI73" s="2805"/>
      <c r="QSJ73" s="2805"/>
      <c r="QSK73" s="2805"/>
      <c r="QSL73" s="2805"/>
      <c r="QSM73" s="2805"/>
      <c r="QSN73" s="2805"/>
      <c r="QSO73" s="2805"/>
      <c r="QSP73" s="2805"/>
      <c r="QSQ73" s="2805"/>
      <c r="QSR73" s="2805"/>
      <c r="QSS73" s="2805"/>
      <c r="QST73" s="2805"/>
      <c r="QSU73" s="2805"/>
      <c r="QSV73" s="2805"/>
      <c r="QSW73" s="2805"/>
      <c r="QSX73" s="2805"/>
      <c r="QSY73" s="2805"/>
      <c r="QSZ73" s="2805"/>
      <c r="QTA73" s="2805"/>
      <c r="QTB73" s="2805"/>
      <c r="QTC73" s="2805"/>
      <c r="QTD73" s="2805"/>
      <c r="QTE73" s="2805"/>
      <c r="QTF73" s="2805"/>
      <c r="QTG73" s="2805"/>
      <c r="QTH73" s="2805"/>
      <c r="QTI73" s="2805"/>
      <c r="QTJ73" s="2805"/>
      <c r="QTK73" s="2805"/>
      <c r="QTL73" s="2805"/>
      <c r="QTM73" s="2805"/>
      <c r="QTN73" s="2805"/>
      <c r="QTO73" s="2805"/>
      <c r="QTP73" s="2805"/>
      <c r="QTQ73" s="2805"/>
      <c r="QTR73" s="2805"/>
      <c r="QTS73" s="2805"/>
      <c r="QTT73" s="2805"/>
      <c r="QTU73" s="2805"/>
      <c r="QTV73" s="2805"/>
      <c r="QTW73" s="2805"/>
      <c r="QTX73" s="2805"/>
      <c r="QTY73" s="2805"/>
      <c r="QTZ73" s="2805"/>
      <c r="QUA73" s="2805"/>
      <c r="QUB73" s="2805"/>
      <c r="QUC73" s="2805"/>
      <c r="QUD73" s="2805"/>
      <c r="QUE73" s="2805"/>
      <c r="QUF73" s="2805"/>
      <c r="QUG73" s="2805"/>
      <c r="QUH73" s="2805"/>
      <c r="QUI73" s="2805"/>
      <c r="QUJ73" s="2805"/>
      <c r="QUK73" s="2805"/>
      <c r="QUL73" s="2805"/>
      <c r="QUM73" s="2805"/>
      <c r="QUN73" s="2805"/>
      <c r="QUO73" s="2805"/>
      <c r="QUP73" s="2805"/>
      <c r="QUQ73" s="2805"/>
      <c r="QUR73" s="2805"/>
      <c r="QUS73" s="2805"/>
      <c r="QUT73" s="2805"/>
      <c r="QUU73" s="2805"/>
      <c r="QUV73" s="2805"/>
      <c r="QUW73" s="2805"/>
      <c r="QUX73" s="2805"/>
      <c r="QUY73" s="2805"/>
      <c r="QUZ73" s="2805"/>
      <c r="QVA73" s="2805"/>
      <c r="QVB73" s="2805"/>
      <c r="QVC73" s="2805"/>
      <c r="QVD73" s="2805"/>
      <c r="QVE73" s="2805"/>
      <c r="QVF73" s="2805"/>
      <c r="QVG73" s="2805"/>
      <c r="QVH73" s="2805"/>
      <c r="QVI73" s="2805"/>
      <c r="QVJ73" s="2805"/>
      <c r="QVK73" s="2805"/>
      <c r="QVL73" s="2805"/>
      <c r="QVM73" s="2805"/>
      <c r="QVN73" s="2805"/>
      <c r="QVO73" s="2805"/>
      <c r="QVP73" s="2805"/>
      <c r="QVQ73" s="2805"/>
      <c r="QVR73" s="2805"/>
      <c r="QVS73" s="2805"/>
      <c r="QVT73" s="2805"/>
      <c r="QVU73" s="2805"/>
      <c r="QVV73" s="2805"/>
      <c r="QVW73" s="2805"/>
      <c r="QVX73" s="2805"/>
      <c r="QVY73" s="2805"/>
      <c r="QVZ73" s="2805"/>
      <c r="QWA73" s="2805"/>
      <c r="QWB73" s="2805"/>
      <c r="QWC73" s="2805"/>
      <c r="QWD73" s="2805"/>
      <c r="QWE73" s="2805"/>
      <c r="QWF73" s="2805"/>
      <c r="QWG73" s="2805"/>
      <c r="QWH73" s="2805"/>
      <c r="QWI73" s="2805"/>
      <c r="QWJ73" s="2805"/>
      <c r="QWK73" s="2805"/>
      <c r="QWL73" s="2805"/>
      <c r="QWM73" s="2805"/>
      <c r="QWN73" s="2805"/>
      <c r="QWO73" s="2805"/>
      <c r="QWP73" s="2805"/>
      <c r="QWQ73" s="2805"/>
      <c r="QWR73" s="2805"/>
      <c r="QWS73" s="2805"/>
      <c r="QWT73" s="2805"/>
      <c r="QWU73" s="2805"/>
      <c r="QWV73" s="2805"/>
      <c r="QWW73" s="2805"/>
      <c r="QWX73" s="2805"/>
      <c r="QWY73" s="2805"/>
      <c r="QWZ73" s="2805"/>
      <c r="QXA73" s="2805"/>
      <c r="QXB73" s="2805"/>
      <c r="QXC73" s="2805"/>
      <c r="QXD73" s="2805"/>
      <c r="QXE73" s="2805"/>
      <c r="QXF73" s="2805"/>
      <c r="QXG73" s="2805"/>
      <c r="QXH73" s="2805"/>
      <c r="QXI73" s="2805"/>
      <c r="QXJ73" s="2805"/>
      <c r="QXK73" s="2805"/>
      <c r="QXL73" s="2805"/>
      <c r="QXM73" s="2805"/>
      <c r="QXN73" s="2805"/>
      <c r="QXO73" s="2805"/>
      <c r="QXP73" s="2805"/>
      <c r="QXQ73" s="2805"/>
      <c r="QXR73" s="2805"/>
      <c r="QXS73" s="2805"/>
      <c r="QXT73" s="2805"/>
      <c r="QXU73" s="2805"/>
      <c r="QXV73" s="2805"/>
      <c r="QXW73" s="2805"/>
      <c r="QXX73" s="2805"/>
      <c r="QXY73" s="2805"/>
      <c r="QXZ73" s="2805"/>
      <c r="QYA73" s="2805"/>
      <c r="QYB73" s="2805"/>
      <c r="QYC73" s="2805"/>
      <c r="QYD73" s="2805"/>
      <c r="QYE73" s="2805"/>
      <c r="QYF73" s="2805"/>
      <c r="QYG73" s="2805"/>
      <c r="QYH73" s="2805"/>
      <c r="QYI73" s="2805"/>
      <c r="QYJ73" s="2805"/>
      <c r="QYK73" s="2805"/>
      <c r="QYL73" s="2805"/>
      <c r="QYM73" s="2805"/>
      <c r="QYN73" s="2805"/>
      <c r="QYO73" s="2805"/>
      <c r="QYP73" s="2805"/>
      <c r="QYQ73" s="2805"/>
      <c r="QYR73" s="2805"/>
      <c r="QYS73" s="2805"/>
      <c r="QYT73" s="2805"/>
      <c r="QYU73" s="2805"/>
      <c r="QYV73" s="2805"/>
      <c r="QYW73" s="2805"/>
      <c r="QYX73" s="2805"/>
      <c r="QYY73" s="2805"/>
      <c r="QYZ73" s="2805"/>
      <c r="QZA73" s="2805"/>
      <c r="QZB73" s="2805"/>
      <c r="QZC73" s="2805"/>
      <c r="QZD73" s="2805"/>
      <c r="QZE73" s="2805"/>
      <c r="QZF73" s="2805"/>
      <c r="QZG73" s="2805"/>
      <c r="QZH73" s="2805"/>
      <c r="QZI73" s="2805"/>
      <c r="QZJ73" s="2805"/>
      <c r="QZK73" s="2805"/>
      <c r="QZL73" s="2805"/>
      <c r="QZM73" s="2805"/>
      <c r="QZN73" s="2805"/>
      <c r="QZO73" s="2805"/>
      <c r="QZP73" s="2805"/>
      <c r="QZQ73" s="2805"/>
      <c r="QZR73" s="2805"/>
      <c r="QZS73" s="2805"/>
      <c r="QZT73" s="2805"/>
      <c r="QZU73" s="2805"/>
      <c r="QZV73" s="2805"/>
      <c r="QZW73" s="2805"/>
      <c r="QZX73" s="2805"/>
      <c r="QZY73" s="2805"/>
      <c r="QZZ73" s="2805"/>
      <c r="RAA73" s="2805"/>
      <c r="RAB73" s="2805"/>
      <c r="RAC73" s="2805"/>
      <c r="RAD73" s="2805"/>
      <c r="RAE73" s="2805"/>
      <c r="RAF73" s="2805"/>
      <c r="RAG73" s="2805"/>
      <c r="RAH73" s="2805"/>
      <c r="RAI73" s="2805"/>
      <c r="RAJ73" s="2805"/>
      <c r="RAK73" s="2805"/>
      <c r="RAL73" s="2805"/>
      <c r="RAM73" s="2805"/>
      <c r="RAN73" s="2805"/>
      <c r="RAO73" s="2805"/>
      <c r="RAP73" s="2805"/>
      <c r="RAQ73" s="2805"/>
      <c r="RAR73" s="2805"/>
      <c r="RAS73" s="2805"/>
      <c r="RAT73" s="2805"/>
      <c r="RAU73" s="2805"/>
      <c r="RAV73" s="2805"/>
      <c r="RAW73" s="2805"/>
      <c r="RAX73" s="2805"/>
      <c r="RAY73" s="2805"/>
      <c r="RAZ73" s="2805"/>
      <c r="RBA73" s="2805"/>
      <c r="RBB73" s="2805"/>
      <c r="RBC73" s="2805"/>
      <c r="RBD73" s="2805"/>
      <c r="RBE73" s="2805"/>
      <c r="RBF73" s="2805"/>
      <c r="RBG73" s="2805"/>
      <c r="RBH73" s="2805"/>
      <c r="RBI73" s="2805"/>
      <c r="RBJ73" s="2805"/>
      <c r="RBK73" s="2805"/>
      <c r="RBL73" s="2805"/>
      <c r="RBM73" s="2805"/>
      <c r="RBN73" s="2805"/>
      <c r="RBO73" s="2805"/>
      <c r="RBP73" s="2805"/>
      <c r="RBQ73" s="2805"/>
      <c r="RBR73" s="2805"/>
      <c r="RBS73" s="2805"/>
      <c r="RBT73" s="2805"/>
      <c r="RBU73" s="2805"/>
      <c r="RBV73" s="2805"/>
      <c r="RBW73" s="2805"/>
      <c r="RBX73" s="2805"/>
      <c r="RBY73" s="2805"/>
      <c r="RBZ73" s="2805"/>
      <c r="RCA73" s="2805"/>
      <c r="RCB73" s="2805"/>
      <c r="RCC73" s="2805"/>
      <c r="RCD73" s="2805"/>
      <c r="RCE73" s="2805"/>
      <c r="RCF73" s="2805"/>
      <c r="RCG73" s="2805"/>
      <c r="RCH73" s="2805"/>
      <c r="RCI73" s="2805"/>
      <c r="RCJ73" s="2805"/>
      <c r="RCK73" s="2805"/>
      <c r="RCL73" s="2805"/>
      <c r="RCM73" s="2805"/>
      <c r="RCN73" s="2805"/>
      <c r="RCO73" s="2805"/>
      <c r="RCP73" s="2805"/>
      <c r="RCQ73" s="2805"/>
      <c r="RCR73" s="2805"/>
      <c r="RCS73" s="2805"/>
      <c r="RCT73" s="2805"/>
      <c r="RCU73" s="2805"/>
      <c r="RCV73" s="2805"/>
      <c r="RCW73" s="2805"/>
      <c r="RCX73" s="2805"/>
      <c r="RCY73" s="2805"/>
      <c r="RCZ73" s="2805"/>
      <c r="RDA73" s="2805"/>
      <c r="RDB73" s="2805"/>
      <c r="RDC73" s="2805"/>
      <c r="RDD73" s="2805"/>
      <c r="RDE73" s="2805"/>
      <c r="RDF73" s="2805"/>
      <c r="RDG73" s="2805"/>
      <c r="RDH73" s="2805"/>
      <c r="RDI73" s="2805"/>
      <c r="RDJ73" s="2805"/>
      <c r="RDK73" s="2805"/>
      <c r="RDL73" s="2805"/>
      <c r="RDM73" s="2805"/>
      <c r="RDN73" s="2805"/>
      <c r="RDO73" s="2805"/>
      <c r="RDP73" s="2805"/>
      <c r="RDQ73" s="2805"/>
      <c r="RDR73" s="2805"/>
      <c r="RDS73" s="2805"/>
      <c r="RDT73" s="2805"/>
      <c r="RDU73" s="2805"/>
      <c r="RDV73" s="2805"/>
      <c r="RDW73" s="2805"/>
      <c r="RDX73" s="2805"/>
      <c r="RDY73" s="2805"/>
      <c r="RDZ73" s="2805"/>
      <c r="REA73" s="2805"/>
      <c r="REB73" s="2805"/>
      <c r="REC73" s="2805"/>
      <c r="RED73" s="2805"/>
      <c r="REE73" s="2805"/>
      <c r="REF73" s="2805"/>
      <c r="REG73" s="2805"/>
      <c r="REH73" s="2805"/>
      <c r="REI73" s="2805"/>
      <c r="REJ73" s="2805"/>
      <c r="REK73" s="2805"/>
      <c r="REL73" s="2805"/>
      <c r="REM73" s="2805"/>
      <c r="REN73" s="2805"/>
      <c r="REO73" s="2805"/>
      <c r="REP73" s="2805"/>
      <c r="REQ73" s="2805"/>
      <c r="RER73" s="2805"/>
      <c r="RES73" s="2805"/>
      <c r="RET73" s="2805"/>
      <c r="REU73" s="2805"/>
      <c r="REV73" s="2805"/>
      <c r="REW73" s="2805"/>
      <c r="REX73" s="2805"/>
      <c r="REY73" s="2805"/>
      <c r="REZ73" s="2805"/>
      <c r="RFA73" s="2805"/>
      <c r="RFB73" s="2805"/>
      <c r="RFC73" s="2805"/>
      <c r="RFD73" s="2805"/>
      <c r="RFE73" s="2805"/>
      <c r="RFF73" s="2805"/>
      <c r="RFG73" s="2805"/>
      <c r="RFH73" s="2805"/>
      <c r="RFI73" s="2805"/>
      <c r="RFJ73" s="2805"/>
      <c r="RFK73" s="2805"/>
      <c r="RFL73" s="2805"/>
      <c r="RFM73" s="2805"/>
      <c r="RFN73" s="2805"/>
      <c r="RFO73" s="2805"/>
      <c r="RFP73" s="2805"/>
      <c r="RFQ73" s="2805"/>
      <c r="RFR73" s="2805"/>
      <c r="RFS73" s="2805"/>
      <c r="RFT73" s="2805"/>
      <c r="RFU73" s="2805"/>
      <c r="RFV73" s="2805"/>
      <c r="RFW73" s="2805"/>
      <c r="RFX73" s="2805"/>
      <c r="RFY73" s="2805"/>
      <c r="RFZ73" s="2805"/>
      <c r="RGA73" s="2805"/>
      <c r="RGB73" s="2805"/>
      <c r="RGC73" s="2805"/>
      <c r="RGD73" s="2805"/>
      <c r="RGE73" s="2805"/>
      <c r="RGF73" s="2805"/>
      <c r="RGG73" s="2805"/>
      <c r="RGH73" s="2805"/>
      <c r="RGI73" s="2805"/>
      <c r="RGJ73" s="2805"/>
      <c r="RGK73" s="2805"/>
      <c r="RGL73" s="2805"/>
      <c r="RGM73" s="2805"/>
      <c r="RGN73" s="2805"/>
      <c r="RGO73" s="2805"/>
      <c r="RGP73" s="2805"/>
      <c r="RGQ73" s="2805"/>
      <c r="RGR73" s="2805"/>
      <c r="RGS73" s="2805"/>
      <c r="RGT73" s="2805"/>
      <c r="RGU73" s="2805"/>
      <c r="RGV73" s="2805"/>
      <c r="RGW73" s="2805"/>
      <c r="RGX73" s="2805"/>
      <c r="RGY73" s="2805"/>
      <c r="RGZ73" s="2805"/>
      <c r="RHA73" s="2805"/>
      <c r="RHB73" s="2805"/>
      <c r="RHC73" s="2805"/>
      <c r="RHD73" s="2805"/>
      <c r="RHE73" s="2805"/>
      <c r="RHF73" s="2805"/>
      <c r="RHG73" s="2805"/>
      <c r="RHH73" s="2805"/>
      <c r="RHI73" s="2805"/>
      <c r="RHJ73" s="2805"/>
      <c r="RHK73" s="2805"/>
      <c r="RHL73" s="2805"/>
      <c r="RHM73" s="2805"/>
      <c r="RHN73" s="2805"/>
      <c r="RHO73" s="2805"/>
      <c r="RHP73" s="2805"/>
      <c r="RHQ73" s="2805"/>
      <c r="RHR73" s="2805"/>
      <c r="RHS73" s="2805"/>
      <c r="RHT73" s="2805"/>
      <c r="RHU73" s="2805"/>
      <c r="RHV73" s="2805"/>
      <c r="RHW73" s="2805"/>
      <c r="RHX73" s="2805"/>
      <c r="RHY73" s="2805"/>
      <c r="RHZ73" s="2805"/>
      <c r="RIA73" s="2805"/>
      <c r="RIB73" s="2805"/>
      <c r="RIC73" s="2805"/>
      <c r="RID73" s="2805"/>
      <c r="RIE73" s="2805"/>
      <c r="RIF73" s="2805"/>
      <c r="RIG73" s="2805"/>
      <c r="RIH73" s="2805"/>
      <c r="RII73" s="2805"/>
      <c r="RIJ73" s="2805"/>
      <c r="RIK73" s="2805"/>
      <c r="RIL73" s="2805"/>
      <c r="RIM73" s="2805"/>
      <c r="RIN73" s="2805"/>
      <c r="RIO73" s="2805"/>
      <c r="RIP73" s="2805"/>
      <c r="RIQ73" s="2805"/>
      <c r="RIR73" s="2805"/>
      <c r="RIS73" s="2805"/>
      <c r="RIT73" s="2805"/>
      <c r="RIU73" s="2805"/>
      <c r="RIV73" s="2805"/>
      <c r="RIW73" s="2805"/>
      <c r="RIX73" s="2805"/>
      <c r="RIY73" s="2805"/>
      <c r="RIZ73" s="2805"/>
      <c r="RJA73" s="2805"/>
      <c r="RJB73" s="2805"/>
      <c r="RJC73" s="2805"/>
      <c r="RJD73" s="2805"/>
      <c r="RJE73" s="2805"/>
      <c r="RJF73" s="2805"/>
      <c r="RJG73" s="2805"/>
      <c r="RJH73" s="2805"/>
      <c r="RJI73" s="2805"/>
      <c r="RJJ73" s="2805"/>
      <c r="RJK73" s="2805"/>
      <c r="RJL73" s="2805"/>
      <c r="RJM73" s="2805"/>
      <c r="RJN73" s="2805"/>
      <c r="RJO73" s="2805"/>
      <c r="RJP73" s="2805"/>
      <c r="RJQ73" s="2805"/>
      <c r="RJR73" s="2805"/>
      <c r="RJS73" s="2805"/>
      <c r="RJT73" s="2805"/>
      <c r="RJU73" s="2805"/>
      <c r="RJV73" s="2805"/>
      <c r="RJW73" s="2805"/>
      <c r="RJX73" s="2805"/>
      <c r="RJY73" s="2805"/>
      <c r="RJZ73" s="2805"/>
      <c r="RKA73" s="2805"/>
      <c r="RKB73" s="2805"/>
      <c r="RKC73" s="2805"/>
      <c r="RKD73" s="2805"/>
      <c r="RKE73" s="2805"/>
      <c r="RKF73" s="2805"/>
      <c r="RKG73" s="2805"/>
      <c r="RKH73" s="2805"/>
      <c r="RKI73" s="2805"/>
      <c r="RKJ73" s="2805"/>
      <c r="RKK73" s="2805"/>
      <c r="RKL73" s="2805"/>
      <c r="RKM73" s="2805"/>
      <c r="RKN73" s="2805"/>
      <c r="RKO73" s="2805"/>
      <c r="RKP73" s="2805"/>
      <c r="RKQ73" s="2805"/>
      <c r="RKR73" s="2805"/>
      <c r="RKS73" s="2805"/>
      <c r="RKT73" s="2805"/>
      <c r="RKU73" s="2805"/>
      <c r="RKV73" s="2805"/>
      <c r="RKW73" s="2805"/>
      <c r="RKX73" s="2805"/>
      <c r="RKY73" s="2805"/>
      <c r="RKZ73" s="2805"/>
      <c r="RLA73" s="2805"/>
      <c r="RLB73" s="2805"/>
      <c r="RLC73" s="2805"/>
      <c r="RLD73" s="2805"/>
      <c r="RLE73" s="2805"/>
      <c r="RLF73" s="2805"/>
      <c r="RLG73" s="2805"/>
      <c r="RLH73" s="2805"/>
      <c r="RLI73" s="2805"/>
      <c r="RLJ73" s="2805"/>
      <c r="RLK73" s="2805"/>
      <c r="RLL73" s="2805"/>
      <c r="RLM73" s="2805"/>
      <c r="RLN73" s="2805"/>
      <c r="RLO73" s="2805"/>
      <c r="RLP73" s="2805"/>
      <c r="RLQ73" s="2805"/>
      <c r="RLR73" s="2805"/>
      <c r="RLS73" s="2805"/>
      <c r="RLT73" s="2805"/>
      <c r="RLU73" s="2805"/>
      <c r="RLV73" s="2805"/>
      <c r="RLW73" s="2805"/>
      <c r="RLX73" s="2805"/>
      <c r="RLY73" s="2805"/>
      <c r="RLZ73" s="2805"/>
      <c r="RMA73" s="2805"/>
      <c r="RMB73" s="2805"/>
      <c r="RMC73" s="2805"/>
      <c r="RMD73" s="2805"/>
      <c r="RME73" s="2805"/>
      <c r="RMF73" s="2805"/>
      <c r="RMG73" s="2805"/>
      <c r="RMH73" s="2805"/>
      <c r="RMI73" s="2805"/>
      <c r="RMJ73" s="2805"/>
      <c r="RMK73" s="2805"/>
      <c r="RML73" s="2805"/>
      <c r="RMM73" s="2805"/>
      <c r="RMN73" s="2805"/>
      <c r="RMO73" s="2805"/>
      <c r="RMP73" s="2805"/>
      <c r="RMQ73" s="2805"/>
      <c r="RMR73" s="2805"/>
      <c r="RMS73" s="2805"/>
      <c r="RMT73" s="2805"/>
      <c r="RMU73" s="2805"/>
      <c r="RMV73" s="2805"/>
      <c r="RMW73" s="2805"/>
      <c r="RMX73" s="2805"/>
      <c r="RMY73" s="2805"/>
      <c r="RMZ73" s="2805"/>
      <c r="RNA73" s="2805"/>
      <c r="RNB73" s="2805"/>
      <c r="RNC73" s="2805"/>
      <c r="RND73" s="2805"/>
      <c r="RNE73" s="2805"/>
      <c r="RNF73" s="2805"/>
      <c r="RNG73" s="2805"/>
      <c r="RNH73" s="2805"/>
      <c r="RNI73" s="2805"/>
      <c r="RNJ73" s="2805"/>
      <c r="RNK73" s="2805"/>
      <c r="RNL73" s="2805"/>
      <c r="RNM73" s="2805"/>
      <c r="RNN73" s="2805"/>
      <c r="RNO73" s="2805"/>
      <c r="RNP73" s="2805"/>
      <c r="RNQ73" s="2805"/>
      <c r="RNR73" s="2805"/>
      <c r="RNS73" s="2805"/>
      <c r="RNT73" s="2805"/>
      <c r="RNU73" s="2805"/>
      <c r="RNV73" s="2805"/>
      <c r="RNW73" s="2805"/>
      <c r="RNX73" s="2805"/>
      <c r="RNY73" s="2805"/>
      <c r="RNZ73" s="2805"/>
      <c r="ROA73" s="2805"/>
      <c r="ROB73" s="2805"/>
      <c r="ROC73" s="2805"/>
      <c r="ROD73" s="2805"/>
      <c r="ROE73" s="2805"/>
      <c r="ROF73" s="2805"/>
      <c r="ROG73" s="2805"/>
      <c r="ROH73" s="2805"/>
      <c r="ROI73" s="2805"/>
      <c r="ROJ73" s="2805"/>
      <c r="ROK73" s="2805"/>
      <c r="ROL73" s="2805"/>
      <c r="ROM73" s="2805"/>
      <c r="RON73" s="2805"/>
      <c r="ROO73" s="2805"/>
      <c r="ROP73" s="2805"/>
      <c r="ROQ73" s="2805"/>
      <c r="ROR73" s="2805"/>
      <c r="ROS73" s="2805"/>
      <c r="ROT73" s="2805"/>
      <c r="ROU73" s="2805"/>
      <c r="ROV73" s="2805"/>
      <c r="ROW73" s="2805"/>
      <c r="ROX73" s="2805"/>
      <c r="ROY73" s="2805"/>
      <c r="ROZ73" s="2805"/>
      <c r="RPA73" s="2805"/>
      <c r="RPB73" s="2805"/>
      <c r="RPC73" s="2805"/>
      <c r="RPD73" s="2805"/>
      <c r="RPE73" s="2805"/>
      <c r="RPF73" s="2805"/>
      <c r="RPG73" s="2805"/>
      <c r="RPH73" s="2805"/>
      <c r="RPI73" s="2805"/>
      <c r="RPJ73" s="2805"/>
      <c r="RPK73" s="2805"/>
      <c r="RPL73" s="2805"/>
      <c r="RPM73" s="2805"/>
      <c r="RPN73" s="2805"/>
      <c r="RPO73" s="2805"/>
      <c r="RPP73" s="2805"/>
      <c r="RPQ73" s="2805"/>
      <c r="RPR73" s="2805"/>
      <c r="RPS73" s="2805"/>
      <c r="RPT73" s="2805"/>
      <c r="RPU73" s="2805"/>
      <c r="RPV73" s="2805"/>
      <c r="RPW73" s="2805"/>
      <c r="RPX73" s="2805"/>
      <c r="RPY73" s="2805"/>
      <c r="RPZ73" s="2805"/>
      <c r="RQA73" s="2805"/>
      <c r="RQB73" s="2805"/>
      <c r="RQC73" s="2805"/>
      <c r="RQD73" s="2805"/>
      <c r="RQE73" s="2805"/>
      <c r="RQF73" s="2805"/>
      <c r="RQG73" s="2805"/>
      <c r="RQH73" s="2805"/>
      <c r="RQI73" s="2805"/>
      <c r="RQJ73" s="2805"/>
      <c r="RQK73" s="2805"/>
      <c r="RQL73" s="2805"/>
      <c r="RQM73" s="2805"/>
      <c r="RQN73" s="2805"/>
      <c r="RQO73" s="2805"/>
      <c r="RQP73" s="2805"/>
      <c r="RQQ73" s="2805"/>
      <c r="RQR73" s="2805"/>
      <c r="RQS73" s="2805"/>
      <c r="RQT73" s="2805"/>
      <c r="RQU73" s="2805"/>
      <c r="RQV73" s="2805"/>
      <c r="RQW73" s="2805"/>
      <c r="RQX73" s="2805"/>
      <c r="RQY73" s="2805"/>
      <c r="RQZ73" s="2805"/>
      <c r="RRA73" s="2805"/>
      <c r="RRB73" s="2805"/>
      <c r="RRC73" s="2805"/>
      <c r="RRD73" s="2805"/>
      <c r="RRE73" s="2805"/>
      <c r="RRF73" s="2805"/>
      <c r="RRG73" s="2805"/>
      <c r="RRH73" s="2805"/>
      <c r="RRI73" s="2805"/>
      <c r="RRJ73" s="2805"/>
      <c r="RRK73" s="2805"/>
      <c r="RRL73" s="2805"/>
      <c r="RRM73" s="2805"/>
      <c r="RRN73" s="2805"/>
      <c r="RRO73" s="2805"/>
      <c r="RRP73" s="2805"/>
      <c r="RRQ73" s="2805"/>
      <c r="RRR73" s="2805"/>
      <c r="RRS73" s="2805"/>
      <c r="RRT73" s="2805"/>
      <c r="RRU73" s="2805"/>
      <c r="RRV73" s="2805"/>
      <c r="RRW73" s="2805"/>
      <c r="RRX73" s="2805"/>
      <c r="RRY73" s="2805"/>
      <c r="RRZ73" s="2805"/>
      <c r="RSA73" s="2805"/>
      <c r="RSB73" s="2805"/>
      <c r="RSC73" s="2805"/>
      <c r="RSD73" s="2805"/>
      <c r="RSE73" s="2805"/>
      <c r="RSF73" s="2805"/>
      <c r="RSG73" s="2805"/>
      <c r="RSH73" s="2805"/>
      <c r="RSI73" s="2805"/>
      <c r="RSJ73" s="2805"/>
      <c r="RSK73" s="2805"/>
      <c r="RSL73" s="2805"/>
      <c r="RSM73" s="2805"/>
      <c r="RSN73" s="2805"/>
      <c r="RSO73" s="2805"/>
      <c r="RSP73" s="2805"/>
      <c r="RSQ73" s="2805"/>
      <c r="RSR73" s="2805"/>
      <c r="RSS73" s="2805"/>
      <c r="RST73" s="2805"/>
      <c r="RSU73" s="2805"/>
      <c r="RSV73" s="2805"/>
      <c r="RSW73" s="2805"/>
      <c r="RSX73" s="2805"/>
      <c r="RSY73" s="2805"/>
      <c r="RSZ73" s="2805"/>
      <c r="RTA73" s="2805"/>
      <c r="RTB73" s="2805"/>
      <c r="RTC73" s="2805"/>
      <c r="RTD73" s="2805"/>
      <c r="RTE73" s="2805"/>
      <c r="RTF73" s="2805"/>
      <c r="RTG73" s="2805"/>
      <c r="RTH73" s="2805"/>
      <c r="RTI73" s="2805"/>
      <c r="RTJ73" s="2805"/>
      <c r="RTK73" s="2805"/>
      <c r="RTL73" s="2805"/>
      <c r="RTM73" s="2805"/>
      <c r="RTN73" s="2805"/>
      <c r="RTO73" s="2805"/>
      <c r="RTP73" s="2805"/>
      <c r="RTQ73" s="2805"/>
      <c r="RTR73" s="2805"/>
      <c r="RTS73" s="2805"/>
      <c r="RTT73" s="2805"/>
      <c r="RTU73" s="2805"/>
      <c r="RTV73" s="2805"/>
      <c r="RTW73" s="2805"/>
      <c r="RTX73" s="2805"/>
      <c r="RTY73" s="2805"/>
      <c r="RTZ73" s="2805"/>
      <c r="RUA73" s="2805"/>
      <c r="RUB73" s="2805"/>
      <c r="RUC73" s="2805"/>
      <c r="RUD73" s="2805"/>
      <c r="RUE73" s="2805"/>
      <c r="RUF73" s="2805"/>
      <c r="RUG73" s="2805"/>
      <c r="RUH73" s="2805"/>
      <c r="RUI73" s="2805"/>
      <c r="RUJ73" s="2805"/>
      <c r="RUK73" s="2805"/>
      <c r="RUL73" s="2805"/>
      <c r="RUM73" s="2805"/>
      <c r="RUN73" s="2805"/>
      <c r="RUO73" s="2805"/>
      <c r="RUP73" s="2805"/>
      <c r="RUQ73" s="2805"/>
      <c r="RUR73" s="2805"/>
      <c r="RUS73" s="2805"/>
      <c r="RUT73" s="2805"/>
      <c r="RUU73" s="2805"/>
      <c r="RUV73" s="2805"/>
      <c r="RUW73" s="2805"/>
      <c r="RUX73" s="2805"/>
      <c r="RUY73" s="2805"/>
      <c r="RUZ73" s="2805"/>
      <c r="RVA73" s="2805"/>
      <c r="RVB73" s="2805"/>
      <c r="RVC73" s="2805"/>
      <c r="RVD73" s="2805"/>
      <c r="RVE73" s="2805"/>
      <c r="RVF73" s="2805"/>
      <c r="RVG73" s="2805"/>
      <c r="RVH73" s="2805"/>
      <c r="RVI73" s="2805"/>
      <c r="RVJ73" s="2805"/>
      <c r="RVK73" s="2805"/>
      <c r="RVL73" s="2805"/>
      <c r="RVM73" s="2805"/>
      <c r="RVN73" s="2805"/>
      <c r="RVO73" s="2805"/>
      <c r="RVP73" s="2805"/>
      <c r="RVQ73" s="2805"/>
      <c r="RVR73" s="2805"/>
      <c r="RVS73" s="2805"/>
      <c r="RVT73" s="2805"/>
      <c r="RVU73" s="2805"/>
      <c r="RVV73" s="2805"/>
      <c r="RVW73" s="2805"/>
      <c r="RVX73" s="2805"/>
      <c r="RVY73" s="2805"/>
      <c r="RVZ73" s="2805"/>
      <c r="RWA73" s="2805"/>
      <c r="RWB73" s="2805"/>
      <c r="RWC73" s="2805"/>
      <c r="RWD73" s="2805"/>
      <c r="RWE73" s="2805"/>
      <c r="RWF73" s="2805"/>
      <c r="RWG73" s="2805"/>
      <c r="RWH73" s="2805"/>
      <c r="RWI73" s="2805"/>
      <c r="RWJ73" s="2805"/>
      <c r="RWK73" s="2805"/>
      <c r="RWL73" s="2805"/>
      <c r="RWM73" s="2805"/>
      <c r="RWN73" s="2805"/>
      <c r="RWO73" s="2805"/>
      <c r="RWP73" s="2805"/>
      <c r="RWQ73" s="2805"/>
      <c r="RWR73" s="2805"/>
      <c r="RWS73" s="2805"/>
      <c r="RWT73" s="2805"/>
      <c r="RWU73" s="2805"/>
      <c r="RWV73" s="2805"/>
      <c r="RWW73" s="2805"/>
      <c r="RWX73" s="2805"/>
      <c r="RWY73" s="2805"/>
      <c r="RWZ73" s="2805"/>
      <c r="RXA73" s="2805"/>
      <c r="RXB73" s="2805"/>
      <c r="RXC73" s="2805"/>
      <c r="RXD73" s="2805"/>
      <c r="RXE73" s="2805"/>
      <c r="RXF73" s="2805"/>
      <c r="RXG73" s="2805"/>
      <c r="RXH73" s="2805"/>
      <c r="RXI73" s="2805"/>
      <c r="RXJ73" s="2805"/>
      <c r="RXK73" s="2805"/>
      <c r="RXL73" s="2805"/>
      <c r="RXM73" s="2805"/>
      <c r="RXN73" s="2805"/>
      <c r="RXO73" s="2805"/>
      <c r="RXP73" s="2805"/>
      <c r="RXQ73" s="2805"/>
      <c r="RXR73" s="2805"/>
      <c r="RXS73" s="2805"/>
      <c r="RXT73" s="2805"/>
      <c r="RXU73" s="2805"/>
      <c r="RXV73" s="2805"/>
      <c r="RXW73" s="2805"/>
      <c r="RXX73" s="2805"/>
      <c r="RXY73" s="2805"/>
      <c r="RXZ73" s="2805"/>
      <c r="RYA73" s="2805"/>
      <c r="RYB73" s="2805"/>
      <c r="RYC73" s="2805"/>
      <c r="RYD73" s="2805"/>
      <c r="RYE73" s="2805"/>
      <c r="RYF73" s="2805"/>
      <c r="RYG73" s="2805"/>
      <c r="RYH73" s="2805"/>
      <c r="RYI73" s="2805"/>
      <c r="RYJ73" s="2805"/>
      <c r="RYK73" s="2805"/>
      <c r="RYL73" s="2805"/>
      <c r="RYM73" s="2805"/>
      <c r="RYN73" s="2805"/>
      <c r="RYO73" s="2805"/>
      <c r="RYP73" s="2805"/>
      <c r="RYQ73" s="2805"/>
      <c r="RYR73" s="2805"/>
      <c r="RYS73" s="2805"/>
      <c r="RYT73" s="2805"/>
      <c r="RYU73" s="2805"/>
      <c r="RYV73" s="2805"/>
      <c r="RYW73" s="2805"/>
      <c r="RYX73" s="2805"/>
      <c r="RYY73" s="2805"/>
      <c r="RYZ73" s="2805"/>
      <c r="RZA73" s="2805"/>
      <c r="RZB73" s="2805"/>
      <c r="RZC73" s="2805"/>
      <c r="RZD73" s="2805"/>
      <c r="RZE73" s="2805"/>
      <c r="RZF73" s="2805"/>
      <c r="RZG73" s="2805"/>
      <c r="RZH73" s="2805"/>
      <c r="RZI73" s="2805"/>
      <c r="RZJ73" s="2805"/>
      <c r="RZK73" s="2805"/>
      <c r="RZL73" s="2805"/>
      <c r="RZM73" s="2805"/>
      <c r="RZN73" s="2805"/>
      <c r="RZO73" s="2805"/>
      <c r="RZP73" s="2805"/>
      <c r="RZQ73" s="2805"/>
      <c r="RZR73" s="2805"/>
      <c r="RZS73" s="2805"/>
      <c r="RZT73" s="2805"/>
      <c r="RZU73" s="2805"/>
      <c r="RZV73" s="2805"/>
      <c r="RZW73" s="2805"/>
      <c r="RZX73" s="2805"/>
      <c r="RZY73" s="2805"/>
      <c r="RZZ73" s="2805"/>
      <c r="SAA73" s="2805"/>
      <c r="SAB73" s="2805"/>
      <c r="SAC73" s="2805"/>
      <c r="SAD73" s="2805"/>
      <c r="SAE73" s="2805"/>
      <c r="SAF73" s="2805"/>
      <c r="SAG73" s="2805"/>
      <c r="SAH73" s="2805"/>
      <c r="SAI73" s="2805"/>
      <c r="SAJ73" s="2805"/>
      <c r="SAK73" s="2805"/>
      <c r="SAL73" s="2805"/>
      <c r="SAM73" s="2805"/>
      <c r="SAN73" s="2805"/>
      <c r="SAO73" s="2805"/>
      <c r="SAP73" s="2805"/>
      <c r="SAQ73" s="2805"/>
      <c r="SAR73" s="2805"/>
      <c r="SAS73" s="2805"/>
      <c r="SAT73" s="2805"/>
      <c r="SAU73" s="2805"/>
      <c r="SAV73" s="2805"/>
      <c r="SAW73" s="2805"/>
      <c r="SAX73" s="2805"/>
      <c r="SAY73" s="2805"/>
      <c r="SAZ73" s="2805"/>
      <c r="SBA73" s="2805"/>
      <c r="SBB73" s="2805"/>
      <c r="SBC73" s="2805"/>
      <c r="SBD73" s="2805"/>
      <c r="SBE73" s="2805"/>
      <c r="SBF73" s="2805"/>
      <c r="SBG73" s="2805"/>
      <c r="SBH73" s="2805"/>
      <c r="SBI73" s="2805"/>
      <c r="SBJ73" s="2805"/>
      <c r="SBK73" s="2805"/>
      <c r="SBL73" s="2805"/>
      <c r="SBM73" s="2805"/>
      <c r="SBN73" s="2805"/>
      <c r="SBO73" s="2805"/>
      <c r="SBP73" s="2805"/>
      <c r="SBQ73" s="2805"/>
      <c r="SBR73" s="2805"/>
      <c r="SBS73" s="2805"/>
      <c r="SBT73" s="2805"/>
      <c r="SBU73" s="2805"/>
      <c r="SBV73" s="2805"/>
      <c r="SBW73" s="2805"/>
      <c r="SBX73" s="2805"/>
      <c r="SBY73" s="2805"/>
      <c r="SBZ73" s="2805"/>
      <c r="SCA73" s="2805"/>
      <c r="SCB73" s="2805"/>
      <c r="SCC73" s="2805"/>
      <c r="SCD73" s="2805"/>
      <c r="SCE73" s="2805"/>
      <c r="SCF73" s="2805"/>
      <c r="SCG73" s="2805"/>
      <c r="SCH73" s="2805"/>
      <c r="SCI73" s="2805"/>
      <c r="SCJ73" s="2805"/>
      <c r="SCK73" s="2805"/>
      <c r="SCL73" s="2805"/>
      <c r="SCM73" s="2805"/>
      <c r="SCN73" s="2805"/>
      <c r="SCO73" s="2805"/>
      <c r="SCP73" s="2805"/>
      <c r="SCQ73" s="2805"/>
      <c r="SCR73" s="2805"/>
      <c r="SCS73" s="2805"/>
      <c r="SCT73" s="2805"/>
      <c r="SCU73" s="2805"/>
      <c r="SCV73" s="2805"/>
      <c r="SCW73" s="2805"/>
      <c r="SCX73" s="2805"/>
      <c r="SCY73" s="2805"/>
      <c r="SCZ73" s="2805"/>
      <c r="SDA73" s="2805"/>
      <c r="SDB73" s="2805"/>
      <c r="SDC73" s="2805"/>
      <c r="SDD73" s="2805"/>
      <c r="SDE73" s="2805"/>
      <c r="SDF73" s="2805"/>
      <c r="SDG73" s="2805"/>
      <c r="SDH73" s="2805"/>
      <c r="SDI73" s="2805"/>
      <c r="SDJ73" s="2805"/>
      <c r="SDK73" s="2805"/>
      <c r="SDL73" s="2805"/>
      <c r="SDM73" s="2805"/>
      <c r="SDN73" s="2805"/>
      <c r="SDO73" s="2805"/>
      <c r="SDP73" s="2805"/>
      <c r="SDQ73" s="2805"/>
      <c r="SDR73" s="2805"/>
      <c r="SDS73" s="2805"/>
      <c r="SDT73" s="2805"/>
      <c r="SDU73" s="2805"/>
      <c r="SDV73" s="2805"/>
      <c r="SDW73" s="2805"/>
      <c r="SDX73" s="2805"/>
      <c r="SDY73" s="2805"/>
      <c r="SDZ73" s="2805"/>
      <c r="SEA73" s="2805"/>
      <c r="SEB73" s="2805"/>
      <c r="SEC73" s="2805"/>
      <c r="SED73" s="2805"/>
      <c r="SEE73" s="2805"/>
      <c r="SEF73" s="2805"/>
      <c r="SEG73" s="2805"/>
      <c r="SEH73" s="2805"/>
      <c r="SEI73" s="2805"/>
      <c r="SEJ73" s="2805"/>
      <c r="SEK73" s="2805"/>
      <c r="SEL73" s="2805"/>
      <c r="SEM73" s="2805"/>
      <c r="SEN73" s="2805"/>
      <c r="SEO73" s="2805"/>
      <c r="SEP73" s="2805"/>
      <c r="SEQ73" s="2805"/>
      <c r="SER73" s="2805"/>
      <c r="SES73" s="2805"/>
      <c r="SET73" s="2805"/>
      <c r="SEU73" s="2805"/>
      <c r="SEV73" s="2805"/>
      <c r="SEW73" s="2805"/>
      <c r="SEX73" s="2805"/>
      <c r="SEY73" s="2805"/>
      <c r="SEZ73" s="2805"/>
      <c r="SFA73" s="2805"/>
      <c r="SFB73" s="2805"/>
      <c r="SFC73" s="2805"/>
      <c r="SFD73" s="2805"/>
      <c r="SFE73" s="2805"/>
      <c r="SFF73" s="2805"/>
      <c r="SFG73" s="2805"/>
      <c r="SFH73" s="2805"/>
      <c r="SFI73" s="2805"/>
      <c r="SFJ73" s="2805"/>
      <c r="SFK73" s="2805"/>
      <c r="SFL73" s="2805"/>
      <c r="SFM73" s="2805"/>
      <c r="SFN73" s="2805"/>
      <c r="SFO73" s="2805"/>
      <c r="SFP73" s="2805"/>
      <c r="SFQ73" s="2805"/>
      <c r="SFR73" s="2805"/>
      <c r="SFS73" s="2805"/>
      <c r="SFT73" s="2805"/>
      <c r="SFU73" s="2805"/>
      <c r="SFV73" s="2805"/>
      <c r="SFW73" s="2805"/>
      <c r="SFX73" s="2805"/>
      <c r="SFY73" s="2805"/>
      <c r="SFZ73" s="2805"/>
      <c r="SGA73" s="2805"/>
      <c r="SGB73" s="2805"/>
      <c r="SGC73" s="2805"/>
      <c r="SGD73" s="2805"/>
      <c r="SGE73" s="2805"/>
      <c r="SGF73" s="2805"/>
      <c r="SGG73" s="2805"/>
      <c r="SGH73" s="2805"/>
      <c r="SGI73" s="2805"/>
      <c r="SGJ73" s="2805"/>
      <c r="SGK73" s="2805"/>
      <c r="SGL73" s="2805"/>
      <c r="SGM73" s="2805"/>
      <c r="SGN73" s="2805"/>
      <c r="SGO73" s="2805"/>
      <c r="SGP73" s="2805"/>
      <c r="SGQ73" s="2805"/>
      <c r="SGR73" s="2805"/>
      <c r="SGS73" s="2805"/>
      <c r="SGT73" s="2805"/>
      <c r="SGU73" s="2805"/>
      <c r="SGV73" s="2805"/>
      <c r="SGW73" s="2805"/>
      <c r="SGX73" s="2805"/>
      <c r="SGY73" s="2805"/>
      <c r="SGZ73" s="2805"/>
      <c r="SHA73" s="2805"/>
      <c r="SHB73" s="2805"/>
      <c r="SHC73" s="2805"/>
      <c r="SHD73" s="2805"/>
      <c r="SHE73" s="2805"/>
      <c r="SHF73" s="2805"/>
      <c r="SHG73" s="2805"/>
      <c r="SHH73" s="2805"/>
      <c r="SHI73" s="2805"/>
      <c r="SHJ73" s="2805"/>
      <c r="SHK73" s="2805"/>
      <c r="SHL73" s="2805"/>
      <c r="SHM73" s="2805"/>
      <c r="SHN73" s="2805"/>
      <c r="SHO73" s="2805"/>
      <c r="SHP73" s="2805"/>
      <c r="SHQ73" s="2805"/>
      <c r="SHR73" s="2805"/>
      <c r="SHS73" s="2805"/>
      <c r="SHT73" s="2805"/>
      <c r="SHU73" s="2805"/>
      <c r="SHV73" s="2805"/>
      <c r="SHW73" s="2805"/>
      <c r="SHX73" s="2805"/>
      <c r="SHY73" s="2805"/>
      <c r="SHZ73" s="2805"/>
      <c r="SIA73" s="2805"/>
      <c r="SIB73" s="2805"/>
      <c r="SIC73" s="2805"/>
      <c r="SID73" s="2805"/>
      <c r="SIE73" s="2805"/>
      <c r="SIF73" s="2805"/>
      <c r="SIG73" s="2805"/>
      <c r="SIH73" s="2805"/>
      <c r="SII73" s="2805"/>
      <c r="SIJ73" s="2805"/>
      <c r="SIK73" s="2805"/>
      <c r="SIL73" s="2805"/>
      <c r="SIM73" s="2805"/>
      <c r="SIN73" s="2805"/>
      <c r="SIO73" s="2805"/>
      <c r="SIP73" s="2805"/>
      <c r="SIQ73" s="2805"/>
      <c r="SIR73" s="2805"/>
      <c r="SIS73" s="2805"/>
      <c r="SIT73" s="2805"/>
      <c r="SIU73" s="2805"/>
      <c r="SIV73" s="2805"/>
      <c r="SIW73" s="2805"/>
      <c r="SIX73" s="2805"/>
      <c r="SIY73" s="2805"/>
      <c r="SIZ73" s="2805"/>
      <c r="SJA73" s="2805"/>
      <c r="SJB73" s="2805"/>
      <c r="SJC73" s="2805"/>
      <c r="SJD73" s="2805"/>
      <c r="SJE73" s="2805"/>
      <c r="SJF73" s="2805"/>
      <c r="SJG73" s="2805"/>
      <c r="SJH73" s="2805"/>
      <c r="SJI73" s="2805"/>
      <c r="SJJ73" s="2805"/>
      <c r="SJK73" s="2805"/>
      <c r="SJL73" s="2805"/>
      <c r="SJM73" s="2805"/>
      <c r="SJN73" s="2805"/>
      <c r="SJO73" s="2805"/>
      <c r="SJP73" s="2805"/>
      <c r="SJQ73" s="2805"/>
      <c r="SJR73" s="2805"/>
      <c r="SJS73" s="2805"/>
      <c r="SJT73" s="2805"/>
      <c r="SJU73" s="2805"/>
      <c r="SJV73" s="2805"/>
      <c r="SJW73" s="2805"/>
      <c r="SJX73" s="2805"/>
      <c r="SJY73" s="2805"/>
      <c r="SJZ73" s="2805"/>
      <c r="SKA73" s="2805"/>
      <c r="SKB73" s="2805"/>
      <c r="SKC73" s="2805"/>
      <c r="SKD73" s="2805"/>
      <c r="SKE73" s="2805"/>
      <c r="SKF73" s="2805"/>
      <c r="SKG73" s="2805"/>
      <c r="SKH73" s="2805"/>
      <c r="SKI73" s="2805"/>
      <c r="SKJ73" s="2805"/>
      <c r="SKK73" s="2805"/>
      <c r="SKL73" s="2805"/>
      <c r="SKM73" s="2805"/>
      <c r="SKN73" s="2805"/>
      <c r="SKO73" s="2805"/>
      <c r="SKP73" s="2805"/>
      <c r="SKQ73" s="2805"/>
      <c r="SKR73" s="2805"/>
      <c r="SKS73" s="2805"/>
      <c r="SKT73" s="2805"/>
      <c r="SKU73" s="2805"/>
      <c r="SKV73" s="2805"/>
      <c r="SKW73" s="2805"/>
      <c r="SKX73" s="2805"/>
      <c r="SKY73" s="2805"/>
      <c r="SKZ73" s="2805"/>
      <c r="SLA73" s="2805"/>
      <c r="SLB73" s="2805"/>
      <c r="SLC73" s="2805"/>
      <c r="SLD73" s="2805"/>
      <c r="SLE73" s="2805"/>
      <c r="SLF73" s="2805"/>
      <c r="SLG73" s="2805"/>
      <c r="SLH73" s="2805"/>
      <c r="SLI73" s="2805"/>
      <c r="SLJ73" s="2805"/>
      <c r="SLK73" s="2805"/>
      <c r="SLL73" s="2805"/>
      <c r="SLM73" s="2805"/>
      <c r="SLN73" s="2805"/>
      <c r="SLO73" s="2805"/>
      <c r="SLP73" s="2805"/>
      <c r="SLQ73" s="2805"/>
      <c r="SLR73" s="2805"/>
      <c r="SLS73" s="2805"/>
      <c r="SLT73" s="2805"/>
      <c r="SLU73" s="2805"/>
      <c r="SLV73" s="2805"/>
      <c r="SLW73" s="2805"/>
      <c r="SLX73" s="2805"/>
      <c r="SLY73" s="2805"/>
      <c r="SLZ73" s="2805"/>
      <c r="SMA73" s="2805"/>
      <c r="SMB73" s="2805"/>
      <c r="SMC73" s="2805"/>
      <c r="SMD73" s="2805"/>
      <c r="SME73" s="2805"/>
      <c r="SMF73" s="2805"/>
      <c r="SMG73" s="2805"/>
      <c r="SMH73" s="2805"/>
      <c r="SMI73" s="2805"/>
      <c r="SMJ73" s="2805"/>
      <c r="SMK73" s="2805"/>
      <c r="SML73" s="2805"/>
      <c r="SMM73" s="2805"/>
      <c r="SMN73" s="2805"/>
      <c r="SMO73" s="2805"/>
      <c r="SMP73" s="2805"/>
      <c r="SMQ73" s="2805"/>
      <c r="SMR73" s="2805"/>
      <c r="SMS73" s="2805"/>
      <c r="SMT73" s="2805"/>
      <c r="SMU73" s="2805"/>
      <c r="SMV73" s="2805"/>
      <c r="SMW73" s="2805"/>
      <c r="SMX73" s="2805"/>
      <c r="SMY73" s="2805"/>
      <c r="SMZ73" s="2805"/>
      <c r="SNA73" s="2805"/>
      <c r="SNB73" s="2805"/>
      <c r="SNC73" s="2805"/>
      <c r="SND73" s="2805"/>
      <c r="SNE73" s="2805"/>
      <c r="SNF73" s="2805"/>
      <c r="SNG73" s="2805"/>
      <c r="SNH73" s="2805"/>
      <c r="SNI73" s="2805"/>
      <c r="SNJ73" s="2805"/>
      <c r="SNK73" s="2805"/>
      <c r="SNL73" s="2805"/>
      <c r="SNM73" s="2805"/>
      <c r="SNN73" s="2805"/>
      <c r="SNO73" s="2805"/>
      <c r="SNP73" s="2805"/>
      <c r="SNQ73" s="2805"/>
      <c r="SNR73" s="2805"/>
      <c r="SNS73" s="2805"/>
      <c r="SNT73" s="2805"/>
      <c r="SNU73" s="2805"/>
      <c r="SNV73" s="2805"/>
      <c r="SNW73" s="2805"/>
      <c r="SNX73" s="2805"/>
      <c r="SNY73" s="2805"/>
      <c r="SNZ73" s="2805"/>
      <c r="SOA73" s="2805"/>
      <c r="SOB73" s="2805"/>
      <c r="SOC73" s="2805"/>
      <c r="SOD73" s="2805"/>
      <c r="SOE73" s="2805"/>
      <c r="SOF73" s="2805"/>
      <c r="SOG73" s="2805"/>
      <c r="SOH73" s="2805"/>
      <c r="SOI73" s="2805"/>
      <c r="SOJ73" s="2805"/>
      <c r="SOK73" s="2805"/>
      <c r="SOL73" s="2805"/>
      <c r="SOM73" s="2805"/>
      <c r="SON73" s="2805"/>
      <c r="SOO73" s="2805"/>
      <c r="SOP73" s="2805"/>
      <c r="SOQ73" s="2805"/>
      <c r="SOR73" s="2805"/>
      <c r="SOS73" s="2805"/>
      <c r="SOT73" s="2805"/>
      <c r="SOU73" s="2805"/>
      <c r="SOV73" s="2805"/>
      <c r="SOW73" s="2805"/>
      <c r="SOX73" s="2805"/>
      <c r="SOY73" s="2805"/>
      <c r="SOZ73" s="2805"/>
      <c r="SPA73" s="2805"/>
      <c r="SPB73" s="2805"/>
      <c r="SPC73" s="2805"/>
      <c r="SPD73" s="2805"/>
      <c r="SPE73" s="2805"/>
      <c r="SPF73" s="2805"/>
      <c r="SPG73" s="2805"/>
      <c r="SPH73" s="2805"/>
      <c r="SPI73" s="2805"/>
      <c r="SPJ73" s="2805"/>
      <c r="SPK73" s="2805"/>
      <c r="SPL73" s="2805"/>
      <c r="SPM73" s="2805"/>
      <c r="SPN73" s="2805"/>
      <c r="SPO73" s="2805"/>
      <c r="SPP73" s="2805"/>
      <c r="SPQ73" s="2805"/>
      <c r="SPR73" s="2805"/>
      <c r="SPS73" s="2805"/>
      <c r="SPT73" s="2805"/>
      <c r="SPU73" s="2805"/>
      <c r="SPV73" s="2805"/>
      <c r="SPW73" s="2805"/>
      <c r="SPX73" s="2805"/>
      <c r="SPY73" s="2805"/>
      <c r="SPZ73" s="2805"/>
      <c r="SQA73" s="2805"/>
      <c r="SQB73" s="2805"/>
      <c r="SQC73" s="2805"/>
      <c r="SQD73" s="2805"/>
      <c r="SQE73" s="2805"/>
      <c r="SQF73" s="2805"/>
      <c r="SQG73" s="2805"/>
      <c r="SQH73" s="2805"/>
      <c r="SQI73" s="2805"/>
      <c r="SQJ73" s="2805"/>
      <c r="SQK73" s="2805"/>
      <c r="SQL73" s="2805"/>
      <c r="SQM73" s="2805"/>
      <c r="SQN73" s="2805"/>
      <c r="SQO73" s="2805"/>
      <c r="SQP73" s="2805"/>
      <c r="SQQ73" s="2805"/>
      <c r="SQR73" s="2805"/>
      <c r="SQS73" s="2805"/>
      <c r="SQT73" s="2805"/>
      <c r="SQU73" s="2805"/>
      <c r="SQV73" s="2805"/>
      <c r="SQW73" s="2805"/>
      <c r="SQX73" s="2805"/>
      <c r="SQY73" s="2805"/>
      <c r="SQZ73" s="2805"/>
      <c r="SRA73" s="2805"/>
      <c r="SRB73" s="2805"/>
      <c r="SRC73" s="2805"/>
      <c r="SRD73" s="2805"/>
      <c r="SRE73" s="2805"/>
      <c r="SRF73" s="2805"/>
      <c r="SRG73" s="2805"/>
      <c r="SRH73" s="2805"/>
      <c r="SRI73" s="2805"/>
      <c r="SRJ73" s="2805"/>
      <c r="SRK73" s="2805"/>
      <c r="SRL73" s="2805"/>
      <c r="SRM73" s="2805"/>
      <c r="SRN73" s="2805"/>
      <c r="SRO73" s="2805"/>
      <c r="SRP73" s="2805"/>
      <c r="SRQ73" s="2805"/>
      <c r="SRR73" s="2805"/>
      <c r="SRS73" s="2805"/>
      <c r="SRT73" s="2805"/>
      <c r="SRU73" s="2805"/>
      <c r="SRV73" s="2805"/>
      <c r="SRW73" s="2805"/>
      <c r="SRX73" s="2805"/>
      <c r="SRY73" s="2805"/>
      <c r="SRZ73" s="2805"/>
      <c r="SSA73" s="2805"/>
      <c r="SSB73" s="2805"/>
      <c r="SSC73" s="2805"/>
      <c r="SSD73" s="2805"/>
      <c r="SSE73" s="2805"/>
      <c r="SSF73" s="2805"/>
      <c r="SSG73" s="2805"/>
      <c r="SSH73" s="2805"/>
      <c r="SSI73" s="2805"/>
      <c r="SSJ73" s="2805"/>
      <c r="SSK73" s="2805"/>
      <c r="SSL73" s="2805"/>
      <c r="SSM73" s="2805"/>
      <c r="SSN73" s="2805"/>
      <c r="SSO73" s="2805"/>
      <c r="SSP73" s="2805"/>
      <c r="SSQ73" s="2805"/>
      <c r="SSR73" s="2805"/>
      <c r="SSS73" s="2805"/>
      <c r="SST73" s="2805"/>
      <c r="SSU73" s="2805"/>
      <c r="SSV73" s="2805"/>
      <c r="SSW73" s="2805"/>
      <c r="SSX73" s="2805"/>
      <c r="SSY73" s="2805"/>
      <c r="SSZ73" s="2805"/>
      <c r="STA73" s="2805"/>
      <c r="STB73" s="2805"/>
      <c r="STC73" s="2805"/>
      <c r="STD73" s="2805"/>
      <c r="STE73" s="2805"/>
      <c r="STF73" s="2805"/>
      <c r="STG73" s="2805"/>
      <c r="STH73" s="2805"/>
      <c r="STI73" s="2805"/>
      <c r="STJ73" s="2805"/>
      <c r="STK73" s="2805"/>
      <c r="STL73" s="2805"/>
      <c r="STM73" s="2805"/>
      <c r="STN73" s="2805"/>
      <c r="STO73" s="2805"/>
      <c r="STP73" s="2805"/>
      <c r="STQ73" s="2805"/>
      <c r="STR73" s="2805"/>
      <c r="STS73" s="2805"/>
      <c r="STT73" s="2805"/>
      <c r="STU73" s="2805"/>
      <c r="STV73" s="2805"/>
      <c r="STW73" s="2805"/>
      <c r="STX73" s="2805"/>
      <c r="STY73" s="2805"/>
      <c r="STZ73" s="2805"/>
      <c r="SUA73" s="2805"/>
      <c r="SUB73" s="2805"/>
      <c r="SUC73" s="2805"/>
      <c r="SUD73" s="2805"/>
      <c r="SUE73" s="2805"/>
      <c r="SUF73" s="2805"/>
      <c r="SUG73" s="2805"/>
      <c r="SUH73" s="2805"/>
      <c r="SUI73" s="2805"/>
      <c r="SUJ73" s="2805"/>
      <c r="SUK73" s="2805"/>
      <c r="SUL73" s="2805"/>
      <c r="SUM73" s="2805"/>
      <c r="SUN73" s="2805"/>
      <c r="SUO73" s="2805"/>
      <c r="SUP73" s="2805"/>
      <c r="SUQ73" s="2805"/>
      <c r="SUR73" s="2805"/>
      <c r="SUS73" s="2805"/>
      <c r="SUT73" s="2805"/>
      <c r="SUU73" s="2805"/>
      <c r="SUV73" s="2805"/>
      <c r="SUW73" s="2805"/>
      <c r="SUX73" s="2805"/>
      <c r="SUY73" s="2805"/>
      <c r="SUZ73" s="2805"/>
      <c r="SVA73" s="2805"/>
      <c r="SVB73" s="2805"/>
      <c r="SVC73" s="2805"/>
      <c r="SVD73" s="2805"/>
      <c r="SVE73" s="2805"/>
      <c r="SVF73" s="2805"/>
      <c r="SVG73" s="2805"/>
      <c r="SVH73" s="2805"/>
      <c r="SVI73" s="2805"/>
      <c r="SVJ73" s="2805"/>
      <c r="SVK73" s="2805"/>
      <c r="SVL73" s="2805"/>
      <c r="SVM73" s="2805"/>
      <c r="SVN73" s="2805"/>
      <c r="SVO73" s="2805"/>
      <c r="SVP73" s="2805"/>
      <c r="SVQ73" s="2805"/>
      <c r="SVR73" s="2805"/>
      <c r="SVS73" s="2805"/>
      <c r="SVT73" s="2805"/>
      <c r="SVU73" s="2805"/>
      <c r="SVV73" s="2805"/>
      <c r="SVW73" s="2805"/>
      <c r="SVX73" s="2805"/>
      <c r="SVY73" s="2805"/>
      <c r="SVZ73" s="2805"/>
      <c r="SWA73" s="2805"/>
      <c r="SWB73" s="2805"/>
      <c r="SWC73" s="2805"/>
      <c r="SWD73" s="2805"/>
      <c r="SWE73" s="2805"/>
      <c r="SWF73" s="2805"/>
      <c r="SWG73" s="2805"/>
      <c r="SWH73" s="2805"/>
      <c r="SWI73" s="2805"/>
      <c r="SWJ73" s="2805"/>
      <c r="SWK73" s="2805"/>
      <c r="SWL73" s="2805"/>
      <c r="SWM73" s="2805"/>
      <c r="SWN73" s="2805"/>
      <c r="SWO73" s="2805"/>
      <c r="SWP73" s="2805"/>
      <c r="SWQ73" s="2805"/>
      <c r="SWR73" s="2805"/>
      <c r="SWS73" s="2805"/>
      <c r="SWT73" s="2805"/>
      <c r="SWU73" s="2805"/>
      <c r="SWV73" s="2805"/>
      <c r="SWW73" s="2805"/>
      <c r="SWX73" s="2805"/>
      <c r="SWY73" s="2805"/>
      <c r="SWZ73" s="2805"/>
      <c r="SXA73" s="2805"/>
      <c r="SXB73" s="2805"/>
      <c r="SXC73" s="2805"/>
      <c r="SXD73" s="2805"/>
      <c r="SXE73" s="2805"/>
      <c r="SXF73" s="2805"/>
      <c r="SXG73" s="2805"/>
      <c r="SXH73" s="2805"/>
      <c r="SXI73" s="2805"/>
      <c r="SXJ73" s="2805"/>
      <c r="SXK73" s="2805"/>
      <c r="SXL73" s="2805"/>
      <c r="SXM73" s="2805"/>
      <c r="SXN73" s="2805"/>
      <c r="SXO73" s="2805"/>
      <c r="SXP73" s="2805"/>
      <c r="SXQ73" s="2805"/>
      <c r="SXR73" s="2805"/>
      <c r="SXS73" s="2805"/>
      <c r="SXT73" s="2805"/>
      <c r="SXU73" s="2805"/>
      <c r="SXV73" s="2805"/>
      <c r="SXW73" s="2805"/>
      <c r="SXX73" s="2805"/>
      <c r="SXY73" s="2805"/>
      <c r="SXZ73" s="2805"/>
      <c r="SYA73" s="2805"/>
      <c r="SYB73" s="2805"/>
      <c r="SYC73" s="2805"/>
      <c r="SYD73" s="2805"/>
      <c r="SYE73" s="2805"/>
      <c r="SYF73" s="2805"/>
      <c r="SYG73" s="2805"/>
      <c r="SYH73" s="2805"/>
      <c r="SYI73" s="2805"/>
      <c r="SYJ73" s="2805"/>
      <c r="SYK73" s="2805"/>
      <c r="SYL73" s="2805"/>
      <c r="SYM73" s="2805"/>
      <c r="SYN73" s="2805"/>
      <c r="SYO73" s="2805"/>
      <c r="SYP73" s="2805"/>
      <c r="SYQ73" s="2805"/>
      <c r="SYR73" s="2805"/>
      <c r="SYS73" s="2805"/>
      <c r="SYT73" s="2805"/>
      <c r="SYU73" s="2805"/>
      <c r="SYV73" s="2805"/>
      <c r="SYW73" s="2805"/>
      <c r="SYX73" s="2805"/>
      <c r="SYY73" s="2805"/>
      <c r="SYZ73" s="2805"/>
      <c r="SZA73" s="2805"/>
      <c r="SZB73" s="2805"/>
      <c r="SZC73" s="2805"/>
      <c r="SZD73" s="2805"/>
      <c r="SZE73" s="2805"/>
      <c r="SZF73" s="2805"/>
      <c r="SZG73" s="2805"/>
      <c r="SZH73" s="2805"/>
      <c r="SZI73" s="2805"/>
      <c r="SZJ73" s="2805"/>
      <c r="SZK73" s="2805"/>
      <c r="SZL73" s="2805"/>
      <c r="SZM73" s="2805"/>
      <c r="SZN73" s="2805"/>
      <c r="SZO73" s="2805"/>
      <c r="SZP73" s="2805"/>
      <c r="SZQ73" s="2805"/>
      <c r="SZR73" s="2805"/>
      <c r="SZS73" s="2805"/>
      <c r="SZT73" s="2805"/>
      <c r="SZU73" s="2805"/>
      <c r="SZV73" s="2805"/>
      <c r="SZW73" s="2805"/>
      <c r="SZX73" s="2805"/>
      <c r="SZY73" s="2805"/>
      <c r="SZZ73" s="2805"/>
      <c r="TAA73" s="2805"/>
      <c r="TAB73" s="2805"/>
      <c r="TAC73" s="2805"/>
      <c r="TAD73" s="2805"/>
      <c r="TAE73" s="2805"/>
      <c r="TAF73" s="2805"/>
      <c r="TAG73" s="2805"/>
      <c r="TAH73" s="2805"/>
      <c r="TAI73" s="2805"/>
      <c r="TAJ73" s="2805"/>
      <c r="TAK73" s="2805"/>
      <c r="TAL73" s="2805"/>
      <c r="TAM73" s="2805"/>
      <c r="TAN73" s="2805"/>
      <c r="TAO73" s="2805"/>
      <c r="TAP73" s="2805"/>
      <c r="TAQ73" s="2805"/>
      <c r="TAR73" s="2805"/>
      <c r="TAS73" s="2805"/>
      <c r="TAT73" s="2805"/>
      <c r="TAU73" s="2805"/>
      <c r="TAV73" s="2805"/>
      <c r="TAW73" s="2805"/>
      <c r="TAX73" s="2805"/>
      <c r="TAY73" s="2805"/>
      <c r="TAZ73" s="2805"/>
      <c r="TBA73" s="2805"/>
      <c r="TBB73" s="2805"/>
      <c r="TBC73" s="2805"/>
      <c r="TBD73" s="2805"/>
      <c r="TBE73" s="2805"/>
      <c r="TBF73" s="2805"/>
      <c r="TBG73" s="2805"/>
      <c r="TBH73" s="2805"/>
      <c r="TBI73" s="2805"/>
      <c r="TBJ73" s="2805"/>
      <c r="TBK73" s="2805"/>
      <c r="TBL73" s="2805"/>
      <c r="TBM73" s="2805"/>
      <c r="TBN73" s="2805"/>
      <c r="TBO73" s="2805"/>
      <c r="TBP73" s="2805"/>
      <c r="TBQ73" s="2805"/>
      <c r="TBR73" s="2805"/>
      <c r="TBS73" s="2805"/>
      <c r="TBT73" s="2805"/>
      <c r="TBU73" s="2805"/>
      <c r="TBV73" s="2805"/>
      <c r="TBW73" s="2805"/>
      <c r="TBX73" s="2805"/>
      <c r="TBY73" s="2805"/>
      <c r="TBZ73" s="2805"/>
      <c r="TCA73" s="2805"/>
      <c r="TCB73" s="2805"/>
      <c r="TCC73" s="2805"/>
      <c r="TCD73" s="2805"/>
      <c r="TCE73" s="2805"/>
      <c r="TCF73" s="2805"/>
      <c r="TCG73" s="2805"/>
      <c r="TCH73" s="2805"/>
      <c r="TCI73" s="2805"/>
      <c r="TCJ73" s="2805"/>
      <c r="TCK73" s="2805"/>
      <c r="TCL73" s="2805"/>
      <c r="TCM73" s="2805"/>
      <c r="TCN73" s="2805"/>
      <c r="TCO73" s="2805"/>
      <c r="TCP73" s="2805"/>
      <c r="TCQ73" s="2805"/>
      <c r="TCR73" s="2805"/>
      <c r="TCS73" s="2805"/>
      <c r="TCT73" s="2805"/>
      <c r="TCU73" s="2805"/>
      <c r="TCV73" s="2805"/>
      <c r="TCW73" s="2805"/>
      <c r="TCX73" s="2805"/>
      <c r="TCY73" s="2805"/>
      <c r="TCZ73" s="2805"/>
      <c r="TDA73" s="2805"/>
      <c r="TDB73" s="2805"/>
      <c r="TDC73" s="2805"/>
      <c r="TDD73" s="2805"/>
      <c r="TDE73" s="2805"/>
      <c r="TDF73" s="2805"/>
      <c r="TDG73" s="2805"/>
      <c r="TDH73" s="2805"/>
      <c r="TDI73" s="2805"/>
      <c r="TDJ73" s="2805"/>
      <c r="TDK73" s="2805"/>
      <c r="TDL73" s="2805"/>
      <c r="TDM73" s="2805"/>
      <c r="TDN73" s="2805"/>
      <c r="TDO73" s="2805"/>
      <c r="TDP73" s="2805"/>
      <c r="TDQ73" s="2805"/>
      <c r="TDR73" s="2805"/>
      <c r="TDS73" s="2805"/>
      <c r="TDT73" s="2805"/>
      <c r="TDU73" s="2805"/>
      <c r="TDV73" s="2805"/>
      <c r="TDW73" s="2805"/>
      <c r="TDX73" s="2805"/>
      <c r="TDY73" s="2805"/>
      <c r="TDZ73" s="2805"/>
      <c r="TEA73" s="2805"/>
      <c r="TEB73" s="2805"/>
      <c r="TEC73" s="2805"/>
      <c r="TED73" s="2805"/>
      <c r="TEE73" s="2805"/>
      <c r="TEF73" s="2805"/>
      <c r="TEG73" s="2805"/>
      <c r="TEH73" s="2805"/>
      <c r="TEI73" s="2805"/>
      <c r="TEJ73" s="2805"/>
      <c r="TEK73" s="2805"/>
      <c r="TEL73" s="2805"/>
      <c r="TEM73" s="2805"/>
      <c r="TEN73" s="2805"/>
      <c r="TEO73" s="2805"/>
      <c r="TEP73" s="2805"/>
      <c r="TEQ73" s="2805"/>
      <c r="TER73" s="2805"/>
      <c r="TES73" s="2805"/>
      <c r="TET73" s="2805"/>
      <c r="TEU73" s="2805"/>
      <c r="TEV73" s="2805"/>
      <c r="TEW73" s="2805"/>
      <c r="TEX73" s="2805"/>
      <c r="TEY73" s="2805"/>
      <c r="TEZ73" s="2805"/>
      <c r="TFA73" s="2805"/>
      <c r="TFB73" s="2805"/>
      <c r="TFC73" s="2805"/>
      <c r="TFD73" s="2805"/>
      <c r="TFE73" s="2805"/>
      <c r="TFF73" s="2805"/>
      <c r="TFG73" s="2805"/>
      <c r="TFH73" s="2805"/>
      <c r="TFI73" s="2805"/>
      <c r="TFJ73" s="2805"/>
      <c r="TFK73" s="2805"/>
      <c r="TFL73" s="2805"/>
      <c r="TFM73" s="2805"/>
      <c r="TFN73" s="2805"/>
      <c r="TFO73" s="2805"/>
      <c r="TFP73" s="2805"/>
      <c r="TFQ73" s="2805"/>
      <c r="TFR73" s="2805"/>
      <c r="TFS73" s="2805"/>
      <c r="TFT73" s="2805"/>
      <c r="TFU73" s="2805"/>
      <c r="TFV73" s="2805"/>
      <c r="TFW73" s="2805"/>
      <c r="TFX73" s="2805"/>
      <c r="TFY73" s="2805"/>
      <c r="TFZ73" s="2805"/>
      <c r="TGA73" s="2805"/>
      <c r="TGB73" s="2805"/>
      <c r="TGC73" s="2805"/>
      <c r="TGD73" s="2805"/>
      <c r="TGE73" s="2805"/>
      <c r="TGF73" s="2805"/>
      <c r="TGG73" s="2805"/>
      <c r="TGH73" s="2805"/>
      <c r="TGI73" s="2805"/>
      <c r="TGJ73" s="2805"/>
      <c r="TGK73" s="2805"/>
      <c r="TGL73" s="2805"/>
      <c r="TGM73" s="2805"/>
      <c r="TGN73" s="2805"/>
      <c r="TGO73" s="2805"/>
      <c r="TGP73" s="2805"/>
      <c r="TGQ73" s="2805"/>
      <c r="TGR73" s="2805"/>
      <c r="TGS73" s="2805"/>
      <c r="TGT73" s="2805"/>
      <c r="TGU73" s="2805"/>
      <c r="TGV73" s="2805"/>
      <c r="TGW73" s="2805"/>
      <c r="TGX73" s="2805"/>
      <c r="TGY73" s="2805"/>
      <c r="TGZ73" s="2805"/>
      <c r="THA73" s="2805"/>
      <c r="THB73" s="2805"/>
      <c r="THC73" s="2805"/>
      <c r="THD73" s="2805"/>
      <c r="THE73" s="2805"/>
      <c r="THF73" s="2805"/>
      <c r="THG73" s="2805"/>
      <c r="THH73" s="2805"/>
      <c r="THI73" s="2805"/>
      <c r="THJ73" s="2805"/>
      <c r="THK73" s="2805"/>
      <c r="THL73" s="2805"/>
      <c r="THM73" s="2805"/>
      <c r="THN73" s="2805"/>
      <c r="THO73" s="2805"/>
      <c r="THP73" s="2805"/>
      <c r="THQ73" s="2805"/>
      <c r="THR73" s="2805"/>
      <c r="THS73" s="2805"/>
      <c r="THT73" s="2805"/>
      <c r="THU73" s="2805"/>
      <c r="THV73" s="2805"/>
      <c r="THW73" s="2805"/>
      <c r="THX73" s="2805"/>
      <c r="THY73" s="2805"/>
      <c r="THZ73" s="2805"/>
      <c r="TIA73" s="2805"/>
      <c r="TIB73" s="2805"/>
      <c r="TIC73" s="2805"/>
      <c r="TID73" s="2805"/>
      <c r="TIE73" s="2805"/>
      <c r="TIF73" s="2805"/>
      <c r="TIG73" s="2805"/>
      <c r="TIH73" s="2805"/>
      <c r="TII73" s="2805"/>
      <c r="TIJ73" s="2805"/>
      <c r="TIK73" s="2805"/>
      <c r="TIL73" s="2805"/>
      <c r="TIM73" s="2805"/>
      <c r="TIN73" s="2805"/>
      <c r="TIO73" s="2805"/>
      <c r="TIP73" s="2805"/>
      <c r="TIQ73" s="2805"/>
      <c r="TIR73" s="2805"/>
      <c r="TIS73" s="2805"/>
      <c r="TIT73" s="2805"/>
      <c r="TIU73" s="2805"/>
      <c r="TIV73" s="2805"/>
      <c r="TIW73" s="2805"/>
      <c r="TIX73" s="2805"/>
      <c r="TIY73" s="2805"/>
      <c r="TIZ73" s="2805"/>
      <c r="TJA73" s="2805"/>
      <c r="TJB73" s="2805"/>
      <c r="TJC73" s="2805"/>
      <c r="TJD73" s="2805"/>
      <c r="TJE73" s="2805"/>
      <c r="TJF73" s="2805"/>
      <c r="TJG73" s="2805"/>
      <c r="TJH73" s="2805"/>
      <c r="TJI73" s="2805"/>
      <c r="TJJ73" s="2805"/>
      <c r="TJK73" s="2805"/>
      <c r="TJL73" s="2805"/>
      <c r="TJM73" s="2805"/>
      <c r="TJN73" s="2805"/>
      <c r="TJO73" s="2805"/>
      <c r="TJP73" s="2805"/>
      <c r="TJQ73" s="2805"/>
      <c r="TJR73" s="2805"/>
      <c r="TJS73" s="2805"/>
      <c r="TJT73" s="2805"/>
      <c r="TJU73" s="2805"/>
      <c r="TJV73" s="2805"/>
      <c r="TJW73" s="2805"/>
      <c r="TJX73" s="2805"/>
      <c r="TJY73" s="2805"/>
      <c r="TJZ73" s="2805"/>
      <c r="TKA73" s="2805"/>
      <c r="TKB73" s="2805"/>
      <c r="TKC73" s="2805"/>
      <c r="TKD73" s="2805"/>
      <c r="TKE73" s="2805"/>
      <c r="TKF73" s="2805"/>
      <c r="TKG73" s="2805"/>
      <c r="TKH73" s="2805"/>
      <c r="TKI73" s="2805"/>
      <c r="TKJ73" s="2805"/>
      <c r="TKK73" s="2805"/>
      <c r="TKL73" s="2805"/>
      <c r="TKM73" s="2805"/>
      <c r="TKN73" s="2805"/>
      <c r="TKO73" s="2805"/>
      <c r="TKP73" s="2805"/>
      <c r="TKQ73" s="2805"/>
      <c r="TKR73" s="2805"/>
      <c r="TKS73" s="2805"/>
      <c r="TKT73" s="2805"/>
      <c r="TKU73" s="2805"/>
      <c r="TKV73" s="2805"/>
      <c r="TKW73" s="2805"/>
      <c r="TKX73" s="2805"/>
      <c r="TKY73" s="2805"/>
      <c r="TKZ73" s="2805"/>
      <c r="TLA73" s="2805"/>
      <c r="TLB73" s="2805"/>
      <c r="TLC73" s="2805"/>
      <c r="TLD73" s="2805"/>
      <c r="TLE73" s="2805"/>
      <c r="TLF73" s="2805"/>
      <c r="TLG73" s="2805"/>
      <c r="TLH73" s="2805"/>
      <c r="TLI73" s="2805"/>
      <c r="TLJ73" s="2805"/>
      <c r="TLK73" s="2805"/>
      <c r="TLL73" s="2805"/>
      <c r="TLM73" s="2805"/>
      <c r="TLN73" s="2805"/>
      <c r="TLO73" s="2805"/>
      <c r="TLP73" s="2805"/>
      <c r="TLQ73" s="2805"/>
      <c r="TLR73" s="2805"/>
      <c r="TLS73" s="2805"/>
      <c r="TLT73" s="2805"/>
      <c r="TLU73" s="2805"/>
      <c r="TLV73" s="2805"/>
      <c r="TLW73" s="2805"/>
      <c r="TLX73" s="2805"/>
      <c r="TLY73" s="2805"/>
      <c r="TLZ73" s="2805"/>
      <c r="TMA73" s="2805"/>
      <c r="TMB73" s="2805"/>
      <c r="TMC73" s="2805"/>
      <c r="TMD73" s="2805"/>
      <c r="TME73" s="2805"/>
      <c r="TMF73" s="2805"/>
      <c r="TMG73" s="2805"/>
      <c r="TMH73" s="2805"/>
      <c r="TMI73" s="2805"/>
      <c r="TMJ73" s="2805"/>
      <c r="TMK73" s="2805"/>
      <c r="TML73" s="2805"/>
      <c r="TMM73" s="2805"/>
      <c r="TMN73" s="2805"/>
      <c r="TMO73" s="2805"/>
      <c r="TMP73" s="2805"/>
      <c r="TMQ73" s="2805"/>
      <c r="TMR73" s="2805"/>
      <c r="TMS73" s="2805"/>
      <c r="TMT73" s="2805"/>
      <c r="TMU73" s="2805"/>
      <c r="TMV73" s="2805"/>
      <c r="TMW73" s="2805"/>
      <c r="TMX73" s="2805"/>
      <c r="TMY73" s="2805"/>
      <c r="TMZ73" s="2805"/>
      <c r="TNA73" s="2805"/>
      <c r="TNB73" s="2805"/>
      <c r="TNC73" s="2805"/>
      <c r="TND73" s="2805"/>
      <c r="TNE73" s="2805"/>
      <c r="TNF73" s="2805"/>
      <c r="TNG73" s="2805"/>
      <c r="TNH73" s="2805"/>
      <c r="TNI73" s="2805"/>
      <c r="TNJ73" s="2805"/>
      <c r="TNK73" s="2805"/>
      <c r="TNL73" s="2805"/>
      <c r="TNM73" s="2805"/>
      <c r="TNN73" s="2805"/>
      <c r="TNO73" s="2805"/>
      <c r="TNP73" s="2805"/>
      <c r="TNQ73" s="2805"/>
      <c r="TNR73" s="2805"/>
      <c r="TNS73" s="2805"/>
      <c r="TNT73" s="2805"/>
      <c r="TNU73" s="2805"/>
      <c r="TNV73" s="2805"/>
      <c r="TNW73" s="2805"/>
      <c r="TNX73" s="2805"/>
      <c r="TNY73" s="2805"/>
      <c r="TNZ73" s="2805"/>
      <c r="TOA73" s="2805"/>
      <c r="TOB73" s="2805"/>
      <c r="TOC73" s="2805"/>
      <c r="TOD73" s="2805"/>
      <c r="TOE73" s="2805"/>
      <c r="TOF73" s="2805"/>
      <c r="TOG73" s="2805"/>
      <c r="TOH73" s="2805"/>
      <c r="TOI73" s="2805"/>
      <c r="TOJ73" s="2805"/>
      <c r="TOK73" s="2805"/>
      <c r="TOL73" s="2805"/>
      <c r="TOM73" s="2805"/>
      <c r="TON73" s="2805"/>
      <c r="TOO73" s="2805"/>
      <c r="TOP73" s="2805"/>
      <c r="TOQ73" s="2805"/>
      <c r="TOR73" s="2805"/>
      <c r="TOS73" s="2805"/>
      <c r="TOT73" s="2805"/>
      <c r="TOU73" s="2805"/>
      <c r="TOV73" s="2805"/>
      <c r="TOW73" s="2805"/>
      <c r="TOX73" s="2805"/>
      <c r="TOY73" s="2805"/>
      <c r="TOZ73" s="2805"/>
      <c r="TPA73" s="2805"/>
      <c r="TPB73" s="2805"/>
      <c r="TPC73" s="2805"/>
      <c r="TPD73" s="2805"/>
      <c r="TPE73" s="2805"/>
      <c r="TPF73" s="2805"/>
      <c r="TPG73" s="2805"/>
      <c r="TPH73" s="2805"/>
      <c r="TPI73" s="2805"/>
      <c r="TPJ73" s="2805"/>
      <c r="TPK73" s="2805"/>
      <c r="TPL73" s="2805"/>
      <c r="TPM73" s="2805"/>
      <c r="TPN73" s="2805"/>
      <c r="TPO73" s="2805"/>
      <c r="TPP73" s="2805"/>
      <c r="TPQ73" s="2805"/>
      <c r="TPR73" s="2805"/>
      <c r="TPS73" s="2805"/>
      <c r="TPT73" s="2805"/>
      <c r="TPU73" s="2805"/>
      <c r="TPV73" s="2805"/>
      <c r="TPW73" s="2805"/>
      <c r="TPX73" s="2805"/>
      <c r="TPY73" s="2805"/>
      <c r="TPZ73" s="2805"/>
      <c r="TQA73" s="2805"/>
      <c r="TQB73" s="2805"/>
      <c r="TQC73" s="2805"/>
      <c r="TQD73" s="2805"/>
      <c r="TQE73" s="2805"/>
      <c r="TQF73" s="2805"/>
      <c r="TQG73" s="2805"/>
      <c r="TQH73" s="2805"/>
      <c r="TQI73" s="2805"/>
      <c r="TQJ73" s="2805"/>
      <c r="TQK73" s="2805"/>
      <c r="TQL73" s="2805"/>
      <c r="TQM73" s="2805"/>
      <c r="TQN73" s="2805"/>
      <c r="TQO73" s="2805"/>
      <c r="TQP73" s="2805"/>
      <c r="TQQ73" s="2805"/>
      <c r="TQR73" s="2805"/>
      <c r="TQS73" s="2805"/>
      <c r="TQT73" s="2805"/>
      <c r="TQU73" s="2805"/>
      <c r="TQV73" s="2805"/>
      <c r="TQW73" s="2805"/>
      <c r="TQX73" s="2805"/>
      <c r="TQY73" s="2805"/>
      <c r="TQZ73" s="2805"/>
      <c r="TRA73" s="2805"/>
      <c r="TRB73" s="2805"/>
      <c r="TRC73" s="2805"/>
      <c r="TRD73" s="2805"/>
      <c r="TRE73" s="2805"/>
      <c r="TRF73" s="2805"/>
      <c r="TRG73" s="2805"/>
      <c r="TRH73" s="2805"/>
      <c r="TRI73" s="2805"/>
      <c r="TRJ73" s="2805"/>
      <c r="TRK73" s="2805"/>
      <c r="TRL73" s="2805"/>
      <c r="TRM73" s="2805"/>
      <c r="TRN73" s="2805"/>
      <c r="TRO73" s="2805"/>
      <c r="TRP73" s="2805"/>
      <c r="TRQ73" s="2805"/>
      <c r="TRR73" s="2805"/>
      <c r="TRS73" s="2805"/>
      <c r="TRT73" s="2805"/>
      <c r="TRU73" s="2805"/>
      <c r="TRV73" s="2805"/>
      <c r="TRW73" s="2805"/>
      <c r="TRX73" s="2805"/>
      <c r="TRY73" s="2805"/>
      <c r="TRZ73" s="2805"/>
      <c r="TSA73" s="2805"/>
      <c r="TSB73" s="2805"/>
      <c r="TSC73" s="2805"/>
      <c r="TSD73" s="2805"/>
      <c r="TSE73" s="2805"/>
      <c r="TSF73" s="2805"/>
      <c r="TSG73" s="2805"/>
      <c r="TSH73" s="2805"/>
      <c r="TSI73" s="2805"/>
      <c r="TSJ73" s="2805"/>
      <c r="TSK73" s="2805"/>
      <c r="TSL73" s="2805"/>
      <c r="TSM73" s="2805"/>
      <c r="TSN73" s="2805"/>
      <c r="TSO73" s="2805"/>
      <c r="TSP73" s="2805"/>
      <c r="TSQ73" s="2805"/>
      <c r="TSR73" s="2805"/>
      <c r="TSS73" s="2805"/>
      <c r="TST73" s="2805"/>
      <c r="TSU73" s="2805"/>
      <c r="TSV73" s="2805"/>
      <c r="TSW73" s="2805"/>
      <c r="TSX73" s="2805"/>
      <c r="TSY73" s="2805"/>
      <c r="TSZ73" s="2805"/>
      <c r="TTA73" s="2805"/>
      <c r="TTB73" s="2805"/>
      <c r="TTC73" s="2805"/>
      <c r="TTD73" s="2805"/>
      <c r="TTE73" s="2805"/>
      <c r="TTF73" s="2805"/>
      <c r="TTG73" s="2805"/>
      <c r="TTH73" s="2805"/>
      <c r="TTI73" s="2805"/>
      <c r="TTJ73" s="2805"/>
      <c r="TTK73" s="2805"/>
      <c r="TTL73" s="2805"/>
      <c r="TTM73" s="2805"/>
      <c r="TTN73" s="2805"/>
      <c r="TTO73" s="2805"/>
      <c r="TTP73" s="2805"/>
      <c r="TTQ73" s="2805"/>
      <c r="TTR73" s="2805"/>
      <c r="TTS73" s="2805"/>
      <c r="TTT73" s="2805"/>
      <c r="TTU73" s="2805"/>
      <c r="TTV73" s="2805"/>
      <c r="TTW73" s="2805"/>
      <c r="TTX73" s="2805"/>
      <c r="TTY73" s="2805"/>
      <c r="TTZ73" s="2805"/>
      <c r="TUA73" s="2805"/>
      <c r="TUB73" s="2805"/>
      <c r="TUC73" s="2805"/>
      <c r="TUD73" s="2805"/>
      <c r="TUE73" s="2805"/>
      <c r="TUF73" s="2805"/>
      <c r="TUG73" s="2805"/>
      <c r="TUH73" s="2805"/>
      <c r="TUI73" s="2805"/>
      <c r="TUJ73" s="2805"/>
      <c r="TUK73" s="2805"/>
      <c r="TUL73" s="2805"/>
      <c r="TUM73" s="2805"/>
      <c r="TUN73" s="2805"/>
      <c r="TUO73" s="2805"/>
      <c r="TUP73" s="2805"/>
      <c r="TUQ73" s="2805"/>
      <c r="TUR73" s="2805"/>
      <c r="TUS73" s="2805"/>
      <c r="TUT73" s="2805"/>
      <c r="TUU73" s="2805"/>
      <c r="TUV73" s="2805"/>
      <c r="TUW73" s="2805"/>
      <c r="TUX73" s="2805"/>
      <c r="TUY73" s="2805"/>
      <c r="TUZ73" s="2805"/>
      <c r="TVA73" s="2805"/>
      <c r="TVB73" s="2805"/>
      <c r="TVC73" s="2805"/>
      <c r="TVD73" s="2805"/>
      <c r="TVE73" s="2805"/>
      <c r="TVF73" s="2805"/>
      <c r="TVG73" s="2805"/>
      <c r="TVH73" s="2805"/>
      <c r="TVI73" s="2805"/>
      <c r="TVJ73" s="2805"/>
      <c r="TVK73" s="2805"/>
      <c r="TVL73" s="2805"/>
      <c r="TVM73" s="2805"/>
      <c r="TVN73" s="2805"/>
      <c r="TVO73" s="2805"/>
      <c r="TVP73" s="2805"/>
      <c r="TVQ73" s="2805"/>
      <c r="TVR73" s="2805"/>
      <c r="TVS73" s="2805"/>
      <c r="TVT73" s="2805"/>
      <c r="TVU73" s="2805"/>
      <c r="TVV73" s="2805"/>
      <c r="TVW73" s="2805"/>
      <c r="TVX73" s="2805"/>
      <c r="TVY73" s="2805"/>
      <c r="TVZ73" s="2805"/>
      <c r="TWA73" s="2805"/>
      <c r="TWB73" s="2805"/>
      <c r="TWC73" s="2805"/>
      <c r="TWD73" s="2805"/>
      <c r="TWE73" s="2805"/>
      <c r="TWF73" s="2805"/>
      <c r="TWG73" s="2805"/>
      <c r="TWH73" s="2805"/>
      <c r="TWI73" s="2805"/>
      <c r="TWJ73" s="2805"/>
      <c r="TWK73" s="2805"/>
      <c r="TWL73" s="2805"/>
      <c r="TWM73" s="2805"/>
      <c r="TWN73" s="2805"/>
      <c r="TWO73" s="2805"/>
      <c r="TWP73" s="2805"/>
      <c r="TWQ73" s="2805"/>
      <c r="TWR73" s="2805"/>
      <c r="TWS73" s="2805"/>
      <c r="TWT73" s="2805"/>
      <c r="TWU73" s="2805"/>
      <c r="TWV73" s="2805"/>
      <c r="TWW73" s="2805"/>
      <c r="TWX73" s="2805"/>
      <c r="TWY73" s="2805"/>
      <c r="TWZ73" s="2805"/>
      <c r="TXA73" s="2805"/>
      <c r="TXB73" s="2805"/>
      <c r="TXC73" s="2805"/>
      <c r="TXD73" s="2805"/>
      <c r="TXE73" s="2805"/>
      <c r="TXF73" s="2805"/>
      <c r="TXG73" s="2805"/>
      <c r="TXH73" s="2805"/>
      <c r="TXI73" s="2805"/>
      <c r="TXJ73" s="2805"/>
      <c r="TXK73" s="2805"/>
      <c r="TXL73" s="2805"/>
      <c r="TXM73" s="2805"/>
      <c r="TXN73" s="2805"/>
      <c r="TXO73" s="2805"/>
      <c r="TXP73" s="2805"/>
      <c r="TXQ73" s="2805"/>
      <c r="TXR73" s="2805"/>
      <c r="TXS73" s="2805"/>
      <c r="TXT73" s="2805"/>
      <c r="TXU73" s="2805"/>
      <c r="TXV73" s="2805"/>
      <c r="TXW73" s="2805"/>
      <c r="TXX73" s="2805"/>
      <c r="TXY73" s="2805"/>
      <c r="TXZ73" s="2805"/>
      <c r="TYA73" s="2805"/>
      <c r="TYB73" s="2805"/>
      <c r="TYC73" s="2805"/>
      <c r="TYD73" s="2805"/>
      <c r="TYE73" s="2805"/>
      <c r="TYF73" s="2805"/>
      <c r="TYG73" s="2805"/>
      <c r="TYH73" s="2805"/>
      <c r="TYI73" s="2805"/>
      <c r="TYJ73" s="2805"/>
      <c r="TYK73" s="2805"/>
      <c r="TYL73" s="2805"/>
      <c r="TYM73" s="2805"/>
      <c r="TYN73" s="2805"/>
      <c r="TYO73" s="2805"/>
      <c r="TYP73" s="2805"/>
      <c r="TYQ73" s="2805"/>
      <c r="TYR73" s="2805"/>
      <c r="TYS73" s="2805"/>
      <c r="TYT73" s="2805"/>
      <c r="TYU73" s="2805"/>
      <c r="TYV73" s="2805"/>
      <c r="TYW73" s="2805"/>
      <c r="TYX73" s="2805"/>
      <c r="TYY73" s="2805"/>
      <c r="TYZ73" s="2805"/>
      <c r="TZA73" s="2805"/>
      <c r="TZB73" s="2805"/>
      <c r="TZC73" s="2805"/>
      <c r="TZD73" s="2805"/>
      <c r="TZE73" s="2805"/>
      <c r="TZF73" s="2805"/>
      <c r="TZG73" s="2805"/>
      <c r="TZH73" s="2805"/>
      <c r="TZI73" s="2805"/>
      <c r="TZJ73" s="2805"/>
      <c r="TZK73" s="2805"/>
      <c r="TZL73" s="2805"/>
      <c r="TZM73" s="2805"/>
      <c r="TZN73" s="2805"/>
      <c r="TZO73" s="2805"/>
      <c r="TZP73" s="2805"/>
      <c r="TZQ73" s="2805"/>
      <c r="TZR73" s="2805"/>
      <c r="TZS73" s="2805"/>
      <c r="TZT73" s="2805"/>
      <c r="TZU73" s="2805"/>
      <c r="TZV73" s="2805"/>
      <c r="TZW73" s="2805"/>
      <c r="TZX73" s="2805"/>
      <c r="TZY73" s="2805"/>
      <c r="TZZ73" s="2805"/>
      <c r="UAA73" s="2805"/>
      <c r="UAB73" s="2805"/>
      <c r="UAC73" s="2805"/>
      <c r="UAD73" s="2805"/>
      <c r="UAE73" s="2805"/>
      <c r="UAF73" s="2805"/>
      <c r="UAG73" s="2805"/>
      <c r="UAH73" s="2805"/>
      <c r="UAI73" s="2805"/>
      <c r="UAJ73" s="2805"/>
      <c r="UAK73" s="2805"/>
      <c r="UAL73" s="2805"/>
      <c r="UAM73" s="2805"/>
      <c r="UAN73" s="2805"/>
      <c r="UAO73" s="2805"/>
      <c r="UAP73" s="2805"/>
      <c r="UAQ73" s="2805"/>
      <c r="UAR73" s="2805"/>
      <c r="UAS73" s="2805"/>
      <c r="UAT73" s="2805"/>
      <c r="UAU73" s="2805"/>
      <c r="UAV73" s="2805"/>
      <c r="UAW73" s="2805"/>
      <c r="UAX73" s="2805"/>
      <c r="UAY73" s="2805"/>
      <c r="UAZ73" s="2805"/>
      <c r="UBA73" s="2805"/>
      <c r="UBB73" s="2805"/>
      <c r="UBC73" s="2805"/>
      <c r="UBD73" s="2805"/>
      <c r="UBE73" s="2805"/>
      <c r="UBF73" s="2805"/>
      <c r="UBG73" s="2805"/>
      <c r="UBH73" s="2805"/>
      <c r="UBI73" s="2805"/>
      <c r="UBJ73" s="2805"/>
      <c r="UBK73" s="2805"/>
      <c r="UBL73" s="2805"/>
      <c r="UBM73" s="2805"/>
      <c r="UBN73" s="2805"/>
      <c r="UBO73" s="2805"/>
      <c r="UBP73" s="2805"/>
      <c r="UBQ73" s="2805"/>
      <c r="UBR73" s="2805"/>
      <c r="UBS73" s="2805"/>
      <c r="UBT73" s="2805"/>
      <c r="UBU73" s="2805"/>
      <c r="UBV73" s="2805"/>
      <c r="UBW73" s="2805"/>
      <c r="UBX73" s="2805"/>
      <c r="UBY73" s="2805"/>
      <c r="UBZ73" s="2805"/>
      <c r="UCA73" s="2805"/>
      <c r="UCB73" s="2805"/>
      <c r="UCC73" s="2805"/>
      <c r="UCD73" s="2805"/>
      <c r="UCE73" s="2805"/>
      <c r="UCF73" s="2805"/>
      <c r="UCG73" s="2805"/>
      <c r="UCH73" s="2805"/>
      <c r="UCI73" s="2805"/>
      <c r="UCJ73" s="2805"/>
      <c r="UCK73" s="2805"/>
      <c r="UCL73" s="2805"/>
      <c r="UCM73" s="2805"/>
      <c r="UCN73" s="2805"/>
      <c r="UCO73" s="2805"/>
      <c r="UCP73" s="2805"/>
      <c r="UCQ73" s="2805"/>
      <c r="UCR73" s="2805"/>
      <c r="UCS73" s="2805"/>
      <c r="UCT73" s="2805"/>
      <c r="UCU73" s="2805"/>
      <c r="UCV73" s="2805"/>
      <c r="UCW73" s="2805"/>
      <c r="UCX73" s="2805"/>
      <c r="UCY73" s="2805"/>
      <c r="UCZ73" s="2805"/>
      <c r="UDA73" s="2805"/>
      <c r="UDB73" s="2805"/>
      <c r="UDC73" s="2805"/>
      <c r="UDD73" s="2805"/>
      <c r="UDE73" s="2805"/>
      <c r="UDF73" s="2805"/>
      <c r="UDG73" s="2805"/>
      <c r="UDH73" s="2805"/>
      <c r="UDI73" s="2805"/>
      <c r="UDJ73" s="2805"/>
      <c r="UDK73" s="2805"/>
      <c r="UDL73" s="2805"/>
      <c r="UDM73" s="2805"/>
      <c r="UDN73" s="2805"/>
      <c r="UDO73" s="2805"/>
      <c r="UDP73" s="2805"/>
      <c r="UDQ73" s="2805"/>
      <c r="UDR73" s="2805"/>
      <c r="UDS73" s="2805"/>
      <c r="UDT73" s="2805"/>
      <c r="UDU73" s="2805"/>
      <c r="UDV73" s="2805"/>
      <c r="UDW73" s="2805"/>
      <c r="UDX73" s="2805"/>
      <c r="UDY73" s="2805"/>
      <c r="UDZ73" s="2805"/>
      <c r="UEA73" s="2805"/>
      <c r="UEB73" s="2805"/>
      <c r="UEC73" s="2805"/>
      <c r="UED73" s="2805"/>
      <c r="UEE73" s="2805"/>
      <c r="UEF73" s="2805"/>
      <c r="UEG73" s="2805"/>
      <c r="UEH73" s="2805"/>
      <c r="UEI73" s="2805"/>
      <c r="UEJ73" s="2805"/>
      <c r="UEK73" s="2805"/>
      <c r="UEL73" s="2805"/>
      <c r="UEM73" s="2805"/>
      <c r="UEN73" s="2805"/>
      <c r="UEO73" s="2805"/>
      <c r="UEP73" s="2805"/>
      <c r="UEQ73" s="2805"/>
      <c r="UER73" s="2805"/>
      <c r="UES73" s="2805"/>
      <c r="UET73" s="2805"/>
      <c r="UEU73" s="2805"/>
      <c r="UEV73" s="2805"/>
      <c r="UEW73" s="2805"/>
      <c r="UEX73" s="2805"/>
      <c r="UEY73" s="2805"/>
      <c r="UEZ73" s="2805"/>
      <c r="UFA73" s="2805"/>
      <c r="UFB73" s="2805"/>
      <c r="UFC73" s="2805"/>
      <c r="UFD73" s="2805"/>
      <c r="UFE73" s="2805"/>
      <c r="UFF73" s="2805"/>
      <c r="UFG73" s="2805"/>
      <c r="UFH73" s="2805"/>
      <c r="UFI73" s="2805"/>
      <c r="UFJ73" s="2805"/>
      <c r="UFK73" s="2805"/>
      <c r="UFL73" s="2805"/>
      <c r="UFM73" s="2805"/>
      <c r="UFN73" s="2805"/>
      <c r="UFO73" s="2805"/>
      <c r="UFP73" s="2805"/>
      <c r="UFQ73" s="2805"/>
      <c r="UFR73" s="2805"/>
      <c r="UFS73" s="2805"/>
      <c r="UFT73" s="2805"/>
      <c r="UFU73" s="2805"/>
      <c r="UFV73" s="2805"/>
      <c r="UFW73" s="2805"/>
      <c r="UFX73" s="2805"/>
      <c r="UFY73" s="2805"/>
      <c r="UFZ73" s="2805"/>
      <c r="UGA73" s="2805"/>
      <c r="UGB73" s="2805"/>
      <c r="UGC73" s="2805"/>
      <c r="UGD73" s="2805"/>
      <c r="UGE73" s="2805"/>
      <c r="UGF73" s="2805"/>
      <c r="UGG73" s="2805"/>
      <c r="UGH73" s="2805"/>
      <c r="UGI73" s="2805"/>
      <c r="UGJ73" s="2805"/>
      <c r="UGK73" s="2805"/>
      <c r="UGL73" s="2805"/>
      <c r="UGM73" s="2805"/>
      <c r="UGN73" s="2805"/>
      <c r="UGO73" s="2805"/>
      <c r="UGP73" s="2805"/>
      <c r="UGQ73" s="2805"/>
      <c r="UGR73" s="2805"/>
      <c r="UGS73" s="2805"/>
      <c r="UGT73" s="2805"/>
      <c r="UGU73" s="2805"/>
      <c r="UGV73" s="2805"/>
      <c r="UGW73" s="2805"/>
      <c r="UGX73" s="2805"/>
      <c r="UGY73" s="2805"/>
      <c r="UGZ73" s="2805"/>
      <c r="UHA73" s="2805"/>
      <c r="UHB73" s="2805"/>
      <c r="UHC73" s="2805"/>
      <c r="UHD73" s="2805"/>
      <c r="UHE73" s="2805"/>
      <c r="UHF73" s="2805"/>
      <c r="UHG73" s="2805"/>
      <c r="UHH73" s="2805"/>
      <c r="UHI73" s="2805"/>
      <c r="UHJ73" s="2805"/>
      <c r="UHK73" s="2805"/>
      <c r="UHL73" s="2805"/>
      <c r="UHM73" s="2805"/>
      <c r="UHN73" s="2805"/>
      <c r="UHO73" s="2805"/>
      <c r="UHP73" s="2805"/>
      <c r="UHQ73" s="2805"/>
      <c r="UHR73" s="2805"/>
      <c r="UHS73" s="2805"/>
      <c r="UHT73" s="2805"/>
      <c r="UHU73" s="2805"/>
      <c r="UHV73" s="2805"/>
      <c r="UHW73" s="2805"/>
      <c r="UHX73" s="2805"/>
      <c r="UHY73" s="2805"/>
      <c r="UHZ73" s="2805"/>
      <c r="UIA73" s="2805"/>
      <c r="UIB73" s="2805"/>
      <c r="UIC73" s="2805"/>
      <c r="UID73" s="2805"/>
      <c r="UIE73" s="2805"/>
      <c r="UIF73" s="2805"/>
      <c r="UIG73" s="2805"/>
      <c r="UIH73" s="2805"/>
      <c r="UII73" s="2805"/>
      <c r="UIJ73" s="2805"/>
      <c r="UIK73" s="2805"/>
      <c r="UIL73" s="2805"/>
      <c r="UIM73" s="2805"/>
      <c r="UIN73" s="2805"/>
      <c r="UIO73" s="2805"/>
      <c r="UIP73" s="2805"/>
      <c r="UIQ73" s="2805"/>
      <c r="UIR73" s="2805"/>
      <c r="UIS73" s="2805"/>
      <c r="UIT73" s="2805"/>
      <c r="UIU73" s="2805"/>
      <c r="UIV73" s="2805"/>
      <c r="UIW73" s="2805"/>
      <c r="UIX73" s="2805"/>
      <c r="UIY73" s="2805"/>
      <c r="UIZ73" s="2805"/>
      <c r="UJA73" s="2805"/>
      <c r="UJB73" s="2805"/>
      <c r="UJC73" s="2805"/>
      <c r="UJD73" s="2805"/>
      <c r="UJE73" s="2805"/>
      <c r="UJF73" s="2805"/>
      <c r="UJG73" s="2805"/>
      <c r="UJH73" s="2805"/>
      <c r="UJI73" s="2805"/>
      <c r="UJJ73" s="2805"/>
      <c r="UJK73" s="2805"/>
      <c r="UJL73" s="2805"/>
      <c r="UJM73" s="2805"/>
      <c r="UJN73" s="2805"/>
      <c r="UJO73" s="2805"/>
      <c r="UJP73" s="2805"/>
      <c r="UJQ73" s="2805"/>
      <c r="UJR73" s="2805"/>
      <c r="UJS73" s="2805"/>
      <c r="UJT73" s="2805"/>
      <c r="UJU73" s="2805"/>
      <c r="UJV73" s="2805"/>
      <c r="UJW73" s="2805"/>
      <c r="UJX73" s="2805"/>
      <c r="UJY73" s="2805"/>
      <c r="UJZ73" s="2805"/>
      <c r="UKA73" s="2805"/>
      <c r="UKB73" s="2805"/>
      <c r="UKC73" s="2805"/>
      <c r="UKD73" s="2805"/>
      <c r="UKE73" s="2805"/>
      <c r="UKF73" s="2805"/>
      <c r="UKG73" s="2805"/>
      <c r="UKH73" s="2805"/>
      <c r="UKI73" s="2805"/>
      <c r="UKJ73" s="2805"/>
      <c r="UKK73" s="2805"/>
      <c r="UKL73" s="2805"/>
      <c r="UKM73" s="2805"/>
      <c r="UKN73" s="2805"/>
      <c r="UKO73" s="2805"/>
      <c r="UKP73" s="2805"/>
      <c r="UKQ73" s="2805"/>
      <c r="UKR73" s="2805"/>
      <c r="UKS73" s="2805"/>
      <c r="UKT73" s="2805"/>
      <c r="UKU73" s="2805"/>
      <c r="UKV73" s="2805"/>
      <c r="UKW73" s="2805"/>
      <c r="UKX73" s="2805"/>
      <c r="UKY73" s="2805"/>
      <c r="UKZ73" s="2805"/>
      <c r="ULA73" s="2805"/>
      <c r="ULB73" s="2805"/>
      <c r="ULC73" s="2805"/>
      <c r="ULD73" s="2805"/>
      <c r="ULE73" s="2805"/>
      <c r="ULF73" s="2805"/>
      <c r="ULG73" s="2805"/>
      <c r="ULH73" s="2805"/>
      <c r="ULI73" s="2805"/>
      <c r="ULJ73" s="2805"/>
      <c r="ULK73" s="2805"/>
      <c r="ULL73" s="2805"/>
      <c r="ULM73" s="2805"/>
      <c r="ULN73" s="2805"/>
      <c r="ULO73" s="2805"/>
      <c r="ULP73" s="2805"/>
      <c r="ULQ73" s="2805"/>
      <c r="ULR73" s="2805"/>
      <c r="ULS73" s="2805"/>
      <c r="ULT73" s="2805"/>
      <c r="ULU73" s="2805"/>
      <c r="ULV73" s="2805"/>
      <c r="ULW73" s="2805"/>
      <c r="ULX73" s="2805"/>
      <c r="ULY73" s="2805"/>
      <c r="ULZ73" s="2805"/>
      <c r="UMA73" s="2805"/>
      <c r="UMB73" s="2805"/>
      <c r="UMC73" s="2805"/>
      <c r="UMD73" s="2805"/>
      <c r="UME73" s="2805"/>
      <c r="UMF73" s="2805"/>
      <c r="UMG73" s="2805"/>
      <c r="UMH73" s="2805"/>
      <c r="UMI73" s="2805"/>
      <c r="UMJ73" s="2805"/>
      <c r="UMK73" s="2805"/>
      <c r="UML73" s="2805"/>
      <c r="UMM73" s="2805"/>
      <c r="UMN73" s="2805"/>
      <c r="UMO73" s="2805"/>
      <c r="UMP73" s="2805"/>
      <c r="UMQ73" s="2805"/>
      <c r="UMR73" s="2805"/>
      <c r="UMS73" s="2805"/>
      <c r="UMT73" s="2805"/>
      <c r="UMU73" s="2805"/>
      <c r="UMV73" s="2805"/>
      <c r="UMW73" s="2805"/>
      <c r="UMX73" s="2805"/>
      <c r="UMY73" s="2805"/>
      <c r="UMZ73" s="2805"/>
      <c r="UNA73" s="2805"/>
      <c r="UNB73" s="2805"/>
      <c r="UNC73" s="2805"/>
      <c r="UND73" s="2805"/>
      <c r="UNE73" s="2805"/>
      <c r="UNF73" s="2805"/>
      <c r="UNG73" s="2805"/>
      <c r="UNH73" s="2805"/>
      <c r="UNI73" s="2805"/>
      <c r="UNJ73" s="2805"/>
      <c r="UNK73" s="2805"/>
      <c r="UNL73" s="2805"/>
      <c r="UNM73" s="2805"/>
      <c r="UNN73" s="2805"/>
      <c r="UNO73" s="2805"/>
      <c r="UNP73" s="2805"/>
      <c r="UNQ73" s="2805"/>
      <c r="UNR73" s="2805"/>
      <c r="UNS73" s="2805"/>
      <c r="UNT73" s="2805"/>
      <c r="UNU73" s="2805"/>
      <c r="UNV73" s="2805"/>
      <c r="UNW73" s="2805"/>
      <c r="UNX73" s="2805"/>
      <c r="UNY73" s="2805"/>
      <c r="UNZ73" s="2805"/>
      <c r="UOA73" s="2805"/>
      <c r="UOB73" s="2805"/>
      <c r="UOC73" s="2805"/>
      <c r="UOD73" s="2805"/>
      <c r="UOE73" s="2805"/>
      <c r="UOF73" s="2805"/>
      <c r="UOG73" s="2805"/>
      <c r="UOH73" s="2805"/>
      <c r="UOI73" s="2805"/>
      <c r="UOJ73" s="2805"/>
      <c r="UOK73" s="2805"/>
      <c r="UOL73" s="2805"/>
      <c r="UOM73" s="2805"/>
      <c r="UON73" s="2805"/>
      <c r="UOO73" s="2805"/>
      <c r="UOP73" s="2805"/>
      <c r="UOQ73" s="2805"/>
      <c r="UOR73" s="2805"/>
      <c r="UOS73" s="2805"/>
      <c r="UOT73" s="2805"/>
      <c r="UOU73" s="2805"/>
      <c r="UOV73" s="2805"/>
      <c r="UOW73" s="2805"/>
      <c r="UOX73" s="2805"/>
      <c r="UOY73" s="2805"/>
      <c r="UOZ73" s="2805"/>
      <c r="UPA73" s="2805"/>
      <c r="UPB73" s="2805"/>
      <c r="UPC73" s="2805"/>
      <c r="UPD73" s="2805"/>
      <c r="UPE73" s="2805"/>
      <c r="UPF73" s="2805"/>
      <c r="UPG73" s="2805"/>
      <c r="UPH73" s="2805"/>
      <c r="UPI73" s="2805"/>
      <c r="UPJ73" s="2805"/>
      <c r="UPK73" s="2805"/>
      <c r="UPL73" s="2805"/>
      <c r="UPM73" s="2805"/>
      <c r="UPN73" s="2805"/>
      <c r="UPO73" s="2805"/>
      <c r="UPP73" s="2805"/>
      <c r="UPQ73" s="2805"/>
      <c r="UPR73" s="2805"/>
      <c r="UPS73" s="2805"/>
      <c r="UPT73" s="2805"/>
      <c r="UPU73" s="2805"/>
      <c r="UPV73" s="2805"/>
      <c r="UPW73" s="2805"/>
      <c r="UPX73" s="2805"/>
      <c r="UPY73" s="2805"/>
      <c r="UPZ73" s="2805"/>
      <c r="UQA73" s="2805"/>
      <c r="UQB73" s="2805"/>
      <c r="UQC73" s="2805"/>
      <c r="UQD73" s="2805"/>
      <c r="UQE73" s="2805"/>
      <c r="UQF73" s="2805"/>
      <c r="UQG73" s="2805"/>
      <c r="UQH73" s="2805"/>
      <c r="UQI73" s="2805"/>
      <c r="UQJ73" s="2805"/>
      <c r="UQK73" s="2805"/>
      <c r="UQL73" s="2805"/>
      <c r="UQM73" s="2805"/>
      <c r="UQN73" s="2805"/>
      <c r="UQO73" s="2805"/>
      <c r="UQP73" s="2805"/>
      <c r="UQQ73" s="2805"/>
      <c r="UQR73" s="2805"/>
      <c r="UQS73" s="2805"/>
      <c r="UQT73" s="2805"/>
      <c r="UQU73" s="2805"/>
      <c r="UQV73" s="2805"/>
      <c r="UQW73" s="2805"/>
      <c r="UQX73" s="2805"/>
      <c r="UQY73" s="2805"/>
      <c r="UQZ73" s="2805"/>
      <c r="URA73" s="2805"/>
      <c r="URB73" s="2805"/>
      <c r="URC73" s="2805"/>
      <c r="URD73" s="2805"/>
      <c r="URE73" s="2805"/>
      <c r="URF73" s="2805"/>
      <c r="URG73" s="2805"/>
      <c r="URH73" s="2805"/>
      <c r="URI73" s="2805"/>
      <c r="URJ73" s="2805"/>
      <c r="URK73" s="2805"/>
      <c r="URL73" s="2805"/>
      <c r="URM73" s="2805"/>
      <c r="URN73" s="2805"/>
      <c r="URO73" s="2805"/>
      <c r="URP73" s="2805"/>
      <c r="URQ73" s="2805"/>
      <c r="URR73" s="2805"/>
      <c r="URS73" s="2805"/>
      <c r="URT73" s="2805"/>
      <c r="URU73" s="2805"/>
      <c r="URV73" s="2805"/>
      <c r="URW73" s="2805"/>
      <c r="URX73" s="2805"/>
      <c r="URY73" s="2805"/>
      <c r="URZ73" s="2805"/>
      <c r="USA73" s="2805"/>
      <c r="USB73" s="2805"/>
      <c r="USC73" s="2805"/>
      <c r="USD73" s="2805"/>
      <c r="USE73" s="2805"/>
      <c r="USF73" s="2805"/>
      <c r="USG73" s="2805"/>
      <c r="USH73" s="2805"/>
      <c r="USI73" s="2805"/>
      <c r="USJ73" s="2805"/>
      <c r="USK73" s="2805"/>
      <c r="USL73" s="2805"/>
      <c r="USM73" s="2805"/>
      <c r="USN73" s="2805"/>
      <c r="USO73" s="2805"/>
      <c r="USP73" s="2805"/>
      <c r="USQ73" s="2805"/>
      <c r="USR73" s="2805"/>
      <c r="USS73" s="2805"/>
      <c r="UST73" s="2805"/>
      <c r="USU73" s="2805"/>
      <c r="USV73" s="2805"/>
      <c r="USW73" s="2805"/>
      <c r="USX73" s="2805"/>
      <c r="USY73" s="2805"/>
      <c r="USZ73" s="2805"/>
      <c r="UTA73" s="2805"/>
      <c r="UTB73" s="2805"/>
      <c r="UTC73" s="2805"/>
      <c r="UTD73" s="2805"/>
      <c r="UTE73" s="2805"/>
      <c r="UTF73" s="2805"/>
      <c r="UTG73" s="2805"/>
      <c r="UTH73" s="2805"/>
      <c r="UTI73" s="2805"/>
      <c r="UTJ73" s="2805"/>
      <c r="UTK73" s="2805"/>
      <c r="UTL73" s="2805"/>
      <c r="UTM73" s="2805"/>
      <c r="UTN73" s="2805"/>
      <c r="UTO73" s="2805"/>
      <c r="UTP73" s="2805"/>
      <c r="UTQ73" s="2805"/>
      <c r="UTR73" s="2805"/>
      <c r="UTS73" s="2805"/>
      <c r="UTT73" s="2805"/>
      <c r="UTU73" s="2805"/>
      <c r="UTV73" s="2805"/>
      <c r="UTW73" s="2805"/>
      <c r="UTX73" s="2805"/>
      <c r="UTY73" s="2805"/>
      <c r="UTZ73" s="2805"/>
      <c r="UUA73" s="2805"/>
      <c r="UUB73" s="2805"/>
      <c r="UUC73" s="2805"/>
      <c r="UUD73" s="2805"/>
      <c r="UUE73" s="2805"/>
      <c r="UUF73" s="2805"/>
      <c r="UUG73" s="2805"/>
      <c r="UUH73" s="2805"/>
      <c r="UUI73" s="2805"/>
      <c r="UUJ73" s="2805"/>
      <c r="UUK73" s="2805"/>
      <c r="UUL73" s="2805"/>
      <c r="UUM73" s="2805"/>
      <c r="UUN73" s="2805"/>
      <c r="UUO73" s="2805"/>
      <c r="UUP73" s="2805"/>
      <c r="UUQ73" s="2805"/>
      <c r="UUR73" s="2805"/>
      <c r="UUS73" s="2805"/>
      <c r="UUT73" s="2805"/>
      <c r="UUU73" s="2805"/>
      <c r="UUV73" s="2805"/>
      <c r="UUW73" s="2805"/>
      <c r="UUX73" s="2805"/>
      <c r="UUY73" s="2805"/>
      <c r="UUZ73" s="2805"/>
      <c r="UVA73" s="2805"/>
      <c r="UVB73" s="2805"/>
      <c r="UVC73" s="2805"/>
      <c r="UVD73" s="2805"/>
      <c r="UVE73" s="2805"/>
      <c r="UVF73" s="2805"/>
      <c r="UVG73" s="2805"/>
      <c r="UVH73" s="2805"/>
      <c r="UVI73" s="2805"/>
      <c r="UVJ73" s="2805"/>
      <c r="UVK73" s="2805"/>
      <c r="UVL73" s="2805"/>
      <c r="UVM73" s="2805"/>
      <c r="UVN73" s="2805"/>
      <c r="UVO73" s="2805"/>
      <c r="UVP73" s="2805"/>
      <c r="UVQ73" s="2805"/>
      <c r="UVR73" s="2805"/>
      <c r="UVS73" s="2805"/>
      <c r="UVT73" s="2805"/>
      <c r="UVU73" s="2805"/>
      <c r="UVV73" s="2805"/>
      <c r="UVW73" s="2805"/>
      <c r="UVX73" s="2805"/>
      <c r="UVY73" s="2805"/>
      <c r="UVZ73" s="2805"/>
      <c r="UWA73" s="2805"/>
      <c r="UWB73" s="2805"/>
      <c r="UWC73" s="2805"/>
      <c r="UWD73" s="2805"/>
      <c r="UWE73" s="2805"/>
      <c r="UWF73" s="2805"/>
      <c r="UWG73" s="2805"/>
      <c r="UWH73" s="2805"/>
      <c r="UWI73" s="2805"/>
      <c r="UWJ73" s="2805"/>
      <c r="UWK73" s="2805"/>
      <c r="UWL73" s="2805"/>
      <c r="UWM73" s="2805"/>
      <c r="UWN73" s="2805"/>
      <c r="UWO73" s="2805"/>
      <c r="UWP73" s="2805"/>
      <c r="UWQ73" s="2805"/>
      <c r="UWR73" s="2805"/>
      <c r="UWS73" s="2805"/>
      <c r="UWT73" s="2805"/>
      <c r="UWU73" s="2805"/>
      <c r="UWV73" s="2805"/>
      <c r="UWW73" s="2805"/>
      <c r="UWX73" s="2805"/>
      <c r="UWY73" s="2805"/>
      <c r="UWZ73" s="2805"/>
      <c r="UXA73" s="2805"/>
      <c r="UXB73" s="2805"/>
      <c r="UXC73" s="2805"/>
      <c r="UXD73" s="2805"/>
      <c r="UXE73" s="2805"/>
      <c r="UXF73" s="2805"/>
      <c r="UXG73" s="2805"/>
      <c r="UXH73" s="2805"/>
      <c r="UXI73" s="2805"/>
      <c r="UXJ73" s="2805"/>
      <c r="UXK73" s="2805"/>
      <c r="UXL73" s="2805"/>
      <c r="UXM73" s="2805"/>
      <c r="UXN73" s="2805"/>
      <c r="UXO73" s="2805"/>
      <c r="UXP73" s="2805"/>
      <c r="UXQ73" s="2805"/>
      <c r="UXR73" s="2805"/>
      <c r="UXS73" s="2805"/>
      <c r="UXT73" s="2805"/>
      <c r="UXU73" s="2805"/>
      <c r="UXV73" s="2805"/>
      <c r="UXW73" s="2805"/>
      <c r="UXX73" s="2805"/>
      <c r="UXY73" s="2805"/>
      <c r="UXZ73" s="2805"/>
      <c r="UYA73" s="2805"/>
      <c r="UYB73" s="2805"/>
      <c r="UYC73" s="2805"/>
      <c r="UYD73" s="2805"/>
      <c r="UYE73" s="2805"/>
      <c r="UYF73" s="2805"/>
      <c r="UYG73" s="2805"/>
      <c r="UYH73" s="2805"/>
      <c r="UYI73" s="2805"/>
      <c r="UYJ73" s="2805"/>
      <c r="UYK73" s="2805"/>
      <c r="UYL73" s="2805"/>
      <c r="UYM73" s="2805"/>
      <c r="UYN73" s="2805"/>
      <c r="UYO73" s="2805"/>
      <c r="UYP73" s="2805"/>
      <c r="UYQ73" s="2805"/>
      <c r="UYR73" s="2805"/>
      <c r="UYS73" s="2805"/>
      <c r="UYT73" s="2805"/>
      <c r="UYU73" s="2805"/>
      <c r="UYV73" s="2805"/>
      <c r="UYW73" s="2805"/>
      <c r="UYX73" s="2805"/>
      <c r="UYY73" s="2805"/>
      <c r="UYZ73" s="2805"/>
      <c r="UZA73" s="2805"/>
      <c r="UZB73" s="2805"/>
      <c r="UZC73" s="2805"/>
      <c r="UZD73" s="2805"/>
      <c r="UZE73" s="2805"/>
      <c r="UZF73" s="2805"/>
      <c r="UZG73" s="2805"/>
      <c r="UZH73" s="2805"/>
      <c r="UZI73" s="2805"/>
      <c r="UZJ73" s="2805"/>
      <c r="UZK73" s="2805"/>
      <c r="UZL73" s="2805"/>
      <c r="UZM73" s="2805"/>
      <c r="UZN73" s="2805"/>
      <c r="UZO73" s="2805"/>
      <c r="UZP73" s="2805"/>
      <c r="UZQ73" s="2805"/>
      <c r="UZR73" s="2805"/>
      <c r="UZS73" s="2805"/>
      <c r="UZT73" s="2805"/>
      <c r="UZU73" s="2805"/>
      <c r="UZV73" s="2805"/>
      <c r="UZW73" s="2805"/>
      <c r="UZX73" s="2805"/>
      <c r="UZY73" s="2805"/>
      <c r="UZZ73" s="2805"/>
      <c r="VAA73" s="2805"/>
      <c r="VAB73" s="2805"/>
      <c r="VAC73" s="2805"/>
      <c r="VAD73" s="2805"/>
      <c r="VAE73" s="2805"/>
      <c r="VAF73" s="2805"/>
      <c r="VAG73" s="2805"/>
      <c r="VAH73" s="2805"/>
      <c r="VAI73" s="2805"/>
      <c r="VAJ73" s="2805"/>
      <c r="VAK73" s="2805"/>
      <c r="VAL73" s="2805"/>
      <c r="VAM73" s="2805"/>
      <c r="VAN73" s="2805"/>
      <c r="VAO73" s="2805"/>
      <c r="VAP73" s="2805"/>
      <c r="VAQ73" s="2805"/>
      <c r="VAR73" s="2805"/>
      <c r="VAS73" s="2805"/>
      <c r="VAT73" s="2805"/>
      <c r="VAU73" s="2805"/>
      <c r="VAV73" s="2805"/>
      <c r="VAW73" s="2805"/>
      <c r="VAX73" s="2805"/>
      <c r="VAY73" s="2805"/>
      <c r="VAZ73" s="2805"/>
      <c r="VBA73" s="2805"/>
      <c r="VBB73" s="2805"/>
      <c r="VBC73" s="2805"/>
      <c r="VBD73" s="2805"/>
      <c r="VBE73" s="2805"/>
      <c r="VBF73" s="2805"/>
      <c r="VBG73" s="2805"/>
      <c r="VBH73" s="2805"/>
      <c r="VBI73" s="2805"/>
      <c r="VBJ73" s="2805"/>
      <c r="VBK73" s="2805"/>
      <c r="VBL73" s="2805"/>
      <c r="VBM73" s="2805"/>
      <c r="VBN73" s="2805"/>
      <c r="VBO73" s="2805"/>
      <c r="VBP73" s="2805"/>
      <c r="VBQ73" s="2805"/>
      <c r="VBR73" s="2805"/>
      <c r="VBS73" s="2805"/>
      <c r="VBT73" s="2805"/>
      <c r="VBU73" s="2805"/>
      <c r="VBV73" s="2805"/>
      <c r="VBW73" s="2805"/>
      <c r="VBX73" s="2805"/>
      <c r="VBY73" s="2805"/>
      <c r="VBZ73" s="2805"/>
      <c r="VCA73" s="2805"/>
      <c r="VCB73" s="2805"/>
      <c r="VCC73" s="2805"/>
      <c r="VCD73" s="2805"/>
      <c r="VCE73" s="2805"/>
      <c r="VCF73" s="2805"/>
      <c r="VCG73" s="2805"/>
      <c r="VCH73" s="2805"/>
      <c r="VCI73" s="2805"/>
      <c r="VCJ73" s="2805"/>
      <c r="VCK73" s="2805"/>
      <c r="VCL73" s="2805"/>
      <c r="VCM73" s="2805"/>
      <c r="VCN73" s="2805"/>
      <c r="VCO73" s="2805"/>
      <c r="VCP73" s="2805"/>
      <c r="VCQ73" s="2805"/>
      <c r="VCR73" s="2805"/>
      <c r="VCS73" s="2805"/>
      <c r="VCT73" s="2805"/>
      <c r="VCU73" s="2805"/>
      <c r="VCV73" s="2805"/>
      <c r="VCW73" s="2805"/>
      <c r="VCX73" s="2805"/>
      <c r="VCY73" s="2805"/>
      <c r="VCZ73" s="2805"/>
      <c r="VDA73" s="2805"/>
      <c r="VDB73" s="2805"/>
      <c r="VDC73" s="2805"/>
      <c r="VDD73" s="2805"/>
      <c r="VDE73" s="2805"/>
      <c r="VDF73" s="2805"/>
      <c r="VDG73" s="2805"/>
      <c r="VDH73" s="2805"/>
      <c r="VDI73" s="2805"/>
      <c r="VDJ73" s="2805"/>
      <c r="VDK73" s="2805"/>
      <c r="VDL73" s="2805"/>
      <c r="VDM73" s="2805"/>
      <c r="VDN73" s="2805"/>
      <c r="VDO73" s="2805"/>
      <c r="VDP73" s="2805"/>
      <c r="VDQ73" s="2805"/>
      <c r="VDR73" s="2805"/>
      <c r="VDS73" s="2805"/>
      <c r="VDT73" s="2805"/>
      <c r="VDU73" s="2805"/>
      <c r="VDV73" s="2805"/>
      <c r="VDW73" s="2805"/>
      <c r="VDX73" s="2805"/>
      <c r="VDY73" s="2805"/>
      <c r="VDZ73" s="2805"/>
      <c r="VEA73" s="2805"/>
      <c r="VEB73" s="2805"/>
      <c r="VEC73" s="2805"/>
      <c r="VED73" s="2805"/>
      <c r="VEE73" s="2805"/>
      <c r="VEF73" s="2805"/>
      <c r="VEG73" s="2805"/>
      <c r="VEH73" s="2805"/>
      <c r="VEI73" s="2805"/>
      <c r="VEJ73" s="2805"/>
      <c r="VEK73" s="2805"/>
      <c r="VEL73" s="2805"/>
      <c r="VEM73" s="2805"/>
      <c r="VEN73" s="2805"/>
      <c r="VEO73" s="2805"/>
      <c r="VEP73" s="2805"/>
      <c r="VEQ73" s="2805"/>
      <c r="VER73" s="2805"/>
      <c r="VES73" s="2805"/>
      <c r="VET73" s="2805"/>
      <c r="VEU73" s="2805"/>
      <c r="VEV73" s="2805"/>
      <c r="VEW73" s="2805"/>
      <c r="VEX73" s="2805"/>
      <c r="VEY73" s="2805"/>
      <c r="VEZ73" s="2805"/>
      <c r="VFA73" s="2805"/>
      <c r="VFB73" s="2805"/>
      <c r="VFC73" s="2805"/>
      <c r="VFD73" s="2805"/>
      <c r="VFE73" s="2805"/>
      <c r="VFF73" s="2805"/>
      <c r="VFG73" s="2805"/>
      <c r="VFH73" s="2805"/>
      <c r="VFI73" s="2805"/>
      <c r="VFJ73" s="2805"/>
      <c r="VFK73" s="2805"/>
      <c r="VFL73" s="2805"/>
      <c r="VFM73" s="2805"/>
      <c r="VFN73" s="2805"/>
      <c r="VFO73" s="2805"/>
      <c r="VFP73" s="2805"/>
      <c r="VFQ73" s="2805"/>
      <c r="VFR73" s="2805"/>
      <c r="VFS73" s="2805"/>
      <c r="VFT73" s="2805"/>
      <c r="VFU73" s="2805"/>
      <c r="VFV73" s="2805"/>
      <c r="VFW73" s="2805"/>
      <c r="VFX73" s="2805"/>
      <c r="VFY73" s="2805"/>
      <c r="VFZ73" s="2805"/>
      <c r="VGA73" s="2805"/>
      <c r="VGB73" s="2805"/>
      <c r="VGC73" s="2805"/>
      <c r="VGD73" s="2805"/>
      <c r="VGE73" s="2805"/>
      <c r="VGF73" s="2805"/>
      <c r="VGG73" s="2805"/>
      <c r="VGH73" s="2805"/>
      <c r="VGI73" s="2805"/>
      <c r="VGJ73" s="2805"/>
      <c r="VGK73" s="2805"/>
      <c r="VGL73" s="2805"/>
      <c r="VGM73" s="2805"/>
      <c r="VGN73" s="2805"/>
      <c r="VGO73" s="2805"/>
      <c r="VGP73" s="2805"/>
      <c r="VGQ73" s="2805"/>
      <c r="VGR73" s="2805"/>
      <c r="VGS73" s="2805"/>
      <c r="VGT73" s="2805"/>
      <c r="VGU73" s="2805"/>
      <c r="VGV73" s="2805"/>
      <c r="VGW73" s="2805"/>
      <c r="VGX73" s="2805"/>
      <c r="VGY73" s="2805"/>
      <c r="VGZ73" s="2805"/>
      <c r="VHA73" s="2805"/>
      <c r="VHB73" s="2805"/>
      <c r="VHC73" s="2805"/>
      <c r="VHD73" s="2805"/>
      <c r="VHE73" s="2805"/>
      <c r="VHF73" s="2805"/>
      <c r="VHG73" s="2805"/>
      <c r="VHH73" s="2805"/>
      <c r="VHI73" s="2805"/>
      <c r="VHJ73" s="2805"/>
      <c r="VHK73" s="2805"/>
      <c r="VHL73" s="2805"/>
      <c r="VHM73" s="2805"/>
      <c r="VHN73" s="2805"/>
      <c r="VHO73" s="2805"/>
      <c r="VHP73" s="2805"/>
      <c r="VHQ73" s="2805"/>
      <c r="VHR73" s="2805"/>
      <c r="VHS73" s="2805"/>
      <c r="VHT73" s="2805"/>
      <c r="VHU73" s="2805"/>
      <c r="VHV73" s="2805"/>
      <c r="VHW73" s="2805"/>
      <c r="VHX73" s="2805"/>
      <c r="VHY73" s="2805"/>
      <c r="VHZ73" s="2805"/>
      <c r="VIA73" s="2805"/>
      <c r="VIB73" s="2805"/>
      <c r="VIC73" s="2805"/>
      <c r="VID73" s="2805"/>
      <c r="VIE73" s="2805"/>
      <c r="VIF73" s="2805"/>
      <c r="VIG73" s="2805"/>
      <c r="VIH73" s="2805"/>
      <c r="VII73" s="2805"/>
      <c r="VIJ73" s="2805"/>
      <c r="VIK73" s="2805"/>
      <c r="VIL73" s="2805"/>
      <c r="VIM73" s="2805"/>
      <c r="VIN73" s="2805"/>
      <c r="VIO73" s="2805"/>
      <c r="VIP73" s="2805"/>
      <c r="VIQ73" s="2805"/>
      <c r="VIR73" s="2805"/>
      <c r="VIS73" s="2805"/>
      <c r="VIT73" s="2805"/>
      <c r="VIU73" s="2805"/>
      <c r="VIV73" s="2805"/>
      <c r="VIW73" s="2805"/>
      <c r="VIX73" s="2805"/>
      <c r="VIY73" s="2805"/>
      <c r="VIZ73" s="2805"/>
      <c r="VJA73" s="2805"/>
      <c r="VJB73" s="2805"/>
      <c r="VJC73" s="2805"/>
      <c r="VJD73" s="2805"/>
      <c r="VJE73" s="2805"/>
      <c r="VJF73" s="2805"/>
      <c r="VJG73" s="2805"/>
      <c r="VJH73" s="2805"/>
      <c r="VJI73" s="2805"/>
      <c r="VJJ73" s="2805"/>
      <c r="VJK73" s="2805"/>
      <c r="VJL73" s="2805"/>
      <c r="VJM73" s="2805"/>
      <c r="VJN73" s="2805"/>
      <c r="VJO73" s="2805"/>
      <c r="VJP73" s="2805"/>
      <c r="VJQ73" s="2805"/>
      <c r="VJR73" s="2805"/>
      <c r="VJS73" s="2805"/>
      <c r="VJT73" s="2805"/>
      <c r="VJU73" s="2805"/>
      <c r="VJV73" s="2805"/>
      <c r="VJW73" s="2805"/>
      <c r="VJX73" s="2805"/>
      <c r="VJY73" s="2805"/>
      <c r="VJZ73" s="2805"/>
      <c r="VKA73" s="2805"/>
      <c r="VKB73" s="2805"/>
      <c r="VKC73" s="2805"/>
      <c r="VKD73" s="2805"/>
      <c r="VKE73" s="2805"/>
      <c r="VKF73" s="2805"/>
      <c r="VKG73" s="2805"/>
      <c r="VKH73" s="2805"/>
      <c r="VKI73" s="2805"/>
      <c r="VKJ73" s="2805"/>
      <c r="VKK73" s="2805"/>
      <c r="VKL73" s="2805"/>
      <c r="VKM73" s="2805"/>
      <c r="VKN73" s="2805"/>
      <c r="VKO73" s="2805"/>
      <c r="VKP73" s="2805"/>
      <c r="VKQ73" s="2805"/>
      <c r="VKR73" s="2805"/>
      <c r="VKS73" s="2805"/>
      <c r="VKT73" s="2805"/>
      <c r="VKU73" s="2805"/>
      <c r="VKV73" s="2805"/>
      <c r="VKW73" s="2805"/>
      <c r="VKX73" s="2805"/>
      <c r="VKY73" s="2805"/>
      <c r="VKZ73" s="2805"/>
      <c r="VLA73" s="2805"/>
      <c r="VLB73" s="2805"/>
      <c r="VLC73" s="2805"/>
      <c r="VLD73" s="2805"/>
      <c r="VLE73" s="2805"/>
      <c r="VLF73" s="2805"/>
      <c r="VLG73" s="2805"/>
      <c r="VLH73" s="2805"/>
      <c r="VLI73" s="2805"/>
      <c r="VLJ73" s="2805"/>
      <c r="VLK73" s="2805"/>
      <c r="VLL73" s="2805"/>
      <c r="VLM73" s="2805"/>
      <c r="VLN73" s="2805"/>
      <c r="VLO73" s="2805"/>
      <c r="VLP73" s="2805"/>
      <c r="VLQ73" s="2805"/>
      <c r="VLR73" s="2805"/>
      <c r="VLS73" s="2805"/>
      <c r="VLT73" s="2805"/>
      <c r="VLU73" s="2805"/>
      <c r="VLV73" s="2805"/>
      <c r="VLW73" s="2805"/>
      <c r="VLX73" s="2805"/>
      <c r="VLY73" s="2805"/>
      <c r="VLZ73" s="2805"/>
      <c r="VMA73" s="2805"/>
      <c r="VMB73" s="2805"/>
      <c r="VMC73" s="2805"/>
      <c r="VMD73" s="2805"/>
      <c r="VME73" s="2805"/>
      <c r="VMF73" s="2805"/>
      <c r="VMG73" s="2805"/>
      <c r="VMH73" s="2805"/>
      <c r="VMI73" s="2805"/>
      <c r="VMJ73" s="2805"/>
      <c r="VMK73" s="2805"/>
      <c r="VML73" s="2805"/>
      <c r="VMM73" s="2805"/>
      <c r="VMN73" s="2805"/>
      <c r="VMO73" s="2805"/>
      <c r="VMP73" s="2805"/>
      <c r="VMQ73" s="2805"/>
      <c r="VMR73" s="2805"/>
      <c r="VMS73" s="2805"/>
      <c r="VMT73" s="2805"/>
      <c r="VMU73" s="2805"/>
      <c r="VMV73" s="2805"/>
      <c r="VMW73" s="2805"/>
      <c r="VMX73" s="2805"/>
      <c r="VMY73" s="2805"/>
      <c r="VMZ73" s="2805"/>
      <c r="VNA73" s="2805"/>
      <c r="VNB73" s="2805"/>
      <c r="VNC73" s="2805"/>
      <c r="VND73" s="2805"/>
      <c r="VNE73" s="2805"/>
      <c r="VNF73" s="2805"/>
      <c r="VNG73" s="2805"/>
      <c r="VNH73" s="2805"/>
      <c r="VNI73" s="2805"/>
      <c r="VNJ73" s="2805"/>
      <c r="VNK73" s="2805"/>
      <c r="VNL73" s="2805"/>
      <c r="VNM73" s="2805"/>
      <c r="VNN73" s="2805"/>
      <c r="VNO73" s="2805"/>
      <c r="VNP73" s="2805"/>
      <c r="VNQ73" s="2805"/>
      <c r="VNR73" s="2805"/>
      <c r="VNS73" s="2805"/>
      <c r="VNT73" s="2805"/>
      <c r="VNU73" s="2805"/>
      <c r="VNV73" s="2805"/>
      <c r="VNW73" s="2805"/>
      <c r="VNX73" s="2805"/>
      <c r="VNY73" s="2805"/>
      <c r="VNZ73" s="2805"/>
      <c r="VOA73" s="2805"/>
      <c r="VOB73" s="2805"/>
      <c r="VOC73" s="2805"/>
      <c r="VOD73" s="2805"/>
      <c r="VOE73" s="2805"/>
      <c r="VOF73" s="2805"/>
      <c r="VOG73" s="2805"/>
      <c r="VOH73" s="2805"/>
      <c r="VOI73" s="2805"/>
      <c r="VOJ73" s="2805"/>
      <c r="VOK73" s="2805"/>
      <c r="VOL73" s="2805"/>
      <c r="VOM73" s="2805"/>
      <c r="VON73" s="2805"/>
      <c r="VOO73" s="2805"/>
      <c r="VOP73" s="2805"/>
      <c r="VOQ73" s="2805"/>
      <c r="VOR73" s="2805"/>
      <c r="VOS73" s="2805"/>
      <c r="VOT73" s="2805"/>
      <c r="VOU73" s="2805"/>
      <c r="VOV73" s="2805"/>
      <c r="VOW73" s="2805"/>
      <c r="VOX73" s="2805"/>
      <c r="VOY73" s="2805"/>
      <c r="VOZ73" s="2805"/>
      <c r="VPA73" s="2805"/>
      <c r="VPB73" s="2805"/>
      <c r="VPC73" s="2805"/>
      <c r="VPD73" s="2805"/>
      <c r="VPE73" s="2805"/>
      <c r="VPF73" s="2805"/>
      <c r="VPG73" s="2805"/>
      <c r="VPH73" s="2805"/>
      <c r="VPI73" s="2805"/>
      <c r="VPJ73" s="2805"/>
      <c r="VPK73" s="2805"/>
      <c r="VPL73" s="2805"/>
      <c r="VPM73" s="2805"/>
      <c r="VPN73" s="2805"/>
      <c r="VPO73" s="2805"/>
      <c r="VPP73" s="2805"/>
      <c r="VPQ73" s="2805"/>
      <c r="VPR73" s="2805"/>
      <c r="VPS73" s="2805"/>
      <c r="VPT73" s="2805"/>
      <c r="VPU73" s="2805"/>
      <c r="VPV73" s="2805"/>
      <c r="VPW73" s="2805"/>
      <c r="VPX73" s="2805"/>
      <c r="VPY73" s="2805"/>
      <c r="VPZ73" s="2805"/>
      <c r="VQA73" s="2805"/>
      <c r="VQB73" s="2805"/>
      <c r="VQC73" s="2805"/>
      <c r="VQD73" s="2805"/>
      <c r="VQE73" s="2805"/>
      <c r="VQF73" s="2805"/>
      <c r="VQG73" s="2805"/>
      <c r="VQH73" s="2805"/>
      <c r="VQI73" s="2805"/>
      <c r="VQJ73" s="2805"/>
      <c r="VQK73" s="2805"/>
      <c r="VQL73" s="2805"/>
      <c r="VQM73" s="2805"/>
      <c r="VQN73" s="2805"/>
      <c r="VQO73" s="2805"/>
      <c r="VQP73" s="2805"/>
      <c r="VQQ73" s="2805"/>
      <c r="VQR73" s="2805"/>
      <c r="VQS73" s="2805"/>
      <c r="VQT73" s="2805"/>
      <c r="VQU73" s="2805"/>
      <c r="VQV73" s="2805"/>
      <c r="VQW73" s="2805"/>
      <c r="VQX73" s="2805"/>
      <c r="VQY73" s="2805"/>
      <c r="VQZ73" s="2805"/>
      <c r="VRA73" s="2805"/>
      <c r="VRB73" s="2805"/>
      <c r="VRC73" s="2805"/>
      <c r="VRD73" s="2805"/>
      <c r="VRE73" s="2805"/>
      <c r="VRF73" s="2805"/>
      <c r="VRG73" s="2805"/>
      <c r="VRH73" s="2805"/>
      <c r="VRI73" s="2805"/>
      <c r="VRJ73" s="2805"/>
      <c r="VRK73" s="2805"/>
      <c r="VRL73" s="2805"/>
      <c r="VRM73" s="2805"/>
      <c r="VRN73" s="2805"/>
      <c r="VRO73" s="2805"/>
      <c r="VRP73" s="2805"/>
      <c r="VRQ73" s="2805"/>
      <c r="VRR73" s="2805"/>
      <c r="VRS73" s="2805"/>
      <c r="VRT73" s="2805"/>
      <c r="VRU73" s="2805"/>
      <c r="VRV73" s="2805"/>
      <c r="VRW73" s="2805"/>
      <c r="VRX73" s="2805"/>
      <c r="VRY73" s="2805"/>
      <c r="VRZ73" s="2805"/>
      <c r="VSA73" s="2805"/>
      <c r="VSB73" s="2805"/>
      <c r="VSC73" s="2805"/>
      <c r="VSD73" s="2805"/>
      <c r="VSE73" s="2805"/>
      <c r="VSF73" s="2805"/>
      <c r="VSG73" s="2805"/>
      <c r="VSH73" s="2805"/>
      <c r="VSI73" s="2805"/>
      <c r="VSJ73" s="2805"/>
      <c r="VSK73" s="2805"/>
      <c r="VSL73" s="2805"/>
      <c r="VSM73" s="2805"/>
      <c r="VSN73" s="2805"/>
      <c r="VSO73" s="2805"/>
      <c r="VSP73" s="2805"/>
      <c r="VSQ73" s="2805"/>
      <c r="VSR73" s="2805"/>
      <c r="VSS73" s="2805"/>
      <c r="VST73" s="2805"/>
      <c r="VSU73" s="2805"/>
      <c r="VSV73" s="2805"/>
      <c r="VSW73" s="2805"/>
      <c r="VSX73" s="2805"/>
      <c r="VSY73" s="2805"/>
      <c r="VSZ73" s="2805"/>
      <c r="VTA73" s="2805"/>
      <c r="VTB73" s="2805"/>
      <c r="VTC73" s="2805"/>
      <c r="VTD73" s="2805"/>
      <c r="VTE73" s="2805"/>
      <c r="VTF73" s="2805"/>
      <c r="VTG73" s="2805"/>
      <c r="VTH73" s="2805"/>
      <c r="VTI73" s="2805"/>
      <c r="VTJ73" s="2805"/>
      <c r="VTK73" s="2805"/>
      <c r="VTL73" s="2805"/>
      <c r="VTM73" s="2805"/>
      <c r="VTN73" s="2805"/>
      <c r="VTO73" s="2805"/>
      <c r="VTP73" s="2805"/>
      <c r="VTQ73" s="2805"/>
      <c r="VTR73" s="2805"/>
      <c r="VTS73" s="2805"/>
      <c r="VTT73" s="2805"/>
      <c r="VTU73" s="2805"/>
      <c r="VTV73" s="2805"/>
      <c r="VTW73" s="2805"/>
      <c r="VTX73" s="2805"/>
      <c r="VTY73" s="2805"/>
      <c r="VTZ73" s="2805"/>
      <c r="VUA73" s="2805"/>
      <c r="VUB73" s="2805"/>
      <c r="VUC73" s="2805"/>
      <c r="VUD73" s="2805"/>
      <c r="VUE73" s="2805"/>
      <c r="VUF73" s="2805"/>
      <c r="VUG73" s="2805"/>
      <c r="VUH73" s="2805"/>
      <c r="VUI73" s="2805"/>
      <c r="VUJ73" s="2805"/>
      <c r="VUK73" s="2805"/>
      <c r="VUL73" s="2805"/>
      <c r="VUM73" s="2805"/>
      <c r="VUN73" s="2805"/>
      <c r="VUO73" s="2805"/>
      <c r="VUP73" s="2805"/>
      <c r="VUQ73" s="2805"/>
      <c r="VUR73" s="2805"/>
      <c r="VUS73" s="2805"/>
      <c r="VUT73" s="2805"/>
      <c r="VUU73" s="2805"/>
      <c r="VUV73" s="2805"/>
      <c r="VUW73" s="2805"/>
      <c r="VUX73" s="2805"/>
      <c r="VUY73" s="2805"/>
      <c r="VUZ73" s="2805"/>
      <c r="VVA73" s="2805"/>
      <c r="VVB73" s="2805"/>
      <c r="VVC73" s="2805"/>
      <c r="VVD73" s="2805"/>
      <c r="VVE73" s="2805"/>
      <c r="VVF73" s="2805"/>
      <c r="VVG73" s="2805"/>
      <c r="VVH73" s="2805"/>
      <c r="VVI73" s="2805"/>
      <c r="VVJ73" s="2805"/>
      <c r="VVK73" s="2805"/>
      <c r="VVL73" s="2805"/>
      <c r="VVM73" s="2805"/>
      <c r="VVN73" s="2805"/>
      <c r="VVO73" s="2805"/>
      <c r="VVP73" s="2805"/>
      <c r="VVQ73" s="2805"/>
      <c r="VVR73" s="2805"/>
      <c r="VVS73" s="2805"/>
      <c r="VVT73" s="2805"/>
      <c r="VVU73" s="2805"/>
      <c r="VVV73" s="2805"/>
      <c r="VVW73" s="2805"/>
      <c r="VVX73" s="2805"/>
      <c r="VVY73" s="2805"/>
      <c r="VVZ73" s="2805"/>
      <c r="VWA73" s="2805"/>
      <c r="VWB73" s="2805"/>
      <c r="VWC73" s="2805"/>
      <c r="VWD73" s="2805"/>
      <c r="VWE73" s="2805"/>
      <c r="VWF73" s="2805"/>
      <c r="VWG73" s="2805"/>
      <c r="VWH73" s="2805"/>
      <c r="VWI73" s="2805"/>
      <c r="VWJ73" s="2805"/>
      <c r="VWK73" s="2805"/>
      <c r="VWL73" s="2805"/>
      <c r="VWM73" s="2805"/>
      <c r="VWN73" s="2805"/>
      <c r="VWO73" s="2805"/>
      <c r="VWP73" s="2805"/>
      <c r="VWQ73" s="2805"/>
      <c r="VWR73" s="2805"/>
      <c r="VWS73" s="2805"/>
      <c r="VWT73" s="2805"/>
      <c r="VWU73" s="2805"/>
      <c r="VWV73" s="2805"/>
      <c r="VWW73" s="2805"/>
      <c r="VWX73" s="2805"/>
      <c r="VWY73" s="2805"/>
      <c r="VWZ73" s="2805"/>
      <c r="VXA73" s="2805"/>
      <c r="VXB73" s="2805"/>
      <c r="VXC73" s="2805"/>
      <c r="VXD73" s="2805"/>
      <c r="VXE73" s="2805"/>
      <c r="VXF73" s="2805"/>
      <c r="VXG73" s="2805"/>
      <c r="VXH73" s="2805"/>
      <c r="VXI73" s="2805"/>
      <c r="VXJ73" s="2805"/>
      <c r="VXK73" s="2805"/>
      <c r="VXL73" s="2805"/>
      <c r="VXM73" s="2805"/>
      <c r="VXN73" s="2805"/>
      <c r="VXO73" s="2805"/>
      <c r="VXP73" s="2805"/>
      <c r="VXQ73" s="2805"/>
      <c r="VXR73" s="2805"/>
      <c r="VXS73" s="2805"/>
      <c r="VXT73" s="2805"/>
      <c r="VXU73" s="2805"/>
      <c r="VXV73" s="2805"/>
      <c r="VXW73" s="2805"/>
      <c r="VXX73" s="2805"/>
      <c r="VXY73" s="2805"/>
      <c r="VXZ73" s="2805"/>
      <c r="VYA73" s="2805"/>
      <c r="VYB73" s="2805"/>
      <c r="VYC73" s="2805"/>
      <c r="VYD73" s="2805"/>
      <c r="VYE73" s="2805"/>
      <c r="VYF73" s="2805"/>
      <c r="VYG73" s="2805"/>
      <c r="VYH73" s="2805"/>
      <c r="VYI73" s="2805"/>
      <c r="VYJ73" s="2805"/>
      <c r="VYK73" s="2805"/>
      <c r="VYL73" s="2805"/>
      <c r="VYM73" s="2805"/>
      <c r="VYN73" s="2805"/>
      <c r="VYO73" s="2805"/>
      <c r="VYP73" s="2805"/>
      <c r="VYQ73" s="2805"/>
      <c r="VYR73" s="2805"/>
      <c r="VYS73" s="2805"/>
      <c r="VYT73" s="2805"/>
      <c r="VYU73" s="2805"/>
      <c r="VYV73" s="2805"/>
      <c r="VYW73" s="2805"/>
      <c r="VYX73" s="2805"/>
      <c r="VYY73" s="2805"/>
      <c r="VYZ73" s="2805"/>
      <c r="VZA73" s="2805"/>
      <c r="VZB73" s="2805"/>
      <c r="VZC73" s="2805"/>
      <c r="VZD73" s="2805"/>
      <c r="VZE73" s="2805"/>
      <c r="VZF73" s="2805"/>
      <c r="VZG73" s="2805"/>
      <c r="VZH73" s="2805"/>
      <c r="VZI73" s="2805"/>
      <c r="VZJ73" s="2805"/>
      <c r="VZK73" s="2805"/>
      <c r="VZL73" s="2805"/>
      <c r="VZM73" s="2805"/>
      <c r="VZN73" s="2805"/>
      <c r="VZO73" s="2805"/>
      <c r="VZP73" s="2805"/>
      <c r="VZQ73" s="2805"/>
      <c r="VZR73" s="2805"/>
      <c r="VZS73" s="2805"/>
      <c r="VZT73" s="2805"/>
      <c r="VZU73" s="2805"/>
      <c r="VZV73" s="2805"/>
      <c r="VZW73" s="2805"/>
      <c r="VZX73" s="2805"/>
      <c r="VZY73" s="2805"/>
      <c r="VZZ73" s="2805"/>
      <c r="WAA73" s="2805"/>
      <c r="WAB73" s="2805"/>
      <c r="WAC73" s="2805"/>
      <c r="WAD73" s="2805"/>
      <c r="WAE73" s="2805"/>
      <c r="WAF73" s="2805"/>
      <c r="WAG73" s="2805"/>
      <c r="WAH73" s="2805"/>
      <c r="WAI73" s="2805"/>
      <c r="WAJ73" s="2805"/>
      <c r="WAK73" s="2805"/>
      <c r="WAL73" s="2805"/>
      <c r="WAM73" s="2805"/>
      <c r="WAN73" s="2805"/>
      <c r="WAO73" s="2805"/>
      <c r="WAP73" s="2805"/>
      <c r="WAQ73" s="2805"/>
      <c r="WAR73" s="2805"/>
      <c r="WAS73" s="2805"/>
      <c r="WAT73" s="2805"/>
      <c r="WAU73" s="2805"/>
      <c r="WAV73" s="2805"/>
      <c r="WAW73" s="2805"/>
      <c r="WAX73" s="2805"/>
      <c r="WAY73" s="2805"/>
      <c r="WAZ73" s="2805"/>
      <c r="WBA73" s="2805"/>
      <c r="WBB73" s="2805"/>
      <c r="WBC73" s="2805"/>
      <c r="WBD73" s="2805"/>
      <c r="WBE73" s="2805"/>
      <c r="WBF73" s="2805"/>
      <c r="WBG73" s="2805"/>
      <c r="WBH73" s="2805"/>
      <c r="WBI73" s="2805"/>
      <c r="WBJ73" s="2805"/>
      <c r="WBK73" s="2805"/>
      <c r="WBL73" s="2805"/>
      <c r="WBM73" s="2805"/>
      <c r="WBN73" s="2805"/>
      <c r="WBO73" s="2805"/>
      <c r="WBP73" s="2805"/>
      <c r="WBQ73" s="2805"/>
      <c r="WBR73" s="2805"/>
      <c r="WBS73" s="2805"/>
      <c r="WBT73" s="2805"/>
      <c r="WBU73" s="2805"/>
      <c r="WBV73" s="2805"/>
      <c r="WBW73" s="2805"/>
      <c r="WBX73" s="2805"/>
      <c r="WBY73" s="2805"/>
      <c r="WBZ73" s="2805"/>
      <c r="WCA73" s="2805"/>
      <c r="WCB73" s="2805"/>
      <c r="WCC73" s="2805"/>
      <c r="WCD73" s="2805"/>
      <c r="WCE73" s="2805"/>
      <c r="WCF73" s="2805"/>
      <c r="WCG73" s="2805"/>
      <c r="WCH73" s="2805"/>
      <c r="WCI73" s="2805"/>
      <c r="WCJ73" s="2805"/>
      <c r="WCK73" s="2805"/>
      <c r="WCL73" s="2805"/>
      <c r="WCM73" s="2805"/>
      <c r="WCN73" s="2805"/>
      <c r="WCO73" s="2805"/>
      <c r="WCP73" s="2805"/>
      <c r="WCQ73" s="2805"/>
      <c r="WCR73" s="2805"/>
      <c r="WCS73" s="2805"/>
      <c r="WCT73" s="2805"/>
      <c r="WCU73" s="2805"/>
      <c r="WCV73" s="2805"/>
      <c r="WCW73" s="2805"/>
      <c r="WCX73" s="2805"/>
      <c r="WCY73" s="2805"/>
      <c r="WCZ73" s="2805"/>
      <c r="WDA73" s="2805"/>
      <c r="WDB73" s="2805"/>
      <c r="WDC73" s="2805"/>
      <c r="WDD73" s="2805"/>
      <c r="WDE73" s="2805"/>
      <c r="WDF73" s="2805"/>
      <c r="WDG73" s="2805"/>
      <c r="WDH73" s="2805"/>
      <c r="WDI73" s="2805"/>
      <c r="WDJ73" s="2805"/>
      <c r="WDK73" s="2805"/>
      <c r="WDL73" s="2805"/>
      <c r="WDM73" s="2805"/>
      <c r="WDN73" s="2805"/>
      <c r="WDO73" s="2805"/>
      <c r="WDP73" s="2805"/>
      <c r="WDQ73" s="2805"/>
      <c r="WDR73" s="2805"/>
      <c r="WDS73" s="2805"/>
      <c r="WDT73" s="2805"/>
      <c r="WDU73" s="2805"/>
      <c r="WDV73" s="2805"/>
      <c r="WDW73" s="2805"/>
      <c r="WDX73" s="2805"/>
      <c r="WDY73" s="2805"/>
      <c r="WDZ73" s="2805"/>
      <c r="WEA73" s="2805"/>
      <c r="WEB73" s="2805"/>
      <c r="WEC73" s="2805"/>
      <c r="WED73" s="2805"/>
      <c r="WEE73" s="2805"/>
      <c r="WEF73" s="2805"/>
      <c r="WEG73" s="2805"/>
      <c r="WEH73" s="2805"/>
      <c r="WEI73" s="2805"/>
      <c r="WEJ73" s="2805"/>
      <c r="WEK73" s="2805"/>
      <c r="WEL73" s="2805"/>
      <c r="WEM73" s="2805"/>
      <c r="WEN73" s="2805"/>
      <c r="WEO73" s="2805"/>
      <c r="WEP73" s="2805"/>
      <c r="WEQ73" s="2805"/>
      <c r="WER73" s="2805"/>
      <c r="WES73" s="2805"/>
      <c r="WET73" s="2805"/>
      <c r="WEU73" s="2805"/>
      <c r="WEV73" s="2805"/>
      <c r="WEW73" s="2805"/>
      <c r="WEX73" s="2805"/>
      <c r="WEY73" s="2805"/>
      <c r="WEZ73" s="2805"/>
      <c r="WFA73" s="2805"/>
      <c r="WFB73" s="2805"/>
      <c r="WFC73" s="2805"/>
      <c r="WFD73" s="2805"/>
      <c r="WFE73" s="2805"/>
      <c r="WFF73" s="2805"/>
      <c r="WFG73" s="2805"/>
      <c r="WFH73" s="2805"/>
      <c r="WFI73" s="2805"/>
      <c r="WFJ73" s="2805"/>
      <c r="WFK73" s="2805"/>
      <c r="WFL73" s="2805"/>
      <c r="WFM73" s="2805"/>
      <c r="WFN73" s="2805"/>
      <c r="WFO73" s="2805"/>
      <c r="WFP73" s="2805"/>
      <c r="WFQ73" s="2805"/>
      <c r="WFR73" s="2805"/>
      <c r="WFS73" s="2805"/>
      <c r="WFT73" s="2805"/>
      <c r="WFU73" s="2805"/>
      <c r="WFV73" s="2805"/>
      <c r="WFW73" s="2805"/>
      <c r="WFX73" s="2805"/>
      <c r="WFY73" s="2805"/>
      <c r="WFZ73" s="2805"/>
      <c r="WGA73" s="2805"/>
      <c r="WGB73" s="2805"/>
      <c r="WGC73" s="2805"/>
      <c r="WGD73" s="2805"/>
      <c r="WGE73" s="2805"/>
      <c r="WGF73" s="2805"/>
      <c r="WGG73" s="2805"/>
      <c r="WGH73" s="2805"/>
      <c r="WGI73" s="2805"/>
      <c r="WGJ73" s="2805"/>
      <c r="WGK73" s="2805"/>
      <c r="WGL73" s="2805"/>
      <c r="WGM73" s="2805"/>
      <c r="WGN73" s="2805"/>
      <c r="WGO73" s="2805"/>
      <c r="WGP73" s="2805"/>
      <c r="WGQ73" s="2805"/>
      <c r="WGR73" s="2805"/>
      <c r="WGS73" s="2805"/>
      <c r="WGT73" s="2805"/>
      <c r="WGU73" s="2805"/>
      <c r="WGV73" s="2805"/>
      <c r="WGW73" s="2805"/>
      <c r="WGX73" s="2805"/>
      <c r="WGY73" s="2805"/>
      <c r="WGZ73" s="2805"/>
      <c r="WHA73" s="2805"/>
      <c r="WHB73" s="2805"/>
      <c r="WHC73" s="2805"/>
      <c r="WHD73" s="2805"/>
      <c r="WHE73" s="2805"/>
      <c r="WHF73" s="2805"/>
      <c r="WHG73" s="2805"/>
      <c r="WHH73" s="2805"/>
      <c r="WHI73" s="2805"/>
      <c r="WHJ73" s="2805"/>
      <c r="WHK73" s="2805"/>
      <c r="WHL73" s="2805"/>
      <c r="WHM73" s="2805"/>
      <c r="WHN73" s="2805"/>
      <c r="WHO73" s="2805"/>
      <c r="WHP73" s="2805"/>
      <c r="WHQ73" s="2805"/>
      <c r="WHR73" s="2805"/>
      <c r="WHS73" s="2805"/>
      <c r="WHT73" s="2805"/>
      <c r="WHU73" s="2805"/>
      <c r="WHV73" s="2805"/>
      <c r="WHW73" s="2805"/>
      <c r="WHX73" s="2805"/>
      <c r="WHY73" s="2805"/>
      <c r="WHZ73" s="2805"/>
      <c r="WIA73" s="2805"/>
      <c r="WIB73" s="2805"/>
      <c r="WIC73" s="2805"/>
      <c r="WID73" s="2805"/>
      <c r="WIE73" s="2805"/>
      <c r="WIF73" s="2805"/>
      <c r="WIG73" s="2805"/>
      <c r="WIH73" s="2805"/>
      <c r="WII73" s="2805"/>
      <c r="WIJ73" s="2805"/>
      <c r="WIK73" s="2805"/>
      <c r="WIL73" s="2805"/>
      <c r="WIM73" s="2805"/>
      <c r="WIN73" s="2805"/>
      <c r="WIO73" s="2805"/>
      <c r="WIP73" s="2805"/>
      <c r="WIQ73" s="2805"/>
      <c r="WIR73" s="2805"/>
      <c r="WIS73" s="2805"/>
      <c r="WIT73" s="2805"/>
      <c r="WIU73" s="2805"/>
      <c r="WIV73" s="2805"/>
      <c r="WIW73" s="2805"/>
      <c r="WIX73" s="2805"/>
      <c r="WIY73" s="2805"/>
      <c r="WIZ73" s="2805"/>
      <c r="WJA73" s="2805"/>
      <c r="WJB73" s="2805"/>
      <c r="WJC73" s="2805"/>
      <c r="WJD73" s="2805"/>
      <c r="WJE73" s="2805"/>
      <c r="WJF73" s="2805"/>
      <c r="WJG73" s="2805"/>
      <c r="WJH73" s="2805"/>
      <c r="WJI73" s="2805"/>
      <c r="WJJ73" s="2805"/>
      <c r="WJK73" s="2805"/>
      <c r="WJL73" s="2805"/>
      <c r="WJM73" s="2805"/>
      <c r="WJN73" s="2805"/>
      <c r="WJO73" s="2805"/>
      <c r="WJP73" s="2805"/>
      <c r="WJQ73" s="2805"/>
      <c r="WJR73" s="2805"/>
      <c r="WJS73" s="2805"/>
      <c r="WJT73" s="2805"/>
      <c r="WJU73" s="2805"/>
      <c r="WJV73" s="2805"/>
      <c r="WJW73" s="2805"/>
      <c r="WJX73" s="2805"/>
      <c r="WJY73" s="2805"/>
      <c r="WJZ73" s="2805"/>
      <c r="WKA73" s="2805"/>
      <c r="WKB73" s="2805"/>
      <c r="WKC73" s="2805"/>
      <c r="WKD73" s="2805"/>
      <c r="WKE73" s="2805"/>
      <c r="WKF73" s="2805"/>
      <c r="WKG73" s="2805"/>
      <c r="WKH73" s="2805"/>
      <c r="WKI73" s="2805"/>
      <c r="WKJ73" s="2805"/>
      <c r="WKK73" s="2805"/>
      <c r="WKL73" s="2805"/>
      <c r="WKM73" s="2805"/>
      <c r="WKN73" s="2805"/>
      <c r="WKO73" s="2805"/>
      <c r="WKP73" s="2805"/>
      <c r="WKQ73" s="2805"/>
      <c r="WKR73" s="2805"/>
      <c r="WKS73" s="2805"/>
      <c r="WKT73" s="2805"/>
      <c r="WKU73" s="2805"/>
      <c r="WKV73" s="2805"/>
      <c r="WKW73" s="2805"/>
      <c r="WKX73" s="2805"/>
      <c r="WKY73" s="2805"/>
      <c r="WKZ73" s="2805"/>
      <c r="WLA73" s="2805"/>
      <c r="WLB73" s="2805"/>
      <c r="WLC73" s="2805"/>
      <c r="WLD73" s="2805"/>
      <c r="WLE73" s="2805"/>
      <c r="WLF73" s="2805"/>
      <c r="WLG73" s="2805"/>
      <c r="WLH73" s="2805"/>
      <c r="WLI73" s="2805"/>
      <c r="WLJ73" s="2805"/>
      <c r="WLK73" s="2805"/>
      <c r="WLL73" s="2805"/>
      <c r="WLM73" s="2805"/>
      <c r="WLN73" s="2805"/>
      <c r="WLO73" s="2805"/>
      <c r="WLP73" s="2805"/>
      <c r="WLQ73" s="2805"/>
      <c r="WLR73" s="2805"/>
      <c r="WLS73" s="2805"/>
      <c r="WLT73" s="2805"/>
      <c r="WLU73" s="2805"/>
      <c r="WLV73" s="2805"/>
      <c r="WLW73" s="2805"/>
      <c r="WLX73" s="2805"/>
      <c r="WLY73" s="2805"/>
      <c r="WLZ73" s="2805"/>
      <c r="WMA73" s="2805"/>
      <c r="WMB73" s="2805"/>
      <c r="WMC73" s="2805"/>
      <c r="WMD73" s="2805"/>
      <c r="WME73" s="2805"/>
      <c r="WMF73" s="2805"/>
      <c r="WMG73" s="2805"/>
      <c r="WMH73" s="2805"/>
      <c r="WMI73" s="2805"/>
      <c r="WMJ73" s="2805"/>
      <c r="WMK73" s="2805"/>
      <c r="WML73" s="2805"/>
      <c r="WMM73" s="2805"/>
      <c r="WMN73" s="2805"/>
      <c r="WMO73" s="2805"/>
      <c r="WMP73" s="2805"/>
      <c r="WMQ73" s="2805"/>
      <c r="WMR73" s="2805"/>
      <c r="WMS73" s="2805"/>
      <c r="WMT73" s="2805"/>
      <c r="WMU73" s="2805"/>
      <c r="WMV73" s="2805"/>
      <c r="WMW73" s="2805"/>
      <c r="WMX73" s="2805"/>
      <c r="WMY73" s="2805"/>
      <c r="WMZ73" s="2805"/>
      <c r="WNA73" s="2805"/>
      <c r="WNB73" s="2805"/>
      <c r="WNC73" s="2805"/>
      <c r="WND73" s="2805"/>
      <c r="WNE73" s="2805"/>
      <c r="WNF73" s="2805"/>
      <c r="WNG73" s="2805"/>
      <c r="WNH73" s="2805"/>
      <c r="WNI73" s="2805"/>
      <c r="WNJ73" s="2805"/>
      <c r="WNK73" s="2805"/>
      <c r="WNL73" s="2805"/>
      <c r="WNM73" s="2805"/>
      <c r="WNN73" s="2805"/>
      <c r="WNO73" s="2805"/>
      <c r="WNP73" s="2805"/>
      <c r="WNQ73" s="2805"/>
      <c r="WNR73" s="2805"/>
      <c r="WNS73" s="2805"/>
      <c r="WNT73" s="2805"/>
      <c r="WNU73" s="2805"/>
      <c r="WNV73" s="2805"/>
      <c r="WNW73" s="2805"/>
      <c r="WNX73" s="2805"/>
      <c r="WNY73" s="2805"/>
      <c r="WNZ73" s="2805"/>
      <c r="WOA73" s="2805"/>
      <c r="WOB73" s="2805"/>
      <c r="WOC73" s="2805"/>
      <c r="WOD73" s="2805"/>
      <c r="WOE73" s="2805"/>
      <c r="WOF73" s="2805"/>
      <c r="WOG73" s="2805"/>
      <c r="WOH73" s="2805"/>
      <c r="WOI73" s="2805"/>
      <c r="WOJ73" s="2805"/>
      <c r="WOK73" s="2805"/>
      <c r="WOL73" s="2805"/>
      <c r="WOM73" s="2805"/>
      <c r="WON73" s="2805"/>
      <c r="WOO73" s="2805"/>
      <c r="WOP73" s="2805"/>
      <c r="WOQ73" s="2805"/>
      <c r="WOR73" s="2805"/>
      <c r="WOS73" s="2805"/>
      <c r="WOT73" s="2805"/>
      <c r="WOU73" s="2805"/>
      <c r="WOV73" s="2805"/>
      <c r="WOW73" s="2805"/>
      <c r="WOX73" s="2805"/>
      <c r="WOY73" s="2805"/>
      <c r="WOZ73" s="2805"/>
      <c r="WPA73" s="2805"/>
      <c r="WPB73" s="2805"/>
      <c r="WPC73" s="2805"/>
      <c r="WPD73" s="2805"/>
      <c r="WPE73" s="2805"/>
      <c r="WPF73" s="2805"/>
      <c r="WPG73" s="2805"/>
      <c r="WPH73" s="2805"/>
      <c r="WPI73" s="2805"/>
      <c r="WPJ73" s="2805"/>
      <c r="WPK73" s="2805"/>
      <c r="WPL73" s="2805"/>
      <c r="WPM73" s="2805"/>
      <c r="WPN73" s="2805"/>
      <c r="WPO73" s="2805"/>
      <c r="WPP73" s="2805"/>
      <c r="WPQ73" s="2805"/>
      <c r="WPR73" s="2805"/>
      <c r="WPS73" s="2805"/>
      <c r="WPT73" s="2805"/>
      <c r="WPU73" s="2805"/>
      <c r="WPV73" s="2805"/>
      <c r="WPW73" s="2805"/>
      <c r="WPX73" s="2805"/>
      <c r="WPY73" s="2805"/>
      <c r="WPZ73" s="2805"/>
      <c r="WQA73" s="2805"/>
      <c r="WQB73" s="2805"/>
      <c r="WQC73" s="2805"/>
      <c r="WQD73" s="2805"/>
      <c r="WQE73" s="2805"/>
      <c r="WQF73" s="2805"/>
      <c r="WQG73" s="2805"/>
      <c r="WQH73" s="2805"/>
      <c r="WQI73" s="2805"/>
      <c r="WQJ73" s="2805"/>
      <c r="WQK73" s="2805"/>
      <c r="WQL73" s="2805"/>
      <c r="WQM73" s="2805"/>
      <c r="WQN73" s="2805"/>
      <c r="WQO73" s="2805"/>
      <c r="WQP73" s="2805"/>
      <c r="WQQ73" s="2805"/>
      <c r="WQR73" s="2805"/>
      <c r="WQS73" s="2805"/>
      <c r="WQT73" s="2805"/>
      <c r="WQU73" s="2805"/>
      <c r="WQV73" s="2805"/>
      <c r="WQW73" s="2805"/>
      <c r="WQX73" s="2805"/>
      <c r="WQY73" s="2805"/>
      <c r="WQZ73" s="2805"/>
      <c r="WRA73" s="2805"/>
      <c r="WRB73" s="2805"/>
      <c r="WRC73" s="2805"/>
      <c r="WRD73" s="2805"/>
      <c r="WRE73" s="2805"/>
      <c r="WRF73" s="2805"/>
      <c r="WRG73" s="2805"/>
      <c r="WRH73" s="2805"/>
      <c r="WRI73" s="2805"/>
      <c r="WRJ73" s="2805"/>
      <c r="WRK73" s="2805"/>
      <c r="WRL73" s="2805"/>
      <c r="WRM73" s="2805"/>
      <c r="WRN73" s="2805"/>
      <c r="WRO73" s="2805"/>
      <c r="WRP73" s="2805"/>
      <c r="WRQ73" s="2805"/>
      <c r="WRR73" s="2805"/>
      <c r="WRS73" s="2805"/>
      <c r="WRT73" s="2805"/>
      <c r="WRU73" s="2805"/>
      <c r="WRV73" s="2805"/>
      <c r="WRW73" s="2805"/>
      <c r="WRX73" s="2805"/>
      <c r="WRY73" s="2805"/>
      <c r="WRZ73" s="2805"/>
      <c r="WSA73" s="2805"/>
      <c r="WSB73" s="2805"/>
      <c r="WSC73" s="2805"/>
      <c r="WSD73" s="2805"/>
      <c r="WSE73" s="2805"/>
      <c r="WSF73" s="2805"/>
      <c r="WSG73" s="2805"/>
      <c r="WSH73" s="2805"/>
      <c r="WSI73" s="2805"/>
      <c r="WSJ73" s="2805"/>
      <c r="WSK73" s="2805"/>
      <c r="WSL73" s="2805"/>
      <c r="WSM73" s="2805"/>
      <c r="WSN73" s="2805"/>
      <c r="WSO73" s="2805"/>
      <c r="WSP73" s="2805"/>
      <c r="WSQ73" s="2805"/>
      <c r="WSR73" s="2805"/>
      <c r="WSS73" s="2805"/>
      <c r="WST73" s="2805"/>
      <c r="WSU73" s="2805"/>
      <c r="WSV73" s="2805"/>
      <c r="WSW73" s="2805"/>
      <c r="WSX73" s="2805"/>
      <c r="WSY73" s="2805"/>
      <c r="WSZ73" s="2805"/>
      <c r="WTA73" s="2805"/>
      <c r="WTB73" s="2805"/>
      <c r="WTC73" s="2805"/>
      <c r="WTD73" s="2805"/>
      <c r="WTE73" s="2805"/>
      <c r="WTF73" s="2805"/>
      <c r="WTG73" s="2805"/>
      <c r="WTH73" s="2805"/>
      <c r="WTI73" s="2805"/>
      <c r="WTJ73" s="2805"/>
      <c r="WTK73" s="2805"/>
      <c r="WTL73" s="2805"/>
      <c r="WTM73" s="2805"/>
      <c r="WTN73" s="2805"/>
      <c r="WTO73" s="2805"/>
      <c r="WTP73" s="2805"/>
      <c r="WTQ73" s="2805"/>
      <c r="WTR73" s="2805"/>
      <c r="WTS73" s="2805"/>
      <c r="WTT73" s="2805"/>
      <c r="WTU73" s="2805"/>
      <c r="WTV73" s="2805"/>
      <c r="WTW73" s="2805"/>
      <c r="WTX73" s="2805"/>
      <c r="WTY73" s="2805"/>
      <c r="WTZ73" s="2805"/>
      <c r="WUA73" s="2805"/>
      <c r="WUB73" s="2805"/>
      <c r="WUC73" s="2805"/>
      <c r="WUD73" s="2805"/>
      <c r="WUE73" s="2805"/>
      <c r="WUF73" s="2805"/>
      <c r="WUG73" s="2805"/>
      <c r="WUH73" s="2805"/>
      <c r="WUI73" s="2805"/>
      <c r="WUJ73" s="2805"/>
      <c r="WUK73" s="2805"/>
      <c r="WUL73" s="2805"/>
      <c r="WUM73" s="2805"/>
      <c r="WUN73" s="2805"/>
      <c r="WUO73" s="2805"/>
      <c r="WUP73" s="2805"/>
      <c r="WUQ73" s="2805"/>
      <c r="WUR73" s="2805"/>
      <c r="WUS73" s="2805"/>
      <c r="WUT73" s="2805"/>
      <c r="WUU73" s="2805"/>
      <c r="WUV73" s="2805"/>
      <c r="WUW73" s="2805"/>
      <c r="WUX73" s="2805"/>
      <c r="WUY73" s="2805"/>
      <c r="WUZ73" s="2805"/>
      <c r="WVA73" s="2805"/>
      <c r="WVB73" s="2805"/>
      <c r="WVC73" s="2805"/>
      <c r="WVD73" s="2805"/>
      <c r="WVE73" s="2805"/>
      <c r="WVF73" s="2805"/>
      <c r="WVG73" s="2805"/>
      <c r="WVH73" s="2805"/>
      <c r="WVI73" s="2805"/>
      <c r="WVJ73" s="2805"/>
      <c r="WVK73" s="2805"/>
      <c r="WVL73" s="2805"/>
      <c r="WVM73" s="2805"/>
      <c r="WVN73" s="2805"/>
      <c r="WVO73" s="2805"/>
      <c r="WVP73" s="2805"/>
      <c r="WVQ73" s="2805"/>
      <c r="WVR73" s="2805"/>
      <c r="WVS73" s="2805"/>
      <c r="WVT73" s="2805"/>
      <c r="WVU73" s="2805"/>
      <c r="WVV73" s="2805"/>
      <c r="WVW73" s="2805"/>
      <c r="WVX73" s="2805"/>
      <c r="WVY73" s="2805"/>
      <c r="WVZ73" s="2805"/>
      <c r="WWA73" s="2805"/>
      <c r="WWB73" s="2805"/>
      <c r="WWC73" s="2805"/>
      <c r="WWD73" s="2805"/>
      <c r="WWE73" s="2805"/>
      <c r="WWF73" s="2805"/>
      <c r="WWG73" s="2805"/>
      <c r="WWH73" s="2805"/>
      <c r="WWI73" s="2805"/>
      <c r="WWJ73" s="2805"/>
      <c r="WWK73" s="2805"/>
      <c r="WWL73" s="2805"/>
      <c r="WWM73" s="2805"/>
      <c r="WWN73" s="2805"/>
      <c r="WWO73" s="2805"/>
      <c r="WWP73" s="2805"/>
      <c r="WWQ73" s="2805"/>
      <c r="WWR73" s="2805"/>
      <c r="WWS73" s="2805"/>
      <c r="WWT73" s="2805"/>
      <c r="WWU73" s="2805"/>
      <c r="WWV73" s="2805"/>
      <c r="WWW73" s="2805"/>
      <c r="WWX73" s="2805"/>
      <c r="WWY73" s="2805"/>
      <c r="WWZ73" s="2805"/>
      <c r="WXA73" s="2805"/>
      <c r="WXB73" s="2805"/>
      <c r="WXC73" s="2805"/>
      <c r="WXD73" s="2805"/>
      <c r="WXE73" s="2805"/>
      <c r="WXF73" s="2805"/>
      <c r="WXG73" s="2805"/>
      <c r="WXH73" s="2805"/>
      <c r="WXI73" s="2805"/>
      <c r="WXJ73" s="2805"/>
      <c r="WXK73" s="2805"/>
      <c r="WXL73" s="2805"/>
      <c r="WXM73" s="2805"/>
      <c r="WXN73" s="2805"/>
      <c r="WXO73" s="2805"/>
      <c r="WXP73" s="2805"/>
      <c r="WXQ73" s="2805"/>
      <c r="WXR73" s="2805"/>
      <c r="WXS73" s="2805"/>
      <c r="WXT73" s="2805"/>
      <c r="WXU73" s="2805"/>
      <c r="WXV73" s="2805"/>
      <c r="WXW73" s="2805"/>
      <c r="WXX73" s="2805"/>
      <c r="WXY73" s="2805"/>
      <c r="WXZ73" s="2805"/>
      <c r="WYA73" s="2805"/>
      <c r="WYB73" s="2805"/>
      <c r="WYC73" s="2805"/>
      <c r="WYD73" s="2805"/>
      <c r="WYE73" s="2805"/>
      <c r="WYF73" s="2805"/>
      <c r="WYG73" s="2805"/>
      <c r="WYH73" s="2805"/>
      <c r="WYI73" s="2805"/>
      <c r="WYJ73" s="2805"/>
      <c r="WYK73" s="2805"/>
      <c r="WYL73" s="2805"/>
      <c r="WYM73" s="2805"/>
      <c r="WYN73" s="2805"/>
      <c r="WYO73" s="2805"/>
      <c r="WYP73" s="2805"/>
      <c r="WYQ73" s="2805"/>
      <c r="WYR73" s="2805"/>
      <c r="WYS73" s="2805"/>
      <c r="WYT73" s="2805"/>
      <c r="WYU73" s="2805"/>
      <c r="WYV73" s="2805"/>
      <c r="WYW73" s="2805"/>
      <c r="WYX73" s="2805"/>
      <c r="WYY73" s="2805"/>
      <c r="WYZ73" s="2805"/>
      <c r="WZA73" s="2805"/>
      <c r="WZB73" s="2805"/>
      <c r="WZC73" s="2805"/>
      <c r="WZD73" s="2805"/>
      <c r="WZE73" s="2805"/>
      <c r="WZF73" s="2805"/>
      <c r="WZG73" s="2805"/>
      <c r="WZH73" s="2805"/>
      <c r="WZI73" s="2805"/>
      <c r="WZJ73" s="2805"/>
      <c r="WZK73" s="2805"/>
      <c r="WZL73" s="2805"/>
      <c r="WZM73" s="2805"/>
      <c r="WZN73" s="2805"/>
      <c r="WZO73" s="2805"/>
      <c r="WZP73" s="2805"/>
      <c r="WZQ73" s="2805"/>
      <c r="WZR73" s="2805"/>
      <c r="WZS73" s="2805"/>
      <c r="WZT73" s="2805"/>
      <c r="WZU73" s="2805"/>
      <c r="WZV73" s="2805"/>
      <c r="WZW73" s="2805"/>
      <c r="WZX73" s="2805"/>
      <c r="WZY73" s="2805"/>
      <c r="WZZ73" s="2805"/>
      <c r="XAA73" s="2805"/>
      <c r="XAB73" s="2805"/>
      <c r="XAC73" s="2805"/>
      <c r="XAD73" s="2805"/>
      <c r="XAE73" s="2805"/>
      <c r="XAF73" s="2805"/>
      <c r="XAG73" s="2805"/>
      <c r="XAH73" s="2805"/>
      <c r="XAI73" s="2805"/>
      <c r="XAJ73" s="2805"/>
      <c r="XAK73" s="2805"/>
      <c r="XAL73" s="2805"/>
      <c r="XAM73" s="2805"/>
      <c r="XAN73" s="2805"/>
      <c r="XAO73" s="2805"/>
      <c r="XAP73" s="2805"/>
      <c r="XAQ73" s="2805"/>
      <c r="XAR73" s="2805"/>
      <c r="XAS73" s="2805"/>
      <c r="XAT73" s="2805"/>
      <c r="XAU73" s="2805"/>
      <c r="XAV73" s="2805"/>
      <c r="XAW73" s="2805"/>
      <c r="XAX73" s="2805"/>
      <c r="XAY73" s="2805"/>
      <c r="XAZ73" s="2805"/>
      <c r="XBA73" s="2805"/>
      <c r="XBB73" s="2805"/>
      <c r="XBC73" s="2805"/>
      <c r="XBD73" s="2805"/>
      <c r="XBE73" s="2805"/>
      <c r="XBF73" s="2805"/>
      <c r="XBG73" s="2805"/>
      <c r="XBH73" s="2805"/>
      <c r="XBI73" s="2805"/>
      <c r="XBJ73" s="2805"/>
      <c r="XBK73" s="2805"/>
      <c r="XBL73" s="2805"/>
      <c r="XBM73" s="2805"/>
      <c r="XBN73" s="2805"/>
      <c r="XBO73" s="2805"/>
      <c r="XBP73" s="2805"/>
      <c r="XBQ73" s="2805"/>
      <c r="XBR73" s="2805"/>
      <c r="XBS73" s="2805"/>
      <c r="XBT73" s="2805"/>
      <c r="XBU73" s="2805"/>
      <c r="XBV73" s="2805"/>
      <c r="XBW73" s="2805"/>
      <c r="XBX73" s="2805"/>
      <c r="XBY73" s="2805"/>
      <c r="XBZ73" s="2805"/>
      <c r="XCA73" s="2805"/>
      <c r="XCB73" s="2805"/>
      <c r="XCC73" s="2805"/>
      <c r="XCD73" s="2805"/>
      <c r="XCE73" s="2805"/>
      <c r="XCF73" s="2805"/>
      <c r="XCG73" s="2805"/>
      <c r="XCH73" s="2805"/>
      <c r="XCI73" s="2805"/>
      <c r="XCJ73" s="2805"/>
      <c r="XCK73" s="2805"/>
      <c r="XCL73" s="2805"/>
      <c r="XCM73" s="2805"/>
      <c r="XCN73" s="2805"/>
      <c r="XCO73" s="2805"/>
      <c r="XCP73" s="2805"/>
      <c r="XCQ73" s="2805"/>
      <c r="XCR73" s="2805"/>
      <c r="XCS73" s="2805"/>
      <c r="XCT73" s="2805"/>
      <c r="XCU73" s="2805"/>
      <c r="XCV73" s="2805"/>
      <c r="XCW73" s="2805"/>
      <c r="XCX73" s="2805"/>
      <c r="XCY73" s="2805"/>
      <c r="XCZ73" s="2805"/>
      <c r="XDA73" s="2805"/>
      <c r="XDB73" s="2805"/>
      <c r="XDC73" s="2805"/>
      <c r="XDD73" s="2805"/>
      <c r="XDE73" s="2805"/>
      <c r="XDF73" s="2805"/>
      <c r="XDG73" s="2805"/>
      <c r="XDH73" s="2805"/>
      <c r="XDI73" s="2805"/>
      <c r="XDJ73" s="2805"/>
      <c r="XDK73" s="2805"/>
      <c r="XDL73" s="2805"/>
      <c r="XDM73" s="2805"/>
      <c r="XDN73" s="2805"/>
      <c r="XDO73" s="2805"/>
      <c r="XDP73" s="2805"/>
      <c r="XDQ73" s="2805"/>
      <c r="XDR73" s="2805"/>
      <c r="XDS73" s="2805"/>
      <c r="XDT73" s="2805"/>
      <c r="XDU73" s="2805"/>
      <c r="XDV73" s="2805"/>
      <c r="XDW73" s="2805"/>
      <c r="XDX73" s="2805"/>
      <c r="XDY73" s="2805"/>
      <c r="XDZ73" s="2805"/>
      <c r="XEA73" s="2805"/>
      <c r="XEB73" s="2805"/>
      <c r="XEC73" s="2805"/>
      <c r="XED73" s="2805"/>
      <c r="XEE73" s="2805"/>
      <c r="XEF73" s="2805"/>
      <c r="XEG73" s="2805"/>
      <c r="XEH73" s="2805"/>
      <c r="XEI73" s="2805"/>
      <c r="XEJ73" s="2805"/>
      <c r="XEK73" s="2805"/>
      <c r="XEL73" s="2805"/>
      <c r="XEM73" s="2805"/>
      <c r="XEN73" s="2805"/>
      <c r="XEO73" s="2805"/>
      <c r="XEP73" s="2805"/>
      <c r="XEQ73" s="2805"/>
      <c r="XER73" s="2805"/>
      <c r="XES73" s="2805"/>
      <c r="XET73" s="2805"/>
      <c r="XEU73" s="2805"/>
      <c r="XEV73" s="2805"/>
      <c r="XEW73" s="2805"/>
      <c r="XEX73" s="2805"/>
      <c r="XEY73" s="2805"/>
      <c r="XEZ73" s="2805"/>
      <c r="XFA73" s="2805"/>
      <c r="XFB73" s="2805"/>
      <c r="XFC73" s="2805"/>
      <c r="XFD73" s="2805"/>
    </row>
    <row r="74" spans="1:16384" s="2815" customFormat="1" ht="27.75" customHeight="1">
      <c r="A74" s="2499"/>
      <c r="B74" s="2551" t="s">
        <v>764</v>
      </c>
      <c r="C74" s="2526"/>
      <c r="D74" s="2526"/>
      <c r="E74" s="2527"/>
      <c r="F74" s="2508"/>
      <c r="G74" s="2516" t="s">
        <v>1642</v>
      </c>
      <c r="H74" s="2554">
        <f>IF(('Balances y Proyecciones'!Q17)&lt;&gt;360,'Balances y Proyecciones'!AV751,'Balances y Proyecciones'!AV751)</f>
        <v>0</v>
      </c>
      <c r="I74" s="2554"/>
      <c r="J74" s="2555">
        <f>IF(('Balances y Proyecciones'!Q17)&lt;&gt;360,'Balances y Proyecciones'!BB751,'Balances y Proyecciones'!BB751)</f>
        <v>0</v>
      </c>
      <c r="K74" s="2499"/>
      <c r="L74" s="2499"/>
      <c r="M74" s="2499"/>
      <c r="N74" s="2755"/>
      <c r="O74" s="2762"/>
      <c r="P74" s="2762"/>
      <c r="Q74" s="2763"/>
      <c r="R74" s="2764"/>
      <c r="S74" s="2499"/>
      <c r="T74" s="2499"/>
      <c r="U74" s="2499"/>
      <c r="V74" s="2499"/>
      <c r="W74" s="2499"/>
      <c r="X74" s="2499"/>
      <c r="Y74" s="2499"/>
      <c r="Z74" s="2499"/>
      <c r="AA74" s="2499"/>
      <c r="AB74" s="2499"/>
      <c r="AC74" s="2499"/>
      <c r="AD74" s="2499"/>
      <c r="AE74" s="2499"/>
      <c r="AF74" s="2567"/>
      <c r="AG74" s="2567"/>
      <c r="AH74" s="2805"/>
      <c r="AI74" s="2805"/>
      <c r="AJ74" s="2805"/>
      <c r="AK74" s="2805"/>
      <c r="AL74" s="2805"/>
      <c r="AM74" s="2805"/>
      <c r="AN74" s="2805">
        <v>0.5</v>
      </c>
      <c r="AO74" s="2805"/>
      <c r="AP74" s="2805" t="s">
        <v>1749</v>
      </c>
      <c r="AQ74" s="2805"/>
      <c r="AR74" s="2805"/>
      <c r="AS74" s="2805"/>
      <c r="AT74" s="2805">
        <f>IF(AP74&lt;&gt;"",$K$6,IF(AQ74&lt;&gt;"",$L$6,IF(AR74&lt;&gt;"",$M$6,IF(AS74&lt;&gt;"",$N$6,"P"))))</f>
        <v>0</v>
      </c>
      <c r="AU74" s="2805">
        <f>AT74*AN74</f>
        <v>0</v>
      </c>
      <c r="AV74" s="2805"/>
      <c r="AW74" s="2805"/>
      <c r="AX74" s="2805"/>
      <c r="AY74" s="2805"/>
      <c r="AZ74" s="2805"/>
      <c r="BA74" s="2805"/>
      <c r="BB74" s="2805"/>
      <c r="BC74" s="2805"/>
      <c r="BD74" s="2805"/>
      <c r="BE74" s="2805"/>
      <c r="BF74" s="2805"/>
      <c r="BG74" s="2805"/>
      <c r="BH74" s="2805"/>
      <c r="BI74" s="2805"/>
      <c r="BJ74" s="2805"/>
      <c r="BK74" s="2805"/>
      <c r="BL74" s="2805"/>
      <c r="BM74" s="2805"/>
      <c r="BN74" s="2805"/>
      <c r="BO74" s="2805"/>
      <c r="BP74" s="2805"/>
      <c r="BQ74" s="2805"/>
      <c r="BR74" s="2805"/>
      <c r="BS74" s="2805"/>
      <c r="BT74" s="2805"/>
      <c r="BU74" s="2805"/>
      <c r="BV74" s="2805"/>
      <c r="BW74" s="2805"/>
      <c r="BX74" s="2805"/>
      <c r="BY74" s="2805"/>
      <c r="BZ74" s="2805"/>
      <c r="CA74" s="2805"/>
      <c r="CB74" s="2805"/>
      <c r="CC74" s="2805"/>
      <c r="CD74" s="2805"/>
      <c r="CE74" s="2805"/>
      <c r="CF74" s="2805"/>
      <c r="CG74" s="2805"/>
      <c r="CH74" s="2805" t="s">
        <v>528</v>
      </c>
      <c r="CI74" s="2805">
        <f>'Balances y Proyecciones'!$T$21</f>
        <v>0</v>
      </c>
      <c r="CJ74" s="2805">
        <f>'Balances y Proyecciones'!$U$21</f>
        <v>0</v>
      </c>
      <c r="CK74" s="2805">
        <f>'Balances y Proyecciones'!$V$21</f>
        <v>0</v>
      </c>
      <c r="CL74" s="2805"/>
      <c r="CM74" s="2805"/>
      <c r="CN74" s="2805"/>
      <c r="CO74" s="2805"/>
      <c r="CP74" s="2805"/>
      <c r="CQ74" s="2805"/>
      <c r="CR74" s="2805"/>
      <c r="CS74" s="2805"/>
      <c r="CT74" s="2805"/>
      <c r="CU74" s="2805"/>
      <c r="CV74" s="2805"/>
      <c r="CW74" s="2805"/>
      <c r="CX74" s="2805"/>
      <c r="CY74" s="2805"/>
      <c r="CZ74" s="2805"/>
      <c r="DA74" s="2805"/>
      <c r="DB74" s="2805"/>
      <c r="DC74" s="2805"/>
      <c r="DD74" s="2805"/>
      <c r="DE74" s="2805"/>
      <c r="DF74" s="2805"/>
      <c r="DG74" s="2805"/>
      <c r="DH74" s="2805"/>
      <c r="DI74" s="2805"/>
      <c r="DJ74" s="2805"/>
      <c r="DK74" s="2805"/>
      <c r="DL74" s="2805"/>
      <c r="DM74" s="2805"/>
      <c r="DN74" s="2805"/>
      <c r="DO74" s="2805"/>
      <c r="DP74" s="2805"/>
      <c r="DQ74" s="2805"/>
      <c r="DR74" s="2805"/>
      <c r="DS74" s="2805"/>
      <c r="DT74" s="2805"/>
      <c r="DU74" s="2805"/>
      <c r="DV74" s="2805"/>
      <c r="DW74" s="2805"/>
      <c r="DX74" s="2805"/>
      <c r="DY74" s="2805"/>
      <c r="DZ74" s="2805"/>
      <c r="EA74" s="2805"/>
      <c r="EB74" s="2805"/>
      <c r="EC74" s="2805"/>
      <c r="ED74" s="2805"/>
      <c r="EE74" s="2805"/>
      <c r="EF74" s="2805"/>
      <c r="EG74" s="2805"/>
      <c r="EH74" s="2805"/>
      <c r="EI74" s="2805"/>
      <c r="EJ74" s="2805"/>
      <c r="EK74" s="2805"/>
      <c r="EL74" s="2805"/>
      <c r="EM74" s="2805"/>
      <c r="EN74" s="2805"/>
      <c r="EO74" s="2805"/>
      <c r="EP74" s="2805"/>
      <c r="EQ74" s="2805"/>
      <c r="ER74" s="2805"/>
      <c r="ES74" s="2805"/>
      <c r="ET74" s="2805"/>
      <c r="EU74" s="2805"/>
      <c r="EV74" s="2805"/>
      <c r="EW74" s="2805"/>
      <c r="EX74" s="2805"/>
      <c r="EY74" s="2805"/>
      <c r="EZ74" s="2805"/>
      <c r="FA74" s="2805"/>
      <c r="FB74" s="2805"/>
      <c r="FC74" s="2805"/>
      <c r="FD74" s="2805"/>
      <c r="FE74" s="2805"/>
      <c r="FF74" s="2805"/>
      <c r="FG74" s="2805"/>
      <c r="FH74" s="2805"/>
      <c r="FI74" s="2805"/>
      <c r="FJ74" s="2805"/>
      <c r="FK74" s="2805"/>
      <c r="FL74" s="2805"/>
      <c r="FM74" s="2805"/>
      <c r="FN74" s="2805"/>
      <c r="FO74" s="2805"/>
      <c r="FP74" s="2805"/>
      <c r="FQ74" s="2805"/>
      <c r="FR74" s="2805"/>
      <c r="FS74" s="2805"/>
      <c r="FT74" s="2805"/>
      <c r="FU74" s="2805"/>
      <c r="FV74" s="2805"/>
      <c r="FW74" s="2805"/>
      <c r="FX74" s="2805"/>
      <c r="FY74" s="2805"/>
      <c r="FZ74" s="2805"/>
      <c r="GA74" s="2805"/>
      <c r="GB74" s="2805"/>
      <c r="GC74" s="2805"/>
      <c r="GD74" s="2805"/>
      <c r="GE74" s="2805"/>
      <c r="GF74" s="2805"/>
      <c r="GG74" s="2805"/>
      <c r="GH74" s="2805"/>
      <c r="GI74" s="2805"/>
      <c r="GJ74" s="2805"/>
      <c r="GK74" s="2805"/>
      <c r="GL74" s="2805"/>
      <c r="GM74" s="2805"/>
      <c r="GN74" s="2805"/>
      <c r="GO74" s="2805"/>
      <c r="GP74" s="2805"/>
      <c r="GQ74" s="2805"/>
      <c r="GR74" s="2805"/>
      <c r="GS74" s="2805"/>
      <c r="GT74" s="2805"/>
      <c r="GU74" s="2805"/>
      <c r="GV74" s="2805"/>
      <c r="GW74" s="2805"/>
      <c r="GX74" s="2805"/>
      <c r="GY74" s="2805"/>
      <c r="GZ74" s="2805"/>
      <c r="HA74" s="2805"/>
      <c r="HB74" s="2805"/>
      <c r="HC74" s="2805"/>
      <c r="HD74" s="2805"/>
      <c r="HE74" s="2805"/>
      <c r="HF74" s="2805"/>
      <c r="HG74" s="2805"/>
      <c r="HH74" s="2805"/>
      <c r="HI74" s="2805"/>
      <c r="HJ74" s="2805"/>
      <c r="HK74" s="2805"/>
      <c r="HL74" s="2805"/>
      <c r="HM74" s="2805"/>
      <c r="HN74" s="2805"/>
      <c r="HO74" s="2805"/>
      <c r="HP74" s="2805"/>
      <c r="HQ74" s="2805"/>
      <c r="HR74" s="2805"/>
      <c r="HS74" s="2805"/>
      <c r="HT74" s="2805"/>
      <c r="HU74" s="2805"/>
      <c r="HV74" s="2805"/>
      <c r="HW74" s="2805"/>
      <c r="HX74" s="2805"/>
      <c r="HY74" s="2805"/>
      <c r="HZ74" s="2805"/>
      <c r="IA74" s="2805"/>
      <c r="IB74" s="2805"/>
      <c r="IC74" s="2805"/>
      <c r="ID74" s="2805"/>
      <c r="IE74" s="2805"/>
      <c r="IF74" s="2805"/>
      <c r="IG74" s="2805"/>
      <c r="IH74" s="2805"/>
      <c r="II74" s="2805"/>
      <c r="IJ74" s="2805"/>
      <c r="IK74" s="2805"/>
      <c r="IL74" s="2805"/>
      <c r="IM74" s="2805"/>
      <c r="IN74" s="2805"/>
      <c r="IO74" s="2805"/>
      <c r="IP74" s="2805"/>
      <c r="IQ74" s="2805"/>
      <c r="IR74" s="2805"/>
      <c r="IS74" s="2805"/>
      <c r="IT74" s="2805"/>
      <c r="IU74" s="2805"/>
      <c r="IV74" s="2805"/>
      <c r="IW74" s="2805"/>
      <c r="IX74" s="2805"/>
      <c r="IY74" s="2805"/>
      <c r="IZ74" s="2805"/>
      <c r="JA74" s="2805"/>
      <c r="JB74" s="2805"/>
      <c r="JC74" s="2805"/>
      <c r="JD74" s="2805"/>
      <c r="JE74" s="2805"/>
      <c r="JF74" s="2805"/>
      <c r="JG74" s="2805"/>
      <c r="JH74" s="2805"/>
      <c r="JI74" s="2805"/>
      <c r="JJ74" s="2805"/>
      <c r="JK74" s="2805"/>
      <c r="JL74" s="2805"/>
      <c r="JM74" s="2805"/>
      <c r="JN74" s="2805"/>
      <c r="JO74" s="2805"/>
      <c r="JP74" s="2805"/>
      <c r="JQ74" s="2805"/>
      <c r="JR74" s="2805"/>
      <c r="JS74" s="2805"/>
      <c r="JT74" s="2805"/>
      <c r="JU74" s="2805"/>
      <c r="JV74" s="2805"/>
      <c r="JW74" s="2805"/>
      <c r="JX74" s="2805"/>
      <c r="JY74" s="2805"/>
      <c r="JZ74" s="2805"/>
      <c r="KA74" s="2805"/>
      <c r="KB74" s="2805"/>
      <c r="KC74" s="2805"/>
      <c r="KD74" s="2805"/>
      <c r="KE74" s="2805"/>
      <c r="KF74" s="2805"/>
      <c r="KG74" s="2805"/>
      <c r="KH74" s="2805"/>
      <c r="KI74" s="2805"/>
      <c r="KJ74" s="2805"/>
      <c r="KK74" s="2805"/>
      <c r="KL74" s="2805"/>
      <c r="KM74" s="2805"/>
      <c r="KN74" s="2805"/>
      <c r="KO74" s="2805"/>
      <c r="KP74" s="2805"/>
      <c r="KQ74" s="2805"/>
      <c r="KR74" s="2805"/>
      <c r="KS74" s="2805"/>
      <c r="KT74" s="2805"/>
      <c r="KU74" s="2805"/>
      <c r="KV74" s="2805"/>
      <c r="KW74" s="2805"/>
      <c r="KX74" s="2805"/>
      <c r="KY74" s="2805"/>
      <c r="KZ74" s="2805"/>
      <c r="LA74" s="2805"/>
      <c r="LB74" s="2805"/>
      <c r="LC74" s="2805"/>
      <c r="LD74" s="2805"/>
      <c r="LE74" s="2805"/>
      <c r="LF74" s="2805"/>
      <c r="LG74" s="2805"/>
      <c r="LH74" s="2805"/>
      <c r="LI74" s="2805"/>
      <c r="LJ74" s="2805"/>
      <c r="LK74" s="2805"/>
      <c r="LL74" s="2805"/>
      <c r="LM74" s="2805"/>
      <c r="LN74" s="2805"/>
      <c r="LO74" s="2805"/>
      <c r="LP74" s="2805"/>
      <c r="LQ74" s="2805"/>
      <c r="LR74" s="2805"/>
      <c r="LS74" s="2805"/>
      <c r="LT74" s="2805"/>
      <c r="LU74" s="2805"/>
      <c r="LV74" s="2805"/>
      <c r="LW74" s="2805"/>
      <c r="LX74" s="2805"/>
      <c r="LY74" s="2805"/>
      <c r="LZ74" s="2805"/>
      <c r="MA74" s="2805"/>
      <c r="MB74" s="2805"/>
      <c r="MC74" s="2805"/>
      <c r="MD74" s="2805"/>
      <c r="ME74" s="2805"/>
      <c r="MF74" s="2805"/>
      <c r="MG74" s="2805"/>
      <c r="MH74" s="2805"/>
      <c r="MI74" s="2805"/>
      <c r="MJ74" s="2805"/>
      <c r="MK74" s="2805"/>
      <c r="ML74" s="2805"/>
      <c r="MM74" s="2805"/>
      <c r="MN74" s="2805"/>
      <c r="MO74" s="2805"/>
      <c r="MP74" s="2805"/>
      <c r="MQ74" s="2805"/>
      <c r="MR74" s="2805"/>
      <c r="MS74" s="2805"/>
      <c r="MT74" s="2805"/>
      <c r="MU74" s="2805"/>
      <c r="MV74" s="2805"/>
      <c r="MW74" s="2805"/>
      <c r="MX74" s="2805"/>
      <c r="MY74" s="2805"/>
      <c r="MZ74" s="2805"/>
      <c r="NA74" s="2805"/>
      <c r="NB74" s="2805"/>
      <c r="NC74" s="2805"/>
      <c r="ND74" s="2805"/>
      <c r="NE74" s="2805"/>
      <c r="NF74" s="2805"/>
      <c r="NG74" s="2805"/>
      <c r="NH74" s="2805"/>
      <c r="NI74" s="2805"/>
      <c r="NJ74" s="2805"/>
      <c r="NK74" s="2805"/>
      <c r="NL74" s="2805"/>
      <c r="NM74" s="2805"/>
      <c r="NN74" s="2805"/>
      <c r="NO74" s="2805"/>
      <c r="NP74" s="2805"/>
      <c r="NQ74" s="2805"/>
      <c r="NR74" s="2805"/>
      <c r="NS74" s="2805"/>
      <c r="NT74" s="2805"/>
      <c r="NU74" s="2805"/>
      <c r="NV74" s="2805"/>
      <c r="NW74" s="2805"/>
      <c r="NX74" s="2805"/>
      <c r="NY74" s="2805"/>
      <c r="NZ74" s="2805"/>
      <c r="OA74" s="2805"/>
      <c r="OB74" s="2805"/>
      <c r="OC74" s="2805"/>
      <c r="OD74" s="2805"/>
      <c r="OE74" s="2805"/>
      <c r="OF74" s="2805"/>
      <c r="OG74" s="2805"/>
      <c r="OH74" s="2805"/>
      <c r="OI74" s="2805"/>
      <c r="OJ74" s="2805"/>
      <c r="OK74" s="2805"/>
      <c r="OL74" s="2805"/>
      <c r="OM74" s="2805"/>
      <c r="ON74" s="2805"/>
      <c r="OO74" s="2805"/>
      <c r="OP74" s="2805"/>
      <c r="OQ74" s="2805"/>
      <c r="OR74" s="2805"/>
      <c r="OS74" s="2805"/>
      <c r="OT74" s="2805"/>
      <c r="OU74" s="2805"/>
      <c r="OV74" s="2805"/>
      <c r="OW74" s="2805"/>
      <c r="OX74" s="2805"/>
      <c r="OY74" s="2805"/>
      <c r="OZ74" s="2805"/>
      <c r="PA74" s="2805"/>
      <c r="PB74" s="2805"/>
      <c r="PC74" s="2805"/>
      <c r="PD74" s="2805"/>
      <c r="PE74" s="2805"/>
      <c r="PF74" s="2805"/>
      <c r="PG74" s="2805"/>
      <c r="PH74" s="2805"/>
      <c r="PI74" s="2805"/>
      <c r="PJ74" s="2805"/>
      <c r="PK74" s="2805"/>
      <c r="PL74" s="2805"/>
      <c r="PM74" s="2805"/>
      <c r="PN74" s="2805"/>
      <c r="PO74" s="2805"/>
      <c r="PP74" s="2805"/>
      <c r="PQ74" s="2805"/>
      <c r="PR74" s="2805"/>
      <c r="PS74" s="2805"/>
      <c r="PT74" s="2805"/>
      <c r="PU74" s="2805"/>
      <c r="PV74" s="2805"/>
      <c r="PW74" s="2805"/>
      <c r="PX74" s="2805"/>
      <c r="PY74" s="2805"/>
      <c r="PZ74" s="2805"/>
      <c r="QA74" s="2805"/>
      <c r="QB74" s="2805"/>
      <c r="QC74" s="2805"/>
      <c r="QD74" s="2805"/>
      <c r="QE74" s="2805"/>
      <c r="QF74" s="2805"/>
      <c r="QG74" s="2805"/>
      <c r="QH74" s="2805"/>
      <c r="QI74" s="2805"/>
      <c r="QJ74" s="2805"/>
      <c r="QK74" s="2805"/>
      <c r="QL74" s="2805"/>
      <c r="QM74" s="2805"/>
      <c r="QN74" s="2805"/>
      <c r="QO74" s="2805"/>
      <c r="QP74" s="2805"/>
      <c r="QQ74" s="2805"/>
      <c r="QR74" s="2805"/>
      <c r="QS74" s="2805"/>
      <c r="QT74" s="2805"/>
      <c r="QU74" s="2805"/>
      <c r="QV74" s="2805"/>
      <c r="QW74" s="2805"/>
      <c r="QX74" s="2805"/>
      <c r="QY74" s="2805"/>
      <c r="QZ74" s="2805"/>
      <c r="RA74" s="2805"/>
      <c r="RB74" s="2805"/>
      <c r="RC74" s="2805"/>
      <c r="RD74" s="2805"/>
      <c r="RE74" s="2805"/>
      <c r="RF74" s="2805"/>
      <c r="RG74" s="2805"/>
      <c r="RH74" s="2805"/>
      <c r="RI74" s="2805"/>
      <c r="RJ74" s="2805"/>
      <c r="RK74" s="2805"/>
      <c r="RL74" s="2805"/>
      <c r="RM74" s="2805"/>
      <c r="RN74" s="2805"/>
      <c r="RO74" s="2805"/>
      <c r="RP74" s="2805"/>
      <c r="RQ74" s="2805"/>
      <c r="RR74" s="2805"/>
      <c r="RS74" s="2805"/>
      <c r="RT74" s="2805"/>
      <c r="RU74" s="2805"/>
      <c r="RV74" s="2805"/>
      <c r="RW74" s="2805"/>
      <c r="RX74" s="2805"/>
      <c r="RY74" s="2805"/>
      <c r="RZ74" s="2805"/>
      <c r="SA74" s="2805"/>
      <c r="SB74" s="2805"/>
      <c r="SC74" s="2805"/>
      <c r="SD74" s="2805"/>
      <c r="SE74" s="2805"/>
      <c r="SF74" s="2805"/>
      <c r="SG74" s="2805"/>
      <c r="SH74" s="2805"/>
      <c r="SI74" s="2805"/>
      <c r="SJ74" s="2805"/>
      <c r="SK74" s="2805"/>
      <c r="SL74" s="2805"/>
      <c r="SM74" s="2805"/>
      <c r="SN74" s="2805"/>
      <c r="SO74" s="2805"/>
      <c r="SP74" s="2805"/>
      <c r="SQ74" s="2805"/>
      <c r="SR74" s="2805"/>
      <c r="SS74" s="2805"/>
      <c r="ST74" s="2805"/>
      <c r="SU74" s="2805"/>
      <c r="SV74" s="2805"/>
      <c r="SW74" s="2805"/>
      <c r="SX74" s="2805"/>
      <c r="SY74" s="2805"/>
      <c r="SZ74" s="2805"/>
      <c r="TA74" s="2805"/>
      <c r="TB74" s="2805"/>
      <c r="TC74" s="2805"/>
      <c r="TD74" s="2805"/>
      <c r="TE74" s="2805"/>
      <c r="TF74" s="2805"/>
      <c r="TG74" s="2805"/>
      <c r="TH74" s="2805"/>
      <c r="TI74" s="2805"/>
      <c r="TJ74" s="2805"/>
      <c r="TK74" s="2805"/>
      <c r="TL74" s="2805"/>
      <c r="TM74" s="2805"/>
      <c r="TN74" s="2805"/>
      <c r="TO74" s="2805"/>
      <c r="TP74" s="2805"/>
      <c r="TQ74" s="2805"/>
      <c r="TR74" s="2805"/>
      <c r="TS74" s="2805"/>
      <c r="TT74" s="2805"/>
      <c r="TU74" s="2805"/>
      <c r="TV74" s="2805"/>
      <c r="TW74" s="2805"/>
      <c r="TX74" s="2805"/>
      <c r="TY74" s="2805"/>
      <c r="TZ74" s="2805"/>
      <c r="UA74" s="2805"/>
      <c r="UB74" s="2805"/>
      <c r="UC74" s="2805"/>
      <c r="UD74" s="2805"/>
      <c r="UE74" s="2805"/>
      <c r="UF74" s="2805"/>
      <c r="UG74" s="2805"/>
      <c r="UH74" s="2805"/>
      <c r="UI74" s="2805"/>
      <c r="UJ74" s="2805"/>
      <c r="UK74" s="2805"/>
      <c r="UL74" s="2805"/>
      <c r="UM74" s="2805"/>
      <c r="UN74" s="2805"/>
      <c r="UO74" s="2805"/>
      <c r="UP74" s="2805"/>
      <c r="UQ74" s="2805"/>
      <c r="UR74" s="2805"/>
      <c r="US74" s="2805"/>
      <c r="UT74" s="2805"/>
      <c r="UU74" s="2805"/>
      <c r="UV74" s="2805"/>
      <c r="UW74" s="2805"/>
      <c r="UX74" s="2805"/>
      <c r="UY74" s="2805"/>
      <c r="UZ74" s="2805"/>
      <c r="VA74" s="2805"/>
      <c r="VB74" s="2805"/>
      <c r="VC74" s="2805"/>
      <c r="VD74" s="2805"/>
      <c r="VE74" s="2805"/>
      <c r="VF74" s="2805"/>
      <c r="VG74" s="2805"/>
      <c r="VH74" s="2805"/>
      <c r="VI74" s="2805"/>
      <c r="VJ74" s="2805"/>
      <c r="VK74" s="2805"/>
      <c r="VL74" s="2805"/>
      <c r="VM74" s="2805"/>
      <c r="VN74" s="2805"/>
      <c r="VO74" s="2805"/>
      <c r="VP74" s="2805"/>
      <c r="VQ74" s="2805"/>
      <c r="VR74" s="2805"/>
      <c r="VS74" s="2805"/>
      <c r="VT74" s="2805"/>
      <c r="VU74" s="2805"/>
      <c r="VV74" s="2805"/>
      <c r="VW74" s="2805"/>
      <c r="VX74" s="2805"/>
      <c r="VY74" s="2805"/>
      <c r="VZ74" s="2805"/>
      <c r="WA74" s="2805"/>
      <c r="WB74" s="2805"/>
      <c r="WC74" s="2805"/>
      <c r="WD74" s="2805"/>
      <c r="WE74" s="2805"/>
      <c r="WF74" s="2805"/>
      <c r="WG74" s="2805"/>
      <c r="WH74" s="2805"/>
      <c r="WI74" s="2805"/>
      <c r="WJ74" s="2805"/>
      <c r="WK74" s="2805"/>
      <c r="WL74" s="2805"/>
      <c r="WM74" s="2805"/>
      <c r="WN74" s="2805"/>
      <c r="WO74" s="2805"/>
      <c r="WP74" s="2805"/>
      <c r="WQ74" s="2805"/>
      <c r="WR74" s="2805"/>
      <c r="WS74" s="2805"/>
      <c r="WT74" s="2805"/>
      <c r="WU74" s="2805"/>
      <c r="WV74" s="2805"/>
      <c r="WW74" s="2805"/>
      <c r="WX74" s="2805"/>
      <c r="WY74" s="2805"/>
      <c r="WZ74" s="2805"/>
      <c r="XA74" s="2805"/>
      <c r="XB74" s="2805"/>
      <c r="XC74" s="2805"/>
      <c r="XD74" s="2805"/>
      <c r="XE74" s="2805"/>
      <c r="XF74" s="2805"/>
      <c r="XG74" s="2805"/>
      <c r="XH74" s="2805"/>
      <c r="XI74" s="2805"/>
      <c r="XJ74" s="2805"/>
      <c r="XK74" s="2805"/>
      <c r="XL74" s="2805"/>
      <c r="XM74" s="2805"/>
      <c r="XN74" s="2805"/>
      <c r="XO74" s="2805"/>
      <c r="XP74" s="2805"/>
      <c r="XQ74" s="2805"/>
      <c r="XR74" s="2805"/>
      <c r="XS74" s="2805"/>
      <c r="XT74" s="2805"/>
      <c r="XU74" s="2805"/>
      <c r="XV74" s="2805"/>
      <c r="XW74" s="2805"/>
      <c r="XX74" s="2805"/>
      <c r="XY74" s="2805"/>
      <c r="XZ74" s="2805"/>
      <c r="YA74" s="2805"/>
      <c r="YB74" s="2805"/>
      <c r="YC74" s="2805"/>
      <c r="YD74" s="2805"/>
      <c r="YE74" s="2805"/>
      <c r="YF74" s="2805"/>
      <c r="YG74" s="2805"/>
      <c r="YH74" s="2805"/>
      <c r="YI74" s="2805"/>
      <c r="YJ74" s="2805"/>
      <c r="YK74" s="2805"/>
      <c r="YL74" s="2805"/>
      <c r="YM74" s="2805"/>
      <c r="YN74" s="2805"/>
      <c r="YO74" s="2805"/>
      <c r="YP74" s="2805"/>
      <c r="YQ74" s="2805"/>
      <c r="YR74" s="2805"/>
      <c r="YS74" s="2805"/>
      <c r="YT74" s="2805"/>
      <c r="YU74" s="2805"/>
      <c r="YV74" s="2805"/>
      <c r="YW74" s="2805"/>
      <c r="YX74" s="2805"/>
      <c r="YY74" s="2805"/>
      <c r="YZ74" s="2805"/>
      <c r="ZA74" s="2805"/>
      <c r="ZB74" s="2805"/>
      <c r="ZC74" s="2805"/>
      <c r="ZD74" s="2805"/>
      <c r="ZE74" s="2805"/>
      <c r="ZF74" s="2805"/>
      <c r="ZG74" s="2805"/>
      <c r="ZH74" s="2805"/>
      <c r="ZI74" s="2805"/>
      <c r="ZJ74" s="2805"/>
      <c r="ZK74" s="2805"/>
      <c r="ZL74" s="2805"/>
      <c r="ZM74" s="2805"/>
      <c r="ZN74" s="2805"/>
      <c r="ZO74" s="2805"/>
      <c r="ZP74" s="2805"/>
      <c r="ZQ74" s="2805"/>
      <c r="ZR74" s="2805"/>
      <c r="ZS74" s="2805"/>
      <c r="ZT74" s="2805"/>
      <c r="ZU74" s="2805"/>
      <c r="ZV74" s="2805"/>
      <c r="ZW74" s="2805"/>
      <c r="ZX74" s="2805"/>
      <c r="ZY74" s="2805"/>
      <c r="ZZ74" s="2805"/>
      <c r="AAA74" s="2805"/>
      <c r="AAB74" s="2805"/>
      <c r="AAC74" s="2805"/>
      <c r="AAD74" s="2805"/>
      <c r="AAE74" s="2805"/>
      <c r="AAF74" s="2805"/>
      <c r="AAG74" s="2805"/>
      <c r="AAH74" s="2805"/>
      <c r="AAI74" s="2805"/>
      <c r="AAJ74" s="2805"/>
      <c r="AAK74" s="2805"/>
      <c r="AAL74" s="2805"/>
      <c r="AAM74" s="2805"/>
      <c r="AAN74" s="2805"/>
      <c r="AAO74" s="2805"/>
      <c r="AAP74" s="2805"/>
      <c r="AAQ74" s="2805"/>
      <c r="AAR74" s="2805"/>
      <c r="AAS74" s="2805"/>
      <c r="AAT74" s="2805"/>
      <c r="AAU74" s="2805"/>
      <c r="AAV74" s="2805"/>
      <c r="AAW74" s="2805"/>
      <c r="AAX74" s="2805"/>
      <c r="AAY74" s="2805"/>
      <c r="AAZ74" s="2805"/>
      <c r="ABA74" s="2805"/>
      <c r="ABB74" s="2805"/>
      <c r="ABC74" s="2805"/>
      <c r="ABD74" s="2805"/>
      <c r="ABE74" s="2805"/>
      <c r="ABF74" s="2805"/>
      <c r="ABG74" s="2805"/>
      <c r="ABH74" s="2805"/>
      <c r="ABI74" s="2805"/>
      <c r="ABJ74" s="2805"/>
      <c r="ABK74" s="2805"/>
      <c r="ABL74" s="2805"/>
      <c r="ABM74" s="2805"/>
      <c r="ABN74" s="2805"/>
      <c r="ABO74" s="2805"/>
      <c r="ABP74" s="2805"/>
      <c r="ABQ74" s="2805"/>
      <c r="ABR74" s="2805"/>
      <c r="ABS74" s="2805"/>
      <c r="ABT74" s="2805"/>
      <c r="ABU74" s="2805"/>
      <c r="ABV74" s="2805"/>
      <c r="ABW74" s="2805"/>
      <c r="ABX74" s="2805"/>
      <c r="ABY74" s="2805"/>
      <c r="ABZ74" s="2805"/>
      <c r="ACA74" s="2805"/>
      <c r="ACB74" s="2805"/>
      <c r="ACC74" s="2805"/>
      <c r="ACD74" s="2805"/>
      <c r="ACE74" s="2805"/>
      <c r="ACF74" s="2805"/>
      <c r="ACG74" s="2805"/>
      <c r="ACH74" s="2805"/>
      <c r="ACI74" s="2805"/>
      <c r="ACJ74" s="2805"/>
      <c r="ACK74" s="2805"/>
      <c r="ACL74" s="2805"/>
      <c r="ACM74" s="2805"/>
      <c r="ACN74" s="2805"/>
      <c r="ACO74" s="2805"/>
      <c r="ACP74" s="2805"/>
      <c r="ACQ74" s="2805"/>
      <c r="ACR74" s="2805"/>
      <c r="ACS74" s="2805"/>
      <c r="ACT74" s="2805"/>
      <c r="ACU74" s="2805"/>
      <c r="ACV74" s="2805"/>
      <c r="ACW74" s="2805"/>
      <c r="ACX74" s="2805"/>
      <c r="ACY74" s="2805"/>
      <c r="ACZ74" s="2805"/>
      <c r="ADA74" s="2805"/>
      <c r="ADB74" s="2805"/>
      <c r="ADC74" s="2805"/>
      <c r="ADD74" s="2805"/>
      <c r="ADE74" s="2805"/>
      <c r="ADF74" s="2805"/>
      <c r="ADG74" s="2805"/>
      <c r="ADH74" s="2805"/>
      <c r="ADI74" s="2805"/>
      <c r="ADJ74" s="2805"/>
      <c r="ADK74" s="2805"/>
      <c r="ADL74" s="2805"/>
      <c r="ADM74" s="2805"/>
      <c r="ADN74" s="2805"/>
      <c r="ADO74" s="2805"/>
      <c r="ADP74" s="2805"/>
      <c r="ADQ74" s="2805"/>
      <c r="ADR74" s="2805"/>
      <c r="ADS74" s="2805"/>
      <c r="ADT74" s="2805"/>
      <c r="ADU74" s="2805"/>
      <c r="ADV74" s="2805"/>
      <c r="ADW74" s="2805"/>
      <c r="ADX74" s="2805"/>
      <c r="ADY74" s="2805"/>
      <c r="ADZ74" s="2805"/>
      <c r="AEA74" s="2805"/>
      <c r="AEB74" s="2805"/>
      <c r="AEC74" s="2805"/>
      <c r="AED74" s="2805"/>
      <c r="AEE74" s="2805"/>
      <c r="AEF74" s="2805"/>
      <c r="AEG74" s="2805"/>
      <c r="AEH74" s="2805"/>
      <c r="AEI74" s="2805"/>
      <c r="AEJ74" s="2805"/>
      <c r="AEK74" s="2805"/>
      <c r="AEL74" s="2805"/>
      <c r="AEM74" s="2805"/>
      <c r="AEN74" s="2805"/>
      <c r="AEO74" s="2805"/>
      <c r="AEP74" s="2805"/>
      <c r="AEQ74" s="2805"/>
      <c r="AER74" s="2805"/>
      <c r="AES74" s="2805"/>
      <c r="AET74" s="2805"/>
      <c r="AEU74" s="2805"/>
      <c r="AEV74" s="2805"/>
      <c r="AEW74" s="2805"/>
      <c r="AEX74" s="2805"/>
      <c r="AEY74" s="2805"/>
      <c r="AEZ74" s="2805"/>
      <c r="AFA74" s="2805"/>
      <c r="AFB74" s="2805"/>
      <c r="AFC74" s="2805"/>
      <c r="AFD74" s="2805"/>
      <c r="AFE74" s="2805"/>
      <c r="AFF74" s="2805"/>
      <c r="AFG74" s="2805"/>
      <c r="AFH74" s="2805"/>
      <c r="AFI74" s="2805"/>
      <c r="AFJ74" s="2805"/>
      <c r="AFK74" s="2805"/>
      <c r="AFL74" s="2805"/>
      <c r="AFM74" s="2805"/>
      <c r="AFN74" s="2805"/>
      <c r="AFO74" s="2805"/>
      <c r="AFP74" s="2805"/>
      <c r="AFQ74" s="2805"/>
      <c r="AFR74" s="2805"/>
      <c r="AFS74" s="2805"/>
      <c r="AFT74" s="2805"/>
      <c r="AFU74" s="2805"/>
      <c r="AFV74" s="2805"/>
      <c r="AFW74" s="2805"/>
      <c r="AFX74" s="2805"/>
      <c r="AFY74" s="2805"/>
      <c r="AFZ74" s="2805"/>
      <c r="AGA74" s="2805"/>
      <c r="AGB74" s="2805"/>
      <c r="AGC74" s="2805"/>
      <c r="AGD74" s="2805"/>
      <c r="AGE74" s="2805"/>
      <c r="AGF74" s="2805"/>
      <c r="AGG74" s="2805"/>
      <c r="AGH74" s="2805"/>
      <c r="AGI74" s="2805"/>
      <c r="AGJ74" s="2805"/>
      <c r="AGK74" s="2805"/>
      <c r="AGL74" s="2805"/>
      <c r="AGM74" s="2805"/>
      <c r="AGN74" s="2805"/>
      <c r="AGO74" s="2805"/>
      <c r="AGP74" s="2805"/>
      <c r="AGQ74" s="2805"/>
      <c r="AGR74" s="2805"/>
      <c r="AGS74" s="2805"/>
      <c r="AGT74" s="2805"/>
      <c r="AGU74" s="2805"/>
      <c r="AGV74" s="2805"/>
      <c r="AGW74" s="2805"/>
      <c r="AGX74" s="2805"/>
      <c r="AGY74" s="2805"/>
      <c r="AGZ74" s="2805"/>
      <c r="AHA74" s="2805"/>
      <c r="AHB74" s="2805"/>
      <c r="AHC74" s="2805"/>
      <c r="AHD74" s="2805"/>
      <c r="AHE74" s="2805"/>
      <c r="AHF74" s="2805"/>
      <c r="AHG74" s="2805"/>
      <c r="AHH74" s="2805"/>
      <c r="AHI74" s="2805"/>
      <c r="AHJ74" s="2805"/>
      <c r="AHK74" s="2805"/>
      <c r="AHL74" s="2805"/>
      <c r="AHM74" s="2805"/>
      <c r="AHN74" s="2805"/>
      <c r="AHO74" s="2805"/>
      <c r="AHP74" s="2805"/>
      <c r="AHQ74" s="2805"/>
      <c r="AHR74" s="2805"/>
      <c r="AHS74" s="2805"/>
      <c r="AHT74" s="2805"/>
      <c r="AHU74" s="2805"/>
      <c r="AHV74" s="2805"/>
      <c r="AHW74" s="2805"/>
      <c r="AHX74" s="2805"/>
      <c r="AHY74" s="2805"/>
      <c r="AHZ74" s="2805"/>
      <c r="AIA74" s="2805"/>
      <c r="AIB74" s="2805"/>
      <c r="AIC74" s="2805"/>
      <c r="AID74" s="2805"/>
      <c r="AIE74" s="2805"/>
      <c r="AIF74" s="2805"/>
      <c r="AIG74" s="2805"/>
      <c r="AIH74" s="2805"/>
      <c r="AII74" s="2805"/>
      <c r="AIJ74" s="2805"/>
      <c r="AIK74" s="2805"/>
      <c r="AIL74" s="2805"/>
      <c r="AIM74" s="2805"/>
      <c r="AIN74" s="2805"/>
      <c r="AIO74" s="2805"/>
      <c r="AIP74" s="2805"/>
      <c r="AIQ74" s="2805"/>
      <c r="AIR74" s="2805"/>
      <c r="AIS74" s="2805"/>
      <c r="AIT74" s="2805"/>
      <c r="AIU74" s="2805"/>
      <c r="AIV74" s="2805"/>
      <c r="AIW74" s="2805"/>
      <c r="AIX74" s="2805"/>
      <c r="AIY74" s="2805"/>
      <c r="AIZ74" s="2805"/>
      <c r="AJA74" s="2805"/>
      <c r="AJB74" s="2805"/>
      <c r="AJC74" s="2805"/>
      <c r="AJD74" s="2805"/>
      <c r="AJE74" s="2805"/>
      <c r="AJF74" s="2805"/>
      <c r="AJG74" s="2805"/>
      <c r="AJH74" s="2805"/>
      <c r="AJI74" s="2805"/>
      <c r="AJJ74" s="2805"/>
      <c r="AJK74" s="2805"/>
      <c r="AJL74" s="2805"/>
      <c r="AJM74" s="2805"/>
      <c r="AJN74" s="2805"/>
      <c r="AJO74" s="2805"/>
      <c r="AJP74" s="2805"/>
      <c r="AJQ74" s="2805"/>
      <c r="AJR74" s="2805"/>
      <c r="AJS74" s="2805"/>
      <c r="AJT74" s="2805"/>
      <c r="AJU74" s="2805"/>
      <c r="AJV74" s="2805"/>
      <c r="AJW74" s="2805"/>
      <c r="AJX74" s="2805"/>
      <c r="AJY74" s="2805"/>
      <c r="AJZ74" s="2805"/>
      <c r="AKA74" s="2805"/>
      <c r="AKB74" s="2805"/>
      <c r="AKC74" s="2805"/>
      <c r="AKD74" s="2805"/>
      <c r="AKE74" s="2805"/>
      <c r="AKF74" s="2805"/>
      <c r="AKG74" s="2805"/>
      <c r="AKH74" s="2805"/>
      <c r="AKI74" s="2805"/>
      <c r="AKJ74" s="2805"/>
      <c r="AKK74" s="2805"/>
      <c r="AKL74" s="2805"/>
      <c r="AKM74" s="2805"/>
      <c r="AKN74" s="2805"/>
      <c r="AKO74" s="2805"/>
      <c r="AKP74" s="2805"/>
      <c r="AKQ74" s="2805"/>
      <c r="AKR74" s="2805"/>
      <c r="AKS74" s="2805"/>
      <c r="AKT74" s="2805"/>
      <c r="AKU74" s="2805"/>
      <c r="AKV74" s="2805"/>
      <c r="AKW74" s="2805"/>
      <c r="AKX74" s="2805"/>
      <c r="AKY74" s="2805"/>
      <c r="AKZ74" s="2805"/>
      <c r="ALA74" s="2805"/>
      <c r="ALB74" s="2805"/>
      <c r="ALC74" s="2805"/>
      <c r="ALD74" s="2805"/>
      <c r="ALE74" s="2805"/>
      <c r="ALF74" s="2805"/>
      <c r="ALG74" s="2805"/>
      <c r="ALH74" s="2805"/>
      <c r="ALI74" s="2805"/>
      <c r="ALJ74" s="2805"/>
      <c r="ALK74" s="2805"/>
      <c r="ALL74" s="2805"/>
      <c r="ALM74" s="2805"/>
      <c r="ALN74" s="2805"/>
      <c r="ALO74" s="2805"/>
      <c r="ALP74" s="2805"/>
      <c r="ALQ74" s="2805"/>
      <c r="ALR74" s="2805"/>
      <c r="ALS74" s="2805"/>
      <c r="ALT74" s="2805"/>
      <c r="ALU74" s="2805"/>
      <c r="ALV74" s="2805"/>
      <c r="ALW74" s="2805"/>
      <c r="ALX74" s="2805"/>
      <c r="ALY74" s="2805"/>
      <c r="ALZ74" s="2805"/>
      <c r="AMA74" s="2805"/>
      <c r="AMB74" s="2805"/>
      <c r="AMC74" s="2805"/>
      <c r="AMD74" s="2805"/>
      <c r="AME74" s="2805"/>
      <c r="AMF74" s="2805"/>
      <c r="AMG74" s="2805"/>
      <c r="AMH74" s="2805"/>
      <c r="AMI74" s="2805"/>
      <c r="AMJ74" s="2805"/>
      <c r="AMK74" s="2805"/>
      <c r="AML74" s="2805"/>
      <c r="AMM74" s="2805"/>
      <c r="AMN74" s="2805"/>
      <c r="AMO74" s="2805"/>
      <c r="AMP74" s="2805"/>
      <c r="AMQ74" s="2805"/>
      <c r="AMR74" s="2805"/>
      <c r="AMS74" s="2805"/>
      <c r="AMT74" s="2805"/>
      <c r="AMU74" s="2805"/>
      <c r="AMV74" s="2805"/>
      <c r="AMW74" s="2805"/>
      <c r="AMX74" s="2805"/>
      <c r="AMY74" s="2805"/>
      <c r="AMZ74" s="2805"/>
      <c r="ANA74" s="2805"/>
      <c r="ANB74" s="2805"/>
      <c r="ANC74" s="2805"/>
      <c r="AND74" s="2805"/>
      <c r="ANE74" s="2805"/>
      <c r="ANF74" s="2805"/>
      <c r="ANG74" s="2805"/>
      <c r="ANH74" s="2805"/>
      <c r="ANI74" s="2805"/>
      <c r="ANJ74" s="2805"/>
      <c r="ANK74" s="2805"/>
      <c r="ANL74" s="2805"/>
      <c r="ANM74" s="2805"/>
      <c r="ANN74" s="2805"/>
      <c r="ANO74" s="2805"/>
      <c r="ANP74" s="2805"/>
      <c r="ANQ74" s="2805"/>
      <c r="ANR74" s="2805"/>
      <c r="ANS74" s="2805"/>
      <c r="ANT74" s="2805"/>
      <c r="ANU74" s="2805"/>
      <c r="ANV74" s="2805"/>
      <c r="ANW74" s="2805"/>
      <c r="ANX74" s="2805"/>
      <c r="ANY74" s="2805"/>
      <c r="ANZ74" s="2805"/>
      <c r="AOA74" s="2805"/>
      <c r="AOB74" s="2805"/>
      <c r="AOC74" s="2805"/>
      <c r="AOD74" s="2805"/>
      <c r="AOE74" s="2805"/>
      <c r="AOF74" s="2805"/>
      <c r="AOG74" s="2805"/>
      <c r="AOH74" s="2805"/>
      <c r="AOI74" s="2805"/>
      <c r="AOJ74" s="2805"/>
      <c r="AOK74" s="2805"/>
      <c r="AOL74" s="2805"/>
      <c r="AOM74" s="2805"/>
      <c r="AON74" s="2805"/>
      <c r="AOO74" s="2805"/>
      <c r="AOP74" s="2805"/>
      <c r="AOQ74" s="2805"/>
      <c r="AOR74" s="2805"/>
      <c r="AOS74" s="2805"/>
      <c r="AOT74" s="2805"/>
      <c r="AOU74" s="2805"/>
      <c r="AOV74" s="2805"/>
      <c r="AOW74" s="2805"/>
      <c r="AOX74" s="2805"/>
      <c r="AOY74" s="2805"/>
      <c r="AOZ74" s="2805"/>
      <c r="APA74" s="2805"/>
      <c r="APB74" s="2805"/>
      <c r="APC74" s="2805"/>
      <c r="APD74" s="2805"/>
      <c r="APE74" s="2805"/>
      <c r="APF74" s="2805"/>
      <c r="APG74" s="2805"/>
      <c r="APH74" s="2805"/>
      <c r="API74" s="2805"/>
      <c r="APJ74" s="2805"/>
      <c r="APK74" s="2805"/>
      <c r="APL74" s="2805"/>
      <c r="APM74" s="2805"/>
      <c r="APN74" s="2805"/>
      <c r="APO74" s="2805"/>
      <c r="APP74" s="2805"/>
      <c r="APQ74" s="2805"/>
      <c r="APR74" s="2805"/>
      <c r="APS74" s="2805"/>
      <c r="APT74" s="2805"/>
      <c r="APU74" s="2805"/>
      <c r="APV74" s="2805"/>
      <c r="APW74" s="2805"/>
      <c r="APX74" s="2805"/>
      <c r="APY74" s="2805"/>
      <c r="APZ74" s="2805"/>
      <c r="AQA74" s="2805"/>
      <c r="AQB74" s="2805"/>
      <c r="AQC74" s="2805"/>
      <c r="AQD74" s="2805"/>
      <c r="AQE74" s="2805"/>
      <c r="AQF74" s="2805"/>
      <c r="AQG74" s="2805"/>
      <c r="AQH74" s="2805"/>
      <c r="AQI74" s="2805"/>
      <c r="AQJ74" s="2805"/>
      <c r="AQK74" s="2805"/>
      <c r="AQL74" s="2805"/>
      <c r="AQM74" s="2805"/>
      <c r="AQN74" s="2805"/>
      <c r="AQO74" s="2805"/>
      <c r="AQP74" s="2805"/>
      <c r="AQQ74" s="2805"/>
      <c r="AQR74" s="2805"/>
      <c r="AQS74" s="2805"/>
      <c r="AQT74" s="2805"/>
      <c r="AQU74" s="2805"/>
      <c r="AQV74" s="2805"/>
      <c r="AQW74" s="2805"/>
      <c r="AQX74" s="2805"/>
      <c r="AQY74" s="2805"/>
      <c r="AQZ74" s="2805"/>
      <c r="ARA74" s="2805"/>
      <c r="ARB74" s="2805"/>
      <c r="ARC74" s="2805"/>
      <c r="ARD74" s="2805"/>
      <c r="ARE74" s="2805"/>
      <c r="ARF74" s="2805"/>
      <c r="ARG74" s="2805"/>
      <c r="ARH74" s="2805"/>
      <c r="ARI74" s="2805"/>
      <c r="ARJ74" s="2805"/>
      <c r="ARK74" s="2805"/>
      <c r="ARL74" s="2805"/>
      <c r="ARM74" s="2805"/>
      <c r="ARN74" s="2805"/>
      <c r="ARO74" s="2805"/>
      <c r="ARP74" s="2805"/>
      <c r="ARQ74" s="2805"/>
      <c r="ARR74" s="2805"/>
      <c r="ARS74" s="2805"/>
      <c r="ART74" s="2805"/>
      <c r="ARU74" s="2805"/>
      <c r="ARV74" s="2805"/>
      <c r="ARW74" s="2805"/>
      <c r="ARX74" s="2805"/>
      <c r="ARY74" s="2805"/>
      <c r="ARZ74" s="2805"/>
      <c r="ASA74" s="2805"/>
      <c r="ASB74" s="2805"/>
      <c r="ASC74" s="2805"/>
      <c r="ASD74" s="2805"/>
      <c r="ASE74" s="2805"/>
      <c r="ASF74" s="2805"/>
      <c r="ASG74" s="2805"/>
      <c r="ASH74" s="2805"/>
      <c r="ASI74" s="2805"/>
      <c r="ASJ74" s="2805"/>
      <c r="ASK74" s="2805"/>
      <c r="ASL74" s="2805"/>
      <c r="ASM74" s="2805"/>
      <c r="ASN74" s="2805"/>
      <c r="ASO74" s="2805"/>
      <c r="ASP74" s="2805"/>
      <c r="ASQ74" s="2805"/>
      <c r="ASR74" s="2805"/>
      <c r="ASS74" s="2805"/>
      <c r="AST74" s="2805"/>
      <c r="ASU74" s="2805"/>
      <c r="ASV74" s="2805"/>
      <c r="ASW74" s="2805"/>
      <c r="ASX74" s="2805"/>
      <c r="ASY74" s="2805"/>
      <c r="ASZ74" s="2805"/>
      <c r="ATA74" s="2805"/>
      <c r="ATB74" s="2805"/>
      <c r="ATC74" s="2805"/>
      <c r="ATD74" s="2805"/>
      <c r="ATE74" s="2805"/>
      <c r="ATF74" s="2805"/>
      <c r="ATG74" s="2805"/>
      <c r="ATH74" s="2805"/>
      <c r="ATI74" s="2805"/>
      <c r="ATJ74" s="2805"/>
      <c r="ATK74" s="2805"/>
      <c r="ATL74" s="2805"/>
      <c r="ATM74" s="2805"/>
      <c r="ATN74" s="2805"/>
      <c r="ATO74" s="2805"/>
      <c r="ATP74" s="2805"/>
      <c r="ATQ74" s="2805"/>
      <c r="ATR74" s="2805"/>
      <c r="ATS74" s="2805"/>
      <c r="ATT74" s="2805"/>
      <c r="ATU74" s="2805"/>
      <c r="ATV74" s="2805"/>
      <c r="ATW74" s="2805"/>
      <c r="ATX74" s="2805"/>
      <c r="ATY74" s="2805"/>
      <c r="ATZ74" s="2805"/>
      <c r="AUA74" s="2805"/>
      <c r="AUB74" s="2805"/>
      <c r="AUC74" s="2805"/>
      <c r="AUD74" s="2805"/>
      <c r="AUE74" s="2805"/>
      <c r="AUF74" s="2805"/>
      <c r="AUG74" s="2805"/>
      <c r="AUH74" s="2805"/>
      <c r="AUI74" s="2805"/>
      <c r="AUJ74" s="2805"/>
      <c r="AUK74" s="2805"/>
      <c r="AUL74" s="2805"/>
      <c r="AUM74" s="2805"/>
      <c r="AUN74" s="2805"/>
      <c r="AUO74" s="2805"/>
      <c r="AUP74" s="2805"/>
      <c r="AUQ74" s="2805"/>
      <c r="AUR74" s="2805"/>
      <c r="AUS74" s="2805"/>
      <c r="AUT74" s="2805"/>
      <c r="AUU74" s="2805"/>
      <c r="AUV74" s="2805"/>
      <c r="AUW74" s="2805"/>
      <c r="AUX74" s="2805"/>
      <c r="AUY74" s="2805"/>
      <c r="AUZ74" s="2805"/>
      <c r="AVA74" s="2805"/>
      <c r="AVB74" s="2805"/>
      <c r="AVC74" s="2805"/>
      <c r="AVD74" s="2805"/>
      <c r="AVE74" s="2805"/>
      <c r="AVF74" s="2805"/>
      <c r="AVG74" s="2805"/>
      <c r="AVH74" s="2805"/>
      <c r="AVI74" s="2805"/>
      <c r="AVJ74" s="2805"/>
      <c r="AVK74" s="2805"/>
      <c r="AVL74" s="2805"/>
      <c r="AVM74" s="2805"/>
      <c r="AVN74" s="2805"/>
      <c r="AVO74" s="2805"/>
      <c r="AVP74" s="2805"/>
      <c r="AVQ74" s="2805"/>
      <c r="AVR74" s="2805"/>
      <c r="AVS74" s="2805"/>
      <c r="AVT74" s="2805"/>
      <c r="AVU74" s="2805"/>
      <c r="AVV74" s="2805"/>
      <c r="AVW74" s="2805"/>
      <c r="AVX74" s="2805"/>
      <c r="AVY74" s="2805"/>
      <c r="AVZ74" s="2805"/>
      <c r="AWA74" s="2805"/>
      <c r="AWB74" s="2805"/>
      <c r="AWC74" s="2805"/>
      <c r="AWD74" s="2805"/>
      <c r="AWE74" s="2805"/>
      <c r="AWF74" s="2805"/>
      <c r="AWG74" s="2805"/>
      <c r="AWH74" s="2805"/>
      <c r="AWI74" s="2805"/>
      <c r="AWJ74" s="2805"/>
      <c r="AWK74" s="2805"/>
      <c r="AWL74" s="2805"/>
      <c r="AWM74" s="2805"/>
      <c r="AWN74" s="2805"/>
      <c r="AWO74" s="2805"/>
      <c r="AWP74" s="2805"/>
      <c r="AWQ74" s="2805"/>
      <c r="AWR74" s="2805"/>
      <c r="AWS74" s="2805"/>
      <c r="AWT74" s="2805"/>
      <c r="AWU74" s="2805"/>
      <c r="AWV74" s="2805"/>
      <c r="AWW74" s="2805"/>
      <c r="AWX74" s="2805"/>
      <c r="AWY74" s="2805"/>
      <c r="AWZ74" s="2805"/>
      <c r="AXA74" s="2805"/>
      <c r="AXB74" s="2805"/>
      <c r="AXC74" s="2805"/>
      <c r="AXD74" s="2805"/>
      <c r="AXE74" s="2805"/>
      <c r="AXF74" s="2805"/>
      <c r="AXG74" s="2805"/>
      <c r="AXH74" s="2805"/>
      <c r="AXI74" s="2805"/>
      <c r="AXJ74" s="2805"/>
      <c r="AXK74" s="2805"/>
      <c r="AXL74" s="2805"/>
      <c r="AXM74" s="2805"/>
      <c r="AXN74" s="2805"/>
      <c r="AXO74" s="2805"/>
      <c r="AXP74" s="2805"/>
      <c r="AXQ74" s="2805"/>
      <c r="AXR74" s="2805"/>
      <c r="AXS74" s="2805"/>
      <c r="AXT74" s="2805"/>
      <c r="AXU74" s="2805"/>
      <c r="AXV74" s="2805"/>
      <c r="AXW74" s="2805"/>
      <c r="AXX74" s="2805"/>
      <c r="AXY74" s="2805"/>
      <c r="AXZ74" s="2805"/>
      <c r="AYA74" s="2805"/>
      <c r="AYB74" s="2805"/>
      <c r="AYC74" s="2805"/>
      <c r="AYD74" s="2805"/>
      <c r="AYE74" s="2805"/>
      <c r="AYF74" s="2805"/>
      <c r="AYG74" s="2805"/>
      <c r="AYH74" s="2805"/>
      <c r="AYI74" s="2805"/>
      <c r="AYJ74" s="2805"/>
      <c r="AYK74" s="2805"/>
      <c r="AYL74" s="2805"/>
      <c r="AYM74" s="2805"/>
      <c r="AYN74" s="2805"/>
      <c r="AYO74" s="2805"/>
      <c r="AYP74" s="2805"/>
      <c r="AYQ74" s="2805"/>
      <c r="AYR74" s="2805"/>
      <c r="AYS74" s="2805"/>
      <c r="AYT74" s="2805"/>
      <c r="AYU74" s="2805"/>
      <c r="AYV74" s="2805"/>
      <c r="AYW74" s="2805"/>
      <c r="AYX74" s="2805"/>
      <c r="AYY74" s="2805"/>
      <c r="AYZ74" s="2805"/>
      <c r="AZA74" s="2805"/>
      <c r="AZB74" s="2805"/>
      <c r="AZC74" s="2805"/>
      <c r="AZD74" s="2805"/>
      <c r="AZE74" s="2805"/>
      <c r="AZF74" s="2805"/>
      <c r="AZG74" s="2805"/>
      <c r="AZH74" s="2805"/>
      <c r="AZI74" s="2805"/>
      <c r="AZJ74" s="2805"/>
      <c r="AZK74" s="2805"/>
      <c r="AZL74" s="2805"/>
      <c r="AZM74" s="2805"/>
      <c r="AZN74" s="2805"/>
      <c r="AZO74" s="2805"/>
      <c r="AZP74" s="2805"/>
      <c r="AZQ74" s="2805"/>
      <c r="AZR74" s="2805"/>
      <c r="AZS74" s="2805"/>
      <c r="AZT74" s="2805"/>
      <c r="AZU74" s="2805"/>
      <c r="AZV74" s="2805"/>
      <c r="AZW74" s="2805"/>
      <c r="AZX74" s="2805"/>
      <c r="AZY74" s="2805"/>
      <c r="AZZ74" s="2805"/>
      <c r="BAA74" s="2805"/>
      <c r="BAB74" s="2805"/>
      <c r="BAC74" s="2805"/>
      <c r="BAD74" s="2805"/>
      <c r="BAE74" s="2805"/>
      <c r="BAF74" s="2805"/>
      <c r="BAG74" s="2805"/>
      <c r="BAH74" s="2805"/>
      <c r="BAI74" s="2805"/>
      <c r="BAJ74" s="2805"/>
      <c r="BAK74" s="2805"/>
      <c r="BAL74" s="2805"/>
      <c r="BAM74" s="2805"/>
      <c r="BAN74" s="2805"/>
      <c r="BAO74" s="2805"/>
      <c r="BAP74" s="2805"/>
      <c r="BAQ74" s="2805"/>
      <c r="BAR74" s="2805"/>
      <c r="BAS74" s="2805"/>
      <c r="BAT74" s="2805"/>
      <c r="BAU74" s="2805"/>
      <c r="BAV74" s="2805"/>
      <c r="BAW74" s="2805"/>
      <c r="BAX74" s="2805"/>
      <c r="BAY74" s="2805"/>
      <c r="BAZ74" s="2805"/>
      <c r="BBA74" s="2805"/>
      <c r="BBB74" s="2805"/>
      <c r="BBC74" s="2805"/>
      <c r="BBD74" s="2805"/>
      <c r="BBE74" s="2805"/>
      <c r="BBF74" s="2805"/>
      <c r="BBG74" s="2805"/>
      <c r="BBH74" s="2805"/>
      <c r="BBI74" s="2805"/>
      <c r="BBJ74" s="2805"/>
      <c r="BBK74" s="2805"/>
      <c r="BBL74" s="2805"/>
      <c r="BBM74" s="2805"/>
      <c r="BBN74" s="2805"/>
      <c r="BBO74" s="2805"/>
      <c r="BBP74" s="2805"/>
      <c r="BBQ74" s="2805"/>
      <c r="BBR74" s="2805"/>
      <c r="BBS74" s="2805"/>
      <c r="BBT74" s="2805"/>
      <c r="BBU74" s="2805"/>
      <c r="BBV74" s="2805"/>
      <c r="BBW74" s="2805"/>
      <c r="BBX74" s="2805"/>
      <c r="BBY74" s="2805"/>
      <c r="BBZ74" s="2805"/>
      <c r="BCA74" s="2805"/>
      <c r="BCB74" s="2805"/>
      <c r="BCC74" s="2805"/>
      <c r="BCD74" s="2805"/>
      <c r="BCE74" s="2805"/>
      <c r="BCF74" s="2805"/>
      <c r="BCG74" s="2805"/>
      <c r="BCH74" s="2805"/>
      <c r="BCI74" s="2805"/>
      <c r="BCJ74" s="2805"/>
      <c r="BCK74" s="2805"/>
      <c r="BCL74" s="2805"/>
      <c r="BCM74" s="2805"/>
      <c r="BCN74" s="2805"/>
      <c r="BCO74" s="2805"/>
      <c r="BCP74" s="2805"/>
      <c r="BCQ74" s="2805"/>
      <c r="BCR74" s="2805"/>
      <c r="BCS74" s="2805"/>
      <c r="BCT74" s="2805"/>
      <c r="BCU74" s="2805"/>
      <c r="BCV74" s="2805"/>
      <c r="BCW74" s="2805"/>
      <c r="BCX74" s="2805"/>
      <c r="BCY74" s="2805"/>
      <c r="BCZ74" s="2805"/>
      <c r="BDA74" s="2805"/>
      <c r="BDB74" s="2805"/>
      <c r="BDC74" s="2805"/>
      <c r="BDD74" s="2805"/>
      <c r="BDE74" s="2805"/>
      <c r="BDF74" s="2805"/>
      <c r="BDG74" s="2805"/>
      <c r="BDH74" s="2805"/>
      <c r="BDI74" s="2805"/>
      <c r="BDJ74" s="2805"/>
      <c r="BDK74" s="2805"/>
      <c r="BDL74" s="2805"/>
      <c r="BDM74" s="2805"/>
      <c r="BDN74" s="2805"/>
      <c r="BDO74" s="2805"/>
      <c r="BDP74" s="2805"/>
      <c r="BDQ74" s="2805"/>
      <c r="BDR74" s="2805"/>
      <c r="BDS74" s="2805"/>
      <c r="BDT74" s="2805"/>
      <c r="BDU74" s="2805"/>
      <c r="BDV74" s="2805"/>
      <c r="BDW74" s="2805"/>
      <c r="BDX74" s="2805"/>
      <c r="BDY74" s="2805"/>
      <c r="BDZ74" s="2805"/>
      <c r="BEA74" s="2805"/>
      <c r="BEB74" s="2805"/>
      <c r="BEC74" s="2805"/>
      <c r="BED74" s="2805"/>
      <c r="BEE74" s="2805"/>
      <c r="BEF74" s="2805"/>
      <c r="BEG74" s="2805"/>
      <c r="BEH74" s="2805"/>
      <c r="BEI74" s="2805"/>
      <c r="BEJ74" s="2805"/>
      <c r="BEK74" s="2805"/>
      <c r="BEL74" s="2805"/>
      <c r="BEM74" s="2805"/>
      <c r="BEN74" s="2805"/>
      <c r="BEO74" s="2805"/>
      <c r="BEP74" s="2805"/>
      <c r="BEQ74" s="2805"/>
      <c r="BER74" s="2805"/>
      <c r="BES74" s="2805"/>
      <c r="BET74" s="2805"/>
      <c r="BEU74" s="2805"/>
      <c r="BEV74" s="2805"/>
      <c r="BEW74" s="2805"/>
      <c r="BEX74" s="2805"/>
      <c r="BEY74" s="2805"/>
      <c r="BEZ74" s="2805"/>
      <c r="BFA74" s="2805"/>
      <c r="BFB74" s="2805"/>
      <c r="BFC74" s="2805"/>
      <c r="BFD74" s="2805"/>
      <c r="BFE74" s="2805"/>
      <c r="BFF74" s="2805"/>
      <c r="BFG74" s="2805"/>
      <c r="BFH74" s="2805"/>
      <c r="BFI74" s="2805"/>
      <c r="BFJ74" s="2805"/>
      <c r="BFK74" s="2805"/>
      <c r="BFL74" s="2805"/>
      <c r="BFM74" s="2805"/>
      <c r="BFN74" s="2805"/>
      <c r="BFO74" s="2805"/>
      <c r="BFP74" s="2805"/>
      <c r="BFQ74" s="2805"/>
      <c r="BFR74" s="2805"/>
      <c r="BFS74" s="2805"/>
      <c r="BFT74" s="2805"/>
      <c r="BFU74" s="2805"/>
      <c r="BFV74" s="2805"/>
      <c r="BFW74" s="2805"/>
      <c r="BFX74" s="2805"/>
      <c r="BFY74" s="2805"/>
      <c r="BFZ74" s="2805"/>
      <c r="BGA74" s="2805"/>
      <c r="BGB74" s="2805"/>
      <c r="BGC74" s="2805"/>
      <c r="BGD74" s="2805"/>
      <c r="BGE74" s="2805"/>
      <c r="BGF74" s="2805"/>
      <c r="BGG74" s="2805"/>
      <c r="BGH74" s="2805"/>
      <c r="BGI74" s="2805"/>
      <c r="BGJ74" s="2805"/>
      <c r="BGK74" s="2805"/>
      <c r="BGL74" s="2805"/>
      <c r="BGM74" s="2805"/>
      <c r="BGN74" s="2805"/>
      <c r="BGO74" s="2805"/>
      <c r="BGP74" s="2805"/>
      <c r="BGQ74" s="2805"/>
      <c r="BGR74" s="2805"/>
      <c r="BGS74" s="2805"/>
      <c r="BGT74" s="2805"/>
      <c r="BGU74" s="2805"/>
      <c r="BGV74" s="2805"/>
      <c r="BGW74" s="2805"/>
      <c r="BGX74" s="2805"/>
      <c r="BGY74" s="2805"/>
      <c r="BGZ74" s="2805"/>
      <c r="BHA74" s="2805"/>
      <c r="BHB74" s="2805"/>
      <c r="BHC74" s="2805"/>
      <c r="BHD74" s="2805"/>
      <c r="BHE74" s="2805"/>
      <c r="BHF74" s="2805"/>
      <c r="BHG74" s="2805"/>
      <c r="BHH74" s="2805"/>
      <c r="BHI74" s="2805"/>
      <c r="BHJ74" s="2805"/>
      <c r="BHK74" s="2805"/>
      <c r="BHL74" s="2805"/>
      <c r="BHM74" s="2805"/>
      <c r="BHN74" s="2805"/>
      <c r="BHO74" s="2805"/>
      <c r="BHP74" s="2805"/>
      <c r="BHQ74" s="2805"/>
      <c r="BHR74" s="2805"/>
      <c r="BHS74" s="2805"/>
      <c r="BHT74" s="2805"/>
      <c r="BHU74" s="2805"/>
      <c r="BHV74" s="2805"/>
      <c r="BHW74" s="2805"/>
      <c r="BHX74" s="2805"/>
      <c r="BHY74" s="2805"/>
      <c r="BHZ74" s="2805"/>
      <c r="BIA74" s="2805"/>
      <c r="BIB74" s="2805"/>
      <c r="BIC74" s="2805"/>
      <c r="BID74" s="2805"/>
      <c r="BIE74" s="2805"/>
      <c r="BIF74" s="2805"/>
      <c r="BIG74" s="2805"/>
      <c r="BIH74" s="2805"/>
      <c r="BII74" s="2805"/>
      <c r="BIJ74" s="2805"/>
      <c r="BIK74" s="2805"/>
      <c r="BIL74" s="2805"/>
      <c r="BIM74" s="2805"/>
      <c r="BIN74" s="2805"/>
      <c r="BIO74" s="2805"/>
      <c r="BIP74" s="2805"/>
      <c r="BIQ74" s="2805"/>
      <c r="BIR74" s="2805"/>
      <c r="BIS74" s="2805"/>
      <c r="BIT74" s="2805"/>
      <c r="BIU74" s="2805"/>
      <c r="BIV74" s="2805"/>
      <c r="BIW74" s="2805"/>
      <c r="BIX74" s="2805"/>
      <c r="BIY74" s="2805"/>
      <c r="BIZ74" s="2805"/>
      <c r="BJA74" s="2805"/>
      <c r="BJB74" s="2805"/>
      <c r="BJC74" s="2805"/>
      <c r="BJD74" s="2805"/>
      <c r="BJE74" s="2805"/>
      <c r="BJF74" s="2805"/>
      <c r="BJG74" s="2805"/>
      <c r="BJH74" s="2805"/>
      <c r="BJI74" s="2805"/>
      <c r="BJJ74" s="2805"/>
      <c r="BJK74" s="2805"/>
      <c r="BJL74" s="2805"/>
      <c r="BJM74" s="2805"/>
      <c r="BJN74" s="2805"/>
      <c r="BJO74" s="2805"/>
      <c r="BJP74" s="2805"/>
      <c r="BJQ74" s="2805"/>
      <c r="BJR74" s="2805"/>
      <c r="BJS74" s="2805"/>
      <c r="BJT74" s="2805"/>
      <c r="BJU74" s="2805"/>
      <c r="BJV74" s="2805"/>
      <c r="BJW74" s="2805"/>
      <c r="BJX74" s="2805"/>
      <c r="BJY74" s="2805"/>
      <c r="BJZ74" s="2805"/>
      <c r="BKA74" s="2805"/>
      <c r="BKB74" s="2805"/>
      <c r="BKC74" s="2805"/>
      <c r="BKD74" s="2805"/>
      <c r="BKE74" s="2805"/>
      <c r="BKF74" s="2805"/>
      <c r="BKG74" s="2805"/>
      <c r="BKH74" s="2805"/>
      <c r="BKI74" s="2805"/>
      <c r="BKJ74" s="2805"/>
      <c r="BKK74" s="2805"/>
      <c r="BKL74" s="2805"/>
      <c r="BKM74" s="2805"/>
      <c r="BKN74" s="2805"/>
      <c r="BKO74" s="2805"/>
      <c r="BKP74" s="2805"/>
      <c r="BKQ74" s="2805"/>
      <c r="BKR74" s="2805"/>
      <c r="BKS74" s="2805"/>
      <c r="BKT74" s="2805"/>
      <c r="BKU74" s="2805"/>
      <c r="BKV74" s="2805"/>
      <c r="BKW74" s="2805"/>
      <c r="BKX74" s="2805"/>
      <c r="BKY74" s="2805"/>
      <c r="BKZ74" s="2805"/>
      <c r="BLA74" s="2805"/>
      <c r="BLB74" s="2805"/>
      <c r="BLC74" s="2805"/>
      <c r="BLD74" s="2805"/>
      <c r="BLE74" s="2805"/>
      <c r="BLF74" s="2805"/>
      <c r="BLG74" s="2805"/>
      <c r="BLH74" s="2805"/>
      <c r="BLI74" s="2805"/>
      <c r="BLJ74" s="2805"/>
      <c r="BLK74" s="2805"/>
      <c r="BLL74" s="2805"/>
      <c r="BLM74" s="2805"/>
      <c r="BLN74" s="2805"/>
      <c r="BLO74" s="2805"/>
      <c r="BLP74" s="2805"/>
      <c r="BLQ74" s="2805"/>
      <c r="BLR74" s="2805"/>
      <c r="BLS74" s="2805"/>
      <c r="BLT74" s="2805"/>
      <c r="BLU74" s="2805"/>
      <c r="BLV74" s="2805"/>
      <c r="BLW74" s="2805"/>
      <c r="BLX74" s="2805"/>
      <c r="BLY74" s="2805"/>
      <c r="BLZ74" s="2805"/>
      <c r="BMA74" s="2805"/>
      <c r="BMB74" s="2805"/>
      <c r="BMC74" s="2805"/>
      <c r="BMD74" s="2805"/>
      <c r="BME74" s="2805"/>
      <c r="BMF74" s="2805"/>
      <c r="BMG74" s="2805"/>
      <c r="BMH74" s="2805"/>
      <c r="BMI74" s="2805"/>
      <c r="BMJ74" s="2805"/>
      <c r="BMK74" s="2805"/>
      <c r="BML74" s="2805"/>
      <c r="BMM74" s="2805"/>
      <c r="BMN74" s="2805"/>
      <c r="BMO74" s="2805"/>
      <c r="BMP74" s="2805"/>
      <c r="BMQ74" s="2805"/>
      <c r="BMR74" s="2805"/>
      <c r="BMS74" s="2805"/>
      <c r="BMT74" s="2805"/>
      <c r="BMU74" s="2805"/>
      <c r="BMV74" s="2805"/>
      <c r="BMW74" s="2805"/>
      <c r="BMX74" s="2805"/>
      <c r="BMY74" s="2805"/>
      <c r="BMZ74" s="2805"/>
      <c r="BNA74" s="2805"/>
      <c r="BNB74" s="2805"/>
      <c r="BNC74" s="2805"/>
      <c r="BND74" s="2805"/>
      <c r="BNE74" s="2805"/>
      <c r="BNF74" s="2805"/>
      <c r="BNG74" s="2805"/>
      <c r="BNH74" s="2805"/>
      <c r="BNI74" s="2805"/>
      <c r="BNJ74" s="2805"/>
      <c r="BNK74" s="2805"/>
      <c r="BNL74" s="2805"/>
      <c r="BNM74" s="2805"/>
      <c r="BNN74" s="2805"/>
      <c r="BNO74" s="2805"/>
      <c r="BNP74" s="2805"/>
      <c r="BNQ74" s="2805"/>
      <c r="BNR74" s="2805"/>
      <c r="BNS74" s="2805"/>
      <c r="BNT74" s="2805"/>
      <c r="BNU74" s="2805"/>
      <c r="BNV74" s="2805"/>
      <c r="BNW74" s="2805"/>
      <c r="BNX74" s="2805"/>
      <c r="BNY74" s="2805"/>
      <c r="BNZ74" s="2805"/>
      <c r="BOA74" s="2805"/>
      <c r="BOB74" s="2805"/>
      <c r="BOC74" s="2805"/>
      <c r="BOD74" s="2805"/>
      <c r="BOE74" s="2805"/>
      <c r="BOF74" s="2805"/>
      <c r="BOG74" s="2805"/>
      <c r="BOH74" s="2805"/>
      <c r="BOI74" s="2805"/>
      <c r="BOJ74" s="2805"/>
      <c r="BOK74" s="2805"/>
      <c r="BOL74" s="2805"/>
      <c r="BOM74" s="2805"/>
      <c r="BON74" s="2805"/>
      <c r="BOO74" s="2805"/>
      <c r="BOP74" s="2805"/>
      <c r="BOQ74" s="2805"/>
      <c r="BOR74" s="2805"/>
      <c r="BOS74" s="2805"/>
      <c r="BOT74" s="2805"/>
      <c r="BOU74" s="2805"/>
      <c r="BOV74" s="2805"/>
      <c r="BOW74" s="2805"/>
      <c r="BOX74" s="2805"/>
      <c r="BOY74" s="2805"/>
      <c r="BOZ74" s="2805"/>
      <c r="BPA74" s="2805"/>
      <c r="BPB74" s="2805"/>
      <c r="BPC74" s="2805"/>
      <c r="BPD74" s="2805"/>
      <c r="BPE74" s="2805"/>
      <c r="BPF74" s="2805"/>
      <c r="BPG74" s="2805"/>
      <c r="BPH74" s="2805"/>
      <c r="BPI74" s="2805"/>
      <c r="BPJ74" s="2805"/>
      <c r="BPK74" s="2805"/>
      <c r="BPL74" s="2805"/>
      <c r="BPM74" s="2805"/>
      <c r="BPN74" s="2805"/>
      <c r="BPO74" s="2805"/>
      <c r="BPP74" s="2805"/>
      <c r="BPQ74" s="2805"/>
      <c r="BPR74" s="2805"/>
      <c r="BPS74" s="2805"/>
      <c r="BPT74" s="2805"/>
      <c r="BPU74" s="2805"/>
      <c r="BPV74" s="2805"/>
      <c r="BPW74" s="2805"/>
      <c r="BPX74" s="2805"/>
      <c r="BPY74" s="2805"/>
      <c r="BPZ74" s="2805"/>
      <c r="BQA74" s="2805"/>
      <c r="BQB74" s="2805"/>
      <c r="BQC74" s="2805"/>
      <c r="BQD74" s="2805"/>
      <c r="BQE74" s="2805"/>
      <c r="BQF74" s="2805"/>
      <c r="BQG74" s="2805"/>
      <c r="BQH74" s="2805"/>
      <c r="BQI74" s="2805"/>
      <c r="BQJ74" s="2805"/>
      <c r="BQK74" s="2805"/>
      <c r="BQL74" s="2805"/>
      <c r="BQM74" s="2805"/>
      <c r="BQN74" s="2805"/>
      <c r="BQO74" s="2805"/>
      <c r="BQP74" s="2805"/>
      <c r="BQQ74" s="2805"/>
      <c r="BQR74" s="2805"/>
      <c r="BQS74" s="2805"/>
      <c r="BQT74" s="2805"/>
      <c r="BQU74" s="2805"/>
      <c r="BQV74" s="2805"/>
      <c r="BQW74" s="2805"/>
      <c r="BQX74" s="2805"/>
      <c r="BQY74" s="2805"/>
      <c r="BQZ74" s="2805"/>
      <c r="BRA74" s="2805"/>
      <c r="BRB74" s="2805"/>
      <c r="BRC74" s="2805"/>
      <c r="BRD74" s="2805"/>
      <c r="BRE74" s="2805"/>
      <c r="BRF74" s="2805"/>
      <c r="BRG74" s="2805"/>
      <c r="BRH74" s="2805"/>
      <c r="BRI74" s="2805"/>
      <c r="BRJ74" s="2805"/>
      <c r="BRK74" s="2805"/>
      <c r="BRL74" s="2805"/>
      <c r="BRM74" s="2805"/>
      <c r="BRN74" s="2805"/>
      <c r="BRO74" s="2805"/>
      <c r="BRP74" s="2805"/>
      <c r="BRQ74" s="2805"/>
      <c r="BRR74" s="2805"/>
      <c r="BRS74" s="2805"/>
      <c r="BRT74" s="2805"/>
      <c r="BRU74" s="2805"/>
      <c r="BRV74" s="2805"/>
      <c r="BRW74" s="2805"/>
      <c r="BRX74" s="2805"/>
      <c r="BRY74" s="2805"/>
      <c r="BRZ74" s="2805"/>
      <c r="BSA74" s="2805"/>
      <c r="BSB74" s="2805"/>
      <c r="BSC74" s="2805"/>
      <c r="BSD74" s="2805"/>
      <c r="BSE74" s="2805"/>
      <c r="BSF74" s="2805"/>
      <c r="BSG74" s="2805"/>
      <c r="BSH74" s="2805"/>
      <c r="BSI74" s="2805"/>
      <c r="BSJ74" s="2805"/>
      <c r="BSK74" s="2805"/>
      <c r="BSL74" s="2805"/>
      <c r="BSM74" s="2805"/>
      <c r="BSN74" s="2805"/>
      <c r="BSO74" s="2805"/>
      <c r="BSP74" s="2805"/>
      <c r="BSQ74" s="2805"/>
      <c r="BSR74" s="2805"/>
      <c r="BSS74" s="2805"/>
      <c r="BST74" s="2805"/>
      <c r="BSU74" s="2805"/>
      <c r="BSV74" s="2805"/>
      <c r="BSW74" s="2805"/>
      <c r="BSX74" s="2805"/>
      <c r="BSY74" s="2805"/>
      <c r="BSZ74" s="2805"/>
      <c r="BTA74" s="2805"/>
      <c r="BTB74" s="2805"/>
      <c r="BTC74" s="2805"/>
      <c r="BTD74" s="2805"/>
      <c r="BTE74" s="2805"/>
      <c r="BTF74" s="2805"/>
      <c r="BTG74" s="2805"/>
      <c r="BTH74" s="2805"/>
      <c r="BTI74" s="2805"/>
      <c r="BTJ74" s="2805"/>
      <c r="BTK74" s="2805"/>
      <c r="BTL74" s="2805"/>
      <c r="BTM74" s="2805"/>
      <c r="BTN74" s="2805"/>
      <c r="BTO74" s="2805"/>
      <c r="BTP74" s="2805"/>
      <c r="BTQ74" s="2805"/>
      <c r="BTR74" s="2805"/>
      <c r="BTS74" s="2805"/>
      <c r="BTT74" s="2805"/>
      <c r="BTU74" s="2805"/>
      <c r="BTV74" s="2805"/>
      <c r="BTW74" s="2805"/>
      <c r="BTX74" s="2805"/>
      <c r="BTY74" s="2805"/>
      <c r="BTZ74" s="2805"/>
      <c r="BUA74" s="2805"/>
      <c r="BUB74" s="2805"/>
      <c r="BUC74" s="2805"/>
      <c r="BUD74" s="2805"/>
      <c r="BUE74" s="2805"/>
      <c r="BUF74" s="2805"/>
      <c r="BUG74" s="2805"/>
      <c r="BUH74" s="2805"/>
      <c r="BUI74" s="2805"/>
      <c r="BUJ74" s="2805"/>
      <c r="BUK74" s="2805"/>
      <c r="BUL74" s="2805"/>
      <c r="BUM74" s="2805"/>
      <c r="BUN74" s="2805"/>
      <c r="BUO74" s="2805"/>
      <c r="BUP74" s="2805"/>
      <c r="BUQ74" s="2805"/>
      <c r="BUR74" s="2805"/>
      <c r="BUS74" s="2805"/>
      <c r="BUT74" s="2805"/>
      <c r="BUU74" s="2805"/>
      <c r="BUV74" s="2805"/>
      <c r="BUW74" s="2805"/>
      <c r="BUX74" s="2805"/>
      <c r="BUY74" s="2805"/>
      <c r="BUZ74" s="2805"/>
      <c r="BVA74" s="2805"/>
      <c r="BVB74" s="2805"/>
      <c r="BVC74" s="2805"/>
      <c r="BVD74" s="2805"/>
      <c r="BVE74" s="2805"/>
      <c r="BVF74" s="2805"/>
      <c r="BVG74" s="2805"/>
      <c r="BVH74" s="2805"/>
      <c r="BVI74" s="2805"/>
      <c r="BVJ74" s="2805"/>
      <c r="BVK74" s="2805"/>
      <c r="BVL74" s="2805"/>
      <c r="BVM74" s="2805"/>
      <c r="BVN74" s="2805"/>
      <c r="BVO74" s="2805"/>
      <c r="BVP74" s="2805"/>
      <c r="BVQ74" s="2805"/>
      <c r="BVR74" s="2805"/>
      <c r="BVS74" s="2805"/>
      <c r="BVT74" s="2805"/>
      <c r="BVU74" s="2805"/>
      <c r="BVV74" s="2805"/>
      <c r="BVW74" s="2805"/>
      <c r="BVX74" s="2805"/>
      <c r="BVY74" s="2805"/>
      <c r="BVZ74" s="2805"/>
      <c r="BWA74" s="2805"/>
      <c r="BWB74" s="2805"/>
      <c r="BWC74" s="2805"/>
      <c r="BWD74" s="2805"/>
      <c r="BWE74" s="2805"/>
      <c r="BWF74" s="2805"/>
      <c r="BWG74" s="2805"/>
      <c r="BWH74" s="2805"/>
      <c r="BWI74" s="2805"/>
      <c r="BWJ74" s="2805"/>
      <c r="BWK74" s="2805"/>
      <c r="BWL74" s="2805"/>
      <c r="BWM74" s="2805"/>
      <c r="BWN74" s="2805"/>
      <c r="BWO74" s="2805"/>
      <c r="BWP74" s="2805"/>
      <c r="BWQ74" s="2805"/>
      <c r="BWR74" s="2805"/>
      <c r="BWS74" s="2805"/>
      <c r="BWT74" s="2805"/>
      <c r="BWU74" s="2805"/>
      <c r="BWV74" s="2805"/>
      <c r="BWW74" s="2805"/>
      <c r="BWX74" s="2805"/>
      <c r="BWY74" s="2805"/>
      <c r="BWZ74" s="2805"/>
      <c r="BXA74" s="2805"/>
      <c r="BXB74" s="2805"/>
      <c r="BXC74" s="2805"/>
      <c r="BXD74" s="2805"/>
      <c r="BXE74" s="2805"/>
      <c r="BXF74" s="2805"/>
      <c r="BXG74" s="2805"/>
      <c r="BXH74" s="2805"/>
      <c r="BXI74" s="2805"/>
      <c r="BXJ74" s="2805"/>
      <c r="BXK74" s="2805"/>
      <c r="BXL74" s="2805"/>
      <c r="BXM74" s="2805"/>
      <c r="BXN74" s="2805"/>
      <c r="BXO74" s="2805"/>
      <c r="BXP74" s="2805"/>
      <c r="BXQ74" s="2805"/>
      <c r="BXR74" s="2805"/>
      <c r="BXS74" s="2805"/>
      <c r="BXT74" s="2805"/>
      <c r="BXU74" s="2805"/>
      <c r="BXV74" s="2805"/>
      <c r="BXW74" s="2805"/>
      <c r="BXX74" s="2805"/>
      <c r="BXY74" s="2805"/>
      <c r="BXZ74" s="2805"/>
      <c r="BYA74" s="2805"/>
      <c r="BYB74" s="2805"/>
      <c r="BYC74" s="2805"/>
      <c r="BYD74" s="2805"/>
      <c r="BYE74" s="2805"/>
      <c r="BYF74" s="2805"/>
      <c r="BYG74" s="2805"/>
      <c r="BYH74" s="2805"/>
      <c r="BYI74" s="2805"/>
      <c r="BYJ74" s="2805"/>
      <c r="BYK74" s="2805"/>
      <c r="BYL74" s="2805"/>
      <c r="BYM74" s="2805"/>
      <c r="BYN74" s="2805"/>
      <c r="BYO74" s="2805"/>
      <c r="BYP74" s="2805"/>
      <c r="BYQ74" s="2805"/>
      <c r="BYR74" s="2805"/>
      <c r="BYS74" s="2805"/>
      <c r="BYT74" s="2805"/>
      <c r="BYU74" s="2805"/>
      <c r="BYV74" s="2805"/>
      <c r="BYW74" s="2805"/>
      <c r="BYX74" s="2805"/>
      <c r="BYY74" s="2805"/>
      <c r="BYZ74" s="2805"/>
      <c r="BZA74" s="2805"/>
      <c r="BZB74" s="2805"/>
      <c r="BZC74" s="2805"/>
      <c r="BZD74" s="2805"/>
      <c r="BZE74" s="2805"/>
      <c r="BZF74" s="2805"/>
      <c r="BZG74" s="2805"/>
      <c r="BZH74" s="2805"/>
      <c r="BZI74" s="2805"/>
      <c r="BZJ74" s="2805"/>
      <c r="BZK74" s="2805"/>
      <c r="BZL74" s="2805"/>
      <c r="BZM74" s="2805"/>
      <c r="BZN74" s="2805"/>
      <c r="BZO74" s="2805"/>
      <c r="BZP74" s="2805"/>
      <c r="BZQ74" s="2805"/>
      <c r="BZR74" s="2805"/>
      <c r="BZS74" s="2805"/>
      <c r="BZT74" s="2805"/>
      <c r="BZU74" s="2805"/>
      <c r="BZV74" s="2805"/>
      <c r="BZW74" s="2805"/>
      <c r="BZX74" s="2805"/>
      <c r="BZY74" s="2805"/>
      <c r="BZZ74" s="2805"/>
      <c r="CAA74" s="2805"/>
      <c r="CAB74" s="2805"/>
      <c r="CAC74" s="2805"/>
      <c r="CAD74" s="2805"/>
      <c r="CAE74" s="2805"/>
      <c r="CAF74" s="2805"/>
      <c r="CAG74" s="2805"/>
      <c r="CAH74" s="2805"/>
      <c r="CAI74" s="2805"/>
      <c r="CAJ74" s="2805"/>
      <c r="CAK74" s="2805"/>
      <c r="CAL74" s="2805"/>
      <c r="CAM74" s="2805"/>
      <c r="CAN74" s="2805"/>
      <c r="CAO74" s="2805"/>
      <c r="CAP74" s="2805"/>
      <c r="CAQ74" s="2805"/>
      <c r="CAR74" s="2805"/>
      <c r="CAS74" s="2805"/>
      <c r="CAT74" s="2805"/>
      <c r="CAU74" s="2805"/>
      <c r="CAV74" s="2805"/>
      <c r="CAW74" s="2805"/>
      <c r="CAX74" s="2805"/>
      <c r="CAY74" s="2805"/>
      <c r="CAZ74" s="2805"/>
      <c r="CBA74" s="2805"/>
      <c r="CBB74" s="2805"/>
      <c r="CBC74" s="2805"/>
      <c r="CBD74" s="2805"/>
      <c r="CBE74" s="2805"/>
      <c r="CBF74" s="2805"/>
      <c r="CBG74" s="2805"/>
      <c r="CBH74" s="2805"/>
      <c r="CBI74" s="2805"/>
      <c r="CBJ74" s="2805"/>
      <c r="CBK74" s="2805"/>
      <c r="CBL74" s="2805"/>
      <c r="CBM74" s="2805"/>
      <c r="CBN74" s="2805"/>
      <c r="CBO74" s="2805"/>
      <c r="CBP74" s="2805"/>
      <c r="CBQ74" s="2805"/>
      <c r="CBR74" s="2805"/>
      <c r="CBS74" s="2805"/>
      <c r="CBT74" s="2805"/>
      <c r="CBU74" s="2805"/>
      <c r="CBV74" s="2805"/>
      <c r="CBW74" s="2805"/>
      <c r="CBX74" s="2805"/>
      <c r="CBY74" s="2805"/>
      <c r="CBZ74" s="2805"/>
      <c r="CCA74" s="2805"/>
      <c r="CCB74" s="2805"/>
      <c r="CCC74" s="2805"/>
      <c r="CCD74" s="2805"/>
      <c r="CCE74" s="2805"/>
      <c r="CCF74" s="2805"/>
      <c r="CCG74" s="2805"/>
      <c r="CCH74" s="2805"/>
      <c r="CCI74" s="2805"/>
      <c r="CCJ74" s="2805"/>
      <c r="CCK74" s="2805"/>
      <c r="CCL74" s="2805"/>
      <c r="CCM74" s="2805"/>
      <c r="CCN74" s="2805"/>
      <c r="CCO74" s="2805"/>
      <c r="CCP74" s="2805"/>
      <c r="CCQ74" s="2805"/>
      <c r="CCR74" s="2805"/>
      <c r="CCS74" s="2805"/>
      <c r="CCT74" s="2805"/>
      <c r="CCU74" s="2805"/>
      <c r="CCV74" s="2805"/>
      <c r="CCW74" s="2805"/>
      <c r="CCX74" s="2805"/>
      <c r="CCY74" s="2805"/>
      <c r="CCZ74" s="2805"/>
      <c r="CDA74" s="2805"/>
      <c r="CDB74" s="2805"/>
      <c r="CDC74" s="2805"/>
      <c r="CDD74" s="2805"/>
      <c r="CDE74" s="2805"/>
      <c r="CDF74" s="2805"/>
      <c r="CDG74" s="2805"/>
      <c r="CDH74" s="2805"/>
      <c r="CDI74" s="2805"/>
      <c r="CDJ74" s="2805"/>
      <c r="CDK74" s="2805"/>
      <c r="CDL74" s="2805"/>
      <c r="CDM74" s="2805"/>
      <c r="CDN74" s="2805"/>
      <c r="CDO74" s="2805"/>
      <c r="CDP74" s="2805"/>
      <c r="CDQ74" s="2805"/>
      <c r="CDR74" s="2805"/>
      <c r="CDS74" s="2805"/>
      <c r="CDT74" s="2805"/>
      <c r="CDU74" s="2805"/>
      <c r="CDV74" s="2805"/>
      <c r="CDW74" s="2805"/>
      <c r="CDX74" s="2805"/>
      <c r="CDY74" s="2805"/>
      <c r="CDZ74" s="2805"/>
      <c r="CEA74" s="2805"/>
      <c r="CEB74" s="2805"/>
      <c r="CEC74" s="2805"/>
      <c r="CED74" s="2805"/>
      <c r="CEE74" s="2805"/>
      <c r="CEF74" s="2805"/>
      <c r="CEG74" s="2805"/>
      <c r="CEH74" s="2805"/>
      <c r="CEI74" s="2805"/>
      <c r="CEJ74" s="2805"/>
      <c r="CEK74" s="2805"/>
      <c r="CEL74" s="2805"/>
      <c r="CEM74" s="2805"/>
      <c r="CEN74" s="2805"/>
      <c r="CEO74" s="2805"/>
      <c r="CEP74" s="2805"/>
      <c r="CEQ74" s="2805"/>
      <c r="CER74" s="2805"/>
      <c r="CES74" s="2805"/>
      <c r="CET74" s="2805"/>
      <c r="CEU74" s="2805"/>
      <c r="CEV74" s="2805"/>
      <c r="CEW74" s="2805"/>
      <c r="CEX74" s="2805"/>
      <c r="CEY74" s="2805"/>
      <c r="CEZ74" s="2805"/>
      <c r="CFA74" s="2805"/>
      <c r="CFB74" s="2805"/>
      <c r="CFC74" s="2805"/>
      <c r="CFD74" s="2805"/>
      <c r="CFE74" s="2805"/>
      <c r="CFF74" s="2805"/>
      <c r="CFG74" s="2805"/>
      <c r="CFH74" s="2805"/>
      <c r="CFI74" s="2805"/>
      <c r="CFJ74" s="2805"/>
      <c r="CFK74" s="2805"/>
      <c r="CFL74" s="2805"/>
      <c r="CFM74" s="2805"/>
      <c r="CFN74" s="2805"/>
      <c r="CFO74" s="2805"/>
      <c r="CFP74" s="2805"/>
      <c r="CFQ74" s="2805"/>
      <c r="CFR74" s="2805"/>
      <c r="CFS74" s="2805"/>
      <c r="CFT74" s="2805"/>
      <c r="CFU74" s="2805"/>
      <c r="CFV74" s="2805"/>
      <c r="CFW74" s="2805"/>
      <c r="CFX74" s="2805"/>
      <c r="CFY74" s="2805"/>
      <c r="CFZ74" s="2805"/>
      <c r="CGA74" s="2805"/>
      <c r="CGB74" s="2805"/>
      <c r="CGC74" s="2805"/>
      <c r="CGD74" s="2805"/>
      <c r="CGE74" s="2805"/>
      <c r="CGF74" s="2805"/>
      <c r="CGG74" s="2805"/>
      <c r="CGH74" s="2805"/>
      <c r="CGI74" s="2805"/>
      <c r="CGJ74" s="2805"/>
      <c r="CGK74" s="2805"/>
      <c r="CGL74" s="2805"/>
      <c r="CGM74" s="2805"/>
      <c r="CGN74" s="2805"/>
      <c r="CGO74" s="2805"/>
      <c r="CGP74" s="2805"/>
      <c r="CGQ74" s="2805"/>
      <c r="CGR74" s="2805"/>
      <c r="CGS74" s="2805"/>
      <c r="CGT74" s="2805"/>
      <c r="CGU74" s="2805"/>
      <c r="CGV74" s="2805"/>
      <c r="CGW74" s="2805"/>
      <c r="CGX74" s="2805"/>
      <c r="CGY74" s="2805"/>
      <c r="CGZ74" s="2805"/>
      <c r="CHA74" s="2805"/>
      <c r="CHB74" s="2805"/>
      <c r="CHC74" s="2805"/>
      <c r="CHD74" s="2805"/>
      <c r="CHE74" s="2805"/>
      <c r="CHF74" s="2805"/>
      <c r="CHG74" s="2805"/>
      <c r="CHH74" s="2805"/>
      <c r="CHI74" s="2805"/>
      <c r="CHJ74" s="2805"/>
      <c r="CHK74" s="2805"/>
      <c r="CHL74" s="2805"/>
      <c r="CHM74" s="2805"/>
      <c r="CHN74" s="2805"/>
      <c r="CHO74" s="2805"/>
      <c r="CHP74" s="2805"/>
      <c r="CHQ74" s="2805"/>
      <c r="CHR74" s="2805"/>
      <c r="CHS74" s="2805"/>
      <c r="CHT74" s="2805"/>
      <c r="CHU74" s="2805"/>
      <c r="CHV74" s="2805"/>
      <c r="CHW74" s="2805"/>
      <c r="CHX74" s="2805"/>
      <c r="CHY74" s="2805"/>
      <c r="CHZ74" s="2805"/>
      <c r="CIA74" s="2805"/>
      <c r="CIB74" s="2805"/>
      <c r="CIC74" s="2805"/>
      <c r="CID74" s="2805"/>
      <c r="CIE74" s="2805"/>
      <c r="CIF74" s="2805"/>
      <c r="CIG74" s="2805"/>
      <c r="CIH74" s="2805"/>
      <c r="CII74" s="2805"/>
      <c r="CIJ74" s="2805"/>
      <c r="CIK74" s="2805"/>
      <c r="CIL74" s="2805"/>
      <c r="CIM74" s="2805"/>
      <c r="CIN74" s="2805"/>
      <c r="CIO74" s="2805"/>
      <c r="CIP74" s="2805"/>
      <c r="CIQ74" s="2805"/>
      <c r="CIR74" s="2805"/>
      <c r="CIS74" s="2805"/>
      <c r="CIT74" s="2805"/>
      <c r="CIU74" s="2805"/>
      <c r="CIV74" s="2805"/>
      <c r="CIW74" s="2805"/>
      <c r="CIX74" s="2805"/>
      <c r="CIY74" s="2805"/>
      <c r="CIZ74" s="2805"/>
      <c r="CJA74" s="2805"/>
      <c r="CJB74" s="2805"/>
      <c r="CJC74" s="2805"/>
      <c r="CJD74" s="2805"/>
      <c r="CJE74" s="2805"/>
      <c r="CJF74" s="2805"/>
      <c r="CJG74" s="2805"/>
      <c r="CJH74" s="2805"/>
      <c r="CJI74" s="2805"/>
      <c r="CJJ74" s="2805"/>
      <c r="CJK74" s="2805"/>
      <c r="CJL74" s="2805"/>
      <c r="CJM74" s="2805"/>
      <c r="CJN74" s="2805"/>
      <c r="CJO74" s="2805"/>
      <c r="CJP74" s="2805"/>
      <c r="CJQ74" s="2805"/>
      <c r="CJR74" s="2805"/>
      <c r="CJS74" s="2805"/>
      <c r="CJT74" s="2805"/>
      <c r="CJU74" s="2805"/>
      <c r="CJV74" s="2805"/>
      <c r="CJW74" s="2805"/>
      <c r="CJX74" s="2805"/>
      <c r="CJY74" s="2805"/>
      <c r="CJZ74" s="2805"/>
      <c r="CKA74" s="2805"/>
      <c r="CKB74" s="2805"/>
      <c r="CKC74" s="2805"/>
      <c r="CKD74" s="2805"/>
      <c r="CKE74" s="2805"/>
      <c r="CKF74" s="2805"/>
      <c r="CKG74" s="2805"/>
      <c r="CKH74" s="2805"/>
      <c r="CKI74" s="2805"/>
      <c r="CKJ74" s="2805"/>
      <c r="CKK74" s="2805"/>
      <c r="CKL74" s="2805"/>
      <c r="CKM74" s="2805"/>
      <c r="CKN74" s="2805"/>
      <c r="CKO74" s="2805"/>
      <c r="CKP74" s="2805"/>
      <c r="CKQ74" s="2805"/>
      <c r="CKR74" s="2805"/>
      <c r="CKS74" s="2805"/>
      <c r="CKT74" s="2805"/>
      <c r="CKU74" s="2805"/>
      <c r="CKV74" s="2805"/>
      <c r="CKW74" s="2805"/>
      <c r="CKX74" s="2805"/>
      <c r="CKY74" s="2805"/>
      <c r="CKZ74" s="2805"/>
      <c r="CLA74" s="2805"/>
      <c r="CLB74" s="2805"/>
      <c r="CLC74" s="2805"/>
      <c r="CLD74" s="2805"/>
      <c r="CLE74" s="2805"/>
      <c r="CLF74" s="2805"/>
      <c r="CLG74" s="2805"/>
      <c r="CLH74" s="2805"/>
      <c r="CLI74" s="2805"/>
      <c r="CLJ74" s="2805"/>
      <c r="CLK74" s="2805"/>
      <c r="CLL74" s="2805"/>
      <c r="CLM74" s="2805"/>
      <c r="CLN74" s="2805"/>
      <c r="CLO74" s="2805"/>
      <c r="CLP74" s="2805"/>
      <c r="CLQ74" s="2805"/>
      <c r="CLR74" s="2805"/>
      <c r="CLS74" s="2805"/>
      <c r="CLT74" s="2805"/>
      <c r="CLU74" s="2805"/>
      <c r="CLV74" s="2805"/>
      <c r="CLW74" s="2805"/>
      <c r="CLX74" s="2805"/>
      <c r="CLY74" s="2805"/>
      <c r="CLZ74" s="2805"/>
      <c r="CMA74" s="2805"/>
      <c r="CMB74" s="2805"/>
      <c r="CMC74" s="2805"/>
      <c r="CMD74" s="2805"/>
      <c r="CME74" s="2805"/>
      <c r="CMF74" s="2805"/>
      <c r="CMG74" s="2805"/>
      <c r="CMH74" s="2805"/>
      <c r="CMI74" s="2805"/>
      <c r="CMJ74" s="2805"/>
      <c r="CMK74" s="2805"/>
      <c r="CML74" s="2805"/>
      <c r="CMM74" s="2805"/>
      <c r="CMN74" s="2805"/>
      <c r="CMO74" s="2805"/>
      <c r="CMP74" s="2805"/>
      <c r="CMQ74" s="2805"/>
      <c r="CMR74" s="2805"/>
      <c r="CMS74" s="2805"/>
      <c r="CMT74" s="2805"/>
      <c r="CMU74" s="2805"/>
      <c r="CMV74" s="2805"/>
      <c r="CMW74" s="2805"/>
      <c r="CMX74" s="2805"/>
      <c r="CMY74" s="2805"/>
      <c r="CMZ74" s="2805"/>
      <c r="CNA74" s="2805"/>
      <c r="CNB74" s="2805"/>
      <c r="CNC74" s="2805"/>
      <c r="CND74" s="2805"/>
      <c r="CNE74" s="2805"/>
      <c r="CNF74" s="2805"/>
      <c r="CNG74" s="2805"/>
      <c r="CNH74" s="2805"/>
      <c r="CNI74" s="2805"/>
      <c r="CNJ74" s="2805"/>
      <c r="CNK74" s="2805"/>
      <c r="CNL74" s="2805"/>
      <c r="CNM74" s="2805"/>
      <c r="CNN74" s="2805"/>
      <c r="CNO74" s="2805"/>
      <c r="CNP74" s="2805"/>
      <c r="CNQ74" s="2805"/>
      <c r="CNR74" s="2805"/>
      <c r="CNS74" s="2805"/>
      <c r="CNT74" s="2805"/>
      <c r="CNU74" s="2805"/>
      <c r="CNV74" s="2805"/>
      <c r="CNW74" s="2805"/>
      <c r="CNX74" s="2805"/>
      <c r="CNY74" s="2805"/>
      <c r="CNZ74" s="2805"/>
      <c r="COA74" s="2805"/>
      <c r="COB74" s="2805"/>
      <c r="COC74" s="2805"/>
      <c r="COD74" s="2805"/>
      <c r="COE74" s="2805"/>
      <c r="COF74" s="2805"/>
      <c r="COG74" s="2805"/>
      <c r="COH74" s="2805"/>
      <c r="COI74" s="2805"/>
      <c r="COJ74" s="2805"/>
      <c r="COK74" s="2805"/>
      <c r="COL74" s="2805"/>
      <c r="COM74" s="2805"/>
      <c r="CON74" s="2805"/>
      <c r="COO74" s="2805"/>
      <c r="COP74" s="2805"/>
      <c r="COQ74" s="2805"/>
      <c r="COR74" s="2805"/>
      <c r="COS74" s="2805"/>
      <c r="COT74" s="2805"/>
      <c r="COU74" s="2805"/>
      <c r="COV74" s="2805"/>
      <c r="COW74" s="2805"/>
      <c r="COX74" s="2805"/>
      <c r="COY74" s="2805"/>
      <c r="COZ74" s="2805"/>
      <c r="CPA74" s="2805"/>
      <c r="CPB74" s="2805"/>
      <c r="CPC74" s="2805"/>
      <c r="CPD74" s="2805"/>
      <c r="CPE74" s="2805"/>
      <c r="CPF74" s="2805"/>
      <c r="CPG74" s="2805"/>
      <c r="CPH74" s="2805"/>
      <c r="CPI74" s="2805"/>
      <c r="CPJ74" s="2805"/>
      <c r="CPK74" s="2805"/>
      <c r="CPL74" s="2805"/>
      <c r="CPM74" s="2805"/>
      <c r="CPN74" s="2805"/>
      <c r="CPO74" s="2805"/>
      <c r="CPP74" s="2805"/>
      <c r="CPQ74" s="2805"/>
      <c r="CPR74" s="2805"/>
      <c r="CPS74" s="2805"/>
      <c r="CPT74" s="2805"/>
      <c r="CPU74" s="2805"/>
      <c r="CPV74" s="2805"/>
      <c r="CPW74" s="2805"/>
      <c r="CPX74" s="2805"/>
      <c r="CPY74" s="2805"/>
      <c r="CPZ74" s="2805"/>
      <c r="CQA74" s="2805"/>
      <c r="CQB74" s="2805"/>
      <c r="CQC74" s="2805"/>
      <c r="CQD74" s="2805"/>
      <c r="CQE74" s="2805"/>
      <c r="CQF74" s="2805"/>
      <c r="CQG74" s="2805"/>
      <c r="CQH74" s="2805"/>
      <c r="CQI74" s="2805"/>
      <c r="CQJ74" s="2805"/>
      <c r="CQK74" s="2805"/>
      <c r="CQL74" s="2805"/>
      <c r="CQM74" s="2805"/>
      <c r="CQN74" s="2805"/>
      <c r="CQO74" s="2805"/>
      <c r="CQP74" s="2805"/>
      <c r="CQQ74" s="2805"/>
      <c r="CQR74" s="2805"/>
      <c r="CQS74" s="2805"/>
      <c r="CQT74" s="2805"/>
      <c r="CQU74" s="2805"/>
      <c r="CQV74" s="2805"/>
      <c r="CQW74" s="2805"/>
      <c r="CQX74" s="2805"/>
      <c r="CQY74" s="2805"/>
      <c r="CQZ74" s="2805"/>
      <c r="CRA74" s="2805"/>
      <c r="CRB74" s="2805"/>
      <c r="CRC74" s="2805"/>
      <c r="CRD74" s="2805"/>
      <c r="CRE74" s="2805"/>
      <c r="CRF74" s="2805"/>
      <c r="CRG74" s="2805"/>
      <c r="CRH74" s="2805"/>
      <c r="CRI74" s="2805"/>
      <c r="CRJ74" s="2805"/>
      <c r="CRK74" s="2805"/>
      <c r="CRL74" s="2805"/>
      <c r="CRM74" s="2805"/>
      <c r="CRN74" s="2805"/>
      <c r="CRO74" s="2805"/>
      <c r="CRP74" s="2805"/>
      <c r="CRQ74" s="2805"/>
      <c r="CRR74" s="2805"/>
      <c r="CRS74" s="2805"/>
      <c r="CRT74" s="2805"/>
      <c r="CRU74" s="2805"/>
      <c r="CRV74" s="2805"/>
      <c r="CRW74" s="2805"/>
      <c r="CRX74" s="2805"/>
      <c r="CRY74" s="2805"/>
      <c r="CRZ74" s="2805"/>
      <c r="CSA74" s="2805"/>
      <c r="CSB74" s="2805"/>
      <c r="CSC74" s="2805"/>
      <c r="CSD74" s="2805"/>
      <c r="CSE74" s="2805"/>
      <c r="CSF74" s="2805"/>
      <c r="CSG74" s="2805"/>
      <c r="CSH74" s="2805"/>
      <c r="CSI74" s="2805"/>
      <c r="CSJ74" s="2805"/>
      <c r="CSK74" s="2805"/>
      <c r="CSL74" s="2805"/>
      <c r="CSM74" s="2805"/>
      <c r="CSN74" s="2805"/>
      <c r="CSO74" s="2805"/>
      <c r="CSP74" s="2805"/>
      <c r="CSQ74" s="2805"/>
      <c r="CSR74" s="2805"/>
      <c r="CSS74" s="2805"/>
      <c r="CST74" s="2805"/>
      <c r="CSU74" s="2805"/>
      <c r="CSV74" s="2805"/>
      <c r="CSW74" s="2805"/>
      <c r="CSX74" s="2805"/>
      <c r="CSY74" s="2805"/>
      <c r="CSZ74" s="2805"/>
      <c r="CTA74" s="2805"/>
      <c r="CTB74" s="2805"/>
      <c r="CTC74" s="2805"/>
      <c r="CTD74" s="2805"/>
      <c r="CTE74" s="2805"/>
      <c r="CTF74" s="2805"/>
      <c r="CTG74" s="2805"/>
      <c r="CTH74" s="2805"/>
      <c r="CTI74" s="2805"/>
      <c r="CTJ74" s="2805"/>
      <c r="CTK74" s="2805"/>
      <c r="CTL74" s="2805"/>
      <c r="CTM74" s="2805"/>
      <c r="CTN74" s="2805"/>
      <c r="CTO74" s="2805"/>
      <c r="CTP74" s="2805"/>
      <c r="CTQ74" s="2805"/>
      <c r="CTR74" s="2805"/>
      <c r="CTS74" s="2805"/>
      <c r="CTT74" s="2805"/>
      <c r="CTU74" s="2805"/>
      <c r="CTV74" s="2805"/>
      <c r="CTW74" s="2805"/>
      <c r="CTX74" s="2805"/>
      <c r="CTY74" s="2805"/>
      <c r="CTZ74" s="2805"/>
      <c r="CUA74" s="2805"/>
      <c r="CUB74" s="2805"/>
      <c r="CUC74" s="2805"/>
      <c r="CUD74" s="2805"/>
      <c r="CUE74" s="2805"/>
      <c r="CUF74" s="2805"/>
      <c r="CUG74" s="2805"/>
      <c r="CUH74" s="2805"/>
      <c r="CUI74" s="2805"/>
      <c r="CUJ74" s="2805"/>
      <c r="CUK74" s="2805"/>
      <c r="CUL74" s="2805"/>
      <c r="CUM74" s="2805"/>
      <c r="CUN74" s="2805"/>
      <c r="CUO74" s="2805"/>
      <c r="CUP74" s="2805"/>
      <c r="CUQ74" s="2805"/>
      <c r="CUR74" s="2805"/>
      <c r="CUS74" s="2805"/>
      <c r="CUT74" s="2805"/>
      <c r="CUU74" s="2805"/>
      <c r="CUV74" s="2805"/>
      <c r="CUW74" s="2805"/>
      <c r="CUX74" s="2805"/>
      <c r="CUY74" s="2805"/>
      <c r="CUZ74" s="2805"/>
      <c r="CVA74" s="2805"/>
      <c r="CVB74" s="2805"/>
      <c r="CVC74" s="2805"/>
      <c r="CVD74" s="2805"/>
      <c r="CVE74" s="2805"/>
      <c r="CVF74" s="2805"/>
      <c r="CVG74" s="2805"/>
      <c r="CVH74" s="2805"/>
      <c r="CVI74" s="2805"/>
      <c r="CVJ74" s="2805"/>
      <c r="CVK74" s="2805"/>
      <c r="CVL74" s="2805"/>
      <c r="CVM74" s="2805"/>
      <c r="CVN74" s="2805"/>
      <c r="CVO74" s="2805"/>
      <c r="CVP74" s="2805"/>
      <c r="CVQ74" s="2805"/>
      <c r="CVR74" s="2805"/>
      <c r="CVS74" s="2805"/>
      <c r="CVT74" s="2805"/>
      <c r="CVU74" s="2805"/>
      <c r="CVV74" s="2805"/>
      <c r="CVW74" s="2805"/>
      <c r="CVX74" s="2805"/>
      <c r="CVY74" s="2805"/>
      <c r="CVZ74" s="2805"/>
      <c r="CWA74" s="2805"/>
      <c r="CWB74" s="2805"/>
      <c r="CWC74" s="2805"/>
      <c r="CWD74" s="2805"/>
      <c r="CWE74" s="2805"/>
      <c r="CWF74" s="2805"/>
      <c r="CWG74" s="2805"/>
      <c r="CWH74" s="2805"/>
      <c r="CWI74" s="2805"/>
      <c r="CWJ74" s="2805"/>
      <c r="CWK74" s="2805"/>
      <c r="CWL74" s="2805"/>
      <c r="CWM74" s="2805"/>
      <c r="CWN74" s="2805"/>
      <c r="CWO74" s="2805"/>
      <c r="CWP74" s="2805"/>
      <c r="CWQ74" s="2805"/>
      <c r="CWR74" s="2805"/>
      <c r="CWS74" s="2805"/>
      <c r="CWT74" s="2805"/>
      <c r="CWU74" s="2805"/>
      <c r="CWV74" s="2805"/>
      <c r="CWW74" s="2805"/>
      <c r="CWX74" s="2805"/>
      <c r="CWY74" s="2805"/>
      <c r="CWZ74" s="2805"/>
      <c r="CXA74" s="2805"/>
      <c r="CXB74" s="2805"/>
      <c r="CXC74" s="2805"/>
      <c r="CXD74" s="2805"/>
      <c r="CXE74" s="2805"/>
      <c r="CXF74" s="2805"/>
      <c r="CXG74" s="2805"/>
      <c r="CXH74" s="2805"/>
      <c r="CXI74" s="2805"/>
      <c r="CXJ74" s="2805"/>
      <c r="CXK74" s="2805"/>
      <c r="CXL74" s="2805"/>
      <c r="CXM74" s="2805"/>
      <c r="CXN74" s="2805"/>
      <c r="CXO74" s="2805"/>
      <c r="CXP74" s="2805"/>
      <c r="CXQ74" s="2805"/>
      <c r="CXR74" s="2805"/>
      <c r="CXS74" s="2805"/>
      <c r="CXT74" s="2805"/>
      <c r="CXU74" s="2805"/>
      <c r="CXV74" s="2805"/>
      <c r="CXW74" s="2805"/>
      <c r="CXX74" s="2805"/>
      <c r="CXY74" s="2805"/>
      <c r="CXZ74" s="2805"/>
      <c r="CYA74" s="2805"/>
      <c r="CYB74" s="2805"/>
      <c r="CYC74" s="2805"/>
      <c r="CYD74" s="2805"/>
      <c r="CYE74" s="2805"/>
      <c r="CYF74" s="2805"/>
      <c r="CYG74" s="2805"/>
      <c r="CYH74" s="2805"/>
      <c r="CYI74" s="2805"/>
      <c r="CYJ74" s="2805"/>
      <c r="CYK74" s="2805"/>
      <c r="CYL74" s="2805"/>
      <c r="CYM74" s="2805"/>
      <c r="CYN74" s="2805"/>
      <c r="CYO74" s="2805"/>
      <c r="CYP74" s="2805"/>
      <c r="CYQ74" s="2805"/>
      <c r="CYR74" s="2805"/>
      <c r="CYS74" s="2805"/>
      <c r="CYT74" s="2805"/>
      <c r="CYU74" s="2805"/>
      <c r="CYV74" s="2805"/>
      <c r="CYW74" s="2805"/>
      <c r="CYX74" s="2805"/>
      <c r="CYY74" s="2805"/>
      <c r="CYZ74" s="2805"/>
      <c r="CZA74" s="2805"/>
      <c r="CZB74" s="2805"/>
      <c r="CZC74" s="2805"/>
      <c r="CZD74" s="2805"/>
      <c r="CZE74" s="2805"/>
      <c r="CZF74" s="2805"/>
      <c r="CZG74" s="2805"/>
      <c r="CZH74" s="2805"/>
      <c r="CZI74" s="2805"/>
      <c r="CZJ74" s="2805"/>
      <c r="CZK74" s="2805"/>
      <c r="CZL74" s="2805"/>
      <c r="CZM74" s="2805"/>
      <c r="CZN74" s="2805"/>
      <c r="CZO74" s="2805"/>
      <c r="CZP74" s="2805"/>
      <c r="CZQ74" s="2805"/>
      <c r="CZR74" s="2805"/>
      <c r="CZS74" s="2805"/>
      <c r="CZT74" s="2805"/>
      <c r="CZU74" s="2805"/>
      <c r="CZV74" s="2805"/>
      <c r="CZW74" s="2805"/>
      <c r="CZX74" s="2805"/>
      <c r="CZY74" s="2805"/>
      <c r="CZZ74" s="2805"/>
      <c r="DAA74" s="2805"/>
      <c r="DAB74" s="2805"/>
      <c r="DAC74" s="2805"/>
      <c r="DAD74" s="2805"/>
      <c r="DAE74" s="2805"/>
      <c r="DAF74" s="2805"/>
      <c r="DAG74" s="2805"/>
      <c r="DAH74" s="2805"/>
      <c r="DAI74" s="2805"/>
      <c r="DAJ74" s="2805"/>
      <c r="DAK74" s="2805"/>
      <c r="DAL74" s="2805"/>
      <c r="DAM74" s="2805"/>
      <c r="DAN74" s="2805"/>
      <c r="DAO74" s="2805"/>
      <c r="DAP74" s="2805"/>
      <c r="DAQ74" s="2805"/>
      <c r="DAR74" s="2805"/>
      <c r="DAS74" s="2805"/>
      <c r="DAT74" s="2805"/>
      <c r="DAU74" s="2805"/>
      <c r="DAV74" s="2805"/>
      <c r="DAW74" s="2805"/>
      <c r="DAX74" s="2805"/>
      <c r="DAY74" s="2805"/>
      <c r="DAZ74" s="2805"/>
      <c r="DBA74" s="2805"/>
      <c r="DBB74" s="2805"/>
      <c r="DBC74" s="2805"/>
      <c r="DBD74" s="2805"/>
      <c r="DBE74" s="2805"/>
      <c r="DBF74" s="2805"/>
      <c r="DBG74" s="2805"/>
      <c r="DBH74" s="2805"/>
      <c r="DBI74" s="2805"/>
      <c r="DBJ74" s="2805"/>
      <c r="DBK74" s="2805"/>
      <c r="DBL74" s="2805"/>
      <c r="DBM74" s="2805"/>
      <c r="DBN74" s="2805"/>
      <c r="DBO74" s="2805"/>
      <c r="DBP74" s="2805"/>
      <c r="DBQ74" s="2805"/>
      <c r="DBR74" s="2805"/>
      <c r="DBS74" s="2805"/>
      <c r="DBT74" s="2805"/>
      <c r="DBU74" s="2805"/>
      <c r="DBV74" s="2805"/>
      <c r="DBW74" s="2805"/>
      <c r="DBX74" s="2805"/>
      <c r="DBY74" s="2805"/>
      <c r="DBZ74" s="2805"/>
      <c r="DCA74" s="2805"/>
      <c r="DCB74" s="2805"/>
      <c r="DCC74" s="2805"/>
      <c r="DCD74" s="2805"/>
      <c r="DCE74" s="2805"/>
      <c r="DCF74" s="2805"/>
      <c r="DCG74" s="2805"/>
      <c r="DCH74" s="2805"/>
      <c r="DCI74" s="2805"/>
      <c r="DCJ74" s="2805"/>
      <c r="DCK74" s="2805"/>
      <c r="DCL74" s="2805"/>
      <c r="DCM74" s="2805"/>
      <c r="DCN74" s="2805"/>
      <c r="DCO74" s="2805"/>
      <c r="DCP74" s="2805"/>
      <c r="DCQ74" s="2805"/>
      <c r="DCR74" s="2805"/>
      <c r="DCS74" s="2805"/>
      <c r="DCT74" s="2805"/>
      <c r="DCU74" s="2805"/>
      <c r="DCV74" s="2805"/>
      <c r="DCW74" s="2805"/>
      <c r="DCX74" s="2805"/>
      <c r="DCY74" s="2805"/>
      <c r="DCZ74" s="2805"/>
      <c r="DDA74" s="2805"/>
      <c r="DDB74" s="2805"/>
      <c r="DDC74" s="2805"/>
      <c r="DDD74" s="2805"/>
      <c r="DDE74" s="2805"/>
      <c r="DDF74" s="2805"/>
      <c r="DDG74" s="2805"/>
      <c r="DDH74" s="2805"/>
      <c r="DDI74" s="2805"/>
      <c r="DDJ74" s="2805"/>
      <c r="DDK74" s="2805"/>
      <c r="DDL74" s="2805"/>
      <c r="DDM74" s="2805"/>
      <c r="DDN74" s="2805"/>
      <c r="DDO74" s="2805"/>
      <c r="DDP74" s="2805"/>
      <c r="DDQ74" s="2805"/>
      <c r="DDR74" s="2805"/>
      <c r="DDS74" s="2805"/>
      <c r="DDT74" s="2805"/>
      <c r="DDU74" s="2805"/>
      <c r="DDV74" s="2805"/>
      <c r="DDW74" s="2805"/>
      <c r="DDX74" s="2805"/>
      <c r="DDY74" s="2805"/>
      <c r="DDZ74" s="2805"/>
      <c r="DEA74" s="2805"/>
      <c r="DEB74" s="2805"/>
      <c r="DEC74" s="2805"/>
      <c r="DED74" s="2805"/>
      <c r="DEE74" s="2805"/>
      <c r="DEF74" s="2805"/>
      <c r="DEG74" s="2805"/>
      <c r="DEH74" s="2805"/>
      <c r="DEI74" s="2805"/>
      <c r="DEJ74" s="2805"/>
      <c r="DEK74" s="2805"/>
      <c r="DEL74" s="2805"/>
      <c r="DEM74" s="2805"/>
      <c r="DEN74" s="2805"/>
      <c r="DEO74" s="2805"/>
      <c r="DEP74" s="2805"/>
      <c r="DEQ74" s="2805"/>
      <c r="DER74" s="2805"/>
      <c r="DES74" s="2805"/>
      <c r="DET74" s="2805"/>
      <c r="DEU74" s="2805"/>
      <c r="DEV74" s="2805"/>
      <c r="DEW74" s="2805"/>
      <c r="DEX74" s="2805"/>
      <c r="DEY74" s="2805"/>
      <c r="DEZ74" s="2805"/>
      <c r="DFA74" s="2805"/>
      <c r="DFB74" s="2805"/>
      <c r="DFC74" s="2805"/>
      <c r="DFD74" s="2805"/>
      <c r="DFE74" s="2805"/>
      <c r="DFF74" s="2805"/>
      <c r="DFG74" s="2805"/>
      <c r="DFH74" s="2805"/>
      <c r="DFI74" s="2805"/>
      <c r="DFJ74" s="2805"/>
      <c r="DFK74" s="2805"/>
      <c r="DFL74" s="2805"/>
      <c r="DFM74" s="2805"/>
      <c r="DFN74" s="2805"/>
      <c r="DFO74" s="2805"/>
      <c r="DFP74" s="2805"/>
      <c r="DFQ74" s="2805"/>
      <c r="DFR74" s="2805"/>
      <c r="DFS74" s="2805"/>
      <c r="DFT74" s="2805"/>
      <c r="DFU74" s="2805"/>
      <c r="DFV74" s="2805"/>
      <c r="DFW74" s="2805"/>
      <c r="DFX74" s="2805"/>
      <c r="DFY74" s="2805"/>
      <c r="DFZ74" s="2805"/>
      <c r="DGA74" s="2805"/>
      <c r="DGB74" s="2805"/>
      <c r="DGC74" s="2805"/>
      <c r="DGD74" s="2805"/>
      <c r="DGE74" s="2805"/>
      <c r="DGF74" s="2805"/>
      <c r="DGG74" s="2805"/>
      <c r="DGH74" s="2805"/>
      <c r="DGI74" s="2805"/>
      <c r="DGJ74" s="2805"/>
      <c r="DGK74" s="2805"/>
      <c r="DGL74" s="2805"/>
      <c r="DGM74" s="2805"/>
      <c r="DGN74" s="2805"/>
      <c r="DGO74" s="2805"/>
      <c r="DGP74" s="2805"/>
      <c r="DGQ74" s="2805"/>
      <c r="DGR74" s="2805"/>
      <c r="DGS74" s="2805"/>
      <c r="DGT74" s="2805"/>
      <c r="DGU74" s="2805"/>
      <c r="DGV74" s="2805"/>
      <c r="DGW74" s="2805"/>
      <c r="DGX74" s="2805"/>
      <c r="DGY74" s="2805"/>
      <c r="DGZ74" s="2805"/>
      <c r="DHA74" s="2805"/>
      <c r="DHB74" s="2805"/>
      <c r="DHC74" s="2805"/>
      <c r="DHD74" s="2805"/>
      <c r="DHE74" s="2805"/>
      <c r="DHF74" s="2805"/>
      <c r="DHG74" s="2805"/>
      <c r="DHH74" s="2805"/>
      <c r="DHI74" s="2805"/>
      <c r="DHJ74" s="2805"/>
      <c r="DHK74" s="2805"/>
      <c r="DHL74" s="2805"/>
      <c r="DHM74" s="2805"/>
      <c r="DHN74" s="2805"/>
      <c r="DHO74" s="2805"/>
      <c r="DHP74" s="2805"/>
      <c r="DHQ74" s="2805"/>
      <c r="DHR74" s="2805"/>
      <c r="DHS74" s="2805"/>
      <c r="DHT74" s="2805"/>
      <c r="DHU74" s="2805"/>
      <c r="DHV74" s="2805"/>
      <c r="DHW74" s="2805"/>
      <c r="DHX74" s="2805"/>
      <c r="DHY74" s="2805"/>
      <c r="DHZ74" s="2805"/>
      <c r="DIA74" s="2805"/>
      <c r="DIB74" s="2805"/>
      <c r="DIC74" s="2805"/>
      <c r="DID74" s="2805"/>
      <c r="DIE74" s="2805"/>
      <c r="DIF74" s="2805"/>
      <c r="DIG74" s="2805"/>
      <c r="DIH74" s="2805"/>
      <c r="DII74" s="2805"/>
      <c r="DIJ74" s="2805"/>
      <c r="DIK74" s="2805"/>
      <c r="DIL74" s="2805"/>
      <c r="DIM74" s="2805"/>
      <c r="DIN74" s="2805"/>
      <c r="DIO74" s="2805"/>
      <c r="DIP74" s="2805"/>
      <c r="DIQ74" s="2805"/>
      <c r="DIR74" s="2805"/>
      <c r="DIS74" s="2805"/>
      <c r="DIT74" s="2805"/>
      <c r="DIU74" s="2805"/>
      <c r="DIV74" s="2805"/>
      <c r="DIW74" s="2805"/>
      <c r="DIX74" s="2805"/>
      <c r="DIY74" s="2805"/>
      <c r="DIZ74" s="2805"/>
      <c r="DJA74" s="2805"/>
      <c r="DJB74" s="2805"/>
      <c r="DJC74" s="2805"/>
      <c r="DJD74" s="2805"/>
      <c r="DJE74" s="2805"/>
      <c r="DJF74" s="2805"/>
      <c r="DJG74" s="2805"/>
      <c r="DJH74" s="2805"/>
      <c r="DJI74" s="2805"/>
      <c r="DJJ74" s="2805"/>
      <c r="DJK74" s="2805"/>
      <c r="DJL74" s="2805"/>
      <c r="DJM74" s="2805"/>
      <c r="DJN74" s="2805"/>
      <c r="DJO74" s="2805"/>
      <c r="DJP74" s="2805"/>
      <c r="DJQ74" s="2805"/>
      <c r="DJR74" s="2805"/>
      <c r="DJS74" s="2805"/>
      <c r="DJT74" s="2805"/>
      <c r="DJU74" s="2805"/>
      <c r="DJV74" s="2805"/>
      <c r="DJW74" s="2805"/>
      <c r="DJX74" s="2805"/>
      <c r="DJY74" s="2805"/>
      <c r="DJZ74" s="2805"/>
      <c r="DKA74" s="2805"/>
      <c r="DKB74" s="2805"/>
      <c r="DKC74" s="2805"/>
      <c r="DKD74" s="2805"/>
      <c r="DKE74" s="2805"/>
      <c r="DKF74" s="2805"/>
      <c r="DKG74" s="2805"/>
      <c r="DKH74" s="2805"/>
      <c r="DKI74" s="2805"/>
      <c r="DKJ74" s="2805"/>
      <c r="DKK74" s="2805"/>
      <c r="DKL74" s="2805"/>
      <c r="DKM74" s="2805"/>
      <c r="DKN74" s="2805"/>
      <c r="DKO74" s="2805"/>
      <c r="DKP74" s="2805"/>
      <c r="DKQ74" s="2805"/>
      <c r="DKR74" s="2805"/>
      <c r="DKS74" s="2805"/>
      <c r="DKT74" s="2805"/>
      <c r="DKU74" s="2805"/>
      <c r="DKV74" s="2805"/>
      <c r="DKW74" s="2805"/>
      <c r="DKX74" s="2805"/>
      <c r="DKY74" s="2805"/>
      <c r="DKZ74" s="2805"/>
      <c r="DLA74" s="2805"/>
      <c r="DLB74" s="2805"/>
      <c r="DLC74" s="2805"/>
      <c r="DLD74" s="2805"/>
      <c r="DLE74" s="2805"/>
      <c r="DLF74" s="2805"/>
      <c r="DLG74" s="2805"/>
      <c r="DLH74" s="2805"/>
      <c r="DLI74" s="2805"/>
      <c r="DLJ74" s="2805"/>
      <c r="DLK74" s="2805"/>
      <c r="DLL74" s="2805"/>
      <c r="DLM74" s="2805"/>
      <c r="DLN74" s="2805"/>
      <c r="DLO74" s="2805"/>
      <c r="DLP74" s="2805"/>
      <c r="DLQ74" s="2805"/>
      <c r="DLR74" s="2805"/>
      <c r="DLS74" s="2805"/>
      <c r="DLT74" s="2805"/>
      <c r="DLU74" s="2805"/>
      <c r="DLV74" s="2805"/>
      <c r="DLW74" s="2805"/>
      <c r="DLX74" s="2805"/>
      <c r="DLY74" s="2805"/>
      <c r="DLZ74" s="2805"/>
      <c r="DMA74" s="2805"/>
      <c r="DMB74" s="2805"/>
      <c r="DMC74" s="2805"/>
      <c r="DMD74" s="2805"/>
      <c r="DME74" s="2805"/>
      <c r="DMF74" s="2805"/>
      <c r="DMG74" s="2805"/>
      <c r="DMH74" s="2805"/>
      <c r="DMI74" s="2805"/>
      <c r="DMJ74" s="2805"/>
      <c r="DMK74" s="2805"/>
      <c r="DML74" s="2805"/>
      <c r="DMM74" s="2805"/>
      <c r="DMN74" s="2805"/>
      <c r="DMO74" s="2805"/>
      <c r="DMP74" s="2805"/>
      <c r="DMQ74" s="2805"/>
      <c r="DMR74" s="2805"/>
      <c r="DMS74" s="2805"/>
      <c r="DMT74" s="2805"/>
      <c r="DMU74" s="2805"/>
      <c r="DMV74" s="2805"/>
      <c r="DMW74" s="2805"/>
      <c r="DMX74" s="2805"/>
      <c r="DMY74" s="2805"/>
      <c r="DMZ74" s="2805"/>
      <c r="DNA74" s="2805"/>
      <c r="DNB74" s="2805"/>
      <c r="DNC74" s="2805"/>
      <c r="DND74" s="2805"/>
      <c r="DNE74" s="2805"/>
      <c r="DNF74" s="2805"/>
      <c r="DNG74" s="2805"/>
      <c r="DNH74" s="2805"/>
      <c r="DNI74" s="2805"/>
      <c r="DNJ74" s="2805"/>
      <c r="DNK74" s="2805"/>
      <c r="DNL74" s="2805"/>
      <c r="DNM74" s="2805"/>
      <c r="DNN74" s="2805"/>
      <c r="DNO74" s="2805"/>
      <c r="DNP74" s="2805"/>
      <c r="DNQ74" s="2805"/>
      <c r="DNR74" s="2805"/>
      <c r="DNS74" s="2805"/>
      <c r="DNT74" s="2805"/>
      <c r="DNU74" s="2805"/>
      <c r="DNV74" s="2805"/>
      <c r="DNW74" s="2805"/>
      <c r="DNX74" s="2805"/>
      <c r="DNY74" s="2805"/>
      <c r="DNZ74" s="2805"/>
      <c r="DOA74" s="2805"/>
      <c r="DOB74" s="2805"/>
      <c r="DOC74" s="2805"/>
      <c r="DOD74" s="2805"/>
      <c r="DOE74" s="2805"/>
      <c r="DOF74" s="2805"/>
      <c r="DOG74" s="2805"/>
      <c r="DOH74" s="2805"/>
      <c r="DOI74" s="2805"/>
      <c r="DOJ74" s="2805"/>
      <c r="DOK74" s="2805"/>
      <c r="DOL74" s="2805"/>
      <c r="DOM74" s="2805"/>
      <c r="DON74" s="2805"/>
      <c r="DOO74" s="2805"/>
      <c r="DOP74" s="2805"/>
      <c r="DOQ74" s="2805"/>
      <c r="DOR74" s="2805"/>
      <c r="DOS74" s="2805"/>
      <c r="DOT74" s="2805"/>
      <c r="DOU74" s="2805"/>
      <c r="DOV74" s="2805"/>
      <c r="DOW74" s="2805"/>
      <c r="DOX74" s="2805"/>
      <c r="DOY74" s="2805"/>
      <c r="DOZ74" s="2805"/>
      <c r="DPA74" s="2805"/>
      <c r="DPB74" s="2805"/>
      <c r="DPC74" s="2805"/>
      <c r="DPD74" s="2805"/>
      <c r="DPE74" s="2805"/>
      <c r="DPF74" s="2805"/>
      <c r="DPG74" s="2805"/>
      <c r="DPH74" s="2805"/>
      <c r="DPI74" s="2805"/>
      <c r="DPJ74" s="2805"/>
      <c r="DPK74" s="2805"/>
      <c r="DPL74" s="2805"/>
      <c r="DPM74" s="2805"/>
      <c r="DPN74" s="2805"/>
      <c r="DPO74" s="2805"/>
      <c r="DPP74" s="2805"/>
      <c r="DPQ74" s="2805"/>
      <c r="DPR74" s="2805"/>
      <c r="DPS74" s="2805"/>
      <c r="DPT74" s="2805"/>
      <c r="DPU74" s="2805"/>
      <c r="DPV74" s="2805"/>
      <c r="DPW74" s="2805"/>
      <c r="DPX74" s="2805"/>
      <c r="DPY74" s="2805"/>
      <c r="DPZ74" s="2805"/>
      <c r="DQA74" s="2805"/>
      <c r="DQB74" s="2805"/>
      <c r="DQC74" s="2805"/>
      <c r="DQD74" s="2805"/>
      <c r="DQE74" s="2805"/>
      <c r="DQF74" s="2805"/>
      <c r="DQG74" s="2805"/>
      <c r="DQH74" s="2805"/>
      <c r="DQI74" s="2805"/>
      <c r="DQJ74" s="2805"/>
      <c r="DQK74" s="2805"/>
      <c r="DQL74" s="2805"/>
      <c r="DQM74" s="2805"/>
      <c r="DQN74" s="2805"/>
      <c r="DQO74" s="2805"/>
      <c r="DQP74" s="2805"/>
      <c r="DQQ74" s="2805"/>
      <c r="DQR74" s="2805"/>
      <c r="DQS74" s="2805"/>
      <c r="DQT74" s="2805"/>
      <c r="DQU74" s="2805"/>
      <c r="DQV74" s="2805"/>
      <c r="DQW74" s="2805"/>
      <c r="DQX74" s="2805"/>
      <c r="DQY74" s="2805"/>
      <c r="DQZ74" s="2805"/>
      <c r="DRA74" s="2805"/>
      <c r="DRB74" s="2805"/>
      <c r="DRC74" s="2805"/>
      <c r="DRD74" s="2805"/>
      <c r="DRE74" s="2805"/>
      <c r="DRF74" s="2805"/>
      <c r="DRG74" s="2805"/>
      <c r="DRH74" s="2805"/>
      <c r="DRI74" s="2805"/>
      <c r="DRJ74" s="2805"/>
      <c r="DRK74" s="2805"/>
      <c r="DRL74" s="2805"/>
      <c r="DRM74" s="2805"/>
      <c r="DRN74" s="2805"/>
      <c r="DRO74" s="2805"/>
      <c r="DRP74" s="2805"/>
      <c r="DRQ74" s="2805"/>
      <c r="DRR74" s="2805"/>
      <c r="DRS74" s="2805"/>
      <c r="DRT74" s="2805"/>
      <c r="DRU74" s="2805"/>
      <c r="DRV74" s="2805"/>
      <c r="DRW74" s="2805"/>
      <c r="DRX74" s="2805"/>
      <c r="DRY74" s="2805"/>
      <c r="DRZ74" s="2805"/>
      <c r="DSA74" s="2805"/>
      <c r="DSB74" s="2805"/>
      <c r="DSC74" s="2805"/>
      <c r="DSD74" s="2805"/>
      <c r="DSE74" s="2805"/>
      <c r="DSF74" s="2805"/>
      <c r="DSG74" s="2805"/>
      <c r="DSH74" s="2805"/>
      <c r="DSI74" s="2805"/>
      <c r="DSJ74" s="2805"/>
      <c r="DSK74" s="2805"/>
      <c r="DSL74" s="2805"/>
      <c r="DSM74" s="2805"/>
      <c r="DSN74" s="2805"/>
      <c r="DSO74" s="2805"/>
      <c r="DSP74" s="2805"/>
      <c r="DSQ74" s="2805"/>
      <c r="DSR74" s="2805"/>
      <c r="DSS74" s="2805"/>
      <c r="DST74" s="2805"/>
      <c r="DSU74" s="2805"/>
      <c r="DSV74" s="2805"/>
      <c r="DSW74" s="2805"/>
      <c r="DSX74" s="2805"/>
      <c r="DSY74" s="2805"/>
      <c r="DSZ74" s="2805"/>
      <c r="DTA74" s="2805"/>
      <c r="DTB74" s="2805"/>
      <c r="DTC74" s="2805"/>
      <c r="DTD74" s="2805"/>
      <c r="DTE74" s="2805"/>
      <c r="DTF74" s="2805"/>
      <c r="DTG74" s="2805"/>
      <c r="DTH74" s="2805"/>
      <c r="DTI74" s="2805"/>
      <c r="DTJ74" s="2805"/>
      <c r="DTK74" s="2805"/>
      <c r="DTL74" s="2805"/>
      <c r="DTM74" s="2805"/>
      <c r="DTN74" s="2805"/>
      <c r="DTO74" s="2805"/>
      <c r="DTP74" s="2805"/>
      <c r="DTQ74" s="2805"/>
      <c r="DTR74" s="2805"/>
      <c r="DTS74" s="2805"/>
      <c r="DTT74" s="2805"/>
      <c r="DTU74" s="2805"/>
      <c r="DTV74" s="2805"/>
      <c r="DTW74" s="2805"/>
      <c r="DTX74" s="2805"/>
      <c r="DTY74" s="2805"/>
      <c r="DTZ74" s="2805"/>
      <c r="DUA74" s="2805"/>
      <c r="DUB74" s="2805"/>
      <c r="DUC74" s="2805"/>
      <c r="DUD74" s="2805"/>
      <c r="DUE74" s="2805"/>
      <c r="DUF74" s="2805"/>
      <c r="DUG74" s="2805"/>
      <c r="DUH74" s="2805"/>
      <c r="DUI74" s="2805"/>
      <c r="DUJ74" s="2805"/>
      <c r="DUK74" s="2805"/>
      <c r="DUL74" s="2805"/>
      <c r="DUM74" s="2805"/>
      <c r="DUN74" s="2805"/>
      <c r="DUO74" s="2805"/>
      <c r="DUP74" s="2805"/>
      <c r="DUQ74" s="2805"/>
      <c r="DUR74" s="2805"/>
      <c r="DUS74" s="2805"/>
      <c r="DUT74" s="2805"/>
      <c r="DUU74" s="2805"/>
      <c r="DUV74" s="2805"/>
      <c r="DUW74" s="2805"/>
      <c r="DUX74" s="2805"/>
      <c r="DUY74" s="2805"/>
      <c r="DUZ74" s="2805"/>
      <c r="DVA74" s="2805"/>
      <c r="DVB74" s="2805"/>
      <c r="DVC74" s="2805"/>
      <c r="DVD74" s="2805"/>
      <c r="DVE74" s="2805"/>
      <c r="DVF74" s="2805"/>
      <c r="DVG74" s="2805"/>
      <c r="DVH74" s="2805"/>
      <c r="DVI74" s="2805"/>
      <c r="DVJ74" s="2805"/>
      <c r="DVK74" s="2805"/>
      <c r="DVL74" s="2805"/>
      <c r="DVM74" s="2805"/>
      <c r="DVN74" s="2805"/>
      <c r="DVO74" s="2805"/>
      <c r="DVP74" s="2805"/>
      <c r="DVQ74" s="2805"/>
      <c r="DVR74" s="2805"/>
      <c r="DVS74" s="2805"/>
      <c r="DVT74" s="2805"/>
      <c r="DVU74" s="2805"/>
      <c r="DVV74" s="2805"/>
      <c r="DVW74" s="2805"/>
      <c r="DVX74" s="2805"/>
      <c r="DVY74" s="2805"/>
      <c r="DVZ74" s="2805"/>
      <c r="DWA74" s="2805"/>
      <c r="DWB74" s="2805"/>
      <c r="DWC74" s="2805"/>
      <c r="DWD74" s="2805"/>
      <c r="DWE74" s="2805"/>
      <c r="DWF74" s="2805"/>
      <c r="DWG74" s="2805"/>
      <c r="DWH74" s="2805"/>
      <c r="DWI74" s="2805"/>
      <c r="DWJ74" s="2805"/>
      <c r="DWK74" s="2805"/>
      <c r="DWL74" s="2805"/>
      <c r="DWM74" s="2805"/>
      <c r="DWN74" s="2805"/>
      <c r="DWO74" s="2805"/>
      <c r="DWP74" s="2805"/>
      <c r="DWQ74" s="2805"/>
      <c r="DWR74" s="2805"/>
      <c r="DWS74" s="2805"/>
      <c r="DWT74" s="2805"/>
      <c r="DWU74" s="2805"/>
      <c r="DWV74" s="2805"/>
      <c r="DWW74" s="2805"/>
      <c r="DWX74" s="2805"/>
      <c r="DWY74" s="2805"/>
      <c r="DWZ74" s="2805"/>
      <c r="DXA74" s="2805"/>
      <c r="DXB74" s="2805"/>
      <c r="DXC74" s="2805"/>
      <c r="DXD74" s="2805"/>
      <c r="DXE74" s="2805"/>
      <c r="DXF74" s="2805"/>
      <c r="DXG74" s="2805"/>
      <c r="DXH74" s="2805"/>
      <c r="DXI74" s="2805"/>
      <c r="DXJ74" s="2805"/>
      <c r="DXK74" s="2805"/>
      <c r="DXL74" s="2805"/>
      <c r="DXM74" s="2805"/>
      <c r="DXN74" s="2805"/>
      <c r="DXO74" s="2805"/>
      <c r="DXP74" s="2805"/>
      <c r="DXQ74" s="2805"/>
      <c r="DXR74" s="2805"/>
      <c r="DXS74" s="2805"/>
      <c r="DXT74" s="2805"/>
      <c r="DXU74" s="2805"/>
      <c r="DXV74" s="2805"/>
      <c r="DXW74" s="2805"/>
      <c r="DXX74" s="2805"/>
      <c r="DXY74" s="2805"/>
      <c r="DXZ74" s="2805"/>
      <c r="DYA74" s="2805"/>
      <c r="DYB74" s="2805"/>
      <c r="DYC74" s="2805"/>
      <c r="DYD74" s="2805"/>
      <c r="DYE74" s="2805"/>
      <c r="DYF74" s="2805"/>
      <c r="DYG74" s="2805"/>
      <c r="DYH74" s="2805"/>
      <c r="DYI74" s="2805"/>
      <c r="DYJ74" s="2805"/>
      <c r="DYK74" s="2805"/>
      <c r="DYL74" s="2805"/>
      <c r="DYM74" s="2805"/>
      <c r="DYN74" s="2805"/>
      <c r="DYO74" s="2805"/>
      <c r="DYP74" s="2805"/>
      <c r="DYQ74" s="2805"/>
      <c r="DYR74" s="2805"/>
      <c r="DYS74" s="2805"/>
      <c r="DYT74" s="2805"/>
      <c r="DYU74" s="2805"/>
      <c r="DYV74" s="2805"/>
      <c r="DYW74" s="2805"/>
      <c r="DYX74" s="2805"/>
      <c r="DYY74" s="2805"/>
      <c r="DYZ74" s="2805"/>
      <c r="DZA74" s="2805"/>
      <c r="DZB74" s="2805"/>
      <c r="DZC74" s="2805"/>
      <c r="DZD74" s="2805"/>
      <c r="DZE74" s="2805"/>
      <c r="DZF74" s="2805"/>
      <c r="DZG74" s="2805"/>
      <c r="DZH74" s="2805"/>
      <c r="DZI74" s="2805"/>
      <c r="DZJ74" s="2805"/>
      <c r="DZK74" s="2805"/>
      <c r="DZL74" s="2805"/>
      <c r="DZM74" s="2805"/>
      <c r="DZN74" s="2805"/>
      <c r="DZO74" s="2805"/>
      <c r="DZP74" s="2805"/>
      <c r="DZQ74" s="2805"/>
      <c r="DZR74" s="2805"/>
      <c r="DZS74" s="2805"/>
      <c r="DZT74" s="2805"/>
      <c r="DZU74" s="2805"/>
      <c r="DZV74" s="2805"/>
      <c r="DZW74" s="2805"/>
      <c r="DZX74" s="2805"/>
      <c r="DZY74" s="2805"/>
      <c r="DZZ74" s="2805"/>
      <c r="EAA74" s="2805"/>
      <c r="EAB74" s="2805"/>
      <c r="EAC74" s="2805"/>
      <c r="EAD74" s="2805"/>
      <c r="EAE74" s="2805"/>
      <c r="EAF74" s="2805"/>
      <c r="EAG74" s="2805"/>
      <c r="EAH74" s="2805"/>
      <c r="EAI74" s="2805"/>
      <c r="EAJ74" s="2805"/>
      <c r="EAK74" s="2805"/>
      <c r="EAL74" s="2805"/>
      <c r="EAM74" s="2805"/>
      <c r="EAN74" s="2805"/>
      <c r="EAO74" s="2805"/>
      <c r="EAP74" s="2805"/>
      <c r="EAQ74" s="2805"/>
      <c r="EAR74" s="2805"/>
      <c r="EAS74" s="2805"/>
      <c r="EAT74" s="2805"/>
      <c r="EAU74" s="2805"/>
      <c r="EAV74" s="2805"/>
      <c r="EAW74" s="2805"/>
      <c r="EAX74" s="2805"/>
      <c r="EAY74" s="2805"/>
      <c r="EAZ74" s="2805"/>
      <c r="EBA74" s="2805"/>
      <c r="EBB74" s="2805"/>
      <c r="EBC74" s="2805"/>
      <c r="EBD74" s="2805"/>
      <c r="EBE74" s="2805"/>
      <c r="EBF74" s="2805"/>
      <c r="EBG74" s="2805"/>
      <c r="EBH74" s="2805"/>
      <c r="EBI74" s="2805"/>
      <c r="EBJ74" s="2805"/>
      <c r="EBK74" s="2805"/>
      <c r="EBL74" s="2805"/>
      <c r="EBM74" s="2805"/>
      <c r="EBN74" s="2805"/>
      <c r="EBO74" s="2805"/>
      <c r="EBP74" s="2805"/>
      <c r="EBQ74" s="2805"/>
      <c r="EBR74" s="2805"/>
      <c r="EBS74" s="2805"/>
      <c r="EBT74" s="2805"/>
      <c r="EBU74" s="2805"/>
      <c r="EBV74" s="2805"/>
      <c r="EBW74" s="2805"/>
      <c r="EBX74" s="2805"/>
      <c r="EBY74" s="2805"/>
      <c r="EBZ74" s="2805"/>
      <c r="ECA74" s="2805"/>
      <c r="ECB74" s="2805"/>
      <c r="ECC74" s="2805"/>
      <c r="ECD74" s="2805"/>
      <c r="ECE74" s="2805"/>
      <c r="ECF74" s="2805"/>
      <c r="ECG74" s="2805"/>
      <c r="ECH74" s="2805"/>
      <c r="ECI74" s="2805"/>
      <c r="ECJ74" s="2805"/>
      <c r="ECK74" s="2805"/>
      <c r="ECL74" s="2805"/>
      <c r="ECM74" s="2805"/>
      <c r="ECN74" s="2805"/>
      <c r="ECO74" s="2805"/>
      <c r="ECP74" s="2805"/>
      <c r="ECQ74" s="2805"/>
      <c r="ECR74" s="2805"/>
      <c r="ECS74" s="2805"/>
      <c r="ECT74" s="2805"/>
      <c r="ECU74" s="2805"/>
      <c r="ECV74" s="2805"/>
      <c r="ECW74" s="2805"/>
      <c r="ECX74" s="2805"/>
      <c r="ECY74" s="2805"/>
      <c r="ECZ74" s="2805"/>
      <c r="EDA74" s="2805"/>
      <c r="EDB74" s="2805"/>
      <c r="EDC74" s="2805"/>
      <c r="EDD74" s="2805"/>
      <c r="EDE74" s="2805"/>
      <c r="EDF74" s="2805"/>
      <c r="EDG74" s="2805"/>
      <c r="EDH74" s="2805"/>
      <c r="EDI74" s="2805"/>
      <c r="EDJ74" s="2805"/>
      <c r="EDK74" s="2805"/>
      <c r="EDL74" s="2805"/>
      <c r="EDM74" s="2805"/>
      <c r="EDN74" s="2805"/>
      <c r="EDO74" s="2805"/>
      <c r="EDP74" s="2805"/>
      <c r="EDQ74" s="2805"/>
      <c r="EDR74" s="2805"/>
      <c r="EDS74" s="2805"/>
      <c r="EDT74" s="2805"/>
      <c r="EDU74" s="2805"/>
      <c r="EDV74" s="2805"/>
      <c r="EDW74" s="2805"/>
      <c r="EDX74" s="2805"/>
      <c r="EDY74" s="2805"/>
      <c r="EDZ74" s="2805"/>
      <c r="EEA74" s="2805"/>
      <c r="EEB74" s="2805"/>
      <c r="EEC74" s="2805"/>
      <c r="EED74" s="2805"/>
      <c r="EEE74" s="2805"/>
      <c r="EEF74" s="2805"/>
      <c r="EEG74" s="2805"/>
      <c r="EEH74" s="2805"/>
      <c r="EEI74" s="2805"/>
      <c r="EEJ74" s="2805"/>
      <c r="EEK74" s="2805"/>
      <c r="EEL74" s="2805"/>
      <c r="EEM74" s="2805"/>
      <c r="EEN74" s="2805"/>
      <c r="EEO74" s="2805"/>
      <c r="EEP74" s="2805"/>
      <c r="EEQ74" s="2805"/>
      <c r="EER74" s="2805"/>
      <c r="EES74" s="2805"/>
      <c r="EET74" s="2805"/>
      <c r="EEU74" s="2805"/>
      <c r="EEV74" s="2805"/>
      <c r="EEW74" s="2805"/>
      <c r="EEX74" s="2805"/>
      <c r="EEY74" s="2805"/>
      <c r="EEZ74" s="2805"/>
      <c r="EFA74" s="2805"/>
      <c r="EFB74" s="2805"/>
      <c r="EFC74" s="2805"/>
      <c r="EFD74" s="2805"/>
      <c r="EFE74" s="2805"/>
      <c r="EFF74" s="2805"/>
      <c r="EFG74" s="2805"/>
      <c r="EFH74" s="2805"/>
      <c r="EFI74" s="2805"/>
      <c r="EFJ74" s="2805"/>
      <c r="EFK74" s="2805"/>
      <c r="EFL74" s="2805"/>
      <c r="EFM74" s="2805"/>
      <c r="EFN74" s="2805"/>
      <c r="EFO74" s="2805"/>
      <c r="EFP74" s="2805"/>
      <c r="EFQ74" s="2805"/>
      <c r="EFR74" s="2805"/>
      <c r="EFS74" s="2805"/>
      <c r="EFT74" s="2805"/>
      <c r="EFU74" s="2805"/>
      <c r="EFV74" s="2805"/>
      <c r="EFW74" s="2805"/>
      <c r="EFX74" s="2805"/>
      <c r="EFY74" s="2805"/>
      <c r="EFZ74" s="2805"/>
      <c r="EGA74" s="2805"/>
      <c r="EGB74" s="2805"/>
      <c r="EGC74" s="2805"/>
      <c r="EGD74" s="2805"/>
      <c r="EGE74" s="2805"/>
      <c r="EGF74" s="2805"/>
      <c r="EGG74" s="2805"/>
      <c r="EGH74" s="2805"/>
      <c r="EGI74" s="2805"/>
      <c r="EGJ74" s="2805"/>
      <c r="EGK74" s="2805"/>
      <c r="EGL74" s="2805"/>
      <c r="EGM74" s="2805"/>
      <c r="EGN74" s="2805"/>
      <c r="EGO74" s="2805"/>
      <c r="EGP74" s="2805"/>
      <c r="EGQ74" s="2805"/>
      <c r="EGR74" s="2805"/>
      <c r="EGS74" s="2805"/>
      <c r="EGT74" s="2805"/>
      <c r="EGU74" s="2805"/>
      <c r="EGV74" s="2805"/>
      <c r="EGW74" s="2805"/>
      <c r="EGX74" s="2805"/>
      <c r="EGY74" s="2805"/>
      <c r="EGZ74" s="2805"/>
      <c r="EHA74" s="2805"/>
      <c r="EHB74" s="2805"/>
      <c r="EHC74" s="2805"/>
      <c r="EHD74" s="2805"/>
      <c r="EHE74" s="2805"/>
      <c r="EHF74" s="2805"/>
      <c r="EHG74" s="2805"/>
      <c r="EHH74" s="2805"/>
      <c r="EHI74" s="2805"/>
      <c r="EHJ74" s="2805"/>
      <c r="EHK74" s="2805"/>
      <c r="EHL74" s="2805"/>
      <c r="EHM74" s="2805"/>
      <c r="EHN74" s="2805"/>
      <c r="EHO74" s="2805"/>
      <c r="EHP74" s="2805"/>
      <c r="EHQ74" s="2805"/>
      <c r="EHR74" s="2805"/>
      <c r="EHS74" s="2805"/>
      <c r="EHT74" s="2805"/>
      <c r="EHU74" s="2805"/>
      <c r="EHV74" s="2805"/>
      <c r="EHW74" s="2805"/>
      <c r="EHX74" s="2805"/>
      <c r="EHY74" s="2805"/>
      <c r="EHZ74" s="2805"/>
      <c r="EIA74" s="2805"/>
      <c r="EIB74" s="2805"/>
      <c r="EIC74" s="2805"/>
      <c r="EID74" s="2805"/>
      <c r="EIE74" s="2805"/>
      <c r="EIF74" s="2805"/>
      <c r="EIG74" s="2805"/>
      <c r="EIH74" s="2805"/>
      <c r="EII74" s="2805"/>
      <c r="EIJ74" s="2805"/>
      <c r="EIK74" s="2805"/>
      <c r="EIL74" s="2805"/>
      <c r="EIM74" s="2805"/>
      <c r="EIN74" s="2805"/>
      <c r="EIO74" s="2805"/>
      <c r="EIP74" s="2805"/>
      <c r="EIQ74" s="2805"/>
      <c r="EIR74" s="2805"/>
      <c r="EIS74" s="2805"/>
      <c r="EIT74" s="2805"/>
      <c r="EIU74" s="2805"/>
      <c r="EIV74" s="2805"/>
      <c r="EIW74" s="2805"/>
      <c r="EIX74" s="2805"/>
      <c r="EIY74" s="2805"/>
      <c r="EIZ74" s="2805"/>
      <c r="EJA74" s="2805"/>
      <c r="EJB74" s="2805"/>
      <c r="EJC74" s="2805"/>
      <c r="EJD74" s="2805"/>
      <c r="EJE74" s="2805"/>
      <c r="EJF74" s="2805"/>
      <c r="EJG74" s="2805"/>
      <c r="EJH74" s="2805"/>
      <c r="EJI74" s="2805"/>
      <c r="EJJ74" s="2805"/>
      <c r="EJK74" s="2805"/>
      <c r="EJL74" s="2805"/>
      <c r="EJM74" s="2805"/>
      <c r="EJN74" s="2805"/>
      <c r="EJO74" s="2805"/>
      <c r="EJP74" s="2805"/>
      <c r="EJQ74" s="2805"/>
      <c r="EJR74" s="2805"/>
      <c r="EJS74" s="2805"/>
      <c r="EJT74" s="2805"/>
      <c r="EJU74" s="2805"/>
      <c r="EJV74" s="2805"/>
      <c r="EJW74" s="2805"/>
      <c r="EJX74" s="2805"/>
      <c r="EJY74" s="2805"/>
      <c r="EJZ74" s="2805"/>
      <c r="EKA74" s="2805"/>
      <c r="EKB74" s="2805"/>
      <c r="EKC74" s="2805"/>
      <c r="EKD74" s="2805"/>
      <c r="EKE74" s="2805"/>
      <c r="EKF74" s="2805"/>
      <c r="EKG74" s="2805"/>
      <c r="EKH74" s="2805"/>
      <c r="EKI74" s="2805"/>
      <c r="EKJ74" s="2805"/>
      <c r="EKK74" s="2805"/>
      <c r="EKL74" s="2805"/>
      <c r="EKM74" s="2805"/>
      <c r="EKN74" s="2805"/>
      <c r="EKO74" s="2805"/>
      <c r="EKP74" s="2805"/>
      <c r="EKQ74" s="2805"/>
      <c r="EKR74" s="2805"/>
      <c r="EKS74" s="2805"/>
      <c r="EKT74" s="2805"/>
      <c r="EKU74" s="2805"/>
      <c r="EKV74" s="2805"/>
      <c r="EKW74" s="2805"/>
      <c r="EKX74" s="2805"/>
      <c r="EKY74" s="2805"/>
      <c r="EKZ74" s="2805"/>
      <c r="ELA74" s="2805"/>
      <c r="ELB74" s="2805"/>
      <c r="ELC74" s="2805"/>
      <c r="ELD74" s="2805"/>
      <c r="ELE74" s="2805"/>
      <c r="ELF74" s="2805"/>
      <c r="ELG74" s="2805"/>
      <c r="ELH74" s="2805"/>
      <c r="ELI74" s="2805"/>
      <c r="ELJ74" s="2805"/>
      <c r="ELK74" s="2805"/>
      <c r="ELL74" s="2805"/>
      <c r="ELM74" s="2805"/>
      <c r="ELN74" s="2805"/>
      <c r="ELO74" s="2805"/>
      <c r="ELP74" s="2805"/>
      <c r="ELQ74" s="2805"/>
      <c r="ELR74" s="2805"/>
      <c r="ELS74" s="2805"/>
      <c r="ELT74" s="2805"/>
      <c r="ELU74" s="2805"/>
      <c r="ELV74" s="2805"/>
      <c r="ELW74" s="2805"/>
      <c r="ELX74" s="2805"/>
      <c r="ELY74" s="2805"/>
      <c r="ELZ74" s="2805"/>
      <c r="EMA74" s="2805"/>
      <c r="EMB74" s="2805"/>
      <c r="EMC74" s="2805"/>
      <c r="EMD74" s="2805"/>
      <c r="EME74" s="2805"/>
      <c r="EMF74" s="2805"/>
      <c r="EMG74" s="2805"/>
      <c r="EMH74" s="2805"/>
      <c r="EMI74" s="2805"/>
      <c r="EMJ74" s="2805"/>
      <c r="EMK74" s="2805"/>
      <c r="EML74" s="2805"/>
      <c r="EMM74" s="2805"/>
      <c r="EMN74" s="2805"/>
      <c r="EMO74" s="2805"/>
      <c r="EMP74" s="2805"/>
      <c r="EMQ74" s="2805"/>
      <c r="EMR74" s="2805"/>
      <c r="EMS74" s="2805"/>
      <c r="EMT74" s="2805"/>
      <c r="EMU74" s="2805"/>
      <c r="EMV74" s="2805"/>
      <c r="EMW74" s="2805"/>
      <c r="EMX74" s="2805"/>
      <c r="EMY74" s="2805"/>
      <c r="EMZ74" s="2805"/>
      <c r="ENA74" s="2805"/>
      <c r="ENB74" s="2805"/>
      <c r="ENC74" s="2805"/>
      <c r="END74" s="2805"/>
      <c r="ENE74" s="2805"/>
      <c r="ENF74" s="2805"/>
      <c r="ENG74" s="2805"/>
      <c r="ENH74" s="2805"/>
      <c r="ENI74" s="2805"/>
      <c r="ENJ74" s="2805"/>
      <c r="ENK74" s="2805"/>
      <c r="ENL74" s="2805"/>
      <c r="ENM74" s="2805"/>
      <c r="ENN74" s="2805"/>
      <c r="ENO74" s="2805"/>
      <c r="ENP74" s="2805"/>
      <c r="ENQ74" s="2805"/>
      <c r="ENR74" s="2805"/>
      <c r="ENS74" s="2805"/>
      <c r="ENT74" s="2805"/>
      <c r="ENU74" s="2805"/>
      <c r="ENV74" s="2805"/>
      <c r="ENW74" s="2805"/>
      <c r="ENX74" s="2805"/>
      <c r="ENY74" s="2805"/>
      <c r="ENZ74" s="2805"/>
      <c r="EOA74" s="2805"/>
      <c r="EOB74" s="2805"/>
      <c r="EOC74" s="2805"/>
      <c r="EOD74" s="2805"/>
      <c r="EOE74" s="2805"/>
      <c r="EOF74" s="2805"/>
      <c r="EOG74" s="2805"/>
      <c r="EOH74" s="2805"/>
      <c r="EOI74" s="2805"/>
      <c r="EOJ74" s="2805"/>
      <c r="EOK74" s="2805"/>
      <c r="EOL74" s="2805"/>
      <c r="EOM74" s="2805"/>
      <c r="EON74" s="2805"/>
      <c r="EOO74" s="2805"/>
      <c r="EOP74" s="2805"/>
      <c r="EOQ74" s="2805"/>
      <c r="EOR74" s="2805"/>
      <c r="EOS74" s="2805"/>
      <c r="EOT74" s="2805"/>
      <c r="EOU74" s="2805"/>
      <c r="EOV74" s="2805"/>
      <c r="EOW74" s="2805"/>
      <c r="EOX74" s="2805"/>
      <c r="EOY74" s="2805"/>
      <c r="EOZ74" s="2805"/>
      <c r="EPA74" s="2805"/>
      <c r="EPB74" s="2805"/>
      <c r="EPC74" s="2805"/>
      <c r="EPD74" s="2805"/>
      <c r="EPE74" s="2805"/>
      <c r="EPF74" s="2805"/>
      <c r="EPG74" s="2805"/>
      <c r="EPH74" s="2805"/>
      <c r="EPI74" s="2805"/>
      <c r="EPJ74" s="2805"/>
      <c r="EPK74" s="2805"/>
      <c r="EPL74" s="2805"/>
      <c r="EPM74" s="2805"/>
      <c r="EPN74" s="2805"/>
      <c r="EPO74" s="2805"/>
      <c r="EPP74" s="2805"/>
      <c r="EPQ74" s="2805"/>
      <c r="EPR74" s="2805"/>
      <c r="EPS74" s="2805"/>
      <c r="EPT74" s="2805"/>
      <c r="EPU74" s="2805"/>
      <c r="EPV74" s="2805"/>
      <c r="EPW74" s="2805"/>
      <c r="EPX74" s="2805"/>
      <c r="EPY74" s="2805"/>
      <c r="EPZ74" s="2805"/>
      <c r="EQA74" s="2805"/>
      <c r="EQB74" s="2805"/>
      <c r="EQC74" s="2805"/>
      <c r="EQD74" s="2805"/>
      <c r="EQE74" s="2805"/>
      <c r="EQF74" s="2805"/>
      <c r="EQG74" s="2805"/>
      <c r="EQH74" s="2805"/>
      <c r="EQI74" s="2805"/>
      <c r="EQJ74" s="2805"/>
      <c r="EQK74" s="2805"/>
      <c r="EQL74" s="2805"/>
      <c r="EQM74" s="2805"/>
      <c r="EQN74" s="2805"/>
      <c r="EQO74" s="2805"/>
      <c r="EQP74" s="2805"/>
      <c r="EQQ74" s="2805"/>
      <c r="EQR74" s="2805"/>
      <c r="EQS74" s="2805"/>
      <c r="EQT74" s="2805"/>
      <c r="EQU74" s="2805"/>
      <c r="EQV74" s="2805"/>
      <c r="EQW74" s="2805"/>
      <c r="EQX74" s="2805"/>
      <c r="EQY74" s="2805"/>
      <c r="EQZ74" s="2805"/>
      <c r="ERA74" s="2805"/>
      <c r="ERB74" s="2805"/>
      <c r="ERC74" s="2805"/>
      <c r="ERD74" s="2805"/>
      <c r="ERE74" s="2805"/>
      <c r="ERF74" s="2805"/>
      <c r="ERG74" s="2805"/>
      <c r="ERH74" s="2805"/>
      <c r="ERI74" s="2805"/>
      <c r="ERJ74" s="2805"/>
      <c r="ERK74" s="2805"/>
      <c r="ERL74" s="2805"/>
      <c r="ERM74" s="2805"/>
      <c r="ERN74" s="2805"/>
      <c r="ERO74" s="2805"/>
      <c r="ERP74" s="2805"/>
      <c r="ERQ74" s="2805"/>
      <c r="ERR74" s="2805"/>
      <c r="ERS74" s="2805"/>
      <c r="ERT74" s="2805"/>
      <c r="ERU74" s="2805"/>
      <c r="ERV74" s="2805"/>
      <c r="ERW74" s="2805"/>
      <c r="ERX74" s="2805"/>
      <c r="ERY74" s="2805"/>
      <c r="ERZ74" s="2805"/>
      <c r="ESA74" s="2805"/>
      <c r="ESB74" s="2805"/>
      <c r="ESC74" s="2805"/>
      <c r="ESD74" s="2805"/>
      <c r="ESE74" s="2805"/>
      <c r="ESF74" s="2805"/>
      <c r="ESG74" s="2805"/>
      <c r="ESH74" s="2805"/>
      <c r="ESI74" s="2805"/>
      <c r="ESJ74" s="2805"/>
      <c r="ESK74" s="2805"/>
      <c r="ESL74" s="2805"/>
      <c r="ESM74" s="2805"/>
      <c r="ESN74" s="2805"/>
      <c r="ESO74" s="2805"/>
      <c r="ESP74" s="2805"/>
      <c r="ESQ74" s="2805"/>
      <c r="ESR74" s="2805"/>
      <c r="ESS74" s="2805"/>
      <c r="EST74" s="2805"/>
      <c r="ESU74" s="2805"/>
      <c r="ESV74" s="2805"/>
      <c r="ESW74" s="2805"/>
      <c r="ESX74" s="2805"/>
      <c r="ESY74" s="2805"/>
      <c r="ESZ74" s="2805"/>
      <c r="ETA74" s="2805"/>
      <c r="ETB74" s="2805"/>
      <c r="ETC74" s="2805"/>
      <c r="ETD74" s="2805"/>
      <c r="ETE74" s="2805"/>
      <c r="ETF74" s="2805"/>
      <c r="ETG74" s="2805"/>
      <c r="ETH74" s="2805"/>
      <c r="ETI74" s="2805"/>
      <c r="ETJ74" s="2805"/>
      <c r="ETK74" s="2805"/>
      <c r="ETL74" s="2805"/>
      <c r="ETM74" s="2805"/>
      <c r="ETN74" s="2805"/>
      <c r="ETO74" s="2805"/>
      <c r="ETP74" s="2805"/>
      <c r="ETQ74" s="2805"/>
      <c r="ETR74" s="2805"/>
      <c r="ETS74" s="2805"/>
      <c r="ETT74" s="2805"/>
      <c r="ETU74" s="2805"/>
      <c r="ETV74" s="2805"/>
      <c r="ETW74" s="2805"/>
      <c r="ETX74" s="2805"/>
      <c r="ETY74" s="2805"/>
      <c r="ETZ74" s="2805"/>
      <c r="EUA74" s="2805"/>
      <c r="EUB74" s="2805"/>
      <c r="EUC74" s="2805"/>
      <c r="EUD74" s="2805"/>
      <c r="EUE74" s="2805"/>
      <c r="EUF74" s="2805"/>
      <c r="EUG74" s="2805"/>
      <c r="EUH74" s="2805"/>
      <c r="EUI74" s="2805"/>
      <c r="EUJ74" s="2805"/>
      <c r="EUK74" s="2805"/>
      <c r="EUL74" s="2805"/>
      <c r="EUM74" s="2805"/>
      <c r="EUN74" s="2805"/>
      <c r="EUO74" s="2805"/>
      <c r="EUP74" s="2805"/>
      <c r="EUQ74" s="2805"/>
      <c r="EUR74" s="2805"/>
      <c r="EUS74" s="2805"/>
      <c r="EUT74" s="2805"/>
      <c r="EUU74" s="2805"/>
      <c r="EUV74" s="2805"/>
      <c r="EUW74" s="2805"/>
      <c r="EUX74" s="2805"/>
      <c r="EUY74" s="2805"/>
      <c r="EUZ74" s="2805"/>
      <c r="EVA74" s="2805"/>
      <c r="EVB74" s="2805"/>
      <c r="EVC74" s="2805"/>
      <c r="EVD74" s="2805"/>
      <c r="EVE74" s="2805"/>
      <c r="EVF74" s="2805"/>
      <c r="EVG74" s="2805"/>
      <c r="EVH74" s="2805"/>
      <c r="EVI74" s="2805"/>
      <c r="EVJ74" s="2805"/>
      <c r="EVK74" s="2805"/>
      <c r="EVL74" s="2805"/>
      <c r="EVM74" s="2805"/>
      <c r="EVN74" s="2805"/>
      <c r="EVO74" s="2805"/>
      <c r="EVP74" s="2805"/>
      <c r="EVQ74" s="2805"/>
      <c r="EVR74" s="2805"/>
      <c r="EVS74" s="2805"/>
      <c r="EVT74" s="2805"/>
      <c r="EVU74" s="2805"/>
      <c r="EVV74" s="2805"/>
      <c r="EVW74" s="2805"/>
      <c r="EVX74" s="2805"/>
      <c r="EVY74" s="2805"/>
      <c r="EVZ74" s="2805"/>
      <c r="EWA74" s="2805"/>
      <c r="EWB74" s="2805"/>
      <c r="EWC74" s="2805"/>
      <c r="EWD74" s="2805"/>
      <c r="EWE74" s="2805"/>
      <c r="EWF74" s="2805"/>
      <c r="EWG74" s="2805"/>
      <c r="EWH74" s="2805"/>
      <c r="EWI74" s="2805"/>
      <c r="EWJ74" s="2805"/>
      <c r="EWK74" s="2805"/>
      <c r="EWL74" s="2805"/>
      <c r="EWM74" s="2805"/>
      <c r="EWN74" s="2805"/>
      <c r="EWO74" s="2805"/>
      <c r="EWP74" s="2805"/>
      <c r="EWQ74" s="2805"/>
      <c r="EWR74" s="2805"/>
      <c r="EWS74" s="2805"/>
      <c r="EWT74" s="2805"/>
      <c r="EWU74" s="2805"/>
      <c r="EWV74" s="2805"/>
      <c r="EWW74" s="2805"/>
      <c r="EWX74" s="2805"/>
      <c r="EWY74" s="2805"/>
      <c r="EWZ74" s="2805"/>
      <c r="EXA74" s="2805"/>
      <c r="EXB74" s="2805"/>
      <c r="EXC74" s="2805"/>
      <c r="EXD74" s="2805"/>
      <c r="EXE74" s="2805"/>
      <c r="EXF74" s="2805"/>
      <c r="EXG74" s="2805"/>
      <c r="EXH74" s="2805"/>
      <c r="EXI74" s="2805"/>
      <c r="EXJ74" s="2805"/>
      <c r="EXK74" s="2805"/>
      <c r="EXL74" s="2805"/>
      <c r="EXM74" s="2805"/>
      <c r="EXN74" s="2805"/>
      <c r="EXO74" s="2805"/>
      <c r="EXP74" s="2805"/>
      <c r="EXQ74" s="2805"/>
      <c r="EXR74" s="2805"/>
      <c r="EXS74" s="2805"/>
      <c r="EXT74" s="2805"/>
      <c r="EXU74" s="2805"/>
      <c r="EXV74" s="2805"/>
      <c r="EXW74" s="2805"/>
      <c r="EXX74" s="2805"/>
      <c r="EXY74" s="2805"/>
      <c r="EXZ74" s="2805"/>
      <c r="EYA74" s="2805"/>
      <c r="EYB74" s="2805"/>
      <c r="EYC74" s="2805"/>
      <c r="EYD74" s="2805"/>
      <c r="EYE74" s="2805"/>
      <c r="EYF74" s="2805"/>
      <c r="EYG74" s="2805"/>
      <c r="EYH74" s="2805"/>
      <c r="EYI74" s="2805"/>
      <c r="EYJ74" s="2805"/>
      <c r="EYK74" s="2805"/>
      <c r="EYL74" s="2805"/>
      <c r="EYM74" s="2805"/>
      <c r="EYN74" s="2805"/>
      <c r="EYO74" s="2805"/>
      <c r="EYP74" s="2805"/>
      <c r="EYQ74" s="2805"/>
      <c r="EYR74" s="2805"/>
      <c r="EYS74" s="2805"/>
      <c r="EYT74" s="2805"/>
      <c r="EYU74" s="2805"/>
      <c r="EYV74" s="2805"/>
      <c r="EYW74" s="2805"/>
      <c r="EYX74" s="2805"/>
      <c r="EYY74" s="2805"/>
      <c r="EYZ74" s="2805"/>
      <c r="EZA74" s="2805"/>
      <c r="EZB74" s="2805"/>
      <c r="EZC74" s="2805"/>
      <c r="EZD74" s="2805"/>
      <c r="EZE74" s="2805"/>
      <c r="EZF74" s="2805"/>
      <c r="EZG74" s="2805"/>
      <c r="EZH74" s="2805"/>
      <c r="EZI74" s="2805"/>
      <c r="EZJ74" s="2805"/>
      <c r="EZK74" s="2805"/>
      <c r="EZL74" s="2805"/>
      <c r="EZM74" s="2805"/>
      <c r="EZN74" s="2805"/>
      <c r="EZO74" s="2805"/>
      <c r="EZP74" s="2805"/>
      <c r="EZQ74" s="2805"/>
      <c r="EZR74" s="2805"/>
      <c r="EZS74" s="2805"/>
      <c r="EZT74" s="2805"/>
      <c r="EZU74" s="2805"/>
      <c r="EZV74" s="2805"/>
      <c r="EZW74" s="2805"/>
      <c r="EZX74" s="2805"/>
      <c r="EZY74" s="2805"/>
      <c r="EZZ74" s="2805"/>
      <c r="FAA74" s="2805"/>
      <c r="FAB74" s="2805"/>
      <c r="FAC74" s="2805"/>
      <c r="FAD74" s="2805"/>
      <c r="FAE74" s="2805"/>
      <c r="FAF74" s="2805"/>
      <c r="FAG74" s="2805"/>
      <c r="FAH74" s="2805"/>
      <c r="FAI74" s="2805"/>
      <c r="FAJ74" s="2805"/>
      <c r="FAK74" s="2805"/>
      <c r="FAL74" s="2805"/>
      <c r="FAM74" s="2805"/>
      <c r="FAN74" s="2805"/>
      <c r="FAO74" s="2805"/>
      <c r="FAP74" s="2805"/>
      <c r="FAQ74" s="2805"/>
      <c r="FAR74" s="2805"/>
      <c r="FAS74" s="2805"/>
      <c r="FAT74" s="2805"/>
      <c r="FAU74" s="2805"/>
      <c r="FAV74" s="2805"/>
      <c r="FAW74" s="2805"/>
      <c r="FAX74" s="2805"/>
      <c r="FAY74" s="2805"/>
      <c r="FAZ74" s="2805"/>
      <c r="FBA74" s="2805"/>
      <c r="FBB74" s="2805"/>
      <c r="FBC74" s="2805"/>
      <c r="FBD74" s="2805"/>
      <c r="FBE74" s="2805"/>
      <c r="FBF74" s="2805"/>
      <c r="FBG74" s="2805"/>
      <c r="FBH74" s="2805"/>
      <c r="FBI74" s="2805"/>
      <c r="FBJ74" s="2805"/>
      <c r="FBK74" s="2805"/>
      <c r="FBL74" s="2805"/>
      <c r="FBM74" s="2805"/>
      <c r="FBN74" s="2805"/>
      <c r="FBO74" s="2805"/>
      <c r="FBP74" s="2805"/>
      <c r="FBQ74" s="2805"/>
      <c r="FBR74" s="2805"/>
      <c r="FBS74" s="2805"/>
      <c r="FBT74" s="2805"/>
      <c r="FBU74" s="2805"/>
      <c r="FBV74" s="2805"/>
      <c r="FBW74" s="2805"/>
      <c r="FBX74" s="2805"/>
      <c r="FBY74" s="2805"/>
      <c r="FBZ74" s="2805"/>
      <c r="FCA74" s="2805"/>
      <c r="FCB74" s="2805"/>
      <c r="FCC74" s="2805"/>
      <c r="FCD74" s="2805"/>
      <c r="FCE74" s="2805"/>
      <c r="FCF74" s="2805"/>
      <c r="FCG74" s="2805"/>
      <c r="FCH74" s="2805"/>
      <c r="FCI74" s="2805"/>
      <c r="FCJ74" s="2805"/>
      <c r="FCK74" s="2805"/>
      <c r="FCL74" s="2805"/>
      <c r="FCM74" s="2805"/>
      <c r="FCN74" s="2805"/>
      <c r="FCO74" s="2805"/>
      <c r="FCP74" s="2805"/>
      <c r="FCQ74" s="2805"/>
      <c r="FCR74" s="2805"/>
      <c r="FCS74" s="2805"/>
      <c r="FCT74" s="2805"/>
      <c r="FCU74" s="2805"/>
      <c r="FCV74" s="2805"/>
      <c r="FCW74" s="2805"/>
      <c r="FCX74" s="2805"/>
      <c r="FCY74" s="2805"/>
      <c r="FCZ74" s="2805"/>
      <c r="FDA74" s="2805"/>
      <c r="FDB74" s="2805"/>
      <c r="FDC74" s="2805"/>
      <c r="FDD74" s="2805"/>
      <c r="FDE74" s="2805"/>
      <c r="FDF74" s="2805"/>
      <c r="FDG74" s="2805"/>
      <c r="FDH74" s="2805"/>
      <c r="FDI74" s="2805"/>
      <c r="FDJ74" s="2805"/>
      <c r="FDK74" s="2805"/>
      <c r="FDL74" s="2805"/>
      <c r="FDM74" s="2805"/>
      <c r="FDN74" s="2805"/>
      <c r="FDO74" s="2805"/>
      <c r="FDP74" s="2805"/>
      <c r="FDQ74" s="2805"/>
      <c r="FDR74" s="2805"/>
      <c r="FDS74" s="2805"/>
      <c r="FDT74" s="2805"/>
      <c r="FDU74" s="2805"/>
      <c r="FDV74" s="2805"/>
      <c r="FDW74" s="2805"/>
      <c r="FDX74" s="2805"/>
      <c r="FDY74" s="2805"/>
      <c r="FDZ74" s="2805"/>
      <c r="FEA74" s="2805"/>
      <c r="FEB74" s="2805"/>
      <c r="FEC74" s="2805"/>
      <c r="FED74" s="2805"/>
      <c r="FEE74" s="2805"/>
      <c r="FEF74" s="2805"/>
      <c r="FEG74" s="2805"/>
      <c r="FEH74" s="2805"/>
      <c r="FEI74" s="2805"/>
      <c r="FEJ74" s="2805"/>
      <c r="FEK74" s="2805"/>
      <c r="FEL74" s="2805"/>
      <c r="FEM74" s="2805"/>
      <c r="FEN74" s="2805"/>
      <c r="FEO74" s="2805"/>
      <c r="FEP74" s="2805"/>
      <c r="FEQ74" s="2805"/>
      <c r="FER74" s="2805"/>
      <c r="FES74" s="2805"/>
      <c r="FET74" s="2805"/>
      <c r="FEU74" s="2805"/>
      <c r="FEV74" s="2805"/>
      <c r="FEW74" s="2805"/>
      <c r="FEX74" s="2805"/>
      <c r="FEY74" s="2805"/>
      <c r="FEZ74" s="2805"/>
      <c r="FFA74" s="2805"/>
      <c r="FFB74" s="2805"/>
      <c r="FFC74" s="2805"/>
      <c r="FFD74" s="2805"/>
      <c r="FFE74" s="2805"/>
      <c r="FFF74" s="2805"/>
      <c r="FFG74" s="2805"/>
      <c r="FFH74" s="2805"/>
      <c r="FFI74" s="2805"/>
      <c r="FFJ74" s="2805"/>
      <c r="FFK74" s="2805"/>
      <c r="FFL74" s="2805"/>
      <c r="FFM74" s="2805"/>
      <c r="FFN74" s="2805"/>
      <c r="FFO74" s="2805"/>
      <c r="FFP74" s="2805"/>
      <c r="FFQ74" s="2805"/>
      <c r="FFR74" s="2805"/>
      <c r="FFS74" s="2805"/>
      <c r="FFT74" s="2805"/>
      <c r="FFU74" s="2805"/>
      <c r="FFV74" s="2805"/>
      <c r="FFW74" s="2805"/>
      <c r="FFX74" s="2805"/>
      <c r="FFY74" s="2805"/>
      <c r="FFZ74" s="2805"/>
      <c r="FGA74" s="2805"/>
      <c r="FGB74" s="2805"/>
      <c r="FGC74" s="2805"/>
      <c r="FGD74" s="2805"/>
      <c r="FGE74" s="2805"/>
      <c r="FGF74" s="2805"/>
      <c r="FGG74" s="2805"/>
      <c r="FGH74" s="2805"/>
      <c r="FGI74" s="2805"/>
      <c r="FGJ74" s="2805"/>
      <c r="FGK74" s="2805"/>
      <c r="FGL74" s="2805"/>
      <c r="FGM74" s="2805"/>
      <c r="FGN74" s="2805"/>
      <c r="FGO74" s="2805"/>
      <c r="FGP74" s="2805"/>
      <c r="FGQ74" s="2805"/>
      <c r="FGR74" s="2805"/>
      <c r="FGS74" s="2805"/>
      <c r="FGT74" s="2805"/>
      <c r="FGU74" s="2805"/>
      <c r="FGV74" s="2805"/>
      <c r="FGW74" s="2805"/>
      <c r="FGX74" s="2805"/>
      <c r="FGY74" s="2805"/>
      <c r="FGZ74" s="2805"/>
      <c r="FHA74" s="2805"/>
      <c r="FHB74" s="2805"/>
      <c r="FHC74" s="2805"/>
      <c r="FHD74" s="2805"/>
      <c r="FHE74" s="2805"/>
      <c r="FHF74" s="2805"/>
      <c r="FHG74" s="2805"/>
      <c r="FHH74" s="2805"/>
      <c r="FHI74" s="2805"/>
      <c r="FHJ74" s="2805"/>
      <c r="FHK74" s="2805"/>
      <c r="FHL74" s="2805"/>
      <c r="FHM74" s="2805"/>
      <c r="FHN74" s="2805"/>
      <c r="FHO74" s="2805"/>
      <c r="FHP74" s="2805"/>
      <c r="FHQ74" s="2805"/>
      <c r="FHR74" s="2805"/>
      <c r="FHS74" s="2805"/>
      <c r="FHT74" s="2805"/>
      <c r="FHU74" s="2805"/>
      <c r="FHV74" s="2805"/>
      <c r="FHW74" s="2805"/>
      <c r="FHX74" s="2805"/>
      <c r="FHY74" s="2805"/>
      <c r="FHZ74" s="2805"/>
      <c r="FIA74" s="2805"/>
      <c r="FIB74" s="2805"/>
      <c r="FIC74" s="2805"/>
      <c r="FID74" s="2805"/>
      <c r="FIE74" s="2805"/>
      <c r="FIF74" s="2805"/>
      <c r="FIG74" s="2805"/>
      <c r="FIH74" s="2805"/>
      <c r="FII74" s="2805"/>
      <c r="FIJ74" s="2805"/>
      <c r="FIK74" s="2805"/>
      <c r="FIL74" s="2805"/>
      <c r="FIM74" s="2805"/>
      <c r="FIN74" s="2805"/>
      <c r="FIO74" s="2805"/>
      <c r="FIP74" s="2805"/>
      <c r="FIQ74" s="2805"/>
      <c r="FIR74" s="2805"/>
      <c r="FIS74" s="2805"/>
      <c r="FIT74" s="2805"/>
      <c r="FIU74" s="2805"/>
      <c r="FIV74" s="2805"/>
      <c r="FIW74" s="2805"/>
      <c r="FIX74" s="2805"/>
      <c r="FIY74" s="2805"/>
      <c r="FIZ74" s="2805"/>
      <c r="FJA74" s="2805"/>
      <c r="FJB74" s="2805"/>
      <c r="FJC74" s="2805"/>
      <c r="FJD74" s="2805"/>
      <c r="FJE74" s="2805"/>
      <c r="FJF74" s="2805"/>
      <c r="FJG74" s="2805"/>
      <c r="FJH74" s="2805"/>
      <c r="FJI74" s="2805"/>
      <c r="FJJ74" s="2805"/>
      <c r="FJK74" s="2805"/>
      <c r="FJL74" s="2805"/>
      <c r="FJM74" s="2805"/>
      <c r="FJN74" s="2805"/>
      <c r="FJO74" s="2805"/>
      <c r="FJP74" s="2805"/>
      <c r="FJQ74" s="2805"/>
      <c r="FJR74" s="2805"/>
      <c r="FJS74" s="2805"/>
      <c r="FJT74" s="2805"/>
      <c r="FJU74" s="2805"/>
      <c r="FJV74" s="2805"/>
      <c r="FJW74" s="2805"/>
      <c r="FJX74" s="2805"/>
      <c r="FJY74" s="2805"/>
      <c r="FJZ74" s="2805"/>
      <c r="FKA74" s="2805"/>
      <c r="FKB74" s="2805"/>
      <c r="FKC74" s="2805"/>
      <c r="FKD74" s="2805"/>
      <c r="FKE74" s="2805"/>
      <c r="FKF74" s="2805"/>
      <c r="FKG74" s="2805"/>
      <c r="FKH74" s="2805"/>
      <c r="FKI74" s="2805"/>
      <c r="FKJ74" s="2805"/>
      <c r="FKK74" s="2805"/>
      <c r="FKL74" s="2805"/>
      <c r="FKM74" s="2805"/>
      <c r="FKN74" s="2805"/>
      <c r="FKO74" s="2805"/>
      <c r="FKP74" s="2805"/>
      <c r="FKQ74" s="2805"/>
      <c r="FKR74" s="2805"/>
      <c r="FKS74" s="2805"/>
      <c r="FKT74" s="2805"/>
      <c r="FKU74" s="2805"/>
      <c r="FKV74" s="2805"/>
      <c r="FKW74" s="2805"/>
      <c r="FKX74" s="2805"/>
      <c r="FKY74" s="2805"/>
      <c r="FKZ74" s="2805"/>
      <c r="FLA74" s="2805"/>
      <c r="FLB74" s="2805"/>
      <c r="FLC74" s="2805"/>
      <c r="FLD74" s="2805"/>
      <c r="FLE74" s="2805"/>
      <c r="FLF74" s="2805"/>
      <c r="FLG74" s="2805"/>
      <c r="FLH74" s="2805"/>
      <c r="FLI74" s="2805"/>
      <c r="FLJ74" s="2805"/>
      <c r="FLK74" s="2805"/>
      <c r="FLL74" s="2805"/>
      <c r="FLM74" s="2805"/>
      <c r="FLN74" s="2805"/>
      <c r="FLO74" s="2805"/>
      <c r="FLP74" s="2805"/>
      <c r="FLQ74" s="2805"/>
      <c r="FLR74" s="2805"/>
      <c r="FLS74" s="2805"/>
      <c r="FLT74" s="2805"/>
      <c r="FLU74" s="2805"/>
      <c r="FLV74" s="2805"/>
      <c r="FLW74" s="2805"/>
      <c r="FLX74" s="2805"/>
      <c r="FLY74" s="2805"/>
      <c r="FLZ74" s="2805"/>
      <c r="FMA74" s="2805"/>
      <c r="FMB74" s="2805"/>
      <c r="FMC74" s="2805"/>
      <c r="FMD74" s="2805"/>
      <c r="FME74" s="2805"/>
      <c r="FMF74" s="2805"/>
      <c r="FMG74" s="2805"/>
      <c r="FMH74" s="2805"/>
      <c r="FMI74" s="2805"/>
      <c r="FMJ74" s="2805"/>
      <c r="FMK74" s="2805"/>
      <c r="FML74" s="2805"/>
      <c r="FMM74" s="2805"/>
      <c r="FMN74" s="2805"/>
      <c r="FMO74" s="2805"/>
      <c r="FMP74" s="2805"/>
      <c r="FMQ74" s="2805"/>
      <c r="FMR74" s="2805"/>
      <c r="FMS74" s="2805"/>
      <c r="FMT74" s="2805"/>
      <c r="FMU74" s="2805"/>
      <c r="FMV74" s="2805"/>
      <c r="FMW74" s="2805"/>
      <c r="FMX74" s="2805"/>
      <c r="FMY74" s="2805"/>
      <c r="FMZ74" s="2805"/>
      <c r="FNA74" s="2805"/>
      <c r="FNB74" s="2805"/>
      <c r="FNC74" s="2805"/>
      <c r="FND74" s="2805"/>
      <c r="FNE74" s="2805"/>
      <c r="FNF74" s="2805"/>
      <c r="FNG74" s="2805"/>
      <c r="FNH74" s="2805"/>
      <c r="FNI74" s="2805"/>
      <c r="FNJ74" s="2805"/>
      <c r="FNK74" s="2805"/>
      <c r="FNL74" s="2805"/>
      <c r="FNM74" s="2805"/>
      <c r="FNN74" s="2805"/>
      <c r="FNO74" s="2805"/>
      <c r="FNP74" s="2805"/>
      <c r="FNQ74" s="2805"/>
      <c r="FNR74" s="2805"/>
      <c r="FNS74" s="2805"/>
      <c r="FNT74" s="2805"/>
      <c r="FNU74" s="2805"/>
      <c r="FNV74" s="2805"/>
      <c r="FNW74" s="2805"/>
      <c r="FNX74" s="2805"/>
      <c r="FNY74" s="2805"/>
      <c r="FNZ74" s="2805"/>
      <c r="FOA74" s="2805"/>
      <c r="FOB74" s="2805"/>
      <c r="FOC74" s="2805"/>
      <c r="FOD74" s="2805"/>
      <c r="FOE74" s="2805"/>
      <c r="FOF74" s="2805"/>
      <c r="FOG74" s="2805"/>
      <c r="FOH74" s="2805"/>
      <c r="FOI74" s="2805"/>
      <c r="FOJ74" s="2805"/>
      <c r="FOK74" s="2805"/>
      <c r="FOL74" s="2805"/>
      <c r="FOM74" s="2805"/>
      <c r="FON74" s="2805"/>
      <c r="FOO74" s="2805"/>
      <c r="FOP74" s="2805"/>
      <c r="FOQ74" s="2805"/>
      <c r="FOR74" s="2805"/>
      <c r="FOS74" s="2805"/>
      <c r="FOT74" s="2805"/>
      <c r="FOU74" s="2805"/>
      <c r="FOV74" s="2805"/>
      <c r="FOW74" s="2805"/>
      <c r="FOX74" s="2805"/>
      <c r="FOY74" s="2805"/>
      <c r="FOZ74" s="2805"/>
      <c r="FPA74" s="2805"/>
      <c r="FPB74" s="2805"/>
      <c r="FPC74" s="2805"/>
      <c r="FPD74" s="2805"/>
      <c r="FPE74" s="2805"/>
      <c r="FPF74" s="2805"/>
      <c r="FPG74" s="2805"/>
      <c r="FPH74" s="2805"/>
      <c r="FPI74" s="2805"/>
      <c r="FPJ74" s="2805"/>
      <c r="FPK74" s="2805"/>
      <c r="FPL74" s="2805"/>
      <c r="FPM74" s="2805"/>
      <c r="FPN74" s="2805"/>
      <c r="FPO74" s="2805"/>
      <c r="FPP74" s="2805"/>
      <c r="FPQ74" s="2805"/>
      <c r="FPR74" s="2805"/>
      <c r="FPS74" s="2805"/>
      <c r="FPT74" s="2805"/>
      <c r="FPU74" s="2805"/>
      <c r="FPV74" s="2805"/>
      <c r="FPW74" s="2805"/>
      <c r="FPX74" s="2805"/>
      <c r="FPY74" s="2805"/>
      <c r="FPZ74" s="2805"/>
      <c r="FQA74" s="2805"/>
      <c r="FQB74" s="2805"/>
      <c r="FQC74" s="2805"/>
      <c r="FQD74" s="2805"/>
      <c r="FQE74" s="2805"/>
      <c r="FQF74" s="2805"/>
      <c r="FQG74" s="2805"/>
      <c r="FQH74" s="2805"/>
      <c r="FQI74" s="2805"/>
      <c r="FQJ74" s="2805"/>
      <c r="FQK74" s="2805"/>
      <c r="FQL74" s="2805"/>
      <c r="FQM74" s="2805"/>
      <c r="FQN74" s="2805"/>
      <c r="FQO74" s="2805"/>
      <c r="FQP74" s="2805"/>
      <c r="FQQ74" s="2805"/>
      <c r="FQR74" s="2805"/>
      <c r="FQS74" s="2805"/>
      <c r="FQT74" s="2805"/>
      <c r="FQU74" s="2805"/>
      <c r="FQV74" s="2805"/>
      <c r="FQW74" s="2805"/>
      <c r="FQX74" s="2805"/>
      <c r="FQY74" s="2805"/>
      <c r="FQZ74" s="2805"/>
      <c r="FRA74" s="2805"/>
      <c r="FRB74" s="2805"/>
      <c r="FRC74" s="2805"/>
      <c r="FRD74" s="2805"/>
      <c r="FRE74" s="2805"/>
      <c r="FRF74" s="2805"/>
      <c r="FRG74" s="2805"/>
      <c r="FRH74" s="2805"/>
      <c r="FRI74" s="2805"/>
      <c r="FRJ74" s="2805"/>
      <c r="FRK74" s="2805"/>
      <c r="FRL74" s="2805"/>
      <c r="FRM74" s="2805"/>
      <c r="FRN74" s="2805"/>
      <c r="FRO74" s="2805"/>
      <c r="FRP74" s="2805"/>
      <c r="FRQ74" s="2805"/>
      <c r="FRR74" s="2805"/>
      <c r="FRS74" s="2805"/>
      <c r="FRT74" s="2805"/>
      <c r="FRU74" s="2805"/>
      <c r="FRV74" s="2805"/>
      <c r="FRW74" s="2805"/>
      <c r="FRX74" s="2805"/>
      <c r="FRY74" s="2805"/>
      <c r="FRZ74" s="2805"/>
      <c r="FSA74" s="2805"/>
      <c r="FSB74" s="2805"/>
      <c r="FSC74" s="2805"/>
      <c r="FSD74" s="2805"/>
      <c r="FSE74" s="2805"/>
      <c r="FSF74" s="2805"/>
      <c r="FSG74" s="2805"/>
      <c r="FSH74" s="2805"/>
      <c r="FSI74" s="2805"/>
      <c r="FSJ74" s="2805"/>
      <c r="FSK74" s="2805"/>
      <c r="FSL74" s="2805"/>
      <c r="FSM74" s="2805"/>
      <c r="FSN74" s="2805"/>
      <c r="FSO74" s="2805"/>
      <c r="FSP74" s="2805"/>
      <c r="FSQ74" s="2805"/>
      <c r="FSR74" s="2805"/>
      <c r="FSS74" s="2805"/>
      <c r="FST74" s="2805"/>
      <c r="FSU74" s="2805"/>
      <c r="FSV74" s="2805"/>
      <c r="FSW74" s="2805"/>
      <c r="FSX74" s="2805"/>
      <c r="FSY74" s="2805"/>
      <c r="FSZ74" s="2805"/>
      <c r="FTA74" s="2805"/>
      <c r="FTB74" s="2805"/>
      <c r="FTC74" s="2805"/>
      <c r="FTD74" s="2805"/>
      <c r="FTE74" s="2805"/>
      <c r="FTF74" s="2805"/>
      <c r="FTG74" s="2805"/>
      <c r="FTH74" s="2805"/>
      <c r="FTI74" s="2805"/>
      <c r="FTJ74" s="2805"/>
      <c r="FTK74" s="2805"/>
      <c r="FTL74" s="2805"/>
      <c r="FTM74" s="2805"/>
      <c r="FTN74" s="2805"/>
      <c r="FTO74" s="2805"/>
      <c r="FTP74" s="2805"/>
      <c r="FTQ74" s="2805"/>
      <c r="FTR74" s="2805"/>
      <c r="FTS74" s="2805"/>
      <c r="FTT74" s="2805"/>
      <c r="FTU74" s="2805"/>
      <c r="FTV74" s="2805"/>
      <c r="FTW74" s="2805"/>
      <c r="FTX74" s="2805"/>
      <c r="FTY74" s="2805"/>
      <c r="FTZ74" s="2805"/>
      <c r="FUA74" s="2805"/>
      <c r="FUB74" s="2805"/>
      <c r="FUC74" s="2805"/>
      <c r="FUD74" s="2805"/>
      <c r="FUE74" s="2805"/>
      <c r="FUF74" s="2805"/>
      <c r="FUG74" s="2805"/>
      <c r="FUH74" s="2805"/>
      <c r="FUI74" s="2805"/>
      <c r="FUJ74" s="2805"/>
      <c r="FUK74" s="2805"/>
      <c r="FUL74" s="2805"/>
      <c r="FUM74" s="2805"/>
      <c r="FUN74" s="2805"/>
      <c r="FUO74" s="2805"/>
      <c r="FUP74" s="2805"/>
      <c r="FUQ74" s="2805"/>
      <c r="FUR74" s="2805"/>
      <c r="FUS74" s="2805"/>
      <c r="FUT74" s="2805"/>
      <c r="FUU74" s="2805"/>
      <c r="FUV74" s="2805"/>
      <c r="FUW74" s="2805"/>
      <c r="FUX74" s="2805"/>
      <c r="FUY74" s="2805"/>
      <c r="FUZ74" s="2805"/>
      <c r="FVA74" s="2805"/>
      <c r="FVB74" s="2805"/>
      <c r="FVC74" s="2805"/>
      <c r="FVD74" s="2805"/>
      <c r="FVE74" s="2805"/>
      <c r="FVF74" s="2805"/>
      <c r="FVG74" s="2805"/>
      <c r="FVH74" s="2805"/>
      <c r="FVI74" s="2805"/>
      <c r="FVJ74" s="2805"/>
      <c r="FVK74" s="2805"/>
      <c r="FVL74" s="2805"/>
      <c r="FVM74" s="2805"/>
      <c r="FVN74" s="2805"/>
      <c r="FVO74" s="2805"/>
      <c r="FVP74" s="2805"/>
      <c r="FVQ74" s="2805"/>
      <c r="FVR74" s="2805"/>
      <c r="FVS74" s="2805"/>
      <c r="FVT74" s="2805"/>
      <c r="FVU74" s="2805"/>
      <c r="FVV74" s="2805"/>
      <c r="FVW74" s="2805"/>
      <c r="FVX74" s="2805"/>
      <c r="FVY74" s="2805"/>
      <c r="FVZ74" s="2805"/>
      <c r="FWA74" s="2805"/>
      <c r="FWB74" s="2805"/>
      <c r="FWC74" s="2805"/>
      <c r="FWD74" s="2805"/>
      <c r="FWE74" s="2805"/>
      <c r="FWF74" s="2805"/>
      <c r="FWG74" s="2805"/>
      <c r="FWH74" s="2805"/>
      <c r="FWI74" s="2805"/>
      <c r="FWJ74" s="2805"/>
      <c r="FWK74" s="2805"/>
      <c r="FWL74" s="2805"/>
      <c r="FWM74" s="2805"/>
      <c r="FWN74" s="2805"/>
      <c r="FWO74" s="2805"/>
      <c r="FWP74" s="2805"/>
      <c r="FWQ74" s="2805"/>
      <c r="FWR74" s="2805"/>
      <c r="FWS74" s="2805"/>
      <c r="FWT74" s="2805"/>
      <c r="FWU74" s="2805"/>
      <c r="FWV74" s="2805"/>
      <c r="FWW74" s="2805"/>
      <c r="FWX74" s="2805"/>
      <c r="FWY74" s="2805"/>
      <c r="FWZ74" s="2805"/>
      <c r="FXA74" s="2805"/>
      <c r="FXB74" s="2805"/>
      <c r="FXC74" s="2805"/>
      <c r="FXD74" s="2805"/>
      <c r="FXE74" s="2805"/>
      <c r="FXF74" s="2805"/>
      <c r="FXG74" s="2805"/>
      <c r="FXH74" s="2805"/>
      <c r="FXI74" s="2805"/>
      <c r="FXJ74" s="2805"/>
      <c r="FXK74" s="2805"/>
      <c r="FXL74" s="2805"/>
      <c r="FXM74" s="2805"/>
      <c r="FXN74" s="2805"/>
      <c r="FXO74" s="2805"/>
      <c r="FXP74" s="2805"/>
      <c r="FXQ74" s="2805"/>
      <c r="FXR74" s="2805"/>
      <c r="FXS74" s="2805"/>
      <c r="FXT74" s="2805"/>
      <c r="FXU74" s="2805"/>
      <c r="FXV74" s="2805"/>
      <c r="FXW74" s="2805"/>
      <c r="FXX74" s="2805"/>
      <c r="FXY74" s="2805"/>
      <c r="FXZ74" s="2805"/>
      <c r="FYA74" s="2805"/>
      <c r="FYB74" s="2805"/>
      <c r="FYC74" s="2805"/>
      <c r="FYD74" s="2805"/>
      <c r="FYE74" s="2805"/>
      <c r="FYF74" s="2805"/>
      <c r="FYG74" s="2805"/>
      <c r="FYH74" s="2805"/>
      <c r="FYI74" s="2805"/>
      <c r="FYJ74" s="2805"/>
      <c r="FYK74" s="2805"/>
      <c r="FYL74" s="2805"/>
      <c r="FYM74" s="2805"/>
      <c r="FYN74" s="2805"/>
      <c r="FYO74" s="2805"/>
      <c r="FYP74" s="2805"/>
      <c r="FYQ74" s="2805"/>
      <c r="FYR74" s="2805"/>
      <c r="FYS74" s="2805"/>
      <c r="FYT74" s="2805"/>
      <c r="FYU74" s="2805"/>
      <c r="FYV74" s="2805"/>
      <c r="FYW74" s="2805"/>
      <c r="FYX74" s="2805"/>
      <c r="FYY74" s="2805"/>
      <c r="FYZ74" s="2805"/>
      <c r="FZA74" s="2805"/>
      <c r="FZB74" s="2805"/>
      <c r="FZC74" s="2805"/>
      <c r="FZD74" s="2805"/>
      <c r="FZE74" s="2805"/>
      <c r="FZF74" s="2805"/>
      <c r="FZG74" s="2805"/>
      <c r="FZH74" s="2805"/>
      <c r="FZI74" s="2805"/>
      <c r="FZJ74" s="2805"/>
      <c r="FZK74" s="2805"/>
      <c r="FZL74" s="2805"/>
      <c r="FZM74" s="2805"/>
      <c r="FZN74" s="2805"/>
      <c r="FZO74" s="2805"/>
      <c r="FZP74" s="2805"/>
      <c r="FZQ74" s="2805"/>
      <c r="FZR74" s="2805"/>
      <c r="FZS74" s="2805"/>
      <c r="FZT74" s="2805"/>
      <c r="FZU74" s="2805"/>
      <c r="FZV74" s="2805"/>
      <c r="FZW74" s="2805"/>
      <c r="FZX74" s="2805"/>
      <c r="FZY74" s="2805"/>
      <c r="FZZ74" s="2805"/>
      <c r="GAA74" s="2805"/>
      <c r="GAB74" s="2805"/>
      <c r="GAC74" s="2805"/>
      <c r="GAD74" s="2805"/>
      <c r="GAE74" s="2805"/>
      <c r="GAF74" s="2805"/>
      <c r="GAG74" s="2805"/>
      <c r="GAH74" s="2805"/>
      <c r="GAI74" s="2805"/>
      <c r="GAJ74" s="2805"/>
      <c r="GAK74" s="2805"/>
      <c r="GAL74" s="2805"/>
      <c r="GAM74" s="2805"/>
      <c r="GAN74" s="2805"/>
      <c r="GAO74" s="2805"/>
      <c r="GAP74" s="2805"/>
      <c r="GAQ74" s="2805"/>
      <c r="GAR74" s="2805"/>
      <c r="GAS74" s="2805"/>
      <c r="GAT74" s="2805"/>
      <c r="GAU74" s="2805"/>
      <c r="GAV74" s="2805"/>
      <c r="GAW74" s="2805"/>
      <c r="GAX74" s="2805"/>
      <c r="GAY74" s="2805"/>
      <c r="GAZ74" s="2805"/>
      <c r="GBA74" s="2805"/>
      <c r="GBB74" s="2805"/>
      <c r="GBC74" s="2805"/>
      <c r="GBD74" s="2805"/>
      <c r="GBE74" s="2805"/>
      <c r="GBF74" s="2805"/>
      <c r="GBG74" s="2805"/>
      <c r="GBH74" s="2805"/>
      <c r="GBI74" s="2805"/>
      <c r="GBJ74" s="2805"/>
      <c r="GBK74" s="2805"/>
      <c r="GBL74" s="2805"/>
      <c r="GBM74" s="2805"/>
      <c r="GBN74" s="2805"/>
      <c r="GBO74" s="2805"/>
      <c r="GBP74" s="2805"/>
      <c r="GBQ74" s="2805"/>
      <c r="GBR74" s="2805"/>
      <c r="GBS74" s="2805"/>
      <c r="GBT74" s="2805"/>
      <c r="GBU74" s="2805"/>
      <c r="GBV74" s="2805"/>
      <c r="GBW74" s="2805"/>
      <c r="GBX74" s="2805"/>
      <c r="GBY74" s="2805"/>
      <c r="GBZ74" s="2805"/>
      <c r="GCA74" s="2805"/>
      <c r="GCB74" s="2805"/>
      <c r="GCC74" s="2805"/>
      <c r="GCD74" s="2805"/>
      <c r="GCE74" s="2805"/>
      <c r="GCF74" s="2805"/>
      <c r="GCG74" s="2805"/>
      <c r="GCH74" s="2805"/>
      <c r="GCI74" s="2805"/>
      <c r="GCJ74" s="2805"/>
      <c r="GCK74" s="2805"/>
      <c r="GCL74" s="2805"/>
      <c r="GCM74" s="2805"/>
      <c r="GCN74" s="2805"/>
      <c r="GCO74" s="2805"/>
      <c r="GCP74" s="2805"/>
      <c r="GCQ74" s="2805"/>
      <c r="GCR74" s="2805"/>
      <c r="GCS74" s="2805"/>
      <c r="GCT74" s="2805"/>
      <c r="GCU74" s="2805"/>
      <c r="GCV74" s="2805"/>
      <c r="GCW74" s="2805"/>
      <c r="GCX74" s="2805"/>
      <c r="GCY74" s="2805"/>
      <c r="GCZ74" s="2805"/>
      <c r="GDA74" s="2805"/>
      <c r="GDB74" s="2805"/>
      <c r="GDC74" s="2805"/>
      <c r="GDD74" s="2805"/>
      <c r="GDE74" s="2805"/>
      <c r="GDF74" s="2805"/>
      <c r="GDG74" s="2805"/>
      <c r="GDH74" s="2805"/>
      <c r="GDI74" s="2805"/>
      <c r="GDJ74" s="2805"/>
      <c r="GDK74" s="2805"/>
      <c r="GDL74" s="2805"/>
      <c r="GDM74" s="2805"/>
      <c r="GDN74" s="2805"/>
      <c r="GDO74" s="2805"/>
      <c r="GDP74" s="2805"/>
      <c r="GDQ74" s="2805"/>
      <c r="GDR74" s="2805"/>
      <c r="GDS74" s="2805"/>
      <c r="GDT74" s="2805"/>
      <c r="GDU74" s="2805"/>
      <c r="GDV74" s="2805"/>
      <c r="GDW74" s="2805"/>
      <c r="GDX74" s="2805"/>
      <c r="GDY74" s="2805"/>
      <c r="GDZ74" s="2805"/>
      <c r="GEA74" s="2805"/>
      <c r="GEB74" s="2805"/>
      <c r="GEC74" s="2805"/>
      <c r="GED74" s="2805"/>
      <c r="GEE74" s="2805"/>
      <c r="GEF74" s="2805"/>
      <c r="GEG74" s="2805"/>
      <c r="GEH74" s="2805"/>
      <c r="GEI74" s="2805"/>
      <c r="GEJ74" s="2805"/>
      <c r="GEK74" s="2805"/>
      <c r="GEL74" s="2805"/>
      <c r="GEM74" s="2805"/>
      <c r="GEN74" s="2805"/>
      <c r="GEO74" s="2805"/>
      <c r="GEP74" s="2805"/>
      <c r="GEQ74" s="2805"/>
      <c r="GER74" s="2805"/>
      <c r="GES74" s="2805"/>
      <c r="GET74" s="2805"/>
      <c r="GEU74" s="2805"/>
      <c r="GEV74" s="2805"/>
      <c r="GEW74" s="2805"/>
      <c r="GEX74" s="2805"/>
      <c r="GEY74" s="2805"/>
      <c r="GEZ74" s="2805"/>
      <c r="GFA74" s="2805"/>
      <c r="GFB74" s="2805"/>
      <c r="GFC74" s="2805"/>
      <c r="GFD74" s="2805"/>
      <c r="GFE74" s="2805"/>
      <c r="GFF74" s="2805"/>
      <c r="GFG74" s="2805"/>
      <c r="GFH74" s="2805"/>
      <c r="GFI74" s="2805"/>
      <c r="GFJ74" s="2805"/>
      <c r="GFK74" s="2805"/>
      <c r="GFL74" s="2805"/>
      <c r="GFM74" s="2805"/>
      <c r="GFN74" s="2805"/>
      <c r="GFO74" s="2805"/>
      <c r="GFP74" s="2805"/>
      <c r="GFQ74" s="2805"/>
      <c r="GFR74" s="2805"/>
      <c r="GFS74" s="2805"/>
      <c r="GFT74" s="2805"/>
      <c r="GFU74" s="2805"/>
      <c r="GFV74" s="2805"/>
      <c r="GFW74" s="2805"/>
      <c r="GFX74" s="2805"/>
      <c r="GFY74" s="2805"/>
      <c r="GFZ74" s="2805"/>
      <c r="GGA74" s="2805"/>
      <c r="GGB74" s="2805"/>
      <c r="GGC74" s="2805"/>
      <c r="GGD74" s="2805"/>
      <c r="GGE74" s="2805"/>
      <c r="GGF74" s="2805"/>
      <c r="GGG74" s="2805"/>
      <c r="GGH74" s="2805"/>
      <c r="GGI74" s="2805"/>
      <c r="GGJ74" s="2805"/>
      <c r="GGK74" s="2805"/>
      <c r="GGL74" s="2805"/>
      <c r="GGM74" s="2805"/>
      <c r="GGN74" s="2805"/>
      <c r="GGO74" s="2805"/>
      <c r="GGP74" s="2805"/>
      <c r="GGQ74" s="2805"/>
      <c r="GGR74" s="2805"/>
      <c r="GGS74" s="2805"/>
      <c r="GGT74" s="2805"/>
      <c r="GGU74" s="2805"/>
      <c r="GGV74" s="2805"/>
      <c r="GGW74" s="2805"/>
      <c r="GGX74" s="2805"/>
      <c r="GGY74" s="2805"/>
      <c r="GGZ74" s="2805"/>
      <c r="GHA74" s="2805"/>
      <c r="GHB74" s="2805"/>
      <c r="GHC74" s="2805"/>
      <c r="GHD74" s="2805"/>
      <c r="GHE74" s="2805"/>
      <c r="GHF74" s="2805"/>
      <c r="GHG74" s="2805"/>
      <c r="GHH74" s="2805"/>
      <c r="GHI74" s="2805"/>
      <c r="GHJ74" s="2805"/>
      <c r="GHK74" s="2805"/>
      <c r="GHL74" s="2805"/>
      <c r="GHM74" s="2805"/>
      <c r="GHN74" s="2805"/>
      <c r="GHO74" s="2805"/>
      <c r="GHP74" s="2805"/>
      <c r="GHQ74" s="2805"/>
      <c r="GHR74" s="2805"/>
      <c r="GHS74" s="2805"/>
      <c r="GHT74" s="2805"/>
      <c r="GHU74" s="2805"/>
      <c r="GHV74" s="2805"/>
      <c r="GHW74" s="2805"/>
      <c r="GHX74" s="2805"/>
      <c r="GHY74" s="2805"/>
      <c r="GHZ74" s="2805"/>
      <c r="GIA74" s="2805"/>
      <c r="GIB74" s="2805"/>
      <c r="GIC74" s="2805"/>
      <c r="GID74" s="2805"/>
      <c r="GIE74" s="2805"/>
      <c r="GIF74" s="2805"/>
      <c r="GIG74" s="2805"/>
      <c r="GIH74" s="2805"/>
      <c r="GII74" s="2805"/>
      <c r="GIJ74" s="2805"/>
      <c r="GIK74" s="2805"/>
      <c r="GIL74" s="2805"/>
      <c r="GIM74" s="2805"/>
      <c r="GIN74" s="2805"/>
      <c r="GIO74" s="2805"/>
      <c r="GIP74" s="2805"/>
      <c r="GIQ74" s="2805"/>
      <c r="GIR74" s="2805"/>
      <c r="GIS74" s="2805"/>
      <c r="GIT74" s="2805"/>
      <c r="GIU74" s="2805"/>
      <c r="GIV74" s="2805"/>
      <c r="GIW74" s="2805"/>
      <c r="GIX74" s="2805"/>
      <c r="GIY74" s="2805"/>
      <c r="GIZ74" s="2805"/>
      <c r="GJA74" s="2805"/>
      <c r="GJB74" s="2805"/>
      <c r="GJC74" s="2805"/>
      <c r="GJD74" s="2805"/>
      <c r="GJE74" s="2805"/>
      <c r="GJF74" s="2805"/>
      <c r="GJG74" s="2805"/>
      <c r="GJH74" s="2805"/>
      <c r="GJI74" s="2805"/>
      <c r="GJJ74" s="2805"/>
      <c r="GJK74" s="2805"/>
      <c r="GJL74" s="2805"/>
      <c r="GJM74" s="2805"/>
      <c r="GJN74" s="2805"/>
      <c r="GJO74" s="2805"/>
      <c r="GJP74" s="2805"/>
      <c r="GJQ74" s="2805"/>
      <c r="GJR74" s="2805"/>
      <c r="GJS74" s="2805"/>
      <c r="GJT74" s="2805"/>
      <c r="GJU74" s="2805"/>
      <c r="GJV74" s="2805"/>
      <c r="GJW74" s="2805"/>
      <c r="GJX74" s="2805"/>
      <c r="GJY74" s="2805"/>
      <c r="GJZ74" s="2805"/>
      <c r="GKA74" s="2805"/>
      <c r="GKB74" s="2805"/>
      <c r="GKC74" s="2805"/>
      <c r="GKD74" s="2805"/>
      <c r="GKE74" s="2805"/>
      <c r="GKF74" s="2805"/>
      <c r="GKG74" s="2805"/>
      <c r="GKH74" s="2805"/>
      <c r="GKI74" s="2805"/>
      <c r="GKJ74" s="2805"/>
      <c r="GKK74" s="2805"/>
      <c r="GKL74" s="2805"/>
      <c r="GKM74" s="2805"/>
      <c r="GKN74" s="2805"/>
      <c r="GKO74" s="2805"/>
      <c r="GKP74" s="2805"/>
      <c r="GKQ74" s="2805"/>
      <c r="GKR74" s="2805"/>
      <c r="GKS74" s="2805"/>
      <c r="GKT74" s="2805"/>
      <c r="GKU74" s="2805"/>
      <c r="GKV74" s="2805"/>
      <c r="GKW74" s="2805"/>
      <c r="GKX74" s="2805"/>
      <c r="GKY74" s="2805"/>
      <c r="GKZ74" s="2805"/>
      <c r="GLA74" s="2805"/>
      <c r="GLB74" s="2805"/>
      <c r="GLC74" s="2805"/>
      <c r="GLD74" s="2805"/>
      <c r="GLE74" s="2805"/>
      <c r="GLF74" s="2805"/>
      <c r="GLG74" s="2805"/>
      <c r="GLH74" s="2805"/>
      <c r="GLI74" s="2805"/>
      <c r="GLJ74" s="2805"/>
      <c r="GLK74" s="2805"/>
      <c r="GLL74" s="2805"/>
      <c r="GLM74" s="2805"/>
      <c r="GLN74" s="2805"/>
      <c r="GLO74" s="2805"/>
      <c r="GLP74" s="2805"/>
      <c r="GLQ74" s="2805"/>
      <c r="GLR74" s="2805"/>
      <c r="GLS74" s="2805"/>
      <c r="GLT74" s="2805"/>
      <c r="GLU74" s="2805"/>
      <c r="GLV74" s="2805"/>
      <c r="GLW74" s="2805"/>
      <c r="GLX74" s="2805"/>
      <c r="GLY74" s="2805"/>
      <c r="GLZ74" s="2805"/>
      <c r="GMA74" s="2805"/>
      <c r="GMB74" s="2805"/>
      <c r="GMC74" s="2805"/>
      <c r="GMD74" s="2805"/>
      <c r="GME74" s="2805"/>
      <c r="GMF74" s="2805"/>
      <c r="GMG74" s="2805"/>
      <c r="GMH74" s="2805"/>
      <c r="GMI74" s="2805"/>
      <c r="GMJ74" s="2805"/>
      <c r="GMK74" s="2805"/>
      <c r="GML74" s="2805"/>
      <c r="GMM74" s="2805"/>
      <c r="GMN74" s="2805"/>
      <c r="GMO74" s="2805"/>
      <c r="GMP74" s="2805"/>
      <c r="GMQ74" s="2805"/>
      <c r="GMR74" s="2805"/>
      <c r="GMS74" s="2805"/>
      <c r="GMT74" s="2805"/>
      <c r="GMU74" s="2805"/>
      <c r="GMV74" s="2805"/>
      <c r="GMW74" s="2805"/>
      <c r="GMX74" s="2805"/>
      <c r="GMY74" s="2805"/>
      <c r="GMZ74" s="2805"/>
      <c r="GNA74" s="2805"/>
      <c r="GNB74" s="2805"/>
      <c r="GNC74" s="2805"/>
      <c r="GND74" s="2805"/>
      <c r="GNE74" s="2805"/>
      <c r="GNF74" s="2805"/>
      <c r="GNG74" s="2805"/>
      <c r="GNH74" s="2805"/>
      <c r="GNI74" s="2805"/>
      <c r="GNJ74" s="2805"/>
      <c r="GNK74" s="2805"/>
      <c r="GNL74" s="2805"/>
      <c r="GNM74" s="2805"/>
      <c r="GNN74" s="2805"/>
      <c r="GNO74" s="2805"/>
      <c r="GNP74" s="2805"/>
      <c r="GNQ74" s="2805"/>
      <c r="GNR74" s="2805"/>
      <c r="GNS74" s="2805"/>
      <c r="GNT74" s="2805"/>
      <c r="GNU74" s="2805"/>
      <c r="GNV74" s="2805"/>
      <c r="GNW74" s="2805"/>
      <c r="GNX74" s="2805"/>
      <c r="GNY74" s="2805"/>
      <c r="GNZ74" s="2805"/>
      <c r="GOA74" s="2805"/>
      <c r="GOB74" s="2805"/>
      <c r="GOC74" s="2805"/>
      <c r="GOD74" s="2805"/>
      <c r="GOE74" s="2805"/>
      <c r="GOF74" s="2805"/>
      <c r="GOG74" s="2805"/>
      <c r="GOH74" s="2805"/>
      <c r="GOI74" s="2805"/>
      <c r="GOJ74" s="2805"/>
      <c r="GOK74" s="2805"/>
      <c r="GOL74" s="2805"/>
      <c r="GOM74" s="2805"/>
      <c r="GON74" s="2805"/>
      <c r="GOO74" s="2805"/>
      <c r="GOP74" s="2805"/>
      <c r="GOQ74" s="2805"/>
      <c r="GOR74" s="2805"/>
      <c r="GOS74" s="2805"/>
      <c r="GOT74" s="2805"/>
      <c r="GOU74" s="2805"/>
      <c r="GOV74" s="2805"/>
      <c r="GOW74" s="2805"/>
      <c r="GOX74" s="2805"/>
      <c r="GOY74" s="2805"/>
      <c r="GOZ74" s="2805"/>
      <c r="GPA74" s="2805"/>
      <c r="GPB74" s="2805"/>
      <c r="GPC74" s="2805"/>
      <c r="GPD74" s="2805"/>
      <c r="GPE74" s="2805"/>
      <c r="GPF74" s="2805"/>
      <c r="GPG74" s="2805"/>
      <c r="GPH74" s="2805"/>
      <c r="GPI74" s="2805"/>
      <c r="GPJ74" s="2805"/>
      <c r="GPK74" s="2805"/>
      <c r="GPL74" s="2805"/>
      <c r="GPM74" s="2805"/>
      <c r="GPN74" s="2805"/>
      <c r="GPO74" s="2805"/>
      <c r="GPP74" s="2805"/>
      <c r="GPQ74" s="2805"/>
      <c r="GPR74" s="2805"/>
      <c r="GPS74" s="2805"/>
      <c r="GPT74" s="2805"/>
      <c r="GPU74" s="2805"/>
      <c r="GPV74" s="2805"/>
      <c r="GPW74" s="2805"/>
      <c r="GPX74" s="2805"/>
      <c r="GPY74" s="2805"/>
      <c r="GPZ74" s="2805"/>
      <c r="GQA74" s="2805"/>
      <c r="GQB74" s="2805"/>
      <c r="GQC74" s="2805"/>
      <c r="GQD74" s="2805"/>
      <c r="GQE74" s="2805"/>
      <c r="GQF74" s="2805"/>
      <c r="GQG74" s="2805"/>
      <c r="GQH74" s="2805"/>
      <c r="GQI74" s="2805"/>
      <c r="GQJ74" s="2805"/>
      <c r="GQK74" s="2805"/>
      <c r="GQL74" s="2805"/>
      <c r="GQM74" s="2805"/>
      <c r="GQN74" s="2805"/>
      <c r="GQO74" s="2805"/>
      <c r="GQP74" s="2805"/>
      <c r="GQQ74" s="2805"/>
      <c r="GQR74" s="2805"/>
      <c r="GQS74" s="2805"/>
      <c r="GQT74" s="2805"/>
      <c r="GQU74" s="2805"/>
      <c r="GQV74" s="2805"/>
      <c r="GQW74" s="2805"/>
      <c r="GQX74" s="2805"/>
      <c r="GQY74" s="2805"/>
      <c r="GQZ74" s="2805"/>
      <c r="GRA74" s="2805"/>
      <c r="GRB74" s="2805"/>
      <c r="GRC74" s="2805"/>
      <c r="GRD74" s="2805"/>
      <c r="GRE74" s="2805"/>
      <c r="GRF74" s="2805"/>
      <c r="GRG74" s="2805"/>
      <c r="GRH74" s="2805"/>
      <c r="GRI74" s="2805"/>
      <c r="GRJ74" s="2805"/>
      <c r="GRK74" s="2805"/>
      <c r="GRL74" s="2805"/>
      <c r="GRM74" s="2805"/>
      <c r="GRN74" s="2805"/>
      <c r="GRO74" s="2805"/>
      <c r="GRP74" s="2805"/>
      <c r="GRQ74" s="2805"/>
      <c r="GRR74" s="2805"/>
      <c r="GRS74" s="2805"/>
      <c r="GRT74" s="2805"/>
      <c r="GRU74" s="2805"/>
      <c r="GRV74" s="2805"/>
      <c r="GRW74" s="2805"/>
      <c r="GRX74" s="2805"/>
      <c r="GRY74" s="2805"/>
      <c r="GRZ74" s="2805"/>
      <c r="GSA74" s="2805"/>
      <c r="GSB74" s="2805"/>
      <c r="GSC74" s="2805"/>
      <c r="GSD74" s="2805"/>
      <c r="GSE74" s="2805"/>
      <c r="GSF74" s="2805"/>
      <c r="GSG74" s="2805"/>
      <c r="GSH74" s="2805"/>
      <c r="GSI74" s="2805"/>
      <c r="GSJ74" s="2805"/>
      <c r="GSK74" s="2805"/>
      <c r="GSL74" s="2805"/>
      <c r="GSM74" s="2805"/>
      <c r="GSN74" s="2805"/>
      <c r="GSO74" s="2805"/>
      <c r="GSP74" s="2805"/>
      <c r="GSQ74" s="2805"/>
      <c r="GSR74" s="2805"/>
      <c r="GSS74" s="2805"/>
      <c r="GST74" s="2805"/>
      <c r="GSU74" s="2805"/>
      <c r="GSV74" s="2805"/>
      <c r="GSW74" s="2805"/>
      <c r="GSX74" s="2805"/>
      <c r="GSY74" s="2805"/>
      <c r="GSZ74" s="2805"/>
      <c r="GTA74" s="2805"/>
      <c r="GTB74" s="2805"/>
      <c r="GTC74" s="2805"/>
      <c r="GTD74" s="2805"/>
      <c r="GTE74" s="2805"/>
      <c r="GTF74" s="2805"/>
      <c r="GTG74" s="2805"/>
      <c r="GTH74" s="2805"/>
      <c r="GTI74" s="2805"/>
      <c r="GTJ74" s="2805"/>
      <c r="GTK74" s="2805"/>
      <c r="GTL74" s="2805"/>
      <c r="GTM74" s="2805"/>
      <c r="GTN74" s="2805"/>
      <c r="GTO74" s="2805"/>
      <c r="GTP74" s="2805"/>
      <c r="GTQ74" s="2805"/>
      <c r="GTR74" s="2805"/>
      <c r="GTS74" s="2805"/>
      <c r="GTT74" s="2805"/>
      <c r="GTU74" s="2805"/>
      <c r="GTV74" s="2805"/>
      <c r="GTW74" s="2805"/>
      <c r="GTX74" s="2805"/>
      <c r="GTY74" s="2805"/>
      <c r="GTZ74" s="2805"/>
      <c r="GUA74" s="2805"/>
      <c r="GUB74" s="2805"/>
      <c r="GUC74" s="2805"/>
      <c r="GUD74" s="2805"/>
      <c r="GUE74" s="2805"/>
      <c r="GUF74" s="2805"/>
      <c r="GUG74" s="2805"/>
      <c r="GUH74" s="2805"/>
      <c r="GUI74" s="2805"/>
      <c r="GUJ74" s="2805"/>
      <c r="GUK74" s="2805"/>
      <c r="GUL74" s="2805"/>
      <c r="GUM74" s="2805"/>
      <c r="GUN74" s="2805"/>
      <c r="GUO74" s="2805"/>
      <c r="GUP74" s="2805"/>
      <c r="GUQ74" s="2805"/>
      <c r="GUR74" s="2805"/>
      <c r="GUS74" s="2805"/>
      <c r="GUT74" s="2805"/>
      <c r="GUU74" s="2805"/>
      <c r="GUV74" s="2805"/>
      <c r="GUW74" s="2805"/>
      <c r="GUX74" s="2805"/>
      <c r="GUY74" s="2805"/>
      <c r="GUZ74" s="2805"/>
      <c r="GVA74" s="2805"/>
      <c r="GVB74" s="2805"/>
      <c r="GVC74" s="2805"/>
      <c r="GVD74" s="2805"/>
      <c r="GVE74" s="2805"/>
      <c r="GVF74" s="2805"/>
      <c r="GVG74" s="2805"/>
      <c r="GVH74" s="2805"/>
      <c r="GVI74" s="2805"/>
      <c r="GVJ74" s="2805"/>
      <c r="GVK74" s="2805"/>
      <c r="GVL74" s="2805"/>
      <c r="GVM74" s="2805"/>
      <c r="GVN74" s="2805"/>
      <c r="GVO74" s="2805"/>
      <c r="GVP74" s="2805"/>
      <c r="GVQ74" s="2805"/>
      <c r="GVR74" s="2805"/>
      <c r="GVS74" s="2805"/>
      <c r="GVT74" s="2805"/>
      <c r="GVU74" s="2805"/>
      <c r="GVV74" s="2805"/>
      <c r="GVW74" s="2805"/>
      <c r="GVX74" s="2805"/>
      <c r="GVY74" s="2805"/>
      <c r="GVZ74" s="2805"/>
      <c r="GWA74" s="2805"/>
      <c r="GWB74" s="2805"/>
      <c r="GWC74" s="2805"/>
      <c r="GWD74" s="2805"/>
      <c r="GWE74" s="2805"/>
      <c r="GWF74" s="2805"/>
      <c r="GWG74" s="2805"/>
      <c r="GWH74" s="2805"/>
      <c r="GWI74" s="2805"/>
      <c r="GWJ74" s="2805"/>
      <c r="GWK74" s="2805"/>
      <c r="GWL74" s="2805"/>
      <c r="GWM74" s="2805"/>
      <c r="GWN74" s="2805"/>
      <c r="GWO74" s="2805"/>
      <c r="GWP74" s="2805"/>
      <c r="GWQ74" s="2805"/>
      <c r="GWR74" s="2805"/>
      <c r="GWS74" s="2805"/>
      <c r="GWT74" s="2805"/>
      <c r="GWU74" s="2805"/>
      <c r="GWV74" s="2805"/>
      <c r="GWW74" s="2805"/>
      <c r="GWX74" s="2805"/>
      <c r="GWY74" s="2805"/>
      <c r="GWZ74" s="2805"/>
      <c r="GXA74" s="2805"/>
      <c r="GXB74" s="2805"/>
      <c r="GXC74" s="2805"/>
      <c r="GXD74" s="2805"/>
      <c r="GXE74" s="2805"/>
      <c r="GXF74" s="2805"/>
      <c r="GXG74" s="2805"/>
      <c r="GXH74" s="2805"/>
      <c r="GXI74" s="2805"/>
      <c r="GXJ74" s="2805"/>
      <c r="GXK74" s="2805"/>
      <c r="GXL74" s="2805"/>
      <c r="GXM74" s="2805"/>
      <c r="GXN74" s="2805"/>
      <c r="GXO74" s="2805"/>
      <c r="GXP74" s="2805"/>
      <c r="GXQ74" s="2805"/>
      <c r="GXR74" s="2805"/>
      <c r="GXS74" s="2805"/>
      <c r="GXT74" s="2805"/>
      <c r="GXU74" s="2805"/>
      <c r="GXV74" s="2805"/>
      <c r="GXW74" s="2805"/>
      <c r="GXX74" s="2805"/>
      <c r="GXY74" s="2805"/>
      <c r="GXZ74" s="2805"/>
      <c r="GYA74" s="2805"/>
      <c r="GYB74" s="2805"/>
      <c r="GYC74" s="2805"/>
      <c r="GYD74" s="2805"/>
      <c r="GYE74" s="2805"/>
      <c r="GYF74" s="2805"/>
      <c r="GYG74" s="2805"/>
      <c r="GYH74" s="2805"/>
      <c r="GYI74" s="2805"/>
      <c r="GYJ74" s="2805"/>
      <c r="GYK74" s="2805"/>
      <c r="GYL74" s="2805"/>
      <c r="GYM74" s="2805"/>
      <c r="GYN74" s="2805"/>
      <c r="GYO74" s="2805"/>
      <c r="GYP74" s="2805"/>
      <c r="GYQ74" s="2805"/>
      <c r="GYR74" s="2805"/>
      <c r="GYS74" s="2805"/>
      <c r="GYT74" s="2805"/>
      <c r="GYU74" s="2805"/>
      <c r="GYV74" s="2805"/>
      <c r="GYW74" s="2805"/>
      <c r="GYX74" s="2805"/>
      <c r="GYY74" s="2805"/>
      <c r="GYZ74" s="2805"/>
      <c r="GZA74" s="2805"/>
      <c r="GZB74" s="2805"/>
      <c r="GZC74" s="2805"/>
      <c r="GZD74" s="2805"/>
      <c r="GZE74" s="2805"/>
      <c r="GZF74" s="2805"/>
      <c r="GZG74" s="2805"/>
      <c r="GZH74" s="2805"/>
      <c r="GZI74" s="2805"/>
      <c r="GZJ74" s="2805"/>
      <c r="GZK74" s="2805"/>
      <c r="GZL74" s="2805"/>
      <c r="GZM74" s="2805"/>
      <c r="GZN74" s="2805"/>
      <c r="GZO74" s="2805"/>
      <c r="GZP74" s="2805"/>
      <c r="GZQ74" s="2805"/>
      <c r="GZR74" s="2805"/>
      <c r="GZS74" s="2805"/>
      <c r="GZT74" s="2805"/>
      <c r="GZU74" s="2805"/>
      <c r="GZV74" s="2805"/>
      <c r="GZW74" s="2805"/>
      <c r="GZX74" s="2805"/>
      <c r="GZY74" s="2805"/>
      <c r="GZZ74" s="2805"/>
      <c r="HAA74" s="2805"/>
      <c r="HAB74" s="2805"/>
      <c r="HAC74" s="2805"/>
      <c r="HAD74" s="2805"/>
      <c r="HAE74" s="2805"/>
      <c r="HAF74" s="2805"/>
      <c r="HAG74" s="2805"/>
      <c r="HAH74" s="2805"/>
      <c r="HAI74" s="2805"/>
      <c r="HAJ74" s="2805"/>
      <c r="HAK74" s="2805"/>
      <c r="HAL74" s="2805"/>
      <c r="HAM74" s="2805"/>
      <c r="HAN74" s="2805"/>
      <c r="HAO74" s="2805"/>
      <c r="HAP74" s="2805"/>
      <c r="HAQ74" s="2805"/>
      <c r="HAR74" s="2805"/>
      <c r="HAS74" s="2805"/>
      <c r="HAT74" s="2805"/>
      <c r="HAU74" s="2805"/>
      <c r="HAV74" s="2805"/>
      <c r="HAW74" s="2805"/>
      <c r="HAX74" s="2805"/>
      <c r="HAY74" s="2805"/>
      <c r="HAZ74" s="2805"/>
      <c r="HBA74" s="2805"/>
      <c r="HBB74" s="2805"/>
      <c r="HBC74" s="2805"/>
      <c r="HBD74" s="2805"/>
      <c r="HBE74" s="2805"/>
      <c r="HBF74" s="2805"/>
      <c r="HBG74" s="2805"/>
      <c r="HBH74" s="2805"/>
      <c r="HBI74" s="2805"/>
      <c r="HBJ74" s="2805"/>
      <c r="HBK74" s="2805"/>
      <c r="HBL74" s="2805"/>
      <c r="HBM74" s="2805"/>
      <c r="HBN74" s="2805"/>
      <c r="HBO74" s="2805"/>
      <c r="HBP74" s="2805"/>
      <c r="HBQ74" s="2805"/>
      <c r="HBR74" s="2805"/>
      <c r="HBS74" s="2805"/>
      <c r="HBT74" s="2805"/>
      <c r="HBU74" s="2805"/>
      <c r="HBV74" s="2805"/>
      <c r="HBW74" s="2805"/>
      <c r="HBX74" s="2805"/>
      <c r="HBY74" s="2805"/>
      <c r="HBZ74" s="2805"/>
      <c r="HCA74" s="2805"/>
      <c r="HCB74" s="2805"/>
      <c r="HCC74" s="2805"/>
      <c r="HCD74" s="2805"/>
      <c r="HCE74" s="2805"/>
      <c r="HCF74" s="2805"/>
      <c r="HCG74" s="2805"/>
      <c r="HCH74" s="2805"/>
      <c r="HCI74" s="2805"/>
      <c r="HCJ74" s="2805"/>
      <c r="HCK74" s="2805"/>
      <c r="HCL74" s="2805"/>
      <c r="HCM74" s="2805"/>
      <c r="HCN74" s="2805"/>
      <c r="HCO74" s="2805"/>
      <c r="HCP74" s="2805"/>
      <c r="HCQ74" s="2805"/>
      <c r="HCR74" s="2805"/>
      <c r="HCS74" s="2805"/>
      <c r="HCT74" s="2805"/>
      <c r="HCU74" s="2805"/>
      <c r="HCV74" s="2805"/>
      <c r="HCW74" s="2805"/>
      <c r="HCX74" s="2805"/>
      <c r="HCY74" s="2805"/>
      <c r="HCZ74" s="2805"/>
      <c r="HDA74" s="2805"/>
      <c r="HDB74" s="2805"/>
      <c r="HDC74" s="2805"/>
      <c r="HDD74" s="2805"/>
      <c r="HDE74" s="2805"/>
      <c r="HDF74" s="2805"/>
      <c r="HDG74" s="2805"/>
      <c r="HDH74" s="2805"/>
      <c r="HDI74" s="2805"/>
      <c r="HDJ74" s="2805"/>
      <c r="HDK74" s="2805"/>
      <c r="HDL74" s="2805"/>
      <c r="HDM74" s="2805"/>
      <c r="HDN74" s="2805"/>
      <c r="HDO74" s="2805"/>
      <c r="HDP74" s="2805"/>
      <c r="HDQ74" s="2805"/>
      <c r="HDR74" s="2805"/>
      <c r="HDS74" s="2805"/>
      <c r="HDT74" s="2805"/>
      <c r="HDU74" s="2805"/>
      <c r="HDV74" s="2805"/>
      <c r="HDW74" s="2805"/>
      <c r="HDX74" s="2805"/>
      <c r="HDY74" s="2805"/>
      <c r="HDZ74" s="2805"/>
      <c r="HEA74" s="2805"/>
      <c r="HEB74" s="2805"/>
      <c r="HEC74" s="2805"/>
      <c r="HED74" s="2805"/>
      <c r="HEE74" s="2805"/>
      <c r="HEF74" s="2805"/>
      <c r="HEG74" s="2805"/>
      <c r="HEH74" s="2805"/>
      <c r="HEI74" s="2805"/>
      <c r="HEJ74" s="2805"/>
      <c r="HEK74" s="2805"/>
      <c r="HEL74" s="2805"/>
      <c r="HEM74" s="2805"/>
      <c r="HEN74" s="2805"/>
      <c r="HEO74" s="2805"/>
      <c r="HEP74" s="2805"/>
      <c r="HEQ74" s="2805"/>
      <c r="HER74" s="2805"/>
      <c r="HES74" s="2805"/>
      <c r="HET74" s="2805"/>
      <c r="HEU74" s="2805"/>
      <c r="HEV74" s="2805"/>
      <c r="HEW74" s="2805"/>
      <c r="HEX74" s="2805"/>
      <c r="HEY74" s="2805"/>
      <c r="HEZ74" s="2805"/>
      <c r="HFA74" s="2805"/>
      <c r="HFB74" s="2805"/>
      <c r="HFC74" s="2805"/>
      <c r="HFD74" s="2805"/>
      <c r="HFE74" s="2805"/>
      <c r="HFF74" s="2805"/>
      <c r="HFG74" s="2805"/>
      <c r="HFH74" s="2805"/>
      <c r="HFI74" s="2805"/>
      <c r="HFJ74" s="2805"/>
      <c r="HFK74" s="2805"/>
      <c r="HFL74" s="2805"/>
      <c r="HFM74" s="2805"/>
      <c r="HFN74" s="2805"/>
      <c r="HFO74" s="2805"/>
      <c r="HFP74" s="2805"/>
      <c r="HFQ74" s="2805"/>
      <c r="HFR74" s="2805"/>
      <c r="HFS74" s="2805"/>
      <c r="HFT74" s="2805"/>
      <c r="HFU74" s="2805"/>
      <c r="HFV74" s="2805"/>
      <c r="HFW74" s="2805"/>
      <c r="HFX74" s="2805"/>
      <c r="HFY74" s="2805"/>
      <c r="HFZ74" s="2805"/>
      <c r="HGA74" s="2805"/>
      <c r="HGB74" s="2805"/>
      <c r="HGC74" s="2805"/>
      <c r="HGD74" s="2805"/>
      <c r="HGE74" s="2805"/>
      <c r="HGF74" s="2805"/>
      <c r="HGG74" s="2805"/>
      <c r="HGH74" s="2805"/>
      <c r="HGI74" s="2805"/>
      <c r="HGJ74" s="2805"/>
      <c r="HGK74" s="2805"/>
      <c r="HGL74" s="2805"/>
      <c r="HGM74" s="2805"/>
      <c r="HGN74" s="2805"/>
      <c r="HGO74" s="2805"/>
      <c r="HGP74" s="2805"/>
      <c r="HGQ74" s="2805"/>
      <c r="HGR74" s="2805"/>
      <c r="HGS74" s="2805"/>
      <c r="HGT74" s="2805"/>
      <c r="HGU74" s="2805"/>
      <c r="HGV74" s="2805"/>
      <c r="HGW74" s="2805"/>
      <c r="HGX74" s="2805"/>
      <c r="HGY74" s="2805"/>
      <c r="HGZ74" s="2805"/>
      <c r="HHA74" s="2805"/>
      <c r="HHB74" s="2805"/>
      <c r="HHC74" s="2805"/>
      <c r="HHD74" s="2805"/>
      <c r="HHE74" s="2805"/>
      <c r="HHF74" s="2805"/>
      <c r="HHG74" s="2805"/>
      <c r="HHH74" s="2805"/>
      <c r="HHI74" s="2805"/>
      <c r="HHJ74" s="2805"/>
      <c r="HHK74" s="2805"/>
      <c r="HHL74" s="2805"/>
      <c r="HHM74" s="2805"/>
      <c r="HHN74" s="2805"/>
      <c r="HHO74" s="2805"/>
      <c r="HHP74" s="2805"/>
      <c r="HHQ74" s="2805"/>
      <c r="HHR74" s="2805"/>
      <c r="HHS74" s="2805"/>
      <c r="HHT74" s="2805"/>
      <c r="HHU74" s="2805"/>
      <c r="HHV74" s="2805"/>
      <c r="HHW74" s="2805"/>
      <c r="HHX74" s="2805"/>
      <c r="HHY74" s="2805"/>
      <c r="HHZ74" s="2805"/>
      <c r="HIA74" s="2805"/>
      <c r="HIB74" s="2805"/>
      <c r="HIC74" s="2805"/>
      <c r="HID74" s="2805"/>
      <c r="HIE74" s="2805"/>
      <c r="HIF74" s="2805"/>
      <c r="HIG74" s="2805"/>
      <c r="HIH74" s="2805"/>
      <c r="HII74" s="2805"/>
      <c r="HIJ74" s="2805"/>
      <c r="HIK74" s="2805"/>
      <c r="HIL74" s="2805"/>
      <c r="HIM74" s="2805"/>
      <c r="HIN74" s="2805"/>
      <c r="HIO74" s="2805"/>
      <c r="HIP74" s="2805"/>
      <c r="HIQ74" s="2805"/>
      <c r="HIR74" s="2805"/>
      <c r="HIS74" s="2805"/>
      <c r="HIT74" s="2805"/>
      <c r="HIU74" s="2805"/>
      <c r="HIV74" s="2805"/>
      <c r="HIW74" s="2805"/>
      <c r="HIX74" s="2805"/>
      <c r="HIY74" s="2805"/>
      <c r="HIZ74" s="2805"/>
      <c r="HJA74" s="2805"/>
      <c r="HJB74" s="2805"/>
      <c r="HJC74" s="2805"/>
      <c r="HJD74" s="2805"/>
      <c r="HJE74" s="2805"/>
      <c r="HJF74" s="2805"/>
      <c r="HJG74" s="2805"/>
      <c r="HJH74" s="2805"/>
      <c r="HJI74" s="2805"/>
      <c r="HJJ74" s="2805"/>
      <c r="HJK74" s="2805"/>
      <c r="HJL74" s="2805"/>
      <c r="HJM74" s="2805"/>
      <c r="HJN74" s="2805"/>
      <c r="HJO74" s="2805"/>
      <c r="HJP74" s="2805"/>
      <c r="HJQ74" s="2805"/>
      <c r="HJR74" s="2805"/>
      <c r="HJS74" s="2805"/>
      <c r="HJT74" s="2805"/>
      <c r="HJU74" s="2805"/>
      <c r="HJV74" s="2805"/>
      <c r="HJW74" s="2805"/>
      <c r="HJX74" s="2805"/>
      <c r="HJY74" s="2805"/>
      <c r="HJZ74" s="2805"/>
      <c r="HKA74" s="2805"/>
      <c r="HKB74" s="2805"/>
      <c r="HKC74" s="2805"/>
      <c r="HKD74" s="2805"/>
      <c r="HKE74" s="2805"/>
      <c r="HKF74" s="2805"/>
      <c r="HKG74" s="2805"/>
      <c r="HKH74" s="2805"/>
      <c r="HKI74" s="2805"/>
      <c r="HKJ74" s="2805"/>
      <c r="HKK74" s="2805"/>
      <c r="HKL74" s="2805"/>
      <c r="HKM74" s="2805"/>
      <c r="HKN74" s="2805"/>
      <c r="HKO74" s="2805"/>
      <c r="HKP74" s="2805"/>
      <c r="HKQ74" s="2805"/>
      <c r="HKR74" s="2805"/>
      <c r="HKS74" s="2805"/>
      <c r="HKT74" s="2805"/>
      <c r="HKU74" s="2805"/>
      <c r="HKV74" s="2805"/>
      <c r="HKW74" s="2805"/>
      <c r="HKX74" s="2805"/>
      <c r="HKY74" s="2805"/>
      <c r="HKZ74" s="2805"/>
      <c r="HLA74" s="2805"/>
      <c r="HLB74" s="2805"/>
      <c r="HLC74" s="2805"/>
      <c r="HLD74" s="2805"/>
      <c r="HLE74" s="2805"/>
      <c r="HLF74" s="2805"/>
      <c r="HLG74" s="2805"/>
      <c r="HLH74" s="2805"/>
      <c r="HLI74" s="2805"/>
      <c r="HLJ74" s="2805"/>
      <c r="HLK74" s="2805"/>
      <c r="HLL74" s="2805"/>
      <c r="HLM74" s="2805"/>
      <c r="HLN74" s="2805"/>
      <c r="HLO74" s="2805"/>
      <c r="HLP74" s="2805"/>
      <c r="HLQ74" s="2805"/>
      <c r="HLR74" s="2805"/>
      <c r="HLS74" s="2805"/>
      <c r="HLT74" s="2805"/>
      <c r="HLU74" s="2805"/>
      <c r="HLV74" s="2805"/>
      <c r="HLW74" s="2805"/>
      <c r="HLX74" s="2805"/>
      <c r="HLY74" s="2805"/>
      <c r="HLZ74" s="2805"/>
      <c r="HMA74" s="2805"/>
      <c r="HMB74" s="2805"/>
      <c r="HMC74" s="2805"/>
      <c r="HMD74" s="2805"/>
      <c r="HME74" s="2805"/>
      <c r="HMF74" s="2805"/>
      <c r="HMG74" s="2805"/>
      <c r="HMH74" s="2805"/>
      <c r="HMI74" s="2805"/>
      <c r="HMJ74" s="2805"/>
      <c r="HMK74" s="2805"/>
      <c r="HML74" s="2805"/>
      <c r="HMM74" s="2805"/>
      <c r="HMN74" s="2805"/>
      <c r="HMO74" s="2805"/>
      <c r="HMP74" s="2805"/>
      <c r="HMQ74" s="2805"/>
      <c r="HMR74" s="2805"/>
      <c r="HMS74" s="2805"/>
      <c r="HMT74" s="2805"/>
      <c r="HMU74" s="2805"/>
      <c r="HMV74" s="2805"/>
      <c r="HMW74" s="2805"/>
      <c r="HMX74" s="2805"/>
      <c r="HMY74" s="2805"/>
      <c r="HMZ74" s="2805"/>
      <c r="HNA74" s="2805"/>
      <c r="HNB74" s="2805"/>
      <c r="HNC74" s="2805"/>
      <c r="HND74" s="2805"/>
      <c r="HNE74" s="2805"/>
      <c r="HNF74" s="2805"/>
      <c r="HNG74" s="2805"/>
      <c r="HNH74" s="2805"/>
      <c r="HNI74" s="2805"/>
      <c r="HNJ74" s="2805"/>
      <c r="HNK74" s="2805"/>
      <c r="HNL74" s="2805"/>
      <c r="HNM74" s="2805"/>
      <c r="HNN74" s="2805"/>
      <c r="HNO74" s="2805"/>
      <c r="HNP74" s="2805"/>
      <c r="HNQ74" s="2805"/>
      <c r="HNR74" s="2805"/>
      <c r="HNS74" s="2805"/>
      <c r="HNT74" s="2805"/>
      <c r="HNU74" s="2805"/>
      <c r="HNV74" s="2805"/>
      <c r="HNW74" s="2805"/>
      <c r="HNX74" s="2805"/>
      <c r="HNY74" s="2805"/>
      <c r="HNZ74" s="2805"/>
      <c r="HOA74" s="2805"/>
      <c r="HOB74" s="2805"/>
      <c r="HOC74" s="2805"/>
      <c r="HOD74" s="2805"/>
      <c r="HOE74" s="2805"/>
      <c r="HOF74" s="2805"/>
      <c r="HOG74" s="2805"/>
      <c r="HOH74" s="2805"/>
      <c r="HOI74" s="2805"/>
      <c r="HOJ74" s="2805"/>
      <c r="HOK74" s="2805"/>
      <c r="HOL74" s="2805"/>
      <c r="HOM74" s="2805"/>
      <c r="HON74" s="2805"/>
      <c r="HOO74" s="2805"/>
      <c r="HOP74" s="2805"/>
      <c r="HOQ74" s="2805"/>
      <c r="HOR74" s="2805"/>
      <c r="HOS74" s="2805"/>
      <c r="HOT74" s="2805"/>
      <c r="HOU74" s="2805"/>
      <c r="HOV74" s="2805"/>
      <c r="HOW74" s="2805"/>
      <c r="HOX74" s="2805"/>
      <c r="HOY74" s="2805"/>
      <c r="HOZ74" s="2805"/>
      <c r="HPA74" s="2805"/>
      <c r="HPB74" s="2805"/>
      <c r="HPC74" s="2805"/>
      <c r="HPD74" s="2805"/>
      <c r="HPE74" s="2805"/>
      <c r="HPF74" s="2805"/>
      <c r="HPG74" s="2805"/>
      <c r="HPH74" s="2805"/>
      <c r="HPI74" s="2805"/>
      <c r="HPJ74" s="2805"/>
      <c r="HPK74" s="2805"/>
      <c r="HPL74" s="2805"/>
      <c r="HPM74" s="2805"/>
      <c r="HPN74" s="2805"/>
      <c r="HPO74" s="2805"/>
      <c r="HPP74" s="2805"/>
      <c r="HPQ74" s="2805"/>
      <c r="HPR74" s="2805"/>
      <c r="HPS74" s="2805"/>
      <c r="HPT74" s="2805"/>
      <c r="HPU74" s="2805"/>
      <c r="HPV74" s="2805"/>
      <c r="HPW74" s="2805"/>
      <c r="HPX74" s="2805"/>
      <c r="HPY74" s="2805"/>
      <c r="HPZ74" s="2805"/>
      <c r="HQA74" s="2805"/>
      <c r="HQB74" s="2805"/>
      <c r="HQC74" s="2805"/>
      <c r="HQD74" s="2805"/>
      <c r="HQE74" s="2805"/>
      <c r="HQF74" s="2805"/>
      <c r="HQG74" s="2805"/>
      <c r="HQH74" s="2805"/>
      <c r="HQI74" s="2805"/>
      <c r="HQJ74" s="2805"/>
      <c r="HQK74" s="2805"/>
      <c r="HQL74" s="2805"/>
      <c r="HQM74" s="2805"/>
      <c r="HQN74" s="2805"/>
      <c r="HQO74" s="2805"/>
      <c r="HQP74" s="2805"/>
      <c r="HQQ74" s="2805"/>
      <c r="HQR74" s="2805"/>
      <c r="HQS74" s="2805"/>
      <c r="HQT74" s="2805"/>
      <c r="HQU74" s="2805"/>
      <c r="HQV74" s="2805"/>
      <c r="HQW74" s="2805"/>
      <c r="HQX74" s="2805"/>
      <c r="HQY74" s="2805"/>
      <c r="HQZ74" s="2805"/>
      <c r="HRA74" s="2805"/>
      <c r="HRB74" s="2805"/>
      <c r="HRC74" s="2805"/>
      <c r="HRD74" s="2805"/>
      <c r="HRE74" s="2805"/>
      <c r="HRF74" s="2805"/>
      <c r="HRG74" s="2805"/>
      <c r="HRH74" s="2805"/>
      <c r="HRI74" s="2805"/>
      <c r="HRJ74" s="2805"/>
      <c r="HRK74" s="2805"/>
      <c r="HRL74" s="2805"/>
      <c r="HRM74" s="2805"/>
      <c r="HRN74" s="2805"/>
      <c r="HRO74" s="2805"/>
      <c r="HRP74" s="2805"/>
      <c r="HRQ74" s="2805"/>
      <c r="HRR74" s="2805"/>
      <c r="HRS74" s="2805"/>
      <c r="HRT74" s="2805"/>
      <c r="HRU74" s="2805"/>
      <c r="HRV74" s="2805"/>
      <c r="HRW74" s="2805"/>
      <c r="HRX74" s="2805"/>
      <c r="HRY74" s="2805"/>
      <c r="HRZ74" s="2805"/>
      <c r="HSA74" s="2805"/>
      <c r="HSB74" s="2805"/>
      <c r="HSC74" s="2805"/>
      <c r="HSD74" s="2805"/>
      <c r="HSE74" s="2805"/>
      <c r="HSF74" s="2805"/>
      <c r="HSG74" s="2805"/>
      <c r="HSH74" s="2805"/>
      <c r="HSI74" s="2805"/>
      <c r="HSJ74" s="2805"/>
      <c r="HSK74" s="2805"/>
      <c r="HSL74" s="2805"/>
      <c r="HSM74" s="2805"/>
      <c r="HSN74" s="2805"/>
      <c r="HSO74" s="2805"/>
      <c r="HSP74" s="2805"/>
      <c r="HSQ74" s="2805"/>
      <c r="HSR74" s="2805"/>
      <c r="HSS74" s="2805"/>
      <c r="HST74" s="2805"/>
      <c r="HSU74" s="2805"/>
      <c r="HSV74" s="2805"/>
      <c r="HSW74" s="2805"/>
      <c r="HSX74" s="2805"/>
      <c r="HSY74" s="2805"/>
      <c r="HSZ74" s="2805"/>
      <c r="HTA74" s="2805"/>
      <c r="HTB74" s="2805"/>
      <c r="HTC74" s="2805"/>
      <c r="HTD74" s="2805"/>
      <c r="HTE74" s="2805"/>
      <c r="HTF74" s="2805"/>
      <c r="HTG74" s="2805"/>
      <c r="HTH74" s="2805"/>
      <c r="HTI74" s="2805"/>
      <c r="HTJ74" s="2805"/>
      <c r="HTK74" s="2805"/>
      <c r="HTL74" s="2805"/>
      <c r="HTM74" s="2805"/>
      <c r="HTN74" s="2805"/>
      <c r="HTO74" s="2805"/>
      <c r="HTP74" s="2805"/>
      <c r="HTQ74" s="2805"/>
      <c r="HTR74" s="2805"/>
      <c r="HTS74" s="2805"/>
      <c r="HTT74" s="2805"/>
      <c r="HTU74" s="2805"/>
      <c r="HTV74" s="2805"/>
      <c r="HTW74" s="2805"/>
      <c r="HTX74" s="2805"/>
      <c r="HTY74" s="2805"/>
      <c r="HTZ74" s="2805"/>
      <c r="HUA74" s="2805"/>
      <c r="HUB74" s="2805"/>
      <c r="HUC74" s="2805"/>
      <c r="HUD74" s="2805"/>
      <c r="HUE74" s="2805"/>
      <c r="HUF74" s="2805"/>
      <c r="HUG74" s="2805"/>
      <c r="HUH74" s="2805"/>
      <c r="HUI74" s="2805"/>
      <c r="HUJ74" s="2805"/>
      <c r="HUK74" s="2805"/>
      <c r="HUL74" s="2805"/>
      <c r="HUM74" s="2805"/>
      <c r="HUN74" s="2805"/>
      <c r="HUO74" s="2805"/>
      <c r="HUP74" s="2805"/>
      <c r="HUQ74" s="2805"/>
      <c r="HUR74" s="2805"/>
      <c r="HUS74" s="2805"/>
      <c r="HUT74" s="2805"/>
      <c r="HUU74" s="2805"/>
      <c r="HUV74" s="2805"/>
      <c r="HUW74" s="2805"/>
      <c r="HUX74" s="2805"/>
      <c r="HUY74" s="2805"/>
      <c r="HUZ74" s="2805"/>
      <c r="HVA74" s="2805"/>
      <c r="HVB74" s="2805"/>
      <c r="HVC74" s="2805"/>
      <c r="HVD74" s="2805"/>
      <c r="HVE74" s="2805"/>
      <c r="HVF74" s="2805"/>
      <c r="HVG74" s="2805"/>
      <c r="HVH74" s="2805"/>
      <c r="HVI74" s="2805"/>
      <c r="HVJ74" s="2805"/>
      <c r="HVK74" s="2805"/>
      <c r="HVL74" s="2805"/>
      <c r="HVM74" s="2805"/>
      <c r="HVN74" s="2805"/>
      <c r="HVO74" s="2805"/>
      <c r="HVP74" s="2805"/>
      <c r="HVQ74" s="2805"/>
      <c r="HVR74" s="2805"/>
      <c r="HVS74" s="2805"/>
      <c r="HVT74" s="2805"/>
      <c r="HVU74" s="2805"/>
      <c r="HVV74" s="2805"/>
      <c r="HVW74" s="2805"/>
      <c r="HVX74" s="2805"/>
      <c r="HVY74" s="2805"/>
      <c r="HVZ74" s="2805"/>
      <c r="HWA74" s="2805"/>
      <c r="HWB74" s="2805"/>
      <c r="HWC74" s="2805"/>
      <c r="HWD74" s="2805"/>
      <c r="HWE74" s="2805"/>
      <c r="HWF74" s="2805"/>
      <c r="HWG74" s="2805"/>
      <c r="HWH74" s="2805"/>
      <c r="HWI74" s="2805"/>
      <c r="HWJ74" s="2805"/>
      <c r="HWK74" s="2805"/>
      <c r="HWL74" s="2805"/>
      <c r="HWM74" s="2805"/>
      <c r="HWN74" s="2805"/>
      <c r="HWO74" s="2805"/>
      <c r="HWP74" s="2805"/>
      <c r="HWQ74" s="2805"/>
      <c r="HWR74" s="2805"/>
      <c r="HWS74" s="2805"/>
      <c r="HWT74" s="2805"/>
      <c r="HWU74" s="2805"/>
      <c r="HWV74" s="2805"/>
      <c r="HWW74" s="2805"/>
      <c r="HWX74" s="2805"/>
      <c r="HWY74" s="2805"/>
      <c r="HWZ74" s="2805"/>
      <c r="HXA74" s="2805"/>
      <c r="HXB74" s="2805"/>
      <c r="HXC74" s="2805"/>
      <c r="HXD74" s="2805"/>
      <c r="HXE74" s="2805"/>
      <c r="HXF74" s="2805"/>
      <c r="HXG74" s="2805"/>
      <c r="HXH74" s="2805"/>
      <c r="HXI74" s="2805"/>
      <c r="HXJ74" s="2805"/>
      <c r="HXK74" s="2805"/>
      <c r="HXL74" s="2805"/>
      <c r="HXM74" s="2805"/>
      <c r="HXN74" s="2805"/>
      <c r="HXO74" s="2805"/>
      <c r="HXP74" s="2805"/>
      <c r="HXQ74" s="2805"/>
      <c r="HXR74" s="2805"/>
      <c r="HXS74" s="2805"/>
      <c r="HXT74" s="2805"/>
      <c r="HXU74" s="2805"/>
      <c r="HXV74" s="2805"/>
      <c r="HXW74" s="2805"/>
      <c r="HXX74" s="2805"/>
      <c r="HXY74" s="2805"/>
      <c r="HXZ74" s="2805"/>
      <c r="HYA74" s="2805"/>
      <c r="HYB74" s="2805"/>
      <c r="HYC74" s="2805"/>
      <c r="HYD74" s="2805"/>
      <c r="HYE74" s="2805"/>
      <c r="HYF74" s="2805"/>
      <c r="HYG74" s="2805"/>
      <c r="HYH74" s="2805"/>
      <c r="HYI74" s="2805"/>
      <c r="HYJ74" s="2805"/>
      <c r="HYK74" s="2805"/>
      <c r="HYL74" s="2805"/>
      <c r="HYM74" s="2805"/>
      <c r="HYN74" s="2805"/>
      <c r="HYO74" s="2805"/>
      <c r="HYP74" s="2805"/>
      <c r="HYQ74" s="2805"/>
      <c r="HYR74" s="2805"/>
      <c r="HYS74" s="2805"/>
      <c r="HYT74" s="2805"/>
      <c r="HYU74" s="2805"/>
      <c r="HYV74" s="2805"/>
      <c r="HYW74" s="2805"/>
      <c r="HYX74" s="2805"/>
      <c r="HYY74" s="2805"/>
      <c r="HYZ74" s="2805"/>
      <c r="HZA74" s="2805"/>
      <c r="HZB74" s="2805"/>
      <c r="HZC74" s="2805"/>
      <c r="HZD74" s="2805"/>
      <c r="HZE74" s="2805"/>
      <c r="HZF74" s="2805"/>
      <c r="HZG74" s="2805"/>
      <c r="HZH74" s="2805"/>
      <c r="HZI74" s="2805"/>
      <c r="HZJ74" s="2805"/>
      <c r="HZK74" s="2805"/>
      <c r="HZL74" s="2805"/>
      <c r="HZM74" s="2805"/>
      <c r="HZN74" s="2805"/>
      <c r="HZO74" s="2805"/>
      <c r="HZP74" s="2805"/>
      <c r="HZQ74" s="2805"/>
      <c r="HZR74" s="2805"/>
      <c r="HZS74" s="2805"/>
      <c r="HZT74" s="2805"/>
      <c r="HZU74" s="2805"/>
      <c r="HZV74" s="2805"/>
      <c r="HZW74" s="2805"/>
      <c r="HZX74" s="2805"/>
      <c r="HZY74" s="2805"/>
      <c r="HZZ74" s="2805"/>
      <c r="IAA74" s="2805"/>
      <c r="IAB74" s="2805"/>
      <c r="IAC74" s="2805"/>
      <c r="IAD74" s="2805"/>
      <c r="IAE74" s="2805"/>
      <c r="IAF74" s="2805"/>
      <c r="IAG74" s="2805"/>
      <c r="IAH74" s="2805"/>
      <c r="IAI74" s="2805"/>
      <c r="IAJ74" s="2805"/>
      <c r="IAK74" s="2805"/>
      <c r="IAL74" s="2805"/>
      <c r="IAM74" s="2805"/>
      <c r="IAN74" s="2805"/>
      <c r="IAO74" s="2805"/>
      <c r="IAP74" s="2805"/>
      <c r="IAQ74" s="2805"/>
      <c r="IAR74" s="2805"/>
      <c r="IAS74" s="2805"/>
      <c r="IAT74" s="2805"/>
      <c r="IAU74" s="2805"/>
      <c r="IAV74" s="2805"/>
      <c r="IAW74" s="2805"/>
      <c r="IAX74" s="2805"/>
      <c r="IAY74" s="2805"/>
      <c r="IAZ74" s="2805"/>
      <c r="IBA74" s="2805"/>
      <c r="IBB74" s="2805"/>
      <c r="IBC74" s="2805"/>
      <c r="IBD74" s="2805"/>
      <c r="IBE74" s="2805"/>
      <c r="IBF74" s="2805"/>
      <c r="IBG74" s="2805"/>
      <c r="IBH74" s="2805"/>
      <c r="IBI74" s="2805"/>
      <c r="IBJ74" s="2805"/>
      <c r="IBK74" s="2805"/>
      <c r="IBL74" s="2805"/>
      <c r="IBM74" s="2805"/>
      <c r="IBN74" s="2805"/>
      <c r="IBO74" s="2805"/>
      <c r="IBP74" s="2805"/>
      <c r="IBQ74" s="2805"/>
      <c r="IBR74" s="2805"/>
      <c r="IBS74" s="2805"/>
      <c r="IBT74" s="2805"/>
      <c r="IBU74" s="2805"/>
      <c r="IBV74" s="2805"/>
      <c r="IBW74" s="2805"/>
      <c r="IBX74" s="2805"/>
      <c r="IBY74" s="2805"/>
      <c r="IBZ74" s="2805"/>
      <c r="ICA74" s="2805"/>
      <c r="ICB74" s="2805"/>
      <c r="ICC74" s="2805"/>
      <c r="ICD74" s="2805"/>
      <c r="ICE74" s="2805"/>
      <c r="ICF74" s="2805"/>
      <c r="ICG74" s="2805"/>
      <c r="ICH74" s="2805"/>
      <c r="ICI74" s="2805"/>
      <c r="ICJ74" s="2805"/>
      <c r="ICK74" s="2805"/>
      <c r="ICL74" s="2805"/>
      <c r="ICM74" s="2805"/>
      <c r="ICN74" s="2805"/>
      <c r="ICO74" s="2805"/>
      <c r="ICP74" s="2805"/>
      <c r="ICQ74" s="2805"/>
      <c r="ICR74" s="2805"/>
      <c r="ICS74" s="2805"/>
      <c r="ICT74" s="2805"/>
      <c r="ICU74" s="2805"/>
      <c r="ICV74" s="2805"/>
      <c r="ICW74" s="2805"/>
      <c r="ICX74" s="2805"/>
      <c r="ICY74" s="2805"/>
      <c r="ICZ74" s="2805"/>
      <c r="IDA74" s="2805"/>
      <c r="IDB74" s="2805"/>
      <c r="IDC74" s="2805"/>
      <c r="IDD74" s="2805"/>
      <c r="IDE74" s="2805"/>
      <c r="IDF74" s="2805"/>
      <c r="IDG74" s="2805"/>
      <c r="IDH74" s="2805"/>
      <c r="IDI74" s="2805"/>
      <c r="IDJ74" s="2805"/>
      <c r="IDK74" s="2805"/>
      <c r="IDL74" s="2805"/>
      <c r="IDM74" s="2805"/>
      <c r="IDN74" s="2805"/>
      <c r="IDO74" s="2805"/>
      <c r="IDP74" s="2805"/>
      <c r="IDQ74" s="2805"/>
      <c r="IDR74" s="2805"/>
      <c r="IDS74" s="2805"/>
      <c r="IDT74" s="2805"/>
      <c r="IDU74" s="2805"/>
      <c r="IDV74" s="2805"/>
      <c r="IDW74" s="2805"/>
      <c r="IDX74" s="2805"/>
      <c r="IDY74" s="2805"/>
      <c r="IDZ74" s="2805"/>
      <c r="IEA74" s="2805"/>
      <c r="IEB74" s="2805"/>
      <c r="IEC74" s="2805"/>
      <c r="IED74" s="2805"/>
      <c r="IEE74" s="2805"/>
      <c r="IEF74" s="2805"/>
      <c r="IEG74" s="2805"/>
      <c r="IEH74" s="2805"/>
      <c r="IEI74" s="2805"/>
      <c r="IEJ74" s="2805"/>
      <c r="IEK74" s="2805"/>
      <c r="IEL74" s="2805"/>
      <c r="IEM74" s="2805"/>
      <c r="IEN74" s="2805"/>
      <c r="IEO74" s="2805"/>
      <c r="IEP74" s="2805"/>
      <c r="IEQ74" s="2805"/>
      <c r="IER74" s="2805"/>
      <c r="IES74" s="2805"/>
      <c r="IET74" s="2805"/>
      <c r="IEU74" s="2805"/>
      <c r="IEV74" s="2805"/>
      <c r="IEW74" s="2805"/>
      <c r="IEX74" s="2805"/>
      <c r="IEY74" s="2805"/>
      <c r="IEZ74" s="2805"/>
      <c r="IFA74" s="2805"/>
      <c r="IFB74" s="2805"/>
      <c r="IFC74" s="2805"/>
      <c r="IFD74" s="2805"/>
      <c r="IFE74" s="2805"/>
      <c r="IFF74" s="2805"/>
      <c r="IFG74" s="2805"/>
      <c r="IFH74" s="2805"/>
      <c r="IFI74" s="2805"/>
      <c r="IFJ74" s="2805"/>
      <c r="IFK74" s="2805"/>
      <c r="IFL74" s="2805"/>
      <c r="IFM74" s="2805"/>
      <c r="IFN74" s="2805"/>
      <c r="IFO74" s="2805"/>
      <c r="IFP74" s="2805"/>
      <c r="IFQ74" s="2805"/>
      <c r="IFR74" s="2805"/>
      <c r="IFS74" s="2805"/>
      <c r="IFT74" s="2805"/>
      <c r="IFU74" s="2805"/>
      <c r="IFV74" s="2805"/>
      <c r="IFW74" s="2805"/>
      <c r="IFX74" s="2805"/>
      <c r="IFY74" s="2805"/>
      <c r="IFZ74" s="2805"/>
      <c r="IGA74" s="2805"/>
      <c r="IGB74" s="2805"/>
      <c r="IGC74" s="2805"/>
      <c r="IGD74" s="2805"/>
      <c r="IGE74" s="2805"/>
      <c r="IGF74" s="2805"/>
      <c r="IGG74" s="2805"/>
      <c r="IGH74" s="2805"/>
      <c r="IGI74" s="2805"/>
      <c r="IGJ74" s="2805"/>
      <c r="IGK74" s="2805"/>
      <c r="IGL74" s="2805"/>
      <c r="IGM74" s="2805"/>
      <c r="IGN74" s="2805"/>
      <c r="IGO74" s="2805"/>
      <c r="IGP74" s="2805"/>
      <c r="IGQ74" s="2805"/>
      <c r="IGR74" s="2805"/>
      <c r="IGS74" s="2805"/>
      <c r="IGT74" s="2805"/>
      <c r="IGU74" s="2805"/>
      <c r="IGV74" s="2805"/>
      <c r="IGW74" s="2805"/>
      <c r="IGX74" s="2805"/>
      <c r="IGY74" s="2805"/>
      <c r="IGZ74" s="2805"/>
      <c r="IHA74" s="2805"/>
      <c r="IHB74" s="2805"/>
      <c r="IHC74" s="2805"/>
      <c r="IHD74" s="2805"/>
      <c r="IHE74" s="2805"/>
      <c r="IHF74" s="2805"/>
      <c r="IHG74" s="2805"/>
      <c r="IHH74" s="2805"/>
      <c r="IHI74" s="2805"/>
      <c r="IHJ74" s="2805"/>
      <c r="IHK74" s="2805"/>
      <c r="IHL74" s="2805"/>
      <c r="IHM74" s="2805"/>
      <c r="IHN74" s="2805"/>
      <c r="IHO74" s="2805"/>
      <c r="IHP74" s="2805"/>
      <c r="IHQ74" s="2805"/>
      <c r="IHR74" s="2805"/>
      <c r="IHS74" s="2805"/>
      <c r="IHT74" s="2805"/>
      <c r="IHU74" s="2805"/>
      <c r="IHV74" s="2805"/>
      <c r="IHW74" s="2805"/>
      <c r="IHX74" s="2805"/>
      <c r="IHY74" s="2805"/>
      <c r="IHZ74" s="2805"/>
      <c r="IIA74" s="2805"/>
      <c r="IIB74" s="2805"/>
      <c r="IIC74" s="2805"/>
      <c r="IID74" s="2805"/>
      <c r="IIE74" s="2805"/>
      <c r="IIF74" s="2805"/>
      <c r="IIG74" s="2805"/>
      <c r="IIH74" s="2805"/>
      <c r="III74" s="2805"/>
      <c r="IIJ74" s="2805"/>
      <c r="IIK74" s="2805"/>
      <c r="IIL74" s="2805"/>
      <c r="IIM74" s="2805"/>
      <c r="IIN74" s="2805"/>
      <c r="IIO74" s="2805"/>
      <c r="IIP74" s="2805"/>
      <c r="IIQ74" s="2805"/>
      <c r="IIR74" s="2805"/>
      <c r="IIS74" s="2805"/>
      <c r="IIT74" s="2805"/>
      <c r="IIU74" s="2805"/>
      <c r="IIV74" s="2805"/>
      <c r="IIW74" s="2805"/>
      <c r="IIX74" s="2805"/>
      <c r="IIY74" s="2805"/>
      <c r="IIZ74" s="2805"/>
      <c r="IJA74" s="2805"/>
      <c r="IJB74" s="2805"/>
      <c r="IJC74" s="2805"/>
      <c r="IJD74" s="2805"/>
      <c r="IJE74" s="2805"/>
      <c r="IJF74" s="2805"/>
      <c r="IJG74" s="2805"/>
      <c r="IJH74" s="2805"/>
      <c r="IJI74" s="2805"/>
      <c r="IJJ74" s="2805"/>
      <c r="IJK74" s="2805"/>
      <c r="IJL74" s="2805"/>
      <c r="IJM74" s="2805"/>
      <c r="IJN74" s="2805"/>
      <c r="IJO74" s="2805"/>
      <c r="IJP74" s="2805"/>
      <c r="IJQ74" s="2805"/>
      <c r="IJR74" s="2805"/>
      <c r="IJS74" s="2805"/>
      <c r="IJT74" s="2805"/>
      <c r="IJU74" s="2805"/>
      <c r="IJV74" s="2805"/>
      <c r="IJW74" s="2805"/>
      <c r="IJX74" s="2805"/>
      <c r="IJY74" s="2805"/>
      <c r="IJZ74" s="2805"/>
      <c r="IKA74" s="2805"/>
      <c r="IKB74" s="2805"/>
      <c r="IKC74" s="2805"/>
      <c r="IKD74" s="2805"/>
      <c r="IKE74" s="2805"/>
      <c r="IKF74" s="2805"/>
      <c r="IKG74" s="2805"/>
      <c r="IKH74" s="2805"/>
      <c r="IKI74" s="2805"/>
      <c r="IKJ74" s="2805"/>
      <c r="IKK74" s="2805"/>
      <c r="IKL74" s="2805"/>
      <c r="IKM74" s="2805"/>
      <c r="IKN74" s="2805"/>
      <c r="IKO74" s="2805"/>
      <c r="IKP74" s="2805"/>
      <c r="IKQ74" s="2805"/>
      <c r="IKR74" s="2805"/>
      <c r="IKS74" s="2805"/>
      <c r="IKT74" s="2805"/>
      <c r="IKU74" s="2805"/>
      <c r="IKV74" s="2805"/>
      <c r="IKW74" s="2805"/>
      <c r="IKX74" s="2805"/>
      <c r="IKY74" s="2805"/>
      <c r="IKZ74" s="2805"/>
      <c r="ILA74" s="2805"/>
      <c r="ILB74" s="2805"/>
      <c r="ILC74" s="2805"/>
      <c r="ILD74" s="2805"/>
      <c r="ILE74" s="2805"/>
      <c r="ILF74" s="2805"/>
      <c r="ILG74" s="2805"/>
      <c r="ILH74" s="2805"/>
      <c r="ILI74" s="2805"/>
      <c r="ILJ74" s="2805"/>
      <c r="ILK74" s="2805"/>
      <c r="ILL74" s="2805"/>
      <c r="ILM74" s="2805"/>
      <c r="ILN74" s="2805"/>
      <c r="ILO74" s="2805"/>
      <c r="ILP74" s="2805"/>
      <c r="ILQ74" s="2805"/>
      <c r="ILR74" s="2805"/>
      <c r="ILS74" s="2805"/>
      <c r="ILT74" s="2805"/>
      <c r="ILU74" s="2805"/>
      <c r="ILV74" s="2805"/>
      <c r="ILW74" s="2805"/>
      <c r="ILX74" s="2805"/>
      <c r="ILY74" s="2805"/>
      <c r="ILZ74" s="2805"/>
      <c r="IMA74" s="2805"/>
      <c r="IMB74" s="2805"/>
      <c r="IMC74" s="2805"/>
      <c r="IMD74" s="2805"/>
      <c r="IME74" s="2805"/>
      <c r="IMF74" s="2805"/>
      <c r="IMG74" s="2805"/>
      <c r="IMH74" s="2805"/>
      <c r="IMI74" s="2805"/>
      <c r="IMJ74" s="2805"/>
      <c r="IMK74" s="2805"/>
      <c r="IML74" s="2805"/>
      <c r="IMM74" s="2805"/>
      <c r="IMN74" s="2805"/>
      <c r="IMO74" s="2805"/>
      <c r="IMP74" s="2805"/>
      <c r="IMQ74" s="2805"/>
      <c r="IMR74" s="2805"/>
      <c r="IMS74" s="2805"/>
      <c r="IMT74" s="2805"/>
      <c r="IMU74" s="2805"/>
      <c r="IMV74" s="2805"/>
      <c r="IMW74" s="2805"/>
      <c r="IMX74" s="2805"/>
      <c r="IMY74" s="2805"/>
      <c r="IMZ74" s="2805"/>
      <c r="INA74" s="2805"/>
      <c r="INB74" s="2805"/>
      <c r="INC74" s="2805"/>
      <c r="IND74" s="2805"/>
      <c r="INE74" s="2805"/>
      <c r="INF74" s="2805"/>
      <c r="ING74" s="2805"/>
      <c r="INH74" s="2805"/>
      <c r="INI74" s="2805"/>
      <c r="INJ74" s="2805"/>
      <c r="INK74" s="2805"/>
      <c r="INL74" s="2805"/>
      <c r="INM74" s="2805"/>
      <c r="INN74" s="2805"/>
      <c r="INO74" s="2805"/>
      <c r="INP74" s="2805"/>
      <c r="INQ74" s="2805"/>
      <c r="INR74" s="2805"/>
      <c r="INS74" s="2805"/>
      <c r="INT74" s="2805"/>
      <c r="INU74" s="2805"/>
      <c r="INV74" s="2805"/>
      <c r="INW74" s="2805"/>
      <c r="INX74" s="2805"/>
      <c r="INY74" s="2805"/>
      <c r="INZ74" s="2805"/>
      <c r="IOA74" s="2805"/>
      <c r="IOB74" s="2805"/>
      <c r="IOC74" s="2805"/>
      <c r="IOD74" s="2805"/>
      <c r="IOE74" s="2805"/>
      <c r="IOF74" s="2805"/>
      <c r="IOG74" s="2805"/>
      <c r="IOH74" s="2805"/>
      <c r="IOI74" s="2805"/>
      <c r="IOJ74" s="2805"/>
      <c r="IOK74" s="2805"/>
      <c r="IOL74" s="2805"/>
      <c r="IOM74" s="2805"/>
      <c r="ION74" s="2805"/>
      <c r="IOO74" s="2805"/>
      <c r="IOP74" s="2805"/>
      <c r="IOQ74" s="2805"/>
      <c r="IOR74" s="2805"/>
      <c r="IOS74" s="2805"/>
      <c r="IOT74" s="2805"/>
      <c r="IOU74" s="2805"/>
      <c r="IOV74" s="2805"/>
      <c r="IOW74" s="2805"/>
      <c r="IOX74" s="2805"/>
      <c r="IOY74" s="2805"/>
      <c r="IOZ74" s="2805"/>
      <c r="IPA74" s="2805"/>
      <c r="IPB74" s="2805"/>
      <c r="IPC74" s="2805"/>
      <c r="IPD74" s="2805"/>
      <c r="IPE74" s="2805"/>
      <c r="IPF74" s="2805"/>
      <c r="IPG74" s="2805"/>
      <c r="IPH74" s="2805"/>
      <c r="IPI74" s="2805"/>
      <c r="IPJ74" s="2805"/>
      <c r="IPK74" s="2805"/>
      <c r="IPL74" s="2805"/>
      <c r="IPM74" s="2805"/>
      <c r="IPN74" s="2805"/>
      <c r="IPO74" s="2805"/>
      <c r="IPP74" s="2805"/>
      <c r="IPQ74" s="2805"/>
      <c r="IPR74" s="2805"/>
      <c r="IPS74" s="2805"/>
      <c r="IPT74" s="2805"/>
      <c r="IPU74" s="2805"/>
      <c r="IPV74" s="2805"/>
      <c r="IPW74" s="2805"/>
      <c r="IPX74" s="2805"/>
      <c r="IPY74" s="2805"/>
      <c r="IPZ74" s="2805"/>
      <c r="IQA74" s="2805"/>
      <c r="IQB74" s="2805"/>
      <c r="IQC74" s="2805"/>
      <c r="IQD74" s="2805"/>
      <c r="IQE74" s="2805"/>
      <c r="IQF74" s="2805"/>
      <c r="IQG74" s="2805"/>
      <c r="IQH74" s="2805"/>
      <c r="IQI74" s="2805"/>
      <c r="IQJ74" s="2805"/>
      <c r="IQK74" s="2805"/>
      <c r="IQL74" s="2805"/>
      <c r="IQM74" s="2805"/>
      <c r="IQN74" s="2805"/>
      <c r="IQO74" s="2805"/>
      <c r="IQP74" s="2805"/>
      <c r="IQQ74" s="2805"/>
      <c r="IQR74" s="2805"/>
      <c r="IQS74" s="2805"/>
      <c r="IQT74" s="2805"/>
      <c r="IQU74" s="2805"/>
      <c r="IQV74" s="2805"/>
      <c r="IQW74" s="2805"/>
      <c r="IQX74" s="2805"/>
      <c r="IQY74" s="2805"/>
      <c r="IQZ74" s="2805"/>
      <c r="IRA74" s="2805"/>
      <c r="IRB74" s="2805"/>
      <c r="IRC74" s="2805"/>
      <c r="IRD74" s="2805"/>
      <c r="IRE74" s="2805"/>
      <c r="IRF74" s="2805"/>
      <c r="IRG74" s="2805"/>
      <c r="IRH74" s="2805"/>
      <c r="IRI74" s="2805"/>
      <c r="IRJ74" s="2805"/>
      <c r="IRK74" s="2805"/>
      <c r="IRL74" s="2805"/>
      <c r="IRM74" s="2805"/>
      <c r="IRN74" s="2805"/>
      <c r="IRO74" s="2805"/>
      <c r="IRP74" s="2805"/>
      <c r="IRQ74" s="2805"/>
      <c r="IRR74" s="2805"/>
      <c r="IRS74" s="2805"/>
      <c r="IRT74" s="2805"/>
      <c r="IRU74" s="2805"/>
      <c r="IRV74" s="2805"/>
      <c r="IRW74" s="2805"/>
      <c r="IRX74" s="2805"/>
      <c r="IRY74" s="2805"/>
      <c r="IRZ74" s="2805"/>
      <c r="ISA74" s="2805"/>
      <c r="ISB74" s="2805"/>
      <c r="ISC74" s="2805"/>
      <c r="ISD74" s="2805"/>
      <c r="ISE74" s="2805"/>
      <c r="ISF74" s="2805"/>
      <c r="ISG74" s="2805"/>
      <c r="ISH74" s="2805"/>
      <c r="ISI74" s="2805"/>
      <c r="ISJ74" s="2805"/>
      <c r="ISK74" s="2805"/>
      <c r="ISL74" s="2805"/>
      <c r="ISM74" s="2805"/>
      <c r="ISN74" s="2805"/>
      <c r="ISO74" s="2805"/>
      <c r="ISP74" s="2805"/>
      <c r="ISQ74" s="2805"/>
      <c r="ISR74" s="2805"/>
      <c r="ISS74" s="2805"/>
      <c r="IST74" s="2805"/>
      <c r="ISU74" s="2805"/>
      <c r="ISV74" s="2805"/>
      <c r="ISW74" s="2805"/>
      <c r="ISX74" s="2805"/>
      <c r="ISY74" s="2805"/>
      <c r="ISZ74" s="2805"/>
      <c r="ITA74" s="2805"/>
      <c r="ITB74" s="2805"/>
      <c r="ITC74" s="2805"/>
      <c r="ITD74" s="2805"/>
      <c r="ITE74" s="2805"/>
      <c r="ITF74" s="2805"/>
      <c r="ITG74" s="2805"/>
      <c r="ITH74" s="2805"/>
      <c r="ITI74" s="2805"/>
      <c r="ITJ74" s="2805"/>
      <c r="ITK74" s="2805"/>
      <c r="ITL74" s="2805"/>
      <c r="ITM74" s="2805"/>
      <c r="ITN74" s="2805"/>
      <c r="ITO74" s="2805"/>
      <c r="ITP74" s="2805"/>
      <c r="ITQ74" s="2805"/>
      <c r="ITR74" s="2805"/>
      <c r="ITS74" s="2805"/>
      <c r="ITT74" s="2805"/>
      <c r="ITU74" s="2805"/>
      <c r="ITV74" s="2805"/>
      <c r="ITW74" s="2805"/>
      <c r="ITX74" s="2805"/>
      <c r="ITY74" s="2805"/>
      <c r="ITZ74" s="2805"/>
      <c r="IUA74" s="2805"/>
      <c r="IUB74" s="2805"/>
      <c r="IUC74" s="2805"/>
      <c r="IUD74" s="2805"/>
      <c r="IUE74" s="2805"/>
      <c r="IUF74" s="2805"/>
      <c r="IUG74" s="2805"/>
      <c r="IUH74" s="2805"/>
      <c r="IUI74" s="2805"/>
      <c r="IUJ74" s="2805"/>
      <c r="IUK74" s="2805"/>
      <c r="IUL74" s="2805"/>
      <c r="IUM74" s="2805"/>
      <c r="IUN74" s="2805"/>
      <c r="IUO74" s="2805"/>
      <c r="IUP74" s="2805"/>
      <c r="IUQ74" s="2805"/>
      <c r="IUR74" s="2805"/>
      <c r="IUS74" s="2805"/>
      <c r="IUT74" s="2805"/>
      <c r="IUU74" s="2805"/>
      <c r="IUV74" s="2805"/>
      <c r="IUW74" s="2805"/>
      <c r="IUX74" s="2805"/>
      <c r="IUY74" s="2805"/>
      <c r="IUZ74" s="2805"/>
      <c r="IVA74" s="2805"/>
      <c r="IVB74" s="2805"/>
      <c r="IVC74" s="2805"/>
      <c r="IVD74" s="2805"/>
      <c r="IVE74" s="2805"/>
      <c r="IVF74" s="2805"/>
      <c r="IVG74" s="2805"/>
      <c r="IVH74" s="2805"/>
      <c r="IVI74" s="2805"/>
      <c r="IVJ74" s="2805"/>
      <c r="IVK74" s="2805"/>
      <c r="IVL74" s="2805"/>
      <c r="IVM74" s="2805"/>
      <c r="IVN74" s="2805"/>
      <c r="IVO74" s="2805"/>
      <c r="IVP74" s="2805"/>
      <c r="IVQ74" s="2805"/>
      <c r="IVR74" s="2805"/>
      <c r="IVS74" s="2805"/>
      <c r="IVT74" s="2805"/>
      <c r="IVU74" s="2805"/>
      <c r="IVV74" s="2805"/>
      <c r="IVW74" s="2805"/>
      <c r="IVX74" s="2805"/>
      <c r="IVY74" s="2805"/>
      <c r="IVZ74" s="2805"/>
      <c r="IWA74" s="2805"/>
      <c r="IWB74" s="2805"/>
      <c r="IWC74" s="2805"/>
      <c r="IWD74" s="2805"/>
      <c r="IWE74" s="2805"/>
      <c r="IWF74" s="2805"/>
      <c r="IWG74" s="2805"/>
      <c r="IWH74" s="2805"/>
      <c r="IWI74" s="2805"/>
      <c r="IWJ74" s="2805"/>
      <c r="IWK74" s="2805"/>
      <c r="IWL74" s="2805"/>
      <c r="IWM74" s="2805"/>
      <c r="IWN74" s="2805"/>
      <c r="IWO74" s="2805"/>
      <c r="IWP74" s="2805"/>
      <c r="IWQ74" s="2805"/>
      <c r="IWR74" s="2805"/>
      <c r="IWS74" s="2805"/>
      <c r="IWT74" s="2805"/>
      <c r="IWU74" s="2805"/>
      <c r="IWV74" s="2805"/>
      <c r="IWW74" s="2805"/>
      <c r="IWX74" s="2805"/>
      <c r="IWY74" s="2805"/>
      <c r="IWZ74" s="2805"/>
      <c r="IXA74" s="2805"/>
      <c r="IXB74" s="2805"/>
      <c r="IXC74" s="2805"/>
      <c r="IXD74" s="2805"/>
      <c r="IXE74" s="2805"/>
      <c r="IXF74" s="2805"/>
      <c r="IXG74" s="2805"/>
      <c r="IXH74" s="2805"/>
      <c r="IXI74" s="2805"/>
      <c r="IXJ74" s="2805"/>
      <c r="IXK74" s="2805"/>
      <c r="IXL74" s="2805"/>
      <c r="IXM74" s="2805"/>
      <c r="IXN74" s="2805"/>
      <c r="IXO74" s="2805"/>
      <c r="IXP74" s="2805"/>
      <c r="IXQ74" s="2805"/>
      <c r="IXR74" s="2805"/>
      <c r="IXS74" s="2805"/>
      <c r="IXT74" s="2805"/>
      <c r="IXU74" s="2805"/>
      <c r="IXV74" s="2805"/>
      <c r="IXW74" s="2805"/>
      <c r="IXX74" s="2805"/>
      <c r="IXY74" s="2805"/>
      <c r="IXZ74" s="2805"/>
      <c r="IYA74" s="2805"/>
      <c r="IYB74" s="2805"/>
      <c r="IYC74" s="2805"/>
      <c r="IYD74" s="2805"/>
      <c r="IYE74" s="2805"/>
      <c r="IYF74" s="2805"/>
      <c r="IYG74" s="2805"/>
      <c r="IYH74" s="2805"/>
      <c r="IYI74" s="2805"/>
      <c r="IYJ74" s="2805"/>
      <c r="IYK74" s="2805"/>
      <c r="IYL74" s="2805"/>
      <c r="IYM74" s="2805"/>
      <c r="IYN74" s="2805"/>
      <c r="IYO74" s="2805"/>
      <c r="IYP74" s="2805"/>
      <c r="IYQ74" s="2805"/>
      <c r="IYR74" s="2805"/>
      <c r="IYS74" s="2805"/>
      <c r="IYT74" s="2805"/>
      <c r="IYU74" s="2805"/>
      <c r="IYV74" s="2805"/>
      <c r="IYW74" s="2805"/>
      <c r="IYX74" s="2805"/>
      <c r="IYY74" s="2805"/>
      <c r="IYZ74" s="2805"/>
      <c r="IZA74" s="2805"/>
      <c r="IZB74" s="2805"/>
      <c r="IZC74" s="2805"/>
      <c r="IZD74" s="2805"/>
      <c r="IZE74" s="2805"/>
      <c r="IZF74" s="2805"/>
      <c r="IZG74" s="2805"/>
      <c r="IZH74" s="2805"/>
      <c r="IZI74" s="2805"/>
      <c r="IZJ74" s="2805"/>
      <c r="IZK74" s="2805"/>
      <c r="IZL74" s="2805"/>
      <c r="IZM74" s="2805"/>
      <c r="IZN74" s="2805"/>
      <c r="IZO74" s="2805"/>
      <c r="IZP74" s="2805"/>
      <c r="IZQ74" s="2805"/>
      <c r="IZR74" s="2805"/>
      <c r="IZS74" s="2805"/>
      <c r="IZT74" s="2805"/>
      <c r="IZU74" s="2805"/>
      <c r="IZV74" s="2805"/>
      <c r="IZW74" s="2805"/>
      <c r="IZX74" s="2805"/>
      <c r="IZY74" s="2805"/>
      <c r="IZZ74" s="2805"/>
      <c r="JAA74" s="2805"/>
      <c r="JAB74" s="2805"/>
      <c r="JAC74" s="2805"/>
      <c r="JAD74" s="2805"/>
      <c r="JAE74" s="2805"/>
      <c r="JAF74" s="2805"/>
      <c r="JAG74" s="2805"/>
      <c r="JAH74" s="2805"/>
      <c r="JAI74" s="2805"/>
      <c r="JAJ74" s="2805"/>
      <c r="JAK74" s="2805"/>
      <c r="JAL74" s="2805"/>
      <c r="JAM74" s="2805"/>
      <c r="JAN74" s="2805"/>
      <c r="JAO74" s="2805"/>
      <c r="JAP74" s="2805"/>
      <c r="JAQ74" s="2805"/>
      <c r="JAR74" s="2805"/>
      <c r="JAS74" s="2805"/>
      <c r="JAT74" s="2805"/>
      <c r="JAU74" s="2805"/>
      <c r="JAV74" s="2805"/>
      <c r="JAW74" s="2805"/>
      <c r="JAX74" s="2805"/>
      <c r="JAY74" s="2805"/>
      <c r="JAZ74" s="2805"/>
      <c r="JBA74" s="2805"/>
      <c r="JBB74" s="2805"/>
      <c r="JBC74" s="2805"/>
      <c r="JBD74" s="2805"/>
      <c r="JBE74" s="2805"/>
      <c r="JBF74" s="2805"/>
      <c r="JBG74" s="2805"/>
      <c r="JBH74" s="2805"/>
      <c r="JBI74" s="2805"/>
      <c r="JBJ74" s="2805"/>
      <c r="JBK74" s="2805"/>
      <c r="JBL74" s="2805"/>
      <c r="JBM74" s="2805"/>
      <c r="JBN74" s="2805"/>
      <c r="JBO74" s="2805"/>
      <c r="JBP74" s="2805"/>
      <c r="JBQ74" s="2805"/>
      <c r="JBR74" s="2805"/>
      <c r="JBS74" s="2805"/>
      <c r="JBT74" s="2805"/>
      <c r="JBU74" s="2805"/>
      <c r="JBV74" s="2805"/>
      <c r="JBW74" s="2805"/>
      <c r="JBX74" s="2805"/>
      <c r="JBY74" s="2805"/>
      <c r="JBZ74" s="2805"/>
      <c r="JCA74" s="2805"/>
      <c r="JCB74" s="2805"/>
      <c r="JCC74" s="2805"/>
      <c r="JCD74" s="2805"/>
      <c r="JCE74" s="2805"/>
      <c r="JCF74" s="2805"/>
      <c r="JCG74" s="2805"/>
      <c r="JCH74" s="2805"/>
      <c r="JCI74" s="2805"/>
      <c r="JCJ74" s="2805"/>
      <c r="JCK74" s="2805"/>
      <c r="JCL74" s="2805"/>
      <c r="JCM74" s="2805"/>
      <c r="JCN74" s="2805"/>
      <c r="JCO74" s="2805"/>
      <c r="JCP74" s="2805"/>
      <c r="JCQ74" s="2805"/>
      <c r="JCR74" s="2805"/>
      <c r="JCS74" s="2805"/>
      <c r="JCT74" s="2805"/>
      <c r="JCU74" s="2805"/>
      <c r="JCV74" s="2805"/>
      <c r="JCW74" s="2805"/>
      <c r="JCX74" s="2805"/>
      <c r="JCY74" s="2805"/>
      <c r="JCZ74" s="2805"/>
      <c r="JDA74" s="2805"/>
      <c r="JDB74" s="2805"/>
      <c r="JDC74" s="2805"/>
      <c r="JDD74" s="2805"/>
      <c r="JDE74" s="2805"/>
      <c r="JDF74" s="2805"/>
      <c r="JDG74" s="2805"/>
      <c r="JDH74" s="2805"/>
      <c r="JDI74" s="2805"/>
      <c r="JDJ74" s="2805"/>
      <c r="JDK74" s="2805"/>
      <c r="JDL74" s="2805"/>
      <c r="JDM74" s="2805"/>
      <c r="JDN74" s="2805"/>
      <c r="JDO74" s="2805"/>
      <c r="JDP74" s="2805"/>
      <c r="JDQ74" s="2805"/>
      <c r="JDR74" s="2805"/>
      <c r="JDS74" s="2805"/>
      <c r="JDT74" s="2805"/>
      <c r="JDU74" s="2805"/>
      <c r="JDV74" s="2805"/>
      <c r="JDW74" s="2805"/>
      <c r="JDX74" s="2805"/>
      <c r="JDY74" s="2805"/>
      <c r="JDZ74" s="2805"/>
      <c r="JEA74" s="2805"/>
      <c r="JEB74" s="2805"/>
      <c r="JEC74" s="2805"/>
      <c r="JED74" s="2805"/>
      <c r="JEE74" s="2805"/>
      <c r="JEF74" s="2805"/>
      <c r="JEG74" s="2805"/>
      <c r="JEH74" s="2805"/>
      <c r="JEI74" s="2805"/>
      <c r="JEJ74" s="2805"/>
      <c r="JEK74" s="2805"/>
      <c r="JEL74" s="2805"/>
      <c r="JEM74" s="2805"/>
      <c r="JEN74" s="2805"/>
      <c r="JEO74" s="2805"/>
      <c r="JEP74" s="2805"/>
      <c r="JEQ74" s="2805"/>
      <c r="JER74" s="2805"/>
      <c r="JES74" s="2805"/>
      <c r="JET74" s="2805"/>
      <c r="JEU74" s="2805"/>
      <c r="JEV74" s="2805"/>
      <c r="JEW74" s="2805"/>
      <c r="JEX74" s="2805"/>
      <c r="JEY74" s="2805"/>
      <c r="JEZ74" s="2805"/>
      <c r="JFA74" s="2805"/>
      <c r="JFB74" s="2805"/>
      <c r="JFC74" s="2805"/>
      <c r="JFD74" s="2805"/>
      <c r="JFE74" s="2805"/>
      <c r="JFF74" s="2805"/>
      <c r="JFG74" s="2805"/>
      <c r="JFH74" s="2805"/>
      <c r="JFI74" s="2805"/>
      <c r="JFJ74" s="2805"/>
      <c r="JFK74" s="2805"/>
      <c r="JFL74" s="2805"/>
      <c r="JFM74" s="2805"/>
      <c r="JFN74" s="2805"/>
      <c r="JFO74" s="2805"/>
      <c r="JFP74" s="2805"/>
      <c r="JFQ74" s="2805"/>
      <c r="JFR74" s="2805"/>
      <c r="JFS74" s="2805"/>
      <c r="JFT74" s="2805"/>
      <c r="JFU74" s="2805"/>
      <c r="JFV74" s="2805"/>
      <c r="JFW74" s="2805"/>
      <c r="JFX74" s="2805"/>
      <c r="JFY74" s="2805"/>
      <c r="JFZ74" s="2805"/>
      <c r="JGA74" s="2805"/>
      <c r="JGB74" s="2805"/>
      <c r="JGC74" s="2805"/>
      <c r="JGD74" s="2805"/>
      <c r="JGE74" s="2805"/>
      <c r="JGF74" s="2805"/>
      <c r="JGG74" s="2805"/>
      <c r="JGH74" s="2805"/>
      <c r="JGI74" s="2805"/>
      <c r="JGJ74" s="2805"/>
      <c r="JGK74" s="2805"/>
      <c r="JGL74" s="2805"/>
      <c r="JGM74" s="2805"/>
      <c r="JGN74" s="2805"/>
      <c r="JGO74" s="2805"/>
      <c r="JGP74" s="2805"/>
      <c r="JGQ74" s="2805"/>
      <c r="JGR74" s="2805"/>
      <c r="JGS74" s="2805"/>
      <c r="JGT74" s="2805"/>
      <c r="JGU74" s="2805"/>
      <c r="JGV74" s="2805"/>
      <c r="JGW74" s="2805"/>
      <c r="JGX74" s="2805"/>
      <c r="JGY74" s="2805"/>
      <c r="JGZ74" s="2805"/>
      <c r="JHA74" s="2805"/>
      <c r="JHB74" s="2805"/>
      <c r="JHC74" s="2805"/>
      <c r="JHD74" s="2805"/>
      <c r="JHE74" s="2805"/>
      <c r="JHF74" s="2805"/>
      <c r="JHG74" s="2805"/>
      <c r="JHH74" s="2805"/>
      <c r="JHI74" s="2805"/>
      <c r="JHJ74" s="2805"/>
      <c r="JHK74" s="2805"/>
      <c r="JHL74" s="2805"/>
      <c r="JHM74" s="2805"/>
      <c r="JHN74" s="2805"/>
      <c r="JHO74" s="2805"/>
      <c r="JHP74" s="2805"/>
      <c r="JHQ74" s="2805"/>
      <c r="JHR74" s="2805"/>
      <c r="JHS74" s="2805"/>
      <c r="JHT74" s="2805"/>
      <c r="JHU74" s="2805"/>
      <c r="JHV74" s="2805"/>
      <c r="JHW74" s="2805"/>
      <c r="JHX74" s="2805"/>
      <c r="JHY74" s="2805"/>
      <c r="JHZ74" s="2805"/>
      <c r="JIA74" s="2805"/>
      <c r="JIB74" s="2805"/>
      <c r="JIC74" s="2805"/>
      <c r="JID74" s="2805"/>
      <c r="JIE74" s="2805"/>
      <c r="JIF74" s="2805"/>
      <c r="JIG74" s="2805"/>
      <c r="JIH74" s="2805"/>
      <c r="JII74" s="2805"/>
      <c r="JIJ74" s="2805"/>
      <c r="JIK74" s="2805"/>
      <c r="JIL74" s="2805"/>
      <c r="JIM74" s="2805"/>
      <c r="JIN74" s="2805"/>
      <c r="JIO74" s="2805"/>
      <c r="JIP74" s="2805"/>
      <c r="JIQ74" s="2805"/>
      <c r="JIR74" s="2805"/>
      <c r="JIS74" s="2805"/>
      <c r="JIT74" s="2805"/>
      <c r="JIU74" s="2805"/>
      <c r="JIV74" s="2805"/>
      <c r="JIW74" s="2805"/>
      <c r="JIX74" s="2805"/>
      <c r="JIY74" s="2805"/>
      <c r="JIZ74" s="2805"/>
      <c r="JJA74" s="2805"/>
      <c r="JJB74" s="2805"/>
      <c r="JJC74" s="2805"/>
      <c r="JJD74" s="2805"/>
      <c r="JJE74" s="2805"/>
      <c r="JJF74" s="2805"/>
      <c r="JJG74" s="2805"/>
      <c r="JJH74" s="2805"/>
      <c r="JJI74" s="2805"/>
      <c r="JJJ74" s="2805"/>
      <c r="JJK74" s="2805"/>
      <c r="JJL74" s="2805"/>
      <c r="JJM74" s="2805"/>
      <c r="JJN74" s="2805"/>
      <c r="JJO74" s="2805"/>
      <c r="JJP74" s="2805"/>
      <c r="JJQ74" s="2805"/>
      <c r="JJR74" s="2805"/>
      <c r="JJS74" s="2805"/>
      <c r="JJT74" s="2805"/>
      <c r="JJU74" s="2805"/>
      <c r="JJV74" s="2805"/>
      <c r="JJW74" s="2805"/>
      <c r="JJX74" s="2805"/>
      <c r="JJY74" s="2805"/>
      <c r="JJZ74" s="2805"/>
      <c r="JKA74" s="2805"/>
      <c r="JKB74" s="2805"/>
      <c r="JKC74" s="2805"/>
      <c r="JKD74" s="2805"/>
      <c r="JKE74" s="2805"/>
      <c r="JKF74" s="2805"/>
      <c r="JKG74" s="2805"/>
      <c r="JKH74" s="2805"/>
      <c r="JKI74" s="2805"/>
      <c r="JKJ74" s="2805"/>
      <c r="JKK74" s="2805"/>
      <c r="JKL74" s="2805"/>
      <c r="JKM74" s="2805"/>
      <c r="JKN74" s="2805"/>
      <c r="JKO74" s="2805"/>
      <c r="JKP74" s="2805"/>
      <c r="JKQ74" s="2805"/>
      <c r="JKR74" s="2805"/>
      <c r="JKS74" s="2805"/>
      <c r="JKT74" s="2805"/>
      <c r="JKU74" s="2805"/>
      <c r="JKV74" s="2805"/>
      <c r="JKW74" s="2805"/>
      <c r="JKX74" s="2805"/>
      <c r="JKY74" s="2805"/>
      <c r="JKZ74" s="2805"/>
      <c r="JLA74" s="2805"/>
      <c r="JLB74" s="2805"/>
      <c r="JLC74" s="2805"/>
      <c r="JLD74" s="2805"/>
      <c r="JLE74" s="2805"/>
      <c r="JLF74" s="2805"/>
      <c r="JLG74" s="2805"/>
      <c r="JLH74" s="2805"/>
      <c r="JLI74" s="2805"/>
      <c r="JLJ74" s="2805"/>
      <c r="JLK74" s="2805"/>
      <c r="JLL74" s="2805"/>
      <c r="JLM74" s="2805"/>
      <c r="JLN74" s="2805"/>
      <c r="JLO74" s="2805"/>
      <c r="JLP74" s="2805"/>
      <c r="JLQ74" s="2805"/>
      <c r="JLR74" s="2805"/>
      <c r="JLS74" s="2805"/>
      <c r="JLT74" s="2805"/>
      <c r="JLU74" s="2805"/>
      <c r="JLV74" s="2805"/>
      <c r="JLW74" s="2805"/>
      <c r="JLX74" s="2805"/>
      <c r="JLY74" s="2805"/>
      <c r="JLZ74" s="2805"/>
      <c r="JMA74" s="2805"/>
      <c r="JMB74" s="2805"/>
      <c r="JMC74" s="2805"/>
      <c r="JMD74" s="2805"/>
      <c r="JME74" s="2805"/>
      <c r="JMF74" s="2805"/>
      <c r="JMG74" s="2805"/>
      <c r="JMH74" s="2805"/>
      <c r="JMI74" s="2805"/>
      <c r="JMJ74" s="2805"/>
      <c r="JMK74" s="2805"/>
      <c r="JML74" s="2805"/>
      <c r="JMM74" s="2805"/>
      <c r="JMN74" s="2805"/>
      <c r="JMO74" s="2805"/>
      <c r="JMP74" s="2805"/>
      <c r="JMQ74" s="2805"/>
      <c r="JMR74" s="2805"/>
      <c r="JMS74" s="2805"/>
      <c r="JMT74" s="2805"/>
      <c r="JMU74" s="2805"/>
      <c r="JMV74" s="2805"/>
      <c r="JMW74" s="2805"/>
      <c r="JMX74" s="2805"/>
      <c r="JMY74" s="2805"/>
      <c r="JMZ74" s="2805"/>
      <c r="JNA74" s="2805"/>
      <c r="JNB74" s="2805"/>
      <c r="JNC74" s="2805"/>
      <c r="JND74" s="2805"/>
      <c r="JNE74" s="2805"/>
      <c r="JNF74" s="2805"/>
      <c r="JNG74" s="2805"/>
      <c r="JNH74" s="2805"/>
      <c r="JNI74" s="2805"/>
      <c r="JNJ74" s="2805"/>
      <c r="JNK74" s="2805"/>
      <c r="JNL74" s="2805"/>
      <c r="JNM74" s="2805"/>
      <c r="JNN74" s="2805"/>
      <c r="JNO74" s="2805"/>
      <c r="JNP74" s="2805"/>
      <c r="JNQ74" s="2805"/>
      <c r="JNR74" s="2805"/>
      <c r="JNS74" s="2805"/>
      <c r="JNT74" s="2805"/>
      <c r="JNU74" s="2805"/>
      <c r="JNV74" s="2805"/>
      <c r="JNW74" s="2805"/>
      <c r="JNX74" s="2805"/>
      <c r="JNY74" s="2805"/>
      <c r="JNZ74" s="2805"/>
      <c r="JOA74" s="2805"/>
      <c r="JOB74" s="2805"/>
      <c r="JOC74" s="2805"/>
      <c r="JOD74" s="2805"/>
      <c r="JOE74" s="2805"/>
      <c r="JOF74" s="2805"/>
      <c r="JOG74" s="2805"/>
      <c r="JOH74" s="2805"/>
      <c r="JOI74" s="2805"/>
      <c r="JOJ74" s="2805"/>
      <c r="JOK74" s="2805"/>
      <c r="JOL74" s="2805"/>
      <c r="JOM74" s="2805"/>
      <c r="JON74" s="2805"/>
      <c r="JOO74" s="2805"/>
      <c r="JOP74" s="2805"/>
      <c r="JOQ74" s="2805"/>
      <c r="JOR74" s="2805"/>
      <c r="JOS74" s="2805"/>
      <c r="JOT74" s="2805"/>
      <c r="JOU74" s="2805"/>
      <c r="JOV74" s="2805"/>
      <c r="JOW74" s="2805"/>
      <c r="JOX74" s="2805"/>
      <c r="JOY74" s="2805"/>
      <c r="JOZ74" s="2805"/>
      <c r="JPA74" s="2805"/>
      <c r="JPB74" s="2805"/>
      <c r="JPC74" s="2805"/>
      <c r="JPD74" s="2805"/>
      <c r="JPE74" s="2805"/>
      <c r="JPF74" s="2805"/>
      <c r="JPG74" s="2805"/>
      <c r="JPH74" s="2805"/>
      <c r="JPI74" s="2805"/>
      <c r="JPJ74" s="2805"/>
      <c r="JPK74" s="2805"/>
      <c r="JPL74" s="2805"/>
      <c r="JPM74" s="2805"/>
      <c r="JPN74" s="2805"/>
      <c r="JPO74" s="2805"/>
      <c r="JPP74" s="2805"/>
      <c r="JPQ74" s="2805"/>
      <c r="JPR74" s="2805"/>
      <c r="JPS74" s="2805"/>
      <c r="JPT74" s="2805"/>
      <c r="JPU74" s="2805"/>
      <c r="JPV74" s="2805"/>
      <c r="JPW74" s="2805"/>
      <c r="JPX74" s="2805"/>
      <c r="JPY74" s="2805"/>
      <c r="JPZ74" s="2805"/>
      <c r="JQA74" s="2805"/>
      <c r="JQB74" s="2805"/>
      <c r="JQC74" s="2805"/>
      <c r="JQD74" s="2805"/>
      <c r="JQE74" s="2805"/>
      <c r="JQF74" s="2805"/>
      <c r="JQG74" s="2805"/>
      <c r="JQH74" s="2805"/>
      <c r="JQI74" s="2805"/>
      <c r="JQJ74" s="2805"/>
      <c r="JQK74" s="2805"/>
      <c r="JQL74" s="2805"/>
      <c r="JQM74" s="2805"/>
      <c r="JQN74" s="2805"/>
      <c r="JQO74" s="2805"/>
      <c r="JQP74" s="2805"/>
      <c r="JQQ74" s="2805"/>
      <c r="JQR74" s="2805"/>
      <c r="JQS74" s="2805"/>
      <c r="JQT74" s="2805"/>
      <c r="JQU74" s="2805"/>
      <c r="JQV74" s="2805"/>
      <c r="JQW74" s="2805"/>
      <c r="JQX74" s="2805"/>
      <c r="JQY74" s="2805"/>
      <c r="JQZ74" s="2805"/>
      <c r="JRA74" s="2805"/>
      <c r="JRB74" s="2805"/>
      <c r="JRC74" s="2805"/>
      <c r="JRD74" s="2805"/>
      <c r="JRE74" s="2805"/>
      <c r="JRF74" s="2805"/>
      <c r="JRG74" s="2805"/>
      <c r="JRH74" s="2805"/>
      <c r="JRI74" s="2805"/>
      <c r="JRJ74" s="2805"/>
      <c r="JRK74" s="2805"/>
      <c r="JRL74" s="2805"/>
      <c r="JRM74" s="2805"/>
      <c r="JRN74" s="2805"/>
      <c r="JRO74" s="2805"/>
      <c r="JRP74" s="2805"/>
      <c r="JRQ74" s="2805"/>
      <c r="JRR74" s="2805"/>
      <c r="JRS74" s="2805"/>
      <c r="JRT74" s="2805"/>
      <c r="JRU74" s="2805"/>
      <c r="JRV74" s="2805"/>
      <c r="JRW74" s="2805"/>
      <c r="JRX74" s="2805"/>
      <c r="JRY74" s="2805"/>
      <c r="JRZ74" s="2805"/>
      <c r="JSA74" s="2805"/>
      <c r="JSB74" s="2805"/>
      <c r="JSC74" s="2805"/>
      <c r="JSD74" s="2805"/>
      <c r="JSE74" s="2805"/>
      <c r="JSF74" s="2805"/>
      <c r="JSG74" s="2805"/>
      <c r="JSH74" s="2805"/>
      <c r="JSI74" s="2805"/>
      <c r="JSJ74" s="2805"/>
      <c r="JSK74" s="2805"/>
      <c r="JSL74" s="2805"/>
      <c r="JSM74" s="2805"/>
      <c r="JSN74" s="2805"/>
      <c r="JSO74" s="2805"/>
      <c r="JSP74" s="2805"/>
      <c r="JSQ74" s="2805"/>
      <c r="JSR74" s="2805"/>
      <c r="JSS74" s="2805"/>
      <c r="JST74" s="2805"/>
      <c r="JSU74" s="2805"/>
      <c r="JSV74" s="2805"/>
      <c r="JSW74" s="2805"/>
      <c r="JSX74" s="2805"/>
      <c r="JSY74" s="2805"/>
      <c r="JSZ74" s="2805"/>
      <c r="JTA74" s="2805"/>
      <c r="JTB74" s="2805"/>
      <c r="JTC74" s="2805"/>
      <c r="JTD74" s="2805"/>
      <c r="JTE74" s="2805"/>
      <c r="JTF74" s="2805"/>
      <c r="JTG74" s="2805"/>
      <c r="JTH74" s="2805"/>
      <c r="JTI74" s="2805"/>
      <c r="JTJ74" s="2805"/>
      <c r="JTK74" s="2805"/>
      <c r="JTL74" s="2805"/>
      <c r="JTM74" s="2805"/>
      <c r="JTN74" s="2805"/>
      <c r="JTO74" s="2805"/>
      <c r="JTP74" s="2805"/>
      <c r="JTQ74" s="2805"/>
      <c r="JTR74" s="2805"/>
      <c r="JTS74" s="2805"/>
      <c r="JTT74" s="2805"/>
      <c r="JTU74" s="2805"/>
      <c r="JTV74" s="2805"/>
      <c r="JTW74" s="2805"/>
      <c r="JTX74" s="2805"/>
      <c r="JTY74" s="2805"/>
      <c r="JTZ74" s="2805"/>
      <c r="JUA74" s="2805"/>
      <c r="JUB74" s="2805"/>
      <c r="JUC74" s="2805"/>
      <c r="JUD74" s="2805"/>
      <c r="JUE74" s="2805"/>
      <c r="JUF74" s="2805"/>
      <c r="JUG74" s="2805"/>
      <c r="JUH74" s="2805"/>
      <c r="JUI74" s="2805"/>
      <c r="JUJ74" s="2805"/>
      <c r="JUK74" s="2805"/>
      <c r="JUL74" s="2805"/>
      <c r="JUM74" s="2805"/>
      <c r="JUN74" s="2805"/>
      <c r="JUO74" s="2805"/>
      <c r="JUP74" s="2805"/>
      <c r="JUQ74" s="2805"/>
      <c r="JUR74" s="2805"/>
      <c r="JUS74" s="2805"/>
      <c r="JUT74" s="2805"/>
      <c r="JUU74" s="2805"/>
      <c r="JUV74" s="2805"/>
      <c r="JUW74" s="2805"/>
      <c r="JUX74" s="2805"/>
      <c r="JUY74" s="2805"/>
      <c r="JUZ74" s="2805"/>
      <c r="JVA74" s="2805"/>
      <c r="JVB74" s="2805"/>
      <c r="JVC74" s="2805"/>
      <c r="JVD74" s="2805"/>
      <c r="JVE74" s="2805"/>
      <c r="JVF74" s="2805"/>
      <c r="JVG74" s="2805"/>
      <c r="JVH74" s="2805"/>
      <c r="JVI74" s="2805"/>
      <c r="JVJ74" s="2805"/>
      <c r="JVK74" s="2805"/>
      <c r="JVL74" s="2805"/>
      <c r="JVM74" s="2805"/>
      <c r="JVN74" s="2805"/>
      <c r="JVO74" s="2805"/>
      <c r="JVP74" s="2805"/>
      <c r="JVQ74" s="2805"/>
      <c r="JVR74" s="2805"/>
      <c r="JVS74" s="2805"/>
      <c r="JVT74" s="2805"/>
      <c r="JVU74" s="2805"/>
      <c r="JVV74" s="2805"/>
      <c r="JVW74" s="2805"/>
      <c r="JVX74" s="2805"/>
      <c r="JVY74" s="2805"/>
      <c r="JVZ74" s="2805"/>
      <c r="JWA74" s="2805"/>
      <c r="JWB74" s="2805"/>
      <c r="JWC74" s="2805"/>
      <c r="JWD74" s="2805"/>
      <c r="JWE74" s="2805"/>
      <c r="JWF74" s="2805"/>
      <c r="JWG74" s="2805"/>
      <c r="JWH74" s="2805"/>
      <c r="JWI74" s="2805"/>
      <c r="JWJ74" s="2805"/>
      <c r="JWK74" s="2805"/>
      <c r="JWL74" s="2805"/>
      <c r="JWM74" s="2805"/>
      <c r="JWN74" s="2805"/>
      <c r="JWO74" s="2805"/>
      <c r="JWP74" s="2805"/>
      <c r="JWQ74" s="2805"/>
      <c r="JWR74" s="2805"/>
      <c r="JWS74" s="2805"/>
      <c r="JWT74" s="2805"/>
      <c r="JWU74" s="2805"/>
      <c r="JWV74" s="2805"/>
      <c r="JWW74" s="2805"/>
      <c r="JWX74" s="2805"/>
      <c r="JWY74" s="2805"/>
      <c r="JWZ74" s="2805"/>
      <c r="JXA74" s="2805"/>
      <c r="JXB74" s="2805"/>
      <c r="JXC74" s="2805"/>
      <c r="JXD74" s="2805"/>
      <c r="JXE74" s="2805"/>
      <c r="JXF74" s="2805"/>
      <c r="JXG74" s="2805"/>
      <c r="JXH74" s="2805"/>
      <c r="JXI74" s="2805"/>
      <c r="JXJ74" s="2805"/>
      <c r="JXK74" s="2805"/>
      <c r="JXL74" s="2805"/>
      <c r="JXM74" s="2805"/>
      <c r="JXN74" s="2805"/>
      <c r="JXO74" s="2805"/>
      <c r="JXP74" s="2805"/>
      <c r="JXQ74" s="2805"/>
      <c r="JXR74" s="2805"/>
      <c r="JXS74" s="2805"/>
      <c r="JXT74" s="2805"/>
      <c r="JXU74" s="2805"/>
      <c r="JXV74" s="2805"/>
      <c r="JXW74" s="2805"/>
      <c r="JXX74" s="2805"/>
      <c r="JXY74" s="2805"/>
      <c r="JXZ74" s="2805"/>
      <c r="JYA74" s="2805"/>
      <c r="JYB74" s="2805"/>
      <c r="JYC74" s="2805"/>
      <c r="JYD74" s="2805"/>
      <c r="JYE74" s="2805"/>
      <c r="JYF74" s="2805"/>
      <c r="JYG74" s="2805"/>
      <c r="JYH74" s="2805"/>
      <c r="JYI74" s="2805"/>
      <c r="JYJ74" s="2805"/>
      <c r="JYK74" s="2805"/>
      <c r="JYL74" s="2805"/>
      <c r="JYM74" s="2805"/>
      <c r="JYN74" s="2805"/>
      <c r="JYO74" s="2805"/>
      <c r="JYP74" s="2805"/>
      <c r="JYQ74" s="2805"/>
      <c r="JYR74" s="2805"/>
      <c r="JYS74" s="2805"/>
      <c r="JYT74" s="2805"/>
      <c r="JYU74" s="2805"/>
      <c r="JYV74" s="2805"/>
      <c r="JYW74" s="2805"/>
      <c r="JYX74" s="2805"/>
      <c r="JYY74" s="2805"/>
      <c r="JYZ74" s="2805"/>
      <c r="JZA74" s="2805"/>
      <c r="JZB74" s="2805"/>
      <c r="JZC74" s="2805"/>
      <c r="JZD74" s="2805"/>
      <c r="JZE74" s="2805"/>
      <c r="JZF74" s="2805"/>
      <c r="JZG74" s="2805"/>
      <c r="JZH74" s="2805"/>
      <c r="JZI74" s="2805"/>
      <c r="JZJ74" s="2805"/>
      <c r="JZK74" s="2805"/>
      <c r="JZL74" s="2805"/>
      <c r="JZM74" s="2805"/>
      <c r="JZN74" s="2805"/>
      <c r="JZO74" s="2805"/>
      <c r="JZP74" s="2805"/>
      <c r="JZQ74" s="2805"/>
      <c r="JZR74" s="2805"/>
      <c r="JZS74" s="2805"/>
      <c r="JZT74" s="2805"/>
      <c r="JZU74" s="2805"/>
      <c r="JZV74" s="2805"/>
      <c r="JZW74" s="2805"/>
      <c r="JZX74" s="2805"/>
      <c r="JZY74" s="2805"/>
      <c r="JZZ74" s="2805"/>
      <c r="KAA74" s="2805"/>
      <c r="KAB74" s="2805"/>
      <c r="KAC74" s="2805"/>
      <c r="KAD74" s="2805"/>
      <c r="KAE74" s="2805"/>
      <c r="KAF74" s="2805"/>
      <c r="KAG74" s="2805"/>
      <c r="KAH74" s="2805"/>
      <c r="KAI74" s="2805"/>
      <c r="KAJ74" s="2805"/>
      <c r="KAK74" s="2805"/>
      <c r="KAL74" s="2805"/>
      <c r="KAM74" s="2805"/>
      <c r="KAN74" s="2805"/>
      <c r="KAO74" s="2805"/>
      <c r="KAP74" s="2805"/>
      <c r="KAQ74" s="2805"/>
      <c r="KAR74" s="2805"/>
      <c r="KAS74" s="2805"/>
      <c r="KAT74" s="2805"/>
      <c r="KAU74" s="2805"/>
      <c r="KAV74" s="2805"/>
      <c r="KAW74" s="2805"/>
      <c r="KAX74" s="2805"/>
      <c r="KAY74" s="2805"/>
      <c r="KAZ74" s="2805"/>
      <c r="KBA74" s="2805"/>
      <c r="KBB74" s="2805"/>
      <c r="KBC74" s="2805"/>
      <c r="KBD74" s="2805"/>
      <c r="KBE74" s="2805"/>
      <c r="KBF74" s="2805"/>
      <c r="KBG74" s="2805"/>
      <c r="KBH74" s="2805"/>
      <c r="KBI74" s="2805"/>
      <c r="KBJ74" s="2805"/>
      <c r="KBK74" s="2805"/>
      <c r="KBL74" s="2805"/>
      <c r="KBM74" s="2805"/>
      <c r="KBN74" s="2805"/>
      <c r="KBO74" s="2805"/>
      <c r="KBP74" s="2805"/>
      <c r="KBQ74" s="2805"/>
      <c r="KBR74" s="2805"/>
      <c r="KBS74" s="2805"/>
      <c r="KBT74" s="2805"/>
      <c r="KBU74" s="2805"/>
      <c r="KBV74" s="2805"/>
      <c r="KBW74" s="2805"/>
      <c r="KBX74" s="2805"/>
      <c r="KBY74" s="2805"/>
      <c r="KBZ74" s="2805"/>
      <c r="KCA74" s="2805"/>
      <c r="KCB74" s="2805"/>
      <c r="KCC74" s="2805"/>
      <c r="KCD74" s="2805"/>
      <c r="KCE74" s="2805"/>
      <c r="KCF74" s="2805"/>
      <c r="KCG74" s="2805"/>
      <c r="KCH74" s="2805"/>
      <c r="KCI74" s="2805"/>
      <c r="KCJ74" s="2805"/>
      <c r="KCK74" s="2805"/>
      <c r="KCL74" s="2805"/>
      <c r="KCM74" s="2805"/>
      <c r="KCN74" s="2805"/>
      <c r="KCO74" s="2805"/>
      <c r="KCP74" s="2805"/>
      <c r="KCQ74" s="2805"/>
      <c r="KCR74" s="2805"/>
      <c r="KCS74" s="2805"/>
      <c r="KCT74" s="2805"/>
      <c r="KCU74" s="2805"/>
      <c r="KCV74" s="2805"/>
      <c r="KCW74" s="2805"/>
      <c r="KCX74" s="2805"/>
      <c r="KCY74" s="2805"/>
      <c r="KCZ74" s="2805"/>
      <c r="KDA74" s="2805"/>
      <c r="KDB74" s="2805"/>
      <c r="KDC74" s="2805"/>
      <c r="KDD74" s="2805"/>
      <c r="KDE74" s="2805"/>
      <c r="KDF74" s="2805"/>
      <c r="KDG74" s="2805"/>
      <c r="KDH74" s="2805"/>
      <c r="KDI74" s="2805"/>
      <c r="KDJ74" s="2805"/>
      <c r="KDK74" s="2805"/>
      <c r="KDL74" s="2805"/>
      <c r="KDM74" s="2805"/>
      <c r="KDN74" s="2805"/>
      <c r="KDO74" s="2805"/>
      <c r="KDP74" s="2805"/>
      <c r="KDQ74" s="2805"/>
      <c r="KDR74" s="2805"/>
      <c r="KDS74" s="2805"/>
      <c r="KDT74" s="2805"/>
      <c r="KDU74" s="2805"/>
      <c r="KDV74" s="2805"/>
      <c r="KDW74" s="2805"/>
      <c r="KDX74" s="2805"/>
      <c r="KDY74" s="2805"/>
      <c r="KDZ74" s="2805"/>
      <c r="KEA74" s="2805"/>
      <c r="KEB74" s="2805"/>
      <c r="KEC74" s="2805"/>
      <c r="KED74" s="2805"/>
      <c r="KEE74" s="2805"/>
      <c r="KEF74" s="2805"/>
      <c r="KEG74" s="2805"/>
      <c r="KEH74" s="2805"/>
      <c r="KEI74" s="2805"/>
      <c r="KEJ74" s="2805"/>
      <c r="KEK74" s="2805"/>
      <c r="KEL74" s="2805"/>
      <c r="KEM74" s="2805"/>
      <c r="KEN74" s="2805"/>
      <c r="KEO74" s="2805"/>
      <c r="KEP74" s="2805"/>
      <c r="KEQ74" s="2805"/>
      <c r="KER74" s="2805"/>
      <c r="KES74" s="2805"/>
      <c r="KET74" s="2805"/>
      <c r="KEU74" s="2805"/>
      <c r="KEV74" s="2805"/>
      <c r="KEW74" s="2805"/>
      <c r="KEX74" s="2805"/>
      <c r="KEY74" s="2805"/>
      <c r="KEZ74" s="2805"/>
      <c r="KFA74" s="2805"/>
      <c r="KFB74" s="2805"/>
      <c r="KFC74" s="2805"/>
      <c r="KFD74" s="2805"/>
      <c r="KFE74" s="2805"/>
      <c r="KFF74" s="2805"/>
      <c r="KFG74" s="2805"/>
      <c r="KFH74" s="2805"/>
      <c r="KFI74" s="2805"/>
      <c r="KFJ74" s="2805"/>
      <c r="KFK74" s="2805"/>
      <c r="KFL74" s="2805"/>
      <c r="KFM74" s="2805"/>
      <c r="KFN74" s="2805"/>
      <c r="KFO74" s="2805"/>
      <c r="KFP74" s="2805"/>
      <c r="KFQ74" s="2805"/>
      <c r="KFR74" s="2805"/>
      <c r="KFS74" s="2805"/>
      <c r="KFT74" s="2805"/>
      <c r="KFU74" s="2805"/>
      <c r="KFV74" s="2805"/>
      <c r="KFW74" s="2805"/>
      <c r="KFX74" s="2805"/>
      <c r="KFY74" s="2805"/>
      <c r="KFZ74" s="2805"/>
      <c r="KGA74" s="2805"/>
      <c r="KGB74" s="2805"/>
      <c r="KGC74" s="2805"/>
      <c r="KGD74" s="2805"/>
      <c r="KGE74" s="2805"/>
      <c r="KGF74" s="2805"/>
      <c r="KGG74" s="2805"/>
      <c r="KGH74" s="2805"/>
      <c r="KGI74" s="2805"/>
      <c r="KGJ74" s="2805"/>
      <c r="KGK74" s="2805"/>
      <c r="KGL74" s="2805"/>
      <c r="KGM74" s="2805"/>
      <c r="KGN74" s="2805"/>
      <c r="KGO74" s="2805"/>
      <c r="KGP74" s="2805"/>
      <c r="KGQ74" s="2805"/>
      <c r="KGR74" s="2805"/>
      <c r="KGS74" s="2805"/>
      <c r="KGT74" s="2805"/>
      <c r="KGU74" s="2805"/>
      <c r="KGV74" s="2805"/>
      <c r="KGW74" s="2805"/>
      <c r="KGX74" s="2805"/>
      <c r="KGY74" s="2805"/>
      <c r="KGZ74" s="2805"/>
      <c r="KHA74" s="2805"/>
      <c r="KHB74" s="2805"/>
      <c r="KHC74" s="2805"/>
      <c r="KHD74" s="2805"/>
      <c r="KHE74" s="2805"/>
      <c r="KHF74" s="2805"/>
      <c r="KHG74" s="2805"/>
      <c r="KHH74" s="2805"/>
      <c r="KHI74" s="2805"/>
      <c r="KHJ74" s="2805"/>
      <c r="KHK74" s="2805"/>
      <c r="KHL74" s="2805"/>
      <c r="KHM74" s="2805"/>
      <c r="KHN74" s="2805"/>
      <c r="KHO74" s="2805"/>
      <c r="KHP74" s="2805"/>
      <c r="KHQ74" s="2805"/>
      <c r="KHR74" s="2805"/>
      <c r="KHS74" s="2805"/>
      <c r="KHT74" s="2805"/>
      <c r="KHU74" s="2805"/>
      <c r="KHV74" s="2805"/>
      <c r="KHW74" s="2805"/>
      <c r="KHX74" s="2805"/>
      <c r="KHY74" s="2805"/>
      <c r="KHZ74" s="2805"/>
      <c r="KIA74" s="2805"/>
      <c r="KIB74" s="2805"/>
      <c r="KIC74" s="2805"/>
      <c r="KID74" s="2805"/>
      <c r="KIE74" s="2805"/>
      <c r="KIF74" s="2805"/>
      <c r="KIG74" s="2805"/>
      <c r="KIH74" s="2805"/>
      <c r="KII74" s="2805"/>
      <c r="KIJ74" s="2805"/>
      <c r="KIK74" s="2805"/>
      <c r="KIL74" s="2805"/>
      <c r="KIM74" s="2805"/>
      <c r="KIN74" s="2805"/>
      <c r="KIO74" s="2805"/>
      <c r="KIP74" s="2805"/>
      <c r="KIQ74" s="2805"/>
      <c r="KIR74" s="2805"/>
      <c r="KIS74" s="2805"/>
      <c r="KIT74" s="2805"/>
      <c r="KIU74" s="2805"/>
      <c r="KIV74" s="2805"/>
      <c r="KIW74" s="2805"/>
      <c r="KIX74" s="2805"/>
      <c r="KIY74" s="2805"/>
      <c r="KIZ74" s="2805"/>
      <c r="KJA74" s="2805"/>
      <c r="KJB74" s="2805"/>
      <c r="KJC74" s="2805"/>
      <c r="KJD74" s="2805"/>
      <c r="KJE74" s="2805"/>
      <c r="KJF74" s="2805"/>
      <c r="KJG74" s="2805"/>
      <c r="KJH74" s="2805"/>
      <c r="KJI74" s="2805"/>
      <c r="KJJ74" s="2805"/>
      <c r="KJK74" s="2805"/>
      <c r="KJL74" s="2805"/>
      <c r="KJM74" s="2805"/>
      <c r="KJN74" s="2805"/>
      <c r="KJO74" s="2805"/>
      <c r="KJP74" s="2805"/>
      <c r="KJQ74" s="2805"/>
      <c r="KJR74" s="2805"/>
      <c r="KJS74" s="2805"/>
      <c r="KJT74" s="2805"/>
      <c r="KJU74" s="2805"/>
      <c r="KJV74" s="2805"/>
      <c r="KJW74" s="2805"/>
      <c r="KJX74" s="2805"/>
      <c r="KJY74" s="2805"/>
      <c r="KJZ74" s="2805"/>
      <c r="KKA74" s="2805"/>
      <c r="KKB74" s="2805"/>
      <c r="KKC74" s="2805"/>
      <c r="KKD74" s="2805"/>
      <c r="KKE74" s="2805"/>
      <c r="KKF74" s="2805"/>
      <c r="KKG74" s="2805"/>
      <c r="KKH74" s="2805"/>
      <c r="KKI74" s="2805"/>
      <c r="KKJ74" s="2805"/>
      <c r="KKK74" s="2805"/>
      <c r="KKL74" s="2805"/>
      <c r="KKM74" s="2805"/>
      <c r="KKN74" s="2805"/>
      <c r="KKO74" s="2805"/>
      <c r="KKP74" s="2805"/>
      <c r="KKQ74" s="2805"/>
      <c r="KKR74" s="2805"/>
      <c r="KKS74" s="2805"/>
      <c r="KKT74" s="2805"/>
      <c r="KKU74" s="2805"/>
      <c r="KKV74" s="2805"/>
      <c r="KKW74" s="2805"/>
      <c r="KKX74" s="2805"/>
      <c r="KKY74" s="2805"/>
      <c r="KKZ74" s="2805"/>
      <c r="KLA74" s="2805"/>
      <c r="KLB74" s="2805"/>
      <c r="KLC74" s="2805"/>
      <c r="KLD74" s="2805"/>
      <c r="KLE74" s="2805"/>
      <c r="KLF74" s="2805"/>
      <c r="KLG74" s="2805"/>
      <c r="KLH74" s="2805"/>
      <c r="KLI74" s="2805"/>
      <c r="KLJ74" s="2805"/>
      <c r="KLK74" s="2805"/>
      <c r="KLL74" s="2805"/>
      <c r="KLM74" s="2805"/>
      <c r="KLN74" s="2805"/>
      <c r="KLO74" s="2805"/>
      <c r="KLP74" s="2805"/>
      <c r="KLQ74" s="2805"/>
      <c r="KLR74" s="2805"/>
      <c r="KLS74" s="2805"/>
      <c r="KLT74" s="2805"/>
      <c r="KLU74" s="2805"/>
      <c r="KLV74" s="2805"/>
      <c r="KLW74" s="2805"/>
      <c r="KLX74" s="2805"/>
      <c r="KLY74" s="2805"/>
      <c r="KLZ74" s="2805"/>
      <c r="KMA74" s="2805"/>
      <c r="KMB74" s="2805"/>
      <c r="KMC74" s="2805"/>
      <c r="KMD74" s="2805"/>
      <c r="KME74" s="2805"/>
      <c r="KMF74" s="2805"/>
      <c r="KMG74" s="2805"/>
      <c r="KMH74" s="2805"/>
      <c r="KMI74" s="2805"/>
      <c r="KMJ74" s="2805"/>
      <c r="KMK74" s="2805"/>
      <c r="KML74" s="2805"/>
      <c r="KMM74" s="2805"/>
      <c r="KMN74" s="2805"/>
      <c r="KMO74" s="2805"/>
      <c r="KMP74" s="2805"/>
      <c r="KMQ74" s="2805"/>
      <c r="KMR74" s="2805"/>
      <c r="KMS74" s="2805"/>
      <c r="KMT74" s="2805"/>
      <c r="KMU74" s="2805"/>
      <c r="KMV74" s="2805"/>
      <c r="KMW74" s="2805"/>
      <c r="KMX74" s="2805"/>
      <c r="KMY74" s="2805"/>
      <c r="KMZ74" s="2805"/>
      <c r="KNA74" s="2805"/>
      <c r="KNB74" s="2805"/>
      <c r="KNC74" s="2805"/>
      <c r="KND74" s="2805"/>
      <c r="KNE74" s="2805"/>
      <c r="KNF74" s="2805"/>
      <c r="KNG74" s="2805"/>
      <c r="KNH74" s="2805"/>
      <c r="KNI74" s="2805"/>
      <c r="KNJ74" s="2805"/>
      <c r="KNK74" s="2805"/>
      <c r="KNL74" s="2805"/>
      <c r="KNM74" s="2805"/>
      <c r="KNN74" s="2805"/>
      <c r="KNO74" s="2805"/>
      <c r="KNP74" s="2805"/>
      <c r="KNQ74" s="2805"/>
      <c r="KNR74" s="2805"/>
      <c r="KNS74" s="2805"/>
      <c r="KNT74" s="2805"/>
      <c r="KNU74" s="2805"/>
      <c r="KNV74" s="2805"/>
      <c r="KNW74" s="2805"/>
      <c r="KNX74" s="2805"/>
      <c r="KNY74" s="2805"/>
      <c r="KNZ74" s="2805"/>
      <c r="KOA74" s="2805"/>
      <c r="KOB74" s="2805"/>
      <c r="KOC74" s="2805"/>
      <c r="KOD74" s="2805"/>
      <c r="KOE74" s="2805"/>
      <c r="KOF74" s="2805"/>
      <c r="KOG74" s="2805"/>
      <c r="KOH74" s="2805"/>
      <c r="KOI74" s="2805"/>
      <c r="KOJ74" s="2805"/>
      <c r="KOK74" s="2805"/>
      <c r="KOL74" s="2805"/>
      <c r="KOM74" s="2805"/>
      <c r="KON74" s="2805"/>
      <c r="KOO74" s="2805"/>
      <c r="KOP74" s="2805"/>
      <c r="KOQ74" s="2805"/>
      <c r="KOR74" s="2805"/>
      <c r="KOS74" s="2805"/>
      <c r="KOT74" s="2805"/>
      <c r="KOU74" s="2805"/>
      <c r="KOV74" s="2805"/>
      <c r="KOW74" s="2805"/>
      <c r="KOX74" s="2805"/>
      <c r="KOY74" s="2805"/>
      <c r="KOZ74" s="2805"/>
      <c r="KPA74" s="2805"/>
      <c r="KPB74" s="2805"/>
      <c r="KPC74" s="2805"/>
      <c r="KPD74" s="2805"/>
      <c r="KPE74" s="2805"/>
      <c r="KPF74" s="2805"/>
      <c r="KPG74" s="2805"/>
      <c r="KPH74" s="2805"/>
      <c r="KPI74" s="2805"/>
      <c r="KPJ74" s="2805"/>
      <c r="KPK74" s="2805"/>
      <c r="KPL74" s="2805"/>
      <c r="KPM74" s="2805"/>
      <c r="KPN74" s="2805"/>
      <c r="KPO74" s="2805"/>
      <c r="KPP74" s="2805"/>
      <c r="KPQ74" s="2805"/>
      <c r="KPR74" s="2805"/>
      <c r="KPS74" s="2805"/>
      <c r="KPT74" s="2805"/>
      <c r="KPU74" s="2805"/>
      <c r="KPV74" s="2805"/>
      <c r="KPW74" s="2805"/>
      <c r="KPX74" s="2805"/>
      <c r="KPY74" s="2805"/>
      <c r="KPZ74" s="2805"/>
      <c r="KQA74" s="2805"/>
      <c r="KQB74" s="2805"/>
      <c r="KQC74" s="2805"/>
      <c r="KQD74" s="2805"/>
      <c r="KQE74" s="2805"/>
      <c r="KQF74" s="2805"/>
      <c r="KQG74" s="2805"/>
      <c r="KQH74" s="2805"/>
      <c r="KQI74" s="2805"/>
      <c r="KQJ74" s="2805"/>
      <c r="KQK74" s="2805"/>
      <c r="KQL74" s="2805"/>
      <c r="KQM74" s="2805"/>
      <c r="KQN74" s="2805"/>
      <c r="KQO74" s="2805"/>
      <c r="KQP74" s="2805"/>
      <c r="KQQ74" s="2805"/>
      <c r="KQR74" s="2805"/>
      <c r="KQS74" s="2805"/>
      <c r="KQT74" s="2805"/>
      <c r="KQU74" s="2805"/>
      <c r="KQV74" s="2805"/>
      <c r="KQW74" s="2805"/>
      <c r="KQX74" s="2805"/>
      <c r="KQY74" s="2805"/>
      <c r="KQZ74" s="2805"/>
      <c r="KRA74" s="2805"/>
      <c r="KRB74" s="2805"/>
      <c r="KRC74" s="2805"/>
      <c r="KRD74" s="2805"/>
      <c r="KRE74" s="2805"/>
      <c r="KRF74" s="2805"/>
      <c r="KRG74" s="2805"/>
      <c r="KRH74" s="2805"/>
      <c r="KRI74" s="2805"/>
      <c r="KRJ74" s="2805"/>
      <c r="KRK74" s="2805"/>
      <c r="KRL74" s="2805"/>
      <c r="KRM74" s="2805"/>
      <c r="KRN74" s="2805"/>
      <c r="KRO74" s="2805"/>
      <c r="KRP74" s="2805"/>
      <c r="KRQ74" s="2805"/>
      <c r="KRR74" s="2805"/>
      <c r="KRS74" s="2805"/>
      <c r="KRT74" s="2805"/>
      <c r="KRU74" s="2805"/>
      <c r="KRV74" s="2805"/>
      <c r="KRW74" s="2805"/>
      <c r="KRX74" s="2805"/>
      <c r="KRY74" s="2805"/>
      <c r="KRZ74" s="2805"/>
      <c r="KSA74" s="2805"/>
      <c r="KSB74" s="2805"/>
      <c r="KSC74" s="2805"/>
      <c r="KSD74" s="2805"/>
      <c r="KSE74" s="2805"/>
      <c r="KSF74" s="2805"/>
      <c r="KSG74" s="2805"/>
      <c r="KSH74" s="2805"/>
      <c r="KSI74" s="2805"/>
      <c r="KSJ74" s="2805"/>
      <c r="KSK74" s="2805"/>
      <c r="KSL74" s="2805"/>
      <c r="KSM74" s="2805"/>
      <c r="KSN74" s="2805"/>
      <c r="KSO74" s="2805"/>
      <c r="KSP74" s="2805"/>
      <c r="KSQ74" s="2805"/>
      <c r="KSR74" s="2805"/>
      <c r="KSS74" s="2805"/>
      <c r="KST74" s="2805"/>
      <c r="KSU74" s="2805"/>
      <c r="KSV74" s="2805"/>
      <c r="KSW74" s="2805"/>
      <c r="KSX74" s="2805"/>
      <c r="KSY74" s="2805"/>
      <c r="KSZ74" s="2805"/>
      <c r="KTA74" s="2805"/>
      <c r="KTB74" s="2805"/>
      <c r="KTC74" s="2805"/>
      <c r="KTD74" s="2805"/>
      <c r="KTE74" s="2805"/>
      <c r="KTF74" s="2805"/>
      <c r="KTG74" s="2805"/>
      <c r="KTH74" s="2805"/>
      <c r="KTI74" s="2805"/>
      <c r="KTJ74" s="2805"/>
      <c r="KTK74" s="2805"/>
      <c r="KTL74" s="2805"/>
      <c r="KTM74" s="2805"/>
      <c r="KTN74" s="2805"/>
      <c r="KTO74" s="2805"/>
      <c r="KTP74" s="2805"/>
      <c r="KTQ74" s="2805"/>
      <c r="KTR74" s="2805"/>
      <c r="KTS74" s="2805"/>
      <c r="KTT74" s="2805"/>
      <c r="KTU74" s="2805"/>
      <c r="KTV74" s="2805"/>
      <c r="KTW74" s="2805"/>
      <c r="KTX74" s="2805"/>
      <c r="KTY74" s="2805"/>
      <c r="KTZ74" s="2805"/>
      <c r="KUA74" s="2805"/>
      <c r="KUB74" s="2805"/>
      <c r="KUC74" s="2805"/>
      <c r="KUD74" s="2805"/>
      <c r="KUE74" s="2805"/>
      <c r="KUF74" s="2805"/>
      <c r="KUG74" s="2805"/>
      <c r="KUH74" s="2805"/>
      <c r="KUI74" s="2805"/>
      <c r="KUJ74" s="2805"/>
      <c r="KUK74" s="2805"/>
      <c r="KUL74" s="2805"/>
      <c r="KUM74" s="2805"/>
      <c r="KUN74" s="2805"/>
      <c r="KUO74" s="2805"/>
      <c r="KUP74" s="2805"/>
      <c r="KUQ74" s="2805"/>
      <c r="KUR74" s="2805"/>
      <c r="KUS74" s="2805"/>
      <c r="KUT74" s="2805"/>
      <c r="KUU74" s="2805"/>
      <c r="KUV74" s="2805"/>
      <c r="KUW74" s="2805"/>
      <c r="KUX74" s="2805"/>
      <c r="KUY74" s="2805"/>
      <c r="KUZ74" s="2805"/>
      <c r="KVA74" s="2805"/>
      <c r="KVB74" s="2805"/>
      <c r="KVC74" s="2805"/>
      <c r="KVD74" s="2805"/>
      <c r="KVE74" s="2805"/>
      <c r="KVF74" s="2805"/>
      <c r="KVG74" s="2805"/>
      <c r="KVH74" s="2805"/>
      <c r="KVI74" s="2805"/>
      <c r="KVJ74" s="2805"/>
      <c r="KVK74" s="2805"/>
      <c r="KVL74" s="2805"/>
      <c r="KVM74" s="2805"/>
      <c r="KVN74" s="2805"/>
      <c r="KVO74" s="2805"/>
      <c r="KVP74" s="2805"/>
      <c r="KVQ74" s="2805"/>
      <c r="KVR74" s="2805"/>
      <c r="KVS74" s="2805"/>
      <c r="KVT74" s="2805"/>
      <c r="KVU74" s="2805"/>
      <c r="KVV74" s="2805"/>
      <c r="KVW74" s="2805"/>
      <c r="KVX74" s="2805"/>
      <c r="KVY74" s="2805"/>
      <c r="KVZ74" s="2805"/>
      <c r="KWA74" s="2805"/>
      <c r="KWB74" s="2805"/>
      <c r="KWC74" s="2805"/>
      <c r="KWD74" s="2805"/>
      <c r="KWE74" s="2805"/>
      <c r="KWF74" s="2805"/>
      <c r="KWG74" s="2805"/>
      <c r="KWH74" s="2805"/>
      <c r="KWI74" s="2805"/>
      <c r="KWJ74" s="2805"/>
      <c r="KWK74" s="2805"/>
      <c r="KWL74" s="2805"/>
      <c r="KWM74" s="2805"/>
      <c r="KWN74" s="2805"/>
      <c r="KWO74" s="2805"/>
      <c r="KWP74" s="2805"/>
      <c r="KWQ74" s="2805"/>
      <c r="KWR74" s="2805"/>
      <c r="KWS74" s="2805"/>
      <c r="KWT74" s="2805"/>
      <c r="KWU74" s="2805"/>
      <c r="KWV74" s="2805"/>
      <c r="KWW74" s="2805"/>
      <c r="KWX74" s="2805"/>
      <c r="KWY74" s="2805"/>
      <c r="KWZ74" s="2805"/>
      <c r="KXA74" s="2805"/>
      <c r="KXB74" s="2805"/>
      <c r="KXC74" s="2805"/>
      <c r="KXD74" s="2805"/>
      <c r="KXE74" s="2805"/>
      <c r="KXF74" s="2805"/>
      <c r="KXG74" s="2805"/>
      <c r="KXH74" s="2805"/>
      <c r="KXI74" s="2805"/>
      <c r="KXJ74" s="2805"/>
      <c r="KXK74" s="2805"/>
      <c r="KXL74" s="2805"/>
      <c r="KXM74" s="2805"/>
      <c r="KXN74" s="2805"/>
      <c r="KXO74" s="2805"/>
      <c r="KXP74" s="2805"/>
      <c r="KXQ74" s="2805"/>
      <c r="KXR74" s="2805"/>
      <c r="KXS74" s="2805"/>
      <c r="KXT74" s="2805"/>
      <c r="KXU74" s="2805"/>
      <c r="KXV74" s="2805"/>
      <c r="KXW74" s="2805"/>
      <c r="KXX74" s="2805"/>
      <c r="KXY74" s="2805"/>
      <c r="KXZ74" s="2805"/>
      <c r="KYA74" s="2805"/>
      <c r="KYB74" s="2805"/>
      <c r="KYC74" s="2805"/>
      <c r="KYD74" s="2805"/>
      <c r="KYE74" s="2805"/>
      <c r="KYF74" s="2805"/>
      <c r="KYG74" s="2805"/>
      <c r="KYH74" s="2805"/>
      <c r="KYI74" s="2805"/>
      <c r="KYJ74" s="2805"/>
      <c r="KYK74" s="2805"/>
      <c r="KYL74" s="2805"/>
      <c r="KYM74" s="2805"/>
      <c r="KYN74" s="2805"/>
      <c r="KYO74" s="2805"/>
      <c r="KYP74" s="2805"/>
      <c r="KYQ74" s="2805"/>
      <c r="KYR74" s="2805"/>
      <c r="KYS74" s="2805"/>
      <c r="KYT74" s="2805"/>
      <c r="KYU74" s="2805"/>
      <c r="KYV74" s="2805"/>
      <c r="KYW74" s="2805"/>
      <c r="KYX74" s="2805"/>
      <c r="KYY74" s="2805"/>
      <c r="KYZ74" s="2805"/>
      <c r="KZA74" s="2805"/>
      <c r="KZB74" s="2805"/>
      <c r="KZC74" s="2805"/>
      <c r="KZD74" s="2805"/>
      <c r="KZE74" s="2805"/>
      <c r="KZF74" s="2805"/>
      <c r="KZG74" s="2805"/>
      <c r="KZH74" s="2805"/>
      <c r="KZI74" s="2805"/>
      <c r="KZJ74" s="2805"/>
      <c r="KZK74" s="2805"/>
      <c r="KZL74" s="2805"/>
      <c r="KZM74" s="2805"/>
      <c r="KZN74" s="2805"/>
      <c r="KZO74" s="2805"/>
      <c r="KZP74" s="2805"/>
      <c r="KZQ74" s="2805"/>
      <c r="KZR74" s="2805"/>
      <c r="KZS74" s="2805"/>
      <c r="KZT74" s="2805"/>
      <c r="KZU74" s="2805"/>
      <c r="KZV74" s="2805"/>
      <c r="KZW74" s="2805"/>
      <c r="KZX74" s="2805"/>
      <c r="KZY74" s="2805"/>
      <c r="KZZ74" s="2805"/>
      <c r="LAA74" s="2805"/>
      <c r="LAB74" s="2805"/>
      <c r="LAC74" s="2805"/>
      <c r="LAD74" s="2805"/>
      <c r="LAE74" s="2805"/>
      <c r="LAF74" s="2805"/>
      <c r="LAG74" s="2805"/>
      <c r="LAH74" s="2805"/>
      <c r="LAI74" s="2805"/>
      <c r="LAJ74" s="2805"/>
      <c r="LAK74" s="2805"/>
      <c r="LAL74" s="2805"/>
      <c r="LAM74" s="2805"/>
      <c r="LAN74" s="2805"/>
      <c r="LAO74" s="2805"/>
      <c r="LAP74" s="2805"/>
      <c r="LAQ74" s="2805"/>
      <c r="LAR74" s="2805"/>
      <c r="LAS74" s="2805"/>
      <c r="LAT74" s="2805"/>
      <c r="LAU74" s="2805"/>
      <c r="LAV74" s="2805"/>
      <c r="LAW74" s="2805"/>
      <c r="LAX74" s="2805"/>
      <c r="LAY74" s="2805"/>
      <c r="LAZ74" s="2805"/>
      <c r="LBA74" s="2805"/>
      <c r="LBB74" s="2805"/>
      <c r="LBC74" s="2805"/>
      <c r="LBD74" s="2805"/>
      <c r="LBE74" s="2805"/>
      <c r="LBF74" s="2805"/>
      <c r="LBG74" s="2805"/>
      <c r="LBH74" s="2805"/>
      <c r="LBI74" s="2805"/>
      <c r="LBJ74" s="2805"/>
      <c r="LBK74" s="2805"/>
      <c r="LBL74" s="2805"/>
      <c r="LBM74" s="2805"/>
      <c r="LBN74" s="2805"/>
      <c r="LBO74" s="2805"/>
      <c r="LBP74" s="2805"/>
      <c r="LBQ74" s="2805"/>
      <c r="LBR74" s="2805"/>
      <c r="LBS74" s="2805"/>
      <c r="LBT74" s="2805"/>
      <c r="LBU74" s="2805"/>
      <c r="LBV74" s="2805"/>
      <c r="LBW74" s="2805"/>
      <c r="LBX74" s="2805"/>
      <c r="LBY74" s="2805"/>
      <c r="LBZ74" s="2805"/>
      <c r="LCA74" s="2805"/>
      <c r="LCB74" s="2805"/>
      <c r="LCC74" s="2805"/>
      <c r="LCD74" s="2805"/>
      <c r="LCE74" s="2805"/>
      <c r="LCF74" s="2805"/>
      <c r="LCG74" s="2805"/>
      <c r="LCH74" s="2805"/>
      <c r="LCI74" s="2805"/>
      <c r="LCJ74" s="2805"/>
      <c r="LCK74" s="2805"/>
      <c r="LCL74" s="2805"/>
      <c r="LCM74" s="2805"/>
      <c r="LCN74" s="2805"/>
      <c r="LCO74" s="2805"/>
      <c r="LCP74" s="2805"/>
      <c r="LCQ74" s="2805"/>
      <c r="LCR74" s="2805"/>
      <c r="LCS74" s="2805"/>
      <c r="LCT74" s="2805"/>
      <c r="LCU74" s="2805"/>
      <c r="LCV74" s="2805"/>
      <c r="LCW74" s="2805"/>
      <c r="LCX74" s="2805"/>
      <c r="LCY74" s="2805"/>
      <c r="LCZ74" s="2805"/>
      <c r="LDA74" s="2805"/>
      <c r="LDB74" s="2805"/>
      <c r="LDC74" s="2805"/>
      <c r="LDD74" s="2805"/>
      <c r="LDE74" s="2805"/>
      <c r="LDF74" s="2805"/>
      <c r="LDG74" s="2805"/>
      <c r="LDH74" s="2805"/>
      <c r="LDI74" s="2805"/>
      <c r="LDJ74" s="2805"/>
      <c r="LDK74" s="2805"/>
      <c r="LDL74" s="2805"/>
      <c r="LDM74" s="2805"/>
      <c r="LDN74" s="2805"/>
      <c r="LDO74" s="2805"/>
      <c r="LDP74" s="2805"/>
      <c r="LDQ74" s="2805"/>
      <c r="LDR74" s="2805"/>
      <c r="LDS74" s="2805"/>
      <c r="LDT74" s="2805"/>
      <c r="LDU74" s="2805"/>
      <c r="LDV74" s="2805"/>
      <c r="LDW74" s="2805"/>
      <c r="LDX74" s="2805"/>
      <c r="LDY74" s="2805"/>
      <c r="LDZ74" s="2805"/>
      <c r="LEA74" s="2805"/>
      <c r="LEB74" s="2805"/>
      <c r="LEC74" s="2805"/>
      <c r="LED74" s="2805"/>
      <c r="LEE74" s="2805"/>
      <c r="LEF74" s="2805"/>
      <c r="LEG74" s="2805"/>
      <c r="LEH74" s="2805"/>
      <c r="LEI74" s="2805"/>
      <c r="LEJ74" s="2805"/>
      <c r="LEK74" s="2805"/>
      <c r="LEL74" s="2805"/>
      <c r="LEM74" s="2805"/>
      <c r="LEN74" s="2805"/>
      <c r="LEO74" s="2805"/>
      <c r="LEP74" s="2805"/>
      <c r="LEQ74" s="2805"/>
      <c r="LER74" s="2805"/>
      <c r="LES74" s="2805"/>
      <c r="LET74" s="2805"/>
      <c r="LEU74" s="2805"/>
      <c r="LEV74" s="2805"/>
      <c r="LEW74" s="2805"/>
      <c r="LEX74" s="2805"/>
      <c r="LEY74" s="2805"/>
      <c r="LEZ74" s="2805"/>
      <c r="LFA74" s="2805"/>
      <c r="LFB74" s="2805"/>
      <c r="LFC74" s="2805"/>
      <c r="LFD74" s="2805"/>
      <c r="LFE74" s="2805"/>
      <c r="LFF74" s="2805"/>
      <c r="LFG74" s="2805"/>
      <c r="LFH74" s="2805"/>
      <c r="LFI74" s="2805"/>
      <c r="LFJ74" s="2805"/>
      <c r="LFK74" s="2805"/>
      <c r="LFL74" s="2805"/>
      <c r="LFM74" s="2805"/>
      <c r="LFN74" s="2805"/>
      <c r="LFO74" s="2805"/>
      <c r="LFP74" s="2805"/>
      <c r="LFQ74" s="2805"/>
      <c r="LFR74" s="2805"/>
      <c r="LFS74" s="2805"/>
      <c r="LFT74" s="2805"/>
      <c r="LFU74" s="2805"/>
      <c r="LFV74" s="2805"/>
      <c r="LFW74" s="2805"/>
      <c r="LFX74" s="2805"/>
      <c r="LFY74" s="2805"/>
      <c r="LFZ74" s="2805"/>
      <c r="LGA74" s="2805"/>
      <c r="LGB74" s="2805"/>
      <c r="LGC74" s="2805"/>
      <c r="LGD74" s="2805"/>
      <c r="LGE74" s="2805"/>
      <c r="LGF74" s="2805"/>
      <c r="LGG74" s="2805"/>
      <c r="LGH74" s="2805"/>
      <c r="LGI74" s="2805"/>
      <c r="LGJ74" s="2805"/>
      <c r="LGK74" s="2805"/>
      <c r="LGL74" s="2805"/>
      <c r="LGM74" s="2805"/>
      <c r="LGN74" s="2805"/>
      <c r="LGO74" s="2805"/>
      <c r="LGP74" s="2805"/>
      <c r="LGQ74" s="2805"/>
      <c r="LGR74" s="2805"/>
      <c r="LGS74" s="2805"/>
      <c r="LGT74" s="2805"/>
      <c r="LGU74" s="2805"/>
      <c r="LGV74" s="2805"/>
      <c r="LGW74" s="2805"/>
      <c r="LGX74" s="2805"/>
      <c r="LGY74" s="2805"/>
      <c r="LGZ74" s="2805"/>
      <c r="LHA74" s="2805"/>
      <c r="LHB74" s="2805"/>
      <c r="LHC74" s="2805"/>
      <c r="LHD74" s="2805"/>
      <c r="LHE74" s="2805"/>
      <c r="LHF74" s="2805"/>
      <c r="LHG74" s="2805"/>
      <c r="LHH74" s="2805"/>
      <c r="LHI74" s="2805"/>
      <c r="LHJ74" s="2805"/>
      <c r="LHK74" s="2805"/>
      <c r="LHL74" s="2805"/>
      <c r="LHM74" s="2805"/>
      <c r="LHN74" s="2805"/>
      <c r="LHO74" s="2805"/>
      <c r="LHP74" s="2805"/>
      <c r="LHQ74" s="2805"/>
      <c r="LHR74" s="2805"/>
      <c r="LHS74" s="2805"/>
      <c r="LHT74" s="2805"/>
      <c r="LHU74" s="2805"/>
      <c r="LHV74" s="2805"/>
      <c r="LHW74" s="2805"/>
      <c r="LHX74" s="2805"/>
      <c r="LHY74" s="2805"/>
      <c r="LHZ74" s="2805"/>
      <c r="LIA74" s="2805"/>
      <c r="LIB74" s="2805"/>
      <c r="LIC74" s="2805"/>
      <c r="LID74" s="2805"/>
      <c r="LIE74" s="2805"/>
      <c r="LIF74" s="2805"/>
      <c r="LIG74" s="2805"/>
      <c r="LIH74" s="2805"/>
      <c r="LII74" s="2805"/>
      <c r="LIJ74" s="2805"/>
      <c r="LIK74" s="2805"/>
      <c r="LIL74" s="2805"/>
      <c r="LIM74" s="2805"/>
      <c r="LIN74" s="2805"/>
      <c r="LIO74" s="2805"/>
      <c r="LIP74" s="2805"/>
      <c r="LIQ74" s="2805"/>
      <c r="LIR74" s="2805"/>
      <c r="LIS74" s="2805"/>
      <c r="LIT74" s="2805"/>
      <c r="LIU74" s="2805"/>
      <c r="LIV74" s="2805"/>
      <c r="LIW74" s="2805"/>
      <c r="LIX74" s="2805"/>
      <c r="LIY74" s="2805"/>
      <c r="LIZ74" s="2805"/>
      <c r="LJA74" s="2805"/>
      <c r="LJB74" s="2805"/>
      <c r="LJC74" s="2805"/>
      <c r="LJD74" s="2805"/>
      <c r="LJE74" s="2805"/>
      <c r="LJF74" s="2805"/>
      <c r="LJG74" s="2805"/>
      <c r="LJH74" s="2805"/>
      <c r="LJI74" s="2805"/>
      <c r="LJJ74" s="2805"/>
      <c r="LJK74" s="2805"/>
      <c r="LJL74" s="2805"/>
      <c r="LJM74" s="2805"/>
      <c r="LJN74" s="2805"/>
      <c r="LJO74" s="2805"/>
      <c r="LJP74" s="2805"/>
      <c r="LJQ74" s="2805"/>
      <c r="LJR74" s="2805"/>
      <c r="LJS74" s="2805"/>
      <c r="LJT74" s="2805"/>
      <c r="LJU74" s="2805"/>
      <c r="LJV74" s="2805"/>
      <c r="LJW74" s="2805"/>
      <c r="LJX74" s="2805"/>
      <c r="LJY74" s="2805"/>
      <c r="LJZ74" s="2805"/>
      <c r="LKA74" s="2805"/>
      <c r="LKB74" s="2805"/>
      <c r="LKC74" s="2805"/>
      <c r="LKD74" s="2805"/>
      <c r="LKE74" s="2805"/>
      <c r="LKF74" s="2805"/>
      <c r="LKG74" s="2805"/>
      <c r="LKH74" s="2805"/>
      <c r="LKI74" s="2805"/>
      <c r="LKJ74" s="2805"/>
      <c r="LKK74" s="2805"/>
      <c r="LKL74" s="2805"/>
      <c r="LKM74" s="2805"/>
      <c r="LKN74" s="2805"/>
      <c r="LKO74" s="2805"/>
      <c r="LKP74" s="2805"/>
      <c r="LKQ74" s="2805"/>
      <c r="LKR74" s="2805"/>
      <c r="LKS74" s="2805"/>
      <c r="LKT74" s="2805"/>
      <c r="LKU74" s="2805"/>
      <c r="LKV74" s="2805"/>
      <c r="LKW74" s="2805"/>
      <c r="LKX74" s="2805"/>
      <c r="LKY74" s="2805"/>
      <c r="LKZ74" s="2805"/>
      <c r="LLA74" s="2805"/>
      <c r="LLB74" s="2805"/>
      <c r="LLC74" s="2805"/>
      <c r="LLD74" s="2805"/>
      <c r="LLE74" s="2805"/>
      <c r="LLF74" s="2805"/>
      <c r="LLG74" s="2805"/>
      <c r="LLH74" s="2805"/>
      <c r="LLI74" s="2805"/>
      <c r="LLJ74" s="2805"/>
      <c r="LLK74" s="2805"/>
      <c r="LLL74" s="2805"/>
      <c r="LLM74" s="2805"/>
      <c r="LLN74" s="2805"/>
      <c r="LLO74" s="2805"/>
      <c r="LLP74" s="2805"/>
      <c r="LLQ74" s="2805"/>
      <c r="LLR74" s="2805"/>
      <c r="LLS74" s="2805"/>
      <c r="LLT74" s="2805"/>
      <c r="LLU74" s="2805"/>
      <c r="LLV74" s="2805"/>
      <c r="LLW74" s="2805"/>
      <c r="LLX74" s="2805"/>
      <c r="LLY74" s="2805"/>
      <c r="LLZ74" s="2805"/>
      <c r="LMA74" s="2805"/>
      <c r="LMB74" s="2805"/>
      <c r="LMC74" s="2805"/>
      <c r="LMD74" s="2805"/>
      <c r="LME74" s="2805"/>
      <c r="LMF74" s="2805"/>
      <c r="LMG74" s="2805"/>
      <c r="LMH74" s="2805"/>
      <c r="LMI74" s="2805"/>
      <c r="LMJ74" s="2805"/>
      <c r="LMK74" s="2805"/>
      <c r="LML74" s="2805"/>
      <c r="LMM74" s="2805"/>
      <c r="LMN74" s="2805"/>
      <c r="LMO74" s="2805"/>
      <c r="LMP74" s="2805"/>
      <c r="LMQ74" s="2805"/>
      <c r="LMR74" s="2805"/>
      <c r="LMS74" s="2805"/>
      <c r="LMT74" s="2805"/>
      <c r="LMU74" s="2805"/>
      <c r="LMV74" s="2805"/>
      <c r="LMW74" s="2805"/>
      <c r="LMX74" s="2805"/>
      <c r="LMY74" s="2805"/>
      <c r="LMZ74" s="2805"/>
      <c r="LNA74" s="2805"/>
      <c r="LNB74" s="2805"/>
      <c r="LNC74" s="2805"/>
      <c r="LND74" s="2805"/>
      <c r="LNE74" s="2805"/>
      <c r="LNF74" s="2805"/>
      <c r="LNG74" s="2805"/>
      <c r="LNH74" s="2805"/>
      <c r="LNI74" s="2805"/>
      <c r="LNJ74" s="2805"/>
      <c r="LNK74" s="2805"/>
      <c r="LNL74" s="2805"/>
      <c r="LNM74" s="2805"/>
      <c r="LNN74" s="2805"/>
      <c r="LNO74" s="2805"/>
      <c r="LNP74" s="2805"/>
      <c r="LNQ74" s="2805"/>
      <c r="LNR74" s="2805"/>
      <c r="LNS74" s="2805"/>
      <c r="LNT74" s="2805"/>
      <c r="LNU74" s="2805"/>
      <c r="LNV74" s="2805"/>
      <c r="LNW74" s="2805"/>
      <c r="LNX74" s="2805"/>
      <c r="LNY74" s="2805"/>
      <c r="LNZ74" s="2805"/>
      <c r="LOA74" s="2805"/>
      <c r="LOB74" s="2805"/>
      <c r="LOC74" s="2805"/>
      <c r="LOD74" s="2805"/>
      <c r="LOE74" s="2805"/>
      <c r="LOF74" s="2805"/>
      <c r="LOG74" s="2805"/>
      <c r="LOH74" s="2805"/>
      <c r="LOI74" s="2805"/>
      <c r="LOJ74" s="2805"/>
      <c r="LOK74" s="2805"/>
      <c r="LOL74" s="2805"/>
      <c r="LOM74" s="2805"/>
      <c r="LON74" s="2805"/>
      <c r="LOO74" s="2805"/>
      <c r="LOP74" s="2805"/>
      <c r="LOQ74" s="2805"/>
      <c r="LOR74" s="2805"/>
      <c r="LOS74" s="2805"/>
      <c r="LOT74" s="2805"/>
      <c r="LOU74" s="2805"/>
      <c r="LOV74" s="2805"/>
      <c r="LOW74" s="2805"/>
      <c r="LOX74" s="2805"/>
      <c r="LOY74" s="2805"/>
      <c r="LOZ74" s="2805"/>
      <c r="LPA74" s="2805"/>
      <c r="LPB74" s="2805"/>
      <c r="LPC74" s="2805"/>
      <c r="LPD74" s="2805"/>
      <c r="LPE74" s="2805"/>
      <c r="LPF74" s="2805"/>
      <c r="LPG74" s="2805"/>
      <c r="LPH74" s="2805"/>
      <c r="LPI74" s="2805"/>
      <c r="LPJ74" s="2805"/>
      <c r="LPK74" s="2805"/>
      <c r="LPL74" s="2805"/>
      <c r="LPM74" s="2805"/>
      <c r="LPN74" s="2805"/>
      <c r="LPO74" s="2805"/>
      <c r="LPP74" s="2805"/>
      <c r="LPQ74" s="2805"/>
      <c r="LPR74" s="2805"/>
      <c r="LPS74" s="2805"/>
      <c r="LPT74" s="2805"/>
      <c r="LPU74" s="2805"/>
      <c r="LPV74" s="2805"/>
      <c r="LPW74" s="2805"/>
      <c r="LPX74" s="2805"/>
      <c r="LPY74" s="2805"/>
      <c r="LPZ74" s="2805"/>
      <c r="LQA74" s="2805"/>
      <c r="LQB74" s="2805"/>
      <c r="LQC74" s="2805"/>
      <c r="LQD74" s="2805"/>
      <c r="LQE74" s="2805"/>
      <c r="LQF74" s="2805"/>
      <c r="LQG74" s="2805"/>
      <c r="LQH74" s="2805"/>
      <c r="LQI74" s="2805"/>
      <c r="LQJ74" s="2805"/>
      <c r="LQK74" s="2805"/>
      <c r="LQL74" s="2805"/>
      <c r="LQM74" s="2805"/>
      <c r="LQN74" s="2805"/>
      <c r="LQO74" s="2805"/>
      <c r="LQP74" s="2805"/>
      <c r="LQQ74" s="2805"/>
      <c r="LQR74" s="2805"/>
      <c r="LQS74" s="2805"/>
      <c r="LQT74" s="2805"/>
      <c r="LQU74" s="2805"/>
      <c r="LQV74" s="2805"/>
      <c r="LQW74" s="2805"/>
      <c r="LQX74" s="2805"/>
      <c r="LQY74" s="2805"/>
      <c r="LQZ74" s="2805"/>
      <c r="LRA74" s="2805"/>
      <c r="LRB74" s="2805"/>
      <c r="LRC74" s="2805"/>
      <c r="LRD74" s="2805"/>
      <c r="LRE74" s="2805"/>
      <c r="LRF74" s="2805"/>
      <c r="LRG74" s="2805"/>
      <c r="LRH74" s="2805"/>
      <c r="LRI74" s="2805"/>
      <c r="LRJ74" s="2805"/>
      <c r="LRK74" s="2805"/>
      <c r="LRL74" s="2805"/>
      <c r="LRM74" s="2805"/>
      <c r="LRN74" s="2805"/>
      <c r="LRO74" s="2805"/>
      <c r="LRP74" s="2805"/>
      <c r="LRQ74" s="2805"/>
      <c r="LRR74" s="2805"/>
      <c r="LRS74" s="2805"/>
      <c r="LRT74" s="2805"/>
      <c r="LRU74" s="2805"/>
      <c r="LRV74" s="2805"/>
      <c r="LRW74" s="2805"/>
      <c r="LRX74" s="2805"/>
      <c r="LRY74" s="2805"/>
      <c r="LRZ74" s="2805"/>
      <c r="LSA74" s="2805"/>
      <c r="LSB74" s="2805"/>
      <c r="LSC74" s="2805"/>
      <c r="LSD74" s="2805"/>
      <c r="LSE74" s="2805"/>
      <c r="LSF74" s="2805"/>
      <c r="LSG74" s="2805"/>
      <c r="LSH74" s="2805"/>
      <c r="LSI74" s="2805"/>
      <c r="LSJ74" s="2805"/>
      <c r="LSK74" s="2805"/>
      <c r="LSL74" s="2805"/>
      <c r="LSM74" s="2805"/>
      <c r="LSN74" s="2805"/>
      <c r="LSO74" s="2805"/>
      <c r="LSP74" s="2805"/>
      <c r="LSQ74" s="2805"/>
      <c r="LSR74" s="2805"/>
      <c r="LSS74" s="2805"/>
      <c r="LST74" s="2805"/>
      <c r="LSU74" s="2805"/>
      <c r="LSV74" s="2805"/>
      <c r="LSW74" s="2805"/>
      <c r="LSX74" s="2805"/>
      <c r="LSY74" s="2805"/>
      <c r="LSZ74" s="2805"/>
      <c r="LTA74" s="2805"/>
      <c r="LTB74" s="2805"/>
      <c r="LTC74" s="2805"/>
      <c r="LTD74" s="2805"/>
      <c r="LTE74" s="2805"/>
      <c r="LTF74" s="2805"/>
      <c r="LTG74" s="2805"/>
      <c r="LTH74" s="2805"/>
      <c r="LTI74" s="2805"/>
      <c r="LTJ74" s="2805"/>
      <c r="LTK74" s="2805"/>
      <c r="LTL74" s="2805"/>
      <c r="LTM74" s="2805"/>
      <c r="LTN74" s="2805"/>
      <c r="LTO74" s="2805"/>
      <c r="LTP74" s="2805"/>
      <c r="LTQ74" s="2805"/>
      <c r="LTR74" s="2805"/>
      <c r="LTS74" s="2805"/>
      <c r="LTT74" s="2805"/>
      <c r="LTU74" s="2805"/>
      <c r="LTV74" s="2805"/>
      <c r="LTW74" s="2805"/>
      <c r="LTX74" s="2805"/>
      <c r="LTY74" s="2805"/>
      <c r="LTZ74" s="2805"/>
      <c r="LUA74" s="2805"/>
      <c r="LUB74" s="2805"/>
      <c r="LUC74" s="2805"/>
      <c r="LUD74" s="2805"/>
      <c r="LUE74" s="2805"/>
      <c r="LUF74" s="2805"/>
      <c r="LUG74" s="2805"/>
      <c r="LUH74" s="2805"/>
      <c r="LUI74" s="2805"/>
      <c r="LUJ74" s="2805"/>
      <c r="LUK74" s="2805"/>
      <c r="LUL74" s="2805"/>
      <c r="LUM74" s="2805"/>
      <c r="LUN74" s="2805"/>
      <c r="LUO74" s="2805"/>
      <c r="LUP74" s="2805"/>
      <c r="LUQ74" s="2805"/>
      <c r="LUR74" s="2805"/>
      <c r="LUS74" s="2805"/>
      <c r="LUT74" s="2805"/>
      <c r="LUU74" s="2805"/>
      <c r="LUV74" s="2805"/>
      <c r="LUW74" s="2805"/>
      <c r="LUX74" s="2805"/>
      <c r="LUY74" s="2805"/>
      <c r="LUZ74" s="2805"/>
      <c r="LVA74" s="2805"/>
      <c r="LVB74" s="2805"/>
      <c r="LVC74" s="2805"/>
      <c r="LVD74" s="2805"/>
      <c r="LVE74" s="2805"/>
      <c r="LVF74" s="2805"/>
      <c r="LVG74" s="2805"/>
      <c r="LVH74" s="2805"/>
      <c r="LVI74" s="2805"/>
      <c r="LVJ74" s="2805"/>
      <c r="LVK74" s="2805"/>
      <c r="LVL74" s="2805"/>
      <c r="LVM74" s="2805"/>
      <c r="LVN74" s="2805"/>
      <c r="LVO74" s="2805"/>
      <c r="LVP74" s="2805"/>
      <c r="LVQ74" s="2805"/>
      <c r="LVR74" s="2805"/>
      <c r="LVS74" s="2805"/>
      <c r="LVT74" s="2805"/>
      <c r="LVU74" s="2805"/>
      <c r="LVV74" s="2805"/>
      <c r="LVW74" s="2805"/>
      <c r="LVX74" s="2805"/>
      <c r="LVY74" s="2805"/>
      <c r="LVZ74" s="2805"/>
      <c r="LWA74" s="2805"/>
      <c r="LWB74" s="2805"/>
      <c r="LWC74" s="2805"/>
      <c r="LWD74" s="2805"/>
      <c r="LWE74" s="2805"/>
      <c r="LWF74" s="2805"/>
      <c r="LWG74" s="2805"/>
      <c r="LWH74" s="2805"/>
      <c r="LWI74" s="2805"/>
      <c r="LWJ74" s="2805"/>
      <c r="LWK74" s="2805"/>
      <c r="LWL74" s="2805"/>
      <c r="LWM74" s="2805"/>
      <c r="LWN74" s="2805"/>
      <c r="LWO74" s="2805"/>
      <c r="LWP74" s="2805"/>
      <c r="LWQ74" s="2805"/>
      <c r="LWR74" s="2805"/>
      <c r="LWS74" s="2805"/>
      <c r="LWT74" s="2805"/>
      <c r="LWU74" s="2805"/>
      <c r="LWV74" s="2805"/>
      <c r="LWW74" s="2805"/>
      <c r="LWX74" s="2805"/>
      <c r="LWY74" s="2805"/>
      <c r="LWZ74" s="2805"/>
      <c r="LXA74" s="2805"/>
      <c r="LXB74" s="2805"/>
      <c r="LXC74" s="2805"/>
      <c r="LXD74" s="2805"/>
      <c r="LXE74" s="2805"/>
      <c r="LXF74" s="2805"/>
      <c r="LXG74" s="2805"/>
      <c r="LXH74" s="2805"/>
      <c r="LXI74" s="2805"/>
      <c r="LXJ74" s="2805"/>
      <c r="LXK74" s="2805"/>
      <c r="LXL74" s="2805"/>
      <c r="LXM74" s="2805"/>
      <c r="LXN74" s="2805"/>
      <c r="LXO74" s="2805"/>
      <c r="LXP74" s="2805"/>
      <c r="LXQ74" s="2805"/>
      <c r="LXR74" s="2805"/>
      <c r="LXS74" s="2805"/>
      <c r="LXT74" s="2805"/>
      <c r="LXU74" s="2805"/>
      <c r="LXV74" s="2805"/>
      <c r="LXW74" s="2805"/>
      <c r="LXX74" s="2805"/>
      <c r="LXY74" s="2805"/>
      <c r="LXZ74" s="2805"/>
      <c r="LYA74" s="2805"/>
      <c r="LYB74" s="2805"/>
      <c r="LYC74" s="2805"/>
      <c r="LYD74" s="2805"/>
      <c r="LYE74" s="2805"/>
      <c r="LYF74" s="2805"/>
      <c r="LYG74" s="2805"/>
      <c r="LYH74" s="2805"/>
      <c r="LYI74" s="2805"/>
      <c r="LYJ74" s="2805"/>
      <c r="LYK74" s="2805"/>
      <c r="LYL74" s="2805"/>
      <c r="LYM74" s="2805"/>
      <c r="LYN74" s="2805"/>
      <c r="LYO74" s="2805"/>
      <c r="LYP74" s="2805"/>
      <c r="LYQ74" s="2805"/>
      <c r="LYR74" s="2805"/>
      <c r="LYS74" s="2805"/>
      <c r="LYT74" s="2805"/>
      <c r="LYU74" s="2805"/>
      <c r="LYV74" s="2805"/>
      <c r="LYW74" s="2805"/>
      <c r="LYX74" s="2805"/>
      <c r="LYY74" s="2805"/>
      <c r="LYZ74" s="2805"/>
      <c r="LZA74" s="2805"/>
      <c r="LZB74" s="2805"/>
      <c r="LZC74" s="2805"/>
      <c r="LZD74" s="2805"/>
      <c r="LZE74" s="2805"/>
      <c r="LZF74" s="2805"/>
      <c r="LZG74" s="2805"/>
      <c r="LZH74" s="2805"/>
      <c r="LZI74" s="2805"/>
      <c r="LZJ74" s="2805"/>
      <c r="LZK74" s="2805"/>
      <c r="LZL74" s="2805"/>
      <c r="LZM74" s="2805"/>
      <c r="LZN74" s="2805"/>
      <c r="LZO74" s="2805"/>
      <c r="LZP74" s="2805"/>
      <c r="LZQ74" s="2805"/>
      <c r="LZR74" s="2805"/>
      <c r="LZS74" s="2805"/>
      <c r="LZT74" s="2805"/>
      <c r="LZU74" s="2805"/>
      <c r="LZV74" s="2805"/>
      <c r="LZW74" s="2805"/>
      <c r="LZX74" s="2805"/>
      <c r="LZY74" s="2805"/>
      <c r="LZZ74" s="2805"/>
      <c r="MAA74" s="2805"/>
      <c r="MAB74" s="2805"/>
      <c r="MAC74" s="2805"/>
      <c r="MAD74" s="2805"/>
      <c r="MAE74" s="2805"/>
      <c r="MAF74" s="2805"/>
      <c r="MAG74" s="2805"/>
      <c r="MAH74" s="2805"/>
      <c r="MAI74" s="2805"/>
      <c r="MAJ74" s="2805"/>
      <c r="MAK74" s="2805"/>
      <c r="MAL74" s="2805"/>
      <c r="MAM74" s="2805"/>
      <c r="MAN74" s="2805"/>
      <c r="MAO74" s="2805"/>
      <c r="MAP74" s="2805"/>
      <c r="MAQ74" s="2805"/>
      <c r="MAR74" s="2805"/>
      <c r="MAS74" s="2805"/>
      <c r="MAT74" s="2805"/>
      <c r="MAU74" s="2805"/>
      <c r="MAV74" s="2805"/>
      <c r="MAW74" s="2805"/>
      <c r="MAX74" s="2805"/>
      <c r="MAY74" s="2805"/>
      <c r="MAZ74" s="2805"/>
      <c r="MBA74" s="2805"/>
      <c r="MBB74" s="2805"/>
      <c r="MBC74" s="2805"/>
      <c r="MBD74" s="2805"/>
      <c r="MBE74" s="2805"/>
      <c r="MBF74" s="2805"/>
      <c r="MBG74" s="2805"/>
      <c r="MBH74" s="2805"/>
      <c r="MBI74" s="2805"/>
      <c r="MBJ74" s="2805"/>
      <c r="MBK74" s="2805"/>
      <c r="MBL74" s="2805"/>
      <c r="MBM74" s="2805"/>
      <c r="MBN74" s="2805"/>
      <c r="MBO74" s="2805"/>
      <c r="MBP74" s="2805"/>
      <c r="MBQ74" s="2805"/>
      <c r="MBR74" s="2805"/>
      <c r="MBS74" s="2805"/>
      <c r="MBT74" s="2805"/>
      <c r="MBU74" s="2805"/>
      <c r="MBV74" s="2805"/>
      <c r="MBW74" s="2805"/>
      <c r="MBX74" s="2805"/>
      <c r="MBY74" s="2805"/>
      <c r="MBZ74" s="2805"/>
      <c r="MCA74" s="2805"/>
      <c r="MCB74" s="2805"/>
      <c r="MCC74" s="2805"/>
      <c r="MCD74" s="2805"/>
      <c r="MCE74" s="2805"/>
      <c r="MCF74" s="2805"/>
      <c r="MCG74" s="2805"/>
      <c r="MCH74" s="2805"/>
      <c r="MCI74" s="2805"/>
      <c r="MCJ74" s="2805"/>
      <c r="MCK74" s="2805"/>
      <c r="MCL74" s="2805"/>
      <c r="MCM74" s="2805"/>
      <c r="MCN74" s="2805"/>
      <c r="MCO74" s="2805"/>
      <c r="MCP74" s="2805"/>
      <c r="MCQ74" s="2805"/>
      <c r="MCR74" s="2805"/>
      <c r="MCS74" s="2805"/>
      <c r="MCT74" s="2805"/>
      <c r="MCU74" s="2805"/>
      <c r="MCV74" s="2805"/>
      <c r="MCW74" s="2805"/>
      <c r="MCX74" s="2805"/>
      <c r="MCY74" s="2805"/>
      <c r="MCZ74" s="2805"/>
      <c r="MDA74" s="2805"/>
      <c r="MDB74" s="2805"/>
      <c r="MDC74" s="2805"/>
      <c r="MDD74" s="2805"/>
      <c r="MDE74" s="2805"/>
      <c r="MDF74" s="2805"/>
      <c r="MDG74" s="2805"/>
      <c r="MDH74" s="2805"/>
      <c r="MDI74" s="2805"/>
      <c r="MDJ74" s="2805"/>
      <c r="MDK74" s="2805"/>
      <c r="MDL74" s="2805"/>
      <c r="MDM74" s="2805"/>
      <c r="MDN74" s="2805"/>
      <c r="MDO74" s="2805"/>
      <c r="MDP74" s="2805"/>
      <c r="MDQ74" s="2805"/>
      <c r="MDR74" s="2805"/>
      <c r="MDS74" s="2805"/>
      <c r="MDT74" s="2805"/>
      <c r="MDU74" s="2805"/>
      <c r="MDV74" s="2805"/>
      <c r="MDW74" s="2805"/>
      <c r="MDX74" s="2805"/>
      <c r="MDY74" s="2805"/>
      <c r="MDZ74" s="2805"/>
      <c r="MEA74" s="2805"/>
      <c r="MEB74" s="2805"/>
      <c r="MEC74" s="2805"/>
      <c r="MED74" s="2805"/>
      <c r="MEE74" s="2805"/>
      <c r="MEF74" s="2805"/>
      <c r="MEG74" s="2805"/>
      <c r="MEH74" s="2805"/>
      <c r="MEI74" s="2805"/>
      <c r="MEJ74" s="2805"/>
      <c r="MEK74" s="2805"/>
      <c r="MEL74" s="2805"/>
      <c r="MEM74" s="2805"/>
      <c r="MEN74" s="2805"/>
      <c r="MEO74" s="2805"/>
      <c r="MEP74" s="2805"/>
      <c r="MEQ74" s="2805"/>
      <c r="MER74" s="2805"/>
      <c r="MES74" s="2805"/>
      <c r="MET74" s="2805"/>
      <c r="MEU74" s="2805"/>
      <c r="MEV74" s="2805"/>
      <c r="MEW74" s="2805"/>
      <c r="MEX74" s="2805"/>
      <c r="MEY74" s="2805"/>
      <c r="MEZ74" s="2805"/>
      <c r="MFA74" s="2805"/>
      <c r="MFB74" s="2805"/>
      <c r="MFC74" s="2805"/>
      <c r="MFD74" s="2805"/>
      <c r="MFE74" s="2805"/>
      <c r="MFF74" s="2805"/>
      <c r="MFG74" s="2805"/>
      <c r="MFH74" s="2805"/>
      <c r="MFI74" s="2805"/>
      <c r="MFJ74" s="2805"/>
      <c r="MFK74" s="2805"/>
      <c r="MFL74" s="2805"/>
      <c r="MFM74" s="2805"/>
      <c r="MFN74" s="2805"/>
      <c r="MFO74" s="2805"/>
      <c r="MFP74" s="2805"/>
      <c r="MFQ74" s="2805"/>
      <c r="MFR74" s="2805"/>
      <c r="MFS74" s="2805"/>
      <c r="MFT74" s="2805"/>
      <c r="MFU74" s="2805"/>
      <c r="MFV74" s="2805"/>
      <c r="MFW74" s="2805"/>
      <c r="MFX74" s="2805"/>
      <c r="MFY74" s="2805"/>
      <c r="MFZ74" s="2805"/>
      <c r="MGA74" s="2805"/>
      <c r="MGB74" s="2805"/>
      <c r="MGC74" s="2805"/>
      <c r="MGD74" s="2805"/>
      <c r="MGE74" s="2805"/>
      <c r="MGF74" s="2805"/>
      <c r="MGG74" s="2805"/>
      <c r="MGH74" s="2805"/>
      <c r="MGI74" s="2805"/>
      <c r="MGJ74" s="2805"/>
      <c r="MGK74" s="2805"/>
      <c r="MGL74" s="2805"/>
      <c r="MGM74" s="2805"/>
      <c r="MGN74" s="2805"/>
      <c r="MGO74" s="2805"/>
      <c r="MGP74" s="2805"/>
      <c r="MGQ74" s="2805"/>
      <c r="MGR74" s="2805"/>
      <c r="MGS74" s="2805"/>
      <c r="MGT74" s="2805"/>
      <c r="MGU74" s="2805"/>
      <c r="MGV74" s="2805"/>
      <c r="MGW74" s="2805"/>
      <c r="MGX74" s="2805"/>
      <c r="MGY74" s="2805"/>
      <c r="MGZ74" s="2805"/>
      <c r="MHA74" s="2805"/>
      <c r="MHB74" s="2805"/>
      <c r="MHC74" s="2805"/>
      <c r="MHD74" s="2805"/>
      <c r="MHE74" s="2805"/>
      <c r="MHF74" s="2805"/>
      <c r="MHG74" s="2805"/>
      <c r="MHH74" s="2805"/>
      <c r="MHI74" s="2805"/>
      <c r="MHJ74" s="2805"/>
      <c r="MHK74" s="2805"/>
      <c r="MHL74" s="2805"/>
      <c r="MHM74" s="2805"/>
      <c r="MHN74" s="2805"/>
      <c r="MHO74" s="2805"/>
      <c r="MHP74" s="2805"/>
      <c r="MHQ74" s="2805"/>
      <c r="MHR74" s="2805"/>
      <c r="MHS74" s="2805"/>
      <c r="MHT74" s="2805"/>
      <c r="MHU74" s="2805"/>
      <c r="MHV74" s="2805"/>
      <c r="MHW74" s="2805"/>
      <c r="MHX74" s="2805"/>
      <c r="MHY74" s="2805"/>
      <c r="MHZ74" s="2805"/>
      <c r="MIA74" s="2805"/>
      <c r="MIB74" s="2805"/>
      <c r="MIC74" s="2805"/>
      <c r="MID74" s="2805"/>
      <c r="MIE74" s="2805"/>
      <c r="MIF74" s="2805"/>
      <c r="MIG74" s="2805"/>
      <c r="MIH74" s="2805"/>
      <c r="MII74" s="2805"/>
      <c r="MIJ74" s="2805"/>
      <c r="MIK74" s="2805"/>
      <c r="MIL74" s="2805"/>
      <c r="MIM74" s="2805"/>
      <c r="MIN74" s="2805"/>
      <c r="MIO74" s="2805"/>
      <c r="MIP74" s="2805"/>
      <c r="MIQ74" s="2805"/>
      <c r="MIR74" s="2805"/>
      <c r="MIS74" s="2805"/>
      <c r="MIT74" s="2805"/>
      <c r="MIU74" s="2805"/>
      <c r="MIV74" s="2805"/>
      <c r="MIW74" s="2805"/>
      <c r="MIX74" s="2805"/>
      <c r="MIY74" s="2805"/>
      <c r="MIZ74" s="2805"/>
      <c r="MJA74" s="2805"/>
      <c r="MJB74" s="2805"/>
      <c r="MJC74" s="2805"/>
      <c r="MJD74" s="2805"/>
      <c r="MJE74" s="2805"/>
      <c r="MJF74" s="2805"/>
      <c r="MJG74" s="2805"/>
      <c r="MJH74" s="2805"/>
      <c r="MJI74" s="2805"/>
      <c r="MJJ74" s="2805"/>
      <c r="MJK74" s="2805"/>
      <c r="MJL74" s="2805"/>
      <c r="MJM74" s="2805"/>
      <c r="MJN74" s="2805"/>
      <c r="MJO74" s="2805"/>
      <c r="MJP74" s="2805"/>
      <c r="MJQ74" s="2805"/>
      <c r="MJR74" s="2805"/>
      <c r="MJS74" s="2805"/>
      <c r="MJT74" s="2805"/>
      <c r="MJU74" s="2805"/>
      <c r="MJV74" s="2805"/>
      <c r="MJW74" s="2805"/>
      <c r="MJX74" s="2805"/>
      <c r="MJY74" s="2805"/>
      <c r="MJZ74" s="2805"/>
      <c r="MKA74" s="2805"/>
      <c r="MKB74" s="2805"/>
      <c r="MKC74" s="2805"/>
      <c r="MKD74" s="2805"/>
      <c r="MKE74" s="2805"/>
      <c r="MKF74" s="2805"/>
      <c r="MKG74" s="2805"/>
      <c r="MKH74" s="2805"/>
      <c r="MKI74" s="2805"/>
      <c r="MKJ74" s="2805"/>
      <c r="MKK74" s="2805"/>
      <c r="MKL74" s="2805"/>
      <c r="MKM74" s="2805"/>
      <c r="MKN74" s="2805"/>
      <c r="MKO74" s="2805"/>
      <c r="MKP74" s="2805"/>
      <c r="MKQ74" s="2805"/>
      <c r="MKR74" s="2805"/>
      <c r="MKS74" s="2805"/>
      <c r="MKT74" s="2805"/>
      <c r="MKU74" s="2805"/>
      <c r="MKV74" s="2805"/>
      <c r="MKW74" s="2805"/>
      <c r="MKX74" s="2805"/>
      <c r="MKY74" s="2805"/>
      <c r="MKZ74" s="2805"/>
      <c r="MLA74" s="2805"/>
      <c r="MLB74" s="2805"/>
      <c r="MLC74" s="2805"/>
      <c r="MLD74" s="2805"/>
      <c r="MLE74" s="2805"/>
      <c r="MLF74" s="2805"/>
      <c r="MLG74" s="2805"/>
      <c r="MLH74" s="2805"/>
      <c r="MLI74" s="2805"/>
      <c r="MLJ74" s="2805"/>
      <c r="MLK74" s="2805"/>
      <c r="MLL74" s="2805"/>
      <c r="MLM74" s="2805"/>
      <c r="MLN74" s="2805"/>
      <c r="MLO74" s="2805"/>
      <c r="MLP74" s="2805"/>
      <c r="MLQ74" s="2805"/>
      <c r="MLR74" s="2805"/>
      <c r="MLS74" s="2805"/>
      <c r="MLT74" s="2805"/>
      <c r="MLU74" s="2805"/>
      <c r="MLV74" s="2805"/>
      <c r="MLW74" s="2805"/>
      <c r="MLX74" s="2805"/>
      <c r="MLY74" s="2805"/>
      <c r="MLZ74" s="2805"/>
      <c r="MMA74" s="2805"/>
      <c r="MMB74" s="2805"/>
      <c r="MMC74" s="2805"/>
      <c r="MMD74" s="2805"/>
      <c r="MME74" s="2805"/>
      <c r="MMF74" s="2805"/>
      <c r="MMG74" s="2805"/>
      <c r="MMH74" s="2805"/>
      <c r="MMI74" s="2805"/>
      <c r="MMJ74" s="2805"/>
      <c r="MMK74" s="2805"/>
      <c r="MML74" s="2805"/>
      <c r="MMM74" s="2805"/>
      <c r="MMN74" s="2805"/>
      <c r="MMO74" s="2805"/>
      <c r="MMP74" s="2805"/>
      <c r="MMQ74" s="2805"/>
      <c r="MMR74" s="2805"/>
      <c r="MMS74" s="2805"/>
      <c r="MMT74" s="2805"/>
      <c r="MMU74" s="2805"/>
      <c r="MMV74" s="2805"/>
      <c r="MMW74" s="2805"/>
      <c r="MMX74" s="2805"/>
      <c r="MMY74" s="2805"/>
      <c r="MMZ74" s="2805"/>
      <c r="MNA74" s="2805"/>
      <c r="MNB74" s="2805"/>
      <c r="MNC74" s="2805"/>
      <c r="MND74" s="2805"/>
      <c r="MNE74" s="2805"/>
      <c r="MNF74" s="2805"/>
      <c r="MNG74" s="2805"/>
      <c r="MNH74" s="2805"/>
      <c r="MNI74" s="2805"/>
      <c r="MNJ74" s="2805"/>
      <c r="MNK74" s="2805"/>
      <c r="MNL74" s="2805"/>
      <c r="MNM74" s="2805"/>
      <c r="MNN74" s="2805"/>
      <c r="MNO74" s="2805"/>
      <c r="MNP74" s="2805"/>
      <c r="MNQ74" s="2805"/>
      <c r="MNR74" s="2805"/>
      <c r="MNS74" s="2805"/>
      <c r="MNT74" s="2805"/>
      <c r="MNU74" s="2805"/>
      <c r="MNV74" s="2805"/>
      <c r="MNW74" s="2805"/>
      <c r="MNX74" s="2805"/>
      <c r="MNY74" s="2805"/>
      <c r="MNZ74" s="2805"/>
      <c r="MOA74" s="2805"/>
      <c r="MOB74" s="2805"/>
      <c r="MOC74" s="2805"/>
      <c r="MOD74" s="2805"/>
      <c r="MOE74" s="2805"/>
      <c r="MOF74" s="2805"/>
      <c r="MOG74" s="2805"/>
      <c r="MOH74" s="2805"/>
      <c r="MOI74" s="2805"/>
      <c r="MOJ74" s="2805"/>
      <c r="MOK74" s="2805"/>
      <c r="MOL74" s="2805"/>
      <c r="MOM74" s="2805"/>
      <c r="MON74" s="2805"/>
      <c r="MOO74" s="2805"/>
      <c r="MOP74" s="2805"/>
      <c r="MOQ74" s="2805"/>
      <c r="MOR74" s="2805"/>
      <c r="MOS74" s="2805"/>
      <c r="MOT74" s="2805"/>
      <c r="MOU74" s="2805"/>
      <c r="MOV74" s="2805"/>
      <c r="MOW74" s="2805"/>
      <c r="MOX74" s="2805"/>
      <c r="MOY74" s="2805"/>
      <c r="MOZ74" s="2805"/>
      <c r="MPA74" s="2805"/>
      <c r="MPB74" s="2805"/>
      <c r="MPC74" s="2805"/>
      <c r="MPD74" s="2805"/>
      <c r="MPE74" s="2805"/>
      <c r="MPF74" s="2805"/>
      <c r="MPG74" s="2805"/>
      <c r="MPH74" s="2805"/>
      <c r="MPI74" s="2805"/>
      <c r="MPJ74" s="2805"/>
      <c r="MPK74" s="2805"/>
      <c r="MPL74" s="2805"/>
      <c r="MPM74" s="2805"/>
      <c r="MPN74" s="2805"/>
      <c r="MPO74" s="2805"/>
      <c r="MPP74" s="2805"/>
      <c r="MPQ74" s="2805"/>
      <c r="MPR74" s="2805"/>
      <c r="MPS74" s="2805"/>
      <c r="MPT74" s="2805"/>
      <c r="MPU74" s="2805"/>
      <c r="MPV74" s="2805"/>
      <c r="MPW74" s="2805"/>
      <c r="MPX74" s="2805"/>
      <c r="MPY74" s="2805"/>
      <c r="MPZ74" s="2805"/>
      <c r="MQA74" s="2805"/>
      <c r="MQB74" s="2805"/>
      <c r="MQC74" s="2805"/>
      <c r="MQD74" s="2805"/>
      <c r="MQE74" s="2805"/>
      <c r="MQF74" s="2805"/>
      <c r="MQG74" s="2805"/>
      <c r="MQH74" s="2805"/>
      <c r="MQI74" s="2805"/>
      <c r="MQJ74" s="2805"/>
      <c r="MQK74" s="2805"/>
      <c r="MQL74" s="2805"/>
      <c r="MQM74" s="2805"/>
      <c r="MQN74" s="2805"/>
      <c r="MQO74" s="2805"/>
      <c r="MQP74" s="2805"/>
      <c r="MQQ74" s="2805"/>
      <c r="MQR74" s="2805"/>
      <c r="MQS74" s="2805"/>
      <c r="MQT74" s="2805"/>
      <c r="MQU74" s="2805"/>
      <c r="MQV74" s="2805"/>
      <c r="MQW74" s="2805"/>
      <c r="MQX74" s="2805"/>
      <c r="MQY74" s="2805"/>
      <c r="MQZ74" s="2805"/>
      <c r="MRA74" s="2805"/>
      <c r="MRB74" s="2805"/>
      <c r="MRC74" s="2805"/>
      <c r="MRD74" s="2805"/>
      <c r="MRE74" s="2805"/>
      <c r="MRF74" s="2805"/>
      <c r="MRG74" s="2805"/>
      <c r="MRH74" s="2805"/>
      <c r="MRI74" s="2805"/>
      <c r="MRJ74" s="2805"/>
      <c r="MRK74" s="2805"/>
      <c r="MRL74" s="2805"/>
      <c r="MRM74" s="2805"/>
      <c r="MRN74" s="2805"/>
      <c r="MRO74" s="2805"/>
      <c r="MRP74" s="2805"/>
      <c r="MRQ74" s="2805"/>
      <c r="MRR74" s="2805"/>
      <c r="MRS74" s="2805"/>
      <c r="MRT74" s="2805"/>
      <c r="MRU74" s="2805"/>
      <c r="MRV74" s="2805"/>
      <c r="MRW74" s="2805"/>
      <c r="MRX74" s="2805"/>
      <c r="MRY74" s="2805"/>
      <c r="MRZ74" s="2805"/>
      <c r="MSA74" s="2805"/>
      <c r="MSB74" s="2805"/>
      <c r="MSC74" s="2805"/>
      <c r="MSD74" s="2805"/>
      <c r="MSE74" s="2805"/>
      <c r="MSF74" s="2805"/>
      <c r="MSG74" s="2805"/>
      <c r="MSH74" s="2805"/>
      <c r="MSI74" s="2805"/>
      <c r="MSJ74" s="2805"/>
      <c r="MSK74" s="2805"/>
      <c r="MSL74" s="2805"/>
      <c r="MSM74" s="2805"/>
      <c r="MSN74" s="2805"/>
      <c r="MSO74" s="2805"/>
      <c r="MSP74" s="2805"/>
      <c r="MSQ74" s="2805"/>
      <c r="MSR74" s="2805"/>
      <c r="MSS74" s="2805"/>
      <c r="MST74" s="2805"/>
      <c r="MSU74" s="2805"/>
      <c r="MSV74" s="2805"/>
      <c r="MSW74" s="2805"/>
      <c r="MSX74" s="2805"/>
      <c r="MSY74" s="2805"/>
      <c r="MSZ74" s="2805"/>
      <c r="MTA74" s="2805"/>
      <c r="MTB74" s="2805"/>
      <c r="MTC74" s="2805"/>
      <c r="MTD74" s="2805"/>
      <c r="MTE74" s="2805"/>
      <c r="MTF74" s="2805"/>
      <c r="MTG74" s="2805"/>
      <c r="MTH74" s="2805"/>
      <c r="MTI74" s="2805"/>
      <c r="MTJ74" s="2805"/>
      <c r="MTK74" s="2805"/>
      <c r="MTL74" s="2805"/>
      <c r="MTM74" s="2805"/>
      <c r="MTN74" s="2805"/>
      <c r="MTO74" s="2805"/>
      <c r="MTP74" s="2805"/>
      <c r="MTQ74" s="2805"/>
      <c r="MTR74" s="2805"/>
      <c r="MTS74" s="2805"/>
      <c r="MTT74" s="2805"/>
      <c r="MTU74" s="2805"/>
      <c r="MTV74" s="2805"/>
      <c r="MTW74" s="2805"/>
      <c r="MTX74" s="2805"/>
      <c r="MTY74" s="2805"/>
      <c r="MTZ74" s="2805"/>
      <c r="MUA74" s="2805"/>
      <c r="MUB74" s="2805"/>
      <c r="MUC74" s="2805"/>
      <c r="MUD74" s="2805"/>
      <c r="MUE74" s="2805"/>
      <c r="MUF74" s="2805"/>
      <c r="MUG74" s="2805"/>
      <c r="MUH74" s="2805"/>
      <c r="MUI74" s="2805"/>
      <c r="MUJ74" s="2805"/>
      <c r="MUK74" s="2805"/>
      <c r="MUL74" s="2805"/>
      <c r="MUM74" s="2805"/>
      <c r="MUN74" s="2805"/>
      <c r="MUO74" s="2805"/>
      <c r="MUP74" s="2805"/>
      <c r="MUQ74" s="2805"/>
      <c r="MUR74" s="2805"/>
      <c r="MUS74" s="2805"/>
      <c r="MUT74" s="2805"/>
      <c r="MUU74" s="2805"/>
      <c r="MUV74" s="2805"/>
      <c r="MUW74" s="2805"/>
      <c r="MUX74" s="2805"/>
      <c r="MUY74" s="2805"/>
      <c r="MUZ74" s="2805"/>
      <c r="MVA74" s="2805"/>
      <c r="MVB74" s="2805"/>
      <c r="MVC74" s="2805"/>
      <c r="MVD74" s="2805"/>
      <c r="MVE74" s="2805"/>
      <c r="MVF74" s="2805"/>
      <c r="MVG74" s="2805"/>
      <c r="MVH74" s="2805"/>
      <c r="MVI74" s="2805"/>
      <c r="MVJ74" s="2805"/>
      <c r="MVK74" s="2805"/>
      <c r="MVL74" s="2805"/>
      <c r="MVM74" s="2805"/>
      <c r="MVN74" s="2805"/>
      <c r="MVO74" s="2805"/>
      <c r="MVP74" s="2805"/>
      <c r="MVQ74" s="2805"/>
      <c r="MVR74" s="2805"/>
      <c r="MVS74" s="2805"/>
      <c r="MVT74" s="2805"/>
      <c r="MVU74" s="2805"/>
      <c r="MVV74" s="2805"/>
      <c r="MVW74" s="2805"/>
      <c r="MVX74" s="2805"/>
      <c r="MVY74" s="2805"/>
      <c r="MVZ74" s="2805"/>
      <c r="MWA74" s="2805"/>
      <c r="MWB74" s="2805"/>
      <c r="MWC74" s="2805"/>
      <c r="MWD74" s="2805"/>
      <c r="MWE74" s="2805"/>
      <c r="MWF74" s="2805"/>
      <c r="MWG74" s="2805"/>
      <c r="MWH74" s="2805"/>
      <c r="MWI74" s="2805"/>
      <c r="MWJ74" s="2805"/>
      <c r="MWK74" s="2805"/>
      <c r="MWL74" s="2805"/>
      <c r="MWM74" s="2805"/>
      <c r="MWN74" s="2805"/>
      <c r="MWO74" s="2805"/>
      <c r="MWP74" s="2805"/>
      <c r="MWQ74" s="2805"/>
      <c r="MWR74" s="2805"/>
      <c r="MWS74" s="2805"/>
      <c r="MWT74" s="2805"/>
      <c r="MWU74" s="2805"/>
      <c r="MWV74" s="2805"/>
      <c r="MWW74" s="2805"/>
      <c r="MWX74" s="2805"/>
      <c r="MWY74" s="2805"/>
      <c r="MWZ74" s="2805"/>
      <c r="MXA74" s="2805"/>
      <c r="MXB74" s="2805"/>
      <c r="MXC74" s="2805"/>
      <c r="MXD74" s="2805"/>
      <c r="MXE74" s="2805"/>
      <c r="MXF74" s="2805"/>
      <c r="MXG74" s="2805"/>
      <c r="MXH74" s="2805"/>
      <c r="MXI74" s="2805"/>
      <c r="MXJ74" s="2805"/>
      <c r="MXK74" s="2805"/>
      <c r="MXL74" s="2805"/>
      <c r="MXM74" s="2805"/>
      <c r="MXN74" s="2805"/>
      <c r="MXO74" s="2805"/>
      <c r="MXP74" s="2805"/>
      <c r="MXQ74" s="2805"/>
      <c r="MXR74" s="2805"/>
      <c r="MXS74" s="2805"/>
      <c r="MXT74" s="2805"/>
      <c r="MXU74" s="2805"/>
      <c r="MXV74" s="2805"/>
      <c r="MXW74" s="2805"/>
      <c r="MXX74" s="2805"/>
      <c r="MXY74" s="2805"/>
      <c r="MXZ74" s="2805"/>
      <c r="MYA74" s="2805"/>
      <c r="MYB74" s="2805"/>
      <c r="MYC74" s="2805"/>
      <c r="MYD74" s="2805"/>
      <c r="MYE74" s="2805"/>
      <c r="MYF74" s="2805"/>
      <c r="MYG74" s="2805"/>
      <c r="MYH74" s="2805"/>
      <c r="MYI74" s="2805"/>
      <c r="MYJ74" s="2805"/>
      <c r="MYK74" s="2805"/>
      <c r="MYL74" s="2805"/>
      <c r="MYM74" s="2805"/>
      <c r="MYN74" s="2805"/>
      <c r="MYO74" s="2805"/>
      <c r="MYP74" s="2805"/>
      <c r="MYQ74" s="2805"/>
      <c r="MYR74" s="2805"/>
      <c r="MYS74" s="2805"/>
      <c r="MYT74" s="2805"/>
      <c r="MYU74" s="2805"/>
      <c r="MYV74" s="2805"/>
      <c r="MYW74" s="2805"/>
      <c r="MYX74" s="2805"/>
      <c r="MYY74" s="2805"/>
      <c r="MYZ74" s="2805"/>
      <c r="MZA74" s="2805"/>
      <c r="MZB74" s="2805"/>
      <c r="MZC74" s="2805"/>
      <c r="MZD74" s="2805"/>
      <c r="MZE74" s="2805"/>
      <c r="MZF74" s="2805"/>
      <c r="MZG74" s="2805"/>
      <c r="MZH74" s="2805"/>
      <c r="MZI74" s="2805"/>
      <c r="MZJ74" s="2805"/>
      <c r="MZK74" s="2805"/>
      <c r="MZL74" s="2805"/>
      <c r="MZM74" s="2805"/>
      <c r="MZN74" s="2805"/>
      <c r="MZO74" s="2805"/>
      <c r="MZP74" s="2805"/>
      <c r="MZQ74" s="2805"/>
      <c r="MZR74" s="2805"/>
      <c r="MZS74" s="2805"/>
      <c r="MZT74" s="2805"/>
      <c r="MZU74" s="2805"/>
      <c r="MZV74" s="2805"/>
      <c r="MZW74" s="2805"/>
      <c r="MZX74" s="2805"/>
      <c r="MZY74" s="2805"/>
      <c r="MZZ74" s="2805"/>
      <c r="NAA74" s="2805"/>
      <c r="NAB74" s="2805"/>
      <c r="NAC74" s="2805"/>
      <c r="NAD74" s="2805"/>
      <c r="NAE74" s="2805"/>
      <c r="NAF74" s="2805"/>
      <c r="NAG74" s="2805"/>
      <c r="NAH74" s="2805"/>
      <c r="NAI74" s="2805"/>
      <c r="NAJ74" s="2805"/>
      <c r="NAK74" s="2805"/>
      <c r="NAL74" s="2805"/>
      <c r="NAM74" s="2805"/>
      <c r="NAN74" s="2805"/>
      <c r="NAO74" s="2805"/>
      <c r="NAP74" s="2805"/>
      <c r="NAQ74" s="2805"/>
      <c r="NAR74" s="2805"/>
      <c r="NAS74" s="2805"/>
      <c r="NAT74" s="2805"/>
      <c r="NAU74" s="2805"/>
      <c r="NAV74" s="2805"/>
      <c r="NAW74" s="2805"/>
      <c r="NAX74" s="2805"/>
      <c r="NAY74" s="2805"/>
      <c r="NAZ74" s="2805"/>
      <c r="NBA74" s="2805"/>
      <c r="NBB74" s="2805"/>
      <c r="NBC74" s="2805"/>
      <c r="NBD74" s="2805"/>
      <c r="NBE74" s="2805"/>
      <c r="NBF74" s="2805"/>
      <c r="NBG74" s="2805"/>
      <c r="NBH74" s="2805"/>
      <c r="NBI74" s="2805"/>
      <c r="NBJ74" s="2805"/>
      <c r="NBK74" s="2805"/>
      <c r="NBL74" s="2805"/>
      <c r="NBM74" s="2805"/>
      <c r="NBN74" s="2805"/>
      <c r="NBO74" s="2805"/>
      <c r="NBP74" s="2805"/>
      <c r="NBQ74" s="2805"/>
      <c r="NBR74" s="2805"/>
      <c r="NBS74" s="2805"/>
      <c r="NBT74" s="2805"/>
      <c r="NBU74" s="2805"/>
      <c r="NBV74" s="2805"/>
      <c r="NBW74" s="2805"/>
      <c r="NBX74" s="2805"/>
      <c r="NBY74" s="2805"/>
      <c r="NBZ74" s="2805"/>
      <c r="NCA74" s="2805"/>
      <c r="NCB74" s="2805"/>
      <c r="NCC74" s="2805"/>
      <c r="NCD74" s="2805"/>
      <c r="NCE74" s="2805"/>
      <c r="NCF74" s="2805"/>
      <c r="NCG74" s="2805"/>
      <c r="NCH74" s="2805"/>
      <c r="NCI74" s="2805"/>
      <c r="NCJ74" s="2805"/>
      <c r="NCK74" s="2805"/>
      <c r="NCL74" s="2805"/>
      <c r="NCM74" s="2805"/>
      <c r="NCN74" s="2805"/>
      <c r="NCO74" s="2805"/>
      <c r="NCP74" s="2805"/>
      <c r="NCQ74" s="2805"/>
      <c r="NCR74" s="2805"/>
      <c r="NCS74" s="2805"/>
      <c r="NCT74" s="2805"/>
      <c r="NCU74" s="2805"/>
      <c r="NCV74" s="2805"/>
      <c r="NCW74" s="2805"/>
      <c r="NCX74" s="2805"/>
      <c r="NCY74" s="2805"/>
      <c r="NCZ74" s="2805"/>
      <c r="NDA74" s="2805"/>
      <c r="NDB74" s="2805"/>
      <c r="NDC74" s="2805"/>
      <c r="NDD74" s="2805"/>
      <c r="NDE74" s="2805"/>
      <c r="NDF74" s="2805"/>
      <c r="NDG74" s="2805"/>
      <c r="NDH74" s="2805"/>
      <c r="NDI74" s="2805"/>
      <c r="NDJ74" s="2805"/>
      <c r="NDK74" s="2805"/>
      <c r="NDL74" s="2805"/>
      <c r="NDM74" s="2805"/>
      <c r="NDN74" s="2805"/>
      <c r="NDO74" s="2805"/>
      <c r="NDP74" s="2805"/>
      <c r="NDQ74" s="2805"/>
      <c r="NDR74" s="2805"/>
      <c r="NDS74" s="2805"/>
      <c r="NDT74" s="2805"/>
      <c r="NDU74" s="2805"/>
      <c r="NDV74" s="2805"/>
      <c r="NDW74" s="2805"/>
      <c r="NDX74" s="2805"/>
      <c r="NDY74" s="2805"/>
      <c r="NDZ74" s="2805"/>
      <c r="NEA74" s="2805"/>
      <c r="NEB74" s="2805"/>
      <c r="NEC74" s="2805"/>
      <c r="NED74" s="2805"/>
      <c r="NEE74" s="2805"/>
      <c r="NEF74" s="2805"/>
      <c r="NEG74" s="2805"/>
      <c r="NEH74" s="2805"/>
      <c r="NEI74" s="2805"/>
      <c r="NEJ74" s="2805"/>
      <c r="NEK74" s="2805"/>
      <c r="NEL74" s="2805"/>
      <c r="NEM74" s="2805"/>
      <c r="NEN74" s="2805"/>
      <c r="NEO74" s="2805"/>
      <c r="NEP74" s="2805"/>
      <c r="NEQ74" s="2805"/>
      <c r="NER74" s="2805"/>
      <c r="NES74" s="2805"/>
      <c r="NET74" s="2805"/>
      <c r="NEU74" s="2805"/>
      <c r="NEV74" s="2805"/>
      <c r="NEW74" s="2805"/>
      <c r="NEX74" s="2805"/>
      <c r="NEY74" s="2805"/>
      <c r="NEZ74" s="2805"/>
      <c r="NFA74" s="2805"/>
      <c r="NFB74" s="2805"/>
      <c r="NFC74" s="2805"/>
      <c r="NFD74" s="2805"/>
      <c r="NFE74" s="2805"/>
      <c r="NFF74" s="2805"/>
      <c r="NFG74" s="2805"/>
      <c r="NFH74" s="2805"/>
      <c r="NFI74" s="2805"/>
      <c r="NFJ74" s="2805"/>
      <c r="NFK74" s="2805"/>
      <c r="NFL74" s="2805"/>
      <c r="NFM74" s="2805"/>
      <c r="NFN74" s="2805"/>
      <c r="NFO74" s="2805"/>
      <c r="NFP74" s="2805"/>
      <c r="NFQ74" s="2805"/>
      <c r="NFR74" s="2805"/>
      <c r="NFS74" s="2805"/>
      <c r="NFT74" s="2805"/>
      <c r="NFU74" s="2805"/>
      <c r="NFV74" s="2805"/>
      <c r="NFW74" s="2805"/>
      <c r="NFX74" s="2805"/>
      <c r="NFY74" s="2805"/>
      <c r="NFZ74" s="2805"/>
      <c r="NGA74" s="2805"/>
      <c r="NGB74" s="2805"/>
      <c r="NGC74" s="2805"/>
      <c r="NGD74" s="2805"/>
      <c r="NGE74" s="2805"/>
      <c r="NGF74" s="2805"/>
      <c r="NGG74" s="2805"/>
      <c r="NGH74" s="2805"/>
      <c r="NGI74" s="2805"/>
      <c r="NGJ74" s="2805"/>
      <c r="NGK74" s="2805"/>
      <c r="NGL74" s="2805"/>
      <c r="NGM74" s="2805"/>
      <c r="NGN74" s="2805"/>
      <c r="NGO74" s="2805"/>
      <c r="NGP74" s="2805"/>
      <c r="NGQ74" s="2805"/>
      <c r="NGR74" s="2805"/>
      <c r="NGS74" s="2805"/>
      <c r="NGT74" s="2805"/>
      <c r="NGU74" s="2805"/>
      <c r="NGV74" s="2805"/>
      <c r="NGW74" s="2805"/>
      <c r="NGX74" s="2805"/>
      <c r="NGY74" s="2805"/>
      <c r="NGZ74" s="2805"/>
      <c r="NHA74" s="2805"/>
      <c r="NHB74" s="2805"/>
      <c r="NHC74" s="2805"/>
      <c r="NHD74" s="2805"/>
      <c r="NHE74" s="2805"/>
      <c r="NHF74" s="2805"/>
      <c r="NHG74" s="2805"/>
      <c r="NHH74" s="2805"/>
      <c r="NHI74" s="2805"/>
      <c r="NHJ74" s="2805"/>
      <c r="NHK74" s="2805"/>
      <c r="NHL74" s="2805"/>
      <c r="NHM74" s="2805"/>
      <c r="NHN74" s="2805"/>
      <c r="NHO74" s="2805"/>
      <c r="NHP74" s="2805"/>
      <c r="NHQ74" s="2805"/>
      <c r="NHR74" s="2805"/>
      <c r="NHS74" s="2805"/>
      <c r="NHT74" s="2805"/>
      <c r="NHU74" s="2805"/>
      <c r="NHV74" s="2805"/>
      <c r="NHW74" s="2805"/>
      <c r="NHX74" s="2805"/>
      <c r="NHY74" s="2805"/>
      <c r="NHZ74" s="2805"/>
      <c r="NIA74" s="2805"/>
      <c r="NIB74" s="2805"/>
      <c r="NIC74" s="2805"/>
      <c r="NID74" s="2805"/>
      <c r="NIE74" s="2805"/>
      <c r="NIF74" s="2805"/>
      <c r="NIG74" s="2805"/>
      <c r="NIH74" s="2805"/>
      <c r="NII74" s="2805"/>
      <c r="NIJ74" s="2805"/>
      <c r="NIK74" s="2805"/>
      <c r="NIL74" s="2805"/>
      <c r="NIM74" s="2805"/>
      <c r="NIN74" s="2805"/>
      <c r="NIO74" s="2805"/>
      <c r="NIP74" s="2805"/>
      <c r="NIQ74" s="2805"/>
      <c r="NIR74" s="2805"/>
      <c r="NIS74" s="2805"/>
      <c r="NIT74" s="2805"/>
      <c r="NIU74" s="2805"/>
      <c r="NIV74" s="2805"/>
      <c r="NIW74" s="2805"/>
      <c r="NIX74" s="2805"/>
      <c r="NIY74" s="2805"/>
      <c r="NIZ74" s="2805"/>
      <c r="NJA74" s="2805"/>
      <c r="NJB74" s="2805"/>
      <c r="NJC74" s="2805"/>
      <c r="NJD74" s="2805"/>
      <c r="NJE74" s="2805"/>
      <c r="NJF74" s="2805"/>
      <c r="NJG74" s="2805"/>
      <c r="NJH74" s="2805"/>
      <c r="NJI74" s="2805"/>
      <c r="NJJ74" s="2805"/>
      <c r="NJK74" s="2805"/>
      <c r="NJL74" s="2805"/>
      <c r="NJM74" s="2805"/>
      <c r="NJN74" s="2805"/>
      <c r="NJO74" s="2805"/>
      <c r="NJP74" s="2805"/>
      <c r="NJQ74" s="2805"/>
      <c r="NJR74" s="2805"/>
      <c r="NJS74" s="2805"/>
      <c r="NJT74" s="2805"/>
      <c r="NJU74" s="2805"/>
      <c r="NJV74" s="2805"/>
      <c r="NJW74" s="2805"/>
      <c r="NJX74" s="2805"/>
      <c r="NJY74" s="2805"/>
      <c r="NJZ74" s="2805"/>
      <c r="NKA74" s="2805"/>
      <c r="NKB74" s="2805"/>
      <c r="NKC74" s="2805"/>
      <c r="NKD74" s="2805"/>
      <c r="NKE74" s="2805"/>
      <c r="NKF74" s="2805"/>
      <c r="NKG74" s="2805"/>
      <c r="NKH74" s="2805"/>
      <c r="NKI74" s="2805"/>
      <c r="NKJ74" s="2805"/>
      <c r="NKK74" s="2805"/>
      <c r="NKL74" s="2805"/>
      <c r="NKM74" s="2805"/>
      <c r="NKN74" s="2805"/>
      <c r="NKO74" s="2805"/>
      <c r="NKP74" s="2805"/>
      <c r="NKQ74" s="2805"/>
      <c r="NKR74" s="2805"/>
      <c r="NKS74" s="2805"/>
      <c r="NKT74" s="2805"/>
      <c r="NKU74" s="2805"/>
      <c r="NKV74" s="2805"/>
      <c r="NKW74" s="2805"/>
      <c r="NKX74" s="2805"/>
      <c r="NKY74" s="2805"/>
      <c r="NKZ74" s="2805"/>
      <c r="NLA74" s="2805"/>
      <c r="NLB74" s="2805"/>
      <c r="NLC74" s="2805"/>
      <c r="NLD74" s="2805"/>
      <c r="NLE74" s="2805"/>
      <c r="NLF74" s="2805"/>
      <c r="NLG74" s="2805"/>
      <c r="NLH74" s="2805"/>
      <c r="NLI74" s="2805"/>
      <c r="NLJ74" s="2805"/>
      <c r="NLK74" s="2805"/>
      <c r="NLL74" s="2805"/>
      <c r="NLM74" s="2805"/>
      <c r="NLN74" s="2805"/>
      <c r="NLO74" s="2805"/>
      <c r="NLP74" s="2805"/>
      <c r="NLQ74" s="2805"/>
      <c r="NLR74" s="2805"/>
      <c r="NLS74" s="2805"/>
      <c r="NLT74" s="2805"/>
      <c r="NLU74" s="2805"/>
      <c r="NLV74" s="2805"/>
      <c r="NLW74" s="2805"/>
      <c r="NLX74" s="2805"/>
      <c r="NLY74" s="2805"/>
      <c r="NLZ74" s="2805"/>
      <c r="NMA74" s="2805"/>
      <c r="NMB74" s="2805"/>
      <c r="NMC74" s="2805"/>
      <c r="NMD74" s="2805"/>
      <c r="NME74" s="2805"/>
      <c r="NMF74" s="2805"/>
      <c r="NMG74" s="2805"/>
      <c r="NMH74" s="2805"/>
      <c r="NMI74" s="2805"/>
      <c r="NMJ74" s="2805"/>
      <c r="NMK74" s="2805"/>
      <c r="NML74" s="2805"/>
      <c r="NMM74" s="2805"/>
      <c r="NMN74" s="2805"/>
      <c r="NMO74" s="2805"/>
      <c r="NMP74" s="2805"/>
      <c r="NMQ74" s="2805"/>
      <c r="NMR74" s="2805"/>
      <c r="NMS74" s="2805"/>
      <c r="NMT74" s="2805"/>
      <c r="NMU74" s="2805"/>
      <c r="NMV74" s="2805"/>
      <c r="NMW74" s="2805"/>
      <c r="NMX74" s="2805"/>
      <c r="NMY74" s="2805"/>
      <c r="NMZ74" s="2805"/>
      <c r="NNA74" s="2805"/>
      <c r="NNB74" s="2805"/>
      <c r="NNC74" s="2805"/>
      <c r="NND74" s="2805"/>
      <c r="NNE74" s="2805"/>
      <c r="NNF74" s="2805"/>
      <c r="NNG74" s="2805"/>
      <c r="NNH74" s="2805"/>
      <c r="NNI74" s="2805"/>
      <c r="NNJ74" s="2805"/>
      <c r="NNK74" s="2805"/>
      <c r="NNL74" s="2805"/>
      <c r="NNM74" s="2805"/>
      <c r="NNN74" s="2805"/>
      <c r="NNO74" s="2805"/>
      <c r="NNP74" s="2805"/>
      <c r="NNQ74" s="2805"/>
      <c r="NNR74" s="2805"/>
      <c r="NNS74" s="2805"/>
      <c r="NNT74" s="2805"/>
      <c r="NNU74" s="2805"/>
      <c r="NNV74" s="2805"/>
      <c r="NNW74" s="2805"/>
      <c r="NNX74" s="2805"/>
      <c r="NNY74" s="2805"/>
      <c r="NNZ74" s="2805"/>
      <c r="NOA74" s="2805"/>
      <c r="NOB74" s="2805"/>
      <c r="NOC74" s="2805"/>
      <c r="NOD74" s="2805"/>
      <c r="NOE74" s="2805"/>
      <c r="NOF74" s="2805"/>
      <c r="NOG74" s="2805"/>
      <c r="NOH74" s="2805"/>
      <c r="NOI74" s="2805"/>
      <c r="NOJ74" s="2805"/>
      <c r="NOK74" s="2805"/>
      <c r="NOL74" s="2805"/>
      <c r="NOM74" s="2805"/>
      <c r="NON74" s="2805"/>
      <c r="NOO74" s="2805"/>
      <c r="NOP74" s="2805"/>
      <c r="NOQ74" s="2805"/>
      <c r="NOR74" s="2805"/>
      <c r="NOS74" s="2805"/>
      <c r="NOT74" s="2805"/>
      <c r="NOU74" s="2805"/>
      <c r="NOV74" s="2805"/>
      <c r="NOW74" s="2805"/>
      <c r="NOX74" s="2805"/>
      <c r="NOY74" s="2805"/>
      <c r="NOZ74" s="2805"/>
      <c r="NPA74" s="2805"/>
      <c r="NPB74" s="2805"/>
      <c r="NPC74" s="2805"/>
      <c r="NPD74" s="2805"/>
      <c r="NPE74" s="2805"/>
      <c r="NPF74" s="2805"/>
      <c r="NPG74" s="2805"/>
      <c r="NPH74" s="2805"/>
      <c r="NPI74" s="2805"/>
      <c r="NPJ74" s="2805"/>
      <c r="NPK74" s="2805"/>
      <c r="NPL74" s="2805"/>
      <c r="NPM74" s="2805"/>
      <c r="NPN74" s="2805"/>
      <c r="NPO74" s="2805"/>
      <c r="NPP74" s="2805"/>
      <c r="NPQ74" s="2805"/>
      <c r="NPR74" s="2805"/>
      <c r="NPS74" s="2805"/>
      <c r="NPT74" s="2805"/>
      <c r="NPU74" s="2805"/>
      <c r="NPV74" s="2805"/>
      <c r="NPW74" s="2805"/>
      <c r="NPX74" s="2805"/>
      <c r="NPY74" s="2805"/>
      <c r="NPZ74" s="2805"/>
      <c r="NQA74" s="2805"/>
      <c r="NQB74" s="2805"/>
      <c r="NQC74" s="2805"/>
      <c r="NQD74" s="2805"/>
      <c r="NQE74" s="2805"/>
      <c r="NQF74" s="2805"/>
      <c r="NQG74" s="2805"/>
      <c r="NQH74" s="2805"/>
      <c r="NQI74" s="2805"/>
      <c r="NQJ74" s="2805"/>
      <c r="NQK74" s="2805"/>
      <c r="NQL74" s="2805"/>
      <c r="NQM74" s="2805"/>
      <c r="NQN74" s="2805"/>
      <c r="NQO74" s="2805"/>
      <c r="NQP74" s="2805"/>
      <c r="NQQ74" s="2805"/>
      <c r="NQR74" s="2805"/>
      <c r="NQS74" s="2805"/>
      <c r="NQT74" s="2805"/>
      <c r="NQU74" s="2805"/>
      <c r="NQV74" s="2805"/>
      <c r="NQW74" s="2805"/>
      <c r="NQX74" s="2805"/>
      <c r="NQY74" s="2805"/>
      <c r="NQZ74" s="2805"/>
      <c r="NRA74" s="2805"/>
      <c r="NRB74" s="2805"/>
      <c r="NRC74" s="2805"/>
      <c r="NRD74" s="2805"/>
      <c r="NRE74" s="2805"/>
      <c r="NRF74" s="2805"/>
      <c r="NRG74" s="2805"/>
      <c r="NRH74" s="2805"/>
      <c r="NRI74" s="2805"/>
      <c r="NRJ74" s="2805"/>
      <c r="NRK74" s="2805"/>
      <c r="NRL74" s="2805"/>
      <c r="NRM74" s="2805"/>
      <c r="NRN74" s="2805"/>
      <c r="NRO74" s="2805"/>
      <c r="NRP74" s="2805"/>
      <c r="NRQ74" s="2805"/>
      <c r="NRR74" s="2805"/>
      <c r="NRS74" s="2805"/>
      <c r="NRT74" s="2805"/>
      <c r="NRU74" s="2805"/>
      <c r="NRV74" s="2805"/>
      <c r="NRW74" s="2805"/>
      <c r="NRX74" s="2805"/>
      <c r="NRY74" s="2805"/>
      <c r="NRZ74" s="2805"/>
      <c r="NSA74" s="2805"/>
      <c r="NSB74" s="2805"/>
      <c r="NSC74" s="2805"/>
      <c r="NSD74" s="2805"/>
      <c r="NSE74" s="2805"/>
      <c r="NSF74" s="2805"/>
      <c r="NSG74" s="2805"/>
      <c r="NSH74" s="2805"/>
      <c r="NSI74" s="2805"/>
      <c r="NSJ74" s="2805"/>
      <c r="NSK74" s="2805"/>
      <c r="NSL74" s="2805"/>
      <c r="NSM74" s="2805"/>
      <c r="NSN74" s="2805"/>
      <c r="NSO74" s="2805"/>
      <c r="NSP74" s="2805"/>
      <c r="NSQ74" s="2805"/>
      <c r="NSR74" s="2805"/>
      <c r="NSS74" s="2805"/>
      <c r="NST74" s="2805"/>
      <c r="NSU74" s="2805"/>
      <c r="NSV74" s="2805"/>
      <c r="NSW74" s="2805"/>
      <c r="NSX74" s="2805"/>
      <c r="NSY74" s="2805"/>
      <c r="NSZ74" s="2805"/>
      <c r="NTA74" s="2805"/>
      <c r="NTB74" s="2805"/>
      <c r="NTC74" s="2805"/>
      <c r="NTD74" s="2805"/>
      <c r="NTE74" s="2805"/>
      <c r="NTF74" s="2805"/>
      <c r="NTG74" s="2805"/>
      <c r="NTH74" s="2805"/>
      <c r="NTI74" s="2805"/>
      <c r="NTJ74" s="2805"/>
      <c r="NTK74" s="2805"/>
      <c r="NTL74" s="2805"/>
      <c r="NTM74" s="2805"/>
      <c r="NTN74" s="2805"/>
      <c r="NTO74" s="2805"/>
      <c r="NTP74" s="2805"/>
      <c r="NTQ74" s="2805"/>
      <c r="NTR74" s="2805"/>
      <c r="NTS74" s="2805"/>
      <c r="NTT74" s="2805"/>
      <c r="NTU74" s="2805"/>
      <c r="NTV74" s="2805"/>
      <c r="NTW74" s="2805"/>
      <c r="NTX74" s="2805"/>
      <c r="NTY74" s="2805"/>
      <c r="NTZ74" s="2805"/>
      <c r="NUA74" s="2805"/>
      <c r="NUB74" s="2805"/>
      <c r="NUC74" s="2805"/>
      <c r="NUD74" s="2805"/>
      <c r="NUE74" s="2805"/>
      <c r="NUF74" s="2805"/>
      <c r="NUG74" s="2805"/>
      <c r="NUH74" s="2805"/>
      <c r="NUI74" s="2805"/>
      <c r="NUJ74" s="2805"/>
      <c r="NUK74" s="2805"/>
      <c r="NUL74" s="2805"/>
      <c r="NUM74" s="2805"/>
      <c r="NUN74" s="2805"/>
      <c r="NUO74" s="2805"/>
      <c r="NUP74" s="2805"/>
      <c r="NUQ74" s="2805"/>
      <c r="NUR74" s="2805"/>
      <c r="NUS74" s="2805"/>
      <c r="NUT74" s="2805"/>
      <c r="NUU74" s="2805"/>
      <c r="NUV74" s="2805"/>
      <c r="NUW74" s="2805"/>
      <c r="NUX74" s="2805"/>
      <c r="NUY74" s="2805"/>
      <c r="NUZ74" s="2805"/>
      <c r="NVA74" s="2805"/>
      <c r="NVB74" s="2805"/>
      <c r="NVC74" s="2805"/>
      <c r="NVD74" s="2805"/>
      <c r="NVE74" s="2805"/>
      <c r="NVF74" s="2805"/>
      <c r="NVG74" s="2805"/>
      <c r="NVH74" s="2805"/>
      <c r="NVI74" s="2805"/>
      <c r="NVJ74" s="2805"/>
      <c r="NVK74" s="2805"/>
      <c r="NVL74" s="2805"/>
      <c r="NVM74" s="2805"/>
      <c r="NVN74" s="2805"/>
      <c r="NVO74" s="2805"/>
      <c r="NVP74" s="2805"/>
      <c r="NVQ74" s="2805"/>
      <c r="NVR74" s="2805"/>
      <c r="NVS74" s="2805"/>
      <c r="NVT74" s="2805"/>
      <c r="NVU74" s="2805"/>
      <c r="NVV74" s="2805"/>
      <c r="NVW74" s="2805"/>
      <c r="NVX74" s="2805"/>
      <c r="NVY74" s="2805"/>
      <c r="NVZ74" s="2805"/>
      <c r="NWA74" s="2805"/>
      <c r="NWB74" s="2805"/>
      <c r="NWC74" s="2805"/>
      <c r="NWD74" s="2805"/>
      <c r="NWE74" s="2805"/>
      <c r="NWF74" s="2805"/>
      <c r="NWG74" s="2805"/>
      <c r="NWH74" s="2805"/>
      <c r="NWI74" s="2805"/>
      <c r="NWJ74" s="2805"/>
      <c r="NWK74" s="2805"/>
      <c r="NWL74" s="2805"/>
      <c r="NWM74" s="2805"/>
      <c r="NWN74" s="2805"/>
      <c r="NWO74" s="2805"/>
      <c r="NWP74" s="2805"/>
      <c r="NWQ74" s="2805"/>
      <c r="NWR74" s="2805"/>
      <c r="NWS74" s="2805"/>
      <c r="NWT74" s="2805"/>
      <c r="NWU74" s="2805"/>
      <c r="NWV74" s="2805"/>
      <c r="NWW74" s="2805"/>
      <c r="NWX74" s="2805"/>
      <c r="NWY74" s="2805"/>
      <c r="NWZ74" s="2805"/>
      <c r="NXA74" s="2805"/>
      <c r="NXB74" s="2805"/>
      <c r="NXC74" s="2805"/>
      <c r="NXD74" s="2805"/>
      <c r="NXE74" s="2805"/>
      <c r="NXF74" s="2805"/>
      <c r="NXG74" s="2805"/>
      <c r="NXH74" s="2805"/>
      <c r="NXI74" s="2805"/>
      <c r="NXJ74" s="2805"/>
      <c r="NXK74" s="2805"/>
      <c r="NXL74" s="2805"/>
      <c r="NXM74" s="2805"/>
      <c r="NXN74" s="2805"/>
      <c r="NXO74" s="2805"/>
      <c r="NXP74" s="2805"/>
      <c r="NXQ74" s="2805"/>
      <c r="NXR74" s="2805"/>
      <c r="NXS74" s="2805"/>
      <c r="NXT74" s="2805"/>
      <c r="NXU74" s="2805"/>
      <c r="NXV74" s="2805"/>
      <c r="NXW74" s="2805"/>
      <c r="NXX74" s="2805"/>
      <c r="NXY74" s="2805"/>
      <c r="NXZ74" s="2805"/>
      <c r="NYA74" s="2805"/>
      <c r="NYB74" s="2805"/>
      <c r="NYC74" s="2805"/>
      <c r="NYD74" s="2805"/>
      <c r="NYE74" s="2805"/>
      <c r="NYF74" s="2805"/>
      <c r="NYG74" s="2805"/>
      <c r="NYH74" s="2805"/>
      <c r="NYI74" s="2805"/>
      <c r="NYJ74" s="2805"/>
      <c r="NYK74" s="2805"/>
      <c r="NYL74" s="2805"/>
      <c r="NYM74" s="2805"/>
      <c r="NYN74" s="2805"/>
      <c r="NYO74" s="2805"/>
      <c r="NYP74" s="2805"/>
      <c r="NYQ74" s="2805"/>
      <c r="NYR74" s="2805"/>
      <c r="NYS74" s="2805"/>
      <c r="NYT74" s="2805"/>
      <c r="NYU74" s="2805"/>
      <c r="NYV74" s="2805"/>
      <c r="NYW74" s="2805"/>
      <c r="NYX74" s="2805"/>
      <c r="NYY74" s="2805"/>
      <c r="NYZ74" s="2805"/>
      <c r="NZA74" s="2805"/>
      <c r="NZB74" s="2805"/>
      <c r="NZC74" s="2805"/>
      <c r="NZD74" s="2805"/>
      <c r="NZE74" s="2805"/>
      <c r="NZF74" s="2805"/>
      <c r="NZG74" s="2805"/>
      <c r="NZH74" s="2805"/>
      <c r="NZI74" s="2805"/>
      <c r="NZJ74" s="2805"/>
      <c r="NZK74" s="2805"/>
      <c r="NZL74" s="2805"/>
      <c r="NZM74" s="2805"/>
      <c r="NZN74" s="2805"/>
      <c r="NZO74" s="2805"/>
      <c r="NZP74" s="2805"/>
      <c r="NZQ74" s="2805"/>
      <c r="NZR74" s="2805"/>
      <c r="NZS74" s="2805"/>
      <c r="NZT74" s="2805"/>
      <c r="NZU74" s="2805"/>
      <c r="NZV74" s="2805"/>
      <c r="NZW74" s="2805"/>
      <c r="NZX74" s="2805"/>
      <c r="NZY74" s="2805"/>
      <c r="NZZ74" s="2805"/>
      <c r="OAA74" s="2805"/>
      <c r="OAB74" s="2805"/>
      <c r="OAC74" s="2805"/>
      <c r="OAD74" s="2805"/>
      <c r="OAE74" s="2805"/>
      <c r="OAF74" s="2805"/>
      <c r="OAG74" s="2805"/>
      <c r="OAH74" s="2805"/>
      <c r="OAI74" s="2805"/>
      <c r="OAJ74" s="2805"/>
      <c r="OAK74" s="2805"/>
      <c r="OAL74" s="2805"/>
      <c r="OAM74" s="2805"/>
      <c r="OAN74" s="2805"/>
      <c r="OAO74" s="2805"/>
      <c r="OAP74" s="2805"/>
      <c r="OAQ74" s="2805"/>
      <c r="OAR74" s="2805"/>
      <c r="OAS74" s="2805"/>
      <c r="OAT74" s="2805"/>
      <c r="OAU74" s="2805"/>
      <c r="OAV74" s="2805"/>
      <c r="OAW74" s="2805"/>
      <c r="OAX74" s="2805"/>
      <c r="OAY74" s="2805"/>
      <c r="OAZ74" s="2805"/>
      <c r="OBA74" s="2805"/>
      <c r="OBB74" s="2805"/>
      <c r="OBC74" s="2805"/>
      <c r="OBD74" s="2805"/>
      <c r="OBE74" s="2805"/>
      <c r="OBF74" s="2805"/>
      <c r="OBG74" s="2805"/>
      <c r="OBH74" s="2805"/>
      <c r="OBI74" s="2805"/>
      <c r="OBJ74" s="2805"/>
      <c r="OBK74" s="2805"/>
      <c r="OBL74" s="2805"/>
      <c r="OBM74" s="2805"/>
      <c r="OBN74" s="2805"/>
      <c r="OBO74" s="2805"/>
      <c r="OBP74" s="2805"/>
      <c r="OBQ74" s="2805"/>
      <c r="OBR74" s="2805"/>
      <c r="OBS74" s="2805"/>
      <c r="OBT74" s="2805"/>
      <c r="OBU74" s="2805"/>
      <c r="OBV74" s="2805"/>
      <c r="OBW74" s="2805"/>
      <c r="OBX74" s="2805"/>
      <c r="OBY74" s="2805"/>
      <c r="OBZ74" s="2805"/>
      <c r="OCA74" s="2805"/>
      <c r="OCB74" s="2805"/>
      <c r="OCC74" s="2805"/>
      <c r="OCD74" s="2805"/>
      <c r="OCE74" s="2805"/>
      <c r="OCF74" s="2805"/>
      <c r="OCG74" s="2805"/>
      <c r="OCH74" s="2805"/>
      <c r="OCI74" s="2805"/>
      <c r="OCJ74" s="2805"/>
      <c r="OCK74" s="2805"/>
      <c r="OCL74" s="2805"/>
      <c r="OCM74" s="2805"/>
      <c r="OCN74" s="2805"/>
      <c r="OCO74" s="2805"/>
      <c r="OCP74" s="2805"/>
      <c r="OCQ74" s="2805"/>
      <c r="OCR74" s="2805"/>
      <c r="OCS74" s="2805"/>
      <c r="OCT74" s="2805"/>
      <c r="OCU74" s="2805"/>
      <c r="OCV74" s="2805"/>
      <c r="OCW74" s="2805"/>
      <c r="OCX74" s="2805"/>
      <c r="OCY74" s="2805"/>
      <c r="OCZ74" s="2805"/>
      <c r="ODA74" s="2805"/>
      <c r="ODB74" s="2805"/>
      <c r="ODC74" s="2805"/>
      <c r="ODD74" s="2805"/>
      <c r="ODE74" s="2805"/>
      <c r="ODF74" s="2805"/>
      <c r="ODG74" s="2805"/>
      <c r="ODH74" s="2805"/>
      <c r="ODI74" s="2805"/>
      <c r="ODJ74" s="2805"/>
      <c r="ODK74" s="2805"/>
      <c r="ODL74" s="2805"/>
      <c r="ODM74" s="2805"/>
      <c r="ODN74" s="2805"/>
      <c r="ODO74" s="2805"/>
      <c r="ODP74" s="2805"/>
      <c r="ODQ74" s="2805"/>
      <c r="ODR74" s="2805"/>
      <c r="ODS74" s="2805"/>
      <c r="ODT74" s="2805"/>
      <c r="ODU74" s="2805"/>
      <c r="ODV74" s="2805"/>
      <c r="ODW74" s="2805"/>
      <c r="ODX74" s="2805"/>
      <c r="ODY74" s="2805"/>
      <c r="ODZ74" s="2805"/>
      <c r="OEA74" s="2805"/>
      <c r="OEB74" s="2805"/>
      <c r="OEC74" s="2805"/>
      <c r="OED74" s="2805"/>
      <c r="OEE74" s="2805"/>
      <c r="OEF74" s="2805"/>
      <c r="OEG74" s="2805"/>
      <c r="OEH74" s="2805"/>
      <c r="OEI74" s="2805"/>
      <c r="OEJ74" s="2805"/>
      <c r="OEK74" s="2805"/>
      <c r="OEL74" s="2805"/>
      <c r="OEM74" s="2805"/>
      <c r="OEN74" s="2805"/>
      <c r="OEO74" s="2805"/>
      <c r="OEP74" s="2805"/>
      <c r="OEQ74" s="2805"/>
      <c r="OER74" s="2805"/>
      <c r="OES74" s="2805"/>
      <c r="OET74" s="2805"/>
      <c r="OEU74" s="2805"/>
      <c r="OEV74" s="2805"/>
      <c r="OEW74" s="2805"/>
      <c r="OEX74" s="2805"/>
      <c r="OEY74" s="2805"/>
      <c r="OEZ74" s="2805"/>
      <c r="OFA74" s="2805"/>
      <c r="OFB74" s="2805"/>
      <c r="OFC74" s="2805"/>
      <c r="OFD74" s="2805"/>
      <c r="OFE74" s="2805"/>
      <c r="OFF74" s="2805"/>
      <c r="OFG74" s="2805"/>
      <c r="OFH74" s="2805"/>
      <c r="OFI74" s="2805"/>
      <c r="OFJ74" s="2805"/>
      <c r="OFK74" s="2805"/>
      <c r="OFL74" s="2805"/>
      <c r="OFM74" s="2805"/>
      <c r="OFN74" s="2805"/>
      <c r="OFO74" s="2805"/>
      <c r="OFP74" s="2805"/>
      <c r="OFQ74" s="2805"/>
      <c r="OFR74" s="2805"/>
      <c r="OFS74" s="2805"/>
      <c r="OFT74" s="2805"/>
      <c r="OFU74" s="2805"/>
      <c r="OFV74" s="2805"/>
      <c r="OFW74" s="2805"/>
      <c r="OFX74" s="2805"/>
      <c r="OFY74" s="2805"/>
      <c r="OFZ74" s="2805"/>
      <c r="OGA74" s="2805"/>
      <c r="OGB74" s="2805"/>
      <c r="OGC74" s="2805"/>
      <c r="OGD74" s="2805"/>
      <c r="OGE74" s="2805"/>
      <c r="OGF74" s="2805"/>
      <c r="OGG74" s="2805"/>
      <c r="OGH74" s="2805"/>
      <c r="OGI74" s="2805"/>
      <c r="OGJ74" s="2805"/>
      <c r="OGK74" s="2805"/>
      <c r="OGL74" s="2805"/>
      <c r="OGM74" s="2805"/>
      <c r="OGN74" s="2805"/>
      <c r="OGO74" s="2805"/>
      <c r="OGP74" s="2805"/>
      <c r="OGQ74" s="2805"/>
      <c r="OGR74" s="2805"/>
      <c r="OGS74" s="2805"/>
      <c r="OGT74" s="2805"/>
      <c r="OGU74" s="2805"/>
      <c r="OGV74" s="2805"/>
      <c r="OGW74" s="2805"/>
      <c r="OGX74" s="2805"/>
      <c r="OGY74" s="2805"/>
      <c r="OGZ74" s="2805"/>
      <c r="OHA74" s="2805"/>
      <c r="OHB74" s="2805"/>
      <c r="OHC74" s="2805"/>
      <c r="OHD74" s="2805"/>
      <c r="OHE74" s="2805"/>
      <c r="OHF74" s="2805"/>
      <c r="OHG74" s="2805"/>
      <c r="OHH74" s="2805"/>
      <c r="OHI74" s="2805"/>
      <c r="OHJ74" s="2805"/>
      <c r="OHK74" s="2805"/>
      <c r="OHL74" s="2805"/>
      <c r="OHM74" s="2805"/>
      <c r="OHN74" s="2805"/>
      <c r="OHO74" s="2805"/>
      <c r="OHP74" s="2805"/>
      <c r="OHQ74" s="2805"/>
      <c r="OHR74" s="2805"/>
      <c r="OHS74" s="2805"/>
      <c r="OHT74" s="2805"/>
      <c r="OHU74" s="2805"/>
      <c r="OHV74" s="2805"/>
      <c r="OHW74" s="2805"/>
      <c r="OHX74" s="2805"/>
      <c r="OHY74" s="2805"/>
      <c r="OHZ74" s="2805"/>
      <c r="OIA74" s="2805"/>
      <c r="OIB74" s="2805"/>
      <c r="OIC74" s="2805"/>
      <c r="OID74" s="2805"/>
      <c r="OIE74" s="2805"/>
      <c r="OIF74" s="2805"/>
      <c r="OIG74" s="2805"/>
      <c r="OIH74" s="2805"/>
      <c r="OII74" s="2805"/>
      <c r="OIJ74" s="2805"/>
      <c r="OIK74" s="2805"/>
      <c r="OIL74" s="2805"/>
      <c r="OIM74" s="2805"/>
      <c r="OIN74" s="2805"/>
      <c r="OIO74" s="2805"/>
      <c r="OIP74" s="2805"/>
      <c r="OIQ74" s="2805"/>
      <c r="OIR74" s="2805"/>
      <c r="OIS74" s="2805"/>
      <c r="OIT74" s="2805"/>
      <c r="OIU74" s="2805"/>
      <c r="OIV74" s="2805"/>
      <c r="OIW74" s="2805"/>
      <c r="OIX74" s="2805"/>
      <c r="OIY74" s="2805"/>
      <c r="OIZ74" s="2805"/>
      <c r="OJA74" s="2805"/>
      <c r="OJB74" s="2805"/>
      <c r="OJC74" s="2805"/>
      <c r="OJD74" s="2805"/>
      <c r="OJE74" s="2805"/>
      <c r="OJF74" s="2805"/>
      <c r="OJG74" s="2805"/>
      <c r="OJH74" s="2805"/>
      <c r="OJI74" s="2805"/>
      <c r="OJJ74" s="2805"/>
      <c r="OJK74" s="2805"/>
      <c r="OJL74" s="2805"/>
      <c r="OJM74" s="2805"/>
      <c r="OJN74" s="2805"/>
      <c r="OJO74" s="2805"/>
      <c r="OJP74" s="2805"/>
      <c r="OJQ74" s="2805"/>
      <c r="OJR74" s="2805"/>
      <c r="OJS74" s="2805"/>
      <c r="OJT74" s="2805"/>
      <c r="OJU74" s="2805"/>
      <c r="OJV74" s="2805"/>
      <c r="OJW74" s="2805"/>
      <c r="OJX74" s="2805"/>
      <c r="OJY74" s="2805"/>
      <c r="OJZ74" s="2805"/>
      <c r="OKA74" s="2805"/>
      <c r="OKB74" s="2805"/>
      <c r="OKC74" s="2805"/>
      <c r="OKD74" s="2805"/>
      <c r="OKE74" s="2805"/>
      <c r="OKF74" s="2805"/>
      <c r="OKG74" s="2805"/>
      <c r="OKH74" s="2805"/>
      <c r="OKI74" s="2805"/>
      <c r="OKJ74" s="2805"/>
      <c r="OKK74" s="2805"/>
      <c r="OKL74" s="2805"/>
      <c r="OKM74" s="2805"/>
      <c r="OKN74" s="2805"/>
      <c r="OKO74" s="2805"/>
      <c r="OKP74" s="2805"/>
      <c r="OKQ74" s="2805"/>
      <c r="OKR74" s="2805"/>
      <c r="OKS74" s="2805"/>
      <c r="OKT74" s="2805"/>
      <c r="OKU74" s="2805"/>
      <c r="OKV74" s="2805"/>
      <c r="OKW74" s="2805"/>
      <c r="OKX74" s="2805"/>
      <c r="OKY74" s="2805"/>
      <c r="OKZ74" s="2805"/>
      <c r="OLA74" s="2805"/>
      <c r="OLB74" s="2805"/>
      <c r="OLC74" s="2805"/>
      <c r="OLD74" s="2805"/>
      <c r="OLE74" s="2805"/>
      <c r="OLF74" s="2805"/>
      <c r="OLG74" s="2805"/>
      <c r="OLH74" s="2805"/>
      <c r="OLI74" s="2805"/>
      <c r="OLJ74" s="2805"/>
      <c r="OLK74" s="2805"/>
      <c r="OLL74" s="2805"/>
      <c r="OLM74" s="2805"/>
      <c r="OLN74" s="2805"/>
      <c r="OLO74" s="2805"/>
      <c r="OLP74" s="2805"/>
      <c r="OLQ74" s="2805"/>
      <c r="OLR74" s="2805"/>
      <c r="OLS74" s="2805"/>
      <c r="OLT74" s="2805"/>
      <c r="OLU74" s="2805"/>
      <c r="OLV74" s="2805"/>
      <c r="OLW74" s="2805"/>
      <c r="OLX74" s="2805"/>
      <c r="OLY74" s="2805"/>
      <c r="OLZ74" s="2805"/>
      <c r="OMA74" s="2805"/>
      <c r="OMB74" s="2805"/>
      <c r="OMC74" s="2805"/>
      <c r="OMD74" s="2805"/>
      <c r="OME74" s="2805"/>
      <c r="OMF74" s="2805"/>
      <c r="OMG74" s="2805"/>
      <c r="OMH74" s="2805"/>
      <c r="OMI74" s="2805"/>
      <c r="OMJ74" s="2805"/>
      <c r="OMK74" s="2805"/>
      <c r="OML74" s="2805"/>
      <c r="OMM74" s="2805"/>
      <c r="OMN74" s="2805"/>
      <c r="OMO74" s="2805"/>
      <c r="OMP74" s="2805"/>
      <c r="OMQ74" s="2805"/>
      <c r="OMR74" s="2805"/>
      <c r="OMS74" s="2805"/>
      <c r="OMT74" s="2805"/>
      <c r="OMU74" s="2805"/>
      <c r="OMV74" s="2805"/>
      <c r="OMW74" s="2805"/>
      <c r="OMX74" s="2805"/>
      <c r="OMY74" s="2805"/>
      <c r="OMZ74" s="2805"/>
      <c r="ONA74" s="2805"/>
      <c r="ONB74" s="2805"/>
      <c r="ONC74" s="2805"/>
      <c r="OND74" s="2805"/>
      <c r="ONE74" s="2805"/>
      <c r="ONF74" s="2805"/>
      <c r="ONG74" s="2805"/>
      <c r="ONH74" s="2805"/>
      <c r="ONI74" s="2805"/>
      <c r="ONJ74" s="2805"/>
      <c r="ONK74" s="2805"/>
      <c r="ONL74" s="2805"/>
      <c r="ONM74" s="2805"/>
      <c r="ONN74" s="2805"/>
      <c r="ONO74" s="2805"/>
      <c r="ONP74" s="2805"/>
      <c r="ONQ74" s="2805"/>
      <c r="ONR74" s="2805"/>
      <c r="ONS74" s="2805"/>
      <c r="ONT74" s="2805"/>
      <c r="ONU74" s="2805"/>
      <c r="ONV74" s="2805"/>
      <c r="ONW74" s="2805"/>
      <c r="ONX74" s="2805"/>
      <c r="ONY74" s="2805"/>
      <c r="ONZ74" s="2805"/>
      <c r="OOA74" s="2805"/>
      <c r="OOB74" s="2805"/>
      <c r="OOC74" s="2805"/>
      <c r="OOD74" s="2805"/>
      <c r="OOE74" s="2805"/>
      <c r="OOF74" s="2805"/>
      <c r="OOG74" s="2805"/>
      <c r="OOH74" s="2805"/>
      <c r="OOI74" s="2805"/>
      <c r="OOJ74" s="2805"/>
      <c r="OOK74" s="2805"/>
      <c r="OOL74" s="2805"/>
      <c r="OOM74" s="2805"/>
      <c r="OON74" s="2805"/>
      <c r="OOO74" s="2805"/>
      <c r="OOP74" s="2805"/>
      <c r="OOQ74" s="2805"/>
      <c r="OOR74" s="2805"/>
      <c r="OOS74" s="2805"/>
      <c r="OOT74" s="2805"/>
      <c r="OOU74" s="2805"/>
      <c r="OOV74" s="2805"/>
      <c r="OOW74" s="2805"/>
      <c r="OOX74" s="2805"/>
      <c r="OOY74" s="2805"/>
      <c r="OOZ74" s="2805"/>
      <c r="OPA74" s="2805"/>
      <c r="OPB74" s="2805"/>
      <c r="OPC74" s="2805"/>
      <c r="OPD74" s="2805"/>
      <c r="OPE74" s="2805"/>
      <c r="OPF74" s="2805"/>
      <c r="OPG74" s="2805"/>
      <c r="OPH74" s="2805"/>
      <c r="OPI74" s="2805"/>
      <c r="OPJ74" s="2805"/>
      <c r="OPK74" s="2805"/>
      <c r="OPL74" s="2805"/>
      <c r="OPM74" s="2805"/>
      <c r="OPN74" s="2805"/>
      <c r="OPO74" s="2805"/>
      <c r="OPP74" s="2805"/>
      <c r="OPQ74" s="2805"/>
      <c r="OPR74" s="2805"/>
      <c r="OPS74" s="2805"/>
      <c r="OPT74" s="2805"/>
      <c r="OPU74" s="2805"/>
      <c r="OPV74" s="2805"/>
      <c r="OPW74" s="2805"/>
      <c r="OPX74" s="2805"/>
      <c r="OPY74" s="2805"/>
      <c r="OPZ74" s="2805"/>
      <c r="OQA74" s="2805"/>
      <c r="OQB74" s="2805"/>
      <c r="OQC74" s="2805"/>
      <c r="OQD74" s="2805"/>
      <c r="OQE74" s="2805"/>
      <c r="OQF74" s="2805"/>
      <c r="OQG74" s="2805"/>
      <c r="OQH74" s="2805"/>
      <c r="OQI74" s="2805"/>
      <c r="OQJ74" s="2805"/>
      <c r="OQK74" s="2805"/>
      <c r="OQL74" s="2805"/>
      <c r="OQM74" s="2805"/>
      <c r="OQN74" s="2805"/>
      <c r="OQO74" s="2805"/>
      <c r="OQP74" s="2805"/>
      <c r="OQQ74" s="2805"/>
      <c r="OQR74" s="2805"/>
      <c r="OQS74" s="2805"/>
      <c r="OQT74" s="2805"/>
      <c r="OQU74" s="2805"/>
      <c r="OQV74" s="2805"/>
      <c r="OQW74" s="2805"/>
      <c r="OQX74" s="2805"/>
      <c r="OQY74" s="2805"/>
      <c r="OQZ74" s="2805"/>
      <c r="ORA74" s="2805"/>
      <c r="ORB74" s="2805"/>
      <c r="ORC74" s="2805"/>
      <c r="ORD74" s="2805"/>
      <c r="ORE74" s="2805"/>
      <c r="ORF74" s="2805"/>
      <c r="ORG74" s="2805"/>
      <c r="ORH74" s="2805"/>
      <c r="ORI74" s="2805"/>
      <c r="ORJ74" s="2805"/>
      <c r="ORK74" s="2805"/>
      <c r="ORL74" s="2805"/>
      <c r="ORM74" s="2805"/>
      <c r="ORN74" s="2805"/>
      <c r="ORO74" s="2805"/>
      <c r="ORP74" s="2805"/>
      <c r="ORQ74" s="2805"/>
      <c r="ORR74" s="2805"/>
      <c r="ORS74" s="2805"/>
      <c r="ORT74" s="2805"/>
      <c r="ORU74" s="2805"/>
      <c r="ORV74" s="2805"/>
      <c r="ORW74" s="2805"/>
      <c r="ORX74" s="2805"/>
      <c r="ORY74" s="2805"/>
      <c r="ORZ74" s="2805"/>
      <c r="OSA74" s="2805"/>
      <c r="OSB74" s="2805"/>
      <c r="OSC74" s="2805"/>
      <c r="OSD74" s="2805"/>
      <c r="OSE74" s="2805"/>
      <c r="OSF74" s="2805"/>
      <c r="OSG74" s="2805"/>
      <c r="OSH74" s="2805"/>
      <c r="OSI74" s="2805"/>
      <c r="OSJ74" s="2805"/>
      <c r="OSK74" s="2805"/>
      <c r="OSL74" s="2805"/>
      <c r="OSM74" s="2805"/>
      <c r="OSN74" s="2805"/>
      <c r="OSO74" s="2805"/>
      <c r="OSP74" s="2805"/>
      <c r="OSQ74" s="2805"/>
      <c r="OSR74" s="2805"/>
      <c r="OSS74" s="2805"/>
      <c r="OST74" s="2805"/>
      <c r="OSU74" s="2805"/>
      <c r="OSV74" s="2805"/>
      <c r="OSW74" s="2805"/>
      <c r="OSX74" s="2805"/>
      <c r="OSY74" s="2805"/>
      <c r="OSZ74" s="2805"/>
      <c r="OTA74" s="2805"/>
      <c r="OTB74" s="2805"/>
      <c r="OTC74" s="2805"/>
      <c r="OTD74" s="2805"/>
      <c r="OTE74" s="2805"/>
      <c r="OTF74" s="2805"/>
      <c r="OTG74" s="2805"/>
      <c r="OTH74" s="2805"/>
      <c r="OTI74" s="2805"/>
      <c r="OTJ74" s="2805"/>
      <c r="OTK74" s="2805"/>
      <c r="OTL74" s="2805"/>
      <c r="OTM74" s="2805"/>
      <c r="OTN74" s="2805"/>
      <c r="OTO74" s="2805"/>
      <c r="OTP74" s="2805"/>
      <c r="OTQ74" s="2805"/>
      <c r="OTR74" s="2805"/>
      <c r="OTS74" s="2805"/>
      <c r="OTT74" s="2805"/>
      <c r="OTU74" s="2805"/>
      <c r="OTV74" s="2805"/>
      <c r="OTW74" s="2805"/>
      <c r="OTX74" s="2805"/>
      <c r="OTY74" s="2805"/>
      <c r="OTZ74" s="2805"/>
      <c r="OUA74" s="2805"/>
      <c r="OUB74" s="2805"/>
      <c r="OUC74" s="2805"/>
      <c r="OUD74" s="2805"/>
      <c r="OUE74" s="2805"/>
      <c r="OUF74" s="2805"/>
      <c r="OUG74" s="2805"/>
      <c r="OUH74" s="2805"/>
      <c r="OUI74" s="2805"/>
      <c r="OUJ74" s="2805"/>
      <c r="OUK74" s="2805"/>
      <c r="OUL74" s="2805"/>
      <c r="OUM74" s="2805"/>
      <c r="OUN74" s="2805"/>
      <c r="OUO74" s="2805"/>
      <c r="OUP74" s="2805"/>
      <c r="OUQ74" s="2805"/>
      <c r="OUR74" s="2805"/>
      <c r="OUS74" s="2805"/>
      <c r="OUT74" s="2805"/>
      <c r="OUU74" s="2805"/>
      <c r="OUV74" s="2805"/>
      <c r="OUW74" s="2805"/>
      <c r="OUX74" s="2805"/>
      <c r="OUY74" s="2805"/>
      <c r="OUZ74" s="2805"/>
      <c r="OVA74" s="2805"/>
      <c r="OVB74" s="2805"/>
      <c r="OVC74" s="2805"/>
      <c r="OVD74" s="2805"/>
      <c r="OVE74" s="2805"/>
      <c r="OVF74" s="2805"/>
      <c r="OVG74" s="2805"/>
      <c r="OVH74" s="2805"/>
      <c r="OVI74" s="2805"/>
      <c r="OVJ74" s="2805"/>
      <c r="OVK74" s="2805"/>
      <c r="OVL74" s="2805"/>
      <c r="OVM74" s="2805"/>
      <c r="OVN74" s="2805"/>
      <c r="OVO74" s="2805"/>
      <c r="OVP74" s="2805"/>
      <c r="OVQ74" s="2805"/>
      <c r="OVR74" s="2805"/>
      <c r="OVS74" s="2805"/>
      <c r="OVT74" s="2805"/>
      <c r="OVU74" s="2805"/>
      <c r="OVV74" s="2805"/>
      <c r="OVW74" s="2805"/>
      <c r="OVX74" s="2805"/>
      <c r="OVY74" s="2805"/>
      <c r="OVZ74" s="2805"/>
      <c r="OWA74" s="2805"/>
      <c r="OWB74" s="2805"/>
      <c r="OWC74" s="2805"/>
      <c r="OWD74" s="2805"/>
      <c r="OWE74" s="2805"/>
      <c r="OWF74" s="2805"/>
      <c r="OWG74" s="2805"/>
      <c r="OWH74" s="2805"/>
      <c r="OWI74" s="2805"/>
      <c r="OWJ74" s="2805"/>
      <c r="OWK74" s="2805"/>
      <c r="OWL74" s="2805"/>
      <c r="OWM74" s="2805"/>
      <c r="OWN74" s="2805"/>
      <c r="OWO74" s="2805"/>
      <c r="OWP74" s="2805"/>
      <c r="OWQ74" s="2805"/>
      <c r="OWR74" s="2805"/>
      <c r="OWS74" s="2805"/>
      <c r="OWT74" s="2805"/>
      <c r="OWU74" s="2805"/>
      <c r="OWV74" s="2805"/>
      <c r="OWW74" s="2805"/>
      <c r="OWX74" s="2805"/>
      <c r="OWY74" s="2805"/>
      <c r="OWZ74" s="2805"/>
      <c r="OXA74" s="2805"/>
      <c r="OXB74" s="2805"/>
      <c r="OXC74" s="2805"/>
      <c r="OXD74" s="2805"/>
      <c r="OXE74" s="2805"/>
      <c r="OXF74" s="2805"/>
      <c r="OXG74" s="2805"/>
      <c r="OXH74" s="2805"/>
      <c r="OXI74" s="2805"/>
      <c r="OXJ74" s="2805"/>
      <c r="OXK74" s="2805"/>
      <c r="OXL74" s="2805"/>
      <c r="OXM74" s="2805"/>
      <c r="OXN74" s="2805"/>
      <c r="OXO74" s="2805"/>
      <c r="OXP74" s="2805"/>
      <c r="OXQ74" s="2805"/>
      <c r="OXR74" s="2805"/>
      <c r="OXS74" s="2805"/>
      <c r="OXT74" s="2805"/>
      <c r="OXU74" s="2805"/>
      <c r="OXV74" s="2805"/>
      <c r="OXW74" s="2805"/>
      <c r="OXX74" s="2805"/>
      <c r="OXY74" s="2805"/>
      <c r="OXZ74" s="2805"/>
      <c r="OYA74" s="2805"/>
      <c r="OYB74" s="2805"/>
      <c r="OYC74" s="2805"/>
      <c r="OYD74" s="2805"/>
      <c r="OYE74" s="2805"/>
      <c r="OYF74" s="2805"/>
      <c r="OYG74" s="2805"/>
      <c r="OYH74" s="2805"/>
      <c r="OYI74" s="2805"/>
      <c r="OYJ74" s="2805"/>
      <c r="OYK74" s="2805"/>
      <c r="OYL74" s="2805"/>
      <c r="OYM74" s="2805"/>
      <c r="OYN74" s="2805"/>
      <c r="OYO74" s="2805"/>
      <c r="OYP74" s="2805"/>
      <c r="OYQ74" s="2805"/>
      <c r="OYR74" s="2805"/>
      <c r="OYS74" s="2805"/>
      <c r="OYT74" s="2805"/>
      <c r="OYU74" s="2805"/>
      <c r="OYV74" s="2805"/>
      <c r="OYW74" s="2805"/>
      <c r="OYX74" s="2805"/>
      <c r="OYY74" s="2805"/>
      <c r="OYZ74" s="2805"/>
      <c r="OZA74" s="2805"/>
      <c r="OZB74" s="2805"/>
      <c r="OZC74" s="2805"/>
      <c r="OZD74" s="2805"/>
      <c r="OZE74" s="2805"/>
      <c r="OZF74" s="2805"/>
      <c r="OZG74" s="2805"/>
      <c r="OZH74" s="2805"/>
      <c r="OZI74" s="2805"/>
      <c r="OZJ74" s="2805"/>
      <c r="OZK74" s="2805"/>
      <c r="OZL74" s="2805"/>
      <c r="OZM74" s="2805"/>
      <c r="OZN74" s="2805"/>
      <c r="OZO74" s="2805"/>
      <c r="OZP74" s="2805"/>
      <c r="OZQ74" s="2805"/>
      <c r="OZR74" s="2805"/>
      <c r="OZS74" s="2805"/>
      <c r="OZT74" s="2805"/>
      <c r="OZU74" s="2805"/>
      <c r="OZV74" s="2805"/>
      <c r="OZW74" s="2805"/>
      <c r="OZX74" s="2805"/>
      <c r="OZY74" s="2805"/>
      <c r="OZZ74" s="2805"/>
      <c r="PAA74" s="2805"/>
      <c r="PAB74" s="2805"/>
      <c r="PAC74" s="2805"/>
      <c r="PAD74" s="2805"/>
      <c r="PAE74" s="2805"/>
      <c r="PAF74" s="2805"/>
      <c r="PAG74" s="2805"/>
      <c r="PAH74" s="2805"/>
      <c r="PAI74" s="2805"/>
      <c r="PAJ74" s="2805"/>
      <c r="PAK74" s="2805"/>
      <c r="PAL74" s="2805"/>
      <c r="PAM74" s="2805"/>
      <c r="PAN74" s="2805"/>
      <c r="PAO74" s="2805"/>
      <c r="PAP74" s="2805"/>
      <c r="PAQ74" s="2805"/>
      <c r="PAR74" s="2805"/>
      <c r="PAS74" s="2805"/>
      <c r="PAT74" s="2805"/>
      <c r="PAU74" s="2805"/>
      <c r="PAV74" s="2805"/>
      <c r="PAW74" s="2805"/>
      <c r="PAX74" s="2805"/>
      <c r="PAY74" s="2805"/>
      <c r="PAZ74" s="2805"/>
      <c r="PBA74" s="2805"/>
      <c r="PBB74" s="2805"/>
      <c r="PBC74" s="2805"/>
      <c r="PBD74" s="2805"/>
      <c r="PBE74" s="2805"/>
      <c r="PBF74" s="2805"/>
      <c r="PBG74" s="2805"/>
      <c r="PBH74" s="2805"/>
      <c r="PBI74" s="2805"/>
      <c r="PBJ74" s="2805"/>
      <c r="PBK74" s="2805"/>
      <c r="PBL74" s="2805"/>
      <c r="PBM74" s="2805"/>
      <c r="PBN74" s="2805"/>
      <c r="PBO74" s="2805"/>
      <c r="PBP74" s="2805"/>
      <c r="PBQ74" s="2805"/>
      <c r="PBR74" s="2805"/>
      <c r="PBS74" s="2805"/>
      <c r="PBT74" s="2805"/>
      <c r="PBU74" s="2805"/>
      <c r="PBV74" s="2805"/>
      <c r="PBW74" s="2805"/>
      <c r="PBX74" s="2805"/>
      <c r="PBY74" s="2805"/>
      <c r="PBZ74" s="2805"/>
      <c r="PCA74" s="2805"/>
      <c r="PCB74" s="2805"/>
      <c r="PCC74" s="2805"/>
      <c r="PCD74" s="2805"/>
      <c r="PCE74" s="2805"/>
      <c r="PCF74" s="2805"/>
      <c r="PCG74" s="2805"/>
      <c r="PCH74" s="2805"/>
      <c r="PCI74" s="2805"/>
      <c r="PCJ74" s="2805"/>
      <c r="PCK74" s="2805"/>
      <c r="PCL74" s="2805"/>
      <c r="PCM74" s="2805"/>
      <c r="PCN74" s="2805"/>
      <c r="PCO74" s="2805"/>
      <c r="PCP74" s="2805"/>
      <c r="PCQ74" s="2805"/>
      <c r="PCR74" s="2805"/>
      <c r="PCS74" s="2805"/>
      <c r="PCT74" s="2805"/>
      <c r="PCU74" s="2805"/>
      <c r="PCV74" s="2805"/>
      <c r="PCW74" s="2805"/>
      <c r="PCX74" s="2805"/>
      <c r="PCY74" s="2805"/>
      <c r="PCZ74" s="2805"/>
      <c r="PDA74" s="2805"/>
      <c r="PDB74" s="2805"/>
      <c r="PDC74" s="2805"/>
      <c r="PDD74" s="2805"/>
      <c r="PDE74" s="2805"/>
      <c r="PDF74" s="2805"/>
      <c r="PDG74" s="2805"/>
      <c r="PDH74" s="2805"/>
      <c r="PDI74" s="2805"/>
      <c r="PDJ74" s="2805"/>
      <c r="PDK74" s="2805"/>
      <c r="PDL74" s="2805"/>
      <c r="PDM74" s="2805"/>
      <c r="PDN74" s="2805"/>
      <c r="PDO74" s="2805"/>
      <c r="PDP74" s="2805"/>
      <c r="PDQ74" s="2805"/>
      <c r="PDR74" s="2805"/>
      <c r="PDS74" s="2805"/>
      <c r="PDT74" s="2805"/>
      <c r="PDU74" s="2805"/>
      <c r="PDV74" s="2805"/>
      <c r="PDW74" s="2805"/>
      <c r="PDX74" s="2805"/>
      <c r="PDY74" s="2805"/>
      <c r="PDZ74" s="2805"/>
      <c r="PEA74" s="2805"/>
      <c r="PEB74" s="2805"/>
      <c r="PEC74" s="2805"/>
      <c r="PED74" s="2805"/>
      <c r="PEE74" s="2805"/>
      <c r="PEF74" s="2805"/>
      <c r="PEG74" s="2805"/>
      <c r="PEH74" s="2805"/>
      <c r="PEI74" s="2805"/>
      <c r="PEJ74" s="2805"/>
      <c r="PEK74" s="2805"/>
      <c r="PEL74" s="2805"/>
      <c r="PEM74" s="2805"/>
      <c r="PEN74" s="2805"/>
      <c r="PEO74" s="2805"/>
      <c r="PEP74" s="2805"/>
      <c r="PEQ74" s="2805"/>
      <c r="PER74" s="2805"/>
      <c r="PES74" s="2805"/>
      <c r="PET74" s="2805"/>
      <c r="PEU74" s="2805"/>
      <c r="PEV74" s="2805"/>
      <c r="PEW74" s="2805"/>
      <c r="PEX74" s="2805"/>
      <c r="PEY74" s="2805"/>
      <c r="PEZ74" s="2805"/>
      <c r="PFA74" s="2805"/>
      <c r="PFB74" s="2805"/>
      <c r="PFC74" s="2805"/>
      <c r="PFD74" s="2805"/>
      <c r="PFE74" s="2805"/>
      <c r="PFF74" s="2805"/>
      <c r="PFG74" s="2805"/>
      <c r="PFH74" s="2805"/>
      <c r="PFI74" s="2805"/>
      <c r="PFJ74" s="2805"/>
      <c r="PFK74" s="2805"/>
      <c r="PFL74" s="2805"/>
      <c r="PFM74" s="2805"/>
      <c r="PFN74" s="2805"/>
      <c r="PFO74" s="2805"/>
      <c r="PFP74" s="2805"/>
      <c r="PFQ74" s="2805"/>
      <c r="PFR74" s="2805"/>
      <c r="PFS74" s="2805"/>
      <c r="PFT74" s="2805"/>
      <c r="PFU74" s="2805"/>
      <c r="PFV74" s="2805"/>
      <c r="PFW74" s="2805"/>
      <c r="PFX74" s="2805"/>
      <c r="PFY74" s="2805"/>
      <c r="PFZ74" s="2805"/>
      <c r="PGA74" s="2805"/>
      <c r="PGB74" s="2805"/>
      <c r="PGC74" s="2805"/>
      <c r="PGD74" s="2805"/>
      <c r="PGE74" s="2805"/>
      <c r="PGF74" s="2805"/>
      <c r="PGG74" s="2805"/>
      <c r="PGH74" s="2805"/>
      <c r="PGI74" s="2805"/>
      <c r="PGJ74" s="2805"/>
      <c r="PGK74" s="2805"/>
      <c r="PGL74" s="2805"/>
      <c r="PGM74" s="2805"/>
      <c r="PGN74" s="2805"/>
      <c r="PGO74" s="2805"/>
      <c r="PGP74" s="2805"/>
      <c r="PGQ74" s="2805"/>
      <c r="PGR74" s="2805"/>
      <c r="PGS74" s="2805"/>
      <c r="PGT74" s="2805"/>
      <c r="PGU74" s="2805"/>
      <c r="PGV74" s="2805"/>
      <c r="PGW74" s="2805"/>
      <c r="PGX74" s="2805"/>
      <c r="PGY74" s="2805"/>
      <c r="PGZ74" s="2805"/>
      <c r="PHA74" s="2805"/>
      <c r="PHB74" s="2805"/>
      <c r="PHC74" s="2805"/>
      <c r="PHD74" s="2805"/>
      <c r="PHE74" s="2805"/>
      <c r="PHF74" s="2805"/>
      <c r="PHG74" s="2805"/>
      <c r="PHH74" s="2805"/>
      <c r="PHI74" s="2805"/>
      <c r="PHJ74" s="2805"/>
      <c r="PHK74" s="2805"/>
      <c r="PHL74" s="2805"/>
      <c r="PHM74" s="2805"/>
      <c r="PHN74" s="2805"/>
      <c r="PHO74" s="2805"/>
      <c r="PHP74" s="2805"/>
      <c r="PHQ74" s="2805"/>
      <c r="PHR74" s="2805"/>
      <c r="PHS74" s="2805"/>
      <c r="PHT74" s="2805"/>
      <c r="PHU74" s="2805"/>
      <c r="PHV74" s="2805"/>
      <c r="PHW74" s="2805"/>
      <c r="PHX74" s="2805"/>
      <c r="PHY74" s="2805"/>
      <c r="PHZ74" s="2805"/>
      <c r="PIA74" s="2805"/>
      <c r="PIB74" s="2805"/>
      <c r="PIC74" s="2805"/>
      <c r="PID74" s="2805"/>
      <c r="PIE74" s="2805"/>
      <c r="PIF74" s="2805"/>
      <c r="PIG74" s="2805"/>
      <c r="PIH74" s="2805"/>
      <c r="PII74" s="2805"/>
      <c r="PIJ74" s="2805"/>
      <c r="PIK74" s="2805"/>
      <c r="PIL74" s="2805"/>
      <c r="PIM74" s="2805"/>
      <c r="PIN74" s="2805"/>
      <c r="PIO74" s="2805"/>
      <c r="PIP74" s="2805"/>
      <c r="PIQ74" s="2805"/>
      <c r="PIR74" s="2805"/>
      <c r="PIS74" s="2805"/>
      <c r="PIT74" s="2805"/>
      <c r="PIU74" s="2805"/>
      <c r="PIV74" s="2805"/>
      <c r="PIW74" s="2805"/>
      <c r="PIX74" s="2805"/>
      <c r="PIY74" s="2805"/>
      <c r="PIZ74" s="2805"/>
      <c r="PJA74" s="2805"/>
      <c r="PJB74" s="2805"/>
      <c r="PJC74" s="2805"/>
      <c r="PJD74" s="2805"/>
      <c r="PJE74" s="2805"/>
      <c r="PJF74" s="2805"/>
      <c r="PJG74" s="2805"/>
      <c r="PJH74" s="2805"/>
      <c r="PJI74" s="2805"/>
      <c r="PJJ74" s="2805"/>
      <c r="PJK74" s="2805"/>
      <c r="PJL74" s="2805"/>
      <c r="PJM74" s="2805"/>
      <c r="PJN74" s="2805"/>
      <c r="PJO74" s="2805"/>
      <c r="PJP74" s="2805"/>
      <c r="PJQ74" s="2805"/>
      <c r="PJR74" s="2805"/>
      <c r="PJS74" s="2805"/>
      <c r="PJT74" s="2805"/>
      <c r="PJU74" s="2805"/>
      <c r="PJV74" s="2805"/>
      <c r="PJW74" s="2805"/>
      <c r="PJX74" s="2805"/>
      <c r="PJY74" s="2805"/>
      <c r="PJZ74" s="2805"/>
      <c r="PKA74" s="2805"/>
      <c r="PKB74" s="2805"/>
      <c r="PKC74" s="2805"/>
      <c r="PKD74" s="2805"/>
      <c r="PKE74" s="2805"/>
      <c r="PKF74" s="2805"/>
      <c r="PKG74" s="2805"/>
      <c r="PKH74" s="2805"/>
      <c r="PKI74" s="2805"/>
      <c r="PKJ74" s="2805"/>
      <c r="PKK74" s="2805"/>
      <c r="PKL74" s="2805"/>
      <c r="PKM74" s="2805"/>
      <c r="PKN74" s="2805"/>
      <c r="PKO74" s="2805"/>
      <c r="PKP74" s="2805"/>
      <c r="PKQ74" s="2805"/>
      <c r="PKR74" s="2805"/>
      <c r="PKS74" s="2805"/>
      <c r="PKT74" s="2805"/>
      <c r="PKU74" s="2805"/>
      <c r="PKV74" s="2805"/>
      <c r="PKW74" s="2805"/>
      <c r="PKX74" s="2805"/>
      <c r="PKY74" s="2805"/>
      <c r="PKZ74" s="2805"/>
      <c r="PLA74" s="2805"/>
      <c r="PLB74" s="2805"/>
      <c r="PLC74" s="2805"/>
      <c r="PLD74" s="2805"/>
      <c r="PLE74" s="2805"/>
      <c r="PLF74" s="2805"/>
      <c r="PLG74" s="2805"/>
      <c r="PLH74" s="2805"/>
      <c r="PLI74" s="2805"/>
      <c r="PLJ74" s="2805"/>
      <c r="PLK74" s="2805"/>
      <c r="PLL74" s="2805"/>
      <c r="PLM74" s="2805"/>
      <c r="PLN74" s="2805"/>
      <c r="PLO74" s="2805"/>
      <c r="PLP74" s="2805"/>
      <c r="PLQ74" s="2805"/>
      <c r="PLR74" s="2805"/>
      <c r="PLS74" s="2805"/>
      <c r="PLT74" s="2805"/>
      <c r="PLU74" s="2805"/>
      <c r="PLV74" s="2805"/>
      <c r="PLW74" s="2805"/>
      <c r="PLX74" s="2805"/>
      <c r="PLY74" s="2805"/>
      <c r="PLZ74" s="2805"/>
      <c r="PMA74" s="2805"/>
      <c r="PMB74" s="2805"/>
      <c r="PMC74" s="2805"/>
      <c r="PMD74" s="2805"/>
      <c r="PME74" s="2805"/>
      <c r="PMF74" s="2805"/>
      <c r="PMG74" s="2805"/>
      <c r="PMH74" s="2805"/>
      <c r="PMI74" s="2805"/>
      <c r="PMJ74" s="2805"/>
      <c r="PMK74" s="2805"/>
      <c r="PML74" s="2805"/>
      <c r="PMM74" s="2805"/>
      <c r="PMN74" s="2805"/>
      <c r="PMO74" s="2805"/>
      <c r="PMP74" s="2805"/>
      <c r="PMQ74" s="2805"/>
      <c r="PMR74" s="2805"/>
      <c r="PMS74" s="2805"/>
      <c r="PMT74" s="2805"/>
      <c r="PMU74" s="2805"/>
      <c r="PMV74" s="2805"/>
      <c r="PMW74" s="2805"/>
      <c r="PMX74" s="2805"/>
      <c r="PMY74" s="2805"/>
      <c r="PMZ74" s="2805"/>
      <c r="PNA74" s="2805"/>
      <c r="PNB74" s="2805"/>
      <c r="PNC74" s="2805"/>
      <c r="PND74" s="2805"/>
      <c r="PNE74" s="2805"/>
      <c r="PNF74" s="2805"/>
      <c r="PNG74" s="2805"/>
      <c r="PNH74" s="2805"/>
      <c r="PNI74" s="2805"/>
      <c r="PNJ74" s="2805"/>
      <c r="PNK74" s="2805"/>
      <c r="PNL74" s="2805"/>
      <c r="PNM74" s="2805"/>
      <c r="PNN74" s="2805"/>
      <c r="PNO74" s="2805"/>
      <c r="PNP74" s="2805"/>
      <c r="PNQ74" s="2805"/>
      <c r="PNR74" s="2805"/>
      <c r="PNS74" s="2805"/>
      <c r="PNT74" s="2805"/>
      <c r="PNU74" s="2805"/>
      <c r="PNV74" s="2805"/>
      <c r="PNW74" s="2805"/>
      <c r="PNX74" s="2805"/>
      <c r="PNY74" s="2805"/>
      <c r="PNZ74" s="2805"/>
      <c r="POA74" s="2805"/>
      <c r="POB74" s="2805"/>
      <c r="POC74" s="2805"/>
      <c r="POD74" s="2805"/>
      <c r="POE74" s="2805"/>
      <c r="POF74" s="2805"/>
      <c r="POG74" s="2805"/>
      <c r="POH74" s="2805"/>
      <c r="POI74" s="2805"/>
      <c r="POJ74" s="2805"/>
      <c r="POK74" s="2805"/>
      <c r="POL74" s="2805"/>
      <c r="POM74" s="2805"/>
      <c r="PON74" s="2805"/>
      <c r="POO74" s="2805"/>
      <c r="POP74" s="2805"/>
      <c r="POQ74" s="2805"/>
      <c r="POR74" s="2805"/>
      <c r="POS74" s="2805"/>
      <c r="POT74" s="2805"/>
      <c r="POU74" s="2805"/>
      <c r="POV74" s="2805"/>
      <c r="POW74" s="2805"/>
      <c r="POX74" s="2805"/>
      <c r="POY74" s="2805"/>
      <c r="POZ74" s="2805"/>
      <c r="PPA74" s="2805"/>
      <c r="PPB74" s="2805"/>
      <c r="PPC74" s="2805"/>
      <c r="PPD74" s="2805"/>
      <c r="PPE74" s="2805"/>
      <c r="PPF74" s="2805"/>
      <c r="PPG74" s="2805"/>
      <c r="PPH74" s="2805"/>
      <c r="PPI74" s="2805"/>
      <c r="PPJ74" s="2805"/>
      <c r="PPK74" s="2805"/>
      <c r="PPL74" s="2805"/>
      <c r="PPM74" s="2805"/>
      <c r="PPN74" s="2805"/>
      <c r="PPO74" s="2805"/>
      <c r="PPP74" s="2805"/>
      <c r="PPQ74" s="2805"/>
      <c r="PPR74" s="2805"/>
      <c r="PPS74" s="2805"/>
      <c r="PPT74" s="2805"/>
      <c r="PPU74" s="2805"/>
      <c r="PPV74" s="2805"/>
      <c r="PPW74" s="2805"/>
      <c r="PPX74" s="2805"/>
      <c r="PPY74" s="2805"/>
      <c r="PPZ74" s="2805"/>
      <c r="PQA74" s="2805"/>
      <c r="PQB74" s="2805"/>
      <c r="PQC74" s="2805"/>
      <c r="PQD74" s="2805"/>
      <c r="PQE74" s="2805"/>
      <c r="PQF74" s="2805"/>
      <c r="PQG74" s="2805"/>
      <c r="PQH74" s="2805"/>
      <c r="PQI74" s="2805"/>
      <c r="PQJ74" s="2805"/>
      <c r="PQK74" s="2805"/>
      <c r="PQL74" s="2805"/>
      <c r="PQM74" s="2805"/>
      <c r="PQN74" s="2805"/>
      <c r="PQO74" s="2805"/>
      <c r="PQP74" s="2805"/>
      <c r="PQQ74" s="2805"/>
      <c r="PQR74" s="2805"/>
      <c r="PQS74" s="2805"/>
      <c r="PQT74" s="2805"/>
      <c r="PQU74" s="2805"/>
      <c r="PQV74" s="2805"/>
      <c r="PQW74" s="2805"/>
      <c r="PQX74" s="2805"/>
      <c r="PQY74" s="2805"/>
      <c r="PQZ74" s="2805"/>
      <c r="PRA74" s="2805"/>
      <c r="PRB74" s="2805"/>
      <c r="PRC74" s="2805"/>
      <c r="PRD74" s="2805"/>
      <c r="PRE74" s="2805"/>
      <c r="PRF74" s="2805"/>
      <c r="PRG74" s="2805"/>
      <c r="PRH74" s="2805"/>
      <c r="PRI74" s="2805"/>
      <c r="PRJ74" s="2805"/>
      <c r="PRK74" s="2805"/>
      <c r="PRL74" s="2805"/>
      <c r="PRM74" s="2805"/>
      <c r="PRN74" s="2805"/>
      <c r="PRO74" s="2805"/>
      <c r="PRP74" s="2805"/>
      <c r="PRQ74" s="2805"/>
      <c r="PRR74" s="2805"/>
      <c r="PRS74" s="2805"/>
      <c r="PRT74" s="2805"/>
      <c r="PRU74" s="2805"/>
      <c r="PRV74" s="2805"/>
      <c r="PRW74" s="2805"/>
      <c r="PRX74" s="2805"/>
      <c r="PRY74" s="2805"/>
      <c r="PRZ74" s="2805"/>
      <c r="PSA74" s="2805"/>
      <c r="PSB74" s="2805"/>
      <c r="PSC74" s="2805"/>
      <c r="PSD74" s="2805"/>
      <c r="PSE74" s="2805"/>
      <c r="PSF74" s="2805"/>
      <c r="PSG74" s="2805"/>
      <c r="PSH74" s="2805"/>
      <c r="PSI74" s="2805"/>
      <c r="PSJ74" s="2805"/>
      <c r="PSK74" s="2805"/>
      <c r="PSL74" s="2805"/>
      <c r="PSM74" s="2805"/>
      <c r="PSN74" s="2805"/>
      <c r="PSO74" s="2805"/>
      <c r="PSP74" s="2805"/>
      <c r="PSQ74" s="2805"/>
      <c r="PSR74" s="2805"/>
      <c r="PSS74" s="2805"/>
      <c r="PST74" s="2805"/>
      <c r="PSU74" s="2805"/>
      <c r="PSV74" s="2805"/>
      <c r="PSW74" s="2805"/>
      <c r="PSX74" s="2805"/>
      <c r="PSY74" s="2805"/>
      <c r="PSZ74" s="2805"/>
      <c r="PTA74" s="2805"/>
      <c r="PTB74" s="2805"/>
      <c r="PTC74" s="2805"/>
      <c r="PTD74" s="2805"/>
      <c r="PTE74" s="2805"/>
      <c r="PTF74" s="2805"/>
      <c r="PTG74" s="2805"/>
      <c r="PTH74" s="2805"/>
      <c r="PTI74" s="2805"/>
      <c r="PTJ74" s="2805"/>
      <c r="PTK74" s="2805"/>
      <c r="PTL74" s="2805"/>
      <c r="PTM74" s="2805"/>
      <c r="PTN74" s="2805"/>
      <c r="PTO74" s="2805"/>
      <c r="PTP74" s="2805"/>
      <c r="PTQ74" s="2805"/>
      <c r="PTR74" s="2805"/>
      <c r="PTS74" s="2805"/>
      <c r="PTT74" s="2805"/>
      <c r="PTU74" s="2805"/>
      <c r="PTV74" s="2805"/>
      <c r="PTW74" s="2805"/>
      <c r="PTX74" s="2805"/>
      <c r="PTY74" s="2805"/>
      <c r="PTZ74" s="2805"/>
      <c r="PUA74" s="2805"/>
      <c r="PUB74" s="2805"/>
      <c r="PUC74" s="2805"/>
      <c r="PUD74" s="2805"/>
      <c r="PUE74" s="2805"/>
      <c r="PUF74" s="2805"/>
      <c r="PUG74" s="2805"/>
      <c r="PUH74" s="2805"/>
      <c r="PUI74" s="2805"/>
      <c r="PUJ74" s="2805"/>
      <c r="PUK74" s="2805"/>
      <c r="PUL74" s="2805"/>
      <c r="PUM74" s="2805"/>
      <c r="PUN74" s="2805"/>
      <c r="PUO74" s="2805"/>
      <c r="PUP74" s="2805"/>
      <c r="PUQ74" s="2805"/>
      <c r="PUR74" s="2805"/>
      <c r="PUS74" s="2805"/>
      <c r="PUT74" s="2805"/>
      <c r="PUU74" s="2805"/>
      <c r="PUV74" s="2805"/>
      <c r="PUW74" s="2805"/>
      <c r="PUX74" s="2805"/>
      <c r="PUY74" s="2805"/>
      <c r="PUZ74" s="2805"/>
      <c r="PVA74" s="2805"/>
      <c r="PVB74" s="2805"/>
      <c r="PVC74" s="2805"/>
      <c r="PVD74" s="2805"/>
      <c r="PVE74" s="2805"/>
      <c r="PVF74" s="2805"/>
      <c r="PVG74" s="2805"/>
      <c r="PVH74" s="2805"/>
      <c r="PVI74" s="2805"/>
      <c r="PVJ74" s="2805"/>
      <c r="PVK74" s="2805"/>
      <c r="PVL74" s="2805"/>
      <c r="PVM74" s="2805"/>
      <c r="PVN74" s="2805"/>
      <c r="PVO74" s="2805"/>
      <c r="PVP74" s="2805"/>
      <c r="PVQ74" s="2805"/>
      <c r="PVR74" s="2805"/>
      <c r="PVS74" s="2805"/>
      <c r="PVT74" s="2805"/>
      <c r="PVU74" s="2805"/>
      <c r="PVV74" s="2805"/>
      <c r="PVW74" s="2805"/>
      <c r="PVX74" s="2805"/>
      <c r="PVY74" s="2805"/>
      <c r="PVZ74" s="2805"/>
      <c r="PWA74" s="2805"/>
      <c r="PWB74" s="2805"/>
      <c r="PWC74" s="2805"/>
      <c r="PWD74" s="2805"/>
      <c r="PWE74" s="2805"/>
      <c r="PWF74" s="2805"/>
      <c r="PWG74" s="2805"/>
      <c r="PWH74" s="2805"/>
      <c r="PWI74" s="2805"/>
      <c r="PWJ74" s="2805"/>
      <c r="PWK74" s="2805"/>
      <c r="PWL74" s="2805"/>
      <c r="PWM74" s="2805"/>
      <c r="PWN74" s="2805"/>
      <c r="PWO74" s="2805"/>
      <c r="PWP74" s="2805"/>
      <c r="PWQ74" s="2805"/>
      <c r="PWR74" s="2805"/>
      <c r="PWS74" s="2805"/>
      <c r="PWT74" s="2805"/>
      <c r="PWU74" s="2805"/>
      <c r="PWV74" s="2805"/>
      <c r="PWW74" s="2805"/>
      <c r="PWX74" s="2805"/>
      <c r="PWY74" s="2805"/>
      <c r="PWZ74" s="2805"/>
      <c r="PXA74" s="2805"/>
      <c r="PXB74" s="2805"/>
      <c r="PXC74" s="2805"/>
      <c r="PXD74" s="2805"/>
      <c r="PXE74" s="2805"/>
      <c r="PXF74" s="2805"/>
      <c r="PXG74" s="2805"/>
      <c r="PXH74" s="2805"/>
      <c r="PXI74" s="2805"/>
      <c r="PXJ74" s="2805"/>
      <c r="PXK74" s="2805"/>
      <c r="PXL74" s="2805"/>
      <c r="PXM74" s="2805"/>
      <c r="PXN74" s="2805"/>
      <c r="PXO74" s="2805"/>
      <c r="PXP74" s="2805"/>
      <c r="PXQ74" s="2805"/>
      <c r="PXR74" s="2805"/>
      <c r="PXS74" s="2805"/>
      <c r="PXT74" s="2805"/>
      <c r="PXU74" s="2805"/>
      <c r="PXV74" s="2805"/>
      <c r="PXW74" s="2805"/>
      <c r="PXX74" s="2805"/>
      <c r="PXY74" s="2805"/>
      <c r="PXZ74" s="2805"/>
      <c r="PYA74" s="2805"/>
      <c r="PYB74" s="2805"/>
      <c r="PYC74" s="2805"/>
      <c r="PYD74" s="2805"/>
      <c r="PYE74" s="2805"/>
      <c r="PYF74" s="2805"/>
      <c r="PYG74" s="2805"/>
      <c r="PYH74" s="2805"/>
      <c r="PYI74" s="2805"/>
      <c r="PYJ74" s="2805"/>
      <c r="PYK74" s="2805"/>
      <c r="PYL74" s="2805"/>
      <c r="PYM74" s="2805"/>
      <c r="PYN74" s="2805"/>
      <c r="PYO74" s="2805"/>
      <c r="PYP74" s="2805"/>
      <c r="PYQ74" s="2805"/>
      <c r="PYR74" s="2805"/>
      <c r="PYS74" s="2805"/>
      <c r="PYT74" s="2805"/>
      <c r="PYU74" s="2805"/>
      <c r="PYV74" s="2805"/>
      <c r="PYW74" s="2805"/>
      <c r="PYX74" s="2805"/>
      <c r="PYY74" s="2805"/>
      <c r="PYZ74" s="2805"/>
      <c r="PZA74" s="2805"/>
      <c r="PZB74" s="2805"/>
      <c r="PZC74" s="2805"/>
      <c r="PZD74" s="2805"/>
      <c r="PZE74" s="2805"/>
      <c r="PZF74" s="2805"/>
      <c r="PZG74" s="2805"/>
      <c r="PZH74" s="2805"/>
      <c r="PZI74" s="2805"/>
      <c r="PZJ74" s="2805"/>
      <c r="PZK74" s="2805"/>
      <c r="PZL74" s="2805"/>
      <c r="PZM74" s="2805"/>
      <c r="PZN74" s="2805"/>
      <c r="PZO74" s="2805"/>
      <c r="PZP74" s="2805"/>
      <c r="PZQ74" s="2805"/>
      <c r="PZR74" s="2805"/>
      <c r="PZS74" s="2805"/>
      <c r="PZT74" s="2805"/>
      <c r="PZU74" s="2805"/>
      <c r="PZV74" s="2805"/>
      <c r="PZW74" s="2805"/>
      <c r="PZX74" s="2805"/>
      <c r="PZY74" s="2805"/>
      <c r="PZZ74" s="2805"/>
      <c r="QAA74" s="2805"/>
      <c r="QAB74" s="2805"/>
      <c r="QAC74" s="2805"/>
      <c r="QAD74" s="2805"/>
      <c r="QAE74" s="2805"/>
      <c r="QAF74" s="2805"/>
      <c r="QAG74" s="2805"/>
      <c r="QAH74" s="2805"/>
      <c r="QAI74" s="2805"/>
      <c r="QAJ74" s="2805"/>
      <c r="QAK74" s="2805"/>
      <c r="QAL74" s="2805"/>
      <c r="QAM74" s="2805"/>
      <c r="QAN74" s="2805"/>
      <c r="QAO74" s="2805"/>
      <c r="QAP74" s="2805"/>
      <c r="QAQ74" s="2805"/>
      <c r="QAR74" s="2805"/>
      <c r="QAS74" s="2805"/>
      <c r="QAT74" s="2805"/>
      <c r="QAU74" s="2805"/>
      <c r="QAV74" s="2805"/>
      <c r="QAW74" s="2805"/>
      <c r="QAX74" s="2805"/>
      <c r="QAY74" s="2805"/>
      <c r="QAZ74" s="2805"/>
      <c r="QBA74" s="2805"/>
      <c r="QBB74" s="2805"/>
      <c r="QBC74" s="2805"/>
      <c r="QBD74" s="2805"/>
      <c r="QBE74" s="2805"/>
      <c r="QBF74" s="2805"/>
      <c r="QBG74" s="2805"/>
      <c r="QBH74" s="2805"/>
      <c r="QBI74" s="2805"/>
      <c r="QBJ74" s="2805"/>
      <c r="QBK74" s="2805"/>
      <c r="QBL74" s="2805"/>
      <c r="QBM74" s="2805"/>
      <c r="QBN74" s="2805"/>
      <c r="QBO74" s="2805"/>
      <c r="QBP74" s="2805"/>
      <c r="QBQ74" s="2805"/>
      <c r="QBR74" s="2805"/>
      <c r="QBS74" s="2805"/>
      <c r="QBT74" s="2805"/>
      <c r="QBU74" s="2805"/>
      <c r="QBV74" s="2805"/>
      <c r="QBW74" s="2805"/>
      <c r="QBX74" s="2805"/>
      <c r="QBY74" s="2805"/>
      <c r="QBZ74" s="2805"/>
      <c r="QCA74" s="2805"/>
      <c r="QCB74" s="2805"/>
      <c r="QCC74" s="2805"/>
      <c r="QCD74" s="2805"/>
      <c r="QCE74" s="2805"/>
      <c r="QCF74" s="2805"/>
      <c r="QCG74" s="2805"/>
      <c r="QCH74" s="2805"/>
      <c r="QCI74" s="2805"/>
      <c r="QCJ74" s="2805"/>
      <c r="QCK74" s="2805"/>
      <c r="QCL74" s="2805"/>
      <c r="QCM74" s="2805"/>
      <c r="QCN74" s="2805"/>
      <c r="QCO74" s="2805"/>
      <c r="QCP74" s="2805"/>
      <c r="QCQ74" s="2805"/>
      <c r="QCR74" s="2805"/>
      <c r="QCS74" s="2805"/>
      <c r="QCT74" s="2805"/>
      <c r="QCU74" s="2805"/>
      <c r="QCV74" s="2805"/>
      <c r="QCW74" s="2805"/>
      <c r="QCX74" s="2805"/>
      <c r="QCY74" s="2805"/>
      <c r="QCZ74" s="2805"/>
      <c r="QDA74" s="2805"/>
      <c r="QDB74" s="2805"/>
      <c r="QDC74" s="2805"/>
      <c r="QDD74" s="2805"/>
      <c r="QDE74" s="2805"/>
      <c r="QDF74" s="2805"/>
      <c r="QDG74" s="2805"/>
      <c r="QDH74" s="2805"/>
      <c r="QDI74" s="2805"/>
      <c r="QDJ74" s="2805"/>
      <c r="QDK74" s="2805"/>
      <c r="QDL74" s="2805"/>
      <c r="QDM74" s="2805"/>
      <c r="QDN74" s="2805"/>
      <c r="QDO74" s="2805"/>
      <c r="QDP74" s="2805"/>
      <c r="QDQ74" s="2805"/>
      <c r="QDR74" s="2805"/>
      <c r="QDS74" s="2805"/>
      <c r="QDT74" s="2805"/>
      <c r="QDU74" s="2805"/>
      <c r="QDV74" s="2805"/>
      <c r="QDW74" s="2805"/>
      <c r="QDX74" s="2805"/>
      <c r="QDY74" s="2805"/>
      <c r="QDZ74" s="2805"/>
      <c r="QEA74" s="2805"/>
      <c r="QEB74" s="2805"/>
      <c r="QEC74" s="2805"/>
      <c r="QED74" s="2805"/>
      <c r="QEE74" s="2805"/>
      <c r="QEF74" s="2805"/>
      <c r="QEG74" s="2805"/>
      <c r="QEH74" s="2805"/>
      <c r="QEI74" s="2805"/>
      <c r="QEJ74" s="2805"/>
      <c r="QEK74" s="2805"/>
      <c r="QEL74" s="2805"/>
      <c r="QEM74" s="2805"/>
      <c r="QEN74" s="2805"/>
      <c r="QEO74" s="2805"/>
      <c r="QEP74" s="2805"/>
      <c r="QEQ74" s="2805"/>
      <c r="QER74" s="2805"/>
      <c r="QES74" s="2805"/>
      <c r="QET74" s="2805"/>
      <c r="QEU74" s="2805"/>
      <c r="QEV74" s="2805"/>
      <c r="QEW74" s="2805"/>
      <c r="QEX74" s="2805"/>
      <c r="QEY74" s="2805"/>
      <c r="QEZ74" s="2805"/>
      <c r="QFA74" s="2805"/>
      <c r="QFB74" s="2805"/>
      <c r="QFC74" s="2805"/>
      <c r="QFD74" s="2805"/>
      <c r="QFE74" s="2805"/>
      <c r="QFF74" s="2805"/>
      <c r="QFG74" s="2805"/>
      <c r="QFH74" s="2805"/>
      <c r="QFI74" s="2805"/>
      <c r="QFJ74" s="2805"/>
      <c r="QFK74" s="2805"/>
      <c r="QFL74" s="2805"/>
      <c r="QFM74" s="2805"/>
      <c r="QFN74" s="2805"/>
      <c r="QFO74" s="2805"/>
      <c r="QFP74" s="2805"/>
      <c r="QFQ74" s="2805"/>
      <c r="QFR74" s="2805"/>
      <c r="QFS74" s="2805"/>
      <c r="QFT74" s="2805"/>
      <c r="QFU74" s="2805"/>
      <c r="QFV74" s="2805"/>
      <c r="QFW74" s="2805"/>
      <c r="QFX74" s="2805"/>
      <c r="QFY74" s="2805"/>
      <c r="QFZ74" s="2805"/>
      <c r="QGA74" s="2805"/>
      <c r="QGB74" s="2805"/>
      <c r="QGC74" s="2805"/>
      <c r="QGD74" s="2805"/>
      <c r="QGE74" s="2805"/>
      <c r="QGF74" s="2805"/>
      <c r="QGG74" s="2805"/>
      <c r="QGH74" s="2805"/>
      <c r="QGI74" s="2805"/>
      <c r="QGJ74" s="2805"/>
      <c r="QGK74" s="2805"/>
      <c r="QGL74" s="2805"/>
      <c r="QGM74" s="2805"/>
      <c r="QGN74" s="2805"/>
      <c r="QGO74" s="2805"/>
      <c r="QGP74" s="2805"/>
      <c r="QGQ74" s="2805"/>
      <c r="QGR74" s="2805"/>
      <c r="QGS74" s="2805"/>
      <c r="QGT74" s="2805"/>
      <c r="QGU74" s="2805"/>
      <c r="QGV74" s="2805"/>
      <c r="QGW74" s="2805"/>
      <c r="QGX74" s="2805"/>
      <c r="QGY74" s="2805"/>
      <c r="QGZ74" s="2805"/>
      <c r="QHA74" s="2805"/>
      <c r="QHB74" s="2805"/>
      <c r="QHC74" s="2805"/>
      <c r="QHD74" s="2805"/>
      <c r="QHE74" s="2805"/>
      <c r="QHF74" s="2805"/>
      <c r="QHG74" s="2805"/>
      <c r="QHH74" s="2805"/>
      <c r="QHI74" s="2805"/>
      <c r="QHJ74" s="2805"/>
      <c r="QHK74" s="2805"/>
      <c r="QHL74" s="2805"/>
      <c r="QHM74" s="2805"/>
      <c r="QHN74" s="2805"/>
      <c r="QHO74" s="2805"/>
      <c r="QHP74" s="2805"/>
      <c r="QHQ74" s="2805"/>
      <c r="QHR74" s="2805"/>
      <c r="QHS74" s="2805"/>
      <c r="QHT74" s="2805"/>
      <c r="QHU74" s="2805"/>
      <c r="QHV74" s="2805"/>
      <c r="QHW74" s="2805"/>
      <c r="QHX74" s="2805"/>
      <c r="QHY74" s="2805"/>
      <c r="QHZ74" s="2805"/>
      <c r="QIA74" s="2805"/>
      <c r="QIB74" s="2805"/>
      <c r="QIC74" s="2805"/>
      <c r="QID74" s="2805"/>
      <c r="QIE74" s="2805"/>
      <c r="QIF74" s="2805"/>
      <c r="QIG74" s="2805"/>
      <c r="QIH74" s="2805"/>
      <c r="QII74" s="2805"/>
      <c r="QIJ74" s="2805"/>
      <c r="QIK74" s="2805"/>
      <c r="QIL74" s="2805"/>
      <c r="QIM74" s="2805"/>
      <c r="QIN74" s="2805"/>
      <c r="QIO74" s="2805"/>
      <c r="QIP74" s="2805"/>
      <c r="QIQ74" s="2805"/>
      <c r="QIR74" s="2805"/>
      <c r="QIS74" s="2805"/>
      <c r="QIT74" s="2805"/>
      <c r="QIU74" s="2805"/>
      <c r="QIV74" s="2805"/>
      <c r="QIW74" s="2805"/>
      <c r="QIX74" s="2805"/>
      <c r="QIY74" s="2805"/>
      <c r="QIZ74" s="2805"/>
      <c r="QJA74" s="2805"/>
      <c r="QJB74" s="2805"/>
      <c r="QJC74" s="2805"/>
      <c r="QJD74" s="2805"/>
      <c r="QJE74" s="2805"/>
      <c r="QJF74" s="2805"/>
      <c r="QJG74" s="2805"/>
      <c r="QJH74" s="2805"/>
      <c r="QJI74" s="2805"/>
      <c r="QJJ74" s="2805"/>
      <c r="QJK74" s="2805"/>
      <c r="QJL74" s="2805"/>
      <c r="QJM74" s="2805"/>
      <c r="QJN74" s="2805"/>
      <c r="QJO74" s="2805"/>
      <c r="QJP74" s="2805"/>
      <c r="QJQ74" s="2805"/>
      <c r="QJR74" s="2805"/>
      <c r="QJS74" s="2805"/>
      <c r="QJT74" s="2805"/>
      <c r="QJU74" s="2805"/>
      <c r="QJV74" s="2805"/>
      <c r="QJW74" s="2805"/>
      <c r="QJX74" s="2805"/>
      <c r="QJY74" s="2805"/>
      <c r="QJZ74" s="2805"/>
      <c r="QKA74" s="2805"/>
      <c r="QKB74" s="2805"/>
      <c r="QKC74" s="2805"/>
      <c r="QKD74" s="2805"/>
      <c r="QKE74" s="2805"/>
      <c r="QKF74" s="2805"/>
      <c r="QKG74" s="2805"/>
      <c r="QKH74" s="2805"/>
      <c r="QKI74" s="2805"/>
      <c r="QKJ74" s="2805"/>
      <c r="QKK74" s="2805"/>
      <c r="QKL74" s="2805"/>
      <c r="QKM74" s="2805"/>
      <c r="QKN74" s="2805"/>
      <c r="QKO74" s="2805"/>
      <c r="QKP74" s="2805"/>
      <c r="QKQ74" s="2805"/>
      <c r="QKR74" s="2805"/>
      <c r="QKS74" s="2805"/>
      <c r="QKT74" s="2805"/>
      <c r="QKU74" s="2805"/>
      <c r="QKV74" s="2805"/>
      <c r="QKW74" s="2805"/>
      <c r="QKX74" s="2805"/>
      <c r="QKY74" s="2805"/>
      <c r="QKZ74" s="2805"/>
      <c r="QLA74" s="2805"/>
      <c r="QLB74" s="2805"/>
      <c r="QLC74" s="2805"/>
      <c r="QLD74" s="2805"/>
      <c r="QLE74" s="2805"/>
      <c r="QLF74" s="2805"/>
      <c r="QLG74" s="2805"/>
      <c r="QLH74" s="2805"/>
      <c r="QLI74" s="2805"/>
      <c r="QLJ74" s="2805"/>
      <c r="QLK74" s="2805"/>
      <c r="QLL74" s="2805"/>
      <c r="QLM74" s="2805"/>
      <c r="QLN74" s="2805"/>
      <c r="QLO74" s="2805"/>
      <c r="QLP74" s="2805"/>
      <c r="QLQ74" s="2805"/>
      <c r="QLR74" s="2805"/>
      <c r="QLS74" s="2805"/>
      <c r="QLT74" s="2805"/>
      <c r="QLU74" s="2805"/>
      <c r="QLV74" s="2805"/>
      <c r="QLW74" s="2805"/>
      <c r="QLX74" s="2805"/>
      <c r="QLY74" s="2805"/>
      <c r="QLZ74" s="2805"/>
      <c r="QMA74" s="2805"/>
      <c r="QMB74" s="2805"/>
      <c r="QMC74" s="2805"/>
      <c r="QMD74" s="2805"/>
      <c r="QME74" s="2805"/>
      <c r="QMF74" s="2805"/>
      <c r="QMG74" s="2805"/>
      <c r="QMH74" s="2805"/>
      <c r="QMI74" s="2805"/>
      <c r="QMJ74" s="2805"/>
      <c r="QMK74" s="2805"/>
      <c r="QML74" s="2805"/>
      <c r="QMM74" s="2805"/>
      <c r="QMN74" s="2805"/>
      <c r="QMO74" s="2805"/>
      <c r="QMP74" s="2805"/>
      <c r="QMQ74" s="2805"/>
      <c r="QMR74" s="2805"/>
      <c r="QMS74" s="2805"/>
      <c r="QMT74" s="2805"/>
      <c r="QMU74" s="2805"/>
      <c r="QMV74" s="2805"/>
      <c r="QMW74" s="2805"/>
      <c r="QMX74" s="2805"/>
      <c r="QMY74" s="2805"/>
      <c r="QMZ74" s="2805"/>
      <c r="QNA74" s="2805"/>
      <c r="QNB74" s="2805"/>
      <c r="QNC74" s="2805"/>
      <c r="QND74" s="2805"/>
      <c r="QNE74" s="2805"/>
      <c r="QNF74" s="2805"/>
      <c r="QNG74" s="2805"/>
      <c r="QNH74" s="2805"/>
      <c r="QNI74" s="2805"/>
      <c r="QNJ74" s="2805"/>
      <c r="QNK74" s="2805"/>
      <c r="QNL74" s="2805"/>
      <c r="QNM74" s="2805"/>
      <c r="QNN74" s="2805"/>
      <c r="QNO74" s="2805"/>
      <c r="QNP74" s="2805"/>
      <c r="QNQ74" s="2805"/>
      <c r="QNR74" s="2805"/>
      <c r="QNS74" s="2805"/>
      <c r="QNT74" s="2805"/>
      <c r="QNU74" s="2805"/>
      <c r="QNV74" s="2805"/>
      <c r="QNW74" s="2805"/>
      <c r="QNX74" s="2805"/>
      <c r="QNY74" s="2805"/>
      <c r="QNZ74" s="2805"/>
      <c r="QOA74" s="2805"/>
      <c r="QOB74" s="2805"/>
      <c r="QOC74" s="2805"/>
      <c r="QOD74" s="2805"/>
      <c r="QOE74" s="2805"/>
      <c r="QOF74" s="2805"/>
      <c r="QOG74" s="2805"/>
      <c r="QOH74" s="2805"/>
      <c r="QOI74" s="2805"/>
      <c r="QOJ74" s="2805"/>
      <c r="QOK74" s="2805"/>
      <c r="QOL74" s="2805"/>
      <c r="QOM74" s="2805"/>
      <c r="QON74" s="2805"/>
      <c r="QOO74" s="2805"/>
      <c r="QOP74" s="2805"/>
      <c r="QOQ74" s="2805"/>
      <c r="QOR74" s="2805"/>
      <c r="QOS74" s="2805"/>
      <c r="QOT74" s="2805"/>
      <c r="QOU74" s="2805"/>
      <c r="QOV74" s="2805"/>
      <c r="QOW74" s="2805"/>
      <c r="QOX74" s="2805"/>
      <c r="QOY74" s="2805"/>
      <c r="QOZ74" s="2805"/>
      <c r="QPA74" s="2805"/>
      <c r="QPB74" s="2805"/>
      <c r="QPC74" s="2805"/>
      <c r="QPD74" s="2805"/>
      <c r="QPE74" s="2805"/>
      <c r="QPF74" s="2805"/>
      <c r="QPG74" s="2805"/>
      <c r="QPH74" s="2805"/>
      <c r="QPI74" s="2805"/>
      <c r="QPJ74" s="2805"/>
      <c r="QPK74" s="2805"/>
      <c r="QPL74" s="2805"/>
      <c r="QPM74" s="2805"/>
      <c r="QPN74" s="2805"/>
      <c r="QPO74" s="2805"/>
      <c r="QPP74" s="2805"/>
      <c r="QPQ74" s="2805"/>
      <c r="QPR74" s="2805"/>
      <c r="QPS74" s="2805"/>
      <c r="QPT74" s="2805"/>
      <c r="QPU74" s="2805"/>
      <c r="QPV74" s="2805"/>
      <c r="QPW74" s="2805"/>
      <c r="QPX74" s="2805"/>
      <c r="QPY74" s="2805"/>
      <c r="QPZ74" s="2805"/>
      <c r="QQA74" s="2805"/>
      <c r="QQB74" s="2805"/>
      <c r="QQC74" s="2805"/>
      <c r="QQD74" s="2805"/>
      <c r="QQE74" s="2805"/>
      <c r="QQF74" s="2805"/>
      <c r="QQG74" s="2805"/>
      <c r="QQH74" s="2805"/>
      <c r="QQI74" s="2805"/>
      <c r="QQJ74" s="2805"/>
      <c r="QQK74" s="2805"/>
      <c r="QQL74" s="2805"/>
      <c r="QQM74" s="2805"/>
      <c r="QQN74" s="2805"/>
      <c r="QQO74" s="2805"/>
      <c r="QQP74" s="2805"/>
      <c r="QQQ74" s="2805"/>
      <c r="QQR74" s="2805"/>
      <c r="QQS74" s="2805"/>
      <c r="QQT74" s="2805"/>
      <c r="QQU74" s="2805"/>
      <c r="QQV74" s="2805"/>
      <c r="QQW74" s="2805"/>
      <c r="QQX74" s="2805"/>
      <c r="QQY74" s="2805"/>
      <c r="QQZ74" s="2805"/>
      <c r="QRA74" s="2805"/>
      <c r="QRB74" s="2805"/>
      <c r="QRC74" s="2805"/>
      <c r="QRD74" s="2805"/>
      <c r="QRE74" s="2805"/>
      <c r="QRF74" s="2805"/>
      <c r="QRG74" s="2805"/>
      <c r="QRH74" s="2805"/>
      <c r="QRI74" s="2805"/>
      <c r="QRJ74" s="2805"/>
      <c r="QRK74" s="2805"/>
      <c r="QRL74" s="2805"/>
      <c r="QRM74" s="2805"/>
      <c r="QRN74" s="2805"/>
      <c r="QRO74" s="2805"/>
      <c r="QRP74" s="2805"/>
      <c r="QRQ74" s="2805"/>
      <c r="QRR74" s="2805"/>
      <c r="QRS74" s="2805"/>
      <c r="QRT74" s="2805"/>
      <c r="QRU74" s="2805"/>
      <c r="QRV74" s="2805"/>
      <c r="QRW74" s="2805"/>
      <c r="QRX74" s="2805"/>
      <c r="QRY74" s="2805"/>
      <c r="QRZ74" s="2805"/>
      <c r="QSA74" s="2805"/>
      <c r="QSB74" s="2805"/>
      <c r="QSC74" s="2805"/>
      <c r="QSD74" s="2805"/>
      <c r="QSE74" s="2805"/>
      <c r="QSF74" s="2805"/>
      <c r="QSG74" s="2805"/>
      <c r="QSH74" s="2805"/>
      <c r="QSI74" s="2805"/>
      <c r="QSJ74" s="2805"/>
      <c r="QSK74" s="2805"/>
      <c r="QSL74" s="2805"/>
      <c r="QSM74" s="2805"/>
      <c r="QSN74" s="2805"/>
      <c r="QSO74" s="2805"/>
      <c r="QSP74" s="2805"/>
      <c r="QSQ74" s="2805"/>
      <c r="QSR74" s="2805"/>
      <c r="QSS74" s="2805"/>
      <c r="QST74" s="2805"/>
      <c r="QSU74" s="2805"/>
      <c r="QSV74" s="2805"/>
      <c r="QSW74" s="2805"/>
      <c r="QSX74" s="2805"/>
      <c r="QSY74" s="2805"/>
      <c r="QSZ74" s="2805"/>
      <c r="QTA74" s="2805"/>
      <c r="QTB74" s="2805"/>
      <c r="QTC74" s="2805"/>
      <c r="QTD74" s="2805"/>
      <c r="QTE74" s="2805"/>
      <c r="QTF74" s="2805"/>
      <c r="QTG74" s="2805"/>
      <c r="QTH74" s="2805"/>
      <c r="QTI74" s="2805"/>
      <c r="QTJ74" s="2805"/>
      <c r="QTK74" s="2805"/>
      <c r="QTL74" s="2805"/>
      <c r="QTM74" s="2805"/>
      <c r="QTN74" s="2805"/>
      <c r="QTO74" s="2805"/>
      <c r="QTP74" s="2805"/>
      <c r="QTQ74" s="2805"/>
      <c r="QTR74" s="2805"/>
      <c r="QTS74" s="2805"/>
      <c r="QTT74" s="2805"/>
      <c r="QTU74" s="2805"/>
      <c r="QTV74" s="2805"/>
      <c r="QTW74" s="2805"/>
      <c r="QTX74" s="2805"/>
      <c r="QTY74" s="2805"/>
      <c r="QTZ74" s="2805"/>
      <c r="QUA74" s="2805"/>
      <c r="QUB74" s="2805"/>
      <c r="QUC74" s="2805"/>
      <c r="QUD74" s="2805"/>
      <c r="QUE74" s="2805"/>
      <c r="QUF74" s="2805"/>
      <c r="QUG74" s="2805"/>
      <c r="QUH74" s="2805"/>
      <c r="QUI74" s="2805"/>
      <c r="QUJ74" s="2805"/>
      <c r="QUK74" s="2805"/>
      <c r="QUL74" s="2805"/>
      <c r="QUM74" s="2805"/>
      <c r="QUN74" s="2805"/>
      <c r="QUO74" s="2805"/>
      <c r="QUP74" s="2805"/>
      <c r="QUQ74" s="2805"/>
      <c r="QUR74" s="2805"/>
      <c r="QUS74" s="2805"/>
      <c r="QUT74" s="2805"/>
      <c r="QUU74" s="2805"/>
      <c r="QUV74" s="2805"/>
      <c r="QUW74" s="2805"/>
      <c r="QUX74" s="2805"/>
      <c r="QUY74" s="2805"/>
      <c r="QUZ74" s="2805"/>
      <c r="QVA74" s="2805"/>
      <c r="QVB74" s="2805"/>
      <c r="QVC74" s="2805"/>
      <c r="QVD74" s="2805"/>
      <c r="QVE74" s="2805"/>
      <c r="QVF74" s="2805"/>
      <c r="QVG74" s="2805"/>
      <c r="QVH74" s="2805"/>
      <c r="QVI74" s="2805"/>
      <c r="QVJ74" s="2805"/>
      <c r="QVK74" s="2805"/>
      <c r="QVL74" s="2805"/>
      <c r="QVM74" s="2805"/>
      <c r="QVN74" s="2805"/>
      <c r="QVO74" s="2805"/>
      <c r="QVP74" s="2805"/>
      <c r="QVQ74" s="2805"/>
      <c r="QVR74" s="2805"/>
      <c r="QVS74" s="2805"/>
      <c r="QVT74" s="2805"/>
      <c r="QVU74" s="2805"/>
      <c r="QVV74" s="2805"/>
      <c r="QVW74" s="2805"/>
      <c r="QVX74" s="2805"/>
      <c r="QVY74" s="2805"/>
      <c r="QVZ74" s="2805"/>
      <c r="QWA74" s="2805"/>
      <c r="QWB74" s="2805"/>
      <c r="QWC74" s="2805"/>
      <c r="QWD74" s="2805"/>
      <c r="QWE74" s="2805"/>
      <c r="QWF74" s="2805"/>
      <c r="QWG74" s="2805"/>
      <c r="QWH74" s="2805"/>
      <c r="QWI74" s="2805"/>
      <c r="QWJ74" s="2805"/>
      <c r="QWK74" s="2805"/>
      <c r="QWL74" s="2805"/>
      <c r="QWM74" s="2805"/>
      <c r="QWN74" s="2805"/>
      <c r="QWO74" s="2805"/>
      <c r="QWP74" s="2805"/>
      <c r="QWQ74" s="2805"/>
      <c r="QWR74" s="2805"/>
      <c r="QWS74" s="2805"/>
      <c r="QWT74" s="2805"/>
      <c r="QWU74" s="2805"/>
      <c r="QWV74" s="2805"/>
      <c r="QWW74" s="2805"/>
      <c r="QWX74" s="2805"/>
      <c r="QWY74" s="2805"/>
      <c r="QWZ74" s="2805"/>
      <c r="QXA74" s="2805"/>
      <c r="QXB74" s="2805"/>
      <c r="QXC74" s="2805"/>
      <c r="QXD74" s="2805"/>
      <c r="QXE74" s="2805"/>
      <c r="QXF74" s="2805"/>
      <c r="QXG74" s="2805"/>
      <c r="QXH74" s="2805"/>
      <c r="QXI74" s="2805"/>
      <c r="QXJ74" s="2805"/>
      <c r="QXK74" s="2805"/>
      <c r="QXL74" s="2805"/>
      <c r="QXM74" s="2805"/>
      <c r="QXN74" s="2805"/>
      <c r="QXO74" s="2805"/>
      <c r="QXP74" s="2805"/>
      <c r="QXQ74" s="2805"/>
      <c r="QXR74" s="2805"/>
      <c r="QXS74" s="2805"/>
      <c r="QXT74" s="2805"/>
      <c r="QXU74" s="2805"/>
      <c r="QXV74" s="2805"/>
      <c r="QXW74" s="2805"/>
      <c r="QXX74" s="2805"/>
      <c r="QXY74" s="2805"/>
      <c r="QXZ74" s="2805"/>
      <c r="QYA74" s="2805"/>
      <c r="QYB74" s="2805"/>
      <c r="QYC74" s="2805"/>
      <c r="QYD74" s="2805"/>
      <c r="QYE74" s="2805"/>
      <c r="QYF74" s="2805"/>
      <c r="QYG74" s="2805"/>
      <c r="QYH74" s="2805"/>
      <c r="QYI74" s="2805"/>
      <c r="QYJ74" s="2805"/>
      <c r="QYK74" s="2805"/>
      <c r="QYL74" s="2805"/>
      <c r="QYM74" s="2805"/>
      <c r="QYN74" s="2805"/>
      <c r="QYO74" s="2805"/>
      <c r="QYP74" s="2805"/>
      <c r="QYQ74" s="2805"/>
      <c r="QYR74" s="2805"/>
      <c r="QYS74" s="2805"/>
      <c r="QYT74" s="2805"/>
      <c r="QYU74" s="2805"/>
      <c r="QYV74" s="2805"/>
      <c r="QYW74" s="2805"/>
      <c r="QYX74" s="2805"/>
      <c r="QYY74" s="2805"/>
      <c r="QYZ74" s="2805"/>
      <c r="QZA74" s="2805"/>
      <c r="QZB74" s="2805"/>
      <c r="QZC74" s="2805"/>
      <c r="QZD74" s="2805"/>
      <c r="QZE74" s="2805"/>
      <c r="QZF74" s="2805"/>
      <c r="QZG74" s="2805"/>
      <c r="QZH74" s="2805"/>
      <c r="QZI74" s="2805"/>
      <c r="QZJ74" s="2805"/>
      <c r="QZK74" s="2805"/>
      <c r="QZL74" s="2805"/>
      <c r="QZM74" s="2805"/>
      <c r="QZN74" s="2805"/>
      <c r="QZO74" s="2805"/>
      <c r="QZP74" s="2805"/>
      <c r="QZQ74" s="2805"/>
      <c r="QZR74" s="2805"/>
      <c r="QZS74" s="2805"/>
      <c r="QZT74" s="2805"/>
      <c r="QZU74" s="2805"/>
      <c r="QZV74" s="2805"/>
      <c r="QZW74" s="2805"/>
      <c r="QZX74" s="2805"/>
      <c r="QZY74" s="2805"/>
      <c r="QZZ74" s="2805"/>
      <c r="RAA74" s="2805"/>
      <c r="RAB74" s="2805"/>
      <c r="RAC74" s="2805"/>
      <c r="RAD74" s="2805"/>
      <c r="RAE74" s="2805"/>
      <c r="RAF74" s="2805"/>
      <c r="RAG74" s="2805"/>
      <c r="RAH74" s="2805"/>
      <c r="RAI74" s="2805"/>
      <c r="RAJ74" s="2805"/>
      <c r="RAK74" s="2805"/>
      <c r="RAL74" s="2805"/>
      <c r="RAM74" s="2805"/>
      <c r="RAN74" s="2805"/>
      <c r="RAO74" s="2805"/>
      <c r="RAP74" s="2805"/>
      <c r="RAQ74" s="2805"/>
      <c r="RAR74" s="2805"/>
      <c r="RAS74" s="2805"/>
      <c r="RAT74" s="2805"/>
      <c r="RAU74" s="2805"/>
      <c r="RAV74" s="2805"/>
      <c r="RAW74" s="2805"/>
      <c r="RAX74" s="2805"/>
      <c r="RAY74" s="2805"/>
      <c r="RAZ74" s="2805"/>
      <c r="RBA74" s="2805"/>
      <c r="RBB74" s="2805"/>
      <c r="RBC74" s="2805"/>
      <c r="RBD74" s="2805"/>
      <c r="RBE74" s="2805"/>
      <c r="RBF74" s="2805"/>
      <c r="RBG74" s="2805"/>
      <c r="RBH74" s="2805"/>
      <c r="RBI74" s="2805"/>
      <c r="RBJ74" s="2805"/>
      <c r="RBK74" s="2805"/>
      <c r="RBL74" s="2805"/>
      <c r="RBM74" s="2805"/>
      <c r="RBN74" s="2805"/>
      <c r="RBO74" s="2805"/>
      <c r="RBP74" s="2805"/>
      <c r="RBQ74" s="2805"/>
      <c r="RBR74" s="2805"/>
      <c r="RBS74" s="2805"/>
      <c r="RBT74" s="2805"/>
      <c r="RBU74" s="2805"/>
      <c r="RBV74" s="2805"/>
      <c r="RBW74" s="2805"/>
      <c r="RBX74" s="2805"/>
      <c r="RBY74" s="2805"/>
      <c r="RBZ74" s="2805"/>
      <c r="RCA74" s="2805"/>
      <c r="RCB74" s="2805"/>
      <c r="RCC74" s="2805"/>
      <c r="RCD74" s="2805"/>
      <c r="RCE74" s="2805"/>
      <c r="RCF74" s="2805"/>
      <c r="RCG74" s="2805"/>
      <c r="RCH74" s="2805"/>
      <c r="RCI74" s="2805"/>
      <c r="RCJ74" s="2805"/>
      <c r="RCK74" s="2805"/>
      <c r="RCL74" s="2805"/>
      <c r="RCM74" s="2805"/>
      <c r="RCN74" s="2805"/>
      <c r="RCO74" s="2805"/>
      <c r="RCP74" s="2805"/>
      <c r="RCQ74" s="2805"/>
      <c r="RCR74" s="2805"/>
      <c r="RCS74" s="2805"/>
      <c r="RCT74" s="2805"/>
      <c r="RCU74" s="2805"/>
      <c r="RCV74" s="2805"/>
      <c r="RCW74" s="2805"/>
      <c r="RCX74" s="2805"/>
      <c r="RCY74" s="2805"/>
      <c r="RCZ74" s="2805"/>
      <c r="RDA74" s="2805"/>
      <c r="RDB74" s="2805"/>
      <c r="RDC74" s="2805"/>
      <c r="RDD74" s="2805"/>
      <c r="RDE74" s="2805"/>
      <c r="RDF74" s="2805"/>
      <c r="RDG74" s="2805"/>
      <c r="RDH74" s="2805"/>
      <c r="RDI74" s="2805"/>
      <c r="RDJ74" s="2805"/>
      <c r="RDK74" s="2805"/>
      <c r="RDL74" s="2805"/>
      <c r="RDM74" s="2805"/>
      <c r="RDN74" s="2805"/>
      <c r="RDO74" s="2805"/>
      <c r="RDP74" s="2805"/>
      <c r="RDQ74" s="2805"/>
      <c r="RDR74" s="2805"/>
      <c r="RDS74" s="2805"/>
      <c r="RDT74" s="2805"/>
      <c r="RDU74" s="2805"/>
      <c r="RDV74" s="2805"/>
      <c r="RDW74" s="2805"/>
      <c r="RDX74" s="2805"/>
      <c r="RDY74" s="2805"/>
      <c r="RDZ74" s="2805"/>
      <c r="REA74" s="2805"/>
      <c r="REB74" s="2805"/>
      <c r="REC74" s="2805"/>
      <c r="RED74" s="2805"/>
      <c r="REE74" s="2805"/>
      <c r="REF74" s="2805"/>
      <c r="REG74" s="2805"/>
      <c r="REH74" s="2805"/>
      <c r="REI74" s="2805"/>
      <c r="REJ74" s="2805"/>
      <c r="REK74" s="2805"/>
      <c r="REL74" s="2805"/>
      <c r="REM74" s="2805"/>
      <c r="REN74" s="2805"/>
      <c r="REO74" s="2805"/>
      <c r="REP74" s="2805"/>
      <c r="REQ74" s="2805"/>
      <c r="RER74" s="2805"/>
      <c r="RES74" s="2805"/>
      <c r="RET74" s="2805"/>
      <c r="REU74" s="2805"/>
      <c r="REV74" s="2805"/>
      <c r="REW74" s="2805"/>
      <c r="REX74" s="2805"/>
      <c r="REY74" s="2805"/>
      <c r="REZ74" s="2805"/>
      <c r="RFA74" s="2805"/>
      <c r="RFB74" s="2805"/>
      <c r="RFC74" s="2805"/>
      <c r="RFD74" s="2805"/>
      <c r="RFE74" s="2805"/>
      <c r="RFF74" s="2805"/>
      <c r="RFG74" s="2805"/>
      <c r="RFH74" s="2805"/>
      <c r="RFI74" s="2805"/>
      <c r="RFJ74" s="2805"/>
      <c r="RFK74" s="2805"/>
      <c r="RFL74" s="2805"/>
      <c r="RFM74" s="2805"/>
      <c r="RFN74" s="2805"/>
      <c r="RFO74" s="2805"/>
      <c r="RFP74" s="2805"/>
      <c r="RFQ74" s="2805"/>
      <c r="RFR74" s="2805"/>
      <c r="RFS74" s="2805"/>
      <c r="RFT74" s="2805"/>
      <c r="RFU74" s="2805"/>
      <c r="RFV74" s="2805"/>
      <c r="RFW74" s="2805"/>
      <c r="RFX74" s="2805"/>
      <c r="RFY74" s="2805"/>
      <c r="RFZ74" s="2805"/>
      <c r="RGA74" s="2805"/>
      <c r="RGB74" s="2805"/>
      <c r="RGC74" s="2805"/>
      <c r="RGD74" s="2805"/>
      <c r="RGE74" s="2805"/>
      <c r="RGF74" s="2805"/>
      <c r="RGG74" s="2805"/>
      <c r="RGH74" s="2805"/>
      <c r="RGI74" s="2805"/>
      <c r="RGJ74" s="2805"/>
      <c r="RGK74" s="2805"/>
      <c r="RGL74" s="2805"/>
      <c r="RGM74" s="2805"/>
      <c r="RGN74" s="2805"/>
      <c r="RGO74" s="2805"/>
      <c r="RGP74" s="2805"/>
      <c r="RGQ74" s="2805"/>
      <c r="RGR74" s="2805"/>
      <c r="RGS74" s="2805"/>
      <c r="RGT74" s="2805"/>
      <c r="RGU74" s="2805"/>
      <c r="RGV74" s="2805"/>
      <c r="RGW74" s="2805"/>
      <c r="RGX74" s="2805"/>
      <c r="RGY74" s="2805"/>
      <c r="RGZ74" s="2805"/>
      <c r="RHA74" s="2805"/>
      <c r="RHB74" s="2805"/>
      <c r="RHC74" s="2805"/>
      <c r="RHD74" s="2805"/>
      <c r="RHE74" s="2805"/>
      <c r="RHF74" s="2805"/>
      <c r="RHG74" s="2805"/>
      <c r="RHH74" s="2805"/>
      <c r="RHI74" s="2805"/>
      <c r="RHJ74" s="2805"/>
      <c r="RHK74" s="2805"/>
      <c r="RHL74" s="2805"/>
      <c r="RHM74" s="2805"/>
      <c r="RHN74" s="2805"/>
      <c r="RHO74" s="2805"/>
      <c r="RHP74" s="2805"/>
      <c r="RHQ74" s="2805"/>
      <c r="RHR74" s="2805"/>
      <c r="RHS74" s="2805"/>
      <c r="RHT74" s="2805"/>
      <c r="RHU74" s="2805"/>
      <c r="RHV74" s="2805"/>
      <c r="RHW74" s="2805"/>
      <c r="RHX74" s="2805"/>
      <c r="RHY74" s="2805"/>
      <c r="RHZ74" s="2805"/>
      <c r="RIA74" s="2805"/>
      <c r="RIB74" s="2805"/>
      <c r="RIC74" s="2805"/>
      <c r="RID74" s="2805"/>
      <c r="RIE74" s="2805"/>
      <c r="RIF74" s="2805"/>
      <c r="RIG74" s="2805"/>
      <c r="RIH74" s="2805"/>
      <c r="RII74" s="2805"/>
      <c r="RIJ74" s="2805"/>
      <c r="RIK74" s="2805"/>
      <c r="RIL74" s="2805"/>
      <c r="RIM74" s="2805"/>
      <c r="RIN74" s="2805"/>
      <c r="RIO74" s="2805"/>
      <c r="RIP74" s="2805"/>
      <c r="RIQ74" s="2805"/>
      <c r="RIR74" s="2805"/>
      <c r="RIS74" s="2805"/>
      <c r="RIT74" s="2805"/>
      <c r="RIU74" s="2805"/>
      <c r="RIV74" s="2805"/>
      <c r="RIW74" s="2805"/>
      <c r="RIX74" s="2805"/>
      <c r="RIY74" s="2805"/>
      <c r="RIZ74" s="2805"/>
      <c r="RJA74" s="2805"/>
      <c r="RJB74" s="2805"/>
      <c r="RJC74" s="2805"/>
      <c r="RJD74" s="2805"/>
      <c r="RJE74" s="2805"/>
      <c r="RJF74" s="2805"/>
      <c r="RJG74" s="2805"/>
      <c r="RJH74" s="2805"/>
      <c r="RJI74" s="2805"/>
      <c r="RJJ74" s="2805"/>
      <c r="RJK74" s="2805"/>
      <c r="RJL74" s="2805"/>
      <c r="RJM74" s="2805"/>
      <c r="RJN74" s="2805"/>
      <c r="RJO74" s="2805"/>
      <c r="RJP74" s="2805"/>
      <c r="RJQ74" s="2805"/>
      <c r="RJR74" s="2805"/>
      <c r="RJS74" s="2805"/>
      <c r="RJT74" s="2805"/>
      <c r="RJU74" s="2805"/>
      <c r="RJV74" s="2805"/>
      <c r="RJW74" s="2805"/>
      <c r="RJX74" s="2805"/>
      <c r="RJY74" s="2805"/>
      <c r="RJZ74" s="2805"/>
      <c r="RKA74" s="2805"/>
      <c r="RKB74" s="2805"/>
      <c r="RKC74" s="2805"/>
      <c r="RKD74" s="2805"/>
      <c r="RKE74" s="2805"/>
      <c r="RKF74" s="2805"/>
      <c r="RKG74" s="2805"/>
      <c r="RKH74" s="2805"/>
      <c r="RKI74" s="2805"/>
      <c r="RKJ74" s="2805"/>
      <c r="RKK74" s="2805"/>
      <c r="RKL74" s="2805"/>
      <c r="RKM74" s="2805"/>
      <c r="RKN74" s="2805"/>
      <c r="RKO74" s="2805"/>
      <c r="RKP74" s="2805"/>
      <c r="RKQ74" s="2805"/>
      <c r="RKR74" s="2805"/>
      <c r="RKS74" s="2805"/>
      <c r="RKT74" s="2805"/>
      <c r="RKU74" s="2805"/>
      <c r="RKV74" s="2805"/>
      <c r="RKW74" s="2805"/>
      <c r="RKX74" s="2805"/>
      <c r="RKY74" s="2805"/>
      <c r="RKZ74" s="2805"/>
      <c r="RLA74" s="2805"/>
      <c r="RLB74" s="2805"/>
      <c r="RLC74" s="2805"/>
      <c r="RLD74" s="2805"/>
      <c r="RLE74" s="2805"/>
      <c r="RLF74" s="2805"/>
      <c r="RLG74" s="2805"/>
      <c r="RLH74" s="2805"/>
      <c r="RLI74" s="2805"/>
      <c r="RLJ74" s="2805"/>
      <c r="RLK74" s="2805"/>
      <c r="RLL74" s="2805"/>
      <c r="RLM74" s="2805"/>
      <c r="RLN74" s="2805"/>
      <c r="RLO74" s="2805"/>
      <c r="RLP74" s="2805"/>
      <c r="RLQ74" s="2805"/>
      <c r="RLR74" s="2805"/>
      <c r="RLS74" s="2805"/>
      <c r="RLT74" s="2805"/>
      <c r="RLU74" s="2805"/>
      <c r="RLV74" s="2805"/>
      <c r="RLW74" s="2805"/>
      <c r="RLX74" s="2805"/>
      <c r="RLY74" s="2805"/>
      <c r="RLZ74" s="2805"/>
      <c r="RMA74" s="2805"/>
      <c r="RMB74" s="2805"/>
      <c r="RMC74" s="2805"/>
      <c r="RMD74" s="2805"/>
      <c r="RME74" s="2805"/>
      <c r="RMF74" s="2805"/>
      <c r="RMG74" s="2805"/>
      <c r="RMH74" s="2805"/>
      <c r="RMI74" s="2805"/>
      <c r="RMJ74" s="2805"/>
      <c r="RMK74" s="2805"/>
      <c r="RML74" s="2805"/>
      <c r="RMM74" s="2805"/>
      <c r="RMN74" s="2805"/>
      <c r="RMO74" s="2805"/>
      <c r="RMP74" s="2805"/>
      <c r="RMQ74" s="2805"/>
      <c r="RMR74" s="2805"/>
      <c r="RMS74" s="2805"/>
      <c r="RMT74" s="2805"/>
      <c r="RMU74" s="2805"/>
      <c r="RMV74" s="2805"/>
      <c r="RMW74" s="2805"/>
      <c r="RMX74" s="2805"/>
      <c r="RMY74" s="2805"/>
      <c r="RMZ74" s="2805"/>
      <c r="RNA74" s="2805"/>
      <c r="RNB74" s="2805"/>
      <c r="RNC74" s="2805"/>
      <c r="RND74" s="2805"/>
      <c r="RNE74" s="2805"/>
      <c r="RNF74" s="2805"/>
      <c r="RNG74" s="2805"/>
      <c r="RNH74" s="2805"/>
      <c r="RNI74" s="2805"/>
      <c r="RNJ74" s="2805"/>
      <c r="RNK74" s="2805"/>
      <c r="RNL74" s="2805"/>
      <c r="RNM74" s="2805"/>
      <c r="RNN74" s="2805"/>
      <c r="RNO74" s="2805"/>
      <c r="RNP74" s="2805"/>
      <c r="RNQ74" s="2805"/>
      <c r="RNR74" s="2805"/>
      <c r="RNS74" s="2805"/>
      <c r="RNT74" s="2805"/>
      <c r="RNU74" s="2805"/>
      <c r="RNV74" s="2805"/>
      <c r="RNW74" s="2805"/>
      <c r="RNX74" s="2805"/>
      <c r="RNY74" s="2805"/>
      <c r="RNZ74" s="2805"/>
      <c r="ROA74" s="2805"/>
      <c r="ROB74" s="2805"/>
      <c r="ROC74" s="2805"/>
      <c r="ROD74" s="2805"/>
      <c r="ROE74" s="2805"/>
      <c r="ROF74" s="2805"/>
      <c r="ROG74" s="2805"/>
      <c r="ROH74" s="2805"/>
      <c r="ROI74" s="2805"/>
      <c r="ROJ74" s="2805"/>
      <c r="ROK74" s="2805"/>
      <c r="ROL74" s="2805"/>
      <c r="ROM74" s="2805"/>
      <c r="RON74" s="2805"/>
      <c r="ROO74" s="2805"/>
      <c r="ROP74" s="2805"/>
      <c r="ROQ74" s="2805"/>
      <c r="ROR74" s="2805"/>
      <c r="ROS74" s="2805"/>
      <c r="ROT74" s="2805"/>
      <c r="ROU74" s="2805"/>
      <c r="ROV74" s="2805"/>
      <c r="ROW74" s="2805"/>
      <c r="ROX74" s="2805"/>
      <c r="ROY74" s="2805"/>
      <c r="ROZ74" s="2805"/>
      <c r="RPA74" s="2805"/>
      <c r="RPB74" s="2805"/>
      <c r="RPC74" s="2805"/>
      <c r="RPD74" s="2805"/>
      <c r="RPE74" s="2805"/>
      <c r="RPF74" s="2805"/>
      <c r="RPG74" s="2805"/>
      <c r="RPH74" s="2805"/>
      <c r="RPI74" s="2805"/>
      <c r="RPJ74" s="2805"/>
      <c r="RPK74" s="2805"/>
      <c r="RPL74" s="2805"/>
      <c r="RPM74" s="2805"/>
      <c r="RPN74" s="2805"/>
      <c r="RPO74" s="2805"/>
      <c r="RPP74" s="2805"/>
      <c r="RPQ74" s="2805"/>
      <c r="RPR74" s="2805"/>
      <c r="RPS74" s="2805"/>
      <c r="RPT74" s="2805"/>
      <c r="RPU74" s="2805"/>
      <c r="RPV74" s="2805"/>
      <c r="RPW74" s="2805"/>
      <c r="RPX74" s="2805"/>
      <c r="RPY74" s="2805"/>
      <c r="RPZ74" s="2805"/>
      <c r="RQA74" s="2805"/>
      <c r="RQB74" s="2805"/>
      <c r="RQC74" s="2805"/>
      <c r="RQD74" s="2805"/>
      <c r="RQE74" s="2805"/>
      <c r="RQF74" s="2805"/>
      <c r="RQG74" s="2805"/>
      <c r="RQH74" s="2805"/>
      <c r="RQI74" s="2805"/>
      <c r="RQJ74" s="2805"/>
      <c r="RQK74" s="2805"/>
      <c r="RQL74" s="2805"/>
      <c r="RQM74" s="2805"/>
      <c r="RQN74" s="2805"/>
      <c r="RQO74" s="2805"/>
      <c r="RQP74" s="2805"/>
      <c r="RQQ74" s="2805"/>
      <c r="RQR74" s="2805"/>
      <c r="RQS74" s="2805"/>
      <c r="RQT74" s="2805"/>
      <c r="RQU74" s="2805"/>
      <c r="RQV74" s="2805"/>
      <c r="RQW74" s="2805"/>
      <c r="RQX74" s="2805"/>
      <c r="RQY74" s="2805"/>
      <c r="RQZ74" s="2805"/>
      <c r="RRA74" s="2805"/>
      <c r="RRB74" s="2805"/>
      <c r="RRC74" s="2805"/>
      <c r="RRD74" s="2805"/>
      <c r="RRE74" s="2805"/>
      <c r="RRF74" s="2805"/>
      <c r="RRG74" s="2805"/>
      <c r="RRH74" s="2805"/>
      <c r="RRI74" s="2805"/>
      <c r="RRJ74" s="2805"/>
      <c r="RRK74" s="2805"/>
      <c r="RRL74" s="2805"/>
      <c r="RRM74" s="2805"/>
      <c r="RRN74" s="2805"/>
      <c r="RRO74" s="2805"/>
      <c r="RRP74" s="2805"/>
      <c r="RRQ74" s="2805"/>
      <c r="RRR74" s="2805"/>
      <c r="RRS74" s="2805"/>
      <c r="RRT74" s="2805"/>
      <c r="RRU74" s="2805"/>
      <c r="RRV74" s="2805"/>
      <c r="RRW74" s="2805"/>
      <c r="RRX74" s="2805"/>
      <c r="RRY74" s="2805"/>
      <c r="RRZ74" s="2805"/>
      <c r="RSA74" s="2805"/>
      <c r="RSB74" s="2805"/>
      <c r="RSC74" s="2805"/>
      <c r="RSD74" s="2805"/>
      <c r="RSE74" s="2805"/>
      <c r="RSF74" s="2805"/>
      <c r="RSG74" s="2805"/>
      <c r="RSH74" s="2805"/>
      <c r="RSI74" s="2805"/>
      <c r="RSJ74" s="2805"/>
      <c r="RSK74" s="2805"/>
      <c r="RSL74" s="2805"/>
      <c r="RSM74" s="2805"/>
      <c r="RSN74" s="2805"/>
      <c r="RSO74" s="2805"/>
      <c r="RSP74" s="2805"/>
      <c r="RSQ74" s="2805"/>
      <c r="RSR74" s="2805"/>
      <c r="RSS74" s="2805"/>
      <c r="RST74" s="2805"/>
      <c r="RSU74" s="2805"/>
      <c r="RSV74" s="2805"/>
      <c r="RSW74" s="2805"/>
      <c r="RSX74" s="2805"/>
      <c r="RSY74" s="2805"/>
      <c r="RSZ74" s="2805"/>
      <c r="RTA74" s="2805"/>
      <c r="RTB74" s="2805"/>
      <c r="RTC74" s="2805"/>
      <c r="RTD74" s="2805"/>
      <c r="RTE74" s="2805"/>
      <c r="RTF74" s="2805"/>
      <c r="RTG74" s="2805"/>
      <c r="RTH74" s="2805"/>
      <c r="RTI74" s="2805"/>
      <c r="RTJ74" s="2805"/>
      <c r="RTK74" s="2805"/>
      <c r="RTL74" s="2805"/>
      <c r="RTM74" s="2805"/>
      <c r="RTN74" s="2805"/>
      <c r="RTO74" s="2805"/>
      <c r="RTP74" s="2805"/>
      <c r="RTQ74" s="2805"/>
      <c r="RTR74" s="2805"/>
      <c r="RTS74" s="2805"/>
      <c r="RTT74" s="2805"/>
      <c r="RTU74" s="2805"/>
      <c r="RTV74" s="2805"/>
      <c r="RTW74" s="2805"/>
      <c r="RTX74" s="2805"/>
      <c r="RTY74" s="2805"/>
      <c r="RTZ74" s="2805"/>
      <c r="RUA74" s="2805"/>
      <c r="RUB74" s="2805"/>
      <c r="RUC74" s="2805"/>
      <c r="RUD74" s="2805"/>
      <c r="RUE74" s="2805"/>
      <c r="RUF74" s="2805"/>
      <c r="RUG74" s="2805"/>
      <c r="RUH74" s="2805"/>
      <c r="RUI74" s="2805"/>
      <c r="RUJ74" s="2805"/>
      <c r="RUK74" s="2805"/>
      <c r="RUL74" s="2805"/>
      <c r="RUM74" s="2805"/>
      <c r="RUN74" s="2805"/>
      <c r="RUO74" s="2805"/>
      <c r="RUP74" s="2805"/>
      <c r="RUQ74" s="2805"/>
      <c r="RUR74" s="2805"/>
      <c r="RUS74" s="2805"/>
      <c r="RUT74" s="2805"/>
      <c r="RUU74" s="2805"/>
      <c r="RUV74" s="2805"/>
      <c r="RUW74" s="2805"/>
      <c r="RUX74" s="2805"/>
      <c r="RUY74" s="2805"/>
      <c r="RUZ74" s="2805"/>
      <c r="RVA74" s="2805"/>
      <c r="RVB74" s="2805"/>
      <c r="RVC74" s="2805"/>
      <c r="RVD74" s="2805"/>
      <c r="RVE74" s="2805"/>
      <c r="RVF74" s="2805"/>
      <c r="RVG74" s="2805"/>
      <c r="RVH74" s="2805"/>
      <c r="RVI74" s="2805"/>
      <c r="RVJ74" s="2805"/>
      <c r="RVK74" s="2805"/>
      <c r="RVL74" s="2805"/>
      <c r="RVM74" s="2805"/>
      <c r="RVN74" s="2805"/>
      <c r="RVO74" s="2805"/>
      <c r="RVP74" s="2805"/>
      <c r="RVQ74" s="2805"/>
      <c r="RVR74" s="2805"/>
      <c r="RVS74" s="2805"/>
      <c r="RVT74" s="2805"/>
      <c r="RVU74" s="2805"/>
      <c r="RVV74" s="2805"/>
      <c r="RVW74" s="2805"/>
      <c r="RVX74" s="2805"/>
      <c r="RVY74" s="2805"/>
      <c r="RVZ74" s="2805"/>
      <c r="RWA74" s="2805"/>
      <c r="RWB74" s="2805"/>
      <c r="RWC74" s="2805"/>
      <c r="RWD74" s="2805"/>
      <c r="RWE74" s="2805"/>
      <c r="RWF74" s="2805"/>
      <c r="RWG74" s="2805"/>
      <c r="RWH74" s="2805"/>
      <c r="RWI74" s="2805"/>
      <c r="RWJ74" s="2805"/>
      <c r="RWK74" s="2805"/>
      <c r="RWL74" s="2805"/>
      <c r="RWM74" s="2805"/>
      <c r="RWN74" s="2805"/>
      <c r="RWO74" s="2805"/>
      <c r="RWP74" s="2805"/>
      <c r="RWQ74" s="2805"/>
      <c r="RWR74" s="2805"/>
      <c r="RWS74" s="2805"/>
      <c r="RWT74" s="2805"/>
      <c r="RWU74" s="2805"/>
      <c r="RWV74" s="2805"/>
      <c r="RWW74" s="2805"/>
      <c r="RWX74" s="2805"/>
      <c r="RWY74" s="2805"/>
      <c r="RWZ74" s="2805"/>
      <c r="RXA74" s="2805"/>
      <c r="RXB74" s="2805"/>
      <c r="RXC74" s="2805"/>
      <c r="RXD74" s="2805"/>
      <c r="RXE74" s="2805"/>
      <c r="RXF74" s="2805"/>
      <c r="RXG74" s="2805"/>
      <c r="RXH74" s="2805"/>
      <c r="RXI74" s="2805"/>
      <c r="RXJ74" s="2805"/>
      <c r="RXK74" s="2805"/>
      <c r="RXL74" s="2805"/>
      <c r="RXM74" s="2805"/>
      <c r="RXN74" s="2805"/>
      <c r="RXO74" s="2805"/>
      <c r="RXP74" s="2805"/>
      <c r="RXQ74" s="2805"/>
      <c r="RXR74" s="2805"/>
      <c r="RXS74" s="2805"/>
      <c r="RXT74" s="2805"/>
      <c r="RXU74" s="2805"/>
      <c r="RXV74" s="2805"/>
      <c r="RXW74" s="2805"/>
      <c r="RXX74" s="2805"/>
      <c r="RXY74" s="2805"/>
      <c r="RXZ74" s="2805"/>
      <c r="RYA74" s="2805"/>
      <c r="RYB74" s="2805"/>
      <c r="RYC74" s="2805"/>
      <c r="RYD74" s="2805"/>
      <c r="RYE74" s="2805"/>
      <c r="RYF74" s="2805"/>
      <c r="RYG74" s="2805"/>
      <c r="RYH74" s="2805"/>
      <c r="RYI74" s="2805"/>
      <c r="RYJ74" s="2805"/>
      <c r="RYK74" s="2805"/>
      <c r="RYL74" s="2805"/>
      <c r="RYM74" s="2805"/>
      <c r="RYN74" s="2805"/>
      <c r="RYO74" s="2805"/>
      <c r="RYP74" s="2805"/>
      <c r="RYQ74" s="2805"/>
      <c r="RYR74" s="2805"/>
      <c r="RYS74" s="2805"/>
      <c r="RYT74" s="2805"/>
      <c r="RYU74" s="2805"/>
      <c r="RYV74" s="2805"/>
      <c r="RYW74" s="2805"/>
      <c r="RYX74" s="2805"/>
      <c r="RYY74" s="2805"/>
      <c r="RYZ74" s="2805"/>
      <c r="RZA74" s="2805"/>
      <c r="RZB74" s="2805"/>
      <c r="RZC74" s="2805"/>
      <c r="RZD74" s="2805"/>
      <c r="RZE74" s="2805"/>
      <c r="RZF74" s="2805"/>
      <c r="RZG74" s="2805"/>
      <c r="RZH74" s="2805"/>
      <c r="RZI74" s="2805"/>
      <c r="RZJ74" s="2805"/>
      <c r="RZK74" s="2805"/>
      <c r="RZL74" s="2805"/>
      <c r="RZM74" s="2805"/>
      <c r="RZN74" s="2805"/>
      <c r="RZO74" s="2805"/>
      <c r="RZP74" s="2805"/>
      <c r="RZQ74" s="2805"/>
      <c r="RZR74" s="2805"/>
      <c r="RZS74" s="2805"/>
      <c r="RZT74" s="2805"/>
      <c r="RZU74" s="2805"/>
      <c r="RZV74" s="2805"/>
      <c r="RZW74" s="2805"/>
      <c r="RZX74" s="2805"/>
      <c r="RZY74" s="2805"/>
      <c r="RZZ74" s="2805"/>
      <c r="SAA74" s="2805"/>
      <c r="SAB74" s="2805"/>
      <c r="SAC74" s="2805"/>
      <c r="SAD74" s="2805"/>
      <c r="SAE74" s="2805"/>
      <c r="SAF74" s="2805"/>
      <c r="SAG74" s="2805"/>
      <c r="SAH74" s="2805"/>
      <c r="SAI74" s="2805"/>
      <c r="SAJ74" s="2805"/>
      <c r="SAK74" s="2805"/>
      <c r="SAL74" s="2805"/>
      <c r="SAM74" s="2805"/>
      <c r="SAN74" s="2805"/>
      <c r="SAO74" s="2805"/>
      <c r="SAP74" s="2805"/>
      <c r="SAQ74" s="2805"/>
      <c r="SAR74" s="2805"/>
      <c r="SAS74" s="2805"/>
      <c r="SAT74" s="2805"/>
      <c r="SAU74" s="2805"/>
      <c r="SAV74" s="2805"/>
      <c r="SAW74" s="2805"/>
      <c r="SAX74" s="2805"/>
      <c r="SAY74" s="2805"/>
      <c r="SAZ74" s="2805"/>
      <c r="SBA74" s="2805"/>
      <c r="SBB74" s="2805"/>
      <c r="SBC74" s="2805"/>
      <c r="SBD74" s="2805"/>
      <c r="SBE74" s="2805"/>
      <c r="SBF74" s="2805"/>
      <c r="SBG74" s="2805"/>
      <c r="SBH74" s="2805"/>
      <c r="SBI74" s="2805"/>
      <c r="SBJ74" s="2805"/>
      <c r="SBK74" s="2805"/>
      <c r="SBL74" s="2805"/>
      <c r="SBM74" s="2805"/>
      <c r="SBN74" s="2805"/>
      <c r="SBO74" s="2805"/>
      <c r="SBP74" s="2805"/>
      <c r="SBQ74" s="2805"/>
      <c r="SBR74" s="2805"/>
      <c r="SBS74" s="2805"/>
      <c r="SBT74" s="2805"/>
      <c r="SBU74" s="2805"/>
      <c r="SBV74" s="2805"/>
      <c r="SBW74" s="2805"/>
      <c r="SBX74" s="2805"/>
      <c r="SBY74" s="2805"/>
      <c r="SBZ74" s="2805"/>
      <c r="SCA74" s="2805"/>
      <c r="SCB74" s="2805"/>
      <c r="SCC74" s="2805"/>
      <c r="SCD74" s="2805"/>
      <c r="SCE74" s="2805"/>
      <c r="SCF74" s="2805"/>
      <c r="SCG74" s="2805"/>
      <c r="SCH74" s="2805"/>
      <c r="SCI74" s="2805"/>
      <c r="SCJ74" s="2805"/>
      <c r="SCK74" s="2805"/>
      <c r="SCL74" s="2805"/>
      <c r="SCM74" s="2805"/>
      <c r="SCN74" s="2805"/>
      <c r="SCO74" s="2805"/>
      <c r="SCP74" s="2805"/>
      <c r="SCQ74" s="2805"/>
      <c r="SCR74" s="2805"/>
      <c r="SCS74" s="2805"/>
      <c r="SCT74" s="2805"/>
      <c r="SCU74" s="2805"/>
      <c r="SCV74" s="2805"/>
      <c r="SCW74" s="2805"/>
      <c r="SCX74" s="2805"/>
      <c r="SCY74" s="2805"/>
      <c r="SCZ74" s="2805"/>
      <c r="SDA74" s="2805"/>
      <c r="SDB74" s="2805"/>
      <c r="SDC74" s="2805"/>
      <c r="SDD74" s="2805"/>
      <c r="SDE74" s="2805"/>
      <c r="SDF74" s="2805"/>
      <c r="SDG74" s="2805"/>
      <c r="SDH74" s="2805"/>
      <c r="SDI74" s="2805"/>
      <c r="SDJ74" s="2805"/>
      <c r="SDK74" s="2805"/>
      <c r="SDL74" s="2805"/>
      <c r="SDM74" s="2805"/>
      <c r="SDN74" s="2805"/>
      <c r="SDO74" s="2805"/>
      <c r="SDP74" s="2805"/>
      <c r="SDQ74" s="2805"/>
      <c r="SDR74" s="2805"/>
      <c r="SDS74" s="2805"/>
      <c r="SDT74" s="2805"/>
      <c r="SDU74" s="2805"/>
      <c r="SDV74" s="2805"/>
      <c r="SDW74" s="2805"/>
      <c r="SDX74" s="2805"/>
      <c r="SDY74" s="2805"/>
      <c r="SDZ74" s="2805"/>
      <c r="SEA74" s="2805"/>
      <c r="SEB74" s="2805"/>
      <c r="SEC74" s="2805"/>
      <c r="SED74" s="2805"/>
      <c r="SEE74" s="2805"/>
      <c r="SEF74" s="2805"/>
      <c r="SEG74" s="2805"/>
      <c r="SEH74" s="2805"/>
      <c r="SEI74" s="2805"/>
      <c r="SEJ74" s="2805"/>
      <c r="SEK74" s="2805"/>
      <c r="SEL74" s="2805"/>
      <c r="SEM74" s="2805"/>
      <c r="SEN74" s="2805"/>
      <c r="SEO74" s="2805"/>
      <c r="SEP74" s="2805"/>
      <c r="SEQ74" s="2805"/>
      <c r="SER74" s="2805"/>
      <c r="SES74" s="2805"/>
      <c r="SET74" s="2805"/>
      <c r="SEU74" s="2805"/>
      <c r="SEV74" s="2805"/>
      <c r="SEW74" s="2805"/>
      <c r="SEX74" s="2805"/>
      <c r="SEY74" s="2805"/>
      <c r="SEZ74" s="2805"/>
      <c r="SFA74" s="2805"/>
      <c r="SFB74" s="2805"/>
      <c r="SFC74" s="2805"/>
      <c r="SFD74" s="2805"/>
      <c r="SFE74" s="2805"/>
      <c r="SFF74" s="2805"/>
      <c r="SFG74" s="2805"/>
      <c r="SFH74" s="2805"/>
      <c r="SFI74" s="2805"/>
      <c r="SFJ74" s="2805"/>
      <c r="SFK74" s="2805"/>
      <c r="SFL74" s="2805"/>
      <c r="SFM74" s="2805"/>
      <c r="SFN74" s="2805"/>
      <c r="SFO74" s="2805"/>
      <c r="SFP74" s="2805"/>
      <c r="SFQ74" s="2805"/>
      <c r="SFR74" s="2805"/>
      <c r="SFS74" s="2805"/>
      <c r="SFT74" s="2805"/>
      <c r="SFU74" s="2805"/>
      <c r="SFV74" s="2805"/>
      <c r="SFW74" s="2805"/>
      <c r="SFX74" s="2805"/>
      <c r="SFY74" s="2805"/>
      <c r="SFZ74" s="2805"/>
      <c r="SGA74" s="2805"/>
      <c r="SGB74" s="2805"/>
      <c r="SGC74" s="2805"/>
      <c r="SGD74" s="2805"/>
      <c r="SGE74" s="2805"/>
      <c r="SGF74" s="2805"/>
      <c r="SGG74" s="2805"/>
      <c r="SGH74" s="2805"/>
      <c r="SGI74" s="2805"/>
      <c r="SGJ74" s="2805"/>
      <c r="SGK74" s="2805"/>
      <c r="SGL74" s="2805"/>
      <c r="SGM74" s="2805"/>
      <c r="SGN74" s="2805"/>
      <c r="SGO74" s="2805"/>
      <c r="SGP74" s="2805"/>
      <c r="SGQ74" s="2805"/>
      <c r="SGR74" s="2805"/>
      <c r="SGS74" s="2805"/>
      <c r="SGT74" s="2805"/>
      <c r="SGU74" s="2805"/>
      <c r="SGV74" s="2805"/>
      <c r="SGW74" s="2805"/>
      <c r="SGX74" s="2805"/>
      <c r="SGY74" s="2805"/>
      <c r="SGZ74" s="2805"/>
      <c r="SHA74" s="2805"/>
      <c r="SHB74" s="2805"/>
      <c r="SHC74" s="2805"/>
      <c r="SHD74" s="2805"/>
      <c r="SHE74" s="2805"/>
      <c r="SHF74" s="2805"/>
      <c r="SHG74" s="2805"/>
      <c r="SHH74" s="2805"/>
      <c r="SHI74" s="2805"/>
      <c r="SHJ74" s="2805"/>
      <c r="SHK74" s="2805"/>
      <c r="SHL74" s="2805"/>
      <c r="SHM74" s="2805"/>
      <c r="SHN74" s="2805"/>
      <c r="SHO74" s="2805"/>
      <c r="SHP74" s="2805"/>
      <c r="SHQ74" s="2805"/>
      <c r="SHR74" s="2805"/>
      <c r="SHS74" s="2805"/>
      <c r="SHT74" s="2805"/>
      <c r="SHU74" s="2805"/>
      <c r="SHV74" s="2805"/>
      <c r="SHW74" s="2805"/>
      <c r="SHX74" s="2805"/>
      <c r="SHY74" s="2805"/>
      <c r="SHZ74" s="2805"/>
      <c r="SIA74" s="2805"/>
      <c r="SIB74" s="2805"/>
      <c r="SIC74" s="2805"/>
      <c r="SID74" s="2805"/>
      <c r="SIE74" s="2805"/>
      <c r="SIF74" s="2805"/>
      <c r="SIG74" s="2805"/>
      <c r="SIH74" s="2805"/>
      <c r="SII74" s="2805"/>
      <c r="SIJ74" s="2805"/>
      <c r="SIK74" s="2805"/>
      <c r="SIL74" s="2805"/>
      <c r="SIM74" s="2805"/>
      <c r="SIN74" s="2805"/>
      <c r="SIO74" s="2805"/>
      <c r="SIP74" s="2805"/>
      <c r="SIQ74" s="2805"/>
      <c r="SIR74" s="2805"/>
      <c r="SIS74" s="2805"/>
      <c r="SIT74" s="2805"/>
      <c r="SIU74" s="2805"/>
      <c r="SIV74" s="2805"/>
      <c r="SIW74" s="2805"/>
      <c r="SIX74" s="2805"/>
      <c r="SIY74" s="2805"/>
      <c r="SIZ74" s="2805"/>
      <c r="SJA74" s="2805"/>
      <c r="SJB74" s="2805"/>
      <c r="SJC74" s="2805"/>
      <c r="SJD74" s="2805"/>
      <c r="SJE74" s="2805"/>
      <c r="SJF74" s="2805"/>
      <c r="SJG74" s="2805"/>
      <c r="SJH74" s="2805"/>
      <c r="SJI74" s="2805"/>
      <c r="SJJ74" s="2805"/>
      <c r="SJK74" s="2805"/>
      <c r="SJL74" s="2805"/>
      <c r="SJM74" s="2805"/>
      <c r="SJN74" s="2805"/>
      <c r="SJO74" s="2805"/>
      <c r="SJP74" s="2805"/>
      <c r="SJQ74" s="2805"/>
      <c r="SJR74" s="2805"/>
      <c r="SJS74" s="2805"/>
      <c r="SJT74" s="2805"/>
      <c r="SJU74" s="2805"/>
      <c r="SJV74" s="2805"/>
      <c r="SJW74" s="2805"/>
      <c r="SJX74" s="2805"/>
      <c r="SJY74" s="2805"/>
      <c r="SJZ74" s="2805"/>
      <c r="SKA74" s="2805"/>
      <c r="SKB74" s="2805"/>
      <c r="SKC74" s="2805"/>
      <c r="SKD74" s="2805"/>
      <c r="SKE74" s="2805"/>
      <c r="SKF74" s="2805"/>
      <c r="SKG74" s="2805"/>
      <c r="SKH74" s="2805"/>
      <c r="SKI74" s="2805"/>
      <c r="SKJ74" s="2805"/>
      <c r="SKK74" s="2805"/>
      <c r="SKL74" s="2805"/>
      <c r="SKM74" s="2805"/>
      <c r="SKN74" s="2805"/>
      <c r="SKO74" s="2805"/>
      <c r="SKP74" s="2805"/>
      <c r="SKQ74" s="2805"/>
      <c r="SKR74" s="2805"/>
      <c r="SKS74" s="2805"/>
      <c r="SKT74" s="2805"/>
      <c r="SKU74" s="2805"/>
      <c r="SKV74" s="2805"/>
      <c r="SKW74" s="2805"/>
      <c r="SKX74" s="2805"/>
      <c r="SKY74" s="2805"/>
      <c r="SKZ74" s="2805"/>
      <c r="SLA74" s="2805"/>
      <c r="SLB74" s="2805"/>
      <c r="SLC74" s="2805"/>
      <c r="SLD74" s="2805"/>
      <c r="SLE74" s="2805"/>
      <c r="SLF74" s="2805"/>
      <c r="SLG74" s="2805"/>
      <c r="SLH74" s="2805"/>
      <c r="SLI74" s="2805"/>
      <c r="SLJ74" s="2805"/>
      <c r="SLK74" s="2805"/>
      <c r="SLL74" s="2805"/>
      <c r="SLM74" s="2805"/>
      <c r="SLN74" s="2805"/>
      <c r="SLO74" s="2805"/>
      <c r="SLP74" s="2805"/>
      <c r="SLQ74" s="2805"/>
      <c r="SLR74" s="2805"/>
      <c r="SLS74" s="2805"/>
      <c r="SLT74" s="2805"/>
      <c r="SLU74" s="2805"/>
      <c r="SLV74" s="2805"/>
      <c r="SLW74" s="2805"/>
      <c r="SLX74" s="2805"/>
      <c r="SLY74" s="2805"/>
      <c r="SLZ74" s="2805"/>
      <c r="SMA74" s="2805"/>
      <c r="SMB74" s="2805"/>
      <c r="SMC74" s="2805"/>
      <c r="SMD74" s="2805"/>
      <c r="SME74" s="2805"/>
      <c r="SMF74" s="2805"/>
      <c r="SMG74" s="2805"/>
      <c r="SMH74" s="2805"/>
      <c r="SMI74" s="2805"/>
      <c r="SMJ74" s="2805"/>
      <c r="SMK74" s="2805"/>
      <c r="SML74" s="2805"/>
      <c r="SMM74" s="2805"/>
      <c r="SMN74" s="2805"/>
      <c r="SMO74" s="2805"/>
      <c r="SMP74" s="2805"/>
      <c r="SMQ74" s="2805"/>
      <c r="SMR74" s="2805"/>
      <c r="SMS74" s="2805"/>
      <c r="SMT74" s="2805"/>
      <c r="SMU74" s="2805"/>
      <c r="SMV74" s="2805"/>
      <c r="SMW74" s="2805"/>
      <c r="SMX74" s="2805"/>
      <c r="SMY74" s="2805"/>
      <c r="SMZ74" s="2805"/>
      <c r="SNA74" s="2805"/>
      <c r="SNB74" s="2805"/>
      <c r="SNC74" s="2805"/>
      <c r="SND74" s="2805"/>
      <c r="SNE74" s="2805"/>
      <c r="SNF74" s="2805"/>
      <c r="SNG74" s="2805"/>
      <c r="SNH74" s="2805"/>
      <c r="SNI74" s="2805"/>
      <c r="SNJ74" s="2805"/>
      <c r="SNK74" s="2805"/>
      <c r="SNL74" s="2805"/>
      <c r="SNM74" s="2805"/>
      <c r="SNN74" s="2805"/>
      <c r="SNO74" s="2805"/>
      <c r="SNP74" s="2805"/>
      <c r="SNQ74" s="2805"/>
      <c r="SNR74" s="2805"/>
      <c r="SNS74" s="2805"/>
      <c r="SNT74" s="2805"/>
      <c r="SNU74" s="2805"/>
      <c r="SNV74" s="2805"/>
      <c r="SNW74" s="2805"/>
      <c r="SNX74" s="2805"/>
      <c r="SNY74" s="2805"/>
      <c r="SNZ74" s="2805"/>
      <c r="SOA74" s="2805"/>
      <c r="SOB74" s="2805"/>
      <c r="SOC74" s="2805"/>
      <c r="SOD74" s="2805"/>
      <c r="SOE74" s="2805"/>
      <c r="SOF74" s="2805"/>
      <c r="SOG74" s="2805"/>
      <c r="SOH74" s="2805"/>
      <c r="SOI74" s="2805"/>
      <c r="SOJ74" s="2805"/>
      <c r="SOK74" s="2805"/>
      <c r="SOL74" s="2805"/>
      <c r="SOM74" s="2805"/>
      <c r="SON74" s="2805"/>
      <c r="SOO74" s="2805"/>
      <c r="SOP74" s="2805"/>
      <c r="SOQ74" s="2805"/>
      <c r="SOR74" s="2805"/>
      <c r="SOS74" s="2805"/>
      <c r="SOT74" s="2805"/>
      <c r="SOU74" s="2805"/>
      <c r="SOV74" s="2805"/>
      <c r="SOW74" s="2805"/>
      <c r="SOX74" s="2805"/>
      <c r="SOY74" s="2805"/>
      <c r="SOZ74" s="2805"/>
      <c r="SPA74" s="2805"/>
      <c r="SPB74" s="2805"/>
      <c r="SPC74" s="2805"/>
      <c r="SPD74" s="2805"/>
      <c r="SPE74" s="2805"/>
      <c r="SPF74" s="2805"/>
      <c r="SPG74" s="2805"/>
      <c r="SPH74" s="2805"/>
      <c r="SPI74" s="2805"/>
      <c r="SPJ74" s="2805"/>
      <c r="SPK74" s="2805"/>
      <c r="SPL74" s="2805"/>
      <c r="SPM74" s="2805"/>
      <c r="SPN74" s="2805"/>
      <c r="SPO74" s="2805"/>
      <c r="SPP74" s="2805"/>
      <c r="SPQ74" s="2805"/>
      <c r="SPR74" s="2805"/>
      <c r="SPS74" s="2805"/>
      <c r="SPT74" s="2805"/>
      <c r="SPU74" s="2805"/>
      <c r="SPV74" s="2805"/>
      <c r="SPW74" s="2805"/>
      <c r="SPX74" s="2805"/>
      <c r="SPY74" s="2805"/>
      <c r="SPZ74" s="2805"/>
      <c r="SQA74" s="2805"/>
      <c r="SQB74" s="2805"/>
      <c r="SQC74" s="2805"/>
      <c r="SQD74" s="2805"/>
      <c r="SQE74" s="2805"/>
      <c r="SQF74" s="2805"/>
      <c r="SQG74" s="2805"/>
      <c r="SQH74" s="2805"/>
      <c r="SQI74" s="2805"/>
      <c r="SQJ74" s="2805"/>
      <c r="SQK74" s="2805"/>
      <c r="SQL74" s="2805"/>
      <c r="SQM74" s="2805"/>
      <c r="SQN74" s="2805"/>
      <c r="SQO74" s="2805"/>
      <c r="SQP74" s="2805"/>
      <c r="SQQ74" s="2805"/>
      <c r="SQR74" s="2805"/>
      <c r="SQS74" s="2805"/>
      <c r="SQT74" s="2805"/>
      <c r="SQU74" s="2805"/>
      <c r="SQV74" s="2805"/>
      <c r="SQW74" s="2805"/>
      <c r="SQX74" s="2805"/>
      <c r="SQY74" s="2805"/>
      <c r="SQZ74" s="2805"/>
      <c r="SRA74" s="2805"/>
      <c r="SRB74" s="2805"/>
      <c r="SRC74" s="2805"/>
      <c r="SRD74" s="2805"/>
      <c r="SRE74" s="2805"/>
      <c r="SRF74" s="2805"/>
      <c r="SRG74" s="2805"/>
      <c r="SRH74" s="2805"/>
      <c r="SRI74" s="2805"/>
      <c r="SRJ74" s="2805"/>
      <c r="SRK74" s="2805"/>
      <c r="SRL74" s="2805"/>
      <c r="SRM74" s="2805"/>
      <c r="SRN74" s="2805"/>
      <c r="SRO74" s="2805"/>
      <c r="SRP74" s="2805"/>
      <c r="SRQ74" s="2805"/>
      <c r="SRR74" s="2805"/>
      <c r="SRS74" s="2805"/>
      <c r="SRT74" s="2805"/>
      <c r="SRU74" s="2805"/>
      <c r="SRV74" s="2805"/>
      <c r="SRW74" s="2805"/>
      <c r="SRX74" s="2805"/>
      <c r="SRY74" s="2805"/>
      <c r="SRZ74" s="2805"/>
      <c r="SSA74" s="2805"/>
      <c r="SSB74" s="2805"/>
      <c r="SSC74" s="2805"/>
      <c r="SSD74" s="2805"/>
      <c r="SSE74" s="2805"/>
      <c r="SSF74" s="2805"/>
      <c r="SSG74" s="2805"/>
      <c r="SSH74" s="2805"/>
      <c r="SSI74" s="2805"/>
      <c r="SSJ74" s="2805"/>
      <c r="SSK74" s="2805"/>
      <c r="SSL74" s="2805"/>
      <c r="SSM74" s="2805"/>
      <c r="SSN74" s="2805"/>
      <c r="SSO74" s="2805"/>
      <c r="SSP74" s="2805"/>
      <c r="SSQ74" s="2805"/>
      <c r="SSR74" s="2805"/>
      <c r="SSS74" s="2805"/>
      <c r="SST74" s="2805"/>
      <c r="SSU74" s="2805"/>
      <c r="SSV74" s="2805"/>
      <c r="SSW74" s="2805"/>
      <c r="SSX74" s="2805"/>
      <c r="SSY74" s="2805"/>
      <c r="SSZ74" s="2805"/>
      <c r="STA74" s="2805"/>
      <c r="STB74" s="2805"/>
      <c r="STC74" s="2805"/>
      <c r="STD74" s="2805"/>
      <c r="STE74" s="2805"/>
      <c r="STF74" s="2805"/>
      <c r="STG74" s="2805"/>
      <c r="STH74" s="2805"/>
      <c r="STI74" s="2805"/>
      <c r="STJ74" s="2805"/>
      <c r="STK74" s="2805"/>
      <c r="STL74" s="2805"/>
      <c r="STM74" s="2805"/>
      <c r="STN74" s="2805"/>
      <c r="STO74" s="2805"/>
      <c r="STP74" s="2805"/>
      <c r="STQ74" s="2805"/>
      <c r="STR74" s="2805"/>
      <c r="STS74" s="2805"/>
      <c r="STT74" s="2805"/>
      <c r="STU74" s="2805"/>
      <c r="STV74" s="2805"/>
      <c r="STW74" s="2805"/>
      <c r="STX74" s="2805"/>
      <c r="STY74" s="2805"/>
      <c r="STZ74" s="2805"/>
      <c r="SUA74" s="2805"/>
      <c r="SUB74" s="2805"/>
      <c r="SUC74" s="2805"/>
      <c r="SUD74" s="2805"/>
      <c r="SUE74" s="2805"/>
      <c r="SUF74" s="2805"/>
      <c r="SUG74" s="2805"/>
      <c r="SUH74" s="2805"/>
      <c r="SUI74" s="2805"/>
      <c r="SUJ74" s="2805"/>
      <c r="SUK74" s="2805"/>
      <c r="SUL74" s="2805"/>
      <c r="SUM74" s="2805"/>
      <c r="SUN74" s="2805"/>
      <c r="SUO74" s="2805"/>
      <c r="SUP74" s="2805"/>
      <c r="SUQ74" s="2805"/>
      <c r="SUR74" s="2805"/>
      <c r="SUS74" s="2805"/>
      <c r="SUT74" s="2805"/>
      <c r="SUU74" s="2805"/>
      <c r="SUV74" s="2805"/>
      <c r="SUW74" s="2805"/>
      <c r="SUX74" s="2805"/>
      <c r="SUY74" s="2805"/>
      <c r="SUZ74" s="2805"/>
      <c r="SVA74" s="2805"/>
      <c r="SVB74" s="2805"/>
      <c r="SVC74" s="2805"/>
      <c r="SVD74" s="2805"/>
      <c r="SVE74" s="2805"/>
      <c r="SVF74" s="2805"/>
      <c r="SVG74" s="2805"/>
      <c r="SVH74" s="2805"/>
      <c r="SVI74" s="2805"/>
      <c r="SVJ74" s="2805"/>
      <c r="SVK74" s="2805"/>
      <c r="SVL74" s="2805"/>
      <c r="SVM74" s="2805"/>
      <c r="SVN74" s="2805"/>
      <c r="SVO74" s="2805"/>
      <c r="SVP74" s="2805"/>
      <c r="SVQ74" s="2805"/>
      <c r="SVR74" s="2805"/>
      <c r="SVS74" s="2805"/>
      <c r="SVT74" s="2805"/>
      <c r="SVU74" s="2805"/>
      <c r="SVV74" s="2805"/>
      <c r="SVW74" s="2805"/>
      <c r="SVX74" s="2805"/>
      <c r="SVY74" s="2805"/>
      <c r="SVZ74" s="2805"/>
      <c r="SWA74" s="2805"/>
      <c r="SWB74" s="2805"/>
      <c r="SWC74" s="2805"/>
      <c r="SWD74" s="2805"/>
      <c r="SWE74" s="2805"/>
      <c r="SWF74" s="2805"/>
      <c r="SWG74" s="2805"/>
      <c r="SWH74" s="2805"/>
      <c r="SWI74" s="2805"/>
      <c r="SWJ74" s="2805"/>
      <c r="SWK74" s="2805"/>
      <c r="SWL74" s="2805"/>
      <c r="SWM74" s="2805"/>
      <c r="SWN74" s="2805"/>
      <c r="SWO74" s="2805"/>
      <c r="SWP74" s="2805"/>
      <c r="SWQ74" s="2805"/>
      <c r="SWR74" s="2805"/>
      <c r="SWS74" s="2805"/>
      <c r="SWT74" s="2805"/>
      <c r="SWU74" s="2805"/>
      <c r="SWV74" s="2805"/>
      <c r="SWW74" s="2805"/>
      <c r="SWX74" s="2805"/>
      <c r="SWY74" s="2805"/>
      <c r="SWZ74" s="2805"/>
      <c r="SXA74" s="2805"/>
      <c r="SXB74" s="2805"/>
      <c r="SXC74" s="2805"/>
      <c r="SXD74" s="2805"/>
      <c r="SXE74" s="2805"/>
      <c r="SXF74" s="2805"/>
      <c r="SXG74" s="2805"/>
      <c r="SXH74" s="2805"/>
      <c r="SXI74" s="2805"/>
      <c r="SXJ74" s="2805"/>
      <c r="SXK74" s="2805"/>
      <c r="SXL74" s="2805"/>
      <c r="SXM74" s="2805"/>
      <c r="SXN74" s="2805"/>
      <c r="SXO74" s="2805"/>
      <c r="SXP74" s="2805"/>
      <c r="SXQ74" s="2805"/>
      <c r="SXR74" s="2805"/>
      <c r="SXS74" s="2805"/>
      <c r="SXT74" s="2805"/>
      <c r="SXU74" s="2805"/>
      <c r="SXV74" s="2805"/>
      <c r="SXW74" s="2805"/>
      <c r="SXX74" s="2805"/>
      <c r="SXY74" s="2805"/>
      <c r="SXZ74" s="2805"/>
      <c r="SYA74" s="2805"/>
      <c r="SYB74" s="2805"/>
      <c r="SYC74" s="2805"/>
      <c r="SYD74" s="2805"/>
      <c r="SYE74" s="2805"/>
      <c r="SYF74" s="2805"/>
      <c r="SYG74" s="2805"/>
      <c r="SYH74" s="2805"/>
      <c r="SYI74" s="2805"/>
      <c r="SYJ74" s="2805"/>
      <c r="SYK74" s="2805"/>
      <c r="SYL74" s="2805"/>
      <c r="SYM74" s="2805"/>
      <c r="SYN74" s="2805"/>
      <c r="SYO74" s="2805"/>
      <c r="SYP74" s="2805"/>
      <c r="SYQ74" s="2805"/>
      <c r="SYR74" s="2805"/>
      <c r="SYS74" s="2805"/>
      <c r="SYT74" s="2805"/>
      <c r="SYU74" s="2805"/>
      <c r="SYV74" s="2805"/>
      <c r="SYW74" s="2805"/>
      <c r="SYX74" s="2805"/>
      <c r="SYY74" s="2805"/>
      <c r="SYZ74" s="2805"/>
      <c r="SZA74" s="2805"/>
      <c r="SZB74" s="2805"/>
      <c r="SZC74" s="2805"/>
      <c r="SZD74" s="2805"/>
      <c r="SZE74" s="2805"/>
      <c r="SZF74" s="2805"/>
      <c r="SZG74" s="2805"/>
      <c r="SZH74" s="2805"/>
      <c r="SZI74" s="2805"/>
      <c r="SZJ74" s="2805"/>
      <c r="SZK74" s="2805"/>
      <c r="SZL74" s="2805"/>
      <c r="SZM74" s="2805"/>
      <c r="SZN74" s="2805"/>
      <c r="SZO74" s="2805"/>
      <c r="SZP74" s="2805"/>
      <c r="SZQ74" s="2805"/>
      <c r="SZR74" s="2805"/>
      <c r="SZS74" s="2805"/>
      <c r="SZT74" s="2805"/>
      <c r="SZU74" s="2805"/>
      <c r="SZV74" s="2805"/>
      <c r="SZW74" s="2805"/>
      <c r="SZX74" s="2805"/>
      <c r="SZY74" s="2805"/>
      <c r="SZZ74" s="2805"/>
      <c r="TAA74" s="2805"/>
      <c r="TAB74" s="2805"/>
      <c r="TAC74" s="2805"/>
      <c r="TAD74" s="2805"/>
      <c r="TAE74" s="2805"/>
      <c r="TAF74" s="2805"/>
      <c r="TAG74" s="2805"/>
      <c r="TAH74" s="2805"/>
      <c r="TAI74" s="2805"/>
      <c r="TAJ74" s="2805"/>
      <c r="TAK74" s="2805"/>
      <c r="TAL74" s="2805"/>
      <c r="TAM74" s="2805"/>
      <c r="TAN74" s="2805"/>
      <c r="TAO74" s="2805"/>
      <c r="TAP74" s="2805"/>
      <c r="TAQ74" s="2805"/>
      <c r="TAR74" s="2805"/>
      <c r="TAS74" s="2805"/>
      <c r="TAT74" s="2805"/>
      <c r="TAU74" s="2805"/>
      <c r="TAV74" s="2805"/>
      <c r="TAW74" s="2805"/>
      <c r="TAX74" s="2805"/>
      <c r="TAY74" s="2805"/>
      <c r="TAZ74" s="2805"/>
      <c r="TBA74" s="2805"/>
      <c r="TBB74" s="2805"/>
      <c r="TBC74" s="2805"/>
      <c r="TBD74" s="2805"/>
      <c r="TBE74" s="2805"/>
      <c r="TBF74" s="2805"/>
      <c r="TBG74" s="2805"/>
      <c r="TBH74" s="2805"/>
      <c r="TBI74" s="2805"/>
      <c r="TBJ74" s="2805"/>
      <c r="TBK74" s="2805"/>
      <c r="TBL74" s="2805"/>
      <c r="TBM74" s="2805"/>
      <c r="TBN74" s="2805"/>
      <c r="TBO74" s="2805"/>
      <c r="TBP74" s="2805"/>
      <c r="TBQ74" s="2805"/>
      <c r="TBR74" s="2805"/>
      <c r="TBS74" s="2805"/>
      <c r="TBT74" s="2805"/>
      <c r="TBU74" s="2805"/>
      <c r="TBV74" s="2805"/>
      <c r="TBW74" s="2805"/>
      <c r="TBX74" s="2805"/>
      <c r="TBY74" s="2805"/>
      <c r="TBZ74" s="2805"/>
      <c r="TCA74" s="2805"/>
      <c r="TCB74" s="2805"/>
      <c r="TCC74" s="2805"/>
      <c r="TCD74" s="2805"/>
      <c r="TCE74" s="2805"/>
      <c r="TCF74" s="2805"/>
      <c r="TCG74" s="2805"/>
      <c r="TCH74" s="2805"/>
      <c r="TCI74" s="2805"/>
      <c r="TCJ74" s="2805"/>
      <c r="TCK74" s="2805"/>
      <c r="TCL74" s="2805"/>
      <c r="TCM74" s="2805"/>
      <c r="TCN74" s="2805"/>
      <c r="TCO74" s="2805"/>
      <c r="TCP74" s="2805"/>
      <c r="TCQ74" s="2805"/>
      <c r="TCR74" s="2805"/>
      <c r="TCS74" s="2805"/>
      <c r="TCT74" s="2805"/>
      <c r="TCU74" s="2805"/>
      <c r="TCV74" s="2805"/>
      <c r="TCW74" s="2805"/>
      <c r="TCX74" s="2805"/>
      <c r="TCY74" s="2805"/>
      <c r="TCZ74" s="2805"/>
      <c r="TDA74" s="2805"/>
      <c r="TDB74" s="2805"/>
      <c r="TDC74" s="2805"/>
      <c r="TDD74" s="2805"/>
      <c r="TDE74" s="2805"/>
      <c r="TDF74" s="2805"/>
      <c r="TDG74" s="2805"/>
      <c r="TDH74" s="2805"/>
      <c r="TDI74" s="2805"/>
      <c r="TDJ74" s="2805"/>
      <c r="TDK74" s="2805"/>
      <c r="TDL74" s="2805"/>
      <c r="TDM74" s="2805"/>
      <c r="TDN74" s="2805"/>
      <c r="TDO74" s="2805"/>
      <c r="TDP74" s="2805"/>
      <c r="TDQ74" s="2805"/>
      <c r="TDR74" s="2805"/>
      <c r="TDS74" s="2805"/>
      <c r="TDT74" s="2805"/>
      <c r="TDU74" s="2805"/>
      <c r="TDV74" s="2805"/>
      <c r="TDW74" s="2805"/>
      <c r="TDX74" s="2805"/>
      <c r="TDY74" s="2805"/>
      <c r="TDZ74" s="2805"/>
      <c r="TEA74" s="2805"/>
      <c r="TEB74" s="2805"/>
      <c r="TEC74" s="2805"/>
      <c r="TED74" s="2805"/>
      <c r="TEE74" s="2805"/>
      <c r="TEF74" s="2805"/>
      <c r="TEG74" s="2805"/>
      <c r="TEH74" s="2805"/>
      <c r="TEI74" s="2805"/>
      <c r="TEJ74" s="2805"/>
      <c r="TEK74" s="2805"/>
      <c r="TEL74" s="2805"/>
      <c r="TEM74" s="2805"/>
      <c r="TEN74" s="2805"/>
      <c r="TEO74" s="2805"/>
      <c r="TEP74" s="2805"/>
      <c r="TEQ74" s="2805"/>
      <c r="TER74" s="2805"/>
      <c r="TES74" s="2805"/>
      <c r="TET74" s="2805"/>
      <c r="TEU74" s="2805"/>
      <c r="TEV74" s="2805"/>
      <c r="TEW74" s="2805"/>
      <c r="TEX74" s="2805"/>
      <c r="TEY74" s="2805"/>
      <c r="TEZ74" s="2805"/>
      <c r="TFA74" s="2805"/>
      <c r="TFB74" s="2805"/>
      <c r="TFC74" s="2805"/>
      <c r="TFD74" s="2805"/>
      <c r="TFE74" s="2805"/>
      <c r="TFF74" s="2805"/>
      <c r="TFG74" s="2805"/>
      <c r="TFH74" s="2805"/>
      <c r="TFI74" s="2805"/>
      <c r="TFJ74" s="2805"/>
      <c r="TFK74" s="2805"/>
      <c r="TFL74" s="2805"/>
      <c r="TFM74" s="2805"/>
      <c r="TFN74" s="2805"/>
      <c r="TFO74" s="2805"/>
      <c r="TFP74" s="2805"/>
      <c r="TFQ74" s="2805"/>
      <c r="TFR74" s="2805"/>
      <c r="TFS74" s="2805"/>
      <c r="TFT74" s="2805"/>
      <c r="TFU74" s="2805"/>
      <c r="TFV74" s="2805"/>
      <c r="TFW74" s="2805"/>
      <c r="TFX74" s="2805"/>
      <c r="TFY74" s="2805"/>
      <c r="TFZ74" s="2805"/>
      <c r="TGA74" s="2805"/>
      <c r="TGB74" s="2805"/>
      <c r="TGC74" s="2805"/>
      <c r="TGD74" s="2805"/>
      <c r="TGE74" s="2805"/>
      <c r="TGF74" s="2805"/>
      <c r="TGG74" s="2805"/>
      <c r="TGH74" s="2805"/>
      <c r="TGI74" s="2805"/>
      <c r="TGJ74" s="2805"/>
      <c r="TGK74" s="2805"/>
      <c r="TGL74" s="2805"/>
      <c r="TGM74" s="2805"/>
      <c r="TGN74" s="2805"/>
      <c r="TGO74" s="2805"/>
      <c r="TGP74" s="2805"/>
      <c r="TGQ74" s="2805"/>
      <c r="TGR74" s="2805"/>
      <c r="TGS74" s="2805"/>
      <c r="TGT74" s="2805"/>
      <c r="TGU74" s="2805"/>
      <c r="TGV74" s="2805"/>
      <c r="TGW74" s="2805"/>
      <c r="TGX74" s="2805"/>
      <c r="TGY74" s="2805"/>
      <c r="TGZ74" s="2805"/>
      <c r="THA74" s="2805"/>
      <c r="THB74" s="2805"/>
      <c r="THC74" s="2805"/>
      <c r="THD74" s="2805"/>
      <c r="THE74" s="2805"/>
      <c r="THF74" s="2805"/>
      <c r="THG74" s="2805"/>
      <c r="THH74" s="2805"/>
      <c r="THI74" s="2805"/>
      <c r="THJ74" s="2805"/>
      <c r="THK74" s="2805"/>
      <c r="THL74" s="2805"/>
      <c r="THM74" s="2805"/>
      <c r="THN74" s="2805"/>
      <c r="THO74" s="2805"/>
      <c r="THP74" s="2805"/>
      <c r="THQ74" s="2805"/>
      <c r="THR74" s="2805"/>
      <c r="THS74" s="2805"/>
      <c r="THT74" s="2805"/>
      <c r="THU74" s="2805"/>
      <c r="THV74" s="2805"/>
      <c r="THW74" s="2805"/>
      <c r="THX74" s="2805"/>
      <c r="THY74" s="2805"/>
      <c r="THZ74" s="2805"/>
      <c r="TIA74" s="2805"/>
      <c r="TIB74" s="2805"/>
      <c r="TIC74" s="2805"/>
      <c r="TID74" s="2805"/>
      <c r="TIE74" s="2805"/>
      <c r="TIF74" s="2805"/>
      <c r="TIG74" s="2805"/>
      <c r="TIH74" s="2805"/>
      <c r="TII74" s="2805"/>
      <c r="TIJ74" s="2805"/>
      <c r="TIK74" s="2805"/>
      <c r="TIL74" s="2805"/>
      <c r="TIM74" s="2805"/>
      <c r="TIN74" s="2805"/>
      <c r="TIO74" s="2805"/>
      <c r="TIP74" s="2805"/>
      <c r="TIQ74" s="2805"/>
      <c r="TIR74" s="2805"/>
      <c r="TIS74" s="2805"/>
      <c r="TIT74" s="2805"/>
      <c r="TIU74" s="2805"/>
      <c r="TIV74" s="2805"/>
      <c r="TIW74" s="2805"/>
      <c r="TIX74" s="2805"/>
      <c r="TIY74" s="2805"/>
      <c r="TIZ74" s="2805"/>
      <c r="TJA74" s="2805"/>
      <c r="TJB74" s="2805"/>
      <c r="TJC74" s="2805"/>
      <c r="TJD74" s="2805"/>
      <c r="TJE74" s="2805"/>
      <c r="TJF74" s="2805"/>
      <c r="TJG74" s="2805"/>
      <c r="TJH74" s="2805"/>
      <c r="TJI74" s="2805"/>
      <c r="TJJ74" s="2805"/>
      <c r="TJK74" s="2805"/>
      <c r="TJL74" s="2805"/>
      <c r="TJM74" s="2805"/>
      <c r="TJN74" s="2805"/>
      <c r="TJO74" s="2805"/>
      <c r="TJP74" s="2805"/>
      <c r="TJQ74" s="2805"/>
      <c r="TJR74" s="2805"/>
      <c r="TJS74" s="2805"/>
      <c r="TJT74" s="2805"/>
      <c r="TJU74" s="2805"/>
      <c r="TJV74" s="2805"/>
      <c r="TJW74" s="2805"/>
      <c r="TJX74" s="2805"/>
      <c r="TJY74" s="2805"/>
      <c r="TJZ74" s="2805"/>
      <c r="TKA74" s="2805"/>
      <c r="TKB74" s="2805"/>
      <c r="TKC74" s="2805"/>
      <c r="TKD74" s="2805"/>
      <c r="TKE74" s="2805"/>
      <c r="TKF74" s="2805"/>
      <c r="TKG74" s="2805"/>
      <c r="TKH74" s="2805"/>
      <c r="TKI74" s="2805"/>
      <c r="TKJ74" s="2805"/>
      <c r="TKK74" s="2805"/>
      <c r="TKL74" s="2805"/>
      <c r="TKM74" s="2805"/>
      <c r="TKN74" s="2805"/>
      <c r="TKO74" s="2805"/>
      <c r="TKP74" s="2805"/>
      <c r="TKQ74" s="2805"/>
      <c r="TKR74" s="2805"/>
      <c r="TKS74" s="2805"/>
      <c r="TKT74" s="2805"/>
      <c r="TKU74" s="2805"/>
      <c r="TKV74" s="2805"/>
      <c r="TKW74" s="2805"/>
      <c r="TKX74" s="2805"/>
      <c r="TKY74" s="2805"/>
      <c r="TKZ74" s="2805"/>
      <c r="TLA74" s="2805"/>
      <c r="TLB74" s="2805"/>
      <c r="TLC74" s="2805"/>
      <c r="TLD74" s="2805"/>
      <c r="TLE74" s="2805"/>
      <c r="TLF74" s="2805"/>
      <c r="TLG74" s="2805"/>
      <c r="TLH74" s="2805"/>
      <c r="TLI74" s="2805"/>
      <c r="TLJ74" s="2805"/>
      <c r="TLK74" s="2805"/>
      <c r="TLL74" s="2805"/>
      <c r="TLM74" s="2805"/>
      <c r="TLN74" s="2805"/>
      <c r="TLO74" s="2805"/>
      <c r="TLP74" s="2805"/>
      <c r="TLQ74" s="2805"/>
      <c r="TLR74" s="2805"/>
      <c r="TLS74" s="2805"/>
      <c r="TLT74" s="2805"/>
      <c r="TLU74" s="2805"/>
      <c r="TLV74" s="2805"/>
      <c r="TLW74" s="2805"/>
      <c r="TLX74" s="2805"/>
      <c r="TLY74" s="2805"/>
      <c r="TLZ74" s="2805"/>
      <c r="TMA74" s="2805"/>
      <c r="TMB74" s="2805"/>
      <c r="TMC74" s="2805"/>
      <c r="TMD74" s="2805"/>
      <c r="TME74" s="2805"/>
      <c r="TMF74" s="2805"/>
      <c r="TMG74" s="2805"/>
      <c r="TMH74" s="2805"/>
      <c r="TMI74" s="2805"/>
      <c r="TMJ74" s="2805"/>
      <c r="TMK74" s="2805"/>
      <c r="TML74" s="2805"/>
      <c r="TMM74" s="2805"/>
      <c r="TMN74" s="2805"/>
      <c r="TMO74" s="2805"/>
      <c r="TMP74" s="2805"/>
      <c r="TMQ74" s="2805"/>
      <c r="TMR74" s="2805"/>
      <c r="TMS74" s="2805"/>
      <c r="TMT74" s="2805"/>
      <c r="TMU74" s="2805"/>
      <c r="TMV74" s="2805"/>
      <c r="TMW74" s="2805"/>
      <c r="TMX74" s="2805"/>
      <c r="TMY74" s="2805"/>
      <c r="TMZ74" s="2805"/>
      <c r="TNA74" s="2805"/>
      <c r="TNB74" s="2805"/>
      <c r="TNC74" s="2805"/>
      <c r="TND74" s="2805"/>
      <c r="TNE74" s="2805"/>
      <c r="TNF74" s="2805"/>
      <c r="TNG74" s="2805"/>
      <c r="TNH74" s="2805"/>
      <c r="TNI74" s="2805"/>
      <c r="TNJ74" s="2805"/>
      <c r="TNK74" s="2805"/>
      <c r="TNL74" s="2805"/>
      <c r="TNM74" s="2805"/>
      <c r="TNN74" s="2805"/>
      <c r="TNO74" s="2805"/>
      <c r="TNP74" s="2805"/>
      <c r="TNQ74" s="2805"/>
      <c r="TNR74" s="2805"/>
      <c r="TNS74" s="2805"/>
      <c r="TNT74" s="2805"/>
      <c r="TNU74" s="2805"/>
      <c r="TNV74" s="2805"/>
      <c r="TNW74" s="2805"/>
      <c r="TNX74" s="2805"/>
      <c r="TNY74" s="2805"/>
      <c r="TNZ74" s="2805"/>
      <c r="TOA74" s="2805"/>
      <c r="TOB74" s="2805"/>
      <c r="TOC74" s="2805"/>
      <c r="TOD74" s="2805"/>
      <c r="TOE74" s="2805"/>
      <c r="TOF74" s="2805"/>
      <c r="TOG74" s="2805"/>
      <c r="TOH74" s="2805"/>
      <c r="TOI74" s="2805"/>
      <c r="TOJ74" s="2805"/>
      <c r="TOK74" s="2805"/>
      <c r="TOL74" s="2805"/>
      <c r="TOM74" s="2805"/>
      <c r="TON74" s="2805"/>
      <c r="TOO74" s="2805"/>
      <c r="TOP74" s="2805"/>
      <c r="TOQ74" s="2805"/>
      <c r="TOR74" s="2805"/>
      <c r="TOS74" s="2805"/>
      <c r="TOT74" s="2805"/>
      <c r="TOU74" s="2805"/>
      <c r="TOV74" s="2805"/>
      <c r="TOW74" s="2805"/>
      <c r="TOX74" s="2805"/>
      <c r="TOY74" s="2805"/>
      <c r="TOZ74" s="2805"/>
      <c r="TPA74" s="2805"/>
      <c r="TPB74" s="2805"/>
      <c r="TPC74" s="2805"/>
      <c r="TPD74" s="2805"/>
      <c r="TPE74" s="2805"/>
      <c r="TPF74" s="2805"/>
      <c r="TPG74" s="2805"/>
      <c r="TPH74" s="2805"/>
      <c r="TPI74" s="2805"/>
      <c r="TPJ74" s="2805"/>
      <c r="TPK74" s="2805"/>
      <c r="TPL74" s="2805"/>
      <c r="TPM74" s="2805"/>
      <c r="TPN74" s="2805"/>
      <c r="TPO74" s="2805"/>
      <c r="TPP74" s="2805"/>
      <c r="TPQ74" s="2805"/>
      <c r="TPR74" s="2805"/>
      <c r="TPS74" s="2805"/>
      <c r="TPT74" s="2805"/>
      <c r="TPU74" s="2805"/>
      <c r="TPV74" s="2805"/>
      <c r="TPW74" s="2805"/>
      <c r="TPX74" s="2805"/>
      <c r="TPY74" s="2805"/>
      <c r="TPZ74" s="2805"/>
      <c r="TQA74" s="2805"/>
      <c r="TQB74" s="2805"/>
      <c r="TQC74" s="2805"/>
      <c r="TQD74" s="2805"/>
      <c r="TQE74" s="2805"/>
      <c r="TQF74" s="2805"/>
      <c r="TQG74" s="2805"/>
      <c r="TQH74" s="2805"/>
      <c r="TQI74" s="2805"/>
      <c r="TQJ74" s="2805"/>
      <c r="TQK74" s="2805"/>
      <c r="TQL74" s="2805"/>
      <c r="TQM74" s="2805"/>
      <c r="TQN74" s="2805"/>
      <c r="TQO74" s="2805"/>
      <c r="TQP74" s="2805"/>
      <c r="TQQ74" s="2805"/>
      <c r="TQR74" s="2805"/>
      <c r="TQS74" s="2805"/>
      <c r="TQT74" s="2805"/>
      <c r="TQU74" s="2805"/>
      <c r="TQV74" s="2805"/>
      <c r="TQW74" s="2805"/>
      <c r="TQX74" s="2805"/>
      <c r="TQY74" s="2805"/>
      <c r="TQZ74" s="2805"/>
      <c r="TRA74" s="2805"/>
      <c r="TRB74" s="2805"/>
      <c r="TRC74" s="2805"/>
      <c r="TRD74" s="2805"/>
      <c r="TRE74" s="2805"/>
      <c r="TRF74" s="2805"/>
      <c r="TRG74" s="2805"/>
      <c r="TRH74" s="2805"/>
      <c r="TRI74" s="2805"/>
      <c r="TRJ74" s="2805"/>
      <c r="TRK74" s="2805"/>
      <c r="TRL74" s="2805"/>
      <c r="TRM74" s="2805"/>
      <c r="TRN74" s="2805"/>
      <c r="TRO74" s="2805"/>
      <c r="TRP74" s="2805"/>
      <c r="TRQ74" s="2805"/>
      <c r="TRR74" s="2805"/>
      <c r="TRS74" s="2805"/>
      <c r="TRT74" s="2805"/>
      <c r="TRU74" s="2805"/>
      <c r="TRV74" s="2805"/>
      <c r="TRW74" s="2805"/>
      <c r="TRX74" s="2805"/>
      <c r="TRY74" s="2805"/>
      <c r="TRZ74" s="2805"/>
      <c r="TSA74" s="2805"/>
      <c r="TSB74" s="2805"/>
      <c r="TSC74" s="2805"/>
      <c r="TSD74" s="2805"/>
      <c r="TSE74" s="2805"/>
      <c r="TSF74" s="2805"/>
      <c r="TSG74" s="2805"/>
      <c r="TSH74" s="2805"/>
      <c r="TSI74" s="2805"/>
      <c r="TSJ74" s="2805"/>
      <c r="TSK74" s="2805"/>
      <c r="TSL74" s="2805"/>
      <c r="TSM74" s="2805"/>
      <c r="TSN74" s="2805"/>
      <c r="TSO74" s="2805"/>
      <c r="TSP74" s="2805"/>
      <c r="TSQ74" s="2805"/>
      <c r="TSR74" s="2805"/>
      <c r="TSS74" s="2805"/>
      <c r="TST74" s="2805"/>
      <c r="TSU74" s="2805"/>
      <c r="TSV74" s="2805"/>
      <c r="TSW74" s="2805"/>
      <c r="TSX74" s="2805"/>
      <c r="TSY74" s="2805"/>
      <c r="TSZ74" s="2805"/>
      <c r="TTA74" s="2805"/>
      <c r="TTB74" s="2805"/>
      <c r="TTC74" s="2805"/>
      <c r="TTD74" s="2805"/>
      <c r="TTE74" s="2805"/>
      <c r="TTF74" s="2805"/>
      <c r="TTG74" s="2805"/>
      <c r="TTH74" s="2805"/>
      <c r="TTI74" s="2805"/>
      <c r="TTJ74" s="2805"/>
      <c r="TTK74" s="2805"/>
      <c r="TTL74" s="2805"/>
      <c r="TTM74" s="2805"/>
      <c r="TTN74" s="2805"/>
      <c r="TTO74" s="2805"/>
      <c r="TTP74" s="2805"/>
      <c r="TTQ74" s="2805"/>
      <c r="TTR74" s="2805"/>
      <c r="TTS74" s="2805"/>
      <c r="TTT74" s="2805"/>
      <c r="TTU74" s="2805"/>
      <c r="TTV74" s="2805"/>
      <c r="TTW74" s="2805"/>
      <c r="TTX74" s="2805"/>
      <c r="TTY74" s="2805"/>
      <c r="TTZ74" s="2805"/>
      <c r="TUA74" s="2805"/>
      <c r="TUB74" s="2805"/>
      <c r="TUC74" s="2805"/>
      <c r="TUD74" s="2805"/>
      <c r="TUE74" s="2805"/>
      <c r="TUF74" s="2805"/>
      <c r="TUG74" s="2805"/>
      <c r="TUH74" s="2805"/>
      <c r="TUI74" s="2805"/>
      <c r="TUJ74" s="2805"/>
      <c r="TUK74" s="2805"/>
      <c r="TUL74" s="2805"/>
      <c r="TUM74" s="2805"/>
      <c r="TUN74" s="2805"/>
      <c r="TUO74" s="2805"/>
      <c r="TUP74" s="2805"/>
      <c r="TUQ74" s="2805"/>
      <c r="TUR74" s="2805"/>
      <c r="TUS74" s="2805"/>
      <c r="TUT74" s="2805"/>
      <c r="TUU74" s="2805"/>
      <c r="TUV74" s="2805"/>
      <c r="TUW74" s="2805"/>
      <c r="TUX74" s="2805"/>
      <c r="TUY74" s="2805"/>
      <c r="TUZ74" s="2805"/>
      <c r="TVA74" s="2805"/>
      <c r="TVB74" s="2805"/>
      <c r="TVC74" s="2805"/>
      <c r="TVD74" s="2805"/>
      <c r="TVE74" s="2805"/>
      <c r="TVF74" s="2805"/>
      <c r="TVG74" s="2805"/>
      <c r="TVH74" s="2805"/>
      <c r="TVI74" s="2805"/>
      <c r="TVJ74" s="2805"/>
      <c r="TVK74" s="2805"/>
      <c r="TVL74" s="2805"/>
      <c r="TVM74" s="2805"/>
      <c r="TVN74" s="2805"/>
      <c r="TVO74" s="2805"/>
      <c r="TVP74" s="2805"/>
      <c r="TVQ74" s="2805"/>
      <c r="TVR74" s="2805"/>
      <c r="TVS74" s="2805"/>
      <c r="TVT74" s="2805"/>
      <c r="TVU74" s="2805"/>
      <c r="TVV74" s="2805"/>
      <c r="TVW74" s="2805"/>
      <c r="TVX74" s="2805"/>
      <c r="TVY74" s="2805"/>
      <c r="TVZ74" s="2805"/>
      <c r="TWA74" s="2805"/>
      <c r="TWB74" s="2805"/>
      <c r="TWC74" s="2805"/>
      <c r="TWD74" s="2805"/>
      <c r="TWE74" s="2805"/>
      <c r="TWF74" s="2805"/>
      <c r="TWG74" s="2805"/>
      <c r="TWH74" s="2805"/>
      <c r="TWI74" s="2805"/>
      <c r="TWJ74" s="2805"/>
      <c r="TWK74" s="2805"/>
      <c r="TWL74" s="2805"/>
      <c r="TWM74" s="2805"/>
      <c r="TWN74" s="2805"/>
      <c r="TWO74" s="2805"/>
      <c r="TWP74" s="2805"/>
      <c r="TWQ74" s="2805"/>
      <c r="TWR74" s="2805"/>
      <c r="TWS74" s="2805"/>
      <c r="TWT74" s="2805"/>
      <c r="TWU74" s="2805"/>
      <c r="TWV74" s="2805"/>
      <c r="TWW74" s="2805"/>
      <c r="TWX74" s="2805"/>
      <c r="TWY74" s="2805"/>
      <c r="TWZ74" s="2805"/>
      <c r="TXA74" s="2805"/>
      <c r="TXB74" s="2805"/>
      <c r="TXC74" s="2805"/>
      <c r="TXD74" s="2805"/>
      <c r="TXE74" s="2805"/>
      <c r="TXF74" s="2805"/>
      <c r="TXG74" s="2805"/>
      <c r="TXH74" s="2805"/>
      <c r="TXI74" s="2805"/>
      <c r="TXJ74" s="2805"/>
      <c r="TXK74" s="2805"/>
      <c r="TXL74" s="2805"/>
      <c r="TXM74" s="2805"/>
      <c r="TXN74" s="2805"/>
      <c r="TXO74" s="2805"/>
      <c r="TXP74" s="2805"/>
      <c r="TXQ74" s="2805"/>
      <c r="TXR74" s="2805"/>
      <c r="TXS74" s="2805"/>
      <c r="TXT74" s="2805"/>
      <c r="TXU74" s="2805"/>
      <c r="TXV74" s="2805"/>
      <c r="TXW74" s="2805"/>
      <c r="TXX74" s="2805"/>
      <c r="TXY74" s="2805"/>
      <c r="TXZ74" s="2805"/>
      <c r="TYA74" s="2805"/>
      <c r="TYB74" s="2805"/>
      <c r="TYC74" s="2805"/>
      <c r="TYD74" s="2805"/>
      <c r="TYE74" s="2805"/>
      <c r="TYF74" s="2805"/>
      <c r="TYG74" s="2805"/>
      <c r="TYH74" s="2805"/>
      <c r="TYI74" s="2805"/>
      <c r="TYJ74" s="2805"/>
      <c r="TYK74" s="2805"/>
      <c r="TYL74" s="2805"/>
      <c r="TYM74" s="2805"/>
      <c r="TYN74" s="2805"/>
      <c r="TYO74" s="2805"/>
      <c r="TYP74" s="2805"/>
      <c r="TYQ74" s="2805"/>
      <c r="TYR74" s="2805"/>
      <c r="TYS74" s="2805"/>
      <c r="TYT74" s="2805"/>
      <c r="TYU74" s="2805"/>
      <c r="TYV74" s="2805"/>
      <c r="TYW74" s="2805"/>
      <c r="TYX74" s="2805"/>
      <c r="TYY74" s="2805"/>
      <c r="TYZ74" s="2805"/>
      <c r="TZA74" s="2805"/>
      <c r="TZB74" s="2805"/>
      <c r="TZC74" s="2805"/>
      <c r="TZD74" s="2805"/>
      <c r="TZE74" s="2805"/>
      <c r="TZF74" s="2805"/>
      <c r="TZG74" s="2805"/>
      <c r="TZH74" s="2805"/>
      <c r="TZI74" s="2805"/>
      <c r="TZJ74" s="2805"/>
      <c r="TZK74" s="2805"/>
      <c r="TZL74" s="2805"/>
      <c r="TZM74" s="2805"/>
      <c r="TZN74" s="2805"/>
      <c r="TZO74" s="2805"/>
      <c r="TZP74" s="2805"/>
      <c r="TZQ74" s="2805"/>
      <c r="TZR74" s="2805"/>
      <c r="TZS74" s="2805"/>
      <c r="TZT74" s="2805"/>
      <c r="TZU74" s="2805"/>
      <c r="TZV74" s="2805"/>
      <c r="TZW74" s="2805"/>
      <c r="TZX74" s="2805"/>
      <c r="TZY74" s="2805"/>
      <c r="TZZ74" s="2805"/>
      <c r="UAA74" s="2805"/>
      <c r="UAB74" s="2805"/>
      <c r="UAC74" s="2805"/>
      <c r="UAD74" s="2805"/>
      <c r="UAE74" s="2805"/>
      <c r="UAF74" s="2805"/>
      <c r="UAG74" s="2805"/>
      <c r="UAH74" s="2805"/>
      <c r="UAI74" s="2805"/>
      <c r="UAJ74" s="2805"/>
      <c r="UAK74" s="2805"/>
      <c r="UAL74" s="2805"/>
      <c r="UAM74" s="2805"/>
      <c r="UAN74" s="2805"/>
      <c r="UAO74" s="2805"/>
      <c r="UAP74" s="2805"/>
      <c r="UAQ74" s="2805"/>
      <c r="UAR74" s="2805"/>
      <c r="UAS74" s="2805"/>
      <c r="UAT74" s="2805"/>
      <c r="UAU74" s="2805"/>
      <c r="UAV74" s="2805"/>
      <c r="UAW74" s="2805"/>
      <c r="UAX74" s="2805"/>
      <c r="UAY74" s="2805"/>
      <c r="UAZ74" s="2805"/>
      <c r="UBA74" s="2805"/>
      <c r="UBB74" s="2805"/>
      <c r="UBC74" s="2805"/>
      <c r="UBD74" s="2805"/>
      <c r="UBE74" s="2805"/>
      <c r="UBF74" s="2805"/>
      <c r="UBG74" s="2805"/>
      <c r="UBH74" s="2805"/>
      <c r="UBI74" s="2805"/>
      <c r="UBJ74" s="2805"/>
      <c r="UBK74" s="2805"/>
      <c r="UBL74" s="2805"/>
      <c r="UBM74" s="2805"/>
      <c r="UBN74" s="2805"/>
      <c r="UBO74" s="2805"/>
      <c r="UBP74" s="2805"/>
      <c r="UBQ74" s="2805"/>
      <c r="UBR74" s="2805"/>
      <c r="UBS74" s="2805"/>
      <c r="UBT74" s="2805"/>
      <c r="UBU74" s="2805"/>
      <c r="UBV74" s="2805"/>
      <c r="UBW74" s="2805"/>
      <c r="UBX74" s="2805"/>
      <c r="UBY74" s="2805"/>
      <c r="UBZ74" s="2805"/>
      <c r="UCA74" s="2805"/>
      <c r="UCB74" s="2805"/>
      <c r="UCC74" s="2805"/>
      <c r="UCD74" s="2805"/>
      <c r="UCE74" s="2805"/>
      <c r="UCF74" s="2805"/>
      <c r="UCG74" s="2805"/>
      <c r="UCH74" s="2805"/>
      <c r="UCI74" s="2805"/>
      <c r="UCJ74" s="2805"/>
      <c r="UCK74" s="2805"/>
      <c r="UCL74" s="2805"/>
      <c r="UCM74" s="2805"/>
      <c r="UCN74" s="2805"/>
      <c r="UCO74" s="2805"/>
      <c r="UCP74" s="2805"/>
      <c r="UCQ74" s="2805"/>
      <c r="UCR74" s="2805"/>
      <c r="UCS74" s="2805"/>
      <c r="UCT74" s="2805"/>
      <c r="UCU74" s="2805"/>
      <c r="UCV74" s="2805"/>
      <c r="UCW74" s="2805"/>
      <c r="UCX74" s="2805"/>
      <c r="UCY74" s="2805"/>
      <c r="UCZ74" s="2805"/>
      <c r="UDA74" s="2805"/>
      <c r="UDB74" s="2805"/>
      <c r="UDC74" s="2805"/>
      <c r="UDD74" s="2805"/>
      <c r="UDE74" s="2805"/>
      <c r="UDF74" s="2805"/>
      <c r="UDG74" s="2805"/>
      <c r="UDH74" s="2805"/>
      <c r="UDI74" s="2805"/>
      <c r="UDJ74" s="2805"/>
      <c r="UDK74" s="2805"/>
      <c r="UDL74" s="2805"/>
      <c r="UDM74" s="2805"/>
      <c r="UDN74" s="2805"/>
      <c r="UDO74" s="2805"/>
      <c r="UDP74" s="2805"/>
      <c r="UDQ74" s="2805"/>
      <c r="UDR74" s="2805"/>
      <c r="UDS74" s="2805"/>
      <c r="UDT74" s="2805"/>
      <c r="UDU74" s="2805"/>
      <c r="UDV74" s="2805"/>
      <c r="UDW74" s="2805"/>
      <c r="UDX74" s="2805"/>
      <c r="UDY74" s="2805"/>
      <c r="UDZ74" s="2805"/>
      <c r="UEA74" s="2805"/>
      <c r="UEB74" s="2805"/>
      <c r="UEC74" s="2805"/>
      <c r="UED74" s="2805"/>
      <c r="UEE74" s="2805"/>
      <c r="UEF74" s="2805"/>
      <c r="UEG74" s="2805"/>
      <c r="UEH74" s="2805"/>
      <c r="UEI74" s="2805"/>
      <c r="UEJ74" s="2805"/>
      <c r="UEK74" s="2805"/>
      <c r="UEL74" s="2805"/>
      <c r="UEM74" s="2805"/>
      <c r="UEN74" s="2805"/>
      <c r="UEO74" s="2805"/>
      <c r="UEP74" s="2805"/>
      <c r="UEQ74" s="2805"/>
      <c r="UER74" s="2805"/>
      <c r="UES74" s="2805"/>
      <c r="UET74" s="2805"/>
      <c r="UEU74" s="2805"/>
      <c r="UEV74" s="2805"/>
      <c r="UEW74" s="2805"/>
      <c r="UEX74" s="2805"/>
      <c r="UEY74" s="2805"/>
      <c r="UEZ74" s="2805"/>
      <c r="UFA74" s="2805"/>
      <c r="UFB74" s="2805"/>
      <c r="UFC74" s="2805"/>
      <c r="UFD74" s="2805"/>
      <c r="UFE74" s="2805"/>
      <c r="UFF74" s="2805"/>
      <c r="UFG74" s="2805"/>
      <c r="UFH74" s="2805"/>
      <c r="UFI74" s="2805"/>
      <c r="UFJ74" s="2805"/>
      <c r="UFK74" s="2805"/>
      <c r="UFL74" s="2805"/>
      <c r="UFM74" s="2805"/>
      <c r="UFN74" s="2805"/>
      <c r="UFO74" s="2805"/>
      <c r="UFP74" s="2805"/>
      <c r="UFQ74" s="2805"/>
      <c r="UFR74" s="2805"/>
      <c r="UFS74" s="2805"/>
      <c r="UFT74" s="2805"/>
      <c r="UFU74" s="2805"/>
      <c r="UFV74" s="2805"/>
      <c r="UFW74" s="2805"/>
      <c r="UFX74" s="2805"/>
      <c r="UFY74" s="2805"/>
      <c r="UFZ74" s="2805"/>
      <c r="UGA74" s="2805"/>
      <c r="UGB74" s="2805"/>
      <c r="UGC74" s="2805"/>
      <c r="UGD74" s="2805"/>
      <c r="UGE74" s="2805"/>
      <c r="UGF74" s="2805"/>
      <c r="UGG74" s="2805"/>
      <c r="UGH74" s="2805"/>
      <c r="UGI74" s="2805"/>
      <c r="UGJ74" s="2805"/>
      <c r="UGK74" s="2805"/>
      <c r="UGL74" s="2805"/>
      <c r="UGM74" s="2805"/>
      <c r="UGN74" s="2805"/>
      <c r="UGO74" s="2805"/>
      <c r="UGP74" s="2805"/>
      <c r="UGQ74" s="2805"/>
      <c r="UGR74" s="2805"/>
      <c r="UGS74" s="2805"/>
      <c r="UGT74" s="2805"/>
      <c r="UGU74" s="2805"/>
      <c r="UGV74" s="2805"/>
      <c r="UGW74" s="2805"/>
      <c r="UGX74" s="2805"/>
      <c r="UGY74" s="2805"/>
      <c r="UGZ74" s="2805"/>
      <c r="UHA74" s="2805"/>
      <c r="UHB74" s="2805"/>
      <c r="UHC74" s="2805"/>
      <c r="UHD74" s="2805"/>
      <c r="UHE74" s="2805"/>
      <c r="UHF74" s="2805"/>
      <c r="UHG74" s="2805"/>
      <c r="UHH74" s="2805"/>
      <c r="UHI74" s="2805"/>
      <c r="UHJ74" s="2805"/>
      <c r="UHK74" s="2805"/>
      <c r="UHL74" s="2805"/>
      <c r="UHM74" s="2805"/>
      <c r="UHN74" s="2805"/>
      <c r="UHO74" s="2805"/>
      <c r="UHP74" s="2805"/>
      <c r="UHQ74" s="2805"/>
      <c r="UHR74" s="2805"/>
      <c r="UHS74" s="2805"/>
      <c r="UHT74" s="2805"/>
      <c r="UHU74" s="2805"/>
      <c r="UHV74" s="2805"/>
      <c r="UHW74" s="2805"/>
      <c r="UHX74" s="2805"/>
      <c r="UHY74" s="2805"/>
      <c r="UHZ74" s="2805"/>
      <c r="UIA74" s="2805"/>
      <c r="UIB74" s="2805"/>
      <c r="UIC74" s="2805"/>
      <c r="UID74" s="2805"/>
      <c r="UIE74" s="2805"/>
      <c r="UIF74" s="2805"/>
      <c r="UIG74" s="2805"/>
      <c r="UIH74" s="2805"/>
      <c r="UII74" s="2805"/>
      <c r="UIJ74" s="2805"/>
      <c r="UIK74" s="2805"/>
      <c r="UIL74" s="2805"/>
      <c r="UIM74" s="2805"/>
      <c r="UIN74" s="2805"/>
      <c r="UIO74" s="2805"/>
      <c r="UIP74" s="2805"/>
      <c r="UIQ74" s="2805"/>
      <c r="UIR74" s="2805"/>
      <c r="UIS74" s="2805"/>
      <c r="UIT74" s="2805"/>
      <c r="UIU74" s="2805"/>
      <c r="UIV74" s="2805"/>
      <c r="UIW74" s="2805"/>
      <c r="UIX74" s="2805"/>
      <c r="UIY74" s="2805"/>
      <c r="UIZ74" s="2805"/>
      <c r="UJA74" s="2805"/>
      <c r="UJB74" s="2805"/>
      <c r="UJC74" s="2805"/>
      <c r="UJD74" s="2805"/>
      <c r="UJE74" s="2805"/>
      <c r="UJF74" s="2805"/>
      <c r="UJG74" s="2805"/>
      <c r="UJH74" s="2805"/>
      <c r="UJI74" s="2805"/>
      <c r="UJJ74" s="2805"/>
      <c r="UJK74" s="2805"/>
      <c r="UJL74" s="2805"/>
      <c r="UJM74" s="2805"/>
      <c r="UJN74" s="2805"/>
      <c r="UJO74" s="2805"/>
      <c r="UJP74" s="2805"/>
      <c r="UJQ74" s="2805"/>
      <c r="UJR74" s="2805"/>
      <c r="UJS74" s="2805"/>
      <c r="UJT74" s="2805"/>
      <c r="UJU74" s="2805"/>
      <c r="UJV74" s="2805"/>
      <c r="UJW74" s="2805"/>
      <c r="UJX74" s="2805"/>
      <c r="UJY74" s="2805"/>
      <c r="UJZ74" s="2805"/>
      <c r="UKA74" s="2805"/>
      <c r="UKB74" s="2805"/>
      <c r="UKC74" s="2805"/>
      <c r="UKD74" s="2805"/>
      <c r="UKE74" s="2805"/>
      <c r="UKF74" s="2805"/>
      <c r="UKG74" s="2805"/>
      <c r="UKH74" s="2805"/>
      <c r="UKI74" s="2805"/>
      <c r="UKJ74" s="2805"/>
      <c r="UKK74" s="2805"/>
      <c r="UKL74" s="2805"/>
      <c r="UKM74" s="2805"/>
      <c r="UKN74" s="2805"/>
      <c r="UKO74" s="2805"/>
      <c r="UKP74" s="2805"/>
      <c r="UKQ74" s="2805"/>
      <c r="UKR74" s="2805"/>
      <c r="UKS74" s="2805"/>
      <c r="UKT74" s="2805"/>
      <c r="UKU74" s="2805"/>
      <c r="UKV74" s="2805"/>
      <c r="UKW74" s="2805"/>
      <c r="UKX74" s="2805"/>
      <c r="UKY74" s="2805"/>
      <c r="UKZ74" s="2805"/>
      <c r="ULA74" s="2805"/>
      <c r="ULB74" s="2805"/>
      <c r="ULC74" s="2805"/>
      <c r="ULD74" s="2805"/>
      <c r="ULE74" s="2805"/>
      <c r="ULF74" s="2805"/>
      <c r="ULG74" s="2805"/>
      <c r="ULH74" s="2805"/>
      <c r="ULI74" s="2805"/>
      <c r="ULJ74" s="2805"/>
      <c r="ULK74" s="2805"/>
      <c r="ULL74" s="2805"/>
      <c r="ULM74" s="2805"/>
      <c r="ULN74" s="2805"/>
      <c r="ULO74" s="2805"/>
      <c r="ULP74" s="2805"/>
      <c r="ULQ74" s="2805"/>
      <c r="ULR74" s="2805"/>
      <c r="ULS74" s="2805"/>
      <c r="ULT74" s="2805"/>
      <c r="ULU74" s="2805"/>
      <c r="ULV74" s="2805"/>
      <c r="ULW74" s="2805"/>
      <c r="ULX74" s="2805"/>
      <c r="ULY74" s="2805"/>
      <c r="ULZ74" s="2805"/>
      <c r="UMA74" s="2805"/>
      <c r="UMB74" s="2805"/>
      <c r="UMC74" s="2805"/>
      <c r="UMD74" s="2805"/>
      <c r="UME74" s="2805"/>
      <c r="UMF74" s="2805"/>
      <c r="UMG74" s="2805"/>
      <c r="UMH74" s="2805"/>
      <c r="UMI74" s="2805"/>
      <c r="UMJ74" s="2805"/>
      <c r="UMK74" s="2805"/>
      <c r="UML74" s="2805"/>
      <c r="UMM74" s="2805"/>
      <c r="UMN74" s="2805"/>
      <c r="UMO74" s="2805"/>
      <c r="UMP74" s="2805"/>
      <c r="UMQ74" s="2805"/>
      <c r="UMR74" s="2805"/>
      <c r="UMS74" s="2805"/>
      <c r="UMT74" s="2805"/>
      <c r="UMU74" s="2805"/>
      <c r="UMV74" s="2805"/>
      <c r="UMW74" s="2805"/>
      <c r="UMX74" s="2805"/>
      <c r="UMY74" s="2805"/>
      <c r="UMZ74" s="2805"/>
      <c r="UNA74" s="2805"/>
      <c r="UNB74" s="2805"/>
      <c r="UNC74" s="2805"/>
      <c r="UND74" s="2805"/>
      <c r="UNE74" s="2805"/>
      <c r="UNF74" s="2805"/>
      <c r="UNG74" s="2805"/>
      <c r="UNH74" s="2805"/>
      <c r="UNI74" s="2805"/>
      <c r="UNJ74" s="2805"/>
      <c r="UNK74" s="2805"/>
      <c r="UNL74" s="2805"/>
      <c r="UNM74" s="2805"/>
      <c r="UNN74" s="2805"/>
      <c r="UNO74" s="2805"/>
      <c r="UNP74" s="2805"/>
      <c r="UNQ74" s="2805"/>
      <c r="UNR74" s="2805"/>
      <c r="UNS74" s="2805"/>
      <c r="UNT74" s="2805"/>
      <c r="UNU74" s="2805"/>
      <c r="UNV74" s="2805"/>
      <c r="UNW74" s="2805"/>
      <c r="UNX74" s="2805"/>
      <c r="UNY74" s="2805"/>
      <c r="UNZ74" s="2805"/>
      <c r="UOA74" s="2805"/>
      <c r="UOB74" s="2805"/>
      <c r="UOC74" s="2805"/>
      <c r="UOD74" s="2805"/>
      <c r="UOE74" s="2805"/>
      <c r="UOF74" s="2805"/>
      <c r="UOG74" s="2805"/>
      <c r="UOH74" s="2805"/>
      <c r="UOI74" s="2805"/>
      <c r="UOJ74" s="2805"/>
      <c r="UOK74" s="2805"/>
      <c r="UOL74" s="2805"/>
      <c r="UOM74" s="2805"/>
      <c r="UON74" s="2805"/>
      <c r="UOO74" s="2805"/>
      <c r="UOP74" s="2805"/>
      <c r="UOQ74" s="2805"/>
      <c r="UOR74" s="2805"/>
      <c r="UOS74" s="2805"/>
      <c r="UOT74" s="2805"/>
      <c r="UOU74" s="2805"/>
      <c r="UOV74" s="2805"/>
      <c r="UOW74" s="2805"/>
      <c r="UOX74" s="2805"/>
      <c r="UOY74" s="2805"/>
      <c r="UOZ74" s="2805"/>
      <c r="UPA74" s="2805"/>
      <c r="UPB74" s="2805"/>
      <c r="UPC74" s="2805"/>
      <c r="UPD74" s="2805"/>
      <c r="UPE74" s="2805"/>
      <c r="UPF74" s="2805"/>
      <c r="UPG74" s="2805"/>
      <c r="UPH74" s="2805"/>
      <c r="UPI74" s="2805"/>
      <c r="UPJ74" s="2805"/>
      <c r="UPK74" s="2805"/>
      <c r="UPL74" s="2805"/>
      <c r="UPM74" s="2805"/>
      <c r="UPN74" s="2805"/>
      <c r="UPO74" s="2805"/>
      <c r="UPP74" s="2805"/>
      <c r="UPQ74" s="2805"/>
      <c r="UPR74" s="2805"/>
      <c r="UPS74" s="2805"/>
      <c r="UPT74" s="2805"/>
      <c r="UPU74" s="2805"/>
      <c r="UPV74" s="2805"/>
      <c r="UPW74" s="2805"/>
      <c r="UPX74" s="2805"/>
      <c r="UPY74" s="2805"/>
      <c r="UPZ74" s="2805"/>
      <c r="UQA74" s="2805"/>
      <c r="UQB74" s="2805"/>
      <c r="UQC74" s="2805"/>
      <c r="UQD74" s="2805"/>
      <c r="UQE74" s="2805"/>
      <c r="UQF74" s="2805"/>
      <c r="UQG74" s="2805"/>
      <c r="UQH74" s="2805"/>
      <c r="UQI74" s="2805"/>
      <c r="UQJ74" s="2805"/>
      <c r="UQK74" s="2805"/>
      <c r="UQL74" s="2805"/>
      <c r="UQM74" s="2805"/>
      <c r="UQN74" s="2805"/>
      <c r="UQO74" s="2805"/>
      <c r="UQP74" s="2805"/>
      <c r="UQQ74" s="2805"/>
      <c r="UQR74" s="2805"/>
      <c r="UQS74" s="2805"/>
      <c r="UQT74" s="2805"/>
      <c r="UQU74" s="2805"/>
      <c r="UQV74" s="2805"/>
      <c r="UQW74" s="2805"/>
      <c r="UQX74" s="2805"/>
      <c r="UQY74" s="2805"/>
      <c r="UQZ74" s="2805"/>
      <c r="URA74" s="2805"/>
      <c r="URB74" s="2805"/>
      <c r="URC74" s="2805"/>
      <c r="URD74" s="2805"/>
      <c r="URE74" s="2805"/>
      <c r="URF74" s="2805"/>
      <c r="URG74" s="2805"/>
      <c r="URH74" s="2805"/>
      <c r="URI74" s="2805"/>
      <c r="URJ74" s="2805"/>
      <c r="URK74" s="2805"/>
      <c r="URL74" s="2805"/>
      <c r="URM74" s="2805"/>
      <c r="URN74" s="2805"/>
      <c r="URO74" s="2805"/>
      <c r="URP74" s="2805"/>
      <c r="URQ74" s="2805"/>
      <c r="URR74" s="2805"/>
      <c r="URS74" s="2805"/>
      <c r="URT74" s="2805"/>
      <c r="URU74" s="2805"/>
      <c r="URV74" s="2805"/>
      <c r="URW74" s="2805"/>
      <c r="URX74" s="2805"/>
      <c r="URY74" s="2805"/>
      <c r="URZ74" s="2805"/>
      <c r="USA74" s="2805"/>
      <c r="USB74" s="2805"/>
      <c r="USC74" s="2805"/>
      <c r="USD74" s="2805"/>
      <c r="USE74" s="2805"/>
      <c r="USF74" s="2805"/>
      <c r="USG74" s="2805"/>
      <c r="USH74" s="2805"/>
      <c r="USI74" s="2805"/>
      <c r="USJ74" s="2805"/>
      <c r="USK74" s="2805"/>
      <c r="USL74" s="2805"/>
      <c r="USM74" s="2805"/>
      <c r="USN74" s="2805"/>
      <c r="USO74" s="2805"/>
      <c r="USP74" s="2805"/>
      <c r="USQ74" s="2805"/>
      <c r="USR74" s="2805"/>
      <c r="USS74" s="2805"/>
      <c r="UST74" s="2805"/>
      <c r="USU74" s="2805"/>
      <c r="USV74" s="2805"/>
      <c r="USW74" s="2805"/>
      <c r="USX74" s="2805"/>
      <c r="USY74" s="2805"/>
      <c r="USZ74" s="2805"/>
      <c r="UTA74" s="2805"/>
      <c r="UTB74" s="2805"/>
      <c r="UTC74" s="2805"/>
      <c r="UTD74" s="2805"/>
      <c r="UTE74" s="2805"/>
      <c r="UTF74" s="2805"/>
      <c r="UTG74" s="2805"/>
      <c r="UTH74" s="2805"/>
      <c r="UTI74" s="2805"/>
      <c r="UTJ74" s="2805"/>
      <c r="UTK74" s="2805"/>
      <c r="UTL74" s="2805"/>
      <c r="UTM74" s="2805"/>
      <c r="UTN74" s="2805"/>
      <c r="UTO74" s="2805"/>
      <c r="UTP74" s="2805"/>
      <c r="UTQ74" s="2805"/>
      <c r="UTR74" s="2805"/>
      <c r="UTS74" s="2805"/>
      <c r="UTT74" s="2805"/>
      <c r="UTU74" s="2805"/>
      <c r="UTV74" s="2805"/>
      <c r="UTW74" s="2805"/>
      <c r="UTX74" s="2805"/>
      <c r="UTY74" s="2805"/>
      <c r="UTZ74" s="2805"/>
      <c r="UUA74" s="2805"/>
      <c r="UUB74" s="2805"/>
      <c r="UUC74" s="2805"/>
      <c r="UUD74" s="2805"/>
      <c r="UUE74" s="2805"/>
      <c r="UUF74" s="2805"/>
      <c r="UUG74" s="2805"/>
      <c r="UUH74" s="2805"/>
      <c r="UUI74" s="2805"/>
      <c r="UUJ74" s="2805"/>
      <c r="UUK74" s="2805"/>
      <c r="UUL74" s="2805"/>
      <c r="UUM74" s="2805"/>
      <c r="UUN74" s="2805"/>
      <c r="UUO74" s="2805"/>
      <c r="UUP74" s="2805"/>
      <c r="UUQ74" s="2805"/>
      <c r="UUR74" s="2805"/>
      <c r="UUS74" s="2805"/>
      <c r="UUT74" s="2805"/>
      <c r="UUU74" s="2805"/>
      <c r="UUV74" s="2805"/>
      <c r="UUW74" s="2805"/>
      <c r="UUX74" s="2805"/>
      <c r="UUY74" s="2805"/>
      <c r="UUZ74" s="2805"/>
      <c r="UVA74" s="2805"/>
      <c r="UVB74" s="2805"/>
      <c r="UVC74" s="2805"/>
      <c r="UVD74" s="2805"/>
      <c r="UVE74" s="2805"/>
      <c r="UVF74" s="2805"/>
      <c r="UVG74" s="2805"/>
      <c r="UVH74" s="2805"/>
      <c r="UVI74" s="2805"/>
      <c r="UVJ74" s="2805"/>
      <c r="UVK74" s="2805"/>
      <c r="UVL74" s="2805"/>
      <c r="UVM74" s="2805"/>
      <c r="UVN74" s="2805"/>
      <c r="UVO74" s="2805"/>
      <c r="UVP74" s="2805"/>
      <c r="UVQ74" s="2805"/>
      <c r="UVR74" s="2805"/>
      <c r="UVS74" s="2805"/>
      <c r="UVT74" s="2805"/>
      <c r="UVU74" s="2805"/>
      <c r="UVV74" s="2805"/>
      <c r="UVW74" s="2805"/>
      <c r="UVX74" s="2805"/>
      <c r="UVY74" s="2805"/>
      <c r="UVZ74" s="2805"/>
      <c r="UWA74" s="2805"/>
      <c r="UWB74" s="2805"/>
      <c r="UWC74" s="2805"/>
      <c r="UWD74" s="2805"/>
      <c r="UWE74" s="2805"/>
      <c r="UWF74" s="2805"/>
      <c r="UWG74" s="2805"/>
      <c r="UWH74" s="2805"/>
      <c r="UWI74" s="2805"/>
      <c r="UWJ74" s="2805"/>
      <c r="UWK74" s="2805"/>
      <c r="UWL74" s="2805"/>
      <c r="UWM74" s="2805"/>
      <c r="UWN74" s="2805"/>
      <c r="UWO74" s="2805"/>
      <c r="UWP74" s="2805"/>
      <c r="UWQ74" s="2805"/>
      <c r="UWR74" s="2805"/>
      <c r="UWS74" s="2805"/>
      <c r="UWT74" s="2805"/>
      <c r="UWU74" s="2805"/>
      <c r="UWV74" s="2805"/>
      <c r="UWW74" s="2805"/>
      <c r="UWX74" s="2805"/>
      <c r="UWY74" s="2805"/>
      <c r="UWZ74" s="2805"/>
      <c r="UXA74" s="2805"/>
      <c r="UXB74" s="2805"/>
      <c r="UXC74" s="2805"/>
      <c r="UXD74" s="2805"/>
      <c r="UXE74" s="2805"/>
      <c r="UXF74" s="2805"/>
      <c r="UXG74" s="2805"/>
      <c r="UXH74" s="2805"/>
      <c r="UXI74" s="2805"/>
      <c r="UXJ74" s="2805"/>
      <c r="UXK74" s="2805"/>
      <c r="UXL74" s="2805"/>
      <c r="UXM74" s="2805"/>
      <c r="UXN74" s="2805"/>
      <c r="UXO74" s="2805"/>
      <c r="UXP74" s="2805"/>
      <c r="UXQ74" s="2805"/>
      <c r="UXR74" s="2805"/>
      <c r="UXS74" s="2805"/>
      <c r="UXT74" s="2805"/>
      <c r="UXU74" s="2805"/>
      <c r="UXV74" s="2805"/>
      <c r="UXW74" s="2805"/>
      <c r="UXX74" s="2805"/>
      <c r="UXY74" s="2805"/>
      <c r="UXZ74" s="2805"/>
      <c r="UYA74" s="2805"/>
      <c r="UYB74" s="2805"/>
      <c r="UYC74" s="2805"/>
      <c r="UYD74" s="2805"/>
      <c r="UYE74" s="2805"/>
      <c r="UYF74" s="2805"/>
      <c r="UYG74" s="2805"/>
      <c r="UYH74" s="2805"/>
      <c r="UYI74" s="2805"/>
      <c r="UYJ74" s="2805"/>
      <c r="UYK74" s="2805"/>
      <c r="UYL74" s="2805"/>
      <c r="UYM74" s="2805"/>
      <c r="UYN74" s="2805"/>
      <c r="UYO74" s="2805"/>
      <c r="UYP74" s="2805"/>
      <c r="UYQ74" s="2805"/>
      <c r="UYR74" s="2805"/>
      <c r="UYS74" s="2805"/>
      <c r="UYT74" s="2805"/>
      <c r="UYU74" s="2805"/>
      <c r="UYV74" s="2805"/>
      <c r="UYW74" s="2805"/>
      <c r="UYX74" s="2805"/>
      <c r="UYY74" s="2805"/>
      <c r="UYZ74" s="2805"/>
      <c r="UZA74" s="2805"/>
      <c r="UZB74" s="2805"/>
      <c r="UZC74" s="2805"/>
      <c r="UZD74" s="2805"/>
      <c r="UZE74" s="2805"/>
      <c r="UZF74" s="2805"/>
      <c r="UZG74" s="2805"/>
      <c r="UZH74" s="2805"/>
      <c r="UZI74" s="2805"/>
      <c r="UZJ74" s="2805"/>
      <c r="UZK74" s="2805"/>
      <c r="UZL74" s="2805"/>
      <c r="UZM74" s="2805"/>
      <c r="UZN74" s="2805"/>
      <c r="UZO74" s="2805"/>
      <c r="UZP74" s="2805"/>
      <c r="UZQ74" s="2805"/>
      <c r="UZR74" s="2805"/>
      <c r="UZS74" s="2805"/>
      <c r="UZT74" s="2805"/>
      <c r="UZU74" s="2805"/>
      <c r="UZV74" s="2805"/>
      <c r="UZW74" s="2805"/>
      <c r="UZX74" s="2805"/>
      <c r="UZY74" s="2805"/>
      <c r="UZZ74" s="2805"/>
      <c r="VAA74" s="2805"/>
      <c r="VAB74" s="2805"/>
      <c r="VAC74" s="2805"/>
      <c r="VAD74" s="2805"/>
      <c r="VAE74" s="2805"/>
      <c r="VAF74" s="2805"/>
      <c r="VAG74" s="2805"/>
      <c r="VAH74" s="2805"/>
      <c r="VAI74" s="2805"/>
      <c r="VAJ74" s="2805"/>
      <c r="VAK74" s="2805"/>
      <c r="VAL74" s="2805"/>
      <c r="VAM74" s="2805"/>
      <c r="VAN74" s="2805"/>
      <c r="VAO74" s="2805"/>
      <c r="VAP74" s="2805"/>
      <c r="VAQ74" s="2805"/>
      <c r="VAR74" s="2805"/>
      <c r="VAS74" s="2805"/>
      <c r="VAT74" s="2805"/>
      <c r="VAU74" s="2805"/>
      <c r="VAV74" s="2805"/>
      <c r="VAW74" s="2805"/>
      <c r="VAX74" s="2805"/>
      <c r="VAY74" s="2805"/>
      <c r="VAZ74" s="2805"/>
      <c r="VBA74" s="2805"/>
      <c r="VBB74" s="2805"/>
      <c r="VBC74" s="2805"/>
      <c r="VBD74" s="2805"/>
      <c r="VBE74" s="2805"/>
      <c r="VBF74" s="2805"/>
      <c r="VBG74" s="2805"/>
      <c r="VBH74" s="2805"/>
      <c r="VBI74" s="2805"/>
      <c r="VBJ74" s="2805"/>
      <c r="VBK74" s="2805"/>
      <c r="VBL74" s="2805"/>
      <c r="VBM74" s="2805"/>
      <c r="VBN74" s="2805"/>
      <c r="VBO74" s="2805"/>
      <c r="VBP74" s="2805"/>
      <c r="VBQ74" s="2805"/>
      <c r="VBR74" s="2805"/>
      <c r="VBS74" s="2805"/>
      <c r="VBT74" s="2805"/>
      <c r="VBU74" s="2805"/>
      <c r="VBV74" s="2805"/>
      <c r="VBW74" s="2805"/>
      <c r="VBX74" s="2805"/>
      <c r="VBY74" s="2805"/>
      <c r="VBZ74" s="2805"/>
      <c r="VCA74" s="2805"/>
      <c r="VCB74" s="2805"/>
      <c r="VCC74" s="2805"/>
      <c r="VCD74" s="2805"/>
      <c r="VCE74" s="2805"/>
      <c r="VCF74" s="2805"/>
      <c r="VCG74" s="2805"/>
      <c r="VCH74" s="2805"/>
      <c r="VCI74" s="2805"/>
      <c r="VCJ74" s="2805"/>
      <c r="VCK74" s="2805"/>
      <c r="VCL74" s="2805"/>
      <c r="VCM74" s="2805"/>
      <c r="VCN74" s="2805"/>
      <c r="VCO74" s="2805"/>
      <c r="VCP74" s="2805"/>
      <c r="VCQ74" s="2805"/>
      <c r="VCR74" s="2805"/>
      <c r="VCS74" s="2805"/>
      <c r="VCT74" s="2805"/>
      <c r="VCU74" s="2805"/>
      <c r="VCV74" s="2805"/>
      <c r="VCW74" s="2805"/>
      <c r="VCX74" s="2805"/>
      <c r="VCY74" s="2805"/>
      <c r="VCZ74" s="2805"/>
      <c r="VDA74" s="2805"/>
      <c r="VDB74" s="2805"/>
      <c r="VDC74" s="2805"/>
      <c r="VDD74" s="2805"/>
      <c r="VDE74" s="2805"/>
      <c r="VDF74" s="2805"/>
      <c r="VDG74" s="2805"/>
      <c r="VDH74" s="2805"/>
      <c r="VDI74" s="2805"/>
      <c r="VDJ74" s="2805"/>
      <c r="VDK74" s="2805"/>
      <c r="VDL74" s="2805"/>
      <c r="VDM74" s="2805"/>
      <c r="VDN74" s="2805"/>
      <c r="VDO74" s="2805"/>
      <c r="VDP74" s="2805"/>
      <c r="VDQ74" s="2805"/>
      <c r="VDR74" s="2805"/>
      <c r="VDS74" s="2805"/>
      <c r="VDT74" s="2805"/>
      <c r="VDU74" s="2805"/>
      <c r="VDV74" s="2805"/>
      <c r="VDW74" s="2805"/>
      <c r="VDX74" s="2805"/>
      <c r="VDY74" s="2805"/>
      <c r="VDZ74" s="2805"/>
      <c r="VEA74" s="2805"/>
      <c r="VEB74" s="2805"/>
      <c r="VEC74" s="2805"/>
      <c r="VED74" s="2805"/>
      <c r="VEE74" s="2805"/>
      <c r="VEF74" s="2805"/>
      <c r="VEG74" s="2805"/>
      <c r="VEH74" s="2805"/>
      <c r="VEI74" s="2805"/>
      <c r="VEJ74" s="2805"/>
      <c r="VEK74" s="2805"/>
      <c r="VEL74" s="2805"/>
      <c r="VEM74" s="2805"/>
      <c r="VEN74" s="2805"/>
      <c r="VEO74" s="2805"/>
      <c r="VEP74" s="2805"/>
      <c r="VEQ74" s="2805"/>
      <c r="VER74" s="2805"/>
      <c r="VES74" s="2805"/>
      <c r="VET74" s="2805"/>
      <c r="VEU74" s="2805"/>
      <c r="VEV74" s="2805"/>
      <c r="VEW74" s="2805"/>
      <c r="VEX74" s="2805"/>
      <c r="VEY74" s="2805"/>
      <c r="VEZ74" s="2805"/>
      <c r="VFA74" s="2805"/>
      <c r="VFB74" s="2805"/>
      <c r="VFC74" s="2805"/>
      <c r="VFD74" s="2805"/>
      <c r="VFE74" s="2805"/>
      <c r="VFF74" s="2805"/>
      <c r="VFG74" s="2805"/>
      <c r="VFH74" s="2805"/>
      <c r="VFI74" s="2805"/>
      <c r="VFJ74" s="2805"/>
      <c r="VFK74" s="2805"/>
      <c r="VFL74" s="2805"/>
      <c r="VFM74" s="2805"/>
      <c r="VFN74" s="2805"/>
      <c r="VFO74" s="2805"/>
      <c r="VFP74" s="2805"/>
      <c r="VFQ74" s="2805"/>
      <c r="VFR74" s="2805"/>
      <c r="VFS74" s="2805"/>
      <c r="VFT74" s="2805"/>
      <c r="VFU74" s="2805"/>
      <c r="VFV74" s="2805"/>
      <c r="VFW74" s="2805"/>
      <c r="VFX74" s="2805"/>
      <c r="VFY74" s="2805"/>
      <c r="VFZ74" s="2805"/>
      <c r="VGA74" s="2805"/>
      <c r="VGB74" s="2805"/>
      <c r="VGC74" s="2805"/>
      <c r="VGD74" s="2805"/>
      <c r="VGE74" s="2805"/>
      <c r="VGF74" s="2805"/>
      <c r="VGG74" s="2805"/>
      <c r="VGH74" s="2805"/>
      <c r="VGI74" s="2805"/>
      <c r="VGJ74" s="2805"/>
      <c r="VGK74" s="2805"/>
      <c r="VGL74" s="2805"/>
      <c r="VGM74" s="2805"/>
      <c r="VGN74" s="2805"/>
      <c r="VGO74" s="2805"/>
      <c r="VGP74" s="2805"/>
      <c r="VGQ74" s="2805"/>
      <c r="VGR74" s="2805"/>
      <c r="VGS74" s="2805"/>
      <c r="VGT74" s="2805"/>
      <c r="VGU74" s="2805"/>
      <c r="VGV74" s="2805"/>
      <c r="VGW74" s="2805"/>
      <c r="VGX74" s="2805"/>
      <c r="VGY74" s="2805"/>
      <c r="VGZ74" s="2805"/>
      <c r="VHA74" s="2805"/>
      <c r="VHB74" s="2805"/>
      <c r="VHC74" s="2805"/>
      <c r="VHD74" s="2805"/>
      <c r="VHE74" s="2805"/>
      <c r="VHF74" s="2805"/>
      <c r="VHG74" s="2805"/>
      <c r="VHH74" s="2805"/>
      <c r="VHI74" s="2805"/>
      <c r="VHJ74" s="2805"/>
      <c r="VHK74" s="2805"/>
      <c r="VHL74" s="2805"/>
      <c r="VHM74" s="2805"/>
      <c r="VHN74" s="2805"/>
      <c r="VHO74" s="2805"/>
      <c r="VHP74" s="2805"/>
      <c r="VHQ74" s="2805"/>
      <c r="VHR74" s="2805"/>
      <c r="VHS74" s="2805"/>
      <c r="VHT74" s="2805"/>
      <c r="VHU74" s="2805"/>
      <c r="VHV74" s="2805"/>
      <c r="VHW74" s="2805"/>
      <c r="VHX74" s="2805"/>
      <c r="VHY74" s="2805"/>
      <c r="VHZ74" s="2805"/>
      <c r="VIA74" s="2805"/>
      <c r="VIB74" s="2805"/>
      <c r="VIC74" s="2805"/>
      <c r="VID74" s="2805"/>
      <c r="VIE74" s="2805"/>
      <c r="VIF74" s="2805"/>
      <c r="VIG74" s="2805"/>
      <c r="VIH74" s="2805"/>
      <c r="VII74" s="2805"/>
      <c r="VIJ74" s="2805"/>
      <c r="VIK74" s="2805"/>
      <c r="VIL74" s="2805"/>
      <c r="VIM74" s="2805"/>
      <c r="VIN74" s="2805"/>
      <c r="VIO74" s="2805"/>
      <c r="VIP74" s="2805"/>
      <c r="VIQ74" s="2805"/>
      <c r="VIR74" s="2805"/>
      <c r="VIS74" s="2805"/>
      <c r="VIT74" s="2805"/>
      <c r="VIU74" s="2805"/>
      <c r="VIV74" s="2805"/>
      <c r="VIW74" s="2805"/>
      <c r="VIX74" s="2805"/>
      <c r="VIY74" s="2805"/>
      <c r="VIZ74" s="2805"/>
      <c r="VJA74" s="2805"/>
      <c r="VJB74" s="2805"/>
      <c r="VJC74" s="2805"/>
      <c r="VJD74" s="2805"/>
      <c r="VJE74" s="2805"/>
      <c r="VJF74" s="2805"/>
      <c r="VJG74" s="2805"/>
      <c r="VJH74" s="2805"/>
      <c r="VJI74" s="2805"/>
      <c r="VJJ74" s="2805"/>
      <c r="VJK74" s="2805"/>
      <c r="VJL74" s="2805"/>
      <c r="VJM74" s="2805"/>
      <c r="VJN74" s="2805"/>
      <c r="VJO74" s="2805"/>
      <c r="VJP74" s="2805"/>
      <c r="VJQ74" s="2805"/>
      <c r="VJR74" s="2805"/>
      <c r="VJS74" s="2805"/>
      <c r="VJT74" s="2805"/>
      <c r="VJU74" s="2805"/>
      <c r="VJV74" s="2805"/>
      <c r="VJW74" s="2805"/>
      <c r="VJX74" s="2805"/>
      <c r="VJY74" s="2805"/>
      <c r="VJZ74" s="2805"/>
      <c r="VKA74" s="2805"/>
      <c r="VKB74" s="2805"/>
      <c r="VKC74" s="2805"/>
      <c r="VKD74" s="2805"/>
      <c r="VKE74" s="2805"/>
      <c r="VKF74" s="2805"/>
      <c r="VKG74" s="2805"/>
      <c r="VKH74" s="2805"/>
      <c r="VKI74" s="2805"/>
      <c r="VKJ74" s="2805"/>
      <c r="VKK74" s="2805"/>
      <c r="VKL74" s="2805"/>
      <c r="VKM74" s="2805"/>
      <c r="VKN74" s="2805"/>
      <c r="VKO74" s="2805"/>
      <c r="VKP74" s="2805"/>
      <c r="VKQ74" s="2805"/>
      <c r="VKR74" s="2805"/>
      <c r="VKS74" s="2805"/>
      <c r="VKT74" s="2805"/>
      <c r="VKU74" s="2805"/>
      <c r="VKV74" s="2805"/>
      <c r="VKW74" s="2805"/>
      <c r="VKX74" s="2805"/>
      <c r="VKY74" s="2805"/>
      <c r="VKZ74" s="2805"/>
      <c r="VLA74" s="2805"/>
      <c r="VLB74" s="2805"/>
      <c r="VLC74" s="2805"/>
      <c r="VLD74" s="2805"/>
      <c r="VLE74" s="2805"/>
      <c r="VLF74" s="2805"/>
      <c r="VLG74" s="2805"/>
      <c r="VLH74" s="2805"/>
      <c r="VLI74" s="2805"/>
      <c r="VLJ74" s="2805"/>
      <c r="VLK74" s="2805"/>
      <c r="VLL74" s="2805"/>
      <c r="VLM74" s="2805"/>
      <c r="VLN74" s="2805"/>
      <c r="VLO74" s="2805"/>
      <c r="VLP74" s="2805"/>
      <c r="VLQ74" s="2805"/>
      <c r="VLR74" s="2805"/>
      <c r="VLS74" s="2805"/>
      <c r="VLT74" s="2805"/>
      <c r="VLU74" s="2805"/>
      <c r="VLV74" s="2805"/>
      <c r="VLW74" s="2805"/>
      <c r="VLX74" s="2805"/>
      <c r="VLY74" s="2805"/>
      <c r="VLZ74" s="2805"/>
      <c r="VMA74" s="2805"/>
      <c r="VMB74" s="2805"/>
      <c r="VMC74" s="2805"/>
      <c r="VMD74" s="2805"/>
      <c r="VME74" s="2805"/>
      <c r="VMF74" s="2805"/>
      <c r="VMG74" s="2805"/>
      <c r="VMH74" s="2805"/>
      <c r="VMI74" s="2805"/>
      <c r="VMJ74" s="2805"/>
      <c r="VMK74" s="2805"/>
      <c r="VML74" s="2805"/>
      <c r="VMM74" s="2805"/>
      <c r="VMN74" s="2805"/>
      <c r="VMO74" s="2805"/>
      <c r="VMP74" s="2805"/>
      <c r="VMQ74" s="2805"/>
      <c r="VMR74" s="2805"/>
      <c r="VMS74" s="2805"/>
      <c r="VMT74" s="2805"/>
      <c r="VMU74" s="2805"/>
      <c r="VMV74" s="2805"/>
      <c r="VMW74" s="2805"/>
      <c r="VMX74" s="2805"/>
      <c r="VMY74" s="2805"/>
      <c r="VMZ74" s="2805"/>
      <c r="VNA74" s="2805"/>
      <c r="VNB74" s="2805"/>
      <c r="VNC74" s="2805"/>
      <c r="VND74" s="2805"/>
      <c r="VNE74" s="2805"/>
      <c r="VNF74" s="2805"/>
      <c r="VNG74" s="2805"/>
      <c r="VNH74" s="2805"/>
      <c r="VNI74" s="2805"/>
      <c r="VNJ74" s="2805"/>
      <c r="VNK74" s="2805"/>
      <c r="VNL74" s="2805"/>
      <c r="VNM74" s="2805"/>
      <c r="VNN74" s="2805"/>
      <c r="VNO74" s="2805"/>
      <c r="VNP74" s="2805"/>
      <c r="VNQ74" s="2805"/>
      <c r="VNR74" s="2805"/>
      <c r="VNS74" s="2805"/>
      <c r="VNT74" s="2805"/>
      <c r="VNU74" s="2805"/>
      <c r="VNV74" s="2805"/>
      <c r="VNW74" s="2805"/>
      <c r="VNX74" s="2805"/>
      <c r="VNY74" s="2805"/>
      <c r="VNZ74" s="2805"/>
      <c r="VOA74" s="2805"/>
      <c r="VOB74" s="2805"/>
      <c r="VOC74" s="2805"/>
      <c r="VOD74" s="2805"/>
      <c r="VOE74" s="2805"/>
      <c r="VOF74" s="2805"/>
      <c r="VOG74" s="2805"/>
      <c r="VOH74" s="2805"/>
      <c r="VOI74" s="2805"/>
      <c r="VOJ74" s="2805"/>
      <c r="VOK74" s="2805"/>
      <c r="VOL74" s="2805"/>
      <c r="VOM74" s="2805"/>
      <c r="VON74" s="2805"/>
      <c r="VOO74" s="2805"/>
      <c r="VOP74" s="2805"/>
      <c r="VOQ74" s="2805"/>
      <c r="VOR74" s="2805"/>
      <c r="VOS74" s="2805"/>
      <c r="VOT74" s="2805"/>
      <c r="VOU74" s="2805"/>
      <c r="VOV74" s="2805"/>
      <c r="VOW74" s="2805"/>
      <c r="VOX74" s="2805"/>
      <c r="VOY74" s="2805"/>
      <c r="VOZ74" s="2805"/>
      <c r="VPA74" s="2805"/>
      <c r="VPB74" s="2805"/>
      <c r="VPC74" s="2805"/>
      <c r="VPD74" s="2805"/>
      <c r="VPE74" s="2805"/>
      <c r="VPF74" s="2805"/>
      <c r="VPG74" s="2805"/>
      <c r="VPH74" s="2805"/>
      <c r="VPI74" s="2805"/>
      <c r="VPJ74" s="2805"/>
      <c r="VPK74" s="2805"/>
      <c r="VPL74" s="2805"/>
      <c r="VPM74" s="2805"/>
      <c r="VPN74" s="2805"/>
      <c r="VPO74" s="2805"/>
      <c r="VPP74" s="2805"/>
      <c r="VPQ74" s="2805"/>
      <c r="VPR74" s="2805"/>
      <c r="VPS74" s="2805"/>
      <c r="VPT74" s="2805"/>
      <c r="VPU74" s="2805"/>
      <c r="VPV74" s="2805"/>
      <c r="VPW74" s="2805"/>
      <c r="VPX74" s="2805"/>
      <c r="VPY74" s="2805"/>
      <c r="VPZ74" s="2805"/>
      <c r="VQA74" s="2805"/>
      <c r="VQB74" s="2805"/>
      <c r="VQC74" s="2805"/>
      <c r="VQD74" s="2805"/>
      <c r="VQE74" s="2805"/>
      <c r="VQF74" s="2805"/>
      <c r="VQG74" s="2805"/>
      <c r="VQH74" s="2805"/>
      <c r="VQI74" s="2805"/>
      <c r="VQJ74" s="2805"/>
      <c r="VQK74" s="2805"/>
      <c r="VQL74" s="2805"/>
      <c r="VQM74" s="2805"/>
      <c r="VQN74" s="2805"/>
      <c r="VQO74" s="2805"/>
      <c r="VQP74" s="2805"/>
      <c r="VQQ74" s="2805"/>
      <c r="VQR74" s="2805"/>
      <c r="VQS74" s="2805"/>
      <c r="VQT74" s="2805"/>
      <c r="VQU74" s="2805"/>
      <c r="VQV74" s="2805"/>
      <c r="VQW74" s="2805"/>
      <c r="VQX74" s="2805"/>
      <c r="VQY74" s="2805"/>
      <c r="VQZ74" s="2805"/>
      <c r="VRA74" s="2805"/>
      <c r="VRB74" s="2805"/>
      <c r="VRC74" s="2805"/>
      <c r="VRD74" s="2805"/>
      <c r="VRE74" s="2805"/>
      <c r="VRF74" s="2805"/>
      <c r="VRG74" s="2805"/>
      <c r="VRH74" s="2805"/>
      <c r="VRI74" s="2805"/>
      <c r="VRJ74" s="2805"/>
      <c r="VRK74" s="2805"/>
      <c r="VRL74" s="2805"/>
      <c r="VRM74" s="2805"/>
      <c r="VRN74" s="2805"/>
      <c r="VRO74" s="2805"/>
      <c r="VRP74" s="2805"/>
      <c r="VRQ74" s="2805"/>
      <c r="VRR74" s="2805"/>
      <c r="VRS74" s="2805"/>
      <c r="VRT74" s="2805"/>
      <c r="VRU74" s="2805"/>
      <c r="VRV74" s="2805"/>
      <c r="VRW74" s="2805"/>
      <c r="VRX74" s="2805"/>
      <c r="VRY74" s="2805"/>
      <c r="VRZ74" s="2805"/>
      <c r="VSA74" s="2805"/>
      <c r="VSB74" s="2805"/>
      <c r="VSC74" s="2805"/>
      <c r="VSD74" s="2805"/>
      <c r="VSE74" s="2805"/>
      <c r="VSF74" s="2805"/>
      <c r="VSG74" s="2805"/>
      <c r="VSH74" s="2805"/>
      <c r="VSI74" s="2805"/>
      <c r="VSJ74" s="2805"/>
      <c r="VSK74" s="2805"/>
      <c r="VSL74" s="2805"/>
      <c r="VSM74" s="2805"/>
      <c r="VSN74" s="2805"/>
      <c r="VSO74" s="2805"/>
      <c r="VSP74" s="2805"/>
      <c r="VSQ74" s="2805"/>
      <c r="VSR74" s="2805"/>
      <c r="VSS74" s="2805"/>
      <c r="VST74" s="2805"/>
      <c r="VSU74" s="2805"/>
      <c r="VSV74" s="2805"/>
      <c r="VSW74" s="2805"/>
      <c r="VSX74" s="2805"/>
      <c r="VSY74" s="2805"/>
      <c r="VSZ74" s="2805"/>
      <c r="VTA74" s="2805"/>
      <c r="VTB74" s="2805"/>
      <c r="VTC74" s="2805"/>
      <c r="VTD74" s="2805"/>
      <c r="VTE74" s="2805"/>
      <c r="VTF74" s="2805"/>
      <c r="VTG74" s="2805"/>
      <c r="VTH74" s="2805"/>
      <c r="VTI74" s="2805"/>
      <c r="VTJ74" s="2805"/>
      <c r="VTK74" s="2805"/>
      <c r="VTL74" s="2805"/>
      <c r="VTM74" s="2805"/>
      <c r="VTN74" s="2805"/>
      <c r="VTO74" s="2805"/>
      <c r="VTP74" s="2805"/>
      <c r="VTQ74" s="2805"/>
      <c r="VTR74" s="2805"/>
      <c r="VTS74" s="2805"/>
      <c r="VTT74" s="2805"/>
      <c r="VTU74" s="2805"/>
      <c r="VTV74" s="2805"/>
      <c r="VTW74" s="2805"/>
      <c r="VTX74" s="2805"/>
      <c r="VTY74" s="2805"/>
      <c r="VTZ74" s="2805"/>
      <c r="VUA74" s="2805"/>
      <c r="VUB74" s="2805"/>
      <c r="VUC74" s="2805"/>
      <c r="VUD74" s="2805"/>
      <c r="VUE74" s="2805"/>
      <c r="VUF74" s="2805"/>
      <c r="VUG74" s="2805"/>
      <c r="VUH74" s="2805"/>
      <c r="VUI74" s="2805"/>
      <c r="VUJ74" s="2805"/>
      <c r="VUK74" s="2805"/>
      <c r="VUL74" s="2805"/>
      <c r="VUM74" s="2805"/>
      <c r="VUN74" s="2805"/>
      <c r="VUO74" s="2805"/>
      <c r="VUP74" s="2805"/>
      <c r="VUQ74" s="2805"/>
      <c r="VUR74" s="2805"/>
      <c r="VUS74" s="2805"/>
      <c r="VUT74" s="2805"/>
      <c r="VUU74" s="2805"/>
      <c r="VUV74" s="2805"/>
      <c r="VUW74" s="2805"/>
      <c r="VUX74" s="2805"/>
      <c r="VUY74" s="2805"/>
      <c r="VUZ74" s="2805"/>
      <c r="VVA74" s="2805"/>
      <c r="VVB74" s="2805"/>
      <c r="VVC74" s="2805"/>
      <c r="VVD74" s="2805"/>
      <c r="VVE74" s="2805"/>
      <c r="VVF74" s="2805"/>
      <c r="VVG74" s="2805"/>
      <c r="VVH74" s="2805"/>
      <c r="VVI74" s="2805"/>
      <c r="VVJ74" s="2805"/>
      <c r="VVK74" s="2805"/>
      <c r="VVL74" s="2805"/>
      <c r="VVM74" s="2805"/>
      <c r="VVN74" s="2805"/>
      <c r="VVO74" s="2805"/>
      <c r="VVP74" s="2805"/>
      <c r="VVQ74" s="2805"/>
      <c r="VVR74" s="2805"/>
      <c r="VVS74" s="2805"/>
      <c r="VVT74" s="2805"/>
      <c r="VVU74" s="2805"/>
      <c r="VVV74" s="2805"/>
      <c r="VVW74" s="2805"/>
      <c r="VVX74" s="2805"/>
      <c r="VVY74" s="2805"/>
      <c r="VVZ74" s="2805"/>
      <c r="VWA74" s="2805"/>
      <c r="VWB74" s="2805"/>
      <c r="VWC74" s="2805"/>
      <c r="VWD74" s="2805"/>
      <c r="VWE74" s="2805"/>
      <c r="VWF74" s="2805"/>
      <c r="VWG74" s="2805"/>
      <c r="VWH74" s="2805"/>
      <c r="VWI74" s="2805"/>
      <c r="VWJ74" s="2805"/>
      <c r="VWK74" s="2805"/>
      <c r="VWL74" s="2805"/>
      <c r="VWM74" s="2805"/>
      <c r="VWN74" s="2805"/>
      <c r="VWO74" s="2805"/>
      <c r="VWP74" s="2805"/>
      <c r="VWQ74" s="2805"/>
      <c r="VWR74" s="2805"/>
      <c r="VWS74" s="2805"/>
      <c r="VWT74" s="2805"/>
      <c r="VWU74" s="2805"/>
      <c r="VWV74" s="2805"/>
      <c r="VWW74" s="2805"/>
      <c r="VWX74" s="2805"/>
      <c r="VWY74" s="2805"/>
      <c r="VWZ74" s="2805"/>
      <c r="VXA74" s="2805"/>
      <c r="VXB74" s="2805"/>
      <c r="VXC74" s="2805"/>
      <c r="VXD74" s="2805"/>
      <c r="VXE74" s="2805"/>
      <c r="VXF74" s="2805"/>
      <c r="VXG74" s="2805"/>
      <c r="VXH74" s="2805"/>
      <c r="VXI74" s="2805"/>
      <c r="VXJ74" s="2805"/>
      <c r="VXK74" s="2805"/>
      <c r="VXL74" s="2805"/>
      <c r="VXM74" s="2805"/>
      <c r="VXN74" s="2805"/>
      <c r="VXO74" s="2805"/>
      <c r="VXP74" s="2805"/>
      <c r="VXQ74" s="2805"/>
      <c r="VXR74" s="2805"/>
      <c r="VXS74" s="2805"/>
      <c r="VXT74" s="2805"/>
      <c r="VXU74" s="2805"/>
      <c r="VXV74" s="2805"/>
      <c r="VXW74" s="2805"/>
      <c r="VXX74" s="2805"/>
      <c r="VXY74" s="2805"/>
      <c r="VXZ74" s="2805"/>
      <c r="VYA74" s="2805"/>
      <c r="VYB74" s="2805"/>
      <c r="VYC74" s="2805"/>
      <c r="VYD74" s="2805"/>
      <c r="VYE74" s="2805"/>
      <c r="VYF74" s="2805"/>
      <c r="VYG74" s="2805"/>
      <c r="VYH74" s="2805"/>
      <c r="VYI74" s="2805"/>
      <c r="VYJ74" s="2805"/>
      <c r="VYK74" s="2805"/>
      <c r="VYL74" s="2805"/>
      <c r="VYM74" s="2805"/>
      <c r="VYN74" s="2805"/>
      <c r="VYO74" s="2805"/>
      <c r="VYP74" s="2805"/>
      <c r="VYQ74" s="2805"/>
      <c r="VYR74" s="2805"/>
      <c r="VYS74" s="2805"/>
      <c r="VYT74" s="2805"/>
      <c r="VYU74" s="2805"/>
      <c r="VYV74" s="2805"/>
      <c r="VYW74" s="2805"/>
      <c r="VYX74" s="2805"/>
      <c r="VYY74" s="2805"/>
      <c r="VYZ74" s="2805"/>
      <c r="VZA74" s="2805"/>
      <c r="VZB74" s="2805"/>
      <c r="VZC74" s="2805"/>
      <c r="VZD74" s="2805"/>
      <c r="VZE74" s="2805"/>
      <c r="VZF74" s="2805"/>
      <c r="VZG74" s="2805"/>
      <c r="VZH74" s="2805"/>
      <c r="VZI74" s="2805"/>
      <c r="VZJ74" s="2805"/>
      <c r="VZK74" s="2805"/>
      <c r="VZL74" s="2805"/>
      <c r="VZM74" s="2805"/>
      <c r="VZN74" s="2805"/>
      <c r="VZO74" s="2805"/>
      <c r="VZP74" s="2805"/>
      <c r="VZQ74" s="2805"/>
      <c r="VZR74" s="2805"/>
      <c r="VZS74" s="2805"/>
      <c r="VZT74" s="2805"/>
      <c r="VZU74" s="2805"/>
      <c r="VZV74" s="2805"/>
      <c r="VZW74" s="2805"/>
      <c r="VZX74" s="2805"/>
      <c r="VZY74" s="2805"/>
      <c r="VZZ74" s="2805"/>
      <c r="WAA74" s="2805"/>
      <c r="WAB74" s="2805"/>
      <c r="WAC74" s="2805"/>
      <c r="WAD74" s="2805"/>
      <c r="WAE74" s="2805"/>
      <c r="WAF74" s="2805"/>
      <c r="WAG74" s="2805"/>
      <c r="WAH74" s="2805"/>
      <c r="WAI74" s="2805"/>
      <c r="WAJ74" s="2805"/>
      <c r="WAK74" s="2805"/>
      <c r="WAL74" s="2805"/>
      <c r="WAM74" s="2805"/>
      <c r="WAN74" s="2805"/>
      <c r="WAO74" s="2805"/>
      <c r="WAP74" s="2805"/>
      <c r="WAQ74" s="2805"/>
      <c r="WAR74" s="2805"/>
      <c r="WAS74" s="2805"/>
      <c r="WAT74" s="2805"/>
      <c r="WAU74" s="2805"/>
      <c r="WAV74" s="2805"/>
      <c r="WAW74" s="2805"/>
      <c r="WAX74" s="2805"/>
      <c r="WAY74" s="2805"/>
      <c r="WAZ74" s="2805"/>
      <c r="WBA74" s="2805"/>
      <c r="WBB74" s="2805"/>
      <c r="WBC74" s="2805"/>
      <c r="WBD74" s="2805"/>
      <c r="WBE74" s="2805"/>
      <c r="WBF74" s="2805"/>
      <c r="WBG74" s="2805"/>
      <c r="WBH74" s="2805"/>
      <c r="WBI74" s="2805"/>
      <c r="WBJ74" s="2805"/>
      <c r="WBK74" s="2805"/>
      <c r="WBL74" s="2805"/>
      <c r="WBM74" s="2805"/>
      <c r="WBN74" s="2805"/>
      <c r="WBO74" s="2805"/>
      <c r="WBP74" s="2805"/>
      <c r="WBQ74" s="2805"/>
      <c r="WBR74" s="2805"/>
      <c r="WBS74" s="2805"/>
      <c r="WBT74" s="2805"/>
      <c r="WBU74" s="2805"/>
      <c r="WBV74" s="2805"/>
      <c r="WBW74" s="2805"/>
      <c r="WBX74" s="2805"/>
      <c r="WBY74" s="2805"/>
      <c r="WBZ74" s="2805"/>
      <c r="WCA74" s="2805"/>
      <c r="WCB74" s="2805"/>
      <c r="WCC74" s="2805"/>
      <c r="WCD74" s="2805"/>
      <c r="WCE74" s="2805"/>
      <c r="WCF74" s="2805"/>
      <c r="WCG74" s="2805"/>
      <c r="WCH74" s="2805"/>
      <c r="WCI74" s="2805"/>
      <c r="WCJ74" s="2805"/>
      <c r="WCK74" s="2805"/>
      <c r="WCL74" s="2805"/>
      <c r="WCM74" s="2805"/>
      <c r="WCN74" s="2805"/>
      <c r="WCO74" s="2805"/>
      <c r="WCP74" s="2805"/>
      <c r="WCQ74" s="2805"/>
      <c r="WCR74" s="2805"/>
      <c r="WCS74" s="2805"/>
      <c r="WCT74" s="2805"/>
      <c r="WCU74" s="2805"/>
      <c r="WCV74" s="2805"/>
      <c r="WCW74" s="2805"/>
      <c r="WCX74" s="2805"/>
      <c r="WCY74" s="2805"/>
      <c r="WCZ74" s="2805"/>
      <c r="WDA74" s="2805"/>
      <c r="WDB74" s="2805"/>
      <c r="WDC74" s="2805"/>
      <c r="WDD74" s="2805"/>
      <c r="WDE74" s="2805"/>
      <c r="WDF74" s="2805"/>
      <c r="WDG74" s="2805"/>
      <c r="WDH74" s="2805"/>
      <c r="WDI74" s="2805"/>
      <c r="WDJ74" s="2805"/>
      <c r="WDK74" s="2805"/>
      <c r="WDL74" s="2805"/>
      <c r="WDM74" s="2805"/>
      <c r="WDN74" s="2805"/>
      <c r="WDO74" s="2805"/>
      <c r="WDP74" s="2805"/>
      <c r="WDQ74" s="2805"/>
      <c r="WDR74" s="2805"/>
      <c r="WDS74" s="2805"/>
      <c r="WDT74" s="2805"/>
      <c r="WDU74" s="2805"/>
      <c r="WDV74" s="2805"/>
      <c r="WDW74" s="2805"/>
      <c r="WDX74" s="2805"/>
      <c r="WDY74" s="2805"/>
      <c r="WDZ74" s="2805"/>
      <c r="WEA74" s="2805"/>
      <c r="WEB74" s="2805"/>
      <c r="WEC74" s="2805"/>
      <c r="WED74" s="2805"/>
      <c r="WEE74" s="2805"/>
      <c r="WEF74" s="2805"/>
      <c r="WEG74" s="2805"/>
      <c r="WEH74" s="2805"/>
      <c r="WEI74" s="2805"/>
      <c r="WEJ74" s="2805"/>
      <c r="WEK74" s="2805"/>
      <c r="WEL74" s="2805"/>
      <c r="WEM74" s="2805"/>
      <c r="WEN74" s="2805"/>
      <c r="WEO74" s="2805"/>
      <c r="WEP74" s="2805"/>
      <c r="WEQ74" s="2805"/>
      <c r="WER74" s="2805"/>
      <c r="WES74" s="2805"/>
      <c r="WET74" s="2805"/>
      <c r="WEU74" s="2805"/>
      <c r="WEV74" s="2805"/>
      <c r="WEW74" s="2805"/>
      <c r="WEX74" s="2805"/>
      <c r="WEY74" s="2805"/>
      <c r="WEZ74" s="2805"/>
      <c r="WFA74" s="2805"/>
      <c r="WFB74" s="2805"/>
      <c r="WFC74" s="2805"/>
      <c r="WFD74" s="2805"/>
      <c r="WFE74" s="2805"/>
      <c r="WFF74" s="2805"/>
      <c r="WFG74" s="2805"/>
      <c r="WFH74" s="2805"/>
      <c r="WFI74" s="2805"/>
      <c r="WFJ74" s="2805"/>
      <c r="WFK74" s="2805"/>
      <c r="WFL74" s="2805"/>
      <c r="WFM74" s="2805"/>
      <c r="WFN74" s="2805"/>
      <c r="WFO74" s="2805"/>
      <c r="WFP74" s="2805"/>
      <c r="WFQ74" s="2805"/>
      <c r="WFR74" s="2805"/>
      <c r="WFS74" s="2805"/>
      <c r="WFT74" s="2805"/>
      <c r="WFU74" s="2805"/>
      <c r="WFV74" s="2805"/>
      <c r="WFW74" s="2805"/>
      <c r="WFX74" s="2805"/>
      <c r="WFY74" s="2805"/>
      <c r="WFZ74" s="2805"/>
      <c r="WGA74" s="2805"/>
      <c r="WGB74" s="2805"/>
      <c r="WGC74" s="2805"/>
      <c r="WGD74" s="2805"/>
      <c r="WGE74" s="2805"/>
      <c r="WGF74" s="2805"/>
      <c r="WGG74" s="2805"/>
      <c r="WGH74" s="2805"/>
      <c r="WGI74" s="2805"/>
      <c r="WGJ74" s="2805"/>
      <c r="WGK74" s="2805"/>
      <c r="WGL74" s="2805"/>
      <c r="WGM74" s="2805"/>
      <c r="WGN74" s="2805"/>
      <c r="WGO74" s="2805"/>
      <c r="WGP74" s="2805"/>
      <c r="WGQ74" s="2805"/>
      <c r="WGR74" s="2805"/>
      <c r="WGS74" s="2805"/>
      <c r="WGT74" s="2805"/>
      <c r="WGU74" s="2805"/>
      <c r="WGV74" s="2805"/>
      <c r="WGW74" s="2805"/>
      <c r="WGX74" s="2805"/>
      <c r="WGY74" s="2805"/>
      <c r="WGZ74" s="2805"/>
      <c r="WHA74" s="2805"/>
      <c r="WHB74" s="2805"/>
      <c r="WHC74" s="2805"/>
      <c r="WHD74" s="2805"/>
      <c r="WHE74" s="2805"/>
      <c r="WHF74" s="2805"/>
      <c r="WHG74" s="2805"/>
      <c r="WHH74" s="2805"/>
      <c r="WHI74" s="2805"/>
      <c r="WHJ74" s="2805"/>
      <c r="WHK74" s="2805"/>
      <c r="WHL74" s="2805"/>
      <c r="WHM74" s="2805"/>
      <c r="WHN74" s="2805"/>
      <c r="WHO74" s="2805"/>
      <c r="WHP74" s="2805"/>
      <c r="WHQ74" s="2805"/>
      <c r="WHR74" s="2805"/>
      <c r="WHS74" s="2805"/>
      <c r="WHT74" s="2805"/>
      <c r="WHU74" s="2805"/>
      <c r="WHV74" s="2805"/>
      <c r="WHW74" s="2805"/>
      <c r="WHX74" s="2805"/>
      <c r="WHY74" s="2805"/>
      <c r="WHZ74" s="2805"/>
      <c r="WIA74" s="2805"/>
      <c r="WIB74" s="2805"/>
      <c r="WIC74" s="2805"/>
      <c r="WID74" s="2805"/>
      <c r="WIE74" s="2805"/>
      <c r="WIF74" s="2805"/>
      <c r="WIG74" s="2805"/>
      <c r="WIH74" s="2805"/>
      <c r="WII74" s="2805"/>
      <c r="WIJ74" s="2805"/>
      <c r="WIK74" s="2805"/>
      <c r="WIL74" s="2805"/>
      <c r="WIM74" s="2805"/>
      <c r="WIN74" s="2805"/>
      <c r="WIO74" s="2805"/>
      <c r="WIP74" s="2805"/>
      <c r="WIQ74" s="2805"/>
      <c r="WIR74" s="2805"/>
      <c r="WIS74" s="2805"/>
      <c r="WIT74" s="2805"/>
      <c r="WIU74" s="2805"/>
      <c r="WIV74" s="2805"/>
      <c r="WIW74" s="2805"/>
      <c r="WIX74" s="2805"/>
      <c r="WIY74" s="2805"/>
      <c r="WIZ74" s="2805"/>
      <c r="WJA74" s="2805"/>
      <c r="WJB74" s="2805"/>
      <c r="WJC74" s="2805"/>
      <c r="WJD74" s="2805"/>
      <c r="WJE74" s="2805"/>
      <c r="WJF74" s="2805"/>
      <c r="WJG74" s="2805"/>
      <c r="WJH74" s="2805"/>
      <c r="WJI74" s="2805"/>
      <c r="WJJ74" s="2805"/>
      <c r="WJK74" s="2805"/>
      <c r="WJL74" s="2805"/>
      <c r="WJM74" s="2805"/>
      <c r="WJN74" s="2805"/>
      <c r="WJO74" s="2805"/>
      <c r="WJP74" s="2805"/>
      <c r="WJQ74" s="2805"/>
      <c r="WJR74" s="2805"/>
      <c r="WJS74" s="2805"/>
      <c r="WJT74" s="2805"/>
      <c r="WJU74" s="2805"/>
      <c r="WJV74" s="2805"/>
      <c r="WJW74" s="2805"/>
      <c r="WJX74" s="2805"/>
      <c r="WJY74" s="2805"/>
      <c r="WJZ74" s="2805"/>
      <c r="WKA74" s="2805"/>
      <c r="WKB74" s="2805"/>
      <c r="WKC74" s="2805"/>
      <c r="WKD74" s="2805"/>
      <c r="WKE74" s="2805"/>
      <c r="WKF74" s="2805"/>
      <c r="WKG74" s="2805"/>
      <c r="WKH74" s="2805"/>
      <c r="WKI74" s="2805"/>
      <c r="WKJ74" s="2805"/>
      <c r="WKK74" s="2805"/>
      <c r="WKL74" s="2805"/>
      <c r="WKM74" s="2805"/>
      <c r="WKN74" s="2805"/>
      <c r="WKO74" s="2805"/>
      <c r="WKP74" s="2805"/>
      <c r="WKQ74" s="2805"/>
      <c r="WKR74" s="2805"/>
      <c r="WKS74" s="2805"/>
      <c r="WKT74" s="2805"/>
      <c r="WKU74" s="2805"/>
      <c r="WKV74" s="2805"/>
      <c r="WKW74" s="2805"/>
      <c r="WKX74" s="2805"/>
      <c r="WKY74" s="2805"/>
      <c r="WKZ74" s="2805"/>
      <c r="WLA74" s="2805"/>
      <c r="WLB74" s="2805"/>
      <c r="WLC74" s="2805"/>
      <c r="WLD74" s="2805"/>
      <c r="WLE74" s="2805"/>
      <c r="WLF74" s="2805"/>
      <c r="WLG74" s="2805"/>
      <c r="WLH74" s="2805"/>
      <c r="WLI74" s="2805"/>
      <c r="WLJ74" s="2805"/>
      <c r="WLK74" s="2805"/>
      <c r="WLL74" s="2805"/>
      <c r="WLM74" s="2805"/>
      <c r="WLN74" s="2805"/>
      <c r="WLO74" s="2805"/>
      <c r="WLP74" s="2805"/>
      <c r="WLQ74" s="2805"/>
      <c r="WLR74" s="2805"/>
      <c r="WLS74" s="2805"/>
      <c r="WLT74" s="2805"/>
      <c r="WLU74" s="2805"/>
      <c r="WLV74" s="2805"/>
      <c r="WLW74" s="2805"/>
      <c r="WLX74" s="2805"/>
      <c r="WLY74" s="2805"/>
      <c r="WLZ74" s="2805"/>
      <c r="WMA74" s="2805"/>
      <c r="WMB74" s="2805"/>
      <c r="WMC74" s="2805"/>
      <c r="WMD74" s="2805"/>
      <c r="WME74" s="2805"/>
      <c r="WMF74" s="2805"/>
      <c r="WMG74" s="2805"/>
      <c r="WMH74" s="2805"/>
      <c r="WMI74" s="2805"/>
      <c r="WMJ74" s="2805"/>
      <c r="WMK74" s="2805"/>
      <c r="WML74" s="2805"/>
      <c r="WMM74" s="2805"/>
      <c r="WMN74" s="2805"/>
      <c r="WMO74" s="2805"/>
      <c r="WMP74" s="2805"/>
      <c r="WMQ74" s="2805"/>
      <c r="WMR74" s="2805"/>
      <c r="WMS74" s="2805"/>
      <c r="WMT74" s="2805"/>
      <c r="WMU74" s="2805"/>
      <c r="WMV74" s="2805"/>
      <c r="WMW74" s="2805"/>
      <c r="WMX74" s="2805"/>
      <c r="WMY74" s="2805"/>
      <c r="WMZ74" s="2805"/>
      <c r="WNA74" s="2805"/>
      <c r="WNB74" s="2805"/>
      <c r="WNC74" s="2805"/>
      <c r="WND74" s="2805"/>
      <c r="WNE74" s="2805"/>
      <c r="WNF74" s="2805"/>
      <c r="WNG74" s="2805"/>
      <c r="WNH74" s="2805"/>
      <c r="WNI74" s="2805"/>
      <c r="WNJ74" s="2805"/>
      <c r="WNK74" s="2805"/>
      <c r="WNL74" s="2805"/>
      <c r="WNM74" s="2805"/>
      <c r="WNN74" s="2805"/>
      <c r="WNO74" s="2805"/>
      <c r="WNP74" s="2805"/>
      <c r="WNQ74" s="2805"/>
      <c r="WNR74" s="2805"/>
      <c r="WNS74" s="2805"/>
      <c r="WNT74" s="2805"/>
      <c r="WNU74" s="2805"/>
      <c r="WNV74" s="2805"/>
      <c r="WNW74" s="2805"/>
      <c r="WNX74" s="2805"/>
      <c r="WNY74" s="2805"/>
      <c r="WNZ74" s="2805"/>
      <c r="WOA74" s="2805"/>
      <c r="WOB74" s="2805"/>
      <c r="WOC74" s="2805"/>
      <c r="WOD74" s="2805"/>
      <c r="WOE74" s="2805"/>
      <c r="WOF74" s="2805"/>
      <c r="WOG74" s="2805"/>
      <c r="WOH74" s="2805"/>
      <c r="WOI74" s="2805"/>
      <c r="WOJ74" s="2805"/>
      <c r="WOK74" s="2805"/>
      <c r="WOL74" s="2805"/>
      <c r="WOM74" s="2805"/>
      <c r="WON74" s="2805"/>
      <c r="WOO74" s="2805"/>
      <c r="WOP74" s="2805"/>
      <c r="WOQ74" s="2805"/>
      <c r="WOR74" s="2805"/>
      <c r="WOS74" s="2805"/>
      <c r="WOT74" s="2805"/>
      <c r="WOU74" s="2805"/>
      <c r="WOV74" s="2805"/>
      <c r="WOW74" s="2805"/>
      <c r="WOX74" s="2805"/>
      <c r="WOY74" s="2805"/>
      <c r="WOZ74" s="2805"/>
      <c r="WPA74" s="2805"/>
      <c r="WPB74" s="2805"/>
      <c r="WPC74" s="2805"/>
      <c r="WPD74" s="2805"/>
      <c r="WPE74" s="2805"/>
      <c r="WPF74" s="2805"/>
      <c r="WPG74" s="2805"/>
      <c r="WPH74" s="2805"/>
      <c r="WPI74" s="2805"/>
      <c r="WPJ74" s="2805"/>
      <c r="WPK74" s="2805"/>
      <c r="WPL74" s="2805"/>
      <c r="WPM74" s="2805"/>
      <c r="WPN74" s="2805"/>
      <c r="WPO74" s="2805"/>
      <c r="WPP74" s="2805"/>
      <c r="WPQ74" s="2805"/>
      <c r="WPR74" s="2805"/>
      <c r="WPS74" s="2805"/>
      <c r="WPT74" s="2805"/>
      <c r="WPU74" s="2805"/>
      <c r="WPV74" s="2805"/>
      <c r="WPW74" s="2805"/>
      <c r="WPX74" s="2805"/>
      <c r="WPY74" s="2805"/>
      <c r="WPZ74" s="2805"/>
      <c r="WQA74" s="2805"/>
      <c r="WQB74" s="2805"/>
      <c r="WQC74" s="2805"/>
      <c r="WQD74" s="2805"/>
      <c r="WQE74" s="2805"/>
      <c r="WQF74" s="2805"/>
      <c r="WQG74" s="2805"/>
      <c r="WQH74" s="2805"/>
      <c r="WQI74" s="2805"/>
      <c r="WQJ74" s="2805"/>
      <c r="WQK74" s="2805"/>
      <c r="WQL74" s="2805"/>
      <c r="WQM74" s="2805"/>
      <c r="WQN74" s="2805"/>
      <c r="WQO74" s="2805"/>
      <c r="WQP74" s="2805"/>
      <c r="WQQ74" s="2805"/>
      <c r="WQR74" s="2805"/>
      <c r="WQS74" s="2805"/>
      <c r="WQT74" s="2805"/>
      <c r="WQU74" s="2805"/>
      <c r="WQV74" s="2805"/>
      <c r="WQW74" s="2805"/>
      <c r="WQX74" s="2805"/>
      <c r="WQY74" s="2805"/>
      <c r="WQZ74" s="2805"/>
      <c r="WRA74" s="2805"/>
      <c r="WRB74" s="2805"/>
      <c r="WRC74" s="2805"/>
      <c r="WRD74" s="2805"/>
      <c r="WRE74" s="2805"/>
      <c r="WRF74" s="2805"/>
      <c r="WRG74" s="2805"/>
      <c r="WRH74" s="2805"/>
      <c r="WRI74" s="2805"/>
      <c r="WRJ74" s="2805"/>
      <c r="WRK74" s="2805"/>
      <c r="WRL74" s="2805"/>
      <c r="WRM74" s="2805"/>
      <c r="WRN74" s="2805"/>
      <c r="WRO74" s="2805"/>
      <c r="WRP74" s="2805"/>
      <c r="WRQ74" s="2805"/>
      <c r="WRR74" s="2805"/>
      <c r="WRS74" s="2805"/>
      <c r="WRT74" s="2805"/>
      <c r="WRU74" s="2805"/>
      <c r="WRV74" s="2805"/>
      <c r="WRW74" s="2805"/>
      <c r="WRX74" s="2805"/>
      <c r="WRY74" s="2805"/>
      <c r="WRZ74" s="2805"/>
      <c r="WSA74" s="2805"/>
      <c r="WSB74" s="2805"/>
      <c r="WSC74" s="2805"/>
      <c r="WSD74" s="2805"/>
      <c r="WSE74" s="2805"/>
      <c r="WSF74" s="2805"/>
      <c r="WSG74" s="2805"/>
      <c r="WSH74" s="2805"/>
      <c r="WSI74" s="2805"/>
      <c r="WSJ74" s="2805"/>
      <c r="WSK74" s="2805"/>
      <c r="WSL74" s="2805"/>
      <c r="WSM74" s="2805"/>
      <c r="WSN74" s="2805"/>
      <c r="WSO74" s="2805"/>
      <c r="WSP74" s="2805"/>
      <c r="WSQ74" s="2805"/>
      <c r="WSR74" s="2805"/>
      <c r="WSS74" s="2805"/>
      <c r="WST74" s="2805"/>
      <c r="WSU74" s="2805"/>
      <c r="WSV74" s="2805"/>
      <c r="WSW74" s="2805"/>
      <c r="WSX74" s="2805"/>
      <c r="WSY74" s="2805"/>
      <c r="WSZ74" s="2805"/>
      <c r="WTA74" s="2805"/>
      <c r="WTB74" s="2805"/>
      <c r="WTC74" s="2805"/>
      <c r="WTD74" s="2805"/>
      <c r="WTE74" s="2805"/>
      <c r="WTF74" s="2805"/>
      <c r="WTG74" s="2805"/>
      <c r="WTH74" s="2805"/>
      <c r="WTI74" s="2805"/>
      <c r="WTJ74" s="2805"/>
      <c r="WTK74" s="2805"/>
      <c r="WTL74" s="2805"/>
      <c r="WTM74" s="2805"/>
      <c r="WTN74" s="2805"/>
      <c r="WTO74" s="2805"/>
      <c r="WTP74" s="2805"/>
      <c r="WTQ74" s="2805"/>
      <c r="WTR74" s="2805"/>
      <c r="WTS74" s="2805"/>
      <c r="WTT74" s="2805"/>
      <c r="WTU74" s="2805"/>
      <c r="WTV74" s="2805"/>
      <c r="WTW74" s="2805"/>
      <c r="WTX74" s="2805"/>
      <c r="WTY74" s="2805"/>
      <c r="WTZ74" s="2805"/>
      <c r="WUA74" s="2805"/>
      <c r="WUB74" s="2805"/>
      <c r="WUC74" s="2805"/>
      <c r="WUD74" s="2805"/>
      <c r="WUE74" s="2805"/>
      <c r="WUF74" s="2805"/>
      <c r="WUG74" s="2805"/>
      <c r="WUH74" s="2805"/>
      <c r="WUI74" s="2805"/>
      <c r="WUJ74" s="2805"/>
      <c r="WUK74" s="2805"/>
      <c r="WUL74" s="2805"/>
      <c r="WUM74" s="2805"/>
      <c r="WUN74" s="2805"/>
      <c r="WUO74" s="2805"/>
      <c r="WUP74" s="2805"/>
      <c r="WUQ74" s="2805"/>
      <c r="WUR74" s="2805"/>
      <c r="WUS74" s="2805"/>
      <c r="WUT74" s="2805"/>
      <c r="WUU74" s="2805"/>
      <c r="WUV74" s="2805"/>
      <c r="WUW74" s="2805"/>
      <c r="WUX74" s="2805"/>
      <c r="WUY74" s="2805"/>
      <c r="WUZ74" s="2805"/>
      <c r="WVA74" s="2805"/>
      <c r="WVB74" s="2805"/>
      <c r="WVC74" s="2805"/>
      <c r="WVD74" s="2805"/>
      <c r="WVE74" s="2805"/>
      <c r="WVF74" s="2805"/>
      <c r="WVG74" s="2805"/>
      <c r="WVH74" s="2805"/>
      <c r="WVI74" s="2805"/>
      <c r="WVJ74" s="2805"/>
      <c r="WVK74" s="2805"/>
      <c r="WVL74" s="2805"/>
      <c r="WVM74" s="2805"/>
      <c r="WVN74" s="2805"/>
      <c r="WVO74" s="2805"/>
      <c r="WVP74" s="2805"/>
      <c r="WVQ74" s="2805"/>
      <c r="WVR74" s="2805"/>
      <c r="WVS74" s="2805"/>
      <c r="WVT74" s="2805"/>
      <c r="WVU74" s="2805"/>
      <c r="WVV74" s="2805"/>
      <c r="WVW74" s="2805"/>
      <c r="WVX74" s="2805"/>
      <c r="WVY74" s="2805"/>
      <c r="WVZ74" s="2805"/>
      <c r="WWA74" s="2805"/>
      <c r="WWB74" s="2805"/>
      <c r="WWC74" s="2805"/>
      <c r="WWD74" s="2805"/>
      <c r="WWE74" s="2805"/>
      <c r="WWF74" s="2805"/>
      <c r="WWG74" s="2805"/>
      <c r="WWH74" s="2805"/>
      <c r="WWI74" s="2805"/>
      <c r="WWJ74" s="2805"/>
      <c r="WWK74" s="2805"/>
      <c r="WWL74" s="2805"/>
      <c r="WWM74" s="2805"/>
      <c r="WWN74" s="2805"/>
      <c r="WWO74" s="2805"/>
      <c r="WWP74" s="2805"/>
      <c r="WWQ74" s="2805"/>
      <c r="WWR74" s="2805"/>
      <c r="WWS74" s="2805"/>
      <c r="WWT74" s="2805"/>
      <c r="WWU74" s="2805"/>
      <c r="WWV74" s="2805"/>
      <c r="WWW74" s="2805"/>
      <c r="WWX74" s="2805"/>
      <c r="WWY74" s="2805"/>
      <c r="WWZ74" s="2805"/>
      <c r="WXA74" s="2805"/>
      <c r="WXB74" s="2805"/>
      <c r="WXC74" s="2805"/>
      <c r="WXD74" s="2805"/>
      <c r="WXE74" s="2805"/>
      <c r="WXF74" s="2805"/>
      <c r="WXG74" s="2805"/>
      <c r="WXH74" s="2805"/>
      <c r="WXI74" s="2805"/>
      <c r="WXJ74" s="2805"/>
      <c r="WXK74" s="2805"/>
      <c r="WXL74" s="2805"/>
      <c r="WXM74" s="2805"/>
      <c r="WXN74" s="2805"/>
      <c r="WXO74" s="2805"/>
      <c r="WXP74" s="2805"/>
      <c r="WXQ74" s="2805"/>
      <c r="WXR74" s="2805"/>
      <c r="WXS74" s="2805"/>
      <c r="WXT74" s="2805"/>
      <c r="WXU74" s="2805"/>
      <c r="WXV74" s="2805"/>
      <c r="WXW74" s="2805"/>
      <c r="WXX74" s="2805"/>
      <c r="WXY74" s="2805"/>
      <c r="WXZ74" s="2805"/>
      <c r="WYA74" s="2805"/>
      <c r="WYB74" s="2805"/>
      <c r="WYC74" s="2805"/>
      <c r="WYD74" s="2805"/>
      <c r="WYE74" s="2805"/>
      <c r="WYF74" s="2805"/>
      <c r="WYG74" s="2805"/>
      <c r="WYH74" s="2805"/>
      <c r="WYI74" s="2805"/>
      <c r="WYJ74" s="2805"/>
      <c r="WYK74" s="2805"/>
      <c r="WYL74" s="2805"/>
      <c r="WYM74" s="2805"/>
      <c r="WYN74" s="2805"/>
      <c r="WYO74" s="2805"/>
      <c r="WYP74" s="2805"/>
      <c r="WYQ74" s="2805"/>
      <c r="WYR74" s="2805"/>
      <c r="WYS74" s="2805"/>
      <c r="WYT74" s="2805"/>
      <c r="WYU74" s="2805"/>
      <c r="WYV74" s="2805"/>
      <c r="WYW74" s="2805"/>
      <c r="WYX74" s="2805"/>
      <c r="WYY74" s="2805"/>
      <c r="WYZ74" s="2805"/>
      <c r="WZA74" s="2805"/>
      <c r="WZB74" s="2805"/>
      <c r="WZC74" s="2805"/>
      <c r="WZD74" s="2805"/>
      <c r="WZE74" s="2805"/>
      <c r="WZF74" s="2805"/>
      <c r="WZG74" s="2805"/>
      <c r="WZH74" s="2805"/>
      <c r="WZI74" s="2805"/>
      <c r="WZJ74" s="2805"/>
      <c r="WZK74" s="2805"/>
      <c r="WZL74" s="2805"/>
      <c r="WZM74" s="2805"/>
      <c r="WZN74" s="2805"/>
      <c r="WZO74" s="2805"/>
      <c r="WZP74" s="2805"/>
      <c r="WZQ74" s="2805"/>
      <c r="WZR74" s="2805"/>
      <c r="WZS74" s="2805"/>
      <c r="WZT74" s="2805"/>
      <c r="WZU74" s="2805"/>
      <c r="WZV74" s="2805"/>
      <c r="WZW74" s="2805"/>
      <c r="WZX74" s="2805"/>
      <c r="WZY74" s="2805"/>
      <c r="WZZ74" s="2805"/>
      <c r="XAA74" s="2805"/>
      <c r="XAB74" s="2805"/>
      <c r="XAC74" s="2805"/>
      <c r="XAD74" s="2805"/>
      <c r="XAE74" s="2805"/>
      <c r="XAF74" s="2805"/>
      <c r="XAG74" s="2805"/>
      <c r="XAH74" s="2805"/>
      <c r="XAI74" s="2805"/>
      <c r="XAJ74" s="2805"/>
      <c r="XAK74" s="2805"/>
      <c r="XAL74" s="2805"/>
      <c r="XAM74" s="2805"/>
      <c r="XAN74" s="2805"/>
      <c r="XAO74" s="2805"/>
      <c r="XAP74" s="2805"/>
      <c r="XAQ74" s="2805"/>
      <c r="XAR74" s="2805"/>
      <c r="XAS74" s="2805"/>
      <c r="XAT74" s="2805"/>
      <c r="XAU74" s="2805"/>
      <c r="XAV74" s="2805"/>
      <c r="XAW74" s="2805"/>
      <c r="XAX74" s="2805"/>
      <c r="XAY74" s="2805"/>
      <c r="XAZ74" s="2805"/>
      <c r="XBA74" s="2805"/>
      <c r="XBB74" s="2805"/>
      <c r="XBC74" s="2805"/>
      <c r="XBD74" s="2805"/>
      <c r="XBE74" s="2805"/>
      <c r="XBF74" s="2805"/>
      <c r="XBG74" s="2805"/>
      <c r="XBH74" s="2805"/>
      <c r="XBI74" s="2805"/>
      <c r="XBJ74" s="2805"/>
      <c r="XBK74" s="2805"/>
      <c r="XBL74" s="2805"/>
      <c r="XBM74" s="2805"/>
      <c r="XBN74" s="2805"/>
      <c r="XBO74" s="2805"/>
      <c r="XBP74" s="2805"/>
      <c r="XBQ74" s="2805"/>
      <c r="XBR74" s="2805"/>
      <c r="XBS74" s="2805"/>
      <c r="XBT74" s="2805"/>
      <c r="XBU74" s="2805"/>
      <c r="XBV74" s="2805"/>
      <c r="XBW74" s="2805"/>
      <c r="XBX74" s="2805"/>
      <c r="XBY74" s="2805"/>
      <c r="XBZ74" s="2805"/>
      <c r="XCA74" s="2805"/>
      <c r="XCB74" s="2805"/>
      <c r="XCC74" s="2805"/>
      <c r="XCD74" s="2805"/>
      <c r="XCE74" s="2805"/>
      <c r="XCF74" s="2805"/>
      <c r="XCG74" s="2805"/>
      <c r="XCH74" s="2805"/>
      <c r="XCI74" s="2805"/>
      <c r="XCJ74" s="2805"/>
      <c r="XCK74" s="2805"/>
      <c r="XCL74" s="2805"/>
      <c r="XCM74" s="2805"/>
      <c r="XCN74" s="2805"/>
      <c r="XCO74" s="2805"/>
      <c r="XCP74" s="2805"/>
      <c r="XCQ74" s="2805"/>
      <c r="XCR74" s="2805"/>
      <c r="XCS74" s="2805"/>
      <c r="XCT74" s="2805"/>
      <c r="XCU74" s="2805"/>
      <c r="XCV74" s="2805"/>
      <c r="XCW74" s="2805"/>
      <c r="XCX74" s="2805"/>
      <c r="XCY74" s="2805"/>
      <c r="XCZ74" s="2805"/>
      <c r="XDA74" s="2805"/>
      <c r="XDB74" s="2805"/>
      <c r="XDC74" s="2805"/>
      <c r="XDD74" s="2805"/>
      <c r="XDE74" s="2805"/>
      <c r="XDF74" s="2805"/>
      <c r="XDG74" s="2805"/>
      <c r="XDH74" s="2805"/>
      <c r="XDI74" s="2805"/>
      <c r="XDJ74" s="2805"/>
      <c r="XDK74" s="2805"/>
      <c r="XDL74" s="2805"/>
      <c r="XDM74" s="2805"/>
      <c r="XDN74" s="2805"/>
      <c r="XDO74" s="2805"/>
      <c r="XDP74" s="2805"/>
      <c r="XDQ74" s="2805"/>
      <c r="XDR74" s="2805"/>
      <c r="XDS74" s="2805"/>
      <c r="XDT74" s="2805"/>
      <c r="XDU74" s="2805"/>
      <c r="XDV74" s="2805"/>
      <c r="XDW74" s="2805"/>
      <c r="XDX74" s="2805"/>
      <c r="XDY74" s="2805"/>
      <c r="XDZ74" s="2805"/>
      <c r="XEA74" s="2805"/>
      <c r="XEB74" s="2805"/>
      <c r="XEC74" s="2805"/>
      <c r="XED74" s="2805"/>
      <c r="XEE74" s="2805"/>
      <c r="XEF74" s="2805"/>
      <c r="XEG74" s="2805"/>
      <c r="XEH74" s="2805"/>
      <c r="XEI74" s="2805"/>
      <c r="XEJ74" s="2805"/>
      <c r="XEK74" s="2805"/>
      <c r="XEL74" s="2805"/>
      <c r="XEM74" s="2805"/>
      <c r="XEN74" s="2805"/>
      <c r="XEO74" s="2805"/>
      <c r="XEP74" s="2805"/>
      <c r="XEQ74" s="2805"/>
      <c r="XER74" s="2805"/>
      <c r="XES74" s="2805"/>
      <c r="XET74" s="2805"/>
      <c r="XEU74" s="2805"/>
      <c r="XEV74" s="2805"/>
      <c r="XEW74" s="2805"/>
      <c r="XEX74" s="2805"/>
      <c r="XEY74" s="2805"/>
      <c r="XEZ74" s="2805"/>
      <c r="XFA74" s="2805"/>
      <c r="XFB74" s="2805"/>
      <c r="XFC74" s="2805"/>
      <c r="XFD74" s="2805"/>
    </row>
    <row r="75" spans="1:16384" s="2815" customFormat="1" ht="27.75" customHeight="1">
      <c r="A75" s="2499"/>
      <c r="B75" s="2516" t="s">
        <v>1645</v>
      </c>
      <c r="C75" s="2526">
        <f>IF(('Balances y Proyecciones'!Q17)&lt;&gt;360,'Balances y Proyecciones'!K60,'Balances y Proyecciones'!K60)</f>
        <v>0</v>
      </c>
      <c r="D75" s="2526"/>
      <c r="E75" s="2527">
        <f>IF(('Balances y Proyecciones'!Q17)&lt;&gt;360,'Balances y Proyecciones'!Q60,'Balances y Proyecciones'!Q60)</f>
        <v>0</v>
      </c>
      <c r="F75" s="2508"/>
      <c r="G75" s="2516" t="s">
        <v>1646</v>
      </c>
      <c r="H75" s="2554" t="e">
        <f>IF(('Balances y Proyecciones'!Q17)&lt;&gt;360,(('Balances y Proyecciones'!AV704+'Balances y Proyecciones'!AV657)/'Balances y Proyecciones'!AV703),(('Balances y Proyecciones'!AV704+'Balances y Proyecciones'!AV657)/'Balances y Proyecciones'!AV703))</f>
        <v>#DIV/0!</v>
      </c>
      <c r="I75" s="2554"/>
      <c r="J75" s="2555" t="e">
        <f>IF(('Balances y Proyecciones'!Q17)&lt;&gt;360,(('Balances y Proyecciones'!BB704+'Balances y Proyecciones'!BB657)/'Balances y Proyecciones'!BB703),(('Balances y Proyecciones'!BB704+'Balances y Proyecciones'!BB657)/'Balances y Proyecciones'!BB703))</f>
        <v>#DIV/0!</v>
      </c>
      <c r="K75" s="2499"/>
      <c r="L75" s="2499"/>
      <c r="M75" s="2499"/>
      <c r="N75" s="2755"/>
      <c r="O75" s="2762"/>
      <c r="P75" s="2762"/>
      <c r="Q75" s="2763"/>
      <c r="R75" s="2764"/>
      <c r="S75" s="2499"/>
      <c r="T75" s="2499"/>
      <c r="U75" s="2499"/>
      <c r="V75" s="2499"/>
      <c r="W75" s="2499"/>
      <c r="X75" s="2499"/>
      <c r="Y75" s="2499"/>
      <c r="Z75" s="2499"/>
      <c r="AA75" s="2499"/>
      <c r="AB75" s="2499"/>
      <c r="AC75" s="2499"/>
      <c r="AD75" s="2499"/>
      <c r="AE75" s="2499"/>
      <c r="AF75" s="2567"/>
      <c r="AG75" s="2567"/>
      <c r="AH75" s="2805"/>
      <c r="AI75" s="2805"/>
      <c r="AJ75" s="2805"/>
      <c r="AK75" s="2805"/>
      <c r="AL75" s="2805"/>
      <c r="AM75" s="2805"/>
      <c r="AN75" s="2805">
        <v>0.5</v>
      </c>
      <c r="AO75" s="2805"/>
      <c r="AP75" s="2805" t="s">
        <v>1749</v>
      </c>
      <c r="AQ75" s="2805"/>
      <c r="AR75" s="2805"/>
      <c r="AS75" s="2805"/>
      <c r="AT75" s="2805">
        <f>IF(AP75&lt;&gt;"",$K$6,IF(AQ75&lt;&gt;"",$L$6,IF(AR75&lt;&gt;"",$M$6,IF(AS75&lt;&gt;"",$N$6,"P"))))</f>
        <v>0</v>
      </c>
      <c r="AU75" s="2805">
        <f>AT75*AN75</f>
        <v>0</v>
      </c>
      <c r="AV75" s="2805"/>
      <c r="AW75" s="2805"/>
      <c r="AX75" s="2805"/>
      <c r="AY75" s="2805"/>
      <c r="AZ75" s="2805"/>
      <c r="BA75" s="2805"/>
      <c r="BB75" s="2805"/>
      <c r="BC75" s="2805"/>
      <c r="BD75" s="2805"/>
      <c r="BE75" s="2805"/>
      <c r="BF75" s="2805"/>
      <c r="BG75" s="2805"/>
      <c r="BH75" s="2805"/>
      <c r="BI75" s="2805"/>
      <c r="BJ75" s="2805"/>
      <c r="BK75" s="2805"/>
      <c r="BL75" s="2805"/>
      <c r="BM75" s="2805"/>
      <c r="BN75" s="2805"/>
      <c r="BO75" s="2805"/>
      <c r="BP75" s="2805"/>
      <c r="BQ75" s="2805"/>
      <c r="BR75" s="2805"/>
      <c r="BS75" s="2805"/>
      <c r="BT75" s="2805"/>
      <c r="BU75" s="2805"/>
      <c r="BV75" s="2805"/>
      <c r="BW75" s="2805"/>
      <c r="BX75" s="2805"/>
      <c r="BY75" s="2805"/>
      <c r="BZ75" s="2805"/>
      <c r="CA75" s="2805"/>
      <c r="CB75" s="2805"/>
      <c r="CC75" s="2805"/>
      <c r="CD75" s="2805"/>
      <c r="CE75" s="2805"/>
      <c r="CF75" s="2805"/>
      <c r="CG75" s="2805"/>
      <c r="CH75" s="2805" t="s">
        <v>1750</v>
      </c>
      <c r="CI75" s="2805">
        <f>+CI73+CI74</f>
        <v>0</v>
      </c>
      <c r="CJ75" s="2805">
        <f>+CJ73+CJ74</f>
        <v>0</v>
      </c>
      <c r="CK75" s="2805">
        <f>+CK73+CK74</f>
        <v>0</v>
      </c>
      <c r="CL75" s="2805"/>
      <c r="CM75" s="2805"/>
      <c r="CN75" s="2805"/>
      <c r="CO75" s="2805"/>
      <c r="CP75" s="2805"/>
      <c r="CQ75" s="2805"/>
      <c r="CR75" s="2805"/>
      <c r="CS75" s="2805"/>
      <c r="CT75" s="2805"/>
      <c r="CU75" s="2805"/>
      <c r="CV75" s="2805"/>
      <c r="CW75" s="2805"/>
      <c r="CX75" s="2805"/>
      <c r="CY75" s="2805"/>
      <c r="CZ75" s="2805"/>
      <c r="DA75" s="2805"/>
      <c r="DB75" s="2805"/>
      <c r="DC75" s="2805"/>
      <c r="DD75" s="2805"/>
      <c r="DE75" s="2805"/>
      <c r="DF75" s="2805"/>
      <c r="DG75" s="2805"/>
      <c r="DH75" s="2805"/>
      <c r="DI75" s="2805"/>
      <c r="DJ75" s="2805"/>
      <c r="DK75" s="2805"/>
      <c r="DL75" s="2805"/>
      <c r="DM75" s="2805"/>
      <c r="DN75" s="2805"/>
      <c r="DO75" s="2805"/>
      <c r="DP75" s="2805"/>
      <c r="DQ75" s="2805"/>
      <c r="DR75" s="2805"/>
      <c r="DS75" s="2805"/>
      <c r="DT75" s="2805"/>
      <c r="DU75" s="2805"/>
      <c r="DV75" s="2805"/>
      <c r="DW75" s="2805"/>
      <c r="DX75" s="2805"/>
      <c r="DY75" s="2805"/>
      <c r="DZ75" s="2805"/>
      <c r="EA75" s="2805"/>
      <c r="EB75" s="2805"/>
      <c r="EC75" s="2805"/>
      <c r="ED75" s="2805"/>
      <c r="EE75" s="2805"/>
      <c r="EF75" s="2805"/>
      <c r="EG75" s="2805"/>
      <c r="EH75" s="2805"/>
      <c r="EI75" s="2805"/>
      <c r="EJ75" s="2805"/>
      <c r="EK75" s="2805"/>
      <c r="EL75" s="2805"/>
      <c r="EM75" s="2805"/>
      <c r="EN75" s="2805"/>
      <c r="EO75" s="2805"/>
      <c r="EP75" s="2805"/>
      <c r="EQ75" s="2805"/>
      <c r="ER75" s="2805"/>
      <c r="ES75" s="2805"/>
      <c r="ET75" s="2805"/>
      <c r="EU75" s="2805"/>
      <c r="EV75" s="2805"/>
      <c r="EW75" s="2805"/>
      <c r="EX75" s="2805"/>
      <c r="EY75" s="2805"/>
      <c r="EZ75" s="2805"/>
      <c r="FA75" s="2805"/>
      <c r="FB75" s="2805"/>
      <c r="FC75" s="2805"/>
      <c r="FD75" s="2805"/>
      <c r="FE75" s="2805"/>
      <c r="FF75" s="2805"/>
      <c r="FG75" s="2805"/>
      <c r="FH75" s="2805"/>
      <c r="FI75" s="2805"/>
      <c r="FJ75" s="2805"/>
      <c r="FK75" s="2805"/>
      <c r="FL75" s="2805"/>
      <c r="FM75" s="2805"/>
      <c r="FN75" s="2805"/>
      <c r="FO75" s="2805"/>
      <c r="FP75" s="2805"/>
      <c r="FQ75" s="2805"/>
      <c r="FR75" s="2805"/>
      <c r="FS75" s="2805"/>
      <c r="FT75" s="2805"/>
      <c r="FU75" s="2805"/>
      <c r="FV75" s="2805"/>
      <c r="FW75" s="2805"/>
      <c r="FX75" s="2805"/>
      <c r="FY75" s="2805"/>
      <c r="FZ75" s="2805"/>
      <c r="GA75" s="2805"/>
      <c r="GB75" s="2805"/>
      <c r="GC75" s="2805"/>
      <c r="GD75" s="2805"/>
      <c r="GE75" s="2805"/>
      <c r="GF75" s="2805"/>
      <c r="GG75" s="2805"/>
      <c r="GH75" s="2805"/>
      <c r="GI75" s="2805"/>
      <c r="GJ75" s="2805"/>
      <c r="GK75" s="2805"/>
      <c r="GL75" s="2805"/>
      <c r="GM75" s="2805"/>
      <c r="GN75" s="2805"/>
      <c r="GO75" s="2805"/>
      <c r="GP75" s="2805"/>
      <c r="GQ75" s="2805"/>
      <c r="GR75" s="2805"/>
      <c r="GS75" s="2805"/>
      <c r="GT75" s="2805"/>
      <c r="GU75" s="2805"/>
      <c r="GV75" s="2805"/>
      <c r="GW75" s="2805"/>
      <c r="GX75" s="2805"/>
      <c r="GY75" s="2805"/>
      <c r="GZ75" s="2805"/>
      <c r="HA75" s="2805"/>
      <c r="HB75" s="2805"/>
      <c r="HC75" s="2805"/>
      <c r="HD75" s="2805"/>
      <c r="HE75" s="2805"/>
      <c r="HF75" s="2805"/>
      <c r="HG75" s="2805"/>
      <c r="HH75" s="2805"/>
      <c r="HI75" s="2805"/>
      <c r="HJ75" s="2805"/>
      <c r="HK75" s="2805"/>
      <c r="HL75" s="2805"/>
      <c r="HM75" s="2805"/>
      <c r="HN75" s="2805"/>
      <c r="HO75" s="2805"/>
      <c r="HP75" s="2805"/>
      <c r="HQ75" s="2805"/>
      <c r="HR75" s="2805"/>
      <c r="HS75" s="2805"/>
      <c r="HT75" s="2805"/>
      <c r="HU75" s="2805"/>
      <c r="HV75" s="2805"/>
      <c r="HW75" s="2805"/>
      <c r="HX75" s="2805"/>
      <c r="HY75" s="2805"/>
      <c r="HZ75" s="2805"/>
      <c r="IA75" s="2805"/>
      <c r="IB75" s="2805"/>
      <c r="IC75" s="2805"/>
      <c r="ID75" s="2805"/>
      <c r="IE75" s="2805"/>
      <c r="IF75" s="2805"/>
      <c r="IG75" s="2805"/>
      <c r="IH75" s="2805"/>
      <c r="II75" s="2805"/>
      <c r="IJ75" s="2805"/>
      <c r="IK75" s="2805"/>
      <c r="IL75" s="2805"/>
      <c r="IM75" s="2805"/>
      <c r="IN75" s="2805"/>
      <c r="IO75" s="2805"/>
      <c r="IP75" s="2805"/>
      <c r="IQ75" s="2805"/>
      <c r="IR75" s="2805"/>
      <c r="IS75" s="2805"/>
      <c r="IT75" s="2805"/>
      <c r="IU75" s="2805"/>
      <c r="IV75" s="2805"/>
      <c r="IW75" s="2805"/>
      <c r="IX75" s="2805"/>
      <c r="IY75" s="2805"/>
      <c r="IZ75" s="2805"/>
      <c r="JA75" s="2805"/>
      <c r="JB75" s="2805"/>
      <c r="JC75" s="2805"/>
      <c r="JD75" s="2805"/>
      <c r="JE75" s="2805"/>
      <c r="JF75" s="2805"/>
      <c r="JG75" s="2805"/>
      <c r="JH75" s="2805"/>
      <c r="JI75" s="2805"/>
      <c r="JJ75" s="2805"/>
      <c r="JK75" s="2805"/>
      <c r="JL75" s="2805"/>
      <c r="JM75" s="2805"/>
      <c r="JN75" s="2805"/>
      <c r="JO75" s="2805"/>
      <c r="JP75" s="2805"/>
      <c r="JQ75" s="2805"/>
      <c r="JR75" s="2805"/>
      <c r="JS75" s="2805"/>
      <c r="JT75" s="2805"/>
      <c r="JU75" s="2805"/>
      <c r="JV75" s="2805"/>
      <c r="JW75" s="2805"/>
      <c r="JX75" s="2805"/>
      <c r="JY75" s="2805"/>
      <c r="JZ75" s="2805"/>
      <c r="KA75" s="2805"/>
      <c r="KB75" s="2805"/>
      <c r="KC75" s="2805"/>
      <c r="KD75" s="2805"/>
      <c r="KE75" s="2805"/>
      <c r="KF75" s="2805"/>
      <c r="KG75" s="2805"/>
      <c r="KH75" s="2805"/>
      <c r="KI75" s="2805"/>
      <c r="KJ75" s="2805"/>
      <c r="KK75" s="2805"/>
      <c r="KL75" s="2805"/>
      <c r="KM75" s="2805"/>
      <c r="KN75" s="2805"/>
      <c r="KO75" s="2805"/>
      <c r="KP75" s="2805"/>
      <c r="KQ75" s="2805"/>
      <c r="KR75" s="2805"/>
      <c r="KS75" s="2805"/>
      <c r="KT75" s="2805"/>
      <c r="KU75" s="2805"/>
      <c r="KV75" s="2805"/>
      <c r="KW75" s="2805"/>
      <c r="KX75" s="2805"/>
      <c r="KY75" s="2805"/>
      <c r="KZ75" s="2805"/>
      <c r="LA75" s="2805"/>
      <c r="LB75" s="2805"/>
      <c r="LC75" s="2805"/>
      <c r="LD75" s="2805"/>
      <c r="LE75" s="2805"/>
      <c r="LF75" s="2805"/>
      <c r="LG75" s="2805"/>
      <c r="LH75" s="2805"/>
      <c r="LI75" s="2805"/>
      <c r="LJ75" s="2805"/>
      <c r="LK75" s="2805"/>
      <c r="LL75" s="2805"/>
      <c r="LM75" s="2805"/>
      <c r="LN75" s="2805"/>
      <c r="LO75" s="2805"/>
      <c r="LP75" s="2805"/>
      <c r="LQ75" s="2805"/>
      <c r="LR75" s="2805"/>
      <c r="LS75" s="2805"/>
      <c r="LT75" s="2805"/>
      <c r="LU75" s="2805"/>
      <c r="LV75" s="2805"/>
      <c r="LW75" s="2805"/>
      <c r="LX75" s="2805"/>
      <c r="LY75" s="2805"/>
      <c r="LZ75" s="2805"/>
      <c r="MA75" s="2805"/>
      <c r="MB75" s="2805"/>
      <c r="MC75" s="2805"/>
      <c r="MD75" s="2805"/>
      <c r="ME75" s="2805"/>
      <c r="MF75" s="2805"/>
      <c r="MG75" s="2805"/>
      <c r="MH75" s="2805"/>
      <c r="MI75" s="2805"/>
      <c r="MJ75" s="2805"/>
      <c r="MK75" s="2805"/>
      <c r="ML75" s="2805"/>
      <c r="MM75" s="2805"/>
      <c r="MN75" s="2805"/>
      <c r="MO75" s="2805"/>
      <c r="MP75" s="2805"/>
      <c r="MQ75" s="2805"/>
      <c r="MR75" s="2805"/>
      <c r="MS75" s="2805"/>
      <c r="MT75" s="2805"/>
      <c r="MU75" s="2805"/>
      <c r="MV75" s="2805"/>
      <c r="MW75" s="2805"/>
      <c r="MX75" s="2805"/>
      <c r="MY75" s="2805"/>
      <c r="MZ75" s="2805"/>
      <c r="NA75" s="2805"/>
      <c r="NB75" s="2805"/>
      <c r="NC75" s="2805"/>
      <c r="ND75" s="2805"/>
      <c r="NE75" s="2805"/>
      <c r="NF75" s="2805"/>
      <c r="NG75" s="2805"/>
      <c r="NH75" s="2805"/>
      <c r="NI75" s="2805"/>
      <c r="NJ75" s="2805"/>
      <c r="NK75" s="2805"/>
      <c r="NL75" s="2805"/>
      <c r="NM75" s="2805"/>
      <c r="NN75" s="2805"/>
      <c r="NO75" s="2805"/>
      <c r="NP75" s="2805"/>
      <c r="NQ75" s="2805"/>
      <c r="NR75" s="2805"/>
      <c r="NS75" s="2805"/>
      <c r="NT75" s="2805"/>
      <c r="NU75" s="2805"/>
      <c r="NV75" s="2805"/>
      <c r="NW75" s="2805"/>
      <c r="NX75" s="2805"/>
      <c r="NY75" s="2805"/>
      <c r="NZ75" s="2805"/>
      <c r="OA75" s="2805"/>
      <c r="OB75" s="2805"/>
      <c r="OC75" s="2805"/>
      <c r="OD75" s="2805"/>
      <c r="OE75" s="2805"/>
      <c r="OF75" s="2805"/>
      <c r="OG75" s="2805"/>
      <c r="OH75" s="2805"/>
      <c r="OI75" s="2805"/>
      <c r="OJ75" s="2805"/>
      <c r="OK75" s="2805"/>
      <c r="OL75" s="2805"/>
      <c r="OM75" s="2805"/>
      <c r="ON75" s="2805"/>
      <c r="OO75" s="2805"/>
      <c r="OP75" s="2805"/>
      <c r="OQ75" s="2805"/>
      <c r="OR75" s="2805"/>
      <c r="OS75" s="2805"/>
      <c r="OT75" s="2805"/>
      <c r="OU75" s="2805"/>
      <c r="OV75" s="2805"/>
      <c r="OW75" s="2805"/>
      <c r="OX75" s="2805"/>
      <c r="OY75" s="2805"/>
      <c r="OZ75" s="2805"/>
      <c r="PA75" s="2805"/>
      <c r="PB75" s="2805"/>
      <c r="PC75" s="2805"/>
      <c r="PD75" s="2805"/>
      <c r="PE75" s="2805"/>
      <c r="PF75" s="2805"/>
      <c r="PG75" s="2805"/>
      <c r="PH75" s="2805"/>
      <c r="PI75" s="2805"/>
      <c r="PJ75" s="2805"/>
      <c r="PK75" s="2805"/>
      <c r="PL75" s="2805"/>
      <c r="PM75" s="2805"/>
      <c r="PN75" s="2805"/>
      <c r="PO75" s="2805"/>
      <c r="PP75" s="2805"/>
      <c r="PQ75" s="2805"/>
      <c r="PR75" s="2805"/>
      <c r="PS75" s="2805"/>
      <c r="PT75" s="2805"/>
      <c r="PU75" s="2805"/>
      <c r="PV75" s="2805"/>
      <c r="PW75" s="2805"/>
      <c r="PX75" s="2805"/>
      <c r="PY75" s="2805"/>
      <c r="PZ75" s="2805"/>
      <c r="QA75" s="2805"/>
      <c r="QB75" s="2805"/>
      <c r="QC75" s="2805"/>
      <c r="QD75" s="2805"/>
      <c r="QE75" s="2805"/>
      <c r="QF75" s="2805"/>
      <c r="QG75" s="2805"/>
      <c r="QH75" s="2805"/>
      <c r="QI75" s="2805"/>
      <c r="QJ75" s="2805"/>
      <c r="QK75" s="2805"/>
      <c r="QL75" s="2805"/>
      <c r="QM75" s="2805"/>
      <c r="QN75" s="2805"/>
      <c r="QO75" s="2805"/>
      <c r="QP75" s="2805"/>
      <c r="QQ75" s="2805"/>
      <c r="QR75" s="2805"/>
      <c r="QS75" s="2805"/>
      <c r="QT75" s="2805"/>
      <c r="QU75" s="2805"/>
      <c r="QV75" s="2805"/>
      <c r="QW75" s="2805"/>
      <c r="QX75" s="2805"/>
      <c r="QY75" s="2805"/>
      <c r="QZ75" s="2805"/>
      <c r="RA75" s="2805"/>
      <c r="RB75" s="2805"/>
      <c r="RC75" s="2805"/>
      <c r="RD75" s="2805"/>
      <c r="RE75" s="2805"/>
      <c r="RF75" s="2805"/>
      <c r="RG75" s="2805"/>
      <c r="RH75" s="2805"/>
      <c r="RI75" s="2805"/>
      <c r="RJ75" s="2805"/>
      <c r="RK75" s="2805"/>
      <c r="RL75" s="2805"/>
      <c r="RM75" s="2805"/>
      <c r="RN75" s="2805"/>
      <c r="RO75" s="2805"/>
      <c r="RP75" s="2805"/>
      <c r="RQ75" s="2805"/>
      <c r="RR75" s="2805"/>
      <c r="RS75" s="2805"/>
      <c r="RT75" s="2805"/>
      <c r="RU75" s="2805"/>
      <c r="RV75" s="2805"/>
      <c r="RW75" s="2805"/>
      <c r="RX75" s="2805"/>
      <c r="RY75" s="2805"/>
      <c r="RZ75" s="2805"/>
      <c r="SA75" s="2805"/>
      <c r="SB75" s="2805"/>
      <c r="SC75" s="2805"/>
      <c r="SD75" s="2805"/>
      <c r="SE75" s="2805"/>
      <c r="SF75" s="2805"/>
      <c r="SG75" s="2805"/>
      <c r="SH75" s="2805"/>
      <c r="SI75" s="2805"/>
      <c r="SJ75" s="2805"/>
      <c r="SK75" s="2805"/>
      <c r="SL75" s="2805"/>
      <c r="SM75" s="2805"/>
      <c r="SN75" s="2805"/>
      <c r="SO75" s="2805"/>
      <c r="SP75" s="2805"/>
      <c r="SQ75" s="2805"/>
      <c r="SR75" s="2805"/>
      <c r="SS75" s="2805"/>
      <c r="ST75" s="2805"/>
      <c r="SU75" s="2805"/>
      <c r="SV75" s="2805"/>
      <c r="SW75" s="2805"/>
      <c r="SX75" s="2805"/>
      <c r="SY75" s="2805"/>
      <c r="SZ75" s="2805"/>
      <c r="TA75" s="2805"/>
      <c r="TB75" s="2805"/>
      <c r="TC75" s="2805"/>
      <c r="TD75" s="2805"/>
      <c r="TE75" s="2805"/>
      <c r="TF75" s="2805"/>
      <c r="TG75" s="2805"/>
      <c r="TH75" s="2805"/>
      <c r="TI75" s="2805"/>
      <c r="TJ75" s="2805"/>
      <c r="TK75" s="2805"/>
      <c r="TL75" s="2805"/>
      <c r="TM75" s="2805"/>
      <c r="TN75" s="2805"/>
      <c r="TO75" s="2805"/>
      <c r="TP75" s="2805"/>
      <c r="TQ75" s="2805"/>
      <c r="TR75" s="2805"/>
      <c r="TS75" s="2805"/>
      <c r="TT75" s="2805"/>
      <c r="TU75" s="2805"/>
      <c r="TV75" s="2805"/>
      <c r="TW75" s="2805"/>
      <c r="TX75" s="2805"/>
      <c r="TY75" s="2805"/>
      <c r="TZ75" s="2805"/>
      <c r="UA75" s="2805"/>
      <c r="UB75" s="2805"/>
      <c r="UC75" s="2805"/>
      <c r="UD75" s="2805"/>
      <c r="UE75" s="2805"/>
      <c r="UF75" s="2805"/>
      <c r="UG75" s="2805"/>
      <c r="UH75" s="2805"/>
      <c r="UI75" s="2805"/>
      <c r="UJ75" s="2805"/>
      <c r="UK75" s="2805"/>
      <c r="UL75" s="2805"/>
      <c r="UM75" s="2805"/>
      <c r="UN75" s="2805"/>
      <c r="UO75" s="2805"/>
      <c r="UP75" s="2805"/>
      <c r="UQ75" s="2805"/>
      <c r="UR75" s="2805"/>
      <c r="US75" s="2805"/>
      <c r="UT75" s="2805"/>
      <c r="UU75" s="2805"/>
      <c r="UV75" s="2805"/>
      <c r="UW75" s="2805"/>
      <c r="UX75" s="2805"/>
      <c r="UY75" s="2805"/>
      <c r="UZ75" s="2805"/>
      <c r="VA75" s="2805"/>
      <c r="VB75" s="2805"/>
      <c r="VC75" s="2805"/>
      <c r="VD75" s="2805"/>
      <c r="VE75" s="2805"/>
      <c r="VF75" s="2805"/>
      <c r="VG75" s="2805"/>
      <c r="VH75" s="2805"/>
      <c r="VI75" s="2805"/>
      <c r="VJ75" s="2805"/>
      <c r="VK75" s="2805"/>
      <c r="VL75" s="2805"/>
      <c r="VM75" s="2805"/>
      <c r="VN75" s="2805"/>
      <c r="VO75" s="2805"/>
      <c r="VP75" s="2805"/>
      <c r="VQ75" s="2805"/>
      <c r="VR75" s="2805"/>
      <c r="VS75" s="2805"/>
      <c r="VT75" s="2805"/>
      <c r="VU75" s="2805"/>
      <c r="VV75" s="2805"/>
      <c r="VW75" s="2805"/>
      <c r="VX75" s="2805"/>
      <c r="VY75" s="2805"/>
      <c r="VZ75" s="2805"/>
      <c r="WA75" s="2805"/>
      <c r="WB75" s="2805"/>
      <c r="WC75" s="2805"/>
      <c r="WD75" s="2805"/>
      <c r="WE75" s="2805"/>
      <c r="WF75" s="2805"/>
      <c r="WG75" s="2805"/>
      <c r="WH75" s="2805"/>
      <c r="WI75" s="2805"/>
      <c r="WJ75" s="2805"/>
      <c r="WK75" s="2805"/>
      <c r="WL75" s="2805"/>
      <c r="WM75" s="2805"/>
      <c r="WN75" s="2805"/>
      <c r="WO75" s="2805"/>
      <c r="WP75" s="2805"/>
      <c r="WQ75" s="2805"/>
      <c r="WR75" s="2805"/>
      <c r="WS75" s="2805"/>
      <c r="WT75" s="2805"/>
      <c r="WU75" s="2805"/>
      <c r="WV75" s="2805"/>
      <c r="WW75" s="2805"/>
      <c r="WX75" s="2805"/>
      <c r="WY75" s="2805"/>
      <c r="WZ75" s="2805"/>
      <c r="XA75" s="2805"/>
      <c r="XB75" s="2805"/>
      <c r="XC75" s="2805"/>
      <c r="XD75" s="2805"/>
      <c r="XE75" s="2805"/>
      <c r="XF75" s="2805"/>
      <c r="XG75" s="2805"/>
      <c r="XH75" s="2805"/>
      <c r="XI75" s="2805"/>
      <c r="XJ75" s="2805"/>
      <c r="XK75" s="2805"/>
      <c r="XL75" s="2805"/>
      <c r="XM75" s="2805"/>
      <c r="XN75" s="2805"/>
      <c r="XO75" s="2805"/>
      <c r="XP75" s="2805"/>
      <c r="XQ75" s="2805"/>
      <c r="XR75" s="2805"/>
      <c r="XS75" s="2805"/>
      <c r="XT75" s="2805"/>
      <c r="XU75" s="2805"/>
      <c r="XV75" s="2805"/>
      <c r="XW75" s="2805"/>
      <c r="XX75" s="2805"/>
      <c r="XY75" s="2805"/>
      <c r="XZ75" s="2805"/>
      <c r="YA75" s="2805"/>
      <c r="YB75" s="2805"/>
      <c r="YC75" s="2805"/>
      <c r="YD75" s="2805"/>
      <c r="YE75" s="2805"/>
      <c r="YF75" s="2805"/>
      <c r="YG75" s="2805"/>
      <c r="YH75" s="2805"/>
      <c r="YI75" s="2805"/>
      <c r="YJ75" s="2805"/>
      <c r="YK75" s="2805"/>
      <c r="YL75" s="2805"/>
      <c r="YM75" s="2805"/>
      <c r="YN75" s="2805"/>
      <c r="YO75" s="2805"/>
      <c r="YP75" s="2805"/>
      <c r="YQ75" s="2805"/>
      <c r="YR75" s="2805"/>
      <c r="YS75" s="2805"/>
      <c r="YT75" s="2805"/>
      <c r="YU75" s="2805"/>
      <c r="YV75" s="2805"/>
      <c r="YW75" s="2805"/>
      <c r="YX75" s="2805"/>
      <c r="YY75" s="2805"/>
      <c r="YZ75" s="2805"/>
      <c r="ZA75" s="2805"/>
      <c r="ZB75" s="2805"/>
      <c r="ZC75" s="2805"/>
      <c r="ZD75" s="2805"/>
      <c r="ZE75" s="2805"/>
      <c r="ZF75" s="2805"/>
      <c r="ZG75" s="2805"/>
      <c r="ZH75" s="2805"/>
      <c r="ZI75" s="2805"/>
      <c r="ZJ75" s="2805"/>
      <c r="ZK75" s="2805"/>
      <c r="ZL75" s="2805"/>
      <c r="ZM75" s="2805"/>
      <c r="ZN75" s="2805"/>
      <c r="ZO75" s="2805"/>
      <c r="ZP75" s="2805"/>
      <c r="ZQ75" s="2805"/>
      <c r="ZR75" s="2805"/>
      <c r="ZS75" s="2805"/>
      <c r="ZT75" s="2805"/>
      <c r="ZU75" s="2805"/>
      <c r="ZV75" s="2805"/>
      <c r="ZW75" s="2805"/>
      <c r="ZX75" s="2805"/>
      <c r="ZY75" s="2805"/>
      <c r="ZZ75" s="2805"/>
      <c r="AAA75" s="2805"/>
      <c r="AAB75" s="2805"/>
      <c r="AAC75" s="2805"/>
      <c r="AAD75" s="2805"/>
      <c r="AAE75" s="2805"/>
      <c r="AAF75" s="2805"/>
      <c r="AAG75" s="2805"/>
      <c r="AAH75" s="2805"/>
      <c r="AAI75" s="2805"/>
      <c r="AAJ75" s="2805"/>
      <c r="AAK75" s="2805"/>
      <c r="AAL75" s="2805"/>
      <c r="AAM75" s="2805"/>
      <c r="AAN75" s="2805"/>
      <c r="AAO75" s="2805"/>
      <c r="AAP75" s="2805"/>
      <c r="AAQ75" s="2805"/>
      <c r="AAR75" s="2805"/>
      <c r="AAS75" s="2805"/>
      <c r="AAT75" s="2805"/>
      <c r="AAU75" s="2805"/>
      <c r="AAV75" s="2805"/>
      <c r="AAW75" s="2805"/>
      <c r="AAX75" s="2805"/>
      <c r="AAY75" s="2805"/>
      <c r="AAZ75" s="2805"/>
      <c r="ABA75" s="2805"/>
      <c r="ABB75" s="2805"/>
      <c r="ABC75" s="2805"/>
      <c r="ABD75" s="2805"/>
      <c r="ABE75" s="2805"/>
      <c r="ABF75" s="2805"/>
      <c r="ABG75" s="2805"/>
      <c r="ABH75" s="2805"/>
      <c r="ABI75" s="2805"/>
      <c r="ABJ75" s="2805"/>
      <c r="ABK75" s="2805"/>
      <c r="ABL75" s="2805"/>
      <c r="ABM75" s="2805"/>
      <c r="ABN75" s="2805"/>
      <c r="ABO75" s="2805"/>
      <c r="ABP75" s="2805"/>
      <c r="ABQ75" s="2805"/>
      <c r="ABR75" s="2805"/>
      <c r="ABS75" s="2805"/>
      <c r="ABT75" s="2805"/>
      <c r="ABU75" s="2805"/>
      <c r="ABV75" s="2805"/>
      <c r="ABW75" s="2805"/>
      <c r="ABX75" s="2805"/>
      <c r="ABY75" s="2805"/>
      <c r="ABZ75" s="2805"/>
      <c r="ACA75" s="2805"/>
      <c r="ACB75" s="2805"/>
      <c r="ACC75" s="2805"/>
      <c r="ACD75" s="2805"/>
      <c r="ACE75" s="2805"/>
      <c r="ACF75" s="2805"/>
      <c r="ACG75" s="2805"/>
      <c r="ACH75" s="2805"/>
      <c r="ACI75" s="2805"/>
      <c r="ACJ75" s="2805"/>
      <c r="ACK75" s="2805"/>
      <c r="ACL75" s="2805"/>
      <c r="ACM75" s="2805"/>
      <c r="ACN75" s="2805"/>
      <c r="ACO75" s="2805"/>
      <c r="ACP75" s="2805"/>
      <c r="ACQ75" s="2805"/>
      <c r="ACR75" s="2805"/>
      <c r="ACS75" s="2805"/>
      <c r="ACT75" s="2805"/>
      <c r="ACU75" s="2805"/>
      <c r="ACV75" s="2805"/>
      <c r="ACW75" s="2805"/>
      <c r="ACX75" s="2805"/>
      <c r="ACY75" s="2805"/>
      <c r="ACZ75" s="2805"/>
      <c r="ADA75" s="2805"/>
      <c r="ADB75" s="2805"/>
      <c r="ADC75" s="2805"/>
      <c r="ADD75" s="2805"/>
      <c r="ADE75" s="2805"/>
      <c r="ADF75" s="2805"/>
      <c r="ADG75" s="2805"/>
      <c r="ADH75" s="2805"/>
      <c r="ADI75" s="2805"/>
      <c r="ADJ75" s="2805"/>
      <c r="ADK75" s="2805"/>
      <c r="ADL75" s="2805"/>
      <c r="ADM75" s="2805"/>
      <c r="ADN75" s="2805"/>
      <c r="ADO75" s="2805"/>
      <c r="ADP75" s="2805"/>
      <c r="ADQ75" s="2805"/>
      <c r="ADR75" s="2805"/>
      <c r="ADS75" s="2805"/>
      <c r="ADT75" s="2805"/>
      <c r="ADU75" s="2805"/>
      <c r="ADV75" s="2805"/>
      <c r="ADW75" s="2805"/>
      <c r="ADX75" s="2805"/>
      <c r="ADY75" s="2805"/>
      <c r="ADZ75" s="2805"/>
      <c r="AEA75" s="2805"/>
      <c r="AEB75" s="2805"/>
      <c r="AEC75" s="2805"/>
      <c r="AED75" s="2805"/>
      <c r="AEE75" s="2805"/>
      <c r="AEF75" s="2805"/>
      <c r="AEG75" s="2805"/>
      <c r="AEH75" s="2805"/>
      <c r="AEI75" s="2805"/>
      <c r="AEJ75" s="2805"/>
      <c r="AEK75" s="2805"/>
      <c r="AEL75" s="2805"/>
      <c r="AEM75" s="2805"/>
      <c r="AEN75" s="2805"/>
      <c r="AEO75" s="2805"/>
      <c r="AEP75" s="2805"/>
      <c r="AEQ75" s="2805"/>
      <c r="AER75" s="2805"/>
      <c r="AES75" s="2805"/>
      <c r="AET75" s="2805"/>
      <c r="AEU75" s="2805"/>
      <c r="AEV75" s="2805"/>
      <c r="AEW75" s="2805"/>
      <c r="AEX75" s="2805"/>
      <c r="AEY75" s="2805"/>
      <c r="AEZ75" s="2805"/>
      <c r="AFA75" s="2805"/>
      <c r="AFB75" s="2805"/>
      <c r="AFC75" s="2805"/>
      <c r="AFD75" s="2805"/>
      <c r="AFE75" s="2805"/>
      <c r="AFF75" s="2805"/>
      <c r="AFG75" s="2805"/>
      <c r="AFH75" s="2805"/>
      <c r="AFI75" s="2805"/>
      <c r="AFJ75" s="2805"/>
      <c r="AFK75" s="2805"/>
      <c r="AFL75" s="2805"/>
      <c r="AFM75" s="2805"/>
      <c r="AFN75" s="2805"/>
      <c r="AFO75" s="2805"/>
      <c r="AFP75" s="2805"/>
      <c r="AFQ75" s="2805"/>
      <c r="AFR75" s="2805"/>
      <c r="AFS75" s="2805"/>
      <c r="AFT75" s="2805"/>
      <c r="AFU75" s="2805"/>
      <c r="AFV75" s="2805"/>
      <c r="AFW75" s="2805"/>
      <c r="AFX75" s="2805"/>
      <c r="AFY75" s="2805"/>
      <c r="AFZ75" s="2805"/>
      <c r="AGA75" s="2805"/>
      <c r="AGB75" s="2805"/>
      <c r="AGC75" s="2805"/>
      <c r="AGD75" s="2805"/>
      <c r="AGE75" s="2805"/>
      <c r="AGF75" s="2805"/>
      <c r="AGG75" s="2805"/>
      <c r="AGH75" s="2805"/>
      <c r="AGI75" s="2805"/>
      <c r="AGJ75" s="2805"/>
      <c r="AGK75" s="2805"/>
      <c r="AGL75" s="2805"/>
      <c r="AGM75" s="2805"/>
      <c r="AGN75" s="2805"/>
      <c r="AGO75" s="2805"/>
      <c r="AGP75" s="2805"/>
      <c r="AGQ75" s="2805"/>
      <c r="AGR75" s="2805"/>
      <c r="AGS75" s="2805"/>
      <c r="AGT75" s="2805"/>
      <c r="AGU75" s="2805"/>
      <c r="AGV75" s="2805"/>
      <c r="AGW75" s="2805"/>
      <c r="AGX75" s="2805"/>
      <c r="AGY75" s="2805"/>
      <c r="AGZ75" s="2805"/>
      <c r="AHA75" s="2805"/>
      <c r="AHB75" s="2805"/>
      <c r="AHC75" s="2805"/>
      <c r="AHD75" s="2805"/>
      <c r="AHE75" s="2805"/>
      <c r="AHF75" s="2805"/>
      <c r="AHG75" s="2805"/>
      <c r="AHH75" s="2805"/>
      <c r="AHI75" s="2805"/>
      <c r="AHJ75" s="2805"/>
      <c r="AHK75" s="2805"/>
      <c r="AHL75" s="2805"/>
      <c r="AHM75" s="2805"/>
      <c r="AHN75" s="2805"/>
      <c r="AHO75" s="2805"/>
      <c r="AHP75" s="2805"/>
      <c r="AHQ75" s="2805"/>
      <c r="AHR75" s="2805"/>
      <c r="AHS75" s="2805"/>
      <c r="AHT75" s="2805"/>
      <c r="AHU75" s="2805"/>
      <c r="AHV75" s="2805"/>
      <c r="AHW75" s="2805"/>
      <c r="AHX75" s="2805"/>
      <c r="AHY75" s="2805"/>
      <c r="AHZ75" s="2805"/>
      <c r="AIA75" s="2805"/>
      <c r="AIB75" s="2805"/>
      <c r="AIC75" s="2805"/>
      <c r="AID75" s="2805"/>
      <c r="AIE75" s="2805"/>
      <c r="AIF75" s="2805"/>
      <c r="AIG75" s="2805"/>
      <c r="AIH75" s="2805"/>
      <c r="AII75" s="2805"/>
      <c r="AIJ75" s="2805"/>
      <c r="AIK75" s="2805"/>
      <c r="AIL75" s="2805"/>
      <c r="AIM75" s="2805"/>
      <c r="AIN75" s="2805"/>
      <c r="AIO75" s="2805"/>
      <c r="AIP75" s="2805"/>
      <c r="AIQ75" s="2805"/>
      <c r="AIR75" s="2805"/>
      <c r="AIS75" s="2805"/>
      <c r="AIT75" s="2805"/>
      <c r="AIU75" s="2805"/>
      <c r="AIV75" s="2805"/>
      <c r="AIW75" s="2805"/>
      <c r="AIX75" s="2805"/>
      <c r="AIY75" s="2805"/>
      <c r="AIZ75" s="2805"/>
      <c r="AJA75" s="2805"/>
      <c r="AJB75" s="2805"/>
      <c r="AJC75" s="2805"/>
      <c r="AJD75" s="2805"/>
      <c r="AJE75" s="2805"/>
      <c r="AJF75" s="2805"/>
      <c r="AJG75" s="2805"/>
      <c r="AJH75" s="2805"/>
      <c r="AJI75" s="2805"/>
      <c r="AJJ75" s="2805"/>
      <c r="AJK75" s="2805"/>
      <c r="AJL75" s="2805"/>
      <c r="AJM75" s="2805"/>
      <c r="AJN75" s="2805"/>
      <c r="AJO75" s="2805"/>
      <c r="AJP75" s="2805"/>
      <c r="AJQ75" s="2805"/>
      <c r="AJR75" s="2805"/>
      <c r="AJS75" s="2805"/>
      <c r="AJT75" s="2805"/>
      <c r="AJU75" s="2805"/>
      <c r="AJV75" s="2805"/>
      <c r="AJW75" s="2805"/>
      <c r="AJX75" s="2805"/>
      <c r="AJY75" s="2805"/>
      <c r="AJZ75" s="2805"/>
      <c r="AKA75" s="2805"/>
      <c r="AKB75" s="2805"/>
      <c r="AKC75" s="2805"/>
      <c r="AKD75" s="2805"/>
      <c r="AKE75" s="2805"/>
      <c r="AKF75" s="2805"/>
      <c r="AKG75" s="2805"/>
      <c r="AKH75" s="2805"/>
      <c r="AKI75" s="2805"/>
      <c r="AKJ75" s="2805"/>
      <c r="AKK75" s="2805"/>
      <c r="AKL75" s="2805"/>
      <c r="AKM75" s="2805"/>
      <c r="AKN75" s="2805"/>
      <c r="AKO75" s="2805"/>
      <c r="AKP75" s="2805"/>
      <c r="AKQ75" s="2805"/>
      <c r="AKR75" s="2805"/>
      <c r="AKS75" s="2805"/>
      <c r="AKT75" s="2805"/>
      <c r="AKU75" s="2805"/>
      <c r="AKV75" s="2805"/>
      <c r="AKW75" s="2805"/>
      <c r="AKX75" s="2805"/>
      <c r="AKY75" s="2805"/>
      <c r="AKZ75" s="2805"/>
      <c r="ALA75" s="2805"/>
      <c r="ALB75" s="2805"/>
      <c r="ALC75" s="2805"/>
      <c r="ALD75" s="2805"/>
      <c r="ALE75" s="2805"/>
      <c r="ALF75" s="2805"/>
      <c r="ALG75" s="2805"/>
      <c r="ALH75" s="2805"/>
      <c r="ALI75" s="2805"/>
      <c r="ALJ75" s="2805"/>
      <c r="ALK75" s="2805"/>
      <c r="ALL75" s="2805"/>
      <c r="ALM75" s="2805"/>
      <c r="ALN75" s="2805"/>
      <c r="ALO75" s="2805"/>
      <c r="ALP75" s="2805"/>
      <c r="ALQ75" s="2805"/>
      <c r="ALR75" s="2805"/>
      <c r="ALS75" s="2805"/>
      <c r="ALT75" s="2805"/>
      <c r="ALU75" s="2805"/>
      <c r="ALV75" s="2805"/>
      <c r="ALW75" s="2805"/>
      <c r="ALX75" s="2805"/>
      <c r="ALY75" s="2805"/>
      <c r="ALZ75" s="2805"/>
      <c r="AMA75" s="2805"/>
      <c r="AMB75" s="2805"/>
      <c r="AMC75" s="2805"/>
      <c r="AMD75" s="2805"/>
      <c r="AME75" s="2805"/>
      <c r="AMF75" s="2805"/>
      <c r="AMG75" s="2805"/>
      <c r="AMH75" s="2805"/>
      <c r="AMI75" s="2805"/>
      <c r="AMJ75" s="2805"/>
      <c r="AMK75" s="2805"/>
      <c r="AML75" s="2805"/>
      <c r="AMM75" s="2805"/>
      <c r="AMN75" s="2805"/>
      <c r="AMO75" s="2805"/>
      <c r="AMP75" s="2805"/>
      <c r="AMQ75" s="2805"/>
      <c r="AMR75" s="2805"/>
      <c r="AMS75" s="2805"/>
      <c r="AMT75" s="2805"/>
      <c r="AMU75" s="2805"/>
      <c r="AMV75" s="2805"/>
      <c r="AMW75" s="2805"/>
      <c r="AMX75" s="2805"/>
      <c r="AMY75" s="2805"/>
      <c r="AMZ75" s="2805"/>
      <c r="ANA75" s="2805"/>
      <c r="ANB75" s="2805"/>
      <c r="ANC75" s="2805"/>
      <c r="AND75" s="2805"/>
      <c r="ANE75" s="2805"/>
      <c r="ANF75" s="2805"/>
      <c r="ANG75" s="2805"/>
      <c r="ANH75" s="2805"/>
      <c r="ANI75" s="2805"/>
      <c r="ANJ75" s="2805"/>
      <c r="ANK75" s="2805"/>
      <c r="ANL75" s="2805"/>
      <c r="ANM75" s="2805"/>
      <c r="ANN75" s="2805"/>
      <c r="ANO75" s="2805"/>
      <c r="ANP75" s="2805"/>
      <c r="ANQ75" s="2805"/>
      <c r="ANR75" s="2805"/>
      <c r="ANS75" s="2805"/>
      <c r="ANT75" s="2805"/>
      <c r="ANU75" s="2805"/>
      <c r="ANV75" s="2805"/>
      <c r="ANW75" s="2805"/>
      <c r="ANX75" s="2805"/>
      <c r="ANY75" s="2805"/>
      <c r="ANZ75" s="2805"/>
      <c r="AOA75" s="2805"/>
      <c r="AOB75" s="2805"/>
      <c r="AOC75" s="2805"/>
      <c r="AOD75" s="2805"/>
      <c r="AOE75" s="2805"/>
      <c r="AOF75" s="2805"/>
      <c r="AOG75" s="2805"/>
      <c r="AOH75" s="2805"/>
      <c r="AOI75" s="2805"/>
      <c r="AOJ75" s="2805"/>
      <c r="AOK75" s="2805"/>
      <c r="AOL75" s="2805"/>
      <c r="AOM75" s="2805"/>
      <c r="AON75" s="2805"/>
      <c r="AOO75" s="2805"/>
      <c r="AOP75" s="2805"/>
      <c r="AOQ75" s="2805"/>
      <c r="AOR75" s="2805"/>
      <c r="AOS75" s="2805"/>
      <c r="AOT75" s="2805"/>
      <c r="AOU75" s="2805"/>
      <c r="AOV75" s="2805"/>
      <c r="AOW75" s="2805"/>
      <c r="AOX75" s="2805"/>
      <c r="AOY75" s="2805"/>
      <c r="AOZ75" s="2805"/>
      <c r="APA75" s="2805"/>
      <c r="APB75" s="2805"/>
      <c r="APC75" s="2805"/>
      <c r="APD75" s="2805"/>
      <c r="APE75" s="2805"/>
      <c r="APF75" s="2805"/>
      <c r="APG75" s="2805"/>
      <c r="APH75" s="2805"/>
      <c r="API75" s="2805"/>
      <c r="APJ75" s="2805"/>
      <c r="APK75" s="2805"/>
      <c r="APL75" s="2805"/>
      <c r="APM75" s="2805"/>
      <c r="APN75" s="2805"/>
      <c r="APO75" s="2805"/>
      <c r="APP75" s="2805"/>
      <c r="APQ75" s="2805"/>
      <c r="APR75" s="2805"/>
      <c r="APS75" s="2805"/>
      <c r="APT75" s="2805"/>
      <c r="APU75" s="2805"/>
      <c r="APV75" s="2805"/>
      <c r="APW75" s="2805"/>
      <c r="APX75" s="2805"/>
      <c r="APY75" s="2805"/>
      <c r="APZ75" s="2805"/>
      <c r="AQA75" s="2805"/>
      <c r="AQB75" s="2805"/>
      <c r="AQC75" s="2805"/>
      <c r="AQD75" s="2805"/>
      <c r="AQE75" s="2805"/>
      <c r="AQF75" s="2805"/>
      <c r="AQG75" s="2805"/>
      <c r="AQH75" s="2805"/>
      <c r="AQI75" s="2805"/>
      <c r="AQJ75" s="2805"/>
      <c r="AQK75" s="2805"/>
      <c r="AQL75" s="2805"/>
      <c r="AQM75" s="2805"/>
      <c r="AQN75" s="2805"/>
      <c r="AQO75" s="2805"/>
      <c r="AQP75" s="2805"/>
      <c r="AQQ75" s="2805"/>
      <c r="AQR75" s="2805"/>
      <c r="AQS75" s="2805"/>
      <c r="AQT75" s="2805"/>
      <c r="AQU75" s="2805"/>
      <c r="AQV75" s="2805"/>
      <c r="AQW75" s="2805"/>
      <c r="AQX75" s="2805"/>
      <c r="AQY75" s="2805"/>
      <c r="AQZ75" s="2805"/>
      <c r="ARA75" s="2805"/>
      <c r="ARB75" s="2805"/>
      <c r="ARC75" s="2805"/>
      <c r="ARD75" s="2805"/>
      <c r="ARE75" s="2805"/>
      <c r="ARF75" s="2805"/>
      <c r="ARG75" s="2805"/>
      <c r="ARH75" s="2805"/>
      <c r="ARI75" s="2805"/>
      <c r="ARJ75" s="2805"/>
      <c r="ARK75" s="2805"/>
      <c r="ARL75" s="2805"/>
      <c r="ARM75" s="2805"/>
      <c r="ARN75" s="2805"/>
      <c r="ARO75" s="2805"/>
      <c r="ARP75" s="2805"/>
      <c r="ARQ75" s="2805"/>
      <c r="ARR75" s="2805"/>
      <c r="ARS75" s="2805"/>
      <c r="ART75" s="2805"/>
      <c r="ARU75" s="2805"/>
      <c r="ARV75" s="2805"/>
      <c r="ARW75" s="2805"/>
      <c r="ARX75" s="2805"/>
      <c r="ARY75" s="2805"/>
      <c r="ARZ75" s="2805"/>
      <c r="ASA75" s="2805"/>
      <c r="ASB75" s="2805"/>
      <c r="ASC75" s="2805"/>
      <c r="ASD75" s="2805"/>
      <c r="ASE75" s="2805"/>
      <c r="ASF75" s="2805"/>
      <c r="ASG75" s="2805"/>
      <c r="ASH75" s="2805"/>
      <c r="ASI75" s="2805"/>
      <c r="ASJ75" s="2805"/>
      <c r="ASK75" s="2805"/>
      <c r="ASL75" s="2805"/>
      <c r="ASM75" s="2805"/>
      <c r="ASN75" s="2805"/>
      <c r="ASO75" s="2805"/>
      <c r="ASP75" s="2805"/>
      <c r="ASQ75" s="2805"/>
      <c r="ASR75" s="2805"/>
      <c r="ASS75" s="2805"/>
      <c r="AST75" s="2805"/>
      <c r="ASU75" s="2805"/>
      <c r="ASV75" s="2805"/>
      <c r="ASW75" s="2805"/>
      <c r="ASX75" s="2805"/>
      <c r="ASY75" s="2805"/>
      <c r="ASZ75" s="2805"/>
      <c r="ATA75" s="2805"/>
      <c r="ATB75" s="2805"/>
      <c r="ATC75" s="2805"/>
      <c r="ATD75" s="2805"/>
      <c r="ATE75" s="2805"/>
      <c r="ATF75" s="2805"/>
      <c r="ATG75" s="2805"/>
      <c r="ATH75" s="2805"/>
      <c r="ATI75" s="2805"/>
      <c r="ATJ75" s="2805"/>
      <c r="ATK75" s="2805"/>
      <c r="ATL75" s="2805"/>
      <c r="ATM75" s="2805"/>
      <c r="ATN75" s="2805"/>
      <c r="ATO75" s="2805"/>
      <c r="ATP75" s="2805"/>
      <c r="ATQ75" s="2805"/>
      <c r="ATR75" s="2805"/>
      <c r="ATS75" s="2805"/>
      <c r="ATT75" s="2805"/>
      <c r="ATU75" s="2805"/>
      <c r="ATV75" s="2805"/>
      <c r="ATW75" s="2805"/>
      <c r="ATX75" s="2805"/>
      <c r="ATY75" s="2805"/>
      <c r="ATZ75" s="2805"/>
      <c r="AUA75" s="2805"/>
      <c r="AUB75" s="2805"/>
      <c r="AUC75" s="2805"/>
      <c r="AUD75" s="2805"/>
      <c r="AUE75" s="2805"/>
      <c r="AUF75" s="2805"/>
      <c r="AUG75" s="2805"/>
      <c r="AUH75" s="2805"/>
      <c r="AUI75" s="2805"/>
      <c r="AUJ75" s="2805"/>
      <c r="AUK75" s="2805"/>
      <c r="AUL75" s="2805"/>
      <c r="AUM75" s="2805"/>
      <c r="AUN75" s="2805"/>
      <c r="AUO75" s="2805"/>
      <c r="AUP75" s="2805"/>
      <c r="AUQ75" s="2805"/>
      <c r="AUR75" s="2805"/>
      <c r="AUS75" s="2805"/>
      <c r="AUT75" s="2805"/>
      <c r="AUU75" s="2805"/>
      <c r="AUV75" s="2805"/>
      <c r="AUW75" s="2805"/>
      <c r="AUX75" s="2805"/>
      <c r="AUY75" s="2805"/>
      <c r="AUZ75" s="2805"/>
      <c r="AVA75" s="2805"/>
      <c r="AVB75" s="2805"/>
      <c r="AVC75" s="2805"/>
      <c r="AVD75" s="2805"/>
      <c r="AVE75" s="2805"/>
      <c r="AVF75" s="2805"/>
      <c r="AVG75" s="2805"/>
      <c r="AVH75" s="2805"/>
      <c r="AVI75" s="2805"/>
      <c r="AVJ75" s="2805"/>
      <c r="AVK75" s="2805"/>
      <c r="AVL75" s="2805"/>
      <c r="AVM75" s="2805"/>
      <c r="AVN75" s="2805"/>
      <c r="AVO75" s="2805"/>
      <c r="AVP75" s="2805"/>
      <c r="AVQ75" s="2805"/>
      <c r="AVR75" s="2805"/>
      <c r="AVS75" s="2805"/>
      <c r="AVT75" s="2805"/>
      <c r="AVU75" s="2805"/>
      <c r="AVV75" s="2805"/>
      <c r="AVW75" s="2805"/>
      <c r="AVX75" s="2805"/>
      <c r="AVY75" s="2805"/>
      <c r="AVZ75" s="2805"/>
      <c r="AWA75" s="2805"/>
      <c r="AWB75" s="2805"/>
      <c r="AWC75" s="2805"/>
      <c r="AWD75" s="2805"/>
      <c r="AWE75" s="2805"/>
      <c r="AWF75" s="2805"/>
      <c r="AWG75" s="2805"/>
      <c r="AWH75" s="2805"/>
      <c r="AWI75" s="2805"/>
      <c r="AWJ75" s="2805"/>
      <c r="AWK75" s="2805"/>
      <c r="AWL75" s="2805"/>
      <c r="AWM75" s="2805"/>
      <c r="AWN75" s="2805"/>
      <c r="AWO75" s="2805"/>
      <c r="AWP75" s="2805"/>
      <c r="AWQ75" s="2805"/>
      <c r="AWR75" s="2805"/>
      <c r="AWS75" s="2805"/>
      <c r="AWT75" s="2805"/>
      <c r="AWU75" s="2805"/>
      <c r="AWV75" s="2805"/>
      <c r="AWW75" s="2805"/>
      <c r="AWX75" s="2805"/>
      <c r="AWY75" s="2805"/>
      <c r="AWZ75" s="2805"/>
      <c r="AXA75" s="2805"/>
      <c r="AXB75" s="2805"/>
      <c r="AXC75" s="2805"/>
      <c r="AXD75" s="2805"/>
      <c r="AXE75" s="2805"/>
      <c r="AXF75" s="2805"/>
      <c r="AXG75" s="2805"/>
      <c r="AXH75" s="2805"/>
      <c r="AXI75" s="2805"/>
      <c r="AXJ75" s="2805"/>
      <c r="AXK75" s="2805"/>
      <c r="AXL75" s="2805"/>
      <c r="AXM75" s="2805"/>
      <c r="AXN75" s="2805"/>
      <c r="AXO75" s="2805"/>
      <c r="AXP75" s="2805"/>
      <c r="AXQ75" s="2805"/>
      <c r="AXR75" s="2805"/>
      <c r="AXS75" s="2805"/>
      <c r="AXT75" s="2805"/>
      <c r="AXU75" s="2805"/>
      <c r="AXV75" s="2805"/>
      <c r="AXW75" s="2805"/>
      <c r="AXX75" s="2805"/>
      <c r="AXY75" s="2805"/>
      <c r="AXZ75" s="2805"/>
      <c r="AYA75" s="2805"/>
      <c r="AYB75" s="2805"/>
      <c r="AYC75" s="2805"/>
      <c r="AYD75" s="2805"/>
      <c r="AYE75" s="2805"/>
      <c r="AYF75" s="2805"/>
      <c r="AYG75" s="2805"/>
      <c r="AYH75" s="2805"/>
      <c r="AYI75" s="2805"/>
      <c r="AYJ75" s="2805"/>
      <c r="AYK75" s="2805"/>
      <c r="AYL75" s="2805"/>
      <c r="AYM75" s="2805"/>
      <c r="AYN75" s="2805"/>
      <c r="AYO75" s="2805"/>
      <c r="AYP75" s="2805"/>
      <c r="AYQ75" s="2805"/>
      <c r="AYR75" s="2805"/>
      <c r="AYS75" s="2805"/>
      <c r="AYT75" s="2805"/>
      <c r="AYU75" s="2805"/>
      <c r="AYV75" s="2805"/>
      <c r="AYW75" s="2805"/>
      <c r="AYX75" s="2805"/>
      <c r="AYY75" s="2805"/>
      <c r="AYZ75" s="2805"/>
      <c r="AZA75" s="2805"/>
      <c r="AZB75" s="2805"/>
      <c r="AZC75" s="2805"/>
      <c r="AZD75" s="2805"/>
      <c r="AZE75" s="2805"/>
      <c r="AZF75" s="2805"/>
      <c r="AZG75" s="2805"/>
      <c r="AZH75" s="2805"/>
      <c r="AZI75" s="2805"/>
      <c r="AZJ75" s="2805"/>
      <c r="AZK75" s="2805"/>
      <c r="AZL75" s="2805"/>
      <c r="AZM75" s="2805"/>
      <c r="AZN75" s="2805"/>
      <c r="AZO75" s="2805"/>
      <c r="AZP75" s="2805"/>
      <c r="AZQ75" s="2805"/>
      <c r="AZR75" s="2805"/>
      <c r="AZS75" s="2805"/>
      <c r="AZT75" s="2805"/>
      <c r="AZU75" s="2805"/>
      <c r="AZV75" s="2805"/>
      <c r="AZW75" s="2805"/>
      <c r="AZX75" s="2805"/>
      <c r="AZY75" s="2805"/>
      <c r="AZZ75" s="2805"/>
      <c r="BAA75" s="2805"/>
      <c r="BAB75" s="2805"/>
      <c r="BAC75" s="2805"/>
      <c r="BAD75" s="2805"/>
      <c r="BAE75" s="2805"/>
      <c r="BAF75" s="2805"/>
      <c r="BAG75" s="2805"/>
      <c r="BAH75" s="2805"/>
      <c r="BAI75" s="2805"/>
      <c r="BAJ75" s="2805"/>
      <c r="BAK75" s="2805"/>
      <c r="BAL75" s="2805"/>
      <c r="BAM75" s="2805"/>
      <c r="BAN75" s="2805"/>
      <c r="BAO75" s="2805"/>
      <c r="BAP75" s="2805"/>
      <c r="BAQ75" s="2805"/>
      <c r="BAR75" s="2805"/>
      <c r="BAS75" s="2805"/>
      <c r="BAT75" s="2805"/>
      <c r="BAU75" s="2805"/>
      <c r="BAV75" s="2805"/>
      <c r="BAW75" s="2805"/>
      <c r="BAX75" s="2805"/>
      <c r="BAY75" s="2805"/>
      <c r="BAZ75" s="2805"/>
      <c r="BBA75" s="2805"/>
      <c r="BBB75" s="2805"/>
      <c r="BBC75" s="2805"/>
      <c r="BBD75" s="2805"/>
      <c r="BBE75" s="2805"/>
      <c r="BBF75" s="2805"/>
      <c r="BBG75" s="2805"/>
      <c r="BBH75" s="2805"/>
      <c r="BBI75" s="2805"/>
      <c r="BBJ75" s="2805"/>
      <c r="BBK75" s="2805"/>
      <c r="BBL75" s="2805"/>
      <c r="BBM75" s="2805"/>
      <c r="BBN75" s="2805"/>
      <c r="BBO75" s="2805"/>
      <c r="BBP75" s="2805"/>
      <c r="BBQ75" s="2805"/>
      <c r="BBR75" s="2805"/>
      <c r="BBS75" s="2805"/>
      <c r="BBT75" s="2805"/>
      <c r="BBU75" s="2805"/>
      <c r="BBV75" s="2805"/>
      <c r="BBW75" s="2805"/>
      <c r="BBX75" s="2805"/>
      <c r="BBY75" s="2805"/>
      <c r="BBZ75" s="2805"/>
      <c r="BCA75" s="2805"/>
      <c r="BCB75" s="2805"/>
      <c r="BCC75" s="2805"/>
      <c r="BCD75" s="2805"/>
      <c r="BCE75" s="2805"/>
      <c r="BCF75" s="2805"/>
      <c r="BCG75" s="2805"/>
      <c r="BCH75" s="2805"/>
      <c r="BCI75" s="2805"/>
      <c r="BCJ75" s="2805"/>
      <c r="BCK75" s="2805"/>
      <c r="BCL75" s="2805"/>
      <c r="BCM75" s="2805"/>
      <c r="BCN75" s="2805"/>
      <c r="BCO75" s="2805"/>
      <c r="BCP75" s="2805"/>
      <c r="BCQ75" s="2805"/>
      <c r="BCR75" s="2805"/>
      <c r="BCS75" s="2805"/>
      <c r="BCT75" s="2805"/>
      <c r="BCU75" s="2805"/>
      <c r="BCV75" s="2805"/>
      <c r="BCW75" s="2805"/>
      <c r="BCX75" s="2805"/>
      <c r="BCY75" s="2805"/>
      <c r="BCZ75" s="2805"/>
      <c r="BDA75" s="2805"/>
      <c r="BDB75" s="2805"/>
      <c r="BDC75" s="2805"/>
      <c r="BDD75" s="2805"/>
      <c r="BDE75" s="2805"/>
      <c r="BDF75" s="2805"/>
      <c r="BDG75" s="2805"/>
      <c r="BDH75" s="2805"/>
      <c r="BDI75" s="2805"/>
      <c r="BDJ75" s="2805"/>
      <c r="BDK75" s="2805"/>
      <c r="BDL75" s="2805"/>
      <c r="BDM75" s="2805"/>
      <c r="BDN75" s="2805"/>
      <c r="BDO75" s="2805"/>
      <c r="BDP75" s="2805"/>
      <c r="BDQ75" s="2805"/>
      <c r="BDR75" s="2805"/>
      <c r="BDS75" s="2805"/>
      <c r="BDT75" s="2805"/>
      <c r="BDU75" s="2805"/>
      <c r="BDV75" s="2805"/>
      <c r="BDW75" s="2805"/>
      <c r="BDX75" s="2805"/>
      <c r="BDY75" s="2805"/>
      <c r="BDZ75" s="2805"/>
      <c r="BEA75" s="2805"/>
      <c r="BEB75" s="2805"/>
      <c r="BEC75" s="2805"/>
      <c r="BED75" s="2805"/>
      <c r="BEE75" s="2805"/>
      <c r="BEF75" s="2805"/>
      <c r="BEG75" s="2805"/>
      <c r="BEH75" s="2805"/>
      <c r="BEI75" s="2805"/>
      <c r="BEJ75" s="2805"/>
      <c r="BEK75" s="2805"/>
      <c r="BEL75" s="2805"/>
      <c r="BEM75" s="2805"/>
      <c r="BEN75" s="2805"/>
      <c r="BEO75" s="2805"/>
      <c r="BEP75" s="2805"/>
      <c r="BEQ75" s="2805"/>
      <c r="BER75" s="2805"/>
      <c r="BES75" s="2805"/>
      <c r="BET75" s="2805"/>
      <c r="BEU75" s="2805"/>
      <c r="BEV75" s="2805"/>
      <c r="BEW75" s="2805"/>
      <c r="BEX75" s="2805"/>
      <c r="BEY75" s="2805"/>
      <c r="BEZ75" s="2805"/>
      <c r="BFA75" s="2805"/>
      <c r="BFB75" s="2805"/>
      <c r="BFC75" s="2805"/>
      <c r="BFD75" s="2805"/>
      <c r="BFE75" s="2805"/>
      <c r="BFF75" s="2805"/>
      <c r="BFG75" s="2805"/>
      <c r="BFH75" s="2805"/>
      <c r="BFI75" s="2805"/>
      <c r="BFJ75" s="2805"/>
      <c r="BFK75" s="2805"/>
      <c r="BFL75" s="2805"/>
      <c r="BFM75" s="2805"/>
      <c r="BFN75" s="2805"/>
      <c r="BFO75" s="2805"/>
      <c r="BFP75" s="2805"/>
      <c r="BFQ75" s="2805"/>
      <c r="BFR75" s="2805"/>
      <c r="BFS75" s="2805"/>
      <c r="BFT75" s="2805"/>
      <c r="BFU75" s="2805"/>
      <c r="BFV75" s="2805"/>
      <c r="BFW75" s="2805"/>
      <c r="BFX75" s="2805"/>
      <c r="BFY75" s="2805"/>
      <c r="BFZ75" s="2805"/>
      <c r="BGA75" s="2805"/>
      <c r="BGB75" s="2805"/>
      <c r="BGC75" s="2805"/>
      <c r="BGD75" s="2805"/>
      <c r="BGE75" s="2805"/>
      <c r="BGF75" s="2805"/>
      <c r="BGG75" s="2805"/>
      <c r="BGH75" s="2805"/>
      <c r="BGI75" s="2805"/>
      <c r="BGJ75" s="2805"/>
      <c r="BGK75" s="2805"/>
      <c r="BGL75" s="2805"/>
      <c r="BGM75" s="2805"/>
      <c r="BGN75" s="2805"/>
      <c r="BGO75" s="2805"/>
      <c r="BGP75" s="2805"/>
      <c r="BGQ75" s="2805"/>
      <c r="BGR75" s="2805"/>
      <c r="BGS75" s="2805"/>
      <c r="BGT75" s="2805"/>
      <c r="BGU75" s="2805"/>
      <c r="BGV75" s="2805"/>
      <c r="BGW75" s="2805"/>
      <c r="BGX75" s="2805"/>
      <c r="BGY75" s="2805"/>
      <c r="BGZ75" s="2805"/>
      <c r="BHA75" s="2805"/>
      <c r="BHB75" s="2805"/>
      <c r="BHC75" s="2805"/>
      <c r="BHD75" s="2805"/>
      <c r="BHE75" s="2805"/>
      <c r="BHF75" s="2805"/>
      <c r="BHG75" s="2805"/>
      <c r="BHH75" s="2805"/>
      <c r="BHI75" s="2805"/>
      <c r="BHJ75" s="2805"/>
      <c r="BHK75" s="2805"/>
      <c r="BHL75" s="2805"/>
      <c r="BHM75" s="2805"/>
      <c r="BHN75" s="2805"/>
      <c r="BHO75" s="2805"/>
      <c r="BHP75" s="2805"/>
      <c r="BHQ75" s="2805"/>
      <c r="BHR75" s="2805"/>
      <c r="BHS75" s="2805"/>
      <c r="BHT75" s="2805"/>
      <c r="BHU75" s="2805"/>
      <c r="BHV75" s="2805"/>
      <c r="BHW75" s="2805"/>
      <c r="BHX75" s="2805"/>
      <c r="BHY75" s="2805"/>
      <c r="BHZ75" s="2805"/>
      <c r="BIA75" s="2805"/>
      <c r="BIB75" s="2805"/>
      <c r="BIC75" s="2805"/>
      <c r="BID75" s="2805"/>
      <c r="BIE75" s="2805"/>
      <c r="BIF75" s="2805"/>
      <c r="BIG75" s="2805"/>
      <c r="BIH75" s="2805"/>
      <c r="BII75" s="2805"/>
      <c r="BIJ75" s="2805"/>
      <c r="BIK75" s="2805"/>
      <c r="BIL75" s="2805"/>
      <c r="BIM75" s="2805"/>
      <c r="BIN75" s="2805"/>
      <c r="BIO75" s="2805"/>
      <c r="BIP75" s="2805"/>
      <c r="BIQ75" s="2805"/>
      <c r="BIR75" s="2805"/>
      <c r="BIS75" s="2805"/>
      <c r="BIT75" s="2805"/>
      <c r="BIU75" s="2805"/>
      <c r="BIV75" s="2805"/>
      <c r="BIW75" s="2805"/>
      <c r="BIX75" s="2805"/>
      <c r="BIY75" s="2805"/>
      <c r="BIZ75" s="2805"/>
      <c r="BJA75" s="2805"/>
      <c r="BJB75" s="2805"/>
      <c r="BJC75" s="2805"/>
      <c r="BJD75" s="2805"/>
      <c r="BJE75" s="2805"/>
      <c r="BJF75" s="2805"/>
      <c r="BJG75" s="2805"/>
      <c r="BJH75" s="2805"/>
      <c r="BJI75" s="2805"/>
      <c r="BJJ75" s="2805"/>
      <c r="BJK75" s="2805"/>
      <c r="BJL75" s="2805"/>
      <c r="BJM75" s="2805"/>
      <c r="BJN75" s="2805"/>
      <c r="BJO75" s="2805"/>
      <c r="BJP75" s="2805"/>
      <c r="BJQ75" s="2805"/>
      <c r="BJR75" s="2805"/>
      <c r="BJS75" s="2805"/>
      <c r="BJT75" s="2805"/>
      <c r="BJU75" s="2805"/>
      <c r="BJV75" s="2805"/>
      <c r="BJW75" s="2805"/>
      <c r="BJX75" s="2805"/>
      <c r="BJY75" s="2805"/>
      <c r="BJZ75" s="2805"/>
      <c r="BKA75" s="2805"/>
      <c r="BKB75" s="2805"/>
      <c r="BKC75" s="2805"/>
      <c r="BKD75" s="2805"/>
      <c r="BKE75" s="2805"/>
      <c r="BKF75" s="2805"/>
      <c r="BKG75" s="2805"/>
      <c r="BKH75" s="2805"/>
      <c r="BKI75" s="2805"/>
      <c r="BKJ75" s="2805"/>
      <c r="BKK75" s="2805"/>
      <c r="BKL75" s="2805"/>
      <c r="BKM75" s="2805"/>
      <c r="BKN75" s="2805"/>
      <c r="BKO75" s="2805"/>
      <c r="BKP75" s="2805"/>
      <c r="BKQ75" s="2805"/>
      <c r="BKR75" s="2805"/>
      <c r="BKS75" s="2805"/>
      <c r="BKT75" s="2805"/>
      <c r="BKU75" s="2805"/>
      <c r="BKV75" s="2805"/>
      <c r="BKW75" s="2805"/>
      <c r="BKX75" s="2805"/>
      <c r="BKY75" s="2805"/>
      <c r="BKZ75" s="2805"/>
      <c r="BLA75" s="2805"/>
      <c r="BLB75" s="2805"/>
      <c r="BLC75" s="2805"/>
      <c r="BLD75" s="2805"/>
      <c r="BLE75" s="2805"/>
      <c r="BLF75" s="2805"/>
      <c r="BLG75" s="2805"/>
      <c r="BLH75" s="2805"/>
      <c r="BLI75" s="2805"/>
      <c r="BLJ75" s="2805"/>
      <c r="BLK75" s="2805"/>
      <c r="BLL75" s="2805"/>
      <c r="BLM75" s="2805"/>
      <c r="BLN75" s="2805"/>
      <c r="BLO75" s="2805"/>
      <c r="BLP75" s="2805"/>
      <c r="BLQ75" s="2805"/>
      <c r="BLR75" s="2805"/>
      <c r="BLS75" s="2805"/>
      <c r="BLT75" s="2805"/>
      <c r="BLU75" s="2805"/>
      <c r="BLV75" s="2805"/>
      <c r="BLW75" s="2805"/>
      <c r="BLX75" s="2805"/>
      <c r="BLY75" s="2805"/>
      <c r="BLZ75" s="2805"/>
      <c r="BMA75" s="2805"/>
      <c r="BMB75" s="2805"/>
      <c r="BMC75" s="2805"/>
      <c r="BMD75" s="2805"/>
      <c r="BME75" s="2805"/>
      <c r="BMF75" s="2805"/>
      <c r="BMG75" s="2805"/>
      <c r="BMH75" s="2805"/>
      <c r="BMI75" s="2805"/>
      <c r="BMJ75" s="2805"/>
      <c r="BMK75" s="2805"/>
      <c r="BML75" s="2805"/>
      <c r="BMM75" s="2805"/>
      <c r="BMN75" s="2805"/>
      <c r="BMO75" s="2805"/>
      <c r="BMP75" s="2805"/>
      <c r="BMQ75" s="2805"/>
      <c r="BMR75" s="2805"/>
      <c r="BMS75" s="2805"/>
      <c r="BMT75" s="2805"/>
      <c r="BMU75" s="2805"/>
      <c r="BMV75" s="2805"/>
      <c r="BMW75" s="2805"/>
      <c r="BMX75" s="2805"/>
      <c r="BMY75" s="2805"/>
      <c r="BMZ75" s="2805"/>
      <c r="BNA75" s="2805"/>
      <c r="BNB75" s="2805"/>
      <c r="BNC75" s="2805"/>
      <c r="BND75" s="2805"/>
      <c r="BNE75" s="2805"/>
      <c r="BNF75" s="2805"/>
      <c r="BNG75" s="2805"/>
      <c r="BNH75" s="2805"/>
      <c r="BNI75" s="2805"/>
      <c r="BNJ75" s="2805"/>
      <c r="BNK75" s="2805"/>
      <c r="BNL75" s="2805"/>
      <c r="BNM75" s="2805"/>
      <c r="BNN75" s="2805"/>
      <c r="BNO75" s="2805"/>
      <c r="BNP75" s="2805"/>
      <c r="BNQ75" s="2805"/>
      <c r="BNR75" s="2805"/>
      <c r="BNS75" s="2805"/>
      <c r="BNT75" s="2805"/>
      <c r="BNU75" s="2805"/>
      <c r="BNV75" s="2805"/>
      <c r="BNW75" s="2805"/>
      <c r="BNX75" s="2805"/>
      <c r="BNY75" s="2805"/>
      <c r="BNZ75" s="2805"/>
      <c r="BOA75" s="2805"/>
      <c r="BOB75" s="2805"/>
      <c r="BOC75" s="2805"/>
      <c r="BOD75" s="2805"/>
      <c r="BOE75" s="2805"/>
      <c r="BOF75" s="2805"/>
      <c r="BOG75" s="2805"/>
      <c r="BOH75" s="2805"/>
      <c r="BOI75" s="2805"/>
      <c r="BOJ75" s="2805"/>
      <c r="BOK75" s="2805"/>
      <c r="BOL75" s="2805"/>
      <c r="BOM75" s="2805"/>
      <c r="BON75" s="2805"/>
      <c r="BOO75" s="2805"/>
      <c r="BOP75" s="2805"/>
      <c r="BOQ75" s="2805"/>
      <c r="BOR75" s="2805"/>
      <c r="BOS75" s="2805"/>
      <c r="BOT75" s="2805"/>
      <c r="BOU75" s="2805"/>
      <c r="BOV75" s="2805"/>
      <c r="BOW75" s="2805"/>
      <c r="BOX75" s="2805"/>
      <c r="BOY75" s="2805"/>
      <c r="BOZ75" s="2805"/>
      <c r="BPA75" s="2805"/>
      <c r="BPB75" s="2805"/>
      <c r="BPC75" s="2805"/>
      <c r="BPD75" s="2805"/>
      <c r="BPE75" s="2805"/>
      <c r="BPF75" s="2805"/>
      <c r="BPG75" s="2805"/>
      <c r="BPH75" s="2805"/>
      <c r="BPI75" s="2805"/>
      <c r="BPJ75" s="2805"/>
      <c r="BPK75" s="2805"/>
      <c r="BPL75" s="2805"/>
      <c r="BPM75" s="2805"/>
      <c r="BPN75" s="2805"/>
      <c r="BPO75" s="2805"/>
      <c r="BPP75" s="2805"/>
      <c r="BPQ75" s="2805"/>
      <c r="BPR75" s="2805"/>
      <c r="BPS75" s="2805"/>
      <c r="BPT75" s="2805"/>
      <c r="BPU75" s="2805"/>
      <c r="BPV75" s="2805"/>
      <c r="BPW75" s="2805"/>
      <c r="BPX75" s="2805"/>
      <c r="BPY75" s="2805"/>
      <c r="BPZ75" s="2805"/>
      <c r="BQA75" s="2805"/>
      <c r="BQB75" s="2805"/>
      <c r="BQC75" s="2805"/>
      <c r="BQD75" s="2805"/>
      <c r="BQE75" s="2805"/>
      <c r="BQF75" s="2805"/>
      <c r="BQG75" s="2805"/>
      <c r="BQH75" s="2805"/>
      <c r="BQI75" s="2805"/>
      <c r="BQJ75" s="2805"/>
      <c r="BQK75" s="2805"/>
      <c r="BQL75" s="2805"/>
      <c r="BQM75" s="2805"/>
      <c r="BQN75" s="2805"/>
      <c r="BQO75" s="2805"/>
      <c r="BQP75" s="2805"/>
      <c r="BQQ75" s="2805"/>
      <c r="BQR75" s="2805"/>
      <c r="BQS75" s="2805"/>
      <c r="BQT75" s="2805"/>
      <c r="BQU75" s="2805"/>
      <c r="BQV75" s="2805"/>
      <c r="BQW75" s="2805"/>
      <c r="BQX75" s="2805"/>
      <c r="BQY75" s="2805"/>
      <c r="BQZ75" s="2805"/>
      <c r="BRA75" s="2805"/>
      <c r="BRB75" s="2805"/>
      <c r="BRC75" s="2805"/>
      <c r="BRD75" s="2805"/>
      <c r="BRE75" s="2805"/>
      <c r="BRF75" s="2805"/>
      <c r="BRG75" s="2805"/>
      <c r="BRH75" s="2805"/>
      <c r="BRI75" s="2805"/>
      <c r="BRJ75" s="2805"/>
      <c r="BRK75" s="2805"/>
      <c r="BRL75" s="2805"/>
      <c r="BRM75" s="2805"/>
      <c r="BRN75" s="2805"/>
      <c r="BRO75" s="2805"/>
      <c r="BRP75" s="2805"/>
      <c r="BRQ75" s="2805"/>
      <c r="BRR75" s="2805"/>
      <c r="BRS75" s="2805"/>
      <c r="BRT75" s="2805"/>
      <c r="BRU75" s="2805"/>
      <c r="BRV75" s="2805"/>
      <c r="BRW75" s="2805"/>
      <c r="BRX75" s="2805"/>
      <c r="BRY75" s="2805"/>
      <c r="BRZ75" s="2805"/>
      <c r="BSA75" s="2805"/>
      <c r="BSB75" s="2805"/>
      <c r="BSC75" s="2805"/>
      <c r="BSD75" s="2805"/>
      <c r="BSE75" s="2805"/>
      <c r="BSF75" s="2805"/>
      <c r="BSG75" s="2805"/>
      <c r="BSH75" s="2805"/>
      <c r="BSI75" s="2805"/>
      <c r="BSJ75" s="2805"/>
      <c r="BSK75" s="2805"/>
      <c r="BSL75" s="2805"/>
      <c r="BSM75" s="2805"/>
      <c r="BSN75" s="2805"/>
      <c r="BSO75" s="2805"/>
      <c r="BSP75" s="2805"/>
      <c r="BSQ75" s="2805"/>
      <c r="BSR75" s="2805"/>
      <c r="BSS75" s="2805"/>
      <c r="BST75" s="2805"/>
      <c r="BSU75" s="2805"/>
      <c r="BSV75" s="2805"/>
      <c r="BSW75" s="2805"/>
      <c r="BSX75" s="2805"/>
      <c r="BSY75" s="2805"/>
      <c r="BSZ75" s="2805"/>
      <c r="BTA75" s="2805"/>
      <c r="BTB75" s="2805"/>
      <c r="BTC75" s="2805"/>
      <c r="BTD75" s="2805"/>
      <c r="BTE75" s="2805"/>
      <c r="BTF75" s="2805"/>
      <c r="BTG75" s="2805"/>
      <c r="BTH75" s="2805"/>
      <c r="BTI75" s="2805"/>
      <c r="BTJ75" s="2805"/>
      <c r="BTK75" s="2805"/>
      <c r="BTL75" s="2805"/>
      <c r="BTM75" s="2805"/>
      <c r="BTN75" s="2805"/>
      <c r="BTO75" s="2805"/>
      <c r="BTP75" s="2805"/>
      <c r="BTQ75" s="2805"/>
      <c r="BTR75" s="2805"/>
      <c r="BTS75" s="2805"/>
      <c r="BTT75" s="2805"/>
      <c r="BTU75" s="2805"/>
      <c r="BTV75" s="2805"/>
      <c r="BTW75" s="2805"/>
      <c r="BTX75" s="2805"/>
      <c r="BTY75" s="2805"/>
      <c r="BTZ75" s="2805"/>
      <c r="BUA75" s="2805"/>
      <c r="BUB75" s="2805"/>
      <c r="BUC75" s="2805"/>
      <c r="BUD75" s="2805"/>
      <c r="BUE75" s="2805"/>
      <c r="BUF75" s="2805"/>
      <c r="BUG75" s="2805"/>
      <c r="BUH75" s="2805"/>
      <c r="BUI75" s="2805"/>
      <c r="BUJ75" s="2805"/>
      <c r="BUK75" s="2805"/>
      <c r="BUL75" s="2805"/>
      <c r="BUM75" s="2805"/>
      <c r="BUN75" s="2805"/>
      <c r="BUO75" s="2805"/>
      <c r="BUP75" s="2805"/>
      <c r="BUQ75" s="2805"/>
      <c r="BUR75" s="2805"/>
      <c r="BUS75" s="2805"/>
      <c r="BUT75" s="2805"/>
      <c r="BUU75" s="2805"/>
      <c r="BUV75" s="2805"/>
      <c r="BUW75" s="2805"/>
      <c r="BUX75" s="2805"/>
      <c r="BUY75" s="2805"/>
      <c r="BUZ75" s="2805"/>
      <c r="BVA75" s="2805"/>
      <c r="BVB75" s="2805"/>
      <c r="BVC75" s="2805"/>
      <c r="BVD75" s="2805"/>
      <c r="BVE75" s="2805"/>
      <c r="BVF75" s="2805"/>
      <c r="BVG75" s="2805"/>
      <c r="BVH75" s="2805"/>
      <c r="BVI75" s="2805"/>
      <c r="BVJ75" s="2805"/>
      <c r="BVK75" s="2805"/>
      <c r="BVL75" s="2805"/>
      <c r="BVM75" s="2805"/>
      <c r="BVN75" s="2805"/>
      <c r="BVO75" s="2805"/>
      <c r="BVP75" s="2805"/>
      <c r="BVQ75" s="2805"/>
      <c r="BVR75" s="2805"/>
      <c r="BVS75" s="2805"/>
      <c r="BVT75" s="2805"/>
      <c r="BVU75" s="2805"/>
      <c r="BVV75" s="2805"/>
      <c r="BVW75" s="2805"/>
      <c r="BVX75" s="2805"/>
      <c r="BVY75" s="2805"/>
      <c r="BVZ75" s="2805"/>
      <c r="BWA75" s="2805"/>
      <c r="BWB75" s="2805"/>
      <c r="BWC75" s="2805"/>
      <c r="BWD75" s="2805"/>
      <c r="BWE75" s="2805"/>
      <c r="BWF75" s="2805"/>
      <c r="BWG75" s="2805"/>
      <c r="BWH75" s="2805"/>
      <c r="BWI75" s="2805"/>
      <c r="BWJ75" s="2805"/>
      <c r="BWK75" s="2805"/>
      <c r="BWL75" s="2805"/>
      <c r="BWM75" s="2805"/>
      <c r="BWN75" s="2805"/>
      <c r="BWO75" s="2805"/>
      <c r="BWP75" s="2805"/>
      <c r="BWQ75" s="2805"/>
      <c r="BWR75" s="2805"/>
      <c r="BWS75" s="2805"/>
      <c r="BWT75" s="2805"/>
      <c r="BWU75" s="2805"/>
      <c r="BWV75" s="2805"/>
      <c r="BWW75" s="2805"/>
      <c r="BWX75" s="2805"/>
      <c r="BWY75" s="2805"/>
      <c r="BWZ75" s="2805"/>
      <c r="BXA75" s="2805"/>
      <c r="BXB75" s="2805"/>
      <c r="BXC75" s="2805"/>
      <c r="BXD75" s="2805"/>
      <c r="BXE75" s="2805"/>
      <c r="BXF75" s="2805"/>
      <c r="BXG75" s="2805"/>
      <c r="BXH75" s="2805"/>
      <c r="BXI75" s="2805"/>
      <c r="BXJ75" s="2805"/>
      <c r="BXK75" s="2805"/>
      <c r="BXL75" s="2805"/>
      <c r="BXM75" s="2805"/>
      <c r="BXN75" s="2805"/>
      <c r="BXO75" s="2805"/>
      <c r="BXP75" s="2805"/>
      <c r="BXQ75" s="2805"/>
      <c r="BXR75" s="2805"/>
      <c r="BXS75" s="2805"/>
      <c r="BXT75" s="2805"/>
      <c r="BXU75" s="2805"/>
      <c r="BXV75" s="2805"/>
      <c r="BXW75" s="2805"/>
      <c r="BXX75" s="2805"/>
      <c r="BXY75" s="2805"/>
      <c r="BXZ75" s="2805"/>
      <c r="BYA75" s="2805"/>
      <c r="BYB75" s="2805"/>
      <c r="BYC75" s="2805"/>
      <c r="BYD75" s="2805"/>
      <c r="BYE75" s="2805"/>
      <c r="BYF75" s="2805"/>
      <c r="BYG75" s="2805"/>
      <c r="BYH75" s="2805"/>
      <c r="BYI75" s="2805"/>
      <c r="BYJ75" s="2805"/>
      <c r="BYK75" s="2805"/>
      <c r="BYL75" s="2805"/>
      <c r="BYM75" s="2805"/>
      <c r="BYN75" s="2805"/>
      <c r="BYO75" s="2805"/>
      <c r="BYP75" s="2805"/>
      <c r="BYQ75" s="2805"/>
      <c r="BYR75" s="2805"/>
      <c r="BYS75" s="2805"/>
      <c r="BYT75" s="2805"/>
      <c r="BYU75" s="2805"/>
      <c r="BYV75" s="2805"/>
      <c r="BYW75" s="2805"/>
      <c r="BYX75" s="2805"/>
      <c r="BYY75" s="2805"/>
      <c r="BYZ75" s="2805"/>
      <c r="BZA75" s="2805"/>
      <c r="BZB75" s="2805"/>
      <c r="BZC75" s="2805"/>
      <c r="BZD75" s="2805"/>
      <c r="BZE75" s="2805"/>
      <c r="BZF75" s="2805"/>
      <c r="BZG75" s="2805"/>
      <c r="BZH75" s="2805"/>
      <c r="BZI75" s="2805"/>
      <c r="BZJ75" s="2805"/>
      <c r="BZK75" s="2805"/>
      <c r="BZL75" s="2805"/>
      <c r="BZM75" s="2805"/>
      <c r="BZN75" s="2805"/>
      <c r="BZO75" s="2805"/>
      <c r="BZP75" s="2805"/>
      <c r="BZQ75" s="2805"/>
      <c r="BZR75" s="2805"/>
      <c r="BZS75" s="2805"/>
      <c r="BZT75" s="2805"/>
      <c r="BZU75" s="2805"/>
      <c r="BZV75" s="2805"/>
      <c r="BZW75" s="2805"/>
      <c r="BZX75" s="2805"/>
      <c r="BZY75" s="2805"/>
      <c r="BZZ75" s="2805"/>
      <c r="CAA75" s="2805"/>
      <c r="CAB75" s="2805"/>
      <c r="CAC75" s="2805"/>
      <c r="CAD75" s="2805"/>
      <c r="CAE75" s="2805"/>
      <c r="CAF75" s="2805"/>
      <c r="CAG75" s="2805"/>
      <c r="CAH75" s="2805"/>
      <c r="CAI75" s="2805"/>
      <c r="CAJ75" s="2805"/>
      <c r="CAK75" s="2805"/>
      <c r="CAL75" s="2805"/>
      <c r="CAM75" s="2805"/>
      <c r="CAN75" s="2805"/>
      <c r="CAO75" s="2805"/>
      <c r="CAP75" s="2805"/>
      <c r="CAQ75" s="2805"/>
      <c r="CAR75" s="2805"/>
      <c r="CAS75" s="2805"/>
      <c r="CAT75" s="2805"/>
      <c r="CAU75" s="2805"/>
      <c r="CAV75" s="2805"/>
      <c r="CAW75" s="2805"/>
      <c r="CAX75" s="2805"/>
      <c r="CAY75" s="2805"/>
      <c r="CAZ75" s="2805"/>
      <c r="CBA75" s="2805"/>
      <c r="CBB75" s="2805"/>
      <c r="CBC75" s="2805"/>
      <c r="CBD75" s="2805"/>
      <c r="CBE75" s="2805"/>
      <c r="CBF75" s="2805"/>
      <c r="CBG75" s="2805"/>
      <c r="CBH75" s="2805"/>
      <c r="CBI75" s="2805"/>
      <c r="CBJ75" s="2805"/>
      <c r="CBK75" s="2805"/>
      <c r="CBL75" s="2805"/>
      <c r="CBM75" s="2805"/>
      <c r="CBN75" s="2805"/>
      <c r="CBO75" s="2805"/>
      <c r="CBP75" s="2805"/>
      <c r="CBQ75" s="2805"/>
      <c r="CBR75" s="2805"/>
      <c r="CBS75" s="2805"/>
      <c r="CBT75" s="2805"/>
      <c r="CBU75" s="2805"/>
      <c r="CBV75" s="2805"/>
      <c r="CBW75" s="2805"/>
      <c r="CBX75" s="2805"/>
      <c r="CBY75" s="2805"/>
      <c r="CBZ75" s="2805"/>
      <c r="CCA75" s="2805"/>
      <c r="CCB75" s="2805"/>
      <c r="CCC75" s="2805"/>
      <c r="CCD75" s="2805"/>
      <c r="CCE75" s="2805"/>
      <c r="CCF75" s="2805"/>
      <c r="CCG75" s="2805"/>
      <c r="CCH75" s="2805"/>
      <c r="CCI75" s="2805"/>
      <c r="CCJ75" s="2805"/>
      <c r="CCK75" s="2805"/>
      <c r="CCL75" s="2805"/>
      <c r="CCM75" s="2805"/>
      <c r="CCN75" s="2805"/>
      <c r="CCO75" s="2805"/>
      <c r="CCP75" s="2805"/>
      <c r="CCQ75" s="2805"/>
      <c r="CCR75" s="2805"/>
      <c r="CCS75" s="2805"/>
      <c r="CCT75" s="2805"/>
      <c r="CCU75" s="2805"/>
      <c r="CCV75" s="2805"/>
      <c r="CCW75" s="2805"/>
      <c r="CCX75" s="2805"/>
      <c r="CCY75" s="2805"/>
      <c r="CCZ75" s="2805"/>
      <c r="CDA75" s="2805"/>
      <c r="CDB75" s="2805"/>
      <c r="CDC75" s="2805"/>
      <c r="CDD75" s="2805"/>
      <c r="CDE75" s="2805"/>
      <c r="CDF75" s="2805"/>
      <c r="CDG75" s="2805"/>
      <c r="CDH75" s="2805"/>
      <c r="CDI75" s="2805"/>
      <c r="CDJ75" s="2805"/>
      <c r="CDK75" s="2805"/>
      <c r="CDL75" s="2805"/>
      <c r="CDM75" s="2805"/>
      <c r="CDN75" s="2805"/>
      <c r="CDO75" s="2805"/>
      <c r="CDP75" s="2805"/>
      <c r="CDQ75" s="2805"/>
      <c r="CDR75" s="2805"/>
      <c r="CDS75" s="2805"/>
      <c r="CDT75" s="2805"/>
      <c r="CDU75" s="2805"/>
      <c r="CDV75" s="2805"/>
      <c r="CDW75" s="2805"/>
      <c r="CDX75" s="2805"/>
      <c r="CDY75" s="2805"/>
      <c r="CDZ75" s="2805"/>
      <c r="CEA75" s="2805"/>
      <c r="CEB75" s="2805"/>
      <c r="CEC75" s="2805"/>
      <c r="CED75" s="2805"/>
      <c r="CEE75" s="2805"/>
      <c r="CEF75" s="2805"/>
      <c r="CEG75" s="2805"/>
      <c r="CEH75" s="2805"/>
      <c r="CEI75" s="2805"/>
      <c r="CEJ75" s="2805"/>
      <c r="CEK75" s="2805"/>
      <c r="CEL75" s="2805"/>
      <c r="CEM75" s="2805"/>
      <c r="CEN75" s="2805"/>
      <c r="CEO75" s="2805"/>
      <c r="CEP75" s="2805"/>
      <c r="CEQ75" s="2805"/>
      <c r="CER75" s="2805"/>
      <c r="CES75" s="2805"/>
      <c r="CET75" s="2805"/>
      <c r="CEU75" s="2805"/>
      <c r="CEV75" s="2805"/>
      <c r="CEW75" s="2805"/>
      <c r="CEX75" s="2805"/>
      <c r="CEY75" s="2805"/>
      <c r="CEZ75" s="2805"/>
      <c r="CFA75" s="2805"/>
      <c r="CFB75" s="2805"/>
      <c r="CFC75" s="2805"/>
      <c r="CFD75" s="2805"/>
      <c r="CFE75" s="2805"/>
      <c r="CFF75" s="2805"/>
      <c r="CFG75" s="2805"/>
      <c r="CFH75" s="2805"/>
      <c r="CFI75" s="2805"/>
      <c r="CFJ75" s="2805"/>
      <c r="CFK75" s="2805"/>
      <c r="CFL75" s="2805"/>
      <c r="CFM75" s="2805"/>
      <c r="CFN75" s="2805"/>
      <c r="CFO75" s="2805"/>
      <c r="CFP75" s="2805"/>
      <c r="CFQ75" s="2805"/>
      <c r="CFR75" s="2805"/>
      <c r="CFS75" s="2805"/>
      <c r="CFT75" s="2805"/>
      <c r="CFU75" s="2805"/>
      <c r="CFV75" s="2805"/>
      <c r="CFW75" s="2805"/>
      <c r="CFX75" s="2805"/>
      <c r="CFY75" s="2805"/>
      <c r="CFZ75" s="2805"/>
      <c r="CGA75" s="2805"/>
      <c r="CGB75" s="2805"/>
      <c r="CGC75" s="2805"/>
      <c r="CGD75" s="2805"/>
      <c r="CGE75" s="2805"/>
      <c r="CGF75" s="2805"/>
      <c r="CGG75" s="2805"/>
      <c r="CGH75" s="2805"/>
      <c r="CGI75" s="2805"/>
      <c r="CGJ75" s="2805"/>
      <c r="CGK75" s="2805"/>
      <c r="CGL75" s="2805"/>
      <c r="CGM75" s="2805"/>
      <c r="CGN75" s="2805"/>
      <c r="CGO75" s="2805"/>
      <c r="CGP75" s="2805"/>
      <c r="CGQ75" s="2805"/>
      <c r="CGR75" s="2805"/>
      <c r="CGS75" s="2805"/>
      <c r="CGT75" s="2805"/>
      <c r="CGU75" s="2805"/>
      <c r="CGV75" s="2805"/>
      <c r="CGW75" s="2805"/>
      <c r="CGX75" s="2805"/>
      <c r="CGY75" s="2805"/>
      <c r="CGZ75" s="2805"/>
      <c r="CHA75" s="2805"/>
      <c r="CHB75" s="2805"/>
      <c r="CHC75" s="2805"/>
      <c r="CHD75" s="2805"/>
      <c r="CHE75" s="2805"/>
      <c r="CHF75" s="2805"/>
      <c r="CHG75" s="2805"/>
      <c r="CHH75" s="2805"/>
      <c r="CHI75" s="2805"/>
      <c r="CHJ75" s="2805"/>
      <c r="CHK75" s="2805"/>
      <c r="CHL75" s="2805"/>
      <c r="CHM75" s="2805"/>
      <c r="CHN75" s="2805"/>
      <c r="CHO75" s="2805"/>
      <c r="CHP75" s="2805"/>
      <c r="CHQ75" s="2805"/>
      <c r="CHR75" s="2805"/>
      <c r="CHS75" s="2805"/>
      <c r="CHT75" s="2805"/>
      <c r="CHU75" s="2805"/>
      <c r="CHV75" s="2805"/>
      <c r="CHW75" s="2805"/>
      <c r="CHX75" s="2805"/>
      <c r="CHY75" s="2805"/>
      <c r="CHZ75" s="2805"/>
      <c r="CIA75" s="2805"/>
      <c r="CIB75" s="2805"/>
      <c r="CIC75" s="2805"/>
      <c r="CID75" s="2805"/>
      <c r="CIE75" s="2805"/>
      <c r="CIF75" s="2805"/>
      <c r="CIG75" s="2805"/>
      <c r="CIH75" s="2805"/>
      <c r="CII75" s="2805"/>
      <c r="CIJ75" s="2805"/>
      <c r="CIK75" s="2805"/>
      <c r="CIL75" s="2805"/>
      <c r="CIM75" s="2805"/>
      <c r="CIN75" s="2805"/>
      <c r="CIO75" s="2805"/>
      <c r="CIP75" s="2805"/>
      <c r="CIQ75" s="2805"/>
      <c r="CIR75" s="2805"/>
      <c r="CIS75" s="2805"/>
      <c r="CIT75" s="2805"/>
      <c r="CIU75" s="2805"/>
      <c r="CIV75" s="2805"/>
      <c r="CIW75" s="2805"/>
      <c r="CIX75" s="2805"/>
      <c r="CIY75" s="2805"/>
      <c r="CIZ75" s="2805"/>
      <c r="CJA75" s="2805"/>
      <c r="CJB75" s="2805"/>
      <c r="CJC75" s="2805"/>
      <c r="CJD75" s="2805"/>
      <c r="CJE75" s="2805"/>
      <c r="CJF75" s="2805"/>
      <c r="CJG75" s="2805"/>
      <c r="CJH75" s="2805"/>
      <c r="CJI75" s="2805"/>
      <c r="CJJ75" s="2805"/>
      <c r="CJK75" s="2805"/>
      <c r="CJL75" s="2805"/>
      <c r="CJM75" s="2805"/>
      <c r="CJN75" s="2805"/>
      <c r="CJO75" s="2805"/>
      <c r="CJP75" s="2805"/>
      <c r="CJQ75" s="2805"/>
      <c r="CJR75" s="2805"/>
      <c r="CJS75" s="2805"/>
      <c r="CJT75" s="2805"/>
      <c r="CJU75" s="2805"/>
      <c r="CJV75" s="2805"/>
      <c r="CJW75" s="2805"/>
      <c r="CJX75" s="2805"/>
      <c r="CJY75" s="2805"/>
      <c r="CJZ75" s="2805"/>
      <c r="CKA75" s="2805"/>
      <c r="CKB75" s="2805"/>
      <c r="CKC75" s="2805"/>
      <c r="CKD75" s="2805"/>
      <c r="CKE75" s="2805"/>
      <c r="CKF75" s="2805"/>
      <c r="CKG75" s="2805"/>
      <c r="CKH75" s="2805"/>
      <c r="CKI75" s="2805"/>
      <c r="CKJ75" s="2805"/>
      <c r="CKK75" s="2805"/>
      <c r="CKL75" s="2805"/>
      <c r="CKM75" s="2805"/>
      <c r="CKN75" s="2805"/>
      <c r="CKO75" s="2805"/>
      <c r="CKP75" s="2805"/>
      <c r="CKQ75" s="2805"/>
      <c r="CKR75" s="2805"/>
      <c r="CKS75" s="2805"/>
      <c r="CKT75" s="2805"/>
      <c r="CKU75" s="2805"/>
      <c r="CKV75" s="2805"/>
      <c r="CKW75" s="2805"/>
      <c r="CKX75" s="2805"/>
      <c r="CKY75" s="2805"/>
      <c r="CKZ75" s="2805"/>
      <c r="CLA75" s="2805"/>
      <c r="CLB75" s="2805"/>
      <c r="CLC75" s="2805"/>
      <c r="CLD75" s="2805"/>
      <c r="CLE75" s="2805"/>
      <c r="CLF75" s="2805"/>
      <c r="CLG75" s="2805"/>
      <c r="CLH75" s="2805"/>
      <c r="CLI75" s="2805"/>
      <c r="CLJ75" s="2805"/>
      <c r="CLK75" s="2805"/>
      <c r="CLL75" s="2805"/>
      <c r="CLM75" s="2805"/>
      <c r="CLN75" s="2805"/>
      <c r="CLO75" s="2805"/>
      <c r="CLP75" s="2805"/>
      <c r="CLQ75" s="2805"/>
      <c r="CLR75" s="2805"/>
      <c r="CLS75" s="2805"/>
      <c r="CLT75" s="2805"/>
      <c r="CLU75" s="2805"/>
      <c r="CLV75" s="2805"/>
      <c r="CLW75" s="2805"/>
      <c r="CLX75" s="2805"/>
      <c r="CLY75" s="2805"/>
      <c r="CLZ75" s="2805"/>
      <c r="CMA75" s="2805"/>
      <c r="CMB75" s="2805"/>
      <c r="CMC75" s="2805"/>
      <c r="CMD75" s="2805"/>
      <c r="CME75" s="2805"/>
      <c r="CMF75" s="2805"/>
      <c r="CMG75" s="2805"/>
      <c r="CMH75" s="2805"/>
      <c r="CMI75" s="2805"/>
      <c r="CMJ75" s="2805"/>
      <c r="CMK75" s="2805"/>
      <c r="CML75" s="2805"/>
      <c r="CMM75" s="2805"/>
      <c r="CMN75" s="2805"/>
      <c r="CMO75" s="2805"/>
      <c r="CMP75" s="2805"/>
      <c r="CMQ75" s="2805"/>
      <c r="CMR75" s="2805"/>
      <c r="CMS75" s="2805"/>
      <c r="CMT75" s="2805"/>
      <c r="CMU75" s="2805"/>
      <c r="CMV75" s="2805"/>
      <c r="CMW75" s="2805"/>
      <c r="CMX75" s="2805"/>
      <c r="CMY75" s="2805"/>
      <c r="CMZ75" s="2805"/>
      <c r="CNA75" s="2805"/>
      <c r="CNB75" s="2805"/>
      <c r="CNC75" s="2805"/>
      <c r="CND75" s="2805"/>
      <c r="CNE75" s="2805"/>
      <c r="CNF75" s="2805"/>
      <c r="CNG75" s="2805"/>
      <c r="CNH75" s="2805"/>
      <c r="CNI75" s="2805"/>
      <c r="CNJ75" s="2805"/>
      <c r="CNK75" s="2805"/>
      <c r="CNL75" s="2805"/>
      <c r="CNM75" s="2805"/>
      <c r="CNN75" s="2805"/>
      <c r="CNO75" s="2805"/>
      <c r="CNP75" s="2805"/>
      <c r="CNQ75" s="2805"/>
      <c r="CNR75" s="2805"/>
      <c r="CNS75" s="2805"/>
      <c r="CNT75" s="2805"/>
      <c r="CNU75" s="2805"/>
      <c r="CNV75" s="2805"/>
      <c r="CNW75" s="2805"/>
      <c r="CNX75" s="2805"/>
      <c r="CNY75" s="2805"/>
      <c r="CNZ75" s="2805"/>
      <c r="COA75" s="2805"/>
      <c r="COB75" s="2805"/>
      <c r="COC75" s="2805"/>
      <c r="COD75" s="2805"/>
      <c r="COE75" s="2805"/>
      <c r="COF75" s="2805"/>
      <c r="COG75" s="2805"/>
      <c r="COH75" s="2805"/>
      <c r="COI75" s="2805"/>
      <c r="COJ75" s="2805"/>
      <c r="COK75" s="2805"/>
      <c r="COL75" s="2805"/>
      <c r="COM75" s="2805"/>
      <c r="CON75" s="2805"/>
      <c r="COO75" s="2805"/>
      <c r="COP75" s="2805"/>
      <c r="COQ75" s="2805"/>
      <c r="COR75" s="2805"/>
      <c r="COS75" s="2805"/>
      <c r="COT75" s="2805"/>
      <c r="COU75" s="2805"/>
      <c r="COV75" s="2805"/>
      <c r="COW75" s="2805"/>
      <c r="COX75" s="2805"/>
      <c r="COY75" s="2805"/>
      <c r="COZ75" s="2805"/>
      <c r="CPA75" s="2805"/>
      <c r="CPB75" s="2805"/>
      <c r="CPC75" s="2805"/>
      <c r="CPD75" s="2805"/>
      <c r="CPE75" s="2805"/>
      <c r="CPF75" s="2805"/>
      <c r="CPG75" s="2805"/>
      <c r="CPH75" s="2805"/>
      <c r="CPI75" s="2805"/>
      <c r="CPJ75" s="2805"/>
      <c r="CPK75" s="2805"/>
      <c r="CPL75" s="2805"/>
      <c r="CPM75" s="2805"/>
      <c r="CPN75" s="2805"/>
      <c r="CPO75" s="2805"/>
      <c r="CPP75" s="2805"/>
      <c r="CPQ75" s="2805"/>
      <c r="CPR75" s="2805"/>
      <c r="CPS75" s="2805"/>
      <c r="CPT75" s="2805"/>
      <c r="CPU75" s="2805"/>
      <c r="CPV75" s="2805"/>
      <c r="CPW75" s="2805"/>
      <c r="CPX75" s="2805"/>
      <c r="CPY75" s="2805"/>
      <c r="CPZ75" s="2805"/>
      <c r="CQA75" s="2805"/>
      <c r="CQB75" s="2805"/>
      <c r="CQC75" s="2805"/>
      <c r="CQD75" s="2805"/>
      <c r="CQE75" s="2805"/>
      <c r="CQF75" s="2805"/>
      <c r="CQG75" s="2805"/>
      <c r="CQH75" s="2805"/>
      <c r="CQI75" s="2805"/>
      <c r="CQJ75" s="2805"/>
      <c r="CQK75" s="2805"/>
      <c r="CQL75" s="2805"/>
      <c r="CQM75" s="2805"/>
      <c r="CQN75" s="2805"/>
      <c r="CQO75" s="2805"/>
      <c r="CQP75" s="2805"/>
      <c r="CQQ75" s="2805"/>
      <c r="CQR75" s="2805"/>
      <c r="CQS75" s="2805"/>
      <c r="CQT75" s="2805"/>
      <c r="CQU75" s="2805"/>
      <c r="CQV75" s="2805"/>
      <c r="CQW75" s="2805"/>
      <c r="CQX75" s="2805"/>
      <c r="CQY75" s="2805"/>
      <c r="CQZ75" s="2805"/>
      <c r="CRA75" s="2805"/>
      <c r="CRB75" s="2805"/>
      <c r="CRC75" s="2805"/>
      <c r="CRD75" s="2805"/>
      <c r="CRE75" s="2805"/>
      <c r="CRF75" s="2805"/>
      <c r="CRG75" s="2805"/>
      <c r="CRH75" s="2805"/>
      <c r="CRI75" s="2805"/>
      <c r="CRJ75" s="2805"/>
      <c r="CRK75" s="2805"/>
      <c r="CRL75" s="2805"/>
      <c r="CRM75" s="2805"/>
      <c r="CRN75" s="2805"/>
      <c r="CRO75" s="2805"/>
      <c r="CRP75" s="2805"/>
      <c r="CRQ75" s="2805"/>
      <c r="CRR75" s="2805"/>
      <c r="CRS75" s="2805"/>
      <c r="CRT75" s="2805"/>
      <c r="CRU75" s="2805"/>
      <c r="CRV75" s="2805"/>
      <c r="CRW75" s="2805"/>
      <c r="CRX75" s="2805"/>
      <c r="CRY75" s="2805"/>
      <c r="CRZ75" s="2805"/>
      <c r="CSA75" s="2805"/>
      <c r="CSB75" s="2805"/>
      <c r="CSC75" s="2805"/>
      <c r="CSD75" s="2805"/>
      <c r="CSE75" s="2805"/>
      <c r="CSF75" s="2805"/>
      <c r="CSG75" s="2805"/>
      <c r="CSH75" s="2805"/>
      <c r="CSI75" s="2805"/>
      <c r="CSJ75" s="2805"/>
      <c r="CSK75" s="2805"/>
      <c r="CSL75" s="2805"/>
      <c r="CSM75" s="2805"/>
      <c r="CSN75" s="2805"/>
      <c r="CSO75" s="2805"/>
      <c r="CSP75" s="2805"/>
      <c r="CSQ75" s="2805"/>
      <c r="CSR75" s="2805"/>
      <c r="CSS75" s="2805"/>
      <c r="CST75" s="2805"/>
      <c r="CSU75" s="2805"/>
      <c r="CSV75" s="2805"/>
      <c r="CSW75" s="2805"/>
      <c r="CSX75" s="2805"/>
      <c r="CSY75" s="2805"/>
      <c r="CSZ75" s="2805"/>
      <c r="CTA75" s="2805"/>
      <c r="CTB75" s="2805"/>
      <c r="CTC75" s="2805"/>
      <c r="CTD75" s="2805"/>
      <c r="CTE75" s="2805"/>
      <c r="CTF75" s="2805"/>
      <c r="CTG75" s="2805"/>
      <c r="CTH75" s="2805"/>
      <c r="CTI75" s="2805"/>
      <c r="CTJ75" s="2805"/>
      <c r="CTK75" s="2805"/>
      <c r="CTL75" s="2805"/>
      <c r="CTM75" s="2805"/>
      <c r="CTN75" s="2805"/>
      <c r="CTO75" s="2805"/>
      <c r="CTP75" s="2805"/>
      <c r="CTQ75" s="2805"/>
      <c r="CTR75" s="2805"/>
      <c r="CTS75" s="2805"/>
      <c r="CTT75" s="2805"/>
      <c r="CTU75" s="2805"/>
      <c r="CTV75" s="2805"/>
      <c r="CTW75" s="2805"/>
      <c r="CTX75" s="2805"/>
      <c r="CTY75" s="2805"/>
      <c r="CTZ75" s="2805"/>
      <c r="CUA75" s="2805"/>
      <c r="CUB75" s="2805"/>
      <c r="CUC75" s="2805"/>
      <c r="CUD75" s="2805"/>
      <c r="CUE75" s="2805"/>
      <c r="CUF75" s="2805"/>
      <c r="CUG75" s="2805"/>
      <c r="CUH75" s="2805"/>
      <c r="CUI75" s="2805"/>
      <c r="CUJ75" s="2805"/>
      <c r="CUK75" s="2805"/>
      <c r="CUL75" s="2805"/>
      <c r="CUM75" s="2805"/>
      <c r="CUN75" s="2805"/>
      <c r="CUO75" s="2805"/>
      <c r="CUP75" s="2805"/>
      <c r="CUQ75" s="2805"/>
      <c r="CUR75" s="2805"/>
      <c r="CUS75" s="2805"/>
      <c r="CUT75" s="2805"/>
      <c r="CUU75" s="2805"/>
      <c r="CUV75" s="2805"/>
      <c r="CUW75" s="2805"/>
      <c r="CUX75" s="2805"/>
      <c r="CUY75" s="2805"/>
      <c r="CUZ75" s="2805"/>
      <c r="CVA75" s="2805"/>
      <c r="CVB75" s="2805"/>
      <c r="CVC75" s="2805"/>
      <c r="CVD75" s="2805"/>
      <c r="CVE75" s="2805"/>
      <c r="CVF75" s="2805"/>
      <c r="CVG75" s="2805"/>
      <c r="CVH75" s="2805"/>
      <c r="CVI75" s="2805"/>
      <c r="CVJ75" s="2805"/>
      <c r="CVK75" s="2805"/>
      <c r="CVL75" s="2805"/>
      <c r="CVM75" s="2805"/>
      <c r="CVN75" s="2805"/>
      <c r="CVO75" s="2805"/>
      <c r="CVP75" s="2805"/>
      <c r="CVQ75" s="2805"/>
      <c r="CVR75" s="2805"/>
      <c r="CVS75" s="2805"/>
      <c r="CVT75" s="2805"/>
      <c r="CVU75" s="2805"/>
      <c r="CVV75" s="2805"/>
      <c r="CVW75" s="2805"/>
      <c r="CVX75" s="2805"/>
      <c r="CVY75" s="2805"/>
      <c r="CVZ75" s="2805"/>
      <c r="CWA75" s="2805"/>
      <c r="CWB75" s="2805"/>
      <c r="CWC75" s="2805"/>
      <c r="CWD75" s="2805"/>
      <c r="CWE75" s="2805"/>
      <c r="CWF75" s="2805"/>
      <c r="CWG75" s="2805"/>
      <c r="CWH75" s="2805"/>
      <c r="CWI75" s="2805"/>
      <c r="CWJ75" s="2805"/>
      <c r="CWK75" s="2805"/>
      <c r="CWL75" s="2805"/>
      <c r="CWM75" s="2805"/>
      <c r="CWN75" s="2805"/>
      <c r="CWO75" s="2805"/>
      <c r="CWP75" s="2805"/>
      <c r="CWQ75" s="2805"/>
      <c r="CWR75" s="2805"/>
      <c r="CWS75" s="2805"/>
      <c r="CWT75" s="2805"/>
      <c r="CWU75" s="2805"/>
      <c r="CWV75" s="2805"/>
      <c r="CWW75" s="2805"/>
      <c r="CWX75" s="2805"/>
      <c r="CWY75" s="2805"/>
      <c r="CWZ75" s="2805"/>
      <c r="CXA75" s="2805"/>
      <c r="CXB75" s="2805"/>
      <c r="CXC75" s="2805"/>
      <c r="CXD75" s="2805"/>
      <c r="CXE75" s="2805"/>
      <c r="CXF75" s="2805"/>
      <c r="CXG75" s="2805"/>
      <c r="CXH75" s="2805"/>
      <c r="CXI75" s="2805"/>
      <c r="CXJ75" s="2805"/>
      <c r="CXK75" s="2805"/>
      <c r="CXL75" s="2805"/>
      <c r="CXM75" s="2805"/>
      <c r="CXN75" s="2805"/>
      <c r="CXO75" s="2805"/>
      <c r="CXP75" s="2805"/>
      <c r="CXQ75" s="2805"/>
      <c r="CXR75" s="2805"/>
      <c r="CXS75" s="2805"/>
      <c r="CXT75" s="2805"/>
      <c r="CXU75" s="2805"/>
      <c r="CXV75" s="2805"/>
      <c r="CXW75" s="2805"/>
      <c r="CXX75" s="2805"/>
      <c r="CXY75" s="2805"/>
      <c r="CXZ75" s="2805"/>
      <c r="CYA75" s="2805"/>
      <c r="CYB75" s="2805"/>
      <c r="CYC75" s="2805"/>
      <c r="CYD75" s="2805"/>
      <c r="CYE75" s="2805"/>
      <c r="CYF75" s="2805"/>
      <c r="CYG75" s="2805"/>
      <c r="CYH75" s="2805"/>
      <c r="CYI75" s="2805"/>
      <c r="CYJ75" s="2805"/>
      <c r="CYK75" s="2805"/>
      <c r="CYL75" s="2805"/>
      <c r="CYM75" s="2805"/>
      <c r="CYN75" s="2805"/>
      <c r="CYO75" s="2805"/>
      <c r="CYP75" s="2805"/>
      <c r="CYQ75" s="2805"/>
      <c r="CYR75" s="2805"/>
      <c r="CYS75" s="2805"/>
      <c r="CYT75" s="2805"/>
      <c r="CYU75" s="2805"/>
      <c r="CYV75" s="2805"/>
      <c r="CYW75" s="2805"/>
      <c r="CYX75" s="2805"/>
      <c r="CYY75" s="2805"/>
      <c r="CYZ75" s="2805"/>
      <c r="CZA75" s="2805"/>
      <c r="CZB75" s="2805"/>
      <c r="CZC75" s="2805"/>
      <c r="CZD75" s="2805"/>
      <c r="CZE75" s="2805"/>
      <c r="CZF75" s="2805"/>
      <c r="CZG75" s="2805"/>
      <c r="CZH75" s="2805"/>
      <c r="CZI75" s="2805"/>
      <c r="CZJ75" s="2805"/>
      <c r="CZK75" s="2805"/>
      <c r="CZL75" s="2805"/>
      <c r="CZM75" s="2805"/>
      <c r="CZN75" s="2805"/>
      <c r="CZO75" s="2805"/>
      <c r="CZP75" s="2805"/>
      <c r="CZQ75" s="2805"/>
      <c r="CZR75" s="2805"/>
      <c r="CZS75" s="2805"/>
      <c r="CZT75" s="2805"/>
      <c r="CZU75" s="2805"/>
      <c r="CZV75" s="2805"/>
      <c r="CZW75" s="2805"/>
      <c r="CZX75" s="2805"/>
      <c r="CZY75" s="2805"/>
      <c r="CZZ75" s="2805"/>
      <c r="DAA75" s="2805"/>
      <c r="DAB75" s="2805"/>
      <c r="DAC75" s="2805"/>
      <c r="DAD75" s="2805"/>
      <c r="DAE75" s="2805"/>
      <c r="DAF75" s="2805"/>
      <c r="DAG75" s="2805"/>
      <c r="DAH75" s="2805"/>
      <c r="DAI75" s="2805"/>
      <c r="DAJ75" s="2805"/>
      <c r="DAK75" s="2805"/>
      <c r="DAL75" s="2805"/>
      <c r="DAM75" s="2805"/>
      <c r="DAN75" s="2805"/>
      <c r="DAO75" s="2805"/>
      <c r="DAP75" s="2805"/>
      <c r="DAQ75" s="2805"/>
      <c r="DAR75" s="2805"/>
      <c r="DAS75" s="2805"/>
      <c r="DAT75" s="2805"/>
      <c r="DAU75" s="2805"/>
      <c r="DAV75" s="2805"/>
      <c r="DAW75" s="2805"/>
      <c r="DAX75" s="2805"/>
      <c r="DAY75" s="2805"/>
      <c r="DAZ75" s="2805"/>
      <c r="DBA75" s="2805"/>
      <c r="DBB75" s="2805"/>
      <c r="DBC75" s="2805"/>
      <c r="DBD75" s="2805"/>
      <c r="DBE75" s="2805"/>
      <c r="DBF75" s="2805"/>
      <c r="DBG75" s="2805"/>
      <c r="DBH75" s="2805"/>
      <c r="DBI75" s="2805"/>
      <c r="DBJ75" s="2805"/>
      <c r="DBK75" s="2805"/>
      <c r="DBL75" s="2805"/>
      <c r="DBM75" s="2805"/>
      <c r="DBN75" s="2805"/>
      <c r="DBO75" s="2805"/>
      <c r="DBP75" s="2805"/>
      <c r="DBQ75" s="2805"/>
      <c r="DBR75" s="2805"/>
      <c r="DBS75" s="2805"/>
      <c r="DBT75" s="2805"/>
      <c r="DBU75" s="2805"/>
      <c r="DBV75" s="2805"/>
      <c r="DBW75" s="2805"/>
      <c r="DBX75" s="2805"/>
      <c r="DBY75" s="2805"/>
      <c r="DBZ75" s="2805"/>
      <c r="DCA75" s="2805"/>
      <c r="DCB75" s="2805"/>
      <c r="DCC75" s="2805"/>
      <c r="DCD75" s="2805"/>
      <c r="DCE75" s="2805"/>
      <c r="DCF75" s="2805"/>
      <c r="DCG75" s="2805"/>
      <c r="DCH75" s="2805"/>
      <c r="DCI75" s="2805"/>
      <c r="DCJ75" s="2805"/>
      <c r="DCK75" s="2805"/>
      <c r="DCL75" s="2805"/>
      <c r="DCM75" s="2805"/>
      <c r="DCN75" s="2805"/>
      <c r="DCO75" s="2805"/>
      <c r="DCP75" s="2805"/>
      <c r="DCQ75" s="2805"/>
      <c r="DCR75" s="2805"/>
      <c r="DCS75" s="2805"/>
      <c r="DCT75" s="2805"/>
      <c r="DCU75" s="2805"/>
      <c r="DCV75" s="2805"/>
      <c r="DCW75" s="2805"/>
      <c r="DCX75" s="2805"/>
      <c r="DCY75" s="2805"/>
      <c r="DCZ75" s="2805"/>
      <c r="DDA75" s="2805"/>
      <c r="DDB75" s="2805"/>
      <c r="DDC75" s="2805"/>
      <c r="DDD75" s="2805"/>
      <c r="DDE75" s="2805"/>
      <c r="DDF75" s="2805"/>
      <c r="DDG75" s="2805"/>
      <c r="DDH75" s="2805"/>
      <c r="DDI75" s="2805"/>
      <c r="DDJ75" s="2805"/>
      <c r="DDK75" s="2805"/>
      <c r="DDL75" s="2805"/>
      <c r="DDM75" s="2805"/>
      <c r="DDN75" s="2805"/>
      <c r="DDO75" s="2805"/>
      <c r="DDP75" s="2805"/>
      <c r="DDQ75" s="2805"/>
      <c r="DDR75" s="2805"/>
      <c r="DDS75" s="2805"/>
      <c r="DDT75" s="2805"/>
      <c r="DDU75" s="2805"/>
      <c r="DDV75" s="2805"/>
      <c r="DDW75" s="2805"/>
      <c r="DDX75" s="2805"/>
      <c r="DDY75" s="2805"/>
      <c r="DDZ75" s="2805"/>
      <c r="DEA75" s="2805"/>
      <c r="DEB75" s="2805"/>
      <c r="DEC75" s="2805"/>
      <c r="DED75" s="2805"/>
      <c r="DEE75" s="2805"/>
      <c r="DEF75" s="2805"/>
      <c r="DEG75" s="2805"/>
      <c r="DEH75" s="2805"/>
      <c r="DEI75" s="2805"/>
      <c r="DEJ75" s="2805"/>
      <c r="DEK75" s="2805"/>
      <c r="DEL75" s="2805"/>
      <c r="DEM75" s="2805"/>
      <c r="DEN75" s="2805"/>
      <c r="DEO75" s="2805"/>
      <c r="DEP75" s="2805"/>
      <c r="DEQ75" s="2805"/>
      <c r="DER75" s="2805"/>
      <c r="DES75" s="2805"/>
      <c r="DET75" s="2805"/>
      <c r="DEU75" s="2805"/>
      <c r="DEV75" s="2805"/>
      <c r="DEW75" s="2805"/>
      <c r="DEX75" s="2805"/>
      <c r="DEY75" s="2805"/>
      <c r="DEZ75" s="2805"/>
      <c r="DFA75" s="2805"/>
      <c r="DFB75" s="2805"/>
      <c r="DFC75" s="2805"/>
      <c r="DFD75" s="2805"/>
      <c r="DFE75" s="2805"/>
      <c r="DFF75" s="2805"/>
      <c r="DFG75" s="2805"/>
      <c r="DFH75" s="2805"/>
      <c r="DFI75" s="2805"/>
      <c r="DFJ75" s="2805"/>
      <c r="DFK75" s="2805"/>
      <c r="DFL75" s="2805"/>
      <c r="DFM75" s="2805"/>
      <c r="DFN75" s="2805"/>
      <c r="DFO75" s="2805"/>
      <c r="DFP75" s="2805"/>
      <c r="DFQ75" s="2805"/>
      <c r="DFR75" s="2805"/>
      <c r="DFS75" s="2805"/>
      <c r="DFT75" s="2805"/>
      <c r="DFU75" s="2805"/>
      <c r="DFV75" s="2805"/>
      <c r="DFW75" s="2805"/>
      <c r="DFX75" s="2805"/>
      <c r="DFY75" s="2805"/>
      <c r="DFZ75" s="2805"/>
      <c r="DGA75" s="2805"/>
      <c r="DGB75" s="2805"/>
      <c r="DGC75" s="2805"/>
      <c r="DGD75" s="2805"/>
      <c r="DGE75" s="2805"/>
      <c r="DGF75" s="2805"/>
      <c r="DGG75" s="2805"/>
      <c r="DGH75" s="2805"/>
      <c r="DGI75" s="2805"/>
      <c r="DGJ75" s="2805"/>
      <c r="DGK75" s="2805"/>
      <c r="DGL75" s="2805"/>
      <c r="DGM75" s="2805"/>
      <c r="DGN75" s="2805"/>
      <c r="DGO75" s="2805"/>
      <c r="DGP75" s="2805"/>
      <c r="DGQ75" s="2805"/>
      <c r="DGR75" s="2805"/>
      <c r="DGS75" s="2805"/>
      <c r="DGT75" s="2805"/>
      <c r="DGU75" s="2805"/>
      <c r="DGV75" s="2805"/>
      <c r="DGW75" s="2805"/>
      <c r="DGX75" s="2805"/>
      <c r="DGY75" s="2805"/>
      <c r="DGZ75" s="2805"/>
      <c r="DHA75" s="2805"/>
      <c r="DHB75" s="2805"/>
      <c r="DHC75" s="2805"/>
      <c r="DHD75" s="2805"/>
      <c r="DHE75" s="2805"/>
      <c r="DHF75" s="2805"/>
      <c r="DHG75" s="2805"/>
      <c r="DHH75" s="2805"/>
      <c r="DHI75" s="2805"/>
      <c r="DHJ75" s="2805"/>
      <c r="DHK75" s="2805"/>
      <c r="DHL75" s="2805"/>
      <c r="DHM75" s="2805"/>
      <c r="DHN75" s="2805"/>
      <c r="DHO75" s="2805"/>
      <c r="DHP75" s="2805"/>
      <c r="DHQ75" s="2805"/>
      <c r="DHR75" s="2805"/>
      <c r="DHS75" s="2805"/>
      <c r="DHT75" s="2805"/>
      <c r="DHU75" s="2805"/>
      <c r="DHV75" s="2805"/>
      <c r="DHW75" s="2805"/>
      <c r="DHX75" s="2805"/>
      <c r="DHY75" s="2805"/>
      <c r="DHZ75" s="2805"/>
      <c r="DIA75" s="2805"/>
      <c r="DIB75" s="2805"/>
      <c r="DIC75" s="2805"/>
      <c r="DID75" s="2805"/>
      <c r="DIE75" s="2805"/>
      <c r="DIF75" s="2805"/>
      <c r="DIG75" s="2805"/>
      <c r="DIH75" s="2805"/>
      <c r="DII75" s="2805"/>
      <c r="DIJ75" s="2805"/>
      <c r="DIK75" s="2805"/>
      <c r="DIL75" s="2805"/>
      <c r="DIM75" s="2805"/>
      <c r="DIN75" s="2805"/>
      <c r="DIO75" s="2805"/>
      <c r="DIP75" s="2805"/>
      <c r="DIQ75" s="2805"/>
      <c r="DIR75" s="2805"/>
      <c r="DIS75" s="2805"/>
      <c r="DIT75" s="2805"/>
      <c r="DIU75" s="2805"/>
      <c r="DIV75" s="2805"/>
      <c r="DIW75" s="2805"/>
      <c r="DIX75" s="2805"/>
      <c r="DIY75" s="2805"/>
      <c r="DIZ75" s="2805"/>
      <c r="DJA75" s="2805"/>
      <c r="DJB75" s="2805"/>
      <c r="DJC75" s="2805"/>
      <c r="DJD75" s="2805"/>
      <c r="DJE75" s="2805"/>
      <c r="DJF75" s="2805"/>
      <c r="DJG75" s="2805"/>
      <c r="DJH75" s="2805"/>
      <c r="DJI75" s="2805"/>
      <c r="DJJ75" s="2805"/>
      <c r="DJK75" s="2805"/>
      <c r="DJL75" s="2805"/>
      <c r="DJM75" s="2805"/>
      <c r="DJN75" s="2805"/>
      <c r="DJO75" s="2805"/>
      <c r="DJP75" s="2805"/>
      <c r="DJQ75" s="2805"/>
      <c r="DJR75" s="2805"/>
      <c r="DJS75" s="2805"/>
      <c r="DJT75" s="2805"/>
      <c r="DJU75" s="2805"/>
      <c r="DJV75" s="2805"/>
      <c r="DJW75" s="2805"/>
      <c r="DJX75" s="2805"/>
      <c r="DJY75" s="2805"/>
      <c r="DJZ75" s="2805"/>
      <c r="DKA75" s="2805"/>
      <c r="DKB75" s="2805"/>
      <c r="DKC75" s="2805"/>
      <c r="DKD75" s="2805"/>
      <c r="DKE75" s="2805"/>
      <c r="DKF75" s="2805"/>
      <c r="DKG75" s="2805"/>
      <c r="DKH75" s="2805"/>
      <c r="DKI75" s="2805"/>
      <c r="DKJ75" s="2805"/>
      <c r="DKK75" s="2805"/>
      <c r="DKL75" s="2805"/>
      <c r="DKM75" s="2805"/>
      <c r="DKN75" s="2805"/>
      <c r="DKO75" s="2805"/>
      <c r="DKP75" s="2805"/>
      <c r="DKQ75" s="2805"/>
      <c r="DKR75" s="2805"/>
      <c r="DKS75" s="2805"/>
      <c r="DKT75" s="2805"/>
      <c r="DKU75" s="2805"/>
      <c r="DKV75" s="2805"/>
      <c r="DKW75" s="2805"/>
      <c r="DKX75" s="2805"/>
      <c r="DKY75" s="2805"/>
      <c r="DKZ75" s="2805"/>
      <c r="DLA75" s="2805"/>
      <c r="DLB75" s="2805"/>
      <c r="DLC75" s="2805"/>
      <c r="DLD75" s="2805"/>
      <c r="DLE75" s="2805"/>
      <c r="DLF75" s="2805"/>
      <c r="DLG75" s="2805"/>
      <c r="DLH75" s="2805"/>
      <c r="DLI75" s="2805"/>
      <c r="DLJ75" s="2805"/>
      <c r="DLK75" s="2805"/>
      <c r="DLL75" s="2805"/>
      <c r="DLM75" s="2805"/>
      <c r="DLN75" s="2805"/>
      <c r="DLO75" s="2805"/>
      <c r="DLP75" s="2805"/>
      <c r="DLQ75" s="2805"/>
      <c r="DLR75" s="2805"/>
      <c r="DLS75" s="2805"/>
      <c r="DLT75" s="2805"/>
      <c r="DLU75" s="2805"/>
      <c r="DLV75" s="2805"/>
      <c r="DLW75" s="2805"/>
      <c r="DLX75" s="2805"/>
      <c r="DLY75" s="2805"/>
      <c r="DLZ75" s="2805"/>
      <c r="DMA75" s="2805"/>
      <c r="DMB75" s="2805"/>
      <c r="DMC75" s="2805"/>
      <c r="DMD75" s="2805"/>
      <c r="DME75" s="2805"/>
      <c r="DMF75" s="2805"/>
      <c r="DMG75" s="2805"/>
      <c r="DMH75" s="2805"/>
      <c r="DMI75" s="2805"/>
      <c r="DMJ75" s="2805"/>
      <c r="DMK75" s="2805"/>
      <c r="DML75" s="2805"/>
      <c r="DMM75" s="2805"/>
      <c r="DMN75" s="2805"/>
      <c r="DMO75" s="2805"/>
      <c r="DMP75" s="2805"/>
      <c r="DMQ75" s="2805"/>
      <c r="DMR75" s="2805"/>
      <c r="DMS75" s="2805"/>
      <c r="DMT75" s="2805"/>
      <c r="DMU75" s="2805"/>
      <c r="DMV75" s="2805"/>
      <c r="DMW75" s="2805"/>
      <c r="DMX75" s="2805"/>
      <c r="DMY75" s="2805"/>
      <c r="DMZ75" s="2805"/>
      <c r="DNA75" s="2805"/>
      <c r="DNB75" s="2805"/>
      <c r="DNC75" s="2805"/>
      <c r="DND75" s="2805"/>
      <c r="DNE75" s="2805"/>
      <c r="DNF75" s="2805"/>
      <c r="DNG75" s="2805"/>
      <c r="DNH75" s="2805"/>
      <c r="DNI75" s="2805"/>
      <c r="DNJ75" s="2805"/>
      <c r="DNK75" s="2805"/>
      <c r="DNL75" s="2805"/>
      <c r="DNM75" s="2805"/>
      <c r="DNN75" s="2805"/>
      <c r="DNO75" s="2805"/>
      <c r="DNP75" s="2805"/>
      <c r="DNQ75" s="2805"/>
      <c r="DNR75" s="2805"/>
      <c r="DNS75" s="2805"/>
      <c r="DNT75" s="2805"/>
      <c r="DNU75" s="2805"/>
      <c r="DNV75" s="2805"/>
      <c r="DNW75" s="2805"/>
      <c r="DNX75" s="2805"/>
      <c r="DNY75" s="2805"/>
      <c r="DNZ75" s="2805"/>
      <c r="DOA75" s="2805"/>
      <c r="DOB75" s="2805"/>
      <c r="DOC75" s="2805"/>
      <c r="DOD75" s="2805"/>
      <c r="DOE75" s="2805"/>
      <c r="DOF75" s="2805"/>
      <c r="DOG75" s="2805"/>
      <c r="DOH75" s="2805"/>
      <c r="DOI75" s="2805"/>
      <c r="DOJ75" s="2805"/>
      <c r="DOK75" s="2805"/>
      <c r="DOL75" s="2805"/>
      <c r="DOM75" s="2805"/>
      <c r="DON75" s="2805"/>
      <c r="DOO75" s="2805"/>
      <c r="DOP75" s="2805"/>
      <c r="DOQ75" s="2805"/>
      <c r="DOR75" s="2805"/>
      <c r="DOS75" s="2805"/>
      <c r="DOT75" s="2805"/>
      <c r="DOU75" s="2805"/>
      <c r="DOV75" s="2805"/>
      <c r="DOW75" s="2805"/>
      <c r="DOX75" s="2805"/>
      <c r="DOY75" s="2805"/>
      <c r="DOZ75" s="2805"/>
      <c r="DPA75" s="2805"/>
      <c r="DPB75" s="2805"/>
      <c r="DPC75" s="2805"/>
      <c r="DPD75" s="2805"/>
      <c r="DPE75" s="2805"/>
      <c r="DPF75" s="2805"/>
      <c r="DPG75" s="2805"/>
      <c r="DPH75" s="2805"/>
      <c r="DPI75" s="2805"/>
      <c r="DPJ75" s="2805"/>
      <c r="DPK75" s="2805"/>
      <c r="DPL75" s="2805"/>
      <c r="DPM75" s="2805"/>
      <c r="DPN75" s="2805"/>
      <c r="DPO75" s="2805"/>
      <c r="DPP75" s="2805"/>
      <c r="DPQ75" s="2805"/>
      <c r="DPR75" s="2805"/>
      <c r="DPS75" s="2805"/>
      <c r="DPT75" s="2805"/>
      <c r="DPU75" s="2805"/>
      <c r="DPV75" s="2805"/>
      <c r="DPW75" s="2805"/>
      <c r="DPX75" s="2805"/>
      <c r="DPY75" s="2805"/>
      <c r="DPZ75" s="2805"/>
      <c r="DQA75" s="2805"/>
      <c r="DQB75" s="2805"/>
      <c r="DQC75" s="2805"/>
      <c r="DQD75" s="2805"/>
      <c r="DQE75" s="2805"/>
      <c r="DQF75" s="2805"/>
      <c r="DQG75" s="2805"/>
      <c r="DQH75" s="2805"/>
      <c r="DQI75" s="2805"/>
      <c r="DQJ75" s="2805"/>
      <c r="DQK75" s="2805"/>
      <c r="DQL75" s="2805"/>
      <c r="DQM75" s="2805"/>
      <c r="DQN75" s="2805"/>
      <c r="DQO75" s="2805"/>
      <c r="DQP75" s="2805"/>
      <c r="DQQ75" s="2805"/>
      <c r="DQR75" s="2805"/>
      <c r="DQS75" s="2805"/>
      <c r="DQT75" s="2805"/>
      <c r="DQU75" s="2805"/>
      <c r="DQV75" s="2805"/>
      <c r="DQW75" s="2805"/>
      <c r="DQX75" s="2805"/>
      <c r="DQY75" s="2805"/>
      <c r="DQZ75" s="2805"/>
      <c r="DRA75" s="2805"/>
      <c r="DRB75" s="2805"/>
      <c r="DRC75" s="2805"/>
      <c r="DRD75" s="2805"/>
      <c r="DRE75" s="2805"/>
      <c r="DRF75" s="2805"/>
      <c r="DRG75" s="2805"/>
      <c r="DRH75" s="2805"/>
      <c r="DRI75" s="2805"/>
      <c r="DRJ75" s="2805"/>
      <c r="DRK75" s="2805"/>
      <c r="DRL75" s="2805"/>
      <c r="DRM75" s="2805"/>
      <c r="DRN75" s="2805"/>
      <c r="DRO75" s="2805"/>
      <c r="DRP75" s="2805"/>
      <c r="DRQ75" s="2805"/>
      <c r="DRR75" s="2805"/>
      <c r="DRS75" s="2805"/>
      <c r="DRT75" s="2805"/>
      <c r="DRU75" s="2805"/>
      <c r="DRV75" s="2805"/>
      <c r="DRW75" s="2805"/>
      <c r="DRX75" s="2805"/>
      <c r="DRY75" s="2805"/>
      <c r="DRZ75" s="2805"/>
      <c r="DSA75" s="2805"/>
      <c r="DSB75" s="2805"/>
      <c r="DSC75" s="2805"/>
      <c r="DSD75" s="2805"/>
      <c r="DSE75" s="2805"/>
      <c r="DSF75" s="2805"/>
      <c r="DSG75" s="2805"/>
      <c r="DSH75" s="2805"/>
      <c r="DSI75" s="2805"/>
      <c r="DSJ75" s="2805"/>
      <c r="DSK75" s="2805"/>
      <c r="DSL75" s="2805"/>
      <c r="DSM75" s="2805"/>
      <c r="DSN75" s="2805"/>
      <c r="DSO75" s="2805"/>
      <c r="DSP75" s="2805"/>
      <c r="DSQ75" s="2805"/>
      <c r="DSR75" s="2805"/>
      <c r="DSS75" s="2805"/>
      <c r="DST75" s="2805"/>
      <c r="DSU75" s="2805"/>
      <c r="DSV75" s="2805"/>
      <c r="DSW75" s="2805"/>
      <c r="DSX75" s="2805"/>
      <c r="DSY75" s="2805"/>
      <c r="DSZ75" s="2805"/>
      <c r="DTA75" s="2805"/>
      <c r="DTB75" s="2805"/>
      <c r="DTC75" s="2805"/>
      <c r="DTD75" s="2805"/>
      <c r="DTE75" s="2805"/>
      <c r="DTF75" s="2805"/>
      <c r="DTG75" s="2805"/>
      <c r="DTH75" s="2805"/>
      <c r="DTI75" s="2805"/>
      <c r="DTJ75" s="2805"/>
      <c r="DTK75" s="2805"/>
      <c r="DTL75" s="2805"/>
      <c r="DTM75" s="2805"/>
      <c r="DTN75" s="2805"/>
      <c r="DTO75" s="2805"/>
      <c r="DTP75" s="2805"/>
      <c r="DTQ75" s="2805"/>
      <c r="DTR75" s="2805"/>
      <c r="DTS75" s="2805"/>
      <c r="DTT75" s="2805"/>
      <c r="DTU75" s="2805"/>
      <c r="DTV75" s="2805"/>
      <c r="DTW75" s="2805"/>
      <c r="DTX75" s="2805"/>
      <c r="DTY75" s="2805"/>
      <c r="DTZ75" s="2805"/>
      <c r="DUA75" s="2805"/>
      <c r="DUB75" s="2805"/>
      <c r="DUC75" s="2805"/>
      <c r="DUD75" s="2805"/>
      <c r="DUE75" s="2805"/>
      <c r="DUF75" s="2805"/>
      <c r="DUG75" s="2805"/>
      <c r="DUH75" s="2805"/>
      <c r="DUI75" s="2805"/>
      <c r="DUJ75" s="2805"/>
      <c r="DUK75" s="2805"/>
      <c r="DUL75" s="2805"/>
      <c r="DUM75" s="2805"/>
      <c r="DUN75" s="2805"/>
      <c r="DUO75" s="2805"/>
      <c r="DUP75" s="2805"/>
      <c r="DUQ75" s="2805"/>
      <c r="DUR75" s="2805"/>
      <c r="DUS75" s="2805"/>
      <c r="DUT75" s="2805"/>
      <c r="DUU75" s="2805"/>
      <c r="DUV75" s="2805"/>
      <c r="DUW75" s="2805"/>
      <c r="DUX75" s="2805"/>
      <c r="DUY75" s="2805"/>
      <c r="DUZ75" s="2805"/>
      <c r="DVA75" s="2805"/>
      <c r="DVB75" s="2805"/>
      <c r="DVC75" s="2805"/>
      <c r="DVD75" s="2805"/>
      <c r="DVE75" s="2805"/>
      <c r="DVF75" s="2805"/>
      <c r="DVG75" s="2805"/>
      <c r="DVH75" s="2805"/>
      <c r="DVI75" s="2805"/>
      <c r="DVJ75" s="2805"/>
      <c r="DVK75" s="2805"/>
      <c r="DVL75" s="2805"/>
      <c r="DVM75" s="2805"/>
      <c r="DVN75" s="2805"/>
      <c r="DVO75" s="2805"/>
      <c r="DVP75" s="2805"/>
      <c r="DVQ75" s="2805"/>
      <c r="DVR75" s="2805"/>
      <c r="DVS75" s="2805"/>
      <c r="DVT75" s="2805"/>
      <c r="DVU75" s="2805"/>
      <c r="DVV75" s="2805"/>
      <c r="DVW75" s="2805"/>
      <c r="DVX75" s="2805"/>
      <c r="DVY75" s="2805"/>
      <c r="DVZ75" s="2805"/>
      <c r="DWA75" s="2805"/>
      <c r="DWB75" s="2805"/>
      <c r="DWC75" s="2805"/>
      <c r="DWD75" s="2805"/>
      <c r="DWE75" s="2805"/>
      <c r="DWF75" s="2805"/>
      <c r="DWG75" s="2805"/>
      <c r="DWH75" s="2805"/>
      <c r="DWI75" s="2805"/>
      <c r="DWJ75" s="2805"/>
      <c r="DWK75" s="2805"/>
      <c r="DWL75" s="2805"/>
      <c r="DWM75" s="2805"/>
      <c r="DWN75" s="2805"/>
      <c r="DWO75" s="2805"/>
      <c r="DWP75" s="2805"/>
      <c r="DWQ75" s="2805"/>
      <c r="DWR75" s="2805"/>
      <c r="DWS75" s="2805"/>
      <c r="DWT75" s="2805"/>
      <c r="DWU75" s="2805"/>
      <c r="DWV75" s="2805"/>
      <c r="DWW75" s="2805"/>
      <c r="DWX75" s="2805"/>
      <c r="DWY75" s="2805"/>
      <c r="DWZ75" s="2805"/>
      <c r="DXA75" s="2805"/>
      <c r="DXB75" s="2805"/>
      <c r="DXC75" s="2805"/>
      <c r="DXD75" s="2805"/>
      <c r="DXE75" s="2805"/>
      <c r="DXF75" s="2805"/>
      <c r="DXG75" s="2805"/>
      <c r="DXH75" s="2805"/>
      <c r="DXI75" s="2805"/>
      <c r="DXJ75" s="2805"/>
      <c r="DXK75" s="2805"/>
      <c r="DXL75" s="2805"/>
      <c r="DXM75" s="2805"/>
      <c r="DXN75" s="2805"/>
      <c r="DXO75" s="2805"/>
      <c r="DXP75" s="2805"/>
      <c r="DXQ75" s="2805"/>
      <c r="DXR75" s="2805"/>
      <c r="DXS75" s="2805"/>
      <c r="DXT75" s="2805"/>
      <c r="DXU75" s="2805"/>
      <c r="DXV75" s="2805"/>
      <c r="DXW75" s="2805"/>
      <c r="DXX75" s="2805"/>
      <c r="DXY75" s="2805"/>
      <c r="DXZ75" s="2805"/>
      <c r="DYA75" s="2805"/>
      <c r="DYB75" s="2805"/>
      <c r="DYC75" s="2805"/>
      <c r="DYD75" s="2805"/>
      <c r="DYE75" s="2805"/>
      <c r="DYF75" s="2805"/>
      <c r="DYG75" s="2805"/>
      <c r="DYH75" s="2805"/>
      <c r="DYI75" s="2805"/>
      <c r="DYJ75" s="2805"/>
      <c r="DYK75" s="2805"/>
      <c r="DYL75" s="2805"/>
      <c r="DYM75" s="2805"/>
      <c r="DYN75" s="2805"/>
      <c r="DYO75" s="2805"/>
      <c r="DYP75" s="2805"/>
      <c r="DYQ75" s="2805"/>
      <c r="DYR75" s="2805"/>
      <c r="DYS75" s="2805"/>
      <c r="DYT75" s="2805"/>
      <c r="DYU75" s="2805"/>
      <c r="DYV75" s="2805"/>
      <c r="DYW75" s="2805"/>
      <c r="DYX75" s="2805"/>
      <c r="DYY75" s="2805"/>
      <c r="DYZ75" s="2805"/>
      <c r="DZA75" s="2805"/>
      <c r="DZB75" s="2805"/>
      <c r="DZC75" s="2805"/>
      <c r="DZD75" s="2805"/>
      <c r="DZE75" s="2805"/>
      <c r="DZF75" s="2805"/>
      <c r="DZG75" s="2805"/>
      <c r="DZH75" s="2805"/>
      <c r="DZI75" s="2805"/>
      <c r="DZJ75" s="2805"/>
      <c r="DZK75" s="2805"/>
      <c r="DZL75" s="2805"/>
      <c r="DZM75" s="2805"/>
      <c r="DZN75" s="2805"/>
      <c r="DZO75" s="2805"/>
      <c r="DZP75" s="2805"/>
      <c r="DZQ75" s="2805"/>
      <c r="DZR75" s="2805"/>
      <c r="DZS75" s="2805"/>
      <c r="DZT75" s="2805"/>
      <c r="DZU75" s="2805"/>
      <c r="DZV75" s="2805"/>
      <c r="DZW75" s="2805"/>
      <c r="DZX75" s="2805"/>
      <c r="DZY75" s="2805"/>
      <c r="DZZ75" s="2805"/>
      <c r="EAA75" s="2805"/>
      <c r="EAB75" s="2805"/>
      <c r="EAC75" s="2805"/>
      <c r="EAD75" s="2805"/>
      <c r="EAE75" s="2805"/>
      <c r="EAF75" s="2805"/>
      <c r="EAG75" s="2805"/>
      <c r="EAH75" s="2805"/>
      <c r="EAI75" s="2805"/>
      <c r="EAJ75" s="2805"/>
      <c r="EAK75" s="2805"/>
      <c r="EAL75" s="2805"/>
      <c r="EAM75" s="2805"/>
      <c r="EAN75" s="2805"/>
      <c r="EAO75" s="2805"/>
      <c r="EAP75" s="2805"/>
      <c r="EAQ75" s="2805"/>
      <c r="EAR75" s="2805"/>
      <c r="EAS75" s="2805"/>
      <c r="EAT75" s="2805"/>
      <c r="EAU75" s="2805"/>
      <c r="EAV75" s="2805"/>
      <c r="EAW75" s="2805"/>
      <c r="EAX75" s="2805"/>
      <c r="EAY75" s="2805"/>
      <c r="EAZ75" s="2805"/>
      <c r="EBA75" s="2805"/>
      <c r="EBB75" s="2805"/>
      <c r="EBC75" s="2805"/>
      <c r="EBD75" s="2805"/>
      <c r="EBE75" s="2805"/>
      <c r="EBF75" s="2805"/>
      <c r="EBG75" s="2805"/>
      <c r="EBH75" s="2805"/>
      <c r="EBI75" s="2805"/>
      <c r="EBJ75" s="2805"/>
      <c r="EBK75" s="2805"/>
      <c r="EBL75" s="2805"/>
      <c r="EBM75" s="2805"/>
      <c r="EBN75" s="2805"/>
      <c r="EBO75" s="2805"/>
      <c r="EBP75" s="2805"/>
      <c r="EBQ75" s="2805"/>
      <c r="EBR75" s="2805"/>
      <c r="EBS75" s="2805"/>
      <c r="EBT75" s="2805"/>
      <c r="EBU75" s="2805"/>
      <c r="EBV75" s="2805"/>
      <c r="EBW75" s="2805"/>
      <c r="EBX75" s="2805"/>
      <c r="EBY75" s="2805"/>
      <c r="EBZ75" s="2805"/>
      <c r="ECA75" s="2805"/>
      <c r="ECB75" s="2805"/>
      <c r="ECC75" s="2805"/>
      <c r="ECD75" s="2805"/>
      <c r="ECE75" s="2805"/>
      <c r="ECF75" s="2805"/>
      <c r="ECG75" s="2805"/>
      <c r="ECH75" s="2805"/>
      <c r="ECI75" s="2805"/>
      <c r="ECJ75" s="2805"/>
      <c r="ECK75" s="2805"/>
      <c r="ECL75" s="2805"/>
      <c r="ECM75" s="2805"/>
      <c r="ECN75" s="2805"/>
      <c r="ECO75" s="2805"/>
      <c r="ECP75" s="2805"/>
      <c r="ECQ75" s="2805"/>
      <c r="ECR75" s="2805"/>
      <c r="ECS75" s="2805"/>
      <c r="ECT75" s="2805"/>
      <c r="ECU75" s="2805"/>
      <c r="ECV75" s="2805"/>
      <c r="ECW75" s="2805"/>
      <c r="ECX75" s="2805"/>
      <c r="ECY75" s="2805"/>
      <c r="ECZ75" s="2805"/>
      <c r="EDA75" s="2805"/>
      <c r="EDB75" s="2805"/>
      <c r="EDC75" s="2805"/>
      <c r="EDD75" s="2805"/>
      <c r="EDE75" s="2805"/>
      <c r="EDF75" s="2805"/>
      <c r="EDG75" s="2805"/>
      <c r="EDH75" s="2805"/>
      <c r="EDI75" s="2805"/>
      <c r="EDJ75" s="2805"/>
      <c r="EDK75" s="2805"/>
      <c r="EDL75" s="2805"/>
      <c r="EDM75" s="2805"/>
      <c r="EDN75" s="2805"/>
      <c r="EDO75" s="2805"/>
      <c r="EDP75" s="2805"/>
      <c r="EDQ75" s="2805"/>
      <c r="EDR75" s="2805"/>
      <c r="EDS75" s="2805"/>
      <c r="EDT75" s="2805"/>
      <c r="EDU75" s="2805"/>
      <c r="EDV75" s="2805"/>
      <c r="EDW75" s="2805"/>
      <c r="EDX75" s="2805"/>
      <c r="EDY75" s="2805"/>
      <c r="EDZ75" s="2805"/>
      <c r="EEA75" s="2805"/>
      <c r="EEB75" s="2805"/>
      <c r="EEC75" s="2805"/>
      <c r="EED75" s="2805"/>
      <c r="EEE75" s="2805"/>
      <c r="EEF75" s="2805"/>
      <c r="EEG75" s="2805"/>
      <c r="EEH75" s="2805"/>
      <c r="EEI75" s="2805"/>
      <c r="EEJ75" s="2805"/>
      <c r="EEK75" s="2805"/>
      <c r="EEL75" s="2805"/>
      <c r="EEM75" s="2805"/>
      <c r="EEN75" s="2805"/>
      <c r="EEO75" s="2805"/>
      <c r="EEP75" s="2805"/>
      <c r="EEQ75" s="2805"/>
      <c r="EER75" s="2805"/>
      <c r="EES75" s="2805"/>
      <c r="EET75" s="2805"/>
      <c r="EEU75" s="2805"/>
      <c r="EEV75" s="2805"/>
      <c r="EEW75" s="2805"/>
      <c r="EEX75" s="2805"/>
      <c r="EEY75" s="2805"/>
      <c r="EEZ75" s="2805"/>
      <c r="EFA75" s="2805"/>
      <c r="EFB75" s="2805"/>
      <c r="EFC75" s="2805"/>
      <c r="EFD75" s="2805"/>
      <c r="EFE75" s="2805"/>
      <c r="EFF75" s="2805"/>
      <c r="EFG75" s="2805"/>
      <c r="EFH75" s="2805"/>
      <c r="EFI75" s="2805"/>
      <c r="EFJ75" s="2805"/>
      <c r="EFK75" s="2805"/>
      <c r="EFL75" s="2805"/>
      <c r="EFM75" s="2805"/>
      <c r="EFN75" s="2805"/>
      <c r="EFO75" s="2805"/>
      <c r="EFP75" s="2805"/>
      <c r="EFQ75" s="2805"/>
      <c r="EFR75" s="2805"/>
      <c r="EFS75" s="2805"/>
      <c r="EFT75" s="2805"/>
      <c r="EFU75" s="2805"/>
      <c r="EFV75" s="2805"/>
      <c r="EFW75" s="2805"/>
      <c r="EFX75" s="2805"/>
      <c r="EFY75" s="2805"/>
      <c r="EFZ75" s="2805"/>
      <c r="EGA75" s="2805"/>
      <c r="EGB75" s="2805"/>
      <c r="EGC75" s="2805"/>
      <c r="EGD75" s="2805"/>
      <c r="EGE75" s="2805"/>
      <c r="EGF75" s="2805"/>
      <c r="EGG75" s="2805"/>
      <c r="EGH75" s="2805"/>
      <c r="EGI75" s="2805"/>
      <c r="EGJ75" s="2805"/>
      <c r="EGK75" s="2805"/>
      <c r="EGL75" s="2805"/>
      <c r="EGM75" s="2805"/>
      <c r="EGN75" s="2805"/>
      <c r="EGO75" s="2805"/>
      <c r="EGP75" s="2805"/>
      <c r="EGQ75" s="2805"/>
      <c r="EGR75" s="2805"/>
      <c r="EGS75" s="2805"/>
      <c r="EGT75" s="2805"/>
      <c r="EGU75" s="2805"/>
      <c r="EGV75" s="2805"/>
      <c r="EGW75" s="2805"/>
      <c r="EGX75" s="2805"/>
      <c r="EGY75" s="2805"/>
      <c r="EGZ75" s="2805"/>
      <c r="EHA75" s="2805"/>
      <c r="EHB75" s="2805"/>
      <c r="EHC75" s="2805"/>
      <c r="EHD75" s="2805"/>
      <c r="EHE75" s="2805"/>
      <c r="EHF75" s="2805"/>
      <c r="EHG75" s="2805"/>
      <c r="EHH75" s="2805"/>
      <c r="EHI75" s="2805"/>
      <c r="EHJ75" s="2805"/>
      <c r="EHK75" s="2805"/>
      <c r="EHL75" s="2805"/>
      <c r="EHM75" s="2805"/>
      <c r="EHN75" s="2805"/>
      <c r="EHO75" s="2805"/>
      <c r="EHP75" s="2805"/>
      <c r="EHQ75" s="2805"/>
      <c r="EHR75" s="2805"/>
      <c r="EHS75" s="2805"/>
      <c r="EHT75" s="2805"/>
      <c r="EHU75" s="2805"/>
      <c r="EHV75" s="2805"/>
      <c r="EHW75" s="2805"/>
      <c r="EHX75" s="2805"/>
      <c r="EHY75" s="2805"/>
      <c r="EHZ75" s="2805"/>
      <c r="EIA75" s="2805"/>
      <c r="EIB75" s="2805"/>
      <c r="EIC75" s="2805"/>
      <c r="EID75" s="2805"/>
      <c r="EIE75" s="2805"/>
      <c r="EIF75" s="2805"/>
      <c r="EIG75" s="2805"/>
      <c r="EIH75" s="2805"/>
      <c r="EII75" s="2805"/>
      <c r="EIJ75" s="2805"/>
      <c r="EIK75" s="2805"/>
      <c r="EIL75" s="2805"/>
      <c r="EIM75" s="2805"/>
      <c r="EIN75" s="2805"/>
      <c r="EIO75" s="2805"/>
      <c r="EIP75" s="2805"/>
      <c r="EIQ75" s="2805"/>
      <c r="EIR75" s="2805"/>
      <c r="EIS75" s="2805"/>
      <c r="EIT75" s="2805"/>
      <c r="EIU75" s="2805"/>
      <c r="EIV75" s="2805"/>
      <c r="EIW75" s="2805"/>
      <c r="EIX75" s="2805"/>
      <c r="EIY75" s="2805"/>
      <c r="EIZ75" s="2805"/>
      <c r="EJA75" s="2805"/>
      <c r="EJB75" s="2805"/>
      <c r="EJC75" s="2805"/>
      <c r="EJD75" s="2805"/>
      <c r="EJE75" s="2805"/>
      <c r="EJF75" s="2805"/>
      <c r="EJG75" s="2805"/>
      <c r="EJH75" s="2805"/>
      <c r="EJI75" s="2805"/>
      <c r="EJJ75" s="2805"/>
      <c r="EJK75" s="2805"/>
      <c r="EJL75" s="2805"/>
      <c r="EJM75" s="2805"/>
      <c r="EJN75" s="2805"/>
      <c r="EJO75" s="2805"/>
      <c r="EJP75" s="2805"/>
      <c r="EJQ75" s="2805"/>
      <c r="EJR75" s="2805"/>
      <c r="EJS75" s="2805"/>
      <c r="EJT75" s="2805"/>
      <c r="EJU75" s="2805"/>
      <c r="EJV75" s="2805"/>
      <c r="EJW75" s="2805"/>
      <c r="EJX75" s="2805"/>
      <c r="EJY75" s="2805"/>
      <c r="EJZ75" s="2805"/>
      <c r="EKA75" s="2805"/>
      <c r="EKB75" s="2805"/>
      <c r="EKC75" s="2805"/>
      <c r="EKD75" s="2805"/>
      <c r="EKE75" s="2805"/>
      <c r="EKF75" s="2805"/>
      <c r="EKG75" s="2805"/>
      <c r="EKH75" s="2805"/>
      <c r="EKI75" s="2805"/>
      <c r="EKJ75" s="2805"/>
      <c r="EKK75" s="2805"/>
      <c r="EKL75" s="2805"/>
      <c r="EKM75" s="2805"/>
      <c r="EKN75" s="2805"/>
      <c r="EKO75" s="2805"/>
      <c r="EKP75" s="2805"/>
      <c r="EKQ75" s="2805"/>
      <c r="EKR75" s="2805"/>
      <c r="EKS75" s="2805"/>
      <c r="EKT75" s="2805"/>
      <c r="EKU75" s="2805"/>
      <c r="EKV75" s="2805"/>
      <c r="EKW75" s="2805"/>
      <c r="EKX75" s="2805"/>
      <c r="EKY75" s="2805"/>
      <c r="EKZ75" s="2805"/>
      <c r="ELA75" s="2805"/>
      <c r="ELB75" s="2805"/>
      <c r="ELC75" s="2805"/>
      <c r="ELD75" s="2805"/>
      <c r="ELE75" s="2805"/>
      <c r="ELF75" s="2805"/>
      <c r="ELG75" s="2805"/>
      <c r="ELH75" s="2805"/>
      <c r="ELI75" s="2805"/>
      <c r="ELJ75" s="2805"/>
      <c r="ELK75" s="2805"/>
      <c r="ELL75" s="2805"/>
      <c r="ELM75" s="2805"/>
      <c r="ELN75" s="2805"/>
      <c r="ELO75" s="2805"/>
      <c r="ELP75" s="2805"/>
      <c r="ELQ75" s="2805"/>
      <c r="ELR75" s="2805"/>
      <c r="ELS75" s="2805"/>
      <c r="ELT75" s="2805"/>
      <c r="ELU75" s="2805"/>
      <c r="ELV75" s="2805"/>
      <c r="ELW75" s="2805"/>
      <c r="ELX75" s="2805"/>
      <c r="ELY75" s="2805"/>
      <c r="ELZ75" s="2805"/>
      <c r="EMA75" s="2805"/>
      <c r="EMB75" s="2805"/>
      <c r="EMC75" s="2805"/>
      <c r="EMD75" s="2805"/>
      <c r="EME75" s="2805"/>
      <c r="EMF75" s="2805"/>
      <c r="EMG75" s="2805"/>
      <c r="EMH75" s="2805"/>
      <c r="EMI75" s="2805"/>
      <c r="EMJ75" s="2805"/>
      <c r="EMK75" s="2805"/>
      <c r="EML75" s="2805"/>
      <c r="EMM75" s="2805"/>
      <c r="EMN75" s="2805"/>
      <c r="EMO75" s="2805"/>
      <c r="EMP75" s="2805"/>
      <c r="EMQ75" s="2805"/>
      <c r="EMR75" s="2805"/>
      <c r="EMS75" s="2805"/>
      <c r="EMT75" s="2805"/>
      <c r="EMU75" s="2805"/>
      <c r="EMV75" s="2805"/>
      <c r="EMW75" s="2805"/>
      <c r="EMX75" s="2805"/>
      <c r="EMY75" s="2805"/>
      <c r="EMZ75" s="2805"/>
      <c r="ENA75" s="2805"/>
      <c r="ENB75" s="2805"/>
      <c r="ENC75" s="2805"/>
      <c r="END75" s="2805"/>
      <c r="ENE75" s="2805"/>
      <c r="ENF75" s="2805"/>
      <c r="ENG75" s="2805"/>
      <c r="ENH75" s="2805"/>
      <c r="ENI75" s="2805"/>
      <c r="ENJ75" s="2805"/>
      <c r="ENK75" s="2805"/>
      <c r="ENL75" s="2805"/>
      <c r="ENM75" s="2805"/>
      <c r="ENN75" s="2805"/>
      <c r="ENO75" s="2805"/>
      <c r="ENP75" s="2805"/>
      <c r="ENQ75" s="2805"/>
      <c r="ENR75" s="2805"/>
      <c r="ENS75" s="2805"/>
      <c r="ENT75" s="2805"/>
      <c r="ENU75" s="2805"/>
      <c r="ENV75" s="2805"/>
      <c r="ENW75" s="2805"/>
      <c r="ENX75" s="2805"/>
      <c r="ENY75" s="2805"/>
      <c r="ENZ75" s="2805"/>
      <c r="EOA75" s="2805"/>
      <c r="EOB75" s="2805"/>
      <c r="EOC75" s="2805"/>
      <c r="EOD75" s="2805"/>
      <c r="EOE75" s="2805"/>
      <c r="EOF75" s="2805"/>
      <c r="EOG75" s="2805"/>
      <c r="EOH75" s="2805"/>
      <c r="EOI75" s="2805"/>
      <c r="EOJ75" s="2805"/>
      <c r="EOK75" s="2805"/>
      <c r="EOL75" s="2805"/>
      <c r="EOM75" s="2805"/>
      <c r="EON75" s="2805"/>
      <c r="EOO75" s="2805"/>
      <c r="EOP75" s="2805"/>
      <c r="EOQ75" s="2805"/>
      <c r="EOR75" s="2805"/>
      <c r="EOS75" s="2805"/>
      <c r="EOT75" s="2805"/>
      <c r="EOU75" s="2805"/>
      <c r="EOV75" s="2805"/>
      <c r="EOW75" s="2805"/>
      <c r="EOX75" s="2805"/>
      <c r="EOY75" s="2805"/>
      <c r="EOZ75" s="2805"/>
      <c r="EPA75" s="2805"/>
      <c r="EPB75" s="2805"/>
      <c r="EPC75" s="2805"/>
      <c r="EPD75" s="2805"/>
      <c r="EPE75" s="2805"/>
      <c r="EPF75" s="2805"/>
      <c r="EPG75" s="2805"/>
      <c r="EPH75" s="2805"/>
      <c r="EPI75" s="2805"/>
      <c r="EPJ75" s="2805"/>
      <c r="EPK75" s="2805"/>
      <c r="EPL75" s="2805"/>
      <c r="EPM75" s="2805"/>
      <c r="EPN75" s="2805"/>
      <c r="EPO75" s="2805"/>
      <c r="EPP75" s="2805"/>
      <c r="EPQ75" s="2805"/>
      <c r="EPR75" s="2805"/>
      <c r="EPS75" s="2805"/>
      <c r="EPT75" s="2805"/>
      <c r="EPU75" s="2805"/>
      <c r="EPV75" s="2805"/>
      <c r="EPW75" s="2805"/>
      <c r="EPX75" s="2805"/>
      <c r="EPY75" s="2805"/>
      <c r="EPZ75" s="2805"/>
      <c r="EQA75" s="2805"/>
      <c r="EQB75" s="2805"/>
      <c r="EQC75" s="2805"/>
      <c r="EQD75" s="2805"/>
      <c r="EQE75" s="2805"/>
      <c r="EQF75" s="2805"/>
      <c r="EQG75" s="2805"/>
      <c r="EQH75" s="2805"/>
      <c r="EQI75" s="2805"/>
      <c r="EQJ75" s="2805"/>
      <c r="EQK75" s="2805"/>
      <c r="EQL75" s="2805"/>
      <c r="EQM75" s="2805"/>
      <c r="EQN75" s="2805"/>
      <c r="EQO75" s="2805"/>
      <c r="EQP75" s="2805"/>
      <c r="EQQ75" s="2805"/>
      <c r="EQR75" s="2805"/>
      <c r="EQS75" s="2805"/>
      <c r="EQT75" s="2805"/>
      <c r="EQU75" s="2805"/>
      <c r="EQV75" s="2805"/>
      <c r="EQW75" s="2805"/>
      <c r="EQX75" s="2805"/>
      <c r="EQY75" s="2805"/>
      <c r="EQZ75" s="2805"/>
      <c r="ERA75" s="2805"/>
      <c r="ERB75" s="2805"/>
      <c r="ERC75" s="2805"/>
      <c r="ERD75" s="2805"/>
      <c r="ERE75" s="2805"/>
      <c r="ERF75" s="2805"/>
      <c r="ERG75" s="2805"/>
      <c r="ERH75" s="2805"/>
      <c r="ERI75" s="2805"/>
      <c r="ERJ75" s="2805"/>
      <c r="ERK75" s="2805"/>
      <c r="ERL75" s="2805"/>
      <c r="ERM75" s="2805"/>
      <c r="ERN75" s="2805"/>
      <c r="ERO75" s="2805"/>
      <c r="ERP75" s="2805"/>
      <c r="ERQ75" s="2805"/>
      <c r="ERR75" s="2805"/>
      <c r="ERS75" s="2805"/>
      <c r="ERT75" s="2805"/>
      <c r="ERU75" s="2805"/>
      <c r="ERV75" s="2805"/>
      <c r="ERW75" s="2805"/>
      <c r="ERX75" s="2805"/>
      <c r="ERY75" s="2805"/>
      <c r="ERZ75" s="2805"/>
      <c r="ESA75" s="2805"/>
      <c r="ESB75" s="2805"/>
      <c r="ESC75" s="2805"/>
      <c r="ESD75" s="2805"/>
      <c r="ESE75" s="2805"/>
      <c r="ESF75" s="2805"/>
      <c r="ESG75" s="2805"/>
      <c r="ESH75" s="2805"/>
      <c r="ESI75" s="2805"/>
      <c r="ESJ75" s="2805"/>
      <c r="ESK75" s="2805"/>
      <c r="ESL75" s="2805"/>
      <c r="ESM75" s="2805"/>
      <c r="ESN75" s="2805"/>
      <c r="ESO75" s="2805"/>
      <c r="ESP75" s="2805"/>
      <c r="ESQ75" s="2805"/>
      <c r="ESR75" s="2805"/>
      <c r="ESS75" s="2805"/>
      <c r="EST75" s="2805"/>
      <c r="ESU75" s="2805"/>
      <c r="ESV75" s="2805"/>
      <c r="ESW75" s="2805"/>
      <c r="ESX75" s="2805"/>
      <c r="ESY75" s="2805"/>
      <c r="ESZ75" s="2805"/>
      <c r="ETA75" s="2805"/>
      <c r="ETB75" s="2805"/>
      <c r="ETC75" s="2805"/>
      <c r="ETD75" s="2805"/>
      <c r="ETE75" s="2805"/>
      <c r="ETF75" s="2805"/>
      <c r="ETG75" s="2805"/>
      <c r="ETH75" s="2805"/>
      <c r="ETI75" s="2805"/>
      <c r="ETJ75" s="2805"/>
      <c r="ETK75" s="2805"/>
      <c r="ETL75" s="2805"/>
      <c r="ETM75" s="2805"/>
      <c r="ETN75" s="2805"/>
      <c r="ETO75" s="2805"/>
      <c r="ETP75" s="2805"/>
      <c r="ETQ75" s="2805"/>
      <c r="ETR75" s="2805"/>
      <c r="ETS75" s="2805"/>
      <c r="ETT75" s="2805"/>
      <c r="ETU75" s="2805"/>
      <c r="ETV75" s="2805"/>
      <c r="ETW75" s="2805"/>
      <c r="ETX75" s="2805"/>
      <c r="ETY75" s="2805"/>
      <c r="ETZ75" s="2805"/>
      <c r="EUA75" s="2805"/>
      <c r="EUB75" s="2805"/>
      <c r="EUC75" s="2805"/>
      <c r="EUD75" s="2805"/>
      <c r="EUE75" s="2805"/>
      <c r="EUF75" s="2805"/>
      <c r="EUG75" s="2805"/>
      <c r="EUH75" s="2805"/>
      <c r="EUI75" s="2805"/>
      <c r="EUJ75" s="2805"/>
      <c r="EUK75" s="2805"/>
      <c r="EUL75" s="2805"/>
      <c r="EUM75" s="2805"/>
      <c r="EUN75" s="2805"/>
      <c r="EUO75" s="2805"/>
      <c r="EUP75" s="2805"/>
      <c r="EUQ75" s="2805"/>
      <c r="EUR75" s="2805"/>
      <c r="EUS75" s="2805"/>
      <c r="EUT75" s="2805"/>
      <c r="EUU75" s="2805"/>
      <c r="EUV75" s="2805"/>
      <c r="EUW75" s="2805"/>
      <c r="EUX75" s="2805"/>
      <c r="EUY75" s="2805"/>
      <c r="EUZ75" s="2805"/>
      <c r="EVA75" s="2805"/>
      <c r="EVB75" s="2805"/>
      <c r="EVC75" s="2805"/>
      <c r="EVD75" s="2805"/>
      <c r="EVE75" s="2805"/>
      <c r="EVF75" s="2805"/>
      <c r="EVG75" s="2805"/>
      <c r="EVH75" s="2805"/>
      <c r="EVI75" s="2805"/>
      <c r="EVJ75" s="2805"/>
      <c r="EVK75" s="2805"/>
      <c r="EVL75" s="2805"/>
      <c r="EVM75" s="2805"/>
      <c r="EVN75" s="2805"/>
      <c r="EVO75" s="2805"/>
      <c r="EVP75" s="2805"/>
      <c r="EVQ75" s="2805"/>
      <c r="EVR75" s="2805"/>
      <c r="EVS75" s="2805"/>
      <c r="EVT75" s="2805"/>
      <c r="EVU75" s="2805"/>
      <c r="EVV75" s="2805"/>
      <c r="EVW75" s="2805"/>
      <c r="EVX75" s="2805"/>
      <c r="EVY75" s="2805"/>
      <c r="EVZ75" s="2805"/>
      <c r="EWA75" s="2805"/>
      <c r="EWB75" s="2805"/>
      <c r="EWC75" s="2805"/>
      <c r="EWD75" s="2805"/>
      <c r="EWE75" s="2805"/>
      <c r="EWF75" s="2805"/>
      <c r="EWG75" s="2805"/>
      <c r="EWH75" s="2805"/>
      <c r="EWI75" s="2805"/>
      <c r="EWJ75" s="2805"/>
      <c r="EWK75" s="2805"/>
      <c r="EWL75" s="2805"/>
      <c r="EWM75" s="2805"/>
      <c r="EWN75" s="2805"/>
      <c r="EWO75" s="2805"/>
      <c r="EWP75" s="2805"/>
      <c r="EWQ75" s="2805"/>
      <c r="EWR75" s="2805"/>
      <c r="EWS75" s="2805"/>
      <c r="EWT75" s="2805"/>
      <c r="EWU75" s="2805"/>
      <c r="EWV75" s="2805"/>
      <c r="EWW75" s="2805"/>
      <c r="EWX75" s="2805"/>
      <c r="EWY75" s="2805"/>
      <c r="EWZ75" s="2805"/>
      <c r="EXA75" s="2805"/>
      <c r="EXB75" s="2805"/>
      <c r="EXC75" s="2805"/>
      <c r="EXD75" s="2805"/>
      <c r="EXE75" s="2805"/>
      <c r="EXF75" s="2805"/>
      <c r="EXG75" s="2805"/>
      <c r="EXH75" s="2805"/>
      <c r="EXI75" s="2805"/>
      <c r="EXJ75" s="2805"/>
      <c r="EXK75" s="2805"/>
      <c r="EXL75" s="2805"/>
      <c r="EXM75" s="2805"/>
      <c r="EXN75" s="2805"/>
      <c r="EXO75" s="2805"/>
      <c r="EXP75" s="2805"/>
      <c r="EXQ75" s="2805"/>
      <c r="EXR75" s="2805"/>
      <c r="EXS75" s="2805"/>
      <c r="EXT75" s="2805"/>
      <c r="EXU75" s="2805"/>
      <c r="EXV75" s="2805"/>
      <c r="EXW75" s="2805"/>
      <c r="EXX75" s="2805"/>
      <c r="EXY75" s="2805"/>
      <c r="EXZ75" s="2805"/>
      <c r="EYA75" s="2805"/>
      <c r="EYB75" s="2805"/>
      <c r="EYC75" s="2805"/>
      <c r="EYD75" s="2805"/>
      <c r="EYE75" s="2805"/>
      <c r="EYF75" s="2805"/>
      <c r="EYG75" s="2805"/>
      <c r="EYH75" s="2805"/>
      <c r="EYI75" s="2805"/>
      <c r="EYJ75" s="2805"/>
      <c r="EYK75" s="2805"/>
      <c r="EYL75" s="2805"/>
      <c r="EYM75" s="2805"/>
      <c r="EYN75" s="2805"/>
      <c r="EYO75" s="2805"/>
      <c r="EYP75" s="2805"/>
      <c r="EYQ75" s="2805"/>
      <c r="EYR75" s="2805"/>
      <c r="EYS75" s="2805"/>
      <c r="EYT75" s="2805"/>
      <c r="EYU75" s="2805"/>
      <c r="EYV75" s="2805"/>
      <c r="EYW75" s="2805"/>
      <c r="EYX75" s="2805"/>
      <c r="EYY75" s="2805"/>
      <c r="EYZ75" s="2805"/>
      <c r="EZA75" s="2805"/>
      <c r="EZB75" s="2805"/>
      <c r="EZC75" s="2805"/>
      <c r="EZD75" s="2805"/>
      <c r="EZE75" s="2805"/>
      <c r="EZF75" s="2805"/>
      <c r="EZG75" s="2805"/>
      <c r="EZH75" s="2805"/>
      <c r="EZI75" s="2805"/>
      <c r="EZJ75" s="2805"/>
      <c r="EZK75" s="2805"/>
      <c r="EZL75" s="2805"/>
      <c r="EZM75" s="2805"/>
      <c r="EZN75" s="2805"/>
      <c r="EZO75" s="2805"/>
      <c r="EZP75" s="2805"/>
      <c r="EZQ75" s="2805"/>
      <c r="EZR75" s="2805"/>
      <c r="EZS75" s="2805"/>
      <c r="EZT75" s="2805"/>
      <c r="EZU75" s="2805"/>
      <c r="EZV75" s="2805"/>
      <c r="EZW75" s="2805"/>
      <c r="EZX75" s="2805"/>
      <c r="EZY75" s="2805"/>
      <c r="EZZ75" s="2805"/>
      <c r="FAA75" s="2805"/>
      <c r="FAB75" s="2805"/>
      <c r="FAC75" s="2805"/>
      <c r="FAD75" s="2805"/>
      <c r="FAE75" s="2805"/>
      <c r="FAF75" s="2805"/>
      <c r="FAG75" s="2805"/>
      <c r="FAH75" s="2805"/>
      <c r="FAI75" s="2805"/>
      <c r="FAJ75" s="2805"/>
      <c r="FAK75" s="2805"/>
      <c r="FAL75" s="2805"/>
      <c r="FAM75" s="2805"/>
      <c r="FAN75" s="2805"/>
      <c r="FAO75" s="2805"/>
      <c r="FAP75" s="2805"/>
      <c r="FAQ75" s="2805"/>
      <c r="FAR75" s="2805"/>
      <c r="FAS75" s="2805"/>
      <c r="FAT75" s="2805"/>
      <c r="FAU75" s="2805"/>
      <c r="FAV75" s="2805"/>
      <c r="FAW75" s="2805"/>
      <c r="FAX75" s="2805"/>
      <c r="FAY75" s="2805"/>
      <c r="FAZ75" s="2805"/>
      <c r="FBA75" s="2805"/>
      <c r="FBB75" s="2805"/>
      <c r="FBC75" s="2805"/>
      <c r="FBD75" s="2805"/>
      <c r="FBE75" s="2805"/>
      <c r="FBF75" s="2805"/>
      <c r="FBG75" s="2805"/>
      <c r="FBH75" s="2805"/>
      <c r="FBI75" s="2805"/>
      <c r="FBJ75" s="2805"/>
      <c r="FBK75" s="2805"/>
      <c r="FBL75" s="2805"/>
      <c r="FBM75" s="2805"/>
      <c r="FBN75" s="2805"/>
      <c r="FBO75" s="2805"/>
      <c r="FBP75" s="2805"/>
      <c r="FBQ75" s="2805"/>
      <c r="FBR75" s="2805"/>
      <c r="FBS75" s="2805"/>
      <c r="FBT75" s="2805"/>
      <c r="FBU75" s="2805"/>
      <c r="FBV75" s="2805"/>
      <c r="FBW75" s="2805"/>
      <c r="FBX75" s="2805"/>
      <c r="FBY75" s="2805"/>
      <c r="FBZ75" s="2805"/>
      <c r="FCA75" s="2805"/>
      <c r="FCB75" s="2805"/>
      <c r="FCC75" s="2805"/>
      <c r="FCD75" s="2805"/>
      <c r="FCE75" s="2805"/>
      <c r="FCF75" s="2805"/>
      <c r="FCG75" s="2805"/>
      <c r="FCH75" s="2805"/>
      <c r="FCI75" s="2805"/>
      <c r="FCJ75" s="2805"/>
      <c r="FCK75" s="2805"/>
      <c r="FCL75" s="2805"/>
      <c r="FCM75" s="2805"/>
      <c r="FCN75" s="2805"/>
      <c r="FCO75" s="2805"/>
      <c r="FCP75" s="2805"/>
      <c r="FCQ75" s="2805"/>
      <c r="FCR75" s="2805"/>
      <c r="FCS75" s="2805"/>
      <c r="FCT75" s="2805"/>
      <c r="FCU75" s="2805"/>
      <c r="FCV75" s="2805"/>
      <c r="FCW75" s="2805"/>
      <c r="FCX75" s="2805"/>
      <c r="FCY75" s="2805"/>
      <c r="FCZ75" s="2805"/>
      <c r="FDA75" s="2805"/>
      <c r="FDB75" s="2805"/>
      <c r="FDC75" s="2805"/>
      <c r="FDD75" s="2805"/>
      <c r="FDE75" s="2805"/>
      <c r="FDF75" s="2805"/>
      <c r="FDG75" s="2805"/>
      <c r="FDH75" s="2805"/>
      <c r="FDI75" s="2805"/>
      <c r="FDJ75" s="2805"/>
      <c r="FDK75" s="2805"/>
      <c r="FDL75" s="2805"/>
      <c r="FDM75" s="2805"/>
      <c r="FDN75" s="2805"/>
      <c r="FDO75" s="2805"/>
      <c r="FDP75" s="2805"/>
      <c r="FDQ75" s="2805"/>
      <c r="FDR75" s="2805"/>
      <c r="FDS75" s="2805"/>
      <c r="FDT75" s="2805"/>
      <c r="FDU75" s="2805"/>
      <c r="FDV75" s="2805"/>
      <c r="FDW75" s="2805"/>
      <c r="FDX75" s="2805"/>
      <c r="FDY75" s="2805"/>
      <c r="FDZ75" s="2805"/>
      <c r="FEA75" s="2805"/>
      <c r="FEB75" s="2805"/>
      <c r="FEC75" s="2805"/>
      <c r="FED75" s="2805"/>
      <c r="FEE75" s="2805"/>
      <c r="FEF75" s="2805"/>
      <c r="FEG75" s="2805"/>
      <c r="FEH75" s="2805"/>
      <c r="FEI75" s="2805"/>
      <c r="FEJ75" s="2805"/>
      <c r="FEK75" s="2805"/>
      <c r="FEL75" s="2805"/>
      <c r="FEM75" s="2805"/>
      <c r="FEN75" s="2805"/>
      <c r="FEO75" s="2805"/>
      <c r="FEP75" s="2805"/>
      <c r="FEQ75" s="2805"/>
      <c r="FER75" s="2805"/>
      <c r="FES75" s="2805"/>
      <c r="FET75" s="2805"/>
      <c r="FEU75" s="2805"/>
      <c r="FEV75" s="2805"/>
      <c r="FEW75" s="2805"/>
      <c r="FEX75" s="2805"/>
      <c r="FEY75" s="2805"/>
      <c r="FEZ75" s="2805"/>
      <c r="FFA75" s="2805"/>
      <c r="FFB75" s="2805"/>
      <c r="FFC75" s="2805"/>
      <c r="FFD75" s="2805"/>
      <c r="FFE75" s="2805"/>
      <c r="FFF75" s="2805"/>
      <c r="FFG75" s="2805"/>
      <c r="FFH75" s="2805"/>
      <c r="FFI75" s="2805"/>
      <c r="FFJ75" s="2805"/>
      <c r="FFK75" s="2805"/>
      <c r="FFL75" s="2805"/>
      <c r="FFM75" s="2805"/>
      <c r="FFN75" s="2805"/>
      <c r="FFO75" s="2805"/>
      <c r="FFP75" s="2805"/>
      <c r="FFQ75" s="2805"/>
      <c r="FFR75" s="2805"/>
      <c r="FFS75" s="2805"/>
      <c r="FFT75" s="2805"/>
      <c r="FFU75" s="2805"/>
      <c r="FFV75" s="2805"/>
      <c r="FFW75" s="2805"/>
      <c r="FFX75" s="2805"/>
      <c r="FFY75" s="2805"/>
      <c r="FFZ75" s="2805"/>
      <c r="FGA75" s="2805"/>
      <c r="FGB75" s="2805"/>
      <c r="FGC75" s="2805"/>
      <c r="FGD75" s="2805"/>
      <c r="FGE75" s="2805"/>
      <c r="FGF75" s="2805"/>
      <c r="FGG75" s="2805"/>
      <c r="FGH75" s="2805"/>
      <c r="FGI75" s="2805"/>
      <c r="FGJ75" s="2805"/>
      <c r="FGK75" s="2805"/>
      <c r="FGL75" s="2805"/>
      <c r="FGM75" s="2805"/>
      <c r="FGN75" s="2805"/>
      <c r="FGO75" s="2805"/>
      <c r="FGP75" s="2805"/>
      <c r="FGQ75" s="2805"/>
      <c r="FGR75" s="2805"/>
      <c r="FGS75" s="2805"/>
      <c r="FGT75" s="2805"/>
      <c r="FGU75" s="2805"/>
      <c r="FGV75" s="2805"/>
      <c r="FGW75" s="2805"/>
      <c r="FGX75" s="2805"/>
      <c r="FGY75" s="2805"/>
      <c r="FGZ75" s="2805"/>
      <c r="FHA75" s="2805"/>
      <c r="FHB75" s="2805"/>
      <c r="FHC75" s="2805"/>
      <c r="FHD75" s="2805"/>
      <c r="FHE75" s="2805"/>
      <c r="FHF75" s="2805"/>
      <c r="FHG75" s="2805"/>
      <c r="FHH75" s="2805"/>
      <c r="FHI75" s="2805"/>
      <c r="FHJ75" s="2805"/>
      <c r="FHK75" s="2805"/>
      <c r="FHL75" s="2805"/>
      <c r="FHM75" s="2805"/>
      <c r="FHN75" s="2805"/>
      <c r="FHO75" s="2805"/>
      <c r="FHP75" s="2805"/>
      <c r="FHQ75" s="2805"/>
      <c r="FHR75" s="2805"/>
      <c r="FHS75" s="2805"/>
      <c r="FHT75" s="2805"/>
      <c r="FHU75" s="2805"/>
      <c r="FHV75" s="2805"/>
      <c r="FHW75" s="2805"/>
      <c r="FHX75" s="2805"/>
      <c r="FHY75" s="2805"/>
      <c r="FHZ75" s="2805"/>
      <c r="FIA75" s="2805"/>
      <c r="FIB75" s="2805"/>
      <c r="FIC75" s="2805"/>
      <c r="FID75" s="2805"/>
      <c r="FIE75" s="2805"/>
      <c r="FIF75" s="2805"/>
      <c r="FIG75" s="2805"/>
      <c r="FIH75" s="2805"/>
      <c r="FII75" s="2805"/>
      <c r="FIJ75" s="2805"/>
      <c r="FIK75" s="2805"/>
      <c r="FIL75" s="2805"/>
      <c r="FIM75" s="2805"/>
      <c r="FIN75" s="2805"/>
      <c r="FIO75" s="2805"/>
      <c r="FIP75" s="2805"/>
      <c r="FIQ75" s="2805"/>
      <c r="FIR75" s="2805"/>
      <c r="FIS75" s="2805"/>
      <c r="FIT75" s="2805"/>
      <c r="FIU75" s="2805"/>
      <c r="FIV75" s="2805"/>
      <c r="FIW75" s="2805"/>
      <c r="FIX75" s="2805"/>
      <c r="FIY75" s="2805"/>
      <c r="FIZ75" s="2805"/>
      <c r="FJA75" s="2805"/>
      <c r="FJB75" s="2805"/>
      <c r="FJC75" s="2805"/>
      <c r="FJD75" s="2805"/>
      <c r="FJE75" s="2805"/>
      <c r="FJF75" s="2805"/>
      <c r="FJG75" s="2805"/>
      <c r="FJH75" s="2805"/>
      <c r="FJI75" s="2805"/>
      <c r="FJJ75" s="2805"/>
      <c r="FJK75" s="2805"/>
      <c r="FJL75" s="2805"/>
      <c r="FJM75" s="2805"/>
      <c r="FJN75" s="2805"/>
      <c r="FJO75" s="2805"/>
      <c r="FJP75" s="2805"/>
      <c r="FJQ75" s="2805"/>
      <c r="FJR75" s="2805"/>
      <c r="FJS75" s="2805"/>
      <c r="FJT75" s="2805"/>
      <c r="FJU75" s="2805"/>
      <c r="FJV75" s="2805"/>
      <c r="FJW75" s="2805"/>
      <c r="FJX75" s="2805"/>
      <c r="FJY75" s="2805"/>
      <c r="FJZ75" s="2805"/>
      <c r="FKA75" s="2805"/>
      <c r="FKB75" s="2805"/>
      <c r="FKC75" s="2805"/>
      <c r="FKD75" s="2805"/>
      <c r="FKE75" s="2805"/>
      <c r="FKF75" s="2805"/>
      <c r="FKG75" s="2805"/>
      <c r="FKH75" s="2805"/>
      <c r="FKI75" s="2805"/>
      <c r="FKJ75" s="2805"/>
      <c r="FKK75" s="2805"/>
      <c r="FKL75" s="2805"/>
      <c r="FKM75" s="2805"/>
      <c r="FKN75" s="2805"/>
      <c r="FKO75" s="2805"/>
      <c r="FKP75" s="2805"/>
      <c r="FKQ75" s="2805"/>
      <c r="FKR75" s="2805"/>
      <c r="FKS75" s="2805"/>
      <c r="FKT75" s="2805"/>
      <c r="FKU75" s="2805"/>
      <c r="FKV75" s="2805"/>
      <c r="FKW75" s="2805"/>
      <c r="FKX75" s="2805"/>
      <c r="FKY75" s="2805"/>
      <c r="FKZ75" s="2805"/>
      <c r="FLA75" s="2805"/>
      <c r="FLB75" s="2805"/>
      <c r="FLC75" s="2805"/>
      <c r="FLD75" s="2805"/>
      <c r="FLE75" s="2805"/>
      <c r="FLF75" s="2805"/>
      <c r="FLG75" s="2805"/>
      <c r="FLH75" s="2805"/>
      <c r="FLI75" s="2805"/>
      <c r="FLJ75" s="2805"/>
      <c r="FLK75" s="2805"/>
      <c r="FLL75" s="2805"/>
      <c r="FLM75" s="2805"/>
      <c r="FLN75" s="2805"/>
      <c r="FLO75" s="2805"/>
      <c r="FLP75" s="2805"/>
      <c r="FLQ75" s="2805"/>
      <c r="FLR75" s="2805"/>
      <c r="FLS75" s="2805"/>
      <c r="FLT75" s="2805"/>
      <c r="FLU75" s="2805"/>
      <c r="FLV75" s="2805"/>
      <c r="FLW75" s="2805"/>
      <c r="FLX75" s="2805"/>
      <c r="FLY75" s="2805"/>
      <c r="FLZ75" s="2805"/>
      <c r="FMA75" s="2805"/>
      <c r="FMB75" s="2805"/>
      <c r="FMC75" s="2805"/>
      <c r="FMD75" s="2805"/>
      <c r="FME75" s="2805"/>
      <c r="FMF75" s="2805"/>
      <c r="FMG75" s="2805"/>
      <c r="FMH75" s="2805"/>
      <c r="FMI75" s="2805"/>
      <c r="FMJ75" s="2805"/>
      <c r="FMK75" s="2805"/>
      <c r="FML75" s="2805"/>
      <c r="FMM75" s="2805"/>
      <c r="FMN75" s="2805"/>
      <c r="FMO75" s="2805"/>
      <c r="FMP75" s="2805"/>
      <c r="FMQ75" s="2805"/>
      <c r="FMR75" s="2805"/>
      <c r="FMS75" s="2805"/>
      <c r="FMT75" s="2805"/>
      <c r="FMU75" s="2805"/>
      <c r="FMV75" s="2805"/>
      <c r="FMW75" s="2805"/>
      <c r="FMX75" s="2805"/>
      <c r="FMY75" s="2805"/>
      <c r="FMZ75" s="2805"/>
      <c r="FNA75" s="2805"/>
      <c r="FNB75" s="2805"/>
      <c r="FNC75" s="2805"/>
      <c r="FND75" s="2805"/>
      <c r="FNE75" s="2805"/>
      <c r="FNF75" s="2805"/>
      <c r="FNG75" s="2805"/>
      <c r="FNH75" s="2805"/>
      <c r="FNI75" s="2805"/>
      <c r="FNJ75" s="2805"/>
      <c r="FNK75" s="2805"/>
      <c r="FNL75" s="2805"/>
      <c r="FNM75" s="2805"/>
      <c r="FNN75" s="2805"/>
      <c r="FNO75" s="2805"/>
      <c r="FNP75" s="2805"/>
      <c r="FNQ75" s="2805"/>
      <c r="FNR75" s="2805"/>
      <c r="FNS75" s="2805"/>
      <c r="FNT75" s="2805"/>
      <c r="FNU75" s="2805"/>
      <c r="FNV75" s="2805"/>
      <c r="FNW75" s="2805"/>
      <c r="FNX75" s="2805"/>
      <c r="FNY75" s="2805"/>
      <c r="FNZ75" s="2805"/>
      <c r="FOA75" s="2805"/>
      <c r="FOB75" s="2805"/>
      <c r="FOC75" s="2805"/>
      <c r="FOD75" s="2805"/>
      <c r="FOE75" s="2805"/>
      <c r="FOF75" s="2805"/>
      <c r="FOG75" s="2805"/>
      <c r="FOH75" s="2805"/>
      <c r="FOI75" s="2805"/>
      <c r="FOJ75" s="2805"/>
      <c r="FOK75" s="2805"/>
      <c r="FOL75" s="2805"/>
      <c r="FOM75" s="2805"/>
      <c r="FON75" s="2805"/>
      <c r="FOO75" s="2805"/>
      <c r="FOP75" s="2805"/>
      <c r="FOQ75" s="2805"/>
      <c r="FOR75" s="2805"/>
      <c r="FOS75" s="2805"/>
      <c r="FOT75" s="2805"/>
      <c r="FOU75" s="2805"/>
      <c r="FOV75" s="2805"/>
      <c r="FOW75" s="2805"/>
      <c r="FOX75" s="2805"/>
      <c r="FOY75" s="2805"/>
      <c r="FOZ75" s="2805"/>
      <c r="FPA75" s="2805"/>
      <c r="FPB75" s="2805"/>
      <c r="FPC75" s="2805"/>
      <c r="FPD75" s="2805"/>
      <c r="FPE75" s="2805"/>
      <c r="FPF75" s="2805"/>
      <c r="FPG75" s="2805"/>
      <c r="FPH75" s="2805"/>
      <c r="FPI75" s="2805"/>
      <c r="FPJ75" s="2805"/>
      <c r="FPK75" s="2805"/>
      <c r="FPL75" s="2805"/>
      <c r="FPM75" s="2805"/>
      <c r="FPN75" s="2805"/>
      <c r="FPO75" s="2805"/>
      <c r="FPP75" s="2805"/>
      <c r="FPQ75" s="2805"/>
      <c r="FPR75" s="2805"/>
      <c r="FPS75" s="2805"/>
      <c r="FPT75" s="2805"/>
      <c r="FPU75" s="2805"/>
      <c r="FPV75" s="2805"/>
      <c r="FPW75" s="2805"/>
      <c r="FPX75" s="2805"/>
      <c r="FPY75" s="2805"/>
      <c r="FPZ75" s="2805"/>
      <c r="FQA75" s="2805"/>
      <c r="FQB75" s="2805"/>
      <c r="FQC75" s="2805"/>
      <c r="FQD75" s="2805"/>
      <c r="FQE75" s="2805"/>
      <c r="FQF75" s="2805"/>
      <c r="FQG75" s="2805"/>
      <c r="FQH75" s="2805"/>
      <c r="FQI75" s="2805"/>
      <c r="FQJ75" s="2805"/>
      <c r="FQK75" s="2805"/>
      <c r="FQL75" s="2805"/>
      <c r="FQM75" s="2805"/>
      <c r="FQN75" s="2805"/>
      <c r="FQO75" s="2805"/>
      <c r="FQP75" s="2805"/>
      <c r="FQQ75" s="2805"/>
      <c r="FQR75" s="2805"/>
      <c r="FQS75" s="2805"/>
      <c r="FQT75" s="2805"/>
      <c r="FQU75" s="2805"/>
      <c r="FQV75" s="2805"/>
      <c r="FQW75" s="2805"/>
      <c r="FQX75" s="2805"/>
      <c r="FQY75" s="2805"/>
      <c r="FQZ75" s="2805"/>
      <c r="FRA75" s="2805"/>
      <c r="FRB75" s="2805"/>
      <c r="FRC75" s="2805"/>
      <c r="FRD75" s="2805"/>
      <c r="FRE75" s="2805"/>
      <c r="FRF75" s="2805"/>
      <c r="FRG75" s="2805"/>
      <c r="FRH75" s="2805"/>
      <c r="FRI75" s="2805"/>
      <c r="FRJ75" s="2805"/>
      <c r="FRK75" s="2805"/>
      <c r="FRL75" s="2805"/>
      <c r="FRM75" s="2805"/>
      <c r="FRN75" s="2805"/>
      <c r="FRO75" s="2805"/>
      <c r="FRP75" s="2805"/>
      <c r="FRQ75" s="2805"/>
      <c r="FRR75" s="2805"/>
      <c r="FRS75" s="2805"/>
      <c r="FRT75" s="2805"/>
      <c r="FRU75" s="2805"/>
      <c r="FRV75" s="2805"/>
      <c r="FRW75" s="2805"/>
      <c r="FRX75" s="2805"/>
      <c r="FRY75" s="2805"/>
      <c r="FRZ75" s="2805"/>
      <c r="FSA75" s="2805"/>
      <c r="FSB75" s="2805"/>
      <c r="FSC75" s="2805"/>
      <c r="FSD75" s="2805"/>
      <c r="FSE75" s="2805"/>
      <c r="FSF75" s="2805"/>
      <c r="FSG75" s="2805"/>
      <c r="FSH75" s="2805"/>
      <c r="FSI75" s="2805"/>
      <c r="FSJ75" s="2805"/>
      <c r="FSK75" s="2805"/>
      <c r="FSL75" s="2805"/>
      <c r="FSM75" s="2805"/>
      <c r="FSN75" s="2805"/>
      <c r="FSO75" s="2805"/>
      <c r="FSP75" s="2805"/>
      <c r="FSQ75" s="2805"/>
      <c r="FSR75" s="2805"/>
      <c r="FSS75" s="2805"/>
      <c r="FST75" s="2805"/>
      <c r="FSU75" s="2805"/>
      <c r="FSV75" s="2805"/>
      <c r="FSW75" s="2805"/>
      <c r="FSX75" s="2805"/>
      <c r="FSY75" s="2805"/>
      <c r="FSZ75" s="2805"/>
      <c r="FTA75" s="2805"/>
      <c r="FTB75" s="2805"/>
      <c r="FTC75" s="2805"/>
      <c r="FTD75" s="2805"/>
      <c r="FTE75" s="2805"/>
      <c r="FTF75" s="2805"/>
      <c r="FTG75" s="2805"/>
      <c r="FTH75" s="2805"/>
      <c r="FTI75" s="2805"/>
      <c r="FTJ75" s="2805"/>
      <c r="FTK75" s="2805"/>
      <c r="FTL75" s="2805"/>
      <c r="FTM75" s="2805"/>
      <c r="FTN75" s="2805"/>
      <c r="FTO75" s="2805"/>
      <c r="FTP75" s="2805"/>
      <c r="FTQ75" s="2805"/>
      <c r="FTR75" s="2805"/>
      <c r="FTS75" s="2805"/>
      <c r="FTT75" s="2805"/>
      <c r="FTU75" s="2805"/>
      <c r="FTV75" s="2805"/>
      <c r="FTW75" s="2805"/>
      <c r="FTX75" s="2805"/>
      <c r="FTY75" s="2805"/>
      <c r="FTZ75" s="2805"/>
      <c r="FUA75" s="2805"/>
      <c r="FUB75" s="2805"/>
      <c r="FUC75" s="2805"/>
      <c r="FUD75" s="2805"/>
      <c r="FUE75" s="2805"/>
      <c r="FUF75" s="2805"/>
      <c r="FUG75" s="2805"/>
      <c r="FUH75" s="2805"/>
      <c r="FUI75" s="2805"/>
      <c r="FUJ75" s="2805"/>
      <c r="FUK75" s="2805"/>
      <c r="FUL75" s="2805"/>
      <c r="FUM75" s="2805"/>
      <c r="FUN75" s="2805"/>
      <c r="FUO75" s="2805"/>
      <c r="FUP75" s="2805"/>
      <c r="FUQ75" s="2805"/>
      <c r="FUR75" s="2805"/>
      <c r="FUS75" s="2805"/>
      <c r="FUT75" s="2805"/>
      <c r="FUU75" s="2805"/>
      <c r="FUV75" s="2805"/>
      <c r="FUW75" s="2805"/>
      <c r="FUX75" s="2805"/>
      <c r="FUY75" s="2805"/>
      <c r="FUZ75" s="2805"/>
      <c r="FVA75" s="2805"/>
      <c r="FVB75" s="2805"/>
      <c r="FVC75" s="2805"/>
      <c r="FVD75" s="2805"/>
      <c r="FVE75" s="2805"/>
      <c r="FVF75" s="2805"/>
      <c r="FVG75" s="2805"/>
      <c r="FVH75" s="2805"/>
      <c r="FVI75" s="2805"/>
      <c r="FVJ75" s="2805"/>
      <c r="FVK75" s="2805"/>
      <c r="FVL75" s="2805"/>
      <c r="FVM75" s="2805"/>
      <c r="FVN75" s="2805"/>
      <c r="FVO75" s="2805"/>
      <c r="FVP75" s="2805"/>
      <c r="FVQ75" s="2805"/>
      <c r="FVR75" s="2805"/>
      <c r="FVS75" s="2805"/>
      <c r="FVT75" s="2805"/>
      <c r="FVU75" s="2805"/>
      <c r="FVV75" s="2805"/>
      <c r="FVW75" s="2805"/>
      <c r="FVX75" s="2805"/>
      <c r="FVY75" s="2805"/>
      <c r="FVZ75" s="2805"/>
      <c r="FWA75" s="2805"/>
      <c r="FWB75" s="2805"/>
      <c r="FWC75" s="2805"/>
      <c r="FWD75" s="2805"/>
      <c r="FWE75" s="2805"/>
      <c r="FWF75" s="2805"/>
      <c r="FWG75" s="2805"/>
      <c r="FWH75" s="2805"/>
      <c r="FWI75" s="2805"/>
      <c r="FWJ75" s="2805"/>
      <c r="FWK75" s="2805"/>
      <c r="FWL75" s="2805"/>
      <c r="FWM75" s="2805"/>
      <c r="FWN75" s="2805"/>
      <c r="FWO75" s="2805"/>
      <c r="FWP75" s="2805"/>
      <c r="FWQ75" s="2805"/>
      <c r="FWR75" s="2805"/>
      <c r="FWS75" s="2805"/>
      <c r="FWT75" s="2805"/>
      <c r="FWU75" s="2805"/>
      <c r="FWV75" s="2805"/>
      <c r="FWW75" s="2805"/>
      <c r="FWX75" s="2805"/>
      <c r="FWY75" s="2805"/>
      <c r="FWZ75" s="2805"/>
      <c r="FXA75" s="2805"/>
      <c r="FXB75" s="2805"/>
      <c r="FXC75" s="2805"/>
      <c r="FXD75" s="2805"/>
      <c r="FXE75" s="2805"/>
      <c r="FXF75" s="2805"/>
      <c r="FXG75" s="2805"/>
      <c r="FXH75" s="2805"/>
      <c r="FXI75" s="2805"/>
      <c r="FXJ75" s="2805"/>
      <c r="FXK75" s="2805"/>
      <c r="FXL75" s="2805"/>
      <c r="FXM75" s="2805"/>
      <c r="FXN75" s="2805"/>
      <c r="FXO75" s="2805"/>
      <c r="FXP75" s="2805"/>
      <c r="FXQ75" s="2805"/>
      <c r="FXR75" s="2805"/>
      <c r="FXS75" s="2805"/>
      <c r="FXT75" s="2805"/>
      <c r="FXU75" s="2805"/>
      <c r="FXV75" s="2805"/>
      <c r="FXW75" s="2805"/>
      <c r="FXX75" s="2805"/>
      <c r="FXY75" s="2805"/>
      <c r="FXZ75" s="2805"/>
      <c r="FYA75" s="2805"/>
      <c r="FYB75" s="2805"/>
      <c r="FYC75" s="2805"/>
      <c r="FYD75" s="2805"/>
      <c r="FYE75" s="2805"/>
      <c r="FYF75" s="2805"/>
      <c r="FYG75" s="2805"/>
      <c r="FYH75" s="2805"/>
      <c r="FYI75" s="2805"/>
      <c r="FYJ75" s="2805"/>
      <c r="FYK75" s="2805"/>
      <c r="FYL75" s="2805"/>
      <c r="FYM75" s="2805"/>
      <c r="FYN75" s="2805"/>
      <c r="FYO75" s="2805"/>
      <c r="FYP75" s="2805"/>
      <c r="FYQ75" s="2805"/>
      <c r="FYR75" s="2805"/>
      <c r="FYS75" s="2805"/>
      <c r="FYT75" s="2805"/>
      <c r="FYU75" s="2805"/>
      <c r="FYV75" s="2805"/>
      <c r="FYW75" s="2805"/>
      <c r="FYX75" s="2805"/>
      <c r="FYY75" s="2805"/>
      <c r="FYZ75" s="2805"/>
      <c r="FZA75" s="2805"/>
      <c r="FZB75" s="2805"/>
      <c r="FZC75" s="2805"/>
      <c r="FZD75" s="2805"/>
      <c r="FZE75" s="2805"/>
      <c r="FZF75" s="2805"/>
      <c r="FZG75" s="2805"/>
      <c r="FZH75" s="2805"/>
      <c r="FZI75" s="2805"/>
      <c r="FZJ75" s="2805"/>
      <c r="FZK75" s="2805"/>
      <c r="FZL75" s="2805"/>
      <c r="FZM75" s="2805"/>
      <c r="FZN75" s="2805"/>
      <c r="FZO75" s="2805"/>
      <c r="FZP75" s="2805"/>
      <c r="FZQ75" s="2805"/>
      <c r="FZR75" s="2805"/>
      <c r="FZS75" s="2805"/>
      <c r="FZT75" s="2805"/>
      <c r="FZU75" s="2805"/>
      <c r="FZV75" s="2805"/>
      <c r="FZW75" s="2805"/>
      <c r="FZX75" s="2805"/>
      <c r="FZY75" s="2805"/>
      <c r="FZZ75" s="2805"/>
      <c r="GAA75" s="2805"/>
      <c r="GAB75" s="2805"/>
      <c r="GAC75" s="2805"/>
      <c r="GAD75" s="2805"/>
      <c r="GAE75" s="2805"/>
      <c r="GAF75" s="2805"/>
      <c r="GAG75" s="2805"/>
      <c r="GAH75" s="2805"/>
      <c r="GAI75" s="2805"/>
      <c r="GAJ75" s="2805"/>
      <c r="GAK75" s="2805"/>
      <c r="GAL75" s="2805"/>
      <c r="GAM75" s="2805"/>
      <c r="GAN75" s="2805"/>
      <c r="GAO75" s="2805"/>
      <c r="GAP75" s="2805"/>
      <c r="GAQ75" s="2805"/>
      <c r="GAR75" s="2805"/>
      <c r="GAS75" s="2805"/>
      <c r="GAT75" s="2805"/>
      <c r="GAU75" s="2805"/>
      <c r="GAV75" s="2805"/>
      <c r="GAW75" s="2805"/>
      <c r="GAX75" s="2805"/>
      <c r="GAY75" s="2805"/>
      <c r="GAZ75" s="2805"/>
      <c r="GBA75" s="2805"/>
      <c r="GBB75" s="2805"/>
      <c r="GBC75" s="2805"/>
      <c r="GBD75" s="2805"/>
      <c r="GBE75" s="2805"/>
      <c r="GBF75" s="2805"/>
      <c r="GBG75" s="2805"/>
      <c r="GBH75" s="2805"/>
      <c r="GBI75" s="2805"/>
      <c r="GBJ75" s="2805"/>
      <c r="GBK75" s="2805"/>
      <c r="GBL75" s="2805"/>
      <c r="GBM75" s="2805"/>
      <c r="GBN75" s="2805"/>
      <c r="GBO75" s="2805"/>
      <c r="GBP75" s="2805"/>
      <c r="GBQ75" s="2805"/>
      <c r="GBR75" s="2805"/>
      <c r="GBS75" s="2805"/>
      <c r="GBT75" s="2805"/>
      <c r="GBU75" s="2805"/>
      <c r="GBV75" s="2805"/>
      <c r="GBW75" s="2805"/>
      <c r="GBX75" s="2805"/>
      <c r="GBY75" s="2805"/>
      <c r="GBZ75" s="2805"/>
      <c r="GCA75" s="2805"/>
      <c r="GCB75" s="2805"/>
      <c r="GCC75" s="2805"/>
      <c r="GCD75" s="2805"/>
      <c r="GCE75" s="2805"/>
      <c r="GCF75" s="2805"/>
      <c r="GCG75" s="2805"/>
      <c r="GCH75" s="2805"/>
      <c r="GCI75" s="2805"/>
      <c r="GCJ75" s="2805"/>
      <c r="GCK75" s="2805"/>
      <c r="GCL75" s="2805"/>
      <c r="GCM75" s="2805"/>
      <c r="GCN75" s="2805"/>
      <c r="GCO75" s="2805"/>
      <c r="GCP75" s="2805"/>
      <c r="GCQ75" s="2805"/>
      <c r="GCR75" s="2805"/>
      <c r="GCS75" s="2805"/>
      <c r="GCT75" s="2805"/>
      <c r="GCU75" s="2805"/>
      <c r="GCV75" s="2805"/>
      <c r="GCW75" s="2805"/>
      <c r="GCX75" s="2805"/>
      <c r="GCY75" s="2805"/>
      <c r="GCZ75" s="2805"/>
      <c r="GDA75" s="2805"/>
      <c r="GDB75" s="2805"/>
      <c r="GDC75" s="2805"/>
      <c r="GDD75" s="2805"/>
      <c r="GDE75" s="2805"/>
      <c r="GDF75" s="2805"/>
      <c r="GDG75" s="2805"/>
      <c r="GDH75" s="2805"/>
      <c r="GDI75" s="2805"/>
      <c r="GDJ75" s="2805"/>
      <c r="GDK75" s="2805"/>
      <c r="GDL75" s="2805"/>
      <c r="GDM75" s="2805"/>
      <c r="GDN75" s="2805"/>
      <c r="GDO75" s="2805"/>
      <c r="GDP75" s="2805"/>
      <c r="GDQ75" s="2805"/>
      <c r="GDR75" s="2805"/>
      <c r="GDS75" s="2805"/>
      <c r="GDT75" s="2805"/>
      <c r="GDU75" s="2805"/>
      <c r="GDV75" s="2805"/>
      <c r="GDW75" s="2805"/>
      <c r="GDX75" s="2805"/>
      <c r="GDY75" s="2805"/>
      <c r="GDZ75" s="2805"/>
      <c r="GEA75" s="2805"/>
      <c r="GEB75" s="2805"/>
      <c r="GEC75" s="2805"/>
      <c r="GED75" s="2805"/>
      <c r="GEE75" s="2805"/>
      <c r="GEF75" s="2805"/>
      <c r="GEG75" s="2805"/>
      <c r="GEH75" s="2805"/>
      <c r="GEI75" s="2805"/>
      <c r="GEJ75" s="2805"/>
      <c r="GEK75" s="2805"/>
      <c r="GEL75" s="2805"/>
      <c r="GEM75" s="2805"/>
      <c r="GEN75" s="2805"/>
      <c r="GEO75" s="2805"/>
      <c r="GEP75" s="2805"/>
      <c r="GEQ75" s="2805"/>
      <c r="GER75" s="2805"/>
      <c r="GES75" s="2805"/>
      <c r="GET75" s="2805"/>
      <c r="GEU75" s="2805"/>
      <c r="GEV75" s="2805"/>
      <c r="GEW75" s="2805"/>
      <c r="GEX75" s="2805"/>
      <c r="GEY75" s="2805"/>
      <c r="GEZ75" s="2805"/>
      <c r="GFA75" s="2805"/>
      <c r="GFB75" s="2805"/>
      <c r="GFC75" s="2805"/>
      <c r="GFD75" s="2805"/>
      <c r="GFE75" s="2805"/>
      <c r="GFF75" s="2805"/>
      <c r="GFG75" s="2805"/>
      <c r="GFH75" s="2805"/>
      <c r="GFI75" s="2805"/>
      <c r="GFJ75" s="2805"/>
      <c r="GFK75" s="2805"/>
      <c r="GFL75" s="2805"/>
      <c r="GFM75" s="2805"/>
      <c r="GFN75" s="2805"/>
      <c r="GFO75" s="2805"/>
      <c r="GFP75" s="2805"/>
      <c r="GFQ75" s="2805"/>
      <c r="GFR75" s="2805"/>
      <c r="GFS75" s="2805"/>
      <c r="GFT75" s="2805"/>
      <c r="GFU75" s="2805"/>
      <c r="GFV75" s="2805"/>
      <c r="GFW75" s="2805"/>
      <c r="GFX75" s="2805"/>
      <c r="GFY75" s="2805"/>
      <c r="GFZ75" s="2805"/>
      <c r="GGA75" s="2805"/>
      <c r="GGB75" s="2805"/>
      <c r="GGC75" s="2805"/>
      <c r="GGD75" s="2805"/>
      <c r="GGE75" s="2805"/>
      <c r="GGF75" s="2805"/>
      <c r="GGG75" s="2805"/>
      <c r="GGH75" s="2805"/>
      <c r="GGI75" s="2805"/>
      <c r="GGJ75" s="2805"/>
      <c r="GGK75" s="2805"/>
      <c r="GGL75" s="2805"/>
      <c r="GGM75" s="2805"/>
      <c r="GGN75" s="2805"/>
      <c r="GGO75" s="2805"/>
      <c r="GGP75" s="2805"/>
      <c r="GGQ75" s="2805"/>
      <c r="GGR75" s="2805"/>
      <c r="GGS75" s="2805"/>
      <c r="GGT75" s="2805"/>
      <c r="GGU75" s="2805"/>
      <c r="GGV75" s="2805"/>
      <c r="GGW75" s="2805"/>
      <c r="GGX75" s="2805"/>
      <c r="GGY75" s="2805"/>
      <c r="GGZ75" s="2805"/>
      <c r="GHA75" s="2805"/>
      <c r="GHB75" s="2805"/>
      <c r="GHC75" s="2805"/>
      <c r="GHD75" s="2805"/>
      <c r="GHE75" s="2805"/>
      <c r="GHF75" s="2805"/>
      <c r="GHG75" s="2805"/>
      <c r="GHH75" s="2805"/>
      <c r="GHI75" s="2805"/>
      <c r="GHJ75" s="2805"/>
      <c r="GHK75" s="2805"/>
      <c r="GHL75" s="2805"/>
      <c r="GHM75" s="2805"/>
      <c r="GHN75" s="2805"/>
      <c r="GHO75" s="2805"/>
      <c r="GHP75" s="2805"/>
      <c r="GHQ75" s="2805"/>
      <c r="GHR75" s="2805"/>
      <c r="GHS75" s="2805"/>
      <c r="GHT75" s="2805"/>
      <c r="GHU75" s="2805"/>
      <c r="GHV75" s="2805"/>
      <c r="GHW75" s="2805"/>
      <c r="GHX75" s="2805"/>
      <c r="GHY75" s="2805"/>
      <c r="GHZ75" s="2805"/>
      <c r="GIA75" s="2805"/>
      <c r="GIB75" s="2805"/>
      <c r="GIC75" s="2805"/>
      <c r="GID75" s="2805"/>
      <c r="GIE75" s="2805"/>
      <c r="GIF75" s="2805"/>
      <c r="GIG75" s="2805"/>
      <c r="GIH75" s="2805"/>
      <c r="GII75" s="2805"/>
      <c r="GIJ75" s="2805"/>
      <c r="GIK75" s="2805"/>
      <c r="GIL75" s="2805"/>
      <c r="GIM75" s="2805"/>
      <c r="GIN75" s="2805"/>
      <c r="GIO75" s="2805"/>
      <c r="GIP75" s="2805"/>
      <c r="GIQ75" s="2805"/>
      <c r="GIR75" s="2805"/>
      <c r="GIS75" s="2805"/>
      <c r="GIT75" s="2805"/>
      <c r="GIU75" s="2805"/>
      <c r="GIV75" s="2805"/>
      <c r="GIW75" s="2805"/>
      <c r="GIX75" s="2805"/>
      <c r="GIY75" s="2805"/>
      <c r="GIZ75" s="2805"/>
      <c r="GJA75" s="2805"/>
      <c r="GJB75" s="2805"/>
      <c r="GJC75" s="2805"/>
      <c r="GJD75" s="2805"/>
      <c r="GJE75" s="2805"/>
      <c r="GJF75" s="2805"/>
      <c r="GJG75" s="2805"/>
      <c r="GJH75" s="2805"/>
      <c r="GJI75" s="2805"/>
      <c r="GJJ75" s="2805"/>
      <c r="GJK75" s="2805"/>
      <c r="GJL75" s="2805"/>
      <c r="GJM75" s="2805"/>
      <c r="GJN75" s="2805"/>
      <c r="GJO75" s="2805"/>
      <c r="GJP75" s="2805"/>
      <c r="GJQ75" s="2805"/>
      <c r="GJR75" s="2805"/>
      <c r="GJS75" s="2805"/>
      <c r="GJT75" s="2805"/>
      <c r="GJU75" s="2805"/>
      <c r="GJV75" s="2805"/>
      <c r="GJW75" s="2805"/>
      <c r="GJX75" s="2805"/>
      <c r="GJY75" s="2805"/>
      <c r="GJZ75" s="2805"/>
      <c r="GKA75" s="2805"/>
      <c r="GKB75" s="2805"/>
      <c r="GKC75" s="2805"/>
      <c r="GKD75" s="2805"/>
      <c r="GKE75" s="2805"/>
      <c r="GKF75" s="2805"/>
      <c r="GKG75" s="2805"/>
      <c r="GKH75" s="2805"/>
      <c r="GKI75" s="2805"/>
      <c r="GKJ75" s="2805"/>
      <c r="GKK75" s="2805"/>
      <c r="GKL75" s="2805"/>
      <c r="GKM75" s="2805"/>
      <c r="GKN75" s="2805"/>
      <c r="GKO75" s="2805"/>
      <c r="GKP75" s="2805"/>
      <c r="GKQ75" s="2805"/>
      <c r="GKR75" s="2805"/>
      <c r="GKS75" s="2805"/>
      <c r="GKT75" s="2805"/>
      <c r="GKU75" s="2805"/>
      <c r="GKV75" s="2805"/>
      <c r="GKW75" s="2805"/>
      <c r="GKX75" s="2805"/>
      <c r="GKY75" s="2805"/>
      <c r="GKZ75" s="2805"/>
      <c r="GLA75" s="2805"/>
      <c r="GLB75" s="2805"/>
      <c r="GLC75" s="2805"/>
      <c r="GLD75" s="2805"/>
      <c r="GLE75" s="2805"/>
      <c r="GLF75" s="2805"/>
      <c r="GLG75" s="2805"/>
      <c r="GLH75" s="2805"/>
      <c r="GLI75" s="2805"/>
      <c r="GLJ75" s="2805"/>
      <c r="GLK75" s="2805"/>
      <c r="GLL75" s="2805"/>
      <c r="GLM75" s="2805"/>
      <c r="GLN75" s="2805"/>
      <c r="GLO75" s="2805"/>
      <c r="GLP75" s="2805"/>
      <c r="GLQ75" s="2805"/>
      <c r="GLR75" s="2805"/>
      <c r="GLS75" s="2805"/>
      <c r="GLT75" s="2805"/>
      <c r="GLU75" s="2805"/>
      <c r="GLV75" s="2805"/>
      <c r="GLW75" s="2805"/>
      <c r="GLX75" s="2805"/>
      <c r="GLY75" s="2805"/>
      <c r="GLZ75" s="2805"/>
      <c r="GMA75" s="2805"/>
      <c r="GMB75" s="2805"/>
      <c r="GMC75" s="2805"/>
      <c r="GMD75" s="2805"/>
      <c r="GME75" s="2805"/>
      <c r="GMF75" s="2805"/>
      <c r="GMG75" s="2805"/>
      <c r="GMH75" s="2805"/>
      <c r="GMI75" s="2805"/>
      <c r="GMJ75" s="2805"/>
      <c r="GMK75" s="2805"/>
      <c r="GML75" s="2805"/>
      <c r="GMM75" s="2805"/>
      <c r="GMN75" s="2805"/>
      <c r="GMO75" s="2805"/>
      <c r="GMP75" s="2805"/>
      <c r="GMQ75" s="2805"/>
      <c r="GMR75" s="2805"/>
      <c r="GMS75" s="2805"/>
      <c r="GMT75" s="2805"/>
      <c r="GMU75" s="2805"/>
      <c r="GMV75" s="2805"/>
      <c r="GMW75" s="2805"/>
      <c r="GMX75" s="2805"/>
      <c r="GMY75" s="2805"/>
      <c r="GMZ75" s="2805"/>
      <c r="GNA75" s="2805"/>
      <c r="GNB75" s="2805"/>
      <c r="GNC75" s="2805"/>
      <c r="GND75" s="2805"/>
      <c r="GNE75" s="2805"/>
      <c r="GNF75" s="2805"/>
      <c r="GNG75" s="2805"/>
      <c r="GNH75" s="2805"/>
      <c r="GNI75" s="2805"/>
      <c r="GNJ75" s="2805"/>
      <c r="GNK75" s="2805"/>
      <c r="GNL75" s="2805"/>
      <c r="GNM75" s="2805"/>
      <c r="GNN75" s="2805"/>
      <c r="GNO75" s="2805"/>
      <c r="GNP75" s="2805"/>
      <c r="GNQ75" s="2805"/>
      <c r="GNR75" s="2805"/>
      <c r="GNS75" s="2805"/>
      <c r="GNT75" s="2805"/>
      <c r="GNU75" s="2805"/>
      <c r="GNV75" s="2805"/>
      <c r="GNW75" s="2805"/>
      <c r="GNX75" s="2805"/>
      <c r="GNY75" s="2805"/>
      <c r="GNZ75" s="2805"/>
      <c r="GOA75" s="2805"/>
      <c r="GOB75" s="2805"/>
      <c r="GOC75" s="2805"/>
      <c r="GOD75" s="2805"/>
      <c r="GOE75" s="2805"/>
      <c r="GOF75" s="2805"/>
      <c r="GOG75" s="2805"/>
      <c r="GOH75" s="2805"/>
      <c r="GOI75" s="2805"/>
      <c r="GOJ75" s="2805"/>
      <c r="GOK75" s="2805"/>
      <c r="GOL75" s="2805"/>
      <c r="GOM75" s="2805"/>
      <c r="GON75" s="2805"/>
      <c r="GOO75" s="2805"/>
      <c r="GOP75" s="2805"/>
      <c r="GOQ75" s="2805"/>
      <c r="GOR75" s="2805"/>
      <c r="GOS75" s="2805"/>
      <c r="GOT75" s="2805"/>
      <c r="GOU75" s="2805"/>
      <c r="GOV75" s="2805"/>
      <c r="GOW75" s="2805"/>
      <c r="GOX75" s="2805"/>
      <c r="GOY75" s="2805"/>
      <c r="GOZ75" s="2805"/>
      <c r="GPA75" s="2805"/>
      <c r="GPB75" s="2805"/>
      <c r="GPC75" s="2805"/>
      <c r="GPD75" s="2805"/>
      <c r="GPE75" s="2805"/>
      <c r="GPF75" s="2805"/>
      <c r="GPG75" s="2805"/>
      <c r="GPH75" s="2805"/>
      <c r="GPI75" s="2805"/>
      <c r="GPJ75" s="2805"/>
      <c r="GPK75" s="2805"/>
      <c r="GPL75" s="2805"/>
      <c r="GPM75" s="2805"/>
      <c r="GPN75" s="2805"/>
      <c r="GPO75" s="2805"/>
      <c r="GPP75" s="2805"/>
      <c r="GPQ75" s="2805"/>
      <c r="GPR75" s="2805"/>
      <c r="GPS75" s="2805"/>
      <c r="GPT75" s="2805"/>
      <c r="GPU75" s="2805"/>
      <c r="GPV75" s="2805"/>
      <c r="GPW75" s="2805"/>
      <c r="GPX75" s="2805"/>
      <c r="GPY75" s="2805"/>
      <c r="GPZ75" s="2805"/>
      <c r="GQA75" s="2805"/>
      <c r="GQB75" s="2805"/>
      <c r="GQC75" s="2805"/>
      <c r="GQD75" s="2805"/>
      <c r="GQE75" s="2805"/>
      <c r="GQF75" s="2805"/>
      <c r="GQG75" s="2805"/>
      <c r="GQH75" s="2805"/>
      <c r="GQI75" s="2805"/>
      <c r="GQJ75" s="2805"/>
      <c r="GQK75" s="2805"/>
      <c r="GQL75" s="2805"/>
      <c r="GQM75" s="2805"/>
      <c r="GQN75" s="2805"/>
      <c r="GQO75" s="2805"/>
      <c r="GQP75" s="2805"/>
      <c r="GQQ75" s="2805"/>
      <c r="GQR75" s="2805"/>
      <c r="GQS75" s="2805"/>
      <c r="GQT75" s="2805"/>
      <c r="GQU75" s="2805"/>
      <c r="GQV75" s="2805"/>
      <c r="GQW75" s="2805"/>
      <c r="GQX75" s="2805"/>
      <c r="GQY75" s="2805"/>
      <c r="GQZ75" s="2805"/>
      <c r="GRA75" s="2805"/>
      <c r="GRB75" s="2805"/>
      <c r="GRC75" s="2805"/>
      <c r="GRD75" s="2805"/>
      <c r="GRE75" s="2805"/>
      <c r="GRF75" s="2805"/>
      <c r="GRG75" s="2805"/>
      <c r="GRH75" s="2805"/>
      <c r="GRI75" s="2805"/>
      <c r="GRJ75" s="2805"/>
      <c r="GRK75" s="2805"/>
      <c r="GRL75" s="2805"/>
      <c r="GRM75" s="2805"/>
      <c r="GRN75" s="2805"/>
      <c r="GRO75" s="2805"/>
      <c r="GRP75" s="2805"/>
      <c r="GRQ75" s="2805"/>
      <c r="GRR75" s="2805"/>
      <c r="GRS75" s="2805"/>
      <c r="GRT75" s="2805"/>
      <c r="GRU75" s="2805"/>
      <c r="GRV75" s="2805"/>
      <c r="GRW75" s="2805"/>
      <c r="GRX75" s="2805"/>
      <c r="GRY75" s="2805"/>
      <c r="GRZ75" s="2805"/>
      <c r="GSA75" s="2805"/>
      <c r="GSB75" s="2805"/>
      <c r="GSC75" s="2805"/>
      <c r="GSD75" s="2805"/>
      <c r="GSE75" s="2805"/>
      <c r="GSF75" s="2805"/>
      <c r="GSG75" s="2805"/>
      <c r="GSH75" s="2805"/>
      <c r="GSI75" s="2805"/>
      <c r="GSJ75" s="2805"/>
      <c r="GSK75" s="2805"/>
      <c r="GSL75" s="2805"/>
      <c r="GSM75" s="2805"/>
      <c r="GSN75" s="2805"/>
      <c r="GSO75" s="2805"/>
      <c r="GSP75" s="2805"/>
      <c r="GSQ75" s="2805"/>
      <c r="GSR75" s="2805"/>
      <c r="GSS75" s="2805"/>
      <c r="GST75" s="2805"/>
      <c r="GSU75" s="2805"/>
      <c r="GSV75" s="2805"/>
      <c r="GSW75" s="2805"/>
      <c r="GSX75" s="2805"/>
      <c r="GSY75" s="2805"/>
      <c r="GSZ75" s="2805"/>
      <c r="GTA75" s="2805"/>
      <c r="GTB75" s="2805"/>
      <c r="GTC75" s="2805"/>
      <c r="GTD75" s="2805"/>
      <c r="GTE75" s="2805"/>
      <c r="GTF75" s="2805"/>
      <c r="GTG75" s="2805"/>
      <c r="GTH75" s="2805"/>
      <c r="GTI75" s="2805"/>
      <c r="GTJ75" s="2805"/>
      <c r="GTK75" s="2805"/>
      <c r="GTL75" s="2805"/>
      <c r="GTM75" s="2805"/>
      <c r="GTN75" s="2805"/>
      <c r="GTO75" s="2805"/>
      <c r="GTP75" s="2805"/>
      <c r="GTQ75" s="2805"/>
      <c r="GTR75" s="2805"/>
      <c r="GTS75" s="2805"/>
      <c r="GTT75" s="2805"/>
      <c r="GTU75" s="2805"/>
      <c r="GTV75" s="2805"/>
      <c r="GTW75" s="2805"/>
      <c r="GTX75" s="2805"/>
      <c r="GTY75" s="2805"/>
      <c r="GTZ75" s="2805"/>
      <c r="GUA75" s="2805"/>
      <c r="GUB75" s="2805"/>
      <c r="GUC75" s="2805"/>
      <c r="GUD75" s="2805"/>
      <c r="GUE75" s="2805"/>
      <c r="GUF75" s="2805"/>
      <c r="GUG75" s="2805"/>
      <c r="GUH75" s="2805"/>
      <c r="GUI75" s="2805"/>
      <c r="GUJ75" s="2805"/>
      <c r="GUK75" s="2805"/>
      <c r="GUL75" s="2805"/>
      <c r="GUM75" s="2805"/>
      <c r="GUN75" s="2805"/>
      <c r="GUO75" s="2805"/>
      <c r="GUP75" s="2805"/>
      <c r="GUQ75" s="2805"/>
      <c r="GUR75" s="2805"/>
      <c r="GUS75" s="2805"/>
      <c r="GUT75" s="2805"/>
      <c r="GUU75" s="2805"/>
      <c r="GUV75" s="2805"/>
      <c r="GUW75" s="2805"/>
      <c r="GUX75" s="2805"/>
      <c r="GUY75" s="2805"/>
      <c r="GUZ75" s="2805"/>
      <c r="GVA75" s="2805"/>
      <c r="GVB75" s="2805"/>
      <c r="GVC75" s="2805"/>
      <c r="GVD75" s="2805"/>
      <c r="GVE75" s="2805"/>
      <c r="GVF75" s="2805"/>
      <c r="GVG75" s="2805"/>
      <c r="GVH75" s="2805"/>
      <c r="GVI75" s="2805"/>
      <c r="GVJ75" s="2805"/>
      <c r="GVK75" s="2805"/>
      <c r="GVL75" s="2805"/>
      <c r="GVM75" s="2805"/>
      <c r="GVN75" s="2805"/>
      <c r="GVO75" s="2805"/>
      <c r="GVP75" s="2805"/>
      <c r="GVQ75" s="2805"/>
      <c r="GVR75" s="2805"/>
      <c r="GVS75" s="2805"/>
      <c r="GVT75" s="2805"/>
      <c r="GVU75" s="2805"/>
      <c r="GVV75" s="2805"/>
      <c r="GVW75" s="2805"/>
      <c r="GVX75" s="2805"/>
      <c r="GVY75" s="2805"/>
      <c r="GVZ75" s="2805"/>
      <c r="GWA75" s="2805"/>
      <c r="GWB75" s="2805"/>
      <c r="GWC75" s="2805"/>
      <c r="GWD75" s="2805"/>
      <c r="GWE75" s="2805"/>
      <c r="GWF75" s="2805"/>
      <c r="GWG75" s="2805"/>
      <c r="GWH75" s="2805"/>
      <c r="GWI75" s="2805"/>
      <c r="GWJ75" s="2805"/>
      <c r="GWK75" s="2805"/>
      <c r="GWL75" s="2805"/>
      <c r="GWM75" s="2805"/>
      <c r="GWN75" s="2805"/>
      <c r="GWO75" s="2805"/>
      <c r="GWP75" s="2805"/>
      <c r="GWQ75" s="2805"/>
      <c r="GWR75" s="2805"/>
      <c r="GWS75" s="2805"/>
      <c r="GWT75" s="2805"/>
      <c r="GWU75" s="2805"/>
      <c r="GWV75" s="2805"/>
      <c r="GWW75" s="2805"/>
      <c r="GWX75" s="2805"/>
      <c r="GWY75" s="2805"/>
      <c r="GWZ75" s="2805"/>
      <c r="GXA75" s="2805"/>
      <c r="GXB75" s="2805"/>
      <c r="GXC75" s="2805"/>
      <c r="GXD75" s="2805"/>
      <c r="GXE75" s="2805"/>
      <c r="GXF75" s="2805"/>
      <c r="GXG75" s="2805"/>
      <c r="GXH75" s="2805"/>
      <c r="GXI75" s="2805"/>
      <c r="GXJ75" s="2805"/>
      <c r="GXK75" s="2805"/>
      <c r="GXL75" s="2805"/>
      <c r="GXM75" s="2805"/>
      <c r="GXN75" s="2805"/>
      <c r="GXO75" s="2805"/>
      <c r="GXP75" s="2805"/>
      <c r="GXQ75" s="2805"/>
      <c r="GXR75" s="2805"/>
      <c r="GXS75" s="2805"/>
      <c r="GXT75" s="2805"/>
      <c r="GXU75" s="2805"/>
      <c r="GXV75" s="2805"/>
      <c r="GXW75" s="2805"/>
      <c r="GXX75" s="2805"/>
      <c r="GXY75" s="2805"/>
      <c r="GXZ75" s="2805"/>
      <c r="GYA75" s="2805"/>
      <c r="GYB75" s="2805"/>
      <c r="GYC75" s="2805"/>
      <c r="GYD75" s="2805"/>
      <c r="GYE75" s="2805"/>
      <c r="GYF75" s="2805"/>
      <c r="GYG75" s="2805"/>
      <c r="GYH75" s="2805"/>
      <c r="GYI75" s="2805"/>
      <c r="GYJ75" s="2805"/>
      <c r="GYK75" s="2805"/>
      <c r="GYL75" s="2805"/>
      <c r="GYM75" s="2805"/>
      <c r="GYN75" s="2805"/>
      <c r="GYO75" s="2805"/>
      <c r="GYP75" s="2805"/>
      <c r="GYQ75" s="2805"/>
      <c r="GYR75" s="2805"/>
      <c r="GYS75" s="2805"/>
      <c r="GYT75" s="2805"/>
      <c r="GYU75" s="2805"/>
      <c r="GYV75" s="2805"/>
      <c r="GYW75" s="2805"/>
      <c r="GYX75" s="2805"/>
      <c r="GYY75" s="2805"/>
      <c r="GYZ75" s="2805"/>
      <c r="GZA75" s="2805"/>
      <c r="GZB75" s="2805"/>
      <c r="GZC75" s="2805"/>
      <c r="GZD75" s="2805"/>
      <c r="GZE75" s="2805"/>
      <c r="GZF75" s="2805"/>
      <c r="GZG75" s="2805"/>
      <c r="GZH75" s="2805"/>
      <c r="GZI75" s="2805"/>
      <c r="GZJ75" s="2805"/>
      <c r="GZK75" s="2805"/>
      <c r="GZL75" s="2805"/>
      <c r="GZM75" s="2805"/>
      <c r="GZN75" s="2805"/>
      <c r="GZO75" s="2805"/>
      <c r="GZP75" s="2805"/>
      <c r="GZQ75" s="2805"/>
      <c r="GZR75" s="2805"/>
      <c r="GZS75" s="2805"/>
      <c r="GZT75" s="2805"/>
      <c r="GZU75" s="2805"/>
      <c r="GZV75" s="2805"/>
      <c r="GZW75" s="2805"/>
      <c r="GZX75" s="2805"/>
      <c r="GZY75" s="2805"/>
      <c r="GZZ75" s="2805"/>
      <c r="HAA75" s="2805"/>
      <c r="HAB75" s="2805"/>
      <c r="HAC75" s="2805"/>
      <c r="HAD75" s="2805"/>
      <c r="HAE75" s="2805"/>
      <c r="HAF75" s="2805"/>
      <c r="HAG75" s="2805"/>
      <c r="HAH75" s="2805"/>
      <c r="HAI75" s="2805"/>
      <c r="HAJ75" s="2805"/>
      <c r="HAK75" s="2805"/>
      <c r="HAL75" s="2805"/>
      <c r="HAM75" s="2805"/>
      <c r="HAN75" s="2805"/>
      <c r="HAO75" s="2805"/>
      <c r="HAP75" s="2805"/>
      <c r="HAQ75" s="2805"/>
      <c r="HAR75" s="2805"/>
      <c r="HAS75" s="2805"/>
      <c r="HAT75" s="2805"/>
      <c r="HAU75" s="2805"/>
      <c r="HAV75" s="2805"/>
      <c r="HAW75" s="2805"/>
      <c r="HAX75" s="2805"/>
      <c r="HAY75" s="2805"/>
      <c r="HAZ75" s="2805"/>
      <c r="HBA75" s="2805"/>
      <c r="HBB75" s="2805"/>
      <c r="HBC75" s="2805"/>
      <c r="HBD75" s="2805"/>
      <c r="HBE75" s="2805"/>
      <c r="HBF75" s="2805"/>
      <c r="HBG75" s="2805"/>
      <c r="HBH75" s="2805"/>
      <c r="HBI75" s="2805"/>
      <c r="HBJ75" s="2805"/>
      <c r="HBK75" s="2805"/>
      <c r="HBL75" s="2805"/>
      <c r="HBM75" s="2805"/>
      <c r="HBN75" s="2805"/>
      <c r="HBO75" s="2805"/>
      <c r="HBP75" s="2805"/>
      <c r="HBQ75" s="2805"/>
      <c r="HBR75" s="2805"/>
      <c r="HBS75" s="2805"/>
      <c r="HBT75" s="2805"/>
      <c r="HBU75" s="2805"/>
      <c r="HBV75" s="2805"/>
      <c r="HBW75" s="2805"/>
      <c r="HBX75" s="2805"/>
      <c r="HBY75" s="2805"/>
      <c r="HBZ75" s="2805"/>
      <c r="HCA75" s="2805"/>
      <c r="HCB75" s="2805"/>
      <c r="HCC75" s="2805"/>
      <c r="HCD75" s="2805"/>
      <c r="HCE75" s="2805"/>
      <c r="HCF75" s="2805"/>
      <c r="HCG75" s="2805"/>
      <c r="HCH75" s="2805"/>
      <c r="HCI75" s="2805"/>
      <c r="HCJ75" s="2805"/>
      <c r="HCK75" s="2805"/>
      <c r="HCL75" s="2805"/>
      <c r="HCM75" s="2805"/>
      <c r="HCN75" s="2805"/>
      <c r="HCO75" s="2805"/>
      <c r="HCP75" s="2805"/>
      <c r="HCQ75" s="2805"/>
      <c r="HCR75" s="2805"/>
      <c r="HCS75" s="2805"/>
      <c r="HCT75" s="2805"/>
      <c r="HCU75" s="2805"/>
      <c r="HCV75" s="2805"/>
      <c r="HCW75" s="2805"/>
      <c r="HCX75" s="2805"/>
      <c r="HCY75" s="2805"/>
      <c r="HCZ75" s="2805"/>
      <c r="HDA75" s="2805"/>
      <c r="HDB75" s="2805"/>
      <c r="HDC75" s="2805"/>
      <c r="HDD75" s="2805"/>
      <c r="HDE75" s="2805"/>
      <c r="HDF75" s="2805"/>
      <c r="HDG75" s="2805"/>
      <c r="HDH75" s="2805"/>
      <c r="HDI75" s="2805"/>
      <c r="HDJ75" s="2805"/>
      <c r="HDK75" s="2805"/>
      <c r="HDL75" s="2805"/>
      <c r="HDM75" s="2805"/>
      <c r="HDN75" s="2805"/>
      <c r="HDO75" s="2805"/>
      <c r="HDP75" s="2805"/>
      <c r="HDQ75" s="2805"/>
      <c r="HDR75" s="2805"/>
      <c r="HDS75" s="2805"/>
      <c r="HDT75" s="2805"/>
      <c r="HDU75" s="2805"/>
      <c r="HDV75" s="2805"/>
      <c r="HDW75" s="2805"/>
      <c r="HDX75" s="2805"/>
      <c r="HDY75" s="2805"/>
      <c r="HDZ75" s="2805"/>
      <c r="HEA75" s="2805"/>
      <c r="HEB75" s="2805"/>
      <c r="HEC75" s="2805"/>
      <c r="HED75" s="2805"/>
      <c r="HEE75" s="2805"/>
      <c r="HEF75" s="2805"/>
      <c r="HEG75" s="2805"/>
      <c r="HEH75" s="2805"/>
      <c r="HEI75" s="2805"/>
      <c r="HEJ75" s="2805"/>
      <c r="HEK75" s="2805"/>
      <c r="HEL75" s="2805"/>
      <c r="HEM75" s="2805"/>
      <c r="HEN75" s="2805"/>
      <c r="HEO75" s="2805"/>
      <c r="HEP75" s="2805"/>
      <c r="HEQ75" s="2805"/>
      <c r="HER75" s="2805"/>
      <c r="HES75" s="2805"/>
      <c r="HET75" s="2805"/>
      <c r="HEU75" s="2805"/>
      <c r="HEV75" s="2805"/>
      <c r="HEW75" s="2805"/>
      <c r="HEX75" s="2805"/>
      <c r="HEY75" s="2805"/>
      <c r="HEZ75" s="2805"/>
      <c r="HFA75" s="2805"/>
      <c r="HFB75" s="2805"/>
      <c r="HFC75" s="2805"/>
      <c r="HFD75" s="2805"/>
      <c r="HFE75" s="2805"/>
      <c r="HFF75" s="2805"/>
      <c r="HFG75" s="2805"/>
      <c r="HFH75" s="2805"/>
      <c r="HFI75" s="2805"/>
      <c r="HFJ75" s="2805"/>
      <c r="HFK75" s="2805"/>
      <c r="HFL75" s="2805"/>
      <c r="HFM75" s="2805"/>
      <c r="HFN75" s="2805"/>
      <c r="HFO75" s="2805"/>
      <c r="HFP75" s="2805"/>
      <c r="HFQ75" s="2805"/>
      <c r="HFR75" s="2805"/>
      <c r="HFS75" s="2805"/>
      <c r="HFT75" s="2805"/>
      <c r="HFU75" s="2805"/>
      <c r="HFV75" s="2805"/>
      <c r="HFW75" s="2805"/>
      <c r="HFX75" s="2805"/>
      <c r="HFY75" s="2805"/>
      <c r="HFZ75" s="2805"/>
      <c r="HGA75" s="2805"/>
      <c r="HGB75" s="2805"/>
      <c r="HGC75" s="2805"/>
      <c r="HGD75" s="2805"/>
      <c r="HGE75" s="2805"/>
      <c r="HGF75" s="2805"/>
      <c r="HGG75" s="2805"/>
      <c r="HGH75" s="2805"/>
      <c r="HGI75" s="2805"/>
      <c r="HGJ75" s="2805"/>
      <c r="HGK75" s="2805"/>
      <c r="HGL75" s="2805"/>
      <c r="HGM75" s="2805"/>
      <c r="HGN75" s="2805"/>
      <c r="HGO75" s="2805"/>
      <c r="HGP75" s="2805"/>
      <c r="HGQ75" s="2805"/>
      <c r="HGR75" s="2805"/>
      <c r="HGS75" s="2805"/>
      <c r="HGT75" s="2805"/>
      <c r="HGU75" s="2805"/>
      <c r="HGV75" s="2805"/>
      <c r="HGW75" s="2805"/>
      <c r="HGX75" s="2805"/>
      <c r="HGY75" s="2805"/>
      <c r="HGZ75" s="2805"/>
      <c r="HHA75" s="2805"/>
      <c r="HHB75" s="2805"/>
      <c r="HHC75" s="2805"/>
      <c r="HHD75" s="2805"/>
      <c r="HHE75" s="2805"/>
      <c r="HHF75" s="2805"/>
      <c r="HHG75" s="2805"/>
      <c r="HHH75" s="2805"/>
      <c r="HHI75" s="2805"/>
      <c r="HHJ75" s="2805"/>
      <c r="HHK75" s="2805"/>
      <c r="HHL75" s="2805"/>
      <c r="HHM75" s="2805"/>
      <c r="HHN75" s="2805"/>
      <c r="HHO75" s="2805"/>
      <c r="HHP75" s="2805"/>
      <c r="HHQ75" s="2805"/>
      <c r="HHR75" s="2805"/>
      <c r="HHS75" s="2805"/>
      <c r="HHT75" s="2805"/>
      <c r="HHU75" s="2805"/>
      <c r="HHV75" s="2805"/>
      <c r="HHW75" s="2805"/>
      <c r="HHX75" s="2805"/>
      <c r="HHY75" s="2805"/>
      <c r="HHZ75" s="2805"/>
      <c r="HIA75" s="2805"/>
      <c r="HIB75" s="2805"/>
      <c r="HIC75" s="2805"/>
      <c r="HID75" s="2805"/>
      <c r="HIE75" s="2805"/>
      <c r="HIF75" s="2805"/>
      <c r="HIG75" s="2805"/>
      <c r="HIH75" s="2805"/>
      <c r="HII75" s="2805"/>
      <c r="HIJ75" s="2805"/>
      <c r="HIK75" s="2805"/>
      <c r="HIL75" s="2805"/>
      <c r="HIM75" s="2805"/>
      <c r="HIN75" s="2805"/>
      <c r="HIO75" s="2805"/>
      <c r="HIP75" s="2805"/>
      <c r="HIQ75" s="2805"/>
      <c r="HIR75" s="2805"/>
      <c r="HIS75" s="2805"/>
      <c r="HIT75" s="2805"/>
      <c r="HIU75" s="2805"/>
      <c r="HIV75" s="2805"/>
      <c r="HIW75" s="2805"/>
      <c r="HIX75" s="2805"/>
      <c r="HIY75" s="2805"/>
      <c r="HIZ75" s="2805"/>
      <c r="HJA75" s="2805"/>
      <c r="HJB75" s="2805"/>
      <c r="HJC75" s="2805"/>
      <c r="HJD75" s="2805"/>
      <c r="HJE75" s="2805"/>
      <c r="HJF75" s="2805"/>
      <c r="HJG75" s="2805"/>
      <c r="HJH75" s="2805"/>
      <c r="HJI75" s="2805"/>
      <c r="HJJ75" s="2805"/>
      <c r="HJK75" s="2805"/>
      <c r="HJL75" s="2805"/>
      <c r="HJM75" s="2805"/>
      <c r="HJN75" s="2805"/>
      <c r="HJO75" s="2805"/>
      <c r="HJP75" s="2805"/>
      <c r="HJQ75" s="2805"/>
      <c r="HJR75" s="2805"/>
      <c r="HJS75" s="2805"/>
      <c r="HJT75" s="2805"/>
      <c r="HJU75" s="2805"/>
      <c r="HJV75" s="2805"/>
      <c r="HJW75" s="2805"/>
      <c r="HJX75" s="2805"/>
      <c r="HJY75" s="2805"/>
      <c r="HJZ75" s="2805"/>
      <c r="HKA75" s="2805"/>
      <c r="HKB75" s="2805"/>
      <c r="HKC75" s="2805"/>
      <c r="HKD75" s="2805"/>
      <c r="HKE75" s="2805"/>
      <c r="HKF75" s="2805"/>
      <c r="HKG75" s="2805"/>
      <c r="HKH75" s="2805"/>
      <c r="HKI75" s="2805"/>
      <c r="HKJ75" s="2805"/>
      <c r="HKK75" s="2805"/>
      <c r="HKL75" s="2805"/>
      <c r="HKM75" s="2805"/>
      <c r="HKN75" s="2805"/>
      <c r="HKO75" s="2805"/>
      <c r="HKP75" s="2805"/>
      <c r="HKQ75" s="2805"/>
      <c r="HKR75" s="2805"/>
      <c r="HKS75" s="2805"/>
      <c r="HKT75" s="2805"/>
      <c r="HKU75" s="2805"/>
      <c r="HKV75" s="2805"/>
      <c r="HKW75" s="2805"/>
      <c r="HKX75" s="2805"/>
      <c r="HKY75" s="2805"/>
      <c r="HKZ75" s="2805"/>
      <c r="HLA75" s="2805"/>
      <c r="HLB75" s="2805"/>
      <c r="HLC75" s="2805"/>
      <c r="HLD75" s="2805"/>
      <c r="HLE75" s="2805"/>
      <c r="HLF75" s="2805"/>
      <c r="HLG75" s="2805"/>
      <c r="HLH75" s="2805"/>
      <c r="HLI75" s="2805"/>
      <c r="HLJ75" s="2805"/>
      <c r="HLK75" s="2805"/>
      <c r="HLL75" s="2805"/>
      <c r="HLM75" s="2805"/>
      <c r="HLN75" s="2805"/>
      <c r="HLO75" s="2805"/>
      <c r="HLP75" s="2805"/>
      <c r="HLQ75" s="2805"/>
      <c r="HLR75" s="2805"/>
      <c r="HLS75" s="2805"/>
      <c r="HLT75" s="2805"/>
      <c r="HLU75" s="2805"/>
      <c r="HLV75" s="2805"/>
      <c r="HLW75" s="2805"/>
      <c r="HLX75" s="2805"/>
      <c r="HLY75" s="2805"/>
      <c r="HLZ75" s="2805"/>
      <c r="HMA75" s="2805"/>
      <c r="HMB75" s="2805"/>
      <c r="HMC75" s="2805"/>
      <c r="HMD75" s="2805"/>
      <c r="HME75" s="2805"/>
      <c r="HMF75" s="2805"/>
      <c r="HMG75" s="2805"/>
      <c r="HMH75" s="2805"/>
      <c r="HMI75" s="2805"/>
      <c r="HMJ75" s="2805"/>
      <c r="HMK75" s="2805"/>
      <c r="HML75" s="2805"/>
      <c r="HMM75" s="2805"/>
      <c r="HMN75" s="2805"/>
      <c r="HMO75" s="2805"/>
      <c r="HMP75" s="2805"/>
      <c r="HMQ75" s="2805"/>
      <c r="HMR75" s="2805"/>
      <c r="HMS75" s="2805"/>
      <c r="HMT75" s="2805"/>
      <c r="HMU75" s="2805"/>
      <c r="HMV75" s="2805"/>
      <c r="HMW75" s="2805"/>
      <c r="HMX75" s="2805"/>
      <c r="HMY75" s="2805"/>
      <c r="HMZ75" s="2805"/>
      <c r="HNA75" s="2805"/>
      <c r="HNB75" s="2805"/>
      <c r="HNC75" s="2805"/>
      <c r="HND75" s="2805"/>
      <c r="HNE75" s="2805"/>
      <c r="HNF75" s="2805"/>
      <c r="HNG75" s="2805"/>
      <c r="HNH75" s="2805"/>
      <c r="HNI75" s="2805"/>
      <c r="HNJ75" s="2805"/>
      <c r="HNK75" s="2805"/>
      <c r="HNL75" s="2805"/>
      <c r="HNM75" s="2805"/>
      <c r="HNN75" s="2805"/>
      <c r="HNO75" s="2805"/>
      <c r="HNP75" s="2805"/>
      <c r="HNQ75" s="2805"/>
      <c r="HNR75" s="2805"/>
      <c r="HNS75" s="2805"/>
      <c r="HNT75" s="2805"/>
      <c r="HNU75" s="2805"/>
      <c r="HNV75" s="2805"/>
      <c r="HNW75" s="2805"/>
      <c r="HNX75" s="2805"/>
      <c r="HNY75" s="2805"/>
      <c r="HNZ75" s="2805"/>
      <c r="HOA75" s="2805"/>
      <c r="HOB75" s="2805"/>
      <c r="HOC75" s="2805"/>
      <c r="HOD75" s="2805"/>
      <c r="HOE75" s="2805"/>
      <c r="HOF75" s="2805"/>
      <c r="HOG75" s="2805"/>
      <c r="HOH75" s="2805"/>
      <c r="HOI75" s="2805"/>
      <c r="HOJ75" s="2805"/>
      <c r="HOK75" s="2805"/>
      <c r="HOL75" s="2805"/>
      <c r="HOM75" s="2805"/>
      <c r="HON75" s="2805"/>
      <c r="HOO75" s="2805"/>
      <c r="HOP75" s="2805"/>
      <c r="HOQ75" s="2805"/>
      <c r="HOR75" s="2805"/>
      <c r="HOS75" s="2805"/>
      <c r="HOT75" s="2805"/>
      <c r="HOU75" s="2805"/>
      <c r="HOV75" s="2805"/>
      <c r="HOW75" s="2805"/>
      <c r="HOX75" s="2805"/>
      <c r="HOY75" s="2805"/>
      <c r="HOZ75" s="2805"/>
      <c r="HPA75" s="2805"/>
      <c r="HPB75" s="2805"/>
      <c r="HPC75" s="2805"/>
      <c r="HPD75" s="2805"/>
      <c r="HPE75" s="2805"/>
      <c r="HPF75" s="2805"/>
      <c r="HPG75" s="2805"/>
      <c r="HPH75" s="2805"/>
      <c r="HPI75" s="2805"/>
      <c r="HPJ75" s="2805"/>
      <c r="HPK75" s="2805"/>
      <c r="HPL75" s="2805"/>
      <c r="HPM75" s="2805"/>
      <c r="HPN75" s="2805"/>
      <c r="HPO75" s="2805"/>
      <c r="HPP75" s="2805"/>
      <c r="HPQ75" s="2805"/>
      <c r="HPR75" s="2805"/>
      <c r="HPS75" s="2805"/>
      <c r="HPT75" s="2805"/>
      <c r="HPU75" s="2805"/>
      <c r="HPV75" s="2805"/>
      <c r="HPW75" s="2805"/>
      <c r="HPX75" s="2805"/>
      <c r="HPY75" s="2805"/>
      <c r="HPZ75" s="2805"/>
      <c r="HQA75" s="2805"/>
      <c r="HQB75" s="2805"/>
      <c r="HQC75" s="2805"/>
      <c r="HQD75" s="2805"/>
      <c r="HQE75" s="2805"/>
      <c r="HQF75" s="2805"/>
      <c r="HQG75" s="2805"/>
      <c r="HQH75" s="2805"/>
      <c r="HQI75" s="2805"/>
      <c r="HQJ75" s="2805"/>
      <c r="HQK75" s="2805"/>
      <c r="HQL75" s="2805"/>
      <c r="HQM75" s="2805"/>
      <c r="HQN75" s="2805"/>
      <c r="HQO75" s="2805"/>
      <c r="HQP75" s="2805"/>
      <c r="HQQ75" s="2805"/>
      <c r="HQR75" s="2805"/>
      <c r="HQS75" s="2805"/>
      <c r="HQT75" s="2805"/>
      <c r="HQU75" s="2805"/>
      <c r="HQV75" s="2805"/>
      <c r="HQW75" s="2805"/>
      <c r="HQX75" s="2805"/>
      <c r="HQY75" s="2805"/>
      <c r="HQZ75" s="2805"/>
      <c r="HRA75" s="2805"/>
      <c r="HRB75" s="2805"/>
      <c r="HRC75" s="2805"/>
      <c r="HRD75" s="2805"/>
      <c r="HRE75" s="2805"/>
      <c r="HRF75" s="2805"/>
      <c r="HRG75" s="2805"/>
      <c r="HRH75" s="2805"/>
      <c r="HRI75" s="2805"/>
      <c r="HRJ75" s="2805"/>
      <c r="HRK75" s="2805"/>
      <c r="HRL75" s="2805"/>
      <c r="HRM75" s="2805"/>
      <c r="HRN75" s="2805"/>
      <c r="HRO75" s="2805"/>
      <c r="HRP75" s="2805"/>
      <c r="HRQ75" s="2805"/>
      <c r="HRR75" s="2805"/>
      <c r="HRS75" s="2805"/>
      <c r="HRT75" s="2805"/>
      <c r="HRU75" s="2805"/>
      <c r="HRV75" s="2805"/>
      <c r="HRW75" s="2805"/>
      <c r="HRX75" s="2805"/>
      <c r="HRY75" s="2805"/>
      <c r="HRZ75" s="2805"/>
      <c r="HSA75" s="2805"/>
      <c r="HSB75" s="2805"/>
      <c r="HSC75" s="2805"/>
      <c r="HSD75" s="2805"/>
      <c r="HSE75" s="2805"/>
      <c r="HSF75" s="2805"/>
      <c r="HSG75" s="2805"/>
      <c r="HSH75" s="2805"/>
      <c r="HSI75" s="2805"/>
      <c r="HSJ75" s="2805"/>
      <c r="HSK75" s="2805"/>
      <c r="HSL75" s="2805"/>
      <c r="HSM75" s="2805"/>
      <c r="HSN75" s="2805"/>
      <c r="HSO75" s="2805"/>
      <c r="HSP75" s="2805"/>
      <c r="HSQ75" s="2805"/>
      <c r="HSR75" s="2805"/>
      <c r="HSS75" s="2805"/>
      <c r="HST75" s="2805"/>
      <c r="HSU75" s="2805"/>
      <c r="HSV75" s="2805"/>
      <c r="HSW75" s="2805"/>
      <c r="HSX75" s="2805"/>
      <c r="HSY75" s="2805"/>
      <c r="HSZ75" s="2805"/>
      <c r="HTA75" s="2805"/>
      <c r="HTB75" s="2805"/>
      <c r="HTC75" s="2805"/>
      <c r="HTD75" s="2805"/>
      <c r="HTE75" s="2805"/>
      <c r="HTF75" s="2805"/>
      <c r="HTG75" s="2805"/>
      <c r="HTH75" s="2805"/>
      <c r="HTI75" s="2805"/>
      <c r="HTJ75" s="2805"/>
      <c r="HTK75" s="2805"/>
      <c r="HTL75" s="2805"/>
      <c r="HTM75" s="2805"/>
      <c r="HTN75" s="2805"/>
      <c r="HTO75" s="2805"/>
      <c r="HTP75" s="2805"/>
      <c r="HTQ75" s="2805"/>
      <c r="HTR75" s="2805"/>
      <c r="HTS75" s="2805"/>
      <c r="HTT75" s="2805"/>
      <c r="HTU75" s="2805"/>
      <c r="HTV75" s="2805"/>
      <c r="HTW75" s="2805"/>
      <c r="HTX75" s="2805"/>
      <c r="HTY75" s="2805"/>
      <c r="HTZ75" s="2805"/>
      <c r="HUA75" s="2805"/>
      <c r="HUB75" s="2805"/>
      <c r="HUC75" s="2805"/>
      <c r="HUD75" s="2805"/>
      <c r="HUE75" s="2805"/>
      <c r="HUF75" s="2805"/>
      <c r="HUG75" s="2805"/>
      <c r="HUH75" s="2805"/>
      <c r="HUI75" s="2805"/>
      <c r="HUJ75" s="2805"/>
      <c r="HUK75" s="2805"/>
      <c r="HUL75" s="2805"/>
      <c r="HUM75" s="2805"/>
      <c r="HUN75" s="2805"/>
      <c r="HUO75" s="2805"/>
      <c r="HUP75" s="2805"/>
      <c r="HUQ75" s="2805"/>
      <c r="HUR75" s="2805"/>
      <c r="HUS75" s="2805"/>
      <c r="HUT75" s="2805"/>
      <c r="HUU75" s="2805"/>
      <c r="HUV75" s="2805"/>
      <c r="HUW75" s="2805"/>
      <c r="HUX75" s="2805"/>
      <c r="HUY75" s="2805"/>
      <c r="HUZ75" s="2805"/>
      <c r="HVA75" s="2805"/>
      <c r="HVB75" s="2805"/>
      <c r="HVC75" s="2805"/>
      <c r="HVD75" s="2805"/>
      <c r="HVE75" s="2805"/>
      <c r="HVF75" s="2805"/>
      <c r="HVG75" s="2805"/>
      <c r="HVH75" s="2805"/>
      <c r="HVI75" s="2805"/>
      <c r="HVJ75" s="2805"/>
      <c r="HVK75" s="2805"/>
      <c r="HVL75" s="2805"/>
      <c r="HVM75" s="2805"/>
      <c r="HVN75" s="2805"/>
      <c r="HVO75" s="2805"/>
      <c r="HVP75" s="2805"/>
      <c r="HVQ75" s="2805"/>
      <c r="HVR75" s="2805"/>
      <c r="HVS75" s="2805"/>
      <c r="HVT75" s="2805"/>
      <c r="HVU75" s="2805"/>
      <c r="HVV75" s="2805"/>
      <c r="HVW75" s="2805"/>
      <c r="HVX75" s="2805"/>
      <c r="HVY75" s="2805"/>
      <c r="HVZ75" s="2805"/>
      <c r="HWA75" s="2805"/>
      <c r="HWB75" s="2805"/>
      <c r="HWC75" s="2805"/>
      <c r="HWD75" s="2805"/>
      <c r="HWE75" s="2805"/>
      <c r="HWF75" s="2805"/>
      <c r="HWG75" s="2805"/>
      <c r="HWH75" s="2805"/>
      <c r="HWI75" s="2805"/>
      <c r="HWJ75" s="2805"/>
      <c r="HWK75" s="2805"/>
      <c r="HWL75" s="2805"/>
      <c r="HWM75" s="2805"/>
      <c r="HWN75" s="2805"/>
      <c r="HWO75" s="2805"/>
      <c r="HWP75" s="2805"/>
      <c r="HWQ75" s="2805"/>
      <c r="HWR75" s="2805"/>
      <c r="HWS75" s="2805"/>
      <c r="HWT75" s="2805"/>
      <c r="HWU75" s="2805"/>
      <c r="HWV75" s="2805"/>
      <c r="HWW75" s="2805"/>
      <c r="HWX75" s="2805"/>
      <c r="HWY75" s="2805"/>
      <c r="HWZ75" s="2805"/>
      <c r="HXA75" s="2805"/>
      <c r="HXB75" s="2805"/>
      <c r="HXC75" s="2805"/>
      <c r="HXD75" s="2805"/>
      <c r="HXE75" s="2805"/>
      <c r="HXF75" s="2805"/>
      <c r="HXG75" s="2805"/>
      <c r="HXH75" s="2805"/>
      <c r="HXI75" s="2805"/>
      <c r="HXJ75" s="2805"/>
      <c r="HXK75" s="2805"/>
      <c r="HXL75" s="2805"/>
      <c r="HXM75" s="2805"/>
      <c r="HXN75" s="2805"/>
      <c r="HXO75" s="2805"/>
      <c r="HXP75" s="2805"/>
      <c r="HXQ75" s="2805"/>
      <c r="HXR75" s="2805"/>
      <c r="HXS75" s="2805"/>
      <c r="HXT75" s="2805"/>
      <c r="HXU75" s="2805"/>
      <c r="HXV75" s="2805"/>
      <c r="HXW75" s="2805"/>
      <c r="HXX75" s="2805"/>
      <c r="HXY75" s="2805"/>
      <c r="HXZ75" s="2805"/>
      <c r="HYA75" s="2805"/>
      <c r="HYB75" s="2805"/>
      <c r="HYC75" s="2805"/>
      <c r="HYD75" s="2805"/>
      <c r="HYE75" s="2805"/>
      <c r="HYF75" s="2805"/>
      <c r="HYG75" s="2805"/>
      <c r="HYH75" s="2805"/>
      <c r="HYI75" s="2805"/>
      <c r="HYJ75" s="2805"/>
      <c r="HYK75" s="2805"/>
      <c r="HYL75" s="2805"/>
      <c r="HYM75" s="2805"/>
      <c r="HYN75" s="2805"/>
      <c r="HYO75" s="2805"/>
      <c r="HYP75" s="2805"/>
      <c r="HYQ75" s="2805"/>
      <c r="HYR75" s="2805"/>
      <c r="HYS75" s="2805"/>
      <c r="HYT75" s="2805"/>
      <c r="HYU75" s="2805"/>
      <c r="HYV75" s="2805"/>
      <c r="HYW75" s="2805"/>
      <c r="HYX75" s="2805"/>
      <c r="HYY75" s="2805"/>
      <c r="HYZ75" s="2805"/>
      <c r="HZA75" s="2805"/>
      <c r="HZB75" s="2805"/>
      <c r="HZC75" s="2805"/>
      <c r="HZD75" s="2805"/>
      <c r="HZE75" s="2805"/>
      <c r="HZF75" s="2805"/>
      <c r="HZG75" s="2805"/>
      <c r="HZH75" s="2805"/>
      <c r="HZI75" s="2805"/>
      <c r="HZJ75" s="2805"/>
      <c r="HZK75" s="2805"/>
      <c r="HZL75" s="2805"/>
      <c r="HZM75" s="2805"/>
      <c r="HZN75" s="2805"/>
      <c r="HZO75" s="2805"/>
      <c r="HZP75" s="2805"/>
      <c r="HZQ75" s="2805"/>
      <c r="HZR75" s="2805"/>
      <c r="HZS75" s="2805"/>
      <c r="HZT75" s="2805"/>
      <c r="HZU75" s="2805"/>
      <c r="HZV75" s="2805"/>
      <c r="HZW75" s="2805"/>
      <c r="HZX75" s="2805"/>
      <c r="HZY75" s="2805"/>
      <c r="HZZ75" s="2805"/>
      <c r="IAA75" s="2805"/>
      <c r="IAB75" s="2805"/>
      <c r="IAC75" s="2805"/>
      <c r="IAD75" s="2805"/>
      <c r="IAE75" s="2805"/>
      <c r="IAF75" s="2805"/>
      <c r="IAG75" s="2805"/>
      <c r="IAH75" s="2805"/>
      <c r="IAI75" s="2805"/>
      <c r="IAJ75" s="2805"/>
      <c r="IAK75" s="2805"/>
      <c r="IAL75" s="2805"/>
      <c r="IAM75" s="2805"/>
      <c r="IAN75" s="2805"/>
      <c r="IAO75" s="2805"/>
      <c r="IAP75" s="2805"/>
      <c r="IAQ75" s="2805"/>
      <c r="IAR75" s="2805"/>
      <c r="IAS75" s="2805"/>
      <c r="IAT75" s="2805"/>
      <c r="IAU75" s="2805"/>
      <c r="IAV75" s="2805"/>
      <c r="IAW75" s="2805"/>
      <c r="IAX75" s="2805"/>
      <c r="IAY75" s="2805"/>
      <c r="IAZ75" s="2805"/>
      <c r="IBA75" s="2805"/>
      <c r="IBB75" s="2805"/>
      <c r="IBC75" s="2805"/>
      <c r="IBD75" s="2805"/>
      <c r="IBE75" s="2805"/>
      <c r="IBF75" s="2805"/>
      <c r="IBG75" s="2805"/>
      <c r="IBH75" s="2805"/>
      <c r="IBI75" s="2805"/>
      <c r="IBJ75" s="2805"/>
      <c r="IBK75" s="2805"/>
      <c r="IBL75" s="2805"/>
      <c r="IBM75" s="2805"/>
      <c r="IBN75" s="2805"/>
      <c r="IBO75" s="2805"/>
      <c r="IBP75" s="2805"/>
      <c r="IBQ75" s="2805"/>
      <c r="IBR75" s="2805"/>
      <c r="IBS75" s="2805"/>
      <c r="IBT75" s="2805"/>
      <c r="IBU75" s="2805"/>
      <c r="IBV75" s="2805"/>
      <c r="IBW75" s="2805"/>
      <c r="IBX75" s="2805"/>
      <c r="IBY75" s="2805"/>
      <c r="IBZ75" s="2805"/>
      <c r="ICA75" s="2805"/>
      <c r="ICB75" s="2805"/>
      <c r="ICC75" s="2805"/>
      <c r="ICD75" s="2805"/>
      <c r="ICE75" s="2805"/>
      <c r="ICF75" s="2805"/>
      <c r="ICG75" s="2805"/>
      <c r="ICH75" s="2805"/>
      <c r="ICI75" s="2805"/>
      <c r="ICJ75" s="2805"/>
      <c r="ICK75" s="2805"/>
      <c r="ICL75" s="2805"/>
      <c r="ICM75" s="2805"/>
      <c r="ICN75" s="2805"/>
      <c r="ICO75" s="2805"/>
      <c r="ICP75" s="2805"/>
      <c r="ICQ75" s="2805"/>
      <c r="ICR75" s="2805"/>
      <c r="ICS75" s="2805"/>
      <c r="ICT75" s="2805"/>
      <c r="ICU75" s="2805"/>
      <c r="ICV75" s="2805"/>
      <c r="ICW75" s="2805"/>
      <c r="ICX75" s="2805"/>
      <c r="ICY75" s="2805"/>
      <c r="ICZ75" s="2805"/>
      <c r="IDA75" s="2805"/>
      <c r="IDB75" s="2805"/>
      <c r="IDC75" s="2805"/>
      <c r="IDD75" s="2805"/>
      <c r="IDE75" s="2805"/>
      <c r="IDF75" s="2805"/>
      <c r="IDG75" s="2805"/>
      <c r="IDH75" s="2805"/>
      <c r="IDI75" s="2805"/>
      <c r="IDJ75" s="2805"/>
      <c r="IDK75" s="2805"/>
      <c r="IDL75" s="2805"/>
      <c r="IDM75" s="2805"/>
      <c r="IDN75" s="2805"/>
      <c r="IDO75" s="2805"/>
      <c r="IDP75" s="2805"/>
      <c r="IDQ75" s="2805"/>
      <c r="IDR75" s="2805"/>
      <c r="IDS75" s="2805"/>
      <c r="IDT75" s="2805"/>
      <c r="IDU75" s="2805"/>
      <c r="IDV75" s="2805"/>
      <c r="IDW75" s="2805"/>
      <c r="IDX75" s="2805"/>
      <c r="IDY75" s="2805"/>
      <c r="IDZ75" s="2805"/>
      <c r="IEA75" s="2805"/>
      <c r="IEB75" s="2805"/>
      <c r="IEC75" s="2805"/>
      <c r="IED75" s="2805"/>
      <c r="IEE75" s="2805"/>
      <c r="IEF75" s="2805"/>
      <c r="IEG75" s="2805"/>
      <c r="IEH75" s="2805"/>
      <c r="IEI75" s="2805"/>
      <c r="IEJ75" s="2805"/>
      <c r="IEK75" s="2805"/>
      <c r="IEL75" s="2805"/>
      <c r="IEM75" s="2805"/>
      <c r="IEN75" s="2805"/>
      <c r="IEO75" s="2805"/>
      <c r="IEP75" s="2805"/>
      <c r="IEQ75" s="2805"/>
      <c r="IER75" s="2805"/>
      <c r="IES75" s="2805"/>
      <c r="IET75" s="2805"/>
      <c r="IEU75" s="2805"/>
      <c r="IEV75" s="2805"/>
      <c r="IEW75" s="2805"/>
      <c r="IEX75" s="2805"/>
      <c r="IEY75" s="2805"/>
      <c r="IEZ75" s="2805"/>
      <c r="IFA75" s="2805"/>
      <c r="IFB75" s="2805"/>
      <c r="IFC75" s="2805"/>
      <c r="IFD75" s="2805"/>
      <c r="IFE75" s="2805"/>
      <c r="IFF75" s="2805"/>
      <c r="IFG75" s="2805"/>
      <c r="IFH75" s="2805"/>
      <c r="IFI75" s="2805"/>
      <c r="IFJ75" s="2805"/>
      <c r="IFK75" s="2805"/>
      <c r="IFL75" s="2805"/>
      <c r="IFM75" s="2805"/>
      <c r="IFN75" s="2805"/>
      <c r="IFO75" s="2805"/>
      <c r="IFP75" s="2805"/>
      <c r="IFQ75" s="2805"/>
      <c r="IFR75" s="2805"/>
      <c r="IFS75" s="2805"/>
      <c r="IFT75" s="2805"/>
      <c r="IFU75" s="2805"/>
      <c r="IFV75" s="2805"/>
      <c r="IFW75" s="2805"/>
      <c r="IFX75" s="2805"/>
      <c r="IFY75" s="2805"/>
      <c r="IFZ75" s="2805"/>
      <c r="IGA75" s="2805"/>
      <c r="IGB75" s="2805"/>
      <c r="IGC75" s="2805"/>
      <c r="IGD75" s="2805"/>
      <c r="IGE75" s="2805"/>
      <c r="IGF75" s="2805"/>
      <c r="IGG75" s="2805"/>
      <c r="IGH75" s="2805"/>
      <c r="IGI75" s="2805"/>
      <c r="IGJ75" s="2805"/>
      <c r="IGK75" s="2805"/>
      <c r="IGL75" s="2805"/>
      <c r="IGM75" s="2805"/>
      <c r="IGN75" s="2805"/>
      <c r="IGO75" s="2805"/>
      <c r="IGP75" s="2805"/>
      <c r="IGQ75" s="2805"/>
      <c r="IGR75" s="2805"/>
      <c r="IGS75" s="2805"/>
      <c r="IGT75" s="2805"/>
      <c r="IGU75" s="2805"/>
      <c r="IGV75" s="2805"/>
      <c r="IGW75" s="2805"/>
      <c r="IGX75" s="2805"/>
      <c r="IGY75" s="2805"/>
      <c r="IGZ75" s="2805"/>
      <c r="IHA75" s="2805"/>
      <c r="IHB75" s="2805"/>
      <c r="IHC75" s="2805"/>
      <c r="IHD75" s="2805"/>
      <c r="IHE75" s="2805"/>
      <c r="IHF75" s="2805"/>
      <c r="IHG75" s="2805"/>
      <c r="IHH75" s="2805"/>
      <c r="IHI75" s="2805"/>
      <c r="IHJ75" s="2805"/>
      <c r="IHK75" s="2805"/>
      <c r="IHL75" s="2805"/>
      <c r="IHM75" s="2805"/>
      <c r="IHN75" s="2805"/>
      <c r="IHO75" s="2805"/>
      <c r="IHP75" s="2805"/>
      <c r="IHQ75" s="2805"/>
      <c r="IHR75" s="2805"/>
      <c r="IHS75" s="2805"/>
      <c r="IHT75" s="2805"/>
      <c r="IHU75" s="2805"/>
      <c r="IHV75" s="2805"/>
      <c r="IHW75" s="2805"/>
      <c r="IHX75" s="2805"/>
      <c r="IHY75" s="2805"/>
      <c r="IHZ75" s="2805"/>
      <c r="IIA75" s="2805"/>
      <c r="IIB75" s="2805"/>
      <c r="IIC75" s="2805"/>
      <c r="IID75" s="2805"/>
      <c r="IIE75" s="2805"/>
      <c r="IIF75" s="2805"/>
      <c r="IIG75" s="2805"/>
      <c r="IIH75" s="2805"/>
      <c r="III75" s="2805"/>
      <c r="IIJ75" s="2805"/>
      <c r="IIK75" s="2805"/>
      <c r="IIL75" s="2805"/>
      <c r="IIM75" s="2805"/>
      <c r="IIN75" s="2805"/>
      <c r="IIO75" s="2805"/>
      <c r="IIP75" s="2805"/>
      <c r="IIQ75" s="2805"/>
      <c r="IIR75" s="2805"/>
      <c r="IIS75" s="2805"/>
      <c r="IIT75" s="2805"/>
      <c r="IIU75" s="2805"/>
      <c r="IIV75" s="2805"/>
      <c r="IIW75" s="2805"/>
      <c r="IIX75" s="2805"/>
      <c r="IIY75" s="2805"/>
      <c r="IIZ75" s="2805"/>
      <c r="IJA75" s="2805"/>
      <c r="IJB75" s="2805"/>
      <c r="IJC75" s="2805"/>
      <c r="IJD75" s="2805"/>
      <c r="IJE75" s="2805"/>
      <c r="IJF75" s="2805"/>
      <c r="IJG75" s="2805"/>
      <c r="IJH75" s="2805"/>
      <c r="IJI75" s="2805"/>
      <c r="IJJ75" s="2805"/>
      <c r="IJK75" s="2805"/>
      <c r="IJL75" s="2805"/>
      <c r="IJM75" s="2805"/>
      <c r="IJN75" s="2805"/>
      <c r="IJO75" s="2805"/>
      <c r="IJP75" s="2805"/>
      <c r="IJQ75" s="2805"/>
      <c r="IJR75" s="2805"/>
      <c r="IJS75" s="2805"/>
      <c r="IJT75" s="2805"/>
      <c r="IJU75" s="2805"/>
      <c r="IJV75" s="2805"/>
      <c r="IJW75" s="2805"/>
      <c r="IJX75" s="2805"/>
      <c r="IJY75" s="2805"/>
      <c r="IJZ75" s="2805"/>
      <c r="IKA75" s="2805"/>
      <c r="IKB75" s="2805"/>
      <c r="IKC75" s="2805"/>
      <c r="IKD75" s="2805"/>
      <c r="IKE75" s="2805"/>
      <c r="IKF75" s="2805"/>
      <c r="IKG75" s="2805"/>
      <c r="IKH75" s="2805"/>
      <c r="IKI75" s="2805"/>
      <c r="IKJ75" s="2805"/>
      <c r="IKK75" s="2805"/>
      <c r="IKL75" s="2805"/>
      <c r="IKM75" s="2805"/>
      <c r="IKN75" s="2805"/>
      <c r="IKO75" s="2805"/>
      <c r="IKP75" s="2805"/>
      <c r="IKQ75" s="2805"/>
      <c r="IKR75" s="2805"/>
      <c r="IKS75" s="2805"/>
      <c r="IKT75" s="2805"/>
      <c r="IKU75" s="2805"/>
      <c r="IKV75" s="2805"/>
      <c r="IKW75" s="2805"/>
      <c r="IKX75" s="2805"/>
      <c r="IKY75" s="2805"/>
      <c r="IKZ75" s="2805"/>
      <c r="ILA75" s="2805"/>
      <c r="ILB75" s="2805"/>
      <c r="ILC75" s="2805"/>
      <c r="ILD75" s="2805"/>
      <c r="ILE75" s="2805"/>
      <c r="ILF75" s="2805"/>
      <c r="ILG75" s="2805"/>
      <c r="ILH75" s="2805"/>
      <c r="ILI75" s="2805"/>
      <c r="ILJ75" s="2805"/>
      <c r="ILK75" s="2805"/>
      <c r="ILL75" s="2805"/>
      <c r="ILM75" s="2805"/>
      <c r="ILN75" s="2805"/>
      <c r="ILO75" s="2805"/>
      <c r="ILP75" s="2805"/>
      <c r="ILQ75" s="2805"/>
      <c r="ILR75" s="2805"/>
      <c r="ILS75" s="2805"/>
      <c r="ILT75" s="2805"/>
      <c r="ILU75" s="2805"/>
      <c r="ILV75" s="2805"/>
      <c r="ILW75" s="2805"/>
      <c r="ILX75" s="2805"/>
      <c r="ILY75" s="2805"/>
      <c r="ILZ75" s="2805"/>
      <c r="IMA75" s="2805"/>
      <c r="IMB75" s="2805"/>
      <c r="IMC75" s="2805"/>
      <c r="IMD75" s="2805"/>
      <c r="IME75" s="2805"/>
      <c r="IMF75" s="2805"/>
      <c r="IMG75" s="2805"/>
      <c r="IMH75" s="2805"/>
      <c r="IMI75" s="2805"/>
      <c r="IMJ75" s="2805"/>
      <c r="IMK75" s="2805"/>
      <c r="IML75" s="2805"/>
      <c r="IMM75" s="2805"/>
      <c r="IMN75" s="2805"/>
      <c r="IMO75" s="2805"/>
      <c r="IMP75" s="2805"/>
      <c r="IMQ75" s="2805"/>
      <c r="IMR75" s="2805"/>
      <c r="IMS75" s="2805"/>
      <c r="IMT75" s="2805"/>
      <c r="IMU75" s="2805"/>
      <c r="IMV75" s="2805"/>
      <c r="IMW75" s="2805"/>
      <c r="IMX75" s="2805"/>
      <c r="IMY75" s="2805"/>
      <c r="IMZ75" s="2805"/>
      <c r="INA75" s="2805"/>
      <c r="INB75" s="2805"/>
      <c r="INC75" s="2805"/>
      <c r="IND75" s="2805"/>
      <c r="INE75" s="2805"/>
      <c r="INF75" s="2805"/>
      <c r="ING75" s="2805"/>
      <c r="INH75" s="2805"/>
      <c r="INI75" s="2805"/>
      <c r="INJ75" s="2805"/>
      <c r="INK75" s="2805"/>
      <c r="INL75" s="2805"/>
      <c r="INM75" s="2805"/>
      <c r="INN75" s="2805"/>
      <c r="INO75" s="2805"/>
      <c r="INP75" s="2805"/>
      <c r="INQ75" s="2805"/>
      <c r="INR75" s="2805"/>
      <c r="INS75" s="2805"/>
      <c r="INT75" s="2805"/>
      <c r="INU75" s="2805"/>
      <c r="INV75" s="2805"/>
      <c r="INW75" s="2805"/>
      <c r="INX75" s="2805"/>
      <c r="INY75" s="2805"/>
      <c r="INZ75" s="2805"/>
      <c r="IOA75" s="2805"/>
      <c r="IOB75" s="2805"/>
      <c r="IOC75" s="2805"/>
      <c r="IOD75" s="2805"/>
      <c r="IOE75" s="2805"/>
      <c r="IOF75" s="2805"/>
      <c r="IOG75" s="2805"/>
      <c r="IOH75" s="2805"/>
      <c r="IOI75" s="2805"/>
      <c r="IOJ75" s="2805"/>
      <c r="IOK75" s="2805"/>
      <c r="IOL75" s="2805"/>
      <c r="IOM75" s="2805"/>
      <c r="ION75" s="2805"/>
      <c r="IOO75" s="2805"/>
      <c r="IOP75" s="2805"/>
      <c r="IOQ75" s="2805"/>
      <c r="IOR75" s="2805"/>
      <c r="IOS75" s="2805"/>
      <c r="IOT75" s="2805"/>
      <c r="IOU75" s="2805"/>
      <c r="IOV75" s="2805"/>
      <c r="IOW75" s="2805"/>
      <c r="IOX75" s="2805"/>
      <c r="IOY75" s="2805"/>
      <c r="IOZ75" s="2805"/>
      <c r="IPA75" s="2805"/>
      <c r="IPB75" s="2805"/>
      <c r="IPC75" s="2805"/>
      <c r="IPD75" s="2805"/>
      <c r="IPE75" s="2805"/>
      <c r="IPF75" s="2805"/>
      <c r="IPG75" s="2805"/>
      <c r="IPH75" s="2805"/>
      <c r="IPI75" s="2805"/>
      <c r="IPJ75" s="2805"/>
      <c r="IPK75" s="2805"/>
      <c r="IPL75" s="2805"/>
      <c r="IPM75" s="2805"/>
      <c r="IPN75" s="2805"/>
      <c r="IPO75" s="2805"/>
      <c r="IPP75" s="2805"/>
      <c r="IPQ75" s="2805"/>
      <c r="IPR75" s="2805"/>
      <c r="IPS75" s="2805"/>
      <c r="IPT75" s="2805"/>
      <c r="IPU75" s="2805"/>
      <c r="IPV75" s="2805"/>
      <c r="IPW75" s="2805"/>
      <c r="IPX75" s="2805"/>
      <c r="IPY75" s="2805"/>
      <c r="IPZ75" s="2805"/>
      <c r="IQA75" s="2805"/>
      <c r="IQB75" s="2805"/>
      <c r="IQC75" s="2805"/>
      <c r="IQD75" s="2805"/>
      <c r="IQE75" s="2805"/>
      <c r="IQF75" s="2805"/>
      <c r="IQG75" s="2805"/>
      <c r="IQH75" s="2805"/>
      <c r="IQI75" s="2805"/>
      <c r="IQJ75" s="2805"/>
      <c r="IQK75" s="2805"/>
      <c r="IQL75" s="2805"/>
      <c r="IQM75" s="2805"/>
      <c r="IQN75" s="2805"/>
      <c r="IQO75" s="2805"/>
      <c r="IQP75" s="2805"/>
      <c r="IQQ75" s="2805"/>
      <c r="IQR75" s="2805"/>
      <c r="IQS75" s="2805"/>
      <c r="IQT75" s="2805"/>
      <c r="IQU75" s="2805"/>
      <c r="IQV75" s="2805"/>
      <c r="IQW75" s="2805"/>
      <c r="IQX75" s="2805"/>
      <c r="IQY75" s="2805"/>
      <c r="IQZ75" s="2805"/>
      <c r="IRA75" s="2805"/>
      <c r="IRB75" s="2805"/>
      <c r="IRC75" s="2805"/>
      <c r="IRD75" s="2805"/>
      <c r="IRE75" s="2805"/>
      <c r="IRF75" s="2805"/>
      <c r="IRG75" s="2805"/>
      <c r="IRH75" s="2805"/>
      <c r="IRI75" s="2805"/>
      <c r="IRJ75" s="2805"/>
      <c r="IRK75" s="2805"/>
      <c r="IRL75" s="2805"/>
      <c r="IRM75" s="2805"/>
      <c r="IRN75" s="2805"/>
      <c r="IRO75" s="2805"/>
      <c r="IRP75" s="2805"/>
      <c r="IRQ75" s="2805"/>
      <c r="IRR75" s="2805"/>
      <c r="IRS75" s="2805"/>
      <c r="IRT75" s="2805"/>
      <c r="IRU75" s="2805"/>
      <c r="IRV75" s="2805"/>
      <c r="IRW75" s="2805"/>
      <c r="IRX75" s="2805"/>
      <c r="IRY75" s="2805"/>
      <c r="IRZ75" s="2805"/>
      <c r="ISA75" s="2805"/>
      <c r="ISB75" s="2805"/>
      <c r="ISC75" s="2805"/>
      <c r="ISD75" s="2805"/>
      <c r="ISE75" s="2805"/>
      <c r="ISF75" s="2805"/>
      <c r="ISG75" s="2805"/>
      <c r="ISH75" s="2805"/>
      <c r="ISI75" s="2805"/>
      <c r="ISJ75" s="2805"/>
      <c r="ISK75" s="2805"/>
      <c r="ISL75" s="2805"/>
      <c r="ISM75" s="2805"/>
      <c r="ISN75" s="2805"/>
      <c r="ISO75" s="2805"/>
      <c r="ISP75" s="2805"/>
      <c r="ISQ75" s="2805"/>
      <c r="ISR75" s="2805"/>
      <c r="ISS75" s="2805"/>
      <c r="IST75" s="2805"/>
      <c r="ISU75" s="2805"/>
      <c r="ISV75" s="2805"/>
      <c r="ISW75" s="2805"/>
      <c r="ISX75" s="2805"/>
      <c r="ISY75" s="2805"/>
      <c r="ISZ75" s="2805"/>
      <c r="ITA75" s="2805"/>
      <c r="ITB75" s="2805"/>
      <c r="ITC75" s="2805"/>
      <c r="ITD75" s="2805"/>
      <c r="ITE75" s="2805"/>
      <c r="ITF75" s="2805"/>
      <c r="ITG75" s="2805"/>
      <c r="ITH75" s="2805"/>
      <c r="ITI75" s="2805"/>
      <c r="ITJ75" s="2805"/>
      <c r="ITK75" s="2805"/>
      <c r="ITL75" s="2805"/>
      <c r="ITM75" s="2805"/>
      <c r="ITN75" s="2805"/>
      <c r="ITO75" s="2805"/>
      <c r="ITP75" s="2805"/>
      <c r="ITQ75" s="2805"/>
      <c r="ITR75" s="2805"/>
      <c r="ITS75" s="2805"/>
      <c r="ITT75" s="2805"/>
      <c r="ITU75" s="2805"/>
      <c r="ITV75" s="2805"/>
      <c r="ITW75" s="2805"/>
      <c r="ITX75" s="2805"/>
      <c r="ITY75" s="2805"/>
      <c r="ITZ75" s="2805"/>
      <c r="IUA75" s="2805"/>
      <c r="IUB75" s="2805"/>
      <c r="IUC75" s="2805"/>
      <c r="IUD75" s="2805"/>
      <c r="IUE75" s="2805"/>
      <c r="IUF75" s="2805"/>
      <c r="IUG75" s="2805"/>
      <c r="IUH75" s="2805"/>
      <c r="IUI75" s="2805"/>
      <c r="IUJ75" s="2805"/>
      <c r="IUK75" s="2805"/>
      <c r="IUL75" s="2805"/>
      <c r="IUM75" s="2805"/>
      <c r="IUN75" s="2805"/>
      <c r="IUO75" s="2805"/>
      <c r="IUP75" s="2805"/>
      <c r="IUQ75" s="2805"/>
      <c r="IUR75" s="2805"/>
      <c r="IUS75" s="2805"/>
      <c r="IUT75" s="2805"/>
      <c r="IUU75" s="2805"/>
      <c r="IUV75" s="2805"/>
      <c r="IUW75" s="2805"/>
      <c r="IUX75" s="2805"/>
      <c r="IUY75" s="2805"/>
      <c r="IUZ75" s="2805"/>
      <c r="IVA75" s="2805"/>
      <c r="IVB75" s="2805"/>
      <c r="IVC75" s="2805"/>
      <c r="IVD75" s="2805"/>
      <c r="IVE75" s="2805"/>
      <c r="IVF75" s="2805"/>
      <c r="IVG75" s="2805"/>
      <c r="IVH75" s="2805"/>
      <c r="IVI75" s="2805"/>
      <c r="IVJ75" s="2805"/>
      <c r="IVK75" s="2805"/>
      <c r="IVL75" s="2805"/>
      <c r="IVM75" s="2805"/>
      <c r="IVN75" s="2805"/>
      <c r="IVO75" s="2805"/>
      <c r="IVP75" s="2805"/>
      <c r="IVQ75" s="2805"/>
      <c r="IVR75" s="2805"/>
      <c r="IVS75" s="2805"/>
      <c r="IVT75" s="2805"/>
      <c r="IVU75" s="2805"/>
      <c r="IVV75" s="2805"/>
      <c r="IVW75" s="2805"/>
      <c r="IVX75" s="2805"/>
      <c r="IVY75" s="2805"/>
      <c r="IVZ75" s="2805"/>
      <c r="IWA75" s="2805"/>
      <c r="IWB75" s="2805"/>
      <c r="IWC75" s="2805"/>
      <c r="IWD75" s="2805"/>
      <c r="IWE75" s="2805"/>
      <c r="IWF75" s="2805"/>
      <c r="IWG75" s="2805"/>
      <c r="IWH75" s="2805"/>
      <c r="IWI75" s="2805"/>
      <c r="IWJ75" s="2805"/>
      <c r="IWK75" s="2805"/>
      <c r="IWL75" s="2805"/>
      <c r="IWM75" s="2805"/>
      <c r="IWN75" s="2805"/>
      <c r="IWO75" s="2805"/>
      <c r="IWP75" s="2805"/>
      <c r="IWQ75" s="2805"/>
      <c r="IWR75" s="2805"/>
      <c r="IWS75" s="2805"/>
      <c r="IWT75" s="2805"/>
      <c r="IWU75" s="2805"/>
      <c r="IWV75" s="2805"/>
      <c r="IWW75" s="2805"/>
      <c r="IWX75" s="2805"/>
      <c r="IWY75" s="2805"/>
      <c r="IWZ75" s="2805"/>
      <c r="IXA75" s="2805"/>
      <c r="IXB75" s="2805"/>
      <c r="IXC75" s="2805"/>
      <c r="IXD75" s="2805"/>
      <c r="IXE75" s="2805"/>
      <c r="IXF75" s="2805"/>
      <c r="IXG75" s="2805"/>
      <c r="IXH75" s="2805"/>
      <c r="IXI75" s="2805"/>
      <c r="IXJ75" s="2805"/>
      <c r="IXK75" s="2805"/>
      <c r="IXL75" s="2805"/>
      <c r="IXM75" s="2805"/>
      <c r="IXN75" s="2805"/>
      <c r="IXO75" s="2805"/>
      <c r="IXP75" s="2805"/>
      <c r="IXQ75" s="2805"/>
      <c r="IXR75" s="2805"/>
      <c r="IXS75" s="2805"/>
      <c r="IXT75" s="2805"/>
      <c r="IXU75" s="2805"/>
      <c r="IXV75" s="2805"/>
      <c r="IXW75" s="2805"/>
      <c r="IXX75" s="2805"/>
      <c r="IXY75" s="2805"/>
      <c r="IXZ75" s="2805"/>
      <c r="IYA75" s="2805"/>
      <c r="IYB75" s="2805"/>
      <c r="IYC75" s="2805"/>
      <c r="IYD75" s="2805"/>
      <c r="IYE75" s="2805"/>
      <c r="IYF75" s="2805"/>
      <c r="IYG75" s="2805"/>
      <c r="IYH75" s="2805"/>
      <c r="IYI75" s="2805"/>
      <c r="IYJ75" s="2805"/>
      <c r="IYK75" s="2805"/>
      <c r="IYL75" s="2805"/>
      <c r="IYM75" s="2805"/>
      <c r="IYN75" s="2805"/>
      <c r="IYO75" s="2805"/>
      <c r="IYP75" s="2805"/>
      <c r="IYQ75" s="2805"/>
      <c r="IYR75" s="2805"/>
      <c r="IYS75" s="2805"/>
      <c r="IYT75" s="2805"/>
      <c r="IYU75" s="2805"/>
      <c r="IYV75" s="2805"/>
      <c r="IYW75" s="2805"/>
      <c r="IYX75" s="2805"/>
      <c r="IYY75" s="2805"/>
      <c r="IYZ75" s="2805"/>
      <c r="IZA75" s="2805"/>
      <c r="IZB75" s="2805"/>
      <c r="IZC75" s="2805"/>
      <c r="IZD75" s="2805"/>
      <c r="IZE75" s="2805"/>
      <c r="IZF75" s="2805"/>
      <c r="IZG75" s="2805"/>
      <c r="IZH75" s="2805"/>
      <c r="IZI75" s="2805"/>
      <c r="IZJ75" s="2805"/>
      <c r="IZK75" s="2805"/>
      <c r="IZL75" s="2805"/>
      <c r="IZM75" s="2805"/>
      <c r="IZN75" s="2805"/>
      <c r="IZO75" s="2805"/>
      <c r="IZP75" s="2805"/>
      <c r="IZQ75" s="2805"/>
      <c r="IZR75" s="2805"/>
      <c r="IZS75" s="2805"/>
      <c r="IZT75" s="2805"/>
      <c r="IZU75" s="2805"/>
      <c r="IZV75" s="2805"/>
      <c r="IZW75" s="2805"/>
      <c r="IZX75" s="2805"/>
      <c r="IZY75" s="2805"/>
      <c r="IZZ75" s="2805"/>
      <c r="JAA75" s="2805"/>
      <c r="JAB75" s="2805"/>
      <c r="JAC75" s="2805"/>
      <c r="JAD75" s="2805"/>
      <c r="JAE75" s="2805"/>
      <c r="JAF75" s="2805"/>
      <c r="JAG75" s="2805"/>
      <c r="JAH75" s="2805"/>
      <c r="JAI75" s="2805"/>
      <c r="JAJ75" s="2805"/>
      <c r="JAK75" s="2805"/>
      <c r="JAL75" s="2805"/>
      <c r="JAM75" s="2805"/>
      <c r="JAN75" s="2805"/>
      <c r="JAO75" s="2805"/>
      <c r="JAP75" s="2805"/>
      <c r="JAQ75" s="2805"/>
      <c r="JAR75" s="2805"/>
      <c r="JAS75" s="2805"/>
      <c r="JAT75" s="2805"/>
      <c r="JAU75" s="2805"/>
      <c r="JAV75" s="2805"/>
      <c r="JAW75" s="2805"/>
      <c r="JAX75" s="2805"/>
      <c r="JAY75" s="2805"/>
      <c r="JAZ75" s="2805"/>
      <c r="JBA75" s="2805"/>
      <c r="JBB75" s="2805"/>
      <c r="JBC75" s="2805"/>
      <c r="JBD75" s="2805"/>
      <c r="JBE75" s="2805"/>
      <c r="JBF75" s="2805"/>
      <c r="JBG75" s="2805"/>
      <c r="JBH75" s="2805"/>
      <c r="JBI75" s="2805"/>
      <c r="JBJ75" s="2805"/>
      <c r="JBK75" s="2805"/>
      <c r="JBL75" s="2805"/>
      <c r="JBM75" s="2805"/>
      <c r="JBN75" s="2805"/>
      <c r="JBO75" s="2805"/>
      <c r="JBP75" s="2805"/>
      <c r="JBQ75" s="2805"/>
      <c r="JBR75" s="2805"/>
      <c r="JBS75" s="2805"/>
      <c r="JBT75" s="2805"/>
      <c r="JBU75" s="2805"/>
      <c r="JBV75" s="2805"/>
      <c r="JBW75" s="2805"/>
      <c r="JBX75" s="2805"/>
      <c r="JBY75" s="2805"/>
      <c r="JBZ75" s="2805"/>
      <c r="JCA75" s="2805"/>
      <c r="JCB75" s="2805"/>
      <c r="JCC75" s="2805"/>
      <c r="JCD75" s="2805"/>
      <c r="JCE75" s="2805"/>
      <c r="JCF75" s="2805"/>
      <c r="JCG75" s="2805"/>
      <c r="JCH75" s="2805"/>
      <c r="JCI75" s="2805"/>
      <c r="JCJ75" s="2805"/>
      <c r="JCK75" s="2805"/>
      <c r="JCL75" s="2805"/>
      <c r="JCM75" s="2805"/>
      <c r="JCN75" s="2805"/>
      <c r="JCO75" s="2805"/>
      <c r="JCP75" s="2805"/>
      <c r="JCQ75" s="2805"/>
      <c r="JCR75" s="2805"/>
      <c r="JCS75" s="2805"/>
      <c r="JCT75" s="2805"/>
      <c r="JCU75" s="2805"/>
      <c r="JCV75" s="2805"/>
      <c r="JCW75" s="2805"/>
      <c r="JCX75" s="2805"/>
      <c r="JCY75" s="2805"/>
      <c r="JCZ75" s="2805"/>
      <c r="JDA75" s="2805"/>
      <c r="JDB75" s="2805"/>
      <c r="JDC75" s="2805"/>
      <c r="JDD75" s="2805"/>
      <c r="JDE75" s="2805"/>
      <c r="JDF75" s="2805"/>
      <c r="JDG75" s="2805"/>
      <c r="JDH75" s="2805"/>
      <c r="JDI75" s="2805"/>
      <c r="JDJ75" s="2805"/>
      <c r="JDK75" s="2805"/>
      <c r="JDL75" s="2805"/>
      <c r="JDM75" s="2805"/>
      <c r="JDN75" s="2805"/>
      <c r="JDO75" s="2805"/>
      <c r="JDP75" s="2805"/>
      <c r="JDQ75" s="2805"/>
      <c r="JDR75" s="2805"/>
      <c r="JDS75" s="2805"/>
      <c r="JDT75" s="2805"/>
      <c r="JDU75" s="2805"/>
      <c r="JDV75" s="2805"/>
      <c r="JDW75" s="2805"/>
      <c r="JDX75" s="2805"/>
      <c r="JDY75" s="2805"/>
      <c r="JDZ75" s="2805"/>
      <c r="JEA75" s="2805"/>
      <c r="JEB75" s="2805"/>
      <c r="JEC75" s="2805"/>
      <c r="JED75" s="2805"/>
      <c r="JEE75" s="2805"/>
      <c r="JEF75" s="2805"/>
      <c r="JEG75" s="2805"/>
      <c r="JEH75" s="2805"/>
      <c r="JEI75" s="2805"/>
      <c r="JEJ75" s="2805"/>
      <c r="JEK75" s="2805"/>
      <c r="JEL75" s="2805"/>
      <c r="JEM75" s="2805"/>
      <c r="JEN75" s="2805"/>
      <c r="JEO75" s="2805"/>
      <c r="JEP75" s="2805"/>
      <c r="JEQ75" s="2805"/>
      <c r="JER75" s="2805"/>
      <c r="JES75" s="2805"/>
      <c r="JET75" s="2805"/>
      <c r="JEU75" s="2805"/>
      <c r="JEV75" s="2805"/>
      <c r="JEW75" s="2805"/>
      <c r="JEX75" s="2805"/>
      <c r="JEY75" s="2805"/>
      <c r="JEZ75" s="2805"/>
      <c r="JFA75" s="2805"/>
      <c r="JFB75" s="2805"/>
      <c r="JFC75" s="2805"/>
      <c r="JFD75" s="2805"/>
      <c r="JFE75" s="2805"/>
      <c r="JFF75" s="2805"/>
      <c r="JFG75" s="2805"/>
      <c r="JFH75" s="2805"/>
      <c r="JFI75" s="2805"/>
      <c r="JFJ75" s="2805"/>
      <c r="JFK75" s="2805"/>
      <c r="JFL75" s="2805"/>
      <c r="JFM75" s="2805"/>
      <c r="JFN75" s="2805"/>
      <c r="JFO75" s="2805"/>
      <c r="JFP75" s="2805"/>
      <c r="JFQ75" s="2805"/>
      <c r="JFR75" s="2805"/>
      <c r="JFS75" s="2805"/>
      <c r="JFT75" s="2805"/>
      <c r="JFU75" s="2805"/>
      <c r="JFV75" s="2805"/>
      <c r="JFW75" s="2805"/>
      <c r="JFX75" s="2805"/>
      <c r="JFY75" s="2805"/>
      <c r="JFZ75" s="2805"/>
      <c r="JGA75" s="2805"/>
      <c r="JGB75" s="2805"/>
      <c r="JGC75" s="2805"/>
      <c r="JGD75" s="2805"/>
      <c r="JGE75" s="2805"/>
      <c r="JGF75" s="2805"/>
      <c r="JGG75" s="2805"/>
      <c r="JGH75" s="2805"/>
      <c r="JGI75" s="2805"/>
      <c r="JGJ75" s="2805"/>
      <c r="JGK75" s="2805"/>
      <c r="JGL75" s="2805"/>
      <c r="JGM75" s="2805"/>
      <c r="JGN75" s="2805"/>
      <c r="JGO75" s="2805"/>
      <c r="JGP75" s="2805"/>
      <c r="JGQ75" s="2805"/>
      <c r="JGR75" s="2805"/>
      <c r="JGS75" s="2805"/>
      <c r="JGT75" s="2805"/>
      <c r="JGU75" s="2805"/>
      <c r="JGV75" s="2805"/>
      <c r="JGW75" s="2805"/>
      <c r="JGX75" s="2805"/>
      <c r="JGY75" s="2805"/>
      <c r="JGZ75" s="2805"/>
      <c r="JHA75" s="2805"/>
      <c r="JHB75" s="2805"/>
      <c r="JHC75" s="2805"/>
      <c r="JHD75" s="2805"/>
      <c r="JHE75" s="2805"/>
      <c r="JHF75" s="2805"/>
      <c r="JHG75" s="2805"/>
      <c r="JHH75" s="2805"/>
      <c r="JHI75" s="2805"/>
      <c r="JHJ75" s="2805"/>
      <c r="JHK75" s="2805"/>
      <c r="JHL75" s="2805"/>
      <c r="JHM75" s="2805"/>
      <c r="JHN75" s="2805"/>
      <c r="JHO75" s="2805"/>
      <c r="JHP75" s="2805"/>
      <c r="JHQ75" s="2805"/>
      <c r="JHR75" s="2805"/>
      <c r="JHS75" s="2805"/>
      <c r="JHT75" s="2805"/>
      <c r="JHU75" s="2805"/>
      <c r="JHV75" s="2805"/>
      <c r="JHW75" s="2805"/>
      <c r="JHX75" s="2805"/>
      <c r="JHY75" s="2805"/>
      <c r="JHZ75" s="2805"/>
      <c r="JIA75" s="2805"/>
      <c r="JIB75" s="2805"/>
      <c r="JIC75" s="2805"/>
      <c r="JID75" s="2805"/>
      <c r="JIE75" s="2805"/>
      <c r="JIF75" s="2805"/>
      <c r="JIG75" s="2805"/>
      <c r="JIH75" s="2805"/>
      <c r="JII75" s="2805"/>
      <c r="JIJ75" s="2805"/>
      <c r="JIK75" s="2805"/>
      <c r="JIL75" s="2805"/>
      <c r="JIM75" s="2805"/>
      <c r="JIN75" s="2805"/>
      <c r="JIO75" s="2805"/>
      <c r="JIP75" s="2805"/>
      <c r="JIQ75" s="2805"/>
      <c r="JIR75" s="2805"/>
      <c r="JIS75" s="2805"/>
      <c r="JIT75" s="2805"/>
      <c r="JIU75" s="2805"/>
      <c r="JIV75" s="2805"/>
      <c r="JIW75" s="2805"/>
      <c r="JIX75" s="2805"/>
      <c r="JIY75" s="2805"/>
      <c r="JIZ75" s="2805"/>
      <c r="JJA75" s="2805"/>
      <c r="JJB75" s="2805"/>
      <c r="JJC75" s="2805"/>
      <c r="JJD75" s="2805"/>
      <c r="JJE75" s="2805"/>
      <c r="JJF75" s="2805"/>
      <c r="JJG75" s="2805"/>
      <c r="JJH75" s="2805"/>
      <c r="JJI75" s="2805"/>
      <c r="JJJ75" s="2805"/>
      <c r="JJK75" s="2805"/>
      <c r="JJL75" s="2805"/>
      <c r="JJM75" s="2805"/>
      <c r="JJN75" s="2805"/>
      <c r="JJO75" s="2805"/>
      <c r="JJP75" s="2805"/>
      <c r="JJQ75" s="2805"/>
      <c r="JJR75" s="2805"/>
      <c r="JJS75" s="2805"/>
      <c r="JJT75" s="2805"/>
      <c r="JJU75" s="2805"/>
      <c r="JJV75" s="2805"/>
      <c r="JJW75" s="2805"/>
      <c r="JJX75" s="2805"/>
      <c r="JJY75" s="2805"/>
      <c r="JJZ75" s="2805"/>
      <c r="JKA75" s="2805"/>
      <c r="JKB75" s="2805"/>
      <c r="JKC75" s="2805"/>
      <c r="JKD75" s="2805"/>
      <c r="JKE75" s="2805"/>
      <c r="JKF75" s="2805"/>
      <c r="JKG75" s="2805"/>
      <c r="JKH75" s="2805"/>
      <c r="JKI75" s="2805"/>
      <c r="JKJ75" s="2805"/>
      <c r="JKK75" s="2805"/>
      <c r="JKL75" s="2805"/>
      <c r="JKM75" s="2805"/>
      <c r="JKN75" s="2805"/>
      <c r="JKO75" s="2805"/>
      <c r="JKP75" s="2805"/>
      <c r="JKQ75" s="2805"/>
      <c r="JKR75" s="2805"/>
      <c r="JKS75" s="2805"/>
      <c r="JKT75" s="2805"/>
      <c r="JKU75" s="2805"/>
      <c r="JKV75" s="2805"/>
      <c r="JKW75" s="2805"/>
      <c r="JKX75" s="2805"/>
      <c r="JKY75" s="2805"/>
      <c r="JKZ75" s="2805"/>
      <c r="JLA75" s="2805"/>
      <c r="JLB75" s="2805"/>
      <c r="JLC75" s="2805"/>
      <c r="JLD75" s="2805"/>
      <c r="JLE75" s="2805"/>
      <c r="JLF75" s="2805"/>
      <c r="JLG75" s="2805"/>
      <c r="JLH75" s="2805"/>
      <c r="JLI75" s="2805"/>
      <c r="JLJ75" s="2805"/>
      <c r="JLK75" s="2805"/>
      <c r="JLL75" s="2805"/>
      <c r="JLM75" s="2805"/>
      <c r="JLN75" s="2805"/>
      <c r="JLO75" s="2805"/>
      <c r="JLP75" s="2805"/>
      <c r="JLQ75" s="2805"/>
      <c r="JLR75" s="2805"/>
      <c r="JLS75" s="2805"/>
      <c r="JLT75" s="2805"/>
      <c r="JLU75" s="2805"/>
      <c r="JLV75" s="2805"/>
      <c r="JLW75" s="2805"/>
      <c r="JLX75" s="2805"/>
      <c r="JLY75" s="2805"/>
      <c r="JLZ75" s="2805"/>
      <c r="JMA75" s="2805"/>
      <c r="JMB75" s="2805"/>
      <c r="JMC75" s="2805"/>
      <c r="JMD75" s="2805"/>
      <c r="JME75" s="2805"/>
      <c r="JMF75" s="2805"/>
      <c r="JMG75" s="2805"/>
      <c r="JMH75" s="2805"/>
      <c r="JMI75" s="2805"/>
      <c r="JMJ75" s="2805"/>
      <c r="JMK75" s="2805"/>
      <c r="JML75" s="2805"/>
      <c r="JMM75" s="2805"/>
      <c r="JMN75" s="2805"/>
      <c r="JMO75" s="2805"/>
      <c r="JMP75" s="2805"/>
      <c r="JMQ75" s="2805"/>
      <c r="JMR75" s="2805"/>
      <c r="JMS75" s="2805"/>
      <c r="JMT75" s="2805"/>
      <c r="JMU75" s="2805"/>
      <c r="JMV75" s="2805"/>
      <c r="JMW75" s="2805"/>
      <c r="JMX75" s="2805"/>
      <c r="JMY75" s="2805"/>
      <c r="JMZ75" s="2805"/>
      <c r="JNA75" s="2805"/>
      <c r="JNB75" s="2805"/>
      <c r="JNC75" s="2805"/>
      <c r="JND75" s="2805"/>
      <c r="JNE75" s="2805"/>
      <c r="JNF75" s="2805"/>
      <c r="JNG75" s="2805"/>
      <c r="JNH75" s="2805"/>
      <c r="JNI75" s="2805"/>
      <c r="JNJ75" s="2805"/>
      <c r="JNK75" s="2805"/>
      <c r="JNL75" s="2805"/>
      <c r="JNM75" s="2805"/>
      <c r="JNN75" s="2805"/>
      <c r="JNO75" s="2805"/>
      <c r="JNP75" s="2805"/>
      <c r="JNQ75" s="2805"/>
      <c r="JNR75" s="2805"/>
      <c r="JNS75" s="2805"/>
      <c r="JNT75" s="2805"/>
      <c r="JNU75" s="2805"/>
      <c r="JNV75" s="2805"/>
      <c r="JNW75" s="2805"/>
      <c r="JNX75" s="2805"/>
      <c r="JNY75" s="2805"/>
      <c r="JNZ75" s="2805"/>
      <c r="JOA75" s="2805"/>
      <c r="JOB75" s="2805"/>
      <c r="JOC75" s="2805"/>
      <c r="JOD75" s="2805"/>
      <c r="JOE75" s="2805"/>
      <c r="JOF75" s="2805"/>
      <c r="JOG75" s="2805"/>
      <c r="JOH75" s="2805"/>
      <c r="JOI75" s="2805"/>
      <c r="JOJ75" s="2805"/>
      <c r="JOK75" s="2805"/>
      <c r="JOL75" s="2805"/>
      <c r="JOM75" s="2805"/>
      <c r="JON75" s="2805"/>
      <c r="JOO75" s="2805"/>
      <c r="JOP75" s="2805"/>
      <c r="JOQ75" s="2805"/>
      <c r="JOR75" s="2805"/>
      <c r="JOS75" s="2805"/>
      <c r="JOT75" s="2805"/>
      <c r="JOU75" s="2805"/>
      <c r="JOV75" s="2805"/>
      <c r="JOW75" s="2805"/>
      <c r="JOX75" s="2805"/>
      <c r="JOY75" s="2805"/>
      <c r="JOZ75" s="2805"/>
      <c r="JPA75" s="2805"/>
      <c r="JPB75" s="2805"/>
      <c r="JPC75" s="2805"/>
      <c r="JPD75" s="2805"/>
      <c r="JPE75" s="2805"/>
      <c r="JPF75" s="2805"/>
      <c r="JPG75" s="2805"/>
      <c r="JPH75" s="2805"/>
      <c r="JPI75" s="2805"/>
      <c r="JPJ75" s="2805"/>
      <c r="JPK75" s="2805"/>
      <c r="JPL75" s="2805"/>
      <c r="JPM75" s="2805"/>
      <c r="JPN75" s="2805"/>
      <c r="JPO75" s="2805"/>
      <c r="JPP75" s="2805"/>
      <c r="JPQ75" s="2805"/>
      <c r="JPR75" s="2805"/>
      <c r="JPS75" s="2805"/>
      <c r="JPT75" s="2805"/>
      <c r="JPU75" s="2805"/>
      <c r="JPV75" s="2805"/>
      <c r="JPW75" s="2805"/>
      <c r="JPX75" s="2805"/>
      <c r="JPY75" s="2805"/>
      <c r="JPZ75" s="2805"/>
      <c r="JQA75" s="2805"/>
      <c r="JQB75" s="2805"/>
      <c r="JQC75" s="2805"/>
      <c r="JQD75" s="2805"/>
      <c r="JQE75" s="2805"/>
      <c r="JQF75" s="2805"/>
      <c r="JQG75" s="2805"/>
      <c r="JQH75" s="2805"/>
      <c r="JQI75" s="2805"/>
      <c r="JQJ75" s="2805"/>
      <c r="JQK75" s="2805"/>
      <c r="JQL75" s="2805"/>
      <c r="JQM75" s="2805"/>
      <c r="JQN75" s="2805"/>
      <c r="JQO75" s="2805"/>
      <c r="JQP75" s="2805"/>
      <c r="JQQ75" s="2805"/>
      <c r="JQR75" s="2805"/>
      <c r="JQS75" s="2805"/>
      <c r="JQT75" s="2805"/>
      <c r="JQU75" s="2805"/>
      <c r="JQV75" s="2805"/>
      <c r="JQW75" s="2805"/>
      <c r="JQX75" s="2805"/>
      <c r="JQY75" s="2805"/>
      <c r="JQZ75" s="2805"/>
      <c r="JRA75" s="2805"/>
      <c r="JRB75" s="2805"/>
      <c r="JRC75" s="2805"/>
      <c r="JRD75" s="2805"/>
      <c r="JRE75" s="2805"/>
      <c r="JRF75" s="2805"/>
      <c r="JRG75" s="2805"/>
      <c r="JRH75" s="2805"/>
      <c r="JRI75" s="2805"/>
      <c r="JRJ75" s="2805"/>
      <c r="JRK75" s="2805"/>
      <c r="JRL75" s="2805"/>
      <c r="JRM75" s="2805"/>
      <c r="JRN75" s="2805"/>
      <c r="JRO75" s="2805"/>
      <c r="JRP75" s="2805"/>
      <c r="JRQ75" s="2805"/>
      <c r="JRR75" s="2805"/>
      <c r="JRS75" s="2805"/>
      <c r="JRT75" s="2805"/>
      <c r="JRU75" s="2805"/>
      <c r="JRV75" s="2805"/>
      <c r="JRW75" s="2805"/>
      <c r="JRX75" s="2805"/>
      <c r="JRY75" s="2805"/>
      <c r="JRZ75" s="2805"/>
      <c r="JSA75" s="2805"/>
      <c r="JSB75" s="2805"/>
      <c r="JSC75" s="2805"/>
      <c r="JSD75" s="2805"/>
      <c r="JSE75" s="2805"/>
      <c r="JSF75" s="2805"/>
      <c r="JSG75" s="2805"/>
      <c r="JSH75" s="2805"/>
      <c r="JSI75" s="2805"/>
      <c r="JSJ75" s="2805"/>
      <c r="JSK75" s="2805"/>
      <c r="JSL75" s="2805"/>
      <c r="JSM75" s="2805"/>
      <c r="JSN75" s="2805"/>
      <c r="JSO75" s="2805"/>
      <c r="JSP75" s="2805"/>
      <c r="JSQ75" s="2805"/>
      <c r="JSR75" s="2805"/>
      <c r="JSS75" s="2805"/>
      <c r="JST75" s="2805"/>
      <c r="JSU75" s="2805"/>
      <c r="JSV75" s="2805"/>
      <c r="JSW75" s="2805"/>
      <c r="JSX75" s="2805"/>
      <c r="JSY75" s="2805"/>
      <c r="JSZ75" s="2805"/>
      <c r="JTA75" s="2805"/>
      <c r="JTB75" s="2805"/>
      <c r="JTC75" s="2805"/>
      <c r="JTD75" s="2805"/>
      <c r="JTE75" s="2805"/>
      <c r="JTF75" s="2805"/>
      <c r="JTG75" s="2805"/>
      <c r="JTH75" s="2805"/>
      <c r="JTI75" s="2805"/>
      <c r="JTJ75" s="2805"/>
      <c r="JTK75" s="2805"/>
      <c r="JTL75" s="2805"/>
      <c r="JTM75" s="2805"/>
      <c r="JTN75" s="2805"/>
      <c r="JTO75" s="2805"/>
      <c r="JTP75" s="2805"/>
      <c r="JTQ75" s="2805"/>
      <c r="JTR75" s="2805"/>
      <c r="JTS75" s="2805"/>
      <c r="JTT75" s="2805"/>
      <c r="JTU75" s="2805"/>
      <c r="JTV75" s="2805"/>
      <c r="JTW75" s="2805"/>
      <c r="JTX75" s="2805"/>
      <c r="JTY75" s="2805"/>
      <c r="JTZ75" s="2805"/>
      <c r="JUA75" s="2805"/>
      <c r="JUB75" s="2805"/>
      <c r="JUC75" s="2805"/>
      <c r="JUD75" s="2805"/>
      <c r="JUE75" s="2805"/>
      <c r="JUF75" s="2805"/>
      <c r="JUG75" s="2805"/>
      <c r="JUH75" s="2805"/>
      <c r="JUI75" s="2805"/>
      <c r="JUJ75" s="2805"/>
      <c r="JUK75" s="2805"/>
      <c r="JUL75" s="2805"/>
      <c r="JUM75" s="2805"/>
      <c r="JUN75" s="2805"/>
      <c r="JUO75" s="2805"/>
      <c r="JUP75" s="2805"/>
      <c r="JUQ75" s="2805"/>
      <c r="JUR75" s="2805"/>
      <c r="JUS75" s="2805"/>
      <c r="JUT75" s="2805"/>
      <c r="JUU75" s="2805"/>
      <c r="JUV75" s="2805"/>
      <c r="JUW75" s="2805"/>
      <c r="JUX75" s="2805"/>
      <c r="JUY75" s="2805"/>
      <c r="JUZ75" s="2805"/>
      <c r="JVA75" s="2805"/>
      <c r="JVB75" s="2805"/>
      <c r="JVC75" s="2805"/>
      <c r="JVD75" s="2805"/>
      <c r="JVE75" s="2805"/>
      <c r="JVF75" s="2805"/>
      <c r="JVG75" s="2805"/>
      <c r="JVH75" s="2805"/>
      <c r="JVI75" s="2805"/>
      <c r="JVJ75" s="2805"/>
      <c r="JVK75" s="2805"/>
      <c r="JVL75" s="2805"/>
      <c r="JVM75" s="2805"/>
      <c r="JVN75" s="2805"/>
      <c r="JVO75" s="2805"/>
      <c r="JVP75" s="2805"/>
      <c r="JVQ75" s="2805"/>
      <c r="JVR75" s="2805"/>
      <c r="JVS75" s="2805"/>
      <c r="JVT75" s="2805"/>
      <c r="JVU75" s="2805"/>
      <c r="JVV75" s="2805"/>
      <c r="JVW75" s="2805"/>
      <c r="JVX75" s="2805"/>
      <c r="JVY75" s="2805"/>
      <c r="JVZ75" s="2805"/>
      <c r="JWA75" s="2805"/>
      <c r="JWB75" s="2805"/>
      <c r="JWC75" s="2805"/>
      <c r="JWD75" s="2805"/>
      <c r="JWE75" s="2805"/>
      <c r="JWF75" s="2805"/>
      <c r="JWG75" s="2805"/>
      <c r="JWH75" s="2805"/>
      <c r="JWI75" s="2805"/>
      <c r="JWJ75" s="2805"/>
      <c r="JWK75" s="2805"/>
      <c r="JWL75" s="2805"/>
      <c r="JWM75" s="2805"/>
      <c r="JWN75" s="2805"/>
      <c r="JWO75" s="2805"/>
      <c r="JWP75" s="2805"/>
      <c r="JWQ75" s="2805"/>
      <c r="JWR75" s="2805"/>
      <c r="JWS75" s="2805"/>
      <c r="JWT75" s="2805"/>
      <c r="JWU75" s="2805"/>
      <c r="JWV75" s="2805"/>
      <c r="JWW75" s="2805"/>
      <c r="JWX75" s="2805"/>
      <c r="JWY75" s="2805"/>
      <c r="JWZ75" s="2805"/>
      <c r="JXA75" s="2805"/>
      <c r="JXB75" s="2805"/>
      <c r="JXC75" s="2805"/>
      <c r="JXD75" s="2805"/>
      <c r="JXE75" s="2805"/>
      <c r="JXF75" s="2805"/>
      <c r="JXG75" s="2805"/>
      <c r="JXH75" s="2805"/>
      <c r="JXI75" s="2805"/>
      <c r="JXJ75" s="2805"/>
      <c r="JXK75" s="2805"/>
      <c r="JXL75" s="2805"/>
      <c r="JXM75" s="2805"/>
      <c r="JXN75" s="2805"/>
      <c r="JXO75" s="2805"/>
      <c r="JXP75" s="2805"/>
      <c r="JXQ75" s="2805"/>
      <c r="JXR75" s="2805"/>
      <c r="JXS75" s="2805"/>
      <c r="JXT75" s="2805"/>
      <c r="JXU75" s="2805"/>
      <c r="JXV75" s="2805"/>
      <c r="JXW75" s="2805"/>
      <c r="JXX75" s="2805"/>
      <c r="JXY75" s="2805"/>
      <c r="JXZ75" s="2805"/>
      <c r="JYA75" s="2805"/>
      <c r="JYB75" s="2805"/>
      <c r="JYC75" s="2805"/>
      <c r="JYD75" s="2805"/>
      <c r="JYE75" s="2805"/>
      <c r="JYF75" s="2805"/>
      <c r="JYG75" s="2805"/>
      <c r="JYH75" s="2805"/>
      <c r="JYI75" s="2805"/>
      <c r="JYJ75" s="2805"/>
      <c r="JYK75" s="2805"/>
      <c r="JYL75" s="2805"/>
      <c r="JYM75" s="2805"/>
      <c r="JYN75" s="2805"/>
      <c r="JYO75" s="2805"/>
      <c r="JYP75" s="2805"/>
      <c r="JYQ75" s="2805"/>
      <c r="JYR75" s="2805"/>
      <c r="JYS75" s="2805"/>
      <c r="JYT75" s="2805"/>
      <c r="JYU75" s="2805"/>
      <c r="JYV75" s="2805"/>
      <c r="JYW75" s="2805"/>
      <c r="JYX75" s="2805"/>
      <c r="JYY75" s="2805"/>
      <c r="JYZ75" s="2805"/>
      <c r="JZA75" s="2805"/>
      <c r="JZB75" s="2805"/>
      <c r="JZC75" s="2805"/>
      <c r="JZD75" s="2805"/>
      <c r="JZE75" s="2805"/>
      <c r="JZF75" s="2805"/>
      <c r="JZG75" s="2805"/>
      <c r="JZH75" s="2805"/>
      <c r="JZI75" s="2805"/>
      <c r="JZJ75" s="2805"/>
      <c r="JZK75" s="2805"/>
      <c r="JZL75" s="2805"/>
      <c r="JZM75" s="2805"/>
      <c r="JZN75" s="2805"/>
      <c r="JZO75" s="2805"/>
      <c r="JZP75" s="2805"/>
      <c r="JZQ75" s="2805"/>
      <c r="JZR75" s="2805"/>
      <c r="JZS75" s="2805"/>
      <c r="JZT75" s="2805"/>
      <c r="JZU75" s="2805"/>
      <c r="JZV75" s="2805"/>
      <c r="JZW75" s="2805"/>
      <c r="JZX75" s="2805"/>
      <c r="JZY75" s="2805"/>
      <c r="JZZ75" s="2805"/>
      <c r="KAA75" s="2805"/>
      <c r="KAB75" s="2805"/>
      <c r="KAC75" s="2805"/>
      <c r="KAD75" s="2805"/>
      <c r="KAE75" s="2805"/>
      <c r="KAF75" s="2805"/>
      <c r="KAG75" s="2805"/>
      <c r="KAH75" s="2805"/>
      <c r="KAI75" s="2805"/>
      <c r="KAJ75" s="2805"/>
      <c r="KAK75" s="2805"/>
      <c r="KAL75" s="2805"/>
      <c r="KAM75" s="2805"/>
      <c r="KAN75" s="2805"/>
      <c r="KAO75" s="2805"/>
      <c r="KAP75" s="2805"/>
      <c r="KAQ75" s="2805"/>
      <c r="KAR75" s="2805"/>
      <c r="KAS75" s="2805"/>
      <c r="KAT75" s="2805"/>
      <c r="KAU75" s="2805"/>
      <c r="KAV75" s="2805"/>
      <c r="KAW75" s="2805"/>
      <c r="KAX75" s="2805"/>
      <c r="KAY75" s="2805"/>
      <c r="KAZ75" s="2805"/>
      <c r="KBA75" s="2805"/>
      <c r="KBB75" s="2805"/>
      <c r="KBC75" s="2805"/>
      <c r="KBD75" s="2805"/>
      <c r="KBE75" s="2805"/>
      <c r="KBF75" s="2805"/>
      <c r="KBG75" s="2805"/>
      <c r="KBH75" s="2805"/>
      <c r="KBI75" s="2805"/>
      <c r="KBJ75" s="2805"/>
      <c r="KBK75" s="2805"/>
      <c r="KBL75" s="2805"/>
      <c r="KBM75" s="2805"/>
      <c r="KBN75" s="2805"/>
      <c r="KBO75" s="2805"/>
      <c r="KBP75" s="2805"/>
      <c r="KBQ75" s="2805"/>
      <c r="KBR75" s="2805"/>
      <c r="KBS75" s="2805"/>
      <c r="KBT75" s="2805"/>
      <c r="KBU75" s="2805"/>
      <c r="KBV75" s="2805"/>
      <c r="KBW75" s="2805"/>
      <c r="KBX75" s="2805"/>
      <c r="KBY75" s="2805"/>
      <c r="KBZ75" s="2805"/>
      <c r="KCA75" s="2805"/>
      <c r="KCB75" s="2805"/>
      <c r="KCC75" s="2805"/>
      <c r="KCD75" s="2805"/>
      <c r="KCE75" s="2805"/>
      <c r="KCF75" s="2805"/>
      <c r="KCG75" s="2805"/>
      <c r="KCH75" s="2805"/>
      <c r="KCI75" s="2805"/>
      <c r="KCJ75" s="2805"/>
      <c r="KCK75" s="2805"/>
      <c r="KCL75" s="2805"/>
      <c r="KCM75" s="2805"/>
      <c r="KCN75" s="2805"/>
      <c r="KCO75" s="2805"/>
      <c r="KCP75" s="2805"/>
      <c r="KCQ75" s="2805"/>
      <c r="KCR75" s="2805"/>
      <c r="KCS75" s="2805"/>
      <c r="KCT75" s="2805"/>
      <c r="KCU75" s="2805"/>
      <c r="KCV75" s="2805"/>
      <c r="KCW75" s="2805"/>
      <c r="KCX75" s="2805"/>
      <c r="KCY75" s="2805"/>
      <c r="KCZ75" s="2805"/>
      <c r="KDA75" s="2805"/>
      <c r="KDB75" s="2805"/>
      <c r="KDC75" s="2805"/>
      <c r="KDD75" s="2805"/>
      <c r="KDE75" s="2805"/>
      <c r="KDF75" s="2805"/>
      <c r="KDG75" s="2805"/>
      <c r="KDH75" s="2805"/>
      <c r="KDI75" s="2805"/>
      <c r="KDJ75" s="2805"/>
      <c r="KDK75" s="2805"/>
      <c r="KDL75" s="2805"/>
      <c r="KDM75" s="2805"/>
      <c r="KDN75" s="2805"/>
      <c r="KDO75" s="2805"/>
      <c r="KDP75" s="2805"/>
      <c r="KDQ75" s="2805"/>
      <c r="KDR75" s="2805"/>
      <c r="KDS75" s="2805"/>
      <c r="KDT75" s="2805"/>
      <c r="KDU75" s="2805"/>
      <c r="KDV75" s="2805"/>
      <c r="KDW75" s="2805"/>
      <c r="KDX75" s="2805"/>
      <c r="KDY75" s="2805"/>
      <c r="KDZ75" s="2805"/>
      <c r="KEA75" s="2805"/>
      <c r="KEB75" s="2805"/>
      <c r="KEC75" s="2805"/>
      <c r="KED75" s="2805"/>
      <c r="KEE75" s="2805"/>
      <c r="KEF75" s="2805"/>
      <c r="KEG75" s="2805"/>
      <c r="KEH75" s="2805"/>
      <c r="KEI75" s="2805"/>
      <c r="KEJ75" s="2805"/>
      <c r="KEK75" s="2805"/>
      <c r="KEL75" s="2805"/>
      <c r="KEM75" s="2805"/>
      <c r="KEN75" s="2805"/>
      <c r="KEO75" s="2805"/>
      <c r="KEP75" s="2805"/>
      <c r="KEQ75" s="2805"/>
      <c r="KER75" s="2805"/>
      <c r="KES75" s="2805"/>
      <c r="KET75" s="2805"/>
      <c r="KEU75" s="2805"/>
      <c r="KEV75" s="2805"/>
      <c r="KEW75" s="2805"/>
      <c r="KEX75" s="2805"/>
      <c r="KEY75" s="2805"/>
      <c r="KEZ75" s="2805"/>
      <c r="KFA75" s="2805"/>
      <c r="KFB75" s="2805"/>
      <c r="KFC75" s="2805"/>
      <c r="KFD75" s="2805"/>
      <c r="KFE75" s="2805"/>
      <c r="KFF75" s="2805"/>
      <c r="KFG75" s="2805"/>
      <c r="KFH75" s="2805"/>
      <c r="KFI75" s="2805"/>
      <c r="KFJ75" s="2805"/>
      <c r="KFK75" s="2805"/>
      <c r="KFL75" s="2805"/>
      <c r="KFM75" s="2805"/>
      <c r="KFN75" s="2805"/>
      <c r="KFO75" s="2805"/>
      <c r="KFP75" s="2805"/>
      <c r="KFQ75" s="2805"/>
      <c r="KFR75" s="2805"/>
      <c r="KFS75" s="2805"/>
      <c r="KFT75" s="2805"/>
      <c r="KFU75" s="2805"/>
      <c r="KFV75" s="2805"/>
      <c r="KFW75" s="2805"/>
      <c r="KFX75" s="2805"/>
      <c r="KFY75" s="2805"/>
      <c r="KFZ75" s="2805"/>
      <c r="KGA75" s="2805"/>
      <c r="KGB75" s="2805"/>
      <c r="KGC75" s="2805"/>
      <c r="KGD75" s="2805"/>
      <c r="KGE75" s="2805"/>
      <c r="KGF75" s="2805"/>
      <c r="KGG75" s="2805"/>
      <c r="KGH75" s="2805"/>
      <c r="KGI75" s="2805"/>
      <c r="KGJ75" s="2805"/>
      <c r="KGK75" s="2805"/>
      <c r="KGL75" s="2805"/>
      <c r="KGM75" s="2805"/>
      <c r="KGN75" s="2805"/>
      <c r="KGO75" s="2805"/>
      <c r="KGP75" s="2805"/>
      <c r="KGQ75" s="2805"/>
      <c r="KGR75" s="2805"/>
      <c r="KGS75" s="2805"/>
      <c r="KGT75" s="2805"/>
      <c r="KGU75" s="2805"/>
      <c r="KGV75" s="2805"/>
      <c r="KGW75" s="2805"/>
      <c r="KGX75" s="2805"/>
      <c r="KGY75" s="2805"/>
      <c r="KGZ75" s="2805"/>
      <c r="KHA75" s="2805"/>
      <c r="KHB75" s="2805"/>
      <c r="KHC75" s="2805"/>
      <c r="KHD75" s="2805"/>
      <c r="KHE75" s="2805"/>
      <c r="KHF75" s="2805"/>
      <c r="KHG75" s="2805"/>
      <c r="KHH75" s="2805"/>
      <c r="KHI75" s="2805"/>
      <c r="KHJ75" s="2805"/>
      <c r="KHK75" s="2805"/>
      <c r="KHL75" s="2805"/>
      <c r="KHM75" s="2805"/>
      <c r="KHN75" s="2805"/>
      <c r="KHO75" s="2805"/>
      <c r="KHP75" s="2805"/>
      <c r="KHQ75" s="2805"/>
      <c r="KHR75" s="2805"/>
      <c r="KHS75" s="2805"/>
      <c r="KHT75" s="2805"/>
      <c r="KHU75" s="2805"/>
      <c r="KHV75" s="2805"/>
      <c r="KHW75" s="2805"/>
      <c r="KHX75" s="2805"/>
      <c r="KHY75" s="2805"/>
      <c r="KHZ75" s="2805"/>
      <c r="KIA75" s="2805"/>
      <c r="KIB75" s="2805"/>
      <c r="KIC75" s="2805"/>
      <c r="KID75" s="2805"/>
      <c r="KIE75" s="2805"/>
      <c r="KIF75" s="2805"/>
      <c r="KIG75" s="2805"/>
      <c r="KIH75" s="2805"/>
      <c r="KII75" s="2805"/>
      <c r="KIJ75" s="2805"/>
      <c r="KIK75" s="2805"/>
      <c r="KIL75" s="2805"/>
      <c r="KIM75" s="2805"/>
      <c r="KIN75" s="2805"/>
      <c r="KIO75" s="2805"/>
      <c r="KIP75" s="2805"/>
      <c r="KIQ75" s="2805"/>
      <c r="KIR75" s="2805"/>
      <c r="KIS75" s="2805"/>
      <c r="KIT75" s="2805"/>
      <c r="KIU75" s="2805"/>
      <c r="KIV75" s="2805"/>
      <c r="KIW75" s="2805"/>
      <c r="KIX75" s="2805"/>
      <c r="KIY75" s="2805"/>
      <c r="KIZ75" s="2805"/>
      <c r="KJA75" s="2805"/>
      <c r="KJB75" s="2805"/>
      <c r="KJC75" s="2805"/>
      <c r="KJD75" s="2805"/>
      <c r="KJE75" s="2805"/>
      <c r="KJF75" s="2805"/>
      <c r="KJG75" s="2805"/>
      <c r="KJH75" s="2805"/>
      <c r="KJI75" s="2805"/>
      <c r="KJJ75" s="2805"/>
      <c r="KJK75" s="2805"/>
      <c r="KJL75" s="2805"/>
      <c r="KJM75" s="2805"/>
      <c r="KJN75" s="2805"/>
      <c r="KJO75" s="2805"/>
      <c r="KJP75" s="2805"/>
      <c r="KJQ75" s="2805"/>
      <c r="KJR75" s="2805"/>
      <c r="KJS75" s="2805"/>
      <c r="KJT75" s="2805"/>
      <c r="KJU75" s="2805"/>
      <c r="KJV75" s="2805"/>
      <c r="KJW75" s="2805"/>
      <c r="KJX75" s="2805"/>
      <c r="KJY75" s="2805"/>
      <c r="KJZ75" s="2805"/>
      <c r="KKA75" s="2805"/>
      <c r="KKB75" s="2805"/>
      <c r="KKC75" s="2805"/>
      <c r="KKD75" s="2805"/>
      <c r="KKE75" s="2805"/>
      <c r="KKF75" s="2805"/>
      <c r="KKG75" s="2805"/>
      <c r="KKH75" s="2805"/>
      <c r="KKI75" s="2805"/>
      <c r="KKJ75" s="2805"/>
      <c r="KKK75" s="2805"/>
      <c r="KKL75" s="2805"/>
      <c r="KKM75" s="2805"/>
      <c r="KKN75" s="2805"/>
      <c r="KKO75" s="2805"/>
      <c r="KKP75" s="2805"/>
      <c r="KKQ75" s="2805"/>
      <c r="KKR75" s="2805"/>
      <c r="KKS75" s="2805"/>
      <c r="KKT75" s="2805"/>
      <c r="KKU75" s="2805"/>
      <c r="KKV75" s="2805"/>
      <c r="KKW75" s="2805"/>
      <c r="KKX75" s="2805"/>
      <c r="KKY75" s="2805"/>
      <c r="KKZ75" s="2805"/>
      <c r="KLA75" s="2805"/>
      <c r="KLB75" s="2805"/>
      <c r="KLC75" s="2805"/>
      <c r="KLD75" s="2805"/>
      <c r="KLE75" s="2805"/>
      <c r="KLF75" s="2805"/>
      <c r="KLG75" s="2805"/>
      <c r="KLH75" s="2805"/>
      <c r="KLI75" s="2805"/>
      <c r="KLJ75" s="2805"/>
      <c r="KLK75" s="2805"/>
      <c r="KLL75" s="2805"/>
      <c r="KLM75" s="2805"/>
      <c r="KLN75" s="2805"/>
      <c r="KLO75" s="2805"/>
      <c r="KLP75" s="2805"/>
      <c r="KLQ75" s="2805"/>
      <c r="KLR75" s="2805"/>
      <c r="KLS75" s="2805"/>
      <c r="KLT75" s="2805"/>
      <c r="KLU75" s="2805"/>
      <c r="KLV75" s="2805"/>
      <c r="KLW75" s="2805"/>
      <c r="KLX75" s="2805"/>
      <c r="KLY75" s="2805"/>
      <c r="KLZ75" s="2805"/>
      <c r="KMA75" s="2805"/>
      <c r="KMB75" s="2805"/>
      <c r="KMC75" s="2805"/>
      <c r="KMD75" s="2805"/>
      <c r="KME75" s="2805"/>
      <c r="KMF75" s="2805"/>
      <c r="KMG75" s="2805"/>
      <c r="KMH75" s="2805"/>
      <c r="KMI75" s="2805"/>
      <c r="KMJ75" s="2805"/>
      <c r="KMK75" s="2805"/>
      <c r="KML75" s="2805"/>
      <c r="KMM75" s="2805"/>
      <c r="KMN75" s="2805"/>
      <c r="KMO75" s="2805"/>
      <c r="KMP75" s="2805"/>
      <c r="KMQ75" s="2805"/>
      <c r="KMR75" s="2805"/>
      <c r="KMS75" s="2805"/>
      <c r="KMT75" s="2805"/>
      <c r="KMU75" s="2805"/>
      <c r="KMV75" s="2805"/>
      <c r="KMW75" s="2805"/>
      <c r="KMX75" s="2805"/>
      <c r="KMY75" s="2805"/>
      <c r="KMZ75" s="2805"/>
      <c r="KNA75" s="2805"/>
      <c r="KNB75" s="2805"/>
      <c r="KNC75" s="2805"/>
      <c r="KND75" s="2805"/>
      <c r="KNE75" s="2805"/>
      <c r="KNF75" s="2805"/>
      <c r="KNG75" s="2805"/>
      <c r="KNH75" s="2805"/>
      <c r="KNI75" s="2805"/>
      <c r="KNJ75" s="2805"/>
      <c r="KNK75" s="2805"/>
      <c r="KNL75" s="2805"/>
      <c r="KNM75" s="2805"/>
      <c r="KNN75" s="2805"/>
      <c r="KNO75" s="2805"/>
      <c r="KNP75" s="2805"/>
      <c r="KNQ75" s="2805"/>
      <c r="KNR75" s="2805"/>
      <c r="KNS75" s="2805"/>
      <c r="KNT75" s="2805"/>
      <c r="KNU75" s="2805"/>
      <c r="KNV75" s="2805"/>
      <c r="KNW75" s="2805"/>
      <c r="KNX75" s="2805"/>
      <c r="KNY75" s="2805"/>
      <c r="KNZ75" s="2805"/>
      <c r="KOA75" s="2805"/>
      <c r="KOB75" s="2805"/>
      <c r="KOC75" s="2805"/>
      <c r="KOD75" s="2805"/>
      <c r="KOE75" s="2805"/>
      <c r="KOF75" s="2805"/>
      <c r="KOG75" s="2805"/>
      <c r="KOH75" s="2805"/>
      <c r="KOI75" s="2805"/>
      <c r="KOJ75" s="2805"/>
      <c r="KOK75" s="2805"/>
      <c r="KOL75" s="2805"/>
      <c r="KOM75" s="2805"/>
      <c r="KON75" s="2805"/>
      <c r="KOO75" s="2805"/>
      <c r="KOP75" s="2805"/>
      <c r="KOQ75" s="2805"/>
      <c r="KOR75" s="2805"/>
      <c r="KOS75" s="2805"/>
      <c r="KOT75" s="2805"/>
      <c r="KOU75" s="2805"/>
      <c r="KOV75" s="2805"/>
      <c r="KOW75" s="2805"/>
      <c r="KOX75" s="2805"/>
      <c r="KOY75" s="2805"/>
      <c r="KOZ75" s="2805"/>
      <c r="KPA75" s="2805"/>
      <c r="KPB75" s="2805"/>
      <c r="KPC75" s="2805"/>
      <c r="KPD75" s="2805"/>
      <c r="KPE75" s="2805"/>
      <c r="KPF75" s="2805"/>
      <c r="KPG75" s="2805"/>
      <c r="KPH75" s="2805"/>
      <c r="KPI75" s="2805"/>
      <c r="KPJ75" s="2805"/>
      <c r="KPK75" s="2805"/>
      <c r="KPL75" s="2805"/>
      <c r="KPM75" s="2805"/>
      <c r="KPN75" s="2805"/>
      <c r="KPO75" s="2805"/>
      <c r="KPP75" s="2805"/>
      <c r="KPQ75" s="2805"/>
      <c r="KPR75" s="2805"/>
      <c r="KPS75" s="2805"/>
      <c r="KPT75" s="2805"/>
      <c r="KPU75" s="2805"/>
      <c r="KPV75" s="2805"/>
      <c r="KPW75" s="2805"/>
      <c r="KPX75" s="2805"/>
      <c r="KPY75" s="2805"/>
      <c r="KPZ75" s="2805"/>
      <c r="KQA75" s="2805"/>
      <c r="KQB75" s="2805"/>
      <c r="KQC75" s="2805"/>
      <c r="KQD75" s="2805"/>
      <c r="KQE75" s="2805"/>
      <c r="KQF75" s="2805"/>
      <c r="KQG75" s="2805"/>
      <c r="KQH75" s="2805"/>
      <c r="KQI75" s="2805"/>
      <c r="KQJ75" s="2805"/>
      <c r="KQK75" s="2805"/>
      <c r="KQL75" s="2805"/>
      <c r="KQM75" s="2805"/>
      <c r="KQN75" s="2805"/>
      <c r="KQO75" s="2805"/>
      <c r="KQP75" s="2805"/>
      <c r="KQQ75" s="2805"/>
      <c r="KQR75" s="2805"/>
      <c r="KQS75" s="2805"/>
      <c r="KQT75" s="2805"/>
      <c r="KQU75" s="2805"/>
      <c r="KQV75" s="2805"/>
      <c r="KQW75" s="2805"/>
      <c r="KQX75" s="2805"/>
      <c r="KQY75" s="2805"/>
      <c r="KQZ75" s="2805"/>
      <c r="KRA75" s="2805"/>
      <c r="KRB75" s="2805"/>
      <c r="KRC75" s="2805"/>
      <c r="KRD75" s="2805"/>
      <c r="KRE75" s="2805"/>
      <c r="KRF75" s="2805"/>
      <c r="KRG75" s="2805"/>
      <c r="KRH75" s="2805"/>
      <c r="KRI75" s="2805"/>
      <c r="KRJ75" s="2805"/>
      <c r="KRK75" s="2805"/>
      <c r="KRL75" s="2805"/>
      <c r="KRM75" s="2805"/>
      <c r="KRN75" s="2805"/>
      <c r="KRO75" s="2805"/>
      <c r="KRP75" s="2805"/>
      <c r="KRQ75" s="2805"/>
      <c r="KRR75" s="2805"/>
      <c r="KRS75" s="2805"/>
      <c r="KRT75" s="2805"/>
      <c r="KRU75" s="2805"/>
      <c r="KRV75" s="2805"/>
      <c r="KRW75" s="2805"/>
      <c r="KRX75" s="2805"/>
      <c r="KRY75" s="2805"/>
      <c r="KRZ75" s="2805"/>
      <c r="KSA75" s="2805"/>
      <c r="KSB75" s="2805"/>
      <c r="KSC75" s="2805"/>
      <c r="KSD75" s="2805"/>
      <c r="KSE75" s="2805"/>
      <c r="KSF75" s="2805"/>
      <c r="KSG75" s="2805"/>
      <c r="KSH75" s="2805"/>
      <c r="KSI75" s="2805"/>
      <c r="KSJ75" s="2805"/>
      <c r="KSK75" s="2805"/>
      <c r="KSL75" s="2805"/>
      <c r="KSM75" s="2805"/>
      <c r="KSN75" s="2805"/>
      <c r="KSO75" s="2805"/>
      <c r="KSP75" s="2805"/>
      <c r="KSQ75" s="2805"/>
      <c r="KSR75" s="2805"/>
      <c r="KSS75" s="2805"/>
      <c r="KST75" s="2805"/>
      <c r="KSU75" s="2805"/>
      <c r="KSV75" s="2805"/>
      <c r="KSW75" s="2805"/>
      <c r="KSX75" s="2805"/>
      <c r="KSY75" s="2805"/>
      <c r="KSZ75" s="2805"/>
      <c r="KTA75" s="2805"/>
      <c r="KTB75" s="2805"/>
      <c r="KTC75" s="2805"/>
      <c r="KTD75" s="2805"/>
      <c r="KTE75" s="2805"/>
      <c r="KTF75" s="2805"/>
      <c r="KTG75" s="2805"/>
      <c r="KTH75" s="2805"/>
      <c r="KTI75" s="2805"/>
      <c r="KTJ75" s="2805"/>
      <c r="KTK75" s="2805"/>
      <c r="KTL75" s="2805"/>
      <c r="KTM75" s="2805"/>
      <c r="KTN75" s="2805"/>
      <c r="KTO75" s="2805"/>
      <c r="KTP75" s="2805"/>
      <c r="KTQ75" s="2805"/>
      <c r="KTR75" s="2805"/>
      <c r="KTS75" s="2805"/>
      <c r="KTT75" s="2805"/>
      <c r="KTU75" s="2805"/>
      <c r="KTV75" s="2805"/>
      <c r="KTW75" s="2805"/>
      <c r="KTX75" s="2805"/>
      <c r="KTY75" s="2805"/>
      <c r="KTZ75" s="2805"/>
      <c r="KUA75" s="2805"/>
      <c r="KUB75" s="2805"/>
      <c r="KUC75" s="2805"/>
      <c r="KUD75" s="2805"/>
      <c r="KUE75" s="2805"/>
      <c r="KUF75" s="2805"/>
      <c r="KUG75" s="2805"/>
      <c r="KUH75" s="2805"/>
      <c r="KUI75" s="2805"/>
      <c r="KUJ75" s="2805"/>
      <c r="KUK75" s="2805"/>
      <c r="KUL75" s="2805"/>
      <c r="KUM75" s="2805"/>
      <c r="KUN75" s="2805"/>
      <c r="KUO75" s="2805"/>
      <c r="KUP75" s="2805"/>
      <c r="KUQ75" s="2805"/>
      <c r="KUR75" s="2805"/>
      <c r="KUS75" s="2805"/>
      <c r="KUT75" s="2805"/>
      <c r="KUU75" s="2805"/>
      <c r="KUV75" s="2805"/>
      <c r="KUW75" s="2805"/>
      <c r="KUX75" s="2805"/>
      <c r="KUY75" s="2805"/>
      <c r="KUZ75" s="2805"/>
      <c r="KVA75" s="2805"/>
      <c r="KVB75" s="2805"/>
      <c r="KVC75" s="2805"/>
      <c r="KVD75" s="2805"/>
      <c r="KVE75" s="2805"/>
      <c r="KVF75" s="2805"/>
      <c r="KVG75" s="2805"/>
      <c r="KVH75" s="2805"/>
      <c r="KVI75" s="2805"/>
      <c r="KVJ75" s="2805"/>
      <c r="KVK75" s="2805"/>
      <c r="KVL75" s="2805"/>
      <c r="KVM75" s="2805"/>
      <c r="KVN75" s="2805"/>
      <c r="KVO75" s="2805"/>
      <c r="KVP75" s="2805"/>
      <c r="KVQ75" s="2805"/>
      <c r="KVR75" s="2805"/>
      <c r="KVS75" s="2805"/>
      <c r="KVT75" s="2805"/>
      <c r="KVU75" s="2805"/>
      <c r="KVV75" s="2805"/>
      <c r="KVW75" s="2805"/>
      <c r="KVX75" s="2805"/>
      <c r="KVY75" s="2805"/>
      <c r="KVZ75" s="2805"/>
      <c r="KWA75" s="2805"/>
      <c r="KWB75" s="2805"/>
      <c r="KWC75" s="2805"/>
      <c r="KWD75" s="2805"/>
      <c r="KWE75" s="2805"/>
      <c r="KWF75" s="2805"/>
      <c r="KWG75" s="2805"/>
      <c r="KWH75" s="2805"/>
      <c r="KWI75" s="2805"/>
      <c r="KWJ75" s="2805"/>
      <c r="KWK75" s="2805"/>
      <c r="KWL75" s="2805"/>
      <c r="KWM75" s="2805"/>
      <c r="KWN75" s="2805"/>
      <c r="KWO75" s="2805"/>
      <c r="KWP75" s="2805"/>
      <c r="KWQ75" s="2805"/>
      <c r="KWR75" s="2805"/>
      <c r="KWS75" s="2805"/>
      <c r="KWT75" s="2805"/>
      <c r="KWU75" s="2805"/>
      <c r="KWV75" s="2805"/>
      <c r="KWW75" s="2805"/>
      <c r="KWX75" s="2805"/>
      <c r="KWY75" s="2805"/>
      <c r="KWZ75" s="2805"/>
      <c r="KXA75" s="2805"/>
      <c r="KXB75" s="2805"/>
      <c r="KXC75" s="2805"/>
      <c r="KXD75" s="2805"/>
      <c r="KXE75" s="2805"/>
      <c r="KXF75" s="2805"/>
      <c r="KXG75" s="2805"/>
      <c r="KXH75" s="2805"/>
      <c r="KXI75" s="2805"/>
      <c r="KXJ75" s="2805"/>
      <c r="KXK75" s="2805"/>
      <c r="KXL75" s="2805"/>
      <c r="KXM75" s="2805"/>
      <c r="KXN75" s="2805"/>
      <c r="KXO75" s="2805"/>
      <c r="KXP75" s="2805"/>
      <c r="KXQ75" s="2805"/>
      <c r="KXR75" s="2805"/>
      <c r="KXS75" s="2805"/>
      <c r="KXT75" s="2805"/>
      <c r="KXU75" s="2805"/>
      <c r="KXV75" s="2805"/>
      <c r="KXW75" s="2805"/>
      <c r="KXX75" s="2805"/>
      <c r="KXY75" s="2805"/>
      <c r="KXZ75" s="2805"/>
      <c r="KYA75" s="2805"/>
      <c r="KYB75" s="2805"/>
      <c r="KYC75" s="2805"/>
      <c r="KYD75" s="2805"/>
      <c r="KYE75" s="2805"/>
      <c r="KYF75" s="2805"/>
      <c r="KYG75" s="2805"/>
      <c r="KYH75" s="2805"/>
      <c r="KYI75" s="2805"/>
      <c r="KYJ75" s="2805"/>
      <c r="KYK75" s="2805"/>
      <c r="KYL75" s="2805"/>
      <c r="KYM75" s="2805"/>
      <c r="KYN75" s="2805"/>
      <c r="KYO75" s="2805"/>
      <c r="KYP75" s="2805"/>
      <c r="KYQ75" s="2805"/>
      <c r="KYR75" s="2805"/>
      <c r="KYS75" s="2805"/>
      <c r="KYT75" s="2805"/>
      <c r="KYU75" s="2805"/>
      <c r="KYV75" s="2805"/>
      <c r="KYW75" s="2805"/>
      <c r="KYX75" s="2805"/>
      <c r="KYY75" s="2805"/>
      <c r="KYZ75" s="2805"/>
      <c r="KZA75" s="2805"/>
      <c r="KZB75" s="2805"/>
      <c r="KZC75" s="2805"/>
      <c r="KZD75" s="2805"/>
      <c r="KZE75" s="2805"/>
      <c r="KZF75" s="2805"/>
      <c r="KZG75" s="2805"/>
      <c r="KZH75" s="2805"/>
      <c r="KZI75" s="2805"/>
      <c r="KZJ75" s="2805"/>
      <c r="KZK75" s="2805"/>
      <c r="KZL75" s="2805"/>
      <c r="KZM75" s="2805"/>
      <c r="KZN75" s="2805"/>
      <c r="KZO75" s="2805"/>
      <c r="KZP75" s="2805"/>
      <c r="KZQ75" s="2805"/>
      <c r="KZR75" s="2805"/>
      <c r="KZS75" s="2805"/>
      <c r="KZT75" s="2805"/>
      <c r="KZU75" s="2805"/>
      <c r="KZV75" s="2805"/>
      <c r="KZW75" s="2805"/>
      <c r="KZX75" s="2805"/>
      <c r="KZY75" s="2805"/>
      <c r="KZZ75" s="2805"/>
      <c r="LAA75" s="2805"/>
      <c r="LAB75" s="2805"/>
      <c r="LAC75" s="2805"/>
      <c r="LAD75" s="2805"/>
      <c r="LAE75" s="2805"/>
      <c r="LAF75" s="2805"/>
      <c r="LAG75" s="2805"/>
      <c r="LAH75" s="2805"/>
      <c r="LAI75" s="2805"/>
      <c r="LAJ75" s="2805"/>
      <c r="LAK75" s="2805"/>
      <c r="LAL75" s="2805"/>
      <c r="LAM75" s="2805"/>
      <c r="LAN75" s="2805"/>
      <c r="LAO75" s="2805"/>
      <c r="LAP75" s="2805"/>
      <c r="LAQ75" s="2805"/>
      <c r="LAR75" s="2805"/>
      <c r="LAS75" s="2805"/>
      <c r="LAT75" s="2805"/>
      <c r="LAU75" s="2805"/>
      <c r="LAV75" s="2805"/>
      <c r="LAW75" s="2805"/>
      <c r="LAX75" s="2805"/>
      <c r="LAY75" s="2805"/>
      <c r="LAZ75" s="2805"/>
      <c r="LBA75" s="2805"/>
      <c r="LBB75" s="2805"/>
      <c r="LBC75" s="2805"/>
      <c r="LBD75" s="2805"/>
      <c r="LBE75" s="2805"/>
      <c r="LBF75" s="2805"/>
      <c r="LBG75" s="2805"/>
      <c r="LBH75" s="2805"/>
      <c r="LBI75" s="2805"/>
      <c r="LBJ75" s="2805"/>
      <c r="LBK75" s="2805"/>
      <c r="LBL75" s="2805"/>
      <c r="LBM75" s="2805"/>
      <c r="LBN75" s="2805"/>
      <c r="LBO75" s="2805"/>
      <c r="LBP75" s="2805"/>
      <c r="LBQ75" s="2805"/>
      <c r="LBR75" s="2805"/>
      <c r="LBS75" s="2805"/>
      <c r="LBT75" s="2805"/>
      <c r="LBU75" s="2805"/>
      <c r="LBV75" s="2805"/>
      <c r="LBW75" s="2805"/>
      <c r="LBX75" s="2805"/>
      <c r="LBY75" s="2805"/>
      <c r="LBZ75" s="2805"/>
      <c r="LCA75" s="2805"/>
      <c r="LCB75" s="2805"/>
      <c r="LCC75" s="2805"/>
      <c r="LCD75" s="2805"/>
      <c r="LCE75" s="2805"/>
      <c r="LCF75" s="2805"/>
      <c r="LCG75" s="2805"/>
      <c r="LCH75" s="2805"/>
      <c r="LCI75" s="2805"/>
      <c r="LCJ75" s="2805"/>
      <c r="LCK75" s="2805"/>
      <c r="LCL75" s="2805"/>
      <c r="LCM75" s="2805"/>
      <c r="LCN75" s="2805"/>
      <c r="LCO75" s="2805"/>
      <c r="LCP75" s="2805"/>
      <c r="LCQ75" s="2805"/>
      <c r="LCR75" s="2805"/>
      <c r="LCS75" s="2805"/>
      <c r="LCT75" s="2805"/>
      <c r="LCU75" s="2805"/>
      <c r="LCV75" s="2805"/>
      <c r="LCW75" s="2805"/>
      <c r="LCX75" s="2805"/>
      <c r="LCY75" s="2805"/>
      <c r="LCZ75" s="2805"/>
      <c r="LDA75" s="2805"/>
      <c r="LDB75" s="2805"/>
      <c r="LDC75" s="2805"/>
      <c r="LDD75" s="2805"/>
      <c r="LDE75" s="2805"/>
      <c r="LDF75" s="2805"/>
      <c r="LDG75" s="2805"/>
      <c r="LDH75" s="2805"/>
      <c r="LDI75" s="2805"/>
      <c r="LDJ75" s="2805"/>
      <c r="LDK75" s="2805"/>
      <c r="LDL75" s="2805"/>
      <c r="LDM75" s="2805"/>
      <c r="LDN75" s="2805"/>
      <c r="LDO75" s="2805"/>
      <c r="LDP75" s="2805"/>
      <c r="LDQ75" s="2805"/>
      <c r="LDR75" s="2805"/>
      <c r="LDS75" s="2805"/>
      <c r="LDT75" s="2805"/>
      <c r="LDU75" s="2805"/>
      <c r="LDV75" s="2805"/>
      <c r="LDW75" s="2805"/>
      <c r="LDX75" s="2805"/>
      <c r="LDY75" s="2805"/>
      <c r="LDZ75" s="2805"/>
      <c r="LEA75" s="2805"/>
      <c r="LEB75" s="2805"/>
      <c r="LEC75" s="2805"/>
      <c r="LED75" s="2805"/>
      <c r="LEE75" s="2805"/>
      <c r="LEF75" s="2805"/>
      <c r="LEG75" s="2805"/>
      <c r="LEH75" s="2805"/>
      <c r="LEI75" s="2805"/>
      <c r="LEJ75" s="2805"/>
      <c r="LEK75" s="2805"/>
      <c r="LEL75" s="2805"/>
      <c r="LEM75" s="2805"/>
      <c r="LEN75" s="2805"/>
      <c r="LEO75" s="2805"/>
      <c r="LEP75" s="2805"/>
      <c r="LEQ75" s="2805"/>
      <c r="LER75" s="2805"/>
      <c r="LES75" s="2805"/>
      <c r="LET75" s="2805"/>
      <c r="LEU75" s="2805"/>
      <c r="LEV75" s="2805"/>
      <c r="LEW75" s="2805"/>
      <c r="LEX75" s="2805"/>
      <c r="LEY75" s="2805"/>
      <c r="LEZ75" s="2805"/>
      <c r="LFA75" s="2805"/>
      <c r="LFB75" s="2805"/>
      <c r="LFC75" s="2805"/>
      <c r="LFD75" s="2805"/>
      <c r="LFE75" s="2805"/>
      <c r="LFF75" s="2805"/>
      <c r="LFG75" s="2805"/>
      <c r="LFH75" s="2805"/>
      <c r="LFI75" s="2805"/>
      <c r="LFJ75" s="2805"/>
      <c r="LFK75" s="2805"/>
      <c r="LFL75" s="2805"/>
      <c r="LFM75" s="2805"/>
      <c r="LFN75" s="2805"/>
      <c r="LFO75" s="2805"/>
      <c r="LFP75" s="2805"/>
      <c r="LFQ75" s="2805"/>
      <c r="LFR75" s="2805"/>
      <c r="LFS75" s="2805"/>
      <c r="LFT75" s="2805"/>
      <c r="LFU75" s="2805"/>
      <c r="LFV75" s="2805"/>
      <c r="LFW75" s="2805"/>
      <c r="LFX75" s="2805"/>
      <c r="LFY75" s="2805"/>
      <c r="LFZ75" s="2805"/>
      <c r="LGA75" s="2805"/>
      <c r="LGB75" s="2805"/>
      <c r="LGC75" s="2805"/>
      <c r="LGD75" s="2805"/>
      <c r="LGE75" s="2805"/>
      <c r="LGF75" s="2805"/>
      <c r="LGG75" s="2805"/>
      <c r="LGH75" s="2805"/>
      <c r="LGI75" s="2805"/>
      <c r="LGJ75" s="2805"/>
      <c r="LGK75" s="2805"/>
      <c r="LGL75" s="2805"/>
      <c r="LGM75" s="2805"/>
      <c r="LGN75" s="2805"/>
      <c r="LGO75" s="2805"/>
      <c r="LGP75" s="2805"/>
      <c r="LGQ75" s="2805"/>
      <c r="LGR75" s="2805"/>
      <c r="LGS75" s="2805"/>
      <c r="LGT75" s="2805"/>
      <c r="LGU75" s="2805"/>
      <c r="LGV75" s="2805"/>
      <c r="LGW75" s="2805"/>
      <c r="LGX75" s="2805"/>
      <c r="LGY75" s="2805"/>
      <c r="LGZ75" s="2805"/>
      <c r="LHA75" s="2805"/>
      <c r="LHB75" s="2805"/>
      <c r="LHC75" s="2805"/>
      <c r="LHD75" s="2805"/>
      <c r="LHE75" s="2805"/>
      <c r="LHF75" s="2805"/>
      <c r="LHG75" s="2805"/>
      <c r="LHH75" s="2805"/>
      <c r="LHI75" s="2805"/>
      <c r="LHJ75" s="2805"/>
      <c r="LHK75" s="2805"/>
      <c r="LHL75" s="2805"/>
      <c r="LHM75" s="2805"/>
      <c r="LHN75" s="2805"/>
      <c r="LHO75" s="2805"/>
      <c r="LHP75" s="2805"/>
      <c r="LHQ75" s="2805"/>
      <c r="LHR75" s="2805"/>
      <c r="LHS75" s="2805"/>
      <c r="LHT75" s="2805"/>
      <c r="LHU75" s="2805"/>
      <c r="LHV75" s="2805"/>
      <c r="LHW75" s="2805"/>
      <c r="LHX75" s="2805"/>
      <c r="LHY75" s="2805"/>
      <c r="LHZ75" s="2805"/>
      <c r="LIA75" s="2805"/>
      <c r="LIB75" s="2805"/>
      <c r="LIC75" s="2805"/>
      <c r="LID75" s="2805"/>
      <c r="LIE75" s="2805"/>
      <c r="LIF75" s="2805"/>
      <c r="LIG75" s="2805"/>
      <c r="LIH75" s="2805"/>
      <c r="LII75" s="2805"/>
      <c r="LIJ75" s="2805"/>
      <c r="LIK75" s="2805"/>
      <c r="LIL75" s="2805"/>
      <c r="LIM75" s="2805"/>
      <c r="LIN75" s="2805"/>
      <c r="LIO75" s="2805"/>
      <c r="LIP75" s="2805"/>
      <c r="LIQ75" s="2805"/>
      <c r="LIR75" s="2805"/>
      <c r="LIS75" s="2805"/>
      <c r="LIT75" s="2805"/>
      <c r="LIU75" s="2805"/>
      <c r="LIV75" s="2805"/>
      <c r="LIW75" s="2805"/>
      <c r="LIX75" s="2805"/>
      <c r="LIY75" s="2805"/>
      <c r="LIZ75" s="2805"/>
      <c r="LJA75" s="2805"/>
      <c r="LJB75" s="2805"/>
      <c r="LJC75" s="2805"/>
      <c r="LJD75" s="2805"/>
      <c r="LJE75" s="2805"/>
      <c r="LJF75" s="2805"/>
      <c r="LJG75" s="2805"/>
      <c r="LJH75" s="2805"/>
      <c r="LJI75" s="2805"/>
      <c r="LJJ75" s="2805"/>
      <c r="LJK75" s="2805"/>
      <c r="LJL75" s="2805"/>
      <c r="LJM75" s="2805"/>
      <c r="LJN75" s="2805"/>
      <c r="LJO75" s="2805"/>
      <c r="LJP75" s="2805"/>
      <c r="LJQ75" s="2805"/>
      <c r="LJR75" s="2805"/>
      <c r="LJS75" s="2805"/>
      <c r="LJT75" s="2805"/>
      <c r="LJU75" s="2805"/>
      <c r="LJV75" s="2805"/>
      <c r="LJW75" s="2805"/>
      <c r="LJX75" s="2805"/>
      <c r="LJY75" s="2805"/>
      <c r="LJZ75" s="2805"/>
      <c r="LKA75" s="2805"/>
      <c r="LKB75" s="2805"/>
      <c r="LKC75" s="2805"/>
      <c r="LKD75" s="2805"/>
      <c r="LKE75" s="2805"/>
      <c r="LKF75" s="2805"/>
      <c r="LKG75" s="2805"/>
      <c r="LKH75" s="2805"/>
      <c r="LKI75" s="2805"/>
      <c r="LKJ75" s="2805"/>
      <c r="LKK75" s="2805"/>
      <c r="LKL75" s="2805"/>
      <c r="LKM75" s="2805"/>
      <c r="LKN75" s="2805"/>
      <c r="LKO75" s="2805"/>
      <c r="LKP75" s="2805"/>
      <c r="LKQ75" s="2805"/>
      <c r="LKR75" s="2805"/>
      <c r="LKS75" s="2805"/>
      <c r="LKT75" s="2805"/>
      <c r="LKU75" s="2805"/>
      <c r="LKV75" s="2805"/>
      <c r="LKW75" s="2805"/>
      <c r="LKX75" s="2805"/>
      <c r="LKY75" s="2805"/>
      <c r="LKZ75" s="2805"/>
      <c r="LLA75" s="2805"/>
      <c r="LLB75" s="2805"/>
      <c r="LLC75" s="2805"/>
      <c r="LLD75" s="2805"/>
      <c r="LLE75" s="2805"/>
      <c r="LLF75" s="2805"/>
      <c r="LLG75" s="2805"/>
      <c r="LLH75" s="2805"/>
      <c r="LLI75" s="2805"/>
      <c r="LLJ75" s="2805"/>
      <c r="LLK75" s="2805"/>
      <c r="LLL75" s="2805"/>
      <c r="LLM75" s="2805"/>
      <c r="LLN75" s="2805"/>
      <c r="LLO75" s="2805"/>
      <c r="LLP75" s="2805"/>
      <c r="LLQ75" s="2805"/>
      <c r="LLR75" s="2805"/>
      <c r="LLS75" s="2805"/>
      <c r="LLT75" s="2805"/>
      <c r="LLU75" s="2805"/>
      <c r="LLV75" s="2805"/>
      <c r="LLW75" s="2805"/>
      <c r="LLX75" s="2805"/>
      <c r="LLY75" s="2805"/>
      <c r="LLZ75" s="2805"/>
      <c r="LMA75" s="2805"/>
      <c r="LMB75" s="2805"/>
      <c r="LMC75" s="2805"/>
      <c r="LMD75" s="2805"/>
      <c r="LME75" s="2805"/>
      <c r="LMF75" s="2805"/>
      <c r="LMG75" s="2805"/>
      <c r="LMH75" s="2805"/>
      <c r="LMI75" s="2805"/>
      <c r="LMJ75" s="2805"/>
      <c r="LMK75" s="2805"/>
      <c r="LML75" s="2805"/>
      <c r="LMM75" s="2805"/>
      <c r="LMN75" s="2805"/>
      <c r="LMO75" s="2805"/>
      <c r="LMP75" s="2805"/>
      <c r="LMQ75" s="2805"/>
      <c r="LMR75" s="2805"/>
      <c r="LMS75" s="2805"/>
      <c r="LMT75" s="2805"/>
      <c r="LMU75" s="2805"/>
      <c r="LMV75" s="2805"/>
      <c r="LMW75" s="2805"/>
      <c r="LMX75" s="2805"/>
      <c r="LMY75" s="2805"/>
      <c r="LMZ75" s="2805"/>
      <c r="LNA75" s="2805"/>
      <c r="LNB75" s="2805"/>
      <c r="LNC75" s="2805"/>
      <c r="LND75" s="2805"/>
      <c r="LNE75" s="2805"/>
      <c r="LNF75" s="2805"/>
      <c r="LNG75" s="2805"/>
      <c r="LNH75" s="2805"/>
      <c r="LNI75" s="2805"/>
      <c r="LNJ75" s="2805"/>
      <c r="LNK75" s="2805"/>
      <c r="LNL75" s="2805"/>
      <c r="LNM75" s="2805"/>
      <c r="LNN75" s="2805"/>
      <c r="LNO75" s="2805"/>
      <c r="LNP75" s="2805"/>
      <c r="LNQ75" s="2805"/>
      <c r="LNR75" s="2805"/>
      <c r="LNS75" s="2805"/>
      <c r="LNT75" s="2805"/>
      <c r="LNU75" s="2805"/>
      <c r="LNV75" s="2805"/>
      <c r="LNW75" s="2805"/>
      <c r="LNX75" s="2805"/>
      <c r="LNY75" s="2805"/>
      <c r="LNZ75" s="2805"/>
      <c r="LOA75" s="2805"/>
      <c r="LOB75" s="2805"/>
      <c r="LOC75" s="2805"/>
      <c r="LOD75" s="2805"/>
      <c r="LOE75" s="2805"/>
      <c r="LOF75" s="2805"/>
      <c r="LOG75" s="2805"/>
      <c r="LOH75" s="2805"/>
      <c r="LOI75" s="2805"/>
      <c r="LOJ75" s="2805"/>
      <c r="LOK75" s="2805"/>
      <c r="LOL75" s="2805"/>
      <c r="LOM75" s="2805"/>
      <c r="LON75" s="2805"/>
      <c r="LOO75" s="2805"/>
      <c r="LOP75" s="2805"/>
      <c r="LOQ75" s="2805"/>
      <c r="LOR75" s="2805"/>
      <c r="LOS75" s="2805"/>
      <c r="LOT75" s="2805"/>
      <c r="LOU75" s="2805"/>
      <c r="LOV75" s="2805"/>
      <c r="LOW75" s="2805"/>
      <c r="LOX75" s="2805"/>
      <c r="LOY75" s="2805"/>
      <c r="LOZ75" s="2805"/>
      <c r="LPA75" s="2805"/>
      <c r="LPB75" s="2805"/>
      <c r="LPC75" s="2805"/>
      <c r="LPD75" s="2805"/>
      <c r="LPE75" s="2805"/>
      <c r="LPF75" s="2805"/>
      <c r="LPG75" s="2805"/>
      <c r="LPH75" s="2805"/>
      <c r="LPI75" s="2805"/>
      <c r="LPJ75" s="2805"/>
      <c r="LPK75" s="2805"/>
      <c r="LPL75" s="2805"/>
      <c r="LPM75" s="2805"/>
      <c r="LPN75" s="2805"/>
      <c r="LPO75" s="2805"/>
      <c r="LPP75" s="2805"/>
      <c r="LPQ75" s="2805"/>
      <c r="LPR75" s="2805"/>
      <c r="LPS75" s="2805"/>
      <c r="LPT75" s="2805"/>
      <c r="LPU75" s="2805"/>
      <c r="LPV75" s="2805"/>
      <c r="LPW75" s="2805"/>
      <c r="LPX75" s="2805"/>
      <c r="LPY75" s="2805"/>
      <c r="LPZ75" s="2805"/>
      <c r="LQA75" s="2805"/>
      <c r="LQB75" s="2805"/>
      <c r="LQC75" s="2805"/>
      <c r="LQD75" s="2805"/>
      <c r="LQE75" s="2805"/>
      <c r="LQF75" s="2805"/>
      <c r="LQG75" s="2805"/>
      <c r="LQH75" s="2805"/>
      <c r="LQI75" s="2805"/>
      <c r="LQJ75" s="2805"/>
      <c r="LQK75" s="2805"/>
      <c r="LQL75" s="2805"/>
      <c r="LQM75" s="2805"/>
      <c r="LQN75" s="2805"/>
      <c r="LQO75" s="2805"/>
      <c r="LQP75" s="2805"/>
      <c r="LQQ75" s="2805"/>
      <c r="LQR75" s="2805"/>
      <c r="LQS75" s="2805"/>
      <c r="LQT75" s="2805"/>
      <c r="LQU75" s="2805"/>
      <c r="LQV75" s="2805"/>
      <c r="LQW75" s="2805"/>
      <c r="LQX75" s="2805"/>
      <c r="LQY75" s="2805"/>
      <c r="LQZ75" s="2805"/>
      <c r="LRA75" s="2805"/>
      <c r="LRB75" s="2805"/>
      <c r="LRC75" s="2805"/>
      <c r="LRD75" s="2805"/>
      <c r="LRE75" s="2805"/>
      <c r="LRF75" s="2805"/>
      <c r="LRG75" s="2805"/>
      <c r="LRH75" s="2805"/>
      <c r="LRI75" s="2805"/>
      <c r="LRJ75" s="2805"/>
      <c r="LRK75" s="2805"/>
      <c r="LRL75" s="2805"/>
      <c r="LRM75" s="2805"/>
      <c r="LRN75" s="2805"/>
      <c r="LRO75" s="2805"/>
      <c r="LRP75" s="2805"/>
      <c r="LRQ75" s="2805"/>
      <c r="LRR75" s="2805"/>
      <c r="LRS75" s="2805"/>
      <c r="LRT75" s="2805"/>
      <c r="LRU75" s="2805"/>
      <c r="LRV75" s="2805"/>
      <c r="LRW75" s="2805"/>
      <c r="LRX75" s="2805"/>
      <c r="LRY75" s="2805"/>
      <c r="LRZ75" s="2805"/>
      <c r="LSA75" s="2805"/>
      <c r="LSB75" s="2805"/>
      <c r="LSC75" s="2805"/>
      <c r="LSD75" s="2805"/>
      <c r="LSE75" s="2805"/>
      <c r="LSF75" s="2805"/>
      <c r="LSG75" s="2805"/>
      <c r="LSH75" s="2805"/>
      <c r="LSI75" s="2805"/>
      <c r="LSJ75" s="2805"/>
      <c r="LSK75" s="2805"/>
      <c r="LSL75" s="2805"/>
      <c r="LSM75" s="2805"/>
      <c r="LSN75" s="2805"/>
      <c r="LSO75" s="2805"/>
      <c r="LSP75" s="2805"/>
      <c r="LSQ75" s="2805"/>
      <c r="LSR75" s="2805"/>
      <c r="LSS75" s="2805"/>
      <c r="LST75" s="2805"/>
      <c r="LSU75" s="2805"/>
      <c r="LSV75" s="2805"/>
      <c r="LSW75" s="2805"/>
      <c r="LSX75" s="2805"/>
      <c r="LSY75" s="2805"/>
      <c r="LSZ75" s="2805"/>
      <c r="LTA75" s="2805"/>
      <c r="LTB75" s="2805"/>
      <c r="LTC75" s="2805"/>
      <c r="LTD75" s="2805"/>
      <c r="LTE75" s="2805"/>
      <c r="LTF75" s="2805"/>
      <c r="LTG75" s="2805"/>
      <c r="LTH75" s="2805"/>
      <c r="LTI75" s="2805"/>
      <c r="LTJ75" s="2805"/>
      <c r="LTK75" s="2805"/>
      <c r="LTL75" s="2805"/>
      <c r="LTM75" s="2805"/>
      <c r="LTN75" s="2805"/>
      <c r="LTO75" s="2805"/>
      <c r="LTP75" s="2805"/>
      <c r="LTQ75" s="2805"/>
      <c r="LTR75" s="2805"/>
      <c r="LTS75" s="2805"/>
      <c r="LTT75" s="2805"/>
      <c r="LTU75" s="2805"/>
      <c r="LTV75" s="2805"/>
      <c r="LTW75" s="2805"/>
      <c r="LTX75" s="2805"/>
      <c r="LTY75" s="2805"/>
      <c r="LTZ75" s="2805"/>
      <c r="LUA75" s="2805"/>
      <c r="LUB75" s="2805"/>
      <c r="LUC75" s="2805"/>
      <c r="LUD75" s="2805"/>
      <c r="LUE75" s="2805"/>
      <c r="LUF75" s="2805"/>
      <c r="LUG75" s="2805"/>
      <c r="LUH75" s="2805"/>
      <c r="LUI75" s="2805"/>
      <c r="LUJ75" s="2805"/>
      <c r="LUK75" s="2805"/>
      <c r="LUL75" s="2805"/>
      <c r="LUM75" s="2805"/>
      <c r="LUN75" s="2805"/>
      <c r="LUO75" s="2805"/>
      <c r="LUP75" s="2805"/>
      <c r="LUQ75" s="2805"/>
      <c r="LUR75" s="2805"/>
      <c r="LUS75" s="2805"/>
      <c r="LUT75" s="2805"/>
      <c r="LUU75" s="2805"/>
      <c r="LUV75" s="2805"/>
      <c r="LUW75" s="2805"/>
      <c r="LUX75" s="2805"/>
      <c r="LUY75" s="2805"/>
      <c r="LUZ75" s="2805"/>
      <c r="LVA75" s="2805"/>
      <c r="LVB75" s="2805"/>
      <c r="LVC75" s="2805"/>
      <c r="LVD75" s="2805"/>
      <c r="LVE75" s="2805"/>
      <c r="LVF75" s="2805"/>
      <c r="LVG75" s="2805"/>
      <c r="LVH75" s="2805"/>
      <c r="LVI75" s="2805"/>
      <c r="LVJ75" s="2805"/>
      <c r="LVK75" s="2805"/>
      <c r="LVL75" s="2805"/>
      <c r="LVM75" s="2805"/>
      <c r="LVN75" s="2805"/>
      <c r="LVO75" s="2805"/>
      <c r="LVP75" s="2805"/>
      <c r="LVQ75" s="2805"/>
      <c r="LVR75" s="2805"/>
      <c r="LVS75" s="2805"/>
      <c r="LVT75" s="2805"/>
      <c r="LVU75" s="2805"/>
      <c r="LVV75" s="2805"/>
      <c r="LVW75" s="2805"/>
      <c r="LVX75" s="2805"/>
      <c r="LVY75" s="2805"/>
      <c r="LVZ75" s="2805"/>
      <c r="LWA75" s="2805"/>
      <c r="LWB75" s="2805"/>
      <c r="LWC75" s="2805"/>
      <c r="LWD75" s="2805"/>
      <c r="LWE75" s="2805"/>
      <c r="LWF75" s="2805"/>
      <c r="LWG75" s="2805"/>
      <c r="LWH75" s="2805"/>
      <c r="LWI75" s="2805"/>
      <c r="LWJ75" s="2805"/>
      <c r="LWK75" s="2805"/>
      <c r="LWL75" s="2805"/>
      <c r="LWM75" s="2805"/>
      <c r="LWN75" s="2805"/>
      <c r="LWO75" s="2805"/>
      <c r="LWP75" s="2805"/>
      <c r="LWQ75" s="2805"/>
      <c r="LWR75" s="2805"/>
      <c r="LWS75" s="2805"/>
      <c r="LWT75" s="2805"/>
      <c r="LWU75" s="2805"/>
      <c r="LWV75" s="2805"/>
      <c r="LWW75" s="2805"/>
      <c r="LWX75" s="2805"/>
      <c r="LWY75" s="2805"/>
      <c r="LWZ75" s="2805"/>
      <c r="LXA75" s="2805"/>
      <c r="LXB75" s="2805"/>
      <c r="LXC75" s="2805"/>
      <c r="LXD75" s="2805"/>
      <c r="LXE75" s="2805"/>
      <c r="LXF75" s="2805"/>
      <c r="LXG75" s="2805"/>
      <c r="LXH75" s="2805"/>
      <c r="LXI75" s="2805"/>
      <c r="LXJ75" s="2805"/>
      <c r="LXK75" s="2805"/>
      <c r="LXL75" s="2805"/>
      <c r="LXM75" s="2805"/>
      <c r="LXN75" s="2805"/>
      <c r="LXO75" s="2805"/>
      <c r="LXP75" s="2805"/>
      <c r="LXQ75" s="2805"/>
      <c r="LXR75" s="2805"/>
      <c r="LXS75" s="2805"/>
      <c r="LXT75" s="2805"/>
      <c r="LXU75" s="2805"/>
      <c r="LXV75" s="2805"/>
      <c r="LXW75" s="2805"/>
      <c r="LXX75" s="2805"/>
      <c r="LXY75" s="2805"/>
      <c r="LXZ75" s="2805"/>
      <c r="LYA75" s="2805"/>
      <c r="LYB75" s="2805"/>
      <c r="LYC75" s="2805"/>
      <c r="LYD75" s="2805"/>
      <c r="LYE75" s="2805"/>
      <c r="LYF75" s="2805"/>
      <c r="LYG75" s="2805"/>
      <c r="LYH75" s="2805"/>
      <c r="LYI75" s="2805"/>
      <c r="LYJ75" s="2805"/>
      <c r="LYK75" s="2805"/>
      <c r="LYL75" s="2805"/>
      <c r="LYM75" s="2805"/>
      <c r="LYN75" s="2805"/>
      <c r="LYO75" s="2805"/>
      <c r="LYP75" s="2805"/>
      <c r="LYQ75" s="2805"/>
      <c r="LYR75" s="2805"/>
      <c r="LYS75" s="2805"/>
      <c r="LYT75" s="2805"/>
      <c r="LYU75" s="2805"/>
      <c r="LYV75" s="2805"/>
      <c r="LYW75" s="2805"/>
      <c r="LYX75" s="2805"/>
      <c r="LYY75" s="2805"/>
      <c r="LYZ75" s="2805"/>
      <c r="LZA75" s="2805"/>
      <c r="LZB75" s="2805"/>
      <c r="LZC75" s="2805"/>
      <c r="LZD75" s="2805"/>
      <c r="LZE75" s="2805"/>
      <c r="LZF75" s="2805"/>
      <c r="LZG75" s="2805"/>
      <c r="LZH75" s="2805"/>
      <c r="LZI75" s="2805"/>
      <c r="LZJ75" s="2805"/>
      <c r="LZK75" s="2805"/>
      <c r="LZL75" s="2805"/>
      <c r="LZM75" s="2805"/>
      <c r="LZN75" s="2805"/>
      <c r="LZO75" s="2805"/>
      <c r="LZP75" s="2805"/>
      <c r="LZQ75" s="2805"/>
      <c r="LZR75" s="2805"/>
      <c r="LZS75" s="2805"/>
      <c r="LZT75" s="2805"/>
      <c r="LZU75" s="2805"/>
      <c r="LZV75" s="2805"/>
      <c r="LZW75" s="2805"/>
      <c r="LZX75" s="2805"/>
      <c r="LZY75" s="2805"/>
      <c r="LZZ75" s="2805"/>
      <c r="MAA75" s="2805"/>
      <c r="MAB75" s="2805"/>
      <c r="MAC75" s="2805"/>
      <c r="MAD75" s="2805"/>
      <c r="MAE75" s="2805"/>
      <c r="MAF75" s="2805"/>
      <c r="MAG75" s="2805"/>
      <c r="MAH75" s="2805"/>
      <c r="MAI75" s="2805"/>
      <c r="MAJ75" s="2805"/>
      <c r="MAK75" s="2805"/>
      <c r="MAL75" s="2805"/>
      <c r="MAM75" s="2805"/>
      <c r="MAN75" s="2805"/>
      <c r="MAO75" s="2805"/>
      <c r="MAP75" s="2805"/>
      <c r="MAQ75" s="2805"/>
      <c r="MAR75" s="2805"/>
      <c r="MAS75" s="2805"/>
      <c r="MAT75" s="2805"/>
      <c r="MAU75" s="2805"/>
      <c r="MAV75" s="2805"/>
      <c r="MAW75" s="2805"/>
      <c r="MAX75" s="2805"/>
      <c r="MAY75" s="2805"/>
      <c r="MAZ75" s="2805"/>
      <c r="MBA75" s="2805"/>
      <c r="MBB75" s="2805"/>
      <c r="MBC75" s="2805"/>
      <c r="MBD75" s="2805"/>
      <c r="MBE75" s="2805"/>
      <c r="MBF75" s="2805"/>
      <c r="MBG75" s="2805"/>
      <c r="MBH75" s="2805"/>
      <c r="MBI75" s="2805"/>
      <c r="MBJ75" s="2805"/>
      <c r="MBK75" s="2805"/>
      <c r="MBL75" s="2805"/>
      <c r="MBM75" s="2805"/>
      <c r="MBN75" s="2805"/>
      <c r="MBO75" s="2805"/>
      <c r="MBP75" s="2805"/>
      <c r="MBQ75" s="2805"/>
      <c r="MBR75" s="2805"/>
      <c r="MBS75" s="2805"/>
      <c r="MBT75" s="2805"/>
      <c r="MBU75" s="2805"/>
      <c r="MBV75" s="2805"/>
      <c r="MBW75" s="2805"/>
      <c r="MBX75" s="2805"/>
      <c r="MBY75" s="2805"/>
      <c r="MBZ75" s="2805"/>
      <c r="MCA75" s="2805"/>
      <c r="MCB75" s="2805"/>
      <c r="MCC75" s="2805"/>
      <c r="MCD75" s="2805"/>
      <c r="MCE75" s="2805"/>
      <c r="MCF75" s="2805"/>
      <c r="MCG75" s="2805"/>
      <c r="MCH75" s="2805"/>
      <c r="MCI75" s="2805"/>
      <c r="MCJ75" s="2805"/>
      <c r="MCK75" s="2805"/>
      <c r="MCL75" s="2805"/>
      <c r="MCM75" s="2805"/>
      <c r="MCN75" s="2805"/>
      <c r="MCO75" s="2805"/>
      <c r="MCP75" s="2805"/>
      <c r="MCQ75" s="2805"/>
      <c r="MCR75" s="2805"/>
      <c r="MCS75" s="2805"/>
      <c r="MCT75" s="2805"/>
      <c r="MCU75" s="2805"/>
      <c r="MCV75" s="2805"/>
      <c r="MCW75" s="2805"/>
      <c r="MCX75" s="2805"/>
      <c r="MCY75" s="2805"/>
      <c r="MCZ75" s="2805"/>
      <c r="MDA75" s="2805"/>
      <c r="MDB75" s="2805"/>
      <c r="MDC75" s="2805"/>
      <c r="MDD75" s="2805"/>
      <c r="MDE75" s="2805"/>
      <c r="MDF75" s="2805"/>
      <c r="MDG75" s="2805"/>
      <c r="MDH75" s="2805"/>
      <c r="MDI75" s="2805"/>
      <c r="MDJ75" s="2805"/>
      <c r="MDK75" s="2805"/>
      <c r="MDL75" s="2805"/>
      <c r="MDM75" s="2805"/>
      <c r="MDN75" s="2805"/>
      <c r="MDO75" s="2805"/>
      <c r="MDP75" s="2805"/>
      <c r="MDQ75" s="2805"/>
      <c r="MDR75" s="2805"/>
      <c r="MDS75" s="2805"/>
      <c r="MDT75" s="2805"/>
      <c r="MDU75" s="2805"/>
      <c r="MDV75" s="2805"/>
      <c r="MDW75" s="2805"/>
      <c r="MDX75" s="2805"/>
      <c r="MDY75" s="2805"/>
      <c r="MDZ75" s="2805"/>
      <c r="MEA75" s="2805"/>
      <c r="MEB75" s="2805"/>
      <c r="MEC75" s="2805"/>
      <c r="MED75" s="2805"/>
      <c r="MEE75" s="2805"/>
      <c r="MEF75" s="2805"/>
      <c r="MEG75" s="2805"/>
      <c r="MEH75" s="2805"/>
      <c r="MEI75" s="2805"/>
      <c r="MEJ75" s="2805"/>
      <c r="MEK75" s="2805"/>
      <c r="MEL75" s="2805"/>
      <c r="MEM75" s="2805"/>
      <c r="MEN75" s="2805"/>
      <c r="MEO75" s="2805"/>
      <c r="MEP75" s="2805"/>
      <c r="MEQ75" s="2805"/>
      <c r="MER75" s="2805"/>
      <c r="MES75" s="2805"/>
      <c r="MET75" s="2805"/>
      <c r="MEU75" s="2805"/>
      <c r="MEV75" s="2805"/>
      <c r="MEW75" s="2805"/>
      <c r="MEX75" s="2805"/>
      <c r="MEY75" s="2805"/>
      <c r="MEZ75" s="2805"/>
      <c r="MFA75" s="2805"/>
      <c r="MFB75" s="2805"/>
      <c r="MFC75" s="2805"/>
      <c r="MFD75" s="2805"/>
      <c r="MFE75" s="2805"/>
      <c r="MFF75" s="2805"/>
      <c r="MFG75" s="2805"/>
      <c r="MFH75" s="2805"/>
      <c r="MFI75" s="2805"/>
      <c r="MFJ75" s="2805"/>
      <c r="MFK75" s="2805"/>
      <c r="MFL75" s="2805"/>
      <c r="MFM75" s="2805"/>
      <c r="MFN75" s="2805"/>
      <c r="MFO75" s="2805"/>
      <c r="MFP75" s="2805"/>
      <c r="MFQ75" s="2805"/>
      <c r="MFR75" s="2805"/>
      <c r="MFS75" s="2805"/>
      <c r="MFT75" s="2805"/>
      <c r="MFU75" s="2805"/>
      <c r="MFV75" s="2805"/>
      <c r="MFW75" s="2805"/>
      <c r="MFX75" s="2805"/>
      <c r="MFY75" s="2805"/>
      <c r="MFZ75" s="2805"/>
      <c r="MGA75" s="2805"/>
      <c r="MGB75" s="2805"/>
      <c r="MGC75" s="2805"/>
      <c r="MGD75" s="2805"/>
      <c r="MGE75" s="2805"/>
      <c r="MGF75" s="2805"/>
      <c r="MGG75" s="2805"/>
      <c r="MGH75" s="2805"/>
      <c r="MGI75" s="2805"/>
      <c r="MGJ75" s="2805"/>
      <c r="MGK75" s="2805"/>
      <c r="MGL75" s="2805"/>
      <c r="MGM75" s="2805"/>
      <c r="MGN75" s="2805"/>
      <c r="MGO75" s="2805"/>
      <c r="MGP75" s="2805"/>
      <c r="MGQ75" s="2805"/>
      <c r="MGR75" s="2805"/>
      <c r="MGS75" s="2805"/>
      <c r="MGT75" s="2805"/>
      <c r="MGU75" s="2805"/>
      <c r="MGV75" s="2805"/>
      <c r="MGW75" s="2805"/>
      <c r="MGX75" s="2805"/>
      <c r="MGY75" s="2805"/>
      <c r="MGZ75" s="2805"/>
      <c r="MHA75" s="2805"/>
      <c r="MHB75" s="2805"/>
      <c r="MHC75" s="2805"/>
      <c r="MHD75" s="2805"/>
      <c r="MHE75" s="2805"/>
      <c r="MHF75" s="2805"/>
      <c r="MHG75" s="2805"/>
      <c r="MHH75" s="2805"/>
      <c r="MHI75" s="2805"/>
      <c r="MHJ75" s="2805"/>
      <c r="MHK75" s="2805"/>
      <c r="MHL75" s="2805"/>
      <c r="MHM75" s="2805"/>
      <c r="MHN75" s="2805"/>
      <c r="MHO75" s="2805"/>
      <c r="MHP75" s="2805"/>
      <c r="MHQ75" s="2805"/>
      <c r="MHR75" s="2805"/>
      <c r="MHS75" s="2805"/>
      <c r="MHT75" s="2805"/>
      <c r="MHU75" s="2805"/>
      <c r="MHV75" s="2805"/>
      <c r="MHW75" s="2805"/>
      <c r="MHX75" s="2805"/>
      <c r="MHY75" s="2805"/>
      <c r="MHZ75" s="2805"/>
      <c r="MIA75" s="2805"/>
      <c r="MIB75" s="2805"/>
      <c r="MIC75" s="2805"/>
      <c r="MID75" s="2805"/>
      <c r="MIE75" s="2805"/>
      <c r="MIF75" s="2805"/>
      <c r="MIG75" s="2805"/>
      <c r="MIH75" s="2805"/>
      <c r="MII75" s="2805"/>
      <c r="MIJ75" s="2805"/>
      <c r="MIK75" s="2805"/>
      <c r="MIL75" s="2805"/>
      <c r="MIM75" s="2805"/>
      <c r="MIN75" s="2805"/>
      <c r="MIO75" s="2805"/>
      <c r="MIP75" s="2805"/>
      <c r="MIQ75" s="2805"/>
      <c r="MIR75" s="2805"/>
      <c r="MIS75" s="2805"/>
      <c r="MIT75" s="2805"/>
      <c r="MIU75" s="2805"/>
      <c r="MIV75" s="2805"/>
      <c r="MIW75" s="2805"/>
      <c r="MIX75" s="2805"/>
      <c r="MIY75" s="2805"/>
      <c r="MIZ75" s="2805"/>
      <c r="MJA75" s="2805"/>
      <c r="MJB75" s="2805"/>
      <c r="MJC75" s="2805"/>
      <c r="MJD75" s="2805"/>
      <c r="MJE75" s="2805"/>
      <c r="MJF75" s="2805"/>
      <c r="MJG75" s="2805"/>
      <c r="MJH75" s="2805"/>
      <c r="MJI75" s="2805"/>
      <c r="MJJ75" s="2805"/>
      <c r="MJK75" s="2805"/>
      <c r="MJL75" s="2805"/>
      <c r="MJM75" s="2805"/>
      <c r="MJN75" s="2805"/>
      <c r="MJO75" s="2805"/>
      <c r="MJP75" s="2805"/>
      <c r="MJQ75" s="2805"/>
      <c r="MJR75" s="2805"/>
      <c r="MJS75" s="2805"/>
      <c r="MJT75" s="2805"/>
      <c r="MJU75" s="2805"/>
      <c r="MJV75" s="2805"/>
      <c r="MJW75" s="2805"/>
      <c r="MJX75" s="2805"/>
      <c r="MJY75" s="2805"/>
      <c r="MJZ75" s="2805"/>
      <c r="MKA75" s="2805"/>
      <c r="MKB75" s="2805"/>
      <c r="MKC75" s="2805"/>
      <c r="MKD75" s="2805"/>
      <c r="MKE75" s="2805"/>
      <c r="MKF75" s="2805"/>
      <c r="MKG75" s="2805"/>
      <c r="MKH75" s="2805"/>
      <c r="MKI75" s="2805"/>
      <c r="MKJ75" s="2805"/>
      <c r="MKK75" s="2805"/>
      <c r="MKL75" s="2805"/>
      <c r="MKM75" s="2805"/>
      <c r="MKN75" s="2805"/>
      <c r="MKO75" s="2805"/>
      <c r="MKP75" s="2805"/>
      <c r="MKQ75" s="2805"/>
      <c r="MKR75" s="2805"/>
      <c r="MKS75" s="2805"/>
      <c r="MKT75" s="2805"/>
      <c r="MKU75" s="2805"/>
      <c r="MKV75" s="2805"/>
      <c r="MKW75" s="2805"/>
      <c r="MKX75" s="2805"/>
      <c r="MKY75" s="2805"/>
      <c r="MKZ75" s="2805"/>
      <c r="MLA75" s="2805"/>
      <c r="MLB75" s="2805"/>
      <c r="MLC75" s="2805"/>
      <c r="MLD75" s="2805"/>
      <c r="MLE75" s="2805"/>
      <c r="MLF75" s="2805"/>
      <c r="MLG75" s="2805"/>
      <c r="MLH75" s="2805"/>
      <c r="MLI75" s="2805"/>
      <c r="MLJ75" s="2805"/>
      <c r="MLK75" s="2805"/>
      <c r="MLL75" s="2805"/>
      <c r="MLM75" s="2805"/>
      <c r="MLN75" s="2805"/>
      <c r="MLO75" s="2805"/>
      <c r="MLP75" s="2805"/>
      <c r="MLQ75" s="2805"/>
      <c r="MLR75" s="2805"/>
      <c r="MLS75" s="2805"/>
      <c r="MLT75" s="2805"/>
      <c r="MLU75" s="2805"/>
      <c r="MLV75" s="2805"/>
      <c r="MLW75" s="2805"/>
      <c r="MLX75" s="2805"/>
      <c r="MLY75" s="2805"/>
      <c r="MLZ75" s="2805"/>
      <c r="MMA75" s="2805"/>
      <c r="MMB75" s="2805"/>
      <c r="MMC75" s="2805"/>
      <c r="MMD75" s="2805"/>
      <c r="MME75" s="2805"/>
      <c r="MMF75" s="2805"/>
      <c r="MMG75" s="2805"/>
      <c r="MMH75" s="2805"/>
      <c r="MMI75" s="2805"/>
      <c r="MMJ75" s="2805"/>
      <c r="MMK75" s="2805"/>
      <c r="MML75" s="2805"/>
      <c r="MMM75" s="2805"/>
      <c r="MMN75" s="2805"/>
      <c r="MMO75" s="2805"/>
      <c r="MMP75" s="2805"/>
      <c r="MMQ75" s="2805"/>
      <c r="MMR75" s="2805"/>
      <c r="MMS75" s="2805"/>
      <c r="MMT75" s="2805"/>
      <c r="MMU75" s="2805"/>
      <c r="MMV75" s="2805"/>
      <c r="MMW75" s="2805"/>
      <c r="MMX75" s="2805"/>
      <c r="MMY75" s="2805"/>
      <c r="MMZ75" s="2805"/>
      <c r="MNA75" s="2805"/>
      <c r="MNB75" s="2805"/>
      <c r="MNC75" s="2805"/>
      <c r="MND75" s="2805"/>
      <c r="MNE75" s="2805"/>
      <c r="MNF75" s="2805"/>
      <c r="MNG75" s="2805"/>
      <c r="MNH75" s="2805"/>
      <c r="MNI75" s="2805"/>
      <c r="MNJ75" s="2805"/>
      <c r="MNK75" s="2805"/>
      <c r="MNL75" s="2805"/>
      <c r="MNM75" s="2805"/>
      <c r="MNN75" s="2805"/>
      <c r="MNO75" s="2805"/>
      <c r="MNP75" s="2805"/>
      <c r="MNQ75" s="2805"/>
      <c r="MNR75" s="2805"/>
      <c r="MNS75" s="2805"/>
      <c r="MNT75" s="2805"/>
      <c r="MNU75" s="2805"/>
      <c r="MNV75" s="2805"/>
      <c r="MNW75" s="2805"/>
      <c r="MNX75" s="2805"/>
      <c r="MNY75" s="2805"/>
      <c r="MNZ75" s="2805"/>
      <c r="MOA75" s="2805"/>
      <c r="MOB75" s="2805"/>
      <c r="MOC75" s="2805"/>
      <c r="MOD75" s="2805"/>
      <c r="MOE75" s="2805"/>
      <c r="MOF75" s="2805"/>
      <c r="MOG75" s="2805"/>
      <c r="MOH75" s="2805"/>
      <c r="MOI75" s="2805"/>
      <c r="MOJ75" s="2805"/>
      <c r="MOK75" s="2805"/>
      <c r="MOL75" s="2805"/>
      <c r="MOM75" s="2805"/>
      <c r="MON75" s="2805"/>
      <c r="MOO75" s="2805"/>
      <c r="MOP75" s="2805"/>
      <c r="MOQ75" s="2805"/>
      <c r="MOR75" s="2805"/>
      <c r="MOS75" s="2805"/>
      <c r="MOT75" s="2805"/>
      <c r="MOU75" s="2805"/>
      <c r="MOV75" s="2805"/>
      <c r="MOW75" s="2805"/>
      <c r="MOX75" s="2805"/>
      <c r="MOY75" s="2805"/>
      <c r="MOZ75" s="2805"/>
      <c r="MPA75" s="2805"/>
      <c r="MPB75" s="2805"/>
      <c r="MPC75" s="2805"/>
      <c r="MPD75" s="2805"/>
      <c r="MPE75" s="2805"/>
      <c r="MPF75" s="2805"/>
      <c r="MPG75" s="2805"/>
      <c r="MPH75" s="2805"/>
      <c r="MPI75" s="2805"/>
      <c r="MPJ75" s="2805"/>
      <c r="MPK75" s="2805"/>
      <c r="MPL75" s="2805"/>
      <c r="MPM75" s="2805"/>
      <c r="MPN75" s="2805"/>
      <c r="MPO75" s="2805"/>
      <c r="MPP75" s="2805"/>
      <c r="MPQ75" s="2805"/>
      <c r="MPR75" s="2805"/>
      <c r="MPS75" s="2805"/>
      <c r="MPT75" s="2805"/>
      <c r="MPU75" s="2805"/>
      <c r="MPV75" s="2805"/>
      <c r="MPW75" s="2805"/>
      <c r="MPX75" s="2805"/>
      <c r="MPY75" s="2805"/>
      <c r="MPZ75" s="2805"/>
      <c r="MQA75" s="2805"/>
      <c r="MQB75" s="2805"/>
      <c r="MQC75" s="2805"/>
      <c r="MQD75" s="2805"/>
      <c r="MQE75" s="2805"/>
      <c r="MQF75" s="2805"/>
      <c r="MQG75" s="2805"/>
      <c r="MQH75" s="2805"/>
      <c r="MQI75" s="2805"/>
      <c r="MQJ75" s="2805"/>
      <c r="MQK75" s="2805"/>
      <c r="MQL75" s="2805"/>
      <c r="MQM75" s="2805"/>
      <c r="MQN75" s="2805"/>
      <c r="MQO75" s="2805"/>
      <c r="MQP75" s="2805"/>
      <c r="MQQ75" s="2805"/>
      <c r="MQR75" s="2805"/>
      <c r="MQS75" s="2805"/>
      <c r="MQT75" s="2805"/>
      <c r="MQU75" s="2805"/>
      <c r="MQV75" s="2805"/>
      <c r="MQW75" s="2805"/>
      <c r="MQX75" s="2805"/>
      <c r="MQY75" s="2805"/>
      <c r="MQZ75" s="2805"/>
      <c r="MRA75" s="2805"/>
      <c r="MRB75" s="2805"/>
      <c r="MRC75" s="2805"/>
      <c r="MRD75" s="2805"/>
      <c r="MRE75" s="2805"/>
      <c r="MRF75" s="2805"/>
      <c r="MRG75" s="2805"/>
      <c r="MRH75" s="2805"/>
      <c r="MRI75" s="2805"/>
      <c r="MRJ75" s="2805"/>
      <c r="MRK75" s="2805"/>
      <c r="MRL75" s="2805"/>
      <c r="MRM75" s="2805"/>
      <c r="MRN75" s="2805"/>
      <c r="MRO75" s="2805"/>
      <c r="MRP75" s="2805"/>
      <c r="MRQ75" s="2805"/>
      <c r="MRR75" s="2805"/>
      <c r="MRS75" s="2805"/>
      <c r="MRT75" s="2805"/>
      <c r="MRU75" s="2805"/>
      <c r="MRV75" s="2805"/>
      <c r="MRW75" s="2805"/>
      <c r="MRX75" s="2805"/>
      <c r="MRY75" s="2805"/>
      <c r="MRZ75" s="2805"/>
      <c r="MSA75" s="2805"/>
      <c r="MSB75" s="2805"/>
      <c r="MSC75" s="2805"/>
      <c r="MSD75" s="2805"/>
      <c r="MSE75" s="2805"/>
      <c r="MSF75" s="2805"/>
      <c r="MSG75" s="2805"/>
      <c r="MSH75" s="2805"/>
      <c r="MSI75" s="2805"/>
      <c r="MSJ75" s="2805"/>
      <c r="MSK75" s="2805"/>
      <c r="MSL75" s="2805"/>
      <c r="MSM75" s="2805"/>
      <c r="MSN75" s="2805"/>
      <c r="MSO75" s="2805"/>
      <c r="MSP75" s="2805"/>
      <c r="MSQ75" s="2805"/>
      <c r="MSR75" s="2805"/>
      <c r="MSS75" s="2805"/>
      <c r="MST75" s="2805"/>
      <c r="MSU75" s="2805"/>
      <c r="MSV75" s="2805"/>
      <c r="MSW75" s="2805"/>
      <c r="MSX75" s="2805"/>
      <c r="MSY75" s="2805"/>
      <c r="MSZ75" s="2805"/>
      <c r="MTA75" s="2805"/>
      <c r="MTB75" s="2805"/>
      <c r="MTC75" s="2805"/>
      <c r="MTD75" s="2805"/>
      <c r="MTE75" s="2805"/>
      <c r="MTF75" s="2805"/>
      <c r="MTG75" s="2805"/>
      <c r="MTH75" s="2805"/>
      <c r="MTI75" s="2805"/>
      <c r="MTJ75" s="2805"/>
      <c r="MTK75" s="2805"/>
      <c r="MTL75" s="2805"/>
      <c r="MTM75" s="2805"/>
      <c r="MTN75" s="2805"/>
      <c r="MTO75" s="2805"/>
      <c r="MTP75" s="2805"/>
      <c r="MTQ75" s="2805"/>
      <c r="MTR75" s="2805"/>
      <c r="MTS75" s="2805"/>
      <c r="MTT75" s="2805"/>
      <c r="MTU75" s="2805"/>
      <c r="MTV75" s="2805"/>
      <c r="MTW75" s="2805"/>
      <c r="MTX75" s="2805"/>
      <c r="MTY75" s="2805"/>
      <c r="MTZ75" s="2805"/>
      <c r="MUA75" s="2805"/>
      <c r="MUB75" s="2805"/>
      <c r="MUC75" s="2805"/>
      <c r="MUD75" s="2805"/>
      <c r="MUE75" s="2805"/>
      <c r="MUF75" s="2805"/>
      <c r="MUG75" s="2805"/>
      <c r="MUH75" s="2805"/>
      <c r="MUI75" s="2805"/>
      <c r="MUJ75" s="2805"/>
      <c r="MUK75" s="2805"/>
      <c r="MUL75" s="2805"/>
      <c r="MUM75" s="2805"/>
      <c r="MUN75" s="2805"/>
      <c r="MUO75" s="2805"/>
      <c r="MUP75" s="2805"/>
      <c r="MUQ75" s="2805"/>
      <c r="MUR75" s="2805"/>
      <c r="MUS75" s="2805"/>
      <c r="MUT75" s="2805"/>
      <c r="MUU75" s="2805"/>
      <c r="MUV75" s="2805"/>
      <c r="MUW75" s="2805"/>
      <c r="MUX75" s="2805"/>
      <c r="MUY75" s="2805"/>
      <c r="MUZ75" s="2805"/>
      <c r="MVA75" s="2805"/>
      <c r="MVB75" s="2805"/>
      <c r="MVC75" s="2805"/>
      <c r="MVD75" s="2805"/>
      <c r="MVE75" s="2805"/>
      <c r="MVF75" s="2805"/>
      <c r="MVG75" s="2805"/>
      <c r="MVH75" s="2805"/>
      <c r="MVI75" s="2805"/>
      <c r="MVJ75" s="2805"/>
      <c r="MVK75" s="2805"/>
      <c r="MVL75" s="2805"/>
      <c r="MVM75" s="2805"/>
      <c r="MVN75" s="2805"/>
      <c r="MVO75" s="2805"/>
      <c r="MVP75" s="2805"/>
      <c r="MVQ75" s="2805"/>
      <c r="MVR75" s="2805"/>
      <c r="MVS75" s="2805"/>
      <c r="MVT75" s="2805"/>
      <c r="MVU75" s="2805"/>
      <c r="MVV75" s="2805"/>
      <c r="MVW75" s="2805"/>
      <c r="MVX75" s="2805"/>
      <c r="MVY75" s="2805"/>
      <c r="MVZ75" s="2805"/>
      <c r="MWA75" s="2805"/>
      <c r="MWB75" s="2805"/>
      <c r="MWC75" s="2805"/>
      <c r="MWD75" s="2805"/>
      <c r="MWE75" s="2805"/>
      <c r="MWF75" s="2805"/>
      <c r="MWG75" s="2805"/>
      <c r="MWH75" s="2805"/>
      <c r="MWI75" s="2805"/>
      <c r="MWJ75" s="2805"/>
      <c r="MWK75" s="2805"/>
      <c r="MWL75" s="2805"/>
      <c r="MWM75" s="2805"/>
      <c r="MWN75" s="2805"/>
      <c r="MWO75" s="2805"/>
      <c r="MWP75" s="2805"/>
      <c r="MWQ75" s="2805"/>
      <c r="MWR75" s="2805"/>
      <c r="MWS75" s="2805"/>
      <c r="MWT75" s="2805"/>
      <c r="MWU75" s="2805"/>
      <c r="MWV75" s="2805"/>
      <c r="MWW75" s="2805"/>
      <c r="MWX75" s="2805"/>
      <c r="MWY75" s="2805"/>
      <c r="MWZ75" s="2805"/>
      <c r="MXA75" s="2805"/>
      <c r="MXB75" s="2805"/>
      <c r="MXC75" s="2805"/>
      <c r="MXD75" s="2805"/>
      <c r="MXE75" s="2805"/>
      <c r="MXF75" s="2805"/>
      <c r="MXG75" s="2805"/>
      <c r="MXH75" s="2805"/>
      <c r="MXI75" s="2805"/>
      <c r="MXJ75" s="2805"/>
      <c r="MXK75" s="2805"/>
      <c r="MXL75" s="2805"/>
      <c r="MXM75" s="2805"/>
      <c r="MXN75" s="2805"/>
      <c r="MXO75" s="2805"/>
      <c r="MXP75" s="2805"/>
      <c r="MXQ75" s="2805"/>
      <c r="MXR75" s="2805"/>
      <c r="MXS75" s="2805"/>
      <c r="MXT75" s="2805"/>
      <c r="MXU75" s="2805"/>
      <c r="MXV75" s="2805"/>
      <c r="MXW75" s="2805"/>
      <c r="MXX75" s="2805"/>
      <c r="MXY75" s="2805"/>
      <c r="MXZ75" s="2805"/>
      <c r="MYA75" s="2805"/>
      <c r="MYB75" s="2805"/>
      <c r="MYC75" s="2805"/>
      <c r="MYD75" s="2805"/>
      <c r="MYE75" s="2805"/>
      <c r="MYF75" s="2805"/>
      <c r="MYG75" s="2805"/>
      <c r="MYH75" s="2805"/>
      <c r="MYI75" s="2805"/>
      <c r="MYJ75" s="2805"/>
      <c r="MYK75" s="2805"/>
      <c r="MYL75" s="2805"/>
      <c r="MYM75" s="2805"/>
      <c r="MYN75" s="2805"/>
      <c r="MYO75" s="2805"/>
      <c r="MYP75" s="2805"/>
      <c r="MYQ75" s="2805"/>
      <c r="MYR75" s="2805"/>
      <c r="MYS75" s="2805"/>
      <c r="MYT75" s="2805"/>
      <c r="MYU75" s="2805"/>
      <c r="MYV75" s="2805"/>
      <c r="MYW75" s="2805"/>
      <c r="MYX75" s="2805"/>
      <c r="MYY75" s="2805"/>
      <c r="MYZ75" s="2805"/>
      <c r="MZA75" s="2805"/>
      <c r="MZB75" s="2805"/>
      <c r="MZC75" s="2805"/>
      <c r="MZD75" s="2805"/>
      <c r="MZE75" s="2805"/>
      <c r="MZF75" s="2805"/>
      <c r="MZG75" s="2805"/>
      <c r="MZH75" s="2805"/>
      <c r="MZI75" s="2805"/>
      <c r="MZJ75" s="2805"/>
      <c r="MZK75" s="2805"/>
      <c r="MZL75" s="2805"/>
      <c r="MZM75" s="2805"/>
      <c r="MZN75" s="2805"/>
      <c r="MZO75" s="2805"/>
      <c r="MZP75" s="2805"/>
      <c r="MZQ75" s="2805"/>
      <c r="MZR75" s="2805"/>
      <c r="MZS75" s="2805"/>
      <c r="MZT75" s="2805"/>
      <c r="MZU75" s="2805"/>
      <c r="MZV75" s="2805"/>
      <c r="MZW75" s="2805"/>
      <c r="MZX75" s="2805"/>
      <c r="MZY75" s="2805"/>
      <c r="MZZ75" s="2805"/>
      <c r="NAA75" s="2805"/>
      <c r="NAB75" s="2805"/>
      <c r="NAC75" s="2805"/>
      <c r="NAD75" s="2805"/>
      <c r="NAE75" s="2805"/>
      <c r="NAF75" s="2805"/>
      <c r="NAG75" s="2805"/>
      <c r="NAH75" s="2805"/>
      <c r="NAI75" s="2805"/>
      <c r="NAJ75" s="2805"/>
      <c r="NAK75" s="2805"/>
      <c r="NAL75" s="2805"/>
      <c r="NAM75" s="2805"/>
      <c r="NAN75" s="2805"/>
      <c r="NAO75" s="2805"/>
      <c r="NAP75" s="2805"/>
      <c r="NAQ75" s="2805"/>
      <c r="NAR75" s="2805"/>
      <c r="NAS75" s="2805"/>
      <c r="NAT75" s="2805"/>
      <c r="NAU75" s="2805"/>
      <c r="NAV75" s="2805"/>
      <c r="NAW75" s="2805"/>
      <c r="NAX75" s="2805"/>
      <c r="NAY75" s="2805"/>
      <c r="NAZ75" s="2805"/>
      <c r="NBA75" s="2805"/>
      <c r="NBB75" s="2805"/>
      <c r="NBC75" s="2805"/>
      <c r="NBD75" s="2805"/>
      <c r="NBE75" s="2805"/>
      <c r="NBF75" s="2805"/>
      <c r="NBG75" s="2805"/>
      <c r="NBH75" s="2805"/>
      <c r="NBI75" s="2805"/>
      <c r="NBJ75" s="2805"/>
      <c r="NBK75" s="2805"/>
      <c r="NBL75" s="2805"/>
      <c r="NBM75" s="2805"/>
      <c r="NBN75" s="2805"/>
      <c r="NBO75" s="2805"/>
      <c r="NBP75" s="2805"/>
      <c r="NBQ75" s="2805"/>
      <c r="NBR75" s="2805"/>
      <c r="NBS75" s="2805"/>
      <c r="NBT75" s="2805"/>
      <c r="NBU75" s="2805"/>
      <c r="NBV75" s="2805"/>
      <c r="NBW75" s="2805"/>
      <c r="NBX75" s="2805"/>
      <c r="NBY75" s="2805"/>
      <c r="NBZ75" s="2805"/>
      <c r="NCA75" s="2805"/>
      <c r="NCB75" s="2805"/>
      <c r="NCC75" s="2805"/>
      <c r="NCD75" s="2805"/>
      <c r="NCE75" s="2805"/>
      <c r="NCF75" s="2805"/>
      <c r="NCG75" s="2805"/>
      <c r="NCH75" s="2805"/>
      <c r="NCI75" s="2805"/>
      <c r="NCJ75" s="2805"/>
      <c r="NCK75" s="2805"/>
      <c r="NCL75" s="2805"/>
      <c r="NCM75" s="2805"/>
      <c r="NCN75" s="2805"/>
      <c r="NCO75" s="2805"/>
      <c r="NCP75" s="2805"/>
      <c r="NCQ75" s="2805"/>
      <c r="NCR75" s="2805"/>
      <c r="NCS75" s="2805"/>
      <c r="NCT75" s="2805"/>
      <c r="NCU75" s="2805"/>
      <c r="NCV75" s="2805"/>
      <c r="NCW75" s="2805"/>
      <c r="NCX75" s="2805"/>
      <c r="NCY75" s="2805"/>
      <c r="NCZ75" s="2805"/>
      <c r="NDA75" s="2805"/>
      <c r="NDB75" s="2805"/>
      <c r="NDC75" s="2805"/>
      <c r="NDD75" s="2805"/>
      <c r="NDE75" s="2805"/>
      <c r="NDF75" s="2805"/>
      <c r="NDG75" s="2805"/>
      <c r="NDH75" s="2805"/>
      <c r="NDI75" s="2805"/>
      <c r="NDJ75" s="2805"/>
      <c r="NDK75" s="2805"/>
      <c r="NDL75" s="2805"/>
      <c r="NDM75" s="2805"/>
      <c r="NDN75" s="2805"/>
      <c r="NDO75" s="2805"/>
      <c r="NDP75" s="2805"/>
      <c r="NDQ75" s="2805"/>
      <c r="NDR75" s="2805"/>
      <c r="NDS75" s="2805"/>
      <c r="NDT75" s="2805"/>
      <c r="NDU75" s="2805"/>
      <c r="NDV75" s="2805"/>
      <c r="NDW75" s="2805"/>
      <c r="NDX75" s="2805"/>
      <c r="NDY75" s="2805"/>
      <c r="NDZ75" s="2805"/>
      <c r="NEA75" s="2805"/>
      <c r="NEB75" s="2805"/>
      <c r="NEC75" s="2805"/>
      <c r="NED75" s="2805"/>
      <c r="NEE75" s="2805"/>
      <c r="NEF75" s="2805"/>
      <c r="NEG75" s="2805"/>
      <c r="NEH75" s="2805"/>
      <c r="NEI75" s="2805"/>
      <c r="NEJ75" s="2805"/>
      <c r="NEK75" s="2805"/>
      <c r="NEL75" s="2805"/>
      <c r="NEM75" s="2805"/>
      <c r="NEN75" s="2805"/>
      <c r="NEO75" s="2805"/>
      <c r="NEP75" s="2805"/>
      <c r="NEQ75" s="2805"/>
      <c r="NER75" s="2805"/>
      <c r="NES75" s="2805"/>
      <c r="NET75" s="2805"/>
      <c r="NEU75" s="2805"/>
      <c r="NEV75" s="2805"/>
      <c r="NEW75" s="2805"/>
      <c r="NEX75" s="2805"/>
      <c r="NEY75" s="2805"/>
      <c r="NEZ75" s="2805"/>
      <c r="NFA75" s="2805"/>
      <c r="NFB75" s="2805"/>
      <c r="NFC75" s="2805"/>
      <c r="NFD75" s="2805"/>
      <c r="NFE75" s="2805"/>
      <c r="NFF75" s="2805"/>
      <c r="NFG75" s="2805"/>
      <c r="NFH75" s="2805"/>
      <c r="NFI75" s="2805"/>
      <c r="NFJ75" s="2805"/>
      <c r="NFK75" s="2805"/>
      <c r="NFL75" s="2805"/>
      <c r="NFM75" s="2805"/>
      <c r="NFN75" s="2805"/>
      <c r="NFO75" s="2805"/>
      <c r="NFP75" s="2805"/>
      <c r="NFQ75" s="2805"/>
      <c r="NFR75" s="2805"/>
      <c r="NFS75" s="2805"/>
      <c r="NFT75" s="2805"/>
      <c r="NFU75" s="2805"/>
      <c r="NFV75" s="2805"/>
      <c r="NFW75" s="2805"/>
      <c r="NFX75" s="2805"/>
      <c r="NFY75" s="2805"/>
      <c r="NFZ75" s="2805"/>
      <c r="NGA75" s="2805"/>
      <c r="NGB75" s="2805"/>
      <c r="NGC75" s="2805"/>
      <c r="NGD75" s="2805"/>
      <c r="NGE75" s="2805"/>
      <c r="NGF75" s="2805"/>
      <c r="NGG75" s="2805"/>
      <c r="NGH75" s="2805"/>
      <c r="NGI75" s="2805"/>
      <c r="NGJ75" s="2805"/>
      <c r="NGK75" s="2805"/>
      <c r="NGL75" s="2805"/>
      <c r="NGM75" s="2805"/>
      <c r="NGN75" s="2805"/>
      <c r="NGO75" s="2805"/>
      <c r="NGP75" s="2805"/>
      <c r="NGQ75" s="2805"/>
      <c r="NGR75" s="2805"/>
      <c r="NGS75" s="2805"/>
      <c r="NGT75" s="2805"/>
      <c r="NGU75" s="2805"/>
      <c r="NGV75" s="2805"/>
      <c r="NGW75" s="2805"/>
      <c r="NGX75" s="2805"/>
      <c r="NGY75" s="2805"/>
      <c r="NGZ75" s="2805"/>
      <c r="NHA75" s="2805"/>
      <c r="NHB75" s="2805"/>
      <c r="NHC75" s="2805"/>
      <c r="NHD75" s="2805"/>
      <c r="NHE75" s="2805"/>
      <c r="NHF75" s="2805"/>
      <c r="NHG75" s="2805"/>
      <c r="NHH75" s="2805"/>
      <c r="NHI75" s="2805"/>
      <c r="NHJ75" s="2805"/>
      <c r="NHK75" s="2805"/>
      <c r="NHL75" s="2805"/>
      <c r="NHM75" s="2805"/>
      <c r="NHN75" s="2805"/>
      <c r="NHO75" s="2805"/>
      <c r="NHP75" s="2805"/>
      <c r="NHQ75" s="2805"/>
      <c r="NHR75" s="2805"/>
      <c r="NHS75" s="2805"/>
      <c r="NHT75" s="2805"/>
      <c r="NHU75" s="2805"/>
      <c r="NHV75" s="2805"/>
      <c r="NHW75" s="2805"/>
      <c r="NHX75" s="2805"/>
      <c r="NHY75" s="2805"/>
      <c r="NHZ75" s="2805"/>
      <c r="NIA75" s="2805"/>
      <c r="NIB75" s="2805"/>
      <c r="NIC75" s="2805"/>
      <c r="NID75" s="2805"/>
      <c r="NIE75" s="2805"/>
      <c r="NIF75" s="2805"/>
      <c r="NIG75" s="2805"/>
      <c r="NIH75" s="2805"/>
      <c r="NII75" s="2805"/>
      <c r="NIJ75" s="2805"/>
      <c r="NIK75" s="2805"/>
      <c r="NIL75" s="2805"/>
      <c r="NIM75" s="2805"/>
      <c r="NIN75" s="2805"/>
      <c r="NIO75" s="2805"/>
      <c r="NIP75" s="2805"/>
      <c r="NIQ75" s="2805"/>
      <c r="NIR75" s="2805"/>
      <c r="NIS75" s="2805"/>
      <c r="NIT75" s="2805"/>
      <c r="NIU75" s="2805"/>
      <c r="NIV75" s="2805"/>
      <c r="NIW75" s="2805"/>
      <c r="NIX75" s="2805"/>
      <c r="NIY75" s="2805"/>
      <c r="NIZ75" s="2805"/>
      <c r="NJA75" s="2805"/>
      <c r="NJB75" s="2805"/>
      <c r="NJC75" s="2805"/>
      <c r="NJD75" s="2805"/>
      <c r="NJE75" s="2805"/>
      <c r="NJF75" s="2805"/>
      <c r="NJG75" s="2805"/>
      <c r="NJH75" s="2805"/>
      <c r="NJI75" s="2805"/>
      <c r="NJJ75" s="2805"/>
      <c r="NJK75" s="2805"/>
      <c r="NJL75" s="2805"/>
      <c r="NJM75" s="2805"/>
      <c r="NJN75" s="2805"/>
      <c r="NJO75" s="2805"/>
      <c r="NJP75" s="2805"/>
      <c r="NJQ75" s="2805"/>
      <c r="NJR75" s="2805"/>
      <c r="NJS75" s="2805"/>
      <c r="NJT75" s="2805"/>
      <c r="NJU75" s="2805"/>
      <c r="NJV75" s="2805"/>
      <c r="NJW75" s="2805"/>
      <c r="NJX75" s="2805"/>
      <c r="NJY75" s="2805"/>
      <c r="NJZ75" s="2805"/>
      <c r="NKA75" s="2805"/>
      <c r="NKB75" s="2805"/>
      <c r="NKC75" s="2805"/>
      <c r="NKD75" s="2805"/>
      <c r="NKE75" s="2805"/>
      <c r="NKF75" s="2805"/>
      <c r="NKG75" s="2805"/>
      <c r="NKH75" s="2805"/>
      <c r="NKI75" s="2805"/>
      <c r="NKJ75" s="2805"/>
      <c r="NKK75" s="2805"/>
      <c r="NKL75" s="2805"/>
      <c r="NKM75" s="2805"/>
      <c r="NKN75" s="2805"/>
      <c r="NKO75" s="2805"/>
      <c r="NKP75" s="2805"/>
      <c r="NKQ75" s="2805"/>
      <c r="NKR75" s="2805"/>
      <c r="NKS75" s="2805"/>
      <c r="NKT75" s="2805"/>
      <c r="NKU75" s="2805"/>
      <c r="NKV75" s="2805"/>
      <c r="NKW75" s="2805"/>
      <c r="NKX75" s="2805"/>
      <c r="NKY75" s="2805"/>
      <c r="NKZ75" s="2805"/>
      <c r="NLA75" s="2805"/>
      <c r="NLB75" s="2805"/>
      <c r="NLC75" s="2805"/>
      <c r="NLD75" s="2805"/>
      <c r="NLE75" s="2805"/>
      <c r="NLF75" s="2805"/>
      <c r="NLG75" s="2805"/>
      <c r="NLH75" s="2805"/>
      <c r="NLI75" s="2805"/>
      <c r="NLJ75" s="2805"/>
      <c r="NLK75" s="2805"/>
      <c r="NLL75" s="2805"/>
      <c r="NLM75" s="2805"/>
      <c r="NLN75" s="2805"/>
      <c r="NLO75" s="2805"/>
      <c r="NLP75" s="2805"/>
      <c r="NLQ75" s="2805"/>
      <c r="NLR75" s="2805"/>
      <c r="NLS75" s="2805"/>
      <c r="NLT75" s="2805"/>
      <c r="NLU75" s="2805"/>
      <c r="NLV75" s="2805"/>
      <c r="NLW75" s="2805"/>
      <c r="NLX75" s="2805"/>
      <c r="NLY75" s="2805"/>
      <c r="NLZ75" s="2805"/>
      <c r="NMA75" s="2805"/>
      <c r="NMB75" s="2805"/>
      <c r="NMC75" s="2805"/>
      <c r="NMD75" s="2805"/>
      <c r="NME75" s="2805"/>
      <c r="NMF75" s="2805"/>
      <c r="NMG75" s="2805"/>
      <c r="NMH75" s="2805"/>
      <c r="NMI75" s="2805"/>
      <c r="NMJ75" s="2805"/>
      <c r="NMK75" s="2805"/>
      <c r="NML75" s="2805"/>
      <c r="NMM75" s="2805"/>
      <c r="NMN75" s="2805"/>
      <c r="NMO75" s="2805"/>
      <c r="NMP75" s="2805"/>
      <c r="NMQ75" s="2805"/>
      <c r="NMR75" s="2805"/>
      <c r="NMS75" s="2805"/>
      <c r="NMT75" s="2805"/>
      <c r="NMU75" s="2805"/>
      <c r="NMV75" s="2805"/>
      <c r="NMW75" s="2805"/>
      <c r="NMX75" s="2805"/>
      <c r="NMY75" s="2805"/>
      <c r="NMZ75" s="2805"/>
      <c r="NNA75" s="2805"/>
      <c r="NNB75" s="2805"/>
      <c r="NNC75" s="2805"/>
      <c r="NND75" s="2805"/>
      <c r="NNE75" s="2805"/>
      <c r="NNF75" s="2805"/>
      <c r="NNG75" s="2805"/>
      <c r="NNH75" s="2805"/>
      <c r="NNI75" s="2805"/>
      <c r="NNJ75" s="2805"/>
      <c r="NNK75" s="2805"/>
      <c r="NNL75" s="2805"/>
      <c r="NNM75" s="2805"/>
      <c r="NNN75" s="2805"/>
      <c r="NNO75" s="2805"/>
      <c r="NNP75" s="2805"/>
      <c r="NNQ75" s="2805"/>
      <c r="NNR75" s="2805"/>
      <c r="NNS75" s="2805"/>
      <c r="NNT75" s="2805"/>
      <c r="NNU75" s="2805"/>
      <c r="NNV75" s="2805"/>
      <c r="NNW75" s="2805"/>
      <c r="NNX75" s="2805"/>
      <c r="NNY75" s="2805"/>
      <c r="NNZ75" s="2805"/>
      <c r="NOA75" s="2805"/>
      <c r="NOB75" s="2805"/>
      <c r="NOC75" s="2805"/>
      <c r="NOD75" s="2805"/>
      <c r="NOE75" s="2805"/>
      <c r="NOF75" s="2805"/>
      <c r="NOG75" s="2805"/>
      <c r="NOH75" s="2805"/>
      <c r="NOI75" s="2805"/>
      <c r="NOJ75" s="2805"/>
      <c r="NOK75" s="2805"/>
      <c r="NOL75" s="2805"/>
      <c r="NOM75" s="2805"/>
      <c r="NON75" s="2805"/>
      <c r="NOO75" s="2805"/>
      <c r="NOP75" s="2805"/>
      <c r="NOQ75" s="2805"/>
      <c r="NOR75" s="2805"/>
      <c r="NOS75" s="2805"/>
      <c r="NOT75" s="2805"/>
      <c r="NOU75" s="2805"/>
      <c r="NOV75" s="2805"/>
      <c r="NOW75" s="2805"/>
      <c r="NOX75" s="2805"/>
      <c r="NOY75" s="2805"/>
      <c r="NOZ75" s="2805"/>
      <c r="NPA75" s="2805"/>
      <c r="NPB75" s="2805"/>
      <c r="NPC75" s="2805"/>
      <c r="NPD75" s="2805"/>
      <c r="NPE75" s="2805"/>
      <c r="NPF75" s="2805"/>
      <c r="NPG75" s="2805"/>
      <c r="NPH75" s="2805"/>
      <c r="NPI75" s="2805"/>
      <c r="NPJ75" s="2805"/>
      <c r="NPK75" s="2805"/>
      <c r="NPL75" s="2805"/>
      <c r="NPM75" s="2805"/>
      <c r="NPN75" s="2805"/>
      <c r="NPO75" s="2805"/>
      <c r="NPP75" s="2805"/>
      <c r="NPQ75" s="2805"/>
      <c r="NPR75" s="2805"/>
      <c r="NPS75" s="2805"/>
      <c r="NPT75" s="2805"/>
      <c r="NPU75" s="2805"/>
      <c r="NPV75" s="2805"/>
      <c r="NPW75" s="2805"/>
      <c r="NPX75" s="2805"/>
      <c r="NPY75" s="2805"/>
      <c r="NPZ75" s="2805"/>
      <c r="NQA75" s="2805"/>
      <c r="NQB75" s="2805"/>
      <c r="NQC75" s="2805"/>
      <c r="NQD75" s="2805"/>
      <c r="NQE75" s="2805"/>
      <c r="NQF75" s="2805"/>
      <c r="NQG75" s="2805"/>
      <c r="NQH75" s="2805"/>
      <c r="NQI75" s="2805"/>
      <c r="NQJ75" s="2805"/>
      <c r="NQK75" s="2805"/>
      <c r="NQL75" s="2805"/>
      <c r="NQM75" s="2805"/>
      <c r="NQN75" s="2805"/>
      <c r="NQO75" s="2805"/>
      <c r="NQP75" s="2805"/>
      <c r="NQQ75" s="2805"/>
      <c r="NQR75" s="2805"/>
      <c r="NQS75" s="2805"/>
      <c r="NQT75" s="2805"/>
      <c r="NQU75" s="2805"/>
      <c r="NQV75" s="2805"/>
      <c r="NQW75" s="2805"/>
      <c r="NQX75" s="2805"/>
      <c r="NQY75" s="2805"/>
      <c r="NQZ75" s="2805"/>
      <c r="NRA75" s="2805"/>
      <c r="NRB75" s="2805"/>
      <c r="NRC75" s="2805"/>
      <c r="NRD75" s="2805"/>
      <c r="NRE75" s="2805"/>
      <c r="NRF75" s="2805"/>
      <c r="NRG75" s="2805"/>
      <c r="NRH75" s="2805"/>
      <c r="NRI75" s="2805"/>
      <c r="NRJ75" s="2805"/>
      <c r="NRK75" s="2805"/>
      <c r="NRL75" s="2805"/>
      <c r="NRM75" s="2805"/>
      <c r="NRN75" s="2805"/>
      <c r="NRO75" s="2805"/>
      <c r="NRP75" s="2805"/>
      <c r="NRQ75" s="2805"/>
      <c r="NRR75" s="2805"/>
      <c r="NRS75" s="2805"/>
      <c r="NRT75" s="2805"/>
      <c r="NRU75" s="2805"/>
      <c r="NRV75" s="2805"/>
      <c r="NRW75" s="2805"/>
      <c r="NRX75" s="2805"/>
      <c r="NRY75" s="2805"/>
      <c r="NRZ75" s="2805"/>
      <c r="NSA75" s="2805"/>
      <c r="NSB75" s="2805"/>
      <c r="NSC75" s="2805"/>
      <c r="NSD75" s="2805"/>
      <c r="NSE75" s="2805"/>
      <c r="NSF75" s="2805"/>
      <c r="NSG75" s="2805"/>
      <c r="NSH75" s="2805"/>
      <c r="NSI75" s="2805"/>
      <c r="NSJ75" s="2805"/>
      <c r="NSK75" s="2805"/>
      <c r="NSL75" s="2805"/>
      <c r="NSM75" s="2805"/>
      <c r="NSN75" s="2805"/>
      <c r="NSO75" s="2805"/>
      <c r="NSP75" s="2805"/>
      <c r="NSQ75" s="2805"/>
      <c r="NSR75" s="2805"/>
      <c r="NSS75" s="2805"/>
      <c r="NST75" s="2805"/>
      <c r="NSU75" s="2805"/>
      <c r="NSV75" s="2805"/>
      <c r="NSW75" s="2805"/>
      <c r="NSX75" s="2805"/>
      <c r="NSY75" s="2805"/>
      <c r="NSZ75" s="2805"/>
      <c r="NTA75" s="2805"/>
      <c r="NTB75" s="2805"/>
      <c r="NTC75" s="2805"/>
      <c r="NTD75" s="2805"/>
      <c r="NTE75" s="2805"/>
      <c r="NTF75" s="2805"/>
      <c r="NTG75" s="2805"/>
      <c r="NTH75" s="2805"/>
      <c r="NTI75" s="2805"/>
      <c r="NTJ75" s="2805"/>
      <c r="NTK75" s="2805"/>
      <c r="NTL75" s="2805"/>
      <c r="NTM75" s="2805"/>
      <c r="NTN75" s="2805"/>
      <c r="NTO75" s="2805"/>
      <c r="NTP75" s="2805"/>
      <c r="NTQ75" s="2805"/>
      <c r="NTR75" s="2805"/>
      <c r="NTS75" s="2805"/>
      <c r="NTT75" s="2805"/>
      <c r="NTU75" s="2805"/>
      <c r="NTV75" s="2805"/>
      <c r="NTW75" s="2805"/>
      <c r="NTX75" s="2805"/>
      <c r="NTY75" s="2805"/>
      <c r="NTZ75" s="2805"/>
      <c r="NUA75" s="2805"/>
      <c r="NUB75" s="2805"/>
      <c r="NUC75" s="2805"/>
      <c r="NUD75" s="2805"/>
      <c r="NUE75" s="2805"/>
      <c r="NUF75" s="2805"/>
      <c r="NUG75" s="2805"/>
      <c r="NUH75" s="2805"/>
      <c r="NUI75" s="2805"/>
      <c r="NUJ75" s="2805"/>
      <c r="NUK75" s="2805"/>
      <c r="NUL75" s="2805"/>
      <c r="NUM75" s="2805"/>
      <c r="NUN75" s="2805"/>
      <c r="NUO75" s="2805"/>
      <c r="NUP75" s="2805"/>
      <c r="NUQ75" s="2805"/>
      <c r="NUR75" s="2805"/>
      <c r="NUS75" s="2805"/>
      <c r="NUT75" s="2805"/>
      <c r="NUU75" s="2805"/>
      <c r="NUV75" s="2805"/>
      <c r="NUW75" s="2805"/>
      <c r="NUX75" s="2805"/>
      <c r="NUY75" s="2805"/>
      <c r="NUZ75" s="2805"/>
      <c r="NVA75" s="2805"/>
      <c r="NVB75" s="2805"/>
      <c r="NVC75" s="2805"/>
      <c r="NVD75" s="2805"/>
      <c r="NVE75" s="2805"/>
      <c r="NVF75" s="2805"/>
      <c r="NVG75" s="2805"/>
      <c r="NVH75" s="2805"/>
      <c r="NVI75" s="2805"/>
      <c r="NVJ75" s="2805"/>
      <c r="NVK75" s="2805"/>
      <c r="NVL75" s="2805"/>
      <c r="NVM75" s="2805"/>
      <c r="NVN75" s="2805"/>
      <c r="NVO75" s="2805"/>
      <c r="NVP75" s="2805"/>
      <c r="NVQ75" s="2805"/>
      <c r="NVR75" s="2805"/>
      <c r="NVS75" s="2805"/>
      <c r="NVT75" s="2805"/>
      <c r="NVU75" s="2805"/>
      <c r="NVV75" s="2805"/>
      <c r="NVW75" s="2805"/>
      <c r="NVX75" s="2805"/>
      <c r="NVY75" s="2805"/>
      <c r="NVZ75" s="2805"/>
      <c r="NWA75" s="2805"/>
      <c r="NWB75" s="2805"/>
      <c r="NWC75" s="2805"/>
      <c r="NWD75" s="2805"/>
      <c r="NWE75" s="2805"/>
      <c r="NWF75" s="2805"/>
      <c r="NWG75" s="2805"/>
      <c r="NWH75" s="2805"/>
      <c r="NWI75" s="2805"/>
      <c r="NWJ75" s="2805"/>
      <c r="NWK75" s="2805"/>
      <c r="NWL75" s="2805"/>
      <c r="NWM75" s="2805"/>
      <c r="NWN75" s="2805"/>
      <c r="NWO75" s="2805"/>
      <c r="NWP75" s="2805"/>
      <c r="NWQ75" s="2805"/>
      <c r="NWR75" s="2805"/>
      <c r="NWS75" s="2805"/>
      <c r="NWT75" s="2805"/>
      <c r="NWU75" s="2805"/>
      <c r="NWV75" s="2805"/>
      <c r="NWW75" s="2805"/>
      <c r="NWX75" s="2805"/>
      <c r="NWY75" s="2805"/>
      <c r="NWZ75" s="2805"/>
      <c r="NXA75" s="2805"/>
      <c r="NXB75" s="2805"/>
      <c r="NXC75" s="2805"/>
      <c r="NXD75" s="2805"/>
      <c r="NXE75" s="2805"/>
      <c r="NXF75" s="2805"/>
      <c r="NXG75" s="2805"/>
      <c r="NXH75" s="2805"/>
      <c r="NXI75" s="2805"/>
      <c r="NXJ75" s="2805"/>
      <c r="NXK75" s="2805"/>
      <c r="NXL75" s="2805"/>
      <c r="NXM75" s="2805"/>
      <c r="NXN75" s="2805"/>
      <c r="NXO75" s="2805"/>
      <c r="NXP75" s="2805"/>
      <c r="NXQ75" s="2805"/>
      <c r="NXR75" s="2805"/>
      <c r="NXS75" s="2805"/>
      <c r="NXT75" s="2805"/>
      <c r="NXU75" s="2805"/>
      <c r="NXV75" s="2805"/>
      <c r="NXW75" s="2805"/>
      <c r="NXX75" s="2805"/>
      <c r="NXY75" s="2805"/>
      <c r="NXZ75" s="2805"/>
      <c r="NYA75" s="2805"/>
      <c r="NYB75" s="2805"/>
      <c r="NYC75" s="2805"/>
      <c r="NYD75" s="2805"/>
      <c r="NYE75" s="2805"/>
      <c r="NYF75" s="2805"/>
      <c r="NYG75" s="2805"/>
      <c r="NYH75" s="2805"/>
      <c r="NYI75" s="2805"/>
      <c r="NYJ75" s="2805"/>
      <c r="NYK75" s="2805"/>
      <c r="NYL75" s="2805"/>
      <c r="NYM75" s="2805"/>
      <c r="NYN75" s="2805"/>
      <c r="NYO75" s="2805"/>
      <c r="NYP75" s="2805"/>
      <c r="NYQ75" s="2805"/>
      <c r="NYR75" s="2805"/>
      <c r="NYS75" s="2805"/>
      <c r="NYT75" s="2805"/>
      <c r="NYU75" s="2805"/>
      <c r="NYV75" s="2805"/>
      <c r="NYW75" s="2805"/>
      <c r="NYX75" s="2805"/>
      <c r="NYY75" s="2805"/>
      <c r="NYZ75" s="2805"/>
      <c r="NZA75" s="2805"/>
      <c r="NZB75" s="2805"/>
      <c r="NZC75" s="2805"/>
      <c r="NZD75" s="2805"/>
      <c r="NZE75" s="2805"/>
      <c r="NZF75" s="2805"/>
      <c r="NZG75" s="2805"/>
      <c r="NZH75" s="2805"/>
      <c r="NZI75" s="2805"/>
      <c r="NZJ75" s="2805"/>
      <c r="NZK75" s="2805"/>
      <c r="NZL75" s="2805"/>
      <c r="NZM75" s="2805"/>
      <c r="NZN75" s="2805"/>
      <c r="NZO75" s="2805"/>
      <c r="NZP75" s="2805"/>
      <c r="NZQ75" s="2805"/>
      <c r="NZR75" s="2805"/>
      <c r="NZS75" s="2805"/>
      <c r="NZT75" s="2805"/>
      <c r="NZU75" s="2805"/>
      <c r="NZV75" s="2805"/>
      <c r="NZW75" s="2805"/>
      <c r="NZX75" s="2805"/>
      <c r="NZY75" s="2805"/>
      <c r="NZZ75" s="2805"/>
      <c r="OAA75" s="2805"/>
      <c r="OAB75" s="2805"/>
      <c r="OAC75" s="2805"/>
      <c r="OAD75" s="2805"/>
      <c r="OAE75" s="2805"/>
      <c r="OAF75" s="2805"/>
      <c r="OAG75" s="2805"/>
      <c r="OAH75" s="2805"/>
      <c r="OAI75" s="2805"/>
      <c r="OAJ75" s="2805"/>
      <c r="OAK75" s="2805"/>
      <c r="OAL75" s="2805"/>
      <c r="OAM75" s="2805"/>
      <c r="OAN75" s="2805"/>
      <c r="OAO75" s="2805"/>
      <c r="OAP75" s="2805"/>
      <c r="OAQ75" s="2805"/>
      <c r="OAR75" s="2805"/>
      <c r="OAS75" s="2805"/>
      <c r="OAT75" s="2805"/>
      <c r="OAU75" s="2805"/>
      <c r="OAV75" s="2805"/>
      <c r="OAW75" s="2805"/>
      <c r="OAX75" s="2805"/>
      <c r="OAY75" s="2805"/>
      <c r="OAZ75" s="2805"/>
      <c r="OBA75" s="2805"/>
      <c r="OBB75" s="2805"/>
      <c r="OBC75" s="2805"/>
      <c r="OBD75" s="2805"/>
      <c r="OBE75" s="2805"/>
      <c r="OBF75" s="2805"/>
      <c r="OBG75" s="2805"/>
      <c r="OBH75" s="2805"/>
      <c r="OBI75" s="2805"/>
      <c r="OBJ75" s="2805"/>
      <c r="OBK75" s="2805"/>
      <c r="OBL75" s="2805"/>
      <c r="OBM75" s="2805"/>
      <c r="OBN75" s="2805"/>
      <c r="OBO75" s="2805"/>
      <c r="OBP75" s="2805"/>
      <c r="OBQ75" s="2805"/>
      <c r="OBR75" s="2805"/>
      <c r="OBS75" s="2805"/>
      <c r="OBT75" s="2805"/>
      <c r="OBU75" s="2805"/>
      <c r="OBV75" s="2805"/>
      <c r="OBW75" s="2805"/>
      <c r="OBX75" s="2805"/>
      <c r="OBY75" s="2805"/>
      <c r="OBZ75" s="2805"/>
      <c r="OCA75" s="2805"/>
      <c r="OCB75" s="2805"/>
      <c r="OCC75" s="2805"/>
      <c r="OCD75" s="2805"/>
      <c r="OCE75" s="2805"/>
      <c r="OCF75" s="2805"/>
      <c r="OCG75" s="2805"/>
      <c r="OCH75" s="2805"/>
      <c r="OCI75" s="2805"/>
      <c r="OCJ75" s="2805"/>
      <c r="OCK75" s="2805"/>
      <c r="OCL75" s="2805"/>
      <c r="OCM75" s="2805"/>
      <c r="OCN75" s="2805"/>
      <c r="OCO75" s="2805"/>
      <c r="OCP75" s="2805"/>
      <c r="OCQ75" s="2805"/>
      <c r="OCR75" s="2805"/>
      <c r="OCS75" s="2805"/>
      <c r="OCT75" s="2805"/>
      <c r="OCU75" s="2805"/>
      <c r="OCV75" s="2805"/>
      <c r="OCW75" s="2805"/>
      <c r="OCX75" s="2805"/>
      <c r="OCY75" s="2805"/>
      <c r="OCZ75" s="2805"/>
      <c r="ODA75" s="2805"/>
      <c r="ODB75" s="2805"/>
      <c r="ODC75" s="2805"/>
      <c r="ODD75" s="2805"/>
      <c r="ODE75" s="2805"/>
      <c r="ODF75" s="2805"/>
      <c r="ODG75" s="2805"/>
      <c r="ODH75" s="2805"/>
      <c r="ODI75" s="2805"/>
      <c r="ODJ75" s="2805"/>
      <c r="ODK75" s="2805"/>
      <c r="ODL75" s="2805"/>
      <c r="ODM75" s="2805"/>
      <c r="ODN75" s="2805"/>
      <c r="ODO75" s="2805"/>
      <c r="ODP75" s="2805"/>
      <c r="ODQ75" s="2805"/>
      <c r="ODR75" s="2805"/>
      <c r="ODS75" s="2805"/>
      <c r="ODT75" s="2805"/>
      <c r="ODU75" s="2805"/>
      <c r="ODV75" s="2805"/>
      <c r="ODW75" s="2805"/>
      <c r="ODX75" s="2805"/>
      <c r="ODY75" s="2805"/>
      <c r="ODZ75" s="2805"/>
      <c r="OEA75" s="2805"/>
      <c r="OEB75" s="2805"/>
      <c r="OEC75" s="2805"/>
      <c r="OED75" s="2805"/>
      <c r="OEE75" s="2805"/>
      <c r="OEF75" s="2805"/>
      <c r="OEG75" s="2805"/>
      <c r="OEH75" s="2805"/>
      <c r="OEI75" s="2805"/>
      <c r="OEJ75" s="2805"/>
      <c r="OEK75" s="2805"/>
      <c r="OEL75" s="2805"/>
      <c r="OEM75" s="2805"/>
      <c r="OEN75" s="2805"/>
      <c r="OEO75" s="2805"/>
      <c r="OEP75" s="2805"/>
      <c r="OEQ75" s="2805"/>
      <c r="OER75" s="2805"/>
      <c r="OES75" s="2805"/>
      <c r="OET75" s="2805"/>
      <c r="OEU75" s="2805"/>
      <c r="OEV75" s="2805"/>
      <c r="OEW75" s="2805"/>
      <c r="OEX75" s="2805"/>
      <c r="OEY75" s="2805"/>
      <c r="OEZ75" s="2805"/>
      <c r="OFA75" s="2805"/>
      <c r="OFB75" s="2805"/>
      <c r="OFC75" s="2805"/>
      <c r="OFD75" s="2805"/>
      <c r="OFE75" s="2805"/>
      <c r="OFF75" s="2805"/>
      <c r="OFG75" s="2805"/>
      <c r="OFH75" s="2805"/>
      <c r="OFI75" s="2805"/>
      <c r="OFJ75" s="2805"/>
      <c r="OFK75" s="2805"/>
      <c r="OFL75" s="2805"/>
      <c r="OFM75" s="2805"/>
      <c r="OFN75" s="2805"/>
      <c r="OFO75" s="2805"/>
      <c r="OFP75" s="2805"/>
      <c r="OFQ75" s="2805"/>
      <c r="OFR75" s="2805"/>
      <c r="OFS75" s="2805"/>
      <c r="OFT75" s="2805"/>
      <c r="OFU75" s="2805"/>
      <c r="OFV75" s="2805"/>
      <c r="OFW75" s="2805"/>
      <c r="OFX75" s="2805"/>
      <c r="OFY75" s="2805"/>
      <c r="OFZ75" s="2805"/>
      <c r="OGA75" s="2805"/>
      <c r="OGB75" s="2805"/>
      <c r="OGC75" s="2805"/>
      <c r="OGD75" s="2805"/>
      <c r="OGE75" s="2805"/>
      <c r="OGF75" s="2805"/>
      <c r="OGG75" s="2805"/>
      <c r="OGH75" s="2805"/>
      <c r="OGI75" s="2805"/>
      <c r="OGJ75" s="2805"/>
      <c r="OGK75" s="2805"/>
      <c r="OGL75" s="2805"/>
      <c r="OGM75" s="2805"/>
      <c r="OGN75" s="2805"/>
      <c r="OGO75" s="2805"/>
      <c r="OGP75" s="2805"/>
      <c r="OGQ75" s="2805"/>
      <c r="OGR75" s="2805"/>
      <c r="OGS75" s="2805"/>
      <c r="OGT75" s="2805"/>
      <c r="OGU75" s="2805"/>
      <c r="OGV75" s="2805"/>
      <c r="OGW75" s="2805"/>
      <c r="OGX75" s="2805"/>
      <c r="OGY75" s="2805"/>
      <c r="OGZ75" s="2805"/>
      <c r="OHA75" s="2805"/>
      <c r="OHB75" s="2805"/>
      <c r="OHC75" s="2805"/>
      <c r="OHD75" s="2805"/>
      <c r="OHE75" s="2805"/>
      <c r="OHF75" s="2805"/>
      <c r="OHG75" s="2805"/>
      <c r="OHH75" s="2805"/>
      <c r="OHI75" s="2805"/>
      <c r="OHJ75" s="2805"/>
      <c r="OHK75" s="2805"/>
      <c r="OHL75" s="2805"/>
      <c r="OHM75" s="2805"/>
      <c r="OHN75" s="2805"/>
      <c r="OHO75" s="2805"/>
      <c r="OHP75" s="2805"/>
      <c r="OHQ75" s="2805"/>
      <c r="OHR75" s="2805"/>
      <c r="OHS75" s="2805"/>
      <c r="OHT75" s="2805"/>
      <c r="OHU75" s="2805"/>
      <c r="OHV75" s="2805"/>
      <c r="OHW75" s="2805"/>
      <c r="OHX75" s="2805"/>
      <c r="OHY75" s="2805"/>
      <c r="OHZ75" s="2805"/>
      <c r="OIA75" s="2805"/>
      <c r="OIB75" s="2805"/>
      <c r="OIC75" s="2805"/>
      <c r="OID75" s="2805"/>
      <c r="OIE75" s="2805"/>
      <c r="OIF75" s="2805"/>
      <c r="OIG75" s="2805"/>
      <c r="OIH75" s="2805"/>
      <c r="OII75" s="2805"/>
      <c r="OIJ75" s="2805"/>
      <c r="OIK75" s="2805"/>
      <c r="OIL75" s="2805"/>
      <c r="OIM75" s="2805"/>
      <c r="OIN75" s="2805"/>
      <c r="OIO75" s="2805"/>
      <c r="OIP75" s="2805"/>
      <c r="OIQ75" s="2805"/>
      <c r="OIR75" s="2805"/>
      <c r="OIS75" s="2805"/>
      <c r="OIT75" s="2805"/>
      <c r="OIU75" s="2805"/>
      <c r="OIV75" s="2805"/>
      <c r="OIW75" s="2805"/>
      <c r="OIX75" s="2805"/>
      <c r="OIY75" s="2805"/>
      <c r="OIZ75" s="2805"/>
      <c r="OJA75" s="2805"/>
      <c r="OJB75" s="2805"/>
      <c r="OJC75" s="2805"/>
      <c r="OJD75" s="2805"/>
      <c r="OJE75" s="2805"/>
      <c r="OJF75" s="2805"/>
      <c r="OJG75" s="2805"/>
      <c r="OJH75" s="2805"/>
      <c r="OJI75" s="2805"/>
      <c r="OJJ75" s="2805"/>
      <c r="OJK75" s="2805"/>
      <c r="OJL75" s="2805"/>
      <c r="OJM75" s="2805"/>
      <c r="OJN75" s="2805"/>
      <c r="OJO75" s="2805"/>
      <c r="OJP75" s="2805"/>
      <c r="OJQ75" s="2805"/>
      <c r="OJR75" s="2805"/>
      <c r="OJS75" s="2805"/>
      <c r="OJT75" s="2805"/>
      <c r="OJU75" s="2805"/>
      <c r="OJV75" s="2805"/>
      <c r="OJW75" s="2805"/>
      <c r="OJX75" s="2805"/>
      <c r="OJY75" s="2805"/>
      <c r="OJZ75" s="2805"/>
      <c r="OKA75" s="2805"/>
      <c r="OKB75" s="2805"/>
      <c r="OKC75" s="2805"/>
      <c r="OKD75" s="2805"/>
      <c r="OKE75" s="2805"/>
      <c r="OKF75" s="2805"/>
      <c r="OKG75" s="2805"/>
      <c r="OKH75" s="2805"/>
      <c r="OKI75" s="2805"/>
      <c r="OKJ75" s="2805"/>
      <c r="OKK75" s="2805"/>
      <c r="OKL75" s="2805"/>
      <c r="OKM75" s="2805"/>
      <c r="OKN75" s="2805"/>
      <c r="OKO75" s="2805"/>
      <c r="OKP75" s="2805"/>
      <c r="OKQ75" s="2805"/>
      <c r="OKR75" s="2805"/>
      <c r="OKS75" s="2805"/>
      <c r="OKT75" s="2805"/>
      <c r="OKU75" s="2805"/>
      <c r="OKV75" s="2805"/>
      <c r="OKW75" s="2805"/>
      <c r="OKX75" s="2805"/>
      <c r="OKY75" s="2805"/>
      <c r="OKZ75" s="2805"/>
      <c r="OLA75" s="2805"/>
      <c r="OLB75" s="2805"/>
      <c r="OLC75" s="2805"/>
      <c r="OLD75" s="2805"/>
      <c r="OLE75" s="2805"/>
      <c r="OLF75" s="2805"/>
      <c r="OLG75" s="2805"/>
      <c r="OLH75" s="2805"/>
      <c r="OLI75" s="2805"/>
      <c r="OLJ75" s="2805"/>
      <c r="OLK75" s="2805"/>
      <c r="OLL75" s="2805"/>
      <c r="OLM75" s="2805"/>
      <c r="OLN75" s="2805"/>
      <c r="OLO75" s="2805"/>
      <c r="OLP75" s="2805"/>
      <c r="OLQ75" s="2805"/>
      <c r="OLR75" s="2805"/>
      <c r="OLS75" s="2805"/>
      <c r="OLT75" s="2805"/>
      <c r="OLU75" s="2805"/>
      <c r="OLV75" s="2805"/>
      <c r="OLW75" s="2805"/>
      <c r="OLX75" s="2805"/>
      <c r="OLY75" s="2805"/>
      <c r="OLZ75" s="2805"/>
      <c r="OMA75" s="2805"/>
      <c r="OMB75" s="2805"/>
      <c r="OMC75" s="2805"/>
      <c r="OMD75" s="2805"/>
      <c r="OME75" s="2805"/>
      <c r="OMF75" s="2805"/>
      <c r="OMG75" s="2805"/>
      <c r="OMH75" s="2805"/>
      <c r="OMI75" s="2805"/>
      <c r="OMJ75" s="2805"/>
      <c r="OMK75" s="2805"/>
      <c r="OML75" s="2805"/>
      <c r="OMM75" s="2805"/>
      <c r="OMN75" s="2805"/>
      <c r="OMO75" s="2805"/>
      <c r="OMP75" s="2805"/>
      <c r="OMQ75" s="2805"/>
      <c r="OMR75" s="2805"/>
      <c r="OMS75" s="2805"/>
      <c r="OMT75" s="2805"/>
      <c r="OMU75" s="2805"/>
      <c r="OMV75" s="2805"/>
      <c r="OMW75" s="2805"/>
      <c r="OMX75" s="2805"/>
      <c r="OMY75" s="2805"/>
      <c r="OMZ75" s="2805"/>
      <c r="ONA75" s="2805"/>
      <c r="ONB75" s="2805"/>
      <c r="ONC75" s="2805"/>
      <c r="OND75" s="2805"/>
      <c r="ONE75" s="2805"/>
      <c r="ONF75" s="2805"/>
      <c r="ONG75" s="2805"/>
      <c r="ONH75" s="2805"/>
      <c r="ONI75" s="2805"/>
      <c r="ONJ75" s="2805"/>
      <c r="ONK75" s="2805"/>
      <c r="ONL75" s="2805"/>
      <c r="ONM75" s="2805"/>
      <c r="ONN75" s="2805"/>
      <c r="ONO75" s="2805"/>
      <c r="ONP75" s="2805"/>
      <c r="ONQ75" s="2805"/>
      <c r="ONR75" s="2805"/>
      <c r="ONS75" s="2805"/>
      <c r="ONT75" s="2805"/>
      <c r="ONU75" s="2805"/>
      <c r="ONV75" s="2805"/>
      <c r="ONW75" s="2805"/>
      <c r="ONX75" s="2805"/>
      <c r="ONY75" s="2805"/>
      <c r="ONZ75" s="2805"/>
      <c r="OOA75" s="2805"/>
      <c r="OOB75" s="2805"/>
      <c r="OOC75" s="2805"/>
      <c r="OOD75" s="2805"/>
      <c r="OOE75" s="2805"/>
      <c r="OOF75" s="2805"/>
      <c r="OOG75" s="2805"/>
      <c r="OOH75" s="2805"/>
      <c r="OOI75" s="2805"/>
      <c r="OOJ75" s="2805"/>
      <c r="OOK75" s="2805"/>
      <c r="OOL75" s="2805"/>
      <c r="OOM75" s="2805"/>
      <c r="OON75" s="2805"/>
      <c r="OOO75" s="2805"/>
      <c r="OOP75" s="2805"/>
      <c r="OOQ75" s="2805"/>
      <c r="OOR75" s="2805"/>
      <c r="OOS75" s="2805"/>
      <c r="OOT75" s="2805"/>
      <c r="OOU75" s="2805"/>
      <c r="OOV75" s="2805"/>
      <c r="OOW75" s="2805"/>
      <c r="OOX75" s="2805"/>
      <c r="OOY75" s="2805"/>
      <c r="OOZ75" s="2805"/>
      <c r="OPA75" s="2805"/>
      <c r="OPB75" s="2805"/>
      <c r="OPC75" s="2805"/>
      <c r="OPD75" s="2805"/>
      <c r="OPE75" s="2805"/>
      <c r="OPF75" s="2805"/>
      <c r="OPG75" s="2805"/>
      <c r="OPH75" s="2805"/>
      <c r="OPI75" s="2805"/>
      <c r="OPJ75" s="2805"/>
      <c r="OPK75" s="2805"/>
      <c r="OPL75" s="2805"/>
      <c r="OPM75" s="2805"/>
      <c r="OPN75" s="2805"/>
      <c r="OPO75" s="2805"/>
      <c r="OPP75" s="2805"/>
      <c r="OPQ75" s="2805"/>
      <c r="OPR75" s="2805"/>
      <c r="OPS75" s="2805"/>
      <c r="OPT75" s="2805"/>
      <c r="OPU75" s="2805"/>
      <c r="OPV75" s="2805"/>
      <c r="OPW75" s="2805"/>
      <c r="OPX75" s="2805"/>
      <c r="OPY75" s="2805"/>
      <c r="OPZ75" s="2805"/>
      <c r="OQA75" s="2805"/>
      <c r="OQB75" s="2805"/>
      <c r="OQC75" s="2805"/>
      <c r="OQD75" s="2805"/>
      <c r="OQE75" s="2805"/>
      <c r="OQF75" s="2805"/>
      <c r="OQG75" s="2805"/>
      <c r="OQH75" s="2805"/>
      <c r="OQI75" s="2805"/>
      <c r="OQJ75" s="2805"/>
      <c r="OQK75" s="2805"/>
      <c r="OQL75" s="2805"/>
      <c r="OQM75" s="2805"/>
      <c r="OQN75" s="2805"/>
      <c r="OQO75" s="2805"/>
      <c r="OQP75" s="2805"/>
      <c r="OQQ75" s="2805"/>
      <c r="OQR75" s="2805"/>
      <c r="OQS75" s="2805"/>
      <c r="OQT75" s="2805"/>
      <c r="OQU75" s="2805"/>
      <c r="OQV75" s="2805"/>
      <c r="OQW75" s="2805"/>
      <c r="OQX75" s="2805"/>
      <c r="OQY75" s="2805"/>
      <c r="OQZ75" s="2805"/>
      <c r="ORA75" s="2805"/>
      <c r="ORB75" s="2805"/>
      <c r="ORC75" s="2805"/>
      <c r="ORD75" s="2805"/>
      <c r="ORE75" s="2805"/>
      <c r="ORF75" s="2805"/>
      <c r="ORG75" s="2805"/>
      <c r="ORH75" s="2805"/>
      <c r="ORI75" s="2805"/>
      <c r="ORJ75" s="2805"/>
      <c r="ORK75" s="2805"/>
      <c r="ORL75" s="2805"/>
      <c r="ORM75" s="2805"/>
      <c r="ORN75" s="2805"/>
      <c r="ORO75" s="2805"/>
      <c r="ORP75" s="2805"/>
      <c r="ORQ75" s="2805"/>
      <c r="ORR75" s="2805"/>
      <c r="ORS75" s="2805"/>
      <c r="ORT75" s="2805"/>
      <c r="ORU75" s="2805"/>
      <c r="ORV75" s="2805"/>
      <c r="ORW75" s="2805"/>
      <c r="ORX75" s="2805"/>
      <c r="ORY75" s="2805"/>
      <c r="ORZ75" s="2805"/>
      <c r="OSA75" s="2805"/>
      <c r="OSB75" s="2805"/>
      <c r="OSC75" s="2805"/>
      <c r="OSD75" s="2805"/>
      <c r="OSE75" s="2805"/>
      <c r="OSF75" s="2805"/>
      <c r="OSG75" s="2805"/>
      <c r="OSH75" s="2805"/>
      <c r="OSI75" s="2805"/>
      <c r="OSJ75" s="2805"/>
      <c r="OSK75" s="2805"/>
      <c r="OSL75" s="2805"/>
      <c r="OSM75" s="2805"/>
      <c r="OSN75" s="2805"/>
      <c r="OSO75" s="2805"/>
      <c r="OSP75" s="2805"/>
      <c r="OSQ75" s="2805"/>
      <c r="OSR75" s="2805"/>
      <c r="OSS75" s="2805"/>
      <c r="OST75" s="2805"/>
      <c r="OSU75" s="2805"/>
      <c r="OSV75" s="2805"/>
      <c r="OSW75" s="2805"/>
      <c r="OSX75" s="2805"/>
      <c r="OSY75" s="2805"/>
      <c r="OSZ75" s="2805"/>
      <c r="OTA75" s="2805"/>
      <c r="OTB75" s="2805"/>
      <c r="OTC75" s="2805"/>
      <c r="OTD75" s="2805"/>
      <c r="OTE75" s="2805"/>
      <c r="OTF75" s="2805"/>
      <c r="OTG75" s="2805"/>
      <c r="OTH75" s="2805"/>
      <c r="OTI75" s="2805"/>
      <c r="OTJ75" s="2805"/>
      <c r="OTK75" s="2805"/>
      <c r="OTL75" s="2805"/>
      <c r="OTM75" s="2805"/>
      <c r="OTN75" s="2805"/>
      <c r="OTO75" s="2805"/>
      <c r="OTP75" s="2805"/>
      <c r="OTQ75" s="2805"/>
      <c r="OTR75" s="2805"/>
      <c r="OTS75" s="2805"/>
      <c r="OTT75" s="2805"/>
      <c r="OTU75" s="2805"/>
      <c r="OTV75" s="2805"/>
      <c r="OTW75" s="2805"/>
      <c r="OTX75" s="2805"/>
      <c r="OTY75" s="2805"/>
      <c r="OTZ75" s="2805"/>
      <c r="OUA75" s="2805"/>
      <c r="OUB75" s="2805"/>
      <c r="OUC75" s="2805"/>
      <c r="OUD75" s="2805"/>
      <c r="OUE75" s="2805"/>
      <c r="OUF75" s="2805"/>
      <c r="OUG75" s="2805"/>
      <c r="OUH75" s="2805"/>
      <c r="OUI75" s="2805"/>
      <c r="OUJ75" s="2805"/>
      <c r="OUK75" s="2805"/>
      <c r="OUL75" s="2805"/>
      <c r="OUM75" s="2805"/>
      <c r="OUN75" s="2805"/>
      <c r="OUO75" s="2805"/>
      <c r="OUP75" s="2805"/>
      <c r="OUQ75" s="2805"/>
      <c r="OUR75" s="2805"/>
      <c r="OUS75" s="2805"/>
      <c r="OUT75" s="2805"/>
      <c r="OUU75" s="2805"/>
      <c r="OUV75" s="2805"/>
      <c r="OUW75" s="2805"/>
      <c r="OUX75" s="2805"/>
      <c r="OUY75" s="2805"/>
      <c r="OUZ75" s="2805"/>
      <c r="OVA75" s="2805"/>
      <c r="OVB75" s="2805"/>
      <c r="OVC75" s="2805"/>
      <c r="OVD75" s="2805"/>
      <c r="OVE75" s="2805"/>
      <c r="OVF75" s="2805"/>
      <c r="OVG75" s="2805"/>
      <c r="OVH75" s="2805"/>
      <c r="OVI75" s="2805"/>
      <c r="OVJ75" s="2805"/>
      <c r="OVK75" s="2805"/>
      <c r="OVL75" s="2805"/>
      <c r="OVM75" s="2805"/>
      <c r="OVN75" s="2805"/>
      <c r="OVO75" s="2805"/>
      <c r="OVP75" s="2805"/>
      <c r="OVQ75" s="2805"/>
      <c r="OVR75" s="2805"/>
      <c r="OVS75" s="2805"/>
      <c r="OVT75" s="2805"/>
      <c r="OVU75" s="2805"/>
      <c r="OVV75" s="2805"/>
      <c r="OVW75" s="2805"/>
      <c r="OVX75" s="2805"/>
      <c r="OVY75" s="2805"/>
      <c r="OVZ75" s="2805"/>
      <c r="OWA75" s="2805"/>
      <c r="OWB75" s="2805"/>
      <c r="OWC75" s="2805"/>
      <c r="OWD75" s="2805"/>
      <c r="OWE75" s="2805"/>
      <c r="OWF75" s="2805"/>
      <c r="OWG75" s="2805"/>
      <c r="OWH75" s="2805"/>
      <c r="OWI75" s="2805"/>
      <c r="OWJ75" s="2805"/>
      <c r="OWK75" s="2805"/>
      <c r="OWL75" s="2805"/>
      <c r="OWM75" s="2805"/>
      <c r="OWN75" s="2805"/>
      <c r="OWO75" s="2805"/>
      <c r="OWP75" s="2805"/>
      <c r="OWQ75" s="2805"/>
      <c r="OWR75" s="2805"/>
      <c r="OWS75" s="2805"/>
      <c r="OWT75" s="2805"/>
      <c r="OWU75" s="2805"/>
      <c r="OWV75" s="2805"/>
      <c r="OWW75" s="2805"/>
      <c r="OWX75" s="2805"/>
      <c r="OWY75" s="2805"/>
      <c r="OWZ75" s="2805"/>
      <c r="OXA75" s="2805"/>
      <c r="OXB75" s="2805"/>
      <c r="OXC75" s="2805"/>
      <c r="OXD75" s="2805"/>
      <c r="OXE75" s="2805"/>
      <c r="OXF75" s="2805"/>
      <c r="OXG75" s="2805"/>
      <c r="OXH75" s="2805"/>
      <c r="OXI75" s="2805"/>
      <c r="OXJ75" s="2805"/>
      <c r="OXK75" s="2805"/>
      <c r="OXL75" s="2805"/>
      <c r="OXM75" s="2805"/>
      <c r="OXN75" s="2805"/>
      <c r="OXO75" s="2805"/>
      <c r="OXP75" s="2805"/>
      <c r="OXQ75" s="2805"/>
      <c r="OXR75" s="2805"/>
      <c r="OXS75" s="2805"/>
      <c r="OXT75" s="2805"/>
      <c r="OXU75" s="2805"/>
      <c r="OXV75" s="2805"/>
      <c r="OXW75" s="2805"/>
      <c r="OXX75" s="2805"/>
      <c r="OXY75" s="2805"/>
      <c r="OXZ75" s="2805"/>
      <c r="OYA75" s="2805"/>
      <c r="OYB75" s="2805"/>
      <c r="OYC75" s="2805"/>
      <c r="OYD75" s="2805"/>
      <c r="OYE75" s="2805"/>
      <c r="OYF75" s="2805"/>
      <c r="OYG75" s="2805"/>
      <c r="OYH75" s="2805"/>
      <c r="OYI75" s="2805"/>
      <c r="OYJ75" s="2805"/>
      <c r="OYK75" s="2805"/>
      <c r="OYL75" s="2805"/>
      <c r="OYM75" s="2805"/>
      <c r="OYN75" s="2805"/>
      <c r="OYO75" s="2805"/>
      <c r="OYP75" s="2805"/>
      <c r="OYQ75" s="2805"/>
      <c r="OYR75" s="2805"/>
      <c r="OYS75" s="2805"/>
      <c r="OYT75" s="2805"/>
      <c r="OYU75" s="2805"/>
      <c r="OYV75" s="2805"/>
      <c r="OYW75" s="2805"/>
      <c r="OYX75" s="2805"/>
      <c r="OYY75" s="2805"/>
      <c r="OYZ75" s="2805"/>
      <c r="OZA75" s="2805"/>
      <c r="OZB75" s="2805"/>
      <c r="OZC75" s="2805"/>
      <c r="OZD75" s="2805"/>
      <c r="OZE75" s="2805"/>
      <c r="OZF75" s="2805"/>
      <c r="OZG75" s="2805"/>
      <c r="OZH75" s="2805"/>
      <c r="OZI75" s="2805"/>
      <c r="OZJ75" s="2805"/>
      <c r="OZK75" s="2805"/>
      <c r="OZL75" s="2805"/>
      <c r="OZM75" s="2805"/>
      <c r="OZN75" s="2805"/>
      <c r="OZO75" s="2805"/>
      <c r="OZP75" s="2805"/>
      <c r="OZQ75" s="2805"/>
      <c r="OZR75" s="2805"/>
      <c r="OZS75" s="2805"/>
      <c r="OZT75" s="2805"/>
      <c r="OZU75" s="2805"/>
      <c r="OZV75" s="2805"/>
      <c r="OZW75" s="2805"/>
      <c r="OZX75" s="2805"/>
      <c r="OZY75" s="2805"/>
      <c r="OZZ75" s="2805"/>
      <c r="PAA75" s="2805"/>
      <c r="PAB75" s="2805"/>
      <c r="PAC75" s="2805"/>
      <c r="PAD75" s="2805"/>
      <c r="PAE75" s="2805"/>
      <c r="PAF75" s="2805"/>
      <c r="PAG75" s="2805"/>
      <c r="PAH75" s="2805"/>
      <c r="PAI75" s="2805"/>
      <c r="PAJ75" s="2805"/>
      <c r="PAK75" s="2805"/>
      <c r="PAL75" s="2805"/>
      <c r="PAM75" s="2805"/>
      <c r="PAN75" s="2805"/>
      <c r="PAO75" s="2805"/>
      <c r="PAP75" s="2805"/>
      <c r="PAQ75" s="2805"/>
      <c r="PAR75" s="2805"/>
      <c r="PAS75" s="2805"/>
      <c r="PAT75" s="2805"/>
      <c r="PAU75" s="2805"/>
      <c r="PAV75" s="2805"/>
      <c r="PAW75" s="2805"/>
      <c r="PAX75" s="2805"/>
      <c r="PAY75" s="2805"/>
      <c r="PAZ75" s="2805"/>
      <c r="PBA75" s="2805"/>
      <c r="PBB75" s="2805"/>
      <c r="PBC75" s="2805"/>
      <c r="PBD75" s="2805"/>
      <c r="PBE75" s="2805"/>
      <c r="PBF75" s="2805"/>
      <c r="PBG75" s="2805"/>
      <c r="PBH75" s="2805"/>
      <c r="PBI75" s="2805"/>
      <c r="PBJ75" s="2805"/>
      <c r="PBK75" s="2805"/>
      <c r="PBL75" s="2805"/>
      <c r="PBM75" s="2805"/>
      <c r="PBN75" s="2805"/>
      <c r="PBO75" s="2805"/>
      <c r="PBP75" s="2805"/>
      <c r="PBQ75" s="2805"/>
      <c r="PBR75" s="2805"/>
      <c r="PBS75" s="2805"/>
      <c r="PBT75" s="2805"/>
      <c r="PBU75" s="2805"/>
      <c r="PBV75" s="2805"/>
      <c r="PBW75" s="2805"/>
      <c r="PBX75" s="2805"/>
      <c r="PBY75" s="2805"/>
      <c r="PBZ75" s="2805"/>
      <c r="PCA75" s="2805"/>
      <c r="PCB75" s="2805"/>
      <c r="PCC75" s="2805"/>
      <c r="PCD75" s="2805"/>
      <c r="PCE75" s="2805"/>
      <c r="PCF75" s="2805"/>
      <c r="PCG75" s="2805"/>
      <c r="PCH75" s="2805"/>
      <c r="PCI75" s="2805"/>
      <c r="PCJ75" s="2805"/>
      <c r="PCK75" s="2805"/>
      <c r="PCL75" s="2805"/>
      <c r="PCM75" s="2805"/>
      <c r="PCN75" s="2805"/>
      <c r="PCO75" s="2805"/>
      <c r="PCP75" s="2805"/>
      <c r="PCQ75" s="2805"/>
      <c r="PCR75" s="2805"/>
      <c r="PCS75" s="2805"/>
      <c r="PCT75" s="2805"/>
      <c r="PCU75" s="2805"/>
      <c r="PCV75" s="2805"/>
      <c r="PCW75" s="2805"/>
      <c r="PCX75" s="2805"/>
      <c r="PCY75" s="2805"/>
      <c r="PCZ75" s="2805"/>
      <c r="PDA75" s="2805"/>
      <c r="PDB75" s="2805"/>
      <c r="PDC75" s="2805"/>
      <c r="PDD75" s="2805"/>
      <c r="PDE75" s="2805"/>
      <c r="PDF75" s="2805"/>
      <c r="PDG75" s="2805"/>
      <c r="PDH75" s="2805"/>
      <c r="PDI75" s="2805"/>
      <c r="PDJ75" s="2805"/>
      <c r="PDK75" s="2805"/>
      <c r="PDL75" s="2805"/>
      <c r="PDM75" s="2805"/>
      <c r="PDN75" s="2805"/>
      <c r="PDO75" s="2805"/>
      <c r="PDP75" s="2805"/>
      <c r="PDQ75" s="2805"/>
      <c r="PDR75" s="2805"/>
      <c r="PDS75" s="2805"/>
      <c r="PDT75" s="2805"/>
      <c r="PDU75" s="2805"/>
      <c r="PDV75" s="2805"/>
      <c r="PDW75" s="2805"/>
      <c r="PDX75" s="2805"/>
      <c r="PDY75" s="2805"/>
      <c r="PDZ75" s="2805"/>
      <c r="PEA75" s="2805"/>
      <c r="PEB75" s="2805"/>
      <c r="PEC75" s="2805"/>
      <c r="PED75" s="2805"/>
      <c r="PEE75" s="2805"/>
      <c r="PEF75" s="2805"/>
      <c r="PEG75" s="2805"/>
      <c r="PEH75" s="2805"/>
      <c r="PEI75" s="2805"/>
      <c r="PEJ75" s="2805"/>
      <c r="PEK75" s="2805"/>
      <c r="PEL75" s="2805"/>
      <c r="PEM75" s="2805"/>
      <c r="PEN75" s="2805"/>
      <c r="PEO75" s="2805"/>
      <c r="PEP75" s="2805"/>
      <c r="PEQ75" s="2805"/>
      <c r="PER75" s="2805"/>
      <c r="PES75" s="2805"/>
      <c r="PET75" s="2805"/>
      <c r="PEU75" s="2805"/>
      <c r="PEV75" s="2805"/>
      <c r="PEW75" s="2805"/>
      <c r="PEX75" s="2805"/>
      <c r="PEY75" s="2805"/>
      <c r="PEZ75" s="2805"/>
      <c r="PFA75" s="2805"/>
      <c r="PFB75" s="2805"/>
      <c r="PFC75" s="2805"/>
      <c r="PFD75" s="2805"/>
      <c r="PFE75" s="2805"/>
      <c r="PFF75" s="2805"/>
      <c r="PFG75" s="2805"/>
      <c r="PFH75" s="2805"/>
      <c r="PFI75" s="2805"/>
      <c r="PFJ75" s="2805"/>
      <c r="PFK75" s="2805"/>
      <c r="PFL75" s="2805"/>
      <c r="PFM75" s="2805"/>
      <c r="PFN75" s="2805"/>
      <c r="PFO75" s="2805"/>
      <c r="PFP75" s="2805"/>
      <c r="PFQ75" s="2805"/>
      <c r="PFR75" s="2805"/>
      <c r="PFS75" s="2805"/>
      <c r="PFT75" s="2805"/>
      <c r="PFU75" s="2805"/>
      <c r="PFV75" s="2805"/>
      <c r="PFW75" s="2805"/>
      <c r="PFX75" s="2805"/>
      <c r="PFY75" s="2805"/>
      <c r="PFZ75" s="2805"/>
      <c r="PGA75" s="2805"/>
      <c r="PGB75" s="2805"/>
      <c r="PGC75" s="2805"/>
      <c r="PGD75" s="2805"/>
      <c r="PGE75" s="2805"/>
      <c r="PGF75" s="2805"/>
      <c r="PGG75" s="2805"/>
      <c r="PGH75" s="2805"/>
      <c r="PGI75" s="2805"/>
      <c r="PGJ75" s="2805"/>
      <c r="PGK75" s="2805"/>
      <c r="PGL75" s="2805"/>
      <c r="PGM75" s="2805"/>
      <c r="PGN75" s="2805"/>
      <c r="PGO75" s="2805"/>
      <c r="PGP75" s="2805"/>
      <c r="PGQ75" s="2805"/>
      <c r="PGR75" s="2805"/>
      <c r="PGS75" s="2805"/>
      <c r="PGT75" s="2805"/>
      <c r="PGU75" s="2805"/>
      <c r="PGV75" s="2805"/>
      <c r="PGW75" s="2805"/>
      <c r="PGX75" s="2805"/>
      <c r="PGY75" s="2805"/>
      <c r="PGZ75" s="2805"/>
      <c r="PHA75" s="2805"/>
      <c r="PHB75" s="2805"/>
      <c r="PHC75" s="2805"/>
      <c r="PHD75" s="2805"/>
      <c r="PHE75" s="2805"/>
      <c r="PHF75" s="2805"/>
      <c r="PHG75" s="2805"/>
      <c r="PHH75" s="2805"/>
      <c r="PHI75" s="2805"/>
      <c r="PHJ75" s="2805"/>
      <c r="PHK75" s="2805"/>
      <c r="PHL75" s="2805"/>
      <c r="PHM75" s="2805"/>
      <c r="PHN75" s="2805"/>
      <c r="PHO75" s="2805"/>
      <c r="PHP75" s="2805"/>
      <c r="PHQ75" s="2805"/>
      <c r="PHR75" s="2805"/>
      <c r="PHS75" s="2805"/>
      <c r="PHT75" s="2805"/>
      <c r="PHU75" s="2805"/>
      <c r="PHV75" s="2805"/>
      <c r="PHW75" s="2805"/>
      <c r="PHX75" s="2805"/>
      <c r="PHY75" s="2805"/>
      <c r="PHZ75" s="2805"/>
      <c r="PIA75" s="2805"/>
      <c r="PIB75" s="2805"/>
      <c r="PIC75" s="2805"/>
      <c r="PID75" s="2805"/>
      <c r="PIE75" s="2805"/>
      <c r="PIF75" s="2805"/>
      <c r="PIG75" s="2805"/>
      <c r="PIH75" s="2805"/>
      <c r="PII75" s="2805"/>
      <c r="PIJ75" s="2805"/>
      <c r="PIK75" s="2805"/>
      <c r="PIL75" s="2805"/>
      <c r="PIM75" s="2805"/>
      <c r="PIN75" s="2805"/>
      <c r="PIO75" s="2805"/>
      <c r="PIP75" s="2805"/>
      <c r="PIQ75" s="2805"/>
      <c r="PIR75" s="2805"/>
      <c r="PIS75" s="2805"/>
      <c r="PIT75" s="2805"/>
      <c r="PIU75" s="2805"/>
      <c r="PIV75" s="2805"/>
      <c r="PIW75" s="2805"/>
      <c r="PIX75" s="2805"/>
      <c r="PIY75" s="2805"/>
      <c r="PIZ75" s="2805"/>
      <c r="PJA75" s="2805"/>
      <c r="PJB75" s="2805"/>
      <c r="PJC75" s="2805"/>
      <c r="PJD75" s="2805"/>
      <c r="PJE75" s="2805"/>
      <c r="PJF75" s="2805"/>
      <c r="PJG75" s="2805"/>
      <c r="PJH75" s="2805"/>
      <c r="PJI75" s="2805"/>
      <c r="PJJ75" s="2805"/>
      <c r="PJK75" s="2805"/>
      <c r="PJL75" s="2805"/>
      <c r="PJM75" s="2805"/>
      <c r="PJN75" s="2805"/>
      <c r="PJO75" s="2805"/>
      <c r="PJP75" s="2805"/>
      <c r="PJQ75" s="2805"/>
      <c r="PJR75" s="2805"/>
      <c r="PJS75" s="2805"/>
      <c r="PJT75" s="2805"/>
      <c r="PJU75" s="2805"/>
      <c r="PJV75" s="2805"/>
      <c r="PJW75" s="2805"/>
      <c r="PJX75" s="2805"/>
      <c r="PJY75" s="2805"/>
      <c r="PJZ75" s="2805"/>
      <c r="PKA75" s="2805"/>
      <c r="PKB75" s="2805"/>
      <c r="PKC75" s="2805"/>
      <c r="PKD75" s="2805"/>
      <c r="PKE75" s="2805"/>
      <c r="PKF75" s="2805"/>
      <c r="PKG75" s="2805"/>
      <c r="PKH75" s="2805"/>
      <c r="PKI75" s="2805"/>
      <c r="PKJ75" s="2805"/>
      <c r="PKK75" s="2805"/>
      <c r="PKL75" s="2805"/>
      <c r="PKM75" s="2805"/>
      <c r="PKN75" s="2805"/>
      <c r="PKO75" s="2805"/>
      <c r="PKP75" s="2805"/>
      <c r="PKQ75" s="2805"/>
      <c r="PKR75" s="2805"/>
      <c r="PKS75" s="2805"/>
      <c r="PKT75" s="2805"/>
      <c r="PKU75" s="2805"/>
      <c r="PKV75" s="2805"/>
      <c r="PKW75" s="2805"/>
      <c r="PKX75" s="2805"/>
      <c r="PKY75" s="2805"/>
      <c r="PKZ75" s="2805"/>
      <c r="PLA75" s="2805"/>
      <c r="PLB75" s="2805"/>
      <c r="PLC75" s="2805"/>
      <c r="PLD75" s="2805"/>
      <c r="PLE75" s="2805"/>
      <c r="PLF75" s="2805"/>
      <c r="PLG75" s="2805"/>
      <c r="PLH75" s="2805"/>
      <c r="PLI75" s="2805"/>
      <c r="PLJ75" s="2805"/>
      <c r="PLK75" s="2805"/>
      <c r="PLL75" s="2805"/>
      <c r="PLM75" s="2805"/>
      <c r="PLN75" s="2805"/>
      <c r="PLO75" s="2805"/>
      <c r="PLP75" s="2805"/>
      <c r="PLQ75" s="2805"/>
      <c r="PLR75" s="2805"/>
      <c r="PLS75" s="2805"/>
      <c r="PLT75" s="2805"/>
      <c r="PLU75" s="2805"/>
      <c r="PLV75" s="2805"/>
      <c r="PLW75" s="2805"/>
      <c r="PLX75" s="2805"/>
      <c r="PLY75" s="2805"/>
      <c r="PLZ75" s="2805"/>
      <c r="PMA75" s="2805"/>
      <c r="PMB75" s="2805"/>
      <c r="PMC75" s="2805"/>
      <c r="PMD75" s="2805"/>
      <c r="PME75" s="2805"/>
      <c r="PMF75" s="2805"/>
      <c r="PMG75" s="2805"/>
      <c r="PMH75" s="2805"/>
      <c r="PMI75" s="2805"/>
      <c r="PMJ75" s="2805"/>
      <c r="PMK75" s="2805"/>
      <c r="PML75" s="2805"/>
      <c r="PMM75" s="2805"/>
      <c r="PMN75" s="2805"/>
      <c r="PMO75" s="2805"/>
      <c r="PMP75" s="2805"/>
      <c r="PMQ75" s="2805"/>
      <c r="PMR75" s="2805"/>
      <c r="PMS75" s="2805"/>
      <c r="PMT75" s="2805"/>
      <c r="PMU75" s="2805"/>
      <c r="PMV75" s="2805"/>
      <c r="PMW75" s="2805"/>
      <c r="PMX75" s="2805"/>
      <c r="PMY75" s="2805"/>
      <c r="PMZ75" s="2805"/>
      <c r="PNA75" s="2805"/>
      <c r="PNB75" s="2805"/>
      <c r="PNC75" s="2805"/>
      <c r="PND75" s="2805"/>
      <c r="PNE75" s="2805"/>
      <c r="PNF75" s="2805"/>
      <c r="PNG75" s="2805"/>
      <c r="PNH75" s="2805"/>
      <c r="PNI75" s="2805"/>
      <c r="PNJ75" s="2805"/>
      <c r="PNK75" s="2805"/>
      <c r="PNL75" s="2805"/>
      <c r="PNM75" s="2805"/>
      <c r="PNN75" s="2805"/>
      <c r="PNO75" s="2805"/>
      <c r="PNP75" s="2805"/>
      <c r="PNQ75" s="2805"/>
      <c r="PNR75" s="2805"/>
      <c r="PNS75" s="2805"/>
      <c r="PNT75" s="2805"/>
      <c r="PNU75" s="2805"/>
      <c r="PNV75" s="2805"/>
      <c r="PNW75" s="2805"/>
      <c r="PNX75" s="2805"/>
      <c r="PNY75" s="2805"/>
      <c r="PNZ75" s="2805"/>
      <c r="POA75" s="2805"/>
      <c r="POB75" s="2805"/>
      <c r="POC75" s="2805"/>
      <c r="POD75" s="2805"/>
      <c r="POE75" s="2805"/>
      <c r="POF75" s="2805"/>
      <c r="POG75" s="2805"/>
      <c r="POH75" s="2805"/>
      <c r="POI75" s="2805"/>
      <c r="POJ75" s="2805"/>
      <c r="POK75" s="2805"/>
      <c r="POL75" s="2805"/>
      <c r="POM75" s="2805"/>
      <c r="PON75" s="2805"/>
      <c r="POO75" s="2805"/>
      <c r="POP75" s="2805"/>
      <c r="POQ75" s="2805"/>
      <c r="POR75" s="2805"/>
      <c r="POS75" s="2805"/>
      <c r="POT75" s="2805"/>
      <c r="POU75" s="2805"/>
      <c r="POV75" s="2805"/>
      <c r="POW75" s="2805"/>
      <c r="POX75" s="2805"/>
      <c r="POY75" s="2805"/>
      <c r="POZ75" s="2805"/>
      <c r="PPA75" s="2805"/>
      <c r="PPB75" s="2805"/>
      <c r="PPC75" s="2805"/>
      <c r="PPD75" s="2805"/>
      <c r="PPE75" s="2805"/>
      <c r="PPF75" s="2805"/>
      <c r="PPG75" s="2805"/>
      <c r="PPH75" s="2805"/>
      <c r="PPI75" s="2805"/>
      <c r="PPJ75" s="2805"/>
      <c r="PPK75" s="2805"/>
      <c r="PPL75" s="2805"/>
      <c r="PPM75" s="2805"/>
      <c r="PPN75" s="2805"/>
      <c r="PPO75" s="2805"/>
      <c r="PPP75" s="2805"/>
      <c r="PPQ75" s="2805"/>
      <c r="PPR75" s="2805"/>
      <c r="PPS75" s="2805"/>
      <c r="PPT75" s="2805"/>
      <c r="PPU75" s="2805"/>
      <c r="PPV75" s="2805"/>
      <c r="PPW75" s="2805"/>
      <c r="PPX75" s="2805"/>
      <c r="PPY75" s="2805"/>
      <c r="PPZ75" s="2805"/>
      <c r="PQA75" s="2805"/>
      <c r="PQB75" s="2805"/>
      <c r="PQC75" s="2805"/>
      <c r="PQD75" s="2805"/>
      <c r="PQE75" s="2805"/>
      <c r="PQF75" s="2805"/>
      <c r="PQG75" s="2805"/>
      <c r="PQH75" s="2805"/>
      <c r="PQI75" s="2805"/>
      <c r="PQJ75" s="2805"/>
      <c r="PQK75" s="2805"/>
      <c r="PQL75" s="2805"/>
      <c r="PQM75" s="2805"/>
      <c r="PQN75" s="2805"/>
      <c r="PQO75" s="2805"/>
      <c r="PQP75" s="2805"/>
      <c r="PQQ75" s="2805"/>
      <c r="PQR75" s="2805"/>
      <c r="PQS75" s="2805"/>
      <c r="PQT75" s="2805"/>
      <c r="PQU75" s="2805"/>
      <c r="PQV75" s="2805"/>
      <c r="PQW75" s="2805"/>
      <c r="PQX75" s="2805"/>
      <c r="PQY75" s="2805"/>
      <c r="PQZ75" s="2805"/>
      <c r="PRA75" s="2805"/>
      <c r="PRB75" s="2805"/>
      <c r="PRC75" s="2805"/>
      <c r="PRD75" s="2805"/>
      <c r="PRE75" s="2805"/>
      <c r="PRF75" s="2805"/>
      <c r="PRG75" s="2805"/>
      <c r="PRH75" s="2805"/>
      <c r="PRI75" s="2805"/>
      <c r="PRJ75" s="2805"/>
      <c r="PRK75" s="2805"/>
      <c r="PRL75" s="2805"/>
      <c r="PRM75" s="2805"/>
      <c r="PRN75" s="2805"/>
      <c r="PRO75" s="2805"/>
      <c r="PRP75" s="2805"/>
      <c r="PRQ75" s="2805"/>
      <c r="PRR75" s="2805"/>
      <c r="PRS75" s="2805"/>
      <c r="PRT75" s="2805"/>
      <c r="PRU75" s="2805"/>
      <c r="PRV75" s="2805"/>
      <c r="PRW75" s="2805"/>
      <c r="PRX75" s="2805"/>
      <c r="PRY75" s="2805"/>
      <c r="PRZ75" s="2805"/>
      <c r="PSA75" s="2805"/>
      <c r="PSB75" s="2805"/>
      <c r="PSC75" s="2805"/>
      <c r="PSD75" s="2805"/>
      <c r="PSE75" s="2805"/>
      <c r="PSF75" s="2805"/>
      <c r="PSG75" s="2805"/>
      <c r="PSH75" s="2805"/>
      <c r="PSI75" s="2805"/>
      <c r="PSJ75" s="2805"/>
      <c r="PSK75" s="2805"/>
      <c r="PSL75" s="2805"/>
      <c r="PSM75" s="2805"/>
      <c r="PSN75" s="2805"/>
      <c r="PSO75" s="2805"/>
      <c r="PSP75" s="2805"/>
      <c r="PSQ75" s="2805"/>
      <c r="PSR75" s="2805"/>
      <c r="PSS75" s="2805"/>
      <c r="PST75" s="2805"/>
      <c r="PSU75" s="2805"/>
      <c r="PSV75" s="2805"/>
      <c r="PSW75" s="2805"/>
      <c r="PSX75" s="2805"/>
      <c r="PSY75" s="2805"/>
      <c r="PSZ75" s="2805"/>
      <c r="PTA75" s="2805"/>
      <c r="PTB75" s="2805"/>
      <c r="PTC75" s="2805"/>
      <c r="PTD75" s="2805"/>
      <c r="PTE75" s="2805"/>
      <c r="PTF75" s="2805"/>
      <c r="PTG75" s="2805"/>
      <c r="PTH75" s="2805"/>
      <c r="PTI75" s="2805"/>
      <c r="PTJ75" s="2805"/>
      <c r="PTK75" s="2805"/>
      <c r="PTL75" s="2805"/>
      <c r="PTM75" s="2805"/>
      <c r="PTN75" s="2805"/>
      <c r="PTO75" s="2805"/>
      <c r="PTP75" s="2805"/>
      <c r="PTQ75" s="2805"/>
      <c r="PTR75" s="2805"/>
      <c r="PTS75" s="2805"/>
      <c r="PTT75" s="2805"/>
      <c r="PTU75" s="2805"/>
      <c r="PTV75" s="2805"/>
      <c r="PTW75" s="2805"/>
      <c r="PTX75" s="2805"/>
      <c r="PTY75" s="2805"/>
      <c r="PTZ75" s="2805"/>
      <c r="PUA75" s="2805"/>
      <c r="PUB75" s="2805"/>
      <c r="PUC75" s="2805"/>
      <c r="PUD75" s="2805"/>
      <c r="PUE75" s="2805"/>
      <c r="PUF75" s="2805"/>
      <c r="PUG75" s="2805"/>
      <c r="PUH75" s="2805"/>
      <c r="PUI75" s="2805"/>
      <c r="PUJ75" s="2805"/>
      <c r="PUK75" s="2805"/>
      <c r="PUL75" s="2805"/>
      <c r="PUM75" s="2805"/>
      <c r="PUN75" s="2805"/>
      <c r="PUO75" s="2805"/>
      <c r="PUP75" s="2805"/>
      <c r="PUQ75" s="2805"/>
      <c r="PUR75" s="2805"/>
      <c r="PUS75" s="2805"/>
      <c r="PUT75" s="2805"/>
      <c r="PUU75" s="2805"/>
      <c r="PUV75" s="2805"/>
      <c r="PUW75" s="2805"/>
      <c r="PUX75" s="2805"/>
      <c r="PUY75" s="2805"/>
      <c r="PUZ75" s="2805"/>
      <c r="PVA75" s="2805"/>
      <c r="PVB75" s="2805"/>
      <c r="PVC75" s="2805"/>
      <c r="PVD75" s="2805"/>
      <c r="PVE75" s="2805"/>
      <c r="PVF75" s="2805"/>
      <c r="PVG75" s="2805"/>
      <c r="PVH75" s="2805"/>
      <c r="PVI75" s="2805"/>
      <c r="PVJ75" s="2805"/>
      <c r="PVK75" s="2805"/>
      <c r="PVL75" s="2805"/>
      <c r="PVM75" s="2805"/>
      <c r="PVN75" s="2805"/>
      <c r="PVO75" s="2805"/>
      <c r="PVP75" s="2805"/>
      <c r="PVQ75" s="2805"/>
      <c r="PVR75" s="2805"/>
      <c r="PVS75" s="2805"/>
      <c r="PVT75" s="2805"/>
      <c r="PVU75" s="2805"/>
      <c r="PVV75" s="2805"/>
      <c r="PVW75" s="2805"/>
      <c r="PVX75" s="2805"/>
      <c r="PVY75" s="2805"/>
      <c r="PVZ75" s="2805"/>
      <c r="PWA75" s="2805"/>
      <c r="PWB75" s="2805"/>
      <c r="PWC75" s="2805"/>
      <c r="PWD75" s="2805"/>
      <c r="PWE75" s="2805"/>
      <c r="PWF75" s="2805"/>
      <c r="PWG75" s="2805"/>
      <c r="PWH75" s="2805"/>
      <c r="PWI75" s="2805"/>
      <c r="PWJ75" s="2805"/>
      <c r="PWK75" s="2805"/>
      <c r="PWL75" s="2805"/>
      <c r="PWM75" s="2805"/>
      <c r="PWN75" s="2805"/>
      <c r="PWO75" s="2805"/>
      <c r="PWP75" s="2805"/>
      <c r="PWQ75" s="2805"/>
      <c r="PWR75" s="2805"/>
      <c r="PWS75" s="2805"/>
      <c r="PWT75" s="2805"/>
      <c r="PWU75" s="2805"/>
      <c r="PWV75" s="2805"/>
      <c r="PWW75" s="2805"/>
      <c r="PWX75" s="2805"/>
      <c r="PWY75" s="2805"/>
      <c r="PWZ75" s="2805"/>
      <c r="PXA75" s="2805"/>
      <c r="PXB75" s="2805"/>
      <c r="PXC75" s="2805"/>
      <c r="PXD75" s="2805"/>
      <c r="PXE75" s="2805"/>
      <c r="PXF75" s="2805"/>
      <c r="PXG75" s="2805"/>
      <c r="PXH75" s="2805"/>
      <c r="PXI75" s="2805"/>
      <c r="PXJ75" s="2805"/>
      <c r="PXK75" s="2805"/>
      <c r="PXL75" s="2805"/>
      <c r="PXM75" s="2805"/>
      <c r="PXN75" s="2805"/>
      <c r="PXO75" s="2805"/>
      <c r="PXP75" s="2805"/>
      <c r="PXQ75" s="2805"/>
      <c r="PXR75" s="2805"/>
      <c r="PXS75" s="2805"/>
      <c r="PXT75" s="2805"/>
      <c r="PXU75" s="2805"/>
      <c r="PXV75" s="2805"/>
      <c r="PXW75" s="2805"/>
      <c r="PXX75" s="2805"/>
      <c r="PXY75" s="2805"/>
      <c r="PXZ75" s="2805"/>
      <c r="PYA75" s="2805"/>
      <c r="PYB75" s="2805"/>
      <c r="PYC75" s="2805"/>
      <c r="PYD75" s="2805"/>
      <c r="PYE75" s="2805"/>
      <c r="PYF75" s="2805"/>
      <c r="PYG75" s="2805"/>
      <c r="PYH75" s="2805"/>
      <c r="PYI75" s="2805"/>
      <c r="PYJ75" s="2805"/>
      <c r="PYK75" s="2805"/>
      <c r="PYL75" s="2805"/>
      <c r="PYM75" s="2805"/>
      <c r="PYN75" s="2805"/>
      <c r="PYO75" s="2805"/>
      <c r="PYP75" s="2805"/>
      <c r="PYQ75" s="2805"/>
      <c r="PYR75" s="2805"/>
      <c r="PYS75" s="2805"/>
      <c r="PYT75" s="2805"/>
      <c r="PYU75" s="2805"/>
      <c r="PYV75" s="2805"/>
      <c r="PYW75" s="2805"/>
      <c r="PYX75" s="2805"/>
      <c r="PYY75" s="2805"/>
      <c r="PYZ75" s="2805"/>
      <c r="PZA75" s="2805"/>
      <c r="PZB75" s="2805"/>
      <c r="PZC75" s="2805"/>
      <c r="PZD75" s="2805"/>
      <c r="PZE75" s="2805"/>
      <c r="PZF75" s="2805"/>
      <c r="PZG75" s="2805"/>
      <c r="PZH75" s="2805"/>
      <c r="PZI75" s="2805"/>
      <c r="PZJ75" s="2805"/>
      <c r="PZK75" s="2805"/>
      <c r="PZL75" s="2805"/>
      <c r="PZM75" s="2805"/>
      <c r="PZN75" s="2805"/>
      <c r="PZO75" s="2805"/>
      <c r="PZP75" s="2805"/>
      <c r="PZQ75" s="2805"/>
      <c r="PZR75" s="2805"/>
      <c r="PZS75" s="2805"/>
      <c r="PZT75" s="2805"/>
      <c r="PZU75" s="2805"/>
      <c r="PZV75" s="2805"/>
      <c r="PZW75" s="2805"/>
      <c r="PZX75" s="2805"/>
      <c r="PZY75" s="2805"/>
      <c r="PZZ75" s="2805"/>
      <c r="QAA75" s="2805"/>
      <c r="QAB75" s="2805"/>
      <c r="QAC75" s="2805"/>
      <c r="QAD75" s="2805"/>
      <c r="QAE75" s="2805"/>
      <c r="QAF75" s="2805"/>
      <c r="QAG75" s="2805"/>
      <c r="QAH75" s="2805"/>
      <c r="QAI75" s="2805"/>
      <c r="QAJ75" s="2805"/>
      <c r="QAK75" s="2805"/>
      <c r="QAL75" s="2805"/>
      <c r="QAM75" s="2805"/>
      <c r="QAN75" s="2805"/>
      <c r="QAO75" s="2805"/>
      <c r="QAP75" s="2805"/>
      <c r="QAQ75" s="2805"/>
      <c r="QAR75" s="2805"/>
      <c r="QAS75" s="2805"/>
      <c r="QAT75" s="2805"/>
      <c r="QAU75" s="2805"/>
      <c r="QAV75" s="2805"/>
      <c r="QAW75" s="2805"/>
      <c r="QAX75" s="2805"/>
      <c r="QAY75" s="2805"/>
      <c r="QAZ75" s="2805"/>
      <c r="QBA75" s="2805"/>
      <c r="QBB75" s="2805"/>
      <c r="QBC75" s="2805"/>
      <c r="QBD75" s="2805"/>
      <c r="QBE75" s="2805"/>
      <c r="QBF75" s="2805"/>
      <c r="QBG75" s="2805"/>
      <c r="QBH75" s="2805"/>
      <c r="QBI75" s="2805"/>
      <c r="QBJ75" s="2805"/>
      <c r="QBK75" s="2805"/>
      <c r="QBL75" s="2805"/>
      <c r="QBM75" s="2805"/>
      <c r="QBN75" s="2805"/>
      <c r="QBO75" s="2805"/>
      <c r="QBP75" s="2805"/>
      <c r="QBQ75" s="2805"/>
      <c r="QBR75" s="2805"/>
      <c r="QBS75" s="2805"/>
      <c r="QBT75" s="2805"/>
      <c r="QBU75" s="2805"/>
      <c r="QBV75" s="2805"/>
      <c r="QBW75" s="2805"/>
      <c r="QBX75" s="2805"/>
      <c r="QBY75" s="2805"/>
      <c r="QBZ75" s="2805"/>
      <c r="QCA75" s="2805"/>
      <c r="QCB75" s="2805"/>
      <c r="QCC75" s="2805"/>
      <c r="QCD75" s="2805"/>
      <c r="QCE75" s="2805"/>
      <c r="QCF75" s="2805"/>
      <c r="QCG75" s="2805"/>
      <c r="QCH75" s="2805"/>
      <c r="QCI75" s="2805"/>
      <c r="QCJ75" s="2805"/>
      <c r="QCK75" s="2805"/>
      <c r="QCL75" s="2805"/>
      <c r="QCM75" s="2805"/>
      <c r="QCN75" s="2805"/>
      <c r="QCO75" s="2805"/>
      <c r="QCP75" s="2805"/>
      <c r="QCQ75" s="2805"/>
      <c r="QCR75" s="2805"/>
      <c r="QCS75" s="2805"/>
      <c r="QCT75" s="2805"/>
      <c r="QCU75" s="2805"/>
      <c r="QCV75" s="2805"/>
      <c r="QCW75" s="2805"/>
      <c r="QCX75" s="2805"/>
      <c r="QCY75" s="2805"/>
      <c r="QCZ75" s="2805"/>
      <c r="QDA75" s="2805"/>
      <c r="QDB75" s="2805"/>
      <c r="QDC75" s="2805"/>
      <c r="QDD75" s="2805"/>
      <c r="QDE75" s="2805"/>
      <c r="QDF75" s="2805"/>
      <c r="QDG75" s="2805"/>
      <c r="QDH75" s="2805"/>
      <c r="QDI75" s="2805"/>
      <c r="QDJ75" s="2805"/>
      <c r="QDK75" s="2805"/>
      <c r="QDL75" s="2805"/>
      <c r="QDM75" s="2805"/>
      <c r="QDN75" s="2805"/>
      <c r="QDO75" s="2805"/>
      <c r="QDP75" s="2805"/>
      <c r="QDQ75" s="2805"/>
      <c r="QDR75" s="2805"/>
      <c r="QDS75" s="2805"/>
      <c r="QDT75" s="2805"/>
      <c r="QDU75" s="2805"/>
      <c r="QDV75" s="2805"/>
      <c r="QDW75" s="2805"/>
      <c r="QDX75" s="2805"/>
      <c r="QDY75" s="2805"/>
      <c r="QDZ75" s="2805"/>
      <c r="QEA75" s="2805"/>
      <c r="QEB75" s="2805"/>
      <c r="QEC75" s="2805"/>
      <c r="QED75" s="2805"/>
      <c r="QEE75" s="2805"/>
      <c r="QEF75" s="2805"/>
      <c r="QEG75" s="2805"/>
      <c r="QEH75" s="2805"/>
      <c r="QEI75" s="2805"/>
      <c r="QEJ75" s="2805"/>
      <c r="QEK75" s="2805"/>
      <c r="QEL75" s="2805"/>
      <c r="QEM75" s="2805"/>
      <c r="QEN75" s="2805"/>
      <c r="QEO75" s="2805"/>
      <c r="QEP75" s="2805"/>
      <c r="QEQ75" s="2805"/>
      <c r="QER75" s="2805"/>
      <c r="QES75" s="2805"/>
      <c r="QET75" s="2805"/>
      <c r="QEU75" s="2805"/>
      <c r="QEV75" s="2805"/>
      <c r="QEW75" s="2805"/>
      <c r="QEX75" s="2805"/>
      <c r="QEY75" s="2805"/>
      <c r="QEZ75" s="2805"/>
      <c r="QFA75" s="2805"/>
      <c r="QFB75" s="2805"/>
      <c r="QFC75" s="2805"/>
      <c r="QFD75" s="2805"/>
      <c r="QFE75" s="2805"/>
      <c r="QFF75" s="2805"/>
      <c r="QFG75" s="2805"/>
      <c r="QFH75" s="2805"/>
      <c r="QFI75" s="2805"/>
      <c r="QFJ75" s="2805"/>
      <c r="QFK75" s="2805"/>
      <c r="QFL75" s="2805"/>
      <c r="QFM75" s="2805"/>
      <c r="QFN75" s="2805"/>
      <c r="QFO75" s="2805"/>
      <c r="QFP75" s="2805"/>
      <c r="QFQ75" s="2805"/>
      <c r="QFR75" s="2805"/>
      <c r="QFS75" s="2805"/>
      <c r="QFT75" s="2805"/>
      <c r="QFU75" s="2805"/>
      <c r="QFV75" s="2805"/>
      <c r="QFW75" s="2805"/>
      <c r="QFX75" s="2805"/>
      <c r="QFY75" s="2805"/>
      <c r="QFZ75" s="2805"/>
      <c r="QGA75" s="2805"/>
      <c r="QGB75" s="2805"/>
      <c r="QGC75" s="2805"/>
      <c r="QGD75" s="2805"/>
      <c r="QGE75" s="2805"/>
      <c r="QGF75" s="2805"/>
      <c r="QGG75" s="2805"/>
      <c r="QGH75" s="2805"/>
      <c r="QGI75" s="2805"/>
      <c r="QGJ75" s="2805"/>
      <c r="QGK75" s="2805"/>
      <c r="QGL75" s="2805"/>
      <c r="QGM75" s="2805"/>
      <c r="QGN75" s="2805"/>
      <c r="QGO75" s="2805"/>
      <c r="QGP75" s="2805"/>
      <c r="QGQ75" s="2805"/>
      <c r="QGR75" s="2805"/>
      <c r="QGS75" s="2805"/>
      <c r="QGT75" s="2805"/>
      <c r="QGU75" s="2805"/>
      <c r="QGV75" s="2805"/>
      <c r="QGW75" s="2805"/>
      <c r="QGX75" s="2805"/>
      <c r="QGY75" s="2805"/>
      <c r="QGZ75" s="2805"/>
      <c r="QHA75" s="2805"/>
      <c r="QHB75" s="2805"/>
      <c r="QHC75" s="2805"/>
      <c r="QHD75" s="2805"/>
      <c r="QHE75" s="2805"/>
      <c r="QHF75" s="2805"/>
      <c r="QHG75" s="2805"/>
      <c r="QHH75" s="2805"/>
      <c r="QHI75" s="2805"/>
      <c r="QHJ75" s="2805"/>
      <c r="QHK75" s="2805"/>
      <c r="QHL75" s="2805"/>
      <c r="QHM75" s="2805"/>
      <c r="QHN75" s="2805"/>
      <c r="QHO75" s="2805"/>
      <c r="QHP75" s="2805"/>
      <c r="QHQ75" s="2805"/>
      <c r="QHR75" s="2805"/>
      <c r="QHS75" s="2805"/>
      <c r="QHT75" s="2805"/>
      <c r="QHU75" s="2805"/>
      <c r="QHV75" s="2805"/>
      <c r="QHW75" s="2805"/>
      <c r="QHX75" s="2805"/>
      <c r="QHY75" s="2805"/>
      <c r="QHZ75" s="2805"/>
      <c r="QIA75" s="2805"/>
      <c r="QIB75" s="2805"/>
      <c r="QIC75" s="2805"/>
      <c r="QID75" s="2805"/>
      <c r="QIE75" s="2805"/>
      <c r="QIF75" s="2805"/>
      <c r="QIG75" s="2805"/>
      <c r="QIH75" s="2805"/>
      <c r="QII75" s="2805"/>
      <c r="QIJ75" s="2805"/>
      <c r="QIK75" s="2805"/>
      <c r="QIL75" s="2805"/>
      <c r="QIM75" s="2805"/>
      <c r="QIN75" s="2805"/>
      <c r="QIO75" s="2805"/>
      <c r="QIP75" s="2805"/>
      <c r="QIQ75" s="2805"/>
      <c r="QIR75" s="2805"/>
      <c r="QIS75" s="2805"/>
      <c r="QIT75" s="2805"/>
      <c r="QIU75" s="2805"/>
      <c r="QIV75" s="2805"/>
      <c r="QIW75" s="2805"/>
      <c r="QIX75" s="2805"/>
      <c r="QIY75" s="2805"/>
      <c r="QIZ75" s="2805"/>
      <c r="QJA75" s="2805"/>
      <c r="QJB75" s="2805"/>
      <c r="QJC75" s="2805"/>
      <c r="QJD75" s="2805"/>
      <c r="QJE75" s="2805"/>
      <c r="QJF75" s="2805"/>
      <c r="QJG75" s="2805"/>
      <c r="QJH75" s="2805"/>
      <c r="QJI75" s="2805"/>
      <c r="QJJ75" s="2805"/>
      <c r="QJK75" s="2805"/>
      <c r="QJL75" s="2805"/>
      <c r="QJM75" s="2805"/>
      <c r="QJN75" s="2805"/>
      <c r="QJO75" s="2805"/>
      <c r="QJP75" s="2805"/>
      <c r="QJQ75" s="2805"/>
      <c r="QJR75" s="2805"/>
      <c r="QJS75" s="2805"/>
      <c r="QJT75" s="2805"/>
      <c r="QJU75" s="2805"/>
      <c r="QJV75" s="2805"/>
      <c r="QJW75" s="2805"/>
      <c r="QJX75" s="2805"/>
      <c r="QJY75" s="2805"/>
      <c r="QJZ75" s="2805"/>
      <c r="QKA75" s="2805"/>
      <c r="QKB75" s="2805"/>
      <c r="QKC75" s="2805"/>
      <c r="QKD75" s="2805"/>
      <c r="QKE75" s="2805"/>
      <c r="QKF75" s="2805"/>
      <c r="QKG75" s="2805"/>
      <c r="QKH75" s="2805"/>
      <c r="QKI75" s="2805"/>
      <c r="QKJ75" s="2805"/>
      <c r="QKK75" s="2805"/>
      <c r="QKL75" s="2805"/>
      <c r="QKM75" s="2805"/>
      <c r="QKN75" s="2805"/>
      <c r="QKO75" s="2805"/>
      <c r="QKP75" s="2805"/>
      <c r="QKQ75" s="2805"/>
      <c r="QKR75" s="2805"/>
      <c r="QKS75" s="2805"/>
      <c r="QKT75" s="2805"/>
      <c r="QKU75" s="2805"/>
      <c r="QKV75" s="2805"/>
      <c r="QKW75" s="2805"/>
      <c r="QKX75" s="2805"/>
      <c r="QKY75" s="2805"/>
      <c r="QKZ75" s="2805"/>
      <c r="QLA75" s="2805"/>
      <c r="QLB75" s="2805"/>
      <c r="QLC75" s="2805"/>
      <c r="QLD75" s="2805"/>
      <c r="QLE75" s="2805"/>
      <c r="QLF75" s="2805"/>
      <c r="QLG75" s="2805"/>
      <c r="QLH75" s="2805"/>
      <c r="QLI75" s="2805"/>
      <c r="QLJ75" s="2805"/>
      <c r="QLK75" s="2805"/>
      <c r="QLL75" s="2805"/>
      <c r="QLM75" s="2805"/>
      <c r="QLN75" s="2805"/>
      <c r="QLO75" s="2805"/>
      <c r="QLP75" s="2805"/>
      <c r="QLQ75" s="2805"/>
      <c r="QLR75" s="2805"/>
      <c r="QLS75" s="2805"/>
      <c r="QLT75" s="2805"/>
      <c r="QLU75" s="2805"/>
      <c r="QLV75" s="2805"/>
      <c r="QLW75" s="2805"/>
      <c r="QLX75" s="2805"/>
      <c r="QLY75" s="2805"/>
      <c r="QLZ75" s="2805"/>
      <c r="QMA75" s="2805"/>
      <c r="QMB75" s="2805"/>
      <c r="QMC75" s="2805"/>
      <c r="QMD75" s="2805"/>
      <c r="QME75" s="2805"/>
      <c r="QMF75" s="2805"/>
      <c r="QMG75" s="2805"/>
      <c r="QMH75" s="2805"/>
      <c r="QMI75" s="2805"/>
      <c r="QMJ75" s="2805"/>
      <c r="QMK75" s="2805"/>
      <c r="QML75" s="2805"/>
      <c r="QMM75" s="2805"/>
      <c r="QMN75" s="2805"/>
      <c r="QMO75" s="2805"/>
      <c r="QMP75" s="2805"/>
      <c r="QMQ75" s="2805"/>
      <c r="QMR75" s="2805"/>
      <c r="QMS75" s="2805"/>
      <c r="QMT75" s="2805"/>
      <c r="QMU75" s="2805"/>
      <c r="QMV75" s="2805"/>
      <c r="QMW75" s="2805"/>
      <c r="QMX75" s="2805"/>
      <c r="QMY75" s="2805"/>
      <c r="QMZ75" s="2805"/>
      <c r="QNA75" s="2805"/>
      <c r="QNB75" s="2805"/>
      <c r="QNC75" s="2805"/>
      <c r="QND75" s="2805"/>
      <c r="QNE75" s="2805"/>
      <c r="QNF75" s="2805"/>
      <c r="QNG75" s="2805"/>
      <c r="QNH75" s="2805"/>
      <c r="QNI75" s="2805"/>
      <c r="QNJ75" s="2805"/>
      <c r="QNK75" s="2805"/>
      <c r="QNL75" s="2805"/>
      <c r="QNM75" s="2805"/>
      <c r="QNN75" s="2805"/>
      <c r="QNO75" s="2805"/>
      <c r="QNP75" s="2805"/>
      <c r="QNQ75" s="2805"/>
      <c r="QNR75" s="2805"/>
      <c r="QNS75" s="2805"/>
      <c r="QNT75" s="2805"/>
      <c r="QNU75" s="2805"/>
      <c r="QNV75" s="2805"/>
      <c r="QNW75" s="2805"/>
      <c r="QNX75" s="2805"/>
      <c r="QNY75" s="2805"/>
      <c r="QNZ75" s="2805"/>
      <c r="QOA75" s="2805"/>
      <c r="QOB75" s="2805"/>
      <c r="QOC75" s="2805"/>
      <c r="QOD75" s="2805"/>
      <c r="QOE75" s="2805"/>
      <c r="QOF75" s="2805"/>
      <c r="QOG75" s="2805"/>
      <c r="QOH75" s="2805"/>
      <c r="QOI75" s="2805"/>
      <c r="QOJ75" s="2805"/>
      <c r="QOK75" s="2805"/>
      <c r="QOL75" s="2805"/>
      <c r="QOM75" s="2805"/>
      <c r="QON75" s="2805"/>
      <c r="QOO75" s="2805"/>
      <c r="QOP75" s="2805"/>
      <c r="QOQ75" s="2805"/>
      <c r="QOR75" s="2805"/>
      <c r="QOS75" s="2805"/>
      <c r="QOT75" s="2805"/>
      <c r="QOU75" s="2805"/>
      <c r="QOV75" s="2805"/>
      <c r="QOW75" s="2805"/>
      <c r="QOX75" s="2805"/>
      <c r="QOY75" s="2805"/>
      <c r="QOZ75" s="2805"/>
      <c r="QPA75" s="2805"/>
      <c r="QPB75" s="2805"/>
      <c r="QPC75" s="2805"/>
      <c r="QPD75" s="2805"/>
      <c r="QPE75" s="2805"/>
      <c r="QPF75" s="2805"/>
      <c r="QPG75" s="2805"/>
      <c r="QPH75" s="2805"/>
      <c r="QPI75" s="2805"/>
      <c r="QPJ75" s="2805"/>
      <c r="QPK75" s="2805"/>
      <c r="QPL75" s="2805"/>
      <c r="QPM75" s="2805"/>
      <c r="QPN75" s="2805"/>
      <c r="QPO75" s="2805"/>
      <c r="QPP75" s="2805"/>
      <c r="QPQ75" s="2805"/>
      <c r="QPR75" s="2805"/>
      <c r="QPS75" s="2805"/>
      <c r="QPT75" s="2805"/>
      <c r="QPU75" s="2805"/>
      <c r="QPV75" s="2805"/>
      <c r="QPW75" s="2805"/>
      <c r="QPX75" s="2805"/>
      <c r="QPY75" s="2805"/>
      <c r="QPZ75" s="2805"/>
      <c r="QQA75" s="2805"/>
      <c r="QQB75" s="2805"/>
      <c r="QQC75" s="2805"/>
      <c r="QQD75" s="2805"/>
      <c r="QQE75" s="2805"/>
      <c r="QQF75" s="2805"/>
      <c r="QQG75" s="2805"/>
      <c r="QQH75" s="2805"/>
      <c r="QQI75" s="2805"/>
      <c r="QQJ75" s="2805"/>
      <c r="QQK75" s="2805"/>
      <c r="QQL75" s="2805"/>
      <c r="QQM75" s="2805"/>
      <c r="QQN75" s="2805"/>
      <c r="QQO75" s="2805"/>
      <c r="QQP75" s="2805"/>
      <c r="QQQ75" s="2805"/>
      <c r="QQR75" s="2805"/>
      <c r="QQS75" s="2805"/>
      <c r="QQT75" s="2805"/>
      <c r="QQU75" s="2805"/>
      <c r="QQV75" s="2805"/>
      <c r="QQW75" s="2805"/>
      <c r="QQX75" s="2805"/>
      <c r="QQY75" s="2805"/>
      <c r="QQZ75" s="2805"/>
      <c r="QRA75" s="2805"/>
      <c r="QRB75" s="2805"/>
      <c r="QRC75" s="2805"/>
      <c r="QRD75" s="2805"/>
      <c r="QRE75" s="2805"/>
      <c r="QRF75" s="2805"/>
      <c r="QRG75" s="2805"/>
      <c r="QRH75" s="2805"/>
      <c r="QRI75" s="2805"/>
      <c r="QRJ75" s="2805"/>
      <c r="QRK75" s="2805"/>
      <c r="QRL75" s="2805"/>
      <c r="QRM75" s="2805"/>
      <c r="QRN75" s="2805"/>
      <c r="QRO75" s="2805"/>
      <c r="QRP75" s="2805"/>
      <c r="QRQ75" s="2805"/>
      <c r="QRR75" s="2805"/>
      <c r="QRS75" s="2805"/>
      <c r="QRT75" s="2805"/>
      <c r="QRU75" s="2805"/>
      <c r="QRV75" s="2805"/>
      <c r="QRW75" s="2805"/>
      <c r="QRX75" s="2805"/>
      <c r="QRY75" s="2805"/>
      <c r="QRZ75" s="2805"/>
      <c r="QSA75" s="2805"/>
      <c r="QSB75" s="2805"/>
      <c r="QSC75" s="2805"/>
      <c r="QSD75" s="2805"/>
      <c r="QSE75" s="2805"/>
      <c r="QSF75" s="2805"/>
      <c r="QSG75" s="2805"/>
      <c r="QSH75" s="2805"/>
      <c r="QSI75" s="2805"/>
      <c r="QSJ75" s="2805"/>
      <c r="QSK75" s="2805"/>
      <c r="QSL75" s="2805"/>
      <c r="QSM75" s="2805"/>
      <c r="QSN75" s="2805"/>
      <c r="QSO75" s="2805"/>
      <c r="QSP75" s="2805"/>
      <c r="QSQ75" s="2805"/>
      <c r="QSR75" s="2805"/>
      <c r="QSS75" s="2805"/>
      <c r="QST75" s="2805"/>
      <c r="QSU75" s="2805"/>
      <c r="QSV75" s="2805"/>
      <c r="QSW75" s="2805"/>
      <c r="QSX75" s="2805"/>
      <c r="QSY75" s="2805"/>
      <c r="QSZ75" s="2805"/>
      <c r="QTA75" s="2805"/>
      <c r="QTB75" s="2805"/>
      <c r="QTC75" s="2805"/>
      <c r="QTD75" s="2805"/>
      <c r="QTE75" s="2805"/>
      <c r="QTF75" s="2805"/>
      <c r="QTG75" s="2805"/>
      <c r="QTH75" s="2805"/>
      <c r="QTI75" s="2805"/>
      <c r="QTJ75" s="2805"/>
      <c r="QTK75" s="2805"/>
      <c r="QTL75" s="2805"/>
      <c r="QTM75" s="2805"/>
      <c r="QTN75" s="2805"/>
      <c r="QTO75" s="2805"/>
      <c r="QTP75" s="2805"/>
      <c r="QTQ75" s="2805"/>
      <c r="QTR75" s="2805"/>
      <c r="QTS75" s="2805"/>
      <c r="QTT75" s="2805"/>
      <c r="QTU75" s="2805"/>
      <c r="QTV75" s="2805"/>
      <c r="QTW75" s="2805"/>
      <c r="QTX75" s="2805"/>
      <c r="QTY75" s="2805"/>
      <c r="QTZ75" s="2805"/>
      <c r="QUA75" s="2805"/>
      <c r="QUB75" s="2805"/>
      <c r="QUC75" s="2805"/>
      <c r="QUD75" s="2805"/>
      <c r="QUE75" s="2805"/>
      <c r="QUF75" s="2805"/>
      <c r="QUG75" s="2805"/>
      <c r="QUH75" s="2805"/>
      <c r="QUI75" s="2805"/>
      <c r="QUJ75" s="2805"/>
      <c r="QUK75" s="2805"/>
      <c r="QUL75" s="2805"/>
      <c r="QUM75" s="2805"/>
      <c r="QUN75" s="2805"/>
      <c r="QUO75" s="2805"/>
      <c r="QUP75" s="2805"/>
      <c r="QUQ75" s="2805"/>
      <c r="QUR75" s="2805"/>
      <c r="QUS75" s="2805"/>
      <c r="QUT75" s="2805"/>
      <c r="QUU75" s="2805"/>
      <c r="QUV75" s="2805"/>
      <c r="QUW75" s="2805"/>
      <c r="QUX75" s="2805"/>
      <c r="QUY75" s="2805"/>
      <c r="QUZ75" s="2805"/>
      <c r="QVA75" s="2805"/>
      <c r="QVB75" s="2805"/>
      <c r="QVC75" s="2805"/>
      <c r="QVD75" s="2805"/>
      <c r="QVE75" s="2805"/>
      <c r="QVF75" s="2805"/>
      <c r="QVG75" s="2805"/>
      <c r="QVH75" s="2805"/>
      <c r="QVI75" s="2805"/>
      <c r="QVJ75" s="2805"/>
      <c r="QVK75" s="2805"/>
      <c r="QVL75" s="2805"/>
      <c r="QVM75" s="2805"/>
      <c r="QVN75" s="2805"/>
      <c r="QVO75" s="2805"/>
      <c r="QVP75" s="2805"/>
      <c r="QVQ75" s="2805"/>
      <c r="QVR75" s="2805"/>
      <c r="QVS75" s="2805"/>
      <c r="QVT75" s="2805"/>
      <c r="QVU75" s="2805"/>
      <c r="QVV75" s="2805"/>
      <c r="QVW75" s="2805"/>
      <c r="QVX75" s="2805"/>
      <c r="QVY75" s="2805"/>
      <c r="QVZ75" s="2805"/>
      <c r="QWA75" s="2805"/>
      <c r="QWB75" s="2805"/>
      <c r="QWC75" s="2805"/>
      <c r="QWD75" s="2805"/>
      <c r="QWE75" s="2805"/>
      <c r="QWF75" s="2805"/>
      <c r="QWG75" s="2805"/>
      <c r="QWH75" s="2805"/>
      <c r="QWI75" s="2805"/>
      <c r="QWJ75" s="2805"/>
      <c r="QWK75" s="2805"/>
      <c r="QWL75" s="2805"/>
      <c r="QWM75" s="2805"/>
      <c r="QWN75" s="2805"/>
      <c r="QWO75" s="2805"/>
      <c r="QWP75" s="2805"/>
      <c r="QWQ75" s="2805"/>
      <c r="QWR75" s="2805"/>
      <c r="QWS75" s="2805"/>
      <c r="QWT75" s="2805"/>
      <c r="QWU75" s="2805"/>
      <c r="QWV75" s="2805"/>
      <c r="QWW75" s="2805"/>
      <c r="QWX75" s="2805"/>
      <c r="QWY75" s="2805"/>
      <c r="QWZ75" s="2805"/>
      <c r="QXA75" s="2805"/>
      <c r="QXB75" s="2805"/>
      <c r="QXC75" s="2805"/>
      <c r="QXD75" s="2805"/>
      <c r="QXE75" s="2805"/>
      <c r="QXF75" s="2805"/>
      <c r="QXG75" s="2805"/>
      <c r="QXH75" s="2805"/>
      <c r="QXI75" s="2805"/>
      <c r="QXJ75" s="2805"/>
      <c r="QXK75" s="2805"/>
      <c r="QXL75" s="2805"/>
      <c r="QXM75" s="2805"/>
      <c r="QXN75" s="2805"/>
      <c r="QXO75" s="2805"/>
      <c r="QXP75" s="2805"/>
      <c r="QXQ75" s="2805"/>
      <c r="QXR75" s="2805"/>
      <c r="QXS75" s="2805"/>
      <c r="QXT75" s="2805"/>
      <c r="QXU75" s="2805"/>
      <c r="QXV75" s="2805"/>
      <c r="QXW75" s="2805"/>
      <c r="QXX75" s="2805"/>
      <c r="QXY75" s="2805"/>
      <c r="QXZ75" s="2805"/>
      <c r="QYA75" s="2805"/>
      <c r="QYB75" s="2805"/>
      <c r="QYC75" s="2805"/>
      <c r="QYD75" s="2805"/>
      <c r="QYE75" s="2805"/>
      <c r="QYF75" s="2805"/>
      <c r="QYG75" s="2805"/>
      <c r="QYH75" s="2805"/>
      <c r="QYI75" s="2805"/>
      <c r="QYJ75" s="2805"/>
      <c r="QYK75" s="2805"/>
      <c r="QYL75" s="2805"/>
      <c r="QYM75" s="2805"/>
      <c r="QYN75" s="2805"/>
      <c r="QYO75" s="2805"/>
      <c r="QYP75" s="2805"/>
      <c r="QYQ75" s="2805"/>
      <c r="QYR75" s="2805"/>
      <c r="QYS75" s="2805"/>
      <c r="QYT75" s="2805"/>
      <c r="QYU75" s="2805"/>
      <c r="QYV75" s="2805"/>
      <c r="QYW75" s="2805"/>
      <c r="QYX75" s="2805"/>
      <c r="QYY75" s="2805"/>
      <c r="QYZ75" s="2805"/>
      <c r="QZA75" s="2805"/>
      <c r="QZB75" s="2805"/>
      <c r="QZC75" s="2805"/>
      <c r="QZD75" s="2805"/>
      <c r="QZE75" s="2805"/>
      <c r="QZF75" s="2805"/>
      <c r="QZG75" s="2805"/>
      <c r="QZH75" s="2805"/>
      <c r="QZI75" s="2805"/>
      <c r="QZJ75" s="2805"/>
      <c r="QZK75" s="2805"/>
      <c r="QZL75" s="2805"/>
      <c r="QZM75" s="2805"/>
      <c r="QZN75" s="2805"/>
      <c r="QZO75" s="2805"/>
      <c r="QZP75" s="2805"/>
      <c r="QZQ75" s="2805"/>
      <c r="QZR75" s="2805"/>
      <c r="QZS75" s="2805"/>
      <c r="QZT75" s="2805"/>
      <c r="QZU75" s="2805"/>
      <c r="QZV75" s="2805"/>
      <c r="QZW75" s="2805"/>
      <c r="QZX75" s="2805"/>
      <c r="QZY75" s="2805"/>
      <c r="QZZ75" s="2805"/>
      <c r="RAA75" s="2805"/>
      <c r="RAB75" s="2805"/>
      <c r="RAC75" s="2805"/>
      <c r="RAD75" s="2805"/>
      <c r="RAE75" s="2805"/>
      <c r="RAF75" s="2805"/>
      <c r="RAG75" s="2805"/>
      <c r="RAH75" s="2805"/>
      <c r="RAI75" s="2805"/>
      <c r="RAJ75" s="2805"/>
      <c r="RAK75" s="2805"/>
      <c r="RAL75" s="2805"/>
      <c r="RAM75" s="2805"/>
      <c r="RAN75" s="2805"/>
      <c r="RAO75" s="2805"/>
      <c r="RAP75" s="2805"/>
      <c r="RAQ75" s="2805"/>
      <c r="RAR75" s="2805"/>
      <c r="RAS75" s="2805"/>
      <c r="RAT75" s="2805"/>
      <c r="RAU75" s="2805"/>
      <c r="RAV75" s="2805"/>
      <c r="RAW75" s="2805"/>
      <c r="RAX75" s="2805"/>
      <c r="RAY75" s="2805"/>
      <c r="RAZ75" s="2805"/>
      <c r="RBA75" s="2805"/>
      <c r="RBB75" s="2805"/>
      <c r="RBC75" s="2805"/>
      <c r="RBD75" s="2805"/>
      <c r="RBE75" s="2805"/>
      <c r="RBF75" s="2805"/>
      <c r="RBG75" s="2805"/>
      <c r="RBH75" s="2805"/>
      <c r="RBI75" s="2805"/>
      <c r="RBJ75" s="2805"/>
      <c r="RBK75" s="2805"/>
      <c r="RBL75" s="2805"/>
      <c r="RBM75" s="2805"/>
      <c r="RBN75" s="2805"/>
      <c r="RBO75" s="2805"/>
      <c r="RBP75" s="2805"/>
      <c r="RBQ75" s="2805"/>
      <c r="RBR75" s="2805"/>
      <c r="RBS75" s="2805"/>
      <c r="RBT75" s="2805"/>
      <c r="RBU75" s="2805"/>
      <c r="RBV75" s="2805"/>
      <c r="RBW75" s="2805"/>
      <c r="RBX75" s="2805"/>
      <c r="RBY75" s="2805"/>
      <c r="RBZ75" s="2805"/>
      <c r="RCA75" s="2805"/>
      <c r="RCB75" s="2805"/>
      <c r="RCC75" s="2805"/>
      <c r="RCD75" s="2805"/>
      <c r="RCE75" s="2805"/>
      <c r="RCF75" s="2805"/>
      <c r="RCG75" s="2805"/>
      <c r="RCH75" s="2805"/>
      <c r="RCI75" s="2805"/>
      <c r="RCJ75" s="2805"/>
      <c r="RCK75" s="2805"/>
      <c r="RCL75" s="2805"/>
      <c r="RCM75" s="2805"/>
      <c r="RCN75" s="2805"/>
      <c r="RCO75" s="2805"/>
      <c r="RCP75" s="2805"/>
      <c r="RCQ75" s="2805"/>
      <c r="RCR75" s="2805"/>
      <c r="RCS75" s="2805"/>
      <c r="RCT75" s="2805"/>
      <c r="RCU75" s="2805"/>
      <c r="RCV75" s="2805"/>
      <c r="RCW75" s="2805"/>
      <c r="RCX75" s="2805"/>
      <c r="RCY75" s="2805"/>
      <c r="RCZ75" s="2805"/>
      <c r="RDA75" s="2805"/>
      <c r="RDB75" s="2805"/>
      <c r="RDC75" s="2805"/>
      <c r="RDD75" s="2805"/>
      <c r="RDE75" s="2805"/>
      <c r="RDF75" s="2805"/>
      <c r="RDG75" s="2805"/>
      <c r="RDH75" s="2805"/>
      <c r="RDI75" s="2805"/>
      <c r="RDJ75" s="2805"/>
      <c r="RDK75" s="2805"/>
      <c r="RDL75" s="2805"/>
      <c r="RDM75" s="2805"/>
      <c r="RDN75" s="2805"/>
      <c r="RDO75" s="2805"/>
      <c r="RDP75" s="2805"/>
      <c r="RDQ75" s="2805"/>
      <c r="RDR75" s="2805"/>
      <c r="RDS75" s="2805"/>
      <c r="RDT75" s="2805"/>
      <c r="RDU75" s="2805"/>
      <c r="RDV75" s="2805"/>
      <c r="RDW75" s="2805"/>
      <c r="RDX75" s="2805"/>
      <c r="RDY75" s="2805"/>
      <c r="RDZ75" s="2805"/>
      <c r="REA75" s="2805"/>
      <c r="REB75" s="2805"/>
      <c r="REC75" s="2805"/>
      <c r="RED75" s="2805"/>
      <c r="REE75" s="2805"/>
      <c r="REF75" s="2805"/>
      <c r="REG75" s="2805"/>
      <c r="REH75" s="2805"/>
      <c r="REI75" s="2805"/>
      <c r="REJ75" s="2805"/>
      <c r="REK75" s="2805"/>
      <c r="REL75" s="2805"/>
      <c r="REM75" s="2805"/>
      <c r="REN75" s="2805"/>
      <c r="REO75" s="2805"/>
      <c r="REP75" s="2805"/>
      <c r="REQ75" s="2805"/>
      <c r="RER75" s="2805"/>
      <c r="RES75" s="2805"/>
      <c r="RET75" s="2805"/>
      <c r="REU75" s="2805"/>
      <c r="REV75" s="2805"/>
      <c r="REW75" s="2805"/>
      <c r="REX75" s="2805"/>
      <c r="REY75" s="2805"/>
      <c r="REZ75" s="2805"/>
      <c r="RFA75" s="2805"/>
      <c r="RFB75" s="2805"/>
      <c r="RFC75" s="2805"/>
      <c r="RFD75" s="2805"/>
      <c r="RFE75" s="2805"/>
      <c r="RFF75" s="2805"/>
      <c r="RFG75" s="2805"/>
      <c r="RFH75" s="2805"/>
      <c r="RFI75" s="2805"/>
      <c r="RFJ75" s="2805"/>
      <c r="RFK75" s="2805"/>
      <c r="RFL75" s="2805"/>
      <c r="RFM75" s="2805"/>
      <c r="RFN75" s="2805"/>
      <c r="RFO75" s="2805"/>
      <c r="RFP75" s="2805"/>
      <c r="RFQ75" s="2805"/>
      <c r="RFR75" s="2805"/>
      <c r="RFS75" s="2805"/>
      <c r="RFT75" s="2805"/>
      <c r="RFU75" s="2805"/>
      <c r="RFV75" s="2805"/>
      <c r="RFW75" s="2805"/>
      <c r="RFX75" s="2805"/>
      <c r="RFY75" s="2805"/>
      <c r="RFZ75" s="2805"/>
      <c r="RGA75" s="2805"/>
      <c r="RGB75" s="2805"/>
      <c r="RGC75" s="2805"/>
      <c r="RGD75" s="2805"/>
      <c r="RGE75" s="2805"/>
      <c r="RGF75" s="2805"/>
      <c r="RGG75" s="2805"/>
      <c r="RGH75" s="2805"/>
      <c r="RGI75" s="2805"/>
      <c r="RGJ75" s="2805"/>
      <c r="RGK75" s="2805"/>
      <c r="RGL75" s="2805"/>
      <c r="RGM75" s="2805"/>
      <c r="RGN75" s="2805"/>
      <c r="RGO75" s="2805"/>
      <c r="RGP75" s="2805"/>
      <c r="RGQ75" s="2805"/>
      <c r="RGR75" s="2805"/>
      <c r="RGS75" s="2805"/>
      <c r="RGT75" s="2805"/>
      <c r="RGU75" s="2805"/>
      <c r="RGV75" s="2805"/>
      <c r="RGW75" s="2805"/>
      <c r="RGX75" s="2805"/>
      <c r="RGY75" s="2805"/>
      <c r="RGZ75" s="2805"/>
      <c r="RHA75" s="2805"/>
      <c r="RHB75" s="2805"/>
      <c r="RHC75" s="2805"/>
      <c r="RHD75" s="2805"/>
      <c r="RHE75" s="2805"/>
      <c r="RHF75" s="2805"/>
      <c r="RHG75" s="2805"/>
      <c r="RHH75" s="2805"/>
      <c r="RHI75" s="2805"/>
      <c r="RHJ75" s="2805"/>
      <c r="RHK75" s="2805"/>
      <c r="RHL75" s="2805"/>
      <c r="RHM75" s="2805"/>
      <c r="RHN75" s="2805"/>
      <c r="RHO75" s="2805"/>
      <c r="RHP75" s="2805"/>
      <c r="RHQ75" s="2805"/>
      <c r="RHR75" s="2805"/>
      <c r="RHS75" s="2805"/>
      <c r="RHT75" s="2805"/>
      <c r="RHU75" s="2805"/>
      <c r="RHV75" s="2805"/>
      <c r="RHW75" s="2805"/>
      <c r="RHX75" s="2805"/>
      <c r="RHY75" s="2805"/>
      <c r="RHZ75" s="2805"/>
      <c r="RIA75" s="2805"/>
      <c r="RIB75" s="2805"/>
      <c r="RIC75" s="2805"/>
      <c r="RID75" s="2805"/>
      <c r="RIE75" s="2805"/>
      <c r="RIF75" s="2805"/>
      <c r="RIG75" s="2805"/>
      <c r="RIH75" s="2805"/>
      <c r="RII75" s="2805"/>
      <c r="RIJ75" s="2805"/>
      <c r="RIK75" s="2805"/>
      <c r="RIL75" s="2805"/>
      <c r="RIM75" s="2805"/>
      <c r="RIN75" s="2805"/>
      <c r="RIO75" s="2805"/>
      <c r="RIP75" s="2805"/>
      <c r="RIQ75" s="2805"/>
      <c r="RIR75" s="2805"/>
      <c r="RIS75" s="2805"/>
      <c r="RIT75" s="2805"/>
      <c r="RIU75" s="2805"/>
      <c r="RIV75" s="2805"/>
      <c r="RIW75" s="2805"/>
      <c r="RIX75" s="2805"/>
      <c r="RIY75" s="2805"/>
      <c r="RIZ75" s="2805"/>
      <c r="RJA75" s="2805"/>
      <c r="RJB75" s="2805"/>
      <c r="RJC75" s="2805"/>
      <c r="RJD75" s="2805"/>
      <c r="RJE75" s="2805"/>
      <c r="RJF75" s="2805"/>
      <c r="RJG75" s="2805"/>
      <c r="RJH75" s="2805"/>
      <c r="RJI75" s="2805"/>
      <c r="RJJ75" s="2805"/>
      <c r="RJK75" s="2805"/>
      <c r="RJL75" s="2805"/>
      <c r="RJM75" s="2805"/>
      <c r="RJN75" s="2805"/>
      <c r="RJO75" s="2805"/>
      <c r="RJP75" s="2805"/>
      <c r="RJQ75" s="2805"/>
      <c r="RJR75" s="2805"/>
      <c r="RJS75" s="2805"/>
      <c r="RJT75" s="2805"/>
      <c r="RJU75" s="2805"/>
      <c r="RJV75" s="2805"/>
      <c r="RJW75" s="2805"/>
      <c r="RJX75" s="2805"/>
      <c r="RJY75" s="2805"/>
      <c r="RJZ75" s="2805"/>
      <c r="RKA75" s="2805"/>
      <c r="RKB75" s="2805"/>
      <c r="RKC75" s="2805"/>
      <c r="RKD75" s="2805"/>
      <c r="RKE75" s="2805"/>
      <c r="RKF75" s="2805"/>
      <c r="RKG75" s="2805"/>
      <c r="RKH75" s="2805"/>
      <c r="RKI75" s="2805"/>
      <c r="RKJ75" s="2805"/>
      <c r="RKK75" s="2805"/>
      <c r="RKL75" s="2805"/>
      <c r="RKM75" s="2805"/>
      <c r="RKN75" s="2805"/>
      <c r="RKO75" s="2805"/>
      <c r="RKP75" s="2805"/>
      <c r="RKQ75" s="2805"/>
      <c r="RKR75" s="2805"/>
      <c r="RKS75" s="2805"/>
      <c r="RKT75" s="2805"/>
      <c r="RKU75" s="2805"/>
      <c r="RKV75" s="2805"/>
      <c r="RKW75" s="2805"/>
      <c r="RKX75" s="2805"/>
      <c r="RKY75" s="2805"/>
      <c r="RKZ75" s="2805"/>
      <c r="RLA75" s="2805"/>
      <c r="RLB75" s="2805"/>
      <c r="RLC75" s="2805"/>
      <c r="RLD75" s="2805"/>
      <c r="RLE75" s="2805"/>
      <c r="RLF75" s="2805"/>
      <c r="RLG75" s="2805"/>
      <c r="RLH75" s="2805"/>
      <c r="RLI75" s="2805"/>
      <c r="RLJ75" s="2805"/>
      <c r="RLK75" s="2805"/>
      <c r="RLL75" s="2805"/>
      <c r="RLM75" s="2805"/>
      <c r="RLN75" s="2805"/>
      <c r="RLO75" s="2805"/>
      <c r="RLP75" s="2805"/>
      <c r="RLQ75" s="2805"/>
      <c r="RLR75" s="2805"/>
      <c r="RLS75" s="2805"/>
      <c r="RLT75" s="2805"/>
      <c r="RLU75" s="2805"/>
      <c r="RLV75" s="2805"/>
      <c r="RLW75" s="2805"/>
      <c r="RLX75" s="2805"/>
      <c r="RLY75" s="2805"/>
      <c r="RLZ75" s="2805"/>
      <c r="RMA75" s="2805"/>
      <c r="RMB75" s="2805"/>
      <c r="RMC75" s="2805"/>
      <c r="RMD75" s="2805"/>
      <c r="RME75" s="2805"/>
      <c r="RMF75" s="2805"/>
      <c r="RMG75" s="2805"/>
      <c r="RMH75" s="2805"/>
      <c r="RMI75" s="2805"/>
      <c r="RMJ75" s="2805"/>
      <c r="RMK75" s="2805"/>
      <c r="RML75" s="2805"/>
      <c r="RMM75" s="2805"/>
      <c r="RMN75" s="2805"/>
      <c r="RMO75" s="2805"/>
      <c r="RMP75" s="2805"/>
      <c r="RMQ75" s="2805"/>
      <c r="RMR75" s="2805"/>
      <c r="RMS75" s="2805"/>
      <c r="RMT75" s="2805"/>
      <c r="RMU75" s="2805"/>
      <c r="RMV75" s="2805"/>
      <c r="RMW75" s="2805"/>
      <c r="RMX75" s="2805"/>
      <c r="RMY75" s="2805"/>
      <c r="RMZ75" s="2805"/>
      <c r="RNA75" s="2805"/>
      <c r="RNB75" s="2805"/>
      <c r="RNC75" s="2805"/>
      <c r="RND75" s="2805"/>
      <c r="RNE75" s="2805"/>
      <c r="RNF75" s="2805"/>
      <c r="RNG75" s="2805"/>
      <c r="RNH75" s="2805"/>
      <c r="RNI75" s="2805"/>
      <c r="RNJ75" s="2805"/>
      <c r="RNK75" s="2805"/>
      <c r="RNL75" s="2805"/>
      <c r="RNM75" s="2805"/>
      <c r="RNN75" s="2805"/>
      <c r="RNO75" s="2805"/>
      <c r="RNP75" s="2805"/>
      <c r="RNQ75" s="2805"/>
      <c r="RNR75" s="2805"/>
      <c r="RNS75" s="2805"/>
      <c r="RNT75" s="2805"/>
      <c r="RNU75" s="2805"/>
      <c r="RNV75" s="2805"/>
      <c r="RNW75" s="2805"/>
      <c r="RNX75" s="2805"/>
      <c r="RNY75" s="2805"/>
      <c r="RNZ75" s="2805"/>
      <c r="ROA75" s="2805"/>
      <c r="ROB75" s="2805"/>
      <c r="ROC75" s="2805"/>
      <c r="ROD75" s="2805"/>
      <c r="ROE75" s="2805"/>
      <c r="ROF75" s="2805"/>
      <c r="ROG75" s="2805"/>
      <c r="ROH75" s="2805"/>
      <c r="ROI75" s="2805"/>
      <c r="ROJ75" s="2805"/>
      <c r="ROK75" s="2805"/>
      <c r="ROL75" s="2805"/>
      <c r="ROM75" s="2805"/>
      <c r="RON75" s="2805"/>
      <c r="ROO75" s="2805"/>
      <c r="ROP75" s="2805"/>
      <c r="ROQ75" s="2805"/>
      <c r="ROR75" s="2805"/>
      <c r="ROS75" s="2805"/>
      <c r="ROT75" s="2805"/>
      <c r="ROU75" s="2805"/>
      <c r="ROV75" s="2805"/>
      <c r="ROW75" s="2805"/>
      <c r="ROX75" s="2805"/>
      <c r="ROY75" s="2805"/>
      <c r="ROZ75" s="2805"/>
      <c r="RPA75" s="2805"/>
      <c r="RPB75" s="2805"/>
      <c r="RPC75" s="2805"/>
      <c r="RPD75" s="2805"/>
      <c r="RPE75" s="2805"/>
      <c r="RPF75" s="2805"/>
      <c r="RPG75" s="2805"/>
      <c r="RPH75" s="2805"/>
      <c r="RPI75" s="2805"/>
      <c r="RPJ75" s="2805"/>
      <c r="RPK75" s="2805"/>
      <c r="RPL75" s="2805"/>
      <c r="RPM75" s="2805"/>
      <c r="RPN75" s="2805"/>
      <c r="RPO75" s="2805"/>
      <c r="RPP75" s="2805"/>
      <c r="RPQ75" s="2805"/>
      <c r="RPR75" s="2805"/>
      <c r="RPS75" s="2805"/>
      <c r="RPT75" s="2805"/>
      <c r="RPU75" s="2805"/>
      <c r="RPV75" s="2805"/>
      <c r="RPW75" s="2805"/>
      <c r="RPX75" s="2805"/>
      <c r="RPY75" s="2805"/>
      <c r="RPZ75" s="2805"/>
      <c r="RQA75" s="2805"/>
      <c r="RQB75" s="2805"/>
      <c r="RQC75" s="2805"/>
      <c r="RQD75" s="2805"/>
      <c r="RQE75" s="2805"/>
      <c r="RQF75" s="2805"/>
      <c r="RQG75" s="2805"/>
      <c r="RQH75" s="2805"/>
      <c r="RQI75" s="2805"/>
      <c r="RQJ75" s="2805"/>
      <c r="RQK75" s="2805"/>
      <c r="RQL75" s="2805"/>
      <c r="RQM75" s="2805"/>
      <c r="RQN75" s="2805"/>
      <c r="RQO75" s="2805"/>
      <c r="RQP75" s="2805"/>
      <c r="RQQ75" s="2805"/>
      <c r="RQR75" s="2805"/>
      <c r="RQS75" s="2805"/>
      <c r="RQT75" s="2805"/>
      <c r="RQU75" s="2805"/>
      <c r="RQV75" s="2805"/>
      <c r="RQW75" s="2805"/>
      <c r="RQX75" s="2805"/>
      <c r="RQY75" s="2805"/>
      <c r="RQZ75" s="2805"/>
      <c r="RRA75" s="2805"/>
      <c r="RRB75" s="2805"/>
      <c r="RRC75" s="2805"/>
      <c r="RRD75" s="2805"/>
      <c r="RRE75" s="2805"/>
      <c r="RRF75" s="2805"/>
      <c r="RRG75" s="2805"/>
      <c r="RRH75" s="2805"/>
      <c r="RRI75" s="2805"/>
      <c r="RRJ75" s="2805"/>
      <c r="RRK75" s="2805"/>
      <c r="RRL75" s="2805"/>
      <c r="RRM75" s="2805"/>
      <c r="RRN75" s="2805"/>
      <c r="RRO75" s="2805"/>
      <c r="RRP75" s="2805"/>
      <c r="RRQ75" s="2805"/>
      <c r="RRR75" s="2805"/>
      <c r="RRS75" s="2805"/>
      <c r="RRT75" s="2805"/>
      <c r="RRU75" s="2805"/>
      <c r="RRV75" s="2805"/>
      <c r="RRW75" s="2805"/>
      <c r="RRX75" s="2805"/>
      <c r="RRY75" s="2805"/>
      <c r="RRZ75" s="2805"/>
      <c r="RSA75" s="2805"/>
      <c r="RSB75" s="2805"/>
      <c r="RSC75" s="2805"/>
      <c r="RSD75" s="2805"/>
      <c r="RSE75" s="2805"/>
      <c r="RSF75" s="2805"/>
      <c r="RSG75" s="2805"/>
      <c r="RSH75" s="2805"/>
      <c r="RSI75" s="2805"/>
      <c r="RSJ75" s="2805"/>
      <c r="RSK75" s="2805"/>
      <c r="RSL75" s="2805"/>
      <c r="RSM75" s="2805"/>
      <c r="RSN75" s="2805"/>
      <c r="RSO75" s="2805"/>
      <c r="RSP75" s="2805"/>
      <c r="RSQ75" s="2805"/>
      <c r="RSR75" s="2805"/>
      <c r="RSS75" s="2805"/>
      <c r="RST75" s="2805"/>
      <c r="RSU75" s="2805"/>
      <c r="RSV75" s="2805"/>
      <c r="RSW75" s="2805"/>
      <c r="RSX75" s="2805"/>
      <c r="RSY75" s="2805"/>
      <c r="RSZ75" s="2805"/>
      <c r="RTA75" s="2805"/>
      <c r="RTB75" s="2805"/>
      <c r="RTC75" s="2805"/>
      <c r="RTD75" s="2805"/>
      <c r="RTE75" s="2805"/>
      <c r="RTF75" s="2805"/>
      <c r="RTG75" s="2805"/>
      <c r="RTH75" s="2805"/>
      <c r="RTI75" s="2805"/>
      <c r="RTJ75" s="2805"/>
      <c r="RTK75" s="2805"/>
      <c r="RTL75" s="2805"/>
      <c r="RTM75" s="2805"/>
      <c r="RTN75" s="2805"/>
      <c r="RTO75" s="2805"/>
      <c r="RTP75" s="2805"/>
      <c r="RTQ75" s="2805"/>
      <c r="RTR75" s="2805"/>
      <c r="RTS75" s="2805"/>
      <c r="RTT75" s="2805"/>
      <c r="RTU75" s="2805"/>
      <c r="RTV75" s="2805"/>
      <c r="RTW75" s="2805"/>
      <c r="RTX75" s="2805"/>
      <c r="RTY75" s="2805"/>
      <c r="RTZ75" s="2805"/>
      <c r="RUA75" s="2805"/>
      <c r="RUB75" s="2805"/>
      <c r="RUC75" s="2805"/>
      <c r="RUD75" s="2805"/>
      <c r="RUE75" s="2805"/>
      <c r="RUF75" s="2805"/>
      <c r="RUG75" s="2805"/>
      <c r="RUH75" s="2805"/>
      <c r="RUI75" s="2805"/>
      <c r="RUJ75" s="2805"/>
      <c r="RUK75" s="2805"/>
      <c r="RUL75" s="2805"/>
      <c r="RUM75" s="2805"/>
      <c r="RUN75" s="2805"/>
      <c r="RUO75" s="2805"/>
      <c r="RUP75" s="2805"/>
      <c r="RUQ75" s="2805"/>
      <c r="RUR75" s="2805"/>
      <c r="RUS75" s="2805"/>
      <c r="RUT75" s="2805"/>
      <c r="RUU75" s="2805"/>
      <c r="RUV75" s="2805"/>
      <c r="RUW75" s="2805"/>
      <c r="RUX75" s="2805"/>
      <c r="RUY75" s="2805"/>
      <c r="RUZ75" s="2805"/>
      <c r="RVA75" s="2805"/>
      <c r="RVB75" s="2805"/>
      <c r="RVC75" s="2805"/>
      <c r="RVD75" s="2805"/>
      <c r="RVE75" s="2805"/>
      <c r="RVF75" s="2805"/>
      <c r="RVG75" s="2805"/>
      <c r="RVH75" s="2805"/>
      <c r="RVI75" s="2805"/>
      <c r="RVJ75" s="2805"/>
      <c r="RVK75" s="2805"/>
      <c r="RVL75" s="2805"/>
      <c r="RVM75" s="2805"/>
      <c r="RVN75" s="2805"/>
      <c r="RVO75" s="2805"/>
      <c r="RVP75" s="2805"/>
      <c r="RVQ75" s="2805"/>
      <c r="RVR75" s="2805"/>
      <c r="RVS75" s="2805"/>
      <c r="RVT75" s="2805"/>
      <c r="RVU75" s="2805"/>
      <c r="RVV75" s="2805"/>
      <c r="RVW75" s="2805"/>
      <c r="RVX75" s="2805"/>
      <c r="RVY75" s="2805"/>
      <c r="RVZ75" s="2805"/>
      <c r="RWA75" s="2805"/>
      <c r="RWB75" s="2805"/>
      <c r="RWC75" s="2805"/>
      <c r="RWD75" s="2805"/>
      <c r="RWE75" s="2805"/>
      <c r="RWF75" s="2805"/>
      <c r="RWG75" s="2805"/>
      <c r="RWH75" s="2805"/>
      <c r="RWI75" s="2805"/>
      <c r="RWJ75" s="2805"/>
      <c r="RWK75" s="2805"/>
      <c r="RWL75" s="2805"/>
      <c r="RWM75" s="2805"/>
      <c r="RWN75" s="2805"/>
      <c r="RWO75" s="2805"/>
      <c r="RWP75" s="2805"/>
      <c r="RWQ75" s="2805"/>
      <c r="RWR75" s="2805"/>
      <c r="RWS75" s="2805"/>
      <c r="RWT75" s="2805"/>
      <c r="RWU75" s="2805"/>
      <c r="RWV75" s="2805"/>
      <c r="RWW75" s="2805"/>
      <c r="RWX75" s="2805"/>
      <c r="RWY75" s="2805"/>
      <c r="RWZ75" s="2805"/>
      <c r="RXA75" s="2805"/>
      <c r="RXB75" s="2805"/>
      <c r="RXC75" s="2805"/>
      <c r="RXD75" s="2805"/>
      <c r="RXE75" s="2805"/>
      <c r="RXF75" s="2805"/>
      <c r="RXG75" s="2805"/>
      <c r="RXH75" s="2805"/>
      <c r="RXI75" s="2805"/>
      <c r="RXJ75" s="2805"/>
      <c r="RXK75" s="2805"/>
      <c r="RXL75" s="2805"/>
      <c r="RXM75" s="2805"/>
      <c r="RXN75" s="2805"/>
      <c r="RXO75" s="2805"/>
      <c r="RXP75" s="2805"/>
      <c r="RXQ75" s="2805"/>
      <c r="RXR75" s="2805"/>
      <c r="RXS75" s="2805"/>
      <c r="RXT75" s="2805"/>
      <c r="RXU75" s="2805"/>
      <c r="RXV75" s="2805"/>
      <c r="RXW75" s="2805"/>
      <c r="RXX75" s="2805"/>
      <c r="RXY75" s="2805"/>
      <c r="RXZ75" s="2805"/>
      <c r="RYA75" s="2805"/>
      <c r="RYB75" s="2805"/>
      <c r="RYC75" s="2805"/>
      <c r="RYD75" s="2805"/>
      <c r="RYE75" s="2805"/>
      <c r="RYF75" s="2805"/>
      <c r="RYG75" s="2805"/>
      <c r="RYH75" s="2805"/>
      <c r="RYI75" s="2805"/>
      <c r="RYJ75" s="2805"/>
      <c r="RYK75" s="2805"/>
      <c r="RYL75" s="2805"/>
      <c r="RYM75" s="2805"/>
      <c r="RYN75" s="2805"/>
      <c r="RYO75" s="2805"/>
      <c r="RYP75" s="2805"/>
      <c r="RYQ75" s="2805"/>
      <c r="RYR75" s="2805"/>
      <c r="RYS75" s="2805"/>
      <c r="RYT75" s="2805"/>
      <c r="RYU75" s="2805"/>
      <c r="RYV75" s="2805"/>
      <c r="RYW75" s="2805"/>
      <c r="RYX75" s="2805"/>
      <c r="RYY75" s="2805"/>
      <c r="RYZ75" s="2805"/>
      <c r="RZA75" s="2805"/>
      <c r="RZB75" s="2805"/>
      <c r="RZC75" s="2805"/>
      <c r="RZD75" s="2805"/>
      <c r="RZE75" s="2805"/>
      <c r="RZF75" s="2805"/>
      <c r="RZG75" s="2805"/>
      <c r="RZH75" s="2805"/>
      <c r="RZI75" s="2805"/>
      <c r="RZJ75" s="2805"/>
      <c r="RZK75" s="2805"/>
      <c r="RZL75" s="2805"/>
      <c r="RZM75" s="2805"/>
      <c r="RZN75" s="2805"/>
      <c r="RZO75" s="2805"/>
      <c r="RZP75" s="2805"/>
      <c r="RZQ75" s="2805"/>
      <c r="RZR75" s="2805"/>
      <c r="RZS75" s="2805"/>
      <c r="RZT75" s="2805"/>
      <c r="RZU75" s="2805"/>
      <c r="RZV75" s="2805"/>
      <c r="RZW75" s="2805"/>
      <c r="RZX75" s="2805"/>
      <c r="RZY75" s="2805"/>
      <c r="RZZ75" s="2805"/>
      <c r="SAA75" s="2805"/>
      <c r="SAB75" s="2805"/>
      <c r="SAC75" s="2805"/>
      <c r="SAD75" s="2805"/>
      <c r="SAE75" s="2805"/>
      <c r="SAF75" s="2805"/>
      <c r="SAG75" s="2805"/>
      <c r="SAH75" s="2805"/>
      <c r="SAI75" s="2805"/>
      <c r="SAJ75" s="2805"/>
      <c r="SAK75" s="2805"/>
      <c r="SAL75" s="2805"/>
      <c r="SAM75" s="2805"/>
      <c r="SAN75" s="2805"/>
      <c r="SAO75" s="2805"/>
      <c r="SAP75" s="2805"/>
      <c r="SAQ75" s="2805"/>
      <c r="SAR75" s="2805"/>
      <c r="SAS75" s="2805"/>
      <c r="SAT75" s="2805"/>
      <c r="SAU75" s="2805"/>
      <c r="SAV75" s="2805"/>
      <c r="SAW75" s="2805"/>
      <c r="SAX75" s="2805"/>
      <c r="SAY75" s="2805"/>
      <c r="SAZ75" s="2805"/>
      <c r="SBA75" s="2805"/>
      <c r="SBB75" s="2805"/>
      <c r="SBC75" s="2805"/>
      <c r="SBD75" s="2805"/>
      <c r="SBE75" s="2805"/>
      <c r="SBF75" s="2805"/>
      <c r="SBG75" s="2805"/>
      <c r="SBH75" s="2805"/>
      <c r="SBI75" s="2805"/>
      <c r="SBJ75" s="2805"/>
      <c r="SBK75" s="2805"/>
      <c r="SBL75" s="2805"/>
      <c r="SBM75" s="2805"/>
      <c r="SBN75" s="2805"/>
      <c r="SBO75" s="2805"/>
      <c r="SBP75" s="2805"/>
      <c r="SBQ75" s="2805"/>
      <c r="SBR75" s="2805"/>
      <c r="SBS75" s="2805"/>
      <c r="SBT75" s="2805"/>
      <c r="SBU75" s="2805"/>
      <c r="SBV75" s="2805"/>
      <c r="SBW75" s="2805"/>
      <c r="SBX75" s="2805"/>
      <c r="SBY75" s="2805"/>
      <c r="SBZ75" s="2805"/>
      <c r="SCA75" s="2805"/>
      <c r="SCB75" s="2805"/>
      <c r="SCC75" s="2805"/>
      <c r="SCD75" s="2805"/>
      <c r="SCE75" s="2805"/>
      <c r="SCF75" s="2805"/>
      <c r="SCG75" s="2805"/>
      <c r="SCH75" s="2805"/>
      <c r="SCI75" s="2805"/>
      <c r="SCJ75" s="2805"/>
      <c r="SCK75" s="2805"/>
      <c r="SCL75" s="2805"/>
      <c r="SCM75" s="2805"/>
      <c r="SCN75" s="2805"/>
      <c r="SCO75" s="2805"/>
      <c r="SCP75" s="2805"/>
      <c r="SCQ75" s="2805"/>
      <c r="SCR75" s="2805"/>
      <c r="SCS75" s="2805"/>
      <c r="SCT75" s="2805"/>
      <c r="SCU75" s="2805"/>
      <c r="SCV75" s="2805"/>
      <c r="SCW75" s="2805"/>
      <c r="SCX75" s="2805"/>
      <c r="SCY75" s="2805"/>
      <c r="SCZ75" s="2805"/>
      <c r="SDA75" s="2805"/>
      <c r="SDB75" s="2805"/>
      <c r="SDC75" s="2805"/>
      <c r="SDD75" s="2805"/>
      <c r="SDE75" s="2805"/>
      <c r="SDF75" s="2805"/>
      <c r="SDG75" s="2805"/>
      <c r="SDH75" s="2805"/>
      <c r="SDI75" s="2805"/>
      <c r="SDJ75" s="2805"/>
      <c r="SDK75" s="2805"/>
      <c r="SDL75" s="2805"/>
      <c r="SDM75" s="2805"/>
      <c r="SDN75" s="2805"/>
      <c r="SDO75" s="2805"/>
      <c r="SDP75" s="2805"/>
      <c r="SDQ75" s="2805"/>
      <c r="SDR75" s="2805"/>
      <c r="SDS75" s="2805"/>
      <c r="SDT75" s="2805"/>
      <c r="SDU75" s="2805"/>
      <c r="SDV75" s="2805"/>
      <c r="SDW75" s="2805"/>
      <c r="SDX75" s="2805"/>
      <c r="SDY75" s="2805"/>
      <c r="SDZ75" s="2805"/>
      <c r="SEA75" s="2805"/>
      <c r="SEB75" s="2805"/>
      <c r="SEC75" s="2805"/>
      <c r="SED75" s="2805"/>
      <c r="SEE75" s="2805"/>
      <c r="SEF75" s="2805"/>
      <c r="SEG75" s="2805"/>
      <c r="SEH75" s="2805"/>
      <c r="SEI75" s="2805"/>
      <c r="SEJ75" s="2805"/>
      <c r="SEK75" s="2805"/>
      <c r="SEL75" s="2805"/>
      <c r="SEM75" s="2805"/>
      <c r="SEN75" s="2805"/>
      <c r="SEO75" s="2805"/>
      <c r="SEP75" s="2805"/>
      <c r="SEQ75" s="2805"/>
      <c r="SER75" s="2805"/>
      <c r="SES75" s="2805"/>
      <c r="SET75" s="2805"/>
      <c r="SEU75" s="2805"/>
      <c r="SEV75" s="2805"/>
      <c r="SEW75" s="2805"/>
      <c r="SEX75" s="2805"/>
      <c r="SEY75" s="2805"/>
      <c r="SEZ75" s="2805"/>
      <c r="SFA75" s="2805"/>
      <c r="SFB75" s="2805"/>
      <c r="SFC75" s="2805"/>
      <c r="SFD75" s="2805"/>
      <c r="SFE75" s="2805"/>
      <c r="SFF75" s="2805"/>
      <c r="SFG75" s="2805"/>
      <c r="SFH75" s="2805"/>
      <c r="SFI75" s="2805"/>
      <c r="SFJ75" s="2805"/>
      <c r="SFK75" s="2805"/>
      <c r="SFL75" s="2805"/>
      <c r="SFM75" s="2805"/>
      <c r="SFN75" s="2805"/>
      <c r="SFO75" s="2805"/>
      <c r="SFP75" s="2805"/>
      <c r="SFQ75" s="2805"/>
      <c r="SFR75" s="2805"/>
      <c r="SFS75" s="2805"/>
      <c r="SFT75" s="2805"/>
      <c r="SFU75" s="2805"/>
      <c r="SFV75" s="2805"/>
      <c r="SFW75" s="2805"/>
      <c r="SFX75" s="2805"/>
      <c r="SFY75" s="2805"/>
      <c r="SFZ75" s="2805"/>
      <c r="SGA75" s="2805"/>
      <c r="SGB75" s="2805"/>
      <c r="SGC75" s="2805"/>
      <c r="SGD75" s="2805"/>
      <c r="SGE75" s="2805"/>
      <c r="SGF75" s="2805"/>
      <c r="SGG75" s="2805"/>
      <c r="SGH75" s="2805"/>
      <c r="SGI75" s="2805"/>
      <c r="SGJ75" s="2805"/>
      <c r="SGK75" s="2805"/>
      <c r="SGL75" s="2805"/>
      <c r="SGM75" s="2805"/>
      <c r="SGN75" s="2805"/>
      <c r="SGO75" s="2805"/>
      <c r="SGP75" s="2805"/>
      <c r="SGQ75" s="2805"/>
      <c r="SGR75" s="2805"/>
      <c r="SGS75" s="2805"/>
      <c r="SGT75" s="2805"/>
      <c r="SGU75" s="2805"/>
      <c r="SGV75" s="2805"/>
      <c r="SGW75" s="2805"/>
      <c r="SGX75" s="2805"/>
      <c r="SGY75" s="2805"/>
      <c r="SGZ75" s="2805"/>
      <c r="SHA75" s="2805"/>
      <c r="SHB75" s="2805"/>
      <c r="SHC75" s="2805"/>
      <c r="SHD75" s="2805"/>
      <c r="SHE75" s="2805"/>
      <c r="SHF75" s="2805"/>
      <c r="SHG75" s="2805"/>
      <c r="SHH75" s="2805"/>
      <c r="SHI75" s="2805"/>
      <c r="SHJ75" s="2805"/>
      <c r="SHK75" s="2805"/>
      <c r="SHL75" s="2805"/>
      <c r="SHM75" s="2805"/>
      <c r="SHN75" s="2805"/>
      <c r="SHO75" s="2805"/>
      <c r="SHP75" s="2805"/>
      <c r="SHQ75" s="2805"/>
      <c r="SHR75" s="2805"/>
      <c r="SHS75" s="2805"/>
      <c r="SHT75" s="2805"/>
      <c r="SHU75" s="2805"/>
      <c r="SHV75" s="2805"/>
      <c r="SHW75" s="2805"/>
      <c r="SHX75" s="2805"/>
      <c r="SHY75" s="2805"/>
      <c r="SHZ75" s="2805"/>
      <c r="SIA75" s="2805"/>
      <c r="SIB75" s="2805"/>
      <c r="SIC75" s="2805"/>
      <c r="SID75" s="2805"/>
      <c r="SIE75" s="2805"/>
      <c r="SIF75" s="2805"/>
      <c r="SIG75" s="2805"/>
      <c r="SIH75" s="2805"/>
      <c r="SII75" s="2805"/>
      <c r="SIJ75" s="2805"/>
      <c r="SIK75" s="2805"/>
      <c r="SIL75" s="2805"/>
      <c r="SIM75" s="2805"/>
      <c r="SIN75" s="2805"/>
      <c r="SIO75" s="2805"/>
      <c r="SIP75" s="2805"/>
      <c r="SIQ75" s="2805"/>
      <c r="SIR75" s="2805"/>
      <c r="SIS75" s="2805"/>
      <c r="SIT75" s="2805"/>
      <c r="SIU75" s="2805"/>
      <c r="SIV75" s="2805"/>
      <c r="SIW75" s="2805"/>
      <c r="SIX75" s="2805"/>
      <c r="SIY75" s="2805"/>
      <c r="SIZ75" s="2805"/>
      <c r="SJA75" s="2805"/>
      <c r="SJB75" s="2805"/>
      <c r="SJC75" s="2805"/>
      <c r="SJD75" s="2805"/>
      <c r="SJE75" s="2805"/>
      <c r="SJF75" s="2805"/>
      <c r="SJG75" s="2805"/>
      <c r="SJH75" s="2805"/>
      <c r="SJI75" s="2805"/>
      <c r="SJJ75" s="2805"/>
      <c r="SJK75" s="2805"/>
      <c r="SJL75" s="2805"/>
      <c r="SJM75" s="2805"/>
      <c r="SJN75" s="2805"/>
      <c r="SJO75" s="2805"/>
      <c r="SJP75" s="2805"/>
      <c r="SJQ75" s="2805"/>
      <c r="SJR75" s="2805"/>
      <c r="SJS75" s="2805"/>
      <c r="SJT75" s="2805"/>
      <c r="SJU75" s="2805"/>
      <c r="SJV75" s="2805"/>
      <c r="SJW75" s="2805"/>
      <c r="SJX75" s="2805"/>
      <c r="SJY75" s="2805"/>
      <c r="SJZ75" s="2805"/>
      <c r="SKA75" s="2805"/>
      <c r="SKB75" s="2805"/>
      <c r="SKC75" s="2805"/>
      <c r="SKD75" s="2805"/>
      <c r="SKE75" s="2805"/>
      <c r="SKF75" s="2805"/>
      <c r="SKG75" s="2805"/>
      <c r="SKH75" s="2805"/>
      <c r="SKI75" s="2805"/>
      <c r="SKJ75" s="2805"/>
      <c r="SKK75" s="2805"/>
      <c r="SKL75" s="2805"/>
      <c r="SKM75" s="2805"/>
      <c r="SKN75" s="2805"/>
      <c r="SKO75" s="2805"/>
      <c r="SKP75" s="2805"/>
      <c r="SKQ75" s="2805"/>
      <c r="SKR75" s="2805"/>
      <c r="SKS75" s="2805"/>
      <c r="SKT75" s="2805"/>
      <c r="SKU75" s="2805"/>
      <c r="SKV75" s="2805"/>
      <c r="SKW75" s="2805"/>
      <c r="SKX75" s="2805"/>
      <c r="SKY75" s="2805"/>
      <c r="SKZ75" s="2805"/>
      <c r="SLA75" s="2805"/>
      <c r="SLB75" s="2805"/>
      <c r="SLC75" s="2805"/>
      <c r="SLD75" s="2805"/>
      <c r="SLE75" s="2805"/>
      <c r="SLF75" s="2805"/>
      <c r="SLG75" s="2805"/>
      <c r="SLH75" s="2805"/>
      <c r="SLI75" s="2805"/>
      <c r="SLJ75" s="2805"/>
      <c r="SLK75" s="2805"/>
      <c r="SLL75" s="2805"/>
      <c r="SLM75" s="2805"/>
      <c r="SLN75" s="2805"/>
      <c r="SLO75" s="2805"/>
      <c r="SLP75" s="2805"/>
      <c r="SLQ75" s="2805"/>
      <c r="SLR75" s="2805"/>
      <c r="SLS75" s="2805"/>
      <c r="SLT75" s="2805"/>
      <c r="SLU75" s="2805"/>
      <c r="SLV75" s="2805"/>
      <c r="SLW75" s="2805"/>
      <c r="SLX75" s="2805"/>
      <c r="SLY75" s="2805"/>
      <c r="SLZ75" s="2805"/>
      <c r="SMA75" s="2805"/>
      <c r="SMB75" s="2805"/>
      <c r="SMC75" s="2805"/>
      <c r="SMD75" s="2805"/>
      <c r="SME75" s="2805"/>
      <c r="SMF75" s="2805"/>
      <c r="SMG75" s="2805"/>
      <c r="SMH75" s="2805"/>
      <c r="SMI75" s="2805"/>
      <c r="SMJ75" s="2805"/>
      <c r="SMK75" s="2805"/>
      <c r="SML75" s="2805"/>
      <c r="SMM75" s="2805"/>
      <c r="SMN75" s="2805"/>
      <c r="SMO75" s="2805"/>
      <c r="SMP75" s="2805"/>
      <c r="SMQ75" s="2805"/>
      <c r="SMR75" s="2805"/>
      <c r="SMS75" s="2805"/>
      <c r="SMT75" s="2805"/>
      <c r="SMU75" s="2805"/>
      <c r="SMV75" s="2805"/>
      <c r="SMW75" s="2805"/>
      <c r="SMX75" s="2805"/>
      <c r="SMY75" s="2805"/>
      <c r="SMZ75" s="2805"/>
      <c r="SNA75" s="2805"/>
      <c r="SNB75" s="2805"/>
      <c r="SNC75" s="2805"/>
      <c r="SND75" s="2805"/>
      <c r="SNE75" s="2805"/>
      <c r="SNF75" s="2805"/>
      <c r="SNG75" s="2805"/>
      <c r="SNH75" s="2805"/>
      <c r="SNI75" s="2805"/>
      <c r="SNJ75" s="2805"/>
      <c r="SNK75" s="2805"/>
      <c r="SNL75" s="2805"/>
      <c r="SNM75" s="2805"/>
      <c r="SNN75" s="2805"/>
      <c r="SNO75" s="2805"/>
      <c r="SNP75" s="2805"/>
      <c r="SNQ75" s="2805"/>
      <c r="SNR75" s="2805"/>
      <c r="SNS75" s="2805"/>
      <c r="SNT75" s="2805"/>
      <c r="SNU75" s="2805"/>
      <c r="SNV75" s="2805"/>
      <c r="SNW75" s="2805"/>
      <c r="SNX75" s="2805"/>
      <c r="SNY75" s="2805"/>
      <c r="SNZ75" s="2805"/>
      <c r="SOA75" s="2805"/>
      <c r="SOB75" s="2805"/>
      <c r="SOC75" s="2805"/>
      <c r="SOD75" s="2805"/>
      <c r="SOE75" s="2805"/>
      <c r="SOF75" s="2805"/>
      <c r="SOG75" s="2805"/>
      <c r="SOH75" s="2805"/>
      <c r="SOI75" s="2805"/>
      <c r="SOJ75" s="2805"/>
      <c r="SOK75" s="2805"/>
      <c r="SOL75" s="2805"/>
      <c r="SOM75" s="2805"/>
      <c r="SON75" s="2805"/>
      <c r="SOO75" s="2805"/>
      <c r="SOP75" s="2805"/>
      <c r="SOQ75" s="2805"/>
      <c r="SOR75" s="2805"/>
      <c r="SOS75" s="2805"/>
      <c r="SOT75" s="2805"/>
      <c r="SOU75" s="2805"/>
      <c r="SOV75" s="2805"/>
      <c r="SOW75" s="2805"/>
      <c r="SOX75" s="2805"/>
      <c r="SOY75" s="2805"/>
      <c r="SOZ75" s="2805"/>
      <c r="SPA75" s="2805"/>
      <c r="SPB75" s="2805"/>
      <c r="SPC75" s="2805"/>
      <c r="SPD75" s="2805"/>
      <c r="SPE75" s="2805"/>
      <c r="SPF75" s="2805"/>
      <c r="SPG75" s="2805"/>
      <c r="SPH75" s="2805"/>
      <c r="SPI75" s="2805"/>
      <c r="SPJ75" s="2805"/>
      <c r="SPK75" s="2805"/>
      <c r="SPL75" s="2805"/>
      <c r="SPM75" s="2805"/>
      <c r="SPN75" s="2805"/>
      <c r="SPO75" s="2805"/>
      <c r="SPP75" s="2805"/>
      <c r="SPQ75" s="2805"/>
      <c r="SPR75" s="2805"/>
      <c r="SPS75" s="2805"/>
      <c r="SPT75" s="2805"/>
      <c r="SPU75" s="2805"/>
      <c r="SPV75" s="2805"/>
      <c r="SPW75" s="2805"/>
      <c r="SPX75" s="2805"/>
      <c r="SPY75" s="2805"/>
      <c r="SPZ75" s="2805"/>
      <c r="SQA75" s="2805"/>
      <c r="SQB75" s="2805"/>
      <c r="SQC75" s="2805"/>
      <c r="SQD75" s="2805"/>
      <c r="SQE75" s="2805"/>
      <c r="SQF75" s="2805"/>
      <c r="SQG75" s="2805"/>
      <c r="SQH75" s="2805"/>
      <c r="SQI75" s="2805"/>
      <c r="SQJ75" s="2805"/>
      <c r="SQK75" s="2805"/>
      <c r="SQL75" s="2805"/>
      <c r="SQM75" s="2805"/>
      <c r="SQN75" s="2805"/>
      <c r="SQO75" s="2805"/>
      <c r="SQP75" s="2805"/>
      <c r="SQQ75" s="2805"/>
      <c r="SQR75" s="2805"/>
      <c r="SQS75" s="2805"/>
      <c r="SQT75" s="2805"/>
      <c r="SQU75" s="2805"/>
      <c r="SQV75" s="2805"/>
      <c r="SQW75" s="2805"/>
      <c r="SQX75" s="2805"/>
      <c r="SQY75" s="2805"/>
      <c r="SQZ75" s="2805"/>
      <c r="SRA75" s="2805"/>
      <c r="SRB75" s="2805"/>
      <c r="SRC75" s="2805"/>
      <c r="SRD75" s="2805"/>
      <c r="SRE75" s="2805"/>
      <c r="SRF75" s="2805"/>
      <c r="SRG75" s="2805"/>
      <c r="SRH75" s="2805"/>
      <c r="SRI75" s="2805"/>
      <c r="SRJ75" s="2805"/>
      <c r="SRK75" s="2805"/>
      <c r="SRL75" s="2805"/>
      <c r="SRM75" s="2805"/>
      <c r="SRN75" s="2805"/>
      <c r="SRO75" s="2805"/>
      <c r="SRP75" s="2805"/>
      <c r="SRQ75" s="2805"/>
      <c r="SRR75" s="2805"/>
      <c r="SRS75" s="2805"/>
      <c r="SRT75" s="2805"/>
      <c r="SRU75" s="2805"/>
      <c r="SRV75" s="2805"/>
      <c r="SRW75" s="2805"/>
      <c r="SRX75" s="2805"/>
      <c r="SRY75" s="2805"/>
      <c r="SRZ75" s="2805"/>
      <c r="SSA75" s="2805"/>
      <c r="SSB75" s="2805"/>
      <c r="SSC75" s="2805"/>
      <c r="SSD75" s="2805"/>
      <c r="SSE75" s="2805"/>
      <c r="SSF75" s="2805"/>
      <c r="SSG75" s="2805"/>
      <c r="SSH75" s="2805"/>
      <c r="SSI75" s="2805"/>
      <c r="SSJ75" s="2805"/>
      <c r="SSK75" s="2805"/>
      <c r="SSL75" s="2805"/>
      <c r="SSM75" s="2805"/>
      <c r="SSN75" s="2805"/>
      <c r="SSO75" s="2805"/>
      <c r="SSP75" s="2805"/>
      <c r="SSQ75" s="2805"/>
      <c r="SSR75" s="2805"/>
      <c r="SSS75" s="2805"/>
      <c r="SST75" s="2805"/>
      <c r="SSU75" s="2805"/>
      <c r="SSV75" s="2805"/>
      <c r="SSW75" s="2805"/>
      <c r="SSX75" s="2805"/>
      <c r="SSY75" s="2805"/>
      <c r="SSZ75" s="2805"/>
      <c r="STA75" s="2805"/>
      <c r="STB75" s="2805"/>
      <c r="STC75" s="2805"/>
      <c r="STD75" s="2805"/>
      <c r="STE75" s="2805"/>
      <c r="STF75" s="2805"/>
      <c r="STG75" s="2805"/>
      <c r="STH75" s="2805"/>
      <c r="STI75" s="2805"/>
      <c r="STJ75" s="2805"/>
      <c r="STK75" s="2805"/>
      <c r="STL75" s="2805"/>
      <c r="STM75" s="2805"/>
      <c r="STN75" s="2805"/>
      <c r="STO75" s="2805"/>
      <c r="STP75" s="2805"/>
      <c r="STQ75" s="2805"/>
      <c r="STR75" s="2805"/>
      <c r="STS75" s="2805"/>
      <c r="STT75" s="2805"/>
      <c r="STU75" s="2805"/>
      <c r="STV75" s="2805"/>
      <c r="STW75" s="2805"/>
      <c r="STX75" s="2805"/>
      <c r="STY75" s="2805"/>
      <c r="STZ75" s="2805"/>
      <c r="SUA75" s="2805"/>
      <c r="SUB75" s="2805"/>
      <c r="SUC75" s="2805"/>
      <c r="SUD75" s="2805"/>
      <c r="SUE75" s="2805"/>
      <c r="SUF75" s="2805"/>
      <c r="SUG75" s="2805"/>
      <c r="SUH75" s="2805"/>
      <c r="SUI75" s="2805"/>
      <c r="SUJ75" s="2805"/>
      <c r="SUK75" s="2805"/>
      <c r="SUL75" s="2805"/>
      <c r="SUM75" s="2805"/>
      <c r="SUN75" s="2805"/>
      <c r="SUO75" s="2805"/>
      <c r="SUP75" s="2805"/>
      <c r="SUQ75" s="2805"/>
      <c r="SUR75" s="2805"/>
      <c r="SUS75" s="2805"/>
      <c r="SUT75" s="2805"/>
      <c r="SUU75" s="2805"/>
      <c r="SUV75" s="2805"/>
      <c r="SUW75" s="2805"/>
      <c r="SUX75" s="2805"/>
      <c r="SUY75" s="2805"/>
      <c r="SUZ75" s="2805"/>
      <c r="SVA75" s="2805"/>
      <c r="SVB75" s="2805"/>
      <c r="SVC75" s="2805"/>
      <c r="SVD75" s="2805"/>
      <c r="SVE75" s="2805"/>
      <c r="SVF75" s="2805"/>
      <c r="SVG75" s="2805"/>
      <c r="SVH75" s="2805"/>
      <c r="SVI75" s="2805"/>
      <c r="SVJ75" s="2805"/>
      <c r="SVK75" s="2805"/>
      <c r="SVL75" s="2805"/>
      <c r="SVM75" s="2805"/>
      <c r="SVN75" s="2805"/>
      <c r="SVO75" s="2805"/>
      <c r="SVP75" s="2805"/>
      <c r="SVQ75" s="2805"/>
      <c r="SVR75" s="2805"/>
      <c r="SVS75" s="2805"/>
      <c r="SVT75" s="2805"/>
      <c r="SVU75" s="2805"/>
      <c r="SVV75" s="2805"/>
      <c r="SVW75" s="2805"/>
      <c r="SVX75" s="2805"/>
      <c r="SVY75" s="2805"/>
      <c r="SVZ75" s="2805"/>
      <c r="SWA75" s="2805"/>
      <c r="SWB75" s="2805"/>
      <c r="SWC75" s="2805"/>
      <c r="SWD75" s="2805"/>
      <c r="SWE75" s="2805"/>
      <c r="SWF75" s="2805"/>
      <c r="SWG75" s="2805"/>
      <c r="SWH75" s="2805"/>
      <c r="SWI75" s="2805"/>
      <c r="SWJ75" s="2805"/>
      <c r="SWK75" s="2805"/>
      <c r="SWL75" s="2805"/>
      <c r="SWM75" s="2805"/>
      <c r="SWN75" s="2805"/>
      <c r="SWO75" s="2805"/>
      <c r="SWP75" s="2805"/>
      <c r="SWQ75" s="2805"/>
      <c r="SWR75" s="2805"/>
      <c r="SWS75" s="2805"/>
      <c r="SWT75" s="2805"/>
      <c r="SWU75" s="2805"/>
      <c r="SWV75" s="2805"/>
      <c r="SWW75" s="2805"/>
      <c r="SWX75" s="2805"/>
      <c r="SWY75" s="2805"/>
      <c r="SWZ75" s="2805"/>
      <c r="SXA75" s="2805"/>
      <c r="SXB75" s="2805"/>
      <c r="SXC75" s="2805"/>
      <c r="SXD75" s="2805"/>
      <c r="SXE75" s="2805"/>
      <c r="SXF75" s="2805"/>
      <c r="SXG75" s="2805"/>
      <c r="SXH75" s="2805"/>
      <c r="SXI75" s="2805"/>
      <c r="SXJ75" s="2805"/>
      <c r="SXK75" s="2805"/>
      <c r="SXL75" s="2805"/>
      <c r="SXM75" s="2805"/>
      <c r="SXN75" s="2805"/>
      <c r="SXO75" s="2805"/>
      <c r="SXP75" s="2805"/>
      <c r="SXQ75" s="2805"/>
      <c r="SXR75" s="2805"/>
      <c r="SXS75" s="2805"/>
      <c r="SXT75" s="2805"/>
      <c r="SXU75" s="2805"/>
      <c r="SXV75" s="2805"/>
      <c r="SXW75" s="2805"/>
      <c r="SXX75" s="2805"/>
      <c r="SXY75" s="2805"/>
      <c r="SXZ75" s="2805"/>
      <c r="SYA75" s="2805"/>
      <c r="SYB75" s="2805"/>
      <c r="SYC75" s="2805"/>
      <c r="SYD75" s="2805"/>
      <c r="SYE75" s="2805"/>
      <c r="SYF75" s="2805"/>
      <c r="SYG75" s="2805"/>
      <c r="SYH75" s="2805"/>
      <c r="SYI75" s="2805"/>
      <c r="SYJ75" s="2805"/>
      <c r="SYK75" s="2805"/>
      <c r="SYL75" s="2805"/>
      <c r="SYM75" s="2805"/>
      <c r="SYN75" s="2805"/>
      <c r="SYO75" s="2805"/>
      <c r="SYP75" s="2805"/>
      <c r="SYQ75" s="2805"/>
      <c r="SYR75" s="2805"/>
      <c r="SYS75" s="2805"/>
      <c r="SYT75" s="2805"/>
      <c r="SYU75" s="2805"/>
      <c r="SYV75" s="2805"/>
      <c r="SYW75" s="2805"/>
      <c r="SYX75" s="2805"/>
      <c r="SYY75" s="2805"/>
      <c r="SYZ75" s="2805"/>
      <c r="SZA75" s="2805"/>
      <c r="SZB75" s="2805"/>
      <c r="SZC75" s="2805"/>
      <c r="SZD75" s="2805"/>
      <c r="SZE75" s="2805"/>
      <c r="SZF75" s="2805"/>
      <c r="SZG75" s="2805"/>
      <c r="SZH75" s="2805"/>
      <c r="SZI75" s="2805"/>
      <c r="SZJ75" s="2805"/>
      <c r="SZK75" s="2805"/>
      <c r="SZL75" s="2805"/>
      <c r="SZM75" s="2805"/>
      <c r="SZN75" s="2805"/>
      <c r="SZO75" s="2805"/>
      <c r="SZP75" s="2805"/>
      <c r="SZQ75" s="2805"/>
      <c r="SZR75" s="2805"/>
      <c r="SZS75" s="2805"/>
      <c r="SZT75" s="2805"/>
      <c r="SZU75" s="2805"/>
      <c r="SZV75" s="2805"/>
      <c r="SZW75" s="2805"/>
      <c r="SZX75" s="2805"/>
      <c r="SZY75" s="2805"/>
      <c r="SZZ75" s="2805"/>
      <c r="TAA75" s="2805"/>
      <c r="TAB75" s="2805"/>
      <c r="TAC75" s="2805"/>
      <c r="TAD75" s="2805"/>
      <c r="TAE75" s="2805"/>
      <c r="TAF75" s="2805"/>
      <c r="TAG75" s="2805"/>
      <c r="TAH75" s="2805"/>
      <c r="TAI75" s="2805"/>
      <c r="TAJ75" s="2805"/>
      <c r="TAK75" s="2805"/>
      <c r="TAL75" s="2805"/>
      <c r="TAM75" s="2805"/>
      <c r="TAN75" s="2805"/>
      <c r="TAO75" s="2805"/>
      <c r="TAP75" s="2805"/>
      <c r="TAQ75" s="2805"/>
      <c r="TAR75" s="2805"/>
      <c r="TAS75" s="2805"/>
      <c r="TAT75" s="2805"/>
      <c r="TAU75" s="2805"/>
      <c r="TAV75" s="2805"/>
      <c r="TAW75" s="2805"/>
      <c r="TAX75" s="2805"/>
      <c r="TAY75" s="2805"/>
      <c r="TAZ75" s="2805"/>
      <c r="TBA75" s="2805"/>
      <c r="TBB75" s="2805"/>
      <c r="TBC75" s="2805"/>
      <c r="TBD75" s="2805"/>
      <c r="TBE75" s="2805"/>
      <c r="TBF75" s="2805"/>
      <c r="TBG75" s="2805"/>
      <c r="TBH75" s="2805"/>
      <c r="TBI75" s="2805"/>
      <c r="TBJ75" s="2805"/>
      <c r="TBK75" s="2805"/>
      <c r="TBL75" s="2805"/>
      <c r="TBM75" s="2805"/>
      <c r="TBN75" s="2805"/>
      <c r="TBO75" s="2805"/>
      <c r="TBP75" s="2805"/>
      <c r="TBQ75" s="2805"/>
      <c r="TBR75" s="2805"/>
      <c r="TBS75" s="2805"/>
      <c r="TBT75" s="2805"/>
      <c r="TBU75" s="2805"/>
      <c r="TBV75" s="2805"/>
      <c r="TBW75" s="2805"/>
      <c r="TBX75" s="2805"/>
      <c r="TBY75" s="2805"/>
      <c r="TBZ75" s="2805"/>
      <c r="TCA75" s="2805"/>
      <c r="TCB75" s="2805"/>
      <c r="TCC75" s="2805"/>
      <c r="TCD75" s="2805"/>
      <c r="TCE75" s="2805"/>
      <c r="TCF75" s="2805"/>
      <c r="TCG75" s="2805"/>
      <c r="TCH75" s="2805"/>
      <c r="TCI75" s="2805"/>
      <c r="TCJ75" s="2805"/>
      <c r="TCK75" s="2805"/>
      <c r="TCL75" s="2805"/>
      <c r="TCM75" s="2805"/>
      <c r="TCN75" s="2805"/>
      <c r="TCO75" s="2805"/>
      <c r="TCP75" s="2805"/>
      <c r="TCQ75" s="2805"/>
      <c r="TCR75" s="2805"/>
      <c r="TCS75" s="2805"/>
      <c r="TCT75" s="2805"/>
      <c r="TCU75" s="2805"/>
      <c r="TCV75" s="2805"/>
      <c r="TCW75" s="2805"/>
      <c r="TCX75" s="2805"/>
      <c r="TCY75" s="2805"/>
      <c r="TCZ75" s="2805"/>
      <c r="TDA75" s="2805"/>
      <c r="TDB75" s="2805"/>
      <c r="TDC75" s="2805"/>
      <c r="TDD75" s="2805"/>
      <c r="TDE75" s="2805"/>
      <c r="TDF75" s="2805"/>
      <c r="TDG75" s="2805"/>
      <c r="TDH75" s="2805"/>
      <c r="TDI75" s="2805"/>
      <c r="TDJ75" s="2805"/>
      <c r="TDK75" s="2805"/>
      <c r="TDL75" s="2805"/>
      <c r="TDM75" s="2805"/>
      <c r="TDN75" s="2805"/>
      <c r="TDO75" s="2805"/>
      <c r="TDP75" s="2805"/>
      <c r="TDQ75" s="2805"/>
      <c r="TDR75" s="2805"/>
      <c r="TDS75" s="2805"/>
      <c r="TDT75" s="2805"/>
      <c r="TDU75" s="2805"/>
      <c r="TDV75" s="2805"/>
      <c r="TDW75" s="2805"/>
      <c r="TDX75" s="2805"/>
      <c r="TDY75" s="2805"/>
      <c r="TDZ75" s="2805"/>
      <c r="TEA75" s="2805"/>
      <c r="TEB75" s="2805"/>
      <c r="TEC75" s="2805"/>
      <c r="TED75" s="2805"/>
      <c r="TEE75" s="2805"/>
      <c r="TEF75" s="2805"/>
      <c r="TEG75" s="2805"/>
      <c r="TEH75" s="2805"/>
      <c r="TEI75" s="2805"/>
      <c r="TEJ75" s="2805"/>
      <c r="TEK75" s="2805"/>
      <c r="TEL75" s="2805"/>
      <c r="TEM75" s="2805"/>
      <c r="TEN75" s="2805"/>
      <c r="TEO75" s="2805"/>
      <c r="TEP75" s="2805"/>
      <c r="TEQ75" s="2805"/>
      <c r="TER75" s="2805"/>
      <c r="TES75" s="2805"/>
      <c r="TET75" s="2805"/>
      <c r="TEU75" s="2805"/>
      <c r="TEV75" s="2805"/>
      <c r="TEW75" s="2805"/>
      <c r="TEX75" s="2805"/>
      <c r="TEY75" s="2805"/>
      <c r="TEZ75" s="2805"/>
      <c r="TFA75" s="2805"/>
      <c r="TFB75" s="2805"/>
      <c r="TFC75" s="2805"/>
      <c r="TFD75" s="2805"/>
      <c r="TFE75" s="2805"/>
      <c r="TFF75" s="2805"/>
      <c r="TFG75" s="2805"/>
      <c r="TFH75" s="2805"/>
      <c r="TFI75" s="2805"/>
      <c r="TFJ75" s="2805"/>
      <c r="TFK75" s="2805"/>
      <c r="TFL75" s="2805"/>
      <c r="TFM75" s="2805"/>
      <c r="TFN75" s="2805"/>
      <c r="TFO75" s="2805"/>
      <c r="TFP75" s="2805"/>
      <c r="TFQ75" s="2805"/>
      <c r="TFR75" s="2805"/>
      <c r="TFS75" s="2805"/>
      <c r="TFT75" s="2805"/>
      <c r="TFU75" s="2805"/>
      <c r="TFV75" s="2805"/>
      <c r="TFW75" s="2805"/>
      <c r="TFX75" s="2805"/>
      <c r="TFY75" s="2805"/>
      <c r="TFZ75" s="2805"/>
      <c r="TGA75" s="2805"/>
      <c r="TGB75" s="2805"/>
      <c r="TGC75" s="2805"/>
      <c r="TGD75" s="2805"/>
      <c r="TGE75" s="2805"/>
      <c r="TGF75" s="2805"/>
      <c r="TGG75" s="2805"/>
      <c r="TGH75" s="2805"/>
      <c r="TGI75" s="2805"/>
      <c r="TGJ75" s="2805"/>
      <c r="TGK75" s="2805"/>
      <c r="TGL75" s="2805"/>
      <c r="TGM75" s="2805"/>
      <c r="TGN75" s="2805"/>
      <c r="TGO75" s="2805"/>
      <c r="TGP75" s="2805"/>
      <c r="TGQ75" s="2805"/>
      <c r="TGR75" s="2805"/>
      <c r="TGS75" s="2805"/>
      <c r="TGT75" s="2805"/>
      <c r="TGU75" s="2805"/>
      <c r="TGV75" s="2805"/>
      <c r="TGW75" s="2805"/>
      <c r="TGX75" s="2805"/>
      <c r="TGY75" s="2805"/>
      <c r="TGZ75" s="2805"/>
      <c r="THA75" s="2805"/>
      <c r="THB75" s="2805"/>
      <c r="THC75" s="2805"/>
      <c r="THD75" s="2805"/>
      <c r="THE75" s="2805"/>
      <c r="THF75" s="2805"/>
      <c r="THG75" s="2805"/>
      <c r="THH75" s="2805"/>
      <c r="THI75" s="2805"/>
      <c r="THJ75" s="2805"/>
      <c r="THK75" s="2805"/>
      <c r="THL75" s="2805"/>
      <c r="THM75" s="2805"/>
      <c r="THN75" s="2805"/>
      <c r="THO75" s="2805"/>
      <c r="THP75" s="2805"/>
      <c r="THQ75" s="2805"/>
      <c r="THR75" s="2805"/>
      <c r="THS75" s="2805"/>
      <c r="THT75" s="2805"/>
      <c r="THU75" s="2805"/>
      <c r="THV75" s="2805"/>
      <c r="THW75" s="2805"/>
      <c r="THX75" s="2805"/>
      <c r="THY75" s="2805"/>
      <c r="THZ75" s="2805"/>
      <c r="TIA75" s="2805"/>
      <c r="TIB75" s="2805"/>
      <c r="TIC75" s="2805"/>
      <c r="TID75" s="2805"/>
      <c r="TIE75" s="2805"/>
      <c r="TIF75" s="2805"/>
      <c r="TIG75" s="2805"/>
      <c r="TIH75" s="2805"/>
      <c r="TII75" s="2805"/>
      <c r="TIJ75" s="2805"/>
      <c r="TIK75" s="2805"/>
      <c r="TIL75" s="2805"/>
      <c r="TIM75" s="2805"/>
      <c r="TIN75" s="2805"/>
      <c r="TIO75" s="2805"/>
      <c r="TIP75" s="2805"/>
      <c r="TIQ75" s="2805"/>
      <c r="TIR75" s="2805"/>
      <c r="TIS75" s="2805"/>
      <c r="TIT75" s="2805"/>
      <c r="TIU75" s="2805"/>
      <c r="TIV75" s="2805"/>
      <c r="TIW75" s="2805"/>
      <c r="TIX75" s="2805"/>
      <c r="TIY75" s="2805"/>
      <c r="TIZ75" s="2805"/>
      <c r="TJA75" s="2805"/>
      <c r="TJB75" s="2805"/>
      <c r="TJC75" s="2805"/>
      <c r="TJD75" s="2805"/>
      <c r="TJE75" s="2805"/>
      <c r="TJF75" s="2805"/>
      <c r="TJG75" s="2805"/>
      <c r="TJH75" s="2805"/>
      <c r="TJI75" s="2805"/>
      <c r="TJJ75" s="2805"/>
      <c r="TJK75" s="2805"/>
      <c r="TJL75" s="2805"/>
      <c r="TJM75" s="2805"/>
      <c r="TJN75" s="2805"/>
      <c r="TJO75" s="2805"/>
      <c r="TJP75" s="2805"/>
      <c r="TJQ75" s="2805"/>
      <c r="TJR75" s="2805"/>
      <c r="TJS75" s="2805"/>
      <c r="TJT75" s="2805"/>
      <c r="TJU75" s="2805"/>
      <c r="TJV75" s="2805"/>
      <c r="TJW75" s="2805"/>
      <c r="TJX75" s="2805"/>
      <c r="TJY75" s="2805"/>
      <c r="TJZ75" s="2805"/>
      <c r="TKA75" s="2805"/>
      <c r="TKB75" s="2805"/>
      <c r="TKC75" s="2805"/>
      <c r="TKD75" s="2805"/>
      <c r="TKE75" s="2805"/>
      <c r="TKF75" s="2805"/>
      <c r="TKG75" s="2805"/>
      <c r="TKH75" s="2805"/>
      <c r="TKI75" s="2805"/>
      <c r="TKJ75" s="2805"/>
      <c r="TKK75" s="2805"/>
      <c r="TKL75" s="2805"/>
      <c r="TKM75" s="2805"/>
      <c r="TKN75" s="2805"/>
      <c r="TKO75" s="2805"/>
      <c r="TKP75" s="2805"/>
      <c r="TKQ75" s="2805"/>
      <c r="TKR75" s="2805"/>
      <c r="TKS75" s="2805"/>
      <c r="TKT75" s="2805"/>
      <c r="TKU75" s="2805"/>
      <c r="TKV75" s="2805"/>
      <c r="TKW75" s="2805"/>
      <c r="TKX75" s="2805"/>
      <c r="TKY75" s="2805"/>
      <c r="TKZ75" s="2805"/>
      <c r="TLA75" s="2805"/>
      <c r="TLB75" s="2805"/>
      <c r="TLC75" s="2805"/>
      <c r="TLD75" s="2805"/>
      <c r="TLE75" s="2805"/>
      <c r="TLF75" s="2805"/>
      <c r="TLG75" s="2805"/>
      <c r="TLH75" s="2805"/>
      <c r="TLI75" s="2805"/>
      <c r="TLJ75" s="2805"/>
      <c r="TLK75" s="2805"/>
      <c r="TLL75" s="2805"/>
      <c r="TLM75" s="2805"/>
      <c r="TLN75" s="2805"/>
      <c r="TLO75" s="2805"/>
      <c r="TLP75" s="2805"/>
      <c r="TLQ75" s="2805"/>
      <c r="TLR75" s="2805"/>
      <c r="TLS75" s="2805"/>
      <c r="TLT75" s="2805"/>
      <c r="TLU75" s="2805"/>
      <c r="TLV75" s="2805"/>
      <c r="TLW75" s="2805"/>
      <c r="TLX75" s="2805"/>
      <c r="TLY75" s="2805"/>
      <c r="TLZ75" s="2805"/>
      <c r="TMA75" s="2805"/>
      <c r="TMB75" s="2805"/>
      <c r="TMC75" s="2805"/>
      <c r="TMD75" s="2805"/>
      <c r="TME75" s="2805"/>
      <c r="TMF75" s="2805"/>
      <c r="TMG75" s="2805"/>
      <c r="TMH75" s="2805"/>
      <c r="TMI75" s="2805"/>
      <c r="TMJ75" s="2805"/>
      <c r="TMK75" s="2805"/>
      <c r="TML75" s="2805"/>
      <c r="TMM75" s="2805"/>
      <c r="TMN75" s="2805"/>
      <c r="TMO75" s="2805"/>
      <c r="TMP75" s="2805"/>
      <c r="TMQ75" s="2805"/>
      <c r="TMR75" s="2805"/>
      <c r="TMS75" s="2805"/>
      <c r="TMT75" s="2805"/>
      <c r="TMU75" s="2805"/>
      <c r="TMV75" s="2805"/>
      <c r="TMW75" s="2805"/>
      <c r="TMX75" s="2805"/>
      <c r="TMY75" s="2805"/>
      <c r="TMZ75" s="2805"/>
      <c r="TNA75" s="2805"/>
      <c r="TNB75" s="2805"/>
      <c r="TNC75" s="2805"/>
      <c r="TND75" s="2805"/>
      <c r="TNE75" s="2805"/>
      <c r="TNF75" s="2805"/>
      <c r="TNG75" s="2805"/>
      <c r="TNH75" s="2805"/>
      <c r="TNI75" s="2805"/>
      <c r="TNJ75" s="2805"/>
      <c r="TNK75" s="2805"/>
      <c r="TNL75" s="2805"/>
      <c r="TNM75" s="2805"/>
      <c r="TNN75" s="2805"/>
      <c r="TNO75" s="2805"/>
      <c r="TNP75" s="2805"/>
      <c r="TNQ75" s="2805"/>
      <c r="TNR75" s="2805"/>
      <c r="TNS75" s="2805"/>
      <c r="TNT75" s="2805"/>
      <c r="TNU75" s="2805"/>
      <c r="TNV75" s="2805"/>
      <c r="TNW75" s="2805"/>
      <c r="TNX75" s="2805"/>
      <c r="TNY75" s="2805"/>
      <c r="TNZ75" s="2805"/>
      <c r="TOA75" s="2805"/>
      <c r="TOB75" s="2805"/>
      <c r="TOC75" s="2805"/>
      <c r="TOD75" s="2805"/>
      <c r="TOE75" s="2805"/>
      <c r="TOF75" s="2805"/>
      <c r="TOG75" s="2805"/>
      <c r="TOH75" s="2805"/>
      <c r="TOI75" s="2805"/>
      <c r="TOJ75" s="2805"/>
      <c r="TOK75" s="2805"/>
      <c r="TOL75" s="2805"/>
      <c r="TOM75" s="2805"/>
      <c r="TON75" s="2805"/>
      <c r="TOO75" s="2805"/>
      <c r="TOP75" s="2805"/>
      <c r="TOQ75" s="2805"/>
      <c r="TOR75" s="2805"/>
      <c r="TOS75" s="2805"/>
      <c r="TOT75" s="2805"/>
      <c r="TOU75" s="2805"/>
      <c r="TOV75" s="2805"/>
      <c r="TOW75" s="2805"/>
      <c r="TOX75" s="2805"/>
      <c r="TOY75" s="2805"/>
      <c r="TOZ75" s="2805"/>
      <c r="TPA75" s="2805"/>
      <c r="TPB75" s="2805"/>
      <c r="TPC75" s="2805"/>
      <c r="TPD75" s="2805"/>
      <c r="TPE75" s="2805"/>
      <c r="TPF75" s="2805"/>
      <c r="TPG75" s="2805"/>
      <c r="TPH75" s="2805"/>
      <c r="TPI75" s="2805"/>
      <c r="TPJ75" s="2805"/>
      <c r="TPK75" s="2805"/>
      <c r="TPL75" s="2805"/>
      <c r="TPM75" s="2805"/>
      <c r="TPN75" s="2805"/>
      <c r="TPO75" s="2805"/>
      <c r="TPP75" s="2805"/>
      <c r="TPQ75" s="2805"/>
      <c r="TPR75" s="2805"/>
      <c r="TPS75" s="2805"/>
      <c r="TPT75" s="2805"/>
      <c r="TPU75" s="2805"/>
      <c r="TPV75" s="2805"/>
      <c r="TPW75" s="2805"/>
      <c r="TPX75" s="2805"/>
      <c r="TPY75" s="2805"/>
      <c r="TPZ75" s="2805"/>
      <c r="TQA75" s="2805"/>
      <c r="TQB75" s="2805"/>
      <c r="TQC75" s="2805"/>
      <c r="TQD75" s="2805"/>
      <c r="TQE75" s="2805"/>
      <c r="TQF75" s="2805"/>
      <c r="TQG75" s="2805"/>
      <c r="TQH75" s="2805"/>
      <c r="TQI75" s="2805"/>
      <c r="TQJ75" s="2805"/>
      <c r="TQK75" s="2805"/>
      <c r="TQL75" s="2805"/>
      <c r="TQM75" s="2805"/>
      <c r="TQN75" s="2805"/>
      <c r="TQO75" s="2805"/>
      <c r="TQP75" s="2805"/>
      <c r="TQQ75" s="2805"/>
      <c r="TQR75" s="2805"/>
      <c r="TQS75" s="2805"/>
      <c r="TQT75" s="2805"/>
      <c r="TQU75" s="2805"/>
      <c r="TQV75" s="2805"/>
      <c r="TQW75" s="2805"/>
      <c r="TQX75" s="2805"/>
      <c r="TQY75" s="2805"/>
      <c r="TQZ75" s="2805"/>
      <c r="TRA75" s="2805"/>
      <c r="TRB75" s="2805"/>
      <c r="TRC75" s="2805"/>
      <c r="TRD75" s="2805"/>
      <c r="TRE75" s="2805"/>
      <c r="TRF75" s="2805"/>
      <c r="TRG75" s="2805"/>
      <c r="TRH75" s="2805"/>
      <c r="TRI75" s="2805"/>
      <c r="TRJ75" s="2805"/>
      <c r="TRK75" s="2805"/>
      <c r="TRL75" s="2805"/>
      <c r="TRM75" s="2805"/>
      <c r="TRN75" s="2805"/>
      <c r="TRO75" s="2805"/>
      <c r="TRP75" s="2805"/>
      <c r="TRQ75" s="2805"/>
      <c r="TRR75" s="2805"/>
      <c r="TRS75" s="2805"/>
      <c r="TRT75" s="2805"/>
      <c r="TRU75" s="2805"/>
      <c r="TRV75" s="2805"/>
      <c r="TRW75" s="2805"/>
      <c r="TRX75" s="2805"/>
      <c r="TRY75" s="2805"/>
      <c r="TRZ75" s="2805"/>
      <c r="TSA75" s="2805"/>
      <c r="TSB75" s="2805"/>
      <c r="TSC75" s="2805"/>
      <c r="TSD75" s="2805"/>
      <c r="TSE75" s="2805"/>
      <c r="TSF75" s="2805"/>
      <c r="TSG75" s="2805"/>
      <c r="TSH75" s="2805"/>
      <c r="TSI75" s="2805"/>
      <c r="TSJ75" s="2805"/>
      <c r="TSK75" s="2805"/>
      <c r="TSL75" s="2805"/>
      <c r="TSM75" s="2805"/>
      <c r="TSN75" s="2805"/>
      <c r="TSO75" s="2805"/>
      <c r="TSP75" s="2805"/>
      <c r="TSQ75" s="2805"/>
      <c r="TSR75" s="2805"/>
      <c r="TSS75" s="2805"/>
      <c r="TST75" s="2805"/>
      <c r="TSU75" s="2805"/>
      <c r="TSV75" s="2805"/>
      <c r="TSW75" s="2805"/>
      <c r="TSX75" s="2805"/>
      <c r="TSY75" s="2805"/>
      <c r="TSZ75" s="2805"/>
      <c r="TTA75" s="2805"/>
      <c r="TTB75" s="2805"/>
      <c r="TTC75" s="2805"/>
      <c r="TTD75" s="2805"/>
      <c r="TTE75" s="2805"/>
      <c r="TTF75" s="2805"/>
      <c r="TTG75" s="2805"/>
      <c r="TTH75" s="2805"/>
      <c r="TTI75" s="2805"/>
      <c r="TTJ75" s="2805"/>
      <c r="TTK75" s="2805"/>
      <c r="TTL75" s="2805"/>
      <c r="TTM75" s="2805"/>
      <c r="TTN75" s="2805"/>
      <c r="TTO75" s="2805"/>
      <c r="TTP75" s="2805"/>
      <c r="TTQ75" s="2805"/>
      <c r="TTR75" s="2805"/>
      <c r="TTS75" s="2805"/>
      <c r="TTT75" s="2805"/>
      <c r="TTU75" s="2805"/>
      <c r="TTV75" s="2805"/>
      <c r="TTW75" s="2805"/>
      <c r="TTX75" s="2805"/>
      <c r="TTY75" s="2805"/>
      <c r="TTZ75" s="2805"/>
      <c r="TUA75" s="2805"/>
      <c r="TUB75" s="2805"/>
      <c r="TUC75" s="2805"/>
      <c r="TUD75" s="2805"/>
      <c r="TUE75" s="2805"/>
      <c r="TUF75" s="2805"/>
      <c r="TUG75" s="2805"/>
      <c r="TUH75" s="2805"/>
      <c r="TUI75" s="2805"/>
      <c r="TUJ75" s="2805"/>
      <c r="TUK75" s="2805"/>
      <c r="TUL75" s="2805"/>
      <c r="TUM75" s="2805"/>
      <c r="TUN75" s="2805"/>
      <c r="TUO75" s="2805"/>
      <c r="TUP75" s="2805"/>
      <c r="TUQ75" s="2805"/>
      <c r="TUR75" s="2805"/>
      <c r="TUS75" s="2805"/>
      <c r="TUT75" s="2805"/>
      <c r="TUU75" s="2805"/>
      <c r="TUV75" s="2805"/>
      <c r="TUW75" s="2805"/>
      <c r="TUX75" s="2805"/>
      <c r="TUY75" s="2805"/>
      <c r="TUZ75" s="2805"/>
      <c r="TVA75" s="2805"/>
      <c r="TVB75" s="2805"/>
      <c r="TVC75" s="2805"/>
      <c r="TVD75" s="2805"/>
      <c r="TVE75" s="2805"/>
      <c r="TVF75" s="2805"/>
      <c r="TVG75" s="2805"/>
      <c r="TVH75" s="2805"/>
      <c r="TVI75" s="2805"/>
      <c r="TVJ75" s="2805"/>
      <c r="TVK75" s="2805"/>
      <c r="TVL75" s="2805"/>
      <c r="TVM75" s="2805"/>
      <c r="TVN75" s="2805"/>
      <c r="TVO75" s="2805"/>
      <c r="TVP75" s="2805"/>
      <c r="TVQ75" s="2805"/>
      <c r="TVR75" s="2805"/>
      <c r="TVS75" s="2805"/>
      <c r="TVT75" s="2805"/>
      <c r="TVU75" s="2805"/>
      <c r="TVV75" s="2805"/>
      <c r="TVW75" s="2805"/>
      <c r="TVX75" s="2805"/>
      <c r="TVY75" s="2805"/>
      <c r="TVZ75" s="2805"/>
      <c r="TWA75" s="2805"/>
      <c r="TWB75" s="2805"/>
      <c r="TWC75" s="2805"/>
      <c r="TWD75" s="2805"/>
      <c r="TWE75" s="2805"/>
      <c r="TWF75" s="2805"/>
      <c r="TWG75" s="2805"/>
      <c r="TWH75" s="2805"/>
      <c r="TWI75" s="2805"/>
      <c r="TWJ75" s="2805"/>
      <c r="TWK75" s="2805"/>
      <c r="TWL75" s="2805"/>
      <c r="TWM75" s="2805"/>
      <c r="TWN75" s="2805"/>
      <c r="TWO75" s="2805"/>
      <c r="TWP75" s="2805"/>
      <c r="TWQ75" s="2805"/>
      <c r="TWR75" s="2805"/>
      <c r="TWS75" s="2805"/>
      <c r="TWT75" s="2805"/>
      <c r="TWU75" s="2805"/>
      <c r="TWV75" s="2805"/>
      <c r="TWW75" s="2805"/>
      <c r="TWX75" s="2805"/>
      <c r="TWY75" s="2805"/>
      <c r="TWZ75" s="2805"/>
      <c r="TXA75" s="2805"/>
      <c r="TXB75" s="2805"/>
      <c r="TXC75" s="2805"/>
      <c r="TXD75" s="2805"/>
      <c r="TXE75" s="2805"/>
      <c r="TXF75" s="2805"/>
      <c r="TXG75" s="2805"/>
      <c r="TXH75" s="2805"/>
      <c r="TXI75" s="2805"/>
      <c r="TXJ75" s="2805"/>
      <c r="TXK75" s="2805"/>
      <c r="TXL75" s="2805"/>
      <c r="TXM75" s="2805"/>
      <c r="TXN75" s="2805"/>
      <c r="TXO75" s="2805"/>
      <c r="TXP75" s="2805"/>
      <c r="TXQ75" s="2805"/>
      <c r="TXR75" s="2805"/>
      <c r="TXS75" s="2805"/>
      <c r="TXT75" s="2805"/>
      <c r="TXU75" s="2805"/>
      <c r="TXV75" s="2805"/>
      <c r="TXW75" s="2805"/>
      <c r="TXX75" s="2805"/>
      <c r="TXY75" s="2805"/>
      <c r="TXZ75" s="2805"/>
      <c r="TYA75" s="2805"/>
      <c r="TYB75" s="2805"/>
      <c r="TYC75" s="2805"/>
      <c r="TYD75" s="2805"/>
      <c r="TYE75" s="2805"/>
      <c r="TYF75" s="2805"/>
      <c r="TYG75" s="2805"/>
      <c r="TYH75" s="2805"/>
      <c r="TYI75" s="2805"/>
      <c r="TYJ75" s="2805"/>
      <c r="TYK75" s="2805"/>
      <c r="TYL75" s="2805"/>
      <c r="TYM75" s="2805"/>
      <c r="TYN75" s="2805"/>
      <c r="TYO75" s="2805"/>
      <c r="TYP75" s="2805"/>
      <c r="TYQ75" s="2805"/>
      <c r="TYR75" s="2805"/>
      <c r="TYS75" s="2805"/>
      <c r="TYT75" s="2805"/>
      <c r="TYU75" s="2805"/>
      <c r="TYV75" s="2805"/>
      <c r="TYW75" s="2805"/>
      <c r="TYX75" s="2805"/>
      <c r="TYY75" s="2805"/>
      <c r="TYZ75" s="2805"/>
      <c r="TZA75" s="2805"/>
      <c r="TZB75" s="2805"/>
      <c r="TZC75" s="2805"/>
      <c r="TZD75" s="2805"/>
      <c r="TZE75" s="2805"/>
      <c r="TZF75" s="2805"/>
      <c r="TZG75" s="2805"/>
      <c r="TZH75" s="2805"/>
      <c r="TZI75" s="2805"/>
      <c r="TZJ75" s="2805"/>
      <c r="TZK75" s="2805"/>
      <c r="TZL75" s="2805"/>
      <c r="TZM75" s="2805"/>
      <c r="TZN75" s="2805"/>
      <c r="TZO75" s="2805"/>
      <c r="TZP75" s="2805"/>
      <c r="TZQ75" s="2805"/>
      <c r="TZR75" s="2805"/>
      <c r="TZS75" s="2805"/>
      <c r="TZT75" s="2805"/>
      <c r="TZU75" s="2805"/>
      <c r="TZV75" s="2805"/>
      <c r="TZW75" s="2805"/>
      <c r="TZX75" s="2805"/>
      <c r="TZY75" s="2805"/>
      <c r="TZZ75" s="2805"/>
      <c r="UAA75" s="2805"/>
      <c r="UAB75" s="2805"/>
      <c r="UAC75" s="2805"/>
      <c r="UAD75" s="2805"/>
      <c r="UAE75" s="2805"/>
      <c r="UAF75" s="2805"/>
      <c r="UAG75" s="2805"/>
      <c r="UAH75" s="2805"/>
      <c r="UAI75" s="2805"/>
      <c r="UAJ75" s="2805"/>
      <c r="UAK75" s="2805"/>
      <c r="UAL75" s="2805"/>
      <c r="UAM75" s="2805"/>
      <c r="UAN75" s="2805"/>
      <c r="UAO75" s="2805"/>
      <c r="UAP75" s="2805"/>
      <c r="UAQ75" s="2805"/>
      <c r="UAR75" s="2805"/>
      <c r="UAS75" s="2805"/>
      <c r="UAT75" s="2805"/>
      <c r="UAU75" s="2805"/>
      <c r="UAV75" s="2805"/>
      <c r="UAW75" s="2805"/>
      <c r="UAX75" s="2805"/>
      <c r="UAY75" s="2805"/>
      <c r="UAZ75" s="2805"/>
      <c r="UBA75" s="2805"/>
      <c r="UBB75" s="2805"/>
      <c r="UBC75" s="2805"/>
      <c r="UBD75" s="2805"/>
      <c r="UBE75" s="2805"/>
      <c r="UBF75" s="2805"/>
      <c r="UBG75" s="2805"/>
      <c r="UBH75" s="2805"/>
      <c r="UBI75" s="2805"/>
      <c r="UBJ75" s="2805"/>
      <c r="UBK75" s="2805"/>
      <c r="UBL75" s="2805"/>
      <c r="UBM75" s="2805"/>
      <c r="UBN75" s="2805"/>
      <c r="UBO75" s="2805"/>
      <c r="UBP75" s="2805"/>
      <c r="UBQ75" s="2805"/>
      <c r="UBR75" s="2805"/>
      <c r="UBS75" s="2805"/>
      <c r="UBT75" s="2805"/>
      <c r="UBU75" s="2805"/>
      <c r="UBV75" s="2805"/>
      <c r="UBW75" s="2805"/>
      <c r="UBX75" s="2805"/>
      <c r="UBY75" s="2805"/>
      <c r="UBZ75" s="2805"/>
      <c r="UCA75" s="2805"/>
      <c r="UCB75" s="2805"/>
      <c r="UCC75" s="2805"/>
      <c r="UCD75" s="2805"/>
      <c r="UCE75" s="2805"/>
      <c r="UCF75" s="2805"/>
      <c r="UCG75" s="2805"/>
      <c r="UCH75" s="2805"/>
      <c r="UCI75" s="2805"/>
      <c r="UCJ75" s="2805"/>
      <c r="UCK75" s="2805"/>
      <c r="UCL75" s="2805"/>
      <c r="UCM75" s="2805"/>
      <c r="UCN75" s="2805"/>
      <c r="UCO75" s="2805"/>
      <c r="UCP75" s="2805"/>
      <c r="UCQ75" s="2805"/>
      <c r="UCR75" s="2805"/>
      <c r="UCS75" s="2805"/>
      <c r="UCT75" s="2805"/>
      <c r="UCU75" s="2805"/>
      <c r="UCV75" s="2805"/>
      <c r="UCW75" s="2805"/>
      <c r="UCX75" s="2805"/>
      <c r="UCY75" s="2805"/>
      <c r="UCZ75" s="2805"/>
      <c r="UDA75" s="2805"/>
      <c r="UDB75" s="2805"/>
      <c r="UDC75" s="2805"/>
      <c r="UDD75" s="2805"/>
      <c r="UDE75" s="2805"/>
      <c r="UDF75" s="2805"/>
      <c r="UDG75" s="2805"/>
      <c r="UDH75" s="2805"/>
      <c r="UDI75" s="2805"/>
      <c r="UDJ75" s="2805"/>
      <c r="UDK75" s="2805"/>
      <c r="UDL75" s="2805"/>
      <c r="UDM75" s="2805"/>
      <c r="UDN75" s="2805"/>
      <c r="UDO75" s="2805"/>
      <c r="UDP75" s="2805"/>
      <c r="UDQ75" s="2805"/>
      <c r="UDR75" s="2805"/>
      <c r="UDS75" s="2805"/>
      <c r="UDT75" s="2805"/>
      <c r="UDU75" s="2805"/>
      <c r="UDV75" s="2805"/>
      <c r="UDW75" s="2805"/>
      <c r="UDX75" s="2805"/>
      <c r="UDY75" s="2805"/>
      <c r="UDZ75" s="2805"/>
      <c r="UEA75" s="2805"/>
      <c r="UEB75" s="2805"/>
      <c r="UEC75" s="2805"/>
      <c r="UED75" s="2805"/>
      <c r="UEE75" s="2805"/>
      <c r="UEF75" s="2805"/>
      <c r="UEG75" s="2805"/>
      <c r="UEH75" s="2805"/>
      <c r="UEI75" s="2805"/>
      <c r="UEJ75" s="2805"/>
      <c r="UEK75" s="2805"/>
      <c r="UEL75" s="2805"/>
      <c r="UEM75" s="2805"/>
      <c r="UEN75" s="2805"/>
      <c r="UEO75" s="2805"/>
      <c r="UEP75" s="2805"/>
      <c r="UEQ75" s="2805"/>
      <c r="UER75" s="2805"/>
      <c r="UES75" s="2805"/>
      <c r="UET75" s="2805"/>
      <c r="UEU75" s="2805"/>
      <c r="UEV75" s="2805"/>
      <c r="UEW75" s="2805"/>
      <c r="UEX75" s="2805"/>
      <c r="UEY75" s="2805"/>
      <c r="UEZ75" s="2805"/>
      <c r="UFA75" s="2805"/>
      <c r="UFB75" s="2805"/>
      <c r="UFC75" s="2805"/>
      <c r="UFD75" s="2805"/>
      <c r="UFE75" s="2805"/>
      <c r="UFF75" s="2805"/>
      <c r="UFG75" s="2805"/>
      <c r="UFH75" s="2805"/>
      <c r="UFI75" s="2805"/>
      <c r="UFJ75" s="2805"/>
      <c r="UFK75" s="2805"/>
      <c r="UFL75" s="2805"/>
      <c r="UFM75" s="2805"/>
      <c r="UFN75" s="2805"/>
      <c r="UFO75" s="2805"/>
      <c r="UFP75" s="2805"/>
      <c r="UFQ75" s="2805"/>
      <c r="UFR75" s="2805"/>
      <c r="UFS75" s="2805"/>
      <c r="UFT75" s="2805"/>
      <c r="UFU75" s="2805"/>
      <c r="UFV75" s="2805"/>
      <c r="UFW75" s="2805"/>
      <c r="UFX75" s="2805"/>
      <c r="UFY75" s="2805"/>
      <c r="UFZ75" s="2805"/>
      <c r="UGA75" s="2805"/>
      <c r="UGB75" s="2805"/>
      <c r="UGC75" s="2805"/>
      <c r="UGD75" s="2805"/>
      <c r="UGE75" s="2805"/>
      <c r="UGF75" s="2805"/>
      <c r="UGG75" s="2805"/>
      <c r="UGH75" s="2805"/>
      <c r="UGI75" s="2805"/>
      <c r="UGJ75" s="2805"/>
      <c r="UGK75" s="2805"/>
      <c r="UGL75" s="2805"/>
      <c r="UGM75" s="2805"/>
      <c r="UGN75" s="2805"/>
      <c r="UGO75" s="2805"/>
      <c r="UGP75" s="2805"/>
      <c r="UGQ75" s="2805"/>
      <c r="UGR75" s="2805"/>
      <c r="UGS75" s="2805"/>
      <c r="UGT75" s="2805"/>
      <c r="UGU75" s="2805"/>
      <c r="UGV75" s="2805"/>
      <c r="UGW75" s="2805"/>
      <c r="UGX75" s="2805"/>
      <c r="UGY75" s="2805"/>
      <c r="UGZ75" s="2805"/>
      <c r="UHA75" s="2805"/>
      <c r="UHB75" s="2805"/>
      <c r="UHC75" s="2805"/>
      <c r="UHD75" s="2805"/>
      <c r="UHE75" s="2805"/>
      <c r="UHF75" s="2805"/>
      <c r="UHG75" s="2805"/>
      <c r="UHH75" s="2805"/>
      <c r="UHI75" s="2805"/>
      <c r="UHJ75" s="2805"/>
      <c r="UHK75" s="2805"/>
      <c r="UHL75" s="2805"/>
      <c r="UHM75" s="2805"/>
      <c r="UHN75" s="2805"/>
      <c r="UHO75" s="2805"/>
      <c r="UHP75" s="2805"/>
      <c r="UHQ75" s="2805"/>
      <c r="UHR75" s="2805"/>
      <c r="UHS75" s="2805"/>
      <c r="UHT75" s="2805"/>
      <c r="UHU75" s="2805"/>
      <c r="UHV75" s="2805"/>
      <c r="UHW75" s="2805"/>
      <c r="UHX75" s="2805"/>
      <c r="UHY75" s="2805"/>
      <c r="UHZ75" s="2805"/>
      <c r="UIA75" s="2805"/>
      <c r="UIB75" s="2805"/>
      <c r="UIC75" s="2805"/>
      <c r="UID75" s="2805"/>
      <c r="UIE75" s="2805"/>
      <c r="UIF75" s="2805"/>
      <c r="UIG75" s="2805"/>
      <c r="UIH75" s="2805"/>
      <c r="UII75" s="2805"/>
      <c r="UIJ75" s="2805"/>
      <c r="UIK75" s="2805"/>
      <c r="UIL75" s="2805"/>
      <c r="UIM75" s="2805"/>
      <c r="UIN75" s="2805"/>
      <c r="UIO75" s="2805"/>
      <c r="UIP75" s="2805"/>
      <c r="UIQ75" s="2805"/>
      <c r="UIR75" s="2805"/>
      <c r="UIS75" s="2805"/>
      <c r="UIT75" s="2805"/>
      <c r="UIU75" s="2805"/>
      <c r="UIV75" s="2805"/>
      <c r="UIW75" s="2805"/>
      <c r="UIX75" s="2805"/>
      <c r="UIY75" s="2805"/>
      <c r="UIZ75" s="2805"/>
      <c r="UJA75" s="2805"/>
      <c r="UJB75" s="2805"/>
      <c r="UJC75" s="2805"/>
      <c r="UJD75" s="2805"/>
      <c r="UJE75" s="2805"/>
      <c r="UJF75" s="2805"/>
      <c r="UJG75" s="2805"/>
      <c r="UJH75" s="2805"/>
      <c r="UJI75" s="2805"/>
      <c r="UJJ75" s="2805"/>
      <c r="UJK75" s="2805"/>
      <c r="UJL75" s="2805"/>
      <c r="UJM75" s="2805"/>
      <c r="UJN75" s="2805"/>
      <c r="UJO75" s="2805"/>
      <c r="UJP75" s="2805"/>
      <c r="UJQ75" s="2805"/>
      <c r="UJR75" s="2805"/>
      <c r="UJS75" s="2805"/>
      <c r="UJT75" s="2805"/>
      <c r="UJU75" s="2805"/>
      <c r="UJV75" s="2805"/>
      <c r="UJW75" s="2805"/>
      <c r="UJX75" s="2805"/>
      <c r="UJY75" s="2805"/>
      <c r="UJZ75" s="2805"/>
      <c r="UKA75" s="2805"/>
      <c r="UKB75" s="2805"/>
      <c r="UKC75" s="2805"/>
      <c r="UKD75" s="2805"/>
      <c r="UKE75" s="2805"/>
      <c r="UKF75" s="2805"/>
      <c r="UKG75" s="2805"/>
      <c r="UKH75" s="2805"/>
      <c r="UKI75" s="2805"/>
      <c r="UKJ75" s="2805"/>
      <c r="UKK75" s="2805"/>
      <c r="UKL75" s="2805"/>
      <c r="UKM75" s="2805"/>
      <c r="UKN75" s="2805"/>
      <c r="UKO75" s="2805"/>
      <c r="UKP75" s="2805"/>
      <c r="UKQ75" s="2805"/>
      <c r="UKR75" s="2805"/>
      <c r="UKS75" s="2805"/>
      <c r="UKT75" s="2805"/>
      <c r="UKU75" s="2805"/>
      <c r="UKV75" s="2805"/>
      <c r="UKW75" s="2805"/>
      <c r="UKX75" s="2805"/>
      <c r="UKY75" s="2805"/>
      <c r="UKZ75" s="2805"/>
      <c r="ULA75" s="2805"/>
      <c r="ULB75" s="2805"/>
      <c r="ULC75" s="2805"/>
      <c r="ULD75" s="2805"/>
      <c r="ULE75" s="2805"/>
      <c r="ULF75" s="2805"/>
      <c r="ULG75" s="2805"/>
      <c r="ULH75" s="2805"/>
      <c r="ULI75" s="2805"/>
      <c r="ULJ75" s="2805"/>
      <c r="ULK75" s="2805"/>
      <c r="ULL75" s="2805"/>
      <c r="ULM75" s="2805"/>
      <c r="ULN75" s="2805"/>
      <c r="ULO75" s="2805"/>
      <c r="ULP75" s="2805"/>
      <c r="ULQ75" s="2805"/>
      <c r="ULR75" s="2805"/>
      <c r="ULS75" s="2805"/>
      <c r="ULT75" s="2805"/>
      <c r="ULU75" s="2805"/>
      <c r="ULV75" s="2805"/>
      <c r="ULW75" s="2805"/>
      <c r="ULX75" s="2805"/>
      <c r="ULY75" s="2805"/>
      <c r="ULZ75" s="2805"/>
      <c r="UMA75" s="2805"/>
      <c r="UMB75" s="2805"/>
      <c r="UMC75" s="2805"/>
      <c r="UMD75" s="2805"/>
      <c r="UME75" s="2805"/>
      <c r="UMF75" s="2805"/>
      <c r="UMG75" s="2805"/>
      <c r="UMH75" s="2805"/>
      <c r="UMI75" s="2805"/>
      <c r="UMJ75" s="2805"/>
      <c r="UMK75" s="2805"/>
      <c r="UML75" s="2805"/>
      <c r="UMM75" s="2805"/>
      <c r="UMN75" s="2805"/>
      <c r="UMO75" s="2805"/>
      <c r="UMP75" s="2805"/>
      <c r="UMQ75" s="2805"/>
      <c r="UMR75" s="2805"/>
      <c r="UMS75" s="2805"/>
      <c r="UMT75" s="2805"/>
      <c r="UMU75" s="2805"/>
      <c r="UMV75" s="2805"/>
      <c r="UMW75" s="2805"/>
      <c r="UMX75" s="2805"/>
      <c r="UMY75" s="2805"/>
      <c r="UMZ75" s="2805"/>
      <c r="UNA75" s="2805"/>
      <c r="UNB75" s="2805"/>
      <c r="UNC75" s="2805"/>
      <c r="UND75" s="2805"/>
      <c r="UNE75" s="2805"/>
      <c r="UNF75" s="2805"/>
      <c r="UNG75" s="2805"/>
      <c r="UNH75" s="2805"/>
      <c r="UNI75" s="2805"/>
      <c r="UNJ75" s="2805"/>
      <c r="UNK75" s="2805"/>
      <c r="UNL75" s="2805"/>
      <c r="UNM75" s="2805"/>
      <c r="UNN75" s="2805"/>
      <c r="UNO75" s="2805"/>
      <c r="UNP75" s="2805"/>
      <c r="UNQ75" s="2805"/>
      <c r="UNR75" s="2805"/>
      <c r="UNS75" s="2805"/>
      <c r="UNT75" s="2805"/>
      <c r="UNU75" s="2805"/>
      <c r="UNV75" s="2805"/>
      <c r="UNW75" s="2805"/>
      <c r="UNX75" s="2805"/>
      <c r="UNY75" s="2805"/>
      <c r="UNZ75" s="2805"/>
      <c r="UOA75" s="2805"/>
      <c r="UOB75" s="2805"/>
      <c r="UOC75" s="2805"/>
      <c r="UOD75" s="2805"/>
      <c r="UOE75" s="2805"/>
      <c r="UOF75" s="2805"/>
      <c r="UOG75" s="2805"/>
      <c r="UOH75" s="2805"/>
      <c r="UOI75" s="2805"/>
      <c r="UOJ75" s="2805"/>
      <c r="UOK75" s="2805"/>
      <c r="UOL75" s="2805"/>
      <c r="UOM75" s="2805"/>
      <c r="UON75" s="2805"/>
      <c r="UOO75" s="2805"/>
      <c r="UOP75" s="2805"/>
      <c r="UOQ75" s="2805"/>
      <c r="UOR75" s="2805"/>
      <c r="UOS75" s="2805"/>
      <c r="UOT75" s="2805"/>
      <c r="UOU75" s="2805"/>
      <c r="UOV75" s="2805"/>
      <c r="UOW75" s="2805"/>
      <c r="UOX75" s="2805"/>
      <c r="UOY75" s="2805"/>
      <c r="UOZ75" s="2805"/>
      <c r="UPA75" s="2805"/>
      <c r="UPB75" s="2805"/>
      <c r="UPC75" s="2805"/>
      <c r="UPD75" s="2805"/>
      <c r="UPE75" s="2805"/>
      <c r="UPF75" s="2805"/>
      <c r="UPG75" s="2805"/>
      <c r="UPH75" s="2805"/>
      <c r="UPI75" s="2805"/>
      <c r="UPJ75" s="2805"/>
      <c r="UPK75" s="2805"/>
      <c r="UPL75" s="2805"/>
      <c r="UPM75" s="2805"/>
      <c r="UPN75" s="2805"/>
      <c r="UPO75" s="2805"/>
      <c r="UPP75" s="2805"/>
      <c r="UPQ75" s="2805"/>
      <c r="UPR75" s="2805"/>
      <c r="UPS75" s="2805"/>
      <c r="UPT75" s="2805"/>
      <c r="UPU75" s="2805"/>
      <c r="UPV75" s="2805"/>
      <c r="UPW75" s="2805"/>
      <c r="UPX75" s="2805"/>
      <c r="UPY75" s="2805"/>
      <c r="UPZ75" s="2805"/>
      <c r="UQA75" s="2805"/>
      <c r="UQB75" s="2805"/>
      <c r="UQC75" s="2805"/>
      <c r="UQD75" s="2805"/>
      <c r="UQE75" s="2805"/>
      <c r="UQF75" s="2805"/>
      <c r="UQG75" s="2805"/>
      <c r="UQH75" s="2805"/>
      <c r="UQI75" s="2805"/>
      <c r="UQJ75" s="2805"/>
      <c r="UQK75" s="2805"/>
      <c r="UQL75" s="2805"/>
      <c r="UQM75" s="2805"/>
      <c r="UQN75" s="2805"/>
      <c r="UQO75" s="2805"/>
      <c r="UQP75" s="2805"/>
      <c r="UQQ75" s="2805"/>
      <c r="UQR75" s="2805"/>
      <c r="UQS75" s="2805"/>
      <c r="UQT75" s="2805"/>
      <c r="UQU75" s="2805"/>
      <c r="UQV75" s="2805"/>
      <c r="UQW75" s="2805"/>
      <c r="UQX75" s="2805"/>
      <c r="UQY75" s="2805"/>
      <c r="UQZ75" s="2805"/>
      <c r="URA75" s="2805"/>
      <c r="URB75" s="2805"/>
      <c r="URC75" s="2805"/>
      <c r="URD75" s="2805"/>
      <c r="URE75" s="2805"/>
      <c r="URF75" s="2805"/>
      <c r="URG75" s="2805"/>
      <c r="URH75" s="2805"/>
      <c r="URI75" s="2805"/>
      <c r="URJ75" s="2805"/>
      <c r="URK75" s="2805"/>
      <c r="URL75" s="2805"/>
      <c r="URM75" s="2805"/>
      <c r="URN75" s="2805"/>
      <c r="URO75" s="2805"/>
      <c r="URP75" s="2805"/>
      <c r="URQ75" s="2805"/>
      <c r="URR75" s="2805"/>
      <c r="URS75" s="2805"/>
      <c r="URT75" s="2805"/>
      <c r="URU75" s="2805"/>
      <c r="URV75" s="2805"/>
      <c r="URW75" s="2805"/>
      <c r="URX75" s="2805"/>
      <c r="URY75" s="2805"/>
      <c r="URZ75" s="2805"/>
      <c r="USA75" s="2805"/>
      <c r="USB75" s="2805"/>
      <c r="USC75" s="2805"/>
      <c r="USD75" s="2805"/>
      <c r="USE75" s="2805"/>
      <c r="USF75" s="2805"/>
      <c r="USG75" s="2805"/>
      <c r="USH75" s="2805"/>
      <c r="USI75" s="2805"/>
      <c r="USJ75" s="2805"/>
      <c r="USK75" s="2805"/>
      <c r="USL75" s="2805"/>
      <c r="USM75" s="2805"/>
      <c r="USN75" s="2805"/>
      <c r="USO75" s="2805"/>
      <c r="USP75" s="2805"/>
      <c r="USQ75" s="2805"/>
      <c r="USR75" s="2805"/>
      <c r="USS75" s="2805"/>
      <c r="UST75" s="2805"/>
      <c r="USU75" s="2805"/>
      <c r="USV75" s="2805"/>
      <c r="USW75" s="2805"/>
      <c r="USX75" s="2805"/>
      <c r="USY75" s="2805"/>
      <c r="USZ75" s="2805"/>
      <c r="UTA75" s="2805"/>
      <c r="UTB75" s="2805"/>
      <c r="UTC75" s="2805"/>
      <c r="UTD75" s="2805"/>
      <c r="UTE75" s="2805"/>
      <c r="UTF75" s="2805"/>
      <c r="UTG75" s="2805"/>
      <c r="UTH75" s="2805"/>
      <c r="UTI75" s="2805"/>
      <c r="UTJ75" s="2805"/>
      <c r="UTK75" s="2805"/>
      <c r="UTL75" s="2805"/>
      <c r="UTM75" s="2805"/>
      <c r="UTN75" s="2805"/>
      <c r="UTO75" s="2805"/>
      <c r="UTP75" s="2805"/>
      <c r="UTQ75" s="2805"/>
      <c r="UTR75" s="2805"/>
      <c r="UTS75" s="2805"/>
      <c r="UTT75" s="2805"/>
      <c r="UTU75" s="2805"/>
      <c r="UTV75" s="2805"/>
      <c r="UTW75" s="2805"/>
      <c r="UTX75" s="2805"/>
      <c r="UTY75" s="2805"/>
      <c r="UTZ75" s="2805"/>
      <c r="UUA75" s="2805"/>
      <c r="UUB75" s="2805"/>
      <c r="UUC75" s="2805"/>
      <c r="UUD75" s="2805"/>
      <c r="UUE75" s="2805"/>
      <c r="UUF75" s="2805"/>
      <c r="UUG75" s="2805"/>
      <c r="UUH75" s="2805"/>
      <c r="UUI75" s="2805"/>
      <c r="UUJ75" s="2805"/>
      <c r="UUK75" s="2805"/>
      <c r="UUL75" s="2805"/>
      <c r="UUM75" s="2805"/>
      <c r="UUN75" s="2805"/>
      <c r="UUO75" s="2805"/>
      <c r="UUP75" s="2805"/>
      <c r="UUQ75" s="2805"/>
      <c r="UUR75" s="2805"/>
      <c r="UUS75" s="2805"/>
      <c r="UUT75" s="2805"/>
      <c r="UUU75" s="2805"/>
      <c r="UUV75" s="2805"/>
      <c r="UUW75" s="2805"/>
      <c r="UUX75" s="2805"/>
      <c r="UUY75" s="2805"/>
      <c r="UUZ75" s="2805"/>
      <c r="UVA75" s="2805"/>
      <c r="UVB75" s="2805"/>
      <c r="UVC75" s="2805"/>
      <c r="UVD75" s="2805"/>
      <c r="UVE75" s="2805"/>
      <c r="UVF75" s="2805"/>
      <c r="UVG75" s="2805"/>
      <c r="UVH75" s="2805"/>
      <c r="UVI75" s="2805"/>
      <c r="UVJ75" s="2805"/>
      <c r="UVK75" s="2805"/>
      <c r="UVL75" s="2805"/>
      <c r="UVM75" s="2805"/>
      <c r="UVN75" s="2805"/>
      <c r="UVO75" s="2805"/>
      <c r="UVP75" s="2805"/>
      <c r="UVQ75" s="2805"/>
      <c r="UVR75" s="2805"/>
      <c r="UVS75" s="2805"/>
      <c r="UVT75" s="2805"/>
      <c r="UVU75" s="2805"/>
      <c r="UVV75" s="2805"/>
      <c r="UVW75" s="2805"/>
      <c r="UVX75" s="2805"/>
      <c r="UVY75" s="2805"/>
      <c r="UVZ75" s="2805"/>
      <c r="UWA75" s="2805"/>
      <c r="UWB75" s="2805"/>
      <c r="UWC75" s="2805"/>
      <c r="UWD75" s="2805"/>
      <c r="UWE75" s="2805"/>
      <c r="UWF75" s="2805"/>
      <c r="UWG75" s="2805"/>
      <c r="UWH75" s="2805"/>
      <c r="UWI75" s="2805"/>
      <c r="UWJ75" s="2805"/>
      <c r="UWK75" s="2805"/>
      <c r="UWL75" s="2805"/>
      <c r="UWM75" s="2805"/>
      <c r="UWN75" s="2805"/>
      <c r="UWO75" s="2805"/>
      <c r="UWP75" s="2805"/>
      <c r="UWQ75" s="2805"/>
      <c r="UWR75" s="2805"/>
      <c r="UWS75" s="2805"/>
      <c r="UWT75" s="2805"/>
      <c r="UWU75" s="2805"/>
      <c r="UWV75" s="2805"/>
      <c r="UWW75" s="2805"/>
      <c r="UWX75" s="2805"/>
      <c r="UWY75" s="2805"/>
      <c r="UWZ75" s="2805"/>
      <c r="UXA75" s="2805"/>
      <c r="UXB75" s="2805"/>
      <c r="UXC75" s="2805"/>
      <c r="UXD75" s="2805"/>
      <c r="UXE75" s="2805"/>
      <c r="UXF75" s="2805"/>
      <c r="UXG75" s="2805"/>
      <c r="UXH75" s="2805"/>
      <c r="UXI75" s="2805"/>
      <c r="UXJ75" s="2805"/>
      <c r="UXK75" s="2805"/>
      <c r="UXL75" s="2805"/>
      <c r="UXM75" s="2805"/>
      <c r="UXN75" s="2805"/>
      <c r="UXO75" s="2805"/>
      <c r="UXP75" s="2805"/>
      <c r="UXQ75" s="2805"/>
      <c r="UXR75" s="2805"/>
      <c r="UXS75" s="2805"/>
      <c r="UXT75" s="2805"/>
      <c r="UXU75" s="2805"/>
      <c r="UXV75" s="2805"/>
      <c r="UXW75" s="2805"/>
      <c r="UXX75" s="2805"/>
      <c r="UXY75" s="2805"/>
      <c r="UXZ75" s="2805"/>
      <c r="UYA75" s="2805"/>
      <c r="UYB75" s="2805"/>
      <c r="UYC75" s="2805"/>
      <c r="UYD75" s="2805"/>
      <c r="UYE75" s="2805"/>
      <c r="UYF75" s="2805"/>
      <c r="UYG75" s="2805"/>
      <c r="UYH75" s="2805"/>
      <c r="UYI75" s="2805"/>
      <c r="UYJ75" s="2805"/>
      <c r="UYK75" s="2805"/>
      <c r="UYL75" s="2805"/>
      <c r="UYM75" s="2805"/>
      <c r="UYN75" s="2805"/>
      <c r="UYO75" s="2805"/>
      <c r="UYP75" s="2805"/>
      <c r="UYQ75" s="2805"/>
      <c r="UYR75" s="2805"/>
      <c r="UYS75" s="2805"/>
      <c r="UYT75" s="2805"/>
      <c r="UYU75" s="2805"/>
      <c r="UYV75" s="2805"/>
      <c r="UYW75" s="2805"/>
      <c r="UYX75" s="2805"/>
      <c r="UYY75" s="2805"/>
      <c r="UYZ75" s="2805"/>
      <c r="UZA75" s="2805"/>
      <c r="UZB75" s="2805"/>
      <c r="UZC75" s="2805"/>
      <c r="UZD75" s="2805"/>
      <c r="UZE75" s="2805"/>
      <c r="UZF75" s="2805"/>
      <c r="UZG75" s="2805"/>
      <c r="UZH75" s="2805"/>
      <c r="UZI75" s="2805"/>
      <c r="UZJ75" s="2805"/>
      <c r="UZK75" s="2805"/>
      <c r="UZL75" s="2805"/>
      <c r="UZM75" s="2805"/>
      <c r="UZN75" s="2805"/>
      <c r="UZO75" s="2805"/>
      <c r="UZP75" s="2805"/>
      <c r="UZQ75" s="2805"/>
      <c r="UZR75" s="2805"/>
      <c r="UZS75" s="2805"/>
      <c r="UZT75" s="2805"/>
      <c r="UZU75" s="2805"/>
      <c r="UZV75" s="2805"/>
      <c r="UZW75" s="2805"/>
      <c r="UZX75" s="2805"/>
      <c r="UZY75" s="2805"/>
      <c r="UZZ75" s="2805"/>
      <c r="VAA75" s="2805"/>
      <c r="VAB75" s="2805"/>
      <c r="VAC75" s="2805"/>
      <c r="VAD75" s="2805"/>
      <c r="VAE75" s="2805"/>
      <c r="VAF75" s="2805"/>
      <c r="VAG75" s="2805"/>
      <c r="VAH75" s="2805"/>
      <c r="VAI75" s="2805"/>
      <c r="VAJ75" s="2805"/>
      <c r="VAK75" s="2805"/>
      <c r="VAL75" s="2805"/>
      <c r="VAM75" s="2805"/>
      <c r="VAN75" s="2805"/>
      <c r="VAO75" s="2805"/>
      <c r="VAP75" s="2805"/>
      <c r="VAQ75" s="2805"/>
      <c r="VAR75" s="2805"/>
      <c r="VAS75" s="2805"/>
      <c r="VAT75" s="2805"/>
      <c r="VAU75" s="2805"/>
      <c r="VAV75" s="2805"/>
      <c r="VAW75" s="2805"/>
      <c r="VAX75" s="2805"/>
      <c r="VAY75" s="2805"/>
      <c r="VAZ75" s="2805"/>
      <c r="VBA75" s="2805"/>
      <c r="VBB75" s="2805"/>
      <c r="VBC75" s="2805"/>
      <c r="VBD75" s="2805"/>
      <c r="VBE75" s="2805"/>
      <c r="VBF75" s="2805"/>
      <c r="VBG75" s="2805"/>
      <c r="VBH75" s="2805"/>
      <c r="VBI75" s="2805"/>
      <c r="VBJ75" s="2805"/>
      <c r="VBK75" s="2805"/>
      <c r="VBL75" s="2805"/>
      <c r="VBM75" s="2805"/>
      <c r="VBN75" s="2805"/>
      <c r="VBO75" s="2805"/>
      <c r="VBP75" s="2805"/>
      <c r="VBQ75" s="2805"/>
      <c r="VBR75" s="2805"/>
      <c r="VBS75" s="2805"/>
      <c r="VBT75" s="2805"/>
      <c r="VBU75" s="2805"/>
      <c r="VBV75" s="2805"/>
      <c r="VBW75" s="2805"/>
      <c r="VBX75" s="2805"/>
      <c r="VBY75" s="2805"/>
      <c r="VBZ75" s="2805"/>
      <c r="VCA75" s="2805"/>
      <c r="VCB75" s="2805"/>
      <c r="VCC75" s="2805"/>
      <c r="VCD75" s="2805"/>
      <c r="VCE75" s="2805"/>
      <c r="VCF75" s="2805"/>
      <c r="VCG75" s="2805"/>
      <c r="VCH75" s="2805"/>
      <c r="VCI75" s="2805"/>
      <c r="VCJ75" s="2805"/>
      <c r="VCK75" s="2805"/>
      <c r="VCL75" s="2805"/>
      <c r="VCM75" s="2805"/>
      <c r="VCN75" s="2805"/>
      <c r="VCO75" s="2805"/>
      <c r="VCP75" s="2805"/>
      <c r="VCQ75" s="2805"/>
      <c r="VCR75" s="2805"/>
      <c r="VCS75" s="2805"/>
      <c r="VCT75" s="2805"/>
      <c r="VCU75" s="2805"/>
      <c r="VCV75" s="2805"/>
      <c r="VCW75" s="2805"/>
      <c r="VCX75" s="2805"/>
      <c r="VCY75" s="2805"/>
      <c r="VCZ75" s="2805"/>
      <c r="VDA75" s="2805"/>
      <c r="VDB75" s="2805"/>
      <c r="VDC75" s="2805"/>
      <c r="VDD75" s="2805"/>
      <c r="VDE75" s="2805"/>
      <c r="VDF75" s="2805"/>
      <c r="VDG75" s="2805"/>
      <c r="VDH75" s="2805"/>
      <c r="VDI75" s="2805"/>
      <c r="VDJ75" s="2805"/>
      <c r="VDK75" s="2805"/>
      <c r="VDL75" s="2805"/>
      <c r="VDM75" s="2805"/>
      <c r="VDN75" s="2805"/>
      <c r="VDO75" s="2805"/>
      <c r="VDP75" s="2805"/>
      <c r="VDQ75" s="2805"/>
      <c r="VDR75" s="2805"/>
      <c r="VDS75" s="2805"/>
      <c r="VDT75" s="2805"/>
      <c r="VDU75" s="2805"/>
      <c r="VDV75" s="2805"/>
      <c r="VDW75" s="2805"/>
      <c r="VDX75" s="2805"/>
      <c r="VDY75" s="2805"/>
      <c r="VDZ75" s="2805"/>
      <c r="VEA75" s="2805"/>
      <c r="VEB75" s="2805"/>
      <c r="VEC75" s="2805"/>
      <c r="VED75" s="2805"/>
      <c r="VEE75" s="2805"/>
      <c r="VEF75" s="2805"/>
      <c r="VEG75" s="2805"/>
      <c r="VEH75" s="2805"/>
      <c r="VEI75" s="2805"/>
      <c r="VEJ75" s="2805"/>
      <c r="VEK75" s="2805"/>
      <c r="VEL75" s="2805"/>
      <c r="VEM75" s="2805"/>
      <c r="VEN75" s="2805"/>
      <c r="VEO75" s="2805"/>
      <c r="VEP75" s="2805"/>
      <c r="VEQ75" s="2805"/>
      <c r="VER75" s="2805"/>
      <c r="VES75" s="2805"/>
      <c r="VET75" s="2805"/>
      <c r="VEU75" s="2805"/>
      <c r="VEV75" s="2805"/>
      <c r="VEW75" s="2805"/>
      <c r="VEX75" s="2805"/>
      <c r="VEY75" s="2805"/>
      <c r="VEZ75" s="2805"/>
      <c r="VFA75" s="2805"/>
      <c r="VFB75" s="2805"/>
      <c r="VFC75" s="2805"/>
      <c r="VFD75" s="2805"/>
      <c r="VFE75" s="2805"/>
      <c r="VFF75" s="2805"/>
      <c r="VFG75" s="2805"/>
      <c r="VFH75" s="2805"/>
      <c r="VFI75" s="2805"/>
      <c r="VFJ75" s="2805"/>
      <c r="VFK75" s="2805"/>
      <c r="VFL75" s="2805"/>
      <c r="VFM75" s="2805"/>
      <c r="VFN75" s="2805"/>
      <c r="VFO75" s="2805"/>
      <c r="VFP75" s="2805"/>
      <c r="VFQ75" s="2805"/>
      <c r="VFR75" s="2805"/>
      <c r="VFS75" s="2805"/>
      <c r="VFT75" s="2805"/>
      <c r="VFU75" s="2805"/>
      <c r="VFV75" s="2805"/>
      <c r="VFW75" s="2805"/>
      <c r="VFX75" s="2805"/>
      <c r="VFY75" s="2805"/>
      <c r="VFZ75" s="2805"/>
      <c r="VGA75" s="2805"/>
      <c r="VGB75" s="2805"/>
      <c r="VGC75" s="2805"/>
      <c r="VGD75" s="2805"/>
      <c r="VGE75" s="2805"/>
      <c r="VGF75" s="2805"/>
      <c r="VGG75" s="2805"/>
      <c r="VGH75" s="2805"/>
      <c r="VGI75" s="2805"/>
      <c r="VGJ75" s="2805"/>
      <c r="VGK75" s="2805"/>
      <c r="VGL75" s="2805"/>
      <c r="VGM75" s="2805"/>
      <c r="VGN75" s="2805"/>
      <c r="VGO75" s="2805"/>
      <c r="VGP75" s="2805"/>
      <c r="VGQ75" s="2805"/>
      <c r="VGR75" s="2805"/>
      <c r="VGS75" s="2805"/>
      <c r="VGT75" s="2805"/>
      <c r="VGU75" s="2805"/>
      <c r="VGV75" s="2805"/>
      <c r="VGW75" s="2805"/>
      <c r="VGX75" s="2805"/>
      <c r="VGY75" s="2805"/>
      <c r="VGZ75" s="2805"/>
      <c r="VHA75" s="2805"/>
      <c r="VHB75" s="2805"/>
      <c r="VHC75" s="2805"/>
      <c r="VHD75" s="2805"/>
      <c r="VHE75" s="2805"/>
      <c r="VHF75" s="2805"/>
      <c r="VHG75" s="2805"/>
      <c r="VHH75" s="2805"/>
      <c r="VHI75" s="2805"/>
      <c r="VHJ75" s="2805"/>
      <c r="VHK75" s="2805"/>
      <c r="VHL75" s="2805"/>
      <c r="VHM75" s="2805"/>
      <c r="VHN75" s="2805"/>
      <c r="VHO75" s="2805"/>
      <c r="VHP75" s="2805"/>
      <c r="VHQ75" s="2805"/>
      <c r="VHR75" s="2805"/>
      <c r="VHS75" s="2805"/>
      <c r="VHT75" s="2805"/>
      <c r="VHU75" s="2805"/>
      <c r="VHV75" s="2805"/>
      <c r="VHW75" s="2805"/>
      <c r="VHX75" s="2805"/>
      <c r="VHY75" s="2805"/>
      <c r="VHZ75" s="2805"/>
      <c r="VIA75" s="2805"/>
      <c r="VIB75" s="2805"/>
      <c r="VIC75" s="2805"/>
      <c r="VID75" s="2805"/>
      <c r="VIE75" s="2805"/>
      <c r="VIF75" s="2805"/>
      <c r="VIG75" s="2805"/>
      <c r="VIH75" s="2805"/>
      <c r="VII75" s="2805"/>
      <c r="VIJ75" s="2805"/>
      <c r="VIK75" s="2805"/>
      <c r="VIL75" s="2805"/>
      <c r="VIM75" s="2805"/>
      <c r="VIN75" s="2805"/>
      <c r="VIO75" s="2805"/>
      <c r="VIP75" s="2805"/>
      <c r="VIQ75" s="2805"/>
      <c r="VIR75" s="2805"/>
      <c r="VIS75" s="2805"/>
      <c r="VIT75" s="2805"/>
      <c r="VIU75" s="2805"/>
      <c r="VIV75" s="2805"/>
      <c r="VIW75" s="2805"/>
      <c r="VIX75" s="2805"/>
      <c r="VIY75" s="2805"/>
      <c r="VIZ75" s="2805"/>
      <c r="VJA75" s="2805"/>
      <c r="VJB75" s="2805"/>
      <c r="VJC75" s="2805"/>
      <c r="VJD75" s="2805"/>
      <c r="VJE75" s="2805"/>
      <c r="VJF75" s="2805"/>
      <c r="VJG75" s="2805"/>
      <c r="VJH75" s="2805"/>
      <c r="VJI75" s="2805"/>
      <c r="VJJ75" s="2805"/>
      <c r="VJK75" s="2805"/>
      <c r="VJL75" s="2805"/>
      <c r="VJM75" s="2805"/>
      <c r="VJN75" s="2805"/>
      <c r="VJO75" s="2805"/>
      <c r="VJP75" s="2805"/>
      <c r="VJQ75" s="2805"/>
      <c r="VJR75" s="2805"/>
      <c r="VJS75" s="2805"/>
      <c r="VJT75" s="2805"/>
      <c r="VJU75" s="2805"/>
      <c r="VJV75" s="2805"/>
      <c r="VJW75" s="2805"/>
      <c r="VJX75" s="2805"/>
      <c r="VJY75" s="2805"/>
      <c r="VJZ75" s="2805"/>
      <c r="VKA75" s="2805"/>
      <c r="VKB75" s="2805"/>
      <c r="VKC75" s="2805"/>
      <c r="VKD75" s="2805"/>
      <c r="VKE75" s="2805"/>
      <c r="VKF75" s="2805"/>
      <c r="VKG75" s="2805"/>
      <c r="VKH75" s="2805"/>
      <c r="VKI75" s="2805"/>
      <c r="VKJ75" s="2805"/>
      <c r="VKK75" s="2805"/>
      <c r="VKL75" s="2805"/>
      <c r="VKM75" s="2805"/>
      <c r="VKN75" s="2805"/>
      <c r="VKO75" s="2805"/>
      <c r="VKP75" s="2805"/>
      <c r="VKQ75" s="2805"/>
      <c r="VKR75" s="2805"/>
      <c r="VKS75" s="2805"/>
      <c r="VKT75" s="2805"/>
      <c r="VKU75" s="2805"/>
      <c r="VKV75" s="2805"/>
      <c r="VKW75" s="2805"/>
      <c r="VKX75" s="2805"/>
      <c r="VKY75" s="2805"/>
      <c r="VKZ75" s="2805"/>
      <c r="VLA75" s="2805"/>
      <c r="VLB75" s="2805"/>
      <c r="VLC75" s="2805"/>
      <c r="VLD75" s="2805"/>
      <c r="VLE75" s="2805"/>
      <c r="VLF75" s="2805"/>
      <c r="VLG75" s="2805"/>
      <c r="VLH75" s="2805"/>
      <c r="VLI75" s="2805"/>
      <c r="VLJ75" s="2805"/>
      <c r="VLK75" s="2805"/>
      <c r="VLL75" s="2805"/>
      <c r="VLM75" s="2805"/>
      <c r="VLN75" s="2805"/>
      <c r="VLO75" s="2805"/>
      <c r="VLP75" s="2805"/>
      <c r="VLQ75" s="2805"/>
      <c r="VLR75" s="2805"/>
      <c r="VLS75" s="2805"/>
      <c r="VLT75" s="2805"/>
      <c r="VLU75" s="2805"/>
      <c r="VLV75" s="2805"/>
      <c r="VLW75" s="2805"/>
      <c r="VLX75" s="2805"/>
      <c r="VLY75" s="2805"/>
      <c r="VLZ75" s="2805"/>
      <c r="VMA75" s="2805"/>
      <c r="VMB75" s="2805"/>
      <c r="VMC75" s="2805"/>
      <c r="VMD75" s="2805"/>
      <c r="VME75" s="2805"/>
      <c r="VMF75" s="2805"/>
      <c r="VMG75" s="2805"/>
      <c r="VMH75" s="2805"/>
      <c r="VMI75" s="2805"/>
      <c r="VMJ75" s="2805"/>
      <c r="VMK75" s="2805"/>
      <c r="VML75" s="2805"/>
      <c r="VMM75" s="2805"/>
      <c r="VMN75" s="2805"/>
      <c r="VMO75" s="2805"/>
      <c r="VMP75" s="2805"/>
      <c r="VMQ75" s="2805"/>
      <c r="VMR75" s="2805"/>
      <c r="VMS75" s="2805"/>
      <c r="VMT75" s="2805"/>
      <c r="VMU75" s="2805"/>
      <c r="VMV75" s="2805"/>
      <c r="VMW75" s="2805"/>
      <c r="VMX75" s="2805"/>
      <c r="VMY75" s="2805"/>
      <c r="VMZ75" s="2805"/>
      <c r="VNA75" s="2805"/>
      <c r="VNB75" s="2805"/>
      <c r="VNC75" s="2805"/>
      <c r="VND75" s="2805"/>
      <c r="VNE75" s="2805"/>
      <c r="VNF75" s="2805"/>
      <c r="VNG75" s="2805"/>
      <c r="VNH75" s="2805"/>
      <c r="VNI75" s="2805"/>
      <c r="VNJ75" s="2805"/>
      <c r="VNK75" s="2805"/>
      <c r="VNL75" s="2805"/>
      <c r="VNM75" s="2805"/>
      <c r="VNN75" s="2805"/>
      <c r="VNO75" s="2805"/>
      <c r="VNP75" s="2805"/>
      <c r="VNQ75" s="2805"/>
      <c r="VNR75" s="2805"/>
      <c r="VNS75" s="2805"/>
      <c r="VNT75" s="2805"/>
      <c r="VNU75" s="2805"/>
      <c r="VNV75" s="2805"/>
      <c r="VNW75" s="2805"/>
      <c r="VNX75" s="2805"/>
      <c r="VNY75" s="2805"/>
      <c r="VNZ75" s="2805"/>
      <c r="VOA75" s="2805"/>
      <c r="VOB75" s="2805"/>
      <c r="VOC75" s="2805"/>
      <c r="VOD75" s="2805"/>
      <c r="VOE75" s="2805"/>
      <c r="VOF75" s="2805"/>
      <c r="VOG75" s="2805"/>
      <c r="VOH75" s="2805"/>
      <c r="VOI75" s="2805"/>
      <c r="VOJ75" s="2805"/>
      <c r="VOK75" s="2805"/>
      <c r="VOL75" s="2805"/>
      <c r="VOM75" s="2805"/>
      <c r="VON75" s="2805"/>
      <c r="VOO75" s="2805"/>
      <c r="VOP75" s="2805"/>
      <c r="VOQ75" s="2805"/>
      <c r="VOR75" s="2805"/>
      <c r="VOS75" s="2805"/>
      <c r="VOT75" s="2805"/>
      <c r="VOU75" s="2805"/>
      <c r="VOV75" s="2805"/>
      <c r="VOW75" s="2805"/>
      <c r="VOX75" s="2805"/>
      <c r="VOY75" s="2805"/>
      <c r="VOZ75" s="2805"/>
      <c r="VPA75" s="2805"/>
      <c r="VPB75" s="2805"/>
      <c r="VPC75" s="2805"/>
      <c r="VPD75" s="2805"/>
      <c r="VPE75" s="2805"/>
      <c r="VPF75" s="2805"/>
      <c r="VPG75" s="2805"/>
      <c r="VPH75" s="2805"/>
      <c r="VPI75" s="2805"/>
      <c r="VPJ75" s="2805"/>
      <c r="VPK75" s="2805"/>
      <c r="VPL75" s="2805"/>
      <c r="VPM75" s="2805"/>
      <c r="VPN75" s="2805"/>
      <c r="VPO75" s="2805"/>
      <c r="VPP75" s="2805"/>
      <c r="VPQ75" s="2805"/>
      <c r="VPR75" s="2805"/>
      <c r="VPS75" s="2805"/>
      <c r="VPT75" s="2805"/>
      <c r="VPU75" s="2805"/>
      <c r="VPV75" s="2805"/>
      <c r="VPW75" s="2805"/>
      <c r="VPX75" s="2805"/>
      <c r="VPY75" s="2805"/>
      <c r="VPZ75" s="2805"/>
      <c r="VQA75" s="2805"/>
      <c r="VQB75" s="2805"/>
      <c r="VQC75" s="2805"/>
      <c r="VQD75" s="2805"/>
      <c r="VQE75" s="2805"/>
      <c r="VQF75" s="2805"/>
      <c r="VQG75" s="2805"/>
      <c r="VQH75" s="2805"/>
      <c r="VQI75" s="2805"/>
      <c r="VQJ75" s="2805"/>
      <c r="VQK75" s="2805"/>
      <c r="VQL75" s="2805"/>
      <c r="VQM75" s="2805"/>
      <c r="VQN75" s="2805"/>
      <c r="VQO75" s="2805"/>
      <c r="VQP75" s="2805"/>
      <c r="VQQ75" s="2805"/>
      <c r="VQR75" s="2805"/>
      <c r="VQS75" s="2805"/>
      <c r="VQT75" s="2805"/>
      <c r="VQU75" s="2805"/>
      <c r="VQV75" s="2805"/>
      <c r="VQW75" s="2805"/>
      <c r="VQX75" s="2805"/>
      <c r="VQY75" s="2805"/>
      <c r="VQZ75" s="2805"/>
      <c r="VRA75" s="2805"/>
      <c r="VRB75" s="2805"/>
      <c r="VRC75" s="2805"/>
      <c r="VRD75" s="2805"/>
      <c r="VRE75" s="2805"/>
      <c r="VRF75" s="2805"/>
      <c r="VRG75" s="2805"/>
      <c r="VRH75" s="2805"/>
      <c r="VRI75" s="2805"/>
      <c r="VRJ75" s="2805"/>
      <c r="VRK75" s="2805"/>
      <c r="VRL75" s="2805"/>
      <c r="VRM75" s="2805"/>
      <c r="VRN75" s="2805"/>
      <c r="VRO75" s="2805"/>
      <c r="VRP75" s="2805"/>
      <c r="VRQ75" s="2805"/>
      <c r="VRR75" s="2805"/>
      <c r="VRS75" s="2805"/>
      <c r="VRT75" s="2805"/>
      <c r="VRU75" s="2805"/>
      <c r="VRV75" s="2805"/>
      <c r="VRW75" s="2805"/>
      <c r="VRX75" s="2805"/>
      <c r="VRY75" s="2805"/>
      <c r="VRZ75" s="2805"/>
      <c r="VSA75" s="2805"/>
      <c r="VSB75" s="2805"/>
      <c r="VSC75" s="2805"/>
      <c r="VSD75" s="2805"/>
      <c r="VSE75" s="2805"/>
      <c r="VSF75" s="2805"/>
      <c r="VSG75" s="2805"/>
      <c r="VSH75" s="2805"/>
      <c r="VSI75" s="2805"/>
      <c r="VSJ75" s="2805"/>
      <c r="VSK75" s="2805"/>
      <c r="VSL75" s="2805"/>
      <c r="VSM75" s="2805"/>
      <c r="VSN75" s="2805"/>
      <c r="VSO75" s="2805"/>
      <c r="VSP75" s="2805"/>
      <c r="VSQ75" s="2805"/>
      <c r="VSR75" s="2805"/>
      <c r="VSS75" s="2805"/>
      <c r="VST75" s="2805"/>
      <c r="VSU75" s="2805"/>
      <c r="VSV75" s="2805"/>
      <c r="VSW75" s="2805"/>
      <c r="VSX75" s="2805"/>
      <c r="VSY75" s="2805"/>
      <c r="VSZ75" s="2805"/>
      <c r="VTA75" s="2805"/>
      <c r="VTB75" s="2805"/>
      <c r="VTC75" s="2805"/>
      <c r="VTD75" s="2805"/>
      <c r="VTE75" s="2805"/>
      <c r="VTF75" s="2805"/>
      <c r="VTG75" s="2805"/>
      <c r="VTH75" s="2805"/>
      <c r="VTI75" s="2805"/>
      <c r="VTJ75" s="2805"/>
      <c r="VTK75" s="2805"/>
      <c r="VTL75" s="2805"/>
      <c r="VTM75" s="2805"/>
      <c r="VTN75" s="2805"/>
      <c r="VTO75" s="2805"/>
      <c r="VTP75" s="2805"/>
      <c r="VTQ75" s="2805"/>
      <c r="VTR75" s="2805"/>
      <c r="VTS75" s="2805"/>
      <c r="VTT75" s="2805"/>
      <c r="VTU75" s="2805"/>
      <c r="VTV75" s="2805"/>
      <c r="VTW75" s="2805"/>
      <c r="VTX75" s="2805"/>
      <c r="VTY75" s="2805"/>
      <c r="VTZ75" s="2805"/>
      <c r="VUA75" s="2805"/>
      <c r="VUB75" s="2805"/>
      <c r="VUC75" s="2805"/>
      <c r="VUD75" s="2805"/>
      <c r="VUE75" s="2805"/>
      <c r="VUF75" s="2805"/>
      <c r="VUG75" s="2805"/>
      <c r="VUH75" s="2805"/>
      <c r="VUI75" s="2805"/>
      <c r="VUJ75" s="2805"/>
      <c r="VUK75" s="2805"/>
      <c r="VUL75" s="2805"/>
      <c r="VUM75" s="2805"/>
      <c r="VUN75" s="2805"/>
      <c r="VUO75" s="2805"/>
      <c r="VUP75" s="2805"/>
      <c r="VUQ75" s="2805"/>
      <c r="VUR75" s="2805"/>
      <c r="VUS75" s="2805"/>
      <c r="VUT75" s="2805"/>
      <c r="VUU75" s="2805"/>
      <c r="VUV75" s="2805"/>
      <c r="VUW75" s="2805"/>
      <c r="VUX75" s="2805"/>
      <c r="VUY75" s="2805"/>
      <c r="VUZ75" s="2805"/>
      <c r="VVA75" s="2805"/>
      <c r="VVB75" s="2805"/>
      <c r="VVC75" s="2805"/>
      <c r="VVD75" s="2805"/>
      <c r="VVE75" s="2805"/>
      <c r="VVF75" s="2805"/>
      <c r="VVG75" s="2805"/>
      <c r="VVH75" s="2805"/>
      <c r="VVI75" s="2805"/>
      <c r="VVJ75" s="2805"/>
      <c r="VVK75" s="2805"/>
      <c r="VVL75" s="2805"/>
      <c r="VVM75" s="2805"/>
      <c r="VVN75" s="2805"/>
      <c r="VVO75" s="2805"/>
      <c r="VVP75" s="2805"/>
      <c r="VVQ75" s="2805"/>
      <c r="VVR75" s="2805"/>
      <c r="VVS75" s="2805"/>
      <c r="VVT75" s="2805"/>
      <c r="VVU75" s="2805"/>
      <c r="VVV75" s="2805"/>
      <c r="VVW75" s="2805"/>
      <c r="VVX75" s="2805"/>
      <c r="VVY75" s="2805"/>
      <c r="VVZ75" s="2805"/>
      <c r="VWA75" s="2805"/>
      <c r="VWB75" s="2805"/>
      <c r="VWC75" s="2805"/>
      <c r="VWD75" s="2805"/>
      <c r="VWE75" s="2805"/>
      <c r="VWF75" s="2805"/>
      <c r="VWG75" s="2805"/>
      <c r="VWH75" s="2805"/>
      <c r="VWI75" s="2805"/>
      <c r="VWJ75" s="2805"/>
      <c r="VWK75" s="2805"/>
      <c r="VWL75" s="2805"/>
      <c r="VWM75" s="2805"/>
      <c r="VWN75" s="2805"/>
      <c r="VWO75" s="2805"/>
      <c r="VWP75" s="2805"/>
      <c r="VWQ75" s="2805"/>
      <c r="VWR75" s="2805"/>
      <c r="VWS75" s="2805"/>
      <c r="VWT75" s="2805"/>
      <c r="VWU75" s="2805"/>
      <c r="VWV75" s="2805"/>
      <c r="VWW75" s="2805"/>
      <c r="VWX75" s="2805"/>
      <c r="VWY75" s="2805"/>
      <c r="VWZ75" s="2805"/>
      <c r="VXA75" s="2805"/>
      <c r="VXB75" s="2805"/>
      <c r="VXC75" s="2805"/>
      <c r="VXD75" s="2805"/>
      <c r="VXE75" s="2805"/>
      <c r="VXF75" s="2805"/>
      <c r="VXG75" s="2805"/>
      <c r="VXH75" s="2805"/>
      <c r="VXI75" s="2805"/>
      <c r="VXJ75" s="2805"/>
      <c r="VXK75" s="2805"/>
      <c r="VXL75" s="2805"/>
      <c r="VXM75" s="2805"/>
      <c r="VXN75" s="2805"/>
      <c r="VXO75" s="2805"/>
      <c r="VXP75" s="2805"/>
      <c r="VXQ75" s="2805"/>
      <c r="VXR75" s="2805"/>
      <c r="VXS75" s="2805"/>
      <c r="VXT75" s="2805"/>
      <c r="VXU75" s="2805"/>
      <c r="VXV75" s="2805"/>
      <c r="VXW75" s="2805"/>
      <c r="VXX75" s="2805"/>
      <c r="VXY75" s="2805"/>
      <c r="VXZ75" s="2805"/>
      <c r="VYA75" s="2805"/>
      <c r="VYB75" s="2805"/>
      <c r="VYC75" s="2805"/>
      <c r="VYD75" s="2805"/>
      <c r="VYE75" s="2805"/>
      <c r="VYF75" s="2805"/>
      <c r="VYG75" s="2805"/>
      <c r="VYH75" s="2805"/>
      <c r="VYI75" s="2805"/>
      <c r="VYJ75" s="2805"/>
      <c r="VYK75" s="2805"/>
      <c r="VYL75" s="2805"/>
      <c r="VYM75" s="2805"/>
      <c r="VYN75" s="2805"/>
      <c r="VYO75" s="2805"/>
      <c r="VYP75" s="2805"/>
      <c r="VYQ75" s="2805"/>
      <c r="VYR75" s="2805"/>
      <c r="VYS75" s="2805"/>
      <c r="VYT75" s="2805"/>
      <c r="VYU75" s="2805"/>
      <c r="VYV75" s="2805"/>
      <c r="VYW75" s="2805"/>
      <c r="VYX75" s="2805"/>
      <c r="VYY75" s="2805"/>
      <c r="VYZ75" s="2805"/>
      <c r="VZA75" s="2805"/>
      <c r="VZB75" s="2805"/>
      <c r="VZC75" s="2805"/>
      <c r="VZD75" s="2805"/>
      <c r="VZE75" s="2805"/>
      <c r="VZF75" s="2805"/>
      <c r="VZG75" s="2805"/>
      <c r="VZH75" s="2805"/>
      <c r="VZI75" s="2805"/>
      <c r="VZJ75" s="2805"/>
      <c r="VZK75" s="2805"/>
      <c r="VZL75" s="2805"/>
      <c r="VZM75" s="2805"/>
      <c r="VZN75" s="2805"/>
      <c r="VZO75" s="2805"/>
      <c r="VZP75" s="2805"/>
      <c r="VZQ75" s="2805"/>
      <c r="VZR75" s="2805"/>
      <c r="VZS75" s="2805"/>
      <c r="VZT75" s="2805"/>
      <c r="VZU75" s="2805"/>
      <c r="VZV75" s="2805"/>
      <c r="VZW75" s="2805"/>
      <c r="VZX75" s="2805"/>
      <c r="VZY75" s="2805"/>
      <c r="VZZ75" s="2805"/>
      <c r="WAA75" s="2805"/>
      <c r="WAB75" s="2805"/>
      <c r="WAC75" s="2805"/>
      <c r="WAD75" s="2805"/>
      <c r="WAE75" s="2805"/>
      <c r="WAF75" s="2805"/>
      <c r="WAG75" s="2805"/>
      <c r="WAH75" s="2805"/>
      <c r="WAI75" s="2805"/>
      <c r="WAJ75" s="2805"/>
      <c r="WAK75" s="2805"/>
      <c r="WAL75" s="2805"/>
      <c r="WAM75" s="2805"/>
      <c r="WAN75" s="2805"/>
      <c r="WAO75" s="2805"/>
      <c r="WAP75" s="2805"/>
      <c r="WAQ75" s="2805"/>
      <c r="WAR75" s="2805"/>
      <c r="WAS75" s="2805"/>
      <c r="WAT75" s="2805"/>
      <c r="WAU75" s="2805"/>
      <c r="WAV75" s="2805"/>
      <c r="WAW75" s="2805"/>
      <c r="WAX75" s="2805"/>
      <c r="WAY75" s="2805"/>
      <c r="WAZ75" s="2805"/>
      <c r="WBA75" s="2805"/>
      <c r="WBB75" s="2805"/>
      <c r="WBC75" s="2805"/>
      <c r="WBD75" s="2805"/>
      <c r="WBE75" s="2805"/>
      <c r="WBF75" s="2805"/>
      <c r="WBG75" s="2805"/>
      <c r="WBH75" s="2805"/>
      <c r="WBI75" s="2805"/>
      <c r="WBJ75" s="2805"/>
      <c r="WBK75" s="2805"/>
      <c r="WBL75" s="2805"/>
      <c r="WBM75" s="2805"/>
      <c r="WBN75" s="2805"/>
      <c r="WBO75" s="2805"/>
      <c r="WBP75" s="2805"/>
      <c r="WBQ75" s="2805"/>
      <c r="WBR75" s="2805"/>
      <c r="WBS75" s="2805"/>
      <c r="WBT75" s="2805"/>
      <c r="WBU75" s="2805"/>
      <c r="WBV75" s="2805"/>
      <c r="WBW75" s="2805"/>
      <c r="WBX75" s="2805"/>
      <c r="WBY75" s="2805"/>
      <c r="WBZ75" s="2805"/>
      <c r="WCA75" s="2805"/>
      <c r="WCB75" s="2805"/>
      <c r="WCC75" s="2805"/>
      <c r="WCD75" s="2805"/>
      <c r="WCE75" s="2805"/>
      <c r="WCF75" s="2805"/>
      <c r="WCG75" s="2805"/>
      <c r="WCH75" s="2805"/>
      <c r="WCI75" s="2805"/>
      <c r="WCJ75" s="2805"/>
      <c r="WCK75" s="2805"/>
      <c r="WCL75" s="2805"/>
      <c r="WCM75" s="2805"/>
      <c r="WCN75" s="2805"/>
      <c r="WCO75" s="2805"/>
      <c r="WCP75" s="2805"/>
      <c r="WCQ75" s="2805"/>
      <c r="WCR75" s="2805"/>
      <c r="WCS75" s="2805"/>
      <c r="WCT75" s="2805"/>
      <c r="WCU75" s="2805"/>
      <c r="WCV75" s="2805"/>
      <c r="WCW75" s="2805"/>
      <c r="WCX75" s="2805"/>
      <c r="WCY75" s="2805"/>
      <c r="WCZ75" s="2805"/>
      <c r="WDA75" s="2805"/>
      <c r="WDB75" s="2805"/>
      <c r="WDC75" s="2805"/>
      <c r="WDD75" s="2805"/>
      <c r="WDE75" s="2805"/>
      <c r="WDF75" s="2805"/>
      <c r="WDG75" s="2805"/>
      <c r="WDH75" s="2805"/>
      <c r="WDI75" s="2805"/>
      <c r="WDJ75" s="2805"/>
      <c r="WDK75" s="2805"/>
      <c r="WDL75" s="2805"/>
      <c r="WDM75" s="2805"/>
      <c r="WDN75" s="2805"/>
      <c r="WDO75" s="2805"/>
      <c r="WDP75" s="2805"/>
      <c r="WDQ75" s="2805"/>
      <c r="WDR75" s="2805"/>
      <c r="WDS75" s="2805"/>
      <c r="WDT75" s="2805"/>
      <c r="WDU75" s="2805"/>
      <c r="WDV75" s="2805"/>
      <c r="WDW75" s="2805"/>
      <c r="WDX75" s="2805"/>
      <c r="WDY75" s="2805"/>
      <c r="WDZ75" s="2805"/>
      <c r="WEA75" s="2805"/>
      <c r="WEB75" s="2805"/>
      <c r="WEC75" s="2805"/>
      <c r="WED75" s="2805"/>
      <c r="WEE75" s="2805"/>
      <c r="WEF75" s="2805"/>
      <c r="WEG75" s="2805"/>
      <c r="WEH75" s="2805"/>
      <c r="WEI75" s="2805"/>
      <c r="WEJ75" s="2805"/>
      <c r="WEK75" s="2805"/>
      <c r="WEL75" s="2805"/>
      <c r="WEM75" s="2805"/>
      <c r="WEN75" s="2805"/>
      <c r="WEO75" s="2805"/>
      <c r="WEP75" s="2805"/>
      <c r="WEQ75" s="2805"/>
      <c r="WER75" s="2805"/>
      <c r="WES75" s="2805"/>
      <c r="WET75" s="2805"/>
      <c r="WEU75" s="2805"/>
      <c r="WEV75" s="2805"/>
      <c r="WEW75" s="2805"/>
      <c r="WEX75" s="2805"/>
      <c r="WEY75" s="2805"/>
      <c r="WEZ75" s="2805"/>
      <c r="WFA75" s="2805"/>
      <c r="WFB75" s="2805"/>
      <c r="WFC75" s="2805"/>
      <c r="WFD75" s="2805"/>
      <c r="WFE75" s="2805"/>
      <c r="WFF75" s="2805"/>
      <c r="WFG75" s="2805"/>
      <c r="WFH75" s="2805"/>
      <c r="WFI75" s="2805"/>
      <c r="WFJ75" s="2805"/>
      <c r="WFK75" s="2805"/>
      <c r="WFL75" s="2805"/>
      <c r="WFM75" s="2805"/>
      <c r="WFN75" s="2805"/>
      <c r="WFO75" s="2805"/>
      <c r="WFP75" s="2805"/>
      <c r="WFQ75" s="2805"/>
      <c r="WFR75" s="2805"/>
      <c r="WFS75" s="2805"/>
      <c r="WFT75" s="2805"/>
      <c r="WFU75" s="2805"/>
      <c r="WFV75" s="2805"/>
      <c r="WFW75" s="2805"/>
      <c r="WFX75" s="2805"/>
      <c r="WFY75" s="2805"/>
      <c r="WFZ75" s="2805"/>
      <c r="WGA75" s="2805"/>
      <c r="WGB75" s="2805"/>
      <c r="WGC75" s="2805"/>
      <c r="WGD75" s="2805"/>
      <c r="WGE75" s="2805"/>
      <c r="WGF75" s="2805"/>
      <c r="WGG75" s="2805"/>
      <c r="WGH75" s="2805"/>
      <c r="WGI75" s="2805"/>
      <c r="WGJ75" s="2805"/>
      <c r="WGK75" s="2805"/>
      <c r="WGL75" s="2805"/>
      <c r="WGM75" s="2805"/>
      <c r="WGN75" s="2805"/>
      <c r="WGO75" s="2805"/>
      <c r="WGP75" s="2805"/>
      <c r="WGQ75" s="2805"/>
      <c r="WGR75" s="2805"/>
      <c r="WGS75" s="2805"/>
      <c r="WGT75" s="2805"/>
      <c r="WGU75" s="2805"/>
      <c r="WGV75" s="2805"/>
      <c r="WGW75" s="2805"/>
      <c r="WGX75" s="2805"/>
      <c r="WGY75" s="2805"/>
      <c r="WGZ75" s="2805"/>
      <c r="WHA75" s="2805"/>
      <c r="WHB75" s="2805"/>
      <c r="WHC75" s="2805"/>
      <c r="WHD75" s="2805"/>
      <c r="WHE75" s="2805"/>
      <c r="WHF75" s="2805"/>
      <c r="WHG75" s="2805"/>
      <c r="WHH75" s="2805"/>
      <c r="WHI75" s="2805"/>
      <c r="WHJ75" s="2805"/>
      <c r="WHK75" s="2805"/>
      <c r="WHL75" s="2805"/>
      <c r="WHM75" s="2805"/>
      <c r="WHN75" s="2805"/>
      <c r="WHO75" s="2805"/>
      <c r="WHP75" s="2805"/>
      <c r="WHQ75" s="2805"/>
      <c r="WHR75" s="2805"/>
      <c r="WHS75" s="2805"/>
      <c r="WHT75" s="2805"/>
      <c r="WHU75" s="2805"/>
      <c r="WHV75" s="2805"/>
      <c r="WHW75" s="2805"/>
      <c r="WHX75" s="2805"/>
      <c r="WHY75" s="2805"/>
      <c r="WHZ75" s="2805"/>
      <c r="WIA75" s="2805"/>
      <c r="WIB75" s="2805"/>
      <c r="WIC75" s="2805"/>
      <c r="WID75" s="2805"/>
      <c r="WIE75" s="2805"/>
      <c r="WIF75" s="2805"/>
      <c r="WIG75" s="2805"/>
      <c r="WIH75" s="2805"/>
      <c r="WII75" s="2805"/>
      <c r="WIJ75" s="2805"/>
      <c r="WIK75" s="2805"/>
      <c r="WIL75" s="2805"/>
      <c r="WIM75" s="2805"/>
      <c r="WIN75" s="2805"/>
      <c r="WIO75" s="2805"/>
      <c r="WIP75" s="2805"/>
      <c r="WIQ75" s="2805"/>
      <c r="WIR75" s="2805"/>
      <c r="WIS75" s="2805"/>
      <c r="WIT75" s="2805"/>
      <c r="WIU75" s="2805"/>
      <c r="WIV75" s="2805"/>
      <c r="WIW75" s="2805"/>
      <c r="WIX75" s="2805"/>
      <c r="WIY75" s="2805"/>
      <c r="WIZ75" s="2805"/>
      <c r="WJA75" s="2805"/>
      <c r="WJB75" s="2805"/>
      <c r="WJC75" s="2805"/>
      <c r="WJD75" s="2805"/>
      <c r="WJE75" s="2805"/>
      <c r="WJF75" s="2805"/>
      <c r="WJG75" s="2805"/>
      <c r="WJH75" s="2805"/>
      <c r="WJI75" s="2805"/>
      <c r="WJJ75" s="2805"/>
      <c r="WJK75" s="2805"/>
      <c r="WJL75" s="2805"/>
      <c r="WJM75" s="2805"/>
      <c r="WJN75" s="2805"/>
      <c r="WJO75" s="2805"/>
      <c r="WJP75" s="2805"/>
      <c r="WJQ75" s="2805"/>
      <c r="WJR75" s="2805"/>
      <c r="WJS75" s="2805"/>
      <c r="WJT75" s="2805"/>
      <c r="WJU75" s="2805"/>
      <c r="WJV75" s="2805"/>
      <c r="WJW75" s="2805"/>
      <c r="WJX75" s="2805"/>
      <c r="WJY75" s="2805"/>
      <c r="WJZ75" s="2805"/>
      <c r="WKA75" s="2805"/>
      <c r="WKB75" s="2805"/>
      <c r="WKC75" s="2805"/>
      <c r="WKD75" s="2805"/>
      <c r="WKE75" s="2805"/>
      <c r="WKF75" s="2805"/>
      <c r="WKG75" s="2805"/>
      <c r="WKH75" s="2805"/>
      <c r="WKI75" s="2805"/>
      <c r="WKJ75" s="2805"/>
      <c r="WKK75" s="2805"/>
      <c r="WKL75" s="2805"/>
      <c r="WKM75" s="2805"/>
      <c r="WKN75" s="2805"/>
      <c r="WKO75" s="2805"/>
      <c r="WKP75" s="2805"/>
      <c r="WKQ75" s="2805"/>
      <c r="WKR75" s="2805"/>
      <c r="WKS75" s="2805"/>
      <c r="WKT75" s="2805"/>
      <c r="WKU75" s="2805"/>
      <c r="WKV75" s="2805"/>
      <c r="WKW75" s="2805"/>
      <c r="WKX75" s="2805"/>
      <c r="WKY75" s="2805"/>
      <c r="WKZ75" s="2805"/>
      <c r="WLA75" s="2805"/>
      <c r="WLB75" s="2805"/>
      <c r="WLC75" s="2805"/>
      <c r="WLD75" s="2805"/>
      <c r="WLE75" s="2805"/>
      <c r="WLF75" s="2805"/>
      <c r="WLG75" s="2805"/>
      <c r="WLH75" s="2805"/>
      <c r="WLI75" s="2805"/>
      <c r="WLJ75" s="2805"/>
      <c r="WLK75" s="2805"/>
      <c r="WLL75" s="2805"/>
      <c r="WLM75" s="2805"/>
      <c r="WLN75" s="2805"/>
      <c r="WLO75" s="2805"/>
      <c r="WLP75" s="2805"/>
      <c r="WLQ75" s="2805"/>
      <c r="WLR75" s="2805"/>
      <c r="WLS75" s="2805"/>
      <c r="WLT75" s="2805"/>
      <c r="WLU75" s="2805"/>
      <c r="WLV75" s="2805"/>
      <c r="WLW75" s="2805"/>
      <c r="WLX75" s="2805"/>
      <c r="WLY75" s="2805"/>
      <c r="WLZ75" s="2805"/>
      <c r="WMA75" s="2805"/>
      <c r="WMB75" s="2805"/>
      <c r="WMC75" s="2805"/>
      <c r="WMD75" s="2805"/>
      <c r="WME75" s="2805"/>
      <c r="WMF75" s="2805"/>
      <c r="WMG75" s="2805"/>
      <c r="WMH75" s="2805"/>
      <c r="WMI75" s="2805"/>
      <c r="WMJ75" s="2805"/>
      <c r="WMK75" s="2805"/>
      <c r="WML75" s="2805"/>
      <c r="WMM75" s="2805"/>
      <c r="WMN75" s="2805"/>
      <c r="WMO75" s="2805"/>
      <c r="WMP75" s="2805"/>
      <c r="WMQ75" s="2805"/>
      <c r="WMR75" s="2805"/>
      <c r="WMS75" s="2805"/>
      <c r="WMT75" s="2805"/>
      <c r="WMU75" s="2805"/>
      <c r="WMV75" s="2805"/>
      <c r="WMW75" s="2805"/>
      <c r="WMX75" s="2805"/>
      <c r="WMY75" s="2805"/>
      <c r="WMZ75" s="2805"/>
      <c r="WNA75" s="2805"/>
      <c r="WNB75" s="2805"/>
      <c r="WNC75" s="2805"/>
      <c r="WND75" s="2805"/>
      <c r="WNE75" s="2805"/>
      <c r="WNF75" s="2805"/>
      <c r="WNG75" s="2805"/>
      <c r="WNH75" s="2805"/>
      <c r="WNI75" s="2805"/>
      <c r="WNJ75" s="2805"/>
      <c r="WNK75" s="2805"/>
      <c r="WNL75" s="2805"/>
      <c r="WNM75" s="2805"/>
      <c r="WNN75" s="2805"/>
      <c r="WNO75" s="2805"/>
      <c r="WNP75" s="2805"/>
      <c r="WNQ75" s="2805"/>
      <c r="WNR75" s="2805"/>
      <c r="WNS75" s="2805"/>
      <c r="WNT75" s="2805"/>
      <c r="WNU75" s="2805"/>
      <c r="WNV75" s="2805"/>
      <c r="WNW75" s="2805"/>
      <c r="WNX75" s="2805"/>
      <c r="WNY75" s="2805"/>
      <c r="WNZ75" s="2805"/>
      <c r="WOA75" s="2805"/>
      <c r="WOB75" s="2805"/>
      <c r="WOC75" s="2805"/>
      <c r="WOD75" s="2805"/>
      <c r="WOE75" s="2805"/>
      <c r="WOF75" s="2805"/>
      <c r="WOG75" s="2805"/>
      <c r="WOH75" s="2805"/>
      <c r="WOI75" s="2805"/>
      <c r="WOJ75" s="2805"/>
      <c r="WOK75" s="2805"/>
      <c r="WOL75" s="2805"/>
      <c r="WOM75" s="2805"/>
      <c r="WON75" s="2805"/>
      <c r="WOO75" s="2805"/>
      <c r="WOP75" s="2805"/>
      <c r="WOQ75" s="2805"/>
      <c r="WOR75" s="2805"/>
      <c r="WOS75" s="2805"/>
      <c r="WOT75" s="2805"/>
      <c r="WOU75" s="2805"/>
      <c r="WOV75" s="2805"/>
      <c r="WOW75" s="2805"/>
      <c r="WOX75" s="2805"/>
      <c r="WOY75" s="2805"/>
      <c r="WOZ75" s="2805"/>
      <c r="WPA75" s="2805"/>
      <c r="WPB75" s="2805"/>
      <c r="WPC75" s="2805"/>
      <c r="WPD75" s="2805"/>
      <c r="WPE75" s="2805"/>
      <c r="WPF75" s="2805"/>
      <c r="WPG75" s="2805"/>
      <c r="WPH75" s="2805"/>
      <c r="WPI75" s="2805"/>
      <c r="WPJ75" s="2805"/>
      <c r="WPK75" s="2805"/>
      <c r="WPL75" s="2805"/>
      <c r="WPM75" s="2805"/>
      <c r="WPN75" s="2805"/>
      <c r="WPO75" s="2805"/>
      <c r="WPP75" s="2805"/>
      <c r="WPQ75" s="2805"/>
      <c r="WPR75" s="2805"/>
      <c r="WPS75" s="2805"/>
      <c r="WPT75" s="2805"/>
      <c r="WPU75" s="2805"/>
      <c r="WPV75" s="2805"/>
      <c r="WPW75" s="2805"/>
      <c r="WPX75" s="2805"/>
      <c r="WPY75" s="2805"/>
      <c r="WPZ75" s="2805"/>
      <c r="WQA75" s="2805"/>
      <c r="WQB75" s="2805"/>
      <c r="WQC75" s="2805"/>
      <c r="WQD75" s="2805"/>
      <c r="WQE75" s="2805"/>
      <c r="WQF75" s="2805"/>
      <c r="WQG75" s="2805"/>
      <c r="WQH75" s="2805"/>
      <c r="WQI75" s="2805"/>
      <c r="WQJ75" s="2805"/>
      <c r="WQK75" s="2805"/>
      <c r="WQL75" s="2805"/>
      <c r="WQM75" s="2805"/>
      <c r="WQN75" s="2805"/>
      <c r="WQO75" s="2805"/>
      <c r="WQP75" s="2805"/>
      <c r="WQQ75" s="2805"/>
      <c r="WQR75" s="2805"/>
      <c r="WQS75" s="2805"/>
      <c r="WQT75" s="2805"/>
      <c r="WQU75" s="2805"/>
      <c r="WQV75" s="2805"/>
      <c r="WQW75" s="2805"/>
      <c r="WQX75" s="2805"/>
      <c r="WQY75" s="2805"/>
      <c r="WQZ75" s="2805"/>
      <c r="WRA75" s="2805"/>
      <c r="WRB75" s="2805"/>
      <c r="WRC75" s="2805"/>
      <c r="WRD75" s="2805"/>
      <c r="WRE75" s="2805"/>
      <c r="WRF75" s="2805"/>
      <c r="WRG75" s="2805"/>
      <c r="WRH75" s="2805"/>
      <c r="WRI75" s="2805"/>
      <c r="WRJ75" s="2805"/>
      <c r="WRK75" s="2805"/>
      <c r="WRL75" s="2805"/>
      <c r="WRM75" s="2805"/>
      <c r="WRN75" s="2805"/>
      <c r="WRO75" s="2805"/>
      <c r="WRP75" s="2805"/>
      <c r="WRQ75" s="2805"/>
      <c r="WRR75" s="2805"/>
      <c r="WRS75" s="2805"/>
      <c r="WRT75" s="2805"/>
      <c r="WRU75" s="2805"/>
      <c r="WRV75" s="2805"/>
      <c r="WRW75" s="2805"/>
      <c r="WRX75" s="2805"/>
      <c r="WRY75" s="2805"/>
      <c r="WRZ75" s="2805"/>
      <c r="WSA75" s="2805"/>
      <c r="WSB75" s="2805"/>
      <c r="WSC75" s="2805"/>
      <c r="WSD75" s="2805"/>
      <c r="WSE75" s="2805"/>
      <c r="WSF75" s="2805"/>
      <c r="WSG75" s="2805"/>
      <c r="WSH75" s="2805"/>
      <c r="WSI75" s="2805"/>
      <c r="WSJ75" s="2805"/>
      <c r="WSK75" s="2805"/>
      <c r="WSL75" s="2805"/>
      <c r="WSM75" s="2805"/>
      <c r="WSN75" s="2805"/>
      <c r="WSO75" s="2805"/>
      <c r="WSP75" s="2805"/>
      <c r="WSQ75" s="2805"/>
      <c r="WSR75" s="2805"/>
      <c r="WSS75" s="2805"/>
      <c r="WST75" s="2805"/>
      <c r="WSU75" s="2805"/>
      <c r="WSV75" s="2805"/>
      <c r="WSW75" s="2805"/>
      <c r="WSX75" s="2805"/>
      <c r="WSY75" s="2805"/>
      <c r="WSZ75" s="2805"/>
      <c r="WTA75" s="2805"/>
      <c r="WTB75" s="2805"/>
      <c r="WTC75" s="2805"/>
      <c r="WTD75" s="2805"/>
      <c r="WTE75" s="2805"/>
      <c r="WTF75" s="2805"/>
      <c r="WTG75" s="2805"/>
      <c r="WTH75" s="2805"/>
      <c r="WTI75" s="2805"/>
      <c r="WTJ75" s="2805"/>
      <c r="WTK75" s="2805"/>
      <c r="WTL75" s="2805"/>
      <c r="WTM75" s="2805"/>
      <c r="WTN75" s="2805"/>
      <c r="WTO75" s="2805"/>
      <c r="WTP75" s="2805"/>
      <c r="WTQ75" s="2805"/>
      <c r="WTR75" s="2805"/>
      <c r="WTS75" s="2805"/>
      <c r="WTT75" s="2805"/>
      <c r="WTU75" s="2805"/>
      <c r="WTV75" s="2805"/>
      <c r="WTW75" s="2805"/>
      <c r="WTX75" s="2805"/>
      <c r="WTY75" s="2805"/>
      <c r="WTZ75" s="2805"/>
      <c r="WUA75" s="2805"/>
      <c r="WUB75" s="2805"/>
      <c r="WUC75" s="2805"/>
      <c r="WUD75" s="2805"/>
      <c r="WUE75" s="2805"/>
      <c r="WUF75" s="2805"/>
      <c r="WUG75" s="2805"/>
      <c r="WUH75" s="2805"/>
      <c r="WUI75" s="2805"/>
      <c r="WUJ75" s="2805"/>
      <c r="WUK75" s="2805"/>
      <c r="WUL75" s="2805"/>
      <c r="WUM75" s="2805"/>
      <c r="WUN75" s="2805"/>
      <c r="WUO75" s="2805"/>
      <c r="WUP75" s="2805"/>
      <c r="WUQ75" s="2805"/>
      <c r="WUR75" s="2805"/>
      <c r="WUS75" s="2805"/>
      <c r="WUT75" s="2805"/>
      <c r="WUU75" s="2805"/>
      <c r="WUV75" s="2805"/>
      <c r="WUW75" s="2805"/>
      <c r="WUX75" s="2805"/>
      <c r="WUY75" s="2805"/>
      <c r="WUZ75" s="2805"/>
      <c r="WVA75" s="2805"/>
      <c r="WVB75" s="2805"/>
      <c r="WVC75" s="2805"/>
      <c r="WVD75" s="2805"/>
      <c r="WVE75" s="2805"/>
      <c r="WVF75" s="2805"/>
      <c r="WVG75" s="2805"/>
      <c r="WVH75" s="2805"/>
      <c r="WVI75" s="2805"/>
      <c r="WVJ75" s="2805"/>
      <c r="WVK75" s="2805"/>
      <c r="WVL75" s="2805"/>
      <c r="WVM75" s="2805"/>
      <c r="WVN75" s="2805"/>
      <c r="WVO75" s="2805"/>
      <c r="WVP75" s="2805"/>
      <c r="WVQ75" s="2805"/>
      <c r="WVR75" s="2805"/>
      <c r="WVS75" s="2805"/>
      <c r="WVT75" s="2805"/>
      <c r="WVU75" s="2805"/>
      <c r="WVV75" s="2805"/>
      <c r="WVW75" s="2805"/>
      <c r="WVX75" s="2805"/>
      <c r="WVY75" s="2805"/>
      <c r="WVZ75" s="2805"/>
      <c r="WWA75" s="2805"/>
      <c r="WWB75" s="2805"/>
      <c r="WWC75" s="2805"/>
      <c r="WWD75" s="2805"/>
      <c r="WWE75" s="2805"/>
      <c r="WWF75" s="2805"/>
      <c r="WWG75" s="2805"/>
      <c r="WWH75" s="2805"/>
      <c r="WWI75" s="2805"/>
      <c r="WWJ75" s="2805"/>
      <c r="WWK75" s="2805"/>
      <c r="WWL75" s="2805"/>
      <c r="WWM75" s="2805"/>
      <c r="WWN75" s="2805"/>
      <c r="WWO75" s="2805"/>
      <c r="WWP75" s="2805"/>
      <c r="WWQ75" s="2805"/>
      <c r="WWR75" s="2805"/>
      <c r="WWS75" s="2805"/>
      <c r="WWT75" s="2805"/>
      <c r="WWU75" s="2805"/>
      <c r="WWV75" s="2805"/>
      <c r="WWW75" s="2805"/>
      <c r="WWX75" s="2805"/>
      <c r="WWY75" s="2805"/>
      <c r="WWZ75" s="2805"/>
      <c r="WXA75" s="2805"/>
      <c r="WXB75" s="2805"/>
      <c r="WXC75" s="2805"/>
      <c r="WXD75" s="2805"/>
      <c r="WXE75" s="2805"/>
      <c r="WXF75" s="2805"/>
      <c r="WXG75" s="2805"/>
      <c r="WXH75" s="2805"/>
      <c r="WXI75" s="2805"/>
      <c r="WXJ75" s="2805"/>
      <c r="WXK75" s="2805"/>
      <c r="WXL75" s="2805"/>
      <c r="WXM75" s="2805"/>
      <c r="WXN75" s="2805"/>
      <c r="WXO75" s="2805"/>
      <c r="WXP75" s="2805"/>
      <c r="WXQ75" s="2805"/>
      <c r="WXR75" s="2805"/>
      <c r="WXS75" s="2805"/>
      <c r="WXT75" s="2805"/>
      <c r="WXU75" s="2805"/>
      <c r="WXV75" s="2805"/>
      <c r="WXW75" s="2805"/>
      <c r="WXX75" s="2805"/>
      <c r="WXY75" s="2805"/>
      <c r="WXZ75" s="2805"/>
      <c r="WYA75" s="2805"/>
      <c r="WYB75" s="2805"/>
      <c r="WYC75" s="2805"/>
      <c r="WYD75" s="2805"/>
      <c r="WYE75" s="2805"/>
      <c r="WYF75" s="2805"/>
      <c r="WYG75" s="2805"/>
      <c r="WYH75" s="2805"/>
      <c r="WYI75" s="2805"/>
      <c r="WYJ75" s="2805"/>
      <c r="WYK75" s="2805"/>
      <c r="WYL75" s="2805"/>
      <c r="WYM75" s="2805"/>
      <c r="WYN75" s="2805"/>
      <c r="WYO75" s="2805"/>
      <c r="WYP75" s="2805"/>
      <c r="WYQ75" s="2805"/>
      <c r="WYR75" s="2805"/>
      <c r="WYS75" s="2805"/>
      <c r="WYT75" s="2805"/>
      <c r="WYU75" s="2805"/>
      <c r="WYV75" s="2805"/>
      <c r="WYW75" s="2805"/>
      <c r="WYX75" s="2805"/>
      <c r="WYY75" s="2805"/>
      <c r="WYZ75" s="2805"/>
      <c r="WZA75" s="2805"/>
      <c r="WZB75" s="2805"/>
      <c r="WZC75" s="2805"/>
      <c r="WZD75" s="2805"/>
      <c r="WZE75" s="2805"/>
      <c r="WZF75" s="2805"/>
      <c r="WZG75" s="2805"/>
      <c r="WZH75" s="2805"/>
      <c r="WZI75" s="2805"/>
      <c r="WZJ75" s="2805"/>
      <c r="WZK75" s="2805"/>
      <c r="WZL75" s="2805"/>
      <c r="WZM75" s="2805"/>
      <c r="WZN75" s="2805"/>
      <c r="WZO75" s="2805"/>
      <c r="WZP75" s="2805"/>
      <c r="WZQ75" s="2805"/>
      <c r="WZR75" s="2805"/>
      <c r="WZS75" s="2805"/>
      <c r="WZT75" s="2805"/>
      <c r="WZU75" s="2805"/>
      <c r="WZV75" s="2805"/>
      <c r="WZW75" s="2805"/>
      <c r="WZX75" s="2805"/>
      <c r="WZY75" s="2805"/>
      <c r="WZZ75" s="2805"/>
      <c r="XAA75" s="2805"/>
      <c r="XAB75" s="2805"/>
      <c r="XAC75" s="2805"/>
      <c r="XAD75" s="2805"/>
      <c r="XAE75" s="2805"/>
      <c r="XAF75" s="2805"/>
      <c r="XAG75" s="2805"/>
      <c r="XAH75" s="2805"/>
      <c r="XAI75" s="2805"/>
      <c r="XAJ75" s="2805"/>
      <c r="XAK75" s="2805"/>
      <c r="XAL75" s="2805"/>
      <c r="XAM75" s="2805"/>
      <c r="XAN75" s="2805"/>
      <c r="XAO75" s="2805"/>
      <c r="XAP75" s="2805"/>
      <c r="XAQ75" s="2805"/>
      <c r="XAR75" s="2805"/>
      <c r="XAS75" s="2805"/>
      <c r="XAT75" s="2805"/>
      <c r="XAU75" s="2805"/>
      <c r="XAV75" s="2805"/>
      <c r="XAW75" s="2805"/>
      <c r="XAX75" s="2805"/>
      <c r="XAY75" s="2805"/>
      <c r="XAZ75" s="2805"/>
      <c r="XBA75" s="2805"/>
      <c r="XBB75" s="2805"/>
      <c r="XBC75" s="2805"/>
      <c r="XBD75" s="2805"/>
      <c r="XBE75" s="2805"/>
      <c r="XBF75" s="2805"/>
      <c r="XBG75" s="2805"/>
      <c r="XBH75" s="2805"/>
      <c r="XBI75" s="2805"/>
      <c r="XBJ75" s="2805"/>
      <c r="XBK75" s="2805"/>
      <c r="XBL75" s="2805"/>
      <c r="XBM75" s="2805"/>
      <c r="XBN75" s="2805"/>
      <c r="XBO75" s="2805"/>
      <c r="XBP75" s="2805"/>
      <c r="XBQ75" s="2805"/>
      <c r="XBR75" s="2805"/>
      <c r="XBS75" s="2805"/>
      <c r="XBT75" s="2805"/>
      <c r="XBU75" s="2805"/>
      <c r="XBV75" s="2805"/>
      <c r="XBW75" s="2805"/>
      <c r="XBX75" s="2805"/>
      <c r="XBY75" s="2805"/>
      <c r="XBZ75" s="2805"/>
      <c r="XCA75" s="2805"/>
      <c r="XCB75" s="2805"/>
      <c r="XCC75" s="2805"/>
      <c r="XCD75" s="2805"/>
      <c r="XCE75" s="2805"/>
      <c r="XCF75" s="2805"/>
      <c r="XCG75" s="2805"/>
      <c r="XCH75" s="2805"/>
      <c r="XCI75" s="2805"/>
      <c r="XCJ75" s="2805"/>
      <c r="XCK75" s="2805"/>
      <c r="XCL75" s="2805"/>
      <c r="XCM75" s="2805"/>
      <c r="XCN75" s="2805"/>
      <c r="XCO75" s="2805"/>
      <c r="XCP75" s="2805"/>
      <c r="XCQ75" s="2805"/>
      <c r="XCR75" s="2805"/>
      <c r="XCS75" s="2805"/>
      <c r="XCT75" s="2805"/>
      <c r="XCU75" s="2805"/>
      <c r="XCV75" s="2805"/>
      <c r="XCW75" s="2805"/>
      <c r="XCX75" s="2805"/>
      <c r="XCY75" s="2805"/>
      <c r="XCZ75" s="2805"/>
      <c r="XDA75" s="2805"/>
      <c r="XDB75" s="2805"/>
      <c r="XDC75" s="2805"/>
      <c r="XDD75" s="2805"/>
      <c r="XDE75" s="2805"/>
      <c r="XDF75" s="2805"/>
      <c r="XDG75" s="2805"/>
      <c r="XDH75" s="2805"/>
      <c r="XDI75" s="2805"/>
      <c r="XDJ75" s="2805"/>
      <c r="XDK75" s="2805"/>
      <c r="XDL75" s="2805"/>
      <c r="XDM75" s="2805"/>
      <c r="XDN75" s="2805"/>
      <c r="XDO75" s="2805"/>
      <c r="XDP75" s="2805"/>
      <c r="XDQ75" s="2805"/>
      <c r="XDR75" s="2805"/>
      <c r="XDS75" s="2805"/>
      <c r="XDT75" s="2805"/>
      <c r="XDU75" s="2805"/>
      <c r="XDV75" s="2805"/>
      <c r="XDW75" s="2805"/>
      <c r="XDX75" s="2805"/>
      <c r="XDY75" s="2805"/>
      <c r="XDZ75" s="2805"/>
      <c r="XEA75" s="2805"/>
      <c r="XEB75" s="2805"/>
      <c r="XEC75" s="2805"/>
      <c r="XED75" s="2805"/>
      <c r="XEE75" s="2805"/>
      <c r="XEF75" s="2805"/>
      <c r="XEG75" s="2805"/>
      <c r="XEH75" s="2805"/>
      <c r="XEI75" s="2805"/>
      <c r="XEJ75" s="2805"/>
      <c r="XEK75" s="2805"/>
      <c r="XEL75" s="2805"/>
      <c r="XEM75" s="2805"/>
      <c r="XEN75" s="2805"/>
      <c r="XEO75" s="2805"/>
      <c r="XEP75" s="2805"/>
      <c r="XEQ75" s="2805"/>
      <c r="XER75" s="2805"/>
      <c r="XES75" s="2805"/>
      <c r="XET75" s="2805"/>
      <c r="XEU75" s="2805"/>
      <c r="XEV75" s="2805"/>
      <c r="XEW75" s="2805"/>
      <c r="XEX75" s="2805"/>
      <c r="XEY75" s="2805"/>
      <c r="XEZ75" s="2805"/>
      <c r="XFA75" s="2805"/>
      <c r="XFB75" s="2805"/>
      <c r="XFC75" s="2805"/>
      <c r="XFD75" s="2805"/>
    </row>
    <row r="76" spans="1:16384" s="2815" customFormat="1" ht="27.75" customHeight="1">
      <c r="A76" s="2499"/>
      <c r="B76" s="2516" t="s">
        <v>1651</v>
      </c>
      <c r="C76" s="2526">
        <f>IF(('Balances y Proyecciones'!Q17)&lt;&gt;360,'Balances y Proyecciones'!K61,'Balances y Proyecciones'!K61)</f>
        <v>0</v>
      </c>
      <c r="D76" s="2526"/>
      <c r="E76" s="2527">
        <f>IF(('Balances y Proyecciones'!Q17)&lt;&gt;360,'Balances y Proyecciones'!Q61,'Balances y Proyecciones'!Q61)</f>
        <v>0</v>
      </c>
      <c r="F76" s="2508"/>
      <c r="G76" s="2516" t="s">
        <v>915</v>
      </c>
      <c r="H76" s="2554">
        <f>IF(('Balances y Proyecciones'!Q17)&lt;&gt;360,'Balances y Proyecciones'!AV743,'Balances y Proyecciones'!AV743)</f>
        <v>0</v>
      </c>
      <c r="I76" s="2554"/>
      <c r="J76" s="2555">
        <f>IF(('Balances y Proyecciones'!Q17)&lt;&gt;360,'Balances y Proyecciones'!BB743,'Balances y Proyecciones'!BB743)</f>
        <v>0</v>
      </c>
      <c r="K76" s="2499"/>
      <c r="L76" s="2499"/>
      <c r="M76" s="2499"/>
      <c r="N76" s="2755"/>
      <c r="O76" s="2762"/>
      <c r="P76" s="2762"/>
      <c r="Q76" s="2763"/>
      <c r="R76" s="2764"/>
      <c r="S76" s="2499"/>
      <c r="T76" s="2499"/>
      <c r="U76" s="2499"/>
      <c r="V76" s="2499"/>
      <c r="W76" s="2499"/>
      <c r="X76" s="2499"/>
      <c r="Y76" s="2499"/>
      <c r="Z76" s="2499"/>
      <c r="AA76" s="2499"/>
      <c r="AB76" s="2499"/>
      <c r="AC76" s="2499"/>
      <c r="AD76" s="2499"/>
      <c r="AE76" s="2499"/>
      <c r="AF76" s="2567"/>
      <c r="AG76" s="2567"/>
      <c r="AH76" s="2805"/>
      <c r="AI76" s="2805"/>
      <c r="AJ76" s="2805"/>
      <c r="AK76" s="2805"/>
      <c r="AL76" s="2805"/>
      <c r="AM76" s="2805"/>
      <c r="AN76" s="2805"/>
      <c r="AO76" s="2805"/>
      <c r="AP76" s="2805"/>
      <c r="AQ76" s="2805"/>
      <c r="AR76" s="2805"/>
      <c r="AS76" s="2805"/>
      <c r="AT76" s="2805"/>
      <c r="AU76" s="2805"/>
      <c r="AV76" s="2805"/>
      <c r="AW76" s="2567"/>
      <c r="AX76" s="2567"/>
      <c r="AY76" s="2567"/>
      <c r="AZ76" s="2567"/>
      <c r="BA76" s="2567"/>
      <c r="BB76" s="2567"/>
      <c r="BC76" s="2567"/>
      <c r="BD76" s="2567"/>
      <c r="BE76" s="2567"/>
      <c r="BF76" s="2567"/>
      <c r="BG76" s="2567"/>
      <c r="BH76" s="2567"/>
      <c r="BI76" s="2567"/>
      <c r="BJ76" s="2567"/>
      <c r="BK76" s="2567"/>
      <c r="BL76" s="2567"/>
      <c r="BM76" s="2567"/>
      <c r="BN76" s="2567"/>
      <c r="BO76" s="2567"/>
      <c r="BP76" s="2805"/>
      <c r="BQ76" s="2805"/>
      <c r="BR76" s="2805"/>
      <c r="BS76" s="2805"/>
      <c r="BT76" s="2805"/>
      <c r="BU76" s="2805"/>
      <c r="BV76" s="2805"/>
      <c r="BW76" s="2805"/>
      <c r="BX76" s="2805"/>
      <c r="BY76" s="2805"/>
      <c r="BZ76" s="2805"/>
      <c r="CA76" s="2805"/>
      <c r="CB76" s="2805"/>
      <c r="CC76" s="2805"/>
      <c r="CD76" s="2805"/>
      <c r="CE76" s="2805"/>
      <c r="CF76" s="2805"/>
      <c r="CG76" s="2805"/>
      <c r="CH76" s="2805" t="s">
        <v>1751</v>
      </c>
      <c r="CI76" s="2805">
        <f>IF(CI71&gt;CI75,CI71-CI75,0)</f>
        <v>0</v>
      </c>
      <c r="CJ76" s="2805">
        <f>IF(CJ71&gt;CJ75,CJ71-CJ75,0)</f>
        <v>0</v>
      </c>
      <c r="CK76" s="2805">
        <f>IF(CK71&gt;CK75,CK71-CK75,0)</f>
        <v>0</v>
      </c>
      <c r="CL76" s="2805"/>
      <c r="CM76" s="2805"/>
      <c r="CN76" s="2805"/>
      <c r="CO76" s="2805"/>
      <c r="CP76" s="2805"/>
      <c r="CQ76" s="2805"/>
      <c r="CR76" s="2805"/>
      <c r="CS76" s="2805"/>
      <c r="CT76" s="2805"/>
      <c r="CU76" s="2805"/>
      <c r="CV76" s="2805"/>
      <c r="CW76" s="2805"/>
      <c r="CX76" s="2805"/>
      <c r="CY76" s="2805"/>
      <c r="CZ76" s="2805"/>
      <c r="DA76" s="2805"/>
      <c r="DB76" s="2805"/>
      <c r="DC76" s="2805"/>
      <c r="DD76" s="2805"/>
      <c r="DE76" s="2805"/>
      <c r="DF76" s="2805"/>
      <c r="DG76" s="2805"/>
      <c r="DH76" s="2805"/>
      <c r="DI76" s="2805"/>
      <c r="DJ76" s="2805"/>
      <c r="DK76" s="2805"/>
      <c r="DL76" s="2805"/>
      <c r="DM76" s="2805"/>
      <c r="DN76" s="2805"/>
      <c r="DO76" s="2805"/>
      <c r="DP76" s="2805"/>
      <c r="DQ76" s="2805"/>
      <c r="DR76" s="2805"/>
      <c r="DS76" s="2805"/>
      <c r="DT76" s="2805"/>
      <c r="DU76" s="2805"/>
      <c r="DV76" s="2805"/>
      <c r="DW76" s="2805"/>
      <c r="DX76" s="2805"/>
      <c r="DY76" s="2805"/>
      <c r="DZ76" s="2805"/>
      <c r="EA76" s="2805"/>
      <c r="EB76" s="2805"/>
      <c r="EC76" s="2805"/>
      <c r="ED76" s="2805"/>
      <c r="EE76" s="2805"/>
      <c r="EF76" s="2805"/>
      <c r="EG76" s="2805"/>
      <c r="EH76" s="2805"/>
      <c r="EI76" s="2805"/>
      <c r="EJ76" s="2805"/>
      <c r="EK76" s="2805"/>
      <c r="EL76" s="2805"/>
      <c r="EM76" s="2805"/>
      <c r="EN76" s="2805"/>
      <c r="EO76" s="2805"/>
      <c r="EP76" s="2805"/>
      <c r="EQ76" s="2805"/>
      <c r="ER76" s="2805"/>
      <c r="ES76" s="2805"/>
      <c r="ET76" s="2805"/>
      <c r="EU76" s="2805"/>
      <c r="EV76" s="2805"/>
      <c r="EW76" s="2805"/>
      <c r="EX76" s="2805"/>
      <c r="EY76" s="2805"/>
      <c r="EZ76" s="2805"/>
      <c r="FA76" s="2805"/>
      <c r="FB76" s="2805"/>
      <c r="FC76" s="2805"/>
      <c r="FD76" s="2805"/>
      <c r="FE76" s="2805"/>
      <c r="FF76" s="2805"/>
      <c r="FG76" s="2805"/>
      <c r="FH76" s="2805"/>
      <c r="FI76" s="2805"/>
      <c r="FJ76" s="2805"/>
      <c r="FK76" s="2805"/>
      <c r="FL76" s="2805"/>
      <c r="FM76" s="2805"/>
      <c r="FN76" s="2805"/>
      <c r="FO76" s="2805"/>
      <c r="FP76" s="2805"/>
      <c r="FQ76" s="2805"/>
      <c r="FR76" s="2805"/>
      <c r="FS76" s="2805"/>
      <c r="FT76" s="2805"/>
      <c r="FU76" s="2805"/>
      <c r="FV76" s="2805"/>
      <c r="FW76" s="2805"/>
      <c r="FX76" s="2805"/>
      <c r="FY76" s="2805"/>
      <c r="FZ76" s="2805"/>
      <c r="GA76" s="2805"/>
      <c r="GB76" s="2805"/>
      <c r="GC76" s="2805"/>
      <c r="GD76" s="2805"/>
      <c r="GE76" s="2805"/>
      <c r="GF76" s="2805"/>
      <c r="GG76" s="2805"/>
      <c r="GH76" s="2805"/>
      <c r="GI76" s="2805"/>
      <c r="GJ76" s="2805"/>
      <c r="GK76" s="2805"/>
      <c r="GL76" s="2805"/>
      <c r="GM76" s="2805"/>
      <c r="GN76" s="2805"/>
      <c r="GO76" s="2805"/>
      <c r="GP76" s="2805"/>
      <c r="GQ76" s="2805"/>
      <c r="GR76" s="2805"/>
      <c r="GS76" s="2805"/>
      <c r="GT76" s="2805"/>
      <c r="GU76" s="2805"/>
      <c r="GV76" s="2805"/>
      <c r="GW76" s="2805"/>
      <c r="GX76" s="2805"/>
      <c r="GY76" s="2805"/>
      <c r="GZ76" s="2805"/>
      <c r="HA76" s="2805"/>
      <c r="HB76" s="2805"/>
      <c r="HC76" s="2805"/>
      <c r="HD76" s="2805"/>
      <c r="HE76" s="2805"/>
      <c r="HF76" s="2805"/>
      <c r="HG76" s="2805"/>
      <c r="HH76" s="2805"/>
      <c r="HI76" s="2805"/>
      <c r="HJ76" s="2805"/>
      <c r="HK76" s="2805"/>
      <c r="HL76" s="2805"/>
      <c r="HM76" s="2805"/>
      <c r="HN76" s="2805"/>
      <c r="HO76" s="2805"/>
      <c r="HP76" s="2805"/>
      <c r="HQ76" s="2805"/>
      <c r="HR76" s="2805"/>
      <c r="HS76" s="2805"/>
      <c r="HT76" s="2805"/>
      <c r="HU76" s="2805"/>
      <c r="HV76" s="2805"/>
      <c r="HW76" s="2805"/>
      <c r="HX76" s="2805"/>
      <c r="HY76" s="2805"/>
      <c r="HZ76" s="2805"/>
      <c r="IA76" s="2805"/>
      <c r="IB76" s="2805"/>
      <c r="IC76" s="2805"/>
      <c r="ID76" s="2805"/>
      <c r="IE76" s="2805"/>
      <c r="IF76" s="2805"/>
      <c r="IG76" s="2805"/>
      <c r="IH76" s="2805"/>
      <c r="II76" s="2805"/>
      <c r="IJ76" s="2805"/>
      <c r="IK76" s="2805"/>
      <c r="IL76" s="2805"/>
      <c r="IM76" s="2805"/>
      <c r="IN76" s="2805"/>
      <c r="IO76" s="2805"/>
      <c r="IP76" s="2805"/>
      <c r="IQ76" s="2805"/>
      <c r="IR76" s="2805"/>
      <c r="IS76" s="2805"/>
      <c r="IT76" s="2805"/>
      <c r="IU76" s="2805"/>
      <c r="IV76" s="2805"/>
      <c r="IW76" s="2805"/>
      <c r="IX76" s="2805"/>
      <c r="IY76" s="2805"/>
      <c r="IZ76" s="2805"/>
      <c r="JA76" s="2805"/>
      <c r="JB76" s="2805"/>
      <c r="JC76" s="2805"/>
      <c r="JD76" s="2805"/>
      <c r="JE76" s="2805"/>
      <c r="JF76" s="2805"/>
      <c r="JG76" s="2805"/>
      <c r="JH76" s="2805"/>
      <c r="JI76" s="2805"/>
      <c r="JJ76" s="2805"/>
      <c r="JK76" s="2805"/>
      <c r="JL76" s="2805"/>
      <c r="JM76" s="2805"/>
      <c r="JN76" s="2805"/>
      <c r="JO76" s="2805"/>
      <c r="JP76" s="2805"/>
      <c r="JQ76" s="2805"/>
      <c r="JR76" s="2805"/>
      <c r="JS76" s="2805"/>
      <c r="JT76" s="2805"/>
      <c r="JU76" s="2805"/>
      <c r="JV76" s="2805"/>
      <c r="JW76" s="2805"/>
      <c r="JX76" s="2805"/>
      <c r="JY76" s="2805"/>
      <c r="JZ76" s="2805"/>
      <c r="KA76" s="2805"/>
      <c r="KB76" s="2805"/>
      <c r="KC76" s="2805"/>
      <c r="KD76" s="2805"/>
      <c r="KE76" s="2805"/>
      <c r="KF76" s="2805"/>
      <c r="KG76" s="2805"/>
      <c r="KH76" s="2805"/>
      <c r="KI76" s="2805"/>
      <c r="KJ76" s="2805"/>
      <c r="KK76" s="2805"/>
      <c r="KL76" s="2805"/>
      <c r="KM76" s="2805"/>
      <c r="KN76" s="2805"/>
      <c r="KO76" s="2805"/>
      <c r="KP76" s="2805"/>
      <c r="KQ76" s="2805"/>
      <c r="KR76" s="2805"/>
      <c r="KS76" s="2805"/>
      <c r="KT76" s="2805"/>
      <c r="KU76" s="2805"/>
      <c r="KV76" s="2805"/>
      <c r="KW76" s="2805"/>
      <c r="KX76" s="2805"/>
      <c r="KY76" s="2805"/>
      <c r="KZ76" s="2805"/>
      <c r="LA76" s="2805"/>
      <c r="LB76" s="2805"/>
      <c r="LC76" s="2805"/>
      <c r="LD76" s="2805"/>
      <c r="LE76" s="2805"/>
      <c r="LF76" s="2805"/>
      <c r="LG76" s="2805"/>
      <c r="LH76" s="2805"/>
      <c r="LI76" s="2805"/>
      <c r="LJ76" s="2805"/>
      <c r="LK76" s="2805"/>
      <c r="LL76" s="2805"/>
      <c r="LM76" s="2805"/>
      <c r="LN76" s="2805"/>
      <c r="LO76" s="2805"/>
      <c r="LP76" s="2805"/>
      <c r="LQ76" s="2805"/>
      <c r="LR76" s="2805"/>
      <c r="LS76" s="2805"/>
      <c r="LT76" s="2805"/>
      <c r="LU76" s="2805"/>
      <c r="LV76" s="2805"/>
      <c r="LW76" s="2805"/>
      <c r="LX76" s="2805"/>
      <c r="LY76" s="2805"/>
      <c r="LZ76" s="2805"/>
      <c r="MA76" s="2805"/>
      <c r="MB76" s="2805"/>
      <c r="MC76" s="2805"/>
      <c r="MD76" s="2805"/>
      <c r="ME76" s="2805"/>
      <c r="MF76" s="2805"/>
      <c r="MG76" s="2805"/>
      <c r="MH76" s="2805"/>
      <c r="MI76" s="2805"/>
      <c r="MJ76" s="2805"/>
      <c r="MK76" s="2805"/>
      <c r="ML76" s="2805"/>
      <c r="MM76" s="2805"/>
      <c r="MN76" s="2805"/>
      <c r="MO76" s="2805"/>
      <c r="MP76" s="2805"/>
      <c r="MQ76" s="2805"/>
      <c r="MR76" s="2805"/>
      <c r="MS76" s="2805"/>
      <c r="MT76" s="2805"/>
      <c r="MU76" s="2805"/>
      <c r="MV76" s="2805"/>
      <c r="MW76" s="2805"/>
      <c r="MX76" s="2805"/>
      <c r="MY76" s="2805"/>
      <c r="MZ76" s="2805"/>
      <c r="NA76" s="2805"/>
      <c r="NB76" s="2805"/>
      <c r="NC76" s="2805"/>
      <c r="ND76" s="2805"/>
      <c r="NE76" s="2805"/>
      <c r="NF76" s="2805"/>
      <c r="NG76" s="2805"/>
      <c r="NH76" s="2805"/>
      <c r="NI76" s="2805"/>
      <c r="NJ76" s="2805"/>
      <c r="NK76" s="2805"/>
      <c r="NL76" s="2805"/>
      <c r="NM76" s="2805"/>
      <c r="NN76" s="2805"/>
      <c r="NO76" s="2805"/>
      <c r="NP76" s="2805"/>
      <c r="NQ76" s="2805"/>
      <c r="NR76" s="2805"/>
      <c r="NS76" s="2805"/>
      <c r="NT76" s="2805"/>
      <c r="NU76" s="2805"/>
      <c r="NV76" s="2805"/>
      <c r="NW76" s="2805"/>
      <c r="NX76" s="2805"/>
      <c r="NY76" s="2805"/>
      <c r="NZ76" s="2805"/>
      <c r="OA76" s="2805"/>
      <c r="OB76" s="2805"/>
      <c r="OC76" s="2805"/>
      <c r="OD76" s="2805"/>
      <c r="OE76" s="2805"/>
      <c r="OF76" s="2805"/>
      <c r="OG76" s="2805"/>
      <c r="OH76" s="2805"/>
      <c r="OI76" s="2805"/>
      <c r="OJ76" s="2805"/>
      <c r="OK76" s="2805"/>
      <c r="OL76" s="2805"/>
      <c r="OM76" s="2805"/>
      <c r="ON76" s="2805"/>
      <c r="OO76" s="2805"/>
      <c r="OP76" s="2805"/>
      <c r="OQ76" s="2805"/>
      <c r="OR76" s="2805"/>
      <c r="OS76" s="2805"/>
      <c r="OT76" s="2805"/>
      <c r="OU76" s="2805"/>
      <c r="OV76" s="2805"/>
      <c r="OW76" s="2805"/>
      <c r="OX76" s="2805"/>
      <c r="OY76" s="2805"/>
      <c r="OZ76" s="2805"/>
      <c r="PA76" s="2805"/>
      <c r="PB76" s="2805"/>
      <c r="PC76" s="2805"/>
      <c r="PD76" s="2805"/>
      <c r="PE76" s="2805"/>
      <c r="PF76" s="2805"/>
      <c r="PG76" s="2805"/>
      <c r="PH76" s="2805"/>
      <c r="PI76" s="2805"/>
      <c r="PJ76" s="2805"/>
      <c r="PK76" s="2805"/>
      <c r="PL76" s="2805"/>
      <c r="PM76" s="2805"/>
      <c r="PN76" s="2805"/>
      <c r="PO76" s="2805"/>
      <c r="PP76" s="2805"/>
      <c r="PQ76" s="2805"/>
      <c r="PR76" s="2805"/>
      <c r="PS76" s="2805"/>
      <c r="PT76" s="2805"/>
      <c r="PU76" s="2805"/>
      <c r="PV76" s="2805"/>
      <c r="PW76" s="2805"/>
      <c r="PX76" s="2805"/>
      <c r="PY76" s="2805"/>
      <c r="PZ76" s="2805"/>
      <c r="QA76" s="2805"/>
      <c r="QB76" s="2805"/>
      <c r="QC76" s="2805"/>
      <c r="QD76" s="2805"/>
      <c r="QE76" s="2805"/>
      <c r="QF76" s="2805"/>
      <c r="QG76" s="2805"/>
      <c r="QH76" s="2805"/>
      <c r="QI76" s="2805"/>
      <c r="QJ76" s="2805"/>
      <c r="QK76" s="2805"/>
      <c r="QL76" s="2805"/>
      <c r="QM76" s="2805"/>
      <c r="QN76" s="2805"/>
      <c r="QO76" s="2805"/>
      <c r="QP76" s="2805"/>
      <c r="QQ76" s="2805"/>
      <c r="QR76" s="2805"/>
      <c r="QS76" s="2805"/>
      <c r="QT76" s="2805"/>
      <c r="QU76" s="2805"/>
      <c r="QV76" s="2805"/>
      <c r="QW76" s="2805"/>
      <c r="QX76" s="2805"/>
      <c r="QY76" s="2805"/>
      <c r="QZ76" s="2805"/>
      <c r="RA76" s="2805"/>
      <c r="RB76" s="2805"/>
      <c r="RC76" s="2805"/>
      <c r="RD76" s="2805"/>
      <c r="RE76" s="2805"/>
      <c r="RF76" s="2805"/>
      <c r="RG76" s="2805"/>
      <c r="RH76" s="2805"/>
      <c r="RI76" s="2805"/>
      <c r="RJ76" s="2805"/>
      <c r="RK76" s="2805"/>
      <c r="RL76" s="2805"/>
      <c r="RM76" s="2805"/>
      <c r="RN76" s="2805"/>
      <c r="RO76" s="2805"/>
      <c r="RP76" s="2805"/>
      <c r="RQ76" s="2805"/>
      <c r="RR76" s="2805"/>
      <c r="RS76" s="2805"/>
      <c r="RT76" s="2805"/>
      <c r="RU76" s="2805"/>
      <c r="RV76" s="2805"/>
      <c r="RW76" s="2805"/>
      <c r="RX76" s="2805"/>
      <c r="RY76" s="2805"/>
      <c r="RZ76" s="2805"/>
      <c r="SA76" s="2805"/>
      <c r="SB76" s="2805"/>
      <c r="SC76" s="2805"/>
      <c r="SD76" s="2805"/>
      <c r="SE76" s="2805"/>
      <c r="SF76" s="2805"/>
      <c r="SG76" s="2805"/>
      <c r="SH76" s="2805"/>
      <c r="SI76" s="2805"/>
      <c r="SJ76" s="2805"/>
      <c r="SK76" s="2805"/>
      <c r="SL76" s="2805"/>
      <c r="SM76" s="2805"/>
      <c r="SN76" s="2805"/>
      <c r="SO76" s="2805"/>
      <c r="SP76" s="2805"/>
      <c r="SQ76" s="2805"/>
      <c r="SR76" s="2805"/>
      <c r="SS76" s="2805"/>
      <c r="ST76" s="2805"/>
      <c r="SU76" s="2805"/>
      <c r="SV76" s="2805"/>
      <c r="SW76" s="2805"/>
      <c r="SX76" s="2805"/>
      <c r="SY76" s="2805"/>
      <c r="SZ76" s="2805"/>
      <c r="TA76" s="2805"/>
      <c r="TB76" s="2805"/>
      <c r="TC76" s="2805"/>
      <c r="TD76" s="2805"/>
      <c r="TE76" s="2805"/>
      <c r="TF76" s="2805"/>
      <c r="TG76" s="2805"/>
      <c r="TH76" s="2805"/>
      <c r="TI76" s="2805"/>
      <c r="TJ76" s="2805"/>
      <c r="TK76" s="2805"/>
      <c r="TL76" s="2805"/>
      <c r="TM76" s="2805"/>
      <c r="TN76" s="2805"/>
      <c r="TO76" s="2805"/>
      <c r="TP76" s="2805"/>
      <c r="TQ76" s="2805"/>
      <c r="TR76" s="2805"/>
      <c r="TS76" s="2805"/>
      <c r="TT76" s="2805"/>
      <c r="TU76" s="2805"/>
      <c r="TV76" s="2805"/>
      <c r="TW76" s="2805"/>
      <c r="TX76" s="2805"/>
      <c r="TY76" s="2805"/>
      <c r="TZ76" s="2805"/>
      <c r="UA76" s="2805"/>
      <c r="UB76" s="2805"/>
      <c r="UC76" s="2805"/>
      <c r="UD76" s="2805"/>
      <c r="UE76" s="2805"/>
      <c r="UF76" s="2805"/>
      <c r="UG76" s="2805"/>
      <c r="UH76" s="2805"/>
      <c r="UI76" s="2805"/>
      <c r="UJ76" s="2805"/>
      <c r="UK76" s="2805"/>
      <c r="UL76" s="2805"/>
      <c r="UM76" s="2805"/>
      <c r="UN76" s="2805"/>
      <c r="UO76" s="2805"/>
      <c r="UP76" s="2805"/>
      <c r="UQ76" s="2805"/>
      <c r="UR76" s="2805"/>
      <c r="US76" s="2805"/>
      <c r="UT76" s="2805"/>
      <c r="UU76" s="2805"/>
      <c r="UV76" s="2805"/>
      <c r="UW76" s="2805"/>
      <c r="UX76" s="2805"/>
      <c r="UY76" s="2805"/>
      <c r="UZ76" s="2805"/>
      <c r="VA76" s="2805"/>
      <c r="VB76" s="2805"/>
      <c r="VC76" s="2805"/>
      <c r="VD76" s="2805"/>
      <c r="VE76" s="2805"/>
      <c r="VF76" s="2805"/>
      <c r="VG76" s="2805"/>
      <c r="VH76" s="2805"/>
      <c r="VI76" s="2805"/>
      <c r="VJ76" s="2805"/>
      <c r="VK76" s="2805"/>
      <c r="VL76" s="2805"/>
      <c r="VM76" s="2805"/>
      <c r="VN76" s="2805"/>
      <c r="VO76" s="2805"/>
      <c r="VP76" s="2805"/>
      <c r="VQ76" s="2805"/>
      <c r="VR76" s="2805"/>
      <c r="VS76" s="2805"/>
      <c r="VT76" s="2805"/>
      <c r="VU76" s="2805"/>
      <c r="VV76" s="2805"/>
      <c r="VW76" s="2805"/>
      <c r="VX76" s="2805"/>
      <c r="VY76" s="2805"/>
      <c r="VZ76" s="2805"/>
      <c r="WA76" s="2805"/>
      <c r="WB76" s="2805"/>
      <c r="WC76" s="2805"/>
      <c r="WD76" s="2805"/>
      <c r="WE76" s="2805"/>
      <c r="WF76" s="2805"/>
      <c r="WG76" s="2805"/>
      <c r="WH76" s="2805"/>
      <c r="WI76" s="2805"/>
      <c r="WJ76" s="2805"/>
      <c r="WK76" s="2805"/>
      <c r="WL76" s="2805"/>
      <c r="WM76" s="2805"/>
      <c r="WN76" s="2805"/>
      <c r="WO76" s="2805"/>
      <c r="WP76" s="2805"/>
      <c r="WQ76" s="2805"/>
      <c r="WR76" s="2805"/>
      <c r="WS76" s="2805"/>
      <c r="WT76" s="2805"/>
      <c r="WU76" s="2805"/>
      <c r="WV76" s="2805"/>
      <c r="WW76" s="2805"/>
      <c r="WX76" s="2805"/>
      <c r="WY76" s="2805"/>
      <c r="WZ76" s="2805"/>
      <c r="XA76" s="2805"/>
      <c r="XB76" s="2805"/>
      <c r="XC76" s="2805"/>
      <c r="XD76" s="2805"/>
      <c r="XE76" s="2805"/>
      <c r="XF76" s="2805"/>
      <c r="XG76" s="2805"/>
      <c r="XH76" s="2805"/>
      <c r="XI76" s="2805"/>
      <c r="XJ76" s="2805"/>
      <c r="XK76" s="2805"/>
      <c r="XL76" s="2805"/>
      <c r="XM76" s="2805"/>
      <c r="XN76" s="2805"/>
      <c r="XO76" s="2805"/>
      <c r="XP76" s="2805"/>
      <c r="XQ76" s="2805"/>
      <c r="XR76" s="2805"/>
      <c r="XS76" s="2805"/>
      <c r="XT76" s="2805"/>
      <c r="XU76" s="2805"/>
      <c r="XV76" s="2805"/>
      <c r="XW76" s="2805"/>
      <c r="XX76" s="2805"/>
      <c r="XY76" s="2805"/>
      <c r="XZ76" s="2805"/>
      <c r="YA76" s="2805"/>
      <c r="YB76" s="2805"/>
      <c r="YC76" s="2805"/>
      <c r="YD76" s="2805"/>
      <c r="YE76" s="2805"/>
      <c r="YF76" s="2805"/>
      <c r="YG76" s="2805"/>
      <c r="YH76" s="2805"/>
      <c r="YI76" s="2805"/>
      <c r="YJ76" s="2805"/>
      <c r="YK76" s="2805"/>
      <c r="YL76" s="2805"/>
      <c r="YM76" s="2805"/>
      <c r="YN76" s="2805"/>
      <c r="YO76" s="2805"/>
      <c r="YP76" s="2805"/>
      <c r="YQ76" s="2805"/>
      <c r="YR76" s="2805"/>
      <c r="YS76" s="2805"/>
      <c r="YT76" s="2805"/>
      <c r="YU76" s="2805"/>
      <c r="YV76" s="2805"/>
      <c r="YW76" s="2805"/>
      <c r="YX76" s="2805"/>
      <c r="YY76" s="2805"/>
      <c r="YZ76" s="2805"/>
      <c r="ZA76" s="2805"/>
      <c r="ZB76" s="2805"/>
      <c r="ZC76" s="2805"/>
      <c r="ZD76" s="2805"/>
      <c r="ZE76" s="2805"/>
      <c r="ZF76" s="2805"/>
      <c r="ZG76" s="2805"/>
      <c r="ZH76" s="2805"/>
      <c r="ZI76" s="2805"/>
      <c r="ZJ76" s="2805"/>
      <c r="ZK76" s="2805"/>
      <c r="ZL76" s="2805"/>
      <c r="ZM76" s="2805"/>
      <c r="ZN76" s="2805"/>
      <c r="ZO76" s="2805"/>
      <c r="ZP76" s="2805"/>
      <c r="ZQ76" s="2805"/>
      <c r="ZR76" s="2805"/>
      <c r="ZS76" s="2805"/>
      <c r="ZT76" s="2805"/>
      <c r="ZU76" s="2805"/>
      <c r="ZV76" s="2805"/>
      <c r="ZW76" s="2805"/>
      <c r="ZX76" s="2805"/>
      <c r="ZY76" s="2805"/>
      <c r="ZZ76" s="2805"/>
      <c r="AAA76" s="2805"/>
      <c r="AAB76" s="2805"/>
      <c r="AAC76" s="2805"/>
      <c r="AAD76" s="2805"/>
      <c r="AAE76" s="2805"/>
      <c r="AAF76" s="2805"/>
      <c r="AAG76" s="2805"/>
      <c r="AAH76" s="2805"/>
      <c r="AAI76" s="2805"/>
      <c r="AAJ76" s="2805"/>
      <c r="AAK76" s="2805"/>
      <c r="AAL76" s="2805"/>
      <c r="AAM76" s="2805"/>
      <c r="AAN76" s="2805"/>
      <c r="AAO76" s="2805"/>
      <c r="AAP76" s="2805"/>
      <c r="AAQ76" s="2805"/>
      <c r="AAR76" s="2805"/>
      <c r="AAS76" s="2805"/>
      <c r="AAT76" s="2805"/>
      <c r="AAU76" s="2805"/>
      <c r="AAV76" s="2805"/>
      <c r="AAW76" s="2805"/>
      <c r="AAX76" s="2805"/>
      <c r="AAY76" s="2805"/>
      <c r="AAZ76" s="2805"/>
      <c r="ABA76" s="2805"/>
      <c r="ABB76" s="2805"/>
      <c r="ABC76" s="2805"/>
      <c r="ABD76" s="2805"/>
      <c r="ABE76" s="2805"/>
      <c r="ABF76" s="2805"/>
      <c r="ABG76" s="2805"/>
      <c r="ABH76" s="2805"/>
      <c r="ABI76" s="2805"/>
      <c r="ABJ76" s="2805"/>
      <c r="ABK76" s="2805"/>
      <c r="ABL76" s="2805"/>
      <c r="ABM76" s="2805"/>
      <c r="ABN76" s="2805"/>
      <c r="ABO76" s="2805"/>
      <c r="ABP76" s="2805"/>
      <c r="ABQ76" s="2805"/>
      <c r="ABR76" s="2805"/>
      <c r="ABS76" s="2805"/>
      <c r="ABT76" s="2805"/>
      <c r="ABU76" s="2805"/>
      <c r="ABV76" s="2805"/>
      <c r="ABW76" s="2805"/>
      <c r="ABX76" s="2805"/>
      <c r="ABY76" s="2805"/>
      <c r="ABZ76" s="2805"/>
      <c r="ACA76" s="2805"/>
      <c r="ACB76" s="2805"/>
      <c r="ACC76" s="2805"/>
      <c r="ACD76" s="2805"/>
      <c r="ACE76" s="2805"/>
      <c r="ACF76" s="2805"/>
      <c r="ACG76" s="2805"/>
      <c r="ACH76" s="2805"/>
      <c r="ACI76" s="2805"/>
      <c r="ACJ76" s="2805"/>
      <c r="ACK76" s="2805"/>
      <c r="ACL76" s="2805"/>
      <c r="ACM76" s="2805"/>
      <c r="ACN76" s="2805"/>
      <c r="ACO76" s="2805"/>
      <c r="ACP76" s="2805"/>
      <c r="ACQ76" s="2805"/>
      <c r="ACR76" s="2805"/>
      <c r="ACS76" s="2805"/>
      <c r="ACT76" s="2805"/>
      <c r="ACU76" s="2805"/>
      <c r="ACV76" s="2805"/>
      <c r="ACW76" s="2805"/>
      <c r="ACX76" s="2805"/>
      <c r="ACY76" s="2805"/>
      <c r="ACZ76" s="2805"/>
      <c r="ADA76" s="2805"/>
      <c r="ADB76" s="2805"/>
      <c r="ADC76" s="2805"/>
      <c r="ADD76" s="2805"/>
      <c r="ADE76" s="2805"/>
      <c r="ADF76" s="2805"/>
      <c r="ADG76" s="2805"/>
      <c r="ADH76" s="2805"/>
      <c r="ADI76" s="2805"/>
      <c r="ADJ76" s="2805"/>
      <c r="ADK76" s="2805"/>
      <c r="ADL76" s="2805"/>
      <c r="ADM76" s="2805"/>
      <c r="ADN76" s="2805"/>
      <c r="ADO76" s="2805"/>
      <c r="ADP76" s="2805"/>
      <c r="ADQ76" s="2805"/>
      <c r="ADR76" s="2805"/>
      <c r="ADS76" s="2805"/>
      <c r="ADT76" s="2805"/>
      <c r="ADU76" s="2805"/>
      <c r="ADV76" s="2805"/>
      <c r="ADW76" s="2805"/>
      <c r="ADX76" s="2805"/>
      <c r="ADY76" s="2805"/>
      <c r="ADZ76" s="2805"/>
      <c r="AEA76" s="2805"/>
      <c r="AEB76" s="2805"/>
      <c r="AEC76" s="2805"/>
      <c r="AED76" s="2805"/>
      <c r="AEE76" s="2805"/>
      <c r="AEF76" s="2805"/>
      <c r="AEG76" s="2805"/>
      <c r="AEH76" s="2805"/>
      <c r="AEI76" s="2805"/>
      <c r="AEJ76" s="2805"/>
      <c r="AEK76" s="2805"/>
      <c r="AEL76" s="2805"/>
      <c r="AEM76" s="2805"/>
      <c r="AEN76" s="2805"/>
      <c r="AEO76" s="2805"/>
      <c r="AEP76" s="2805"/>
      <c r="AEQ76" s="2805"/>
      <c r="AER76" s="2805"/>
      <c r="AES76" s="2805"/>
      <c r="AET76" s="2805"/>
      <c r="AEU76" s="2805"/>
      <c r="AEV76" s="2805"/>
      <c r="AEW76" s="2805"/>
      <c r="AEX76" s="2805"/>
      <c r="AEY76" s="2805"/>
      <c r="AEZ76" s="2805"/>
      <c r="AFA76" s="2805"/>
      <c r="AFB76" s="2805"/>
      <c r="AFC76" s="2805"/>
      <c r="AFD76" s="2805"/>
      <c r="AFE76" s="2805"/>
      <c r="AFF76" s="2805"/>
      <c r="AFG76" s="2805"/>
      <c r="AFH76" s="2805"/>
      <c r="AFI76" s="2805"/>
      <c r="AFJ76" s="2805"/>
      <c r="AFK76" s="2805"/>
      <c r="AFL76" s="2805"/>
      <c r="AFM76" s="2805"/>
      <c r="AFN76" s="2805"/>
      <c r="AFO76" s="2805"/>
      <c r="AFP76" s="2805"/>
      <c r="AFQ76" s="2805"/>
      <c r="AFR76" s="2805"/>
      <c r="AFS76" s="2805"/>
      <c r="AFT76" s="2805"/>
      <c r="AFU76" s="2805"/>
      <c r="AFV76" s="2805"/>
      <c r="AFW76" s="2805"/>
      <c r="AFX76" s="2805"/>
      <c r="AFY76" s="2805"/>
      <c r="AFZ76" s="2805"/>
      <c r="AGA76" s="2805"/>
      <c r="AGB76" s="2805"/>
      <c r="AGC76" s="2805"/>
      <c r="AGD76" s="2805"/>
      <c r="AGE76" s="2805"/>
      <c r="AGF76" s="2805"/>
      <c r="AGG76" s="2805"/>
      <c r="AGH76" s="2805"/>
      <c r="AGI76" s="2805"/>
      <c r="AGJ76" s="2805"/>
      <c r="AGK76" s="2805"/>
      <c r="AGL76" s="2805"/>
      <c r="AGM76" s="2805"/>
      <c r="AGN76" s="2805"/>
      <c r="AGO76" s="2805"/>
      <c r="AGP76" s="2805"/>
      <c r="AGQ76" s="2805"/>
      <c r="AGR76" s="2805"/>
      <c r="AGS76" s="2805"/>
      <c r="AGT76" s="2805"/>
      <c r="AGU76" s="2805"/>
      <c r="AGV76" s="2805"/>
      <c r="AGW76" s="2805"/>
      <c r="AGX76" s="2805"/>
      <c r="AGY76" s="2805"/>
      <c r="AGZ76" s="2805"/>
      <c r="AHA76" s="2805"/>
      <c r="AHB76" s="2805"/>
      <c r="AHC76" s="2805"/>
      <c r="AHD76" s="2805"/>
      <c r="AHE76" s="2805"/>
      <c r="AHF76" s="2805"/>
      <c r="AHG76" s="2805"/>
      <c r="AHH76" s="2805"/>
      <c r="AHI76" s="2805"/>
      <c r="AHJ76" s="2805"/>
      <c r="AHK76" s="2805"/>
      <c r="AHL76" s="2805"/>
      <c r="AHM76" s="2805"/>
      <c r="AHN76" s="2805"/>
      <c r="AHO76" s="2805"/>
      <c r="AHP76" s="2805"/>
      <c r="AHQ76" s="2805"/>
      <c r="AHR76" s="2805"/>
      <c r="AHS76" s="2805"/>
      <c r="AHT76" s="2805"/>
      <c r="AHU76" s="2805"/>
      <c r="AHV76" s="2805"/>
      <c r="AHW76" s="2805"/>
      <c r="AHX76" s="2805"/>
      <c r="AHY76" s="2805"/>
      <c r="AHZ76" s="2805"/>
      <c r="AIA76" s="2805"/>
      <c r="AIB76" s="2805"/>
      <c r="AIC76" s="2805"/>
      <c r="AID76" s="2805"/>
      <c r="AIE76" s="2805"/>
      <c r="AIF76" s="2805"/>
      <c r="AIG76" s="2805"/>
      <c r="AIH76" s="2805"/>
      <c r="AII76" s="2805"/>
      <c r="AIJ76" s="2805"/>
      <c r="AIK76" s="2805"/>
      <c r="AIL76" s="2805"/>
      <c r="AIM76" s="2805"/>
      <c r="AIN76" s="2805"/>
      <c r="AIO76" s="2805"/>
      <c r="AIP76" s="2805"/>
      <c r="AIQ76" s="2805"/>
      <c r="AIR76" s="2805"/>
      <c r="AIS76" s="2805"/>
      <c r="AIT76" s="2805"/>
      <c r="AIU76" s="2805"/>
      <c r="AIV76" s="2805"/>
      <c r="AIW76" s="2805"/>
      <c r="AIX76" s="2805"/>
      <c r="AIY76" s="2805"/>
      <c r="AIZ76" s="2805"/>
      <c r="AJA76" s="2805"/>
      <c r="AJB76" s="2805"/>
      <c r="AJC76" s="2805"/>
      <c r="AJD76" s="2805"/>
      <c r="AJE76" s="2805"/>
      <c r="AJF76" s="2805"/>
      <c r="AJG76" s="2805"/>
      <c r="AJH76" s="2805"/>
      <c r="AJI76" s="2805"/>
      <c r="AJJ76" s="2805"/>
      <c r="AJK76" s="2805"/>
      <c r="AJL76" s="2805"/>
      <c r="AJM76" s="2805"/>
      <c r="AJN76" s="2805"/>
      <c r="AJO76" s="2805"/>
      <c r="AJP76" s="2805"/>
      <c r="AJQ76" s="2805"/>
      <c r="AJR76" s="2805"/>
      <c r="AJS76" s="2805"/>
      <c r="AJT76" s="2805"/>
      <c r="AJU76" s="2805"/>
      <c r="AJV76" s="2805"/>
      <c r="AJW76" s="2805"/>
      <c r="AJX76" s="2805"/>
      <c r="AJY76" s="2805"/>
      <c r="AJZ76" s="2805"/>
      <c r="AKA76" s="2805"/>
      <c r="AKB76" s="2805"/>
      <c r="AKC76" s="2805"/>
      <c r="AKD76" s="2805"/>
      <c r="AKE76" s="2805"/>
      <c r="AKF76" s="2805"/>
      <c r="AKG76" s="2805"/>
      <c r="AKH76" s="2805"/>
      <c r="AKI76" s="2805"/>
      <c r="AKJ76" s="2805"/>
      <c r="AKK76" s="2805"/>
      <c r="AKL76" s="2805"/>
      <c r="AKM76" s="2805"/>
      <c r="AKN76" s="2805"/>
      <c r="AKO76" s="2805"/>
      <c r="AKP76" s="2805"/>
      <c r="AKQ76" s="2805"/>
      <c r="AKR76" s="2805"/>
      <c r="AKS76" s="2805"/>
      <c r="AKT76" s="2805"/>
      <c r="AKU76" s="2805"/>
      <c r="AKV76" s="2805"/>
      <c r="AKW76" s="2805"/>
      <c r="AKX76" s="2805"/>
      <c r="AKY76" s="2805"/>
      <c r="AKZ76" s="2805"/>
      <c r="ALA76" s="2805"/>
      <c r="ALB76" s="2805"/>
      <c r="ALC76" s="2805"/>
      <c r="ALD76" s="2805"/>
      <c r="ALE76" s="2805"/>
      <c r="ALF76" s="2805"/>
      <c r="ALG76" s="2805"/>
      <c r="ALH76" s="2805"/>
      <c r="ALI76" s="2805"/>
      <c r="ALJ76" s="2805"/>
      <c r="ALK76" s="2805"/>
      <c r="ALL76" s="2805"/>
      <c r="ALM76" s="2805"/>
      <c r="ALN76" s="2805"/>
      <c r="ALO76" s="2805"/>
      <c r="ALP76" s="2805"/>
      <c r="ALQ76" s="2805"/>
      <c r="ALR76" s="2805"/>
      <c r="ALS76" s="2805"/>
      <c r="ALT76" s="2805"/>
      <c r="ALU76" s="2805"/>
      <c r="ALV76" s="2805"/>
      <c r="ALW76" s="2805"/>
      <c r="ALX76" s="2805"/>
      <c r="ALY76" s="2805"/>
      <c r="ALZ76" s="2805"/>
      <c r="AMA76" s="2805"/>
      <c r="AMB76" s="2805"/>
      <c r="AMC76" s="2805"/>
      <c r="AMD76" s="2805"/>
      <c r="AME76" s="2805"/>
      <c r="AMF76" s="2805"/>
      <c r="AMG76" s="2805"/>
      <c r="AMH76" s="2805"/>
      <c r="AMI76" s="2805"/>
      <c r="AMJ76" s="2805"/>
      <c r="AMK76" s="2805"/>
      <c r="AML76" s="2805"/>
      <c r="AMM76" s="2805"/>
      <c r="AMN76" s="2805"/>
      <c r="AMO76" s="2805"/>
      <c r="AMP76" s="2805"/>
      <c r="AMQ76" s="2805"/>
      <c r="AMR76" s="2805"/>
      <c r="AMS76" s="2805"/>
      <c r="AMT76" s="2805"/>
      <c r="AMU76" s="2805"/>
      <c r="AMV76" s="2805"/>
      <c r="AMW76" s="2805"/>
      <c r="AMX76" s="2805"/>
      <c r="AMY76" s="2805"/>
      <c r="AMZ76" s="2805"/>
      <c r="ANA76" s="2805"/>
      <c r="ANB76" s="2805"/>
      <c r="ANC76" s="2805"/>
      <c r="AND76" s="2805"/>
      <c r="ANE76" s="2805"/>
      <c r="ANF76" s="2805"/>
      <c r="ANG76" s="2805"/>
      <c r="ANH76" s="2805"/>
      <c r="ANI76" s="2805"/>
      <c r="ANJ76" s="2805"/>
      <c r="ANK76" s="2805"/>
      <c r="ANL76" s="2805"/>
      <c r="ANM76" s="2805"/>
      <c r="ANN76" s="2805"/>
      <c r="ANO76" s="2805"/>
      <c r="ANP76" s="2805"/>
      <c r="ANQ76" s="2805"/>
      <c r="ANR76" s="2805"/>
      <c r="ANS76" s="2805"/>
      <c r="ANT76" s="2805"/>
      <c r="ANU76" s="2805"/>
      <c r="ANV76" s="2805"/>
      <c r="ANW76" s="2805"/>
      <c r="ANX76" s="2805"/>
      <c r="ANY76" s="2805"/>
      <c r="ANZ76" s="2805"/>
      <c r="AOA76" s="2805"/>
      <c r="AOB76" s="2805"/>
      <c r="AOC76" s="2805"/>
      <c r="AOD76" s="2805"/>
      <c r="AOE76" s="2805"/>
      <c r="AOF76" s="2805"/>
      <c r="AOG76" s="2805"/>
      <c r="AOH76" s="2805"/>
      <c r="AOI76" s="2805"/>
      <c r="AOJ76" s="2805"/>
      <c r="AOK76" s="2805"/>
      <c r="AOL76" s="2805"/>
      <c r="AOM76" s="2805"/>
      <c r="AON76" s="2805"/>
      <c r="AOO76" s="2805"/>
      <c r="AOP76" s="2805"/>
      <c r="AOQ76" s="2805"/>
      <c r="AOR76" s="2805"/>
      <c r="AOS76" s="2805"/>
      <c r="AOT76" s="2805"/>
      <c r="AOU76" s="2805"/>
      <c r="AOV76" s="2805"/>
      <c r="AOW76" s="2805"/>
      <c r="AOX76" s="2805"/>
      <c r="AOY76" s="2805"/>
      <c r="AOZ76" s="2805"/>
      <c r="APA76" s="2805"/>
      <c r="APB76" s="2805"/>
      <c r="APC76" s="2805"/>
      <c r="APD76" s="2805"/>
      <c r="APE76" s="2805"/>
      <c r="APF76" s="2805"/>
      <c r="APG76" s="2805"/>
      <c r="APH76" s="2805"/>
      <c r="API76" s="2805"/>
      <c r="APJ76" s="2805"/>
      <c r="APK76" s="2805"/>
      <c r="APL76" s="2805"/>
      <c r="APM76" s="2805"/>
      <c r="APN76" s="2805"/>
      <c r="APO76" s="2805"/>
      <c r="APP76" s="2805"/>
      <c r="APQ76" s="2805"/>
      <c r="APR76" s="2805"/>
      <c r="APS76" s="2805"/>
      <c r="APT76" s="2805"/>
      <c r="APU76" s="2805"/>
      <c r="APV76" s="2805"/>
      <c r="APW76" s="2805"/>
      <c r="APX76" s="2805"/>
      <c r="APY76" s="2805"/>
      <c r="APZ76" s="2805"/>
      <c r="AQA76" s="2805"/>
      <c r="AQB76" s="2805"/>
      <c r="AQC76" s="2805"/>
      <c r="AQD76" s="2805"/>
      <c r="AQE76" s="2805"/>
      <c r="AQF76" s="2805"/>
      <c r="AQG76" s="2805"/>
      <c r="AQH76" s="2805"/>
      <c r="AQI76" s="2805"/>
      <c r="AQJ76" s="2805"/>
      <c r="AQK76" s="2805"/>
      <c r="AQL76" s="2805"/>
      <c r="AQM76" s="2805"/>
      <c r="AQN76" s="2805"/>
      <c r="AQO76" s="2805"/>
      <c r="AQP76" s="2805"/>
      <c r="AQQ76" s="2805"/>
      <c r="AQR76" s="2805"/>
      <c r="AQS76" s="2805"/>
      <c r="AQT76" s="2805"/>
      <c r="AQU76" s="2805"/>
      <c r="AQV76" s="2805"/>
      <c r="AQW76" s="2805"/>
      <c r="AQX76" s="2805"/>
      <c r="AQY76" s="2805"/>
      <c r="AQZ76" s="2805"/>
      <c r="ARA76" s="2805"/>
      <c r="ARB76" s="2805"/>
      <c r="ARC76" s="2805"/>
      <c r="ARD76" s="2805"/>
      <c r="ARE76" s="2805"/>
      <c r="ARF76" s="2805"/>
      <c r="ARG76" s="2805"/>
      <c r="ARH76" s="2805"/>
      <c r="ARI76" s="2805"/>
      <c r="ARJ76" s="2805"/>
      <c r="ARK76" s="2805"/>
      <c r="ARL76" s="2805"/>
      <c r="ARM76" s="2805"/>
      <c r="ARN76" s="2805"/>
      <c r="ARO76" s="2805"/>
      <c r="ARP76" s="2805"/>
      <c r="ARQ76" s="2805"/>
      <c r="ARR76" s="2805"/>
      <c r="ARS76" s="2805"/>
      <c r="ART76" s="2805"/>
      <c r="ARU76" s="2805"/>
      <c r="ARV76" s="2805"/>
      <c r="ARW76" s="2805"/>
      <c r="ARX76" s="2805"/>
      <c r="ARY76" s="2805"/>
      <c r="ARZ76" s="2805"/>
      <c r="ASA76" s="2805"/>
      <c r="ASB76" s="2805"/>
      <c r="ASC76" s="2805"/>
      <c r="ASD76" s="2805"/>
      <c r="ASE76" s="2805"/>
      <c r="ASF76" s="2805"/>
      <c r="ASG76" s="2805"/>
      <c r="ASH76" s="2805"/>
      <c r="ASI76" s="2805"/>
      <c r="ASJ76" s="2805"/>
      <c r="ASK76" s="2805"/>
      <c r="ASL76" s="2805"/>
      <c r="ASM76" s="2805"/>
      <c r="ASN76" s="2805"/>
      <c r="ASO76" s="2805"/>
      <c r="ASP76" s="2805"/>
      <c r="ASQ76" s="2805"/>
      <c r="ASR76" s="2805"/>
      <c r="ASS76" s="2805"/>
      <c r="AST76" s="2805"/>
      <c r="ASU76" s="2805"/>
      <c r="ASV76" s="2805"/>
      <c r="ASW76" s="2805"/>
      <c r="ASX76" s="2805"/>
      <c r="ASY76" s="2805"/>
      <c r="ASZ76" s="2805"/>
      <c r="ATA76" s="2805"/>
      <c r="ATB76" s="2805"/>
      <c r="ATC76" s="2805"/>
      <c r="ATD76" s="2805"/>
      <c r="ATE76" s="2805"/>
      <c r="ATF76" s="2805"/>
      <c r="ATG76" s="2805"/>
      <c r="ATH76" s="2805"/>
      <c r="ATI76" s="2805"/>
      <c r="ATJ76" s="2805"/>
      <c r="ATK76" s="2805"/>
      <c r="ATL76" s="2805"/>
      <c r="ATM76" s="2805"/>
      <c r="ATN76" s="2805"/>
      <c r="ATO76" s="2805"/>
      <c r="ATP76" s="2805"/>
      <c r="ATQ76" s="2805"/>
      <c r="ATR76" s="2805"/>
      <c r="ATS76" s="2805"/>
      <c r="ATT76" s="2805"/>
      <c r="ATU76" s="2805"/>
      <c r="ATV76" s="2805"/>
      <c r="ATW76" s="2805"/>
      <c r="ATX76" s="2805"/>
      <c r="ATY76" s="2805"/>
      <c r="ATZ76" s="2805"/>
      <c r="AUA76" s="2805"/>
      <c r="AUB76" s="2805"/>
      <c r="AUC76" s="2805"/>
      <c r="AUD76" s="2805"/>
      <c r="AUE76" s="2805"/>
      <c r="AUF76" s="2805"/>
      <c r="AUG76" s="2805"/>
      <c r="AUH76" s="2805"/>
      <c r="AUI76" s="2805"/>
      <c r="AUJ76" s="2805"/>
      <c r="AUK76" s="2805"/>
      <c r="AUL76" s="2805"/>
      <c r="AUM76" s="2805"/>
      <c r="AUN76" s="2805"/>
      <c r="AUO76" s="2805"/>
      <c r="AUP76" s="2805"/>
      <c r="AUQ76" s="2805"/>
      <c r="AUR76" s="2805"/>
      <c r="AUS76" s="2805"/>
      <c r="AUT76" s="2805"/>
      <c r="AUU76" s="2805"/>
      <c r="AUV76" s="2805"/>
      <c r="AUW76" s="2805"/>
      <c r="AUX76" s="2805"/>
      <c r="AUY76" s="2805"/>
      <c r="AUZ76" s="2805"/>
      <c r="AVA76" s="2805"/>
      <c r="AVB76" s="2805"/>
      <c r="AVC76" s="2805"/>
      <c r="AVD76" s="2805"/>
      <c r="AVE76" s="2805"/>
      <c r="AVF76" s="2805"/>
      <c r="AVG76" s="2805"/>
      <c r="AVH76" s="2805"/>
      <c r="AVI76" s="2805"/>
      <c r="AVJ76" s="2805"/>
      <c r="AVK76" s="2805"/>
      <c r="AVL76" s="2805"/>
      <c r="AVM76" s="2805"/>
      <c r="AVN76" s="2805"/>
      <c r="AVO76" s="2805"/>
      <c r="AVP76" s="2805"/>
      <c r="AVQ76" s="2805"/>
      <c r="AVR76" s="2805"/>
      <c r="AVS76" s="2805"/>
      <c r="AVT76" s="2805"/>
      <c r="AVU76" s="2805"/>
      <c r="AVV76" s="2805"/>
      <c r="AVW76" s="2805"/>
      <c r="AVX76" s="2805"/>
      <c r="AVY76" s="2805"/>
      <c r="AVZ76" s="2805"/>
      <c r="AWA76" s="2805"/>
      <c r="AWB76" s="2805"/>
      <c r="AWC76" s="2805"/>
      <c r="AWD76" s="2805"/>
      <c r="AWE76" s="2805"/>
      <c r="AWF76" s="2805"/>
      <c r="AWG76" s="2805"/>
      <c r="AWH76" s="2805"/>
      <c r="AWI76" s="2805"/>
      <c r="AWJ76" s="2805"/>
      <c r="AWK76" s="2805"/>
      <c r="AWL76" s="2805"/>
      <c r="AWM76" s="2805"/>
      <c r="AWN76" s="2805"/>
      <c r="AWO76" s="2805"/>
      <c r="AWP76" s="2805"/>
      <c r="AWQ76" s="2805"/>
      <c r="AWR76" s="2805"/>
      <c r="AWS76" s="2805"/>
      <c r="AWT76" s="2805"/>
      <c r="AWU76" s="2805"/>
      <c r="AWV76" s="2805"/>
      <c r="AWW76" s="2805"/>
      <c r="AWX76" s="2805"/>
      <c r="AWY76" s="2805"/>
      <c r="AWZ76" s="2805"/>
      <c r="AXA76" s="2805"/>
      <c r="AXB76" s="2805"/>
      <c r="AXC76" s="2805"/>
      <c r="AXD76" s="2805"/>
      <c r="AXE76" s="2805"/>
      <c r="AXF76" s="2805"/>
      <c r="AXG76" s="2805"/>
      <c r="AXH76" s="2805"/>
      <c r="AXI76" s="2805"/>
      <c r="AXJ76" s="2805"/>
      <c r="AXK76" s="2805"/>
      <c r="AXL76" s="2805"/>
      <c r="AXM76" s="2805"/>
      <c r="AXN76" s="2805"/>
      <c r="AXO76" s="2805"/>
      <c r="AXP76" s="2805"/>
      <c r="AXQ76" s="2805"/>
      <c r="AXR76" s="2805"/>
      <c r="AXS76" s="2805"/>
      <c r="AXT76" s="2805"/>
      <c r="AXU76" s="2805"/>
      <c r="AXV76" s="2805"/>
      <c r="AXW76" s="2805"/>
      <c r="AXX76" s="2805"/>
      <c r="AXY76" s="2805"/>
      <c r="AXZ76" s="2805"/>
      <c r="AYA76" s="2805"/>
      <c r="AYB76" s="2805"/>
      <c r="AYC76" s="2805"/>
      <c r="AYD76" s="2805"/>
      <c r="AYE76" s="2805"/>
      <c r="AYF76" s="2805"/>
      <c r="AYG76" s="2805"/>
      <c r="AYH76" s="2805"/>
      <c r="AYI76" s="2805"/>
      <c r="AYJ76" s="2805"/>
      <c r="AYK76" s="2805"/>
      <c r="AYL76" s="2805"/>
      <c r="AYM76" s="2805"/>
      <c r="AYN76" s="2805"/>
      <c r="AYO76" s="2805"/>
      <c r="AYP76" s="2805"/>
      <c r="AYQ76" s="2805"/>
      <c r="AYR76" s="2805"/>
      <c r="AYS76" s="2805"/>
      <c r="AYT76" s="2805"/>
      <c r="AYU76" s="2805"/>
      <c r="AYV76" s="2805"/>
      <c r="AYW76" s="2805"/>
      <c r="AYX76" s="2805"/>
      <c r="AYY76" s="2805"/>
      <c r="AYZ76" s="2805"/>
      <c r="AZA76" s="2805"/>
      <c r="AZB76" s="2805"/>
      <c r="AZC76" s="2805"/>
      <c r="AZD76" s="2805"/>
      <c r="AZE76" s="2805"/>
      <c r="AZF76" s="2805"/>
      <c r="AZG76" s="2805"/>
      <c r="AZH76" s="2805"/>
      <c r="AZI76" s="2805"/>
      <c r="AZJ76" s="2805"/>
      <c r="AZK76" s="2805"/>
      <c r="AZL76" s="2805"/>
      <c r="AZM76" s="2805"/>
      <c r="AZN76" s="2805"/>
      <c r="AZO76" s="2805"/>
      <c r="AZP76" s="2805"/>
      <c r="AZQ76" s="2805"/>
      <c r="AZR76" s="2805"/>
      <c r="AZS76" s="2805"/>
      <c r="AZT76" s="2805"/>
      <c r="AZU76" s="2805"/>
      <c r="AZV76" s="2805"/>
      <c r="AZW76" s="2805"/>
      <c r="AZX76" s="2805"/>
      <c r="AZY76" s="2805"/>
      <c r="AZZ76" s="2805"/>
      <c r="BAA76" s="2805"/>
      <c r="BAB76" s="2805"/>
      <c r="BAC76" s="2805"/>
      <c r="BAD76" s="2805"/>
      <c r="BAE76" s="2805"/>
      <c r="BAF76" s="2805"/>
      <c r="BAG76" s="2805"/>
      <c r="BAH76" s="2805"/>
      <c r="BAI76" s="2805"/>
      <c r="BAJ76" s="2805"/>
      <c r="BAK76" s="2805"/>
      <c r="BAL76" s="2805"/>
      <c r="BAM76" s="2805"/>
      <c r="BAN76" s="2805"/>
      <c r="BAO76" s="2805"/>
      <c r="BAP76" s="2805"/>
      <c r="BAQ76" s="2805"/>
      <c r="BAR76" s="2805"/>
      <c r="BAS76" s="2805"/>
      <c r="BAT76" s="2805"/>
      <c r="BAU76" s="2805"/>
      <c r="BAV76" s="2805"/>
      <c r="BAW76" s="2805"/>
      <c r="BAX76" s="2805"/>
      <c r="BAY76" s="2805"/>
      <c r="BAZ76" s="2805"/>
      <c r="BBA76" s="2805"/>
      <c r="BBB76" s="2805"/>
      <c r="BBC76" s="2805"/>
      <c r="BBD76" s="2805"/>
      <c r="BBE76" s="2805"/>
      <c r="BBF76" s="2805"/>
      <c r="BBG76" s="2805"/>
      <c r="BBH76" s="2805"/>
      <c r="BBI76" s="2805"/>
      <c r="BBJ76" s="2805"/>
      <c r="BBK76" s="2805"/>
      <c r="BBL76" s="2805"/>
      <c r="BBM76" s="2805"/>
      <c r="BBN76" s="2805"/>
      <c r="BBO76" s="2805"/>
      <c r="BBP76" s="2805"/>
      <c r="BBQ76" s="2805"/>
      <c r="BBR76" s="2805"/>
      <c r="BBS76" s="2805"/>
      <c r="BBT76" s="2805"/>
      <c r="BBU76" s="2805"/>
      <c r="BBV76" s="2805"/>
      <c r="BBW76" s="2805"/>
      <c r="BBX76" s="2805"/>
      <c r="BBY76" s="2805"/>
      <c r="BBZ76" s="2805"/>
      <c r="BCA76" s="2805"/>
      <c r="BCB76" s="2805"/>
      <c r="BCC76" s="2805"/>
      <c r="BCD76" s="2805"/>
      <c r="BCE76" s="2805"/>
      <c r="BCF76" s="2805"/>
      <c r="BCG76" s="2805"/>
      <c r="BCH76" s="2805"/>
      <c r="BCI76" s="2805"/>
      <c r="BCJ76" s="2805"/>
      <c r="BCK76" s="2805"/>
      <c r="BCL76" s="2805"/>
      <c r="BCM76" s="2805"/>
      <c r="BCN76" s="2805"/>
      <c r="BCO76" s="2805"/>
      <c r="BCP76" s="2805"/>
      <c r="BCQ76" s="2805"/>
      <c r="BCR76" s="2805"/>
      <c r="BCS76" s="2805"/>
      <c r="BCT76" s="2805"/>
      <c r="BCU76" s="2805"/>
      <c r="BCV76" s="2805"/>
      <c r="BCW76" s="2805"/>
      <c r="BCX76" s="2805"/>
      <c r="BCY76" s="2805"/>
      <c r="BCZ76" s="2805"/>
      <c r="BDA76" s="2805"/>
      <c r="BDB76" s="2805"/>
      <c r="BDC76" s="2805"/>
      <c r="BDD76" s="2805"/>
      <c r="BDE76" s="2805"/>
      <c r="BDF76" s="2805"/>
      <c r="BDG76" s="2805"/>
      <c r="BDH76" s="2805"/>
      <c r="BDI76" s="2805"/>
      <c r="BDJ76" s="2805"/>
      <c r="BDK76" s="2805"/>
      <c r="BDL76" s="2805"/>
      <c r="BDM76" s="2805"/>
      <c r="BDN76" s="2805"/>
      <c r="BDO76" s="2805"/>
      <c r="BDP76" s="2805"/>
      <c r="BDQ76" s="2805"/>
      <c r="BDR76" s="2805"/>
      <c r="BDS76" s="2805"/>
      <c r="BDT76" s="2805"/>
      <c r="BDU76" s="2805"/>
      <c r="BDV76" s="2805"/>
      <c r="BDW76" s="2805"/>
      <c r="BDX76" s="2805"/>
      <c r="BDY76" s="2805"/>
      <c r="BDZ76" s="2805"/>
      <c r="BEA76" s="2805"/>
      <c r="BEB76" s="2805"/>
      <c r="BEC76" s="2805"/>
      <c r="BED76" s="2805"/>
      <c r="BEE76" s="2805"/>
      <c r="BEF76" s="2805"/>
      <c r="BEG76" s="2805"/>
      <c r="BEH76" s="2805"/>
      <c r="BEI76" s="2805"/>
      <c r="BEJ76" s="2805"/>
      <c r="BEK76" s="2805"/>
      <c r="BEL76" s="2805"/>
      <c r="BEM76" s="2805"/>
      <c r="BEN76" s="2805"/>
      <c r="BEO76" s="2805"/>
      <c r="BEP76" s="2805"/>
      <c r="BEQ76" s="2805"/>
      <c r="BER76" s="2805"/>
      <c r="BES76" s="2805"/>
      <c r="BET76" s="2805"/>
      <c r="BEU76" s="2805"/>
      <c r="BEV76" s="2805"/>
      <c r="BEW76" s="2805"/>
      <c r="BEX76" s="2805"/>
      <c r="BEY76" s="2805"/>
      <c r="BEZ76" s="2805"/>
      <c r="BFA76" s="2805"/>
      <c r="BFB76" s="2805"/>
      <c r="BFC76" s="2805"/>
      <c r="BFD76" s="2805"/>
      <c r="BFE76" s="2805"/>
      <c r="BFF76" s="2805"/>
      <c r="BFG76" s="2805"/>
      <c r="BFH76" s="2805"/>
      <c r="BFI76" s="2805"/>
      <c r="BFJ76" s="2805"/>
      <c r="BFK76" s="2805"/>
      <c r="BFL76" s="2805"/>
      <c r="BFM76" s="2805"/>
      <c r="BFN76" s="2805"/>
      <c r="BFO76" s="2805"/>
      <c r="BFP76" s="2805"/>
      <c r="BFQ76" s="2805"/>
      <c r="BFR76" s="2805"/>
      <c r="BFS76" s="2805"/>
      <c r="BFT76" s="2805"/>
      <c r="BFU76" s="2805"/>
      <c r="BFV76" s="2805"/>
      <c r="BFW76" s="2805"/>
      <c r="BFX76" s="2805"/>
      <c r="BFY76" s="2805"/>
      <c r="BFZ76" s="2805"/>
      <c r="BGA76" s="2805"/>
      <c r="BGB76" s="2805"/>
      <c r="BGC76" s="2805"/>
      <c r="BGD76" s="2805"/>
      <c r="BGE76" s="2805"/>
      <c r="BGF76" s="2805"/>
      <c r="BGG76" s="2805"/>
      <c r="BGH76" s="2805"/>
      <c r="BGI76" s="2805"/>
      <c r="BGJ76" s="2805"/>
      <c r="BGK76" s="2805"/>
      <c r="BGL76" s="2805"/>
      <c r="BGM76" s="2805"/>
      <c r="BGN76" s="2805"/>
      <c r="BGO76" s="2805"/>
      <c r="BGP76" s="2805"/>
      <c r="BGQ76" s="2805"/>
      <c r="BGR76" s="2805"/>
      <c r="BGS76" s="2805"/>
      <c r="BGT76" s="2805"/>
      <c r="BGU76" s="2805"/>
      <c r="BGV76" s="2805"/>
      <c r="BGW76" s="2805"/>
      <c r="BGX76" s="2805"/>
      <c r="BGY76" s="2805"/>
      <c r="BGZ76" s="2805"/>
      <c r="BHA76" s="2805"/>
      <c r="BHB76" s="2805"/>
      <c r="BHC76" s="2805"/>
      <c r="BHD76" s="2805"/>
      <c r="BHE76" s="2805"/>
      <c r="BHF76" s="2805"/>
      <c r="BHG76" s="2805"/>
      <c r="BHH76" s="2805"/>
      <c r="BHI76" s="2805"/>
      <c r="BHJ76" s="2805"/>
      <c r="BHK76" s="2805"/>
      <c r="BHL76" s="2805"/>
      <c r="BHM76" s="2805"/>
      <c r="BHN76" s="2805"/>
      <c r="BHO76" s="2805"/>
      <c r="BHP76" s="2805"/>
      <c r="BHQ76" s="2805"/>
      <c r="BHR76" s="2805"/>
      <c r="BHS76" s="2805"/>
      <c r="BHT76" s="2805"/>
      <c r="BHU76" s="2805"/>
      <c r="BHV76" s="2805"/>
      <c r="BHW76" s="2805"/>
      <c r="BHX76" s="2805"/>
      <c r="BHY76" s="2805"/>
      <c r="BHZ76" s="2805"/>
      <c r="BIA76" s="2805"/>
      <c r="BIB76" s="2805"/>
      <c r="BIC76" s="2805"/>
      <c r="BID76" s="2805"/>
      <c r="BIE76" s="2805"/>
      <c r="BIF76" s="2805"/>
      <c r="BIG76" s="2805"/>
      <c r="BIH76" s="2805"/>
      <c r="BII76" s="2805"/>
      <c r="BIJ76" s="2805"/>
      <c r="BIK76" s="2805"/>
      <c r="BIL76" s="2805"/>
      <c r="BIM76" s="2805"/>
      <c r="BIN76" s="2805"/>
      <c r="BIO76" s="2805"/>
      <c r="BIP76" s="2805"/>
      <c r="BIQ76" s="2805"/>
      <c r="BIR76" s="2805"/>
      <c r="BIS76" s="2805"/>
      <c r="BIT76" s="2805"/>
      <c r="BIU76" s="2805"/>
      <c r="BIV76" s="2805"/>
      <c r="BIW76" s="2805"/>
      <c r="BIX76" s="2805"/>
      <c r="BIY76" s="2805"/>
      <c r="BIZ76" s="2805"/>
      <c r="BJA76" s="2805"/>
      <c r="BJB76" s="2805"/>
      <c r="BJC76" s="2805"/>
      <c r="BJD76" s="2805"/>
      <c r="BJE76" s="2805"/>
      <c r="BJF76" s="2805"/>
      <c r="BJG76" s="2805"/>
      <c r="BJH76" s="2805"/>
      <c r="BJI76" s="2805"/>
      <c r="BJJ76" s="2805"/>
      <c r="BJK76" s="2805"/>
      <c r="BJL76" s="2805"/>
      <c r="BJM76" s="2805"/>
      <c r="BJN76" s="2805"/>
      <c r="BJO76" s="2805"/>
      <c r="BJP76" s="2805"/>
      <c r="BJQ76" s="2805"/>
      <c r="BJR76" s="2805"/>
      <c r="BJS76" s="2805"/>
      <c r="BJT76" s="2805"/>
      <c r="BJU76" s="2805"/>
      <c r="BJV76" s="2805"/>
      <c r="BJW76" s="2805"/>
      <c r="BJX76" s="2805"/>
      <c r="BJY76" s="2805"/>
      <c r="BJZ76" s="2805"/>
      <c r="BKA76" s="2805"/>
      <c r="BKB76" s="2805"/>
      <c r="BKC76" s="2805"/>
      <c r="BKD76" s="2805"/>
      <c r="BKE76" s="2805"/>
      <c r="BKF76" s="2805"/>
      <c r="BKG76" s="2805"/>
      <c r="BKH76" s="2805"/>
      <c r="BKI76" s="2805"/>
      <c r="BKJ76" s="2805"/>
      <c r="BKK76" s="2805"/>
      <c r="BKL76" s="2805"/>
      <c r="BKM76" s="2805"/>
      <c r="BKN76" s="2805"/>
      <c r="BKO76" s="2805"/>
      <c r="BKP76" s="2805"/>
      <c r="BKQ76" s="2805"/>
      <c r="BKR76" s="2805"/>
      <c r="BKS76" s="2805"/>
      <c r="BKT76" s="2805"/>
      <c r="BKU76" s="2805"/>
      <c r="BKV76" s="2805"/>
      <c r="BKW76" s="2805"/>
      <c r="BKX76" s="2805"/>
      <c r="BKY76" s="2805"/>
      <c r="BKZ76" s="2805"/>
      <c r="BLA76" s="2805"/>
      <c r="BLB76" s="2805"/>
      <c r="BLC76" s="2805"/>
      <c r="BLD76" s="2805"/>
      <c r="BLE76" s="2805"/>
      <c r="BLF76" s="2805"/>
      <c r="BLG76" s="2805"/>
      <c r="BLH76" s="2805"/>
      <c r="BLI76" s="2805"/>
      <c r="BLJ76" s="2805"/>
      <c r="BLK76" s="2805"/>
      <c r="BLL76" s="2805"/>
      <c r="BLM76" s="2805"/>
      <c r="BLN76" s="2805"/>
      <c r="BLO76" s="2805"/>
      <c r="BLP76" s="2805"/>
      <c r="BLQ76" s="2805"/>
      <c r="BLR76" s="2805"/>
      <c r="BLS76" s="2805"/>
      <c r="BLT76" s="2805"/>
      <c r="BLU76" s="2805"/>
      <c r="BLV76" s="2805"/>
      <c r="BLW76" s="2805"/>
      <c r="BLX76" s="2805"/>
      <c r="BLY76" s="2805"/>
      <c r="BLZ76" s="2805"/>
      <c r="BMA76" s="2805"/>
      <c r="BMB76" s="2805"/>
      <c r="BMC76" s="2805"/>
      <c r="BMD76" s="2805"/>
      <c r="BME76" s="2805"/>
      <c r="BMF76" s="2805"/>
      <c r="BMG76" s="2805"/>
      <c r="BMH76" s="2805"/>
      <c r="BMI76" s="2805"/>
      <c r="BMJ76" s="2805"/>
      <c r="BMK76" s="2805"/>
      <c r="BML76" s="2805"/>
      <c r="BMM76" s="2805"/>
      <c r="BMN76" s="2805"/>
      <c r="BMO76" s="2805"/>
      <c r="BMP76" s="2805"/>
      <c r="BMQ76" s="2805"/>
      <c r="BMR76" s="2805"/>
      <c r="BMS76" s="2805"/>
      <c r="BMT76" s="2805"/>
      <c r="BMU76" s="2805"/>
      <c r="BMV76" s="2805"/>
      <c r="BMW76" s="2805"/>
      <c r="BMX76" s="2805"/>
      <c r="BMY76" s="2805"/>
      <c r="BMZ76" s="2805"/>
      <c r="BNA76" s="2805"/>
      <c r="BNB76" s="2805"/>
      <c r="BNC76" s="2805"/>
      <c r="BND76" s="2805"/>
      <c r="BNE76" s="2805"/>
      <c r="BNF76" s="2805"/>
      <c r="BNG76" s="2805"/>
      <c r="BNH76" s="2805"/>
      <c r="BNI76" s="2805"/>
      <c r="BNJ76" s="2805"/>
      <c r="BNK76" s="2805"/>
      <c r="BNL76" s="2805"/>
      <c r="BNM76" s="2805"/>
      <c r="BNN76" s="2805"/>
      <c r="BNO76" s="2805"/>
      <c r="BNP76" s="2805"/>
      <c r="BNQ76" s="2805"/>
      <c r="BNR76" s="2805"/>
      <c r="BNS76" s="2805"/>
      <c r="BNT76" s="2805"/>
      <c r="BNU76" s="2805"/>
      <c r="BNV76" s="2805"/>
      <c r="BNW76" s="2805"/>
      <c r="BNX76" s="2805"/>
      <c r="BNY76" s="2805"/>
      <c r="BNZ76" s="2805"/>
      <c r="BOA76" s="2805"/>
      <c r="BOB76" s="2805"/>
      <c r="BOC76" s="2805"/>
      <c r="BOD76" s="2805"/>
      <c r="BOE76" s="2805"/>
      <c r="BOF76" s="2805"/>
      <c r="BOG76" s="2805"/>
      <c r="BOH76" s="2805"/>
      <c r="BOI76" s="2805"/>
      <c r="BOJ76" s="2805"/>
      <c r="BOK76" s="2805"/>
      <c r="BOL76" s="2805"/>
      <c r="BOM76" s="2805"/>
      <c r="BON76" s="2805"/>
      <c r="BOO76" s="2805"/>
      <c r="BOP76" s="2805"/>
      <c r="BOQ76" s="2805"/>
      <c r="BOR76" s="2805"/>
      <c r="BOS76" s="2805"/>
      <c r="BOT76" s="2805"/>
      <c r="BOU76" s="2805"/>
      <c r="BOV76" s="2805"/>
      <c r="BOW76" s="2805"/>
      <c r="BOX76" s="2805"/>
      <c r="BOY76" s="2805"/>
      <c r="BOZ76" s="2805"/>
      <c r="BPA76" s="2805"/>
      <c r="BPB76" s="2805"/>
      <c r="BPC76" s="2805"/>
      <c r="BPD76" s="2805"/>
      <c r="BPE76" s="2805"/>
      <c r="BPF76" s="2805"/>
      <c r="BPG76" s="2805"/>
      <c r="BPH76" s="2805"/>
      <c r="BPI76" s="2805"/>
      <c r="BPJ76" s="2805"/>
      <c r="BPK76" s="2805"/>
      <c r="BPL76" s="2805"/>
      <c r="BPM76" s="2805"/>
      <c r="BPN76" s="2805"/>
      <c r="BPO76" s="2805"/>
      <c r="BPP76" s="2805"/>
      <c r="BPQ76" s="2805"/>
      <c r="BPR76" s="2805"/>
      <c r="BPS76" s="2805"/>
      <c r="BPT76" s="2805"/>
      <c r="BPU76" s="2805"/>
      <c r="BPV76" s="2805"/>
      <c r="BPW76" s="2805"/>
      <c r="BPX76" s="2805"/>
      <c r="BPY76" s="2805"/>
      <c r="BPZ76" s="2805"/>
      <c r="BQA76" s="2805"/>
      <c r="BQB76" s="2805"/>
      <c r="BQC76" s="2805"/>
      <c r="BQD76" s="2805"/>
      <c r="BQE76" s="2805"/>
      <c r="BQF76" s="2805"/>
      <c r="BQG76" s="2805"/>
      <c r="BQH76" s="2805"/>
      <c r="BQI76" s="2805"/>
      <c r="BQJ76" s="2805"/>
      <c r="BQK76" s="2805"/>
      <c r="BQL76" s="2805"/>
      <c r="BQM76" s="2805"/>
      <c r="BQN76" s="2805"/>
      <c r="BQO76" s="2805"/>
      <c r="BQP76" s="2805"/>
      <c r="BQQ76" s="2805"/>
      <c r="BQR76" s="2805"/>
      <c r="BQS76" s="2805"/>
      <c r="BQT76" s="2805"/>
      <c r="BQU76" s="2805"/>
      <c r="BQV76" s="2805"/>
      <c r="BQW76" s="2805"/>
      <c r="BQX76" s="2805"/>
      <c r="BQY76" s="2805"/>
      <c r="BQZ76" s="2805"/>
      <c r="BRA76" s="2805"/>
      <c r="BRB76" s="2805"/>
      <c r="BRC76" s="2805"/>
      <c r="BRD76" s="2805"/>
      <c r="BRE76" s="2805"/>
      <c r="BRF76" s="2805"/>
      <c r="BRG76" s="2805"/>
      <c r="BRH76" s="2805"/>
      <c r="BRI76" s="2805"/>
      <c r="BRJ76" s="2805"/>
      <c r="BRK76" s="2805"/>
      <c r="BRL76" s="2805"/>
      <c r="BRM76" s="2805"/>
      <c r="BRN76" s="2805"/>
      <c r="BRO76" s="2805"/>
      <c r="BRP76" s="2805"/>
      <c r="BRQ76" s="2805"/>
      <c r="BRR76" s="2805"/>
      <c r="BRS76" s="2805"/>
      <c r="BRT76" s="2805"/>
      <c r="BRU76" s="2805"/>
      <c r="BRV76" s="2805"/>
      <c r="BRW76" s="2805"/>
      <c r="BRX76" s="2805"/>
      <c r="BRY76" s="2805"/>
      <c r="BRZ76" s="2805"/>
      <c r="BSA76" s="2805"/>
      <c r="BSB76" s="2805"/>
      <c r="BSC76" s="2805"/>
      <c r="BSD76" s="2805"/>
      <c r="BSE76" s="2805"/>
      <c r="BSF76" s="2805"/>
      <c r="BSG76" s="2805"/>
      <c r="BSH76" s="2805"/>
      <c r="BSI76" s="2805"/>
      <c r="BSJ76" s="2805"/>
      <c r="BSK76" s="2805"/>
      <c r="BSL76" s="2805"/>
      <c r="BSM76" s="2805"/>
      <c r="BSN76" s="2805"/>
      <c r="BSO76" s="2805"/>
      <c r="BSP76" s="2805"/>
      <c r="BSQ76" s="2805"/>
      <c r="BSR76" s="2805"/>
      <c r="BSS76" s="2805"/>
      <c r="BST76" s="2805"/>
      <c r="BSU76" s="2805"/>
      <c r="BSV76" s="2805"/>
      <c r="BSW76" s="2805"/>
      <c r="BSX76" s="2805"/>
      <c r="BSY76" s="2805"/>
      <c r="BSZ76" s="2805"/>
      <c r="BTA76" s="2805"/>
      <c r="BTB76" s="2805"/>
      <c r="BTC76" s="2805"/>
      <c r="BTD76" s="2805"/>
      <c r="BTE76" s="2805"/>
      <c r="BTF76" s="2805"/>
      <c r="BTG76" s="2805"/>
      <c r="BTH76" s="2805"/>
      <c r="BTI76" s="2805"/>
      <c r="BTJ76" s="2805"/>
      <c r="BTK76" s="2805"/>
      <c r="BTL76" s="2805"/>
      <c r="BTM76" s="2805"/>
      <c r="BTN76" s="2805"/>
      <c r="BTO76" s="2805"/>
      <c r="BTP76" s="2805"/>
      <c r="BTQ76" s="2805"/>
      <c r="BTR76" s="2805"/>
      <c r="BTS76" s="2805"/>
      <c r="BTT76" s="2805"/>
      <c r="BTU76" s="2805"/>
      <c r="BTV76" s="2805"/>
      <c r="BTW76" s="2805"/>
      <c r="BTX76" s="2805"/>
      <c r="BTY76" s="2805"/>
      <c r="BTZ76" s="2805"/>
      <c r="BUA76" s="2805"/>
      <c r="BUB76" s="2805"/>
      <c r="BUC76" s="2805"/>
      <c r="BUD76" s="2805"/>
      <c r="BUE76" s="2805"/>
      <c r="BUF76" s="2805"/>
      <c r="BUG76" s="2805"/>
      <c r="BUH76" s="2805"/>
      <c r="BUI76" s="2805"/>
      <c r="BUJ76" s="2805"/>
      <c r="BUK76" s="2805"/>
      <c r="BUL76" s="2805"/>
      <c r="BUM76" s="2805"/>
      <c r="BUN76" s="2805"/>
      <c r="BUO76" s="2805"/>
      <c r="BUP76" s="2805"/>
      <c r="BUQ76" s="2805"/>
      <c r="BUR76" s="2805"/>
      <c r="BUS76" s="2805"/>
      <c r="BUT76" s="2805"/>
      <c r="BUU76" s="2805"/>
      <c r="BUV76" s="2805"/>
      <c r="BUW76" s="2805"/>
      <c r="BUX76" s="2805"/>
      <c r="BUY76" s="2805"/>
      <c r="BUZ76" s="2805"/>
      <c r="BVA76" s="2805"/>
      <c r="BVB76" s="2805"/>
      <c r="BVC76" s="2805"/>
      <c r="BVD76" s="2805"/>
      <c r="BVE76" s="2805"/>
      <c r="BVF76" s="2805"/>
      <c r="BVG76" s="2805"/>
      <c r="BVH76" s="2805"/>
      <c r="BVI76" s="2805"/>
      <c r="BVJ76" s="2805"/>
      <c r="BVK76" s="2805"/>
      <c r="BVL76" s="2805"/>
      <c r="BVM76" s="2805"/>
      <c r="BVN76" s="2805"/>
      <c r="BVO76" s="2805"/>
      <c r="BVP76" s="2805"/>
      <c r="BVQ76" s="2805"/>
      <c r="BVR76" s="2805"/>
      <c r="BVS76" s="2805"/>
      <c r="BVT76" s="2805"/>
      <c r="BVU76" s="2805"/>
      <c r="BVV76" s="2805"/>
      <c r="BVW76" s="2805"/>
      <c r="BVX76" s="2805"/>
      <c r="BVY76" s="2805"/>
      <c r="BVZ76" s="2805"/>
      <c r="BWA76" s="2805"/>
      <c r="BWB76" s="2805"/>
      <c r="BWC76" s="2805"/>
      <c r="BWD76" s="2805"/>
      <c r="BWE76" s="2805"/>
      <c r="BWF76" s="2805"/>
      <c r="BWG76" s="2805"/>
      <c r="BWH76" s="2805"/>
      <c r="BWI76" s="2805"/>
      <c r="BWJ76" s="2805"/>
      <c r="BWK76" s="2805"/>
      <c r="BWL76" s="2805"/>
      <c r="BWM76" s="2805"/>
      <c r="BWN76" s="2805"/>
      <c r="BWO76" s="2805"/>
      <c r="BWP76" s="2805"/>
      <c r="BWQ76" s="2805"/>
      <c r="BWR76" s="2805"/>
      <c r="BWS76" s="2805"/>
      <c r="BWT76" s="2805"/>
      <c r="BWU76" s="2805"/>
      <c r="BWV76" s="2805"/>
      <c r="BWW76" s="2805"/>
      <c r="BWX76" s="2805"/>
      <c r="BWY76" s="2805"/>
      <c r="BWZ76" s="2805"/>
      <c r="BXA76" s="2805"/>
      <c r="BXB76" s="2805"/>
      <c r="BXC76" s="2805"/>
      <c r="BXD76" s="2805"/>
      <c r="BXE76" s="2805"/>
      <c r="BXF76" s="2805"/>
      <c r="BXG76" s="2805"/>
      <c r="BXH76" s="2805"/>
      <c r="BXI76" s="2805"/>
      <c r="BXJ76" s="2805"/>
      <c r="BXK76" s="2805"/>
      <c r="BXL76" s="2805"/>
      <c r="BXM76" s="2805"/>
      <c r="BXN76" s="2805"/>
      <c r="BXO76" s="2805"/>
      <c r="BXP76" s="2805"/>
      <c r="BXQ76" s="2805"/>
      <c r="BXR76" s="2805"/>
      <c r="BXS76" s="2805"/>
      <c r="BXT76" s="2805"/>
      <c r="BXU76" s="2805"/>
      <c r="BXV76" s="2805"/>
      <c r="BXW76" s="2805"/>
      <c r="BXX76" s="2805"/>
      <c r="BXY76" s="2805"/>
      <c r="BXZ76" s="2805"/>
      <c r="BYA76" s="2805"/>
      <c r="BYB76" s="2805"/>
      <c r="BYC76" s="2805"/>
      <c r="BYD76" s="2805"/>
      <c r="BYE76" s="2805"/>
      <c r="BYF76" s="2805"/>
      <c r="BYG76" s="2805"/>
      <c r="BYH76" s="2805"/>
      <c r="BYI76" s="2805"/>
      <c r="BYJ76" s="2805"/>
      <c r="BYK76" s="2805"/>
      <c r="BYL76" s="2805"/>
      <c r="BYM76" s="2805"/>
      <c r="BYN76" s="2805"/>
      <c r="BYO76" s="2805"/>
      <c r="BYP76" s="2805"/>
      <c r="BYQ76" s="2805"/>
      <c r="BYR76" s="2805"/>
      <c r="BYS76" s="2805"/>
      <c r="BYT76" s="2805"/>
      <c r="BYU76" s="2805"/>
      <c r="BYV76" s="2805"/>
      <c r="BYW76" s="2805"/>
      <c r="BYX76" s="2805"/>
      <c r="BYY76" s="2805"/>
      <c r="BYZ76" s="2805"/>
      <c r="BZA76" s="2805"/>
      <c r="BZB76" s="2805"/>
      <c r="BZC76" s="2805"/>
      <c r="BZD76" s="2805"/>
      <c r="BZE76" s="2805"/>
      <c r="BZF76" s="2805"/>
      <c r="BZG76" s="2805"/>
      <c r="BZH76" s="2805"/>
      <c r="BZI76" s="2805"/>
      <c r="BZJ76" s="2805"/>
      <c r="BZK76" s="2805"/>
      <c r="BZL76" s="2805"/>
      <c r="BZM76" s="2805"/>
      <c r="BZN76" s="2805"/>
      <c r="BZO76" s="2805"/>
      <c r="BZP76" s="2805"/>
      <c r="BZQ76" s="2805"/>
      <c r="BZR76" s="2805"/>
      <c r="BZS76" s="2805"/>
      <c r="BZT76" s="2805"/>
      <c r="BZU76" s="2805"/>
      <c r="BZV76" s="2805"/>
      <c r="BZW76" s="2805"/>
      <c r="BZX76" s="2805"/>
      <c r="BZY76" s="2805"/>
      <c r="BZZ76" s="2805"/>
      <c r="CAA76" s="2805"/>
      <c r="CAB76" s="2805"/>
      <c r="CAC76" s="2805"/>
      <c r="CAD76" s="2805"/>
      <c r="CAE76" s="2805"/>
      <c r="CAF76" s="2805"/>
      <c r="CAG76" s="2805"/>
      <c r="CAH76" s="2805"/>
      <c r="CAI76" s="2805"/>
      <c r="CAJ76" s="2805"/>
      <c r="CAK76" s="2805"/>
      <c r="CAL76" s="2805"/>
      <c r="CAM76" s="2805"/>
      <c r="CAN76" s="2805"/>
      <c r="CAO76" s="2805"/>
      <c r="CAP76" s="2805"/>
      <c r="CAQ76" s="2805"/>
      <c r="CAR76" s="2805"/>
      <c r="CAS76" s="2805"/>
      <c r="CAT76" s="2805"/>
      <c r="CAU76" s="2805"/>
      <c r="CAV76" s="2805"/>
      <c r="CAW76" s="2805"/>
      <c r="CAX76" s="2805"/>
      <c r="CAY76" s="2805"/>
      <c r="CAZ76" s="2805"/>
      <c r="CBA76" s="2805"/>
      <c r="CBB76" s="2805"/>
      <c r="CBC76" s="2805"/>
      <c r="CBD76" s="2805"/>
      <c r="CBE76" s="2805"/>
      <c r="CBF76" s="2805"/>
      <c r="CBG76" s="2805"/>
      <c r="CBH76" s="2805"/>
      <c r="CBI76" s="2805"/>
      <c r="CBJ76" s="2805"/>
      <c r="CBK76" s="2805"/>
      <c r="CBL76" s="2805"/>
      <c r="CBM76" s="2805"/>
      <c r="CBN76" s="2805"/>
      <c r="CBO76" s="2805"/>
      <c r="CBP76" s="2805"/>
      <c r="CBQ76" s="2805"/>
      <c r="CBR76" s="2805"/>
      <c r="CBS76" s="2805"/>
      <c r="CBT76" s="2805"/>
      <c r="CBU76" s="2805"/>
      <c r="CBV76" s="2805"/>
      <c r="CBW76" s="2805"/>
      <c r="CBX76" s="2805"/>
      <c r="CBY76" s="2805"/>
      <c r="CBZ76" s="2805"/>
      <c r="CCA76" s="2805"/>
      <c r="CCB76" s="2805"/>
      <c r="CCC76" s="2805"/>
      <c r="CCD76" s="2805"/>
      <c r="CCE76" s="2805"/>
      <c r="CCF76" s="2805"/>
      <c r="CCG76" s="2805"/>
      <c r="CCH76" s="2805"/>
      <c r="CCI76" s="2805"/>
      <c r="CCJ76" s="2805"/>
      <c r="CCK76" s="2805"/>
      <c r="CCL76" s="2805"/>
      <c r="CCM76" s="2805"/>
      <c r="CCN76" s="2805"/>
      <c r="CCO76" s="2805"/>
      <c r="CCP76" s="2805"/>
      <c r="CCQ76" s="2805"/>
      <c r="CCR76" s="2805"/>
      <c r="CCS76" s="2805"/>
      <c r="CCT76" s="2805"/>
      <c r="CCU76" s="2805"/>
      <c r="CCV76" s="2805"/>
      <c r="CCW76" s="2805"/>
      <c r="CCX76" s="2805"/>
      <c r="CCY76" s="2805"/>
      <c r="CCZ76" s="2805"/>
      <c r="CDA76" s="2805"/>
      <c r="CDB76" s="2805"/>
      <c r="CDC76" s="2805"/>
      <c r="CDD76" s="2805"/>
      <c r="CDE76" s="2805"/>
      <c r="CDF76" s="2805"/>
      <c r="CDG76" s="2805"/>
      <c r="CDH76" s="2805"/>
      <c r="CDI76" s="2805"/>
      <c r="CDJ76" s="2805"/>
      <c r="CDK76" s="2805"/>
      <c r="CDL76" s="2805"/>
      <c r="CDM76" s="2805"/>
      <c r="CDN76" s="2805"/>
      <c r="CDO76" s="2805"/>
      <c r="CDP76" s="2805"/>
      <c r="CDQ76" s="2805"/>
      <c r="CDR76" s="2805"/>
      <c r="CDS76" s="2805"/>
      <c r="CDT76" s="2805"/>
      <c r="CDU76" s="2805"/>
      <c r="CDV76" s="2805"/>
      <c r="CDW76" s="2805"/>
      <c r="CDX76" s="2805"/>
      <c r="CDY76" s="2805"/>
      <c r="CDZ76" s="2805"/>
      <c r="CEA76" s="2805"/>
      <c r="CEB76" s="2805"/>
      <c r="CEC76" s="2805"/>
      <c r="CED76" s="2805"/>
      <c r="CEE76" s="2805"/>
      <c r="CEF76" s="2805"/>
      <c r="CEG76" s="2805"/>
      <c r="CEH76" s="2805"/>
      <c r="CEI76" s="2805"/>
      <c r="CEJ76" s="2805"/>
      <c r="CEK76" s="2805"/>
      <c r="CEL76" s="2805"/>
      <c r="CEM76" s="2805"/>
      <c r="CEN76" s="2805"/>
      <c r="CEO76" s="2805"/>
      <c r="CEP76" s="2805"/>
      <c r="CEQ76" s="2805"/>
      <c r="CER76" s="2805"/>
      <c r="CES76" s="2805"/>
      <c r="CET76" s="2805"/>
      <c r="CEU76" s="2805"/>
      <c r="CEV76" s="2805"/>
      <c r="CEW76" s="2805"/>
      <c r="CEX76" s="2805"/>
      <c r="CEY76" s="2805"/>
      <c r="CEZ76" s="2805"/>
      <c r="CFA76" s="2805"/>
      <c r="CFB76" s="2805"/>
      <c r="CFC76" s="2805"/>
      <c r="CFD76" s="2805"/>
      <c r="CFE76" s="2805"/>
      <c r="CFF76" s="2805"/>
      <c r="CFG76" s="2805"/>
      <c r="CFH76" s="2805"/>
      <c r="CFI76" s="2805"/>
      <c r="CFJ76" s="2805"/>
      <c r="CFK76" s="2805"/>
      <c r="CFL76" s="2805"/>
      <c r="CFM76" s="2805"/>
      <c r="CFN76" s="2805"/>
      <c r="CFO76" s="2805"/>
      <c r="CFP76" s="2805"/>
      <c r="CFQ76" s="2805"/>
      <c r="CFR76" s="2805"/>
      <c r="CFS76" s="2805"/>
      <c r="CFT76" s="2805"/>
      <c r="CFU76" s="2805"/>
      <c r="CFV76" s="2805"/>
      <c r="CFW76" s="2805"/>
      <c r="CFX76" s="2805"/>
      <c r="CFY76" s="2805"/>
      <c r="CFZ76" s="2805"/>
      <c r="CGA76" s="2805"/>
      <c r="CGB76" s="2805"/>
      <c r="CGC76" s="2805"/>
      <c r="CGD76" s="2805"/>
      <c r="CGE76" s="2805"/>
      <c r="CGF76" s="2805"/>
      <c r="CGG76" s="2805"/>
      <c r="CGH76" s="2805"/>
      <c r="CGI76" s="2805"/>
      <c r="CGJ76" s="2805"/>
      <c r="CGK76" s="2805"/>
      <c r="CGL76" s="2805"/>
      <c r="CGM76" s="2805"/>
      <c r="CGN76" s="2805"/>
      <c r="CGO76" s="2805"/>
      <c r="CGP76" s="2805"/>
      <c r="CGQ76" s="2805"/>
      <c r="CGR76" s="2805"/>
      <c r="CGS76" s="2805"/>
      <c r="CGT76" s="2805"/>
      <c r="CGU76" s="2805"/>
      <c r="CGV76" s="2805"/>
      <c r="CGW76" s="2805"/>
      <c r="CGX76" s="2805"/>
      <c r="CGY76" s="2805"/>
      <c r="CGZ76" s="2805"/>
      <c r="CHA76" s="2805"/>
      <c r="CHB76" s="2805"/>
      <c r="CHC76" s="2805"/>
      <c r="CHD76" s="2805"/>
      <c r="CHE76" s="2805"/>
      <c r="CHF76" s="2805"/>
      <c r="CHG76" s="2805"/>
      <c r="CHH76" s="2805"/>
      <c r="CHI76" s="2805"/>
      <c r="CHJ76" s="2805"/>
      <c r="CHK76" s="2805"/>
      <c r="CHL76" s="2805"/>
      <c r="CHM76" s="2805"/>
      <c r="CHN76" s="2805"/>
      <c r="CHO76" s="2805"/>
      <c r="CHP76" s="2805"/>
      <c r="CHQ76" s="2805"/>
      <c r="CHR76" s="2805"/>
      <c r="CHS76" s="2805"/>
      <c r="CHT76" s="2805"/>
      <c r="CHU76" s="2805"/>
      <c r="CHV76" s="2805"/>
      <c r="CHW76" s="2805"/>
      <c r="CHX76" s="2805"/>
      <c r="CHY76" s="2805"/>
      <c r="CHZ76" s="2805"/>
      <c r="CIA76" s="2805"/>
      <c r="CIB76" s="2805"/>
      <c r="CIC76" s="2805"/>
      <c r="CID76" s="2805"/>
      <c r="CIE76" s="2805"/>
      <c r="CIF76" s="2805"/>
      <c r="CIG76" s="2805"/>
      <c r="CIH76" s="2805"/>
      <c r="CII76" s="2805"/>
      <c r="CIJ76" s="2805"/>
      <c r="CIK76" s="2805"/>
      <c r="CIL76" s="2805"/>
      <c r="CIM76" s="2805"/>
      <c r="CIN76" s="2805"/>
      <c r="CIO76" s="2805"/>
      <c r="CIP76" s="2805"/>
      <c r="CIQ76" s="2805"/>
      <c r="CIR76" s="2805"/>
      <c r="CIS76" s="2805"/>
      <c r="CIT76" s="2805"/>
      <c r="CIU76" s="2805"/>
      <c r="CIV76" s="2805"/>
      <c r="CIW76" s="2805"/>
      <c r="CIX76" s="2805"/>
      <c r="CIY76" s="2805"/>
      <c r="CIZ76" s="2805"/>
      <c r="CJA76" s="2805"/>
      <c r="CJB76" s="2805"/>
      <c r="CJC76" s="2805"/>
      <c r="CJD76" s="2805"/>
      <c r="CJE76" s="2805"/>
      <c r="CJF76" s="2805"/>
      <c r="CJG76" s="2805"/>
      <c r="CJH76" s="2805"/>
      <c r="CJI76" s="2805"/>
      <c r="CJJ76" s="2805"/>
      <c r="CJK76" s="2805"/>
      <c r="CJL76" s="2805"/>
      <c r="CJM76" s="2805"/>
      <c r="CJN76" s="2805"/>
      <c r="CJO76" s="2805"/>
      <c r="CJP76" s="2805"/>
      <c r="CJQ76" s="2805"/>
      <c r="CJR76" s="2805"/>
      <c r="CJS76" s="2805"/>
      <c r="CJT76" s="2805"/>
      <c r="CJU76" s="2805"/>
      <c r="CJV76" s="2805"/>
      <c r="CJW76" s="2805"/>
      <c r="CJX76" s="2805"/>
      <c r="CJY76" s="2805"/>
      <c r="CJZ76" s="2805"/>
      <c r="CKA76" s="2805"/>
      <c r="CKB76" s="2805"/>
      <c r="CKC76" s="2805"/>
      <c r="CKD76" s="2805"/>
      <c r="CKE76" s="2805"/>
      <c r="CKF76" s="2805"/>
      <c r="CKG76" s="2805"/>
      <c r="CKH76" s="2805"/>
      <c r="CKI76" s="2805"/>
      <c r="CKJ76" s="2805"/>
      <c r="CKK76" s="2805"/>
      <c r="CKL76" s="2805"/>
      <c r="CKM76" s="2805"/>
      <c r="CKN76" s="2805"/>
      <c r="CKO76" s="2805"/>
      <c r="CKP76" s="2805"/>
      <c r="CKQ76" s="2805"/>
      <c r="CKR76" s="2805"/>
      <c r="CKS76" s="2805"/>
      <c r="CKT76" s="2805"/>
      <c r="CKU76" s="2805"/>
      <c r="CKV76" s="2805"/>
      <c r="CKW76" s="2805"/>
      <c r="CKX76" s="2805"/>
      <c r="CKY76" s="2805"/>
      <c r="CKZ76" s="2805"/>
      <c r="CLA76" s="2805"/>
      <c r="CLB76" s="2805"/>
      <c r="CLC76" s="2805"/>
      <c r="CLD76" s="2805"/>
      <c r="CLE76" s="2805"/>
      <c r="CLF76" s="2805"/>
      <c r="CLG76" s="2805"/>
      <c r="CLH76" s="2805"/>
      <c r="CLI76" s="2805"/>
      <c r="CLJ76" s="2805"/>
      <c r="CLK76" s="2805"/>
      <c r="CLL76" s="2805"/>
      <c r="CLM76" s="2805"/>
      <c r="CLN76" s="2805"/>
      <c r="CLO76" s="2805"/>
      <c r="CLP76" s="2805"/>
      <c r="CLQ76" s="2805"/>
      <c r="CLR76" s="2805"/>
      <c r="CLS76" s="2805"/>
      <c r="CLT76" s="2805"/>
      <c r="CLU76" s="2805"/>
      <c r="CLV76" s="2805"/>
      <c r="CLW76" s="2805"/>
      <c r="CLX76" s="2805"/>
      <c r="CLY76" s="2805"/>
      <c r="CLZ76" s="2805"/>
      <c r="CMA76" s="2805"/>
      <c r="CMB76" s="2805"/>
      <c r="CMC76" s="2805"/>
      <c r="CMD76" s="2805"/>
      <c r="CME76" s="2805"/>
      <c r="CMF76" s="2805"/>
      <c r="CMG76" s="2805"/>
      <c r="CMH76" s="2805"/>
      <c r="CMI76" s="2805"/>
      <c r="CMJ76" s="2805"/>
      <c r="CMK76" s="2805"/>
      <c r="CML76" s="2805"/>
      <c r="CMM76" s="2805"/>
      <c r="CMN76" s="2805"/>
      <c r="CMO76" s="2805"/>
      <c r="CMP76" s="2805"/>
      <c r="CMQ76" s="2805"/>
      <c r="CMR76" s="2805"/>
      <c r="CMS76" s="2805"/>
      <c r="CMT76" s="2805"/>
      <c r="CMU76" s="2805"/>
      <c r="CMV76" s="2805"/>
      <c r="CMW76" s="2805"/>
      <c r="CMX76" s="2805"/>
      <c r="CMY76" s="2805"/>
      <c r="CMZ76" s="2805"/>
      <c r="CNA76" s="2805"/>
      <c r="CNB76" s="2805"/>
      <c r="CNC76" s="2805"/>
      <c r="CND76" s="2805"/>
      <c r="CNE76" s="2805"/>
      <c r="CNF76" s="2805"/>
      <c r="CNG76" s="2805"/>
      <c r="CNH76" s="2805"/>
      <c r="CNI76" s="2805"/>
      <c r="CNJ76" s="2805"/>
      <c r="CNK76" s="2805"/>
      <c r="CNL76" s="2805"/>
      <c r="CNM76" s="2805"/>
      <c r="CNN76" s="2805"/>
      <c r="CNO76" s="2805"/>
      <c r="CNP76" s="2805"/>
      <c r="CNQ76" s="2805"/>
      <c r="CNR76" s="2805"/>
      <c r="CNS76" s="2805"/>
      <c r="CNT76" s="2805"/>
      <c r="CNU76" s="2805"/>
      <c r="CNV76" s="2805"/>
      <c r="CNW76" s="2805"/>
      <c r="CNX76" s="2805"/>
      <c r="CNY76" s="2805"/>
      <c r="CNZ76" s="2805"/>
      <c r="COA76" s="2805"/>
      <c r="COB76" s="2805"/>
      <c r="COC76" s="2805"/>
      <c r="COD76" s="2805"/>
      <c r="COE76" s="2805"/>
      <c r="COF76" s="2805"/>
      <c r="COG76" s="2805"/>
      <c r="COH76" s="2805"/>
      <c r="COI76" s="2805"/>
      <c r="COJ76" s="2805"/>
      <c r="COK76" s="2805"/>
      <c r="COL76" s="2805"/>
      <c r="COM76" s="2805"/>
      <c r="CON76" s="2805"/>
      <c r="COO76" s="2805"/>
      <c r="COP76" s="2805"/>
      <c r="COQ76" s="2805"/>
      <c r="COR76" s="2805"/>
      <c r="COS76" s="2805"/>
      <c r="COT76" s="2805"/>
      <c r="COU76" s="2805"/>
      <c r="COV76" s="2805"/>
      <c r="COW76" s="2805"/>
      <c r="COX76" s="2805"/>
      <c r="COY76" s="2805"/>
      <c r="COZ76" s="2805"/>
      <c r="CPA76" s="2805"/>
      <c r="CPB76" s="2805"/>
      <c r="CPC76" s="2805"/>
      <c r="CPD76" s="2805"/>
      <c r="CPE76" s="2805"/>
      <c r="CPF76" s="2805"/>
      <c r="CPG76" s="2805"/>
      <c r="CPH76" s="2805"/>
      <c r="CPI76" s="2805"/>
      <c r="CPJ76" s="2805"/>
      <c r="CPK76" s="2805"/>
      <c r="CPL76" s="2805"/>
      <c r="CPM76" s="2805"/>
      <c r="CPN76" s="2805"/>
      <c r="CPO76" s="2805"/>
      <c r="CPP76" s="2805"/>
      <c r="CPQ76" s="2805"/>
      <c r="CPR76" s="2805"/>
      <c r="CPS76" s="2805"/>
      <c r="CPT76" s="2805"/>
      <c r="CPU76" s="2805"/>
      <c r="CPV76" s="2805"/>
      <c r="CPW76" s="2805"/>
      <c r="CPX76" s="2805"/>
      <c r="CPY76" s="2805"/>
      <c r="CPZ76" s="2805"/>
      <c r="CQA76" s="2805"/>
      <c r="CQB76" s="2805"/>
      <c r="CQC76" s="2805"/>
      <c r="CQD76" s="2805"/>
      <c r="CQE76" s="2805"/>
      <c r="CQF76" s="2805"/>
      <c r="CQG76" s="2805"/>
      <c r="CQH76" s="2805"/>
      <c r="CQI76" s="2805"/>
      <c r="CQJ76" s="2805"/>
      <c r="CQK76" s="2805"/>
      <c r="CQL76" s="2805"/>
      <c r="CQM76" s="2805"/>
      <c r="CQN76" s="2805"/>
      <c r="CQO76" s="2805"/>
      <c r="CQP76" s="2805"/>
      <c r="CQQ76" s="2805"/>
      <c r="CQR76" s="2805"/>
      <c r="CQS76" s="2805"/>
      <c r="CQT76" s="2805"/>
      <c r="CQU76" s="2805"/>
      <c r="CQV76" s="2805"/>
      <c r="CQW76" s="2805"/>
      <c r="CQX76" s="2805"/>
      <c r="CQY76" s="2805"/>
      <c r="CQZ76" s="2805"/>
      <c r="CRA76" s="2805"/>
      <c r="CRB76" s="2805"/>
      <c r="CRC76" s="2805"/>
      <c r="CRD76" s="2805"/>
      <c r="CRE76" s="2805"/>
      <c r="CRF76" s="2805"/>
      <c r="CRG76" s="2805"/>
      <c r="CRH76" s="2805"/>
      <c r="CRI76" s="2805"/>
      <c r="CRJ76" s="2805"/>
      <c r="CRK76" s="2805"/>
      <c r="CRL76" s="2805"/>
      <c r="CRM76" s="2805"/>
      <c r="CRN76" s="2805"/>
      <c r="CRO76" s="2805"/>
      <c r="CRP76" s="2805"/>
      <c r="CRQ76" s="2805"/>
      <c r="CRR76" s="2805"/>
      <c r="CRS76" s="2805"/>
      <c r="CRT76" s="2805"/>
      <c r="CRU76" s="2805"/>
      <c r="CRV76" s="2805"/>
      <c r="CRW76" s="2805"/>
      <c r="CRX76" s="2805"/>
      <c r="CRY76" s="2805"/>
      <c r="CRZ76" s="2805"/>
      <c r="CSA76" s="2805"/>
      <c r="CSB76" s="2805"/>
      <c r="CSC76" s="2805"/>
      <c r="CSD76" s="2805"/>
      <c r="CSE76" s="2805"/>
      <c r="CSF76" s="2805"/>
      <c r="CSG76" s="2805"/>
      <c r="CSH76" s="2805"/>
      <c r="CSI76" s="2805"/>
      <c r="CSJ76" s="2805"/>
      <c r="CSK76" s="2805"/>
      <c r="CSL76" s="2805"/>
      <c r="CSM76" s="2805"/>
      <c r="CSN76" s="2805"/>
      <c r="CSO76" s="2805"/>
      <c r="CSP76" s="2805"/>
      <c r="CSQ76" s="2805"/>
      <c r="CSR76" s="2805"/>
      <c r="CSS76" s="2805"/>
      <c r="CST76" s="2805"/>
      <c r="CSU76" s="2805"/>
      <c r="CSV76" s="2805"/>
      <c r="CSW76" s="2805"/>
      <c r="CSX76" s="2805"/>
      <c r="CSY76" s="2805"/>
      <c r="CSZ76" s="2805"/>
      <c r="CTA76" s="2805"/>
      <c r="CTB76" s="2805"/>
      <c r="CTC76" s="2805"/>
      <c r="CTD76" s="2805"/>
      <c r="CTE76" s="2805"/>
      <c r="CTF76" s="2805"/>
      <c r="CTG76" s="2805"/>
      <c r="CTH76" s="2805"/>
      <c r="CTI76" s="2805"/>
      <c r="CTJ76" s="2805"/>
      <c r="CTK76" s="2805"/>
      <c r="CTL76" s="2805"/>
      <c r="CTM76" s="2805"/>
      <c r="CTN76" s="2805"/>
      <c r="CTO76" s="2805"/>
      <c r="CTP76" s="2805"/>
      <c r="CTQ76" s="2805"/>
      <c r="CTR76" s="2805"/>
      <c r="CTS76" s="2805"/>
      <c r="CTT76" s="2805"/>
      <c r="CTU76" s="2805"/>
      <c r="CTV76" s="2805"/>
      <c r="CTW76" s="2805"/>
      <c r="CTX76" s="2805"/>
      <c r="CTY76" s="2805"/>
      <c r="CTZ76" s="2805"/>
      <c r="CUA76" s="2805"/>
      <c r="CUB76" s="2805"/>
      <c r="CUC76" s="2805"/>
      <c r="CUD76" s="2805"/>
      <c r="CUE76" s="2805"/>
      <c r="CUF76" s="2805"/>
      <c r="CUG76" s="2805"/>
      <c r="CUH76" s="2805"/>
      <c r="CUI76" s="2805"/>
      <c r="CUJ76" s="2805"/>
      <c r="CUK76" s="2805"/>
      <c r="CUL76" s="2805"/>
      <c r="CUM76" s="2805"/>
      <c r="CUN76" s="2805"/>
      <c r="CUO76" s="2805"/>
      <c r="CUP76" s="2805"/>
      <c r="CUQ76" s="2805"/>
      <c r="CUR76" s="2805"/>
      <c r="CUS76" s="2805"/>
      <c r="CUT76" s="2805"/>
      <c r="CUU76" s="2805"/>
      <c r="CUV76" s="2805"/>
      <c r="CUW76" s="2805"/>
      <c r="CUX76" s="2805"/>
      <c r="CUY76" s="2805"/>
      <c r="CUZ76" s="2805"/>
      <c r="CVA76" s="2805"/>
      <c r="CVB76" s="2805"/>
      <c r="CVC76" s="2805"/>
      <c r="CVD76" s="2805"/>
      <c r="CVE76" s="2805"/>
      <c r="CVF76" s="2805"/>
      <c r="CVG76" s="2805"/>
      <c r="CVH76" s="2805"/>
      <c r="CVI76" s="2805"/>
      <c r="CVJ76" s="2805"/>
      <c r="CVK76" s="2805"/>
      <c r="CVL76" s="2805"/>
      <c r="CVM76" s="2805"/>
      <c r="CVN76" s="2805"/>
      <c r="CVO76" s="2805"/>
      <c r="CVP76" s="2805"/>
      <c r="CVQ76" s="2805"/>
      <c r="CVR76" s="2805"/>
      <c r="CVS76" s="2805"/>
      <c r="CVT76" s="2805"/>
      <c r="CVU76" s="2805"/>
      <c r="CVV76" s="2805"/>
      <c r="CVW76" s="2805"/>
      <c r="CVX76" s="2805"/>
      <c r="CVY76" s="2805"/>
      <c r="CVZ76" s="2805"/>
      <c r="CWA76" s="2805"/>
      <c r="CWB76" s="2805"/>
      <c r="CWC76" s="2805"/>
      <c r="CWD76" s="2805"/>
      <c r="CWE76" s="2805"/>
      <c r="CWF76" s="2805"/>
      <c r="CWG76" s="2805"/>
      <c r="CWH76" s="2805"/>
      <c r="CWI76" s="2805"/>
      <c r="CWJ76" s="2805"/>
      <c r="CWK76" s="2805"/>
      <c r="CWL76" s="2805"/>
      <c r="CWM76" s="2805"/>
      <c r="CWN76" s="2805"/>
      <c r="CWO76" s="2805"/>
      <c r="CWP76" s="2805"/>
      <c r="CWQ76" s="2805"/>
      <c r="CWR76" s="2805"/>
      <c r="CWS76" s="2805"/>
      <c r="CWT76" s="2805"/>
      <c r="CWU76" s="2805"/>
      <c r="CWV76" s="2805"/>
      <c r="CWW76" s="2805"/>
      <c r="CWX76" s="2805"/>
      <c r="CWY76" s="2805"/>
      <c r="CWZ76" s="2805"/>
      <c r="CXA76" s="2805"/>
      <c r="CXB76" s="2805"/>
      <c r="CXC76" s="2805"/>
      <c r="CXD76" s="2805"/>
      <c r="CXE76" s="2805"/>
      <c r="CXF76" s="2805"/>
      <c r="CXG76" s="2805"/>
      <c r="CXH76" s="2805"/>
      <c r="CXI76" s="2805"/>
      <c r="CXJ76" s="2805"/>
      <c r="CXK76" s="2805"/>
      <c r="CXL76" s="2805"/>
      <c r="CXM76" s="2805"/>
      <c r="CXN76" s="2805"/>
      <c r="CXO76" s="2805"/>
      <c r="CXP76" s="2805"/>
      <c r="CXQ76" s="2805"/>
      <c r="CXR76" s="2805"/>
      <c r="CXS76" s="2805"/>
      <c r="CXT76" s="2805"/>
      <c r="CXU76" s="2805"/>
      <c r="CXV76" s="2805"/>
      <c r="CXW76" s="2805"/>
      <c r="CXX76" s="2805"/>
      <c r="CXY76" s="2805"/>
      <c r="CXZ76" s="2805"/>
      <c r="CYA76" s="2805"/>
      <c r="CYB76" s="2805"/>
      <c r="CYC76" s="2805"/>
      <c r="CYD76" s="2805"/>
      <c r="CYE76" s="2805"/>
      <c r="CYF76" s="2805"/>
      <c r="CYG76" s="2805"/>
      <c r="CYH76" s="2805"/>
      <c r="CYI76" s="2805"/>
      <c r="CYJ76" s="2805"/>
      <c r="CYK76" s="2805"/>
      <c r="CYL76" s="2805"/>
      <c r="CYM76" s="2805"/>
      <c r="CYN76" s="2805"/>
      <c r="CYO76" s="2805"/>
      <c r="CYP76" s="2805"/>
      <c r="CYQ76" s="2805"/>
      <c r="CYR76" s="2805"/>
      <c r="CYS76" s="2805"/>
      <c r="CYT76" s="2805"/>
      <c r="CYU76" s="2805"/>
      <c r="CYV76" s="2805"/>
      <c r="CYW76" s="2805"/>
      <c r="CYX76" s="2805"/>
      <c r="CYY76" s="2805"/>
      <c r="CYZ76" s="2805"/>
      <c r="CZA76" s="2805"/>
      <c r="CZB76" s="2805"/>
      <c r="CZC76" s="2805"/>
      <c r="CZD76" s="2805"/>
      <c r="CZE76" s="2805"/>
      <c r="CZF76" s="2805"/>
      <c r="CZG76" s="2805"/>
      <c r="CZH76" s="2805"/>
      <c r="CZI76" s="2805"/>
      <c r="CZJ76" s="2805"/>
      <c r="CZK76" s="2805"/>
      <c r="CZL76" s="2805"/>
      <c r="CZM76" s="2805"/>
      <c r="CZN76" s="2805"/>
      <c r="CZO76" s="2805"/>
      <c r="CZP76" s="2805"/>
      <c r="CZQ76" s="2805"/>
      <c r="CZR76" s="2805"/>
      <c r="CZS76" s="2805"/>
      <c r="CZT76" s="2805"/>
      <c r="CZU76" s="2805"/>
      <c r="CZV76" s="2805"/>
      <c r="CZW76" s="2805"/>
      <c r="CZX76" s="2805"/>
      <c r="CZY76" s="2805"/>
      <c r="CZZ76" s="2805"/>
      <c r="DAA76" s="2805"/>
      <c r="DAB76" s="2805"/>
      <c r="DAC76" s="2805"/>
      <c r="DAD76" s="2805"/>
      <c r="DAE76" s="2805"/>
      <c r="DAF76" s="2805"/>
      <c r="DAG76" s="2805"/>
      <c r="DAH76" s="2805"/>
      <c r="DAI76" s="2805"/>
      <c r="DAJ76" s="2805"/>
      <c r="DAK76" s="2805"/>
      <c r="DAL76" s="2805"/>
      <c r="DAM76" s="2805"/>
      <c r="DAN76" s="2805"/>
      <c r="DAO76" s="2805"/>
      <c r="DAP76" s="2805"/>
      <c r="DAQ76" s="2805"/>
      <c r="DAR76" s="2805"/>
      <c r="DAS76" s="2805"/>
      <c r="DAT76" s="2805"/>
      <c r="DAU76" s="2805"/>
      <c r="DAV76" s="2805"/>
      <c r="DAW76" s="2805"/>
      <c r="DAX76" s="2805"/>
      <c r="DAY76" s="2805"/>
      <c r="DAZ76" s="2805"/>
      <c r="DBA76" s="2805"/>
      <c r="DBB76" s="2805"/>
      <c r="DBC76" s="2805"/>
      <c r="DBD76" s="2805"/>
      <c r="DBE76" s="2805"/>
      <c r="DBF76" s="2805"/>
      <c r="DBG76" s="2805"/>
      <c r="DBH76" s="2805"/>
      <c r="DBI76" s="2805"/>
      <c r="DBJ76" s="2805"/>
      <c r="DBK76" s="2805"/>
      <c r="DBL76" s="2805"/>
      <c r="DBM76" s="2805"/>
      <c r="DBN76" s="2805"/>
      <c r="DBO76" s="2805"/>
      <c r="DBP76" s="2805"/>
      <c r="DBQ76" s="2805"/>
      <c r="DBR76" s="2805"/>
      <c r="DBS76" s="2805"/>
      <c r="DBT76" s="2805"/>
      <c r="DBU76" s="2805"/>
      <c r="DBV76" s="2805"/>
      <c r="DBW76" s="2805"/>
      <c r="DBX76" s="2805"/>
      <c r="DBY76" s="2805"/>
      <c r="DBZ76" s="2805"/>
      <c r="DCA76" s="2805"/>
      <c r="DCB76" s="2805"/>
      <c r="DCC76" s="2805"/>
      <c r="DCD76" s="2805"/>
      <c r="DCE76" s="2805"/>
      <c r="DCF76" s="2805"/>
      <c r="DCG76" s="2805"/>
      <c r="DCH76" s="2805"/>
      <c r="DCI76" s="2805"/>
      <c r="DCJ76" s="2805"/>
      <c r="DCK76" s="2805"/>
      <c r="DCL76" s="2805"/>
      <c r="DCM76" s="2805"/>
      <c r="DCN76" s="2805"/>
      <c r="DCO76" s="2805"/>
      <c r="DCP76" s="2805"/>
      <c r="DCQ76" s="2805"/>
      <c r="DCR76" s="2805"/>
      <c r="DCS76" s="2805"/>
      <c r="DCT76" s="2805"/>
      <c r="DCU76" s="2805"/>
      <c r="DCV76" s="2805"/>
      <c r="DCW76" s="2805"/>
      <c r="DCX76" s="2805"/>
      <c r="DCY76" s="2805"/>
      <c r="DCZ76" s="2805"/>
      <c r="DDA76" s="2805"/>
      <c r="DDB76" s="2805"/>
      <c r="DDC76" s="2805"/>
      <c r="DDD76" s="2805"/>
      <c r="DDE76" s="2805"/>
      <c r="DDF76" s="2805"/>
      <c r="DDG76" s="2805"/>
      <c r="DDH76" s="2805"/>
      <c r="DDI76" s="2805"/>
      <c r="DDJ76" s="2805"/>
      <c r="DDK76" s="2805"/>
      <c r="DDL76" s="2805"/>
      <c r="DDM76" s="2805"/>
      <c r="DDN76" s="2805"/>
      <c r="DDO76" s="2805"/>
      <c r="DDP76" s="2805"/>
      <c r="DDQ76" s="2805"/>
      <c r="DDR76" s="2805"/>
      <c r="DDS76" s="2805"/>
      <c r="DDT76" s="2805"/>
      <c r="DDU76" s="2805"/>
      <c r="DDV76" s="2805"/>
      <c r="DDW76" s="2805"/>
      <c r="DDX76" s="2805"/>
      <c r="DDY76" s="2805"/>
      <c r="DDZ76" s="2805"/>
      <c r="DEA76" s="2805"/>
      <c r="DEB76" s="2805"/>
      <c r="DEC76" s="2805"/>
      <c r="DED76" s="2805"/>
      <c r="DEE76" s="2805"/>
      <c r="DEF76" s="2805"/>
      <c r="DEG76" s="2805"/>
      <c r="DEH76" s="2805"/>
      <c r="DEI76" s="2805"/>
      <c r="DEJ76" s="2805"/>
      <c r="DEK76" s="2805"/>
      <c r="DEL76" s="2805"/>
      <c r="DEM76" s="2805"/>
      <c r="DEN76" s="2805"/>
      <c r="DEO76" s="2805"/>
      <c r="DEP76" s="2805"/>
      <c r="DEQ76" s="2805"/>
      <c r="DER76" s="2805"/>
      <c r="DES76" s="2805"/>
      <c r="DET76" s="2805"/>
      <c r="DEU76" s="2805"/>
      <c r="DEV76" s="2805"/>
      <c r="DEW76" s="2805"/>
      <c r="DEX76" s="2805"/>
      <c r="DEY76" s="2805"/>
      <c r="DEZ76" s="2805"/>
      <c r="DFA76" s="2805"/>
      <c r="DFB76" s="2805"/>
      <c r="DFC76" s="2805"/>
      <c r="DFD76" s="2805"/>
      <c r="DFE76" s="2805"/>
      <c r="DFF76" s="2805"/>
      <c r="DFG76" s="2805"/>
      <c r="DFH76" s="2805"/>
      <c r="DFI76" s="2805"/>
      <c r="DFJ76" s="2805"/>
      <c r="DFK76" s="2805"/>
      <c r="DFL76" s="2805"/>
      <c r="DFM76" s="2805"/>
      <c r="DFN76" s="2805"/>
      <c r="DFO76" s="2805"/>
      <c r="DFP76" s="2805"/>
      <c r="DFQ76" s="2805"/>
      <c r="DFR76" s="2805"/>
      <c r="DFS76" s="2805"/>
      <c r="DFT76" s="2805"/>
      <c r="DFU76" s="2805"/>
      <c r="DFV76" s="2805"/>
      <c r="DFW76" s="2805"/>
      <c r="DFX76" s="2805"/>
      <c r="DFY76" s="2805"/>
      <c r="DFZ76" s="2805"/>
      <c r="DGA76" s="2805"/>
      <c r="DGB76" s="2805"/>
      <c r="DGC76" s="2805"/>
      <c r="DGD76" s="2805"/>
      <c r="DGE76" s="2805"/>
      <c r="DGF76" s="2805"/>
      <c r="DGG76" s="2805"/>
      <c r="DGH76" s="2805"/>
      <c r="DGI76" s="2805"/>
      <c r="DGJ76" s="2805"/>
      <c r="DGK76" s="2805"/>
      <c r="DGL76" s="2805"/>
      <c r="DGM76" s="2805"/>
      <c r="DGN76" s="2805"/>
      <c r="DGO76" s="2805"/>
      <c r="DGP76" s="2805"/>
      <c r="DGQ76" s="2805"/>
      <c r="DGR76" s="2805"/>
      <c r="DGS76" s="2805"/>
      <c r="DGT76" s="2805"/>
      <c r="DGU76" s="2805"/>
      <c r="DGV76" s="2805"/>
      <c r="DGW76" s="2805"/>
      <c r="DGX76" s="2805"/>
      <c r="DGY76" s="2805"/>
      <c r="DGZ76" s="2805"/>
      <c r="DHA76" s="2805"/>
      <c r="DHB76" s="2805"/>
      <c r="DHC76" s="2805"/>
      <c r="DHD76" s="2805"/>
      <c r="DHE76" s="2805"/>
      <c r="DHF76" s="2805"/>
      <c r="DHG76" s="2805"/>
      <c r="DHH76" s="2805"/>
      <c r="DHI76" s="2805"/>
      <c r="DHJ76" s="2805"/>
      <c r="DHK76" s="2805"/>
      <c r="DHL76" s="2805"/>
      <c r="DHM76" s="2805"/>
      <c r="DHN76" s="2805"/>
      <c r="DHO76" s="2805"/>
      <c r="DHP76" s="2805"/>
      <c r="DHQ76" s="2805"/>
      <c r="DHR76" s="2805"/>
      <c r="DHS76" s="2805"/>
      <c r="DHT76" s="2805"/>
      <c r="DHU76" s="2805"/>
      <c r="DHV76" s="2805"/>
      <c r="DHW76" s="2805"/>
      <c r="DHX76" s="2805"/>
      <c r="DHY76" s="2805"/>
      <c r="DHZ76" s="2805"/>
      <c r="DIA76" s="2805"/>
      <c r="DIB76" s="2805"/>
      <c r="DIC76" s="2805"/>
      <c r="DID76" s="2805"/>
      <c r="DIE76" s="2805"/>
      <c r="DIF76" s="2805"/>
      <c r="DIG76" s="2805"/>
      <c r="DIH76" s="2805"/>
      <c r="DII76" s="2805"/>
      <c r="DIJ76" s="2805"/>
      <c r="DIK76" s="2805"/>
      <c r="DIL76" s="2805"/>
      <c r="DIM76" s="2805"/>
      <c r="DIN76" s="2805"/>
      <c r="DIO76" s="2805"/>
      <c r="DIP76" s="2805"/>
      <c r="DIQ76" s="2805"/>
      <c r="DIR76" s="2805"/>
      <c r="DIS76" s="2805"/>
      <c r="DIT76" s="2805"/>
      <c r="DIU76" s="2805"/>
      <c r="DIV76" s="2805"/>
      <c r="DIW76" s="2805"/>
      <c r="DIX76" s="2805"/>
      <c r="DIY76" s="2805"/>
      <c r="DIZ76" s="2805"/>
      <c r="DJA76" s="2805"/>
      <c r="DJB76" s="2805"/>
      <c r="DJC76" s="2805"/>
      <c r="DJD76" s="2805"/>
      <c r="DJE76" s="2805"/>
      <c r="DJF76" s="2805"/>
      <c r="DJG76" s="2805"/>
      <c r="DJH76" s="2805"/>
      <c r="DJI76" s="2805"/>
      <c r="DJJ76" s="2805"/>
      <c r="DJK76" s="2805"/>
      <c r="DJL76" s="2805"/>
      <c r="DJM76" s="2805"/>
      <c r="DJN76" s="2805"/>
      <c r="DJO76" s="2805"/>
      <c r="DJP76" s="2805"/>
      <c r="DJQ76" s="2805"/>
      <c r="DJR76" s="2805"/>
      <c r="DJS76" s="2805"/>
      <c r="DJT76" s="2805"/>
      <c r="DJU76" s="2805"/>
      <c r="DJV76" s="2805"/>
      <c r="DJW76" s="2805"/>
      <c r="DJX76" s="2805"/>
      <c r="DJY76" s="2805"/>
      <c r="DJZ76" s="2805"/>
      <c r="DKA76" s="2805"/>
      <c r="DKB76" s="2805"/>
      <c r="DKC76" s="2805"/>
      <c r="DKD76" s="2805"/>
      <c r="DKE76" s="2805"/>
      <c r="DKF76" s="2805"/>
      <c r="DKG76" s="2805"/>
      <c r="DKH76" s="2805"/>
      <c r="DKI76" s="2805"/>
      <c r="DKJ76" s="2805"/>
      <c r="DKK76" s="2805"/>
      <c r="DKL76" s="2805"/>
      <c r="DKM76" s="2805"/>
      <c r="DKN76" s="2805"/>
      <c r="DKO76" s="2805"/>
      <c r="DKP76" s="2805"/>
      <c r="DKQ76" s="2805"/>
      <c r="DKR76" s="2805"/>
      <c r="DKS76" s="2805"/>
      <c r="DKT76" s="2805"/>
      <c r="DKU76" s="2805"/>
      <c r="DKV76" s="2805"/>
      <c r="DKW76" s="2805"/>
      <c r="DKX76" s="2805"/>
      <c r="DKY76" s="2805"/>
      <c r="DKZ76" s="2805"/>
      <c r="DLA76" s="2805"/>
      <c r="DLB76" s="2805"/>
      <c r="DLC76" s="2805"/>
      <c r="DLD76" s="2805"/>
      <c r="DLE76" s="2805"/>
      <c r="DLF76" s="2805"/>
      <c r="DLG76" s="2805"/>
      <c r="DLH76" s="2805"/>
      <c r="DLI76" s="2805"/>
      <c r="DLJ76" s="2805"/>
      <c r="DLK76" s="2805"/>
      <c r="DLL76" s="2805"/>
      <c r="DLM76" s="2805"/>
      <c r="DLN76" s="2805"/>
      <c r="DLO76" s="2805"/>
      <c r="DLP76" s="2805"/>
      <c r="DLQ76" s="2805"/>
      <c r="DLR76" s="2805"/>
      <c r="DLS76" s="2805"/>
      <c r="DLT76" s="2805"/>
      <c r="DLU76" s="2805"/>
      <c r="DLV76" s="2805"/>
      <c r="DLW76" s="2805"/>
      <c r="DLX76" s="2805"/>
      <c r="DLY76" s="2805"/>
      <c r="DLZ76" s="2805"/>
      <c r="DMA76" s="2805"/>
      <c r="DMB76" s="2805"/>
      <c r="DMC76" s="2805"/>
      <c r="DMD76" s="2805"/>
      <c r="DME76" s="2805"/>
      <c r="DMF76" s="2805"/>
      <c r="DMG76" s="2805"/>
      <c r="DMH76" s="2805"/>
      <c r="DMI76" s="2805"/>
      <c r="DMJ76" s="2805"/>
      <c r="DMK76" s="2805"/>
      <c r="DML76" s="2805"/>
      <c r="DMM76" s="2805"/>
      <c r="DMN76" s="2805"/>
      <c r="DMO76" s="2805"/>
      <c r="DMP76" s="2805"/>
      <c r="DMQ76" s="2805"/>
      <c r="DMR76" s="2805"/>
      <c r="DMS76" s="2805"/>
      <c r="DMT76" s="2805"/>
      <c r="DMU76" s="2805"/>
      <c r="DMV76" s="2805"/>
      <c r="DMW76" s="2805"/>
      <c r="DMX76" s="2805"/>
      <c r="DMY76" s="2805"/>
      <c r="DMZ76" s="2805"/>
      <c r="DNA76" s="2805"/>
      <c r="DNB76" s="2805"/>
      <c r="DNC76" s="2805"/>
      <c r="DND76" s="2805"/>
      <c r="DNE76" s="2805"/>
      <c r="DNF76" s="2805"/>
      <c r="DNG76" s="2805"/>
      <c r="DNH76" s="2805"/>
      <c r="DNI76" s="2805"/>
      <c r="DNJ76" s="2805"/>
      <c r="DNK76" s="2805"/>
      <c r="DNL76" s="2805"/>
      <c r="DNM76" s="2805"/>
      <c r="DNN76" s="2805"/>
      <c r="DNO76" s="2805"/>
      <c r="DNP76" s="2805"/>
      <c r="DNQ76" s="2805"/>
      <c r="DNR76" s="2805"/>
      <c r="DNS76" s="2805"/>
      <c r="DNT76" s="2805"/>
      <c r="DNU76" s="2805"/>
      <c r="DNV76" s="2805"/>
      <c r="DNW76" s="2805"/>
      <c r="DNX76" s="2805"/>
      <c r="DNY76" s="2805"/>
      <c r="DNZ76" s="2805"/>
      <c r="DOA76" s="2805"/>
      <c r="DOB76" s="2805"/>
      <c r="DOC76" s="2805"/>
      <c r="DOD76" s="2805"/>
      <c r="DOE76" s="2805"/>
      <c r="DOF76" s="2805"/>
      <c r="DOG76" s="2805"/>
      <c r="DOH76" s="2805"/>
      <c r="DOI76" s="2805"/>
      <c r="DOJ76" s="2805"/>
      <c r="DOK76" s="2805"/>
      <c r="DOL76" s="2805"/>
      <c r="DOM76" s="2805"/>
      <c r="DON76" s="2805"/>
      <c r="DOO76" s="2805"/>
      <c r="DOP76" s="2805"/>
      <c r="DOQ76" s="2805"/>
      <c r="DOR76" s="2805"/>
      <c r="DOS76" s="2805"/>
      <c r="DOT76" s="2805"/>
      <c r="DOU76" s="2805"/>
      <c r="DOV76" s="2805"/>
      <c r="DOW76" s="2805"/>
      <c r="DOX76" s="2805"/>
      <c r="DOY76" s="2805"/>
      <c r="DOZ76" s="2805"/>
      <c r="DPA76" s="2805"/>
      <c r="DPB76" s="2805"/>
      <c r="DPC76" s="2805"/>
      <c r="DPD76" s="2805"/>
      <c r="DPE76" s="2805"/>
      <c r="DPF76" s="2805"/>
      <c r="DPG76" s="2805"/>
      <c r="DPH76" s="2805"/>
      <c r="DPI76" s="2805"/>
      <c r="DPJ76" s="2805"/>
      <c r="DPK76" s="2805"/>
      <c r="DPL76" s="2805"/>
      <c r="DPM76" s="2805"/>
      <c r="DPN76" s="2805"/>
      <c r="DPO76" s="2805"/>
      <c r="DPP76" s="2805"/>
      <c r="DPQ76" s="2805"/>
      <c r="DPR76" s="2805"/>
      <c r="DPS76" s="2805"/>
      <c r="DPT76" s="2805"/>
      <c r="DPU76" s="2805"/>
      <c r="DPV76" s="2805"/>
      <c r="DPW76" s="2805"/>
      <c r="DPX76" s="2805"/>
      <c r="DPY76" s="2805"/>
      <c r="DPZ76" s="2805"/>
      <c r="DQA76" s="2805"/>
      <c r="DQB76" s="2805"/>
      <c r="DQC76" s="2805"/>
      <c r="DQD76" s="2805"/>
      <c r="DQE76" s="2805"/>
      <c r="DQF76" s="2805"/>
      <c r="DQG76" s="2805"/>
      <c r="DQH76" s="2805"/>
      <c r="DQI76" s="2805"/>
      <c r="DQJ76" s="2805"/>
      <c r="DQK76" s="2805"/>
      <c r="DQL76" s="2805"/>
      <c r="DQM76" s="2805"/>
      <c r="DQN76" s="2805"/>
      <c r="DQO76" s="2805"/>
      <c r="DQP76" s="2805"/>
      <c r="DQQ76" s="2805"/>
      <c r="DQR76" s="2805"/>
      <c r="DQS76" s="2805"/>
      <c r="DQT76" s="2805"/>
      <c r="DQU76" s="2805"/>
      <c r="DQV76" s="2805"/>
      <c r="DQW76" s="2805"/>
      <c r="DQX76" s="2805"/>
      <c r="DQY76" s="2805"/>
      <c r="DQZ76" s="2805"/>
      <c r="DRA76" s="2805"/>
      <c r="DRB76" s="2805"/>
      <c r="DRC76" s="2805"/>
      <c r="DRD76" s="2805"/>
      <c r="DRE76" s="2805"/>
      <c r="DRF76" s="2805"/>
      <c r="DRG76" s="2805"/>
      <c r="DRH76" s="2805"/>
      <c r="DRI76" s="2805"/>
      <c r="DRJ76" s="2805"/>
      <c r="DRK76" s="2805"/>
      <c r="DRL76" s="2805"/>
      <c r="DRM76" s="2805"/>
      <c r="DRN76" s="2805"/>
      <c r="DRO76" s="2805"/>
      <c r="DRP76" s="2805"/>
      <c r="DRQ76" s="2805"/>
      <c r="DRR76" s="2805"/>
      <c r="DRS76" s="2805"/>
      <c r="DRT76" s="2805"/>
      <c r="DRU76" s="2805"/>
      <c r="DRV76" s="2805"/>
      <c r="DRW76" s="2805"/>
      <c r="DRX76" s="2805"/>
      <c r="DRY76" s="2805"/>
      <c r="DRZ76" s="2805"/>
      <c r="DSA76" s="2805"/>
      <c r="DSB76" s="2805"/>
      <c r="DSC76" s="2805"/>
      <c r="DSD76" s="2805"/>
      <c r="DSE76" s="2805"/>
      <c r="DSF76" s="2805"/>
      <c r="DSG76" s="2805"/>
      <c r="DSH76" s="2805"/>
      <c r="DSI76" s="2805"/>
      <c r="DSJ76" s="2805"/>
      <c r="DSK76" s="2805"/>
      <c r="DSL76" s="2805"/>
      <c r="DSM76" s="2805"/>
      <c r="DSN76" s="2805"/>
      <c r="DSO76" s="2805"/>
      <c r="DSP76" s="2805"/>
      <c r="DSQ76" s="2805"/>
      <c r="DSR76" s="2805"/>
      <c r="DSS76" s="2805"/>
      <c r="DST76" s="2805"/>
      <c r="DSU76" s="2805"/>
      <c r="DSV76" s="2805"/>
      <c r="DSW76" s="2805"/>
      <c r="DSX76" s="2805"/>
      <c r="DSY76" s="2805"/>
      <c r="DSZ76" s="2805"/>
      <c r="DTA76" s="2805"/>
      <c r="DTB76" s="2805"/>
      <c r="DTC76" s="2805"/>
      <c r="DTD76" s="2805"/>
      <c r="DTE76" s="2805"/>
      <c r="DTF76" s="2805"/>
      <c r="DTG76" s="2805"/>
      <c r="DTH76" s="2805"/>
      <c r="DTI76" s="2805"/>
      <c r="DTJ76" s="2805"/>
      <c r="DTK76" s="2805"/>
      <c r="DTL76" s="2805"/>
      <c r="DTM76" s="2805"/>
      <c r="DTN76" s="2805"/>
      <c r="DTO76" s="2805"/>
      <c r="DTP76" s="2805"/>
      <c r="DTQ76" s="2805"/>
      <c r="DTR76" s="2805"/>
      <c r="DTS76" s="2805"/>
      <c r="DTT76" s="2805"/>
      <c r="DTU76" s="2805"/>
      <c r="DTV76" s="2805"/>
      <c r="DTW76" s="2805"/>
      <c r="DTX76" s="2805"/>
      <c r="DTY76" s="2805"/>
      <c r="DTZ76" s="2805"/>
      <c r="DUA76" s="2805"/>
      <c r="DUB76" s="2805"/>
      <c r="DUC76" s="2805"/>
      <c r="DUD76" s="2805"/>
      <c r="DUE76" s="2805"/>
      <c r="DUF76" s="2805"/>
      <c r="DUG76" s="2805"/>
      <c r="DUH76" s="2805"/>
      <c r="DUI76" s="2805"/>
      <c r="DUJ76" s="2805"/>
      <c r="DUK76" s="2805"/>
      <c r="DUL76" s="2805"/>
      <c r="DUM76" s="2805"/>
      <c r="DUN76" s="2805"/>
      <c r="DUO76" s="2805"/>
      <c r="DUP76" s="2805"/>
      <c r="DUQ76" s="2805"/>
      <c r="DUR76" s="2805"/>
      <c r="DUS76" s="2805"/>
      <c r="DUT76" s="2805"/>
      <c r="DUU76" s="2805"/>
      <c r="DUV76" s="2805"/>
      <c r="DUW76" s="2805"/>
      <c r="DUX76" s="2805"/>
      <c r="DUY76" s="2805"/>
      <c r="DUZ76" s="2805"/>
      <c r="DVA76" s="2805"/>
      <c r="DVB76" s="2805"/>
      <c r="DVC76" s="2805"/>
      <c r="DVD76" s="2805"/>
      <c r="DVE76" s="2805"/>
      <c r="DVF76" s="2805"/>
      <c r="DVG76" s="2805"/>
      <c r="DVH76" s="2805"/>
      <c r="DVI76" s="2805"/>
      <c r="DVJ76" s="2805"/>
      <c r="DVK76" s="2805"/>
      <c r="DVL76" s="2805"/>
      <c r="DVM76" s="2805"/>
      <c r="DVN76" s="2805"/>
      <c r="DVO76" s="2805"/>
      <c r="DVP76" s="2805"/>
      <c r="DVQ76" s="2805"/>
      <c r="DVR76" s="2805"/>
      <c r="DVS76" s="2805"/>
      <c r="DVT76" s="2805"/>
      <c r="DVU76" s="2805"/>
      <c r="DVV76" s="2805"/>
      <c r="DVW76" s="2805"/>
      <c r="DVX76" s="2805"/>
      <c r="DVY76" s="2805"/>
      <c r="DVZ76" s="2805"/>
      <c r="DWA76" s="2805"/>
      <c r="DWB76" s="2805"/>
      <c r="DWC76" s="2805"/>
      <c r="DWD76" s="2805"/>
      <c r="DWE76" s="2805"/>
      <c r="DWF76" s="2805"/>
      <c r="DWG76" s="2805"/>
      <c r="DWH76" s="2805"/>
      <c r="DWI76" s="2805"/>
      <c r="DWJ76" s="2805"/>
      <c r="DWK76" s="2805"/>
      <c r="DWL76" s="2805"/>
      <c r="DWM76" s="2805"/>
      <c r="DWN76" s="2805"/>
      <c r="DWO76" s="2805"/>
      <c r="DWP76" s="2805"/>
      <c r="DWQ76" s="2805"/>
      <c r="DWR76" s="2805"/>
      <c r="DWS76" s="2805"/>
      <c r="DWT76" s="2805"/>
      <c r="DWU76" s="2805"/>
      <c r="DWV76" s="2805"/>
      <c r="DWW76" s="2805"/>
      <c r="DWX76" s="2805"/>
      <c r="DWY76" s="2805"/>
      <c r="DWZ76" s="2805"/>
      <c r="DXA76" s="2805"/>
      <c r="DXB76" s="2805"/>
      <c r="DXC76" s="2805"/>
      <c r="DXD76" s="2805"/>
      <c r="DXE76" s="2805"/>
      <c r="DXF76" s="2805"/>
      <c r="DXG76" s="2805"/>
      <c r="DXH76" s="2805"/>
      <c r="DXI76" s="2805"/>
      <c r="DXJ76" s="2805"/>
      <c r="DXK76" s="2805"/>
      <c r="DXL76" s="2805"/>
      <c r="DXM76" s="2805"/>
      <c r="DXN76" s="2805"/>
      <c r="DXO76" s="2805"/>
      <c r="DXP76" s="2805"/>
      <c r="DXQ76" s="2805"/>
      <c r="DXR76" s="2805"/>
      <c r="DXS76" s="2805"/>
      <c r="DXT76" s="2805"/>
      <c r="DXU76" s="2805"/>
      <c r="DXV76" s="2805"/>
      <c r="DXW76" s="2805"/>
      <c r="DXX76" s="2805"/>
      <c r="DXY76" s="2805"/>
      <c r="DXZ76" s="2805"/>
      <c r="DYA76" s="2805"/>
      <c r="DYB76" s="2805"/>
      <c r="DYC76" s="2805"/>
      <c r="DYD76" s="2805"/>
      <c r="DYE76" s="2805"/>
      <c r="DYF76" s="2805"/>
      <c r="DYG76" s="2805"/>
      <c r="DYH76" s="2805"/>
      <c r="DYI76" s="2805"/>
      <c r="DYJ76" s="2805"/>
      <c r="DYK76" s="2805"/>
      <c r="DYL76" s="2805"/>
      <c r="DYM76" s="2805"/>
      <c r="DYN76" s="2805"/>
      <c r="DYO76" s="2805"/>
      <c r="DYP76" s="2805"/>
      <c r="DYQ76" s="2805"/>
      <c r="DYR76" s="2805"/>
      <c r="DYS76" s="2805"/>
      <c r="DYT76" s="2805"/>
      <c r="DYU76" s="2805"/>
      <c r="DYV76" s="2805"/>
      <c r="DYW76" s="2805"/>
      <c r="DYX76" s="2805"/>
      <c r="DYY76" s="2805"/>
      <c r="DYZ76" s="2805"/>
      <c r="DZA76" s="2805"/>
      <c r="DZB76" s="2805"/>
      <c r="DZC76" s="2805"/>
      <c r="DZD76" s="2805"/>
      <c r="DZE76" s="2805"/>
      <c r="DZF76" s="2805"/>
      <c r="DZG76" s="2805"/>
      <c r="DZH76" s="2805"/>
      <c r="DZI76" s="2805"/>
      <c r="DZJ76" s="2805"/>
      <c r="DZK76" s="2805"/>
      <c r="DZL76" s="2805"/>
      <c r="DZM76" s="2805"/>
      <c r="DZN76" s="2805"/>
      <c r="DZO76" s="2805"/>
      <c r="DZP76" s="2805"/>
      <c r="DZQ76" s="2805"/>
      <c r="DZR76" s="2805"/>
      <c r="DZS76" s="2805"/>
      <c r="DZT76" s="2805"/>
      <c r="DZU76" s="2805"/>
      <c r="DZV76" s="2805"/>
      <c r="DZW76" s="2805"/>
      <c r="DZX76" s="2805"/>
      <c r="DZY76" s="2805"/>
      <c r="DZZ76" s="2805"/>
      <c r="EAA76" s="2805"/>
      <c r="EAB76" s="2805"/>
      <c r="EAC76" s="2805"/>
      <c r="EAD76" s="2805"/>
      <c r="EAE76" s="2805"/>
      <c r="EAF76" s="2805"/>
      <c r="EAG76" s="2805"/>
      <c r="EAH76" s="2805"/>
      <c r="EAI76" s="2805"/>
      <c r="EAJ76" s="2805"/>
      <c r="EAK76" s="2805"/>
      <c r="EAL76" s="2805"/>
      <c r="EAM76" s="2805"/>
      <c r="EAN76" s="2805"/>
      <c r="EAO76" s="2805"/>
      <c r="EAP76" s="2805"/>
      <c r="EAQ76" s="2805"/>
      <c r="EAR76" s="2805"/>
      <c r="EAS76" s="2805"/>
      <c r="EAT76" s="2805"/>
      <c r="EAU76" s="2805"/>
      <c r="EAV76" s="2805"/>
      <c r="EAW76" s="2805"/>
      <c r="EAX76" s="2805"/>
      <c r="EAY76" s="2805"/>
      <c r="EAZ76" s="2805"/>
      <c r="EBA76" s="2805"/>
      <c r="EBB76" s="2805"/>
      <c r="EBC76" s="2805"/>
      <c r="EBD76" s="2805"/>
      <c r="EBE76" s="2805"/>
      <c r="EBF76" s="2805"/>
      <c r="EBG76" s="2805"/>
      <c r="EBH76" s="2805"/>
      <c r="EBI76" s="2805"/>
      <c r="EBJ76" s="2805"/>
      <c r="EBK76" s="2805"/>
      <c r="EBL76" s="2805"/>
      <c r="EBM76" s="2805"/>
      <c r="EBN76" s="2805"/>
      <c r="EBO76" s="2805"/>
      <c r="EBP76" s="2805"/>
      <c r="EBQ76" s="2805"/>
      <c r="EBR76" s="2805"/>
      <c r="EBS76" s="2805"/>
      <c r="EBT76" s="2805"/>
      <c r="EBU76" s="2805"/>
      <c r="EBV76" s="2805"/>
      <c r="EBW76" s="2805"/>
      <c r="EBX76" s="2805"/>
      <c r="EBY76" s="2805"/>
      <c r="EBZ76" s="2805"/>
      <c r="ECA76" s="2805"/>
      <c r="ECB76" s="2805"/>
      <c r="ECC76" s="2805"/>
      <c r="ECD76" s="2805"/>
      <c r="ECE76" s="2805"/>
      <c r="ECF76" s="2805"/>
      <c r="ECG76" s="2805"/>
      <c r="ECH76" s="2805"/>
      <c r="ECI76" s="2805"/>
      <c r="ECJ76" s="2805"/>
      <c r="ECK76" s="2805"/>
      <c r="ECL76" s="2805"/>
      <c r="ECM76" s="2805"/>
      <c r="ECN76" s="2805"/>
      <c r="ECO76" s="2805"/>
      <c r="ECP76" s="2805"/>
      <c r="ECQ76" s="2805"/>
      <c r="ECR76" s="2805"/>
      <c r="ECS76" s="2805"/>
      <c r="ECT76" s="2805"/>
      <c r="ECU76" s="2805"/>
      <c r="ECV76" s="2805"/>
      <c r="ECW76" s="2805"/>
      <c r="ECX76" s="2805"/>
      <c r="ECY76" s="2805"/>
      <c r="ECZ76" s="2805"/>
      <c r="EDA76" s="2805"/>
      <c r="EDB76" s="2805"/>
      <c r="EDC76" s="2805"/>
      <c r="EDD76" s="2805"/>
      <c r="EDE76" s="2805"/>
      <c r="EDF76" s="2805"/>
      <c r="EDG76" s="2805"/>
      <c r="EDH76" s="2805"/>
      <c r="EDI76" s="2805"/>
      <c r="EDJ76" s="2805"/>
      <c r="EDK76" s="2805"/>
      <c r="EDL76" s="2805"/>
      <c r="EDM76" s="2805"/>
      <c r="EDN76" s="2805"/>
      <c r="EDO76" s="2805"/>
      <c r="EDP76" s="2805"/>
      <c r="EDQ76" s="2805"/>
      <c r="EDR76" s="2805"/>
      <c r="EDS76" s="2805"/>
      <c r="EDT76" s="2805"/>
      <c r="EDU76" s="2805"/>
      <c r="EDV76" s="2805"/>
      <c r="EDW76" s="2805"/>
      <c r="EDX76" s="2805"/>
      <c r="EDY76" s="2805"/>
      <c r="EDZ76" s="2805"/>
      <c r="EEA76" s="2805"/>
      <c r="EEB76" s="2805"/>
      <c r="EEC76" s="2805"/>
      <c r="EED76" s="2805"/>
      <c r="EEE76" s="2805"/>
      <c r="EEF76" s="2805"/>
      <c r="EEG76" s="2805"/>
      <c r="EEH76" s="2805"/>
      <c r="EEI76" s="2805"/>
      <c r="EEJ76" s="2805"/>
      <c r="EEK76" s="2805"/>
      <c r="EEL76" s="2805"/>
      <c r="EEM76" s="2805"/>
      <c r="EEN76" s="2805"/>
      <c r="EEO76" s="2805"/>
      <c r="EEP76" s="2805"/>
      <c r="EEQ76" s="2805"/>
      <c r="EER76" s="2805"/>
      <c r="EES76" s="2805"/>
      <c r="EET76" s="2805"/>
      <c r="EEU76" s="2805"/>
      <c r="EEV76" s="2805"/>
      <c r="EEW76" s="2805"/>
      <c r="EEX76" s="2805"/>
      <c r="EEY76" s="2805"/>
      <c r="EEZ76" s="2805"/>
      <c r="EFA76" s="2805"/>
      <c r="EFB76" s="2805"/>
      <c r="EFC76" s="2805"/>
      <c r="EFD76" s="2805"/>
      <c r="EFE76" s="2805"/>
      <c r="EFF76" s="2805"/>
      <c r="EFG76" s="2805"/>
      <c r="EFH76" s="2805"/>
      <c r="EFI76" s="2805"/>
      <c r="EFJ76" s="2805"/>
      <c r="EFK76" s="2805"/>
      <c r="EFL76" s="2805"/>
      <c r="EFM76" s="2805"/>
      <c r="EFN76" s="2805"/>
      <c r="EFO76" s="2805"/>
      <c r="EFP76" s="2805"/>
      <c r="EFQ76" s="2805"/>
      <c r="EFR76" s="2805"/>
      <c r="EFS76" s="2805"/>
      <c r="EFT76" s="2805"/>
      <c r="EFU76" s="2805"/>
      <c r="EFV76" s="2805"/>
      <c r="EFW76" s="2805"/>
      <c r="EFX76" s="2805"/>
      <c r="EFY76" s="2805"/>
      <c r="EFZ76" s="2805"/>
      <c r="EGA76" s="2805"/>
      <c r="EGB76" s="2805"/>
      <c r="EGC76" s="2805"/>
      <c r="EGD76" s="2805"/>
      <c r="EGE76" s="2805"/>
      <c r="EGF76" s="2805"/>
      <c r="EGG76" s="2805"/>
      <c r="EGH76" s="2805"/>
      <c r="EGI76" s="2805"/>
      <c r="EGJ76" s="2805"/>
      <c r="EGK76" s="2805"/>
      <c r="EGL76" s="2805"/>
      <c r="EGM76" s="2805"/>
      <c r="EGN76" s="2805"/>
      <c r="EGO76" s="2805"/>
      <c r="EGP76" s="2805"/>
      <c r="EGQ76" s="2805"/>
      <c r="EGR76" s="2805"/>
      <c r="EGS76" s="2805"/>
      <c r="EGT76" s="2805"/>
      <c r="EGU76" s="2805"/>
      <c r="EGV76" s="2805"/>
      <c r="EGW76" s="2805"/>
      <c r="EGX76" s="2805"/>
      <c r="EGY76" s="2805"/>
      <c r="EGZ76" s="2805"/>
      <c r="EHA76" s="2805"/>
      <c r="EHB76" s="2805"/>
      <c r="EHC76" s="2805"/>
      <c r="EHD76" s="2805"/>
      <c r="EHE76" s="2805"/>
      <c r="EHF76" s="2805"/>
      <c r="EHG76" s="2805"/>
      <c r="EHH76" s="2805"/>
      <c r="EHI76" s="2805"/>
      <c r="EHJ76" s="2805"/>
      <c r="EHK76" s="2805"/>
      <c r="EHL76" s="2805"/>
      <c r="EHM76" s="2805"/>
      <c r="EHN76" s="2805"/>
      <c r="EHO76" s="2805"/>
      <c r="EHP76" s="2805"/>
      <c r="EHQ76" s="2805"/>
      <c r="EHR76" s="2805"/>
      <c r="EHS76" s="2805"/>
      <c r="EHT76" s="2805"/>
      <c r="EHU76" s="2805"/>
      <c r="EHV76" s="2805"/>
      <c r="EHW76" s="2805"/>
      <c r="EHX76" s="2805"/>
      <c r="EHY76" s="2805"/>
      <c r="EHZ76" s="2805"/>
      <c r="EIA76" s="2805"/>
      <c r="EIB76" s="2805"/>
      <c r="EIC76" s="2805"/>
      <c r="EID76" s="2805"/>
      <c r="EIE76" s="2805"/>
      <c r="EIF76" s="2805"/>
      <c r="EIG76" s="2805"/>
      <c r="EIH76" s="2805"/>
      <c r="EII76" s="2805"/>
      <c r="EIJ76" s="2805"/>
      <c r="EIK76" s="2805"/>
      <c r="EIL76" s="2805"/>
      <c r="EIM76" s="2805"/>
      <c r="EIN76" s="2805"/>
      <c r="EIO76" s="2805"/>
      <c r="EIP76" s="2805"/>
      <c r="EIQ76" s="2805"/>
      <c r="EIR76" s="2805"/>
      <c r="EIS76" s="2805"/>
      <c r="EIT76" s="2805"/>
      <c r="EIU76" s="2805"/>
      <c r="EIV76" s="2805"/>
      <c r="EIW76" s="2805"/>
      <c r="EIX76" s="2805"/>
      <c r="EIY76" s="2805"/>
      <c r="EIZ76" s="2805"/>
      <c r="EJA76" s="2805"/>
      <c r="EJB76" s="2805"/>
      <c r="EJC76" s="2805"/>
      <c r="EJD76" s="2805"/>
      <c r="EJE76" s="2805"/>
      <c r="EJF76" s="2805"/>
      <c r="EJG76" s="2805"/>
      <c r="EJH76" s="2805"/>
      <c r="EJI76" s="2805"/>
      <c r="EJJ76" s="2805"/>
      <c r="EJK76" s="2805"/>
      <c r="EJL76" s="2805"/>
      <c r="EJM76" s="2805"/>
      <c r="EJN76" s="2805"/>
      <c r="EJO76" s="2805"/>
      <c r="EJP76" s="2805"/>
      <c r="EJQ76" s="2805"/>
      <c r="EJR76" s="2805"/>
      <c r="EJS76" s="2805"/>
      <c r="EJT76" s="2805"/>
      <c r="EJU76" s="2805"/>
      <c r="EJV76" s="2805"/>
      <c r="EJW76" s="2805"/>
      <c r="EJX76" s="2805"/>
      <c r="EJY76" s="2805"/>
      <c r="EJZ76" s="2805"/>
      <c r="EKA76" s="2805"/>
      <c r="EKB76" s="2805"/>
      <c r="EKC76" s="2805"/>
      <c r="EKD76" s="2805"/>
      <c r="EKE76" s="2805"/>
      <c r="EKF76" s="2805"/>
      <c r="EKG76" s="2805"/>
      <c r="EKH76" s="2805"/>
      <c r="EKI76" s="2805"/>
      <c r="EKJ76" s="2805"/>
      <c r="EKK76" s="2805"/>
      <c r="EKL76" s="2805"/>
      <c r="EKM76" s="2805"/>
      <c r="EKN76" s="2805"/>
      <c r="EKO76" s="2805"/>
      <c r="EKP76" s="2805"/>
      <c r="EKQ76" s="2805"/>
      <c r="EKR76" s="2805"/>
      <c r="EKS76" s="2805"/>
      <c r="EKT76" s="2805"/>
      <c r="EKU76" s="2805"/>
      <c r="EKV76" s="2805"/>
      <c r="EKW76" s="2805"/>
      <c r="EKX76" s="2805"/>
      <c r="EKY76" s="2805"/>
      <c r="EKZ76" s="2805"/>
      <c r="ELA76" s="2805"/>
      <c r="ELB76" s="2805"/>
      <c r="ELC76" s="2805"/>
      <c r="ELD76" s="2805"/>
      <c r="ELE76" s="2805"/>
      <c r="ELF76" s="2805"/>
      <c r="ELG76" s="2805"/>
      <c r="ELH76" s="2805"/>
      <c r="ELI76" s="2805"/>
      <c r="ELJ76" s="2805"/>
      <c r="ELK76" s="2805"/>
      <c r="ELL76" s="2805"/>
      <c r="ELM76" s="2805"/>
      <c r="ELN76" s="2805"/>
      <c r="ELO76" s="2805"/>
      <c r="ELP76" s="2805"/>
      <c r="ELQ76" s="2805"/>
      <c r="ELR76" s="2805"/>
      <c r="ELS76" s="2805"/>
      <c r="ELT76" s="2805"/>
      <c r="ELU76" s="2805"/>
      <c r="ELV76" s="2805"/>
      <c r="ELW76" s="2805"/>
      <c r="ELX76" s="2805"/>
      <c r="ELY76" s="2805"/>
      <c r="ELZ76" s="2805"/>
      <c r="EMA76" s="2805"/>
      <c r="EMB76" s="2805"/>
      <c r="EMC76" s="2805"/>
      <c r="EMD76" s="2805"/>
      <c r="EME76" s="2805"/>
      <c r="EMF76" s="2805"/>
      <c r="EMG76" s="2805"/>
      <c r="EMH76" s="2805"/>
      <c r="EMI76" s="2805"/>
      <c r="EMJ76" s="2805"/>
      <c r="EMK76" s="2805"/>
      <c r="EML76" s="2805"/>
      <c r="EMM76" s="2805"/>
      <c r="EMN76" s="2805"/>
      <c r="EMO76" s="2805"/>
      <c r="EMP76" s="2805"/>
      <c r="EMQ76" s="2805"/>
      <c r="EMR76" s="2805"/>
      <c r="EMS76" s="2805"/>
      <c r="EMT76" s="2805"/>
      <c r="EMU76" s="2805"/>
      <c r="EMV76" s="2805"/>
      <c r="EMW76" s="2805"/>
      <c r="EMX76" s="2805"/>
      <c r="EMY76" s="2805"/>
      <c r="EMZ76" s="2805"/>
      <c r="ENA76" s="2805"/>
      <c r="ENB76" s="2805"/>
      <c r="ENC76" s="2805"/>
      <c r="END76" s="2805"/>
      <c r="ENE76" s="2805"/>
      <c r="ENF76" s="2805"/>
      <c r="ENG76" s="2805"/>
      <c r="ENH76" s="2805"/>
      <c r="ENI76" s="2805"/>
      <c r="ENJ76" s="2805"/>
      <c r="ENK76" s="2805"/>
      <c r="ENL76" s="2805"/>
      <c r="ENM76" s="2805"/>
      <c r="ENN76" s="2805"/>
      <c r="ENO76" s="2805"/>
      <c r="ENP76" s="2805"/>
      <c r="ENQ76" s="2805"/>
      <c r="ENR76" s="2805"/>
      <c r="ENS76" s="2805"/>
      <c r="ENT76" s="2805"/>
      <c r="ENU76" s="2805"/>
      <c r="ENV76" s="2805"/>
      <c r="ENW76" s="2805"/>
      <c r="ENX76" s="2805"/>
      <c r="ENY76" s="2805"/>
      <c r="ENZ76" s="2805"/>
      <c r="EOA76" s="2805"/>
      <c r="EOB76" s="2805"/>
      <c r="EOC76" s="2805"/>
      <c r="EOD76" s="2805"/>
      <c r="EOE76" s="2805"/>
      <c r="EOF76" s="2805"/>
      <c r="EOG76" s="2805"/>
      <c r="EOH76" s="2805"/>
      <c r="EOI76" s="2805"/>
      <c r="EOJ76" s="2805"/>
      <c r="EOK76" s="2805"/>
      <c r="EOL76" s="2805"/>
      <c r="EOM76" s="2805"/>
      <c r="EON76" s="2805"/>
      <c r="EOO76" s="2805"/>
      <c r="EOP76" s="2805"/>
      <c r="EOQ76" s="2805"/>
      <c r="EOR76" s="2805"/>
      <c r="EOS76" s="2805"/>
      <c r="EOT76" s="2805"/>
      <c r="EOU76" s="2805"/>
      <c r="EOV76" s="2805"/>
      <c r="EOW76" s="2805"/>
      <c r="EOX76" s="2805"/>
      <c r="EOY76" s="2805"/>
      <c r="EOZ76" s="2805"/>
      <c r="EPA76" s="2805"/>
      <c r="EPB76" s="2805"/>
      <c r="EPC76" s="2805"/>
      <c r="EPD76" s="2805"/>
      <c r="EPE76" s="2805"/>
      <c r="EPF76" s="2805"/>
      <c r="EPG76" s="2805"/>
      <c r="EPH76" s="2805"/>
      <c r="EPI76" s="2805"/>
      <c r="EPJ76" s="2805"/>
      <c r="EPK76" s="2805"/>
      <c r="EPL76" s="2805"/>
      <c r="EPM76" s="2805"/>
      <c r="EPN76" s="2805"/>
      <c r="EPO76" s="2805"/>
      <c r="EPP76" s="2805"/>
      <c r="EPQ76" s="2805"/>
      <c r="EPR76" s="2805"/>
      <c r="EPS76" s="2805"/>
      <c r="EPT76" s="2805"/>
      <c r="EPU76" s="2805"/>
      <c r="EPV76" s="2805"/>
      <c r="EPW76" s="2805"/>
      <c r="EPX76" s="2805"/>
      <c r="EPY76" s="2805"/>
      <c r="EPZ76" s="2805"/>
      <c r="EQA76" s="2805"/>
      <c r="EQB76" s="2805"/>
      <c r="EQC76" s="2805"/>
      <c r="EQD76" s="2805"/>
      <c r="EQE76" s="2805"/>
      <c r="EQF76" s="2805"/>
      <c r="EQG76" s="2805"/>
      <c r="EQH76" s="2805"/>
      <c r="EQI76" s="2805"/>
      <c r="EQJ76" s="2805"/>
      <c r="EQK76" s="2805"/>
      <c r="EQL76" s="2805"/>
      <c r="EQM76" s="2805"/>
      <c r="EQN76" s="2805"/>
      <c r="EQO76" s="2805"/>
      <c r="EQP76" s="2805"/>
      <c r="EQQ76" s="2805"/>
      <c r="EQR76" s="2805"/>
      <c r="EQS76" s="2805"/>
      <c r="EQT76" s="2805"/>
      <c r="EQU76" s="2805"/>
      <c r="EQV76" s="2805"/>
      <c r="EQW76" s="2805"/>
      <c r="EQX76" s="2805"/>
      <c r="EQY76" s="2805"/>
      <c r="EQZ76" s="2805"/>
      <c r="ERA76" s="2805"/>
      <c r="ERB76" s="2805"/>
      <c r="ERC76" s="2805"/>
      <c r="ERD76" s="2805"/>
      <c r="ERE76" s="2805"/>
      <c r="ERF76" s="2805"/>
      <c r="ERG76" s="2805"/>
      <c r="ERH76" s="2805"/>
      <c r="ERI76" s="2805"/>
      <c r="ERJ76" s="2805"/>
      <c r="ERK76" s="2805"/>
      <c r="ERL76" s="2805"/>
      <c r="ERM76" s="2805"/>
      <c r="ERN76" s="2805"/>
      <c r="ERO76" s="2805"/>
      <c r="ERP76" s="2805"/>
      <c r="ERQ76" s="2805"/>
      <c r="ERR76" s="2805"/>
      <c r="ERS76" s="2805"/>
      <c r="ERT76" s="2805"/>
      <c r="ERU76" s="2805"/>
      <c r="ERV76" s="2805"/>
      <c r="ERW76" s="2805"/>
      <c r="ERX76" s="2805"/>
      <c r="ERY76" s="2805"/>
      <c r="ERZ76" s="2805"/>
      <c r="ESA76" s="2805"/>
      <c r="ESB76" s="2805"/>
      <c r="ESC76" s="2805"/>
      <c r="ESD76" s="2805"/>
      <c r="ESE76" s="2805"/>
      <c r="ESF76" s="2805"/>
      <c r="ESG76" s="2805"/>
      <c r="ESH76" s="2805"/>
      <c r="ESI76" s="2805"/>
      <c r="ESJ76" s="2805"/>
      <c r="ESK76" s="2805"/>
      <c r="ESL76" s="2805"/>
      <c r="ESM76" s="2805"/>
      <c r="ESN76" s="2805"/>
      <c r="ESO76" s="2805"/>
      <c r="ESP76" s="2805"/>
      <c r="ESQ76" s="2805"/>
      <c r="ESR76" s="2805"/>
      <c r="ESS76" s="2805"/>
      <c r="EST76" s="2805"/>
      <c r="ESU76" s="2805"/>
      <c r="ESV76" s="2805"/>
      <c r="ESW76" s="2805"/>
      <c r="ESX76" s="2805"/>
      <c r="ESY76" s="2805"/>
      <c r="ESZ76" s="2805"/>
      <c r="ETA76" s="2805"/>
      <c r="ETB76" s="2805"/>
      <c r="ETC76" s="2805"/>
      <c r="ETD76" s="2805"/>
      <c r="ETE76" s="2805"/>
      <c r="ETF76" s="2805"/>
      <c r="ETG76" s="2805"/>
      <c r="ETH76" s="2805"/>
      <c r="ETI76" s="2805"/>
      <c r="ETJ76" s="2805"/>
      <c r="ETK76" s="2805"/>
      <c r="ETL76" s="2805"/>
      <c r="ETM76" s="2805"/>
      <c r="ETN76" s="2805"/>
      <c r="ETO76" s="2805"/>
      <c r="ETP76" s="2805"/>
      <c r="ETQ76" s="2805"/>
      <c r="ETR76" s="2805"/>
      <c r="ETS76" s="2805"/>
      <c r="ETT76" s="2805"/>
      <c r="ETU76" s="2805"/>
      <c r="ETV76" s="2805"/>
      <c r="ETW76" s="2805"/>
      <c r="ETX76" s="2805"/>
      <c r="ETY76" s="2805"/>
      <c r="ETZ76" s="2805"/>
      <c r="EUA76" s="2805"/>
      <c r="EUB76" s="2805"/>
      <c r="EUC76" s="2805"/>
      <c r="EUD76" s="2805"/>
      <c r="EUE76" s="2805"/>
      <c r="EUF76" s="2805"/>
      <c r="EUG76" s="2805"/>
      <c r="EUH76" s="2805"/>
      <c r="EUI76" s="2805"/>
      <c r="EUJ76" s="2805"/>
      <c r="EUK76" s="2805"/>
      <c r="EUL76" s="2805"/>
      <c r="EUM76" s="2805"/>
      <c r="EUN76" s="2805"/>
      <c r="EUO76" s="2805"/>
      <c r="EUP76" s="2805"/>
      <c r="EUQ76" s="2805"/>
      <c r="EUR76" s="2805"/>
      <c r="EUS76" s="2805"/>
      <c r="EUT76" s="2805"/>
      <c r="EUU76" s="2805"/>
      <c r="EUV76" s="2805"/>
      <c r="EUW76" s="2805"/>
      <c r="EUX76" s="2805"/>
      <c r="EUY76" s="2805"/>
      <c r="EUZ76" s="2805"/>
      <c r="EVA76" s="2805"/>
      <c r="EVB76" s="2805"/>
      <c r="EVC76" s="2805"/>
      <c r="EVD76" s="2805"/>
      <c r="EVE76" s="2805"/>
      <c r="EVF76" s="2805"/>
      <c r="EVG76" s="2805"/>
      <c r="EVH76" s="2805"/>
      <c r="EVI76" s="2805"/>
      <c r="EVJ76" s="2805"/>
      <c r="EVK76" s="2805"/>
      <c r="EVL76" s="2805"/>
      <c r="EVM76" s="2805"/>
      <c r="EVN76" s="2805"/>
      <c r="EVO76" s="2805"/>
      <c r="EVP76" s="2805"/>
      <c r="EVQ76" s="2805"/>
      <c r="EVR76" s="2805"/>
      <c r="EVS76" s="2805"/>
      <c r="EVT76" s="2805"/>
      <c r="EVU76" s="2805"/>
      <c r="EVV76" s="2805"/>
      <c r="EVW76" s="2805"/>
      <c r="EVX76" s="2805"/>
      <c r="EVY76" s="2805"/>
      <c r="EVZ76" s="2805"/>
      <c r="EWA76" s="2805"/>
      <c r="EWB76" s="2805"/>
      <c r="EWC76" s="2805"/>
      <c r="EWD76" s="2805"/>
      <c r="EWE76" s="2805"/>
      <c r="EWF76" s="2805"/>
      <c r="EWG76" s="2805"/>
      <c r="EWH76" s="2805"/>
      <c r="EWI76" s="2805"/>
      <c r="EWJ76" s="2805"/>
      <c r="EWK76" s="2805"/>
      <c r="EWL76" s="2805"/>
      <c r="EWM76" s="2805"/>
      <c r="EWN76" s="2805"/>
      <c r="EWO76" s="2805"/>
      <c r="EWP76" s="2805"/>
      <c r="EWQ76" s="2805"/>
      <c r="EWR76" s="2805"/>
      <c r="EWS76" s="2805"/>
      <c r="EWT76" s="2805"/>
      <c r="EWU76" s="2805"/>
      <c r="EWV76" s="2805"/>
      <c r="EWW76" s="2805"/>
      <c r="EWX76" s="2805"/>
      <c r="EWY76" s="2805"/>
      <c r="EWZ76" s="2805"/>
      <c r="EXA76" s="2805"/>
      <c r="EXB76" s="2805"/>
      <c r="EXC76" s="2805"/>
      <c r="EXD76" s="2805"/>
      <c r="EXE76" s="2805"/>
      <c r="EXF76" s="2805"/>
      <c r="EXG76" s="2805"/>
      <c r="EXH76" s="2805"/>
      <c r="EXI76" s="2805"/>
      <c r="EXJ76" s="2805"/>
      <c r="EXK76" s="2805"/>
      <c r="EXL76" s="2805"/>
      <c r="EXM76" s="2805"/>
      <c r="EXN76" s="2805"/>
      <c r="EXO76" s="2805"/>
      <c r="EXP76" s="2805"/>
      <c r="EXQ76" s="2805"/>
      <c r="EXR76" s="2805"/>
      <c r="EXS76" s="2805"/>
      <c r="EXT76" s="2805"/>
      <c r="EXU76" s="2805"/>
      <c r="EXV76" s="2805"/>
      <c r="EXW76" s="2805"/>
      <c r="EXX76" s="2805"/>
      <c r="EXY76" s="2805"/>
      <c r="EXZ76" s="2805"/>
      <c r="EYA76" s="2805"/>
      <c r="EYB76" s="2805"/>
      <c r="EYC76" s="2805"/>
      <c r="EYD76" s="2805"/>
      <c r="EYE76" s="2805"/>
      <c r="EYF76" s="2805"/>
      <c r="EYG76" s="2805"/>
      <c r="EYH76" s="2805"/>
      <c r="EYI76" s="2805"/>
      <c r="EYJ76" s="2805"/>
      <c r="EYK76" s="2805"/>
      <c r="EYL76" s="2805"/>
      <c r="EYM76" s="2805"/>
      <c r="EYN76" s="2805"/>
      <c r="EYO76" s="2805"/>
      <c r="EYP76" s="2805"/>
      <c r="EYQ76" s="2805"/>
      <c r="EYR76" s="2805"/>
      <c r="EYS76" s="2805"/>
      <c r="EYT76" s="2805"/>
      <c r="EYU76" s="2805"/>
      <c r="EYV76" s="2805"/>
      <c r="EYW76" s="2805"/>
      <c r="EYX76" s="2805"/>
      <c r="EYY76" s="2805"/>
      <c r="EYZ76" s="2805"/>
      <c r="EZA76" s="2805"/>
      <c r="EZB76" s="2805"/>
      <c r="EZC76" s="2805"/>
      <c r="EZD76" s="2805"/>
      <c r="EZE76" s="2805"/>
      <c r="EZF76" s="2805"/>
      <c r="EZG76" s="2805"/>
      <c r="EZH76" s="2805"/>
      <c r="EZI76" s="2805"/>
      <c r="EZJ76" s="2805"/>
      <c r="EZK76" s="2805"/>
      <c r="EZL76" s="2805"/>
      <c r="EZM76" s="2805"/>
      <c r="EZN76" s="2805"/>
      <c r="EZO76" s="2805"/>
      <c r="EZP76" s="2805"/>
      <c r="EZQ76" s="2805"/>
      <c r="EZR76" s="2805"/>
      <c r="EZS76" s="2805"/>
      <c r="EZT76" s="2805"/>
      <c r="EZU76" s="2805"/>
      <c r="EZV76" s="2805"/>
      <c r="EZW76" s="2805"/>
      <c r="EZX76" s="2805"/>
      <c r="EZY76" s="2805"/>
      <c r="EZZ76" s="2805"/>
      <c r="FAA76" s="2805"/>
      <c r="FAB76" s="2805"/>
      <c r="FAC76" s="2805"/>
      <c r="FAD76" s="2805"/>
      <c r="FAE76" s="2805"/>
      <c r="FAF76" s="2805"/>
      <c r="FAG76" s="2805"/>
      <c r="FAH76" s="2805"/>
      <c r="FAI76" s="2805"/>
      <c r="FAJ76" s="2805"/>
      <c r="FAK76" s="2805"/>
      <c r="FAL76" s="2805"/>
      <c r="FAM76" s="2805"/>
      <c r="FAN76" s="2805"/>
      <c r="FAO76" s="2805"/>
      <c r="FAP76" s="2805"/>
      <c r="FAQ76" s="2805"/>
      <c r="FAR76" s="2805"/>
      <c r="FAS76" s="2805"/>
      <c r="FAT76" s="2805"/>
      <c r="FAU76" s="2805"/>
      <c r="FAV76" s="2805"/>
      <c r="FAW76" s="2805"/>
      <c r="FAX76" s="2805"/>
      <c r="FAY76" s="2805"/>
      <c r="FAZ76" s="2805"/>
      <c r="FBA76" s="2805"/>
      <c r="FBB76" s="2805"/>
      <c r="FBC76" s="2805"/>
      <c r="FBD76" s="2805"/>
      <c r="FBE76" s="2805"/>
      <c r="FBF76" s="2805"/>
      <c r="FBG76" s="2805"/>
      <c r="FBH76" s="2805"/>
      <c r="FBI76" s="2805"/>
      <c r="FBJ76" s="2805"/>
      <c r="FBK76" s="2805"/>
      <c r="FBL76" s="2805"/>
      <c r="FBM76" s="2805"/>
      <c r="FBN76" s="2805"/>
      <c r="FBO76" s="2805"/>
      <c r="FBP76" s="2805"/>
      <c r="FBQ76" s="2805"/>
      <c r="FBR76" s="2805"/>
      <c r="FBS76" s="2805"/>
      <c r="FBT76" s="2805"/>
      <c r="FBU76" s="2805"/>
      <c r="FBV76" s="2805"/>
      <c r="FBW76" s="2805"/>
      <c r="FBX76" s="2805"/>
      <c r="FBY76" s="2805"/>
      <c r="FBZ76" s="2805"/>
      <c r="FCA76" s="2805"/>
      <c r="FCB76" s="2805"/>
      <c r="FCC76" s="2805"/>
      <c r="FCD76" s="2805"/>
      <c r="FCE76" s="2805"/>
      <c r="FCF76" s="2805"/>
      <c r="FCG76" s="2805"/>
      <c r="FCH76" s="2805"/>
      <c r="FCI76" s="2805"/>
      <c r="FCJ76" s="2805"/>
      <c r="FCK76" s="2805"/>
      <c r="FCL76" s="2805"/>
      <c r="FCM76" s="2805"/>
      <c r="FCN76" s="2805"/>
      <c r="FCO76" s="2805"/>
      <c r="FCP76" s="2805"/>
      <c r="FCQ76" s="2805"/>
      <c r="FCR76" s="2805"/>
      <c r="FCS76" s="2805"/>
      <c r="FCT76" s="2805"/>
      <c r="FCU76" s="2805"/>
      <c r="FCV76" s="2805"/>
      <c r="FCW76" s="2805"/>
      <c r="FCX76" s="2805"/>
      <c r="FCY76" s="2805"/>
      <c r="FCZ76" s="2805"/>
      <c r="FDA76" s="2805"/>
      <c r="FDB76" s="2805"/>
      <c r="FDC76" s="2805"/>
      <c r="FDD76" s="2805"/>
      <c r="FDE76" s="2805"/>
      <c r="FDF76" s="2805"/>
      <c r="FDG76" s="2805"/>
      <c r="FDH76" s="2805"/>
      <c r="FDI76" s="2805"/>
      <c r="FDJ76" s="2805"/>
      <c r="FDK76" s="2805"/>
      <c r="FDL76" s="2805"/>
      <c r="FDM76" s="2805"/>
      <c r="FDN76" s="2805"/>
      <c r="FDO76" s="2805"/>
      <c r="FDP76" s="2805"/>
      <c r="FDQ76" s="2805"/>
      <c r="FDR76" s="2805"/>
      <c r="FDS76" s="2805"/>
      <c r="FDT76" s="2805"/>
      <c r="FDU76" s="2805"/>
      <c r="FDV76" s="2805"/>
      <c r="FDW76" s="2805"/>
      <c r="FDX76" s="2805"/>
      <c r="FDY76" s="2805"/>
      <c r="FDZ76" s="2805"/>
      <c r="FEA76" s="2805"/>
      <c r="FEB76" s="2805"/>
      <c r="FEC76" s="2805"/>
      <c r="FED76" s="2805"/>
      <c r="FEE76" s="2805"/>
      <c r="FEF76" s="2805"/>
      <c r="FEG76" s="2805"/>
      <c r="FEH76" s="2805"/>
      <c r="FEI76" s="2805"/>
      <c r="FEJ76" s="2805"/>
      <c r="FEK76" s="2805"/>
      <c r="FEL76" s="2805"/>
      <c r="FEM76" s="2805"/>
      <c r="FEN76" s="2805"/>
      <c r="FEO76" s="2805"/>
      <c r="FEP76" s="2805"/>
      <c r="FEQ76" s="2805"/>
      <c r="FER76" s="2805"/>
      <c r="FES76" s="2805"/>
      <c r="FET76" s="2805"/>
      <c r="FEU76" s="2805"/>
      <c r="FEV76" s="2805"/>
      <c r="FEW76" s="2805"/>
      <c r="FEX76" s="2805"/>
      <c r="FEY76" s="2805"/>
      <c r="FEZ76" s="2805"/>
      <c r="FFA76" s="2805"/>
      <c r="FFB76" s="2805"/>
      <c r="FFC76" s="2805"/>
      <c r="FFD76" s="2805"/>
      <c r="FFE76" s="2805"/>
      <c r="FFF76" s="2805"/>
      <c r="FFG76" s="2805"/>
      <c r="FFH76" s="2805"/>
      <c r="FFI76" s="2805"/>
      <c r="FFJ76" s="2805"/>
      <c r="FFK76" s="2805"/>
      <c r="FFL76" s="2805"/>
      <c r="FFM76" s="2805"/>
      <c r="FFN76" s="2805"/>
      <c r="FFO76" s="2805"/>
      <c r="FFP76" s="2805"/>
      <c r="FFQ76" s="2805"/>
      <c r="FFR76" s="2805"/>
      <c r="FFS76" s="2805"/>
      <c r="FFT76" s="2805"/>
      <c r="FFU76" s="2805"/>
      <c r="FFV76" s="2805"/>
      <c r="FFW76" s="2805"/>
      <c r="FFX76" s="2805"/>
      <c r="FFY76" s="2805"/>
      <c r="FFZ76" s="2805"/>
      <c r="FGA76" s="2805"/>
      <c r="FGB76" s="2805"/>
      <c r="FGC76" s="2805"/>
      <c r="FGD76" s="2805"/>
      <c r="FGE76" s="2805"/>
      <c r="FGF76" s="2805"/>
      <c r="FGG76" s="2805"/>
      <c r="FGH76" s="2805"/>
      <c r="FGI76" s="2805"/>
      <c r="FGJ76" s="2805"/>
      <c r="FGK76" s="2805"/>
      <c r="FGL76" s="2805"/>
      <c r="FGM76" s="2805"/>
      <c r="FGN76" s="2805"/>
      <c r="FGO76" s="2805"/>
      <c r="FGP76" s="2805"/>
      <c r="FGQ76" s="2805"/>
      <c r="FGR76" s="2805"/>
      <c r="FGS76" s="2805"/>
      <c r="FGT76" s="2805"/>
      <c r="FGU76" s="2805"/>
      <c r="FGV76" s="2805"/>
      <c r="FGW76" s="2805"/>
      <c r="FGX76" s="2805"/>
      <c r="FGY76" s="2805"/>
      <c r="FGZ76" s="2805"/>
      <c r="FHA76" s="2805"/>
      <c r="FHB76" s="2805"/>
      <c r="FHC76" s="2805"/>
      <c r="FHD76" s="2805"/>
      <c r="FHE76" s="2805"/>
      <c r="FHF76" s="2805"/>
      <c r="FHG76" s="2805"/>
      <c r="FHH76" s="2805"/>
      <c r="FHI76" s="2805"/>
      <c r="FHJ76" s="2805"/>
      <c r="FHK76" s="2805"/>
      <c r="FHL76" s="2805"/>
      <c r="FHM76" s="2805"/>
      <c r="FHN76" s="2805"/>
      <c r="FHO76" s="2805"/>
      <c r="FHP76" s="2805"/>
      <c r="FHQ76" s="2805"/>
      <c r="FHR76" s="2805"/>
      <c r="FHS76" s="2805"/>
      <c r="FHT76" s="2805"/>
      <c r="FHU76" s="2805"/>
      <c r="FHV76" s="2805"/>
      <c r="FHW76" s="2805"/>
      <c r="FHX76" s="2805"/>
      <c r="FHY76" s="2805"/>
      <c r="FHZ76" s="2805"/>
      <c r="FIA76" s="2805"/>
      <c r="FIB76" s="2805"/>
      <c r="FIC76" s="2805"/>
      <c r="FID76" s="2805"/>
      <c r="FIE76" s="2805"/>
      <c r="FIF76" s="2805"/>
      <c r="FIG76" s="2805"/>
      <c r="FIH76" s="2805"/>
      <c r="FII76" s="2805"/>
      <c r="FIJ76" s="2805"/>
      <c r="FIK76" s="2805"/>
      <c r="FIL76" s="2805"/>
      <c r="FIM76" s="2805"/>
      <c r="FIN76" s="2805"/>
      <c r="FIO76" s="2805"/>
      <c r="FIP76" s="2805"/>
      <c r="FIQ76" s="2805"/>
      <c r="FIR76" s="2805"/>
      <c r="FIS76" s="2805"/>
      <c r="FIT76" s="2805"/>
      <c r="FIU76" s="2805"/>
      <c r="FIV76" s="2805"/>
      <c r="FIW76" s="2805"/>
      <c r="FIX76" s="2805"/>
      <c r="FIY76" s="2805"/>
      <c r="FIZ76" s="2805"/>
      <c r="FJA76" s="2805"/>
      <c r="FJB76" s="2805"/>
      <c r="FJC76" s="2805"/>
      <c r="FJD76" s="2805"/>
      <c r="FJE76" s="2805"/>
      <c r="FJF76" s="2805"/>
      <c r="FJG76" s="2805"/>
      <c r="FJH76" s="2805"/>
      <c r="FJI76" s="2805"/>
      <c r="FJJ76" s="2805"/>
      <c r="FJK76" s="2805"/>
      <c r="FJL76" s="2805"/>
      <c r="FJM76" s="2805"/>
      <c r="FJN76" s="2805"/>
      <c r="FJO76" s="2805"/>
      <c r="FJP76" s="2805"/>
      <c r="FJQ76" s="2805"/>
      <c r="FJR76" s="2805"/>
      <c r="FJS76" s="2805"/>
      <c r="FJT76" s="2805"/>
      <c r="FJU76" s="2805"/>
      <c r="FJV76" s="2805"/>
      <c r="FJW76" s="2805"/>
      <c r="FJX76" s="2805"/>
      <c r="FJY76" s="2805"/>
      <c r="FJZ76" s="2805"/>
      <c r="FKA76" s="2805"/>
      <c r="FKB76" s="2805"/>
      <c r="FKC76" s="2805"/>
      <c r="FKD76" s="2805"/>
      <c r="FKE76" s="2805"/>
      <c r="FKF76" s="2805"/>
      <c r="FKG76" s="2805"/>
      <c r="FKH76" s="2805"/>
      <c r="FKI76" s="2805"/>
      <c r="FKJ76" s="2805"/>
      <c r="FKK76" s="2805"/>
      <c r="FKL76" s="2805"/>
      <c r="FKM76" s="2805"/>
      <c r="FKN76" s="2805"/>
      <c r="FKO76" s="2805"/>
      <c r="FKP76" s="2805"/>
      <c r="FKQ76" s="2805"/>
      <c r="FKR76" s="2805"/>
      <c r="FKS76" s="2805"/>
      <c r="FKT76" s="2805"/>
      <c r="FKU76" s="2805"/>
      <c r="FKV76" s="2805"/>
      <c r="FKW76" s="2805"/>
      <c r="FKX76" s="2805"/>
      <c r="FKY76" s="2805"/>
      <c r="FKZ76" s="2805"/>
      <c r="FLA76" s="2805"/>
      <c r="FLB76" s="2805"/>
      <c r="FLC76" s="2805"/>
      <c r="FLD76" s="2805"/>
      <c r="FLE76" s="2805"/>
      <c r="FLF76" s="2805"/>
      <c r="FLG76" s="2805"/>
      <c r="FLH76" s="2805"/>
      <c r="FLI76" s="2805"/>
      <c r="FLJ76" s="2805"/>
      <c r="FLK76" s="2805"/>
      <c r="FLL76" s="2805"/>
      <c r="FLM76" s="2805"/>
      <c r="FLN76" s="2805"/>
      <c r="FLO76" s="2805"/>
      <c r="FLP76" s="2805"/>
      <c r="FLQ76" s="2805"/>
      <c r="FLR76" s="2805"/>
      <c r="FLS76" s="2805"/>
      <c r="FLT76" s="2805"/>
      <c r="FLU76" s="2805"/>
      <c r="FLV76" s="2805"/>
      <c r="FLW76" s="2805"/>
      <c r="FLX76" s="2805"/>
      <c r="FLY76" s="2805"/>
      <c r="FLZ76" s="2805"/>
      <c r="FMA76" s="2805"/>
      <c r="FMB76" s="2805"/>
      <c r="FMC76" s="2805"/>
      <c r="FMD76" s="2805"/>
      <c r="FME76" s="2805"/>
      <c r="FMF76" s="2805"/>
      <c r="FMG76" s="2805"/>
      <c r="FMH76" s="2805"/>
      <c r="FMI76" s="2805"/>
      <c r="FMJ76" s="2805"/>
      <c r="FMK76" s="2805"/>
      <c r="FML76" s="2805"/>
      <c r="FMM76" s="2805"/>
      <c r="FMN76" s="2805"/>
      <c r="FMO76" s="2805"/>
      <c r="FMP76" s="2805"/>
      <c r="FMQ76" s="2805"/>
      <c r="FMR76" s="2805"/>
      <c r="FMS76" s="2805"/>
      <c r="FMT76" s="2805"/>
      <c r="FMU76" s="2805"/>
      <c r="FMV76" s="2805"/>
      <c r="FMW76" s="2805"/>
      <c r="FMX76" s="2805"/>
      <c r="FMY76" s="2805"/>
      <c r="FMZ76" s="2805"/>
      <c r="FNA76" s="2805"/>
      <c r="FNB76" s="2805"/>
      <c r="FNC76" s="2805"/>
      <c r="FND76" s="2805"/>
      <c r="FNE76" s="2805"/>
      <c r="FNF76" s="2805"/>
      <c r="FNG76" s="2805"/>
      <c r="FNH76" s="2805"/>
      <c r="FNI76" s="2805"/>
      <c r="FNJ76" s="2805"/>
      <c r="FNK76" s="2805"/>
      <c r="FNL76" s="2805"/>
      <c r="FNM76" s="2805"/>
      <c r="FNN76" s="2805"/>
      <c r="FNO76" s="2805"/>
      <c r="FNP76" s="2805"/>
      <c r="FNQ76" s="2805"/>
      <c r="FNR76" s="2805"/>
      <c r="FNS76" s="2805"/>
      <c r="FNT76" s="2805"/>
      <c r="FNU76" s="2805"/>
      <c r="FNV76" s="2805"/>
      <c r="FNW76" s="2805"/>
      <c r="FNX76" s="2805"/>
      <c r="FNY76" s="2805"/>
      <c r="FNZ76" s="2805"/>
      <c r="FOA76" s="2805"/>
      <c r="FOB76" s="2805"/>
      <c r="FOC76" s="2805"/>
      <c r="FOD76" s="2805"/>
      <c r="FOE76" s="2805"/>
      <c r="FOF76" s="2805"/>
      <c r="FOG76" s="2805"/>
      <c r="FOH76" s="2805"/>
      <c r="FOI76" s="2805"/>
      <c r="FOJ76" s="2805"/>
      <c r="FOK76" s="2805"/>
      <c r="FOL76" s="2805"/>
      <c r="FOM76" s="2805"/>
      <c r="FON76" s="2805"/>
      <c r="FOO76" s="2805"/>
      <c r="FOP76" s="2805"/>
      <c r="FOQ76" s="2805"/>
      <c r="FOR76" s="2805"/>
      <c r="FOS76" s="2805"/>
      <c r="FOT76" s="2805"/>
      <c r="FOU76" s="2805"/>
      <c r="FOV76" s="2805"/>
      <c r="FOW76" s="2805"/>
      <c r="FOX76" s="2805"/>
      <c r="FOY76" s="2805"/>
      <c r="FOZ76" s="2805"/>
      <c r="FPA76" s="2805"/>
      <c r="FPB76" s="2805"/>
      <c r="FPC76" s="2805"/>
      <c r="FPD76" s="2805"/>
      <c r="FPE76" s="2805"/>
      <c r="FPF76" s="2805"/>
      <c r="FPG76" s="2805"/>
      <c r="FPH76" s="2805"/>
      <c r="FPI76" s="2805"/>
      <c r="FPJ76" s="2805"/>
      <c r="FPK76" s="2805"/>
      <c r="FPL76" s="2805"/>
      <c r="FPM76" s="2805"/>
      <c r="FPN76" s="2805"/>
      <c r="FPO76" s="2805"/>
      <c r="FPP76" s="2805"/>
      <c r="FPQ76" s="2805"/>
      <c r="FPR76" s="2805"/>
      <c r="FPS76" s="2805"/>
      <c r="FPT76" s="2805"/>
      <c r="FPU76" s="2805"/>
      <c r="FPV76" s="2805"/>
      <c r="FPW76" s="2805"/>
      <c r="FPX76" s="2805"/>
      <c r="FPY76" s="2805"/>
      <c r="FPZ76" s="2805"/>
      <c r="FQA76" s="2805"/>
      <c r="FQB76" s="2805"/>
      <c r="FQC76" s="2805"/>
      <c r="FQD76" s="2805"/>
      <c r="FQE76" s="2805"/>
      <c r="FQF76" s="2805"/>
      <c r="FQG76" s="2805"/>
      <c r="FQH76" s="2805"/>
      <c r="FQI76" s="2805"/>
      <c r="FQJ76" s="2805"/>
      <c r="FQK76" s="2805"/>
      <c r="FQL76" s="2805"/>
      <c r="FQM76" s="2805"/>
      <c r="FQN76" s="2805"/>
      <c r="FQO76" s="2805"/>
      <c r="FQP76" s="2805"/>
      <c r="FQQ76" s="2805"/>
      <c r="FQR76" s="2805"/>
      <c r="FQS76" s="2805"/>
      <c r="FQT76" s="2805"/>
      <c r="FQU76" s="2805"/>
      <c r="FQV76" s="2805"/>
      <c r="FQW76" s="2805"/>
      <c r="FQX76" s="2805"/>
      <c r="FQY76" s="2805"/>
      <c r="FQZ76" s="2805"/>
      <c r="FRA76" s="2805"/>
      <c r="FRB76" s="2805"/>
      <c r="FRC76" s="2805"/>
      <c r="FRD76" s="2805"/>
      <c r="FRE76" s="2805"/>
      <c r="FRF76" s="2805"/>
      <c r="FRG76" s="2805"/>
      <c r="FRH76" s="2805"/>
      <c r="FRI76" s="2805"/>
      <c r="FRJ76" s="2805"/>
      <c r="FRK76" s="2805"/>
      <c r="FRL76" s="2805"/>
      <c r="FRM76" s="2805"/>
      <c r="FRN76" s="2805"/>
      <c r="FRO76" s="2805"/>
      <c r="FRP76" s="2805"/>
      <c r="FRQ76" s="2805"/>
      <c r="FRR76" s="2805"/>
      <c r="FRS76" s="2805"/>
      <c r="FRT76" s="2805"/>
      <c r="FRU76" s="2805"/>
      <c r="FRV76" s="2805"/>
      <c r="FRW76" s="2805"/>
      <c r="FRX76" s="2805"/>
      <c r="FRY76" s="2805"/>
      <c r="FRZ76" s="2805"/>
      <c r="FSA76" s="2805"/>
      <c r="FSB76" s="2805"/>
      <c r="FSC76" s="2805"/>
      <c r="FSD76" s="2805"/>
      <c r="FSE76" s="2805"/>
      <c r="FSF76" s="2805"/>
      <c r="FSG76" s="2805"/>
      <c r="FSH76" s="2805"/>
      <c r="FSI76" s="2805"/>
      <c r="FSJ76" s="2805"/>
      <c r="FSK76" s="2805"/>
      <c r="FSL76" s="2805"/>
      <c r="FSM76" s="2805"/>
      <c r="FSN76" s="2805"/>
      <c r="FSO76" s="2805"/>
      <c r="FSP76" s="2805"/>
      <c r="FSQ76" s="2805"/>
      <c r="FSR76" s="2805"/>
      <c r="FSS76" s="2805"/>
      <c r="FST76" s="2805"/>
      <c r="FSU76" s="2805"/>
      <c r="FSV76" s="2805"/>
      <c r="FSW76" s="2805"/>
      <c r="FSX76" s="2805"/>
      <c r="FSY76" s="2805"/>
      <c r="FSZ76" s="2805"/>
      <c r="FTA76" s="2805"/>
      <c r="FTB76" s="2805"/>
      <c r="FTC76" s="2805"/>
      <c r="FTD76" s="2805"/>
      <c r="FTE76" s="2805"/>
      <c r="FTF76" s="2805"/>
      <c r="FTG76" s="2805"/>
      <c r="FTH76" s="2805"/>
      <c r="FTI76" s="2805"/>
      <c r="FTJ76" s="2805"/>
      <c r="FTK76" s="2805"/>
      <c r="FTL76" s="2805"/>
      <c r="FTM76" s="2805"/>
      <c r="FTN76" s="2805"/>
      <c r="FTO76" s="2805"/>
      <c r="FTP76" s="2805"/>
      <c r="FTQ76" s="2805"/>
      <c r="FTR76" s="2805"/>
      <c r="FTS76" s="2805"/>
      <c r="FTT76" s="2805"/>
      <c r="FTU76" s="2805"/>
      <c r="FTV76" s="2805"/>
      <c r="FTW76" s="2805"/>
      <c r="FTX76" s="2805"/>
      <c r="FTY76" s="2805"/>
      <c r="FTZ76" s="2805"/>
      <c r="FUA76" s="2805"/>
      <c r="FUB76" s="2805"/>
      <c r="FUC76" s="2805"/>
      <c r="FUD76" s="2805"/>
      <c r="FUE76" s="2805"/>
      <c r="FUF76" s="2805"/>
      <c r="FUG76" s="2805"/>
      <c r="FUH76" s="2805"/>
      <c r="FUI76" s="2805"/>
      <c r="FUJ76" s="2805"/>
      <c r="FUK76" s="2805"/>
      <c r="FUL76" s="2805"/>
      <c r="FUM76" s="2805"/>
      <c r="FUN76" s="2805"/>
      <c r="FUO76" s="2805"/>
      <c r="FUP76" s="2805"/>
      <c r="FUQ76" s="2805"/>
      <c r="FUR76" s="2805"/>
      <c r="FUS76" s="2805"/>
      <c r="FUT76" s="2805"/>
      <c r="FUU76" s="2805"/>
      <c r="FUV76" s="2805"/>
      <c r="FUW76" s="2805"/>
      <c r="FUX76" s="2805"/>
      <c r="FUY76" s="2805"/>
      <c r="FUZ76" s="2805"/>
      <c r="FVA76" s="2805"/>
      <c r="FVB76" s="2805"/>
      <c r="FVC76" s="2805"/>
      <c r="FVD76" s="2805"/>
      <c r="FVE76" s="2805"/>
      <c r="FVF76" s="2805"/>
      <c r="FVG76" s="2805"/>
      <c r="FVH76" s="2805"/>
      <c r="FVI76" s="2805"/>
      <c r="FVJ76" s="2805"/>
      <c r="FVK76" s="2805"/>
      <c r="FVL76" s="2805"/>
      <c r="FVM76" s="2805"/>
      <c r="FVN76" s="2805"/>
      <c r="FVO76" s="2805"/>
      <c r="FVP76" s="2805"/>
      <c r="FVQ76" s="2805"/>
      <c r="FVR76" s="2805"/>
      <c r="FVS76" s="2805"/>
      <c r="FVT76" s="2805"/>
      <c r="FVU76" s="2805"/>
      <c r="FVV76" s="2805"/>
      <c r="FVW76" s="2805"/>
      <c r="FVX76" s="2805"/>
      <c r="FVY76" s="2805"/>
      <c r="FVZ76" s="2805"/>
      <c r="FWA76" s="2805"/>
      <c r="FWB76" s="2805"/>
      <c r="FWC76" s="2805"/>
      <c r="FWD76" s="2805"/>
      <c r="FWE76" s="2805"/>
      <c r="FWF76" s="2805"/>
      <c r="FWG76" s="2805"/>
      <c r="FWH76" s="2805"/>
      <c r="FWI76" s="2805"/>
      <c r="FWJ76" s="2805"/>
      <c r="FWK76" s="2805"/>
      <c r="FWL76" s="2805"/>
      <c r="FWM76" s="2805"/>
      <c r="FWN76" s="2805"/>
      <c r="FWO76" s="2805"/>
      <c r="FWP76" s="2805"/>
      <c r="FWQ76" s="2805"/>
      <c r="FWR76" s="2805"/>
      <c r="FWS76" s="2805"/>
      <c r="FWT76" s="2805"/>
      <c r="FWU76" s="2805"/>
      <c r="FWV76" s="2805"/>
      <c r="FWW76" s="2805"/>
      <c r="FWX76" s="2805"/>
      <c r="FWY76" s="2805"/>
      <c r="FWZ76" s="2805"/>
      <c r="FXA76" s="2805"/>
      <c r="FXB76" s="2805"/>
      <c r="FXC76" s="2805"/>
      <c r="FXD76" s="2805"/>
      <c r="FXE76" s="2805"/>
      <c r="FXF76" s="2805"/>
      <c r="FXG76" s="2805"/>
      <c r="FXH76" s="2805"/>
      <c r="FXI76" s="2805"/>
      <c r="FXJ76" s="2805"/>
      <c r="FXK76" s="2805"/>
      <c r="FXL76" s="2805"/>
      <c r="FXM76" s="2805"/>
      <c r="FXN76" s="2805"/>
      <c r="FXO76" s="2805"/>
      <c r="FXP76" s="2805"/>
      <c r="FXQ76" s="2805"/>
      <c r="FXR76" s="2805"/>
      <c r="FXS76" s="2805"/>
      <c r="FXT76" s="2805"/>
      <c r="FXU76" s="2805"/>
      <c r="FXV76" s="2805"/>
      <c r="FXW76" s="2805"/>
      <c r="FXX76" s="2805"/>
      <c r="FXY76" s="2805"/>
      <c r="FXZ76" s="2805"/>
      <c r="FYA76" s="2805"/>
      <c r="FYB76" s="2805"/>
      <c r="FYC76" s="2805"/>
      <c r="FYD76" s="2805"/>
      <c r="FYE76" s="2805"/>
      <c r="FYF76" s="2805"/>
      <c r="FYG76" s="2805"/>
      <c r="FYH76" s="2805"/>
      <c r="FYI76" s="2805"/>
      <c r="FYJ76" s="2805"/>
      <c r="FYK76" s="2805"/>
      <c r="FYL76" s="2805"/>
      <c r="FYM76" s="2805"/>
      <c r="FYN76" s="2805"/>
      <c r="FYO76" s="2805"/>
      <c r="FYP76" s="2805"/>
      <c r="FYQ76" s="2805"/>
      <c r="FYR76" s="2805"/>
      <c r="FYS76" s="2805"/>
      <c r="FYT76" s="2805"/>
      <c r="FYU76" s="2805"/>
      <c r="FYV76" s="2805"/>
      <c r="FYW76" s="2805"/>
      <c r="FYX76" s="2805"/>
      <c r="FYY76" s="2805"/>
      <c r="FYZ76" s="2805"/>
      <c r="FZA76" s="2805"/>
      <c r="FZB76" s="2805"/>
      <c r="FZC76" s="2805"/>
      <c r="FZD76" s="2805"/>
      <c r="FZE76" s="2805"/>
      <c r="FZF76" s="2805"/>
      <c r="FZG76" s="2805"/>
      <c r="FZH76" s="2805"/>
      <c r="FZI76" s="2805"/>
      <c r="FZJ76" s="2805"/>
      <c r="FZK76" s="2805"/>
      <c r="FZL76" s="2805"/>
      <c r="FZM76" s="2805"/>
      <c r="FZN76" s="2805"/>
      <c r="FZO76" s="2805"/>
      <c r="FZP76" s="2805"/>
      <c r="FZQ76" s="2805"/>
      <c r="FZR76" s="2805"/>
      <c r="FZS76" s="2805"/>
      <c r="FZT76" s="2805"/>
      <c r="FZU76" s="2805"/>
      <c r="FZV76" s="2805"/>
      <c r="FZW76" s="2805"/>
      <c r="FZX76" s="2805"/>
      <c r="FZY76" s="2805"/>
      <c r="FZZ76" s="2805"/>
      <c r="GAA76" s="2805"/>
      <c r="GAB76" s="2805"/>
      <c r="GAC76" s="2805"/>
      <c r="GAD76" s="2805"/>
      <c r="GAE76" s="2805"/>
      <c r="GAF76" s="2805"/>
      <c r="GAG76" s="2805"/>
      <c r="GAH76" s="2805"/>
      <c r="GAI76" s="2805"/>
      <c r="GAJ76" s="2805"/>
      <c r="GAK76" s="2805"/>
      <c r="GAL76" s="2805"/>
      <c r="GAM76" s="2805"/>
      <c r="GAN76" s="2805"/>
      <c r="GAO76" s="2805"/>
      <c r="GAP76" s="2805"/>
      <c r="GAQ76" s="2805"/>
      <c r="GAR76" s="2805"/>
      <c r="GAS76" s="2805"/>
      <c r="GAT76" s="2805"/>
      <c r="GAU76" s="2805"/>
      <c r="GAV76" s="2805"/>
      <c r="GAW76" s="2805"/>
      <c r="GAX76" s="2805"/>
      <c r="GAY76" s="2805"/>
      <c r="GAZ76" s="2805"/>
      <c r="GBA76" s="2805"/>
      <c r="GBB76" s="2805"/>
      <c r="GBC76" s="2805"/>
      <c r="GBD76" s="2805"/>
      <c r="GBE76" s="2805"/>
      <c r="GBF76" s="2805"/>
      <c r="GBG76" s="2805"/>
      <c r="GBH76" s="2805"/>
      <c r="GBI76" s="2805"/>
      <c r="GBJ76" s="2805"/>
      <c r="GBK76" s="2805"/>
      <c r="GBL76" s="2805"/>
      <c r="GBM76" s="2805"/>
      <c r="GBN76" s="2805"/>
      <c r="GBO76" s="2805"/>
      <c r="GBP76" s="2805"/>
      <c r="GBQ76" s="2805"/>
      <c r="GBR76" s="2805"/>
      <c r="GBS76" s="2805"/>
      <c r="GBT76" s="2805"/>
      <c r="GBU76" s="2805"/>
      <c r="GBV76" s="2805"/>
      <c r="GBW76" s="2805"/>
      <c r="GBX76" s="2805"/>
      <c r="GBY76" s="2805"/>
      <c r="GBZ76" s="2805"/>
      <c r="GCA76" s="2805"/>
      <c r="GCB76" s="2805"/>
      <c r="GCC76" s="2805"/>
      <c r="GCD76" s="2805"/>
      <c r="GCE76" s="2805"/>
      <c r="GCF76" s="2805"/>
      <c r="GCG76" s="2805"/>
      <c r="GCH76" s="2805"/>
      <c r="GCI76" s="2805"/>
      <c r="GCJ76" s="2805"/>
      <c r="GCK76" s="2805"/>
      <c r="GCL76" s="2805"/>
      <c r="GCM76" s="2805"/>
      <c r="GCN76" s="2805"/>
      <c r="GCO76" s="2805"/>
      <c r="GCP76" s="2805"/>
      <c r="GCQ76" s="2805"/>
      <c r="GCR76" s="2805"/>
      <c r="GCS76" s="2805"/>
      <c r="GCT76" s="2805"/>
      <c r="GCU76" s="2805"/>
      <c r="GCV76" s="2805"/>
      <c r="GCW76" s="2805"/>
      <c r="GCX76" s="2805"/>
      <c r="GCY76" s="2805"/>
      <c r="GCZ76" s="2805"/>
      <c r="GDA76" s="2805"/>
      <c r="GDB76" s="2805"/>
      <c r="GDC76" s="2805"/>
      <c r="GDD76" s="2805"/>
      <c r="GDE76" s="2805"/>
      <c r="GDF76" s="2805"/>
      <c r="GDG76" s="2805"/>
      <c r="GDH76" s="2805"/>
      <c r="GDI76" s="2805"/>
      <c r="GDJ76" s="2805"/>
      <c r="GDK76" s="2805"/>
      <c r="GDL76" s="2805"/>
      <c r="GDM76" s="2805"/>
      <c r="GDN76" s="2805"/>
      <c r="GDO76" s="2805"/>
      <c r="GDP76" s="2805"/>
      <c r="GDQ76" s="2805"/>
      <c r="GDR76" s="2805"/>
      <c r="GDS76" s="2805"/>
      <c r="GDT76" s="2805"/>
      <c r="GDU76" s="2805"/>
      <c r="GDV76" s="2805"/>
      <c r="GDW76" s="2805"/>
      <c r="GDX76" s="2805"/>
      <c r="GDY76" s="2805"/>
      <c r="GDZ76" s="2805"/>
      <c r="GEA76" s="2805"/>
      <c r="GEB76" s="2805"/>
      <c r="GEC76" s="2805"/>
      <c r="GED76" s="2805"/>
      <c r="GEE76" s="2805"/>
      <c r="GEF76" s="2805"/>
      <c r="GEG76" s="2805"/>
      <c r="GEH76" s="2805"/>
      <c r="GEI76" s="2805"/>
      <c r="GEJ76" s="2805"/>
      <c r="GEK76" s="2805"/>
      <c r="GEL76" s="2805"/>
      <c r="GEM76" s="2805"/>
      <c r="GEN76" s="2805"/>
      <c r="GEO76" s="2805"/>
      <c r="GEP76" s="2805"/>
      <c r="GEQ76" s="2805"/>
      <c r="GER76" s="2805"/>
      <c r="GES76" s="2805"/>
      <c r="GET76" s="2805"/>
      <c r="GEU76" s="2805"/>
      <c r="GEV76" s="2805"/>
      <c r="GEW76" s="2805"/>
      <c r="GEX76" s="2805"/>
      <c r="GEY76" s="2805"/>
      <c r="GEZ76" s="2805"/>
      <c r="GFA76" s="2805"/>
      <c r="GFB76" s="2805"/>
      <c r="GFC76" s="2805"/>
      <c r="GFD76" s="2805"/>
      <c r="GFE76" s="2805"/>
      <c r="GFF76" s="2805"/>
      <c r="GFG76" s="2805"/>
      <c r="GFH76" s="2805"/>
      <c r="GFI76" s="2805"/>
      <c r="GFJ76" s="2805"/>
      <c r="GFK76" s="2805"/>
      <c r="GFL76" s="2805"/>
      <c r="GFM76" s="2805"/>
      <c r="GFN76" s="2805"/>
      <c r="GFO76" s="2805"/>
      <c r="GFP76" s="2805"/>
      <c r="GFQ76" s="2805"/>
      <c r="GFR76" s="2805"/>
      <c r="GFS76" s="2805"/>
      <c r="GFT76" s="2805"/>
      <c r="GFU76" s="2805"/>
      <c r="GFV76" s="2805"/>
      <c r="GFW76" s="2805"/>
      <c r="GFX76" s="2805"/>
      <c r="GFY76" s="2805"/>
      <c r="GFZ76" s="2805"/>
      <c r="GGA76" s="2805"/>
      <c r="GGB76" s="2805"/>
      <c r="GGC76" s="2805"/>
      <c r="GGD76" s="2805"/>
      <c r="GGE76" s="2805"/>
      <c r="GGF76" s="2805"/>
      <c r="GGG76" s="2805"/>
      <c r="GGH76" s="2805"/>
      <c r="GGI76" s="2805"/>
      <c r="GGJ76" s="2805"/>
      <c r="GGK76" s="2805"/>
      <c r="GGL76" s="2805"/>
      <c r="GGM76" s="2805"/>
      <c r="GGN76" s="2805"/>
      <c r="GGO76" s="2805"/>
      <c r="GGP76" s="2805"/>
      <c r="GGQ76" s="2805"/>
      <c r="GGR76" s="2805"/>
      <c r="GGS76" s="2805"/>
      <c r="GGT76" s="2805"/>
      <c r="GGU76" s="2805"/>
      <c r="GGV76" s="2805"/>
      <c r="GGW76" s="2805"/>
      <c r="GGX76" s="2805"/>
      <c r="GGY76" s="2805"/>
      <c r="GGZ76" s="2805"/>
      <c r="GHA76" s="2805"/>
      <c r="GHB76" s="2805"/>
      <c r="GHC76" s="2805"/>
      <c r="GHD76" s="2805"/>
      <c r="GHE76" s="2805"/>
      <c r="GHF76" s="2805"/>
      <c r="GHG76" s="2805"/>
      <c r="GHH76" s="2805"/>
      <c r="GHI76" s="2805"/>
      <c r="GHJ76" s="2805"/>
      <c r="GHK76" s="2805"/>
      <c r="GHL76" s="2805"/>
      <c r="GHM76" s="2805"/>
      <c r="GHN76" s="2805"/>
      <c r="GHO76" s="2805"/>
      <c r="GHP76" s="2805"/>
      <c r="GHQ76" s="2805"/>
      <c r="GHR76" s="2805"/>
      <c r="GHS76" s="2805"/>
      <c r="GHT76" s="2805"/>
      <c r="GHU76" s="2805"/>
      <c r="GHV76" s="2805"/>
      <c r="GHW76" s="2805"/>
      <c r="GHX76" s="2805"/>
      <c r="GHY76" s="2805"/>
      <c r="GHZ76" s="2805"/>
      <c r="GIA76" s="2805"/>
      <c r="GIB76" s="2805"/>
      <c r="GIC76" s="2805"/>
      <c r="GID76" s="2805"/>
      <c r="GIE76" s="2805"/>
      <c r="GIF76" s="2805"/>
      <c r="GIG76" s="2805"/>
      <c r="GIH76" s="2805"/>
      <c r="GII76" s="2805"/>
      <c r="GIJ76" s="2805"/>
      <c r="GIK76" s="2805"/>
      <c r="GIL76" s="2805"/>
      <c r="GIM76" s="2805"/>
      <c r="GIN76" s="2805"/>
      <c r="GIO76" s="2805"/>
      <c r="GIP76" s="2805"/>
      <c r="GIQ76" s="2805"/>
      <c r="GIR76" s="2805"/>
      <c r="GIS76" s="2805"/>
      <c r="GIT76" s="2805"/>
      <c r="GIU76" s="2805"/>
      <c r="GIV76" s="2805"/>
      <c r="GIW76" s="2805"/>
      <c r="GIX76" s="2805"/>
      <c r="GIY76" s="2805"/>
      <c r="GIZ76" s="2805"/>
      <c r="GJA76" s="2805"/>
      <c r="GJB76" s="2805"/>
      <c r="GJC76" s="2805"/>
      <c r="GJD76" s="2805"/>
      <c r="GJE76" s="2805"/>
      <c r="GJF76" s="2805"/>
      <c r="GJG76" s="2805"/>
      <c r="GJH76" s="2805"/>
      <c r="GJI76" s="2805"/>
      <c r="GJJ76" s="2805"/>
      <c r="GJK76" s="2805"/>
      <c r="GJL76" s="2805"/>
      <c r="GJM76" s="2805"/>
      <c r="GJN76" s="2805"/>
      <c r="GJO76" s="2805"/>
      <c r="GJP76" s="2805"/>
      <c r="GJQ76" s="2805"/>
      <c r="GJR76" s="2805"/>
      <c r="GJS76" s="2805"/>
      <c r="GJT76" s="2805"/>
      <c r="GJU76" s="2805"/>
      <c r="GJV76" s="2805"/>
      <c r="GJW76" s="2805"/>
      <c r="GJX76" s="2805"/>
      <c r="GJY76" s="2805"/>
      <c r="GJZ76" s="2805"/>
      <c r="GKA76" s="2805"/>
      <c r="GKB76" s="2805"/>
      <c r="GKC76" s="2805"/>
      <c r="GKD76" s="2805"/>
      <c r="GKE76" s="2805"/>
      <c r="GKF76" s="2805"/>
      <c r="GKG76" s="2805"/>
      <c r="GKH76" s="2805"/>
      <c r="GKI76" s="2805"/>
      <c r="GKJ76" s="2805"/>
      <c r="GKK76" s="2805"/>
      <c r="GKL76" s="2805"/>
      <c r="GKM76" s="2805"/>
      <c r="GKN76" s="2805"/>
      <c r="GKO76" s="2805"/>
      <c r="GKP76" s="2805"/>
      <c r="GKQ76" s="2805"/>
      <c r="GKR76" s="2805"/>
      <c r="GKS76" s="2805"/>
      <c r="GKT76" s="2805"/>
      <c r="GKU76" s="2805"/>
      <c r="GKV76" s="2805"/>
      <c r="GKW76" s="2805"/>
      <c r="GKX76" s="2805"/>
      <c r="GKY76" s="2805"/>
      <c r="GKZ76" s="2805"/>
      <c r="GLA76" s="2805"/>
      <c r="GLB76" s="2805"/>
      <c r="GLC76" s="2805"/>
      <c r="GLD76" s="2805"/>
      <c r="GLE76" s="2805"/>
      <c r="GLF76" s="2805"/>
      <c r="GLG76" s="2805"/>
      <c r="GLH76" s="2805"/>
      <c r="GLI76" s="2805"/>
      <c r="GLJ76" s="2805"/>
      <c r="GLK76" s="2805"/>
      <c r="GLL76" s="2805"/>
      <c r="GLM76" s="2805"/>
      <c r="GLN76" s="2805"/>
      <c r="GLO76" s="2805"/>
      <c r="GLP76" s="2805"/>
      <c r="GLQ76" s="2805"/>
      <c r="GLR76" s="2805"/>
      <c r="GLS76" s="2805"/>
      <c r="GLT76" s="2805"/>
      <c r="GLU76" s="2805"/>
      <c r="GLV76" s="2805"/>
      <c r="GLW76" s="2805"/>
      <c r="GLX76" s="2805"/>
      <c r="GLY76" s="2805"/>
      <c r="GLZ76" s="2805"/>
      <c r="GMA76" s="2805"/>
      <c r="GMB76" s="2805"/>
      <c r="GMC76" s="2805"/>
      <c r="GMD76" s="2805"/>
      <c r="GME76" s="2805"/>
      <c r="GMF76" s="2805"/>
      <c r="GMG76" s="2805"/>
      <c r="GMH76" s="2805"/>
      <c r="GMI76" s="2805"/>
      <c r="GMJ76" s="2805"/>
      <c r="GMK76" s="2805"/>
      <c r="GML76" s="2805"/>
      <c r="GMM76" s="2805"/>
      <c r="GMN76" s="2805"/>
      <c r="GMO76" s="2805"/>
      <c r="GMP76" s="2805"/>
      <c r="GMQ76" s="2805"/>
      <c r="GMR76" s="2805"/>
      <c r="GMS76" s="2805"/>
      <c r="GMT76" s="2805"/>
      <c r="GMU76" s="2805"/>
      <c r="GMV76" s="2805"/>
      <c r="GMW76" s="2805"/>
      <c r="GMX76" s="2805"/>
      <c r="GMY76" s="2805"/>
      <c r="GMZ76" s="2805"/>
      <c r="GNA76" s="2805"/>
      <c r="GNB76" s="2805"/>
      <c r="GNC76" s="2805"/>
      <c r="GND76" s="2805"/>
      <c r="GNE76" s="2805"/>
      <c r="GNF76" s="2805"/>
      <c r="GNG76" s="2805"/>
      <c r="GNH76" s="2805"/>
      <c r="GNI76" s="2805"/>
      <c r="GNJ76" s="2805"/>
      <c r="GNK76" s="2805"/>
      <c r="GNL76" s="2805"/>
      <c r="GNM76" s="2805"/>
      <c r="GNN76" s="2805"/>
      <c r="GNO76" s="2805"/>
      <c r="GNP76" s="2805"/>
      <c r="GNQ76" s="2805"/>
      <c r="GNR76" s="2805"/>
      <c r="GNS76" s="2805"/>
      <c r="GNT76" s="2805"/>
      <c r="GNU76" s="2805"/>
      <c r="GNV76" s="2805"/>
      <c r="GNW76" s="2805"/>
      <c r="GNX76" s="2805"/>
      <c r="GNY76" s="2805"/>
      <c r="GNZ76" s="2805"/>
      <c r="GOA76" s="2805"/>
      <c r="GOB76" s="2805"/>
      <c r="GOC76" s="2805"/>
      <c r="GOD76" s="2805"/>
      <c r="GOE76" s="2805"/>
      <c r="GOF76" s="2805"/>
      <c r="GOG76" s="2805"/>
      <c r="GOH76" s="2805"/>
      <c r="GOI76" s="2805"/>
      <c r="GOJ76" s="2805"/>
      <c r="GOK76" s="2805"/>
      <c r="GOL76" s="2805"/>
      <c r="GOM76" s="2805"/>
      <c r="GON76" s="2805"/>
      <c r="GOO76" s="2805"/>
      <c r="GOP76" s="2805"/>
      <c r="GOQ76" s="2805"/>
      <c r="GOR76" s="2805"/>
      <c r="GOS76" s="2805"/>
      <c r="GOT76" s="2805"/>
      <c r="GOU76" s="2805"/>
      <c r="GOV76" s="2805"/>
      <c r="GOW76" s="2805"/>
      <c r="GOX76" s="2805"/>
      <c r="GOY76" s="2805"/>
      <c r="GOZ76" s="2805"/>
      <c r="GPA76" s="2805"/>
      <c r="GPB76" s="2805"/>
      <c r="GPC76" s="2805"/>
      <c r="GPD76" s="2805"/>
      <c r="GPE76" s="2805"/>
      <c r="GPF76" s="2805"/>
      <c r="GPG76" s="2805"/>
      <c r="GPH76" s="2805"/>
      <c r="GPI76" s="2805"/>
      <c r="GPJ76" s="2805"/>
      <c r="GPK76" s="2805"/>
      <c r="GPL76" s="2805"/>
      <c r="GPM76" s="2805"/>
      <c r="GPN76" s="2805"/>
      <c r="GPO76" s="2805"/>
      <c r="GPP76" s="2805"/>
      <c r="GPQ76" s="2805"/>
      <c r="GPR76" s="2805"/>
      <c r="GPS76" s="2805"/>
      <c r="GPT76" s="2805"/>
      <c r="GPU76" s="2805"/>
      <c r="GPV76" s="2805"/>
      <c r="GPW76" s="2805"/>
      <c r="GPX76" s="2805"/>
      <c r="GPY76" s="2805"/>
      <c r="GPZ76" s="2805"/>
      <c r="GQA76" s="2805"/>
      <c r="GQB76" s="2805"/>
      <c r="GQC76" s="2805"/>
      <c r="GQD76" s="2805"/>
      <c r="GQE76" s="2805"/>
      <c r="GQF76" s="2805"/>
      <c r="GQG76" s="2805"/>
      <c r="GQH76" s="2805"/>
      <c r="GQI76" s="2805"/>
      <c r="GQJ76" s="2805"/>
      <c r="GQK76" s="2805"/>
      <c r="GQL76" s="2805"/>
      <c r="GQM76" s="2805"/>
      <c r="GQN76" s="2805"/>
      <c r="GQO76" s="2805"/>
      <c r="GQP76" s="2805"/>
      <c r="GQQ76" s="2805"/>
      <c r="GQR76" s="2805"/>
      <c r="GQS76" s="2805"/>
      <c r="GQT76" s="2805"/>
      <c r="GQU76" s="2805"/>
      <c r="GQV76" s="2805"/>
      <c r="GQW76" s="2805"/>
      <c r="GQX76" s="2805"/>
      <c r="GQY76" s="2805"/>
      <c r="GQZ76" s="2805"/>
      <c r="GRA76" s="2805"/>
      <c r="GRB76" s="2805"/>
      <c r="GRC76" s="2805"/>
      <c r="GRD76" s="2805"/>
      <c r="GRE76" s="2805"/>
      <c r="GRF76" s="2805"/>
      <c r="GRG76" s="2805"/>
      <c r="GRH76" s="2805"/>
      <c r="GRI76" s="2805"/>
      <c r="GRJ76" s="2805"/>
      <c r="GRK76" s="2805"/>
      <c r="GRL76" s="2805"/>
      <c r="GRM76" s="2805"/>
      <c r="GRN76" s="2805"/>
      <c r="GRO76" s="2805"/>
      <c r="GRP76" s="2805"/>
      <c r="GRQ76" s="2805"/>
      <c r="GRR76" s="2805"/>
      <c r="GRS76" s="2805"/>
      <c r="GRT76" s="2805"/>
      <c r="GRU76" s="2805"/>
      <c r="GRV76" s="2805"/>
      <c r="GRW76" s="2805"/>
      <c r="GRX76" s="2805"/>
      <c r="GRY76" s="2805"/>
      <c r="GRZ76" s="2805"/>
      <c r="GSA76" s="2805"/>
      <c r="GSB76" s="2805"/>
      <c r="GSC76" s="2805"/>
      <c r="GSD76" s="2805"/>
      <c r="GSE76" s="2805"/>
      <c r="GSF76" s="2805"/>
      <c r="GSG76" s="2805"/>
      <c r="GSH76" s="2805"/>
      <c r="GSI76" s="2805"/>
      <c r="GSJ76" s="2805"/>
      <c r="GSK76" s="2805"/>
      <c r="GSL76" s="2805"/>
      <c r="GSM76" s="2805"/>
      <c r="GSN76" s="2805"/>
      <c r="GSO76" s="2805"/>
      <c r="GSP76" s="2805"/>
      <c r="GSQ76" s="2805"/>
      <c r="GSR76" s="2805"/>
      <c r="GSS76" s="2805"/>
      <c r="GST76" s="2805"/>
      <c r="GSU76" s="2805"/>
      <c r="GSV76" s="2805"/>
      <c r="GSW76" s="2805"/>
      <c r="GSX76" s="2805"/>
      <c r="GSY76" s="2805"/>
      <c r="GSZ76" s="2805"/>
      <c r="GTA76" s="2805"/>
      <c r="GTB76" s="2805"/>
      <c r="GTC76" s="2805"/>
      <c r="GTD76" s="2805"/>
      <c r="GTE76" s="2805"/>
      <c r="GTF76" s="2805"/>
      <c r="GTG76" s="2805"/>
      <c r="GTH76" s="2805"/>
      <c r="GTI76" s="2805"/>
      <c r="GTJ76" s="2805"/>
      <c r="GTK76" s="2805"/>
      <c r="GTL76" s="2805"/>
      <c r="GTM76" s="2805"/>
      <c r="GTN76" s="2805"/>
      <c r="GTO76" s="2805"/>
      <c r="GTP76" s="2805"/>
      <c r="GTQ76" s="2805"/>
      <c r="GTR76" s="2805"/>
      <c r="GTS76" s="2805"/>
      <c r="GTT76" s="2805"/>
      <c r="GTU76" s="2805"/>
      <c r="GTV76" s="2805"/>
      <c r="GTW76" s="2805"/>
      <c r="GTX76" s="2805"/>
      <c r="GTY76" s="2805"/>
      <c r="GTZ76" s="2805"/>
      <c r="GUA76" s="2805"/>
      <c r="GUB76" s="2805"/>
      <c r="GUC76" s="2805"/>
      <c r="GUD76" s="2805"/>
      <c r="GUE76" s="2805"/>
      <c r="GUF76" s="2805"/>
      <c r="GUG76" s="2805"/>
      <c r="GUH76" s="2805"/>
      <c r="GUI76" s="2805"/>
      <c r="GUJ76" s="2805"/>
      <c r="GUK76" s="2805"/>
      <c r="GUL76" s="2805"/>
      <c r="GUM76" s="2805"/>
      <c r="GUN76" s="2805"/>
      <c r="GUO76" s="2805"/>
      <c r="GUP76" s="2805"/>
      <c r="GUQ76" s="2805"/>
      <c r="GUR76" s="2805"/>
      <c r="GUS76" s="2805"/>
      <c r="GUT76" s="2805"/>
      <c r="GUU76" s="2805"/>
      <c r="GUV76" s="2805"/>
      <c r="GUW76" s="2805"/>
      <c r="GUX76" s="2805"/>
      <c r="GUY76" s="2805"/>
      <c r="GUZ76" s="2805"/>
      <c r="GVA76" s="2805"/>
      <c r="GVB76" s="2805"/>
      <c r="GVC76" s="2805"/>
      <c r="GVD76" s="2805"/>
      <c r="GVE76" s="2805"/>
      <c r="GVF76" s="2805"/>
      <c r="GVG76" s="2805"/>
      <c r="GVH76" s="2805"/>
      <c r="GVI76" s="2805"/>
      <c r="GVJ76" s="2805"/>
      <c r="GVK76" s="2805"/>
      <c r="GVL76" s="2805"/>
      <c r="GVM76" s="2805"/>
      <c r="GVN76" s="2805"/>
      <c r="GVO76" s="2805"/>
      <c r="GVP76" s="2805"/>
      <c r="GVQ76" s="2805"/>
      <c r="GVR76" s="2805"/>
      <c r="GVS76" s="2805"/>
      <c r="GVT76" s="2805"/>
      <c r="GVU76" s="2805"/>
      <c r="GVV76" s="2805"/>
      <c r="GVW76" s="2805"/>
      <c r="GVX76" s="2805"/>
      <c r="GVY76" s="2805"/>
      <c r="GVZ76" s="2805"/>
      <c r="GWA76" s="2805"/>
      <c r="GWB76" s="2805"/>
      <c r="GWC76" s="2805"/>
      <c r="GWD76" s="2805"/>
      <c r="GWE76" s="2805"/>
      <c r="GWF76" s="2805"/>
      <c r="GWG76" s="2805"/>
      <c r="GWH76" s="2805"/>
      <c r="GWI76" s="2805"/>
      <c r="GWJ76" s="2805"/>
      <c r="GWK76" s="2805"/>
      <c r="GWL76" s="2805"/>
      <c r="GWM76" s="2805"/>
      <c r="GWN76" s="2805"/>
      <c r="GWO76" s="2805"/>
      <c r="GWP76" s="2805"/>
      <c r="GWQ76" s="2805"/>
      <c r="GWR76" s="2805"/>
      <c r="GWS76" s="2805"/>
      <c r="GWT76" s="2805"/>
      <c r="GWU76" s="2805"/>
      <c r="GWV76" s="2805"/>
      <c r="GWW76" s="2805"/>
      <c r="GWX76" s="2805"/>
      <c r="GWY76" s="2805"/>
      <c r="GWZ76" s="2805"/>
      <c r="GXA76" s="2805"/>
      <c r="GXB76" s="2805"/>
      <c r="GXC76" s="2805"/>
      <c r="GXD76" s="2805"/>
      <c r="GXE76" s="2805"/>
      <c r="GXF76" s="2805"/>
      <c r="GXG76" s="2805"/>
      <c r="GXH76" s="2805"/>
      <c r="GXI76" s="2805"/>
      <c r="GXJ76" s="2805"/>
      <c r="GXK76" s="2805"/>
      <c r="GXL76" s="2805"/>
      <c r="GXM76" s="2805"/>
      <c r="GXN76" s="2805"/>
      <c r="GXO76" s="2805"/>
      <c r="GXP76" s="2805"/>
      <c r="GXQ76" s="2805"/>
      <c r="GXR76" s="2805"/>
      <c r="GXS76" s="2805"/>
      <c r="GXT76" s="2805"/>
      <c r="GXU76" s="2805"/>
      <c r="GXV76" s="2805"/>
      <c r="GXW76" s="2805"/>
      <c r="GXX76" s="2805"/>
      <c r="GXY76" s="2805"/>
      <c r="GXZ76" s="2805"/>
      <c r="GYA76" s="2805"/>
      <c r="GYB76" s="2805"/>
      <c r="GYC76" s="2805"/>
      <c r="GYD76" s="2805"/>
      <c r="GYE76" s="2805"/>
      <c r="GYF76" s="2805"/>
      <c r="GYG76" s="2805"/>
      <c r="GYH76" s="2805"/>
      <c r="GYI76" s="2805"/>
      <c r="GYJ76" s="2805"/>
      <c r="GYK76" s="2805"/>
      <c r="GYL76" s="2805"/>
      <c r="GYM76" s="2805"/>
      <c r="GYN76" s="2805"/>
      <c r="GYO76" s="2805"/>
      <c r="GYP76" s="2805"/>
      <c r="GYQ76" s="2805"/>
      <c r="GYR76" s="2805"/>
      <c r="GYS76" s="2805"/>
      <c r="GYT76" s="2805"/>
      <c r="GYU76" s="2805"/>
      <c r="GYV76" s="2805"/>
      <c r="GYW76" s="2805"/>
      <c r="GYX76" s="2805"/>
      <c r="GYY76" s="2805"/>
      <c r="GYZ76" s="2805"/>
      <c r="GZA76" s="2805"/>
      <c r="GZB76" s="2805"/>
      <c r="GZC76" s="2805"/>
      <c r="GZD76" s="2805"/>
      <c r="GZE76" s="2805"/>
      <c r="GZF76" s="2805"/>
      <c r="GZG76" s="2805"/>
      <c r="GZH76" s="2805"/>
      <c r="GZI76" s="2805"/>
      <c r="GZJ76" s="2805"/>
      <c r="GZK76" s="2805"/>
      <c r="GZL76" s="2805"/>
      <c r="GZM76" s="2805"/>
      <c r="GZN76" s="2805"/>
      <c r="GZO76" s="2805"/>
      <c r="GZP76" s="2805"/>
      <c r="GZQ76" s="2805"/>
      <c r="GZR76" s="2805"/>
      <c r="GZS76" s="2805"/>
      <c r="GZT76" s="2805"/>
      <c r="GZU76" s="2805"/>
      <c r="GZV76" s="2805"/>
      <c r="GZW76" s="2805"/>
      <c r="GZX76" s="2805"/>
      <c r="GZY76" s="2805"/>
      <c r="GZZ76" s="2805"/>
      <c r="HAA76" s="2805"/>
      <c r="HAB76" s="2805"/>
      <c r="HAC76" s="2805"/>
      <c r="HAD76" s="2805"/>
      <c r="HAE76" s="2805"/>
      <c r="HAF76" s="2805"/>
      <c r="HAG76" s="2805"/>
      <c r="HAH76" s="2805"/>
      <c r="HAI76" s="2805"/>
      <c r="HAJ76" s="2805"/>
      <c r="HAK76" s="2805"/>
      <c r="HAL76" s="2805"/>
      <c r="HAM76" s="2805"/>
      <c r="HAN76" s="2805"/>
      <c r="HAO76" s="2805"/>
      <c r="HAP76" s="2805"/>
      <c r="HAQ76" s="2805"/>
      <c r="HAR76" s="2805"/>
      <c r="HAS76" s="2805"/>
      <c r="HAT76" s="2805"/>
      <c r="HAU76" s="2805"/>
      <c r="HAV76" s="2805"/>
      <c r="HAW76" s="2805"/>
      <c r="HAX76" s="2805"/>
      <c r="HAY76" s="2805"/>
      <c r="HAZ76" s="2805"/>
      <c r="HBA76" s="2805"/>
      <c r="HBB76" s="2805"/>
      <c r="HBC76" s="2805"/>
      <c r="HBD76" s="2805"/>
      <c r="HBE76" s="2805"/>
      <c r="HBF76" s="2805"/>
      <c r="HBG76" s="2805"/>
      <c r="HBH76" s="2805"/>
      <c r="HBI76" s="2805"/>
      <c r="HBJ76" s="2805"/>
      <c r="HBK76" s="2805"/>
      <c r="HBL76" s="2805"/>
      <c r="HBM76" s="2805"/>
      <c r="HBN76" s="2805"/>
      <c r="HBO76" s="2805"/>
      <c r="HBP76" s="2805"/>
      <c r="HBQ76" s="2805"/>
      <c r="HBR76" s="2805"/>
      <c r="HBS76" s="2805"/>
      <c r="HBT76" s="2805"/>
      <c r="HBU76" s="2805"/>
      <c r="HBV76" s="2805"/>
      <c r="HBW76" s="2805"/>
      <c r="HBX76" s="2805"/>
      <c r="HBY76" s="2805"/>
      <c r="HBZ76" s="2805"/>
      <c r="HCA76" s="2805"/>
      <c r="HCB76" s="2805"/>
      <c r="HCC76" s="2805"/>
      <c r="HCD76" s="2805"/>
      <c r="HCE76" s="2805"/>
      <c r="HCF76" s="2805"/>
      <c r="HCG76" s="2805"/>
      <c r="HCH76" s="2805"/>
      <c r="HCI76" s="2805"/>
      <c r="HCJ76" s="2805"/>
      <c r="HCK76" s="2805"/>
      <c r="HCL76" s="2805"/>
      <c r="HCM76" s="2805"/>
      <c r="HCN76" s="2805"/>
      <c r="HCO76" s="2805"/>
      <c r="HCP76" s="2805"/>
      <c r="HCQ76" s="2805"/>
      <c r="HCR76" s="2805"/>
      <c r="HCS76" s="2805"/>
      <c r="HCT76" s="2805"/>
      <c r="HCU76" s="2805"/>
      <c r="HCV76" s="2805"/>
      <c r="HCW76" s="2805"/>
      <c r="HCX76" s="2805"/>
      <c r="HCY76" s="2805"/>
      <c r="HCZ76" s="2805"/>
      <c r="HDA76" s="2805"/>
      <c r="HDB76" s="2805"/>
      <c r="HDC76" s="2805"/>
      <c r="HDD76" s="2805"/>
      <c r="HDE76" s="2805"/>
      <c r="HDF76" s="2805"/>
      <c r="HDG76" s="2805"/>
      <c r="HDH76" s="2805"/>
      <c r="HDI76" s="2805"/>
      <c r="HDJ76" s="2805"/>
      <c r="HDK76" s="2805"/>
      <c r="HDL76" s="2805"/>
      <c r="HDM76" s="2805"/>
      <c r="HDN76" s="2805"/>
      <c r="HDO76" s="2805"/>
      <c r="HDP76" s="2805"/>
      <c r="HDQ76" s="2805"/>
      <c r="HDR76" s="2805"/>
      <c r="HDS76" s="2805"/>
      <c r="HDT76" s="2805"/>
      <c r="HDU76" s="2805"/>
      <c r="HDV76" s="2805"/>
      <c r="HDW76" s="2805"/>
      <c r="HDX76" s="2805"/>
      <c r="HDY76" s="2805"/>
      <c r="HDZ76" s="2805"/>
      <c r="HEA76" s="2805"/>
      <c r="HEB76" s="2805"/>
      <c r="HEC76" s="2805"/>
      <c r="HED76" s="2805"/>
      <c r="HEE76" s="2805"/>
      <c r="HEF76" s="2805"/>
      <c r="HEG76" s="2805"/>
      <c r="HEH76" s="2805"/>
      <c r="HEI76" s="2805"/>
      <c r="HEJ76" s="2805"/>
      <c r="HEK76" s="2805"/>
      <c r="HEL76" s="2805"/>
      <c r="HEM76" s="2805"/>
      <c r="HEN76" s="2805"/>
      <c r="HEO76" s="2805"/>
      <c r="HEP76" s="2805"/>
      <c r="HEQ76" s="2805"/>
      <c r="HER76" s="2805"/>
      <c r="HES76" s="2805"/>
      <c r="HET76" s="2805"/>
      <c r="HEU76" s="2805"/>
      <c r="HEV76" s="2805"/>
      <c r="HEW76" s="2805"/>
      <c r="HEX76" s="2805"/>
      <c r="HEY76" s="2805"/>
      <c r="HEZ76" s="2805"/>
      <c r="HFA76" s="2805"/>
      <c r="HFB76" s="2805"/>
      <c r="HFC76" s="2805"/>
      <c r="HFD76" s="2805"/>
      <c r="HFE76" s="2805"/>
      <c r="HFF76" s="2805"/>
      <c r="HFG76" s="2805"/>
      <c r="HFH76" s="2805"/>
      <c r="HFI76" s="2805"/>
      <c r="HFJ76" s="2805"/>
      <c r="HFK76" s="2805"/>
      <c r="HFL76" s="2805"/>
      <c r="HFM76" s="2805"/>
      <c r="HFN76" s="2805"/>
      <c r="HFO76" s="2805"/>
      <c r="HFP76" s="2805"/>
      <c r="HFQ76" s="2805"/>
      <c r="HFR76" s="2805"/>
      <c r="HFS76" s="2805"/>
      <c r="HFT76" s="2805"/>
      <c r="HFU76" s="2805"/>
      <c r="HFV76" s="2805"/>
      <c r="HFW76" s="2805"/>
      <c r="HFX76" s="2805"/>
      <c r="HFY76" s="2805"/>
      <c r="HFZ76" s="2805"/>
      <c r="HGA76" s="2805"/>
      <c r="HGB76" s="2805"/>
      <c r="HGC76" s="2805"/>
      <c r="HGD76" s="2805"/>
      <c r="HGE76" s="2805"/>
      <c r="HGF76" s="2805"/>
      <c r="HGG76" s="2805"/>
      <c r="HGH76" s="2805"/>
      <c r="HGI76" s="2805"/>
      <c r="HGJ76" s="2805"/>
      <c r="HGK76" s="2805"/>
      <c r="HGL76" s="2805"/>
      <c r="HGM76" s="2805"/>
      <c r="HGN76" s="2805"/>
      <c r="HGO76" s="2805"/>
      <c r="HGP76" s="2805"/>
      <c r="HGQ76" s="2805"/>
      <c r="HGR76" s="2805"/>
      <c r="HGS76" s="2805"/>
      <c r="HGT76" s="2805"/>
      <c r="HGU76" s="2805"/>
      <c r="HGV76" s="2805"/>
      <c r="HGW76" s="2805"/>
      <c r="HGX76" s="2805"/>
      <c r="HGY76" s="2805"/>
      <c r="HGZ76" s="2805"/>
      <c r="HHA76" s="2805"/>
      <c r="HHB76" s="2805"/>
      <c r="HHC76" s="2805"/>
      <c r="HHD76" s="2805"/>
      <c r="HHE76" s="2805"/>
      <c r="HHF76" s="2805"/>
      <c r="HHG76" s="2805"/>
      <c r="HHH76" s="2805"/>
      <c r="HHI76" s="2805"/>
      <c r="HHJ76" s="2805"/>
      <c r="HHK76" s="2805"/>
      <c r="HHL76" s="2805"/>
      <c r="HHM76" s="2805"/>
      <c r="HHN76" s="2805"/>
      <c r="HHO76" s="2805"/>
      <c r="HHP76" s="2805"/>
      <c r="HHQ76" s="2805"/>
      <c r="HHR76" s="2805"/>
      <c r="HHS76" s="2805"/>
      <c r="HHT76" s="2805"/>
      <c r="HHU76" s="2805"/>
      <c r="HHV76" s="2805"/>
      <c r="HHW76" s="2805"/>
      <c r="HHX76" s="2805"/>
      <c r="HHY76" s="2805"/>
      <c r="HHZ76" s="2805"/>
      <c r="HIA76" s="2805"/>
      <c r="HIB76" s="2805"/>
      <c r="HIC76" s="2805"/>
      <c r="HID76" s="2805"/>
      <c r="HIE76" s="2805"/>
      <c r="HIF76" s="2805"/>
      <c r="HIG76" s="2805"/>
      <c r="HIH76" s="2805"/>
      <c r="HII76" s="2805"/>
      <c r="HIJ76" s="2805"/>
      <c r="HIK76" s="2805"/>
      <c r="HIL76" s="2805"/>
      <c r="HIM76" s="2805"/>
      <c r="HIN76" s="2805"/>
      <c r="HIO76" s="2805"/>
      <c r="HIP76" s="2805"/>
      <c r="HIQ76" s="2805"/>
      <c r="HIR76" s="2805"/>
      <c r="HIS76" s="2805"/>
      <c r="HIT76" s="2805"/>
      <c r="HIU76" s="2805"/>
      <c r="HIV76" s="2805"/>
      <c r="HIW76" s="2805"/>
      <c r="HIX76" s="2805"/>
      <c r="HIY76" s="2805"/>
      <c r="HIZ76" s="2805"/>
      <c r="HJA76" s="2805"/>
      <c r="HJB76" s="2805"/>
      <c r="HJC76" s="2805"/>
      <c r="HJD76" s="2805"/>
      <c r="HJE76" s="2805"/>
      <c r="HJF76" s="2805"/>
      <c r="HJG76" s="2805"/>
      <c r="HJH76" s="2805"/>
      <c r="HJI76" s="2805"/>
      <c r="HJJ76" s="2805"/>
      <c r="HJK76" s="2805"/>
      <c r="HJL76" s="2805"/>
      <c r="HJM76" s="2805"/>
      <c r="HJN76" s="2805"/>
      <c r="HJO76" s="2805"/>
      <c r="HJP76" s="2805"/>
      <c r="HJQ76" s="2805"/>
      <c r="HJR76" s="2805"/>
      <c r="HJS76" s="2805"/>
      <c r="HJT76" s="2805"/>
      <c r="HJU76" s="2805"/>
      <c r="HJV76" s="2805"/>
      <c r="HJW76" s="2805"/>
      <c r="HJX76" s="2805"/>
      <c r="HJY76" s="2805"/>
      <c r="HJZ76" s="2805"/>
      <c r="HKA76" s="2805"/>
      <c r="HKB76" s="2805"/>
      <c r="HKC76" s="2805"/>
      <c r="HKD76" s="2805"/>
      <c r="HKE76" s="2805"/>
      <c r="HKF76" s="2805"/>
      <c r="HKG76" s="2805"/>
      <c r="HKH76" s="2805"/>
      <c r="HKI76" s="2805"/>
      <c r="HKJ76" s="2805"/>
      <c r="HKK76" s="2805"/>
      <c r="HKL76" s="2805"/>
      <c r="HKM76" s="2805"/>
      <c r="HKN76" s="2805"/>
      <c r="HKO76" s="2805"/>
      <c r="HKP76" s="2805"/>
      <c r="HKQ76" s="2805"/>
      <c r="HKR76" s="2805"/>
      <c r="HKS76" s="2805"/>
      <c r="HKT76" s="2805"/>
      <c r="HKU76" s="2805"/>
      <c r="HKV76" s="2805"/>
      <c r="HKW76" s="2805"/>
      <c r="HKX76" s="2805"/>
      <c r="HKY76" s="2805"/>
      <c r="HKZ76" s="2805"/>
      <c r="HLA76" s="2805"/>
      <c r="HLB76" s="2805"/>
      <c r="HLC76" s="2805"/>
      <c r="HLD76" s="2805"/>
      <c r="HLE76" s="2805"/>
      <c r="HLF76" s="2805"/>
      <c r="HLG76" s="2805"/>
      <c r="HLH76" s="2805"/>
      <c r="HLI76" s="2805"/>
      <c r="HLJ76" s="2805"/>
      <c r="HLK76" s="2805"/>
      <c r="HLL76" s="2805"/>
      <c r="HLM76" s="2805"/>
      <c r="HLN76" s="2805"/>
      <c r="HLO76" s="2805"/>
      <c r="HLP76" s="2805"/>
      <c r="HLQ76" s="2805"/>
      <c r="HLR76" s="2805"/>
      <c r="HLS76" s="2805"/>
      <c r="HLT76" s="2805"/>
      <c r="HLU76" s="2805"/>
      <c r="HLV76" s="2805"/>
      <c r="HLW76" s="2805"/>
      <c r="HLX76" s="2805"/>
      <c r="HLY76" s="2805"/>
      <c r="HLZ76" s="2805"/>
      <c r="HMA76" s="2805"/>
      <c r="HMB76" s="2805"/>
      <c r="HMC76" s="2805"/>
      <c r="HMD76" s="2805"/>
      <c r="HME76" s="2805"/>
      <c r="HMF76" s="2805"/>
      <c r="HMG76" s="2805"/>
      <c r="HMH76" s="2805"/>
      <c r="HMI76" s="2805"/>
      <c r="HMJ76" s="2805"/>
      <c r="HMK76" s="2805"/>
      <c r="HML76" s="2805"/>
      <c r="HMM76" s="2805"/>
      <c r="HMN76" s="2805"/>
      <c r="HMO76" s="2805"/>
      <c r="HMP76" s="2805"/>
      <c r="HMQ76" s="2805"/>
      <c r="HMR76" s="2805"/>
      <c r="HMS76" s="2805"/>
      <c r="HMT76" s="2805"/>
      <c r="HMU76" s="2805"/>
      <c r="HMV76" s="2805"/>
      <c r="HMW76" s="2805"/>
      <c r="HMX76" s="2805"/>
      <c r="HMY76" s="2805"/>
      <c r="HMZ76" s="2805"/>
      <c r="HNA76" s="2805"/>
      <c r="HNB76" s="2805"/>
      <c r="HNC76" s="2805"/>
      <c r="HND76" s="2805"/>
      <c r="HNE76" s="2805"/>
      <c r="HNF76" s="2805"/>
      <c r="HNG76" s="2805"/>
      <c r="HNH76" s="2805"/>
      <c r="HNI76" s="2805"/>
      <c r="HNJ76" s="2805"/>
      <c r="HNK76" s="2805"/>
      <c r="HNL76" s="2805"/>
      <c r="HNM76" s="2805"/>
      <c r="HNN76" s="2805"/>
      <c r="HNO76" s="2805"/>
      <c r="HNP76" s="2805"/>
      <c r="HNQ76" s="2805"/>
      <c r="HNR76" s="2805"/>
      <c r="HNS76" s="2805"/>
      <c r="HNT76" s="2805"/>
      <c r="HNU76" s="2805"/>
      <c r="HNV76" s="2805"/>
      <c r="HNW76" s="2805"/>
      <c r="HNX76" s="2805"/>
      <c r="HNY76" s="2805"/>
      <c r="HNZ76" s="2805"/>
      <c r="HOA76" s="2805"/>
      <c r="HOB76" s="2805"/>
      <c r="HOC76" s="2805"/>
      <c r="HOD76" s="2805"/>
      <c r="HOE76" s="2805"/>
      <c r="HOF76" s="2805"/>
      <c r="HOG76" s="2805"/>
      <c r="HOH76" s="2805"/>
      <c r="HOI76" s="2805"/>
      <c r="HOJ76" s="2805"/>
      <c r="HOK76" s="2805"/>
      <c r="HOL76" s="2805"/>
      <c r="HOM76" s="2805"/>
      <c r="HON76" s="2805"/>
      <c r="HOO76" s="2805"/>
      <c r="HOP76" s="2805"/>
      <c r="HOQ76" s="2805"/>
      <c r="HOR76" s="2805"/>
      <c r="HOS76" s="2805"/>
      <c r="HOT76" s="2805"/>
      <c r="HOU76" s="2805"/>
      <c r="HOV76" s="2805"/>
      <c r="HOW76" s="2805"/>
      <c r="HOX76" s="2805"/>
      <c r="HOY76" s="2805"/>
      <c r="HOZ76" s="2805"/>
      <c r="HPA76" s="2805"/>
      <c r="HPB76" s="2805"/>
      <c r="HPC76" s="2805"/>
      <c r="HPD76" s="2805"/>
      <c r="HPE76" s="2805"/>
      <c r="HPF76" s="2805"/>
      <c r="HPG76" s="2805"/>
      <c r="HPH76" s="2805"/>
      <c r="HPI76" s="2805"/>
      <c r="HPJ76" s="2805"/>
      <c r="HPK76" s="2805"/>
      <c r="HPL76" s="2805"/>
      <c r="HPM76" s="2805"/>
      <c r="HPN76" s="2805"/>
      <c r="HPO76" s="2805"/>
      <c r="HPP76" s="2805"/>
      <c r="HPQ76" s="2805"/>
      <c r="HPR76" s="2805"/>
      <c r="HPS76" s="2805"/>
      <c r="HPT76" s="2805"/>
      <c r="HPU76" s="2805"/>
      <c r="HPV76" s="2805"/>
      <c r="HPW76" s="2805"/>
      <c r="HPX76" s="2805"/>
      <c r="HPY76" s="2805"/>
      <c r="HPZ76" s="2805"/>
      <c r="HQA76" s="2805"/>
      <c r="HQB76" s="2805"/>
      <c r="HQC76" s="2805"/>
      <c r="HQD76" s="2805"/>
      <c r="HQE76" s="2805"/>
      <c r="HQF76" s="2805"/>
      <c r="HQG76" s="2805"/>
      <c r="HQH76" s="2805"/>
      <c r="HQI76" s="2805"/>
      <c r="HQJ76" s="2805"/>
      <c r="HQK76" s="2805"/>
      <c r="HQL76" s="2805"/>
      <c r="HQM76" s="2805"/>
      <c r="HQN76" s="2805"/>
      <c r="HQO76" s="2805"/>
      <c r="HQP76" s="2805"/>
      <c r="HQQ76" s="2805"/>
      <c r="HQR76" s="2805"/>
      <c r="HQS76" s="2805"/>
      <c r="HQT76" s="2805"/>
      <c r="HQU76" s="2805"/>
      <c r="HQV76" s="2805"/>
      <c r="HQW76" s="2805"/>
      <c r="HQX76" s="2805"/>
      <c r="HQY76" s="2805"/>
      <c r="HQZ76" s="2805"/>
      <c r="HRA76" s="2805"/>
      <c r="HRB76" s="2805"/>
      <c r="HRC76" s="2805"/>
      <c r="HRD76" s="2805"/>
      <c r="HRE76" s="2805"/>
      <c r="HRF76" s="2805"/>
      <c r="HRG76" s="2805"/>
      <c r="HRH76" s="2805"/>
      <c r="HRI76" s="2805"/>
      <c r="HRJ76" s="2805"/>
      <c r="HRK76" s="2805"/>
      <c r="HRL76" s="2805"/>
      <c r="HRM76" s="2805"/>
      <c r="HRN76" s="2805"/>
      <c r="HRO76" s="2805"/>
      <c r="HRP76" s="2805"/>
      <c r="HRQ76" s="2805"/>
      <c r="HRR76" s="2805"/>
      <c r="HRS76" s="2805"/>
      <c r="HRT76" s="2805"/>
      <c r="HRU76" s="2805"/>
      <c r="HRV76" s="2805"/>
      <c r="HRW76" s="2805"/>
      <c r="HRX76" s="2805"/>
      <c r="HRY76" s="2805"/>
      <c r="HRZ76" s="2805"/>
      <c r="HSA76" s="2805"/>
      <c r="HSB76" s="2805"/>
      <c r="HSC76" s="2805"/>
      <c r="HSD76" s="2805"/>
      <c r="HSE76" s="2805"/>
      <c r="HSF76" s="2805"/>
      <c r="HSG76" s="2805"/>
      <c r="HSH76" s="2805"/>
      <c r="HSI76" s="2805"/>
      <c r="HSJ76" s="2805"/>
      <c r="HSK76" s="2805"/>
      <c r="HSL76" s="2805"/>
      <c r="HSM76" s="2805"/>
      <c r="HSN76" s="2805"/>
      <c r="HSO76" s="2805"/>
      <c r="HSP76" s="2805"/>
      <c r="HSQ76" s="2805"/>
      <c r="HSR76" s="2805"/>
      <c r="HSS76" s="2805"/>
      <c r="HST76" s="2805"/>
      <c r="HSU76" s="2805"/>
      <c r="HSV76" s="2805"/>
      <c r="HSW76" s="2805"/>
      <c r="HSX76" s="2805"/>
      <c r="HSY76" s="2805"/>
      <c r="HSZ76" s="2805"/>
      <c r="HTA76" s="2805"/>
      <c r="HTB76" s="2805"/>
      <c r="HTC76" s="2805"/>
      <c r="HTD76" s="2805"/>
      <c r="HTE76" s="2805"/>
      <c r="HTF76" s="2805"/>
      <c r="HTG76" s="2805"/>
      <c r="HTH76" s="2805"/>
      <c r="HTI76" s="2805"/>
      <c r="HTJ76" s="2805"/>
      <c r="HTK76" s="2805"/>
      <c r="HTL76" s="2805"/>
      <c r="HTM76" s="2805"/>
      <c r="HTN76" s="2805"/>
      <c r="HTO76" s="2805"/>
      <c r="HTP76" s="2805"/>
      <c r="HTQ76" s="2805"/>
      <c r="HTR76" s="2805"/>
      <c r="HTS76" s="2805"/>
      <c r="HTT76" s="2805"/>
      <c r="HTU76" s="2805"/>
      <c r="HTV76" s="2805"/>
      <c r="HTW76" s="2805"/>
      <c r="HTX76" s="2805"/>
      <c r="HTY76" s="2805"/>
      <c r="HTZ76" s="2805"/>
      <c r="HUA76" s="2805"/>
      <c r="HUB76" s="2805"/>
      <c r="HUC76" s="2805"/>
      <c r="HUD76" s="2805"/>
      <c r="HUE76" s="2805"/>
      <c r="HUF76" s="2805"/>
      <c r="HUG76" s="2805"/>
      <c r="HUH76" s="2805"/>
      <c r="HUI76" s="2805"/>
      <c r="HUJ76" s="2805"/>
      <c r="HUK76" s="2805"/>
      <c r="HUL76" s="2805"/>
      <c r="HUM76" s="2805"/>
      <c r="HUN76" s="2805"/>
      <c r="HUO76" s="2805"/>
      <c r="HUP76" s="2805"/>
      <c r="HUQ76" s="2805"/>
      <c r="HUR76" s="2805"/>
      <c r="HUS76" s="2805"/>
      <c r="HUT76" s="2805"/>
      <c r="HUU76" s="2805"/>
      <c r="HUV76" s="2805"/>
      <c r="HUW76" s="2805"/>
      <c r="HUX76" s="2805"/>
      <c r="HUY76" s="2805"/>
      <c r="HUZ76" s="2805"/>
      <c r="HVA76" s="2805"/>
      <c r="HVB76" s="2805"/>
      <c r="HVC76" s="2805"/>
      <c r="HVD76" s="2805"/>
      <c r="HVE76" s="2805"/>
      <c r="HVF76" s="2805"/>
      <c r="HVG76" s="2805"/>
      <c r="HVH76" s="2805"/>
      <c r="HVI76" s="2805"/>
      <c r="HVJ76" s="2805"/>
      <c r="HVK76" s="2805"/>
      <c r="HVL76" s="2805"/>
      <c r="HVM76" s="2805"/>
      <c r="HVN76" s="2805"/>
      <c r="HVO76" s="2805"/>
      <c r="HVP76" s="2805"/>
      <c r="HVQ76" s="2805"/>
      <c r="HVR76" s="2805"/>
      <c r="HVS76" s="2805"/>
      <c r="HVT76" s="2805"/>
      <c r="HVU76" s="2805"/>
      <c r="HVV76" s="2805"/>
      <c r="HVW76" s="2805"/>
      <c r="HVX76" s="2805"/>
      <c r="HVY76" s="2805"/>
      <c r="HVZ76" s="2805"/>
      <c r="HWA76" s="2805"/>
      <c r="HWB76" s="2805"/>
      <c r="HWC76" s="2805"/>
      <c r="HWD76" s="2805"/>
      <c r="HWE76" s="2805"/>
      <c r="HWF76" s="2805"/>
      <c r="HWG76" s="2805"/>
      <c r="HWH76" s="2805"/>
      <c r="HWI76" s="2805"/>
      <c r="HWJ76" s="2805"/>
      <c r="HWK76" s="2805"/>
      <c r="HWL76" s="2805"/>
      <c r="HWM76" s="2805"/>
      <c r="HWN76" s="2805"/>
      <c r="HWO76" s="2805"/>
      <c r="HWP76" s="2805"/>
      <c r="HWQ76" s="2805"/>
      <c r="HWR76" s="2805"/>
      <c r="HWS76" s="2805"/>
      <c r="HWT76" s="2805"/>
      <c r="HWU76" s="2805"/>
      <c r="HWV76" s="2805"/>
      <c r="HWW76" s="2805"/>
      <c r="HWX76" s="2805"/>
      <c r="HWY76" s="2805"/>
      <c r="HWZ76" s="2805"/>
      <c r="HXA76" s="2805"/>
      <c r="HXB76" s="2805"/>
      <c r="HXC76" s="2805"/>
      <c r="HXD76" s="2805"/>
      <c r="HXE76" s="2805"/>
      <c r="HXF76" s="2805"/>
      <c r="HXG76" s="2805"/>
      <c r="HXH76" s="2805"/>
      <c r="HXI76" s="2805"/>
      <c r="HXJ76" s="2805"/>
      <c r="HXK76" s="2805"/>
      <c r="HXL76" s="2805"/>
      <c r="HXM76" s="2805"/>
      <c r="HXN76" s="2805"/>
      <c r="HXO76" s="2805"/>
      <c r="HXP76" s="2805"/>
      <c r="HXQ76" s="2805"/>
      <c r="HXR76" s="2805"/>
      <c r="HXS76" s="2805"/>
      <c r="HXT76" s="2805"/>
      <c r="HXU76" s="2805"/>
      <c r="HXV76" s="2805"/>
      <c r="HXW76" s="2805"/>
      <c r="HXX76" s="2805"/>
      <c r="HXY76" s="2805"/>
      <c r="HXZ76" s="2805"/>
      <c r="HYA76" s="2805"/>
      <c r="HYB76" s="2805"/>
      <c r="HYC76" s="2805"/>
      <c r="HYD76" s="2805"/>
      <c r="HYE76" s="2805"/>
      <c r="HYF76" s="2805"/>
      <c r="HYG76" s="2805"/>
      <c r="HYH76" s="2805"/>
      <c r="HYI76" s="2805"/>
      <c r="HYJ76" s="2805"/>
      <c r="HYK76" s="2805"/>
      <c r="HYL76" s="2805"/>
      <c r="HYM76" s="2805"/>
      <c r="HYN76" s="2805"/>
      <c r="HYO76" s="2805"/>
      <c r="HYP76" s="2805"/>
      <c r="HYQ76" s="2805"/>
      <c r="HYR76" s="2805"/>
      <c r="HYS76" s="2805"/>
      <c r="HYT76" s="2805"/>
      <c r="HYU76" s="2805"/>
      <c r="HYV76" s="2805"/>
      <c r="HYW76" s="2805"/>
      <c r="HYX76" s="2805"/>
      <c r="HYY76" s="2805"/>
      <c r="HYZ76" s="2805"/>
      <c r="HZA76" s="2805"/>
      <c r="HZB76" s="2805"/>
      <c r="HZC76" s="2805"/>
      <c r="HZD76" s="2805"/>
      <c r="HZE76" s="2805"/>
      <c r="HZF76" s="2805"/>
      <c r="HZG76" s="2805"/>
      <c r="HZH76" s="2805"/>
      <c r="HZI76" s="2805"/>
      <c r="HZJ76" s="2805"/>
      <c r="HZK76" s="2805"/>
      <c r="HZL76" s="2805"/>
      <c r="HZM76" s="2805"/>
      <c r="HZN76" s="2805"/>
      <c r="HZO76" s="2805"/>
      <c r="HZP76" s="2805"/>
      <c r="HZQ76" s="2805"/>
      <c r="HZR76" s="2805"/>
      <c r="HZS76" s="2805"/>
      <c r="HZT76" s="2805"/>
      <c r="HZU76" s="2805"/>
      <c r="HZV76" s="2805"/>
      <c r="HZW76" s="2805"/>
      <c r="HZX76" s="2805"/>
      <c r="HZY76" s="2805"/>
      <c r="HZZ76" s="2805"/>
      <c r="IAA76" s="2805"/>
      <c r="IAB76" s="2805"/>
      <c r="IAC76" s="2805"/>
      <c r="IAD76" s="2805"/>
      <c r="IAE76" s="2805"/>
      <c r="IAF76" s="2805"/>
      <c r="IAG76" s="2805"/>
      <c r="IAH76" s="2805"/>
      <c r="IAI76" s="2805"/>
      <c r="IAJ76" s="2805"/>
      <c r="IAK76" s="2805"/>
      <c r="IAL76" s="2805"/>
      <c r="IAM76" s="2805"/>
      <c r="IAN76" s="2805"/>
      <c r="IAO76" s="2805"/>
      <c r="IAP76" s="2805"/>
      <c r="IAQ76" s="2805"/>
      <c r="IAR76" s="2805"/>
      <c r="IAS76" s="2805"/>
      <c r="IAT76" s="2805"/>
      <c r="IAU76" s="2805"/>
      <c r="IAV76" s="2805"/>
      <c r="IAW76" s="2805"/>
      <c r="IAX76" s="2805"/>
      <c r="IAY76" s="2805"/>
      <c r="IAZ76" s="2805"/>
      <c r="IBA76" s="2805"/>
      <c r="IBB76" s="2805"/>
      <c r="IBC76" s="2805"/>
      <c r="IBD76" s="2805"/>
      <c r="IBE76" s="2805"/>
      <c r="IBF76" s="2805"/>
      <c r="IBG76" s="2805"/>
      <c r="IBH76" s="2805"/>
      <c r="IBI76" s="2805"/>
      <c r="IBJ76" s="2805"/>
      <c r="IBK76" s="2805"/>
      <c r="IBL76" s="2805"/>
      <c r="IBM76" s="2805"/>
      <c r="IBN76" s="2805"/>
      <c r="IBO76" s="2805"/>
      <c r="IBP76" s="2805"/>
      <c r="IBQ76" s="2805"/>
      <c r="IBR76" s="2805"/>
      <c r="IBS76" s="2805"/>
      <c r="IBT76" s="2805"/>
      <c r="IBU76" s="2805"/>
      <c r="IBV76" s="2805"/>
      <c r="IBW76" s="2805"/>
      <c r="IBX76" s="2805"/>
      <c r="IBY76" s="2805"/>
      <c r="IBZ76" s="2805"/>
      <c r="ICA76" s="2805"/>
      <c r="ICB76" s="2805"/>
      <c r="ICC76" s="2805"/>
      <c r="ICD76" s="2805"/>
      <c r="ICE76" s="2805"/>
      <c r="ICF76" s="2805"/>
      <c r="ICG76" s="2805"/>
      <c r="ICH76" s="2805"/>
      <c r="ICI76" s="2805"/>
      <c r="ICJ76" s="2805"/>
      <c r="ICK76" s="2805"/>
      <c r="ICL76" s="2805"/>
      <c r="ICM76" s="2805"/>
      <c r="ICN76" s="2805"/>
      <c r="ICO76" s="2805"/>
      <c r="ICP76" s="2805"/>
      <c r="ICQ76" s="2805"/>
      <c r="ICR76" s="2805"/>
      <c r="ICS76" s="2805"/>
      <c r="ICT76" s="2805"/>
      <c r="ICU76" s="2805"/>
      <c r="ICV76" s="2805"/>
      <c r="ICW76" s="2805"/>
      <c r="ICX76" s="2805"/>
      <c r="ICY76" s="2805"/>
      <c r="ICZ76" s="2805"/>
      <c r="IDA76" s="2805"/>
      <c r="IDB76" s="2805"/>
      <c r="IDC76" s="2805"/>
      <c r="IDD76" s="2805"/>
      <c r="IDE76" s="2805"/>
      <c r="IDF76" s="2805"/>
      <c r="IDG76" s="2805"/>
      <c r="IDH76" s="2805"/>
      <c r="IDI76" s="2805"/>
      <c r="IDJ76" s="2805"/>
      <c r="IDK76" s="2805"/>
      <c r="IDL76" s="2805"/>
      <c r="IDM76" s="2805"/>
      <c r="IDN76" s="2805"/>
      <c r="IDO76" s="2805"/>
      <c r="IDP76" s="2805"/>
      <c r="IDQ76" s="2805"/>
      <c r="IDR76" s="2805"/>
      <c r="IDS76" s="2805"/>
      <c r="IDT76" s="2805"/>
      <c r="IDU76" s="2805"/>
      <c r="IDV76" s="2805"/>
      <c r="IDW76" s="2805"/>
      <c r="IDX76" s="2805"/>
      <c r="IDY76" s="2805"/>
      <c r="IDZ76" s="2805"/>
      <c r="IEA76" s="2805"/>
      <c r="IEB76" s="2805"/>
      <c r="IEC76" s="2805"/>
      <c r="IED76" s="2805"/>
      <c r="IEE76" s="2805"/>
      <c r="IEF76" s="2805"/>
      <c r="IEG76" s="2805"/>
      <c r="IEH76" s="2805"/>
      <c r="IEI76" s="2805"/>
      <c r="IEJ76" s="2805"/>
      <c r="IEK76" s="2805"/>
      <c r="IEL76" s="2805"/>
      <c r="IEM76" s="2805"/>
      <c r="IEN76" s="2805"/>
      <c r="IEO76" s="2805"/>
      <c r="IEP76" s="2805"/>
      <c r="IEQ76" s="2805"/>
      <c r="IER76" s="2805"/>
      <c r="IES76" s="2805"/>
      <c r="IET76" s="2805"/>
      <c r="IEU76" s="2805"/>
      <c r="IEV76" s="2805"/>
      <c r="IEW76" s="2805"/>
      <c r="IEX76" s="2805"/>
      <c r="IEY76" s="2805"/>
      <c r="IEZ76" s="2805"/>
      <c r="IFA76" s="2805"/>
      <c r="IFB76" s="2805"/>
      <c r="IFC76" s="2805"/>
      <c r="IFD76" s="2805"/>
      <c r="IFE76" s="2805"/>
      <c r="IFF76" s="2805"/>
      <c r="IFG76" s="2805"/>
      <c r="IFH76" s="2805"/>
      <c r="IFI76" s="2805"/>
      <c r="IFJ76" s="2805"/>
      <c r="IFK76" s="2805"/>
      <c r="IFL76" s="2805"/>
      <c r="IFM76" s="2805"/>
      <c r="IFN76" s="2805"/>
      <c r="IFO76" s="2805"/>
      <c r="IFP76" s="2805"/>
      <c r="IFQ76" s="2805"/>
      <c r="IFR76" s="2805"/>
      <c r="IFS76" s="2805"/>
      <c r="IFT76" s="2805"/>
      <c r="IFU76" s="2805"/>
      <c r="IFV76" s="2805"/>
      <c r="IFW76" s="2805"/>
      <c r="IFX76" s="2805"/>
      <c r="IFY76" s="2805"/>
      <c r="IFZ76" s="2805"/>
      <c r="IGA76" s="2805"/>
      <c r="IGB76" s="2805"/>
      <c r="IGC76" s="2805"/>
      <c r="IGD76" s="2805"/>
      <c r="IGE76" s="2805"/>
      <c r="IGF76" s="2805"/>
      <c r="IGG76" s="2805"/>
      <c r="IGH76" s="2805"/>
      <c r="IGI76" s="2805"/>
      <c r="IGJ76" s="2805"/>
      <c r="IGK76" s="2805"/>
      <c r="IGL76" s="2805"/>
      <c r="IGM76" s="2805"/>
      <c r="IGN76" s="2805"/>
      <c r="IGO76" s="2805"/>
      <c r="IGP76" s="2805"/>
      <c r="IGQ76" s="2805"/>
      <c r="IGR76" s="2805"/>
      <c r="IGS76" s="2805"/>
      <c r="IGT76" s="2805"/>
      <c r="IGU76" s="2805"/>
      <c r="IGV76" s="2805"/>
      <c r="IGW76" s="2805"/>
      <c r="IGX76" s="2805"/>
      <c r="IGY76" s="2805"/>
      <c r="IGZ76" s="2805"/>
      <c r="IHA76" s="2805"/>
      <c r="IHB76" s="2805"/>
      <c r="IHC76" s="2805"/>
      <c r="IHD76" s="2805"/>
      <c r="IHE76" s="2805"/>
      <c r="IHF76" s="2805"/>
      <c r="IHG76" s="2805"/>
      <c r="IHH76" s="2805"/>
      <c r="IHI76" s="2805"/>
      <c r="IHJ76" s="2805"/>
      <c r="IHK76" s="2805"/>
      <c r="IHL76" s="2805"/>
      <c r="IHM76" s="2805"/>
      <c r="IHN76" s="2805"/>
      <c r="IHO76" s="2805"/>
      <c r="IHP76" s="2805"/>
      <c r="IHQ76" s="2805"/>
      <c r="IHR76" s="2805"/>
      <c r="IHS76" s="2805"/>
      <c r="IHT76" s="2805"/>
      <c r="IHU76" s="2805"/>
      <c r="IHV76" s="2805"/>
      <c r="IHW76" s="2805"/>
      <c r="IHX76" s="2805"/>
      <c r="IHY76" s="2805"/>
      <c r="IHZ76" s="2805"/>
      <c r="IIA76" s="2805"/>
      <c r="IIB76" s="2805"/>
      <c r="IIC76" s="2805"/>
      <c r="IID76" s="2805"/>
      <c r="IIE76" s="2805"/>
      <c r="IIF76" s="2805"/>
      <c r="IIG76" s="2805"/>
      <c r="IIH76" s="2805"/>
      <c r="III76" s="2805"/>
      <c r="IIJ76" s="2805"/>
      <c r="IIK76" s="2805"/>
      <c r="IIL76" s="2805"/>
      <c r="IIM76" s="2805"/>
      <c r="IIN76" s="2805"/>
      <c r="IIO76" s="2805"/>
      <c r="IIP76" s="2805"/>
      <c r="IIQ76" s="2805"/>
      <c r="IIR76" s="2805"/>
      <c r="IIS76" s="2805"/>
      <c r="IIT76" s="2805"/>
      <c r="IIU76" s="2805"/>
      <c r="IIV76" s="2805"/>
      <c r="IIW76" s="2805"/>
      <c r="IIX76" s="2805"/>
      <c r="IIY76" s="2805"/>
      <c r="IIZ76" s="2805"/>
      <c r="IJA76" s="2805"/>
      <c r="IJB76" s="2805"/>
      <c r="IJC76" s="2805"/>
      <c r="IJD76" s="2805"/>
      <c r="IJE76" s="2805"/>
      <c r="IJF76" s="2805"/>
      <c r="IJG76" s="2805"/>
      <c r="IJH76" s="2805"/>
      <c r="IJI76" s="2805"/>
      <c r="IJJ76" s="2805"/>
      <c r="IJK76" s="2805"/>
      <c r="IJL76" s="2805"/>
      <c r="IJM76" s="2805"/>
      <c r="IJN76" s="2805"/>
      <c r="IJO76" s="2805"/>
      <c r="IJP76" s="2805"/>
      <c r="IJQ76" s="2805"/>
      <c r="IJR76" s="2805"/>
      <c r="IJS76" s="2805"/>
      <c r="IJT76" s="2805"/>
      <c r="IJU76" s="2805"/>
      <c r="IJV76" s="2805"/>
      <c r="IJW76" s="2805"/>
      <c r="IJX76" s="2805"/>
      <c r="IJY76" s="2805"/>
      <c r="IJZ76" s="2805"/>
      <c r="IKA76" s="2805"/>
      <c r="IKB76" s="2805"/>
      <c r="IKC76" s="2805"/>
      <c r="IKD76" s="2805"/>
      <c r="IKE76" s="2805"/>
      <c r="IKF76" s="2805"/>
      <c r="IKG76" s="2805"/>
      <c r="IKH76" s="2805"/>
      <c r="IKI76" s="2805"/>
      <c r="IKJ76" s="2805"/>
      <c r="IKK76" s="2805"/>
      <c r="IKL76" s="2805"/>
      <c r="IKM76" s="2805"/>
      <c r="IKN76" s="2805"/>
      <c r="IKO76" s="2805"/>
      <c r="IKP76" s="2805"/>
      <c r="IKQ76" s="2805"/>
      <c r="IKR76" s="2805"/>
      <c r="IKS76" s="2805"/>
      <c r="IKT76" s="2805"/>
      <c r="IKU76" s="2805"/>
      <c r="IKV76" s="2805"/>
      <c r="IKW76" s="2805"/>
      <c r="IKX76" s="2805"/>
      <c r="IKY76" s="2805"/>
      <c r="IKZ76" s="2805"/>
      <c r="ILA76" s="2805"/>
      <c r="ILB76" s="2805"/>
      <c r="ILC76" s="2805"/>
      <c r="ILD76" s="2805"/>
      <c r="ILE76" s="2805"/>
      <c r="ILF76" s="2805"/>
      <c r="ILG76" s="2805"/>
      <c r="ILH76" s="2805"/>
      <c r="ILI76" s="2805"/>
      <c r="ILJ76" s="2805"/>
      <c r="ILK76" s="2805"/>
      <c r="ILL76" s="2805"/>
      <c r="ILM76" s="2805"/>
      <c r="ILN76" s="2805"/>
      <c r="ILO76" s="2805"/>
      <c r="ILP76" s="2805"/>
      <c r="ILQ76" s="2805"/>
      <c r="ILR76" s="2805"/>
      <c r="ILS76" s="2805"/>
      <c r="ILT76" s="2805"/>
      <c r="ILU76" s="2805"/>
      <c r="ILV76" s="2805"/>
      <c r="ILW76" s="2805"/>
      <c r="ILX76" s="2805"/>
      <c r="ILY76" s="2805"/>
      <c r="ILZ76" s="2805"/>
      <c r="IMA76" s="2805"/>
      <c r="IMB76" s="2805"/>
      <c r="IMC76" s="2805"/>
      <c r="IMD76" s="2805"/>
      <c r="IME76" s="2805"/>
      <c r="IMF76" s="2805"/>
      <c r="IMG76" s="2805"/>
      <c r="IMH76" s="2805"/>
      <c r="IMI76" s="2805"/>
      <c r="IMJ76" s="2805"/>
      <c r="IMK76" s="2805"/>
      <c r="IML76" s="2805"/>
      <c r="IMM76" s="2805"/>
      <c r="IMN76" s="2805"/>
      <c r="IMO76" s="2805"/>
      <c r="IMP76" s="2805"/>
      <c r="IMQ76" s="2805"/>
      <c r="IMR76" s="2805"/>
      <c r="IMS76" s="2805"/>
      <c r="IMT76" s="2805"/>
      <c r="IMU76" s="2805"/>
      <c r="IMV76" s="2805"/>
      <c r="IMW76" s="2805"/>
      <c r="IMX76" s="2805"/>
      <c r="IMY76" s="2805"/>
      <c r="IMZ76" s="2805"/>
      <c r="INA76" s="2805"/>
      <c r="INB76" s="2805"/>
      <c r="INC76" s="2805"/>
      <c r="IND76" s="2805"/>
      <c r="INE76" s="2805"/>
      <c r="INF76" s="2805"/>
      <c r="ING76" s="2805"/>
      <c r="INH76" s="2805"/>
      <c r="INI76" s="2805"/>
      <c r="INJ76" s="2805"/>
      <c r="INK76" s="2805"/>
      <c r="INL76" s="2805"/>
      <c r="INM76" s="2805"/>
      <c r="INN76" s="2805"/>
      <c r="INO76" s="2805"/>
      <c r="INP76" s="2805"/>
      <c r="INQ76" s="2805"/>
      <c r="INR76" s="2805"/>
      <c r="INS76" s="2805"/>
      <c r="INT76" s="2805"/>
      <c r="INU76" s="2805"/>
      <c r="INV76" s="2805"/>
      <c r="INW76" s="2805"/>
      <c r="INX76" s="2805"/>
      <c r="INY76" s="2805"/>
      <c r="INZ76" s="2805"/>
      <c r="IOA76" s="2805"/>
      <c r="IOB76" s="2805"/>
      <c r="IOC76" s="2805"/>
      <c r="IOD76" s="2805"/>
      <c r="IOE76" s="2805"/>
      <c r="IOF76" s="2805"/>
      <c r="IOG76" s="2805"/>
      <c r="IOH76" s="2805"/>
      <c r="IOI76" s="2805"/>
      <c r="IOJ76" s="2805"/>
      <c r="IOK76" s="2805"/>
      <c r="IOL76" s="2805"/>
      <c r="IOM76" s="2805"/>
      <c r="ION76" s="2805"/>
      <c r="IOO76" s="2805"/>
      <c r="IOP76" s="2805"/>
      <c r="IOQ76" s="2805"/>
      <c r="IOR76" s="2805"/>
      <c r="IOS76" s="2805"/>
      <c r="IOT76" s="2805"/>
      <c r="IOU76" s="2805"/>
      <c r="IOV76" s="2805"/>
      <c r="IOW76" s="2805"/>
      <c r="IOX76" s="2805"/>
      <c r="IOY76" s="2805"/>
      <c r="IOZ76" s="2805"/>
      <c r="IPA76" s="2805"/>
      <c r="IPB76" s="2805"/>
      <c r="IPC76" s="2805"/>
      <c r="IPD76" s="2805"/>
      <c r="IPE76" s="2805"/>
      <c r="IPF76" s="2805"/>
      <c r="IPG76" s="2805"/>
      <c r="IPH76" s="2805"/>
      <c r="IPI76" s="2805"/>
      <c r="IPJ76" s="2805"/>
      <c r="IPK76" s="2805"/>
      <c r="IPL76" s="2805"/>
      <c r="IPM76" s="2805"/>
      <c r="IPN76" s="2805"/>
      <c r="IPO76" s="2805"/>
      <c r="IPP76" s="2805"/>
      <c r="IPQ76" s="2805"/>
      <c r="IPR76" s="2805"/>
      <c r="IPS76" s="2805"/>
      <c r="IPT76" s="2805"/>
      <c r="IPU76" s="2805"/>
      <c r="IPV76" s="2805"/>
      <c r="IPW76" s="2805"/>
      <c r="IPX76" s="2805"/>
      <c r="IPY76" s="2805"/>
      <c r="IPZ76" s="2805"/>
      <c r="IQA76" s="2805"/>
      <c r="IQB76" s="2805"/>
      <c r="IQC76" s="2805"/>
      <c r="IQD76" s="2805"/>
      <c r="IQE76" s="2805"/>
      <c r="IQF76" s="2805"/>
      <c r="IQG76" s="2805"/>
      <c r="IQH76" s="2805"/>
      <c r="IQI76" s="2805"/>
      <c r="IQJ76" s="2805"/>
      <c r="IQK76" s="2805"/>
      <c r="IQL76" s="2805"/>
      <c r="IQM76" s="2805"/>
      <c r="IQN76" s="2805"/>
      <c r="IQO76" s="2805"/>
      <c r="IQP76" s="2805"/>
      <c r="IQQ76" s="2805"/>
      <c r="IQR76" s="2805"/>
      <c r="IQS76" s="2805"/>
      <c r="IQT76" s="2805"/>
      <c r="IQU76" s="2805"/>
      <c r="IQV76" s="2805"/>
      <c r="IQW76" s="2805"/>
      <c r="IQX76" s="2805"/>
      <c r="IQY76" s="2805"/>
      <c r="IQZ76" s="2805"/>
      <c r="IRA76" s="2805"/>
      <c r="IRB76" s="2805"/>
      <c r="IRC76" s="2805"/>
      <c r="IRD76" s="2805"/>
      <c r="IRE76" s="2805"/>
      <c r="IRF76" s="2805"/>
      <c r="IRG76" s="2805"/>
      <c r="IRH76" s="2805"/>
      <c r="IRI76" s="2805"/>
      <c r="IRJ76" s="2805"/>
      <c r="IRK76" s="2805"/>
      <c r="IRL76" s="2805"/>
      <c r="IRM76" s="2805"/>
      <c r="IRN76" s="2805"/>
      <c r="IRO76" s="2805"/>
      <c r="IRP76" s="2805"/>
      <c r="IRQ76" s="2805"/>
      <c r="IRR76" s="2805"/>
      <c r="IRS76" s="2805"/>
      <c r="IRT76" s="2805"/>
      <c r="IRU76" s="2805"/>
      <c r="IRV76" s="2805"/>
      <c r="IRW76" s="2805"/>
      <c r="IRX76" s="2805"/>
      <c r="IRY76" s="2805"/>
      <c r="IRZ76" s="2805"/>
      <c r="ISA76" s="2805"/>
      <c r="ISB76" s="2805"/>
      <c r="ISC76" s="2805"/>
      <c r="ISD76" s="2805"/>
      <c r="ISE76" s="2805"/>
      <c r="ISF76" s="2805"/>
      <c r="ISG76" s="2805"/>
      <c r="ISH76" s="2805"/>
      <c r="ISI76" s="2805"/>
      <c r="ISJ76" s="2805"/>
      <c r="ISK76" s="2805"/>
      <c r="ISL76" s="2805"/>
      <c r="ISM76" s="2805"/>
      <c r="ISN76" s="2805"/>
      <c r="ISO76" s="2805"/>
      <c r="ISP76" s="2805"/>
      <c r="ISQ76" s="2805"/>
      <c r="ISR76" s="2805"/>
      <c r="ISS76" s="2805"/>
      <c r="IST76" s="2805"/>
      <c r="ISU76" s="2805"/>
      <c r="ISV76" s="2805"/>
      <c r="ISW76" s="2805"/>
      <c r="ISX76" s="2805"/>
      <c r="ISY76" s="2805"/>
      <c r="ISZ76" s="2805"/>
      <c r="ITA76" s="2805"/>
      <c r="ITB76" s="2805"/>
      <c r="ITC76" s="2805"/>
      <c r="ITD76" s="2805"/>
      <c r="ITE76" s="2805"/>
      <c r="ITF76" s="2805"/>
      <c r="ITG76" s="2805"/>
      <c r="ITH76" s="2805"/>
      <c r="ITI76" s="2805"/>
      <c r="ITJ76" s="2805"/>
      <c r="ITK76" s="2805"/>
      <c r="ITL76" s="2805"/>
      <c r="ITM76" s="2805"/>
      <c r="ITN76" s="2805"/>
      <c r="ITO76" s="2805"/>
      <c r="ITP76" s="2805"/>
      <c r="ITQ76" s="2805"/>
      <c r="ITR76" s="2805"/>
      <c r="ITS76" s="2805"/>
      <c r="ITT76" s="2805"/>
      <c r="ITU76" s="2805"/>
      <c r="ITV76" s="2805"/>
      <c r="ITW76" s="2805"/>
      <c r="ITX76" s="2805"/>
      <c r="ITY76" s="2805"/>
      <c r="ITZ76" s="2805"/>
      <c r="IUA76" s="2805"/>
      <c r="IUB76" s="2805"/>
      <c r="IUC76" s="2805"/>
      <c r="IUD76" s="2805"/>
      <c r="IUE76" s="2805"/>
      <c r="IUF76" s="2805"/>
      <c r="IUG76" s="2805"/>
      <c r="IUH76" s="2805"/>
      <c r="IUI76" s="2805"/>
      <c r="IUJ76" s="2805"/>
      <c r="IUK76" s="2805"/>
      <c r="IUL76" s="2805"/>
      <c r="IUM76" s="2805"/>
      <c r="IUN76" s="2805"/>
      <c r="IUO76" s="2805"/>
      <c r="IUP76" s="2805"/>
      <c r="IUQ76" s="2805"/>
      <c r="IUR76" s="2805"/>
      <c r="IUS76" s="2805"/>
      <c r="IUT76" s="2805"/>
      <c r="IUU76" s="2805"/>
      <c r="IUV76" s="2805"/>
      <c r="IUW76" s="2805"/>
      <c r="IUX76" s="2805"/>
      <c r="IUY76" s="2805"/>
      <c r="IUZ76" s="2805"/>
      <c r="IVA76" s="2805"/>
      <c r="IVB76" s="2805"/>
      <c r="IVC76" s="2805"/>
      <c r="IVD76" s="2805"/>
      <c r="IVE76" s="2805"/>
      <c r="IVF76" s="2805"/>
      <c r="IVG76" s="2805"/>
      <c r="IVH76" s="2805"/>
      <c r="IVI76" s="2805"/>
      <c r="IVJ76" s="2805"/>
      <c r="IVK76" s="2805"/>
      <c r="IVL76" s="2805"/>
      <c r="IVM76" s="2805"/>
      <c r="IVN76" s="2805"/>
      <c r="IVO76" s="2805"/>
      <c r="IVP76" s="2805"/>
      <c r="IVQ76" s="2805"/>
      <c r="IVR76" s="2805"/>
      <c r="IVS76" s="2805"/>
      <c r="IVT76" s="2805"/>
      <c r="IVU76" s="2805"/>
      <c r="IVV76" s="2805"/>
      <c r="IVW76" s="2805"/>
      <c r="IVX76" s="2805"/>
      <c r="IVY76" s="2805"/>
      <c r="IVZ76" s="2805"/>
      <c r="IWA76" s="2805"/>
      <c r="IWB76" s="2805"/>
      <c r="IWC76" s="2805"/>
      <c r="IWD76" s="2805"/>
      <c r="IWE76" s="2805"/>
      <c r="IWF76" s="2805"/>
      <c r="IWG76" s="2805"/>
      <c r="IWH76" s="2805"/>
      <c r="IWI76" s="2805"/>
      <c r="IWJ76" s="2805"/>
      <c r="IWK76" s="2805"/>
      <c r="IWL76" s="2805"/>
      <c r="IWM76" s="2805"/>
      <c r="IWN76" s="2805"/>
      <c r="IWO76" s="2805"/>
      <c r="IWP76" s="2805"/>
      <c r="IWQ76" s="2805"/>
      <c r="IWR76" s="2805"/>
      <c r="IWS76" s="2805"/>
      <c r="IWT76" s="2805"/>
      <c r="IWU76" s="2805"/>
      <c r="IWV76" s="2805"/>
      <c r="IWW76" s="2805"/>
      <c r="IWX76" s="2805"/>
      <c r="IWY76" s="2805"/>
      <c r="IWZ76" s="2805"/>
      <c r="IXA76" s="2805"/>
      <c r="IXB76" s="2805"/>
      <c r="IXC76" s="2805"/>
      <c r="IXD76" s="2805"/>
      <c r="IXE76" s="2805"/>
      <c r="IXF76" s="2805"/>
      <c r="IXG76" s="2805"/>
      <c r="IXH76" s="2805"/>
      <c r="IXI76" s="2805"/>
      <c r="IXJ76" s="2805"/>
      <c r="IXK76" s="2805"/>
      <c r="IXL76" s="2805"/>
      <c r="IXM76" s="2805"/>
      <c r="IXN76" s="2805"/>
      <c r="IXO76" s="2805"/>
      <c r="IXP76" s="2805"/>
      <c r="IXQ76" s="2805"/>
      <c r="IXR76" s="2805"/>
      <c r="IXS76" s="2805"/>
      <c r="IXT76" s="2805"/>
      <c r="IXU76" s="2805"/>
      <c r="IXV76" s="2805"/>
      <c r="IXW76" s="2805"/>
      <c r="IXX76" s="2805"/>
      <c r="IXY76" s="2805"/>
      <c r="IXZ76" s="2805"/>
      <c r="IYA76" s="2805"/>
      <c r="IYB76" s="2805"/>
      <c r="IYC76" s="2805"/>
      <c r="IYD76" s="2805"/>
      <c r="IYE76" s="2805"/>
      <c r="IYF76" s="2805"/>
      <c r="IYG76" s="2805"/>
      <c r="IYH76" s="2805"/>
      <c r="IYI76" s="2805"/>
      <c r="IYJ76" s="2805"/>
      <c r="IYK76" s="2805"/>
      <c r="IYL76" s="2805"/>
      <c r="IYM76" s="2805"/>
      <c r="IYN76" s="2805"/>
      <c r="IYO76" s="2805"/>
      <c r="IYP76" s="2805"/>
      <c r="IYQ76" s="2805"/>
      <c r="IYR76" s="2805"/>
      <c r="IYS76" s="2805"/>
      <c r="IYT76" s="2805"/>
      <c r="IYU76" s="2805"/>
      <c r="IYV76" s="2805"/>
      <c r="IYW76" s="2805"/>
      <c r="IYX76" s="2805"/>
      <c r="IYY76" s="2805"/>
      <c r="IYZ76" s="2805"/>
      <c r="IZA76" s="2805"/>
      <c r="IZB76" s="2805"/>
      <c r="IZC76" s="2805"/>
      <c r="IZD76" s="2805"/>
      <c r="IZE76" s="2805"/>
      <c r="IZF76" s="2805"/>
      <c r="IZG76" s="2805"/>
      <c r="IZH76" s="2805"/>
      <c r="IZI76" s="2805"/>
      <c r="IZJ76" s="2805"/>
      <c r="IZK76" s="2805"/>
      <c r="IZL76" s="2805"/>
      <c r="IZM76" s="2805"/>
      <c r="IZN76" s="2805"/>
      <c r="IZO76" s="2805"/>
      <c r="IZP76" s="2805"/>
      <c r="IZQ76" s="2805"/>
      <c r="IZR76" s="2805"/>
      <c r="IZS76" s="2805"/>
      <c r="IZT76" s="2805"/>
      <c r="IZU76" s="2805"/>
      <c r="IZV76" s="2805"/>
      <c r="IZW76" s="2805"/>
      <c r="IZX76" s="2805"/>
      <c r="IZY76" s="2805"/>
      <c r="IZZ76" s="2805"/>
      <c r="JAA76" s="2805"/>
      <c r="JAB76" s="2805"/>
      <c r="JAC76" s="2805"/>
      <c r="JAD76" s="2805"/>
      <c r="JAE76" s="2805"/>
      <c r="JAF76" s="2805"/>
      <c r="JAG76" s="2805"/>
      <c r="JAH76" s="2805"/>
      <c r="JAI76" s="2805"/>
      <c r="JAJ76" s="2805"/>
      <c r="JAK76" s="2805"/>
      <c r="JAL76" s="2805"/>
      <c r="JAM76" s="2805"/>
      <c r="JAN76" s="2805"/>
      <c r="JAO76" s="2805"/>
      <c r="JAP76" s="2805"/>
      <c r="JAQ76" s="2805"/>
      <c r="JAR76" s="2805"/>
      <c r="JAS76" s="2805"/>
      <c r="JAT76" s="2805"/>
      <c r="JAU76" s="2805"/>
      <c r="JAV76" s="2805"/>
      <c r="JAW76" s="2805"/>
      <c r="JAX76" s="2805"/>
      <c r="JAY76" s="2805"/>
      <c r="JAZ76" s="2805"/>
      <c r="JBA76" s="2805"/>
      <c r="JBB76" s="2805"/>
      <c r="JBC76" s="2805"/>
      <c r="JBD76" s="2805"/>
      <c r="JBE76" s="2805"/>
      <c r="JBF76" s="2805"/>
      <c r="JBG76" s="2805"/>
      <c r="JBH76" s="2805"/>
      <c r="JBI76" s="2805"/>
      <c r="JBJ76" s="2805"/>
      <c r="JBK76" s="2805"/>
      <c r="JBL76" s="2805"/>
      <c r="JBM76" s="2805"/>
      <c r="JBN76" s="2805"/>
      <c r="JBO76" s="2805"/>
      <c r="JBP76" s="2805"/>
      <c r="JBQ76" s="2805"/>
      <c r="JBR76" s="2805"/>
      <c r="JBS76" s="2805"/>
      <c r="JBT76" s="2805"/>
      <c r="JBU76" s="2805"/>
      <c r="JBV76" s="2805"/>
      <c r="JBW76" s="2805"/>
      <c r="JBX76" s="2805"/>
      <c r="JBY76" s="2805"/>
      <c r="JBZ76" s="2805"/>
      <c r="JCA76" s="2805"/>
      <c r="JCB76" s="2805"/>
      <c r="JCC76" s="2805"/>
      <c r="JCD76" s="2805"/>
      <c r="JCE76" s="2805"/>
      <c r="JCF76" s="2805"/>
      <c r="JCG76" s="2805"/>
      <c r="JCH76" s="2805"/>
      <c r="JCI76" s="2805"/>
      <c r="JCJ76" s="2805"/>
      <c r="JCK76" s="2805"/>
      <c r="JCL76" s="2805"/>
      <c r="JCM76" s="2805"/>
      <c r="JCN76" s="2805"/>
      <c r="JCO76" s="2805"/>
      <c r="JCP76" s="2805"/>
      <c r="JCQ76" s="2805"/>
      <c r="JCR76" s="2805"/>
      <c r="JCS76" s="2805"/>
      <c r="JCT76" s="2805"/>
      <c r="JCU76" s="2805"/>
      <c r="JCV76" s="2805"/>
      <c r="JCW76" s="2805"/>
      <c r="JCX76" s="2805"/>
      <c r="JCY76" s="2805"/>
      <c r="JCZ76" s="2805"/>
      <c r="JDA76" s="2805"/>
      <c r="JDB76" s="2805"/>
      <c r="JDC76" s="2805"/>
      <c r="JDD76" s="2805"/>
      <c r="JDE76" s="2805"/>
      <c r="JDF76" s="2805"/>
      <c r="JDG76" s="2805"/>
      <c r="JDH76" s="2805"/>
      <c r="JDI76" s="2805"/>
      <c r="JDJ76" s="2805"/>
      <c r="JDK76" s="2805"/>
      <c r="JDL76" s="2805"/>
      <c r="JDM76" s="2805"/>
      <c r="JDN76" s="2805"/>
      <c r="JDO76" s="2805"/>
      <c r="JDP76" s="2805"/>
      <c r="JDQ76" s="2805"/>
      <c r="JDR76" s="2805"/>
      <c r="JDS76" s="2805"/>
      <c r="JDT76" s="2805"/>
      <c r="JDU76" s="2805"/>
      <c r="JDV76" s="2805"/>
      <c r="JDW76" s="2805"/>
      <c r="JDX76" s="2805"/>
      <c r="JDY76" s="2805"/>
      <c r="JDZ76" s="2805"/>
      <c r="JEA76" s="2805"/>
      <c r="JEB76" s="2805"/>
      <c r="JEC76" s="2805"/>
      <c r="JED76" s="2805"/>
      <c r="JEE76" s="2805"/>
      <c r="JEF76" s="2805"/>
      <c r="JEG76" s="2805"/>
      <c r="JEH76" s="2805"/>
      <c r="JEI76" s="2805"/>
      <c r="JEJ76" s="2805"/>
      <c r="JEK76" s="2805"/>
      <c r="JEL76" s="2805"/>
      <c r="JEM76" s="2805"/>
      <c r="JEN76" s="2805"/>
      <c r="JEO76" s="2805"/>
      <c r="JEP76" s="2805"/>
      <c r="JEQ76" s="2805"/>
      <c r="JER76" s="2805"/>
      <c r="JES76" s="2805"/>
      <c r="JET76" s="2805"/>
      <c r="JEU76" s="2805"/>
      <c r="JEV76" s="2805"/>
      <c r="JEW76" s="2805"/>
      <c r="JEX76" s="2805"/>
      <c r="JEY76" s="2805"/>
      <c r="JEZ76" s="2805"/>
      <c r="JFA76" s="2805"/>
      <c r="JFB76" s="2805"/>
      <c r="JFC76" s="2805"/>
      <c r="JFD76" s="2805"/>
      <c r="JFE76" s="2805"/>
      <c r="JFF76" s="2805"/>
      <c r="JFG76" s="2805"/>
      <c r="JFH76" s="2805"/>
      <c r="JFI76" s="2805"/>
      <c r="JFJ76" s="2805"/>
      <c r="JFK76" s="2805"/>
      <c r="JFL76" s="2805"/>
      <c r="JFM76" s="2805"/>
      <c r="JFN76" s="2805"/>
      <c r="JFO76" s="2805"/>
      <c r="JFP76" s="2805"/>
      <c r="JFQ76" s="2805"/>
      <c r="JFR76" s="2805"/>
      <c r="JFS76" s="2805"/>
      <c r="JFT76" s="2805"/>
      <c r="JFU76" s="2805"/>
      <c r="JFV76" s="2805"/>
      <c r="JFW76" s="2805"/>
      <c r="JFX76" s="2805"/>
      <c r="JFY76" s="2805"/>
      <c r="JFZ76" s="2805"/>
      <c r="JGA76" s="2805"/>
      <c r="JGB76" s="2805"/>
      <c r="JGC76" s="2805"/>
      <c r="JGD76" s="2805"/>
      <c r="JGE76" s="2805"/>
      <c r="JGF76" s="2805"/>
      <c r="JGG76" s="2805"/>
      <c r="JGH76" s="2805"/>
      <c r="JGI76" s="2805"/>
      <c r="JGJ76" s="2805"/>
      <c r="JGK76" s="2805"/>
      <c r="JGL76" s="2805"/>
      <c r="JGM76" s="2805"/>
      <c r="JGN76" s="2805"/>
      <c r="JGO76" s="2805"/>
      <c r="JGP76" s="2805"/>
      <c r="JGQ76" s="2805"/>
      <c r="JGR76" s="2805"/>
      <c r="JGS76" s="2805"/>
      <c r="JGT76" s="2805"/>
      <c r="JGU76" s="2805"/>
      <c r="JGV76" s="2805"/>
      <c r="JGW76" s="2805"/>
      <c r="JGX76" s="2805"/>
      <c r="JGY76" s="2805"/>
      <c r="JGZ76" s="2805"/>
      <c r="JHA76" s="2805"/>
      <c r="JHB76" s="2805"/>
      <c r="JHC76" s="2805"/>
      <c r="JHD76" s="2805"/>
      <c r="JHE76" s="2805"/>
      <c r="JHF76" s="2805"/>
      <c r="JHG76" s="2805"/>
      <c r="JHH76" s="2805"/>
      <c r="JHI76" s="2805"/>
      <c r="JHJ76" s="2805"/>
      <c r="JHK76" s="2805"/>
      <c r="JHL76" s="2805"/>
      <c r="JHM76" s="2805"/>
      <c r="JHN76" s="2805"/>
      <c r="JHO76" s="2805"/>
      <c r="JHP76" s="2805"/>
      <c r="JHQ76" s="2805"/>
      <c r="JHR76" s="2805"/>
      <c r="JHS76" s="2805"/>
      <c r="JHT76" s="2805"/>
      <c r="JHU76" s="2805"/>
      <c r="JHV76" s="2805"/>
      <c r="JHW76" s="2805"/>
      <c r="JHX76" s="2805"/>
      <c r="JHY76" s="2805"/>
      <c r="JHZ76" s="2805"/>
      <c r="JIA76" s="2805"/>
      <c r="JIB76" s="2805"/>
      <c r="JIC76" s="2805"/>
      <c r="JID76" s="2805"/>
      <c r="JIE76" s="2805"/>
      <c r="JIF76" s="2805"/>
      <c r="JIG76" s="2805"/>
      <c r="JIH76" s="2805"/>
      <c r="JII76" s="2805"/>
      <c r="JIJ76" s="2805"/>
      <c r="JIK76" s="2805"/>
      <c r="JIL76" s="2805"/>
      <c r="JIM76" s="2805"/>
      <c r="JIN76" s="2805"/>
      <c r="JIO76" s="2805"/>
      <c r="JIP76" s="2805"/>
      <c r="JIQ76" s="2805"/>
      <c r="JIR76" s="2805"/>
      <c r="JIS76" s="2805"/>
      <c r="JIT76" s="2805"/>
      <c r="JIU76" s="2805"/>
      <c r="JIV76" s="2805"/>
      <c r="JIW76" s="2805"/>
      <c r="JIX76" s="2805"/>
      <c r="JIY76" s="2805"/>
      <c r="JIZ76" s="2805"/>
      <c r="JJA76" s="2805"/>
      <c r="JJB76" s="2805"/>
      <c r="JJC76" s="2805"/>
      <c r="JJD76" s="2805"/>
      <c r="JJE76" s="2805"/>
      <c r="JJF76" s="2805"/>
      <c r="JJG76" s="2805"/>
      <c r="JJH76" s="2805"/>
      <c r="JJI76" s="2805"/>
      <c r="JJJ76" s="2805"/>
      <c r="JJK76" s="2805"/>
      <c r="JJL76" s="2805"/>
      <c r="JJM76" s="2805"/>
      <c r="JJN76" s="2805"/>
      <c r="JJO76" s="2805"/>
      <c r="JJP76" s="2805"/>
      <c r="JJQ76" s="2805"/>
      <c r="JJR76" s="2805"/>
      <c r="JJS76" s="2805"/>
      <c r="JJT76" s="2805"/>
      <c r="JJU76" s="2805"/>
      <c r="JJV76" s="2805"/>
      <c r="JJW76" s="2805"/>
      <c r="JJX76" s="2805"/>
      <c r="JJY76" s="2805"/>
      <c r="JJZ76" s="2805"/>
      <c r="JKA76" s="2805"/>
      <c r="JKB76" s="2805"/>
      <c r="JKC76" s="2805"/>
      <c r="JKD76" s="2805"/>
      <c r="JKE76" s="2805"/>
      <c r="JKF76" s="2805"/>
      <c r="JKG76" s="2805"/>
      <c r="JKH76" s="2805"/>
      <c r="JKI76" s="2805"/>
      <c r="JKJ76" s="2805"/>
      <c r="JKK76" s="2805"/>
      <c r="JKL76" s="2805"/>
      <c r="JKM76" s="2805"/>
      <c r="JKN76" s="2805"/>
      <c r="JKO76" s="2805"/>
      <c r="JKP76" s="2805"/>
      <c r="JKQ76" s="2805"/>
      <c r="JKR76" s="2805"/>
      <c r="JKS76" s="2805"/>
      <c r="JKT76" s="2805"/>
      <c r="JKU76" s="2805"/>
      <c r="JKV76" s="2805"/>
      <c r="JKW76" s="2805"/>
      <c r="JKX76" s="2805"/>
      <c r="JKY76" s="2805"/>
      <c r="JKZ76" s="2805"/>
      <c r="JLA76" s="2805"/>
      <c r="JLB76" s="2805"/>
      <c r="JLC76" s="2805"/>
      <c r="JLD76" s="2805"/>
      <c r="JLE76" s="2805"/>
      <c r="JLF76" s="2805"/>
      <c r="JLG76" s="2805"/>
      <c r="JLH76" s="2805"/>
      <c r="JLI76" s="2805"/>
      <c r="JLJ76" s="2805"/>
      <c r="JLK76" s="2805"/>
      <c r="JLL76" s="2805"/>
      <c r="JLM76" s="2805"/>
      <c r="JLN76" s="2805"/>
      <c r="JLO76" s="2805"/>
      <c r="JLP76" s="2805"/>
      <c r="JLQ76" s="2805"/>
      <c r="JLR76" s="2805"/>
      <c r="JLS76" s="2805"/>
      <c r="JLT76" s="2805"/>
      <c r="JLU76" s="2805"/>
      <c r="JLV76" s="2805"/>
      <c r="JLW76" s="2805"/>
      <c r="JLX76" s="2805"/>
      <c r="JLY76" s="2805"/>
      <c r="JLZ76" s="2805"/>
      <c r="JMA76" s="2805"/>
      <c r="JMB76" s="2805"/>
      <c r="JMC76" s="2805"/>
      <c r="JMD76" s="2805"/>
      <c r="JME76" s="2805"/>
      <c r="JMF76" s="2805"/>
      <c r="JMG76" s="2805"/>
      <c r="JMH76" s="2805"/>
      <c r="JMI76" s="2805"/>
      <c r="JMJ76" s="2805"/>
      <c r="JMK76" s="2805"/>
      <c r="JML76" s="2805"/>
      <c r="JMM76" s="2805"/>
      <c r="JMN76" s="2805"/>
      <c r="JMO76" s="2805"/>
      <c r="JMP76" s="2805"/>
      <c r="JMQ76" s="2805"/>
      <c r="JMR76" s="2805"/>
      <c r="JMS76" s="2805"/>
      <c r="JMT76" s="2805"/>
      <c r="JMU76" s="2805"/>
      <c r="JMV76" s="2805"/>
      <c r="JMW76" s="2805"/>
      <c r="JMX76" s="2805"/>
      <c r="JMY76" s="2805"/>
      <c r="JMZ76" s="2805"/>
      <c r="JNA76" s="2805"/>
      <c r="JNB76" s="2805"/>
      <c r="JNC76" s="2805"/>
      <c r="JND76" s="2805"/>
      <c r="JNE76" s="2805"/>
      <c r="JNF76" s="2805"/>
      <c r="JNG76" s="2805"/>
      <c r="JNH76" s="2805"/>
      <c r="JNI76" s="2805"/>
      <c r="JNJ76" s="2805"/>
      <c r="JNK76" s="2805"/>
      <c r="JNL76" s="2805"/>
      <c r="JNM76" s="2805"/>
      <c r="JNN76" s="2805"/>
      <c r="JNO76" s="2805"/>
      <c r="JNP76" s="2805"/>
      <c r="JNQ76" s="2805"/>
      <c r="JNR76" s="2805"/>
      <c r="JNS76" s="2805"/>
      <c r="JNT76" s="2805"/>
      <c r="JNU76" s="2805"/>
      <c r="JNV76" s="2805"/>
      <c r="JNW76" s="2805"/>
      <c r="JNX76" s="2805"/>
      <c r="JNY76" s="2805"/>
      <c r="JNZ76" s="2805"/>
      <c r="JOA76" s="2805"/>
      <c r="JOB76" s="2805"/>
      <c r="JOC76" s="2805"/>
      <c r="JOD76" s="2805"/>
      <c r="JOE76" s="2805"/>
      <c r="JOF76" s="2805"/>
      <c r="JOG76" s="2805"/>
      <c r="JOH76" s="2805"/>
      <c r="JOI76" s="2805"/>
      <c r="JOJ76" s="2805"/>
      <c r="JOK76" s="2805"/>
      <c r="JOL76" s="2805"/>
      <c r="JOM76" s="2805"/>
      <c r="JON76" s="2805"/>
      <c r="JOO76" s="2805"/>
      <c r="JOP76" s="2805"/>
      <c r="JOQ76" s="2805"/>
      <c r="JOR76" s="2805"/>
      <c r="JOS76" s="2805"/>
      <c r="JOT76" s="2805"/>
      <c r="JOU76" s="2805"/>
      <c r="JOV76" s="2805"/>
      <c r="JOW76" s="2805"/>
      <c r="JOX76" s="2805"/>
      <c r="JOY76" s="2805"/>
      <c r="JOZ76" s="2805"/>
      <c r="JPA76" s="2805"/>
      <c r="JPB76" s="2805"/>
      <c r="JPC76" s="2805"/>
      <c r="JPD76" s="2805"/>
      <c r="JPE76" s="2805"/>
      <c r="JPF76" s="2805"/>
      <c r="JPG76" s="2805"/>
      <c r="JPH76" s="2805"/>
      <c r="JPI76" s="2805"/>
      <c r="JPJ76" s="2805"/>
      <c r="JPK76" s="2805"/>
      <c r="JPL76" s="2805"/>
      <c r="JPM76" s="2805"/>
      <c r="JPN76" s="2805"/>
      <c r="JPO76" s="2805"/>
      <c r="JPP76" s="2805"/>
      <c r="JPQ76" s="2805"/>
      <c r="JPR76" s="2805"/>
      <c r="JPS76" s="2805"/>
      <c r="JPT76" s="2805"/>
      <c r="JPU76" s="2805"/>
      <c r="JPV76" s="2805"/>
      <c r="JPW76" s="2805"/>
      <c r="JPX76" s="2805"/>
      <c r="JPY76" s="2805"/>
      <c r="JPZ76" s="2805"/>
      <c r="JQA76" s="2805"/>
      <c r="JQB76" s="2805"/>
      <c r="JQC76" s="2805"/>
      <c r="JQD76" s="2805"/>
      <c r="JQE76" s="2805"/>
      <c r="JQF76" s="2805"/>
      <c r="JQG76" s="2805"/>
      <c r="JQH76" s="2805"/>
      <c r="JQI76" s="2805"/>
      <c r="JQJ76" s="2805"/>
      <c r="JQK76" s="2805"/>
      <c r="JQL76" s="2805"/>
      <c r="JQM76" s="2805"/>
      <c r="JQN76" s="2805"/>
      <c r="JQO76" s="2805"/>
      <c r="JQP76" s="2805"/>
      <c r="JQQ76" s="2805"/>
      <c r="JQR76" s="2805"/>
      <c r="JQS76" s="2805"/>
      <c r="JQT76" s="2805"/>
      <c r="JQU76" s="2805"/>
      <c r="JQV76" s="2805"/>
      <c r="JQW76" s="2805"/>
      <c r="JQX76" s="2805"/>
      <c r="JQY76" s="2805"/>
      <c r="JQZ76" s="2805"/>
      <c r="JRA76" s="2805"/>
      <c r="JRB76" s="2805"/>
      <c r="JRC76" s="2805"/>
      <c r="JRD76" s="2805"/>
      <c r="JRE76" s="2805"/>
      <c r="JRF76" s="2805"/>
      <c r="JRG76" s="2805"/>
      <c r="JRH76" s="2805"/>
      <c r="JRI76" s="2805"/>
      <c r="JRJ76" s="2805"/>
      <c r="JRK76" s="2805"/>
      <c r="JRL76" s="2805"/>
      <c r="JRM76" s="2805"/>
      <c r="JRN76" s="2805"/>
      <c r="JRO76" s="2805"/>
      <c r="JRP76" s="2805"/>
      <c r="JRQ76" s="2805"/>
      <c r="JRR76" s="2805"/>
      <c r="JRS76" s="2805"/>
      <c r="JRT76" s="2805"/>
      <c r="JRU76" s="2805"/>
      <c r="JRV76" s="2805"/>
      <c r="JRW76" s="2805"/>
      <c r="JRX76" s="2805"/>
      <c r="JRY76" s="2805"/>
      <c r="JRZ76" s="2805"/>
      <c r="JSA76" s="2805"/>
      <c r="JSB76" s="2805"/>
      <c r="JSC76" s="2805"/>
      <c r="JSD76" s="2805"/>
      <c r="JSE76" s="2805"/>
      <c r="JSF76" s="2805"/>
      <c r="JSG76" s="2805"/>
      <c r="JSH76" s="2805"/>
      <c r="JSI76" s="2805"/>
      <c r="JSJ76" s="2805"/>
      <c r="JSK76" s="2805"/>
      <c r="JSL76" s="2805"/>
      <c r="JSM76" s="2805"/>
      <c r="JSN76" s="2805"/>
      <c r="JSO76" s="2805"/>
      <c r="JSP76" s="2805"/>
      <c r="JSQ76" s="2805"/>
      <c r="JSR76" s="2805"/>
      <c r="JSS76" s="2805"/>
      <c r="JST76" s="2805"/>
      <c r="JSU76" s="2805"/>
      <c r="JSV76" s="2805"/>
      <c r="JSW76" s="2805"/>
      <c r="JSX76" s="2805"/>
      <c r="JSY76" s="2805"/>
      <c r="JSZ76" s="2805"/>
      <c r="JTA76" s="2805"/>
      <c r="JTB76" s="2805"/>
      <c r="JTC76" s="2805"/>
      <c r="JTD76" s="2805"/>
      <c r="JTE76" s="2805"/>
      <c r="JTF76" s="2805"/>
      <c r="JTG76" s="2805"/>
      <c r="JTH76" s="2805"/>
      <c r="JTI76" s="2805"/>
      <c r="JTJ76" s="2805"/>
      <c r="JTK76" s="2805"/>
      <c r="JTL76" s="2805"/>
      <c r="JTM76" s="2805"/>
      <c r="JTN76" s="2805"/>
      <c r="JTO76" s="2805"/>
      <c r="JTP76" s="2805"/>
      <c r="JTQ76" s="2805"/>
      <c r="JTR76" s="2805"/>
      <c r="JTS76" s="2805"/>
      <c r="JTT76" s="2805"/>
      <c r="JTU76" s="2805"/>
      <c r="JTV76" s="2805"/>
      <c r="JTW76" s="2805"/>
      <c r="JTX76" s="2805"/>
      <c r="JTY76" s="2805"/>
      <c r="JTZ76" s="2805"/>
      <c r="JUA76" s="2805"/>
      <c r="JUB76" s="2805"/>
      <c r="JUC76" s="2805"/>
      <c r="JUD76" s="2805"/>
      <c r="JUE76" s="2805"/>
      <c r="JUF76" s="2805"/>
      <c r="JUG76" s="2805"/>
      <c r="JUH76" s="2805"/>
      <c r="JUI76" s="2805"/>
      <c r="JUJ76" s="2805"/>
      <c r="JUK76" s="2805"/>
      <c r="JUL76" s="2805"/>
      <c r="JUM76" s="2805"/>
      <c r="JUN76" s="2805"/>
      <c r="JUO76" s="2805"/>
      <c r="JUP76" s="2805"/>
      <c r="JUQ76" s="2805"/>
      <c r="JUR76" s="2805"/>
      <c r="JUS76" s="2805"/>
      <c r="JUT76" s="2805"/>
      <c r="JUU76" s="2805"/>
      <c r="JUV76" s="2805"/>
      <c r="JUW76" s="2805"/>
      <c r="JUX76" s="2805"/>
      <c r="JUY76" s="2805"/>
      <c r="JUZ76" s="2805"/>
      <c r="JVA76" s="2805"/>
      <c r="JVB76" s="2805"/>
      <c r="JVC76" s="2805"/>
      <c r="JVD76" s="2805"/>
      <c r="JVE76" s="2805"/>
      <c r="JVF76" s="2805"/>
      <c r="JVG76" s="2805"/>
      <c r="JVH76" s="2805"/>
      <c r="JVI76" s="2805"/>
      <c r="JVJ76" s="2805"/>
      <c r="JVK76" s="2805"/>
      <c r="JVL76" s="2805"/>
      <c r="JVM76" s="2805"/>
      <c r="JVN76" s="2805"/>
      <c r="JVO76" s="2805"/>
      <c r="JVP76" s="2805"/>
      <c r="JVQ76" s="2805"/>
      <c r="JVR76" s="2805"/>
      <c r="JVS76" s="2805"/>
      <c r="JVT76" s="2805"/>
      <c r="JVU76" s="2805"/>
      <c r="JVV76" s="2805"/>
      <c r="JVW76" s="2805"/>
      <c r="JVX76" s="2805"/>
      <c r="JVY76" s="2805"/>
      <c r="JVZ76" s="2805"/>
      <c r="JWA76" s="2805"/>
      <c r="JWB76" s="2805"/>
      <c r="JWC76" s="2805"/>
      <c r="JWD76" s="2805"/>
      <c r="JWE76" s="2805"/>
      <c r="JWF76" s="2805"/>
      <c r="JWG76" s="2805"/>
      <c r="JWH76" s="2805"/>
      <c r="JWI76" s="2805"/>
      <c r="JWJ76" s="2805"/>
      <c r="JWK76" s="2805"/>
      <c r="JWL76" s="2805"/>
      <c r="JWM76" s="2805"/>
      <c r="JWN76" s="2805"/>
      <c r="JWO76" s="2805"/>
      <c r="JWP76" s="2805"/>
      <c r="JWQ76" s="2805"/>
      <c r="JWR76" s="2805"/>
      <c r="JWS76" s="2805"/>
      <c r="JWT76" s="2805"/>
      <c r="JWU76" s="2805"/>
      <c r="JWV76" s="2805"/>
      <c r="JWW76" s="2805"/>
      <c r="JWX76" s="2805"/>
      <c r="JWY76" s="2805"/>
      <c r="JWZ76" s="2805"/>
      <c r="JXA76" s="2805"/>
      <c r="JXB76" s="2805"/>
      <c r="JXC76" s="2805"/>
      <c r="JXD76" s="2805"/>
      <c r="JXE76" s="2805"/>
      <c r="JXF76" s="2805"/>
      <c r="JXG76" s="2805"/>
      <c r="JXH76" s="2805"/>
      <c r="JXI76" s="2805"/>
      <c r="JXJ76" s="2805"/>
      <c r="JXK76" s="2805"/>
      <c r="JXL76" s="2805"/>
      <c r="JXM76" s="2805"/>
      <c r="JXN76" s="2805"/>
      <c r="JXO76" s="2805"/>
      <c r="JXP76" s="2805"/>
      <c r="JXQ76" s="2805"/>
      <c r="JXR76" s="2805"/>
      <c r="JXS76" s="2805"/>
      <c r="JXT76" s="2805"/>
      <c r="JXU76" s="2805"/>
      <c r="JXV76" s="2805"/>
      <c r="JXW76" s="2805"/>
      <c r="JXX76" s="2805"/>
      <c r="JXY76" s="2805"/>
      <c r="JXZ76" s="2805"/>
      <c r="JYA76" s="2805"/>
      <c r="JYB76" s="2805"/>
      <c r="JYC76" s="2805"/>
      <c r="JYD76" s="2805"/>
      <c r="JYE76" s="2805"/>
      <c r="JYF76" s="2805"/>
      <c r="JYG76" s="2805"/>
      <c r="JYH76" s="2805"/>
      <c r="JYI76" s="2805"/>
      <c r="JYJ76" s="2805"/>
      <c r="JYK76" s="2805"/>
      <c r="JYL76" s="2805"/>
      <c r="JYM76" s="2805"/>
      <c r="JYN76" s="2805"/>
      <c r="JYO76" s="2805"/>
      <c r="JYP76" s="2805"/>
      <c r="JYQ76" s="2805"/>
      <c r="JYR76" s="2805"/>
      <c r="JYS76" s="2805"/>
      <c r="JYT76" s="2805"/>
      <c r="JYU76" s="2805"/>
      <c r="JYV76" s="2805"/>
      <c r="JYW76" s="2805"/>
      <c r="JYX76" s="2805"/>
      <c r="JYY76" s="2805"/>
      <c r="JYZ76" s="2805"/>
      <c r="JZA76" s="2805"/>
      <c r="JZB76" s="2805"/>
      <c r="JZC76" s="2805"/>
      <c r="JZD76" s="2805"/>
      <c r="JZE76" s="2805"/>
      <c r="JZF76" s="2805"/>
      <c r="JZG76" s="2805"/>
      <c r="JZH76" s="2805"/>
      <c r="JZI76" s="2805"/>
      <c r="JZJ76" s="2805"/>
      <c r="JZK76" s="2805"/>
      <c r="JZL76" s="2805"/>
      <c r="JZM76" s="2805"/>
      <c r="JZN76" s="2805"/>
      <c r="JZO76" s="2805"/>
      <c r="JZP76" s="2805"/>
      <c r="JZQ76" s="2805"/>
      <c r="JZR76" s="2805"/>
      <c r="JZS76" s="2805"/>
      <c r="JZT76" s="2805"/>
      <c r="JZU76" s="2805"/>
      <c r="JZV76" s="2805"/>
      <c r="JZW76" s="2805"/>
      <c r="JZX76" s="2805"/>
      <c r="JZY76" s="2805"/>
      <c r="JZZ76" s="2805"/>
      <c r="KAA76" s="2805"/>
      <c r="KAB76" s="2805"/>
      <c r="KAC76" s="2805"/>
      <c r="KAD76" s="2805"/>
      <c r="KAE76" s="2805"/>
      <c r="KAF76" s="2805"/>
      <c r="KAG76" s="2805"/>
      <c r="KAH76" s="2805"/>
      <c r="KAI76" s="2805"/>
      <c r="KAJ76" s="2805"/>
      <c r="KAK76" s="2805"/>
      <c r="KAL76" s="2805"/>
      <c r="KAM76" s="2805"/>
      <c r="KAN76" s="2805"/>
      <c r="KAO76" s="2805"/>
      <c r="KAP76" s="2805"/>
      <c r="KAQ76" s="2805"/>
      <c r="KAR76" s="2805"/>
      <c r="KAS76" s="2805"/>
      <c r="KAT76" s="2805"/>
      <c r="KAU76" s="2805"/>
      <c r="KAV76" s="2805"/>
      <c r="KAW76" s="2805"/>
      <c r="KAX76" s="2805"/>
      <c r="KAY76" s="2805"/>
      <c r="KAZ76" s="2805"/>
      <c r="KBA76" s="2805"/>
      <c r="KBB76" s="2805"/>
      <c r="KBC76" s="2805"/>
      <c r="KBD76" s="2805"/>
      <c r="KBE76" s="2805"/>
      <c r="KBF76" s="2805"/>
      <c r="KBG76" s="2805"/>
      <c r="KBH76" s="2805"/>
      <c r="KBI76" s="2805"/>
      <c r="KBJ76" s="2805"/>
      <c r="KBK76" s="2805"/>
      <c r="KBL76" s="2805"/>
      <c r="KBM76" s="2805"/>
      <c r="KBN76" s="2805"/>
      <c r="KBO76" s="2805"/>
      <c r="KBP76" s="2805"/>
      <c r="KBQ76" s="2805"/>
      <c r="KBR76" s="2805"/>
      <c r="KBS76" s="2805"/>
      <c r="KBT76" s="2805"/>
      <c r="KBU76" s="2805"/>
      <c r="KBV76" s="2805"/>
      <c r="KBW76" s="2805"/>
      <c r="KBX76" s="2805"/>
      <c r="KBY76" s="2805"/>
      <c r="KBZ76" s="2805"/>
      <c r="KCA76" s="2805"/>
      <c r="KCB76" s="2805"/>
      <c r="KCC76" s="2805"/>
      <c r="KCD76" s="2805"/>
      <c r="KCE76" s="2805"/>
      <c r="KCF76" s="2805"/>
      <c r="KCG76" s="2805"/>
      <c r="KCH76" s="2805"/>
      <c r="KCI76" s="2805"/>
      <c r="KCJ76" s="2805"/>
      <c r="KCK76" s="2805"/>
      <c r="KCL76" s="2805"/>
      <c r="KCM76" s="2805"/>
      <c r="KCN76" s="2805"/>
      <c r="KCO76" s="2805"/>
      <c r="KCP76" s="2805"/>
      <c r="KCQ76" s="2805"/>
      <c r="KCR76" s="2805"/>
      <c r="KCS76" s="2805"/>
      <c r="KCT76" s="2805"/>
      <c r="KCU76" s="2805"/>
      <c r="KCV76" s="2805"/>
      <c r="KCW76" s="2805"/>
      <c r="KCX76" s="2805"/>
      <c r="KCY76" s="2805"/>
      <c r="KCZ76" s="2805"/>
      <c r="KDA76" s="2805"/>
      <c r="KDB76" s="2805"/>
      <c r="KDC76" s="2805"/>
      <c r="KDD76" s="2805"/>
      <c r="KDE76" s="2805"/>
      <c r="KDF76" s="2805"/>
      <c r="KDG76" s="2805"/>
      <c r="KDH76" s="2805"/>
      <c r="KDI76" s="2805"/>
      <c r="KDJ76" s="2805"/>
      <c r="KDK76" s="2805"/>
      <c r="KDL76" s="2805"/>
      <c r="KDM76" s="2805"/>
      <c r="KDN76" s="2805"/>
      <c r="KDO76" s="2805"/>
      <c r="KDP76" s="2805"/>
      <c r="KDQ76" s="2805"/>
      <c r="KDR76" s="2805"/>
      <c r="KDS76" s="2805"/>
      <c r="KDT76" s="2805"/>
      <c r="KDU76" s="2805"/>
      <c r="KDV76" s="2805"/>
      <c r="KDW76" s="2805"/>
      <c r="KDX76" s="2805"/>
      <c r="KDY76" s="2805"/>
      <c r="KDZ76" s="2805"/>
      <c r="KEA76" s="2805"/>
      <c r="KEB76" s="2805"/>
      <c r="KEC76" s="2805"/>
      <c r="KED76" s="2805"/>
      <c r="KEE76" s="2805"/>
      <c r="KEF76" s="2805"/>
      <c r="KEG76" s="2805"/>
      <c r="KEH76" s="2805"/>
      <c r="KEI76" s="2805"/>
      <c r="KEJ76" s="2805"/>
      <c r="KEK76" s="2805"/>
      <c r="KEL76" s="2805"/>
      <c r="KEM76" s="2805"/>
      <c r="KEN76" s="2805"/>
      <c r="KEO76" s="2805"/>
      <c r="KEP76" s="2805"/>
      <c r="KEQ76" s="2805"/>
      <c r="KER76" s="2805"/>
      <c r="KES76" s="2805"/>
      <c r="KET76" s="2805"/>
      <c r="KEU76" s="2805"/>
      <c r="KEV76" s="2805"/>
      <c r="KEW76" s="2805"/>
      <c r="KEX76" s="2805"/>
      <c r="KEY76" s="2805"/>
      <c r="KEZ76" s="2805"/>
      <c r="KFA76" s="2805"/>
      <c r="KFB76" s="2805"/>
      <c r="KFC76" s="2805"/>
      <c r="KFD76" s="2805"/>
      <c r="KFE76" s="2805"/>
      <c r="KFF76" s="2805"/>
      <c r="KFG76" s="2805"/>
      <c r="KFH76" s="2805"/>
      <c r="KFI76" s="2805"/>
      <c r="KFJ76" s="2805"/>
      <c r="KFK76" s="2805"/>
      <c r="KFL76" s="2805"/>
      <c r="KFM76" s="2805"/>
      <c r="KFN76" s="2805"/>
      <c r="KFO76" s="2805"/>
      <c r="KFP76" s="2805"/>
      <c r="KFQ76" s="2805"/>
      <c r="KFR76" s="2805"/>
      <c r="KFS76" s="2805"/>
      <c r="KFT76" s="2805"/>
      <c r="KFU76" s="2805"/>
      <c r="KFV76" s="2805"/>
      <c r="KFW76" s="2805"/>
      <c r="KFX76" s="2805"/>
      <c r="KFY76" s="2805"/>
      <c r="KFZ76" s="2805"/>
      <c r="KGA76" s="2805"/>
      <c r="KGB76" s="2805"/>
      <c r="KGC76" s="2805"/>
      <c r="KGD76" s="2805"/>
      <c r="KGE76" s="2805"/>
      <c r="KGF76" s="2805"/>
      <c r="KGG76" s="2805"/>
      <c r="KGH76" s="2805"/>
      <c r="KGI76" s="2805"/>
      <c r="KGJ76" s="2805"/>
      <c r="KGK76" s="2805"/>
      <c r="KGL76" s="2805"/>
      <c r="KGM76" s="2805"/>
      <c r="KGN76" s="2805"/>
      <c r="KGO76" s="2805"/>
      <c r="KGP76" s="2805"/>
      <c r="KGQ76" s="2805"/>
      <c r="KGR76" s="2805"/>
      <c r="KGS76" s="2805"/>
      <c r="KGT76" s="2805"/>
      <c r="KGU76" s="2805"/>
      <c r="KGV76" s="2805"/>
      <c r="KGW76" s="2805"/>
      <c r="KGX76" s="2805"/>
      <c r="KGY76" s="2805"/>
      <c r="KGZ76" s="2805"/>
      <c r="KHA76" s="2805"/>
      <c r="KHB76" s="2805"/>
      <c r="KHC76" s="2805"/>
      <c r="KHD76" s="2805"/>
      <c r="KHE76" s="2805"/>
      <c r="KHF76" s="2805"/>
      <c r="KHG76" s="2805"/>
      <c r="KHH76" s="2805"/>
      <c r="KHI76" s="2805"/>
      <c r="KHJ76" s="2805"/>
      <c r="KHK76" s="2805"/>
      <c r="KHL76" s="2805"/>
      <c r="KHM76" s="2805"/>
      <c r="KHN76" s="2805"/>
      <c r="KHO76" s="2805"/>
      <c r="KHP76" s="2805"/>
      <c r="KHQ76" s="2805"/>
      <c r="KHR76" s="2805"/>
      <c r="KHS76" s="2805"/>
      <c r="KHT76" s="2805"/>
      <c r="KHU76" s="2805"/>
      <c r="KHV76" s="2805"/>
      <c r="KHW76" s="2805"/>
      <c r="KHX76" s="2805"/>
      <c r="KHY76" s="2805"/>
      <c r="KHZ76" s="2805"/>
      <c r="KIA76" s="2805"/>
      <c r="KIB76" s="2805"/>
      <c r="KIC76" s="2805"/>
      <c r="KID76" s="2805"/>
      <c r="KIE76" s="2805"/>
      <c r="KIF76" s="2805"/>
      <c r="KIG76" s="2805"/>
      <c r="KIH76" s="2805"/>
      <c r="KII76" s="2805"/>
      <c r="KIJ76" s="2805"/>
      <c r="KIK76" s="2805"/>
      <c r="KIL76" s="2805"/>
      <c r="KIM76" s="2805"/>
      <c r="KIN76" s="2805"/>
      <c r="KIO76" s="2805"/>
      <c r="KIP76" s="2805"/>
      <c r="KIQ76" s="2805"/>
      <c r="KIR76" s="2805"/>
      <c r="KIS76" s="2805"/>
      <c r="KIT76" s="2805"/>
      <c r="KIU76" s="2805"/>
      <c r="KIV76" s="2805"/>
      <c r="KIW76" s="2805"/>
      <c r="KIX76" s="2805"/>
      <c r="KIY76" s="2805"/>
      <c r="KIZ76" s="2805"/>
      <c r="KJA76" s="2805"/>
      <c r="KJB76" s="2805"/>
      <c r="KJC76" s="2805"/>
      <c r="KJD76" s="2805"/>
      <c r="KJE76" s="2805"/>
      <c r="KJF76" s="2805"/>
      <c r="KJG76" s="2805"/>
      <c r="KJH76" s="2805"/>
      <c r="KJI76" s="2805"/>
      <c r="KJJ76" s="2805"/>
      <c r="KJK76" s="2805"/>
      <c r="KJL76" s="2805"/>
      <c r="KJM76" s="2805"/>
      <c r="KJN76" s="2805"/>
      <c r="KJO76" s="2805"/>
      <c r="KJP76" s="2805"/>
      <c r="KJQ76" s="2805"/>
      <c r="KJR76" s="2805"/>
      <c r="KJS76" s="2805"/>
      <c r="KJT76" s="2805"/>
      <c r="KJU76" s="2805"/>
      <c r="KJV76" s="2805"/>
      <c r="KJW76" s="2805"/>
      <c r="KJX76" s="2805"/>
      <c r="KJY76" s="2805"/>
      <c r="KJZ76" s="2805"/>
      <c r="KKA76" s="2805"/>
      <c r="KKB76" s="2805"/>
      <c r="KKC76" s="2805"/>
      <c r="KKD76" s="2805"/>
      <c r="KKE76" s="2805"/>
      <c r="KKF76" s="2805"/>
      <c r="KKG76" s="2805"/>
      <c r="KKH76" s="2805"/>
      <c r="KKI76" s="2805"/>
      <c r="KKJ76" s="2805"/>
      <c r="KKK76" s="2805"/>
      <c r="KKL76" s="2805"/>
      <c r="KKM76" s="2805"/>
      <c r="KKN76" s="2805"/>
      <c r="KKO76" s="2805"/>
      <c r="KKP76" s="2805"/>
      <c r="KKQ76" s="2805"/>
      <c r="KKR76" s="2805"/>
      <c r="KKS76" s="2805"/>
      <c r="KKT76" s="2805"/>
      <c r="KKU76" s="2805"/>
      <c r="KKV76" s="2805"/>
      <c r="KKW76" s="2805"/>
      <c r="KKX76" s="2805"/>
      <c r="KKY76" s="2805"/>
      <c r="KKZ76" s="2805"/>
      <c r="KLA76" s="2805"/>
      <c r="KLB76" s="2805"/>
      <c r="KLC76" s="2805"/>
      <c r="KLD76" s="2805"/>
      <c r="KLE76" s="2805"/>
      <c r="KLF76" s="2805"/>
      <c r="KLG76" s="2805"/>
      <c r="KLH76" s="2805"/>
      <c r="KLI76" s="2805"/>
      <c r="KLJ76" s="2805"/>
      <c r="KLK76" s="2805"/>
      <c r="KLL76" s="2805"/>
      <c r="KLM76" s="2805"/>
      <c r="KLN76" s="2805"/>
      <c r="KLO76" s="2805"/>
      <c r="KLP76" s="2805"/>
      <c r="KLQ76" s="2805"/>
      <c r="KLR76" s="2805"/>
      <c r="KLS76" s="2805"/>
      <c r="KLT76" s="2805"/>
      <c r="KLU76" s="2805"/>
      <c r="KLV76" s="2805"/>
      <c r="KLW76" s="2805"/>
      <c r="KLX76" s="2805"/>
      <c r="KLY76" s="2805"/>
      <c r="KLZ76" s="2805"/>
      <c r="KMA76" s="2805"/>
      <c r="KMB76" s="2805"/>
      <c r="KMC76" s="2805"/>
      <c r="KMD76" s="2805"/>
      <c r="KME76" s="2805"/>
      <c r="KMF76" s="2805"/>
      <c r="KMG76" s="2805"/>
      <c r="KMH76" s="2805"/>
      <c r="KMI76" s="2805"/>
      <c r="KMJ76" s="2805"/>
      <c r="KMK76" s="2805"/>
      <c r="KML76" s="2805"/>
      <c r="KMM76" s="2805"/>
      <c r="KMN76" s="2805"/>
      <c r="KMO76" s="2805"/>
      <c r="KMP76" s="2805"/>
      <c r="KMQ76" s="2805"/>
      <c r="KMR76" s="2805"/>
      <c r="KMS76" s="2805"/>
      <c r="KMT76" s="2805"/>
      <c r="KMU76" s="2805"/>
      <c r="KMV76" s="2805"/>
      <c r="KMW76" s="2805"/>
      <c r="KMX76" s="2805"/>
      <c r="KMY76" s="2805"/>
      <c r="KMZ76" s="2805"/>
      <c r="KNA76" s="2805"/>
      <c r="KNB76" s="2805"/>
      <c r="KNC76" s="2805"/>
      <c r="KND76" s="2805"/>
      <c r="KNE76" s="2805"/>
      <c r="KNF76" s="2805"/>
      <c r="KNG76" s="2805"/>
      <c r="KNH76" s="2805"/>
      <c r="KNI76" s="2805"/>
      <c r="KNJ76" s="2805"/>
      <c r="KNK76" s="2805"/>
      <c r="KNL76" s="2805"/>
      <c r="KNM76" s="2805"/>
      <c r="KNN76" s="2805"/>
      <c r="KNO76" s="2805"/>
      <c r="KNP76" s="2805"/>
      <c r="KNQ76" s="2805"/>
      <c r="KNR76" s="2805"/>
      <c r="KNS76" s="2805"/>
      <c r="KNT76" s="2805"/>
      <c r="KNU76" s="2805"/>
      <c r="KNV76" s="2805"/>
      <c r="KNW76" s="2805"/>
      <c r="KNX76" s="2805"/>
      <c r="KNY76" s="2805"/>
      <c r="KNZ76" s="2805"/>
      <c r="KOA76" s="2805"/>
      <c r="KOB76" s="2805"/>
      <c r="KOC76" s="2805"/>
      <c r="KOD76" s="2805"/>
      <c r="KOE76" s="2805"/>
      <c r="KOF76" s="2805"/>
      <c r="KOG76" s="2805"/>
      <c r="KOH76" s="2805"/>
      <c r="KOI76" s="2805"/>
      <c r="KOJ76" s="2805"/>
      <c r="KOK76" s="2805"/>
      <c r="KOL76" s="2805"/>
      <c r="KOM76" s="2805"/>
      <c r="KON76" s="2805"/>
      <c r="KOO76" s="2805"/>
      <c r="KOP76" s="2805"/>
      <c r="KOQ76" s="2805"/>
      <c r="KOR76" s="2805"/>
      <c r="KOS76" s="2805"/>
      <c r="KOT76" s="2805"/>
      <c r="KOU76" s="2805"/>
      <c r="KOV76" s="2805"/>
      <c r="KOW76" s="2805"/>
      <c r="KOX76" s="2805"/>
      <c r="KOY76" s="2805"/>
      <c r="KOZ76" s="2805"/>
      <c r="KPA76" s="2805"/>
      <c r="KPB76" s="2805"/>
      <c r="KPC76" s="2805"/>
      <c r="KPD76" s="2805"/>
      <c r="KPE76" s="2805"/>
      <c r="KPF76" s="2805"/>
      <c r="KPG76" s="2805"/>
      <c r="KPH76" s="2805"/>
      <c r="KPI76" s="2805"/>
      <c r="KPJ76" s="2805"/>
      <c r="KPK76" s="2805"/>
      <c r="KPL76" s="2805"/>
      <c r="KPM76" s="2805"/>
      <c r="KPN76" s="2805"/>
      <c r="KPO76" s="2805"/>
      <c r="KPP76" s="2805"/>
      <c r="KPQ76" s="2805"/>
      <c r="KPR76" s="2805"/>
      <c r="KPS76" s="2805"/>
      <c r="KPT76" s="2805"/>
      <c r="KPU76" s="2805"/>
      <c r="KPV76" s="2805"/>
      <c r="KPW76" s="2805"/>
      <c r="KPX76" s="2805"/>
      <c r="KPY76" s="2805"/>
      <c r="KPZ76" s="2805"/>
      <c r="KQA76" s="2805"/>
      <c r="KQB76" s="2805"/>
      <c r="KQC76" s="2805"/>
      <c r="KQD76" s="2805"/>
      <c r="KQE76" s="2805"/>
      <c r="KQF76" s="2805"/>
      <c r="KQG76" s="2805"/>
      <c r="KQH76" s="2805"/>
      <c r="KQI76" s="2805"/>
      <c r="KQJ76" s="2805"/>
      <c r="KQK76" s="2805"/>
      <c r="KQL76" s="2805"/>
      <c r="KQM76" s="2805"/>
      <c r="KQN76" s="2805"/>
      <c r="KQO76" s="2805"/>
      <c r="KQP76" s="2805"/>
      <c r="KQQ76" s="2805"/>
      <c r="KQR76" s="2805"/>
      <c r="KQS76" s="2805"/>
      <c r="KQT76" s="2805"/>
      <c r="KQU76" s="2805"/>
      <c r="KQV76" s="2805"/>
      <c r="KQW76" s="2805"/>
      <c r="KQX76" s="2805"/>
      <c r="KQY76" s="2805"/>
      <c r="KQZ76" s="2805"/>
      <c r="KRA76" s="2805"/>
      <c r="KRB76" s="2805"/>
      <c r="KRC76" s="2805"/>
      <c r="KRD76" s="2805"/>
      <c r="KRE76" s="2805"/>
      <c r="KRF76" s="2805"/>
      <c r="KRG76" s="2805"/>
      <c r="KRH76" s="2805"/>
      <c r="KRI76" s="2805"/>
      <c r="KRJ76" s="2805"/>
      <c r="KRK76" s="2805"/>
      <c r="KRL76" s="2805"/>
      <c r="KRM76" s="2805"/>
      <c r="KRN76" s="2805"/>
      <c r="KRO76" s="2805"/>
      <c r="KRP76" s="2805"/>
      <c r="KRQ76" s="2805"/>
      <c r="KRR76" s="2805"/>
      <c r="KRS76" s="2805"/>
      <c r="KRT76" s="2805"/>
      <c r="KRU76" s="2805"/>
      <c r="KRV76" s="2805"/>
      <c r="KRW76" s="2805"/>
      <c r="KRX76" s="2805"/>
      <c r="KRY76" s="2805"/>
      <c r="KRZ76" s="2805"/>
      <c r="KSA76" s="2805"/>
      <c r="KSB76" s="2805"/>
      <c r="KSC76" s="2805"/>
      <c r="KSD76" s="2805"/>
      <c r="KSE76" s="2805"/>
      <c r="KSF76" s="2805"/>
      <c r="KSG76" s="2805"/>
      <c r="KSH76" s="2805"/>
      <c r="KSI76" s="2805"/>
      <c r="KSJ76" s="2805"/>
      <c r="KSK76" s="2805"/>
      <c r="KSL76" s="2805"/>
      <c r="KSM76" s="2805"/>
      <c r="KSN76" s="2805"/>
      <c r="KSO76" s="2805"/>
      <c r="KSP76" s="2805"/>
      <c r="KSQ76" s="2805"/>
      <c r="KSR76" s="2805"/>
      <c r="KSS76" s="2805"/>
      <c r="KST76" s="2805"/>
      <c r="KSU76" s="2805"/>
      <c r="KSV76" s="2805"/>
      <c r="KSW76" s="2805"/>
      <c r="KSX76" s="2805"/>
      <c r="KSY76" s="2805"/>
      <c r="KSZ76" s="2805"/>
      <c r="KTA76" s="2805"/>
      <c r="KTB76" s="2805"/>
      <c r="KTC76" s="2805"/>
      <c r="KTD76" s="2805"/>
      <c r="KTE76" s="2805"/>
      <c r="KTF76" s="2805"/>
      <c r="KTG76" s="2805"/>
      <c r="KTH76" s="2805"/>
      <c r="KTI76" s="2805"/>
      <c r="KTJ76" s="2805"/>
      <c r="KTK76" s="2805"/>
      <c r="KTL76" s="2805"/>
      <c r="KTM76" s="2805"/>
      <c r="KTN76" s="2805"/>
      <c r="KTO76" s="2805"/>
      <c r="KTP76" s="2805"/>
      <c r="KTQ76" s="2805"/>
      <c r="KTR76" s="2805"/>
      <c r="KTS76" s="2805"/>
      <c r="KTT76" s="2805"/>
      <c r="KTU76" s="2805"/>
      <c r="KTV76" s="2805"/>
      <c r="KTW76" s="2805"/>
      <c r="KTX76" s="2805"/>
      <c r="KTY76" s="2805"/>
      <c r="KTZ76" s="2805"/>
      <c r="KUA76" s="2805"/>
      <c r="KUB76" s="2805"/>
      <c r="KUC76" s="2805"/>
      <c r="KUD76" s="2805"/>
      <c r="KUE76" s="2805"/>
      <c r="KUF76" s="2805"/>
      <c r="KUG76" s="2805"/>
      <c r="KUH76" s="2805"/>
      <c r="KUI76" s="2805"/>
      <c r="KUJ76" s="2805"/>
      <c r="KUK76" s="2805"/>
      <c r="KUL76" s="2805"/>
      <c r="KUM76" s="2805"/>
      <c r="KUN76" s="2805"/>
      <c r="KUO76" s="2805"/>
      <c r="KUP76" s="2805"/>
      <c r="KUQ76" s="2805"/>
      <c r="KUR76" s="2805"/>
      <c r="KUS76" s="2805"/>
      <c r="KUT76" s="2805"/>
      <c r="KUU76" s="2805"/>
      <c r="KUV76" s="2805"/>
      <c r="KUW76" s="2805"/>
      <c r="KUX76" s="2805"/>
      <c r="KUY76" s="2805"/>
      <c r="KUZ76" s="2805"/>
      <c r="KVA76" s="2805"/>
      <c r="KVB76" s="2805"/>
      <c r="KVC76" s="2805"/>
      <c r="KVD76" s="2805"/>
      <c r="KVE76" s="2805"/>
      <c r="KVF76" s="2805"/>
      <c r="KVG76" s="2805"/>
      <c r="KVH76" s="2805"/>
      <c r="KVI76" s="2805"/>
      <c r="KVJ76" s="2805"/>
      <c r="KVK76" s="2805"/>
      <c r="KVL76" s="2805"/>
      <c r="KVM76" s="2805"/>
      <c r="KVN76" s="2805"/>
      <c r="KVO76" s="2805"/>
      <c r="KVP76" s="2805"/>
      <c r="KVQ76" s="2805"/>
      <c r="KVR76" s="2805"/>
      <c r="KVS76" s="2805"/>
      <c r="KVT76" s="2805"/>
      <c r="KVU76" s="2805"/>
      <c r="KVV76" s="2805"/>
      <c r="KVW76" s="2805"/>
      <c r="KVX76" s="2805"/>
      <c r="KVY76" s="2805"/>
      <c r="KVZ76" s="2805"/>
      <c r="KWA76" s="2805"/>
      <c r="KWB76" s="2805"/>
      <c r="KWC76" s="2805"/>
      <c r="KWD76" s="2805"/>
      <c r="KWE76" s="2805"/>
      <c r="KWF76" s="2805"/>
      <c r="KWG76" s="2805"/>
      <c r="KWH76" s="2805"/>
      <c r="KWI76" s="2805"/>
      <c r="KWJ76" s="2805"/>
      <c r="KWK76" s="2805"/>
      <c r="KWL76" s="2805"/>
      <c r="KWM76" s="2805"/>
      <c r="KWN76" s="2805"/>
      <c r="KWO76" s="2805"/>
      <c r="KWP76" s="2805"/>
      <c r="KWQ76" s="2805"/>
      <c r="KWR76" s="2805"/>
      <c r="KWS76" s="2805"/>
      <c r="KWT76" s="2805"/>
      <c r="KWU76" s="2805"/>
      <c r="KWV76" s="2805"/>
      <c r="KWW76" s="2805"/>
      <c r="KWX76" s="2805"/>
      <c r="KWY76" s="2805"/>
      <c r="KWZ76" s="2805"/>
      <c r="KXA76" s="2805"/>
      <c r="KXB76" s="2805"/>
      <c r="KXC76" s="2805"/>
      <c r="KXD76" s="2805"/>
      <c r="KXE76" s="2805"/>
      <c r="KXF76" s="2805"/>
      <c r="KXG76" s="2805"/>
      <c r="KXH76" s="2805"/>
      <c r="KXI76" s="2805"/>
      <c r="KXJ76" s="2805"/>
      <c r="KXK76" s="2805"/>
      <c r="KXL76" s="2805"/>
      <c r="KXM76" s="2805"/>
      <c r="KXN76" s="2805"/>
      <c r="KXO76" s="2805"/>
      <c r="KXP76" s="2805"/>
      <c r="KXQ76" s="2805"/>
      <c r="KXR76" s="2805"/>
      <c r="KXS76" s="2805"/>
      <c r="KXT76" s="2805"/>
      <c r="KXU76" s="2805"/>
      <c r="KXV76" s="2805"/>
      <c r="KXW76" s="2805"/>
      <c r="KXX76" s="2805"/>
      <c r="KXY76" s="2805"/>
      <c r="KXZ76" s="2805"/>
      <c r="KYA76" s="2805"/>
      <c r="KYB76" s="2805"/>
      <c r="KYC76" s="2805"/>
      <c r="KYD76" s="2805"/>
      <c r="KYE76" s="2805"/>
      <c r="KYF76" s="2805"/>
      <c r="KYG76" s="2805"/>
      <c r="KYH76" s="2805"/>
      <c r="KYI76" s="2805"/>
      <c r="KYJ76" s="2805"/>
      <c r="KYK76" s="2805"/>
      <c r="KYL76" s="2805"/>
      <c r="KYM76" s="2805"/>
      <c r="KYN76" s="2805"/>
      <c r="KYO76" s="2805"/>
      <c r="KYP76" s="2805"/>
      <c r="KYQ76" s="2805"/>
      <c r="KYR76" s="2805"/>
      <c r="KYS76" s="2805"/>
      <c r="KYT76" s="2805"/>
      <c r="KYU76" s="2805"/>
      <c r="KYV76" s="2805"/>
      <c r="KYW76" s="2805"/>
      <c r="KYX76" s="2805"/>
      <c r="KYY76" s="2805"/>
      <c r="KYZ76" s="2805"/>
      <c r="KZA76" s="2805"/>
      <c r="KZB76" s="2805"/>
      <c r="KZC76" s="2805"/>
      <c r="KZD76" s="2805"/>
      <c r="KZE76" s="2805"/>
      <c r="KZF76" s="2805"/>
      <c r="KZG76" s="2805"/>
      <c r="KZH76" s="2805"/>
      <c r="KZI76" s="2805"/>
      <c r="KZJ76" s="2805"/>
      <c r="KZK76" s="2805"/>
      <c r="KZL76" s="2805"/>
      <c r="KZM76" s="2805"/>
      <c r="KZN76" s="2805"/>
      <c r="KZO76" s="2805"/>
      <c r="KZP76" s="2805"/>
      <c r="KZQ76" s="2805"/>
      <c r="KZR76" s="2805"/>
      <c r="KZS76" s="2805"/>
      <c r="KZT76" s="2805"/>
      <c r="KZU76" s="2805"/>
      <c r="KZV76" s="2805"/>
      <c r="KZW76" s="2805"/>
      <c r="KZX76" s="2805"/>
      <c r="KZY76" s="2805"/>
      <c r="KZZ76" s="2805"/>
      <c r="LAA76" s="2805"/>
      <c r="LAB76" s="2805"/>
      <c r="LAC76" s="2805"/>
      <c r="LAD76" s="2805"/>
      <c r="LAE76" s="2805"/>
      <c r="LAF76" s="2805"/>
      <c r="LAG76" s="2805"/>
      <c r="LAH76" s="2805"/>
      <c r="LAI76" s="2805"/>
      <c r="LAJ76" s="2805"/>
      <c r="LAK76" s="2805"/>
      <c r="LAL76" s="2805"/>
      <c r="LAM76" s="2805"/>
      <c r="LAN76" s="2805"/>
      <c r="LAO76" s="2805"/>
      <c r="LAP76" s="2805"/>
      <c r="LAQ76" s="2805"/>
      <c r="LAR76" s="2805"/>
      <c r="LAS76" s="2805"/>
      <c r="LAT76" s="2805"/>
      <c r="LAU76" s="2805"/>
      <c r="LAV76" s="2805"/>
      <c r="LAW76" s="2805"/>
      <c r="LAX76" s="2805"/>
      <c r="LAY76" s="2805"/>
      <c r="LAZ76" s="2805"/>
      <c r="LBA76" s="2805"/>
      <c r="LBB76" s="2805"/>
      <c r="LBC76" s="2805"/>
      <c r="LBD76" s="2805"/>
      <c r="LBE76" s="2805"/>
      <c r="LBF76" s="2805"/>
      <c r="LBG76" s="2805"/>
      <c r="LBH76" s="2805"/>
      <c r="LBI76" s="2805"/>
      <c r="LBJ76" s="2805"/>
      <c r="LBK76" s="2805"/>
      <c r="LBL76" s="2805"/>
      <c r="LBM76" s="2805"/>
      <c r="LBN76" s="2805"/>
      <c r="LBO76" s="2805"/>
      <c r="LBP76" s="2805"/>
      <c r="LBQ76" s="2805"/>
      <c r="LBR76" s="2805"/>
      <c r="LBS76" s="2805"/>
      <c r="LBT76" s="2805"/>
      <c r="LBU76" s="2805"/>
      <c r="LBV76" s="2805"/>
      <c r="LBW76" s="2805"/>
      <c r="LBX76" s="2805"/>
      <c r="LBY76" s="2805"/>
      <c r="LBZ76" s="2805"/>
      <c r="LCA76" s="2805"/>
      <c r="LCB76" s="2805"/>
      <c r="LCC76" s="2805"/>
      <c r="LCD76" s="2805"/>
      <c r="LCE76" s="2805"/>
      <c r="LCF76" s="2805"/>
      <c r="LCG76" s="2805"/>
      <c r="LCH76" s="2805"/>
      <c r="LCI76" s="2805"/>
      <c r="LCJ76" s="2805"/>
      <c r="LCK76" s="2805"/>
      <c r="LCL76" s="2805"/>
      <c r="LCM76" s="2805"/>
      <c r="LCN76" s="2805"/>
      <c r="LCO76" s="2805"/>
      <c r="LCP76" s="2805"/>
      <c r="LCQ76" s="2805"/>
      <c r="LCR76" s="2805"/>
      <c r="LCS76" s="2805"/>
      <c r="LCT76" s="2805"/>
      <c r="LCU76" s="2805"/>
      <c r="LCV76" s="2805"/>
      <c r="LCW76" s="2805"/>
      <c r="LCX76" s="2805"/>
      <c r="LCY76" s="2805"/>
      <c r="LCZ76" s="2805"/>
      <c r="LDA76" s="2805"/>
      <c r="LDB76" s="2805"/>
      <c r="LDC76" s="2805"/>
      <c r="LDD76" s="2805"/>
      <c r="LDE76" s="2805"/>
      <c r="LDF76" s="2805"/>
      <c r="LDG76" s="2805"/>
      <c r="LDH76" s="2805"/>
      <c r="LDI76" s="2805"/>
      <c r="LDJ76" s="2805"/>
      <c r="LDK76" s="2805"/>
      <c r="LDL76" s="2805"/>
      <c r="LDM76" s="2805"/>
      <c r="LDN76" s="2805"/>
      <c r="LDO76" s="2805"/>
      <c r="LDP76" s="2805"/>
      <c r="LDQ76" s="2805"/>
      <c r="LDR76" s="2805"/>
      <c r="LDS76" s="2805"/>
      <c r="LDT76" s="2805"/>
      <c r="LDU76" s="2805"/>
      <c r="LDV76" s="2805"/>
      <c r="LDW76" s="2805"/>
      <c r="LDX76" s="2805"/>
      <c r="LDY76" s="2805"/>
      <c r="LDZ76" s="2805"/>
      <c r="LEA76" s="2805"/>
      <c r="LEB76" s="2805"/>
      <c r="LEC76" s="2805"/>
      <c r="LED76" s="2805"/>
      <c r="LEE76" s="2805"/>
      <c r="LEF76" s="2805"/>
      <c r="LEG76" s="2805"/>
      <c r="LEH76" s="2805"/>
      <c r="LEI76" s="2805"/>
      <c r="LEJ76" s="2805"/>
      <c r="LEK76" s="2805"/>
      <c r="LEL76" s="2805"/>
      <c r="LEM76" s="2805"/>
      <c r="LEN76" s="2805"/>
      <c r="LEO76" s="2805"/>
      <c r="LEP76" s="2805"/>
      <c r="LEQ76" s="2805"/>
      <c r="LER76" s="2805"/>
      <c r="LES76" s="2805"/>
      <c r="LET76" s="2805"/>
      <c r="LEU76" s="2805"/>
      <c r="LEV76" s="2805"/>
      <c r="LEW76" s="2805"/>
      <c r="LEX76" s="2805"/>
      <c r="LEY76" s="2805"/>
      <c r="LEZ76" s="2805"/>
      <c r="LFA76" s="2805"/>
      <c r="LFB76" s="2805"/>
      <c r="LFC76" s="2805"/>
      <c r="LFD76" s="2805"/>
      <c r="LFE76" s="2805"/>
      <c r="LFF76" s="2805"/>
      <c r="LFG76" s="2805"/>
      <c r="LFH76" s="2805"/>
      <c r="LFI76" s="2805"/>
      <c r="LFJ76" s="2805"/>
      <c r="LFK76" s="2805"/>
      <c r="LFL76" s="2805"/>
      <c r="LFM76" s="2805"/>
      <c r="LFN76" s="2805"/>
      <c r="LFO76" s="2805"/>
      <c r="LFP76" s="2805"/>
      <c r="LFQ76" s="2805"/>
      <c r="LFR76" s="2805"/>
      <c r="LFS76" s="2805"/>
      <c r="LFT76" s="2805"/>
      <c r="LFU76" s="2805"/>
      <c r="LFV76" s="2805"/>
      <c r="LFW76" s="2805"/>
      <c r="LFX76" s="2805"/>
      <c r="LFY76" s="2805"/>
      <c r="LFZ76" s="2805"/>
      <c r="LGA76" s="2805"/>
      <c r="LGB76" s="2805"/>
      <c r="LGC76" s="2805"/>
      <c r="LGD76" s="2805"/>
      <c r="LGE76" s="2805"/>
      <c r="LGF76" s="2805"/>
      <c r="LGG76" s="2805"/>
      <c r="LGH76" s="2805"/>
      <c r="LGI76" s="2805"/>
      <c r="LGJ76" s="2805"/>
      <c r="LGK76" s="2805"/>
      <c r="LGL76" s="2805"/>
      <c r="LGM76" s="2805"/>
      <c r="LGN76" s="2805"/>
      <c r="LGO76" s="2805"/>
      <c r="LGP76" s="2805"/>
      <c r="LGQ76" s="2805"/>
      <c r="LGR76" s="2805"/>
      <c r="LGS76" s="2805"/>
      <c r="LGT76" s="2805"/>
      <c r="LGU76" s="2805"/>
      <c r="LGV76" s="2805"/>
      <c r="LGW76" s="2805"/>
      <c r="LGX76" s="2805"/>
      <c r="LGY76" s="2805"/>
      <c r="LGZ76" s="2805"/>
      <c r="LHA76" s="2805"/>
      <c r="LHB76" s="2805"/>
      <c r="LHC76" s="2805"/>
      <c r="LHD76" s="2805"/>
      <c r="LHE76" s="2805"/>
      <c r="LHF76" s="2805"/>
      <c r="LHG76" s="2805"/>
      <c r="LHH76" s="2805"/>
      <c r="LHI76" s="2805"/>
      <c r="LHJ76" s="2805"/>
      <c r="LHK76" s="2805"/>
      <c r="LHL76" s="2805"/>
      <c r="LHM76" s="2805"/>
      <c r="LHN76" s="2805"/>
      <c r="LHO76" s="2805"/>
      <c r="LHP76" s="2805"/>
      <c r="LHQ76" s="2805"/>
      <c r="LHR76" s="2805"/>
      <c r="LHS76" s="2805"/>
      <c r="LHT76" s="2805"/>
      <c r="LHU76" s="2805"/>
      <c r="LHV76" s="2805"/>
      <c r="LHW76" s="2805"/>
      <c r="LHX76" s="2805"/>
      <c r="LHY76" s="2805"/>
      <c r="LHZ76" s="2805"/>
      <c r="LIA76" s="2805"/>
      <c r="LIB76" s="2805"/>
      <c r="LIC76" s="2805"/>
      <c r="LID76" s="2805"/>
      <c r="LIE76" s="2805"/>
      <c r="LIF76" s="2805"/>
      <c r="LIG76" s="2805"/>
      <c r="LIH76" s="2805"/>
      <c r="LII76" s="2805"/>
      <c r="LIJ76" s="2805"/>
      <c r="LIK76" s="2805"/>
      <c r="LIL76" s="2805"/>
      <c r="LIM76" s="2805"/>
      <c r="LIN76" s="2805"/>
      <c r="LIO76" s="2805"/>
      <c r="LIP76" s="2805"/>
      <c r="LIQ76" s="2805"/>
      <c r="LIR76" s="2805"/>
      <c r="LIS76" s="2805"/>
      <c r="LIT76" s="2805"/>
      <c r="LIU76" s="2805"/>
      <c r="LIV76" s="2805"/>
      <c r="LIW76" s="2805"/>
      <c r="LIX76" s="2805"/>
      <c r="LIY76" s="2805"/>
      <c r="LIZ76" s="2805"/>
      <c r="LJA76" s="2805"/>
      <c r="LJB76" s="2805"/>
      <c r="LJC76" s="2805"/>
      <c r="LJD76" s="2805"/>
      <c r="LJE76" s="2805"/>
      <c r="LJF76" s="2805"/>
      <c r="LJG76" s="2805"/>
      <c r="LJH76" s="2805"/>
      <c r="LJI76" s="2805"/>
      <c r="LJJ76" s="2805"/>
      <c r="LJK76" s="2805"/>
      <c r="LJL76" s="2805"/>
      <c r="LJM76" s="2805"/>
      <c r="LJN76" s="2805"/>
      <c r="LJO76" s="2805"/>
      <c r="LJP76" s="2805"/>
      <c r="LJQ76" s="2805"/>
      <c r="LJR76" s="2805"/>
      <c r="LJS76" s="2805"/>
      <c r="LJT76" s="2805"/>
      <c r="LJU76" s="2805"/>
      <c r="LJV76" s="2805"/>
      <c r="LJW76" s="2805"/>
      <c r="LJX76" s="2805"/>
      <c r="LJY76" s="2805"/>
      <c r="LJZ76" s="2805"/>
      <c r="LKA76" s="2805"/>
      <c r="LKB76" s="2805"/>
      <c r="LKC76" s="2805"/>
      <c r="LKD76" s="2805"/>
      <c r="LKE76" s="2805"/>
      <c r="LKF76" s="2805"/>
      <c r="LKG76" s="2805"/>
      <c r="LKH76" s="2805"/>
      <c r="LKI76" s="2805"/>
      <c r="LKJ76" s="2805"/>
      <c r="LKK76" s="2805"/>
      <c r="LKL76" s="2805"/>
      <c r="LKM76" s="2805"/>
      <c r="LKN76" s="2805"/>
      <c r="LKO76" s="2805"/>
      <c r="LKP76" s="2805"/>
      <c r="LKQ76" s="2805"/>
      <c r="LKR76" s="2805"/>
      <c r="LKS76" s="2805"/>
      <c r="LKT76" s="2805"/>
      <c r="LKU76" s="2805"/>
      <c r="LKV76" s="2805"/>
      <c r="LKW76" s="2805"/>
      <c r="LKX76" s="2805"/>
      <c r="LKY76" s="2805"/>
      <c r="LKZ76" s="2805"/>
      <c r="LLA76" s="2805"/>
      <c r="LLB76" s="2805"/>
      <c r="LLC76" s="2805"/>
      <c r="LLD76" s="2805"/>
      <c r="LLE76" s="2805"/>
      <c r="LLF76" s="2805"/>
      <c r="LLG76" s="2805"/>
      <c r="LLH76" s="2805"/>
      <c r="LLI76" s="2805"/>
      <c r="LLJ76" s="2805"/>
      <c r="LLK76" s="2805"/>
      <c r="LLL76" s="2805"/>
      <c r="LLM76" s="2805"/>
      <c r="LLN76" s="2805"/>
      <c r="LLO76" s="2805"/>
      <c r="LLP76" s="2805"/>
      <c r="LLQ76" s="2805"/>
      <c r="LLR76" s="2805"/>
      <c r="LLS76" s="2805"/>
      <c r="LLT76" s="2805"/>
      <c r="LLU76" s="2805"/>
      <c r="LLV76" s="2805"/>
      <c r="LLW76" s="2805"/>
      <c r="LLX76" s="2805"/>
      <c r="LLY76" s="2805"/>
      <c r="LLZ76" s="2805"/>
      <c r="LMA76" s="2805"/>
      <c r="LMB76" s="2805"/>
      <c r="LMC76" s="2805"/>
      <c r="LMD76" s="2805"/>
      <c r="LME76" s="2805"/>
      <c r="LMF76" s="2805"/>
      <c r="LMG76" s="2805"/>
      <c r="LMH76" s="2805"/>
      <c r="LMI76" s="2805"/>
      <c r="LMJ76" s="2805"/>
      <c r="LMK76" s="2805"/>
      <c r="LML76" s="2805"/>
      <c r="LMM76" s="2805"/>
      <c r="LMN76" s="2805"/>
      <c r="LMO76" s="2805"/>
      <c r="LMP76" s="2805"/>
      <c r="LMQ76" s="2805"/>
      <c r="LMR76" s="2805"/>
      <c r="LMS76" s="2805"/>
      <c r="LMT76" s="2805"/>
      <c r="LMU76" s="2805"/>
      <c r="LMV76" s="2805"/>
      <c r="LMW76" s="2805"/>
      <c r="LMX76" s="2805"/>
      <c r="LMY76" s="2805"/>
      <c r="LMZ76" s="2805"/>
      <c r="LNA76" s="2805"/>
      <c r="LNB76" s="2805"/>
      <c r="LNC76" s="2805"/>
      <c r="LND76" s="2805"/>
      <c r="LNE76" s="2805"/>
      <c r="LNF76" s="2805"/>
      <c r="LNG76" s="2805"/>
      <c r="LNH76" s="2805"/>
      <c r="LNI76" s="2805"/>
      <c r="LNJ76" s="2805"/>
      <c r="LNK76" s="2805"/>
      <c r="LNL76" s="2805"/>
      <c r="LNM76" s="2805"/>
      <c r="LNN76" s="2805"/>
      <c r="LNO76" s="2805"/>
      <c r="LNP76" s="2805"/>
      <c r="LNQ76" s="2805"/>
      <c r="LNR76" s="2805"/>
      <c r="LNS76" s="2805"/>
      <c r="LNT76" s="2805"/>
      <c r="LNU76" s="2805"/>
      <c r="LNV76" s="2805"/>
      <c r="LNW76" s="2805"/>
      <c r="LNX76" s="2805"/>
      <c r="LNY76" s="2805"/>
      <c r="LNZ76" s="2805"/>
      <c r="LOA76" s="2805"/>
      <c r="LOB76" s="2805"/>
      <c r="LOC76" s="2805"/>
      <c r="LOD76" s="2805"/>
      <c r="LOE76" s="2805"/>
      <c r="LOF76" s="2805"/>
      <c r="LOG76" s="2805"/>
      <c r="LOH76" s="2805"/>
      <c r="LOI76" s="2805"/>
      <c r="LOJ76" s="2805"/>
      <c r="LOK76" s="2805"/>
      <c r="LOL76" s="2805"/>
      <c r="LOM76" s="2805"/>
      <c r="LON76" s="2805"/>
      <c r="LOO76" s="2805"/>
      <c r="LOP76" s="2805"/>
      <c r="LOQ76" s="2805"/>
      <c r="LOR76" s="2805"/>
      <c r="LOS76" s="2805"/>
      <c r="LOT76" s="2805"/>
      <c r="LOU76" s="2805"/>
      <c r="LOV76" s="2805"/>
      <c r="LOW76" s="2805"/>
      <c r="LOX76" s="2805"/>
      <c r="LOY76" s="2805"/>
      <c r="LOZ76" s="2805"/>
      <c r="LPA76" s="2805"/>
      <c r="LPB76" s="2805"/>
      <c r="LPC76" s="2805"/>
      <c r="LPD76" s="2805"/>
      <c r="LPE76" s="2805"/>
      <c r="LPF76" s="2805"/>
      <c r="LPG76" s="2805"/>
      <c r="LPH76" s="2805"/>
      <c r="LPI76" s="2805"/>
      <c r="LPJ76" s="2805"/>
      <c r="LPK76" s="2805"/>
      <c r="LPL76" s="2805"/>
      <c r="LPM76" s="2805"/>
      <c r="LPN76" s="2805"/>
      <c r="LPO76" s="2805"/>
      <c r="LPP76" s="2805"/>
      <c r="LPQ76" s="2805"/>
      <c r="LPR76" s="2805"/>
      <c r="LPS76" s="2805"/>
      <c r="LPT76" s="2805"/>
      <c r="LPU76" s="2805"/>
      <c r="LPV76" s="2805"/>
      <c r="LPW76" s="2805"/>
      <c r="LPX76" s="2805"/>
      <c r="LPY76" s="2805"/>
      <c r="LPZ76" s="2805"/>
      <c r="LQA76" s="2805"/>
      <c r="LQB76" s="2805"/>
      <c r="LQC76" s="2805"/>
      <c r="LQD76" s="2805"/>
      <c r="LQE76" s="2805"/>
      <c r="LQF76" s="2805"/>
      <c r="LQG76" s="2805"/>
      <c r="LQH76" s="2805"/>
      <c r="LQI76" s="2805"/>
      <c r="LQJ76" s="2805"/>
      <c r="LQK76" s="2805"/>
      <c r="LQL76" s="2805"/>
      <c r="LQM76" s="2805"/>
      <c r="LQN76" s="2805"/>
      <c r="LQO76" s="2805"/>
      <c r="LQP76" s="2805"/>
      <c r="LQQ76" s="2805"/>
      <c r="LQR76" s="2805"/>
      <c r="LQS76" s="2805"/>
      <c r="LQT76" s="2805"/>
      <c r="LQU76" s="2805"/>
      <c r="LQV76" s="2805"/>
      <c r="LQW76" s="2805"/>
      <c r="LQX76" s="2805"/>
      <c r="LQY76" s="2805"/>
      <c r="LQZ76" s="2805"/>
      <c r="LRA76" s="2805"/>
      <c r="LRB76" s="2805"/>
      <c r="LRC76" s="2805"/>
      <c r="LRD76" s="2805"/>
      <c r="LRE76" s="2805"/>
      <c r="LRF76" s="2805"/>
      <c r="LRG76" s="2805"/>
      <c r="LRH76" s="2805"/>
      <c r="LRI76" s="2805"/>
      <c r="LRJ76" s="2805"/>
      <c r="LRK76" s="2805"/>
      <c r="LRL76" s="2805"/>
      <c r="LRM76" s="2805"/>
      <c r="LRN76" s="2805"/>
      <c r="LRO76" s="2805"/>
      <c r="LRP76" s="2805"/>
      <c r="LRQ76" s="2805"/>
      <c r="LRR76" s="2805"/>
      <c r="LRS76" s="2805"/>
      <c r="LRT76" s="2805"/>
      <c r="LRU76" s="2805"/>
      <c r="LRV76" s="2805"/>
      <c r="LRW76" s="2805"/>
      <c r="LRX76" s="2805"/>
      <c r="LRY76" s="2805"/>
      <c r="LRZ76" s="2805"/>
      <c r="LSA76" s="2805"/>
      <c r="LSB76" s="2805"/>
      <c r="LSC76" s="2805"/>
      <c r="LSD76" s="2805"/>
      <c r="LSE76" s="2805"/>
      <c r="LSF76" s="2805"/>
      <c r="LSG76" s="2805"/>
      <c r="LSH76" s="2805"/>
      <c r="LSI76" s="2805"/>
      <c r="LSJ76" s="2805"/>
      <c r="LSK76" s="2805"/>
      <c r="LSL76" s="2805"/>
      <c r="LSM76" s="2805"/>
      <c r="LSN76" s="2805"/>
      <c r="LSO76" s="2805"/>
      <c r="LSP76" s="2805"/>
      <c r="LSQ76" s="2805"/>
      <c r="LSR76" s="2805"/>
      <c r="LSS76" s="2805"/>
      <c r="LST76" s="2805"/>
      <c r="LSU76" s="2805"/>
      <c r="LSV76" s="2805"/>
      <c r="LSW76" s="2805"/>
      <c r="LSX76" s="2805"/>
      <c r="LSY76" s="2805"/>
      <c r="LSZ76" s="2805"/>
      <c r="LTA76" s="2805"/>
      <c r="LTB76" s="2805"/>
      <c r="LTC76" s="2805"/>
      <c r="LTD76" s="2805"/>
      <c r="LTE76" s="2805"/>
      <c r="LTF76" s="2805"/>
      <c r="LTG76" s="2805"/>
      <c r="LTH76" s="2805"/>
      <c r="LTI76" s="2805"/>
      <c r="LTJ76" s="2805"/>
      <c r="LTK76" s="2805"/>
      <c r="LTL76" s="2805"/>
      <c r="LTM76" s="2805"/>
      <c r="LTN76" s="2805"/>
      <c r="LTO76" s="2805"/>
      <c r="LTP76" s="2805"/>
      <c r="LTQ76" s="2805"/>
      <c r="LTR76" s="2805"/>
      <c r="LTS76" s="2805"/>
      <c r="LTT76" s="2805"/>
      <c r="LTU76" s="2805"/>
      <c r="LTV76" s="2805"/>
      <c r="LTW76" s="2805"/>
      <c r="LTX76" s="2805"/>
      <c r="LTY76" s="2805"/>
      <c r="LTZ76" s="2805"/>
      <c r="LUA76" s="2805"/>
      <c r="LUB76" s="2805"/>
      <c r="LUC76" s="2805"/>
      <c r="LUD76" s="2805"/>
      <c r="LUE76" s="2805"/>
      <c r="LUF76" s="2805"/>
      <c r="LUG76" s="2805"/>
      <c r="LUH76" s="2805"/>
      <c r="LUI76" s="2805"/>
      <c r="LUJ76" s="2805"/>
      <c r="LUK76" s="2805"/>
      <c r="LUL76" s="2805"/>
      <c r="LUM76" s="2805"/>
      <c r="LUN76" s="2805"/>
      <c r="LUO76" s="2805"/>
      <c r="LUP76" s="2805"/>
      <c r="LUQ76" s="2805"/>
      <c r="LUR76" s="2805"/>
      <c r="LUS76" s="2805"/>
      <c r="LUT76" s="2805"/>
      <c r="LUU76" s="2805"/>
      <c r="LUV76" s="2805"/>
      <c r="LUW76" s="2805"/>
      <c r="LUX76" s="2805"/>
      <c r="LUY76" s="2805"/>
      <c r="LUZ76" s="2805"/>
      <c r="LVA76" s="2805"/>
      <c r="LVB76" s="2805"/>
      <c r="LVC76" s="2805"/>
      <c r="LVD76" s="2805"/>
      <c r="LVE76" s="2805"/>
      <c r="LVF76" s="2805"/>
      <c r="LVG76" s="2805"/>
      <c r="LVH76" s="2805"/>
      <c r="LVI76" s="2805"/>
      <c r="LVJ76" s="2805"/>
      <c r="LVK76" s="2805"/>
      <c r="LVL76" s="2805"/>
      <c r="LVM76" s="2805"/>
      <c r="LVN76" s="2805"/>
      <c r="LVO76" s="2805"/>
      <c r="LVP76" s="2805"/>
      <c r="LVQ76" s="2805"/>
      <c r="LVR76" s="2805"/>
      <c r="LVS76" s="2805"/>
      <c r="LVT76" s="2805"/>
      <c r="LVU76" s="2805"/>
      <c r="LVV76" s="2805"/>
      <c r="LVW76" s="2805"/>
      <c r="LVX76" s="2805"/>
      <c r="LVY76" s="2805"/>
      <c r="LVZ76" s="2805"/>
      <c r="LWA76" s="2805"/>
      <c r="LWB76" s="2805"/>
      <c r="LWC76" s="2805"/>
      <c r="LWD76" s="2805"/>
      <c r="LWE76" s="2805"/>
      <c r="LWF76" s="2805"/>
      <c r="LWG76" s="2805"/>
      <c r="LWH76" s="2805"/>
      <c r="LWI76" s="2805"/>
      <c r="LWJ76" s="2805"/>
      <c r="LWK76" s="2805"/>
      <c r="LWL76" s="2805"/>
      <c r="LWM76" s="2805"/>
      <c r="LWN76" s="2805"/>
      <c r="LWO76" s="2805"/>
      <c r="LWP76" s="2805"/>
      <c r="LWQ76" s="2805"/>
      <c r="LWR76" s="2805"/>
      <c r="LWS76" s="2805"/>
      <c r="LWT76" s="2805"/>
      <c r="LWU76" s="2805"/>
      <c r="LWV76" s="2805"/>
      <c r="LWW76" s="2805"/>
      <c r="LWX76" s="2805"/>
      <c r="LWY76" s="2805"/>
      <c r="LWZ76" s="2805"/>
      <c r="LXA76" s="2805"/>
      <c r="LXB76" s="2805"/>
      <c r="LXC76" s="2805"/>
      <c r="LXD76" s="2805"/>
      <c r="LXE76" s="2805"/>
      <c r="LXF76" s="2805"/>
      <c r="LXG76" s="2805"/>
      <c r="LXH76" s="2805"/>
      <c r="LXI76" s="2805"/>
      <c r="LXJ76" s="2805"/>
      <c r="LXK76" s="2805"/>
      <c r="LXL76" s="2805"/>
      <c r="LXM76" s="2805"/>
      <c r="LXN76" s="2805"/>
      <c r="LXO76" s="2805"/>
      <c r="LXP76" s="2805"/>
      <c r="LXQ76" s="2805"/>
      <c r="LXR76" s="2805"/>
      <c r="LXS76" s="2805"/>
      <c r="LXT76" s="2805"/>
      <c r="LXU76" s="2805"/>
      <c r="LXV76" s="2805"/>
      <c r="LXW76" s="2805"/>
      <c r="LXX76" s="2805"/>
      <c r="LXY76" s="2805"/>
      <c r="LXZ76" s="2805"/>
      <c r="LYA76" s="2805"/>
      <c r="LYB76" s="2805"/>
      <c r="LYC76" s="2805"/>
      <c r="LYD76" s="2805"/>
      <c r="LYE76" s="2805"/>
      <c r="LYF76" s="2805"/>
      <c r="LYG76" s="2805"/>
      <c r="LYH76" s="2805"/>
      <c r="LYI76" s="2805"/>
      <c r="LYJ76" s="2805"/>
      <c r="LYK76" s="2805"/>
      <c r="LYL76" s="2805"/>
      <c r="LYM76" s="2805"/>
      <c r="LYN76" s="2805"/>
      <c r="LYO76" s="2805"/>
      <c r="LYP76" s="2805"/>
      <c r="LYQ76" s="2805"/>
      <c r="LYR76" s="2805"/>
      <c r="LYS76" s="2805"/>
      <c r="LYT76" s="2805"/>
      <c r="LYU76" s="2805"/>
      <c r="LYV76" s="2805"/>
      <c r="LYW76" s="2805"/>
      <c r="LYX76" s="2805"/>
      <c r="LYY76" s="2805"/>
      <c r="LYZ76" s="2805"/>
      <c r="LZA76" s="2805"/>
      <c r="LZB76" s="2805"/>
      <c r="LZC76" s="2805"/>
      <c r="LZD76" s="2805"/>
      <c r="LZE76" s="2805"/>
      <c r="LZF76" s="2805"/>
      <c r="LZG76" s="2805"/>
      <c r="LZH76" s="2805"/>
      <c r="LZI76" s="2805"/>
      <c r="LZJ76" s="2805"/>
      <c r="LZK76" s="2805"/>
      <c r="LZL76" s="2805"/>
      <c r="LZM76" s="2805"/>
      <c r="LZN76" s="2805"/>
      <c r="LZO76" s="2805"/>
      <c r="LZP76" s="2805"/>
      <c r="LZQ76" s="2805"/>
      <c r="LZR76" s="2805"/>
      <c r="LZS76" s="2805"/>
      <c r="LZT76" s="2805"/>
      <c r="LZU76" s="2805"/>
      <c r="LZV76" s="2805"/>
      <c r="LZW76" s="2805"/>
      <c r="LZX76" s="2805"/>
      <c r="LZY76" s="2805"/>
      <c r="LZZ76" s="2805"/>
      <c r="MAA76" s="2805"/>
      <c r="MAB76" s="2805"/>
      <c r="MAC76" s="2805"/>
      <c r="MAD76" s="2805"/>
      <c r="MAE76" s="2805"/>
      <c r="MAF76" s="2805"/>
      <c r="MAG76" s="2805"/>
      <c r="MAH76" s="2805"/>
      <c r="MAI76" s="2805"/>
      <c r="MAJ76" s="2805"/>
      <c r="MAK76" s="2805"/>
      <c r="MAL76" s="2805"/>
      <c r="MAM76" s="2805"/>
      <c r="MAN76" s="2805"/>
      <c r="MAO76" s="2805"/>
      <c r="MAP76" s="2805"/>
      <c r="MAQ76" s="2805"/>
      <c r="MAR76" s="2805"/>
      <c r="MAS76" s="2805"/>
      <c r="MAT76" s="2805"/>
      <c r="MAU76" s="2805"/>
      <c r="MAV76" s="2805"/>
      <c r="MAW76" s="2805"/>
      <c r="MAX76" s="2805"/>
      <c r="MAY76" s="2805"/>
      <c r="MAZ76" s="2805"/>
      <c r="MBA76" s="2805"/>
      <c r="MBB76" s="2805"/>
      <c r="MBC76" s="2805"/>
      <c r="MBD76" s="2805"/>
      <c r="MBE76" s="2805"/>
      <c r="MBF76" s="2805"/>
      <c r="MBG76" s="2805"/>
      <c r="MBH76" s="2805"/>
      <c r="MBI76" s="2805"/>
      <c r="MBJ76" s="2805"/>
      <c r="MBK76" s="2805"/>
      <c r="MBL76" s="2805"/>
      <c r="MBM76" s="2805"/>
      <c r="MBN76" s="2805"/>
      <c r="MBO76" s="2805"/>
      <c r="MBP76" s="2805"/>
      <c r="MBQ76" s="2805"/>
      <c r="MBR76" s="2805"/>
      <c r="MBS76" s="2805"/>
      <c r="MBT76" s="2805"/>
      <c r="MBU76" s="2805"/>
      <c r="MBV76" s="2805"/>
      <c r="MBW76" s="2805"/>
      <c r="MBX76" s="2805"/>
      <c r="MBY76" s="2805"/>
      <c r="MBZ76" s="2805"/>
      <c r="MCA76" s="2805"/>
      <c r="MCB76" s="2805"/>
      <c r="MCC76" s="2805"/>
      <c r="MCD76" s="2805"/>
      <c r="MCE76" s="2805"/>
      <c r="MCF76" s="2805"/>
      <c r="MCG76" s="2805"/>
      <c r="MCH76" s="2805"/>
      <c r="MCI76" s="2805"/>
      <c r="MCJ76" s="2805"/>
      <c r="MCK76" s="2805"/>
      <c r="MCL76" s="2805"/>
      <c r="MCM76" s="2805"/>
      <c r="MCN76" s="2805"/>
      <c r="MCO76" s="2805"/>
      <c r="MCP76" s="2805"/>
      <c r="MCQ76" s="2805"/>
      <c r="MCR76" s="2805"/>
      <c r="MCS76" s="2805"/>
      <c r="MCT76" s="2805"/>
      <c r="MCU76" s="2805"/>
      <c r="MCV76" s="2805"/>
      <c r="MCW76" s="2805"/>
      <c r="MCX76" s="2805"/>
      <c r="MCY76" s="2805"/>
      <c r="MCZ76" s="2805"/>
      <c r="MDA76" s="2805"/>
      <c r="MDB76" s="2805"/>
      <c r="MDC76" s="2805"/>
      <c r="MDD76" s="2805"/>
      <c r="MDE76" s="2805"/>
      <c r="MDF76" s="2805"/>
      <c r="MDG76" s="2805"/>
      <c r="MDH76" s="2805"/>
      <c r="MDI76" s="2805"/>
      <c r="MDJ76" s="2805"/>
      <c r="MDK76" s="2805"/>
      <c r="MDL76" s="2805"/>
      <c r="MDM76" s="2805"/>
      <c r="MDN76" s="2805"/>
      <c r="MDO76" s="2805"/>
      <c r="MDP76" s="2805"/>
      <c r="MDQ76" s="2805"/>
      <c r="MDR76" s="2805"/>
      <c r="MDS76" s="2805"/>
      <c r="MDT76" s="2805"/>
      <c r="MDU76" s="2805"/>
      <c r="MDV76" s="2805"/>
      <c r="MDW76" s="2805"/>
      <c r="MDX76" s="2805"/>
      <c r="MDY76" s="2805"/>
      <c r="MDZ76" s="2805"/>
      <c r="MEA76" s="2805"/>
      <c r="MEB76" s="2805"/>
      <c r="MEC76" s="2805"/>
      <c r="MED76" s="2805"/>
      <c r="MEE76" s="2805"/>
      <c r="MEF76" s="2805"/>
      <c r="MEG76" s="2805"/>
      <c r="MEH76" s="2805"/>
      <c r="MEI76" s="2805"/>
      <c r="MEJ76" s="2805"/>
      <c r="MEK76" s="2805"/>
      <c r="MEL76" s="2805"/>
      <c r="MEM76" s="2805"/>
      <c r="MEN76" s="2805"/>
      <c r="MEO76" s="2805"/>
      <c r="MEP76" s="2805"/>
      <c r="MEQ76" s="2805"/>
      <c r="MER76" s="2805"/>
      <c r="MES76" s="2805"/>
      <c r="MET76" s="2805"/>
      <c r="MEU76" s="2805"/>
      <c r="MEV76" s="2805"/>
      <c r="MEW76" s="2805"/>
      <c r="MEX76" s="2805"/>
      <c r="MEY76" s="2805"/>
      <c r="MEZ76" s="2805"/>
      <c r="MFA76" s="2805"/>
      <c r="MFB76" s="2805"/>
      <c r="MFC76" s="2805"/>
      <c r="MFD76" s="2805"/>
      <c r="MFE76" s="2805"/>
      <c r="MFF76" s="2805"/>
      <c r="MFG76" s="2805"/>
      <c r="MFH76" s="2805"/>
      <c r="MFI76" s="2805"/>
      <c r="MFJ76" s="2805"/>
      <c r="MFK76" s="2805"/>
      <c r="MFL76" s="2805"/>
      <c r="MFM76" s="2805"/>
      <c r="MFN76" s="2805"/>
      <c r="MFO76" s="2805"/>
      <c r="MFP76" s="2805"/>
      <c r="MFQ76" s="2805"/>
      <c r="MFR76" s="2805"/>
      <c r="MFS76" s="2805"/>
      <c r="MFT76" s="2805"/>
      <c r="MFU76" s="2805"/>
      <c r="MFV76" s="2805"/>
      <c r="MFW76" s="2805"/>
      <c r="MFX76" s="2805"/>
      <c r="MFY76" s="2805"/>
      <c r="MFZ76" s="2805"/>
      <c r="MGA76" s="2805"/>
      <c r="MGB76" s="2805"/>
      <c r="MGC76" s="2805"/>
      <c r="MGD76" s="2805"/>
      <c r="MGE76" s="2805"/>
      <c r="MGF76" s="2805"/>
      <c r="MGG76" s="2805"/>
      <c r="MGH76" s="2805"/>
      <c r="MGI76" s="2805"/>
      <c r="MGJ76" s="2805"/>
      <c r="MGK76" s="2805"/>
      <c r="MGL76" s="2805"/>
      <c r="MGM76" s="2805"/>
      <c r="MGN76" s="2805"/>
      <c r="MGO76" s="2805"/>
      <c r="MGP76" s="2805"/>
      <c r="MGQ76" s="2805"/>
      <c r="MGR76" s="2805"/>
      <c r="MGS76" s="2805"/>
      <c r="MGT76" s="2805"/>
      <c r="MGU76" s="2805"/>
      <c r="MGV76" s="2805"/>
      <c r="MGW76" s="2805"/>
      <c r="MGX76" s="2805"/>
      <c r="MGY76" s="2805"/>
      <c r="MGZ76" s="2805"/>
      <c r="MHA76" s="2805"/>
      <c r="MHB76" s="2805"/>
      <c r="MHC76" s="2805"/>
      <c r="MHD76" s="2805"/>
      <c r="MHE76" s="2805"/>
      <c r="MHF76" s="2805"/>
      <c r="MHG76" s="2805"/>
      <c r="MHH76" s="2805"/>
      <c r="MHI76" s="2805"/>
      <c r="MHJ76" s="2805"/>
      <c r="MHK76" s="2805"/>
      <c r="MHL76" s="2805"/>
      <c r="MHM76" s="2805"/>
      <c r="MHN76" s="2805"/>
      <c r="MHO76" s="2805"/>
      <c r="MHP76" s="2805"/>
      <c r="MHQ76" s="2805"/>
      <c r="MHR76" s="2805"/>
      <c r="MHS76" s="2805"/>
      <c r="MHT76" s="2805"/>
      <c r="MHU76" s="2805"/>
      <c r="MHV76" s="2805"/>
      <c r="MHW76" s="2805"/>
      <c r="MHX76" s="2805"/>
      <c r="MHY76" s="2805"/>
      <c r="MHZ76" s="2805"/>
      <c r="MIA76" s="2805"/>
      <c r="MIB76" s="2805"/>
      <c r="MIC76" s="2805"/>
      <c r="MID76" s="2805"/>
      <c r="MIE76" s="2805"/>
      <c r="MIF76" s="2805"/>
      <c r="MIG76" s="2805"/>
      <c r="MIH76" s="2805"/>
      <c r="MII76" s="2805"/>
      <c r="MIJ76" s="2805"/>
      <c r="MIK76" s="2805"/>
      <c r="MIL76" s="2805"/>
      <c r="MIM76" s="2805"/>
      <c r="MIN76" s="2805"/>
      <c r="MIO76" s="2805"/>
      <c r="MIP76" s="2805"/>
      <c r="MIQ76" s="2805"/>
      <c r="MIR76" s="2805"/>
      <c r="MIS76" s="2805"/>
      <c r="MIT76" s="2805"/>
      <c r="MIU76" s="2805"/>
      <c r="MIV76" s="2805"/>
      <c r="MIW76" s="2805"/>
      <c r="MIX76" s="2805"/>
      <c r="MIY76" s="2805"/>
      <c r="MIZ76" s="2805"/>
      <c r="MJA76" s="2805"/>
      <c r="MJB76" s="2805"/>
      <c r="MJC76" s="2805"/>
      <c r="MJD76" s="2805"/>
      <c r="MJE76" s="2805"/>
      <c r="MJF76" s="2805"/>
      <c r="MJG76" s="2805"/>
      <c r="MJH76" s="2805"/>
      <c r="MJI76" s="2805"/>
      <c r="MJJ76" s="2805"/>
      <c r="MJK76" s="2805"/>
      <c r="MJL76" s="2805"/>
      <c r="MJM76" s="2805"/>
      <c r="MJN76" s="2805"/>
      <c r="MJO76" s="2805"/>
      <c r="MJP76" s="2805"/>
      <c r="MJQ76" s="2805"/>
      <c r="MJR76" s="2805"/>
      <c r="MJS76" s="2805"/>
      <c r="MJT76" s="2805"/>
      <c r="MJU76" s="2805"/>
      <c r="MJV76" s="2805"/>
      <c r="MJW76" s="2805"/>
      <c r="MJX76" s="2805"/>
      <c r="MJY76" s="2805"/>
      <c r="MJZ76" s="2805"/>
      <c r="MKA76" s="2805"/>
      <c r="MKB76" s="2805"/>
      <c r="MKC76" s="2805"/>
      <c r="MKD76" s="2805"/>
      <c r="MKE76" s="2805"/>
      <c r="MKF76" s="2805"/>
      <c r="MKG76" s="2805"/>
      <c r="MKH76" s="2805"/>
      <c r="MKI76" s="2805"/>
      <c r="MKJ76" s="2805"/>
      <c r="MKK76" s="2805"/>
      <c r="MKL76" s="2805"/>
      <c r="MKM76" s="2805"/>
      <c r="MKN76" s="2805"/>
      <c r="MKO76" s="2805"/>
      <c r="MKP76" s="2805"/>
      <c r="MKQ76" s="2805"/>
      <c r="MKR76" s="2805"/>
      <c r="MKS76" s="2805"/>
      <c r="MKT76" s="2805"/>
      <c r="MKU76" s="2805"/>
      <c r="MKV76" s="2805"/>
      <c r="MKW76" s="2805"/>
      <c r="MKX76" s="2805"/>
      <c r="MKY76" s="2805"/>
      <c r="MKZ76" s="2805"/>
      <c r="MLA76" s="2805"/>
      <c r="MLB76" s="2805"/>
      <c r="MLC76" s="2805"/>
      <c r="MLD76" s="2805"/>
      <c r="MLE76" s="2805"/>
      <c r="MLF76" s="2805"/>
      <c r="MLG76" s="2805"/>
      <c r="MLH76" s="2805"/>
      <c r="MLI76" s="2805"/>
      <c r="MLJ76" s="2805"/>
      <c r="MLK76" s="2805"/>
      <c r="MLL76" s="2805"/>
      <c r="MLM76" s="2805"/>
      <c r="MLN76" s="2805"/>
      <c r="MLO76" s="2805"/>
      <c r="MLP76" s="2805"/>
      <c r="MLQ76" s="2805"/>
      <c r="MLR76" s="2805"/>
      <c r="MLS76" s="2805"/>
      <c r="MLT76" s="2805"/>
      <c r="MLU76" s="2805"/>
      <c r="MLV76" s="2805"/>
      <c r="MLW76" s="2805"/>
      <c r="MLX76" s="2805"/>
      <c r="MLY76" s="2805"/>
      <c r="MLZ76" s="2805"/>
      <c r="MMA76" s="2805"/>
      <c r="MMB76" s="2805"/>
      <c r="MMC76" s="2805"/>
      <c r="MMD76" s="2805"/>
      <c r="MME76" s="2805"/>
      <c r="MMF76" s="2805"/>
      <c r="MMG76" s="2805"/>
      <c r="MMH76" s="2805"/>
      <c r="MMI76" s="2805"/>
      <c r="MMJ76" s="2805"/>
      <c r="MMK76" s="2805"/>
      <c r="MML76" s="2805"/>
      <c r="MMM76" s="2805"/>
      <c r="MMN76" s="2805"/>
      <c r="MMO76" s="2805"/>
      <c r="MMP76" s="2805"/>
      <c r="MMQ76" s="2805"/>
      <c r="MMR76" s="2805"/>
      <c r="MMS76" s="2805"/>
      <c r="MMT76" s="2805"/>
      <c r="MMU76" s="2805"/>
      <c r="MMV76" s="2805"/>
      <c r="MMW76" s="2805"/>
      <c r="MMX76" s="2805"/>
      <c r="MMY76" s="2805"/>
      <c r="MMZ76" s="2805"/>
      <c r="MNA76" s="2805"/>
      <c r="MNB76" s="2805"/>
      <c r="MNC76" s="2805"/>
      <c r="MND76" s="2805"/>
      <c r="MNE76" s="2805"/>
      <c r="MNF76" s="2805"/>
      <c r="MNG76" s="2805"/>
      <c r="MNH76" s="2805"/>
      <c r="MNI76" s="2805"/>
      <c r="MNJ76" s="2805"/>
      <c r="MNK76" s="2805"/>
      <c r="MNL76" s="2805"/>
      <c r="MNM76" s="2805"/>
      <c r="MNN76" s="2805"/>
      <c r="MNO76" s="2805"/>
      <c r="MNP76" s="2805"/>
      <c r="MNQ76" s="2805"/>
      <c r="MNR76" s="2805"/>
      <c r="MNS76" s="2805"/>
      <c r="MNT76" s="2805"/>
      <c r="MNU76" s="2805"/>
      <c r="MNV76" s="2805"/>
      <c r="MNW76" s="2805"/>
      <c r="MNX76" s="2805"/>
      <c r="MNY76" s="2805"/>
      <c r="MNZ76" s="2805"/>
      <c r="MOA76" s="2805"/>
      <c r="MOB76" s="2805"/>
      <c r="MOC76" s="2805"/>
      <c r="MOD76" s="2805"/>
      <c r="MOE76" s="2805"/>
      <c r="MOF76" s="2805"/>
      <c r="MOG76" s="2805"/>
      <c r="MOH76" s="2805"/>
      <c r="MOI76" s="2805"/>
      <c r="MOJ76" s="2805"/>
      <c r="MOK76" s="2805"/>
      <c r="MOL76" s="2805"/>
      <c r="MOM76" s="2805"/>
      <c r="MON76" s="2805"/>
      <c r="MOO76" s="2805"/>
      <c r="MOP76" s="2805"/>
      <c r="MOQ76" s="2805"/>
      <c r="MOR76" s="2805"/>
      <c r="MOS76" s="2805"/>
      <c r="MOT76" s="2805"/>
      <c r="MOU76" s="2805"/>
      <c r="MOV76" s="2805"/>
      <c r="MOW76" s="2805"/>
      <c r="MOX76" s="2805"/>
      <c r="MOY76" s="2805"/>
      <c r="MOZ76" s="2805"/>
      <c r="MPA76" s="2805"/>
      <c r="MPB76" s="2805"/>
      <c r="MPC76" s="2805"/>
      <c r="MPD76" s="2805"/>
      <c r="MPE76" s="2805"/>
      <c r="MPF76" s="2805"/>
      <c r="MPG76" s="2805"/>
      <c r="MPH76" s="2805"/>
      <c r="MPI76" s="2805"/>
      <c r="MPJ76" s="2805"/>
      <c r="MPK76" s="2805"/>
      <c r="MPL76" s="2805"/>
      <c r="MPM76" s="2805"/>
      <c r="MPN76" s="2805"/>
      <c r="MPO76" s="2805"/>
      <c r="MPP76" s="2805"/>
      <c r="MPQ76" s="2805"/>
      <c r="MPR76" s="2805"/>
      <c r="MPS76" s="2805"/>
      <c r="MPT76" s="2805"/>
      <c r="MPU76" s="2805"/>
      <c r="MPV76" s="2805"/>
      <c r="MPW76" s="2805"/>
      <c r="MPX76" s="2805"/>
      <c r="MPY76" s="2805"/>
      <c r="MPZ76" s="2805"/>
      <c r="MQA76" s="2805"/>
      <c r="MQB76" s="2805"/>
      <c r="MQC76" s="2805"/>
      <c r="MQD76" s="2805"/>
      <c r="MQE76" s="2805"/>
      <c r="MQF76" s="2805"/>
      <c r="MQG76" s="2805"/>
      <c r="MQH76" s="2805"/>
      <c r="MQI76" s="2805"/>
      <c r="MQJ76" s="2805"/>
      <c r="MQK76" s="2805"/>
      <c r="MQL76" s="2805"/>
      <c r="MQM76" s="2805"/>
      <c r="MQN76" s="2805"/>
      <c r="MQO76" s="2805"/>
      <c r="MQP76" s="2805"/>
      <c r="MQQ76" s="2805"/>
      <c r="MQR76" s="2805"/>
      <c r="MQS76" s="2805"/>
      <c r="MQT76" s="2805"/>
      <c r="MQU76" s="2805"/>
      <c r="MQV76" s="2805"/>
      <c r="MQW76" s="2805"/>
      <c r="MQX76" s="2805"/>
      <c r="MQY76" s="2805"/>
      <c r="MQZ76" s="2805"/>
      <c r="MRA76" s="2805"/>
      <c r="MRB76" s="2805"/>
      <c r="MRC76" s="2805"/>
      <c r="MRD76" s="2805"/>
      <c r="MRE76" s="2805"/>
      <c r="MRF76" s="2805"/>
      <c r="MRG76" s="2805"/>
      <c r="MRH76" s="2805"/>
      <c r="MRI76" s="2805"/>
      <c r="MRJ76" s="2805"/>
      <c r="MRK76" s="2805"/>
      <c r="MRL76" s="2805"/>
      <c r="MRM76" s="2805"/>
      <c r="MRN76" s="2805"/>
      <c r="MRO76" s="2805"/>
      <c r="MRP76" s="2805"/>
      <c r="MRQ76" s="2805"/>
      <c r="MRR76" s="2805"/>
      <c r="MRS76" s="2805"/>
      <c r="MRT76" s="2805"/>
      <c r="MRU76" s="2805"/>
      <c r="MRV76" s="2805"/>
      <c r="MRW76" s="2805"/>
      <c r="MRX76" s="2805"/>
      <c r="MRY76" s="2805"/>
      <c r="MRZ76" s="2805"/>
      <c r="MSA76" s="2805"/>
      <c r="MSB76" s="2805"/>
      <c r="MSC76" s="2805"/>
      <c r="MSD76" s="2805"/>
      <c r="MSE76" s="2805"/>
      <c r="MSF76" s="2805"/>
      <c r="MSG76" s="2805"/>
      <c r="MSH76" s="2805"/>
      <c r="MSI76" s="2805"/>
      <c r="MSJ76" s="2805"/>
      <c r="MSK76" s="2805"/>
      <c r="MSL76" s="2805"/>
      <c r="MSM76" s="2805"/>
      <c r="MSN76" s="2805"/>
      <c r="MSO76" s="2805"/>
      <c r="MSP76" s="2805"/>
      <c r="MSQ76" s="2805"/>
      <c r="MSR76" s="2805"/>
      <c r="MSS76" s="2805"/>
      <c r="MST76" s="2805"/>
      <c r="MSU76" s="2805"/>
      <c r="MSV76" s="2805"/>
      <c r="MSW76" s="2805"/>
      <c r="MSX76" s="2805"/>
      <c r="MSY76" s="2805"/>
      <c r="MSZ76" s="2805"/>
      <c r="MTA76" s="2805"/>
      <c r="MTB76" s="2805"/>
      <c r="MTC76" s="2805"/>
      <c r="MTD76" s="2805"/>
      <c r="MTE76" s="2805"/>
      <c r="MTF76" s="2805"/>
      <c r="MTG76" s="2805"/>
      <c r="MTH76" s="2805"/>
      <c r="MTI76" s="2805"/>
      <c r="MTJ76" s="2805"/>
      <c r="MTK76" s="2805"/>
      <c r="MTL76" s="2805"/>
      <c r="MTM76" s="2805"/>
      <c r="MTN76" s="2805"/>
      <c r="MTO76" s="2805"/>
      <c r="MTP76" s="2805"/>
      <c r="MTQ76" s="2805"/>
      <c r="MTR76" s="2805"/>
      <c r="MTS76" s="2805"/>
      <c r="MTT76" s="2805"/>
      <c r="MTU76" s="2805"/>
      <c r="MTV76" s="2805"/>
      <c r="MTW76" s="2805"/>
      <c r="MTX76" s="2805"/>
      <c r="MTY76" s="2805"/>
      <c r="MTZ76" s="2805"/>
      <c r="MUA76" s="2805"/>
      <c r="MUB76" s="2805"/>
      <c r="MUC76" s="2805"/>
      <c r="MUD76" s="2805"/>
      <c r="MUE76" s="2805"/>
      <c r="MUF76" s="2805"/>
      <c r="MUG76" s="2805"/>
      <c r="MUH76" s="2805"/>
      <c r="MUI76" s="2805"/>
      <c r="MUJ76" s="2805"/>
      <c r="MUK76" s="2805"/>
      <c r="MUL76" s="2805"/>
      <c r="MUM76" s="2805"/>
      <c r="MUN76" s="2805"/>
      <c r="MUO76" s="2805"/>
      <c r="MUP76" s="2805"/>
      <c r="MUQ76" s="2805"/>
      <c r="MUR76" s="2805"/>
      <c r="MUS76" s="2805"/>
      <c r="MUT76" s="2805"/>
      <c r="MUU76" s="2805"/>
      <c r="MUV76" s="2805"/>
      <c r="MUW76" s="2805"/>
      <c r="MUX76" s="2805"/>
      <c r="MUY76" s="2805"/>
      <c r="MUZ76" s="2805"/>
      <c r="MVA76" s="2805"/>
      <c r="MVB76" s="2805"/>
      <c r="MVC76" s="2805"/>
      <c r="MVD76" s="2805"/>
      <c r="MVE76" s="2805"/>
      <c r="MVF76" s="2805"/>
      <c r="MVG76" s="2805"/>
      <c r="MVH76" s="2805"/>
      <c r="MVI76" s="2805"/>
      <c r="MVJ76" s="2805"/>
      <c r="MVK76" s="2805"/>
      <c r="MVL76" s="2805"/>
      <c r="MVM76" s="2805"/>
      <c r="MVN76" s="2805"/>
      <c r="MVO76" s="2805"/>
      <c r="MVP76" s="2805"/>
      <c r="MVQ76" s="2805"/>
      <c r="MVR76" s="2805"/>
      <c r="MVS76" s="2805"/>
      <c r="MVT76" s="2805"/>
      <c r="MVU76" s="2805"/>
      <c r="MVV76" s="2805"/>
      <c r="MVW76" s="2805"/>
      <c r="MVX76" s="2805"/>
      <c r="MVY76" s="2805"/>
      <c r="MVZ76" s="2805"/>
      <c r="MWA76" s="2805"/>
      <c r="MWB76" s="2805"/>
      <c r="MWC76" s="2805"/>
      <c r="MWD76" s="2805"/>
      <c r="MWE76" s="2805"/>
      <c r="MWF76" s="2805"/>
      <c r="MWG76" s="2805"/>
      <c r="MWH76" s="2805"/>
      <c r="MWI76" s="2805"/>
      <c r="MWJ76" s="2805"/>
      <c r="MWK76" s="2805"/>
      <c r="MWL76" s="2805"/>
      <c r="MWM76" s="2805"/>
      <c r="MWN76" s="2805"/>
      <c r="MWO76" s="2805"/>
      <c r="MWP76" s="2805"/>
      <c r="MWQ76" s="2805"/>
      <c r="MWR76" s="2805"/>
      <c r="MWS76" s="2805"/>
      <c r="MWT76" s="2805"/>
      <c r="MWU76" s="2805"/>
      <c r="MWV76" s="2805"/>
      <c r="MWW76" s="2805"/>
      <c r="MWX76" s="2805"/>
      <c r="MWY76" s="2805"/>
      <c r="MWZ76" s="2805"/>
      <c r="MXA76" s="2805"/>
      <c r="MXB76" s="2805"/>
      <c r="MXC76" s="2805"/>
      <c r="MXD76" s="2805"/>
      <c r="MXE76" s="2805"/>
      <c r="MXF76" s="2805"/>
      <c r="MXG76" s="2805"/>
      <c r="MXH76" s="2805"/>
      <c r="MXI76" s="2805"/>
      <c r="MXJ76" s="2805"/>
      <c r="MXK76" s="2805"/>
      <c r="MXL76" s="2805"/>
      <c r="MXM76" s="2805"/>
      <c r="MXN76" s="2805"/>
      <c r="MXO76" s="2805"/>
      <c r="MXP76" s="2805"/>
      <c r="MXQ76" s="2805"/>
      <c r="MXR76" s="2805"/>
      <c r="MXS76" s="2805"/>
      <c r="MXT76" s="2805"/>
      <c r="MXU76" s="2805"/>
      <c r="MXV76" s="2805"/>
      <c r="MXW76" s="2805"/>
      <c r="MXX76" s="2805"/>
      <c r="MXY76" s="2805"/>
      <c r="MXZ76" s="2805"/>
      <c r="MYA76" s="2805"/>
      <c r="MYB76" s="2805"/>
      <c r="MYC76" s="2805"/>
      <c r="MYD76" s="2805"/>
      <c r="MYE76" s="2805"/>
      <c r="MYF76" s="2805"/>
      <c r="MYG76" s="2805"/>
      <c r="MYH76" s="2805"/>
      <c r="MYI76" s="2805"/>
      <c r="MYJ76" s="2805"/>
      <c r="MYK76" s="2805"/>
      <c r="MYL76" s="2805"/>
      <c r="MYM76" s="2805"/>
      <c r="MYN76" s="2805"/>
      <c r="MYO76" s="2805"/>
      <c r="MYP76" s="2805"/>
      <c r="MYQ76" s="2805"/>
      <c r="MYR76" s="2805"/>
      <c r="MYS76" s="2805"/>
      <c r="MYT76" s="2805"/>
      <c r="MYU76" s="2805"/>
      <c r="MYV76" s="2805"/>
      <c r="MYW76" s="2805"/>
      <c r="MYX76" s="2805"/>
      <c r="MYY76" s="2805"/>
      <c r="MYZ76" s="2805"/>
      <c r="MZA76" s="2805"/>
      <c r="MZB76" s="2805"/>
      <c r="MZC76" s="2805"/>
      <c r="MZD76" s="2805"/>
      <c r="MZE76" s="2805"/>
      <c r="MZF76" s="2805"/>
      <c r="MZG76" s="2805"/>
      <c r="MZH76" s="2805"/>
      <c r="MZI76" s="2805"/>
      <c r="MZJ76" s="2805"/>
      <c r="MZK76" s="2805"/>
      <c r="MZL76" s="2805"/>
      <c r="MZM76" s="2805"/>
      <c r="MZN76" s="2805"/>
      <c r="MZO76" s="2805"/>
      <c r="MZP76" s="2805"/>
      <c r="MZQ76" s="2805"/>
      <c r="MZR76" s="2805"/>
      <c r="MZS76" s="2805"/>
      <c r="MZT76" s="2805"/>
      <c r="MZU76" s="2805"/>
      <c r="MZV76" s="2805"/>
      <c r="MZW76" s="2805"/>
      <c r="MZX76" s="2805"/>
      <c r="MZY76" s="2805"/>
      <c r="MZZ76" s="2805"/>
      <c r="NAA76" s="2805"/>
      <c r="NAB76" s="2805"/>
      <c r="NAC76" s="2805"/>
      <c r="NAD76" s="2805"/>
      <c r="NAE76" s="2805"/>
      <c r="NAF76" s="2805"/>
      <c r="NAG76" s="2805"/>
      <c r="NAH76" s="2805"/>
      <c r="NAI76" s="2805"/>
      <c r="NAJ76" s="2805"/>
      <c r="NAK76" s="2805"/>
      <c r="NAL76" s="2805"/>
      <c r="NAM76" s="2805"/>
      <c r="NAN76" s="2805"/>
      <c r="NAO76" s="2805"/>
      <c r="NAP76" s="2805"/>
      <c r="NAQ76" s="2805"/>
      <c r="NAR76" s="2805"/>
      <c r="NAS76" s="2805"/>
      <c r="NAT76" s="2805"/>
      <c r="NAU76" s="2805"/>
      <c r="NAV76" s="2805"/>
      <c r="NAW76" s="2805"/>
      <c r="NAX76" s="2805"/>
      <c r="NAY76" s="2805"/>
      <c r="NAZ76" s="2805"/>
      <c r="NBA76" s="2805"/>
      <c r="NBB76" s="2805"/>
      <c r="NBC76" s="2805"/>
      <c r="NBD76" s="2805"/>
      <c r="NBE76" s="2805"/>
      <c r="NBF76" s="2805"/>
      <c r="NBG76" s="2805"/>
      <c r="NBH76" s="2805"/>
      <c r="NBI76" s="2805"/>
      <c r="NBJ76" s="2805"/>
      <c r="NBK76" s="2805"/>
      <c r="NBL76" s="2805"/>
      <c r="NBM76" s="2805"/>
      <c r="NBN76" s="2805"/>
      <c r="NBO76" s="2805"/>
      <c r="NBP76" s="2805"/>
      <c r="NBQ76" s="2805"/>
      <c r="NBR76" s="2805"/>
      <c r="NBS76" s="2805"/>
      <c r="NBT76" s="2805"/>
      <c r="NBU76" s="2805"/>
      <c r="NBV76" s="2805"/>
      <c r="NBW76" s="2805"/>
      <c r="NBX76" s="2805"/>
      <c r="NBY76" s="2805"/>
      <c r="NBZ76" s="2805"/>
      <c r="NCA76" s="2805"/>
      <c r="NCB76" s="2805"/>
      <c r="NCC76" s="2805"/>
      <c r="NCD76" s="2805"/>
      <c r="NCE76" s="2805"/>
      <c r="NCF76" s="2805"/>
      <c r="NCG76" s="2805"/>
      <c r="NCH76" s="2805"/>
      <c r="NCI76" s="2805"/>
      <c r="NCJ76" s="2805"/>
      <c r="NCK76" s="2805"/>
      <c r="NCL76" s="2805"/>
      <c r="NCM76" s="2805"/>
      <c r="NCN76" s="2805"/>
      <c r="NCO76" s="2805"/>
      <c r="NCP76" s="2805"/>
      <c r="NCQ76" s="2805"/>
      <c r="NCR76" s="2805"/>
      <c r="NCS76" s="2805"/>
      <c r="NCT76" s="2805"/>
      <c r="NCU76" s="2805"/>
      <c r="NCV76" s="2805"/>
      <c r="NCW76" s="2805"/>
      <c r="NCX76" s="2805"/>
      <c r="NCY76" s="2805"/>
      <c r="NCZ76" s="2805"/>
      <c r="NDA76" s="2805"/>
      <c r="NDB76" s="2805"/>
      <c r="NDC76" s="2805"/>
      <c r="NDD76" s="2805"/>
      <c r="NDE76" s="2805"/>
      <c r="NDF76" s="2805"/>
      <c r="NDG76" s="2805"/>
      <c r="NDH76" s="2805"/>
      <c r="NDI76" s="2805"/>
      <c r="NDJ76" s="2805"/>
      <c r="NDK76" s="2805"/>
      <c r="NDL76" s="2805"/>
      <c r="NDM76" s="2805"/>
      <c r="NDN76" s="2805"/>
      <c r="NDO76" s="2805"/>
      <c r="NDP76" s="2805"/>
      <c r="NDQ76" s="2805"/>
      <c r="NDR76" s="2805"/>
      <c r="NDS76" s="2805"/>
      <c r="NDT76" s="2805"/>
      <c r="NDU76" s="2805"/>
      <c r="NDV76" s="2805"/>
      <c r="NDW76" s="2805"/>
      <c r="NDX76" s="2805"/>
      <c r="NDY76" s="2805"/>
      <c r="NDZ76" s="2805"/>
      <c r="NEA76" s="2805"/>
      <c r="NEB76" s="2805"/>
      <c r="NEC76" s="2805"/>
      <c r="NED76" s="2805"/>
      <c r="NEE76" s="2805"/>
      <c r="NEF76" s="2805"/>
      <c r="NEG76" s="2805"/>
      <c r="NEH76" s="2805"/>
      <c r="NEI76" s="2805"/>
      <c r="NEJ76" s="2805"/>
      <c r="NEK76" s="2805"/>
      <c r="NEL76" s="2805"/>
      <c r="NEM76" s="2805"/>
      <c r="NEN76" s="2805"/>
      <c r="NEO76" s="2805"/>
      <c r="NEP76" s="2805"/>
      <c r="NEQ76" s="2805"/>
      <c r="NER76" s="2805"/>
      <c r="NES76" s="2805"/>
      <c r="NET76" s="2805"/>
      <c r="NEU76" s="2805"/>
      <c r="NEV76" s="2805"/>
      <c r="NEW76" s="2805"/>
      <c r="NEX76" s="2805"/>
      <c r="NEY76" s="2805"/>
      <c r="NEZ76" s="2805"/>
      <c r="NFA76" s="2805"/>
      <c r="NFB76" s="2805"/>
      <c r="NFC76" s="2805"/>
      <c r="NFD76" s="2805"/>
      <c r="NFE76" s="2805"/>
      <c r="NFF76" s="2805"/>
      <c r="NFG76" s="2805"/>
      <c r="NFH76" s="2805"/>
      <c r="NFI76" s="2805"/>
      <c r="NFJ76" s="2805"/>
      <c r="NFK76" s="2805"/>
      <c r="NFL76" s="2805"/>
      <c r="NFM76" s="2805"/>
      <c r="NFN76" s="2805"/>
      <c r="NFO76" s="2805"/>
      <c r="NFP76" s="2805"/>
      <c r="NFQ76" s="2805"/>
      <c r="NFR76" s="2805"/>
      <c r="NFS76" s="2805"/>
      <c r="NFT76" s="2805"/>
      <c r="NFU76" s="2805"/>
      <c r="NFV76" s="2805"/>
      <c r="NFW76" s="2805"/>
      <c r="NFX76" s="2805"/>
      <c r="NFY76" s="2805"/>
      <c r="NFZ76" s="2805"/>
      <c r="NGA76" s="2805"/>
      <c r="NGB76" s="2805"/>
      <c r="NGC76" s="2805"/>
      <c r="NGD76" s="2805"/>
      <c r="NGE76" s="2805"/>
      <c r="NGF76" s="2805"/>
      <c r="NGG76" s="2805"/>
      <c r="NGH76" s="2805"/>
      <c r="NGI76" s="2805"/>
      <c r="NGJ76" s="2805"/>
      <c r="NGK76" s="2805"/>
      <c r="NGL76" s="2805"/>
      <c r="NGM76" s="2805"/>
      <c r="NGN76" s="2805"/>
      <c r="NGO76" s="2805"/>
      <c r="NGP76" s="2805"/>
      <c r="NGQ76" s="2805"/>
      <c r="NGR76" s="2805"/>
      <c r="NGS76" s="2805"/>
      <c r="NGT76" s="2805"/>
      <c r="NGU76" s="2805"/>
      <c r="NGV76" s="2805"/>
      <c r="NGW76" s="2805"/>
      <c r="NGX76" s="2805"/>
      <c r="NGY76" s="2805"/>
      <c r="NGZ76" s="2805"/>
      <c r="NHA76" s="2805"/>
      <c r="NHB76" s="2805"/>
      <c r="NHC76" s="2805"/>
      <c r="NHD76" s="2805"/>
      <c r="NHE76" s="2805"/>
      <c r="NHF76" s="2805"/>
      <c r="NHG76" s="2805"/>
      <c r="NHH76" s="2805"/>
      <c r="NHI76" s="2805"/>
      <c r="NHJ76" s="2805"/>
      <c r="NHK76" s="2805"/>
      <c r="NHL76" s="2805"/>
      <c r="NHM76" s="2805"/>
      <c r="NHN76" s="2805"/>
      <c r="NHO76" s="2805"/>
      <c r="NHP76" s="2805"/>
      <c r="NHQ76" s="2805"/>
      <c r="NHR76" s="2805"/>
      <c r="NHS76" s="2805"/>
      <c r="NHT76" s="2805"/>
      <c r="NHU76" s="2805"/>
      <c r="NHV76" s="2805"/>
      <c r="NHW76" s="2805"/>
      <c r="NHX76" s="2805"/>
      <c r="NHY76" s="2805"/>
      <c r="NHZ76" s="2805"/>
      <c r="NIA76" s="2805"/>
      <c r="NIB76" s="2805"/>
      <c r="NIC76" s="2805"/>
      <c r="NID76" s="2805"/>
      <c r="NIE76" s="2805"/>
      <c r="NIF76" s="2805"/>
      <c r="NIG76" s="2805"/>
      <c r="NIH76" s="2805"/>
      <c r="NII76" s="2805"/>
      <c r="NIJ76" s="2805"/>
      <c r="NIK76" s="2805"/>
      <c r="NIL76" s="2805"/>
      <c r="NIM76" s="2805"/>
      <c r="NIN76" s="2805"/>
      <c r="NIO76" s="2805"/>
      <c r="NIP76" s="2805"/>
      <c r="NIQ76" s="2805"/>
      <c r="NIR76" s="2805"/>
      <c r="NIS76" s="2805"/>
      <c r="NIT76" s="2805"/>
      <c r="NIU76" s="2805"/>
      <c r="NIV76" s="2805"/>
      <c r="NIW76" s="2805"/>
      <c r="NIX76" s="2805"/>
      <c r="NIY76" s="2805"/>
      <c r="NIZ76" s="2805"/>
      <c r="NJA76" s="2805"/>
      <c r="NJB76" s="2805"/>
      <c r="NJC76" s="2805"/>
      <c r="NJD76" s="2805"/>
      <c r="NJE76" s="2805"/>
      <c r="NJF76" s="2805"/>
      <c r="NJG76" s="2805"/>
      <c r="NJH76" s="2805"/>
      <c r="NJI76" s="2805"/>
      <c r="NJJ76" s="2805"/>
      <c r="NJK76" s="2805"/>
      <c r="NJL76" s="2805"/>
      <c r="NJM76" s="2805"/>
      <c r="NJN76" s="2805"/>
      <c r="NJO76" s="2805"/>
      <c r="NJP76" s="2805"/>
      <c r="NJQ76" s="2805"/>
      <c r="NJR76" s="2805"/>
      <c r="NJS76" s="2805"/>
      <c r="NJT76" s="2805"/>
      <c r="NJU76" s="2805"/>
      <c r="NJV76" s="2805"/>
      <c r="NJW76" s="2805"/>
      <c r="NJX76" s="2805"/>
      <c r="NJY76" s="2805"/>
      <c r="NJZ76" s="2805"/>
      <c r="NKA76" s="2805"/>
      <c r="NKB76" s="2805"/>
      <c r="NKC76" s="2805"/>
      <c r="NKD76" s="2805"/>
      <c r="NKE76" s="2805"/>
      <c r="NKF76" s="2805"/>
      <c r="NKG76" s="2805"/>
      <c r="NKH76" s="2805"/>
      <c r="NKI76" s="2805"/>
      <c r="NKJ76" s="2805"/>
      <c r="NKK76" s="2805"/>
      <c r="NKL76" s="2805"/>
      <c r="NKM76" s="2805"/>
      <c r="NKN76" s="2805"/>
      <c r="NKO76" s="2805"/>
      <c r="NKP76" s="2805"/>
      <c r="NKQ76" s="2805"/>
      <c r="NKR76" s="2805"/>
      <c r="NKS76" s="2805"/>
      <c r="NKT76" s="2805"/>
      <c r="NKU76" s="2805"/>
      <c r="NKV76" s="2805"/>
      <c r="NKW76" s="2805"/>
      <c r="NKX76" s="2805"/>
      <c r="NKY76" s="2805"/>
      <c r="NKZ76" s="2805"/>
      <c r="NLA76" s="2805"/>
      <c r="NLB76" s="2805"/>
      <c r="NLC76" s="2805"/>
      <c r="NLD76" s="2805"/>
      <c r="NLE76" s="2805"/>
      <c r="NLF76" s="2805"/>
      <c r="NLG76" s="2805"/>
      <c r="NLH76" s="2805"/>
      <c r="NLI76" s="2805"/>
      <c r="NLJ76" s="2805"/>
      <c r="NLK76" s="2805"/>
      <c r="NLL76" s="2805"/>
      <c r="NLM76" s="2805"/>
      <c r="NLN76" s="2805"/>
      <c r="NLO76" s="2805"/>
      <c r="NLP76" s="2805"/>
      <c r="NLQ76" s="2805"/>
      <c r="NLR76" s="2805"/>
      <c r="NLS76" s="2805"/>
      <c r="NLT76" s="2805"/>
      <c r="NLU76" s="2805"/>
      <c r="NLV76" s="2805"/>
      <c r="NLW76" s="2805"/>
      <c r="NLX76" s="2805"/>
      <c r="NLY76" s="2805"/>
      <c r="NLZ76" s="2805"/>
      <c r="NMA76" s="2805"/>
      <c r="NMB76" s="2805"/>
      <c r="NMC76" s="2805"/>
      <c r="NMD76" s="2805"/>
      <c r="NME76" s="2805"/>
      <c r="NMF76" s="2805"/>
      <c r="NMG76" s="2805"/>
      <c r="NMH76" s="2805"/>
      <c r="NMI76" s="2805"/>
      <c r="NMJ76" s="2805"/>
      <c r="NMK76" s="2805"/>
      <c r="NML76" s="2805"/>
      <c r="NMM76" s="2805"/>
      <c r="NMN76" s="2805"/>
      <c r="NMO76" s="2805"/>
      <c r="NMP76" s="2805"/>
      <c r="NMQ76" s="2805"/>
      <c r="NMR76" s="2805"/>
      <c r="NMS76" s="2805"/>
      <c r="NMT76" s="2805"/>
      <c r="NMU76" s="2805"/>
      <c r="NMV76" s="2805"/>
      <c r="NMW76" s="2805"/>
      <c r="NMX76" s="2805"/>
      <c r="NMY76" s="2805"/>
      <c r="NMZ76" s="2805"/>
      <c r="NNA76" s="2805"/>
      <c r="NNB76" s="2805"/>
      <c r="NNC76" s="2805"/>
      <c r="NND76" s="2805"/>
      <c r="NNE76" s="2805"/>
      <c r="NNF76" s="2805"/>
      <c r="NNG76" s="2805"/>
      <c r="NNH76" s="2805"/>
      <c r="NNI76" s="2805"/>
      <c r="NNJ76" s="2805"/>
      <c r="NNK76" s="2805"/>
      <c r="NNL76" s="2805"/>
      <c r="NNM76" s="2805"/>
      <c r="NNN76" s="2805"/>
      <c r="NNO76" s="2805"/>
      <c r="NNP76" s="2805"/>
      <c r="NNQ76" s="2805"/>
      <c r="NNR76" s="2805"/>
      <c r="NNS76" s="2805"/>
      <c r="NNT76" s="2805"/>
      <c r="NNU76" s="2805"/>
      <c r="NNV76" s="2805"/>
      <c r="NNW76" s="2805"/>
      <c r="NNX76" s="2805"/>
      <c r="NNY76" s="2805"/>
      <c r="NNZ76" s="2805"/>
      <c r="NOA76" s="2805"/>
      <c r="NOB76" s="2805"/>
      <c r="NOC76" s="2805"/>
      <c r="NOD76" s="2805"/>
      <c r="NOE76" s="2805"/>
      <c r="NOF76" s="2805"/>
      <c r="NOG76" s="2805"/>
      <c r="NOH76" s="2805"/>
      <c r="NOI76" s="2805"/>
      <c r="NOJ76" s="2805"/>
      <c r="NOK76" s="2805"/>
      <c r="NOL76" s="2805"/>
      <c r="NOM76" s="2805"/>
      <c r="NON76" s="2805"/>
      <c r="NOO76" s="2805"/>
      <c r="NOP76" s="2805"/>
      <c r="NOQ76" s="2805"/>
      <c r="NOR76" s="2805"/>
      <c r="NOS76" s="2805"/>
      <c r="NOT76" s="2805"/>
      <c r="NOU76" s="2805"/>
      <c r="NOV76" s="2805"/>
      <c r="NOW76" s="2805"/>
      <c r="NOX76" s="2805"/>
      <c r="NOY76" s="2805"/>
      <c r="NOZ76" s="2805"/>
      <c r="NPA76" s="2805"/>
      <c r="NPB76" s="2805"/>
      <c r="NPC76" s="2805"/>
      <c r="NPD76" s="2805"/>
      <c r="NPE76" s="2805"/>
      <c r="NPF76" s="2805"/>
      <c r="NPG76" s="2805"/>
      <c r="NPH76" s="2805"/>
      <c r="NPI76" s="2805"/>
      <c r="NPJ76" s="2805"/>
      <c r="NPK76" s="2805"/>
      <c r="NPL76" s="2805"/>
      <c r="NPM76" s="2805"/>
      <c r="NPN76" s="2805"/>
      <c r="NPO76" s="2805"/>
      <c r="NPP76" s="2805"/>
      <c r="NPQ76" s="2805"/>
      <c r="NPR76" s="2805"/>
      <c r="NPS76" s="2805"/>
      <c r="NPT76" s="2805"/>
      <c r="NPU76" s="2805"/>
      <c r="NPV76" s="2805"/>
      <c r="NPW76" s="2805"/>
      <c r="NPX76" s="2805"/>
      <c r="NPY76" s="2805"/>
      <c r="NPZ76" s="2805"/>
      <c r="NQA76" s="2805"/>
      <c r="NQB76" s="2805"/>
      <c r="NQC76" s="2805"/>
      <c r="NQD76" s="2805"/>
      <c r="NQE76" s="2805"/>
      <c r="NQF76" s="2805"/>
      <c r="NQG76" s="2805"/>
      <c r="NQH76" s="2805"/>
      <c r="NQI76" s="2805"/>
      <c r="NQJ76" s="2805"/>
      <c r="NQK76" s="2805"/>
      <c r="NQL76" s="2805"/>
      <c r="NQM76" s="2805"/>
      <c r="NQN76" s="2805"/>
      <c r="NQO76" s="2805"/>
      <c r="NQP76" s="2805"/>
      <c r="NQQ76" s="2805"/>
      <c r="NQR76" s="2805"/>
      <c r="NQS76" s="2805"/>
      <c r="NQT76" s="2805"/>
      <c r="NQU76" s="2805"/>
      <c r="NQV76" s="2805"/>
      <c r="NQW76" s="2805"/>
      <c r="NQX76" s="2805"/>
      <c r="NQY76" s="2805"/>
      <c r="NQZ76" s="2805"/>
      <c r="NRA76" s="2805"/>
      <c r="NRB76" s="2805"/>
      <c r="NRC76" s="2805"/>
      <c r="NRD76" s="2805"/>
      <c r="NRE76" s="2805"/>
      <c r="NRF76" s="2805"/>
      <c r="NRG76" s="2805"/>
      <c r="NRH76" s="2805"/>
      <c r="NRI76" s="2805"/>
      <c r="NRJ76" s="2805"/>
      <c r="NRK76" s="2805"/>
      <c r="NRL76" s="2805"/>
      <c r="NRM76" s="2805"/>
      <c r="NRN76" s="2805"/>
      <c r="NRO76" s="2805"/>
      <c r="NRP76" s="2805"/>
      <c r="NRQ76" s="2805"/>
      <c r="NRR76" s="2805"/>
      <c r="NRS76" s="2805"/>
      <c r="NRT76" s="2805"/>
      <c r="NRU76" s="2805"/>
      <c r="NRV76" s="2805"/>
      <c r="NRW76" s="2805"/>
      <c r="NRX76" s="2805"/>
      <c r="NRY76" s="2805"/>
      <c r="NRZ76" s="2805"/>
      <c r="NSA76" s="2805"/>
      <c r="NSB76" s="2805"/>
      <c r="NSC76" s="2805"/>
      <c r="NSD76" s="2805"/>
      <c r="NSE76" s="2805"/>
      <c r="NSF76" s="2805"/>
      <c r="NSG76" s="2805"/>
      <c r="NSH76" s="2805"/>
      <c r="NSI76" s="2805"/>
      <c r="NSJ76" s="2805"/>
      <c r="NSK76" s="2805"/>
      <c r="NSL76" s="2805"/>
      <c r="NSM76" s="2805"/>
      <c r="NSN76" s="2805"/>
      <c r="NSO76" s="2805"/>
      <c r="NSP76" s="2805"/>
      <c r="NSQ76" s="2805"/>
      <c r="NSR76" s="2805"/>
      <c r="NSS76" s="2805"/>
      <c r="NST76" s="2805"/>
      <c r="NSU76" s="2805"/>
      <c r="NSV76" s="2805"/>
      <c r="NSW76" s="2805"/>
      <c r="NSX76" s="2805"/>
      <c r="NSY76" s="2805"/>
      <c r="NSZ76" s="2805"/>
      <c r="NTA76" s="2805"/>
      <c r="NTB76" s="2805"/>
      <c r="NTC76" s="2805"/>
      <c r="NTD76" s="2805"/>
      <c r="NTE76" s="2805"/>
      <c r="NTF76" s="2805"/>
      <c r="NTG76" s="2805"/>
      <c r="NTH76" s="2805"/>
      <c r="NTI76" s="2805"/>
      <c r="NTJ76" s="2805"/>
      <c r="NTK76" s="2805"/>
      <c r="NTL76" s="2805"/>
      <c r="NTM76" s="2805"/>
      <c r="NTN76" s="2805"/>
      <c r="NTO76" s="2805"/>
      <c r="NTP76" s="2805"/>
      <c r="NTQ76" s="2805"/>
      <c r="NTR76" s="2805"/>
      <c r="NTS76" s="2805"/>
      <c r="NTT76" s="2805"/>
      <c r="NTU76" s="2805"/>
      <c r="NTV76" s="2805"/>
      <c r="NTW76" s="2805"/>
      <c r="NTX76" s="2805"/>
      <c r="NTY76" s="2805"/>
      <c r="NTZ76" s="2805"/>
      <c r="NUA76" s="2805"/>
      <c r="NUB76" s="2805"/>
      <c r="NUC76" s="2805"/>
      <c r="NUD76" s="2805"/>
      <c r="NUE76" s="2805"/>
      <c r="NUF76" s="2805"/>
      <c r="NUG76" s="2805"/>
      <c r="NUH76" s="2805"/>
      <c r="NUI76" s="2805"/>
      <c r="NUJ76" s="2805"/>
      <c r="NUK76" s="2805"/>
      <c r="NUL76" s="2805"/>
      <c r="NUM76" s="2805"/>
      <c r="NUN76" s="2805"/>
      <c r="NUO76" s="2805"/>
      <c r="NUP76" s="2805"/>
      <c r="NUQ76" s="2805"/>
      <c r="NUR76" s="2805"/>
      <c r="NUS76" s="2805"/>
      <c r="NUT76" s="2805"/>
      <c r="NUU76" s="2805"/>
      <c r="NUV76" s="2805"/>
      <c r="NUW76" s="2805"/>
      <c r="NUX76" s="2805"/>
      <c r="NUY76" s="2805"/>
      <c r="NUZ76" s="2805"/>
      <c r="NVA76" s="2805"/>
      <c r="NVB76" s="2805"/>
      <c r="NVC76" s="2805"/>
      <c r="NVD76" s="2805"/>
      <c r="NVE76" s="2805"/>
      <c r="NVF76" s="2805"/>
      <c r="NVG76" s="2805"/>
      <c r="NVH76" s="2805"/>
      <c r="NVI76" s="2805"/>
      <c r="NVJ76" s="2805"/>
      <c r="NVK76" s="2805"/>
      <c r="NVL76" s="2805"/>
      <c r="NVM76" s="2805"/>
      <c r="NVN76" s="2805"/>
      <c r="NVO76" s="2805"/>
      <c r="NVP76" s="2805"/>
      <c r="NVQ76" s="2805"/>
      <c r="NVR76" s="2805"/>
      <c r="NVS76" s="2805"/>
      <c r="NVT76" s="2805"/>
      <c r="NVU76" s="2805"/>
      <c r="NVV76" s="2805"/>
      <c r="NVW76" s="2805"/>
      <c r="NVX76" s="2805"/>
      <c r="NVY76" s="2805"/>
      <c r="NVZ76" s="2805"/>
      <c r="NWA76" s="2805"/>
      <c r="NWB76" s="2805"/>
      <c r="NWC76" s="2805"/>
      <c r="NWD76" s="2805"/>
      <c r="NWE76" s="2805"/>
      <c r="NWF76" s="2805"/>
      <c r="NWG76" s="2805"/>
      <c r="NWH76" s="2805"/>
      <c r="NWI76" s="2805"/>
      <c r="NWJ76" s="2805"/>
      <c r="NWK76" s="2805"/>
      <c r="NWL76" s="2805"/>
      <c r="NWM76" s="2805"/>
      <c r="NWN76" s="2805"/>
      <c r="NWO76" s="2805"/>
      <c r="NWP76" s="2805"/>
      <c r="NWQ76" s="2805"/>
      <c r="NWR76" s="2805"/>
      <c r="NWS76" s="2805"/>
      <c r="NWT76" s="2805"/>
      <c r="NWU76" s="2805"/>
      <c r="NWV76" s="2805"/>
      <c r="NWW76" s="2805"/>
      <c r="NWX76" s="2805"/>
      <c r="NWY76" s="2805"/>
      <c r="NWZ76" s="2805"/>
      <c r="NXA76" s="2805"/>
      <c r="NXB76" s="2805"/>
      <c r="NXC76" s="2805"/>
      <c r="NXD76" s="2805"/>
      <c r="NXE76" s="2805"/>
      <c r="NXF76" s="2805"/>
      <c r="NXG76" s="2805"/>
      <c r="NXH76" s="2805"/>
      <c r="NXI76" s="2805"/>
      <c r="NXJ76" s="2805"/>
      <c r="NXK76" s="2805"/>
      <c r="NXL76" s="2805"/>
      <c r="NXM76" s="2805"/>
      <c r="NXN76" s="2805"/>
      <c r="NXO76" s="2805"/>
      <c r="NXP76" s="2805"/>
      <c r="NXQ76" s="2805"/>
      <c r="NXR76" s="2805"/>
      <c r="NXS76" s="2805"/>
      <c r="NXT76" s="2805"/>
      <c r="NXU76" s="2805"/>
      <c r="NXV76" s="2805"/>
      <c r="NXW76" s="2805"/>
      <c r="NXX76" s="2805"/>
      <c r="NXY76" s="2805"/>
      <c r="NXZ76" s="2805"/>
      <c r="NYA76" s="2805"/>
      <c r="NYB76" s="2805"/>
      <c r="NYC76" s="2805"/>
      <c r="NYD76" s="2805"/>
      <c r="NYE76" s="2805"/>
      <c r="NYF76" s="2805"/>
      <c r="NYG76" s="2805"/>
      <c r="NYH76" s="2805"/>
      <c r="NYI76" s="2805"/>
      <c r="NYJ76" s="2805"/>
      <c r="NYK76" s="2805"/>
      <c r="NYL76" s="2805"/>
      <c r="NYM76" s="2805"/>
      <c r="NYN76" s="2805"/>
      <c r="NYO76" s="2805"/>
      <c r="NYP76" s="2805"/>
      <c r="NYQ76" s="2805"/>
      <c r="NYR76" s="2805"/>
      <c r="NYS76" s="2805"/>
      <c r="NYT76" s="2805"/>
      <c r="NYU76" s="2805"/>
      <c r="NYV76" s="2805"/>
      <c r="NYW76" s="2805"/>
      <c r="NYX76" s="2805"/>
      <c r="NYY76" s="2805"/>
      <c r="NYZ76" s="2805"/>
      <c r="NZA76" s="2805"/>
      <c r="NZB76" s="2805"/>
      <c r="NZC76" s="2805"/>
      <c r="NZD76" s="2805"/>
      <c r="NZE76" s="2805"/>
      <c r="NZF76" s="2805"/>
      <c r="NZG76" s="2805"/>
      <c r="NZH76" s="2805"/>
      <c r="NZI76" s="2805"/>
      <c r="NZJ76" s="2805"/>
      <c r="NZK76" s="2805"/>
      <c r="NZL76" s="2805"/>
      <c r="NZM76" s="2805"/>
      <c r="NZN76" s="2805"/>
      <c r="NZO76" s="2805"/>
      <c r="NZP76" s="2805"/>
      <c r="NZQ76" s="2805"/>
      <c r="NZR76" s="2805"/>
      <c r="NZS76" s="2805"/>
      <c r="NZT76" s="2805"/>
      <c r="NZU76" s="2805"/>
      <c r="NZV76" s="2805"/>
      <c r="NZW76" s="2805"/>
      <c r="NZX76" s="2805"/>
      <c r="NZY76" s="2805"/>
      <c r="NZZ76" s="2805"/>
      <c r="OAA76" s="2805"/>
      <c r="OAB76" s="2805"/>
      <c r="OAC76" s="2805"/>
      <c r="OAD76" s="2805"/>
      <c r="OAE76" s="2805"/>
      <c r="OAF76" s="2805"/>
      <c r="OAG76" s="2805"/>
      <c r="OAH76" s="2805"/>
      <c r="OAI76" s="2805"/>
      <c r="OAJ76" s="2805"/>
      <c r="OAK76" s="2805"/>
      <c r="OAL76" s="2805"/>
      <c r="OAM76" s="2805"/>
      <c r="OAN76" s="2805"/>
      <c r="OAO76" s="2805"/>
      <c r="OAP76" s="2805"/>
      <c r="OAQ76" s="2805"/>
      <c r="OAR76" s="2805"/>
      <c r="OAS76" s="2805"/>
      <c r="OAT76" s="2805"/>
      <c r="OAU76" s="2805"/>
      <c r="OAV76" s="2805"/>
      <c r="OAW76" s="2805"/>
      <c r="OAX76" s="2805"/>
      <c r="OAY76" s="2805"/>
      <c r="OAZ76" s="2805"/>
      <c r="OBA76" s="2805"/>
      <c r="OBB76" s="2805"/>
      <c r="OBC76" s="2805"/>
      <c r="OBD76" s="2805"/>
      <c r="OBE76" s="2805"/>
      <c r="OBF76" s="2805"/>
      <c r="OBG76" s="2805"/>
      <c r="OBH76" s="2805"/>
      <c r="OBI76" s="2805"/>
      <c r="OBJ76" s="2805"/>
      <c r="OBK76" s="2805"/>
      <c r="OBL76" s="2805"/>
      <c r="OBM76" s="2805"/>
      <c r="OBN76" s="2805"/>
      <c r="OBO76" s="2805"/>
      <c r="OBP76" s="2805"/>
      <c r="OBQ76" s="2805"/>
      <c r="OBR76" s="2805"/>
      <c r="OBS76" s="2805"/>
      <c r="OBT76" s="2805"/>
      <c r="OBU76" s="2805"/>
      <c r="OBV76" s="2805"/>
      <c r="OBW76" s="2805"/>
      <c r="OBX76" s="2805"/>
      <c r="OBY76" s="2805"/>
      <c r="OBZ76" s="2805"/>
      <c r="OCA76" s="2805"/>
      <c r="OCB76" s="2805"/>
      <c r="OCC76" s="2805"/>
      <c r="OCD76" s="2805"/>
      <c r="OCE76" s="2805"/>
      <c r="OCF76" s="2805"/>
      <c r="OCG76" s="2805"/>
      <c r="OCH76" s="2805"/>
      <c r="OCI76" s="2805"/>
      <c r="OCJ76" s="2805"/>
      <c r="OCK76" s="2805"/>
      <c r="OCL76" s="2805"/>
      <c r="OCM76" s="2805"/>
      <c r="OCN76" s="2805"/>
      <c r="OCO76" s="2805"/>
      <c r="OCP76" s="2805"/>
      <c r="OCQ76" s="2805"/>
      <c r="OCR76" s="2805"/>
      <c r="OCS76" s="2805"/>
      <c r="OCT76" s="2805"/>
      <c r="OCU76" s="2805"/>
      <c r="OCV76" s="2805"/>
      <c r="OCW76" s="2805"/>
      <c r="OCX76" s="2805"/>
      <c r="OCY76" s="2805"/>
      <c r="OCZ76" s="2805"/>
      <c r="ODA76" s="2805"/>
      <c r="ODB76" s="2805"/>
      <c r="ODC76" s="2805"/>
      <c r="ODD76" s="2805"/>
      <c r="ODE76" s="2805"/>
      <c r="ODF76" s="2805"/>
      <c r="ODG76" s="2805"/>
      <c r="ODH76" s="2805"/>
      <c r="ODI76" s="2805"/>
      <c r="ODJ76" s="2805"/>
      <c r="ODK76" s="2805"/>
      <c r="ODL76" s="2805"/>
      <c r="ODM76" s="2805"/>
      <c r="ODN76" s="2805"/>
      <c r="ODO76" s="2805"/>
      <c r="ODP76" s="2805"/>
      <c r="ODQ76" s="2805"/>
      <c r="ODR76" s="2805"/>
      <c r="ODS76" s="2805"/>
      <c r="ODT76" s="2805"/>
      <c r="ODU76" s="2805"/>
      <c r="ODV76" s="2805"/>
      <c r="ODW76" s="2805"/>
      <c r="ODX76" s="2805"/>
      <c r="ODY76" s="2805"/>
      <c r="ODZ76" s="2805"/>
      <c r="OEA76" s="2805"/>
      <c r="OEB76" s="2805"/>
      <c r="OEC76" s="2805"/>
      <c r="OED76" s="2805"/>
      <c r="OEE76" s="2805"/>
      <c r="OEF76" s="2805"/>
      <c r="OEG76" s="2805"/>
      <c r="OEH76" s="2805"/>
      <c r="OEI76" s="2805"/>
      <c r="OEJ76" s="2805"/>
      <c r="OEK76" s="2805"/>
      <c r="OEL76" s="2805"/>
      <c r="OEM76" s="2805"/>
      <c r="OEN76" s="2805"/>
      <c r="OEO76" s="2805"/>
      <c r="OEP76" s="2805"/>
      <c r="OEQ76" s="2805"/>
      <c r="OER76" s="2805"/>
      <c r="OES76" s="2805"/>
      <c r="OET76" s="2805"/>
      <c r="OEU76" s="2805"/>
      <c r="OEV76" s="2805"/>
      <c r="OEW76" s="2805"/>
      <c r="OEX76" s="2805"/>
      <c r="OEY76" s="2805"/>
      <c r="OEZ76" s="2805"/>
      <c r="OFA76" s="2805"/>
      <c r="OFB76" s="2805"/>
      <c r="OFC76" s="2805"/>
      <c r="OFD76" s="2805"/>
      <c r="OFE76" s="2805"/>
      <c r="OFF76" s="2805"/>
      <c r="OFG76" s="2805"/>
      <c r="OFH76" s="2805"/>
      <c r="OFI76" s="2805"/>
      <c r="OFJ76" s="2805"/>
      <c r="OFK76" s="2805"/>
      <c r="OFL76" s="2805"/>
      <c r="OFM76" s="2805"/>
      <c r="OFN76" s="2805"/>
      <c r="OFO76" s="2805"/>
      <c r="OFP76" s="2805"/>
      <c r="OFQ76" s="2805"/>
      <c r="OFR76" s="2805"/>
      <c r="OFS76" s="2805"/>
      <c r="OFT76" s="2805"/>
      <c r="OFU76" s="2805"/>
      <c r="OFV76" s="2805"/>
      <c r="OFW76" s="2805"/>
      <c r="OFX76" s="2805"/>
      <c r="OFY76" s="2805"/>
      <c r="OFZ76" s="2805"/>
      <c r="OGA76" s="2805"/>
      <c r="OGB76" s="2805"/>
      <c r="OGC76" s="2805"/>
      <c r="OGD76" s="2805"/>
      <c r="OGE76" s="2805"/>
      <c r="OGF76" s="2805"/>
      <c r="OGG76" s="2805"/>
      <c r="OGH76" s="2805"/>
      <c r="OGI76" s="2805"/>
      <c r="OGJ76" s="2805"/>
      <c r="OGK76" s="2805"/>
      <c r="OGL76" s="2805"/>
      <c r="OGM76" s="2805"/>
      <c r="OGN76" s="2805"/>
      <c r="OGO76" s="2805"/>
      <c r="OGP76" s="2805"/>
      <c r="OGQ76" s="2805"/>
      <c r="OGR76" s="2805"/>
      <c r="OGS76" s="2805"/>
      <c r="OGT76" s="2805"/>
      <c r="OGU76" s="2805"/>
      <c r="OGV76" s="2805"/>
      <c r="OGW76" s="2805"/>
      <c r="OGX76" s="2805"/>
      <c r="OGY76" s="2805"/>
      <c r="OGZ76" s="2805"/>
      <c r="OHA76" s="2805"/>
      <c r="OHB76" s="2805"/>
      <c r="OHC76" s="2805"/>
      <c r="OHD76" s="2805"/>
      <c r="OHE76" s="2805"/>
      <c r="OHF76" s="2805"/>
      <c r="OHG76" s="2805"/>
      <c r="OHH76" s="2805"/>
      <c r="OHI76" s="2805"/>
      <c r="OHJ76" s="2805"/>
      <c r="OHK76" s="2805"/>
      <c r="OHL76" s="2805"/>
      <c r="OHM76" s="2805"/>
      <c r="OHN76" s="2805"/>
      <c r="OHO76" s="2805"/>
      <c r="OHP76" s="2805"/>
      <c r="OHQ76" s="2805"/>
      <c r="OHR76" s="2805"/>
      <c r="OHS76" s="2805"/>
      <c r="OHT76" s="2805"/>
      <c r="OHU76" s="2805"/>
      <c r="OHV76" s="2805"/>
      <c r="OHW76" s="2805"/>
      <c r="OHX76" s="2805"/>
      <c r="OHY76" s="2805"/>
      <c r="OHZ76" s="2805"/>
      <c r="OIA76" s="2805"/>
      <c r="OIB76" s="2805"/>
      <c r="OIC76" s="2805"/>
      <c r="OID76" s="2805"/>
      <c r="OIE76" s="2805"/>
      <c r="OIF76" s="2805"/>
      <c r="OIG76" s="2805"/>
      <c r="OIH76" s="2805"/>
      <c r="OII76" s="2805"/>
      <c r="OIJ76" s="2805"/>
      <c r="OIK76" s="2805"/>
      <c r="OIL76" s="2805"/>
      <c r="OIM76" s="2805"/>
      <c r="OIN76" s="2805"/>
      <c r="OIO76" s="2805"/>
      <c r="OIP76" s="2805"/>
      <c r="OIQ76" s="2805"/>
      <c r="OIR76" s="2805"/>
      <c r="OIS76" s="2805"/>
      <c r="OIT76" s="2805"/>
      <c r="OIU76" s="2805"/>
      <c r="OIV76" s="2805"/>
      <c r="OIW76" s="2805"/>
      <c r="OIX76" s="2805"/>
      <c r="OIY76" s="2805"/>
      <c r="OIZ76" s="2805"/>
      <c r="OJA76" s="2805"/>
      <c r="OJB76" s="2805"/>
      <c r="OJC76" s="2805"/>
      <c r="OJD76" s="2805"/>
      <c r="OJE76" s="2805"/>
      <c r="OJF76" s="2805"/>
      <c r="OJG76" s="2805"/>
      <c r="OJH76" s="2805"/>
      <c r="OJI76" s="2805"/>
      <c r="OJJ76" s="2805"/>
      <c r="OJK76" s="2805"/>
      <c r="OJL76" s="2805"/>
      <c r="OJM76" s="2805"/>
      <c r="OJN76" s="2805"/>
      <c r="OJO76" s="2805"/>
      <c r="OJP76" s="2805"/>
      <c r="OJQ76" s="2805"/>
      <c r="OJR76" s="2805"/>
      <c r="OJS76" s="2805"/>
      <c r="OJT76" s="2805"/>
      <c r="OJU76" s="2805"/>
      <c r="OJV76" s="2805"/>
      <c r="OJW76" s="2805"/>
      <c r="OJX76" s="2805"/>
      <c r="OJY76" s="2805"/>
      <c r="OJZ76" s="2805"/>
      <c r="OKA76" s="2805"/>
      <c r="OKB76" s="2805"/>
      <c r="OKC76" s="2805"/>
      <c r="OKD76" s="2805"/>
      <c r="OKE76" s="2805"/>
      <c r="OKF76" s="2805"/>
      <c r="OKG76" s="2805"/>
      <c r="OKH76" s="2805"/>
      <c r="OKI76" s="2805"/>
      <c r="OKJ76" s="2805"/>
      <c r="OKK76" s="2805"/>
      <c r="OKL76" s="2805"/>
      <c r="OKM76" s="2805"/>
      <c r="OKN76" s="2805"/>
      <c r="OKO76" s="2805"/>
      <c r="OKP76" s="2805"/>
      <c r="OKQ76" s="2805"/>
      <c r="OKR76" s="2805"/>
      <c r="OKS76" s="2805"/>
      <c r="OKT76" s="2805"/>
      <c r="OKU76" s="2805"/>
      <c r="OKV76" s="2805"/>
      <c r="OKW76" s="2805"/>
      <c r="OKX76" s="2805"/>
      <c r="OKY76" s="2805"/>
      <c r="OKZ76" s="2805"/>
      <c r="OLA76" s="2805"/>
      <c r="OLB76" s="2805"/>
      <c r="OLC76" s="2805"/>
      <c r="OLD76" s="2805"/>
      <c r="OLE76" s="2805"/>
      <c r="OLF76" s="2805"/>
      <c r="OLG76" s="2805"/>
      <c r="OLH76" s="2805"/>
      <c r="OLI76" s="2805"/>
      <c r="OLJ76" s="2805"/>
      <c r="OLK76" s="2805"/>
      <c r="OLL76" s="2805"/>
      <c r="OLM76" s="2805"/>
      <c r="OLN76" s="2805"/>
      <c r="OLO76" s="2805"/>
      <c r="OLP76" s="2805"/>
      <c r="OLQ76" s="2805"/>
      <c r="OLR76" s="2805"/>
      <c r="OLS76" s="2805"/>
      <c r="OLT76" s="2805"/>
      <c r="OLU76" s="2805"/>
      <c r="OLV76" s="2805"/>
      <c r="OLW76" s="2805"/>
      <c r="OLX76" s="2805"/>
      <c r="OLY76" s="2805"/>
      <c r="OLZ76" s="2805"/>
      <c r="OMA76" s="2805"/>
      <c r="OMB76" s="2805"/>
      <c r="OMC76" s="2805"/>
      <c r="OMD76" s="2805"/>
      <c r="OME76" s="2805"/>
      <c r="OMF76" s="2805"/>
      <c r="OMG76" s="2805"/>
      <c r="OMH76" s="2805"/>
      <c r="OMI76" s="2805"/>
      <c r="OMJ76" s="2805"/>
      <c r="OMK76" s="2805"/>
      <c r="OML76" s="2805"/>
      <c r="OMM76" s="2805"/>
      <c r="OMN76" s="2805"/>
      <c r="OMO76" s="2805"/>
      <c r="OMP76" s="2805"/>
      <c r="OMQ76" s="2805"/>
      <c r="OMR76" s="2805"/>
      <c r="OMS76" s="2805"/>
      <c r="OMT76" s="2805"/>
      <c r="OMU76" s="2805"/>
      <c r="OMV76" s="2805"/>
      <c r="OMW76" s="2805"/>
      <c r="OMX76" s="2805"/>
      <c r="OMY76" s="2805"/>
      <c r="OMZ76" s="2805"/>
      <c r="ONA76" s="2805"/>
      <c r="ONB76" s="2805"/>
      <c r="ONC76" s="2805"/>
      <c r="OND76" s="2805"/>
      <c r="ONE76" s="2805"/>
      <c r="ONF76" s="2805"/>
      <c r="ONG76" s="2805"/>
      <c r="ONH76" s="2805"/>
      <c r="ONI76" s="2805"/>
      <c r="ONJ76" s="2805"/>
      <c r="ONK76" s="2805"/>
      <c r="ONL76" s="2805"/>
      <c r="ONM76" s="2805"/>
      <c r="ONN76" s="2805"/>
      <c r="ONO76" s="2805"/>
      <c r="ONP76" s="2805"/>
      <c r="ONQ76" s="2805"/>
      <c r="ONR76" s="2805"/>
      <c r="ONS76" s="2805"/>
      <c r="ONT76" s="2805"/>
      <c r="ONU76" s="2805"/>
      <c r="ONV76" s="2805"/>
      <c r="ONW76" s="2805"/>
      <c r="ONX76" s="2805"/>
      <c r="ONY76" s="2805"/>
      <c r="ONZ76" s="2805"/>
      <c r="OOA76" s="2805"/>
      <c r="OOB76" s="2805"/>
      <c r="OOC76" s="2805"/>
      <c r="OOD76" s="2805"/>
      <c r="OOE76" s="2805"/>
      <c r="OOF76" s="2805"/>
      <c r="OOG76" s="2805"/>
      <c r="OOH76" s="2805"/>
      <c r="OOI76" s="2805"/>
      <c r="OOJ76" s="2805"/>
      <c r="OOK76" s="2805"/>
      <c r="OOL76" s="2805"/>
      <c r="OOM76" s="2805"/>
      <c r="OON76" s="2805"/>
      <c r="OOO76" s="2805"/>
      <c r="OOP76" s="2805"/>
      <c r="OOQ76" s="2805"/>
      <c r="OOR76" s="2805"/>
      <c r="OOS76" s="2805"/>
      <c r="OOT76" s="2805"/>
      <c r="OOU76" s="2805"/>
      <c r="OOV76" s="2805"/>
      <c r="OOW76" s="2805"/>
      <c r="OOX76" s="2805"/>
      <c r="OOY76" s="2805"/>
      <c r="OOZ76" s="2805"/>
      <c r="OPA76" s="2805"/>
      <c r="OPB76" s="2805"/>
      <c r="OPC76" s="2805"/>
      <c r="OPD76" s="2805"/>
      <c r="OPE76" s="2805"/>
      <c r="OPF76" s="2805"/>
      <c r="OPG76" s="2805"/>
      <c r="OPH76" s="2805"/>
      <c r="OPI76" s="2805"/>
      <c r="OPJ76" s="2805"/>
      <c r="OPK76" s="2805"/>
      <c r="OPL76" s="2805"/>
      <c r="OPM76" s="2805"/>
      <c r="OPN76" s="2805"/>
      <c r="OPO76" s="2805"/>
      <c r="OPP76" s="2805"/>
      <c r="OPQ76" s="2805"/>
      <c r="OPR76" s="2805"/>
      <c r="OPS76" s="2805"/>
      <c r="OPT76" s="2805"/>
      <c r="OPU76" s="2805"/>
      <c r="OPV76" s="2805"/>
      <c r="OPW76" s="2805"/>
      <c r="OPX76" s="2805"/>
      <c r="OPY76" s="2805"/>
      <c r="OPZ76" s="2805"/>
      <c r="OQA76" s="2805"/>
      <c r="OQB76" s="2805"/>
      <c r="OQC76" s="2805"/>
      <c r="OQD76" s="2805"/>
      <c r="OQE76" s="2805"/>
      <c r="OQF76" s="2805"/>
      <c r="OQG76" s="2805"/>
      <c r="OQH76" s="2805"/>
      <c r="OQI76" s="2805"/>
      <c r="OQJ76" s="2805"/>
      <c r="OQK76" s="2805"/>
      <c r="OQL76" s="2805"/>
      <c r="OQM76" s="2805"/>
      <c r="OQN76" s="2805"/>
      <c r="OQO76" s="2805"/>
      <c r="OQP76" s="2805"/>
      <c r="OQQ76" s="2805"/>
      <c r="OQR76" s="2805"/>
      <c r="OQS76" s="2805"/>
      <c r="OQT76" s="2805"/>
      <c r="OQU76" s="2805"/>
      <c r="OQV76" s="2805"/>
      <c r="OQW76" s="2805"/>
      <c r="OQX76" s="2805"/>
      <c r="OQY76" s="2805"/>
      <c r="OQZ76" s="2805"/>
      <c r="ORA76" s="2805"/>
      <c r="ORB76" s="2805"/>
      <c r="ORC76" s="2805"/>
      <c r="ORD76" s="2805"/>
      <c r="ORE76" s="2805"/>
      <c r="ORF76" s="2805"/>
      <c r="ORG76" s="2805"/>
      <c r="ORH76" s="2805"/>
      <c r="ORI76" s="2805"/>
      <c r="ORJ76" s="2805"/>
      <c r="ORK76" s="2805"/>
      <c r="ORL76" s="2805"/>
      <c r="ORM76" s="2805"/>
      <c r="ORN76" s="2805"/>
      <c r="ORO76" s="2805"/>
      <c r="ORP76" s="2805"/>
      <c r="ORQ76" s="2805"/>
      <c r="ORR76" s="2805"/>
      <c r="ORS76" s="2805"/>
      <c r="ORT76" s="2805"/>
      <c r="ORU76" s="2805"/>
      <c r="ORV76" s="2805"/>
      <c r="ORW76" s="2805"/>
      <c r="ORX76" s="2805"/>
      <c r="ORY76" s="2805"/>
      <c r="ORZ76" s="2805"/>
      <c r="OSA76" s="2805"/>
      <c r="OSB76" s="2805"/>
      <c r="OSC76" s="2805"/>
      <c r="OSD76" s="2805"/>
      <c r="OSE76" s="2805"/>
      <c r="OSF76" s="2805"/>
      <c r="OSG76" s="2805"/>
      <c r="OSH76" s="2805"/>
      <c r="OSI76" s="2805"/>
      <c r="OSJ76" s="2805"/>
      <c r="OSK76" s="2805"/>
      <c r="OSL76" s="2805"/>
      <c r="OSM76" s="2805"/>
      <c r="OSN76" s="2805"/>
      <c r="OSO76" s="2805"/>
      <c r="OSP76" s="2805"/>
      <c r="OSQ76" s="2805"/>
      <c r="OSR76" s="2805"/>
      <c r="OSS76" s="2805"/>
      <c r="OST76" s="2805"/>
      <c r="OSU76" s="2805"/>
      <c r="OSV76" s="2805"/>
      <c r="OSW76" s="2805"/>
      <c r="OSX76" s="2805"/>
      <c r="OSY76" s="2805"/>
      <c r="OSZ76" s="2805"/>
      <c r="OTA76" s="2805"/>
      <c r="OTB76" s="2805"/>
      <c r="OTC76" s="2805"/>
      <c r="OTD76" s="2805"/>
      <c r="OTE76" s="2805"/>
      <c r="OTF76" s="2805"/>
      <c r="OTG76" s="2805"/>
      <c r="OTH76" s="2805"/>
      <c r="OTI76" s="2805"/>
      <c r="OTJ76" s="2805"/>
      <c r="OTK76" s="2805"/>
      <c r="OTL76" s="2805"/>
      <c r="OTM76" s="2805"/>
      <c r="OTN76" s="2805"/>
      <c r="OTO76" s="2805"/>
      <c r="OTP76" s="2805"/>
      <c r="OTQ76" s="2805"/>
      <c r="OTR76" s="2805"/>
      <c r="OTS76" s="2805"/>
      <c r="OTT76" s="2805"/>
      <c r="OTU76" s="2805"/>
      <c r="OTV76" s="2805"/>
      <c r="OTW76" s="2805"/>
      <c r="OTX76" s="2805"/>
      <c r="OTY76" s="2805"/>
      <c r="OTZ76" s="2805"/>
      <c r="OUA76" s="2805"/>
      <c r="OUB76" s="2805"/>
      <c r="OUC76" s="2805"/>
      <c r="OUD76" s="2805"/>
      <c r="OUE76" s="2805"/>
      <c r="OUF76" s="2805"/>
      <c r="OUG76" s="2805"/>
      <c r="OUH76" s="2805"/>
      <c r="OUI76" s="2805"/>
      <c r="OUJ76" s="2805"/>
      <c r="OUK76" s="2805"/>
      <c r="OUL76" s="2805"/>
      <c r="OUM76" s="2805"/>
      <c r="OUN76" s="2805"/>
      <c r="OUO76" s="2805"/>
      <c r="OUP76" s="2805"/>
      <c r="OUQ76" s="2805"/>
      <c r="OUR76" s="2805"/>
      <c r="OUS76" s="2805"/>
      <c r="OUT76" s="2805"/>
      <c r="OUU76" s="2805"/>
      <c r="OUV76" s="2805"/>
      <c r="OUW76" s="2805"/>
      <c r="OUX76" s="2805"/>
      <c r="OUY76" s="2805"/>
      <c r="OUZ76" s="2805"/>
      <c r="OVA76" s="2805"/>
      <c r="OVB76" s="2805"/>
      <c r="OVC76" s="2805"/>
      <c r="OVD76" s="2805"/>
      <c r="OVE76" s="2805"/>
      <c r="OVF76" s="2805"/>
      <c r="OVG76" s="2805"/>
      <c r="OVH76" s="2805"/>
      <c r="OVI76" s="2805"/>
      <c r="OVJ76" s="2805"/>
      <c r="OVK76" s="2805"/>
      <c r="OVL76" s="2805"/>
      <c r="OVM76" s="2805"/>
      <c r="OVN76" s="2805"/>
      <c r="OVO76" s="2805"/>
      <c r="OVP76" s="2805"/>
      <c r="OVQ76" s="2805"/>
      <c r="OVR76" s="2805"/>
      <c r="OVS76" s="2805"/>
      <c r="OVT76" s="2805"/>
      <c r="OVU76" s="2805"/>
      <c r="OVV76" s="2805"/>
      <c r="OVW76" s="2805"/>
      <c r="OVX76" s="2805"/>
      <c r="OVY76" s="2805"/>
      <c r="OVZ76" s="2805"/>
      <c r="OWA76" s="2805"/>
      <c r="OWB76" s="2805"/>
      <c r="OWC76" s="2805"/>
      <c r="OWD76" s="2805"/>
      <c r="OWE76" s="2805"/>
      <c r="OWF76" s="2805"/>
      <c r="OWG76" s="2805"/>
      <c r="OWH76" s="2805"/>
      <c r="OWI76" s="2805"/>
      <c r="OWJ76" s="2805"/>
      <c r="OWK76" s="2805"/>
      <c r="OWL76" s="2805"/>
      <c r="OWM76" s="2805"/>
      <c r="OWN76" s="2805"/>
      <c r="OWO76" s="2805"/>
      <c r="OWP76" s="2805"/>
      <c r="OWQ76" s="2805"/>
      <c r="OWR76" s="2805"/>
      <c r="OWS76" s="2805"/>
      <c r="OWT76" s="2805"/>
      <c r="OWU76" s="2805"/>
      <c r="OWV76" s="2805"/>
      <c r="OWW76" s="2805"/>
      <c r="OWX76" s="2805"/>
      <c r="OWY76" s="2805"/>
      <c r="OWZ76" s="2805"/>
      <c r="OXA76" s="2805"/>
      <c r="OXB76" s="2805"/>
      <c r="OXC76" s="2805"/>
      <c r="OXD76" s="2805"/>
      <c r="OXE76" s="2805"/>
      <c r="OXF76" s="2805"/>
      <c r="OXG76" s="2805"/>
      <c r="OXH76" s="2805"/>
      <c r="OXI76" s="2805"/>
      <c r="OXJ76" s="2805"/>
      <c r="OXK76" s="2805"/>
      <c r="OXL76" s="2805"/>
      <c r="OXM76" s="2805"/>
      <c r="OXN76" s="2805"/>
      <c r="OXO76" s="2805"/>
      <c r="OXP76" s="2805"/>
      <c r="OXQ76" s="2805"/>
      <c r="OXR76" s="2805"/>
      <c r="OXS76" s="2805"/>
      <c r="OXT76" s="2805"/>
      <c r="OXU76" s="2805"/>
      <c r="OXV76" s="2805"/>
      <c r="OXW76" s="2805"/>
      <c r="OXX76" s="2805"/>
      <c r="OXY76" s="2805"/>
      <c r="OXZ76" s="2805"/>
      <c r="OYA76" s="2805"/>
      <c r="OYB76" s="2805"/>
      <c r="OYC76" s="2805"/>
      <c r="OYD76" s="2805"/>
      <c r="OYE76" s="2805"/>
      <c r="OYF76" s="2805"/>
      <c r="OYG76" s="2805"/>
      <c r="OYH76" s="2805"/>
      <c r="OYI76" s="2805"/>
      <c r="OYJ76" s="2805"/>
      <c r="OYK76" s="2805"/>
      <c r="OYL76" s="2805"/>
      <c r="OYM76" s="2805"/>
      <c r="OYN76" s="2805"/>
      <c r="OYO76" s="2805"/>
      <c r="OYP76" s="2805"/>
      <c r="OYQ76" s="2805"/>
      <c r="OYR76" s="2805"/>
      <c r="OYS76" s="2805"/>
      <c r="OYT76" s="2805"/>
      <c r="OYU76" s="2805"/>
      <c r="OYV76" s="2805"/>
      <c r="OYW76" s="2805"/>
      <c r="OYX76" s="2805"/>
      <c r="OYY76" s="2805"/>
      <c r="OYZ76" s="2805"/>
      <c r="OZA76" s="2805"/>
      <c r="OZB76" s="2805"/>
      <c r="OZC76" s="2805"/>
      <c r="OZD76" s="2805"/>
      <c r="OZE76" s="2805"/>
      <c r="OZF76" s="2805"/>
      <c r="OZG76" s="2805"/>
      <c r="OZH76" s="2805"/>
      <c r="OZI76" s="2805"/>
      <c r="OZJ76" s="2805"/>
      <c r="OZK76" s="2805"/>
      <c r="OZL76" s="2805"/>
      <c r="OZM76" s="2805"/>
      <c r="OZN76" s="2805"/>
      <c r="OZO76" s="2805"/>
      <c r="OZP76" s="2805"/>
      <c r="OZQ76" s="2805"/>
      <c r="OZR76" s="2805"/>
      <c r="OZS76" s="2805"/>
      <c r="OZT76" s="2805"/>
      <c r="OZU76" s="2805"/>
      <c r="OZV76" s="2805"/>
      <c r="OZW76" s="2805"/>
      <c r="OZX76" s="2805"/>
      <c r="OZY76" s="2805"/>
      <c r="OZZ76" s="2805"/>
      <c r="PAA76" s="2805"/>
      <c r="PAB76" s="2805"/>
      <c r="PAC76" s="2805"/>
      <c r="PAD76" s="2805"/>
      <c r="PAE76" s="2805"/>
      <c r="PAF76" s="2805"/>
      <c r="PAG76" s="2805"/>
      <c r="PAH76" s="2805"/>
      <c r="PAI76" s="2805"/>
      <c r="PAJ76" s="2805"/>
      <c r="PAK76" s="2805"/>
      <c r="PAL76" s="2805"/>
      <c r="PAM76" s="2805"/>
      <c r="PAN76" s="2805"/>
      <c r="PAO76" s="2805"/>
      <c r="PAP76" s="2805"/>
      <c r="PAQ76" s="2805"/>
      <c r="PAR76" s="2805"/>
      <c r="PAS76" s="2805"/>
      <c r="PAT76" s="2805"/>
      <c r="PAU76" s="2805"/>
      <c r="PAV76" s="2805"/>
      <c r="PAW76" s="2805"/>
      <c r="PAX76" s="2805"/>
      <c r="PAY76" s="2805"/>
      <c r="PAZ76" s="2805"/>
      <c r="PBA76" s="2805"/>
      <c r="PBB76" s="2805"/>
      <c r="PBC76" s="2805"/>
      <c r="PBD76" s="2805"/>
      <c r="PBE76" s="2805"/>
      <c r="PBF76" s="2805"/>
      <c r="PBG76" s="2805"/>
      <c r="PBH76" s="2805"/>
      <c r="PBI76" s="2805"/>
      <c r="PBJ76" s="2805"/>
      <c r="PBK76" s="2805"/>
      <c r="PBL76" s="2805"/>
      <c r="PBM76" s="2805"/>
      <c r="PBN76" s="2805"/>
      <c r="PBO76" s="2805"/>
      <c r="PBP76" s="2805"/>
      <c r="PBQ76" s="2805"/>
      <c r="PBR76" s="2805"/>
      <c r="PBS76" s="2805"/>
      <c r="PBT76" s="2805"/>
      <c r="PBU76" s="2805"/>
      <c r="PBV76" s="2805"/>
      <c r="PBW76" s="2805"/>
      <c r="PBX76" s="2805"/>
      <c r="PBY76" s="2805"/>
      <c r="PBZ76" s="2805"/>
      <c r="PCA76" s="2805"/>
      <c r="PCB76" s="2805"/>
      <c r="PCC76" s="2805"/>
      <c r="PCD76" s="2805"/>
      <c r="PCE76" s="2805"/>
      <c r="PCF76" s="2805"/>
      <c r="PCG76" s="2805"/>
      <c r="PCH76" s="2805"/>
      <c r="PCI76" s="2805"/>
      <c r="PCJ76" s="2805"/>
      <c r="PCK76" s="2805"/>
      <c r="PCL76" s="2805"/>
      <c r="PCM76" s="2805"/>
      <c r="PCN76" s="2805"/>
      <c r="PCO76" s="2805"/>
      <c r="PCP76" s="2805"/>
      <c r="PCQ76" s="2805"/>
      <c r="PCR76" s="2805"/>
      <c r="PCS76" s="2805"/>
      <c r="PCT76" s="2805"/>
      <c r="PCU76" s="2805"/>
      <c r="PCV76" s="2805"/>
      <c r="PCW76" s="2805"/>
      <c r="PCX76" s="2805"/>
      <c r="PCY76" s="2805"/>
      <c r="PCZ76" s="2805"/>
      <c r="PDA76" s="2805"/>
      <c r="PDB76" s="2805"/>
      <c r="PDC76" s="2805"/>
      <c r="PDD76" s="2805"/>
      <c r="PDE76" s="2805"/>
      <c r="PDF76" s="2805"/>
      <c r="PDG76" s="2805"/>
      <c r="PDH76" s="2805"/>
      <c r="PDI76" s="2805"/>
      <c r="PDJ76" s="2805"/>
      <c r="PDK76" s="2805"/>
      <c r="PDL76" s="2805"/>
      <c r="PDM76" s="2805"/>
      <c r="PDN76" s="2805"/>
      <c r="PDO76" s="2805"/>
      <c r="PDP76" s="2805"/>
      <c r="PDQ76" s="2805"/>
      <c r="PDR76" s="2805"/>
      <c r="PDS76" s="2805"/>
      <c r="PDT76" s="2805"/>
      <c r="PDU76" s="2805"/>
      <c r="PDV76" s="2805"/>
      <c r="PDW76" s="2805"/>
      <c r="PDX76" s="2805"/>
      <c r="PDY76" s="2805"/>
      <c r="PDZ76" s="2805"/>
      <c r="PEA76" s="2805"/>
      <c r="PEB76" s="2805"/>
      <c r="PEC76" s="2805"/>
      <c r="PED76" s="2805"/>
      <c r="PEE76" s="2805"/>
      <c r="PEF76" s="2805"/>
      <c r="PEG76" s="2805"/>
      <c r="PEH76" s="2805"/>
      <c r="PEI76" s="2805"/>
      <c r="PEJ76" s="2805"/>
      <c r="PEK76" s="2805"/>
      <c r="PEL76" s="2805"/>
      <c r="PEM76" s="2805"/>
      <c r="PEN76" s="2805"/>
      <c r="PEO76" s="2805"/>
      <c r="PEP76" s="2805"/>
      <c r="PEQ76" s="2805"/>
      <c r="PER76" s="2805"/>
      <c r="PES76" s="2805"/>
      <c r="PET76" s="2805"/>
      <c r="PEU76" s="2805"/>
      <c r="PEV76" s="2805"/>
      <c r="PEW76" s="2805"/>
      <c r="PEX76" s="2805"/>
      <c r="PEY76" s="2805"/>
      <c r="PEZ76" s="2805"/>
      <c r="PFA76" s="2805"/>
      <c r="PFB76" s="2805"/>
      <c r="PFC76" s="2805"/>
      <c r="PFD76" s="2805"/>
      <c r="PFE76" s="2805"/>
      <c r="PFF76" s="2805"/>
      <c r="PFG76" s="2805"/>
      <c r="PFH76" s="2805"/>
      <c r="PFI76" s="2805"/>
      <c r="PFJ76" s="2805"/>
      <c r="PFK76" s="2805"/>
      <c r="PFL76" s="2805"/>
      <c r="PFM76" s="2805"/>
      <c r="PFN76" s="2805"/>
      <c r="PFO76" s="2805"/>
      <c r="PFP76" s="2805"/>
      <c r="PFQ76" s="2805"/>
      <c r="PFR76" s="2805"/>
      <c r="PFS76" s="2805"/>
      <c r="PFT76" s="2805"/>
      <c r="PFU76" s="2805"/>
      <c r="PFV76" s="2805"/>
      <c r="PFW76" s="2805"/>
      <c r="PFX76" s="2805"/>
      <c r="PFY76" s="2805"/>
      <c r="PFZ76" s="2805"/>
      <c r="PGA76" s="2805"/>
      <c r="PGB76" s="2805"/>
      <c r="PGC76" s="2805"/>
      <c r="PGD76" s="2805"/>
      <c r="PGE76" s="2805"/>
      <c r="PGF76" s="2805"/>
      <c r="PGG76" s="2805"/>
      <c r="PGH76" s="2805"/>
      <c r="PGI76" s="2805"/>
      <c r="PGJ76" s="2805"/>
      <c r="PGK76" s="2805"/>
      <c r="PGL76" s="2805"/>
      <c r="PGM76" s="2805"/>
      <c r="PGN76" s="2805"/>
      <c r="PGO76" s="2805"/>
      <c r="PGP76" s="2805"/>
      <c r="PGQ76" s="2805"/>
      <c r="PGR76" s="2805"/>
      <c r="PGS76" s="2805"/>
      <c r="PGT76" s="2805"/>
      <c r="PGU76" s="2805"/>
      <c r="PGV76" s="2805"/>
      <c r="PGW76" s="2805"/>
      <c r="PGX76" s="2805"/>
      <c r="PGY76" s="2805"/>
      <c r="PGZ76" s="2805"/>
      <c r="PHA76" s="2805"/>
      <c r="PHB76" s="2805"/>
      <c r="PHC76" s="2805"/>
      <c r="PHD76" s="2805"/>
      <c r="PHE76" s="2805"/>
      <c r="PHF76" s="2805"/>
      <c r="PHG76" s="2805"/>
      <c r="PHH76" s="2805"/>
      <c r="PHI76" s="2805"/>
      <c r="PHJ76" s="2805"/>
      <c r="PHK76" s="2805"/>
      <c r="PHL76" s="2805"/>
      <c r="PHM76" s="2805"/>
      <c r="PHN76" s="2805"/>
      <c r="PHO76" s="2805"/>
      <c r="PHP76" s="2805"/>
      <c r="PHQ76" s="2805"/>
      <c r="PHR76" s="2805"/>
      <c r="PHS76" s="2805"/>
      <c r="PHT76" s="2805"/>
      <c r="PHU76" s="2805"/>
      <c r="PHV76" s="2805"/>
      <c r="PHW76" s="2805"/>
      <c r="PHX76" s="2805"/>
      <c r="PHY76" s="2805"/>
      <c r="PHZ76" s="2805"/>
      <c r="PIA76" s="2805"/>
      <c r="PIB76" s="2805"/>
      <c r="PIC76" s="2805"/>
      <c r="PID76" s="2805"/>
      <c r="PIE76" s="2805"/>
      <c r="PIF76" s="2805"/>
      <c r="PIG76" s="2805"/>
      <c r="PIH76" s="2805"/>
      <c r="PII76" s="2805"/>
      <c r="PIJ76" s="2805"/>
      <c r="PIK76" s="2805"/>
      <c r="PIL76" s="2805"/>
      <c r="PIM76" s="2805"/>
      <c r="PIN76" s="2805"/>
      <c r="PIO76" s="2805"/>
      <c r="PIP76" s="2805"/>
      <c r="PIQ76" s="2805"/>
      <c r="PIR76" s="2805"/>
      <c r="PIS76" s="2805"/>
      <c r="PIT76" s="2805"/>
      <c r="PIU76" s="2805"/>
      <c r="PIV76" s="2805"/>
      <c r="PIW76" s="2805"/>
      <c r="PIX76" s="2805"/>
      <c r="PIY76" s="2805"/>
      <c r="PIZ76" s="2805"/>
      <c r="PJA76" s="2805"/>
      <c r="PJB76" s="2805"/>
      <c r="PJC76" s="2805"/>
      <c r="PJD76" s="2805"/>
      <c r="PJE76" s="2805"/>
      <c r="PJF76" s="2805"/>
      <c r="PJG76" s="2805"/>
      <c r="PJH76" s="2805"/>
      <c r="PJI76" s="2805"/>
      <c r="PJJ76" s="2805"/>
      <c r="PJK76" s="2805"/>
      <c r="PJL76" s="2805"/>
      <c r="PJM76" s="2805"/>
      <c r="PJN76" s="2805"/>
      <c r="PJO76" s="2805"/>
      <c r="PJP76" s="2805"/>
      <c r="PJQ76" s="2805"/>
      <c r="PJR76" s="2805"/>
      <c r="PJS76" s="2805"/>
      <c r="PJT76" s="2805"/>
      <c r="PJU76" s="2805"/>
      <c r="PJV76" s="2805"/>
      <c r="PJW76" s="2805"/>
      <c r="PJX76" s="2805"/>
      <c r="PJY76" s="2805"/>
      <c r="PJZ76" s="2805"/>
      <c r="PKA76" s="2805"/>
      <c r="PKB76" s="2805"/>
      <c r="PKC76" s="2805"/>
      <c r="PKD76" s="2805"/>
      <c r="PKE76" s="2805"/>
      <c r="PKF76" s="2805"/>
      <c r="PKG76" s="2805"/>
      <c r="PKH76" s="2805"/>
      <c r="PKI76" s="2805"/>
      <c r="PKJ76" s="2805"/>
      <c r="PKK76" s="2805"/>
      <c r="PKL76" s="2805"/>
      <c r="PKM76" s="2805"/>
      <c r="PKN76" s="2805"/>
      <c r="PKO76" s="2805"/>
      <c r="PKP76" s="2805"/>
      <c r="PKQ76" s="2805"/>
      <c r="PKR76" s="2805"/>
      <c r="PKS76" s="2805"/>
      <c r="PKT76" s="2805"/>
      <c r="PKU76" s="2805"/>
      <c r="PKV76" s="2805"/>
      <c r="PKW76" s="2805"/>
      <c r="PKX76" s="2805"/>
      <c r="PKY76" s="2805"/>
      <c r="PKZ76" s="2805"/>
      <c r="PLA76" s="2805"/>
      <c r="PLB76" s="2805"/>
      <c r="PLC76" s="2805"/>
      <c r="PLD76" s="2805"/>
      <c r="PLE76" s="2805"/>
      <c r="PLF76" s="2805"/>
      <c r="PLG76" s="2805"/>
      <c r="PLH76" s="2805"/>
      <c r="PLI76" s="2805"/>
      <c r="PLJ76" s="2805"/>
      <c r="PLK76" s="2805"/>
      <c r="PLL76" s="2805"/>
      <c r="PLM76" s="2805"/>
      <c r="PLN76" s="2805"/>
      <c r="PLO76" s="2805"/>
      <c r="PLP76" s="2805"/>
      <c r="PLQ76" s="2805"/>
      <c r="PLR76" s="2805"/>
      <c r="PLS76" s="2805"/>
      <c r="PLT76" s="2805"/>
      <c r="PLU76" s="2805"/>
      <c r="PLV76" s="2805"/>
      <c r="PLW76" s="2805"/>
      <c r="PLX76" s="2805"/>
      <c r="PLY76" s="2805"/>
      <c r="PLZ76" s="2805"/>
      <c r="PMA76" s="2805"/>
      <c r="PMB76" s="2805"/>
      <c r="PMC76" s="2805"/>
      <c r="PMD76" s="2805"/>
      <c r="PME76" s="2805"/>
      <c r="PMF76" s="2805"/>
      <c r="PMG76" s="2805"/>
      <c r="PMH76" s="2805"/>
      <c r="PMI76" s="2805"/>
      <c r="PMJ76" s="2805"/>
      <c r="PMK76" s="2805"/>
      <c r="PML76" s="2805"/>
      <c r="PMM76" s="2805"/>
      <c r="PMN76" s="2805"/>
      <c r="PMO76" s="2805"/>
      <c r="PMP76" s="2805"/>
      <c r="PMQ76" s="2805"/>
      <c r="PMR76" s="2805"/>
      <c r="PMS76" s="2805"/>
      <c r="PMT76" s="2805"/>
      <c r="PMU76" s="2805"/>
      <c r="PMV76" s="2805"/>
      <c r="PMW76" s="2805"/>
      <c r="PMX76" s="2805"/>
      <c r="PMY76" s="2805"/>
      <c r="PMZ76" s="2805"/>
      <c r="PNA76" s="2805"/>
      <c r="PNB76" s="2805"/>
      <c r="PNC76" s="2805"/>
      <c r="PND76" s="2805"/>
      <c r="PNE76" s="2805"/>
      <c r="PNF76" s="2805"/>
      <c r="PNG76" s="2805"/>
      <c r="PNH76" s="2805"/>
      <c r="PNI76" s="2805"/>
      <c r="PNJ76" s="2805"/>
      <c r="PNK76" s="2805"/>
      <c r="PNL76" s="2805"/>
      <c r="PNM76" s="2805"/>
      <c r="PNN76" s="2805"/>
      <c r="PNO76" s="2805"/>
      <c r="PNP76" s="2805"/>
      <c r="PNQ76" s="2805"/>
      <c r="PNR76" s="2805"/>
      <c r="PNS76" s="2805"/>
      <c r="PNT76" s="2805"/>
      <c r="PNU76" s="2805"/>
      <c r="PNV76" s="2805"/>
      <c r="PNW76" s="2805"/>
      <c r="PNX76" s="2805"/>
      <c r="PNY76" s="2805"/>
      <c r="PNZ76" s="2805"/>
      <c r="POA76" s="2805"/>
      <c r="POB76" s="2805"/>
      <c r="POC76" s="2805"/>
      <c r="POD76" s="2805"/>
      <c r="POE76" s="2805"/>
      <c r="POF76" s="2805"/>
      <c r="POG76" s="2805"/>
      <c r="POH76" s="2805"/>
      <c r="POI76" s="2805"/>
      <c r="POJ76" s="2805"/>
      <c r="POK76" s="2805"/>
      <c r="POL76" s="2805"/>
      <c r="POM76" s="2805"/>
      <c r="PON76" s="2805"/>
      <c r="POO76" s="2805"/>
      <c r="POP76" s="2805"/>
      <c r="POQ76" s="2805"/>
      <c r="POR76" s="2805"/>
      <c r="POS76" s="2805"/>
      <c r="POT76" s="2805"/>
      <c r="POU76" s="2805"/>
      <c r="POV76" s="2805"/>
      <c r="POW76" s="2805"/>
      <c r="POX76" s="2805"/>
      <c r="POY76" s="2805"/>
      <c r="POZ76" s="2805"/>
      <c r="PPA76" s="2805"/>
      <c r="PPB76" s="2805"/>
      <c r="PPC76" s="2805"/>
      <c r="PPD76" s="2805"/>
      <c r="PPE76" s="2805"/>
      <c r="PPF76" s="2805"/>
      <c r="PPG76" s="2805"/>
      <c r="PPH76" s="2805"/>
      <c r="PPI76" s="2805"/>
      <c r="PPJ76" s="2805"/>
      <c r="PPK76" s="2805"/>
      <c r="PPL76" s="2805"/>
      <c r="PPM76" s="2805"/>
      <c r="PPN76" s="2805"/>
      <c r="PPO76" s="2805"/>
      <c r="PPP76" s="2805"/>
      <c r="PPQ76" s="2805"/>
      <c r="PPR76" s="2805"/>
      <c r="PPS76" s="2805"/>
      <c r="PPT76" s="2805"/>
      <c r="PPU76" s="2805"/>
      <c r="PPV76" s="2805"/>
      <c r="PPW76" s="2805"/>
      <c r="PPX76" s="2805"/>
      <c r="PPY76" s="2805"/>
      <c r="PPZ76" s="2805"/>
      <c r="PQA76" s="2805"/>
      <c r="PQB76" s="2805"/>
      <c r="PQC76" s="2805"/>
      <c r="PQD76" s="2805"/>
      <c r="PQE76" s="2805"/>
      <c r="PQF76" s="2805"/>
      <c r="PQG76" s="2805"/>
      <c r="PQH76" s="2805"/>
      <c r="PQI76" s="2805"/>
      <c r="PQJ76" s="2805"/>
      <c r="PQK76" s="2805"/>
      <c r="PQL76" s="2805"/>
      <c r="PQM76" s="2805"/>
      <c r="PQN76" s="2805"/>
      <c r="PQO76" s="2805"/>
      <c r="PQP76" s="2805"/>
      <c r="PQQ76" s="2805"/>
      <c r="PQR76" s="2805"/>
      <c r="PQS76" s="2805"/>
      <c r="PQT76" s="2805"/>
      <c r="PQU76" s="2805"/>
      <c r="PQV76" s="2805"/>
      <c r="PQW76" s="2805"/>
      <c r="PQX76" s="2805"/>
      <c r="PQY76" s="2805"/>
      <c r="PQZ76" s="2805"/>
      <c r="PRA76" s="2805"/>
      <c r="PRB76" s="2805"/>
      <c r="PRC76" s="2805"/>
      <c r="PRD76" s="2805"/>
      <c r="PRE76" s="2805"/>
      <c r="PRF76" s="2805"/>
      <c r="PRG76" s="2805"/>
      <c r="PRH76" s="2805"/>
      <c r="PRI76" s="2805"/>
      <c r="PRJ76" s="2805"/>
      <c r="PRK76" s="2805"/>
      <c r="PRL76" s="2805"/>
      <c r="PRM76" s="2805"/>
      <c r="PRN76" s="2805"/>
      <c r="PRO76" s="2805"/>
      <c r="PRP76" s="2805"/>
      <c r="PRQ76" s="2805"/>
      <c r="PRR76" s="2805"/>
      <c r="PRS76" s="2805"/>
      <c r="PRT76" s="2805"/>
      <c r="PRU76" s="2805"/>
      <c r="PRV76" s="2805"/>
      <c r="PRW76" s="2805"/>
      <c r="PRX76" s="2805"/>
      <c r="PRY76" s="2805"/>
      <c r="PRZ76" s="2805"/>
      <c r="PSA76" s="2805"/>
      <c r="PSB76" s="2805"/>
      <c r="PSC76" s="2805"/>
      <c r="PSD76" s="2805"/>
      <c r="PSE76" s="2805"/>
      <c r="PSF76" s="2805"/>
      <c r="PSG76" s="2805"/>
      <c r="PSH76" s="2805"/>
      <c r="PSI76" s="2805"/>
      <c r="PSJ76" s="2805"/>
      <c r="PSK76" s="2805"/>
      <c r="PSL76" s="2805"/>
      <c r="PSM76" s="2805"/>
      <c r="PSN76" s="2805"/>
      <c r="PSO76" s="2805"/>
      <c r="PSP76" s="2805"/>
      <c r="PSQ76" s="2805"/>
      <c r="PSR76" s="2805"/>
      <c r="PSS76" s="2805"/>
      <c r="PST76" s="2805"/>
      <c r="PSU76" s="2805"/>
      <c r="PSV76" s="2805"/>
      <c r="PSW76" s="2805"/>
      <c r="PSX76" s="2805"/>
      <c r="PSY76" s="2805"/>
      <c r="PSZ76" s="2805"/>
      <c r="PTA76" s="2805"/>
      <c r="PTB76" s="2805"/>
      <c r="PTC76" s="2805"/>
      <c r="PTD76" s="2805"/>
      <c r="PTE76" s="2805"/>
      <c r="PTF76" s="2805"/>
      <c r="PTG76" s="2805"/>
      <c r="PTH76" s="2805"/>
      <c r="PTI76" s="2805"/>
      <c r="PTJ76" s="2805"/>
      <c r="PTK76" s="2805"/>
      <c r="PTL76" s="2805"/>
      <c r="PTM76" s="2805"/>
      <c r="PTN76" s="2805"/>
      <c r="PTO76" s="2805"/>
      <c r="PTP76" s="2805"/>
      <c r="PTQ76" s="2805"/>
      <c r="PTR76" s="2805"/>
      <c r="PTS76" s="2805"/>
      <c r="PTT76" s="2805"/>
      <c r="PTU76" s="2805"/>
      <c r="PTV76" s="2805"/>
      <c r="PTW76" s="2805"/>
      <c r="PTX76" s="2805"/>
      <c r="PTY76" s="2805"/>
      <c r="PTZ76" s="2805"/>
      <c r="PUA76" s="2805"/>
      <c r="PUB76" s="2805"/>
      <c r="PUC76" s="2805"/>
      <c r="PUD76" s="2805"/>
      <c r="PUE76" s="2805"/>
      <c r="PUF76" s="2805"/>
      <c r="PUG76" s="2805"/>
      <c r="PUH76" s="2805"/>
      <c r="PUI76" s="2805"/>
      <c r="PUJ76" s="2805"/>
      <c r="PUK76" s="2805"/>
      <c r="PUL76" s="2805"/>
      <c r="PUM76" s="2805"/>
      <c r="PUN76" s="2805"/>
      <c r="PUO76" s="2805"/>
      <c r="PUP76" s="2805"/>
      <c r="PUQ76" s="2805"/>
      <c r="PUR76" s="2805"/>
      <c r="PUS76" s="2805"/>
      <c r="PUT76" s="2805"/>
      <c r="PUU76" s="2805"/>
      <c r="PUV76" s="2805"/>
      <c r="PUW76" s="2805"/>
      <c r="PUX76" s="2805"/>
      <c r="PUY76" s="2805"/>
      <c r="PUZ76" s="2805"/>
      <c r="PVA76" s="2805"/>
      <c r="PVB76" s="2805"/>
      <c r="PVC76" s="2805"/>
      <c r="PVD76" s="2805"/>
      <c r="PVE76" s="2805"/>
      <c r="PVF76" s="2805"/>
      <c r="PVG76" s="2805"/>
      <c r="PVH76" s="2805"/>
      <c r="PVI76" s="2805"/>
      <c r="PVJ76" s="2805"/>
      <c r="PVK76" s="2805"/>
      <c r="PVL76" s="2805"/>
      <c r="PVM76" s="2805"/>
      <c r="PVN76" s="2805"/>
      <c r="PVO76" s="2805"/>
      <c r="PVP76" s="2805"/>
      <c r="PVQ76" s="2805"/>
      <c r="PVR76" s="2805"/>
      <c r="PVS76" s="2805"/>
      <c r="PVT76" s="2805"/>
      <c r="PVU76" s="2805"/>
      <c r="PVV76" s="2805"/>
      <c r="PVW76" s="2805"/>
      <c r="PVX76" s="2805"/>
      <c r="PVY76" s="2805"/>
      <c r="PVZ76" s="2805"/>
      <c r="PWA76" s="2805"/>
      <c r="PWB76" s="2805"/>
      <c r="PWC76" s="2805"/>
      <c r="PWD76" s="2805"/>
      <c r="PWE76" s="2805"/>
      <c r="PWF76" s="2805"/>
      <c r="PWG76" s="2805"/>
      <c r="PWH76" s="2805"/>
      <c r="PWI76" s="2805"/>
      <c r="PWJ76" s="2805"/>
      <c r="PWK76" s="2805"/>
      <c r="PWL76" s="2805"/>
      <c r="PWM76" s="2805"/>
      <c r="PWN76" s="2805"/>
      <c r="PWO76" s="2805"/>
      <c r="PWP76" s="2805"/>
      <c r="PWQ76" s="2805"/>
      <c r="PWR76" s="2805"/>
      <c r="PWS76" s="2805"/>
      <c r="PWT76" s="2805"/>
      <c r="PWU76" s="2805"/>
      <c r="PWV76" s="2805"/>
      <c r="PWW76" s="2805"/>
      <c r="PWX76" s="2805"/>
      <c r="PWY76" s="2805"/>
      <c r="PWZ76" s="2805"/>
      <c r="PXA76" s="2805"/>
      <c r="PXB76" s="2805"/>
      <c r="PXC76" s="2805"/>
      <c r="PXD76" s="2805"/>
      <c r="PXE76" s="2805"/>
      <c r="PXF76" s="2805"/>
      <c r="PXG76" s="2805"/>
      <c r="PXH76" s="2805"/>
      <c r="PXI76" s="2805"/>
      <c r="PXJ76" s="2805"/>
      <c r="PXK76" s="2805"/>
      <c r="PXL76" s="2805"/>
      <c r="PXM76" s="2805"/>
      <c r="PXN76" s="2805"/>
      <c r="PXO76" s="2805"/>
      <c r="PXP76" s="2805"/>
      <c r="PXQ76" s="2805"/>
      <c r="PXR76" s="2805"/>
      <c r="PXS76" s="2805"/>
      <c r="PXT76" s="2805"/>
      <c r="PXU76" s="2805"/>
      <c r="PXV76" s="2805"/>
      <c r="PXW76" s="2805"/>
      <c r="PXX76" s="2805"/>
      <c r="PXY76" s="2805"/>
      <c r="PXZ76" s="2805"/>
      <c r="PYA76" s="2805"/>
      <c r="PYB76" s="2805"/>
      <c r="PYC76" s="2805"/>
      <c r="PYD76" s="2805"/>
      <c r="PYE76" s="2805"/>
      <c r="PYF76" s="2805"/>
      <c r="PYG76" s="2805"/>
      <c r="PYH76" s="2805"/>
      <c r="PYI76" s="2805"/>
      <c r="PYJ76" s="2805"/>
      <c r="PYK76" s="2805"/>
      <c r="PYL76" s="2805"/>
      <c r="PYM76" s="2805"/>
      <c r="PYN76" s="2805"/>
      <c r="PYO76" s="2805"/>
      <c r="PYP76" s="2805"/>
      <c r="PYQ76" s="2805"/>
      <c r="PYR76" s="2805"/>
      <c r="PYS76" s="2805"/>
      <c r="PYT76" s="2805"/>
      <c r="PYU76" s="2805"/>
      <c r="PYV76" s="2805"/>
      <c r="PYW76" s="2805"/>
      <c r="PYX76" s="2805"/>
      <c r="PYY76" s="2805"/>
      <c r="PYZ76" s="2805"/>
      <c r="PZA76" s="2805"/>
      <c r="PZB76" s="2805"/>
      <c r="PZC76" s="2805"/>
      <c r="PZD76" s="2805"/>
      <c r="PZE76" s="2805"/>
      <c r="PZF76" s="2805"/>
      <c r="PZG76" s="2805"/>
      <c r="PZH76" s="2805"/>
      <c r="PZI76" s="2805"/>
      <c r="PZJ76" s="2805"/>
      <c r="PZK76" s="2805"/>
      <c r="PZL76" s="2805"/>
      <c r="PZM76" s="2805"/>
      <c r="PZN76" s="2805"/>
      <c r="PZO76" s="2805"/>
      <c r="PZP76" s="2805"/>
      <c r="PZQ76" s="2805"/>
      <c r="PZR76" s="2805"/>
      <c r="PZS76" s="2805"/>
      <c r="PZT76" s="2805"/>
      <c r="PZU76" s="2805"/>
      <c r="PZV76" s="2805"/>
      <c r="PZW76" s="2805"/>
      <c r="PZX76" s="2805"/>
      <c r="PZY76" s="2805"/>
      <c r="PZZ76" s="2805"/>
      <c r="QAA76" s="2805"/>
      <c r="QAB76" s="2805"/>
      <c r="QAC76" s="2805"/>
      <c r="QAD76" s="2805"/>
      <c r="QAE76" s="2805"/>
      <c r="QAF76" s="2805"/>
      <c r="QAG76" s="2805"/>
      <c r="QAH76" s="2805"/>
      <c r="QAI76" s="2805"/>
      <c r="QAJ76" s="2805"/>
      <c r="QAK76" s="2805"/>
      <c r="QAL76" s="2805"/>
      <c r="QAM76" s="2805"/>
      <c r="QAN76" s="2805"/>
      <c r="QAO76" s="2805"/>
      <c r="QAP76" s="2805"/>
      <c r="QAQ76" s="2805"/>
      <c r="QAR76" s="2805"/>
      <c r="QAS76" s="2805"/>
      <c r="QAT76" s="2805"/>
      <c r="QAU76" s="2805"/>
      <c r="QAV76" s="2805"/>
      <c r="QAW76" s="2805"/>
      <c r="QAX76" s="2805"/>
      <c r="QAY76" s="2805"/>
      <c r="QAZ76" s="2805"/>
      <c r="QBA76" s="2805"/>
      <c r="QBB76" s="2805"/>
      <c r="QBC76" s="2805"/>
      <c r="QBD76" s="2805"/>
      <c r="QBE76" s="2805"/>
      <c r="QBF76" s="2805"/>
      <c r="QBG76" s="2805"/>
      <c r="QBH76" s="2805"/>
      <c r="QBI76" s="2805"/>
      <c r="QBJ76" s="2805"/>
      <c r="QBK76" s="2805"/>
      <c r="QBL76" s="2805"/>
      <c r="QBM76" s="2805"/>
      <c r="QBN76" s="2805"/>
      <c r="QBO76" s="2805"/>
      <c r="QBP76" s="2805"/>
      <c r="QBQ76" s="2805"/>
      <c r="QBR76" s="2805"/>
      <c r="QBS76" s="2805"/>
      <c r="QBT76" s="2805"/>
      <c r="QBU76" s="2805"/>
      <c r="QBV76" s="2805"/>
      <c r="QBW76" s="2805"/>
      <c r="QBX76" s="2805"/>
      <c r="QBY76" s="2805"/>
      <c r="QBZ76" s="2805"/>
      <c r="QCA76" s="2805"/>
      <c r="QCB76" s="2805"/>
      <c r="QCC76" s="2805"/>
      <c r="QCD76" s="2805"/>
      <c r="QCE76" s="2805"/>
      <c r="QCF76" s="2805"/>
      <c r="QCG76" s="2805"/>
      <c r="QCH76" s="2805"/>
      <c r="QCI76" s="2805"/>
      <c r="QCJ76" s="2805"/>
      <c r="QCK76" s="2805"/>
      <c r="QCL76" s="2805"/>
      <c r="QCM76" s="2805"/>
      <c r="QCN76" s="2805"/>
      <c r="QCO76" s="2805"/>
      <c r="QCP76" s="2805"/>
      <c r="QCQ76" s="2805"/>
      <c r="QCR76" s="2805"/>
      <c r="QCS76" s="2805"/>
      <c r="QCT76" s="2805"/>
      <c r="QCU76" s="2805"/>
      <c r="QCV76" s="2805"/>
      <c r="QCW76" s="2805"/>
      <c r="QCX76" s="2805"/>
      <c r="QCY76" s="2805"/>
      <c r="QCZ76" s="2805"/>
      <c r="QDA76" s="2805"/>
      <c r="QDB76" s="2805"/>
      <c r="QDC76" s="2805"/>
      <c r="QDD76" s="2805"/>
      <c r="QDE76" s="2805"/>
      <c r="QDF76" s="2805"/>
      <c r="QDG76" s="2805"/>
      <c r="QDH76" s="2805"/>
      <c r="QDI76" s="2805"/>
      <c r="QDJ76" s="2805"/>
      <c r="QDK76" s="2805"/>
      <c r="QDL76" s="2805"/>
      <c r="QDM76" s="2805"/>
      <c r="QDN76" s="2805"/>
      <c r="QDO76" s="2805"/>
      <c r="QDP76" s="2805"/>
      <c r="QDQ76" s="2805"/>
      <c r="QDR76" s="2805"/>
      <c r="QDS76" s="2805"/>
      <c r="QDT76" s="2805"/>
      <c r="QDU76" s="2805"/>
      <c r="QDV76" s="2805"/>
      <c r="QDW76" s="2805"/>
      <c r="QDX76" s="2805"/>
      <c r="QDY76" s="2805"/>
      <c r="QDZ76" s="2805"/>
      <c r="QEA76" s="2805"/>
      <c r="QEB76" s="2805"/>
      <c r="QEC76" s="2805"/>
      <c r="QED76" s="2805"/>
      <c r="QEE76" s="2805"/>
      <c r="QEF76" s="2805"/>
      <c r="QEG76" s="2805"/>
      <c r="QEH76" s="2805"/>
      <c r="QEI76" s="2805"/>
      <c r="QEJ76" s="2805"/>
      <c r="QEK76" s="2805"/>
      <c r="QEL76" s="2805"/>
      <c r="QEM76" s="2805"/>
      <c r="QEN76" s="2805"/>
      <c r="QEO76" s="2805"/>
      <c r="QEP76" s="2805"/>
      <c r="QEQ76" s="2805"/>
      <c r="QER76" s="2805"/>
      <c r="QES76" s="2805"/>
      <c r="QET76" s="2805"/>
      <c r="QEU76" s="2805"/>
      <c r="QEV76" s="2805"/>
      <c r="QEW76" s="2805"/>
      <c r="QEX76" s="2805"/>
      <c r="QEY76" s="2805"/>
      <c r="QEZ76" s="2805"/>
      <c r="QFA76" s="2805"/>
      <c r="QFB76" s="2805"/>
      <c r="QFC76" s="2805"/>
      <c r="QFD76" s="2805"/>
      <c r="QFE76" s="2805"/>
      <c r="QFF76" s="2805"/>
      <c r="QFG76" s="2805"/>
      <c r="QFH76" s="2805"/>
      <c r="QFI76" s="2805"/>
      <c r="QFJ76" s="2805"/>
      <c r="QFK76" s="2805"/>
      <c r="QFL76" s="2805"/>
      <c r="QFM76" s="2805"/>
      <c r="QFN76" s="2805"/>
      <c r="QFO76" s="2805"/>
      <c r="QFP76" s="2805"/>
      <c r="QFQ76" s="2805"/>
      <c r="QFR76" s="2805"/>
      <c r="QFS76" s="2805"/>
      <c r="QFT76" s="2805"/>
      <c r="QFU76" s="2805"/>
      <c r="QFV76" s="2805"/>
      <c r="QFW76" s="2805"/>
      <c r="QFX76" s="2805"/>
      <c r="QFY76" s="2805"/>
      <c r="QFZ76" s="2805"/>
      <c r="QGA76" s="2805"/>
      <c r="QGB76" s="2805"/>
      <c r="QGC76" s="2805"/>
      <c r="QGD76" s="2805"/>
      <c r="QGE76" s="2805"/>
      <c r="QGF76" s="2805"/>
      <c r="QGG76" s="2805"/>
      <c r="QGH76" s="2805"/>
      <c r="QGI76" s="2805"/>
      <c r="QGJ76" s="2805"/>
      <c r="QGK76" s="2805"/>
      <c r="QGL76" s="2805"/>
      <c r="QGM76" s="2805"/>
      <c r="QGN76" s="2805"/>
      <c r="QGO76" s="2805"/>
      <c r="QGP76" s="2805"/>
      <c r="QGQ76" s="2805"/>
      <c r="QGR76" s="2805"/>
      <c r="QGS76" s="2805"/>
      <c r="QGT76" s="2805"/>
      <c r="QGU76" s="2805"/>
      <c r="QGV76" s="2805"/>
      <c r="QGW76" s="2805"/>
      <c r="QGX76" s="2805"/>
      <c r="QGY76" s="2805"/>
      <c r="QGZ76" s="2805"/>
      <c r="QHA76" s="2805"/>
      <c r="QHB76" s="2805"/>
      <c r="QHC76" s="2805"/>
      <c r="QHD76" s="2805"/>
      <c r="QHE76" s="2805"/>
      <c r="QHF76" s="2805"/>
      <c r="QHG76" s="2805"/>
      <c r="QHH76" s="2805"/>
      <c r="QHI76" s="2805"/>
      <c r="QHJ76" s="2805"/>
      <c r="QHK76" s="2805"/>
      <c r="QHL76" s="2805"/>
      <c r="QHM76" s="2805"/>
      <c r="QHN76" s="2805"/>
      <c r="QHO76" s="2805"/>
      <c r="QHP76" s="2805"/>
      <c r="QHQ76" s="2805"/>
      <c r="QHR76" s="2805"/>
      <c r="QHS76" s="2805"/>
      <c r="QHT76" s="2805"/>
      <c r="QHU76" s="2805"/>
      <c r="QHV76" s="2805"/>
      <c r="QHW76" s="2805"/>
      <c r="QHX76" s="2805"/>
      <c r="QHY76" s="2805"/>
      <c r="QHZ76" s="2805"/>
      <c r="QIA76" s="2805"/>
      <c r="QIB76" s="2805"/>
      <c r="QIC76" s="2805"/>
      <c r="QID76" s="2805"/>
      <c r="QIE76" s="2805"/>
      <c r="QIF76" s="2805"/>
      <c r="QIG76" s="2805"/>
      <c r="QIH76" s="2805"/>
      <c r="QII76" s="2805"/>
      <c r="QIJ76" s="2805"/>
      <c r="QIK76" s="2805"/>
      <c r="QIL76" s="2805"/>
      <c r="QIM76" s="2805"/>
      <c r="QIN76" s="2805"/>
      <c r="QIO76" s="2805"/>
      <c r="QIP76" s="2805"/>
      <c r="QIQ76" s="2805"/>
      <c r="QIR76" s="2805"/>
      <c r="QIS76" s="2805"/>
      <c r="QIT76" s="2805"/>
      <c r="QIU76" s="2805"/>
      <c r="QIV76" s="2805"/>
      <c r="QIW76" s="2805"/>
      <c r="QIX76" s="2805"/>
      <c r="QIY76" s="2805"/>
      <c r="QIZ76" s="2805"/>
      <c r="QJA76" s="2805"/>
      <c r="QJB76" s="2805"/>
      <c r="QJC76" s="2805"/>
      <c r="QJD76" s="2805"/>
      <c r="QJE76" s="2805"/>
      <c r="QJF76" s="2805"/>
      <c r="QJG76" s="2805"/>
      <c r="QJH76" s="2805"/>
      <c r="QJI76" s="2805"/>
      <c r="QJJ76" s="2805"/>
      <c r="QJK76" s="2805"/>
      <c r="QJL76" s="2805"/>
      <c r="QJM76" s="2805"/>
      <c r="QJN76" s="2805"/>
      <c r="QJO76" s="2805"/>
      <c r="QJP76" s="2805"/>
      <c r="QJQ76" s="2805"/>
      <c r="QJR76" s="2805"/>
      <c r="QJS76" s="2805"/>
      <c r="QJT76" s="2805"/>
      <c r="QJU76" s="2805"/>
      <c r="QJV76" s="2805"/>
      <c r="QJW76" s="2805"/>
      <c r="QJX76" s="2805"/>
      <c r="QJY76" s="2805"/>
      <c r="QJZ76" s="2805"/>
      <c r="QKA76" s="2805"/>
      <c r="QKB76" s="2805"/>
      <c r="QKC76" s="2805"/>
      <c r="QKD76" s="2805"/>
      <c r="QKE76" s="2805"/>
      <c r="QKF76" s="2805"/>
      <c r="QKG76" s="2805"/>
      <c r="QKH76" s="2805"/>
      <c r="QKI76" s="2805"/>
      <c r="QKJ76" s="2805"/>
      <c r="QKK76" s="2805"/>
      <c r="QKL76" s="2805"/>
      <c r="QKM76" s="2805"/>
      <c r="QKN76" s="2805"/>
      <c r="QKO76" s="2805"/>
      <c r="QKP76" s="2805"/>
      <c r="QKQ76" s="2805"/>
      <c r="QKR76" s="2805"/>
      <c r="QKS76" s="2805"/>
      <c r="QKT76" s="2805"/>
      <c r="QKU76" s="2805"/>
      <c r="QKV76" s="2805"/>
      <c r="QKW76" s="2805"/>
      <c r="QKX76" s="2805"/>
      <c r="QKY76" s="2805"/>
      <c r="QKZ76" s="2805"/>
      <c r="QLA76" s="2805"/>
      <c r="QLB76" s="2805"/>
      <c r="QLC76" s="2805"/>
      <c r="QLD76" s="2805"/>
      <c r="QLE76" s="2805"/>
      <c r="QLF76" s="2805"/>
      <c r="QLG76" s="2805"/>
      <c r="QLH76" s="2805"/>
      <c r="QLI76" s="2805"/>
      <c r="QLJ76" s="2805"/>
      <c r="QLK76" s="2805"/>
      <c r="QLL76" s="2805"/>
      <c r="QLM76" s="2805"/>
      <c r="QLN76" s="2805"/>
      <c r="QLO76" s="2805"/>
      <c r="QLP76" s="2805"/>
      <c r="QLQ76" s="2805"/>
      <c r="QLR76" s="2805"/>
      <c r="QLS76" s="2805"/>
      <c r="QLT76" s="2805"/>
      <c r="QLU76" s="2805"/>
      <c r="QLV76" s="2805"/>
      <c r="QLW76" s="2805"/>
      <c r="QLX76" s="2805"/>
      <c r="QLY76" s="2805"/>
      <c r="QLZ76" s="2805"/>
      <c r="QMA76" s="2805"/>
      <c r="QMB76" s="2805"/>
      <c r="QMC76" s="2805"/>
      <c r="QMD76" s="2805"/>
      <c r="QME76" s="2805"/>
      <c r="QMF76" s="2805"/>
      <c r="QMG76" s="2805"/>
      <c r="QMH76" s="2805"/>
      <c r="QMI76" s="2805"/>
      <c r="QMJ76" s="2805"/>
      <c r="QMK76" s="2805"/>
      <c r="QML76" s="2805"/>
      <c r="QMM76" s="2805"/>
      <c r="QMN76" s="2805"/>
      <c r="QMO76" s="2805"/>
      <c r="QMP76" s="2805"/>
      <c r="QMQ76" s="2805"/>
      <c r="QMR76" s="2805"/>
      <c r="QMS76" s="2805"/>
      <c r="QMT76" s="2805"/>
      <c r="QMU76" s="2805"/>
      <c r="QMV76" s="2805"/>
      <c r="QMW76" s="2805"/>
      <c r="QMX76" s="2805"/>
      <c r="QMY76" s="2805"/>
      <c r="QMZ76" s="2805"/>
      <c r="QNA76" s="2805"/>
      <c r="QNB76" s="2805"/>
      <c r="QNC76" s="2805"/>
      <c r="QND76" s="2805"/>
      <c r="QNE76" s="2805"/>
      <c r="QNF76" s="2805"/>
      <c r="QNG76" s="2805"/>
      <c r="QNH76" s="2805"/>
      <c r="QNI76" s="2805"/>
      <c r="QNJ76" s="2805"/>
      <c r="QNK76" s="2805"/>
      <c r="QNL76" s="2805"/>
      <c r="QNM76" s="2805"/>
      <c r="QNN76" s="2805"/>
      <c r="QNO76" s="2805"/>
      <c r="QNP76" s="2805"/>
      <c r="QNQ76" s="2805"/>
      <c r="QNR76" s="2805"/>
      <c r="QNS76" s="2805"/>
      <c r="QNT76" s="2805"/>
      <c r="QNU76" s="2805"/>
      <c r="QNV76" s="2805"/>
      <c r="QNW76" s="2805"/>
      <c r="QNX76" s="2805"/>
      <c r="QNY76" s="2805"/>
      <c r="QNZ76" s="2805"/>
      <c r="QOA76" s="2805"/>
      <c r="QOB76" s="2805"/>
      <c r="QOC76" s="2805"/>
      <c r="QOD76" s="2805"/>
      <c r="QOE76" s="2805"/>
      <c r="QOF76" s="2805"/>
      <c r="QOG76" s="2805"/>
      <c r="QOH76" s="2805"/>
      <c r="QOI76" s="2805"/>
      <c r="QOJ76" s="2805"/>
      <c r="QOK76" s="2805"/>
      <c r="QOL76" s="2805"/>
      <c r="QOM76" s="2805"/>
      <c r="QON76" s="2805"/>
      <c r="QOO76" s="2805"/>
      <c r="QOP76" s="2805"/>
      <c r="QOQ76" s="2805"/>
      <c r="QOR76" s="2805"/>
      <c r="QOS76" s="2805"/>
      <c r="QOT76" s="2805"/>
      <c r="QOU76" s="2805"/>
      <c r="QOV76" s="2805"/>
      <c r="QOW76" s="2805"/>
      <c r="QOX76" s="2805"/>
      <c r="QOY76" s="2805"/>
      <c r="QOZ76" s="2805"/>
      <c r="QPA76" s="2805"/>
      <c r="QPB76" s="2805"/>
      <c r="QPC76" s="2805"/>
      <c r="QPD76" s="2805"/>
      <c r="QPE76" s="2805"/>
      <c r="QPF76" s="2805"/>
      <c r="QPG76" s="2805"/>
      <c r="QPH76" s="2805"/>
      <c r="QPI76" s="2805"/>
      <c r="QPJ76" s="2805"/>
      <c r="QPK76" s="2805"/>
      <c r="QPL76" s="2805"/>
      <c r="QPM76" s="2805"/>
      <c r="QPN76" s="2805"/>
      <c r="QPO76" s="2805"/>
      <c r="QPP76" s="2805"/>
      <c r="QPQ76" s="2805"/>
      <c r="QPR76" s="2805"/>
      <c r="QPS76" s="2805"/>
      <c r="QPT76" s="2805"/>
      <c r="QPU76" s="2805"/>
      <c r="QPV76" s="2805"/>
      <c r="QPW76" s="2805"/>
      <c r="QPX76" s="2805"/>
      <c r="QPY76" s="2805"/>
      <c r="QPZ76" s="2805"/>
      <c r="QQA76" s="2805"/>
      <c r="QQB76" s="2805"/>
      <c r="QQC76" s="2805"/>
      <c r="QQD76" s="2805"/>
      <c r="QQE76" s="2805"/>
      <c r="QQF76" s="2805"/>
      <c r="QQG76" s="2805"/>
      <c r="QQH76" s="2805"/>
      <c r="QQI76" s="2805"/>
      <c r="QQJ76" s="2805"/>
      <c r="QQK76" s="2805"/>
      <c r="QQL76" s="2805"/>
      <c r="QQM76" s="2805"/>
      <c r="QQN76" s="2805"/>
      <c r="QQO76" s="2805"/>
      <c r="QQP76" s="2805"/>
      <c r="QQQ76" s="2805"/>
      <c r="QQR76" s="2805"/>
      <c r="QQS76" s="2805"/>
      <c r="QQT76" s="2805"/>
      <c r="QQU76" s="2805"/>
      <c r="QQV76" s="2805"/>
      <c r="QQW76" s="2805"/>
      <c r="QQX76" s="2805"/>
      <c r="QQY76" s="2805"/>
      <c r="QQZ76" s="2805"/>
      <c r="QRA76" s="2805"/>
      <c r="QRB76" s="2805"/>
      <c r="QRC76" s="2805"/>
      <c r="QRD76" s="2805"/>
      <c r="QRE76" s="2805"/>
      <c r="QRF76" s="2805"/>
      <c r="QRG76" s="2805"/>
      <c r="QRH76" s="2805"/>
      <c r="QRI76" s="2805"/>
      <c r="QRJ76" s="2805"/>
      <c r="QRK76" s="2805"/>
      <c r="QRL76" s="2805"/>
      <c r="QRM76" s="2805"/>
      <c r="QRN76" s="2805"/>
      <c r="QRO76" s="2805"/>
      <c r="QRP76" s="2805"/>
      <c r="QRQ76" s="2805"/>
      <c r="QRR76" s="2805"/>
      <c r="QRS76" s="2805"/>
      <c r="QRT76" s="2805"/>
      <c r="QRU76" s="2805"/>
      <c r="QRV76" s="2805"/>
      <c r="QRW76" s="2805"/>
      <c r="QRX76" s="2805"/>
      <c r="QRY76" s="2805"/>
      <c r="QRZ76" s="2805"/>
      <c r="QSA76" s="2805"/>
      <c r="QSB76" s="2805"/>
      <c r="QSC76" s="2805"/>
      <c r="QSD76" s="2805"/>
      <c r="QSE76" s="2805"/>
      <c r="QSF76" s="2805"/>
      <c r="QSG76" s="2805"/>
      <c r="QSH76" s="2805"/>
      <c r="QSI76" s="2805"/>
      <c r="QSJ76" s="2805"/>
      <c r="QSK76" s="2805"/>
      <c r="QSL76" s="2805"/>
      <c r="QSM76" s="2805"/>
      <c r="QSN76" s="2805"/>
      <c r="QSO76" s="2805"/>
      <c r="QSP76" s="2805"/>
      <c r="QSQ76" s="2805"/>
      <c r="QSR76" s="2805"/>
      <c r="QSS76" s="2805"/>
      <c r="QST76" s="2805"/>
      <c r="QSU76" s="2805"/>
      <c r="QSV76" s="2805"/>
      <c r="QSW76" s="2805"/>
      <c r="QSX76" s="2805"/>
      <c r="QSY76" s="2805"/>
      <c r="QSZ76" s="2805"/>
      <c r="QTA76" s="2805"/>
      <c r="QTB76" s="2805"/>
      <c r="QTC76" s="2805"/>
      <c r="QTD76" s="2805"/>
      <c r="QTE76" s="2805"/>
      <c r="QTF76" s="2805"/>
      <c r="QTG76" s="2805"/>
      <c r="QTH76" s="2805"/>
      <c r="QTI76" s="2805"/>
      <c r="QTJ76" s="2805"/>
      <c r="QTK76" s="2805"/>
      <c r="QTL76" s="2805"/>
      <c r="QTM76" s="2805"/>
      <c r="QTN76" s="2805"/>
      <c r="QTO76" s="2805"/>
      <c r="QTP76" s="2805"/>
      <c r="QTQ76" s="2805"/>
      <c r="QTR76" s="2805"/>
      <c r="QTS76" s="2805"/>
      <c r="QTT76" s="2805"/>
      <c r="QTU76" s="2805"/>
      <c r="QTV76" s="2805"/>
      <c r="QTW76" s="2805"/>
      <c r="QTX76" s="2805"/>
      <c r="QTY76" s="2805"/>
      <c r="QTZ76" s="2805"/>
      <c r="QUA76" s="2805"/>
      <c r="QUB76" s="2805"/>
      <c r="QUC76" s="2805"/>
      <c r="QUD76" s="2805"/>
      <c r="QUE76" s="2805"/>
      <c r="QUF76" s="2805"/>
      <c r="QUG76" s="2805"/>
      <c r="QUH76" s="2805"/>
      <c r="QUI76" s="2805"/>
      <c r="QUJ76" s="2805"/>
      <c r="QUK76" s="2805"/>
      <c r="QUL76" s="2805"/>
      <c r="QUM76" s="2805"/>
      <c r="QUN76" s="2805"/>
      <c r="QUO76" s="2805"/>
      <c r="QUP76" s="2805"/>
      <c r="QUQ76" s="2805"/>
      <c r="QUR76" s="2805"/>
      <c r="QUS76" s="2805"/>
      <c r="QUT76" s="2805"/>
      <c r="QUU76" s="2805"/>
      <c r="QUV76" s="2805"/>
      <c r="QUW76" s="2805"/>
      <c r="QUX76" s="2805"/>
      <c r="QUY76" s="2805"/>
      <c r="QUZ76" s="2805"/>
      <c r="QVA76" s="2805"/>
      <c r="QVB76" s="2805"/>
      <c r="QVC76" s="2805"/>
      <c r="QVD76" s="2805"/>
      <c r="QVE76" s="2805"/>
      <c r="QVF76" s="2805"/>
      <c r="QVG76" s="2805"/>
      <c r="QVH76" s="2805"/>
      <c r="QVI76" s="2805"/>
      <c r="QVJ76" s="2805"/>
      <c r="QVK76" s="2805"/>
      <c r="QVL76" s="2805"/>
      <c r="QVM76" s="2805"/>
      <c r="QVN76" s="2805"/>
      <c r="QVO76" s="2805"/>
      <c r="QVP76" s="2805"/>
      <c r="QVQ76" s="2805"/>
      <c r="QVR76" s="2805"/>
      <c r="QVS76" s="2805"/>
      <c r="QVT76" s="2805"/>
      <c r="QVU76" s="2805"/>
      <c r="QVV76" s="2805"/>
      <c r="QVW76" s="2805"/>
      <c r="QVX76" s="2805"/>
      <c r="QVY76" s="2805"/>
      <c r="QVZ76" s="2805"/>
      <c r="QWA76" s="2805"/>
      <c r="QWB76" s="2805"/>
      <c r="QWC76" s="2805"/>
      <c r="QWD76" s="2805"/>
      <c r="QWE76" s="2805"/>
      <c r="QWF76" s="2805"/>
      <c r="QWG76" s="2805"/>
      <c r="QWH76" s="2805"/>
      <c r="QWI76" s="2805"/>
      <c r="QWJ76" s="2805"/>
      <c r="QWK76" s="2805"/>
      <c r="QWL76" s="2805"/>
      <c r="QWM76" s="2805"/>
      <c r="QWN76" s="2805"/>
      <c r="QWO76" s="2805"/>
      <c r="QWP76" s="2805"/>
      <c r="QWQ76" s="2805"/>
      <c r="QWR76" s="2805"/>
      <c r="QWS76" s="2805"/>
      <c r="QWT76" s="2805"/>
      <c r="QWU76" s="2805"/>
      <c r="QWV76" s="2805"/>
      <c r="QWW76" s="2805"/>
      <c r="QWX76" s="2805"/>
      <c r="QWY76" s="2805"/>
      <c r="QWZ76" s="2805"/>
      <c r="QXA76" s="2805"/>
      <c r="QXB76" s="2805"/>
      <c r="QXC76" s="2805"/>
      <c r="QXD76" s="2805"/>
      <c r="QXE76" s="2805"/>
      <c r="QXF76" s="2805"/>
      <c r="QXG76" s="2805"/>
      <c r="QXH76" s="2805"/>
      <c r="QXI76" s="2805"/>
      <c r="QXJ76" s="2805"/>
      <c r="QXK76" s="2805"/>
      <c r="QXL76" s="2805"/>
      <c r="QXM76" s="2805"/>
      <c r="QXN76" s="2805"/>
      <c r="QXO76" s="2805"/>
      <c r="QXP76" s="2805"/>
      <c r="QXQ76" s="2805"/>
      <c r="QXR76" s="2805"/>
      <c r="QXS76" s="2805"/>
      <c r="QXT76" s="2805"/>
      <c r="QXU76" s="2805"/>
      <c r="QXV76" s="2805"/>
      <c r="QXW76" s="2805"/>
      <c r="QXX76" s="2805"/>
      <c r="QXY76" s="2805"/>
      <c r="QXZ76" s="2805"/>
      <c r="QYA76" s="2805"/>
      <c r="QYB76" s="2805"/>
      <c r="QYC76" s="2805"/>
      <c r="QYD76" s="2805"/>
      <c r="QYE76" s="2805"/>
      <c r="QYF76" s="2805"/>
      <c r="QYG76" s="2805"/>
      <c r="QYH76" s="2805"/>
      <c r="QYI76" s="2805"/>
      <c r="QYJ76" s="2805"/>
      <c r="QYK76" s="2805"/>
      <c r="QYL76" s="2805"/>
      <c r="QYM76" s="2805"/>
      <c r="QYN76" s="2805"/>
      <c r="QYO76" s="2805"/>
      <c r="QYP76" s="2805"/>
      <c r="QYQ76" s="2805"/>
      <c r="QYR76" s="2805"/>
      <c r="QYS76" s="2805"/>
      <c r="QYT76" s="2805"/>
      <c r="QYU76" s="2805"/>
      <c r="QYV76" s="2805"/>
      <c r="QYW76" s="2805"/>
      <c r="QYX76" s="2805"/>
      <c r="QYY76" s="2805"/>
      <c r="QYZ76" s="2805"/>
      <c r="QZA76" s="2805"/>
      <c r="QZB76" s="2805"/>
      <c r="QZC76" s="2805"/>
      <c r="QZD76" s="2805"/>
      <c r="QZE76" s="2805"/>
      <c r="QZF76" s="2805"/>
      <c r="QZG76" s="2805"/>
      <c r="QZH76" s="2805"/>
      <c r="QZI76" s="2805"/>
      <c r="QZJ76" s="2805"/>
      <c r="QZK76" s="2805"/>
      <c r="QZL76" s="2805"/>
      <c r="QZM76" s="2805"/>
      <c r="QZN76" s="2805"/>
      <c r="QZO76" s="2805"/>
      <c r="QZP76" s="2805"/>
      <c r="QZQ76" s="2805"/>
      <c r="QZR76" s="2805"/>
      <c r="QZS76" s="2805"/>
      <c r="QZT76" s="2805"/>
      <c r="QZU76" s="2805"/>
      <c r="QZV76" s="2805"/>
      <c r="QZW76" s="2805"/>
      <c r="QZX76" s="2805"/>
      <c r="QZY76" s="2805"/>
      <c r="QZZ76" s="2805"/>
      <c r="RAA76" s="2805"/>
      <c r="RAB76" s="2805"/>
      <c r="RAC76" s="2805"/>
      <c r="RAD76" s="2805"/>
      <c r="RAE76" s="2805"/>
      <c r="RAF76" s="2805"/>
      <c r="RAG76" s="2805"/>
      <c r="RAH76" s="2805"/>
      <c r="RAI76" s="2805"/>
      <c r="RAJ76" s="2805"/>
      <c r="RAK76" s="2805"/>
      <c r="RAL76" s="2805"/>
      <c r="RAM76" s="2805"/>
      <c r="RAN76" s="2805"/>
      <c r="RAO76" s="2805"/>
      <c r="RAP76" s="2805"/>
      <c r="RAQ76" s="2805"/>
      <c r="RAR76" s="2805"/>
      <c r="RAS76" s="2805"/>
      <c r="RAT76" s="2805"/>
      <c r="RAU76" s="2805"/>
      <c r="RAV76" s="2805"/>
      <c r="RAW76" s="2805"/>
      <c r="RAX76" s="2805"/>
      <c r="RAY76" s="2805"/>
      <c r="RAZ76" s="2805"/>
      <c r="RBA76" s="2805"/>
      <c r="RBB76" s="2805"/>
      <c r="RBC76" s="2805"/>
      <c r="RBD76" s="2805"/>
      <c r="RBE76" s="2805"/>
      <c r="RBF76" s="2805"/>
      <c r="RBG76" s="2805"/>
      <c r="RBH76" s="2805"/>
      <c r="RBI76" s="2805"/>
      <c r="RBJ76" s="2805"/>
      <c r="RBK76" s="2805"/>
      <c r="RBL76" s="2805"/>
      <c r="RBM76" s="2805"/>
      <c r="RBN76" s="2805"/>
      <c r="RBO76" s="2805"/>
      <c r="RBP76" s="2805"/>
      <c r="RBQ76" s="2805"/>
      <c r="RBR76" s="2805"/>
      <c r="RBS76" s="2805"/>
      <c r="RBT76" s="2805"/>
      <c r="RBU76" s="2805"/>
      <c r="RBV76" s="2805"/>
      <c r="RBW76" s="2805"/>
      <c r="RBX76" s="2805"/>
      <c r="RBY76" s="2805"/>
      <c r="RBZ76" s="2805"/>
      <c r="RCA76" s="2805"/>
      <c r="RCB76" s="2805"/>
      <c r="RCC76" s="2805"/>
      <c r="RCD76" s="2805"/>
      <c r="RCE76" s="2805"/>
      <c r="RCF76" s="2805"/>
      <c r="RCG76" s="2805"/>
      <c r="RCH76" s="2805"/>
      <c r="RCI76" s="2805"/>
      <c r="RCJ76" s="2805"/>
      <c r="RCK76" s="2805"/>
      <c r="RCL76" s="2805"/>
      <c r="RCM76" s="2805"/>
      <c r="RCN76" s="2805"/>
      <c r="RCO76" s="2805"/>
      <c r="RCP76" s="2805"/>
      <c r="RCQ76" s="2805"/>
      <c r="RCR76" s="2805"/>
      <c r="RCS76" s="2805"/>
      <c r="RCT76" s="2805"/>
      <c r="RCU76" s="2805"/>
      <c r="RCV76" s="2805"/>
      <c r="RCW76" s="2805"/>
      <c r="RCX76" s="2805"/>
      <c r="RCY76" s="2805"/>
      <c r="RCZ76" s="2805"/>
      <c r="RDA76" s="2805"/>
      <c r="RDB76" s="2805"/>
      <c r="RDC76" s="2805"/>
      <c r="RDD76" s="2805"/>
      <c r="RDE76" s="2805"/>
      <c r="RDF76" s="2805"/>
      <c r="RDG76" s="2805"/>
      <c r="RDH76" s="2805"/>
      <c r="RDI76" s="2805"/>
      <c r="RDJ76" s="2805"/>
      <c r="RDK76" s="2805"/>
      <c r="RDL76" s="2805"/>
      <c r="RDM76" s="2805"/>
      <c r="RDN76" s="2805"/>
      <c r="RDO76" s="2805"/>
      <c r="RDP76" s="2805"/>
      <c r="RDQ76" s="2805"/>
      <c r="RDR76" s="2805"/>
      <c r="RDS76" s="2805"/>
      <c r="RDT76" s="2805"/>
      <c r="RDU76" s="2805"/>
      <c r="RDV76" s="2805"/>
      <c r="RDW76" s="2805"/>
      <c r="RDX76" s="2805"/>
      <c r="RDY76" s="2805"/>
      <c r="RDZ76" s="2805"/>
      <c r="REA76" s="2805"/>
      <c r="REB76" s="2805"/>
      <c r="REC76" s="2805"/>
      <c r="RED76" s="2805"/>
      <c r="REE76" s="2805"/>
      <c r="REF76" s="2805"/>
      <c r="REG76" s="2805"/>
      <c r="REH76" s="2805"/>
      <c r="REI76" s="2805"/>
      <c r="REJ76" s="2805"/>
      <c r="REK76" s="2805"/>
      <c r="REL76" s="2805"/>
      <c r="REM76" s="2805"/>
      <c r="REN76" s="2805"/>
      <c r="REO76" s="2805"/>
      <c r="REP76" s="2805"/>
      <c r="REQ76" s="2805"/>
      <c r="RER76" s="2805"/>
      <c r="RES76" s="2805"/>
      <c r="RET76" s="2805"/>
      <c r="REU76" s="2805"/>
      <c r="REV76" s="2805"/>
      <c r="REW76" s="2805"/>
      <c r="REX76" s="2805"/>
      <c r="REY76" s="2805"/>
      <c r="REZ76" s="2805"/>
      <c r="RFA76" s="2805"/>
      <c r="RFB76" s="2805"/>
      <c r="RFC76" s="2805"/>
      <c r="RFD76" s="2805"/>
      <c r="RFE76" s="2805"/>
      <c r="RFF76" s="2805"/>
      <c r="RFG76" s="2805"/>
      <c r="RFH76" s="2805"/>
      <c r="RFI76" s="2805"/>
      <c r="RFJ76" s="2805"/>
      <c r="RFK76" s="2805"/>
      <c r="RFL76" s="2805"/>
      <c r="RFM76" s="2805"/>
      <c r="RFN76" s="2805"/>
      <c r="RFO76" s="2805"/>
      <c r="RFP76" s="2805"/>
      <c r="RFQ76" s="2805"/>
      <c r="RFR76" s="2805"/>
      <c r="RFS76" s="2805"/>
      <c r="RFT76" s="2805"/>
      <c r="RFU76" s="2805"/>
      <c r="RFV76" s="2805"/>
      <c r="RFW76" s="2805"/>
      <c r="RFX76" s="2805"/>
      <c r="RFY76" s="2805"/>
      <c r="RFZ76" s="2805"/>
      <c r="RGA76" s="2805"/>
      <c r="RGB76" s="2805"/>
      <c r="RGC76" s="2805"/>
      <c r="RGD76" s="2805"/>
      <c r="RGE76" s="2805"/>
      <c r="RGF76" s="2805"/>
      <c r="RGG76" s="2805"/>
      <c r="RGH76" s="2805"/>
      <c r="RGI76" s="2805"/>
      <c r="RGJ76" s="2805"/>
      <c r="RGK76" s="2805"/>
      <c r="RGL76" s="2805"/>
      <c r="RGM76" s="2805"/>
      <c r="RGN76" s="2805"/>
      <c r="RGO76" s="2805"/>
      <c r="RGP76" s="2805"/>
      <c r="RGQ76" s="2805"/>
      <c r="RGR76" s="2805"/>
      <c r="RGS76" s="2805"/>
      <c r="RGT76" s="2805"/>
      <c r="RGU76" s="2805"/>
      <c r="RGV76" s="2805"/>
      <c r="RGW76" s="2805"/>
      <c r="RGX76" s="2805"/>
      <c r="RGY76" s="2805"/>
      <c r="RGZ76" s="2805"/>
      <c r="RHA76" s="2805"/>
      <c r="RHB76" s="2805"/>
      <c r="RHC76" s="2805"/>
      <c r="RHD76" s="2805"/>
      <c r="RHE76" s="2805"/>
      <c r="RHF76" s="2805"/>
      <c r="RHG76" s="2805"/>
      <c r="RHH76" s="2805"/>
      <c r="RHI76" s="2805"/>
      <c r="RHJ76" s="2805"/>
      <c r="RHK76" s="2805"/>
      <c r="RHL76" s="2805"/>
      <c r="RHM76" s="2805"/>
      <c r="RHN76" s="2805"/>
      <c r="RHO76" s="2805"/>
      <c r="RHP76" s="2805"/>
      <c r="RHQ76" s="2805"/>
      <c r="RHR76" s="2805"/>
      <c r="RHS76" s="2805"/>
      <c r="RHT76" s="2805"/>
      <c r="RHU76" s="2805"/>
      <c r="RHV76" s="2805"/>
      <c r="RHW76" s="2805"/>
      <c r="RHX76" s="2805"/>
      <c r="RHY76" s="2805"/>
      <c r="RHZ76" s="2805"/>
      <c r="RIA76" s="2805"/>
      <c r="RIB76" s="2805"/>
      <c r="RIC76" s="2805"/>
      <c r="RID76" s="2805"/>
      <c r="RIE76" s="2805"/>
      <c r="RIF76" s="2805"/>
      <c r="RIG76" s="2805"/>
      <c r="RIH76" s="2805"/>
      <c r="RII76" s="2805"/>
      <c r="RIJ76" s="2805"/>
      <c r="RIK76" s="2805"/>
      <c r="RIL76" s="2805"/>
      <c r="RIM76" s="2805"/>
      <c r="RIN76" s="2805"/>
      <c r="RIO76" s="2805"/>
      <c r="RIP76" s="2805"/>
      <c r="RIQ76" s="2805"/>
      <c r="RIR76" s="2805"/>
      <c r="RIS76" s="2805"/>
      <c r="RIT76" s="2805"/>
      <c r="RIU76" s="2805"/>
      <c r="RIV76" s="2805"/>
      <c r="RIW76" s="2805"/>
      <c r="RIX76" s="2805"/>
      <c r="RIY76" s="2805"/>
      <c r="RIZ76" s="2805"/>
      <c r="RJA76" s="2805"/>
      <c r="RJB76" s="2805"/>
      <c r="RJC76" s="2805"/>
      <c r="RJD76" s="2805"/>
      <c r="RJE76" s="2805"/>
      <c r="RJF76" s="2805"/>
      <c r="RJG76" s="2805"/>
      <c r="RJH76" s="2805"/>
      <c r="RJI76" s="2805"/>
      <c r="RJJ76" s="2805"/>
      <c r="RJK76" s="2805"/>
      <c r="RJL76" s="2805"/>
      <c r="RJM76" s="2805"/>
      <c r="RJN76" s="2805"/>
      <c r="RJO76" s="2805"/>
      <c r="RJP76" s="2805"/>
      <c r="RJQ76" s="2805"/>
      <c r="RJR76" s="2805"/>
      <c r="RJS76" s="2805"/>
      <c r="RJT76" s="2805"/>
      <c r="RJU76" s="2805"/>
      <c r="RJV76" s="2805"/>
      <c r="RJW76" s="2805"/>
      <c r="RJX76" s="2805"/>
      <c r="RJY76" s="2805"/>
      <c r="RJZ76" s="2805"/>
      <c r="RKA76" s="2805"/>
      <c r="RKB76" s="2805"/>
      <c r="RKC76" s="2805"/>
      <c r="RKD76" s="2805"/>
      <c r="RKE76" s="2805"/>
      <c r="RKF76" s="2805"/>
      <c r="RKG76" s="2805"/>
      <c r="RKH76" s="2805"/>
      <c r="RKI76" s="2805"/>
      <c r="RKJ76" s="2805"/>
      <c r="RKK76" s="2805"/>
      <c r="RKL76" s="2805"/>
      <c r="RKM76" s="2805"/>
      <c r="RKN76" s="2805"/>
      <c r="RKO76" s="2805"/>
      <c r="RKP76" s="2805"/>
      <c r="RKQ76" s="2805"/>
      <c r="RKR76" s="2805"/>
      <c r="RKS76" s="2805"/>
      <c r="RKT76" s="2805"/>
      <c r="RKU76" s="2805"/>
      <c r="RKV76" s="2805"/>
      <c r="RKW76" s="2805"/>
      <c r="RKX76" s="2805"/>
      <c r="RKY76" s="2805"/>
      <c r="RKZ76" s="2805"/>
      <c r="RLA76" s="2805"/>
      <c r="RLB76" s="2805"/>
      <c r="RLC76" s="2805"/>
      <c r="RLD76" s="2805"/>
      <c r="RLE76" s="2805"/>
      <c r="RLF76" s="2805"/>
      <c r="RLG76" s="2805"/>
      <c r="RLH76" s="2805"/>
      <c r="RLI76" s="2805"/>
      <c r="RLJ76" s="2805"/>
      <c r="RLK76" s="2805"/>
      <c r="RLL76" s="2805"/>
      <c r="RLM76" s="2805"/>
      <c r="RLN76" s="2805"/>
      <c r="RLO76" s="2805"/>
      <c r="RLP76" s="2805"/>
      <c r="RLQ76" s="2805"/>
      <c r="RLR76" s="2805"/>
      <c r="RLS76" s="2805"/>
      <c r="RLT76" s="2805"/>
      <c r="RLU76" s="2805"/>
      <c r="RLV76" s="2805"/>
      <c r="RLW76" s="2805"/>
      <c r="RLX76" s="2805"/>
      <c r="RLY76" s="2805"/>
      <c r="RLZ76" s="2805"/>
      <c r="RMA76" s="2805"/>
      <c r="RMB76" s="2805"/>
      <c r="RMC76" s="2805"/>
      <c r="RMD76" s="2805"/>
      <c r="RME76" s="2805"/>
      <c r="RMF76" s="2805"/>
      <c r="RMG76" s="2805"/>
      <c r="RMH76" s="2805"/>
      <c r="RMI76" s="2805"/>
      <c r="RMJ76" s="2805"/>
      <c r="RMK76" s="2805"/>
      <c r="RML76" s="2805"/>
      <c r="RMM76" s="2805"/>
      <c r="RMN76" s="2805"/>
      <c r="RMO76" s="2805"/>
      <c r="RMP76" s="2805"/>
      <c r="RMQ76" s="2805"/>
      <c r="RMR76" s="2805"/>
      <c r="RMS76" s="2805"/>
      <c r="RMT76" s="2805"/>
      <c r="RMU76" s="2805"/>
      <c r="RMV76" s="2805"/>
      <c r="RMW76" s="2805"/>
      <c r="RMX76" s="2805"/>
      <c r="RMY76" s="2805"/>
      <c r="RMZ76" s="2805"/>
      <c r="RNA76" s="2805"/>
      <c r="RNB76" s="2805"/>
      <c r="RNC76" s="2805"/>
      <c r="RND76" s="2805"/>
      <c r="RNE76" s="2805"/>
      <c r="RNF76" s="2805"/>
      <c r="RNG76" s="2805"/>
      <c r="RNH76" s="2805"/>
      <c r="RNI76" s="2805"/>
      <c r="RNJ76" s="2805"/>
      <c r="RNK76" s="2805"/>
      <c r="RNL76" s="2805"/>
      <c r="RNM76" s="2805"/>
      <c r="RNN76" s="2805"/>
      <c r="RNO76" s="2805"/>
      <c r="RNP76" s="2805"/>
      <c r="RNQ76" s="2805"/>
      <c r="RNR76" s="2805"/>
      <c r="RNS76" s="2805"/>
      <c r="RNT76" s="2805"/>
      <c r="RNU76" s="2805"/>
      <c r="RNV76" s="2805"/>
      <c r="RNW76" s="2805"/>
      <c r="RNX76" s="2805"/>
      <c r="RNY76" s="2805"/>
      <c r="RNZ76" s="2805"/>
      <c r="ROA76" s="2805"/>
      <c r="ROB76" s="2805"/>
      <c r="ROC76" s="2805"/>
      <c r="ROD76" s="2805"/>
      <c r="ROE76" s="2805"/>
      <c r="ROF76" s="2805"/>
      <c r="ROG76" s="2805"/>
      <c r="ROH76" s="2805"/>
      <c r="ROI76" s="2805"/>
      <c r="ROJ76" s="2805"/>
      <c r="ROK76" s="2805"/>
      <c r="ROL76" s="2805"/>
      <c r="ROM76" s="2805"/>
      <c r="RON76" s="2805"/>
      <c r="ROO76" s="2805"/>
      <c r="ROP76" s="2805"/>
      <c r="ROQ76" s="2805"/>
      <c r="ROR76" s="2805"/>
      <c r="ROS76" s="2805"/>
      <c r="ROT76" s="2805"/>
      <c r="ROU76" s="2805"/>
      <c r="ROV76" s="2805"/>
      <c r="ROW76" s="2805"/>
      <c r="ROX76" s="2805"/>
      <c r="ROY76" s="2805"/>
      <c r="ROZ76" s="2805"/>
      <c r="RPA76" s="2805"/>
      <c r="RPB76" s="2805"/>
      <c r="RPC76" s="2805"/>
      <c r="RPD76" s="2805"/>
      <c r="RPE76" s="2805"/>
      <c r="RPF76" s="2805"/>
      <c r="RPG76" s="2805"/>
      <c r="RPH76" s="2805"/>
      <c r="RPI76" s="2805"/>
      <c r="RPJ76" s="2805"/>
      <c r="RPK76" s="2805"/>
      <c r="RPL76" s="2805"/>
      <c r="RPM76" s="2805"/>
      <c r="RPN76" s="2805"/>
      <c r="RPO76" s="2805"/>
      <c r="RPP76" s="2805"/>
      <c r="RPQ76" s="2805"/>
      <c r="RPR76" s="2805"/>
      <c r="RPS76" s="2805"/>
      <c r="RPT76" s="2805"/>
      <c r="RPU76" s="2805"/>
      <c r="RPV76" s="2805"/>
      <c r="RPW76" s="2805"/>
      <c r="RPX76" s="2805"/>
      <c r="RPY76" s="2805"/>
      <c r="RPZ76" s="2805"/>
      <c r="RQA76" s="2805"/>
      <c r="RQB76" s="2805"/>
      <c r="RQC76" s="2805"/>
      <c r="RQD76" s="2805"/>
      <c r="RQE76" s="2805"/>
      <c r="RQF76" s="2805"/>
      <c r="RQG76" s="2805"/>
      <c r="RQH76" s="2805"/>
      <c r="RQI76" s="2805"/>
      <c r="RQJ76" s="2805"/>
      <c r="RQK76" s="2805"/>
      <c r="RQL76" s="2805"/>
      <c r="RQM76" s="2805"/>
      <c r="RQN76" s="2805"/>
      <c r="RQO76" s="2805"/>
      <c r="RQP76" s="2805"/>
      <c r="RQQ76" s="2805"/>
      <c r="RQR76" s="2805"/>
      <c r="RQS76" s="2805"/>
      <c r="RQT76" s="2805"/>
      <c r="RQU76" s="2805"/>
      <c r="RQV76" s="2805"/>
      <c r="RQW76" s="2805"/>
      <c r="RQX76" s="2805"/>
      <c r="RQY76" s="2805"/>
      <c r="RQZ76" s="2805"/>
      <c r="RRA76" s="2805"/>
      <c r="RRB76" s="2805"/>
      <c r="RRC76" s="2805"/>
      <c r="RRD76" s="2805"/>
      <c r="RRE76" s="2805"/>
      <c r="RRF76" s="2805"/>
      <c r="RRG76" s="2805"/>
      <c r="RRH76" s="2805"/>
      <c r="RRI76" s="2805"/>
      <c r="RRJ76" s="2805"/>
      <c r="RRK76" s="2805"/>
      <c r="RRL76" s="2805"/>
      <c r="RRM76" s="2805"/>
      <c r="RRN76" s="2805"/>
      <c r="RRO76" s="2805"/>
      <c r="RRP76" s="2805"/>
      <c r="RRQ76" s="2805"/>
      <c r="RRR76" s="2805"/>
      <c r="RRS76" s="2805"/>
      <c r="RRT76" s="2805"/>
      <c r="RRU76" s="2805"/>
      <c r="RRV76" s="2805"/>
      <c r="RRW76" s="2805"/>
      <c r="RRX76" s="2805"/>
      <c r="RRY76" s="2805"/>
      <c r="RRZ76" s="2805"/>
      <c r="RSA76" s="2805"/>
      <c r="RSB76" s="2805"/>
      <c r="RSC76" s="2805"/>
      <c r="RSD76" s="2805"/>
      <c r="RSE76" s="2805"/>
      <c r="RSF76" s="2805"/>
      <c r="RSG76" s="2805"/>
      <c r="RSH76" s="2805"/>
      <c r="RSI76" s="2805"/>
      <c r="RSJ76" s="2805"/>
      <c r="RSK76" s="2805"/>
      <c r="RSL76" s="2805"/>
      <c r="RSM76" s="2805"/>
      <c r="RSN76" s="2805"/>
      <c r="RSO76" s="2805"/>
      <c r="RSP76" s="2805"/>
      <c r="RSQ76" s="2805"/>
      <c r="RSR76" s="2805"/>
      <c r="RSS76" s="2805"/>
      <c r="RST76" s="2805"/>
      <c r="RSU76" s="2805"/>
      <c r="RSV76" s="2805"/>
      <c r="RSW76" s="2805"/>
      <c r="RSX76" s="2805"/>
      <c r="RSY76" s="2805"/>
      <c r="RSZ76" s="2805"/>
      <c r="RTA76" s="2805"/>
      <c r="RTB76" s="2805"/>
      <c r="RTC76" s="2805"/>
      <c r="RTD76" s="2805"/>
      <c r="RTE76" s="2805"/>
      <c r="RTF76" s="2805"/>
      <c r="RTG76" s="2805"/>
      <c r="RTH76" s="2805"/>
      <c r="RTI76" s="2805"/>
      <c r="RTJ76" s="2805"/>
      <c r="RTK76" s="2805"/>
      <c r="RTL76" s="2805"/>
      <c r="RTM76" s="2805"/>
      <c r="RTN76" s="2805"/>
      <c r="RTO76" s="2805"/>
      <c r="RTP76" s="2805"/>
      <c r="RTQ76" s="2805"/>
      <c r="RTR76" s="2805"/>
      <c r="RTS76" s="2805"/>
      <c r="RTT76" s="2805"/>
      <c r="RTU76" s="2805"/>
      <c r="RTV76" s="2805"/>
      <c r="RTW76" s="2805"/>
      <c r="RTX76" s="2805"/>
      <c r="RTY76" s="2805"/>
      <c r="RTZ76" s="2805"/>
      <c r="RUA76" s="2805"/>
      <c r="RUB76" s="2805"/>
      <c r="RUC76" s="2805"/>
      <c r="RUD76" s="2805"/>
      <c r="RUE76" s="2805"/>
      <c r="RUF76" s="2805"/>
      <c r="RUG76" s="2805"/>
      <c r="RUH76" s="2805"/>
      <c r="RUI76" s="2805"/>
      <c r="RUJ76" s="2805"/>
      <c r="RUK76" s="2805"/>
      <c r="RUL76" s="2805"/>
      <c r="RUM76" s="2805"/>
      <c r="RUN76" s="2805"/>
      <c r="RUO76" s="2805"/>
      <c r="RUP76" s="2805"/>
      <c r="RUQ76" s="2805"/>
      <c r="RUR76" s="2805"/>
      <c r="RUS76" s="2805"/>
      <c r="RUT76" s="2805"/>
      <c r="RUU76" s="2805"/>
      <c r="RUV76" s="2805"/>
      <c r="RUW76" s="2805"/>
      <c r="RUX76" s="2805"/>
      <c r="RUY76" s="2805"/>
      <c r="RUZ76" s="2805"/>
      <c r="RVA76" s="2805"/>
      <c r="RVB76" s="2805"/>
      <c r="RVC76" s="2805"/>
      <c r="RVD76" s="2805"/>
      <c r="RVE76" s="2805"/>
      <c r="RVF76" s="2805"/>
      <c r="RVG76" s="2805"/>
      <c r="RVH76" s="2805"/>
      <c r="RVI76" s="2805"/>
      <c r="RVJ76" s="2805"/>
      <c r="RVK76" s="2805"/>
      <c r="RVL76" s="2805"/>
      <c r="RVM76" s="2805"/>
      <c r="RVN76" s="2805"/>
      <c r="RVO76" s="2805"/>
      <c r="RVP76" s="2805"/>
      <c r="RVQ76" s="2805"/>
      <c r="RVR76" s="2805"/>
      <c r="RVS76" s="2805"/>
      <c r="RVT76" s="2805"/>
      <c r="RVU76" s="2805"/>
      <c r="RVV76" s="2805"/>
      <c r="RVW76" s="2805"/>
      <c r="RVX76" s="2805"/>
      <c r="RVY76" s="2805"/>
      <c r="RVZ76" s="2805"/>
      <c r="RWA76" s="2805"/>
      <c r="RWB76" s="2805"/>
      <c r="RWC76" s="2805"/>
      <c r="RWD76" s="2805"/>
      <c r="RWE76" s="2805"/>
      <c r="RWF76" s="2805"/>
      <c r="RWG76" s="2805"/>
      <c r="RWH76" s="2805"/>
      <c r="RWI76" s="2805"/>
      <c r="RWJ76" s="2805"/>
      <c r="RWK76" s="2805"/>
      <c r="RWL76" s="2805"/>
      <c r="RWM76" s="2805"/>
      <c r="RWN76" s="2805"/>
      <c r="RWO76" s="2805"/>
      <c r="RWP76" s="2805"/>
      <c r="RWQ76" s="2805"/>
      <c r="RWR76" s="2805"/>
      <c r="RWS76" s="2805"/>
      <c r="RWT76" s="2805"/>
      <c r="RWU76" s="2805"/>
      <c r="RWV76" s="2805"/>
      <c r="RWW76" s="2805"/>
      <c r="RWX76" s="2805"/>
      <c r="RWY76" s="2805"/>
      <c r="RWZ76" s="2805"/>
      <c r="RXA76" s="2805"/>
      <c r="RXB76" s="2805"/>
      <c r="RXC76" s="2805"/>
      <c r="RXD76" s="2805"/>
      <c r="RXE76" s="2805"/>
      <c r="RXF76" s="2805"/>
      <c r="RXG76" s="2805"/>
      <c r="RXH76" s="2805"/>
      <c r="RXI76" s="2805"/>
      <c r="RXJ76" s="2805"/>
      <c r="RXK76" s="2805"/>
      <c r="RXL76" s="2805"/>
      <c r="RXM76" s="2805"/>
      <c r="RXN76" s="2805"/>
      <c r="RXO76" s="2805"/>
      <c r="RXP76" s="2805"/>
      <c r="RXQ76" s="2805"/>
      <c r="RXR76" s="2805"/>
      <c r="RXS76" s="2805"/>
      <c r="RXT76" s="2805"/>
      <c r="RXU76" s="2805"/>
      <c r="RXV76" s="2805"/>
      <c r="RXW76" s="2805"/>
      <c r="RXX76" s="2805"/>
      <c r="RXY76" s="2805"/>
      <c r="RXZ76" s="2805"/>
      <c r="RYA76" s="2805"/>
      <c r="RYB76" s="2805"/>
      <c r="RYC76" s="2805"/>
      <c r="RYD76" s="2805"/>
      <c r="RYE76" s="2805"/>
      <c r="RYF76" s="2805"/>
      <c r="RYG76" s="2805"/>
      <c r="RYH76" s="2805"/>
      <c r="RYI76" s="2805"/>
      <c r="RYJ76" s="2805"/>
      <c r="RYK76" s="2805"/>
      <c r="RYL76" s="2805"/>
      <c r="RYM76" s="2805"/>
      <c r="RYN76" s="2805"/>
      <c r="RYO76" s="2805"/>
      <c r="RYP76" s="2805"/>
      <c r="RYQ76" s="2805"/>
      <c r="RYR76" s="2805"/>
      <c r="RYS76" s="2805"/>
      <c r="RYT76" s="2805"/>
      <c r="RYU76" s="2805"/>
      <c r="RYV76" s="2805"/>
      <c r="RYW76" s="2805"/>
      <c r="RYX76" s="2805"/>
      <c r="RYY76" s="2805"/>
      <c r="RYZ76" s="2805"/>
      <c r="RZA76" s="2805"/>
      <c r="RZB76" s="2805"/>
      <c r="RZC76" s="2805"/>
      <c r="RZD76" s="2805"/>
      <c r="RZE76" s="2805"/>
      <c r="RZF76" s="2805"/>
      <c r="RZG76" s="2805"/>
      <c r="RZH76" s="2805"/>
      <c r="RZI76" s="2805"/>
      <c r="RZJ76" s="2805"/>
      <c r="RZK76" s="2805"/>
      <c r="RZL76" s="2805"/>
      <c r="RZM76" s="2805"/>
      <c r="RZN76" s="2805"/>
      <c r="RZO76" s="2805"/>
      <c r="RZP76" s="2805"/>
      <c r="RZQ76" s="2805"/>
      <c r="RZR76" s="2805"/>
      <c r="RZS76" s="2805"/>
      <c r="RZT76" s="2805"/>
      <c r="RZU76" s="2805"/>
      <c r="RZV76" s="2805"/>
      <c r="RZW76" s="2805"/>
      <c r="RZX76" s="2805"/>
      <c r="RZY76" s="2805"/>
      <c r="RZZ76" s="2805"/>
      <c r="SAA76" s="2805"/>
      <c r="SAB76" s="2805"/>
      <c r="SAC76" s="2805"/>
      <c r="SAD76" s="2805"/>
      <c r="SAE76" s="2805"/>
      <c r="SAF76" s="2805"/>
      <c r="SAG76" s="2805"/>
      <c r="SAH76" s="2805"/>
      <c r="SAI76" s="2805"/>
      <c r="SAJ76" s="2805"/>
      <c r="SAK76" s="2805"/>
      <c r="SAL76" s="2805"/>
      <c r="SAM76" s="2805"/>
      <c r="SAN76" s="2805"/>
      <c r="SAO76" s="2805"/>
      <c r="SAP76" s="2805"/>
      <c r="SAQ76" s="2805"/>
      <c r="SAR76" s="2805"/>
      <c r="SAS76" s="2805"/>
      <c r="SAT76" s="2805"/>
      <c r="SAU76" s="2805"/>
      <c r="SAV76" s="2805"/>
      <c r="SAW76" s="2805"/>
      <c r="SAX76" s="2805"/>
      <c r="SAY76" s="2805"/>
      <c r="SAZ76" s="2805"/>
      <c r="SBA76" s="2805"/>
      <c r="SBB76" s="2805"/>
      <c r="SBC76" s="2805"/>
      <c r="SBD76" s="2805"/>
      <c r="SBE76" s="2805"/>
      <c r="SBF76" s="2805"/>
      <c r="SBG76" s="2805"/>
      <c r="SBH76" s="2805"/>
      <c r="SBI76" s="2805"/>
      <c r="SBJ76" s="2805"/>
      <c r="SBK76" s="2805"/>
      <c r="SBL76" s="2805"/>
      <c r="SBM76" s="2805"/>
      <c r="SBN76" s="2805"/>
      <c r="SBO76" s="2805"/>
      <c r="SBP76" s="2805"/>
      <c r="SBQ76" s="2805"/>
      <c r="SBR76" s="2805"/>
      <c r="SBS76" s="2805"/>
      <c r="SBT76" s="2805"/>
      <c r="SBU76" s="2805"/>
      <c r="SBV76" s="2805"/>
      <c r="SBW76" s="2805"/>
      <c r="SBX76" s="2805"/>
      <c r="SBY76" s="2805"/>
      <c r="SBZ76" s="2805"/>
      <c r="SCA76" s="2805"/>
      <c r="SCB76" s="2805"/>
      <c r="SCC76" s="2805"/>
      <c r="SCD76" s="2805"/>
      <c r="SCE76" s="2805"/>
      <c r="SCF76" s="2805"/>
      <c r="SCG76" s="2805"/>
      <c r="SCH76" s="2805"/>
      <c r="SCI76" s="2805"/>
      <c r="SCJ76" s="2805"/>
      <c r="SCK76" s="2805"/>
      <c r="SCL76" s="2805"/>
      <c r="SCM76" s="2805"/>
      <c r="SCN76" s="2805"/>
      <c r="SCO76" s="2805"/>
      <c r="SCP76" s="2805"/>
      <c r="SCQ76" s="2805"/>
      <c r="SCR76" s="2805"/>
      <c r="SCS76" s="2805"/>
      <c r="SCT76" s="2805"/>
      <c r="SCU76" s="2805"/>
      <c r="SCV76" s="2805"/>
      <c r="SCW76" s="2805"/>
      <c r="SCX76" s="2805"/>
      <c r="SCY76" s="2805"/>
      <c r="SCZ76" s="2805"/>
      <c r="SDA76" s="2805"/>
      <c r="SDB76" s="2805"/>
      <c r="SDC76" s="2805"/>
      <c r="SDD76" s="2805"/>
      <c r="SDE76" s="2805"/>
      <c r="SDF76" s="2805"/>
      <c r="SDG76" s="2805"/>
      <c r="SDH76" s="2805"/>
      <c r="SDI76" s="2805"/>
      <c r="SDJ76" s="2805"/>
      <c r="SDK76" s="2805"/>
      <c r="SDL76" s="2805"/>
      <c r="SDM76" s="2805"/>
      <c r="SDN76" s="2805"/>
      <c r="SDO76" s="2805"/>
      <c r="SDP76" s="2805"/>
      <c r="SDQ76" s="2805"/>
      <c r="SDR76" s="2805"/>
      <c r="SDS76" s="2805"/>
      <c r="SDT76" s="2805"/>
      <c r="SDU76" s="2805"/>
      <c r="SDV76" s="2805"/>
      <c r="SDW76" s="2805"/>
      <c r="SDX76" s="2805"/>
      <c r="SDY76" s="2805"/>
      <c r="SDZ76" s="2805"/>
      <c r="SEA76" s="2805"/>
      <c r="SEB76" s="2805"/>
      <c r="SEC76" s="2805"/>
      <c r="SED76" s="2805"/>
      <c r="SEE76" s="2805"/>
      <c r="SEF76" s="2805"/>
      <c r="SEG76" s="2805"/>
      <c r="SEH76" s="2805"/>
      <c r="SEI76" s="2805"/>
      <c r="SEJ76" s="2805"/>
      <c r="SEK76" s="2805"/>
      <c r="SEL76" s="2805"/>
      <c r="SEM76" s="2805"/>
      <c r="SEN76" s="2805"/>
      <c r="SEO76" s="2805"/>
      <c r="SEP76" s="2805"/>
      <c r="SEQ76" s="2805"/>
      <c r="SER76" s="2805"/>
      <c r="SES76" s="2805"/>
      <c r="SET76" s="2805"/>
      <c r="SEU76" s="2805"/>
      <c r="SEV76" s="2805"/>
      <c r="SEW76" s="2805"/>
      <c r="SEX76" s="2805"/>
      <c r="SEY76" s="2805"/>
      <c r="SEZ76" s="2805"/>
      <c r="SFA76" s="2805"/>
      <c r="SFB76" s="2805"/>
      <c r="SFC76" s="2805"/>
      <c r="SFD76" s="2805"/>
      <c r="SFE76" s="2805"/>
      <c r="SFF76" s="2805"/>
      <c r="SFG76" s="2805"/>
      <c r="SFH76" s="2805"/>
      <c r="SFI76" s="2805"/>
      <c r="SFJ76" s="2805"/>
      <c r="SFK76" s="2805"/>
      <c r="SFL76" s="2805"/>
      <c r="SFM76" s="2805"/>
      <c r="SFN76" s="2805"/>
      <c r="SFO76" s="2805"/>
      <c r="SFP76" s="2805"/>
      <c r="SFQ76" s="2805"/>
      <c r="SFR76" s="2805"/>
      <c r="SFS76" s="2805"/>
      <c r="SFT76" s="2805"/>
      <c r="SFU76" s="2805"/>
      <c r="SFV76" s="2805"/>
      <c r="SFW76" s="2805"/>
      <c r="SFX76" s="2805"/>
      <c r="SFY76" s="2805"/>
      <c r="SFZ76" s="2805"/>
      <c r="SGA76" s="2805"/>
      <c r="SGB76" s="2805"/>
      <c r="SGC76" s="2805"/>
      <c r="SGD76" s="2805"/>
      <c r="SGE76" s="2805"/>
      <c r="SGF76" s="2805"/>
      <c r="SGG76" s="2805"/>
      <c r="SGH76" s="2805"/>
      <c r="SGI76" s="2805"/>
      <c r="SGJ76" s="2805"/>
      <c r="SGK76" s="2805"/>
      <c r="SGL76" s="2805"/>
      <c r="SGM76" s="2805"/>
      <c r="SGN76" s="2805"/>
      <c r="SGO76" s="2805"/>
      <c r="SGP76" s="2805"/>
      <c r="SGQ76" s="2805"/>
      <c r="SGR76" s="2805"/>
      <c r="SGS76" s="2805"/>
      <c r="SGT76" s="2805"/>
      <c r="SGU76" s="2805"/>
      <c r="SGV76" s="2805"/>
      <c r="SGW76" s="2805"/>
      <c r="SGX76" s="2805"/>
      <c r="SGY76" s="2805"/>
      <c r="SGZ76" s="2805"/>
      <c r="SHA76" s="2805"/>
      <c r="SHB76" s="2805"/>
      <c r="SHC76" s="2805"/>
      <c r="SHD76" s="2805"/>
      <c r="SHE76" s="2805"/>
      <c r="SHF76" s="2805"/>
      <c r="SHG76" s="2805"/>
      <c r="SHH76" s="2805"/>
      <c r="SHI76" s="2805"/>
      <c r="SHJ76" s="2805"/>
      <c r="SHK76" s="2805"/>
      <c r="SHL76" s="2805"/>
      <c r="SHM76" s="2805"/>
      <c r="SHN76" s="2805"/>
      <c r="SHO76" s="2805"/>
      <c r="SHP76" s="2805"/>
      <c r="SHQ76" s="2805"/>
      <c r="SHR76" s="2805"/>
      <c r="SHS76" s="2805"/>
      <c r="SHT76" s="2805"/>
      <c r="SHU76" s="2805"/>
      <c r="SHV76" s="2805"/>
      <c r="SHW76" s="2805"/>
      <c r="SHX76" s="2805"/>
      <c r="SHY76" s="2805"/>
      <c r="SHZ76" s="2805"/>
      <c r="SIA76" s="2805"/>
      <c r="SIB76" s="2805"/>
      <c r="SIC76" s="2805"/>
      <c r="SID76" s="2805"/>
      <c r="SIE76" s="2805"/>
      <c r="SIF76" s="2805"/>
      <c r="SIG76" s="2805"/>
      <c r="SIH76" s="2805"/>
      <c r="SII76" s="2805"/>
      <c r="SIJ76" s="2805"/>
      <c r="SIK76" s="2805"/>
      <c r="SIL76" s="2805"/>
      <c r="SIM76" s="2805"/>
      <c r="SIN76" s="2805"/>
      <c r="SIO76" s="2805"/>
      <c r="SIP76" s="2805"/>
      <c r="SIQ76" s="2805"/>
      <c r="SIR76" s="2805"/>
      <c r="SIS76" s="2805"/>
      <c r="SIT76" s="2805"/>
      <c r="SIU76" s="2805"/>
      <c r="SIV76" s="2805"/>
      <c r="SIW76" s="2805"/>
      <c r="SIX76" s="2805"/>
      <c r="SIY76" s="2805"/>
      <c r="SIZ76" s="2805"/>
      <c r="SJA76" s="2805"/>
      <c r="SJB76" s="2805"/>
      <c r="SJC76" s="2805"/>
      <c r="SJD76" s="2805"/>
      <c r="SJE76" s="2805"/>
      <c r="SJF76" s="2805"/>
      <c r="SJG76" s="2805"/>
      <c r="SJH76" s="2805"/>
      <c r="SJI76" s="2805"/>
      <c r="SJJ76" s="2805"/>
      <c r="SJK76" s="2805"/>
      <c r="SJL76" s="2805"/>
      <c r="SJM76" s="2805"/>
      <c r="SJN76" s="2805"/>
      <c r="SJO76" s="2805"/>
      <c r="SJP76" s="2805"/>
      <c r="SJQ76" s="2805"/>
      <c r="SJR76" s="2805"/>
      <c r="SJS76" s="2805"/>
      <c r="SJT76" s="2805"/>
      <c r="SJU76" s="2805"/>
      <c r="SJV76" s="2805"/>
      <c r="SJW76" s="2805"/>
      <c r="SJX76" s="2805"/>
      <c r="SJY76" s="2805"/>
      <c r="SJZ76" s="2805"/>
      <c r="SKA76" s="2805"/>
      <c r="SKB76" s="2805"/>
      <c r="SKC76" s="2805"/>
      <c r="SKD76" s="2805"/>
      <c r="SKE76" s="2805"/>
      <c r="SKF76" s="2805"/>
      <c r="SKG76" s="2805"/>
      <c r="SKH76" s="2805"/>
      <c r="SKI76" s="2805"/>
      <c r="SKJ76" s="2805"/>
      <c r="SKK76" s="2805"/>
      <c r="SKL76" s="2805"/>
      <c r="SKM76" s="2805"/>
      <c r="SKN76" s="2805"/>
      <c r="SKO76" s="2805"/>
      <c r="SKP76" s="2805"/>
      <c r="SKQ76" s="2805"/>
      <c r="SKR76" s="2805"/>
      <c r="SKS76" s="2805"/>
      <c r="SKT76" s="2805"/>
      <c r="SKU76" s="2805"/>
      <c r="SKV76" s="2805"/>
      <c r="SKW76" s="2805"/>
      <c r="SKX76" s="2805"/>
      <c r="SKY76" s="2805"/>
      <c r="SKZ76" s="2805"/>
      <c r="SLA76" s="2805"/>
      <c r="SLB76" s="2805"/>
      <c r="SLC76" s="2805"/>
      <c r="SLD76" s="2805"/>
      <c r="SLE76" s="2805"/>
      <c r="SLF76" s="2805"/>
      <c r="SLG76" s="2805"/>
      <c r="SLH76" s="2805"/>
      <c r="SLI76" s="2805"/>
      <c r="SLJ76" s="2805"/>
      <c r="SLK76" s="2805"/>
      <c r="SLL76" s="2805"/>
      <c r="SLM76" s="2805"/>
      <c r="SLN76" s="2805"/>
      <c r="SLO76" s="2805"/>
      <c r="SLP76" s="2805"/>
      <c r="SLQ76" s="2805"/>
      <c r="SLR76" s="2805"/>
      <c r="SLS76" s="2805"/>
      <c r="SLT76" s="2805"/>
      <c r="SLU76" s="2805"/>
      <c r="SLV76" s="2805"/>
      <c r="SLW76" s="2805"/>
      <c r="SLX76" s="2805"/>
      <c r="SLY76" s="2805"/>
      <c r="SLZ76" s="2805"/>
      <c r="SMA76" s="2805"/>
      <c r="SMB76" s="2805"/>
      <c r="SMC76" s="2805"/>
      <c r="SMD76" s="2805"/>
      <c r="SME76" s="2805"/>
      <c r="SMF76" s="2805"/>
      <c r="SMG76" s="2805"/>
      <c r="SMH76" s="2805"/>
      <c r="SMI76" s="2805"/>
      <c r="SMJ76" s="2805"/>
      <c r="SMK76" s="2805"/>
      <c r="SML76" s="2805"/>
      <c r="SMM76" s="2805"/>
      <c r="SMN76" s="2805"/>
      <c r="SMO76" s="2805"/>
      <c r="SMP76" s="2805"/>
      <c r="SMQ76" s="2805"/>
      <c r="SMR76" s="2805"/>
      <c r="SMS76" s="2805"/>
      <c r="SMT76" s="2805"/>
      <c r="SMU76" s="2805"/>
      <c r="SMV76" s="2805"/>
      <c r="SMW76" s="2805"/>
      <c r="SMX76" s="2805"/>
      <c r="SMY76" s="2805"/>
      <c r="SMZ76" s="2805"/>
      <c r="SNA76" s="2805"/>
      <c r="SNB76" s="2805"/>
      <c r="SNC76" s="2805"/>
      <c r="SND76" s="2805"/>
      <c r="SNE76" s="2805"/>
      <c r="SNF76" s="2805"/>
      <c r="SNG76" s="2805"/>
      <c r="SNH76" s="2805"/>
      <c r="SNI76" s="2805"/>
      <c r="SNJ76" s="2805"/>
      <c r="SNK76" s="2805"/>
      <c r="SNL76" s="2805"/>
      <c r="SNM76" s="2805"/>
      <c r="SNN76" s="2805"/>
      <c r="SNO76" s="2805"/>
      <c r="SNP76" s="2805"/>
      <c r="SNQ76" s="2805"/>
      <c r="SNR76" s="2805"/>
      <c r="SNS76" s="2805"/>
      <c r="SNT76" s="2805"/>
      <c r="SNU76" s="2805"/>
      <c r="SNV76" s="2805"/>
      <c r="SNW76" s="2805"/>
      <c r="SNX76" s="2805"/>
      <c r="SNY76" s="2805"/>
      <c r="SNZ76" s="2805"/>
      <c r="SOA76" s="2805"/>
      <c r="SOB76" s="2805"/>
      <c r="SOC76" s="2805"/>
      <c r="SOD76" s="2805"/>
      <c r="SOE76" s="2805"/>
      <c r="SOF76" s="2805"/>
      <c r="SOG76" s="2805"/>
      <c r="SOH76" s="2805"/>
      <c r="SOI76" s="2805"/>
      <c r="SOJ76" s="2805"/>
      <c r="SOK76" s="2805"/>
      <c r="SOL76" s="2805"/>
      <c r="SOM76" s="2805"/>
      <c r="SON76" s="2805"/>
      <c r="SOO76" s="2805"/>
      <c r="SOP76" s="2805"/>
      <c r="SOQ76" s="2805"/>
      <c r="SOR76" s="2805"/>
      <c r="SOS76" s="2805"/>
      <c r="SOT76" s="2805"/>
      <c r="SOU76" s="2805"/>
      <c r="SOV76" s="2805"/>
      <c r="SOW76" s="2805"/>
      <c r="SOX76" s="2805"/>
      <c r="SOY76" s="2805"/>
      <c r="SOZ76" s="2805"/>
      <c r="SPA76" s="2805"/>
      <c r="SPB76" s="2805"/>
      <c r="SPC76" s="2805"/>
      <c r="SPD76" s="2805"/>
      <c r="SPE76" s="2805"/>
      <c r="SPF76" s="2805"/>
      <c r="SPG76" s="2805"/>
      <c r="SPH76" s="2805"/>
      <c r="SPI76" s="2805"/>
      <c r="SPJ76" s="2805"/>
      <c r="SPK76" s="2805"/>
      <c r="SPL76" s="2805"/>
      <c r="SPM76" s="2805"/>
      <c r="SPN76" s="2805"/>
      <c r="SPO76" s="2805"/>
      <c r="SPP76" s="2805"/>
      <c r="SPQ76" s="2805"/>
      <c r="SPR76" s="2805"/>
      <c r="SPS76" s="2805"/>
      <c r="SPT76" s="2805"/>
      <c r="SPU76" s="2805"/>
      <c r="SPV76" s="2805"/>
      <c r="SPW76" s="2805"/>
      <c r="SPX76" s="2805"/>
      <c r="SPY76" s="2805"/>
      <c r="SPZ76" s="2805"/>
      <c r="SQA76" s="2805"/>
      <c r="SQB76" s="2805"/>
      <c r="SQC76" s="2805"/>
      <c r="SQD76" s="2805"/>
      <c r="SQE76" s="2805"/>
      <c r="SQF76" s="2805"/>
      <c r="SQG76" s="2805"/>
      <c r="SQH76" s="2805"/>
      <c r="SQI76" s="2805"/>
      <c r="SQJ76" s="2805"/>
      <c r="SQK76" s="2805"/>
      <c r="SQL76" s="2805"/>
      <c r="SQM76" s="2805"/>
      <c r="SQN76" s="2805"/>
      <c r="SQO76" s="2805"/>
      <c r="SQP76" s="2805"/>
      <c r="SQQ76" s="2805"/>
      <c r="SQR76" s="2805"/>
      <c r="SQS76" s="2805"/>
      <c r="SQT76" s="2805"/>
      <c r="SQU76" s="2805"/>
      <c r="SQV76" s="2805"/>
      <c r="SQW76" s="2805"/>
      <c r="SQX76" s="2805"/>
      <c r="SQY76" s="2805"/>
      <c r="SQZ76" s="2805"/>
      <c r="SRA76" s="2805"/>
      <c r="SRB76" s="2805"/>
      <c r="SRC76" s="2805"/>
      <c r="SRD76" s="2805"/>
      <c r="SRE76" s="2805"/>
      <c r="SRF76" s="2805"/>
      <c r="SRG76" s="2805"/>
      <c r="SRH76" s="2805"/>
      <c r="SRI76" s="2805"/>
      <c r="SRJ76" s="2805"/>
      <c r="SRK76" s="2805"/>
      <c r="SRL76" s="2805"/>
      <c r="SRM76" s="2805"/>
      <c r="SRN76" s="2805"/>
      <c r="SRO76" s="2805"/>
      <c r="SRP76" s="2805"/>
      <c r="SRQ76" s="2805"/>
      <c r="SRR76" s="2805"/>
      <c r="SRS76" s="2805"/>
      <c r="SRT76" s="2805"/>
      <c r="SRU76" s="2805"/>
      <c r="SRV76" s="2805"/>
      <c r="SRW76" s="2805"/>
      <c r="SRX76" s="2805"/>
      <c r="SRY76" s="2805"/>
      <c r="SRZ76" s="2805"/>
      <c r="SSA76" s="2805"/>
      <c r="SSB76" s="2805"/>
      <c r="SSC76" s="2805"/>
      <c r="SSD76" s="2805"/>
      <c r="SSE76" s="2805"/>
      <c r="SSF76" s="2805"/>
      <c r="SSG76" s="2805"/>
      <c r="SSH76" s="2805"/>
      <c r="SSI76" s="2805"/>
      <c r="SSJ76" s="2805"/>
      <c r="SSK76" s="2805"/>
      <c r="SSL76" s="2805"/>
      <c r="SSM76" s="2805"/>
      <c r="SSN76" s="2805"/>
      <c r="SSO76" s="2805"/>
      <c r="SSP76" s="2805"/>
      <c r="SSQ76" s="2805"/>
      <c r="SSR76" s="2805"/>
      <c r="SSS76" s="2805"/>
      <c r="SST76" s="2805"/>
      <c r="SSU76" s="2805"/>
      <c r="SSV76" s="2805"/>
      <c r="SSW76" s="2805"/>
      <c r="SSX76" s="2805"/>
      <c r="SSY76" s="2805"/>
      <c r="SSZ76" s="2805"/>
      <c r="STA76" s="2805"/>
      <c r="STB76" s="2805"/>
      <c r="STC76" s="2805"/>
      <c r="STD76" s="2805"/>
      <c r="STE76" s="2805"/>
      <c r="STF76" s="2805"/>
      <c r="STG76" s="2805"/>
      <c r="STH76" s="2805"/>
      <c r="STI76" s="2805"/>
      <c r="STJ76" s="2805"/>
      <c r="STK76" s="2805"/>
      <c r="STL76" s="2805"/>
      <c r="STM76" s="2805"/>
      <c r="STN76" s="2805"/>
      <c r="STO76" s="2805"/>
      <c r="STP76" s="2805"/>
      <c r="STQ76" s="2805"/>
      <c r="STR76" s="2805"/>
      <c r="STS76" s="2805"/>
      <c r="STT76" s="2805"/>
      <c r="STU76" s="2805"/>
      <c r="STV76" s="2805"/>
      <c r="STW76" s="2805"/>
      <c r="STX76" s="2805"/>
      <c r="STY76" s="2805"/>
      <c r="STZ76" s="2805"/>
      <c r="SUA76" s="2805"/>
      <c r="SUB76" s="2805"/>
      <c r="SUC76" s="2805"/>
      <c r="SUD76" s="2805"/>
      <c r="SUE76" s="2805"/>
      <c r="SUF76" s="2805"/>
      <c r="SUG76" s="2805"/>
      <c r="SUH76" s="2805"/>
      <c r="SUI76" s="2805"/>
      <c r="SUJ76" s="2805"/>
      <c r="SUK76" s="2805"/>
      <c r="SUL76" s="2805"/>
      <c r="SUM76" s="2805"/>
      <c r="SUN76" s="2805"/>
      <c r="SUO76" s="2805"/>
      <c r="SUP76" s="2805"/>
      <c r="SUQ76" s="2805"/>
      <c r="SUR76" s="2805"/>
      <c r="SUS76" s="2805"/>
      <c r="SUT76" s="2805"/>
      <c r="SUU76" s="2805"/>
      <c r="SUV76" s="2805"/>
      <c r="SUW76" s="2805"/>
      <c r="SUX76" s="2805"/>
      <c r="SUY76" s="2805"/>
      <c r="SUZ76" s="2805"/>
      <c r="SVA76" s="2805"/>
      <c r="SVB76" s="2805"/>
      <c r="SVC76" s="2805"/>
      <c r="SVD76" s="2805"/>
      <c r="SVE76" s="2805"/>
      <c r="SVF76" s="2805"/>
      <c r="SVG76" s="2805"/>
      <c r="SVH76" s="2805"/>
      <c r="SVI76" s="2805"/>
      <c r="SVJ76" s="2805"/>
      <c r="SVK76" s="2805"/>
      <c r="SVL76" s="2805"/>
      <c r="SVM76" s="2805"/>
      <c r="SVN76" s="2805"/>
      <c r="SVO76" s="2805"/>
      <c r="SVP76" s="2805"/>
      <c r="SVQ76" s="2805"/>
      <c r="SVR76" s="2805"/>
      <c r="SVS76" s="2805"/>
      <c r="SVT76" s="2805"/>
      <c r="SVU76" s="2805"/>
      <c r="SVV76" s="2805"/>
      <c r="SVW76" s="2805"/>
      <c r="SVX76" s="2805"/>
      <c r="SVY76" s="2805"/>
      <c r="SVZ76" s="2805"/>
      <c r="SWA76" s="2805"/>
      <c r="SWB76" s="2805"/>
      <c r="SWC76" s="2805"/>
      <c r="SWD76" s="2805"/>
      <c r="SWE76" s="2805"/>
      <c r="SWF76" s="2805"/>
      <c r="SWG76" s="2805"/>
      <c r="SWH76" s="2805"/>
      <c r="SWI76" s="2805"/>
      <c r="SWJ76" s="2805"/>
      <c r="SWK76" s="2805"/>
      <c r="SWL76" s="2805"/>
      <c r="SWM76" s="2805"/>
      <c r="SWN76" s="2805"/>
      <c r="SWO76" s="2805"/>
      <c r="SWP76" s="2805"/>
      <c r="SWQ76" s="2805"/>
      <c r="SWR76" s="2805"/>
      <c r="SWS76" s="2805"/>
      <c r="SWT76" s="2805"/>
      <c r="SWU76" s="2805"/>
      <c r="SWV76" s="2805"/>
      <c r="SWW76" s="2805"/>
      <c r="SWX76" s="2805"/>
      <c r="SWY76" s="2805"/>
      <c r="SWZ76" s="2805"/>
      <c r="SXA76" s="2805"/>
      <c r="SXB76" s="2805"/>
      <c r="SXC76" s="2805"/>
      <c r="SXD76" s="2805"/>
      <c r="SXE76" s="2805"/>
      <c r="SXF76" s="2805"/>
      <c r="SXG76" s="2805"/>
      <c r="SXH76" s="2805"/>
      <c r="SXI76" s="2805"/>
      <c r="SXJ76" s="2805"/>
      <c r="SXK76" s="2805"/>
      <c r="SXL76" s="2805"/>
      <c r="SXM76" s="2805"/>
      <c r="SXN76" s="2805"/>
      <c r="SXO76" s="2805"/>
      <c r="SXP76" s="2805"/>
      <c r="SXQ76" s="2805"/>
      <c r="SXR76" s="2805"/>
      <c r="SXS76" s="2805"/>
      <c r="SXT76" s="2805"/>
      <c r="SXU76" s="2805"/>
      <c r="SXV76" s="2805"/>
      <c r="SXW76" s="2805"/>
      <c r="SXX76" s="2805"/>
      <c r="SXY76" s="2805"/>
      <c r="SXZ76" s="2805"/>
      <c r="SYA76" s="2805"/>
      <c r="SYB76" s="2805"/>
      <c r="SYC76" s="2805"/>
      <c r="SYD76" s="2805"/>
      <c r="SYE76" s="2805"/>
      <c r="SYF76" s="2805"/>
      <c r="SYG76" s="2805"/>
      <c r="SYH76" s="2805"/>
      <c r="SYI76" s="2805"/>
      <c r="SYJ76" s="2805"/>
      <c r="SYK76" s="2805"/>
      <c r="SYL76" s="2805"/>
      <c r="SYM76" s="2805"/>
      <c r="SYN76" s="2805"/>
      <c r="SYO76" s="2805"/>
      <c r="SYP76" s="2805"/>
      <c r="SYQ76" s="2805"/>
      <c r="SYR76" s="2805"/>
      <c r="SYS76" s="2805"/>
      <c r="SYT76" s="2805"/>
      <c r="SYU76" s="2805"/>
      <c r="SYV76" s="2805"/>
      <c r="SYW76" s="2805"/>
      <c r="SYX76" s="2805"/>
      <c r="SYY76" s="2805"/>
      <c r="SYZ76" s="2805"/>
      <c r="SZA76" s="2805"/>
      <c r="SZB76" s="2805"/>
      <c r="SZC76" s="2805"/>
      <c r="SZD76" s="2805"/>
      <c r="SZE76" s="2805"/>
      <c r="SZF76" s="2805"/>
      <c r="SZG76" s="2805"/>
      <c r="SZH76" s="2805"/>
      <c r="SZI76" s="2805"/>
      <c r="SZJ76" s="2805"/>
      <c r="SZK76" s="2805"/>
      <c r="SZL76" s="2805"/>
      <c r="SZM76" s="2805"/>
      <c r="SZN76" s="2805"/>
      <c r="SZO76" s="2805"/>
      <c r="SZP76" s="2805"/>
      <c r="SZQ76" s="2805"/>
      <c r="SZR76" s="2805"/>
      <c r="SZS76" s="2805"/>
      <c r="SZT76" s="2805"/>
      <c r="SZU76" s="2805"/>
      <c r="SZV76" s="2805"/>
      <c r="SZW76" s="2805"/>
      <c r="SZX76" s="2805"/>
      <c r="SZY76" s="2805"/>
      <c r="SZZ76" s="2805"/>
      <c r="TAA76" s="2805"/>
      <c r="TAB76" s="2805"/>
      <c r="TAC76" s="2805"/>
      <c r="TAD76" s="2805"/>
      <c r="TAE76" s="2805"/>
      <c r="TAF76" s="2805"/>
      <c r="TAG76" s="2805"/>
      <c r="TAH76" s="2805"/>
      <c r="TAI76" s="2805"/>
      <c r="TAJ76" s="2805"/>
      <c r="TAK76" s="2805"/>
      <c r="TAL76" s="2805"/>
      <c r="TAM76" s="2805"/>
      <c r="TAN76" s="2805"/>
      <c r="TAO76" s="2805"/>
      <c r="TAP76" s="2805"/>
      <c r="TAQ76" s="2805"/>
      <c r="TAR76" s="2805"/>
      <c r="TAS76" s="2805"/>
      <c r="TAT76" s="2805"/>
      <c r="TAU76" s="2805"/>
      <c r="TAV76" s="2805"/>
      <c r="TAW76" s="2805"/>
      <c r="TAX76" s="2805"/>
      <c r="TAY76" s="2805"/>
      <c r="TAZ76" s="2805"/>
      <c r="TBA76" s="2805"/>
      <c r="TBB76" s="2805"/>
      <c r="TBC76" s="2805"/>
      <c r="TBD76" s="2805"/>
      <c r="TBE76" s="2805"/>
      <c r="TBF76" s="2805"/>
      <c r="TBG76" s="2805"/>
      <c r="TBH76" s="2805"/>
      <c r="TBI76" s="2805"/>
      <c r="TBJ76" s="2805"/>
      <c r="TBK76" s="2805"/>
      <c r="TBL76" s="2805"/>
      <c r="TBM76" s="2805"/>
      <c r="TBN76" s="2805"/>
      <c r="TBO76" s="2805"/>
      <c r="TBP76" s="2805"/>
      <c r="TBQ76" s="2805"/>
      <c r="TBR76" s="2805"/>
      <c r="TBS76" s="2805"/>
      <c r="TBT76" s="2805"/>
      <c r="TBU76" s="2805"/>
      <c r="TBV76" s="2805"/>
      <c r="TBW76" s="2805"/>
      <c r="TBX76" s="2805"/>
      <c r="TBY76" s="2805"/>
      <c r="TBZ76" s="2805"/>
      <c r="TCA76" s="2805"/>
      <c r="TCB76" s="2805"/>
      <c r="TCC76" s="2805"/>
      <c r="TCD76" s="2805"/>
      <c r="TCE76" s="2805"/>
      <c r="TCF76" s="2805"/>
      <c r="TCG76" s="2805"/>
      <c r="TCH76" s="2805"/>
      <c r="TCI76" s="2805"/>
      <c r="TCJ76" s="2805"/>
      <c r="TCK76" s="2805"/>
      <c r="TCL76" s="2805"/>
      <c r="TCM76" s="2805"/>
      <c r="TCN76" s="2805"/>
      <c r="TCO76" s="2805"/>
      <c r="TCP76" s="2805"/>
      <c r="TCQ76" s="2805"/>
      <c r="TCR76" s="2805"/>
      <c r="TCS76" s="2805"/>
      <c r="TCT76" s="2805"/>
      <c r="TCU76" s="2805"/>
      <c r="TCV76" s="2805"/>
      <c r="TCW76" s="2805"/>
      <c r="TCX76" s="2805"/>
      <c r="TCY76" s="2805"/>
      <c r="TCZ76" s="2805"/>
      <c r="TDA76" s="2805"/>
      <c r="TDB76" s="2805"/>
      <c r="TDC76" s="2805"/>
      <c r="TDD76" s="2805"/>
      <c r="TDE76" s="2805"/>
      <c r="TDF76" s="2805"/>
      <c r="TDG76" s="2805"/>
      <c r="TDH76" s="2805"/>
      <c r="TDI76" s="2805"/>
      <c r="TDJ76" s="2805"/>
      <c r="TDK76" s="2805"/>
      <c r="TDL76" s="2805"/>
      <c r="TDM76" s="2805"/>
      <c r="TDN76" s="2805"/>
      <c r="TDO76" s="2805"/>
      <c r="TDP76" s="2805"/>
      <c r="TDQ76" s="2805"/>
      <c r="TDR76" s="2805"/>
      <c r="TDS76" s="2805"/>
      <c r="TDT76" s="2805"/>
      <c r="TDU76" s="2805"/>
      <c r="TDV76" s="2805"/>
      <c r="TDW76" s="2805"/>
      <c r="TDX76" s="2805"/>
      <c r="TDY76" s="2805"/>
      <c r="TDZ76" s="2805"/>
      <c r="TEA76" s="2805"/>
      <c r="TEB76" s="2805"/>
      <c r="TEC76" s="2805"/>
      <c r="TED76" s="2805"/>
      <c r="TEE76" s="2805"/>
      <c r="TEF76" s="2805"/>
      <c r="TEG76" s="2805"/>
      <c r="TEH76" s="2805"/>
      <c r="TEI76" s="2805"/>
      <c r="TEJ76" s="2805"/>
      <c r="TEK76" s="2805"/>
      <c r="TEL76" s="2805"/>
      <c r="TEM76" s="2805"/>
      <c r="TEN76" s="2805"/>
      <c r="TEO76" s="2805"/>
      <c r="TEP76" s="2805"/>
      <c r="TEQ76" s="2805"/>
      <c r="TER76" s="2805"/>
      <c r="TES76" s="2805"/>
      <c r="TET76" s="2805"/>
      <c r="TEU76" s="2805"/>
      <c r="TEV76" s="2805"/>
      <c r="TEW76" s="2805"/>
      <c r="TEX76" s="2805"/>
      <c r="TEY76" s="2805"/>
      <c r="TEZ76" s="2805"/>
      <c r="TFA76" s="2805"/>
      <c r="TFB76" s="2805"/>
      <c r="TFC76" s="2805"/>
      <c r="TFD76" s="2805"/>
      <c r="TFE76" s="2805"/>
      <c r="TFF76" s="2805"/>
      <c r="TFG76" s="2805"/>
      <c r="TFH76" s="2805"/>
      <c r="TFI76" s="2805"/>
      <c r="TFJ76" s="2805"/>
      <c r="TFK76" s="2805"/>
      <c r="TFL76" s="2805"/>
      <c r="TFM76" s="2805"/>
      <c r="TFN76" s="2805"/>
      <c r="TFO76" s="2805"/>
      <c r="TFP76" s="2805"/>
      <c r="TFQ76" s="2805"/>
      <c r="TFR76" s="2805"/>
      <c r="TFS76" s="2805"/>
      <c r="TFT76" s="2805"/>
      <c r="TFU76" s="2805"/>
      <c r="TFV76" s="2805"/>
      <c r="TFW76" s="2805"/>
      <c r="TFX76" s="2805"/>
      <c r="TFY76" s="2805"/>
      <c r="TFZ76" s="2805"/>
      <c r="TGA76" s="2805"/>
      <c r="TGB76" s="2805"/>
      <c r="TGC76" s="2805"/>
      <c r="TGD76" s="2805"/>
      <c r="TGE76" s="2805"/>
      <c r="TGF76" s="2805"/>
      <c r="TGG76" s="2805"/>
      <c r="TGH76" s="2805"/>
      <c r="TGI76" s="2805"/>
      <c r="TGJ76" s="2805"/>
      <c r="TGK76" s="2805"/>
      <c r="TGL76" s="2805"/>
      <c r="TGM76" s="2805"/>
      <c r="TGN76" s="2805"/>
      <c r="TGO76" s="2805"/>
      <c r="TGP76" s="2805"/>
      <c r="TGQ76" s="2805"/>
      <c r="TGR76" s="2805"/>
      <c r="TGS76" s="2805"/>
      <c r="TGT76" s="2805"/>
      <c r="TGU76" s="2805"/>
      <c r="TGV76" s="2805"/>
      <c r="TGW76" s="2805"/>
      <c r="TGX76" s="2805"/>
      <c r="TGY76" s="2805"/>
      <c r="TGZ76" s="2805"/>
      <c r="THA76" s="2805"/>
      <c r="THB76" s="2805"/>
      <c r="THC76" s="2805"/>
      <c r="THD76" s="2805"/>
      <c r="THE76" s="2805"/>
      <c r="THF76" s="2805"/>
      <c r="THG76" s="2805"/>
      <c r="THH76" s="2805"/>
      <c r="THI76" s="2805"/>
      <c r="THJ76" s="2805"/>
      <c r="THK76" s="2805"/>
      <c r="THL76" s="2805"/>
      <c r="THM76" s="2805"/>
      <c r="THN76" s="2805"/>
      <c r="THO76" s="2805"/>
      <c r="THP76" s="2805"/>
      <c r="THQ76" s="2805"/>
      <c r="THR76" s="2805"/>
      <c r="THS76" s="2805"/>
      <c r="THT76" s="2805"/>
      <c r="THU76" s="2805"/>
      <c r="THV76" s="2805"/>
      <c r="THW76" s="2805"/>
      <c r="THX76" s="2805"/>
      <c r="THY76" s="2805"/>
      <c r="THZ76" s="2805"/>
      <c r="TIA76" s="2805"/>
      <c r="TIB76" s="2805"/>
      <c r="TIC76" s="2805"/>
      <c r="TID76" s="2805"/>
      <c r="TIE76" s="2805"/>
      <c r="TIF76" s="2805"/>
      <c r="TIG76" s="2805"/>
      <c r="TIH76" s="2805"/>
      <c r="TII76" s="2805"/>
      <c r="TIJ76" s="2805"/>
      <c r="TIK76" s="2805"/>
      <c r="TIL76" s="2805"/>
      <c r="TIM76" s="2805"/>
      <c r="TIN76" s="2805"/>
      <c r="TIO76" s="2805"/>
      <c r="TIP76" s="2805"/>
      <c r="TIQ76" s="2805"/>
      <c r="TIR76" s="2805"/>
      <c r="TIS76" s="2805"/>
      <c r="TIT76" s="2805"/>
      <c r="TIU76" s="2805"/>
      <c r="TIV76" s="2805"/>
      <c r="TIW76" s="2805"/>
      <c r="TIX76" s="2805"/>
      <c r="TIY76" s="2805"/>
      <c r="TIZ76" s="2805"/>
      <c r="TJA76" s="2805"/>
      <c r="TJB76" s="2805"/>
      <c r="TJC76" s="2805"/>
      <c r="TJD76" s="2805"/>
      <c r="TJE76" s="2805"/>
      <c r="TJF76" s="2805"/>
      <c r="TJG76" s="2805"/>
      <c r="TJH76" s="2805"/>
      <c r="TJI76" s="2805"/>
      <c r="TJJ76" s="2805"/>
      <c r="TJK76" s="2805"/>
      <c r="TJL76" s="2805"/>
      <c r="TJM76" s="2805"/>
      <c r="TJN76" s="2805"/>
      <c r="TJO76" s="2805"/>
      <c r="TJP76" s="2805"/>
      <c r="TJQ76" s="2805"/>
      <c r="TJR76" s="2805"/>
      <c r="TJS76" s="2805"/>
      <c r="TJT76" s="2805"/>
      <c r="TJU76" s="2805"/>
      <c r="TJV76" s="2805"/>
      <c r="TJW76" s="2805"/>
      <c r="TJX76" s="2805"/>
      <c r="TJY76" s="2805"/>
      <c r="TJZ76" s="2805"/>
      <c r="TKA76" s="2805"/>
      <c r="TKB76" s="2805"/>
      <c r="TKC76" s="2805"/>
      <c r="TKD76" s="2805"/>
      <c r="TKE76" s="2805"/>
      <c r="TKF76" s="2805"/>
      <c r="TKG76" s="2805"/>
      <c r="TKH76" s="2805"/>
      <c r="TKI76" s="2805"/>
      <c r="TKJ76" s="2805"/>
      <c r="TKK76" s="2805"/>
      <c r="TKL76" s="2805"/>
      <c r="TKM76" s="2805"/>
      <c r="TKN76" s="2805"/>
      <c r="TKO76" s="2805"/>
      <c r="TKP76" s="2805"/>
      <c r="TKQ76" s="2805"/>
      <c r="TKR76" s="2805"/>
      <c r="TKS76" s="2805"/>
      <c r="TKT76" s="2805"/>
      <c r="TKU76" s="2805"/>
      <c r="TKV76" s="2805"/>
      <c r="TKW76" s="2805"/>
      <c r="TKX76" s="2805"/>
      <c r="TKY76" s="2805"/>
      <c r="TKZ76" s="2805"/>
      <c r="TLA76" s="2805"/>
      <c r="TLB76" s="2805"/>
      <c r="TLC76" s="2805"/>
      <c r="TLD76" s="2805"/>
      <c r="TLE76" s="2805"/>
      <c r="TLF76" s="2805"/>
      <c r="TLG76" s="2805"/>
      <c r="TLH76" s="2805"/>
      <c r="TLI76" s="2805"/>
      <c r="TLJ76" s="2805"/>
      <c r="TLK76" s="2805"/>
      <c r="TLL76" s="2805"/>
      <c r="TLM76" s="2805"/>
      <c r="TLN76" s="2805"/>
      <c r="TLO76" s="2805"/>
      <c r="TLP76" s="2805"/>
      <c r="TLQ76" s="2805"/>
      <c r="TLR76" s="2805"/>
      <c r="TLS76" s="2805"/>
      <c r="TLT76" s="2805"/>
      <c r="TLU76" s="2805"/>
      <c r="TLV76" s="2805"/>
      <c r="TLW76" s="2805"/>
      <c r="TLX76" s="2805"/>
      <c r="TLY76" s="2805"/>
      <c r="TLZ76" s="2805"/>
      <c r="TMA76" s="2805"/>
      <c r="TMB76" s="2805"/>
      <c r="TMC76" s="2805"/>
      <c r="TMD76" s="2805"/>
      <c r="TME76" s="2805"/>
      <c r="TMF76" s="2805"/>
      <c r="TMG76" s="2805"/>
      <c r="TMH76" s="2805"/>
      <c r="TMI76" s="2805"/>
      <c r="TMJ76" s="2805"/>
      <c r="TMK76" s="2805"/>
      <c r="TML76" s="2805"/>
      <c r="TMM76" s="2805"/>
      <c r="TMN76" s="2805"/>
      <c r="TMO76" s="2805"/>
      <c r="TMP76" s="2805"/>
      <c r="TMQ76" s="2805"/>
      <c r="TMR76" s="2805"/>
      <c r="TMS76" s="2805"/>
      <c r="TMT76" s="2805"/>
      <c r="TMU76" s="2805"/>
      <c r="TMV76" s="2805"/>
      <c r="TMW76" s="2805"/>
      <c r="TMX76" s="2805"/>
      <c r="TMY76" s="2805"/>
      <c r="TMZ76" s="2805"/>
      <c r="TNA76" s="2805"/>
      <c r="TNB76" s="2805"/>
      <c r="TNC76" s="2805"/>
      <c r="TND76" s="2805"/>
      <c r="TNE76" s="2805"/>
      <c r="TNF76" s="2805"/>
      <c r="TNG76" s="2805"/>
      <c r="TNH76" s="2805"/>
      <c r="TNI76" s="2805"/>
      <c r="TNJ76" s="2805"/>
      <c r="TNK76" s="2805"/>
      <c r="TNL76" s="2805"/>
      <c r="TNM76" s="2805"/>
      <c r="TNN76" s="2805"/>
      <c r="TNO76" s="2805"/>
      <c r="TNP76" s="2805"/>
      <c r="TNQ76" s="2805"/>
      <c r="TNR76" s="2805"/>
      <c r="TNS76" s="2805"/>
      <c r="TNT76" s="2805"/>
      <c r="TNU76" s="2805"/>
      <c r="TNV76" s="2805"/>
      <c r="TNW76" s="2805"/>
      <c r="TNX76" s="2805"/>
      <c r="TNY76" s="2805"/>
      <c r="TNZ76" s="2805"/>
      <c r="TOA76" s="2805"/>
      <c r="TOB76" s="2805"/>
      <c r="TOC76" s="2805"/>
      <c r="TOD76" s="2805"/>
      <c r="TOE76" s="2805"/>
      <c r="TOF76" s="2805"/>
      <c r="TOG76" s="2805"/>
      <c r="TOH76" s="2805"/>
      <c r="TOI76" s="2805"/>
      <c r="TOJ76" s="2805"/>
      <c r="TOK76" s="2805"/>
      <c r="TOL76" s="2805"/>
      <c r="TOM76" s="2805"/>
      <c r="TON76" s="2805"/>
      <c r="TOO76" s="2805"/>
      <c r="TOP76" s="2805"/>
      <c r="TOQ76" s="2805"/>
      <c r="TOR76" s="2805"/>
      <c r="TOS76" s="2805"/>
      <c r="TOT76" s="2805"/>
      <c r="TOU76" s="2805"/>
      <c r="TOV76" s="2805"/>
      <c r="TOW76" s="2805"/>
      <c r="TOX76" s="2805"/>
      <c r="TOY76" s="2805"/>
      <c r="TOZ76" s="2805"/>
      <c r="TPA76" s="2805"/>
      <c r="TPB76" s="2805"/>
      <c r="TPC76" s="2805"/>
      <c r="TPD76" s="2805"/>
      <c r="TPE76" s="2805"/>
      <c r="TPF76" s="2805"/>
      <c r="TPG76" s="2805"/>
      <c r="TPH76" s="2805"/>
      <c r="TPI76" s="2805"/>
      <c r="TPJ76" s="2805"/>
      <c r="TPK76" s="2805"/>
      <c r="TPL76" s="2805"/>
      <c r="TPM76" s="2805"/>
      <c r="TPN76" s="2805"/>
      <c r="TPO76" s="2805"/>
      <c r="TPP76" s="2805"/>
      <c r="TPQ76" s="2805"/>
      <c r="TPR76" s="2805"/>
      <c r="TPS76" s="2805"/>
      <c r="TPT76" s="2805"/>
      <c r="TPU76" s="2805"/>
      <c r="TPV76" s="2805"/>
      <c r="TPW76" s="2805"/>
      <c r="TPX76" s="2805"/>
      <c r="TPY76" s="2805"/>
      <c r="TPZ76" s="2805"/>
      <c r="TQA76" s="2805"/>
      <c r="TQB76" s="2805"/>
      <c r="TQC76" s="2805"/>
      <c r="TQD76" s="2805"/>
      <c r="TQE76" s="2805"/>
      <c r="TQF76" s="2805"/>
      <c r="TQG76" s="2805"/>
      <c r="TQH76" s="2805"/>
      <c r="TQI76" s="2805"/>
      <c r="TQJ76" s="2805"/>
      <c r="TQK76" s="2805"/>
      <c r="TQL76" s="2805"/>
      <c r="TQM76" s="2805"/>
      <c r="TQN76" s="2805"/>
      <c r="TQO76" s="2805"/>
      <c r="TQP76" s="2805"/>
      <c r="TQQ76" s="2805"/>
      <c r="TQR76" s="2805"/>
      <c r="TQS76" s="2805"/>
      <c r="TQT76" s="2805"/>
      <c r="TQU76" s="2805"/>
      <c r="TQV76" s="2805"/>
      <c r="TQW76" s="2805"/>
      <c r="TQX76" s="2805"/>
      <c r="TQY76" s="2805"/>
      <c r="TQZ76" s="2805"/>
      <c r="TRA76" s="2805"/>
      <c r="TRB76" s="2805"/>
      <c r="TRC76" s="2805"/>
      <c r="TRD76" s="2805"/>
      <c r="TRE76" s="2805"/>
      <c r="TRF76" s="2805"/>
      <c r="TRG76" s="2805"/>
      <c r="TRH76" s="2805"/>
      <c r="TRI76" s="2805"/>
      <c r="TRJ76" s="2805"/>
      <c r="TRK76" s="2805"/>
      <c r="TRL76" s="2805"/>
      <c r="TRM76" s="2805"/>
      <c r="TRN76" s="2805"/>
      <c r="TRO76" s="2805"/>
      <c r="TRP76" s="2805"/>
      <c r="TRQ76" s="2805"/>
      <c r="TRR76" s="2805"/>
      <c r="TRS76" s="2805"/>
      <c r="TRT76" s="2805"/>
      <c r="TRU76" s="2805"/>
      <c r="TRV76" s="2805"/>
      <c r="TRW76" s="2805"/>
      <c r="TRX76" s="2805"/>
      <c r="TRY76" s="2805"/>
      <c r="TRZ76" s="2805"/>
      <c r="TSA76" s="2805"/>
      <c r="TSB76" s="2805"/>
      <c r="TSC76" s="2805"/>
      <c r="TSD76" s="2805"/>
      <c r="TSE76" s="2805"/>
      <c r="TSF76" s="2805"/>
      <c r="TSG76" s="2805"/>
      <c r="TSH76" s="2805"/>
      <c r="TSI76" s="2805"/>
      <c r="TSJ76" s="2805"/>
      <c r="TSK76" s="2805"/>
      <c r="TSL76" s="2805"/>
      <c r="TSM76" s="2805"/>
      <c r="TSN76" s="2805"/>
      <c r="TSO76" s="2805"/>
      <c r="TSP76" s="2805"/>
      <c r="TSQ76" s="2805"/>
      <c r="TSR76" s="2805"/>
      <c r="TSS76" s="2805"/>
      <c r="TST76" s="2805"/>
      <c r="TSU76" s="2805"/>
      <c r="TSV76" s="2805"/>
      <c r="TSW76" s="2805"/>
      <c r="TSX76" s="2805"/>
      <c r="TSY76" s="2805"/>
      <c r="TSZ76" s="2805"/>
      <c r="TTA76" s="2805"/>
      <c r="TTB76" s="2805"/>
      <c r="TTC76" s="2805"/>
      <c r="TTD76" s="2805"/>
      <c r="TTE76" s="2805"/>
      <c r="TTF76" s="2805"/>
      <c r="TTG76" s="2805"/>
      <c r="TTH76" s="2805"/>
      <c r="TTI76" s="2805"/>
      <c r="TTJ76" s="2805"/>
      <c r="TTK76" s="2805"/>
      <c r="TTL76" s="2805"/>
      <c r="TTM76" s="2805"/>
      <c r="TTN76" s="2805"/>
      <c r="TTO76" s="2805"/>
      <c r="TTP76" s="2805"/>
      <c r="TTQ76" s="2805"/>
      <c r="TTR76" s="2805"/>
      <c r="TTS76" s="2805"/>
      <c r="TTT76" s="2805"/>
      <c r="TTU76" s="2805"/>
      <c r="TTV76" s="2805"/>
      <c r="TTW76" s="2805"/>
      <c r="TTX76" s="2805"/>
      <c r="TTY76" s="2805"/>
      <c r="TTZ76" s="2805"/>
      <c r="TUA76" s="2805"/>
      <c r="TUB76" s="2805"/>
      <c r="TUC76" s="2805"/>
      <c r="TUD76" s="2805"/>
      <c r="TUE76" s="2805"/>
      <c r="TUF76" s="2805"/>
      <c r="TUG76" s="2805"/>
      <c r="TUH76" s="2805"/>
      <c r="TUI76" s="2805"/>
      <c r="TUJ76" s="2805"/>
      <c r="TUK76" s="2805"/>
      <c r="TUL76" s="2805"/>
      <c r="TUM76" s="2805"/>
      <c r="TUN76" s="2805"/>
      <c r="TUO76" s="2805"/>
      <c r="TUP76" s="2805"/>
      <c r="TUQ76" s="2805"/>
      <c r="TUR76" s="2805"/>
      <c r="TUS76" s="2805"/>
      <c r="TUT76" s="2805"/>
      <c r="TUU76" s="2805"/>
      <c r="TUV76" s="2805"/>
      <c r="TUW76" s="2805"/>
      <c r="TUX76" s="2805"/>
      <c r="TUY76" s="2805"/>
      <c r="TUZ76" s="2805"/>
      <c r="TVA76" s="2805"/>
      <c r="TVB76" s="2805"/>
      <c r="TVC76" s="2805"/>
      <c r="TVD76" s="2805"/>
      <c r="TVE76" s="2805"/>
      <c r="TVF76" s="2805"/>
      <c r="TVG76" s="2805"/>
      <c r="TVH76" s="2805"/>
      <c r="TVI76" s="2805"/>
      <c r="TVJ76" s="2805"/>
      <c r="TVK76" s="2805"/>
      <c r="TVL76" s="2805"/>
      <c r="TVM76" s="2805"/>
      <c r="TVN76" s="2805"/>
      <c r="TVO76" s="2805"/>
      <c r="TVP76" s="2805"/>
      <c r="TVQ76" s="2805"/>
      <c r="TVR76" s="2805"/>
      <c r="TVS76" s="2805"/>
      <c r="TVT76" s="2805"/>
      <c r="TVU76" s="2805"/>
      <c r="TVV76" s="2805"/>
      <c r="TVW76" s="2805"/>
      <c r="TVX76" s="2805"/>
      <c r="TVY76" s="2805"/>
      <c r="TVZ76" s="2805"/>
      <c r="TWA76" s="2805"/>
      <c r="TWB76" s="2805"/>
      <c r="TWC76" s="2805"/>
      <c r="TWD76" s="2805"/>
      <c r="TWE76" s="2805"/>
      <c r="TWF76" s="2805"/>
      <c r="TWG76" s="2805"/>
      <c r="TWH76" s="2805"/>
      <c r="TWI76" s="2805"/>
      <c r="TWJ76" s="2805"/>
      <c r="TWK76" s="2805"/>
      <c r="TWL76" s="2805"/>
      <c r="TWM76" s="2805"/>
      <c r="TWN76" s="2805"/>
      <c r="TWO76" s="2805"/>
      <c r="TWP76" s="2805"/>
      <c r="TWQ76" s="2805"/>
      <c r="TWR76" s="2805"/>
      <c r="TWS76" s="2805"/>
      <c r="TWT76" s="2805"/>
      <c r="TWU76" s="2805"/>
      <c r="TWV76" s="2805"/>
      <c r="TWW76" s="2805"/>
      <c r="TWX76" s="2805"/>
      <c r="TWY76" s="2805"/>
      <c r="TWZ76" s="2805"/>
      <c r="TXA76" s="2805"/>
      <c r="TXB76" s="2805"/>
      <c r="TXC76" s="2805"/>
      <c r="TXD76" s="2805"/>
      <c r="TXE76" s="2805"/>
      <c r="TXF76" s="2805"/>
      <c r="TXG76" s="2805"/>
      <c r="TXH76" s="2805"/>
      <c r="TXI76" s="2805"/>
      <c r="TXJ76" s="2805"/>
      <c r="TXK76" s="2805"/>
      <c r="TXL76" s="2805"/>
      <c r="TXM76" s="2805"/>
      <c r="TXN76" s="2805"/>
      <c r="TXO76" s="2805"/>
      <c r="TXP76" s="2805"/>
      <c r="TXQ76" s="2805"/>
      <c r="TXR76" s="2805"/>
      <c r="TXS76" s="2805"/>
      <c r="TXT76" s="2805"/>
      <c r="TXU76" s="2805"/>
      <c r="TXV76" s="2805"/>
      <c r="TXW76" s="2805"/>
      <c r="TXX76" s="2805"/>
      <c r="TXY76" s="2805"/>
      <c r="TXZ76" s="2805"/>
      <c r="TYA76" s="2805"/>
      <c r="TYB76" s="2805"/>
      <c r="TYC76" s="2805"/>
      <c r="TYD76" s="2805"/>
      <c r="TYE76" s="2805"/>
      <c r="TYF76" s="2805"/>
      <c r="TYG76" s="2805"/>
      <c r="TYH76" s="2805"/>
      <c r="TYI76" s="2805"/>
      <c r="TYJ76" s="2805"/>
      <c r="TYK76" s="2805"/>
      <c r="TYL76" s="2805"/>
      <c r="TYM76" s="2805"/>
      <c r="TYN76" s="2805"/>
      <c r="TYO76" s="2805"/>
      <c r="TYP76" s="2805"/>
      <c r="TYQ76" s="2805"/>
      <c r="TYR76" s="2805"/>
      <c r="TYS76" s="2805"/>
      <c r="TYT76" s="2805"/>
      <c r="TYU76" s="2805"/>
      <c r="TYV76" s="2805"/>
      <c r="TYW76" s="2805"/>
      <c r="TYX76" s="2805"/>
      <c r="TYY76" s="2805"/>
      <c r="TYZ76" s="2805"/>
      <c r="TZA76" s="2805"/>
      <c r="TZB76" s="2805"/>
      <c r="TZC76" s="2805"/>
      <c r="TZD76" s="2805"/>
      <c r="TZE76" s="2805"/>
      <c r="TZF76" s="2805"/>
      <c r="TZG76" s="2805"/>
      <c r="TZH76" s="2805"/>
      <c r="TZI76" s="2805"/>
      <c r="TZJ76" s="2805"/>
      <c r="TZK76" s="2805"/>
      <c r="TZL76" s="2805"/>
      <c r="TZM76" s="2805"/>
      <c r="TZN76" s="2805"/>
      <c r="TZO76" s="2805"/>
      <c r="TZP76" s="2805"/>
      <c r="TZQ76" s="2805"/>
      <c r="TZR76" s="2805"/>
      <c r="TZS76" s="2805"/>
      <c r="TZT76" s="2805"/>
      <c r="TZU76" s="2805"/>
      <c r="TZV76" s="2805"/>
      <c r="TZW76" s="2805"/>
      <c r="TZX76" s="2805"/>
      <c r="TZY76" s="2805"/>
      <c r="TZZ76" s="2805"/>
      <c r="UAA76" s="2805"/>
      <c r="UAB76" s="2805"/>
      <c r="UAC76" s="2805"/>
      <c r="UAD76" s="2805"/>
      <c r="UAE76" s="2805"/>
      <c r="UAF76" s="2805"/>
      <c r="UAG76" s="2805"/>
      <c r="UAH76" s="2805"/>
      <c r="UAI76" s="2805"/>
      <c r="UAJ76" s="2805"/>
      <c r="UAK76" s="2805"/>
      <c r="UAL76" s="2805"/>
      <c r="UAM76" s="2805"/>
      <c r="UAN76" s="2805"/>
      <c r="UAO76" s="2805"/>
      <c r="UAP76" s="2805"/>
      <c r="UAQ76" s="2805"/>
      <c r="UAR76" s="2805"/>
      <c r="UAS76" s="2805"/>
      <c r="UAT76" s="2805"/>
      <c r="UAU76" s="2805"/>
      <c r="UAV76" s="2805"/>
      <c r="UAW76" s="2805"/>
      <c r="UAX76" s="2805"/>
      <c r="UAY76" s="2805"/>
      <c r="UAZ76" s="2805"/>
      <c r="UBA76" s="2805"/>
      <c r="UBB76" s="2805"/>
      <c r="UBC76" s="2805"/>
      <c r="UBD76" s="2805"/>
      <c r="UBE76" s="2805"/>
      <c r="UBF76" s="2805"/>
      <c r="UBG76" s="2805"/>
      <c r="UBH76" s="2805"/>
      <c r="UBI76" s="2805"/>
      <c r="UBJ76" s="2805"/>
      <c r="UBK76" s="2805"/>
      <c r="UBL76" s="2805"/>
      <c r="UBM76" s="2805"/>
      <c r="UBN76" s="2805"/>
      <c r="UBO76" s="2805"/>
      <c r="UBP76" s="2805"/>
      <c r="UBQ76" s="2805"/>
      <c r="UBR76" s="2805"/>
      <c r="UBS76" s="2805"/>
      <c r="UBT76" s="2805"/>
      <c r="UBU76" s="2805"/>
      <c r="UBV76" s="2805"/>
      <c r="UBW76" s="2805"/>
      <c r="UBX76" s="2805"/>
      <c r="UBY76" s="2805"/>
      <c r="UBZ76" s="2805"/>
      <c r="UCA76" s="2805"/>
      <c r="UCB76" s="2805"/>
      <c r="UCC76" s="2805"/>
      <c r="UCD76" s="2805"/>
      <c r="UCE76" s="2805"/>
      <c r="UCF76" s="2805"/>
      <c r="UCG76" s="2805"/>
      <c r="UCH76" s="2805"/>
      <c r="UCI76" s="2805"/>
      <c r="UCJ76" s="2805"/>
      <c r="UCK76" s="2805"/>
      <c r="UCL76" s="2805"/>
      <c r="UCM76" s="2805"/>
      <c r="UCN76" s="2805"/>
      <c r="UCO76" s="2805"/>
      <c r="UCP76" s="2805"/>
      <c r="UCQ76" s="2805"/>
      <c r="UCR76" s="2805"/>
      <c r="UCS76" s="2805"/>
      <c r="UCT76" s="2805"/>
      <c r="UCU76" s="2805"/>
      <c r="UCV76" s="2805"/>
      <c r="UCW76" s="2805"/>
      <c r="UCX76" s="2805"/>
      <c r="UCY76" s="2805"/>
      <c r="UCZ76" s="2805"/>
      <c r="UDA76" s="2805"/>
      <c r="UDB76" s="2805"/>
      <c r="UDC76" s="2805"/>
      <c r="UDD76" s="2805"/>
      <c r="UDE76" s="2805"/>
      <c r="UDF76" s="2805"/>
      <c r="UDG76" s="2805"/>
      <c r="UDH76" s="2805"/>
      <c r="UDI76" s="2805"/>
      <c r="UDJ76" s="2805"/>
      <c r="UDK76" s="2805"/>
      <c r="UDL76" s="2805"/>
      <c r="UDM76" s="2805"/>
      <c r="UDN76" s="2805"/>
      <c r="UDO76" s="2805"/>
      <c r="UDP76" s="2805"/>
      <c r="UDQ76" s="2805"/>
      <c r="UDR76" s="2805"/>
      <c r="UDS76" s="2805"/>
      <c r="UDT76" s="2805"/>
      <c r="UDU76" s="2805"/>
      <c r="UDV76" s="2805"/>
      <c r="UDW76" s="2805"/>
      <c r="UDX76" s="2805"/>
      <c r="UDY76" s="2805"/>
      <c r="UDZ76" s="2805"/>
      <c r="UEA76" s="2805"/>
      <c r="UEB76" s="2805"/>
      <c r="UEC76" s="2805"/>
      <c r="UED76" s="2805"/>
      <c r="UEE76" s="2805"/>
      <c r="UEF76" s="2805"/>
      <c r="UEG76" s="2805"/>
      <c r="UEH76" s="2805"/>
      <c r="UEI76" s="2805"/>
      <c r="UEJ76" s="2805"/>
      <c r="UEK76" s="2805"/>
      <c r="UEL76" s="2805"/>
      <c r="UEM76" s="2805"/>
      <c r="UEN76" s="2805"/>
      <c r="UEO76" s="2805"/>
      <c r="UEP76" s="2805"/>
      <c r="UEQ76" s="2805"/>
      <c r="UER76" s="2805"/>
      <c r="UES76" s="2805"/>
      <c r="UET76" s="2805"/>
      <c r="UEU76" s="2805"/>
      <c r="UEV76" s="2805"/>
      <c r="UEW76" s="2805"/>
      <c r="UEX76" s="2805"/>
      <c r="UEY76" s="2805"/>
      <c r="UEZ76" s="2805"/>
      <c r="UFA76" s="2805"/>
      <c r="UFB76" s="2805"/>
      <c r="UFC76" s="2805"/>
      <c r="UFD76" s="2805"/>
      <c r="UFE76" s="2805"/>
      <c r="UFF76" s="2805"/>
      <c r="UFG76" s="2805"/>
      <c r="UFH76" s="2805"/>
      <c r="UFI76" s="2805"/>
      <c r="UFJ76" s="2805"/>
      <c r="UFK76" s="2805"/>
      <c r="UFL76" s="2805"/>
      <c r="UFM76" s="2805"/>
      <c r="UFN76" s="2805"/>
      <c r="UFO76" s="2805"/>
      <c r="UFP76" s="2805"/>
      <c r="UFQ76" s="2805"/>
      <c r="UFR76" s="2805"/>
      <c r="UFS76" s="2805"/>
      <c r="UFT76" s="2805"/>
      <c r="UFU76" s="2805"/>
      <c r="UFV76" s="2805"/>
      <c r="UFW76" s="2805"/>
      <c r="UFX76" s="2805"/>
      <c r="UFY76" s="2805"/>
      <c r="UFZ76" s="2805"/>
      <c r="UGA76" s="2805"/>
      <c r="UGB76" s="2805"/>
      <c r="UGC76" s="2805"/>
      <c r="UGD76" s="2805"/>
      <c r="UGE76" s="2805"/>
      <c r="UGF76" s="2805"/>
      <c r="UGG76" s="2805"/>
      <c r="UGH76" s="2805"/>
      <c r="UGI76" s="2805"/>
      <c r="UGJ76" s="2805"/>
      <c r="UGK76" s="2805"/>
      <c r="UGL76" s="2805"/>
      <c r="UGM76" s="2805"/>
      <c r="UGN76" s="2805"/>
      <c r="UGO76" s="2805"/>
      <c r="UGP76" s="2805"/>
      <c r="UGQ76" s="2805"/>
      <c r="UGR76" s="2805"/>
      <c r="UGS76" s="2805"/>
      <c r="UGT76" s="2805"/>
      <c r="UGU76" s="2805"/>
      <c r="UGV76" s="2805"/>
      <c r="UGW76" s="2805"/>
      <c r="UGX76" s="2805"/>
      <c r="UGY76" s="2805"/>
      <c r="UGZ76" s="2805"/>
      <c r="UHA76" s="2805"/>
      <c r="UHB76" s="2805"/>
      <c r="UHC76" s="2805"/>
      <c r="UHD76" s="2805"/>
      <c r="UHE76" s="2805"/>
      <c r="UHF76" s="2805"/>
      <c r="UHG76" s="2805"/>
      <c r="UHH76" s="2805"/>
      <c r="UHI76" s="2805"/>
      <c r="UHJ76" s="2805"/>
      <c r="UHK76" s="2805"/>
      <c r="UHL76" s="2805"/>
      <c r="UHM76" s="2805"/>
      <c r="UHN76" s="2805"/>
      <c r="UHO76" s="2805"/>
      <c r="UHP76" s="2805"/>
      <c r="UHQ76" s="2805"/>
      <c r="UHR76" s="2805"/>
      <c r="UHS76" s="2805"/>
      <c r="UHT76" s="2805"/>
      <c r="UHU76" s="2805"/>
      <c r="UHV76" s="2805"/>
      <c r="UHW76" s="2805"/>
      <c r="UHX76" s="2805"/>
      <c r="UHY76" s="2805"/>
      <c r="UHZ76" s="2805"/>
      <c r="UIA76" s="2805"/>
      <c r="UIB76" s="2805"/>
      <c r="UIC76" s="2805"/>
      <c r="UID76" s="2805"/>
      <c r="UIE76" s="2805"/>
      <c r="UIF76" s="2805"/>
      <c r="UIG76" s="2805"/>
      <c r="UIH76" s="2805"/>
      <c r="UII76" s="2805"/>
      <c r="UIJ76" s="2805"/>
      <c r="UIK76" s="2805"/>
      <c r="UIL76" s="2805"/>
      <c r="UIM76" s="2805"/>
      <c r="UIN76" s="2805"/>
      <c r="UIO76" s="2805"/>
      <c r="UIP76" s="2805"/>
      <c r="UIQ76" s="2805"/>
      <c r="UIR76" s="2805"/>
      <c r="UIS76" s="2805"/>
      <c r="UIT76" s="2805"/>
      <c r="UIU76" s="2805"/>
      <c r="UIV76" s="2805"/>
      <c r="UIW76" s="2805"/>
      <c r="UIX76" s="2805"/>
      <c r="UIY76" s="2805"/>
      <c r="UIZ76" s="2805"/>
      <c r="UJA76" s="2805"/>
      <c r="UJB76" s="2805"/>
      <c r="UJC76" s="2805"/>
      <c r="UJD76" s="2805"/>
      <c r="UJE76" s="2805"/>
      <c r="UJF76" s="2805"/>
      <c r="UJG76" s="2805"/>
      <c r="UJH76" s="2805"/>
      <c r="UJI76" s="2805"/>
      <c r="UJJ76" s="2805"/>
      <c r="UJK76" s="2805"/>
      <c r="UJL76" s="2805"/>
      <c r="UJM76" s="2805"/>
      <c r="UJN76" s="2805"/>
      <c r="UJO76" s="2805"/>
      <c r="UJP76" s="2805"/>
      <c r="UJQ76" s="2805"/>
      <c r="UJR76" s="2805"/>
      <c r="UJS76" s="2805"/>
      <c r="UJT76" s="2805"/>
      <c r="UJU76" s="2805"/>
      <c r="UJV76" s="2805"/>
      <c r="UJW76" s="2805"/>
      <c r="UJX76" s="2805"/>
      <c r="UJY76" s="2805"/>
      <c r="UJZ76" s="2805"/>
      <c r="UKA76" s="2805"/>
      <c r="UKB76" s="2805"/>
      <c r="UKC76" s="2805"/>
      <c r="UKD76" s="2805"/>
      <c r="UKE76" s="2805"/>
      <c r="UKF76" s="2805"/>
      <c r="UKG76" s="2805"/>
      <c r="UKH76" s="2805"/>
      <c r="UKI76" s="2805"/>
      <c r="UKJ76" s="2805"/>
      <c r="UKK76" s="2805"/>
      <c r="UKL76" s="2805"/>
      <c r="UKM76" s="2805"/>
      <c r="UKN76" s="2805"/>
      <c r="UKO76" s="2805"/>
      <c r="UKP76" s="2805"/>
      <c r="UKQ76" s="2805"/>
      <c r="UKR76" s="2805"/>
      <c r="UKS76" s="2805"/>
      <c r="UKT76" s="2805"/>
      <c r="UKU76" s="2805"/>
      <c r="UKV76" s="2805"/>
      <c r="UKW76" s="2805"/>
      <c r="UKX76" s="2805"/>
      <c r="UKY76" s="2805"/>
      <c r="UKZ76" s="2805"/>
      <c r="ULA76" s="2805"/>
      <c r="ULB76" s="2805"/>
      <c r="ULC76" s="2805"/>
      <c r="ULD76" s="2805"/>
      <c r="ULE76" s="2805"/>
      <c r="ULF76" s="2805"/>
      <c r="ULG76" s="2805"/>
      <c r="ULH76" s="2805"/>
      <c r="ULI76" s="2805"/>
      <c r="ULJ76" s="2805"/>
      <c r="ULK76" s="2805"/>
      <c r="ULL76" s="2805"/>
      <c r="ULM76" s="2805"/>
      <c r="ULN76" s="2805"/>
      <c r="ULO76" s="2805"/>
      <c r="ULP76" s="2805"/>
      <c r="ULQ76" s="2805"/>
      <c r="ULR76" s="2805"/>
      <c r="ULS76" s="2805"/>
      <c r="ULT76" s="2805"/>
      <c r="ULU76" s="2805"/>
      <c r="ULV76" s="2805"/>
      <c r="ULW76" s="2805"/>
      <c r="ULX76" s="2805"/>
      <c r="ULY76" s="2805"/>
      <c r="ULZ76" s="2805"/>
      <c r="UMA76" s="2805"/>
      <c r="UMB76" s="2805"/>
      <c r="UMC76" s="2805"/>
      <c r="UMD76" s="2805"/>
      <c r="UME76" s="2805"/>
      <c r="UMF76" s="2805"/>
      <c r="UMG76" s="2805"/>
      <c r="UMH76" s="2805"/>
      <c r="UMI76" s="2805"/>
      <c r="UMJ76" s="2805"/>
      <c r="UMK76" s="2805"/>
      <c r="UML76" s="2805"/>
      <c r="UMM76" s="2805"/>
      <c r="UMN76" s="2805"/>
      <c r="UMO76" s="2805"/>
      <c r="UMP76" s="2805"/>
      <c r="UMQ76" s="2805"/>
      <c r="UMR76" s="2805"/>
      <c r="UMS76" s="2805"/>
      <c r="UMT76" s="2805"/>
      <c r="UMU76" s="2805"/>
      <c r="UMV76" s="2805"/>
      <c r="UMW76" s="2805"/>
      <c r="UMX76" s="2805"/>
      <c r="UMY76" s="2805"/>
      <c r="UMZ76" s="2805"/>
      <c r="UNA76" s="2805"/>
      <c r="UNB76" s="2805"/>
      <c r="UNC76" s="2805"/>
      <c r="UND76" s="2805"/>
      <c r="UNE76" s="2805"/>
      <c r="UNF76" s="2805"/>
      <c r="UNG76" s="2805"/>
      <c r="UNH76" s="2805"/>
      <c r="UNI76" s="2805"/>
      <c r="UNJ76" s="2805"/>
      <c r="UNK76" s="2805"/>
      <c r="UNL76" s="2805"/>
      <c r="UNM76" s="2805"/>
      <c r="UNN76" s="2805"/>
      <c r="UNO76" s="2805"/>
      <c r="UNP76" s="2805"/>
      <c r="UNQ76" s="2805"/>
      <c r="UNR76" s="2805"/>
      <c r="UNS76" s="2805"/>
      <c r="UNT76" s="2805"/>
      <c r="UNU76" s="2805"/>
      <c r="UNV76" s="2805"/>
      <c r="UNW76" s="2805"/>
      <c r="UNX76" s="2805"/>
      <c r="UNY76" s="2805"/>
      <c r="UNZ76" s="2805"/>
      <c r="UOA76" s="2805"/>
      <c r="UOB76" s="2805"/>
      <c r="UOC76" s="2805"/>
      <c r="UOD76" s="2805"/>
      <c r="UOE76" s="2805"/>
      <c r="UOF76" s="2805"/>
      <c r="UOG76" s="2805"/>
      <c r="UOH76" s="2805"/>
      <c r="UOI76" s="2805"/>
      <c r="UOJ76" s="2805"/>
      <c r="UOK76" s="2805"/>
      <c r="UOL76" s="2805"/>
      <c r="UOM76" s="2805"/>
      <c r="UON76" s="2805"/>
      <c r="UOO76" s="2805"/>
      <c r="UOP76" s="2805"/>
      <c r="UOQ76" s="2805"/>
      <c r="UOR76" s="2805"/>
      <c r="UOS76" s="2805"/>
      <c r="UOT76" s="2805"/>
      <c r="UOU76" s="2805"/>
      <c r="UOV76" s="2805"/>
      <c r="UOW76" s="2805"/>
      <c r="UOX76" s="2805"/>
      <c r="UOY76" s="2805"/>
      <c r="UOZ76" s="2805"/>
      <c r="UPA76" s="2805"/>
      <c r="UPB76" s="2805"/>
      <c r="UPC76" s="2805"/>
      <c r="UPD76" s="2805"/>
      <c r="UPE76" s="2805"/>
      <c r="UPF76" s="2805"/>
      <c r="UPG76" s="2805"/>
      <c r="UPH76" s="2805"/>
      <c r="UPI76" s="2805"/>
      <c r="UPJ76" s="2805"/>
      <c r="UPK76" s="2805"/>
      <c r="UPL76" s="2805"/>
      <c r="UPM76" s="2805"/>
      <c r="UPN76" s="2805"/>
      <c r="UPO76" s="2805"/>
      <c r="UPP76" s="2805"/>
      <c r="UPQ76" s="2805"/>
      <c r="UPR76" s="2805"/>
      <c r="UPS76" s="2805"/>
      <c r="UPT76" s="2805"/>
      <c r="UPU76" s="2805"/>
      <c r="UPV76" s="2805"/>
      <c r="UPW76" s="2805"/>
      <c r="UPX76" s="2805"/>
      <c r="UPY76" s="2805"/>
      <c r="UPZ76" s="2805"/>
      <c r="UQA76" s="2805"/>
      <c r="UQB76" s="2805"/>
      <c r="UQC76" s="2805"/>
      <c r="UQD76" s="2805"/>
      <c r="UQE76" s="2805"/>
      <c r="UQF76" s="2805"/>
      <c r="UQG76" s="2805"/>
      <c r="UQH76" s="2805"/>
      <c r="UQI76" s="2805"/>
      <c r="UQJ76" s="2805"/>
      <c r="UQK76" s="2805"/>
      <c r="UQL76" s="2805"/>
      <c r="UQM76" s="2805"/>
      <c r="UQN76" s="2805"/>
      <c r="UQO76" s="2805"/>
      <c r="UQP76" s="2805"/>
      <c r="UQQ76" s="2805"/>
      <c r="UQR76" s="2805"/>
      <c r="UQS76" s="2805"/>
      <c r="UQT76" s="2805"/>
      <c r="UQU76" s="2805"/>
      <c r="UQV76" s="2805"/>
      <c r="UQW76" s="2805"/>
      <c r="UQX76" s="2805"/>
      <c r="UQY76" s="2805"/>
      <c r="UQZ76" s="2805"/>
      <c r="URA76" s="2805"/>
      <c r="URB76" s="2805"/>
      <c r="URC76" s="2805"/>
      <c r="URD76" s="2805"/>
      <c r="URE76" s="2805"/>
      <c r="URF76" s="2805"/>
      <c r="URG76" s="2805"/>
      <c r="URH76" s="2805"/>
      <c r="URI76" s="2805"/>
      <c r="URJ76" s="2805"/>
      <c r="URK76" s="2805"/>
      <c r="URL76" s="2805"/>
      <c r="URM76" s="2805"/>
      <c r="URN76" s="2805"/>
      <c r="URO76" s="2805"/>
      <c r="URP76" s="2805"/>
      <c r="URQ76" s="2805"/>
      <c r="URR76" s="2805"/>
      <c r="URS76" s="2805"/>
      <c r="URT76" s="2805"/>
      <c r="URU76" s="2805"/>
      <c r="URV76" s="2805"/>
      <c r="URW76" s="2805"/>
      <c r="URX76" s="2805"/>
      <c r="URY76" s="2805"/>
      <c r="URZ76" s="2805"/>
      <c r="USA76" s="2805"/>
      <c r="USB76" s="2805"/>
      <c r="USC76" s="2805"/>
      <c r="USD76" s="2805"/>
      <c r="USE76" s="2805"/>
      <c r="USF76" s="2805"/>
      <c r="USG76" s="2805"/>
      <c r="USH76" s="2805"/>
      <c r="USI76" s="2805"/>
      <c r="USJ76" s="2805"/>
      <c r="USK76" s="2805"/>
      <c r="USL76" s="2805"/>
      <c r="USM76" s="2805"/>
      <c r="USN76" s="2805"/>
      <c r="USO76" s="2805"/>
      <c r="USP76" s="2805"/>
      <c r="USQ76" s="2805"/>
      <c r="USR76" s="2805"/>
      <c r="USS76" s="2805"/>
      <c r="UST76" s="2805"/>
      <c r="USU76" s="2805"/>
      <c r="USV76" s="2805"/>
      <c r="USW76" s="2805"/>
      <c r="USX76" s="2805"/>
      <c r="USY76" s="2805"/>
      <c r="USZ76" s="2805"/>
      <c r="UTA76" s="2805"/>
      <c r="UTB76" s="2805"/>
      <c r="UTC76" s="2805"/>
      <c r="UTD76" s="2805"/>
      <c r="UTE76" s="2805"/>
      <c r="UTF76" s="2805"/>
      <c r="UTG76" s="2805"/>
      <c r="UTH76" s="2805"/>
      <c r="UTI76" s="2805"/>
      <c r="UTJ76" s="2805"/>
      <c r="UTK76" s="2805"/>
      <c r="UTL76" s="2805"/>
      <c r="UTM76" s="2805"/>
      <c r="UTN76" s="2805"/>
      <c r="UTO76" s="2805"/>
      <c r="UTP76" s="2805"/>
      <c r="UTQ76" s="2805"/>
      <c r="UTR76" s="2805"/>
      <c r="UTS76" s="2805"/>
      <c r="UTT76" s="2805"/>
      <c r="UTU76" s="2805"/>
      <c r="UTV76" s="2805"/>
      <c r="UTW76" s="2805"/>
      <c r="UTX76" s="2805"/>
      <c r="UTY76" s="2805"/>
      <c r="UTZ76" s="2805"/>
      <c r="UUA76" s="2805"/>
      <c r="UUB76" s="2805"/>
      <c r="UUC76" s="2805"/>
      <c r="UUD76" s="2805"/>
      <c r="UUE76" s="2805"/>
      <c r="UUF76" s="2805"/>
      <c r="UUG76" s="2805"/>
      <c r="UUH76" s="2805"/>
      <c r="UUI76" s="2805"/>
      <c r="UUJ76" s="2805"/>
      <c r="UUK76" s="2805"/>
      <c r="UUL76" s="2805"/>
      <c r="UUM76" s="2805"/>
      <c r="UUN76" s="2805"/>
      <c r="UUO76" s="2805"/>
      <c r="UUP76" s="2805"/>
      <c r="UUQ76" s="2805"/>
      <c r="UUR76" s="2805"/>
      <c r="UUS76" s="2805"/>
      <c r="UUT76" s="2805"/>
      <c r="UUU76" s="2805"/>
      <c r="UUV76" s="2805"/>
      <c r="UUW76" s="2805"/>
      <c r="UUX76" s="2805"/>
      <c r="UUY76" s="2805"/>
      <c r="UUZ76" s="2805"/>
      <c r="UVA76" s="2805"/>
      <c r="UVB76" s="2805"/>
      <c r="UVC76" s="2805"/>
      <c r="UVD76" s="2805"/>
      <c r="UVE76" s="2805"/>
      <c r="UVF76" s="2805"/>
      <c r="UVG76" s="2805"/>
      <c r="UVH76" s="2805"/>
      <c r="UVI76" s="2805"/>
      <c r="UVJ76" s="2805"/>
      <c r="UVK76" s="2805"/>
      <c r="UVL76" s="2805"/>
      <c r="UVM76" s="2805"/>
      <c r="UVN76" s="2805"/>
      <c r="UVO76" s="2805"/>
      <c r="UVP76" s="2805"/>
      <c r="UVQ76" s="2805"/>
      <c r="UVR76" s="2805"/>
      <c r="UVS76" s="2805"/>
      <c r="UVT76" s="2805"/>
      <c r="UVU76" s="2805"/>
      <c r="UVV76" s="2805"/>
      <c r="UVW76" s="2805"/>
      <c r="UVX76" s="2805"/>
      <c r="UVY76" s="2805"/>
      <c r="UVZ76" s="2805"/>
      <c r="UWA76" s="2805"/>
      <c r="UWB76" s="2805"/>
      <c r="UWC76" s="2805"/>
      <c r="UWD76" s="2805"/>
      <c r="UWE76" s="2805"/>
      <c r="UWF76" s="2805"/>
      <c r="UWG76" s="2805"/>
      <c r="UWH76" s="2805"/>
      <c r="UWI76" s="2805"/>
      <c r="UWJ76" s="2805"/>
      <c r="UWK76" s="2805"/>
      <c r="UWL76" s="2805"/>
      <c r="UWM76" s="2805"/>
      <c r="UWN76" s="2805"/>
      <c r="UWO76" s="2805"/>
      <c r="UWP76" s="2805"/>
      <c r="UWQ76" s="2805"/>
      <c r="UWR76" s="2805"/>
      <c r="UWS76" s="2805"/>
      <c r="UWT76" s="2805"/>
      <c r="UWU76" s="2805"/>
      <c r="UWV76" s="2805"/>
      <c r="UWW76" s="2805"/>
      <c r="UWX76" s="2805"/>
      <c r="UWY76" s="2805"/>
      <c r="UWZ76" s="2805"/>
      <c r="UXA76" s="2805"/>
      <c r="UXB76" s="2805"/>
      <c r="UXC76" s="2805"/>
      <c r="UXD76" s="2805"/>
      <c r="UXE76" s="2805"/>
      <c r="UXF76" s="2805"/>
      <c r="UXG76" s="2805"/>
      <c r="UXH76" s="2805"/>
      <c r="UXI76" s="2805"/>
      <c r="UXJ76" s="2805"/>
      <c r="UXK76" s="2805"/>
      <c r="UXL76" s="2805"/>
      <c r="UXM76" s="2805"/>
      <c r="UXN76" s="2805"/>
      <c r="UXO76" s="2805"/>
      <c r="UXP76" s="2805"/>
      <c r="UXQ76" s="2805"/>
      <c r="UXR76" s="2805"/>
      <c r="UXS76" s="2805"/>
      <c r="UXT76" s="2805"/>
      <c r="UXU76" s="2805"/>
      <c r="UXV76" s="2805"/>
      <c r="UXW76" s="2805"/>
      <c r="UXX76" s="2805"/>
      <c r="UXY76" s="2805"/>
      <c r="UXZ76" s="2805"/>
      <c r="UYA76" s="2805"/>
      <c r="UYB76" s="2805"/>
      <c r="UYC76" s="2805"/>
      <c r="UYD76" s="2805"/>
      <c r="UYE76" s="2805"/>
      <c r="UYF76" s="2805"/>
      <c r="UYG76" s="2805"/>
      <c r="UYH76" s="2805"/>
      <c r="UYI76" s="2805"/>
      <c r="UYJ76" s="2805"/>
      <c r="UYK76" s="2805"/>
      <c r="UYL76" s="2805"/>
      <c r="UYM76" s="2805"/>
      <c r="UYN76" s="2805"/>
      <c r="UYO76" s="2805"/>
      <c r="UYP76" s="2805"/>
      <c r="UYQ76" s="2805"/>
      <c r="UYR76" s="2805"/>
      <c r="UYS76" s="2805"/>
      <c r="UYT76" s="2805"/>
      <c r="UYU76" s="2805"/>
      <c r="UYV76" s="2805"/>
      <c r="UYW76" s="2805"/>
      <c r="UYX76" s="2805"/>
      <c r="UYY76" s="2805"/>
      <c r="UYZ76" s="2805"/>
      <c r="UZA76" s="2805"/>
      <c r="UZB76" s="2805"/>
      <c r="UZC76" s="2805"/>
      <c r="UZD76" s="2805"/>
      <c r="UZE76" s="2805"/>
      <c r="UZF76" s="2805"/>
      <c r="UZG76" s="2805"/>
      <c r="UZH76" s="2805"/>
      <c r="UZI76" s="2805"/>
      <c r="UZJ76" s="2805"/>
      <c r="UZK76" s="2805"/>
      <c r="UZL76" s="2805"/>
      <c r="UZM76" s="2805"/>
      <c r="UZN76" s="2805"/>
      <c r="UZO76" s="2805"/>
      <c r="UZP76" s="2805"/>
      <c r="UZQ76" s="2805"/>
      <c r="UZR76" s="2805"/>
      <c r="UZS76" s="2805"/>
      <c r="UZT76" s="2805"/>
      <c r="UZU76" s="2805"/>
      <c r="UZV76" s="2805"/>
      <c r="UZW76" s="2805"/>
      <c r="UZX76" s="2805"/>
      <c r="UZY76" s="2805"/>
      <c r="UZZ76" s="2805"/>
      <c r="VAA76" s="2805"/>
      <c r="VAB76" s="2805"/>
      <c r="VAC76" s="2805"/>
      <c r="VAD76" s="2805"/>
      <c r="VAE76" s="2805"/>
      <c r="VAF76" s="2805"/>
      <c r="VAG76" s="2805"/>
      <c r="VAH76" s="2805"/>
      <c r="VAI76" s="2805"/>
      <c r="VAJ76" s="2805"/>
      <c r="VAK76" s="2805"/>
      <c r="VAL76" s="2805"/>
      <c r="VAM76" s="2805"/>
      <c r="VAN76" s="2805"/>
      <c r="VAO76" s="2805"/>
      <c r="VAP76" s="2805"/>
      <c r="VAQ76" s="2805"/>
      <c r="VAR76" s="2805"/>
      <c r="VAS76" s="2805"/>
      <c r="VAT76" s="2805"/>
      <c r="VAU76" s="2805"/>
      <c r="VAV76" s="2805"/>
      <c r="VAW76" s="2805"/>
      <c r="VAX76" s="2805"/>
      <c r="VAY76" s="2805"/>
      <c r="VAZ76" s="2805"/>
      <c r="VBA76" s="2805"/>
      <c r="VBB76" s="2805"/>
      <c r="VBC76" s="2805"/>
      <c r="VBD76" s="2805"/>
      <c r="VBE76" s="2805"/>
      <c r="VBF76" s="2805"/>
      <c r="VBG76" s="2805"/>
      <c r="VBH76" s="2805"/>
      <c r="VBI76" s="2805"/>
      <c r="VBJ76" s="2805"/>
      <c r="VBK76" s="2805"/>
      <c r="VBL76" s="2805"/>
      <c r="VBM76" s="2805"/>
      <c r="VBN76" s="2805"/>
      <c r="VBO76" s="2805"/>
      <c r="VBP76" s="2805"/>
      <c r="VBQ76" s="2805"/>
      <c r="VBR76" s="2805"/>
      <c r="VBS76" s="2805"/>
      <c r="VBT76" s="2805"/>
      <c r="VBU76" s="2805"/>
      <c r="VBV76" s="2805"/>
      <c r="VBW76" s="2805"/>
      <c r="VBX76" s="2805"/>
      <c r="VBY76" s="2805"/>
      <c r="VBZ76" s="2805"/>
      <c r="VCA76" s="2805"/>
      <c r="VCB76" s="2805"/>
      <c r="VCC76" s="2805"/>
      <c r="VCD76" s="2805"/>
      <c r="VCE76" s="2805"/>
      <c r="VCF76" s="2805"/>
      <c r="VCG76" s="2805"/>
      <c r="VCH76" s="2805"/>
      <c r="VCI76" s="2805"/>
      <c r="VCJ76" s="2805"/>
      <c r="VCK76" s="2805"/>
      <c r="VCL76" s="2805"/>
      <c r="VCM76" s="2805"/>
      <c r="VCN76" s="2805"/>
      <c r="VCO76" s="2805"/>
      <c r="VCP76" s="2805"/>
      <c r="VCQ76" s="2805"/>
      <c r="VCR76" s="2805"/>
      <c r="VCS76" s="2805"/>
      <c r="VCT76" s="2805"/>
      <c r="VCU76" s="2805"/>
      <c r="VCV76" s="2805"/>
      <c r="VCW76" s="2805"/>
      <c r="VCX76" s="2805"/>
      <c r="VCY76" s="2805"/>
      <c r="VCZ76" s="2805"/>
      <c r="VDA76" s="2805"/>
      <c r="VDB76" s="2805"/>
      <c r="VDC76" s="2805"/>
      <c r="VDD76" s="2805"/>
      <c r="VDE76" s="2805"/>
      <c r="VDF76" s="2805"/>
      <c r="VDG76" s="2805"/>
      <c r="VDH76" s="2805"/>
      <c r="VDI76" s="2805"/>
      <c r="VDJ76" s="2805"/>
      <c r="VDK76" s="2805"/>
      <c r="VDL76" s="2805"/>
      <c r="VDM76" s="2805"/>
      <c r="VDN76" s="2805"/>
      <c r="VDO76" s="2805"/>
      <c r="VDP76" s="2805"/>
      <c r="VDQ76" s="2805"/>
      <c r="VDR76" s="2805"/>
      <c r="VDS76" s="2805"/>
      <c r="VDT76" s="2805"/>
      <c r="VDU76" s="2805"/>
      <c r="VDV76" s="2805"/>
      <c r="VDW76" s="2805"/>
      <c r="VDX76" s="2805"/>
      <c r="VDY76" s="2805"/>
      <c r="VDZ76" s="2805"/>
      <c r="VEA76" s="2805"/>
      <c r="VEB76" s="2805"/>
      <c r="VEC76" s="2805"/>
      <c r="VED76" s="2805"/>
      <c r="VEE76" s="2805"/>
      <c r="VEF76" s="2805"/>
      <c r="VEG76" s="2805"/>
      <c r="VEH76" s="2805"/>
      <c r="VEI76" s="2805"/>
      <c r="VEJ76" s="2805"/>
      <c r="VEK76" s="2805"/>
      <c r="VEL76" s="2805"/>
      <c r="VEM76" s="2805"/>
      <c r="VEN76" s="2805"/>
      <c r="VEO76" s="2805"/>
      <c r="VEP76" s="2805"/>
      <c r="VEQ76" s="2805"/>
      <c r="VER76" s="2805"/>
      <c r="VES76" s="2805"/>
      <c r="VET76" s="2805"/>
      <c r="VEU76" s="2805"/>
      <c r="VEV76" s="2805"/>
      <c r="VEW76" s="2805"/>
      <c r="VEX76" s="2805"/>
      <c r="VEY76" s="2805"/>
      <c r="VEZ76" s="2805"/>
      <c r="VFA76" s="2805"/>
      <c r="VFB76" s="2805"/>
      <c r="VFC76" s="2805"/>
      <c r="VFD76" s="2805"/>
      <c r="VFE76" s="2805"/>
      <c r="VFF76" s="2805"/>
      <c r="VFG76" s="2805"/>
      <c r="VFH76" s="2805"/>
      <c r="VFI76" s="2805"/>
      <c r="VFJ76" s="2805"/>
      <c r="VFK76" s="2805"/>
      <c r="VFL76" s="2805"/>
      <c r="VFM76" s="2805"/>
      <c r="VFN76" s="2805"/>
      <c r="VFO76" s="2805"/>
      <c r="VFP76" s="2805"/>
      <c r="VFQ76" s="2805"/>
      <c r="VFR76" s="2805"/>
      <c r="VFS76" s="2805"/>
      <c r="VFT76" s="2805"/>
      <c r="VFU76" s="2805"/>
      <c r="VFV76" s="2805"/>
      <c r="VFW76" s="2805"/>
      <c r="VFX76" s="2805"/>
      <c r="VFY76" s="2805"/>
      <c r="VFZ76" s="2805"/>
      <c r="VGA76" s="2805"/>
      <c r="VGB76" s="2805"/>
      <c r="VGC76" s="2805"/>
      <c r="VGD76" s="2805"/>
      <c r="VGE76" s="2805"/>
      <c r="VGF76" s="2805"/>
      <c r="VGG76" s="2805"/>
      <c r="VGH76" s="2805"/>
      <c r="VGI76" s="2805"/>
      <c r="VGJ76" s="2805"/>
      <c r="VGK76" s="2805"/>
      <c r="VGL76" s="2805"/>
      <c r="VGM76" s="2805"/>
      <c r="VGN76" s="2805"/>
      <c r="VGO76" s="2805"/>
      <c r="VGP76" s="2805"/>
      <c r="VGQ76" s="2805"/>
      <c r="VGR76" s="2805"/>
      <c r="VGS76" s="2805"/>
      <c r="VGT76" s="2805"/>
      <c r="VGU76" s="2805"/>
      <c r="VGV76" s="2805"/>
      <c r="VGW76" s="2805"/>
      <c r="VGX76" s="2805"/>
      <c r="VGY76" s="2805"/>
      <c r="VGZ76" s="2805"/>
      <c r="VHA76" s="2805"/>
      <c r="VHB76" s="2805"/>
      <c r="VHC76" s="2805"/>
      <c r="VHD76" s="2805"/>
      <c r="VHE76" s="2805"/>
      <c r="VHF76" s="2805"/>
      <c r="VHG76" s="2805"/>
      <c r="VHH76" s="2805"/>
      <c r="VHI76" s="2805"/>
      <c r="VHJ76" s="2805"/>
      <c r="VHK76" s="2805"/>
      <c r="VHL76" s="2805"/>
      <c r="VHM76" s="2805"/>
      <c r="VHN76" s="2805"/>
      <c r="VHO76" s="2805"/>
      <c r="VHP76" s="2805"/>
      <c r="VHQ76" s="2805"/>
      <c r="VHR76" s="2805"/>
      <c r="VHS76" s="2805"/>
      <c r="VHT76" s="2805"/>
      <c r="VHU76" s="2805"/>
      <c r="VHV76" s="2805"/>
      <c r="VHW76" s="2805"/>
      <c r="VHX76" s="2805"/>
      <c r="VHY76" s="2805"/>
      <c r="VHZ76" s="2805"/>
      <c r="VIA76" s="2805"/>
      <c r="VIB76" s="2805"/>
      <c r="VIC76" s="2805"/>
      <c r="VID76" s="2805"/>
      <c r="VIE76" s="2805"/>
      <c r="VIF76" s="2805"/>
      <c r="VIG76" s="2805"/>
      <c r="VIH76" s="2805"/>
      <c r="VII76" s="2805"/>
      <c r="VIJ76" s="2805"/>
      <c r="VIK76" s="2805"/>
      <c r="VIL76" s="2805"/>
      <c r="VIM76" s="2805"/>
      <c r="VIN76" s="2805"/>
      <c r="VIO76" s="2805"/>
      <c r="VIP76" s="2805"/>
      <c r="VIQ76" s="2805"/>
      <c r="VIR76" s="2805"/>
      <c r="VIS76" s="2805"/>
      <c r="VIT76" s="2805"/>
      <c r="VIU76" s="2805"/>
      <c r="VIV76" s="2805"/>
      <c r="VIW76" s="2805"/>
      <c r="VIX76" s="2805"/>
      <c r="VIY76" s="2805"/>
      <c r="VIZ76" s="2805"/>
      <c r="VJA76" s="2805"/>
      <c r="VJB76" s="2805"/>
      <c r="VJC76" s="2805"/>
      <c r="VJD76" s="2805"/>
      <c r="VJE76" s="2805"/>
      <c r="VJF76" s="2805"/>
      <c r="VJG76" s="2805"/>
      <c r="VJH76" s="2805"/>
      <c r="VJI76" s="2805"/>
      <c r="VJJ76" s="2805"/>
      <c r="VJK76" s="2805"/>
      <c r="VJL76" s="2805"/>
      <c r="VJM76" s="2805"/>
      <c r="VJN76" s="2805"/>
      <c r="VJO76" s="2805"/>
      <c r="VJP76" s="2805"/>
      <c r="VJQ76" s="2805"/>
      <c r="VJR76" s="2805"/>
      <c r="VJS76" s="2805"/>
      <c r="VJT76" s="2805"/>
      <c r="VJU76" s="2805"/>
      <c r="VJV76" s="2805"/>
      <c r="VJW76" s="2805"/>
      <c r="VJX76" s="2805"/>
      <c r="VJY76" s="2805"/>
      <c r="VJZ76" s="2805"/>
      <c r="VKA76" s="2805"/>
      <c r="VKB76" s="2805"/>
      <c r="VKC76" s="2805"/>
      <c r="VKD76" s="2805"/>
      <c r="VKE76" s="2805"/>
      <c r="VKF76" s="2805"/>
      <c r="VKG76" s="2805"/>
      <c r="VKH76" s="2805"/>
      <c r="VKI76" s="2805"/>
      <c r="VKJ76" s="2805"/>
      <c r="VKK76" s="2805"/>
      <c r="VKL76" s="2805"/>
      <c r="VKM76" s="2805"/>
      <c r="VKN76" s="2805"/>
      <c r="VKO76" s="2805"/>
      <c r="VKP76" s="2805"/>
      <c r="VKQ76" s="2805"/>
      <c r="VKR76" s="2805"/>
      <c r="VKS76" s="2805"/>
      <c r="VKT76" s="2805"/>
      <c r="VKU76" s="2805"/>
      <c r="VKV76" s="2805"/>
      <c r="VKW76" s="2805"/>
      <c r="VKX76" s="2805"/>
      <c r="VKY76" s="2805"/>
      <c r="VKZ76" s="2805"/>
      <c r="VLA76" s="2805"/>
      <c r="VLB76" s="2805"/>
      <c r="VLC76" s="2805"/>
      <c r="VLD76" s="2805"/>
      <c r="VLE76" s="2805"/>
      <c r="VLF76" s="2805"/>
      <c r="VLG76" s="2805"/>
      <c r="VLH76" s="2805"/>
      <c r="VLI76" s="2805"/>
      <c r="VLJ76" s="2805"/>
      <c r="VLK76" s="2805"/>
      <c r="VLL76" s="2805"/>
      <c r="VLM76" s="2805"/>
      <c r="VLN76" s="2805"/>
      <c r="VLO76" s="2805"/>
      <c r="VLP76" s="2805"/>
      <c r="VLQ76" s="2805"/>
      <c r="VLR76" s="2805"/>
      <c r="VLS76" s="2805"/>
      <c r="VLT76" s="2805"/>
      <c r="VLU76" s="2805"/>
      <c r="VLV76" s="2805"/>
      <c r="VLW76" s="2805"/>
      <c r="VLX76" s="2805"/>
      <c r="VLY76" s="2805"/>
      <c r="VLZ76" s="2805"/>
      <c r="VMA76" s="2805"/>
      <c r="VMB76" s="2805"/>
      <c r="VMC76" s="2805"/>
      <c r="VMD76" s="2805"/>
      <c r="VME76" s="2805"/>
      <c r="VMF76" s="2805"/>
      <c r="VMG76" s="2805"/>
      <c r="VMH76" s="2805"/>
      <c r="VMI76" s="2805"/>
      <c r="VMJ76" s="2805"/>
      <c r="VMK76" s="2805"/>
      <c r="VML76" s="2805"/>
      <c r="VMM76" s="2805"/>
      <c r="VMN76" s="2805"/>
      <c r="VMO76" s="2805"/>
      <c r="VMP76" s="2805"/>
      <c r="VMQ76" s="2805"/>
      <c r="VMR76" s="2805"/>
      <c r="VMS76" s="2805"/>
      <c r="VMT76" s="2805"/>
      <c r="VMU76" s="2805"/>
      <c r="VMV76" s="2805"/>
      <c r="VMW76" s="2805"/>
      <c r="VMX76" s="2805"/>
      <c r="VMY76" s="2805"/>
      <c r="VMZ76" s="2805"/>
      <c r="VNA76" s="2805"/>
      <c r="VNB76" s="2805"/>
      <c r="VNC76" s="2805"/>
      <c r="VND76" s="2805"/>
      <c r="VNE76" s="2805"/>
      <c r="VNF76" s="2805"/>
      <c r="VNG76" s="2805"/>
      <c r="VNH76" s="2805"/>
      <c r="VNI76" s="2805"/>
      <c r="VNJ76" s="2805"/>
      <c r="VNK76" s="2805"/>
      <c r="VNL76" s="2805"/>
      <c r="VNM76" s="2805"/>
      <c r="VNN76" s="2805"/>
      <c r="VNO76" s="2805"/>
      <c r="VNP76" s="2805"/>
      <c r="VNQ76" s="2805"/>
      <c r="VNR76" s="2805"/>
      <c r="VNS76" s="2805"/>
      <c r="VNT76" s="2805"/>
      <c r="VNU76" s="2805"/>
      <c r="VNV76" s="2805"/>
      <c r="VNW76" s="2805"/>
      <c r="VNX76" s="2805"/>
      <c r="VNY76" s="2805"/>
      <c r="VNZ76" s="2805"/>
      <c r="VOA76" s="2805"/>
      <c r="VOB76" s="2805"/>
      <c r="VOC76" s="2805"/>
      <c r="VOD76" s="2805"/>
      <c r="VOE76" s="2805"/>
      <c r="VOF76" s="2805"/>
      <c r="VOG76" s="2805"/>
      <c r="VOH76" s="2805"/>
      <c r="VOI76" s="2805"/>
      <c r="VOJ76" s="2805"/>
      <c r="VOK76" s="2805"/>
      <c r="VOL76" s="2805"/>
      <c r="VOM76" s="2805"/>
      <c r="VON76" s="2805"/>
      <c r="VOO76" s="2805"/>
      <c r="VOP76" s="2805"/>
      <c r="VOQ76" s="2805"/>
      <c r="VOR76" s="2805"/>
      <c r="VOS76" s="2805"/>
      <c r="VOT76" s="2805"/>
      <c r="VOU76" s="2805"/>
      <c r="VOV76" s="2805"/>
      <c r="VOW76" s="2805"/>
      <c r="VOX76" s="2805"/>
      <c r="VOY76" s="2805"/>
      <c r="VOZ76" s="2805"/>
      <c r="VPA76" s="2805"/>
      <c r="VPB76" s="2805"/>
      <c r="VPC76" s="2805"/>
      <c r="VPD76" s="2805"/>
      <c r="VPE76" s="2805"/>
      <c r="VPF76" s="2805"/>
      <c r="VPG76" s="2805"/>
      <c r="VPH76" s="2805"/>
      <c r="VPI76" s="2805"/>
      <c r="VPJ76" s="2805"/>
      <c r="VPK76" s="2805"/>
      <c r="VPL76" s="2805"/>
      <c r="VPM76" s="2805"/>
      <c r="VPN76" s="2805"/>
      <c r="VPO76" s="2805"/>
      <c r="VPP76" s="2805"/>
      <c r="VPQ76" s="2805"/>
      <c r="VPR76" s="2805"/>
      <c r="VPS76" s="2805"/>
      <c r="VPT76" s="2805"/>
      <c r="VPU76" s="2805"/>
      <c r="VPV76" s="2805"/>
      <c r="VPW76" s="2805"/>
      <c r="VPX76" s="2805"/>
      <c r="VPY76" s="2805"/>
      <c r="VPZ76" s="2805"/>
      <c r="VQA76" s="2805"/>
      <c r="VQB76" s="2805"/>
      <c r="VQC76" s="2805"/>
      <c r="VQD76" s="2805"/>
      <c r="VQE76" s="2805"/>
      <c r="VQF76" s="2805"/>
      <c r="VQG76" s="2805"/>
      <c r="VQH76" s="2805"/>
      <c r="VQI76" s="2805"/>
      <c r="VQJ76" s="2805"/>
      <c r="VQK76" s="2805"/>
      <c r="VQL76" s="2805"/>
      <c r="VQM76" s="2805"/>
      <c r="VQN76" s="2805"/>
      <c r="VQO76" s="2805"/>
      <c r="VQP76" s="2805"/>
      <c r="VQQ76" s="2805"/>
      <c r="VQR76" s="2805"/>
      <c r="VQS76" s="2805"/>
      <c r="VQT76" s="2805"/>
      <c r="VQU76" s="2805"/>
      <c r="VQV76" s="2805"/>
      <c r="VQW76" s="2805"/>
      <c r="VQX76" s="2805"/>
      <c r="VQY76" s="2805"/>
      <c r="VQZ76" s="2805"/>
      <c r="VRA76" s="2805"/>
      <c r="VRB76" s="2805"/>
      <c r="VRC76" s="2805"/>
      <c r="VRD76" s="2805"/>
      <c r="VRE76" s="2805"/>
      <c r="VRF76" s="2805"/>
      <c r="VRG76" s="2805"/>
      <c r="VRH76" s="2805"/>
      <c r="VRI76" s="2805"/>
      <c r="VRJ76" s="2805"/>
      <c r="VRK76" s="2805"/>
      <c r="VRL76" s="2805"/>
      <c r="VRM76" s="2805"/>
      <c r="VRN76" s="2805"/>
      <c r="VRO76" s="2805"/>
      <c r="VRP76" s="2805"/>
      <c r="VRQ76" s="2805"/>
      <c r="VRR76" s="2805"/>
      <c r="VRS76" s="2805"/>
      <c r="VRT76" s="2805"/>
      <c r="VRU76" s="2805"/>
      <c r="VRV76" s="2805"/>
      <c r="VRW76" s="2805"/>
      <c r="VRX76" s="2805"/>
      <c r="VRY76" s="2805"/>
      <c r="VRZ76" s="2805"/>
      <c r="VSA76" s="2805"/>
      <c r="VSB76" s="2805"/>
      <c r="VSC76" s="2805"/>
      <c r="VSD76" s="2805"/>
      <c r="VSE76" s="2805"/>
      <c r="VSF76" s="2805"/>
      <c r="VSG76" s="2805"/>
      <c r="VSH76" s="2805"/>
      <c r="VSI76" s="2805"/>
      <c r="VSJ76" s="2805"/>
      <c r="VSK76" s="2805"/>
      <c r="VSL76" s="2805"/>
      <c r="VSM76" s="2805"/>
      <c r="VSN76" s="2805"/>
      <c r="VSO76" s="2805"/>
      <c r="VSP76" s="2805"/>
      <c r="VSQ76" s="2805"/>
      <c r="VSR76" s="2805"/>
      <c r="VSS76" s="2805"/>
      <c r="VST76" s="2805"/>
      <c r="VSU76" s="2805"/>
      <c r="VSV76" s="2805"/>
      <c r="VSW76" s="2805"/>
      <c r="VSX76" s="2805"/>
      <c r="VSY76" s="2805"/>
      <c r="VSZ76" s="2805"/>
      <c r="VTA76" s="2805"/>
      <c r="VTB76" s="2805"/>
      <c r="VTC76" s="2805"/>
      <c r="VTD76" s="2805"/>
      <c r="VTE76" s="2805"/>
      <c r="VTF76" s="2805"/>
      <c r="VTG76" s="2805"/>
      <c r="VTH76" s="2805"/>
      <c r="VTI76" s="2805"/>
      <c r="VTJ76" s="2805"/>
      <c r="VTK76" s="2805"/>
      <c r="VTL76" s="2805"/>
      <c r="VTM76" s="2805"/>
      <c r="VTN76" s="2805"/>
      <c r="VTO76" s="2805"/>
      <c r="VTP76" s="2805"/>
      <c r="VTQ76" s="2805"/>
      <c r="VTR76" s="2805"/>
      <c r="VTS76" s="2805"/>
      <c r="VTT76" s="2805"/>
      <c r="VTU76" s="2805"/>
      <c r="VTV76" s="2805"/>
      <c r="VTW76" s="2805"/>
      <c r="VTX76" s="2805"/>
      <c r="VTY76" s="2805"/>
      <c r="VTZ76" s="2805"/>
      <c r="VUA76" s="2805"/>
      <c r="VUB76" s="2805"/>
      <c r="VUC76" s="2805"/>
      <c r="VUD76" s="2805"/>
      <c r="VUE76" s="2805"/>
      <c r="VUF76" s="2805"/>
      <c r="VUG76" s="2805"/>
      <c r="VUH76" s="2805"/>
      <c r="VUI76" s="2805"/>
      <c r="VUJ76" s="2805"/>
      <c r="VUK76" s="2805"/>
      <c r="VUL76" s="2805"/>
      <c r="VUM76" s="2805"/>
      <c r="VUN76" s="2805"/>
      <c r="VUO76" s="2805"/>
      <c r="VUP76" s="2805"/>
      <c r="VUQ76" s="2805"/>
      <c r="VUR76" s="2805"/>
      <c r="VUS76" s="2805"/>
      <c r="VUT76" s="2805"/>
      <c r="VUU76" s="2805"/>
      <c r="VUV76" s="2805"/>
      <c r="VUW76" s="2805"/>
      <c r="VUX76" s="2805"/>
      <c r="VUY76" s="2805"/>
      <c r="VUZ76" s="2805"/>
      <c r="VVA76" s="2805"/>
      <c r="VVB76" s="2805"/>
      <c r="VVC76" s="2805"/>
      <c r="VVD76" s="2805"/>
      <c r="VVE76" s="2805"/>
      <c r="VVF76" s="2805"/>
      <c r="VVG76" s="2805"/>
      <c r="VVH76" s="2805"/>
      <c r="VVI76" s="2805"/>
      <c r="VVJ76" s="2805"/>
      <c r="VVK76" s="2805"/>
      <c r="VVL76" s="2805"/>
      <c r="VVM76" s="2805"/>
      <c r="VVN76" s="2805"/>
      <c r="VVO76" s="2805"/>
      <c r="VVP76" s="2805"/>
      <c r="VVQ76" s="2805"/>
      <c r="VVR76" s="2805"/>
      <c r="VVS76" s="2805"/>
      <c r="VVT76" s="2805"/>
      <c r="VVU76" s="2805"/>
      <c r="VVV76" s="2805"/>
      <c r="VVW76" s="2805"/>
      <c r="VVX76" s="2805"/>
      <c r="VVY76" s="2805"/>
      <c r="VVZ76" s="2805"/>
      <c r="VWA76" s="2805"/>
      <c r="VWB76" s="2805"/>
      <c r="VWC76" s="2805"/>
      <c r="VWD76" s="2805"/>
      <c r="VWE76" s="2805"/>
      <c r="VWF76" s="2805"/>
      <c r="VWG76" s="2805"/>
      <c r="VWH76" s="2805"/>
      <c r="VWI76" s="2805"/>
      <c r="VWJ76" s="2805"/>
      <c r="VWK76" s="2805"/>
      <c r="VWL76" s="2805"/>
      <c r="VWM76" s="2805"/>
      <c r="VWN76" s="2805"/>
      <c r="VWO76" s="2805"/>
      <c r="VWP76" s="2805"/>
      <c r="VWQ76" s="2805"/>
      <c r="VWR76" s="2805"/>
      <c r="VWS76" s="2805"/>
      <c r="VWT76" s="2805"/>
      <c r="VWU76" s="2805"/>
      <c r="VWV76" s="2805"/>
      <c r="VWW76" s="2805"/>
      <c r="VWX76" s="2805"/>
      <c r="VWY76" s="2805"/>
      <c r="VWZ76" s="2805"/>
      <c r="VXA76" s="2805"/>
      <c r="VXB76" s="2805"/>
      <c r="VXC76" s="2805"/>
      <c r="VXD76" s="2805"/>
      <c r="VXE76" s="2805"/>
      <c r="VXF76" s="2805"/>
      <c r="VXG76" s="2805"/>
      <c r="VXH76" s="2805"/>
      <c r="VXI76" s="2805"/>
      <c r="VXJ76" s="2805"/>
      <c r="VXK76" s="2805"/>
      <c r="VXL76" s="2805"/>
      <c r="VXM76" s="2805"/>
      <c r="VXN76" s="2805"/>
      <c r="VXO76" s="2805"/>
      <c r="VXP76" s="2805"/>
      <c r="VXQ76" s="2805"/>
      <c r="VXR76" s="2805"/>
      <c r="VXS76" s="2805"/>
      <c r="VXT76" s="2805"/>
      <c r="VXU76" s="2805"/>
      <c r="VXV76" s="2805"/>
      <c r="VXW76" s="2805"/>
      <c r="VXX76" s="2805"/>
      <c r="VXY76" s="2805"/>
      <c r="VXZ76" s="2805"/>
      <c r="VYA76" s="2805"/>
      <c r="VYB76" s="2805"/>
      <c r="VYC76" s="2805"/>
      <c r="VYD76" s="2805"/>
      <c r="VYE76" s="2805"/>
      <c r="VYF76" s="2805"/>
      <c r="VYG76" s="2805"/>
      <c r="VYH76" s="2805"/>
      <c r="VYI76" s="2805"/>
      <c r="VYJ76" s="2805"/>
      <c r="VYK76" s="2805"/>
      <c r="VYL76" s="2805"/>
      <c r="VYM76" s="2805"/>
      <c r="VYN76" s="2805"/>
      <c r="VYO76" s="2805"/>
      <c r="VYP76" s="2805"/>
      <c r="VYQ76" s="2805"/>
      <c r="VYR76" s="2805"/>
      <c r="VYS76" s="2805"/>
      <c r="VYT76" s="2805"/>
      <c r="VYU76" s="2805"/>
      <c r="VYV76" s="2805"/>
      <c r="VYW76" s="2805"/>
      <c r="VYX76" s="2805"/>
      <c r="VYY76" s="2805"/>
      <c r="VYZ76" s="2805"/>
      <c r="VZA76" s="2805"/>
      <c r="VZB76" s="2805"/>
      <c r="VZC76" s="2805"/>
      <c r="VZD76" s="2805"/>
      <c r="VZE76" s="2805"/>
      <c r="VZF76" s="2805"/>
      <c r="VZG76" s="2805"/>
      <c r="VZH76" s="2805"/>
      <c r="VZI76" s="2805"/>
      <c r="VZJ76" s="2805"/>
      <c r="VZK76" s="2805"/>
      <c r="VZL76" s="2805"/>
      <c r="VZM76" s="2805"/>
      <c r="VZN76" s="2805"/>
      <c r="VZO76" s="2805"/>
      <c r="VZP76" s="2805"/>
      <c r="VZQ76" s="2805"/>
      <c r="VZR76" s="2805"/>
      <c r="VZS76" s="2805"/>
      <c r="VZT76" s="2805"/>
      <c r="VZU76" s="2805"/>
      <c r="VZV76" s="2805"/>
      <c r="VZW76" s="2805"/>
      <c r="VZX76" s="2805"/>
      <c r="VZY76" s="2805"/>
      <c r="VZZ76" s="2805"/>
      <c r="WAA76" s="2805"/>
      <c r="WAB76" s="2805"/>
      <c r="WAC76" s="2805"/>
      <c r="WAD76" s="2805"/>
      <c r="WAE76" s="2805"/>
      <c r="WAF76" s="2805"/>
      <c r="WAG76" s="2805"/>
      <c r="WAH76" s="2805"/>
      <c r="WAI76" s="2805"/>
      <c r="WAJ76" s="2805"/>
      <c r="WAK76" s="2805"/>
      <c r="WAL76" s="2805"/>
      <c r="WAM76" s="2805"/>
      <c r="WAN76" s="2805"/>
      <c r="WAO76" s="2805"/>
      <c r="WAP76" s="2805"/>
      <c r="WAQ76" s="2805"/>
      <c r="WAR76" s="2805"/>
      <c r="WAS76" s="2805"/>
      <c r="WAT76" s="2805"/>
      <c r="WAU76" s="2805"/>
      <c r="WAV76" s="2805"/>
      <c r="WAW76" s="2805"/>
      <c r="WAX76" s="2805"/>
      <c r="WAY76" s="2805"/>
      <c r="WAZ76" s="2805"/>
      <c r="WBA76" s="2805"/>
      <c r="WBB76" s="2805"/>
      <c r="WBC76" s="2805"/>
      <c r="WBD76" s="2805"/>
      <c r="WBE76" s="2805"/>
      <c r="WBF76" s="2805"/>
      <c r="WBG76" s="2805"/>
      <c r="WBH76" s="2805"/>
      <c r="WBI76" s="2805"/>
      <c r="WBJ76" s="2805"/>
      <c r="WBK76" s="2805"/>
      <c r="WBL76" s="2805"/>
      <c r="WBM76" s="2805"/>
      <c r="WBN76" s="2805"/>
      <c r="WBO76" s="2805"/>
      <c r="WBP76" s="2805"/>
      <c r="WBQ76" s="2805"/>
      <c r="WBR76" s="2805"/>
      <c r="WBS76" s="2805"/>
      <c r="WBT76" s="2805"/>
      <c r="WBU76" s="2805"/>
      <c r="WBV76" s="2805"/>
      <c r="WBW76" s="2805"/>
      <c r="WBX76" s="2805"/>
      <c r="WBY76" s="2805"/>
      <c r="WBZ76" s="2805"/>
      <c r="WCA76" s="2805"/>
      <c r="WCB76" s="2805"/>
      <c r="WCC76" s="2805"/>
      <c r="WCD76" s="2805"/>
      <c r="WCE76" s="2805"/>
      <c r="WCF76" s="2805"/>
      <c r="WCG76" s="2805"/>
      <c r="WCH76" s="2805"/>
      <c r="WCI76" s="2805"/>
      <c r="WCJ76" s="2805"/>
      <c r="WCK76" s="2805"/>
      <c r="WCL76" s="2805"/>
      <c r="WCM76" s="2805"/>
      <c r="WCN76" s="2805"/>
      <c r="WCO76" s="2805"/>
      <c r="WCP76" s="2805"/>
      <c r="WCQ76" s="2805"/>
      <c r="WCR76" s="2805"/>
      <c r="WCS76" s="2805"/>
      <c r="WCT76" s="2805"/>
      <c r="WCU76" s="2805"/>
      <c r="WCV76" s="2805"/>
      <c r="WCW76" s="2805"/>
      <c r="WCX76" s="2805"/>
      <c r="WCY76" s="2805"/>
      <c r="WCZ76" s="2805"/>
      <c r="WDA76" s="2805"/>
      <c r="WDB76" s="2805"/>
      <c r="WDC76" s="2805"/>
      <c r="WDD76" s="2805"/>
      <c r="WDE76" s="2805"/>
      <c r="WDF76" s="2805"/>
      <c r="WDG76" s="2805"/>
      <c r="WDH76" s="2805"/>
      <c r="WDI76" s="2805"/>
      <c r="WDJ76" s="2805"/>
      <c r="WDK76" s="2805"/>
      <c r="WDL76" s="2805"/>
      <c r="WDM76" s="2805"/>
      <c r="WDN76" s="2805"/>
      <c r="WDO76" s="2805"/>
      <c r="WDP76" s="2805"/>
      <c r="WDQ76" s="2805"/>
      <c r="WDR76" s="2805"/>
      <c r="WDS76" s="2805"/>
      <c r="WDT76" s="2805"/>
      <c r="WDU76" s="2805"/>
      <c r="WDV76" s="2805"/>
      <c r="WDW76" s="2805"/>
      <c r="WDX76" s="2805"/>
      <c r="WDY76" s="2805"/>
      <c r="WDZ76" s="2805"/>
      <c r="WEA76" s="2805"/>
      <c r="WEB76" s="2805"/>
      <c r="WEC76" s="2805"/>
      <c r="WED76" s="2805"/>
      <c r="WEE76" s="2805"/>
      <c r="WEF76" s="2805"/>
      <c r="WEG76" s="2805"/>
      <c r="WEH76" s="2805"/>
      <c r="WEI76" s="2805"/>
      <c r="WEJ76" s="2805"/>
      <c r="WEK76" s="2805"/>
      <c r="WEL76" s="2805"/>
      <c r="WEM76" s="2805"/>
      <c r="WEN76" s="2805"/>
      <c r="WEO76" s="2805"/>
      <c r="WEP76" s="2805"/>
      <c r="WEQ76" s="2805"/>
      <c r="WER76" s="2805"/>
      <c r="WES76" s="2805"/>
      <c r="WET76" s="2805"/>
      <c r="WEU76" s="2805"/>
      <c r="WEV76" s="2805"/>
      <c r="WEW76" s="2805"/>
      <c r="WEX76" s="2805"/>
      <c r="WEY76" s="2805"/>
      <c r="WEZ76" s="2805"/>
      <c r="WFA76" s="2805"/>
      <c r="WFB76" s="2805"/>
      <c r="WFC76" s="2805"/>
      <c r="WFD76" s="2805"/>
      <c r="WFE76" s="2805"/>
      <c r="WFF76" s="2805"/>
      <c r="WFG76" s="2805"/>
      <c r="WFH76" s="2805"/>
      <c r="WFI76" s="2805"/>
      <c r="WFJ76" s="2805"/>
      <c r="WFK76" s="2805"/>
      <c r="WFL76" s="2805"/>
      <c r="WFM76" s="2805"/>
      <c r="WFN76" s="2805"/>
      <c r="WFO76" s="2805"/>
      <c r="WFP76" s="2805"/>
      <c r="WFQ76" s="2805"/>
      <c r="WFR76" s="2805"/>
      <c r="WFS76" s="2805"/>
      <c r="WFT76" s="2805"/>
      <c r="WFU76" s="2805"/>
      <c r="WFV76" s="2805"/>
      <c r="WFW76" s="2805"/>
      <c r="WFX76" s="2805"/>
      <c r="WFY76" s="2805"/>
      <c r="WFZ76" s="2805"/>
      <c r="WGA76" s="2805"/>
      <c r="WGB76" s="2805"/>
      <c r="WGC76" s="2805"/>
      <c r="WGD76" s="2805"/>
      <c r="WGE76" s="2805"/>
      <c r="WGF76" s="2805"/>
      <c r="WGG76" s="2805"/>
      <c r="WGH76" s="2805"/>
      <c r="WGI76" s="2805"/>
      <c r="WGJ76" s="2805"/>
      <c r="WGK76" s="2805"/>
      <c r="WGL76" s="2805"/>
      <c r="WGM76" s="2805"/>
      <c r="WGN76" s="2805"/>
      <c r="WGO76" s="2805"/>
      <c r="WGP76" s="2805"/>
      <c r="WGQ76" s="2805"/>
      <c r="WGR76" s="2805"/>
      <c r="WGS76" s="2805"/>
      <c r="WGT76" s="2805"/>
      <c r="WGU76" s="2805"/>
      <c r="WGV76" s="2805"/>
      <c r="WGW76" s="2805"/>
      <c r="WGX76" s="2805"/>
      <c r="WGY76" s="2805"/>
      <c r="WGZ76" s="2805"/>
      <c r="WHA76" s="2805"/>
      <c r="WHB76" s="2805"/>
      <c r="WHC76" s="2805"/>
      <c r="WHD76" s="2805"/>
      <c r="WHE76" s="2805"/>
      <c r="WHF76" s="2805"/>
      <c r="WHG76" s="2805"/>
      <c r="WHH76" s="2805"/>
      <c r="WHI76" s="2805"/>
      <c r="WHJ76" s="2805"/>
      <c r="WHK76" s="2805"/>
      <c r="WHL76" s="2805"/>
      <c r="WHM76" s="2805"/>
      <c r="WHN76" s="2805"/>
      <c r="WHO76" s="2805"/>
      <c r="WHP76" s="2805"/>
      <c r="WHQ76" s="2805"/>
      <c r="WHR76" s="2805"/>
      <c r="WHS76" s="2805"/>
      <c r="WHT76" s="2805"/>
      <c r="WHU76" s="2805"/>
      <c r="WHV76" s="2805"/>
      <c r="WHW76" s="2805"/>
      <c r="WHX76" s="2805"/>
      <c r="WHY76" s="2805"/>
      <c r="WHZ76" s="2805"/>
      <c r="WIA76" s="2805"/>
      <c r="WIB76" s="2805"/>
      <c r="WIC76" s="2805"/>
      <c r="WID76" s="2805"/>
      <c r="WIE76" s="2805"/>
      <c r="WIF76" s="2805"/>
      <c r="WIG76" s="2805"/>
      <c r="WIH76" s="2805"/>
      <c r="WII76" s="2805"/>
      <c r="WIJ76" s="2805"/>
      <c r="WIK76" s="2805"/>
      <c r="WIL76" s="2805"/>
      <c r="WIM76" s="2805"/>
      <c r="WIN76" s="2805"/>
      <c r="WIO76" s="2805"/>
      <c r="WIP76" s="2805"/>
      <c r="WIQ76" s="2805"/>
      <c r="WIR76" s="2805"/>
      <c r="WIS76" s="2805"/>
      <c r="WIT76" s="2805"/>
      <c r="WIU76" s="2805"/>
      <c r="WIV76" s="2805"/>
      <c r="WIW76" s="2805"/>
      <c r="WIX76" s="2805"/>
      <c r="WIY76" s="2805"/>
      <c r="WIZ76" s="2805"/>
      <c r="WJA76" s="2805"/>
      <c r="WJB76" s="2805"/>
      <c r="WJC76" s="2805"/>
      <c r="WJD76" s="2805"/>
      <c r="WJE76" s="2805"/>
      <c r="WJF76" s="2805"/>
      <c r="WJG76" s="2805"/>
      <c r="WJH76" s="2805"/>
      <c r="WJI76" s="2805"/>
      <c r="WJJ76" s="2805"/>
      <c r="WJK76" s="2805"/>
      <c r="WJL76" s="2805"/>
      <c r="WJM76" s="2805"/>
      <c r="WJN76" s="2805"/>
      <c r="WJO76" s="2805"/>
      <c r="WJP76" s="2805"/>
      <c r="WJQ76" s="2805"/>
      <c r="WJR76" s="2805"/>
      <c r="WJS76" s="2805"/>
      <c r="WJT76" s="2805"/>
      <c r="WJU76" s="2805"/>
      <c r="WJV76" s="2805"/>
      <c r="WJW76" s="2805"/>
      <c r="WJX76" s="2805"/>
      <c r="WJY76" s="2805"/>
      <c r="WJZ76" s="2805"/>
      <c r="WKA76" s="2805"/>
      <c r="WKB76" s="2805"/>
      <c r="WKC76" s="2805"/>
      <c r="WKD76" s="2805"/>
      <c r="WKE76" s="2805"/>
      <c r="WKF76" s="2805"/>
      <c r="WKG76" s="2805"/>
      <c r="WKH76" s="2805"/>
      <c r="WKI76" s="2805"/>
      <c r="WKJ76" s="2805"/>
      <c r="WKK76" s="2805"/>
      <c r="WKL76" s="2805"/>
      <c r="WKM76" s="2805"/>
      <c r="WKN76" s="2805"/>
      <c r="WKO76" s="2805"/>
      <c r="WKP76" s="2805"/>
      <c r="WKQ76" s="2805"/>
      <c r="WKR76" s="2805"/>
      <c r="WKS76" s="2805"/>
      <c r="WKT76" s="2805"/>
      <c r="WKU76" s="2805"/>
      <c r="WKV76" s="2805"/>
      <c r="WKW76" s="2805"/>
      <c r="WKX76" s="2805"/>
      <c r="WKY76" s="2805"/>
      <c r="WKZ76" s="2805"/>
      <c r="WLA76" s="2805"/>
      <c r="WLB76" s="2805"/>
      <c r="WLC76" s="2805"/>
      <c r="WLD76" s="2805"/>
      <c r="WLE76" s="2805"/>
      <c r="WLF76" s="2805"/>
      <c r="WLG76" s="2805"/>
      <c r="WLH76" s="2805"/>
      <c r="WLI76" s="2805"/>
      <c r="WLJ76" s="2805"/>
      <c r="WLK76" s="2805"/>
      <c r="WLL76" s="2805"/>
      <c r="WLM76" s="2805"/>
      <c r="WLN76" s="2805"/>
      <c r="WLO76" s="2805"/>
      <c r="WLP76" s="2805"/>
      <c r="WLQ76" s="2805"/>
      <c r="WLR76" s="2805"/>
      <c r="WLS76" s="2805"/>
      <c r="WLT76" s="2805"/>
      <c r="WLU76" s="2805"/>
      <c r="WLV76" s="2805"/>
      <c r="WLW76" s="2805"/>
      <c r="WLX76" s="2805"/>
      <c r="WLY76" s="2805"/>
      <c r="WLZ76" s="2805"/>
      <c r="WMA76" s="2805"/>
      <c r="WMB76" s="2805"/>
      <c r="WMC76" s="2805"/>
      <c r="WMD76" s="2805"/>
      <c r="WME76" s="2805"/>
      <c r="WMF76" s="2805"/>
      <c r="WMG76" s="2805"/>
      <c r="WMH76" s="2805"/>
      <c r="WMI76" s="2805"/>
      <c r="WMJ76" s="2805"/>
      <c r="WMK76" s="2805"/>
      <c r="WML76" s="2805"/>
      <c r="WMM76" s="2805"/>
      <c r="WMN76" s="2805"/>
      <c r="WMO76" s="2805"/>
      <c r="WMP76" s="2805"/>
      <c r="WMQ76" s="2805"/>
      <c r="WMR76" s="2805"/>
      <c r="WMS76" s="2805"/>
      <c r="WMT76" s="2805"/>
      <c r="WMU76" s="2805"/>
      <c r="WMV76" s="2805"/>
      <c r="WMW76" s="2805"/>
      <c r="WMX76" s="2805"/>
      <c r="WMY76" s="2805"/>
      <c r="WMZ76" s="2805"/>
      <c r="WNA76" s="2805"/>
      <c r="WNB76" s="2805"/>
      <c r="WNC76" s="2805"/>
      <c r="WND76" s="2805"/>
      <c r="WNE76" s="2805"/>
      <c r="WNF76" s="2805"/>
      <c r="WNG76" s="2805"/>
      <c r="WNH76" s="2805"/>
      <c r="WNI76" s="2805"/>
      <c r="WNJ76" s="2805"/>
      <c r="WNK76" s="2805"/>
      <c r="WNL76" s="2805"/>
      <c r="WNM76" s="2805"/>
      <c r="WNN76" s="2805"/>
      <c r="WNO76" s="2805"/>
      <c r="WNP76" s="2805"/>
      <c r="WNQ76" s="2805"/>
      <c r="WNR76" s="2805"/>
      <c r="WNS76" s="2805"/>
      <c r="WNT76" s="2805"/>
      <c r="WNU76" s="2805"/>
      <c r="WNV76" s="2805"/>
      <c r="WNW76" s="2805"/>
      <c r="WNX76" s="2805"/>
      <c r="WNY76" s="2805"/>
      <c r="WNZ76" s="2805"/>
      <c r="WOA76" s="2805"/>
      <c r="WOB76" s="2805"/>
      <c r="WOC76" s="2805"/>
      <c r="WOD76" s="2805"/>
      <c r="WOE76" s="2805"/>
      <c r="WOF76" s="2805"/>
      <c r="WOG76" s="2805"/>
      <c r="WOH76" s="2805"/>
      <c r="WOI76" s="2805"/>
      <c r="WOJ76" s="2805"/>
      <c r="WOK76" s="2805"/>
      <c r="WOL76" s="2805"/>
      <c r="WOM76" s="2805"/>
      <c r="WON76" s="2805"/>
      <c r="WOO76" s="2805"/>
      <c r="WOP76" s="2805"/>
      <c r="WOQ76" s="2805"/>
      <c r="WOR76" s="2805"/>
      <c r="WOS76" s="2805"/>
      <c r="WOT76" s="2805"/>
      <c r="WOU76" s="2805"/>
      <c r="WOV76" s="2805"/>
      <c r="WOW76" s="2805"/>
      <c r="WOX76" s="2805"/>
      <c r="WOY76" s="2805"/>
      <c r="WOZ76" s="2805"/>
      <c r="WPA76" s="2805"/>
      <c r="WPB76" s="2805"/>
      <c r="WPC76" s="2805"/>
      <c r="WPD76" s="2805"/>
      <c r="WPE76" s="2805"/>
      <c r="WPF76" s="2805"/>
      <c r="WPG76" s="2805"/>
      <c r="WPH76" s="2805"/>
      <c r="WPI76" s="2805"/>
      <c r="WPJ76" s="2805"/>
      <c r="WPK76" s="2805"/>
      <c r="WPL76" s="2805"/>
      <c r="WPM76" s="2805"/>
      <c r="WPN76" s="2805"/>
      <c r="WPO76" s="2805"/>
      <c r="WPP76" s="2805"/>
      <c r="WPQ76" s="2805"/>
      <c r="WPR76" s="2805"/>
      <c r="WPS76" s="2805"/>
      <c r="WPT76" s="2805"/>
      <c r="WPU76" s="2805"/>
      <c r="WPV76" s="2805"/>
      <c r="WPW76" s="2805"/>
      <c r="WPX76" s="2805"/>
      <c r="WPY76" s="2805"/>
      <c r="WPZ76" s="2805"/>
      <c r="WQA76" s="2805"/>
      <c r="WQB76" s="2805"/>
      <c r="WQC76" s="2805"/>
      <c r="WQD76" s="2805"/>
      <c r="WQE76" s="2805"/>
      <c r="WQF76" s="2805"/>
      <c r="WQG76" s="2805"/>
      <c r="WQH76" s="2805"/>
      <c r="WQI76" s="2805"/>
      <c r="WQJ76" s="2805"/>
      <c r="WQK76" s="2805"/>
      <c r="WQL76" s="2805"/>
      <c r="WQM76" s="2805"/>
      <c r="WQN76" s="2805"/>
      <c r="WQO76" s="2805"/>
      <c r="WQP76" s="2805"/>
      <c r="WQQ76" s="2805"/>
      <c r="WQR76" s="2805"/>
      <c r="WQS76" s="2805"/>
      <c r="WQT76" s="2805"/>
      <c r="WQU76" s="2805"/>
      <c r="WQV76" s="2805"/>
      <c r="WQW76" s="2805"/>
      <c r="WQX76" s="2805"/>
      <c r="WQY76" s="2805"/>
      <c r="WQZ76" s="2805"/>
      <c r="WRA76" s="2805"/>
      <c r="WRB76" s="2805"/>
      <c r="WRC76" s="2805"/>
      <c r="WRD76" s="2805"/>
      <c r="WRE76" s="2805"/>
      <c r="WRF76" s="2805"/>
      <c r="WRG76" s="2805"/>
      <c r="WRH76" s="2805"/>
      <c r="WRI76" s="2805"/>
      <c r="WRJ76" s="2805"/>
      <c r="WRK76" s="2805"/>
      <c r="WRL76" s="2805"/>
      <c r="WRM76" s="2805"/>
      <c r="WRN76" s="2805"/>
      <c r="WRO76" s="2805"/>
      <c r="WRP76" s="2805"/>
      <c r="WRQ76" s="2805"/>
      <c r="WRR76" s="2805"/>
      <c r="WRS76" s="2805"/>
      <c r="WRT76" s="2805"/>
      <c r="WRU76" s="2805"/>
      <c r="WRV76" s="2805"/>
      <c r="WRW76" s="2805"/>
      <c r="WRX76" s="2805"/>
      <c r="WRY76" s="2805"/>
      <c r="WRZ76" s="2805"/>
      <c r="WSA76" s="2805"/>
      <c r="WSB76" s="2805"/>
      <c r="WSC76" s="2805"/>
      <c r="WSD76" s="2805"/>
      <c r="WSE76" s="2805"/>
      <c r="WSF76" s="2805"/>
      <c r="WSG76" s="2805"/>
      <c r="WSH76" s="2805"/>
      <c r="WSI76" s="2805"/>
      <c r="WSJ76" s="2805"/>
      <c r="WSK76" s="2805"/>
      <c r="WSL76" s="2805"/>
      <c r="WSM76" s="2805"/>
      <c r="WSN76" s="2805"/>
      <c r="WSO76" s="2805"/>
      <c r="WSP76" s="2805"/>
      <c r="WSQ76" s="2805"/>
      <c r="WSR76" s="2805"/>
      <c r="WSS76" s="2805"/>
      <c r="WST76" s="2805"/>
      <c r="WSU76" s="2805"/>
      <c r="WSV76" s="2805"/>
      <c r="WSW76" s="2805"/>
      <c r="WSX76" s="2805"/>
      <c r="WSY76" s="2805"/>
      <c r="WSZ76" s="2805"/>
      <c r="WTA76" s="2805"/>
      <c r="WTB76" s="2805"/>
      <c r="WTC76" s="2805"/>
      <c r="WTD76" s="2805"/>
      <c r="WTE76" s="2805"/>
      <c r="WTF76" s="2805"/>
      <c r="WTG76" s="2805"/>
      <c r="WTH76" s="2805"/>
      <c r="WTI76" s="2805"/>
      <c r="WTJ76" s="2805"/>
      <c r="WTK76" s="2805"/>
      <c r="WTL76" s="2805"/>
      <c r="WTM76" s="2805"/>
      <c r="WTN76" s="2805"/>
      <c r="WTO76" s="2805"/>
      <c r="WTP76" s="2805"/>
      <c r="WTQ76" s="2805"/>
      <c r="WTR76" s="2805"/>
      <c r="WTS76" s="2805"/>
      <c r="WTT76" s="2805"/>
      <c r="WTU76" s="2805"/>
      <c r="WTV76" s="2805"/>
      <c r="WTW76" s="2805"/>
      <c r="WTX76" s="2805"/>
      <c r="WTY76" s="2805"/>
      <c r="WTZ76" s="2805"/>
      <c r="WUA76" s="2805"/>
      <c r="WUB76" s="2805"/>
      <c r="WUC76" s="2805"/>
      <c r="WUD76" s="2805"/>
      <c r="WUE76" s="2805"/>
      <c r="WUF76" s="2805"/>
      <c r="WUG76" s="2805"/>
      <c r="WUH76" s="2805"/>
      <c r="WUI76" s="2805"/>
      <c r="WUJ76" s="2805"/>
      <c r="WUK76" s="2805"/>
      <c r="WUL76" s="2805"/>
      <c r="WUM76" s="2805"/>
      <c r="WUN76" s="2805"/>
      <c r="WUO76" s="2805"/>
      <c r="WUP76" s="2805"/>
      <c r="WUQ76" s="2805"/>
      <c r="WUR76" s="2805"/>
      <c r="WUS76" s="2805"/>
      <c r="WUT76" s="2805"/>
      <c r="WUU76" s="2805"/>
      <c r="WUV76" s="2805"/>
      <c r="WUW76" s="2805"/>
      <c r="WUX76" s="2805"/>
      <c r="WUY76" s="2805"/>
      <c r="WUZ76" s="2805"/>
      <c r="WVA76" s="2805"/>
      <c r="WVB76" s="2805"/>
      <c r="WVC76" s="2805"/>
      <c r="WVD76" s="2805"/>
      <c r="WVE76" s="2805"/>
      <c r="WVF76" s="2805"/>
      <c r="WVG76" s="2805"/>
      <c r="WVH76" s="2805"/>
      <c r="WVI76" s="2805"/>
      <c r="WVJ76" s="2805"/>
      <c r="WVK76" s="2805"/>
      <c r="WVL76" s="2805"/>
      <c r="WVM76" s="2805"/>
      <c r="WVN76" s="2805"/>
      <c r="WVO76" s="2805"/>
      <c r="WVP76" s="2805"/>
      <c r="WVQ76" s="2805"/>
      <c r="WVR76" s="2805"/>
      <c r="WVS76" s="2805"/>
      <c r="WVT76" s="2805"/>
      <c r="WVU76" s="2805"/>
      <c r="WVV76" s="2805"/>
      <c r="WVW76" s="2805"/>
      <c r="WVX76" s="2805"/>
      <c r="WVY76" s="2805"/>
      <c r="WVZ76" s="2805"/>
      <c r="WWA76" s="2805"/>
      <c r="WWB76" s="2805"/>
      <c r="WWC76" s="2805"/>
      <c r="WWD76" s="2805"/>
      <c r="WWE76" s="2805"/>
      <c r="WWF76" s="2805"/>
      <c r="WWG76" s="2805"/>
      <c r="WWH76" s="2805"/>
      <c r="WWI76" s="2805"/>
      <c r="WWJ76" s="2805"/>
      <c r="WWK76" s="2805"/>
      <c r="WWL76" s="2805"/>
      <c r="WWM76" s="2805"/>
      <c r="WWN76" s="2805"/>
      <c r="WWO76" s="2805"/>
      <c r="WWP76" s="2805"/>
      <c r="WWQ76" s="2805"/>
      <c r="WWR76" s="2805"/>
      <c r="WWS76" s="2805"/>
      <c r="WWT76" s="2805"/>
      <c r="WWU76" s="2805"/>
      <c r="WWV76" s="2805"/>
      <c r="WWW76" s="2805"/>
      <c r="WWX76" s="2805"/>
      <c r="WWY76" s="2805"/>
      <c r="WWZ76" s="2805"/>
      <c r="WXA76" s="2805"/>
      <c r="WXB76" s="2805"/>
      <c r="WXC76" s="2805"/>
      <c r="WXD76" s="2805"/>
      <c r="WXE76" s="2805"/>
      <c r="WXF76" s="2805"/>
      <c r="WXG76" s="2805"/>
      <c r="WXH76" s="2805"/>
      <c r="WXI76" s="2805"/>
      <c r="WXJ76" s="2805"/>
      <c r="WXK76" s="2805"/>
      <c r="WXL76" s="2805"/>
      <c r="WXM76" s="2805"/>
      <c r="WXN76" s="2805"/>
      <c r="WXO76" s="2805"/>
      <c r="WXP76" s="2805"/>
      <c r="WXQ76" s="2805"/>
      <c r="WXR76" s="2805"/>
      <c r="WXS76" s="2805"/>
      <c r="WXT76" s="2805"/>
      <c r="WXU76" s="2805"/>
      <c r="WXV76" s="2805"/>
      <c r="WXW76" s="2805"/>
      <c r="WXX76" s="2805"/>
      <c r="WXY76" s="2805"/>
      <c r="WXZ76" s="2805"/>
      <c r="WYA76" s="2805"/>
      <c r="WYB76" s="2805"/>
      <c r="WYC76" s="2805"/>
      <c r="WYD76" s="2805"/>
      <c r="WYE76" s="2805"/>
      <c r="WYF76" s="2805"/>
      <c r="WYG76" s="2805"/>
      <c r="WYH76" s="2805"/>
      <c r="WYI76" s="2805"/>
      <c r="WYJ76" s="2805"/>
      <c r="WYK76" s="2805"/>
      <c r="WYL76" s="2805"/>
      <c r="WYM76" s="2805"/>
      <c r="WYN76" s="2805"/>
      <c r="WYO76" s="2805"/>
      <c r="WYP76" s="2805"/>
      <c r="WYQ76" s="2805"/>
      <c r="WYR76" s="2805"/>
      <c r="WYS76" s="2805"/>
      <c r="WYT76" s="2805"/>
      <c r="WYU76" s="2805"/>
      <c r="WYV76" s="2805"/>
      <c r="WYW76" s="2805"/>
      <c r="WYX76" s="2805"/>
      <c r="WYY76" s="2805"/>
      <c r="WYZ76" s="2805"/>
      <c r="WZA76" s="2805"/>
      <c r="WZB76" s="2805"/>
      <c r="WZC76" s="2805"/>
      <c r="WZD76" s="2805"/>
      <c r="WZE76" s="2805"/>
      <c r="WZF76" s="2805"/>
      <c r="WZG76" s="2805"/>
      <c r="WZH76" s="2805"/>
      <c r="WZI76" s="2805"/>
      <c r="WZJ76" s="2805"/>
      <c r="WZK76" s="2805"/>
      <c r="WZL76" s="2805"/>
      <c r="WZM76" s="2805"/>
      <c r="WZN76" s="2805"/>
      <c r="WZO76" s="2805"/>
      <c r="WZP76" s="2805"/>
      <c r="WZQ76" s="2805"/>
      <c r="WZR76" s="2805"/>
      <c r="WZS76" s="2805"/>
      <c r="WZT76" s="2805"/>
      <c r="WZU76" s="2805"/>
      <c r="WZV76" s="2805"/>
      <c r="WZW76" s="2805"/>
      <c r="WZX76" s="2805"/>
      <c r="WZY76" s="2805"/>
      <c r="WZZ76" s="2805"/>
      <c r="XAA76" s="2805"/>
      <c r="XAB76" s="2805"/>
      <c r="XAC76" s="2805"/>
      <c r="XAD76" s="2805"/>
      <c r="XAE76" s="2805"/>
      <c r="XAF76" s="2805"/>
      <c r="XAG76" s="2805"/>
      <c r="XAH76" s="2805"/>
      <c r="XAI76" s="2805"/>
      <c r="XAJ76" s="2805"/>
      <c r="XAK76" s="2805"/>
      <c r="XAL76" s="2805"/>
      <c r="XAM76" s="2805"/>
      <c r="XAN76" s="2805"/>
      <c r="XAO76" s="2805"/>
      <c r="XAP76" s="2805"/>
      <c r="XAQ76" s="2805"/>
      <c r="XAR76" s="2805"/>
      <c r="XAS76" s="2805"/>
      <c r="XAT76" s="2805"/>
      <c r="XAU76" s="2805"/>
      <c r="XAV76" s="2805"/>
      <c r="XAW76" s="2805"/>
      <c r="XAX76" s="2805"/>
      <c r="XAY76" s="2805"/>
      <c r="XAZ76" s="2805"/>
      <c r="XBA76" s="2805"/>
      <c r="XBB76" s="2805"/>
      <c r="XBC76" s="2805"/>
      <c r="XBD76" s="2805"/>
      <c r="XBE76" s="2805"/>
      <c r="XBF76" s="2805"/>
      <c r="XBG76" s="2805"/>
      <c r="XBH76" s="2805"/>
      <c r="XBI76" s="2805"/>
      <c r="XBJ76" s="2805"/>
      <c r="XBK76" s="2805"/>
      <c r="XBL76" s="2805"/>
      <c r="XBM76" s="2805"/>
      <c r="XBN76" s="2805"/>
      <c r="XBO76" s="2805"/>
      <c r="XBP76" s="2805"/>
      <c r="XBQ76" s="2805"/>
      <c r="XBR76" s="2805"/>
      <c r="XBS76" s="2805"/>
      <c r="XBT76" s="2805"/>
      <c r="XBU76" s="2805"/>
      <c r="XBV76" s="2805"/>
      <c r="XBW76" s="2805"/>
      <c r="XBX76" s="2805"/>
      <c r="XBY76" s="2805"/>
      <c r="XBZ76" s="2805"/>
      <c r="XCA76" s="2805"/>
      <c r="XCB76" s="2805"/>
      <c r="XCC76" s="2805"/>
      <c r="XCD76" s="2805"/>
      <c r="XCE76" s="2805"/>
      <c r="XCF76" s="2805"/>
      <c r="XCG76" s="2805"/>
      <c r="XCH76" s="2805"/>
      <c r="XCI76" s="2805"/>
      <c r="XCJ76" s="2805"/>
      <c r="XCK76" s="2805"/>
      <c r="XCL76" s="2805"/>
      <c r="XCM76" s="2805"/>
      <c r="XCN76" s="2805"/>
      <c r="XCO76" s="2805"/>
      <c r="XCP76" s="2805"/>
      <c r="XCQ76" s="2805"/>
      <c r="XCR76" s="2805"/>
      <c r="XCS76" s="2805"/>
      <c r="XCT76" s="2805"/>
      <c r="XCU76" s="2805"/>
      <c r="XCV76" s="2805"/>
      <c r="XCW76" s="2805"/>
      <c r="XCX76" s="2805"/>
      <c r="XCY76" s="2805"/>
      <c r="XCZ76" s="2805"/>
      <c r="XDA76" s="2805"/>
      <c r="XDB76" s="2805"/>
      <c r="XDC76" s="2805"/>
      <c r="XDD76" s="2805"/>
      <c r="XDE76" s="2805"/>
      <c r="XDF76" s="2805"/>
      <c r="XDG76" s="2805"/>
      <c r="XDH76" s="2805"/>
      <c r="XDI76" s="2805"/>
      <c r="XDJ76" s="2805"/>
      <c r="XDK76" s="2805"/>
      <c r="XDL76" s="2805"/>
      <c r="XDM76" s="2805"/>
      <c r="XDN76" s="2805"/>
      <c r="XDO76" s="2805"/>
      <c r="XDP76" s="2805"/>
      <c r="XDQ76" s="2805"/>
      <c r="XDR76" s="2805"/>
      <c r="XDS76" s="2805"/>
      <c r="XDT76" s="2805"/>
      <c r="XDU76" s="2805"/>
      <c r="XDV76" s="2805"/>
      <c r="XDW76" s="2805"/>
      <c r="XDX76" s="2805"/>
      <c r="XDY76" s="2805"/>
      <c r="XDZ76" s="2805"/>
      <c r="XEA76" s="2805"/>
      <c r="XEB76" s="2805"/>
      <c r="XEC76" s="2805"/>
      <c r="XED76" s="2805"/>
      <c r="XEE76" s="2805"/>
      <c r="XEF76" s="2805"/>
      <c r="XEG76" s="2805"/>
      <c r="XEH76" s="2805"/>
      <c r="XEI76" s="2805"/>
      <c r="XEJ76" s="2805"/>
      <c r="XEK76" s="2805"/>
      <c r="XEL76" s="2805"/>
      <c r="XEM76" s="2805"/>
      <c r="XEN76" s="2805"/>
      <c r="XEO76" s="2805"/>
      <c r="XEP76" s="2805"/>
      <c r="XEQ76" s="2805"/>
      <c r="XER76" s="2805"/>
      <c r="XES76" s="2805"/>
      <c r="XET76" s="2805"/>
      <c r="XEU76" s="2805"/>
      <c r="XEV76" s="2805"/>
      <c r="XEW76" s="2805"/>
      <c r="XEX76" s="2805"/>
      <c r="XEY76" s="2805"/>
      <c r="XEZ76" s="2805"/>
      <c r="XFA76" s="2805"/>
      <c r="XFB76" s="2805"/>
      <c r="XFC76" s="2805"/>
      <c r="XFD76" s="2805"/>
    </row>
    <row r="77" spans="1:16384" s="2815" customFormat="1" ht="27.75" customHeight="1">
      <c r="A77" s="2499"/>
      <c r="B77" s="2516" t="s">
        <v>1656</v>
      </c>
      <c r="C77" s="2526">
        <f>IF(('Balances y Proyecciones'!Q17)&lt;&gt;360,'Balances y Proyecciones'!K62+'Balances y Proyecciones'!K66,'Balances y Proyecciones'!K62+'Balances y Proyecciones'!K66)</f>
        <v>0</v>
      </c>
      <c r="D77" s="2526"/>
      <c r="E77" s="2527">
        <f>IF(('Balances y Proyecciones'!Q17)&lt;&gt;360,'Balances y Proyecciones'!Q62+'Balances y Proyecciones'!Q66,'Balances y Proyecciones'!Q62+'Balances y Proyecciones'!Q66)</f>
        <v>0</v>
      </c>
      <c r="F77" s="2508"/>
      <c r="G77" s="2516" t="s">
        <v>910</v>
      </c>
      <c r="H77" s="2598">
        <f>IF(('Balances y Proyecciones'!Q17)&lt;&gt;360,'Balances y Proyecciones'!AV745,'Balances y Proyecciones'!AV745)</f>
        <v>0</v>
      </c>
      <c r="I77" s="2598"/>
      <c r="J77" s="2599">
        <f>IF(('Balances y Proyecciones'!Q17)&lt;&gt;360,'Balances y Proyecciones'!BB745,'Balances y Proyecciones'!BB745)</f>
        <v>0</v>
      </c>
      <c r="K77" s="2499"/>
      <c r="L77" s="2499"/>
      <c r="M77" s="2499"/>
      <c r="N77" s="2816" t="s">
        <v>229</v>
      </c>
      <c r="O77" s="2817">
        <f>SUM(O61:O76)</f>
        <v>0</v>
      </c>
      <c r="P77" s="2818">
        <f>SUM(P61:P76)</f>
        <v>0</v>
      </c>
      <c r="Q77" s="2819"/>
      <c r="R77" s="2819"/>
      <c r="S77" s="2499"/>
      <c r="T77" s="2499"/>
      <c r="U77" s="2499"/>
      <c r="V77" s="2499"/>
      <c r="W77" s="2499"/>
      <c r="X77" s="2499"/>
      <c r="Y77" s="2499"/>
      <c r="Z77" s="2499"/>
      <c r="AA77" s="2499"/>
      <c r="AB77" s="2499"/>
      <c r="AC77" s="2499"/>
      <c r="AD77" s="2499"/>
      <c r="AE77" s="2499"/>
      <c r="AF77" s="2567"/>
      <c r="AG77" s="2567"/>
      <c r="AH77" s="2805" t="s">
        <v>1752</v>
      </c>
      <c r="AI77" s="2805"/>
      <c r="AJ77" s="2805"/>
      <c r="AK77" s="2805"/>
      <c r="AL77" s="2805"/>
      <c r="AM77" s="2805"/>
      <c r="AN77" s="2805"/>
      <c r="AO77" s="2805"/>
      <c r="AP77" s="2805"/>
      <c r="AQ77" s="2805"/>
      <c r="AR77" s="2805"/>
      <c r="AS77" s="2805"/>
      <c r="AT77" s="2805"/>
      <c r="AU77" s="2805"/>
      <c r="AV77" s="2805"/>
      <c r="AW77" s="2567"/>
      <c r="AX77" s="2567"/>
      <c r="AY77" s="2567"/>
      <c r="AZ77" s="2567"/>
      <c r="BA77" s="2567"/>
      <c r="BB77" s="2567"/>
      <c r="BC77" s="2567"/>
      <c r="BD77" s="2567"/>
      <c r="BE77" s="2567"/>
      <c r="BF77" s="2567"/>
      <c r="BG77" s="2567"/>
      <c r="BH77" s="2567"/>
      <c r="BI77" s="2567"/>
      <c r="BJ77" s="2567"/>
      <c r="BK77" s="2567"/>
      <c r="BL77" s="2567"/>
      <c r="BM77" s="2567"/>
      <c r="BN77" s="2567"/>
      <c r="BO77" s="2567"/>
      <c r="BP77" s="2805"/>
      <c r="BQ77" s="2805"/>
      <c r="BR77" s="2805"/>
      <c r="BS77" s="2805"/>
      <c r="BT77" s="2805"/>
      <c r="BU77" s="2805"/>
      <c r="BV77" s="2805"/>
      <c r="BW77" s="2805"/>
      <c r="BX77" s="2805"/>
      <c r="BY77" s="2805"/>
      <c r="BZ77" s="2805"/>
      <c r="CA77" s="2805"/>
      <c r="CB77" s="2805"/>
      <c r="CC77" s="2805"/>
      <c r="CD77" s="2805"/>
      <c r="CE77" s="2805"/>
      <c r="CF77" s="2805"/>
      <c r="CG77" s="2805"/>
      <c r="CH77" s="2805" t="s">
        <v>1753</v>
      </c>
      <c r="CI77" s="2805">
        <f>+CI70+CI76</f>
        <v>0</v>
      </c>
      <c r="CJ77" s="2805">
        <f>+CJ70+CJ76</f>
        <v>0</v>
      </c>
      <c r="CK77" s="2805">
        <f>+CK70+CK76</f>
        <v>0</v>
      </c>
      <c r="CL77" s="2805"/>
      <c r="CM77" s="2805"/>
      <c r="CN77" s="2805"/>
      <c r="CO77" s="2805"/>
      <c r="CP77" s="2805"/>
      <c r="CQ77" s="2805"/>
      <c r="CR77" s="2805"/>
      <c r="CS77" s="2805"/>
      <c r="CT77" s="2805"/>
      <c r="CU77" s="2805"/>
      <c r="CV77" s="2805"/>
      <c r="CW77" s="2805"/>
      <c r="CX77" s="2805"/>
      <c r="CY77" s="2805"/>
      <c r="CZ77" s="2805"/>
      <c r="DA77" s="2805"/>
      <c r="DB77" s="2805"/>
      <c r="DC77" s="2805"/>
      <c r="DD77" s="2805"/>
      <c r="DE77" s="2805"/>
      <c r="DF77" s="2805"/>
      <c r="DG77" s="2805"/>
      <c r="DH77" s="2805"/>
      <c r="DI77" s="2805"/>
      <c r="DJ77" s="2805"/>
      <c r="DK77" s="2805"/>
      <c r="DL77" s="2805"/>
      <c r="DM77" s="2805"/>
      <c r="DN77" s="2805"/>
      <c r="DO77" s="2805"/>
      <c r="DP77" s="2805"/>
      <c r="DQ77" s="2805"/>
      <c r="DR77" s="2805"/>
      <c r="DS77" s="2805"/>
      <c r="DT77" s="2805"/>
      <c r="DU77" s="2805"/>
      <c r="DV77" s="2805"/>
      <c r="DW77" s="2805"/>
      <c r="DX77" s="2805"/>
      <c r="DY77" s="2805"/>
      <c r="DZ77" s="2805"/>
      <c r="EA77" s="2805"/>
      <c r="EB77" s="2805"/>
      <c r="EC77" s="2805"/>
      <c r="ED77" s="2805"/>
      <c r="EE77" s="2805"/>
      <c r="EF77" s="2805"/>
      <c r="EG77" s="2805"/>
      <c r="EH77" s="2805"/>
      <c r="EI77" s="2805"/>
      <c r="EJ77" s="2805"/>
      <c r="EK77" s="2805"/>
      <c r="EL77" s="2805"/>
      <c r="EM77" s="2805"/>
      <c r="EN77" s="2805"/>
      <c r="EO77" s="2805"/>
      <c r="EP77" s="2805"/>
      <c r="EQ77" s="2805"/>
      <c r="ER77" s="2805"/>
      <c r="ES77" s="2805"/>
      <c r="ET77" s="2805"/>
      <c r="EU77" s="2805"/>
      <c r="EV77" s="2805"/>
      <c r="EW77" s="2805"/>
      <c r="EX77" s="2805"/>
      <c r="EY77" s="2805"/>
      <c r="EZ77" s="2805"/>
      <c r="FA77" s="2805"/>
      <c r="FB77" s="2805"/>
      <c r="FC77" s="2805"/>
      <c r="FD77" s="2805"/>
      <c r="FE77" s="2805"/>
      <c r="FF77" s="2805"/>
      <c r="FG77" s="2805"/>
      <c r="FH77" s="2805"/>
      <c r="FI77" s="2805"/>
      <c r="FJ77" s="2805"/>
      <c r="FK77" s="2805"/>
      <c r="FL77" s="2805"/>
      <c r="FM77" s="2805"/>
      <c r="FN77" s="2805"/>
      <c r="FO77" s="2805"/>
      <c r="FP77" s="2805"/>
      <c r="FQ77" s="2805"/>
      <c r="FR77" s="2805"/>
      <c r="FS77" s="2805"/>
      <c r="FT77" s="2805"/>
      <c r="FU77" s="2805"/>
      <c r="FV77" s="2805"/>
      <c r="FW77" s="2805"/>
      <c r="FX77" s="2805"/>
      <c r="FY77" s="2805"/>
      <c r="FZ77" s="2805"/>
      <c r="GA77" s="2805"/>
      <c r="GB77" s="2805"/>
      <c r="GC77" s="2805"/>
      <c r="GD77" s="2805"/>
      <c r="GE77" s="2805"/>
      <c r="GF77" s="2805"/>
      <c r="GG77" s="2805"/>
      <c r="GH77" s="2805"/>
      <c r="GI77" s="2805"/>
      <c r="GJ77" s="2805"/>
      <c r="GK77" s="2805"/>
      <c r="GL77" s="2805"/>
      <c r="GM77" s="2805"/>
      <c r="GN77" s="2805"/>
      <c r="GO77" s="2805"/>
      <c r="GP77" s="2805"/>
      <c r="GQ77" s="2805"/>
      <c r="GR77" s="2805"/>
      <c r="GS77" s="2805"/>
      <c r="GT77" s="2805"/>
      <c r="GU77" s="2805"/>
      <c r="GV77" s="2805"/>
      <c r="GW77" s="2805"/>
      <c r="GX77" s="2805"/>
      <c r="GY77" s="2805"/>
      <c r="GZ77" s="2805"/>
      <c r="HA77" s="2805"/>
      <c r="HB77" s="2805"/>
      <c r="HC77" s="2805"/>
      <c r="HD77" s="2805"/>
      <c r="HE77" s="2805"/>
      <c r="HF77" s="2805"/>
      <c r="HG77" s="2805"/>
      <c r="HH77" s="2805"/>
      <c r="HI77" s="2805"/>
      <c r="HJ77" s="2805"/>
      <c r="HK77" s="2805"/>
      <c r="HL77" s="2805"/>
      <c r="HM77" s="2805"/>
      <c r="HN77" s="2805"/>
      <c r="HO77" s="2805"/>
      <c r="HP77" s="2805"/>
      <c r="HQ77" s="2805"/>
      <c r="HR77" s="2805"/>
      <c r="HS77" s="2805"/>
      <c r="HT77" s="2805"/>
      <c r="HU77" s="2805"/>
      <c r="HV77" s="2805"/>
      <c r="HW77" s="2805"/>
      <c r="HX77" s="2805"/>
      <c r="HY77" s="2805"/>
      <c r="HZ77" s="2805"/>
      <c r="IA77" s="2805"/>
      <c r="IB77" s="2805"/>
      <c r="IC77" s="2805"/>
      <c r="ID77" s="2805"/>
      <c r="IE77" s="2805"/>
      <c r="IF77" s="2805"/>
      <c r="IG77" s="2805"/>
      <c r="IH77" s="2805"/>
      <c r="II77" s="2805"/>
      <c r="IJ77" s="2805"/>
      <c r="IK77" s="2805"/>
      <c r="IL77" s="2805"/>
      <c r="IM77" s="2805"/>
      <c r="IN77" s="2805"/>
      <c r="IO77" s="2805"/>
      <c r="IP77" s="2805"/>
      <c r="IQ77" s="2805"/>
      <c r="IR77" s="2805"/>
      <c r="IS77" s="2805"/>
      <c r="IT77" s="2805"/>
      <c r="IU77" s="2805"/>
      <c r="IV77" s="2805"/>
      <c r="IW77" s="2805"/>
      <c r="IX77" s="2805"/>
      <c r="IY77" s="2805"/>
      <c r="IZ77" s="2805"/>
      <c r="JA77" s="2805"/>
      <c r="JB77" s="2805"/>
      <c r="JC77" s="2805"/>
      <c r="JD77" s="2805"/>
      <c r="JE77" s="2805"/>
      <c r="JF77" s="2805"/>
      <c r="JG77" s="2805"/>
      <c r="JH77" s="2805"/>
      <c r="JI77" s="2805"/>
      <c r="JJ77" s="2805"/>
      <c r="JK77" s="2805"/>
      <c r="JL77" s="2805"/>
      <c r="JM77" s="2805"/>
      <c r="JN77" s="2805"/>
      <c r="JO77" s="2805"/>
      <c r="JP77" s="2805"/>
      <c r="JQ77" s="2805"/>
      <c r="JR77" s="2805"/>
      <c r="JS77" s="2805"/>
      <c r="JT77" s="2805"/>
      <c r="JU77" s="2805"/>
      <c r="JV77" s="2805"/>
      <c r="JW77" s="2805"/>
      <c r="JX77" s="2805"/>
      <c r="JY77" s="2805"/>
      <c r="JZ77" s="2805"/>
      <c r="KA77" s="2805"/>
      <c r="KB77" s="2805"/>
      <c r="KC77" s="2805"/>
      <c r="KD77" s="2805"/>
      <c r="KE77" s="2805"/>
      <c r="KF77" s="2805"/>
      <c r="KG77" s="2805"/>
      <c r="KH77" s="2805"/>
      <c r="KI77" s="2805"/>
      <c r="KJ77" s="2805"/>
      <c r="KK77" s="2805"/>
      <c r="KL77" s="2805"/>
      <c r="KM77" s="2805"/>
      <c r="KN77" s="2805"/>
      <c r="KO77" s="2805"/>
      <c r="KP77" s="2805"/>
      <c r="KQ77" s="2805"/>
      <c r="KR77" s="2805"/>
      <c r="KS77" s="2805"/>
      <c r="KT77" s="2805"/>
      <c r="KU77" s="2805"/>
      <c r="KV77" s="2805"/>
      <c r="KW77" s="2805"/>
      <c r="KX77" s="2805"/>
      <c r="KY77" s="2805"/>
      <c r="KZ77" s="2805"/>
      <c r="LA77" s="2805"/>
      <c r="LB77" s="2805"/>
      <c r="LC77" s="2805"/>
      <c r="LD77" s="2805"/>
      <c r="LE77" s="2805"/>
      <c r="LF77" s="2805"/>
      <c r="LG77" s="2805"/>
      <c r="LH77" s="2805"/>
      <c r="LI77" s="2805"/>
      <c r="LJ77" s="2805"/>
      <c r="LK77" s="2805"/>
      <c r="LL77" s="2805"/>
      <c r="LM77" s="2805"/>
      <c r="LN77" s="2805"/>
      <c r="LO77" s="2805"/>
      <c r="LP77" s="2805"/>
      <c r="LQ77" s="2805"/>
      <c r="LR77" s="2805"/>
      <c r="LS77" s="2805"/>
      <c r="LT77" s="2805"/>
      <c r="LU77" s="2805"/>
      <c r="LV77" s="2805"/>
      <c r="LW77" s="2805"/>
      <c r="LX77" s="2805"/>
      <c r="LY77" s="2805"/>
      <c r="LZ77" s="2805"/>
      <c r="MA77" s="2805"/>
      <c r="MB77" s="2805"/>
      <c r="MC77" s="2805"/>
      <c r="MD77" s="2805"/>
      <c r="ME77" s="2805"/>
      <c r="MF77" s="2805"/>
      <c r="MG77" s="2805"/>
      <c r="MH77" s="2805"/>
      <c r="MI77" s="2805"/>
      <c r="MJ77" s="2805"/>
      <c r="MK77" s="2805"/>
      <c r="ML77" s="2805"/>
      <c r="MM77" s="2805"/>
      <c r="MN77" s="2805"/>
      <c r="MO77" s="2805"/>
      <c r="MP77" s="2805"/>
      <c r="MQ77" s="2805"/>
      <c r="MR77" s="2805"/>
      <c r="MS77" s="2805"/>
      <c r="MT77" s="2805"/>
      <c r="MU77" s="2805"/>
      <c r="MV77" s="2805"/>
      <c r="MW77" s="2805"/>
      <c r="MX77" s="2805"/>
      <c r="MY77" s="2805"/>
      <c r="MZ77" s="2805"/>
      <c r="NA77" s="2805"/>
      <c r="NB77" s="2805"/>
      <c r="NC77" s="2805"/>
      <c r="ND77" s="2805"/>
      <c r="NE77" s="2805"/>
      <c r="NF77" s="2805"/>
      <c r="NG77" s="2805"/>
      <c r="NH77" s="2805"/>
      <c r="NI77" s="2805"/>
      <c r="NJ77" s="2805"/>
      <c r="NK77" s="2805"/>
      <c r="NL77" s="2805"/>
      <c r="NM77" s="2805"/>
      <c r="NN77" s="2805"/>
      <c r="NO77" s="2805"/>
      <c r="NP77" s="2805"/>
      <c r="NQ77" s="2805"/>
      <c r="NR77" s="2805"/>
      <c r="NS77" s="2805"/>
      <c r="NT77" s="2805"/>
      <c r="NU77" s="2805"/>
      <c r="NV77" s="2805"/>
      <c r="NW77" s="2805"/>
      <c r="NX77" s="2805"/>
      <c r="NY77" s="2805"/>
      <c r="NZ77" s="2805"/>
      <c r="OA77" s="2805"/>
      <c r="OB77" s="2805"/>
      <c r="OC77" s="2805"/>
      <c r="OD77" s="2805"/>
      <c r="OE77" s="2805"/>
      <c r="OF77" s="2805"/>
      <c r="OG77" s="2805"/>
      <c r="OH77" s="2805"/>
      <c r="OI77" s="2805"/>
      <c r="OJ77" s="2805"/>
      <c r="OK77" s="2805"/>
      <c r="OL77" s="2805"/>
      <c r="OM77" s="2805"/>
      <c r="ON77" s="2805"/>
      <c r="OO77" s="2805"/>
      <c r="OP77" s="2805"/>
      <c r="OQ77" s="2805"/>
      <c r="OR77" s="2805"/>
      <c r="OS77" s="2805"/>
      <c r="OT77" s="2805"/>
      <c r="OU77" s="2805"/>
      <c r="OV77" s="2805"/>
      <c r="OW77" s="2805"/>
      <c r="OX77" s="2805"/>
      <c r="OY77" s="2805"/>
      <c r="OZ77" s="2805"/>
      <c r="PA77" s="2805"/>
      <c r="PB77" s="2805"/>
      <c r="PC77" s="2805"/>
      <c r="PD77" s="2805"/>
      <c r="PE77" s="2805"/>
      <c r="PF77" s="2805"/>
      <c r="PG77" s="2805"/>
      <c r="PH77" s="2805"/>
      <c r="PI77" s="2805"/>
      <c r="PJ77" s="2805"/>
      <c r="PK77" s="2805"/>
      <c r="PL77" s="2805"/>
      <c r="PM77" s="2805"/>
      <c r="PN77" s="2805"/>
      <c r="PO77" s="2805"/>
      <c r="PP77" s="2805"/>
      <c r="PQ77" s="2805"/>
      <c r="PR77" s="2805"/>
      <c r="PS77" s="2805"/>
      <c r="PT77" s="2805"/>
      <c r="PU77" s="2805"/>
      <c r="PV77" s="2805"/>
      <c r="PW77" s="2805"/>
      <c r="PX77" s="2805"/>
      <c r="PY77" s="2805"/>
      <c r="PZ77" s="2805"/>
      <c r="QA77" s="2805"/>
      <c r="QB77" s="2805"/>
      <c r="QC77" s="2805"/>
      <c r="QD77" s="2805"/>
      <c r="QE77" s="2805"/>
      <c r="QF77" s="2805"/>
      <c r="QG77" s="2805"/>
      <c r="QH77" s="2805"/>
      <c r="QI77" s="2805"/>
      <c r="QJ77" s="2805"/>
      <c r="QK77" s="2805"/>
      <c r="QL77" s="2805"/>
      <c r="QM77" s="2805"/>
      <c r="QN77" s="2805"/>
      <c r="QO77" s="2805"/>
      <c r="QP77" s="2805"/>
      <c r="QQ77" s="2805"/>
      <c r="QR77" s="2805"/>
      <c r="QS77" s="2805"/>
      <c r="QT77" s="2805"/>
      <c r="QU77" s="2805"/>
      <c r="QV77" s="2805"/>
      <c r="QW77" s="2805"/>
      <c r="QX77" s="2805"/>
      <c r="QY77" s="2805"/>
      <c r="QZ77" s="2805"/>
      <c r="RA77" s="2805"/>
      <c r="RB77" s="2805"/>
      <c r="RC77" s="2805"/>
      <c r="RD77" s="2805"/>
      <c r="RE77" s="2805"/>
      <c r="RF77" s="2805"/>
      <c r="RG77" s="2805"/>
      <c r="RH77" s="2805"/>
      <c r="RI77" s="2805"/>
      <c r="RJ77" s="2805"/>
      <c r="RK77" s="2805"/>
      <c r="RL77" s="2805"/>
      <c r="RM77" s="2805"/>
      <c r="RN77" s="2805"/>
      <c r="RO77" s="2805"/>
      <c r="RP77" s="2805"/>
      <c r="RQ77" s="2805"/>
      <c r="RR77" s="2805"/>
      <c r="RS77" s="2805"/>
      <c r="RT77" s="2805"/>
      <c r="RU77" s="2805"/>
      <c r="RV77" s="2805"/>
      <c r="RW77" s="2805"/>
      <c r="RX77" s="2805"/>
      <c r="RY77" s="2805"/>
      <c r="RZ77" s="2805"/>
      <c r="SA77" s="2805"/>
      <c r="SB77" s="2805"/>
      <c r="SC77" s="2805"/>
      <c r="SD77" s="2805"/>
      <c r="SE77" s="2805"/>
      <c r="SF77" s="2805"/>
      <c r="SG77" s="2805"/>
      <c r="SH77" s="2805"/>
      <c r="SI77" s="2805"/>
      <c r="SJ77" s="2805"/>
      <c r="SK77" s="2805"/>
      <c r="SL77" s="2805"/>
      <c r="SM77" s="2805"/>
      <c r="SN77" s="2805"/>
      <c r="SO77" s="2805"/>
      <c r="SP77" s="2805"/>
      <c r="SQ77" s="2805"/>
      <c r="SR77" s="2805"/>
      <c r="SS77" s="2805"/>
      <c r="ST77" s="2805"/>
      <c r="SU77" s="2805"/>
      <c r="SV77" s="2805"/>
      <c r="SW77" s="2805"/>
      <c r="SX77" s="2805"/>
      <c r="SY77" s="2805"/>
      <c r="SZ77" s="2805"/>
      <c r="TA77" s="2805"/>
      <c r="TB77" s="2805"/>
      <c r="TC77" s="2805"/>
      <c r="TD77" s="2805"/>
      <c r="TE77" s="2805"/>
      <c r="TF77" s="2805"/>
      <c r="TG77" s="2805"/>
      <c r="TH77" s="2805"/>
      <c r="TI77" s="2805"/>
      <c r="TJ77" s="2805"/>
      <c r="TK77" s="2805"/>
      <c r="TL77" s="2805"/>
      <c r="TM77" s="2805"/>
      <c r="TN77" s="2805"/>
      <c r="TO77" s="2805"/>
      <c r="TP77" s="2805"/>
      <c r="TQ77" s="2805"/>
      <c r="TR77" s="2805"/>
      <c r="TS77" s="2805"/>
      <c r="TT77" s="2805"/>
      <c r="TU77" s="2805"/>
      <c r="TV77" s="2805"/>
      <c r="TW77" s="2805"/>
      <c r="TX77" s="2805"/>
      <c r="TY77" s="2805"/>
      <c r="TZ77" s="2805"/>
      <c r="UA77" s="2805"/>
      <c r="UB77" s="2805"/>
      <c r="UC77" s="2805"/>
      <c r="UD77" s="2805"/>
      <c r="UE77" s="2805"/>
      <c r="UF77" s="2805"/>
      <c r="UG77" s="2805"/>
      <c r="UH77" s="2805"/>
      <c r="UI77" s="2805"/>
      <c r="UJ77" s="2805"/>
      <c r="UK77" s="2805"/>
      <c r="UL77" s="2805"/>
      <c r="UM77" s="2805"/>
      <c r="UN77" s="2805"/>
      <c r="UO77" s="2805"/>
      <c r="UP77" s="2805"/>
      <c r="UQ77" s="2805"/>
      <c r="UR77" s="2805"/>
      <c r="US77" s="2805"/>
      <c r="UT77" s="2805"/>
      <c r="UU77" s="2805"/>
      <c r="UV77" s="2805"/>
      <c r="UW77" s="2805"/>
      <c r="UX77" s="2805"/>
      <c r="UY77" s="2805"/>
      <c r="UZ77" s="2805"/>
      <c r="VA77" s="2805"/>
      <c r="VB77" s="2805"/>
      <c r="VC77" s="2805"/>
      <c r="VD77" s="2805"/>
      <c r="VE77" s="2805"/>
      <c r="VF77" s="2805"/>
      <c r="VG77" s="2805"/>
      <c r="VH77" s="2805"/>
      <c r="VI77" s="2805"/>
      <c r="VJ77" s="2805"/>
      <c r="VK77" s="2805"/>
      <c r="VL77" s="2805"/>
      <c r="VM77" s="2805"/>
      <c r="VN77" s="2805"/>
      <c r="VO77" s="2805"/>
      <c r="VP77" s="2805"/>
      <c r="VQ77" s="2805"/>
      <c r="VR77" s="2805"/>
      <c r="VS77" s="2805"/>
      <c r="VT77" s="2805"/>
      <c r="VU77" s="2805"/>
      <c r="VV77" s="2805"/>
      <c r="VW77" s="2805"/>
      <c r="VX77" s="2805"/>
      <c r="VY77" s="2805"/>
      <c r="VZ77" s="2805"/>
      <c r="WA77" s="2805"/>
      <c r="WB77" s="2805"/>
      <c r="WC77" s="2805"/>
      <c r="WD77" s="2805"/>
      <c r="WE77" s="2805"/>
      <c r="WF77" s="2805"/>
      <c r="WG77" s="2805"/>
      <c r="WH77" s="2805"/>
      <c r="WI77" s="2805"/>
      <c r="WJ77" s="2805"/>
      <c r="WK77" s="2805"/>
      <c r="WL77" s="2805"/>
      <c r="WM77" s="2805"/>
      <c r="WN77" s="2805"/>
      <c r="WO77" s="2805"/>
      <c r="WP77" s="2805"/>
      <c r="WQ77" s="2805"/>
      <c r="WR77" s="2805"/>
      <c r="WS77" s="2805"/>
      <c r="WT77" s="2805"/>
      <c r="WU77" s="2805"/>
      <c r="WV77" s="2805"/>
      <c r="WW77" s="2805"/>
      <c r="WX77" s="2805"/>
      <c r="WY77" s="2805"/>
      <c r="WZ77" s="2805"/>
      <c r="XA77" s="2805"/>
      <c r="XB77" s="2805"/>
      <c r="XC77" s="2805"/>
      <c r="XD77" s="2805"/>
      <c r="XE77" s="2805"/>
      <c r="XF77" s="2805"/>
      <c r="XG77" s="2805"/>
      <c r="XH77" s="2805"/>
      <c r="XI77" s="2805"/>
      <c r="XJ77" s="2805"/>
      <c r="XK77" s="2805"/>
      <c r="XL77" s="2805"/>
      <c r="XM77" s="2805"/>
      <c r="XN77" s="2805"/>
      <c r="XO77" s="2805"/>
      <c r="XP77" s="2805"/>
      <c r="XQ77" s="2805"/>
      <c r="XR77" s="2805"/>
      <c r="XS77" s="2805"/>
      <c r="XT77" s="2805"/>
      <c r="XU77" s="2805"/>
      <c r="XV77" s="2805"/>
      <c r="XW77" s="2805"/>
      <c r="XX77" s="2805"/>
      <c r="XY77" s="2805"/>
      <c r="XZ77" s="2805"/>
      <c r="YA77" s="2805"/>
      <c r="YB77" s="2805"/>
      <c r="YC77" s="2805"/>
      <c r="YD77" s="2805"/>
      <c r="YE77" s="2805"/>
      <c r="YF77" s="2805"/>
      <c r="YG77" s="2805"/>
      <c r="YH77" s="2805"/>
      <c r="YI77" s="2805"/>
      <c r="YJ77" s="2805"/>
      <c r="YK77" s="2805"/>
      <c r="YL77" s="2805"/>
      <c r="YM77" s="2805"/>
      <c r="YN77" s="2805"/>
      <c r="YO77" s="2805"/>
      <c r="YP77" s="2805"/>
      <c r="YQ77" s="2805"/>
      <c r="YR77" s="2805"/>
      <c r="YS77" s="2805"/>
      <c r="YT77" s="2805"/>
      <c r="YU77" s="2805"/>
      <c r="YV77" s="2805"/>
      <c r="YW77" s="2805"/>
      <c r="YX77" s="2805"/>
      <c r="YY77" s="2805"/>
      <c r="YZ77" s="2805"/>
      <c r="ZA77" s="2805"/>
      <c r="ZB77" s="2805"/>
      <c r="ZC77" s="2805"/>
      <c r="ZD77" s="2805"/>
      <c r="ZE77" s="2805"/>
      <c r="ZF77" s="2805"/>
      <c r="ZG77" s="2805"/>
      <c r="ZH77" s="2805"/>
      <c r="ZI77" s="2805"/>
      <c r="ZJ77" s="2805"/>
      <c r="ZK77" s="2805"/>
      <c r="ZL77" s="2805"/>
      <c r="ZM77" s="2805"/>
      <c r="ZN77" s="2805"/>
      <c r="ZO77" s="2805"/>
      <c r="ZP77" s="2805"/>
      <c r="ZQ77" s="2805"/>
      <c r="ZR77" s="2805"/>
      <c r="ZS77" s="2805"/>
      <c r="ZT77" s="2805"/>
      <c r="ZU77" s="2805"/>
      <c r="ZV77" s="2805"/>
      <c r="ZW77" s="2805"/>
      <c r="ZX77" s="2805"/>
      <c r="ZY77" s="2805"/>
      <c r="ZZ77" s="2805"/>
      <c r="AAA77" s="2805"/>
      <c r="AAB77" s="2805"/>
      <c r="AAC77" s="2805"/>
      <c r="AAD77" s="2805"/>
      <c r="AAE77" s="2805"/>
      <c r="AAF77" s="2805"/>
      <c r="AAG77" s="2805"/>
      <c r="AAH77" s="2805"/>
      <c r="AAI77" s="2805"/>
      <c r="AAJ77" s="2805"/>
      <c r="AAK77" s="2805"/>
      <c r="AAL77" s="2805"/>
      <c r="AAM77" s="2805"/>
      <c r="AAN77" s="2805"/>
      <c r="AAO77" s="2805"/>
      <c r="AAP77" s="2805"/>
      <c r="AAQ77" s="2805"/>
      <c r="AAR77" s="2805"/>
      <c r="AAS77" s="2805"/>
      <c r="AAT77" s="2805"/>
      <c r="AAU77" s="2805"/>
      <c r="AAV77" s="2805"/>
      <c r="AAW77" s="2805"/>
      <c r="AAX77" s="2805"/>
      <c r="AAY77" s="2805"/>
      <c r="AAZ77" s="2805"/>
      <c r="ABA77" s="2805"/>
      <c r="ABB77" s="2805"/>
      <c r="ABC77" s="2805"/>
      <c r="ABD77" s="2805"/>
      <c r="ABE77" s="2805"/>
      <c r="ABF77" s="2805"/>
      <c r="ABG77" s="2805"/>
      <c r="ABH77" s="2805"/>
      <c r="ABI77" s="2805"/>
      <c r="ABJ77" s="2805"/>
      <c r="ABK77" s="2805"/>
      <c r="ABL77" s="2805"/>
      <c r="ABM77" s="2805"/>
      <c r="ABN77" s="2805"/>
      <c r="ABO77" s="2805"/>
      <c r="ABP77" s="2805"/>
      <c r="ABQ77" s="2805"/>
      <c r="ABR77" s="2805"/>
      <c r="ABS77" s="2805"/>
      <c r="ABT77" s="2805"/>
      <c r="ABU77" s="2805"/>
      <c r="ABV77" s="2805"/>
      <c r="ABW77" s="2805"/>
      <c r="ABX77" s="2805"/>
      <c r="ABY77" s="2805"/>
      <c r="ABZ77" s="2805"/>
      <c r="ACA77" s="2805"/>
      <c r="ACB77" s="2805"/>
      <c r="ACC77" s="2805"/>
      <c r="ACD77" s="2805"/>
      <c r="ACE77" s="2805"/>
      <c r="ACF77" s="2805"/>
      <c r="ACG77" s="2805"/>
      <c r="ACH77" s="2805"/>
      <c r="ACI77" s="2805"/>
      <c r="ACJ77" s="2805"/>
      <c r="ACK77" s="2805"/>
      <c r="ACL77" s="2805"/>
      <c r="ACM77" s="2805"/>
      <c r="ACN77" s="2805"/>
      <c r="ACO77" s="2805"/>
      <c r="ACP77" s="2805"/>
      <c r="ACQ77" s="2805"/>
      <c r="ACR77" s="2805"/>
      <c r="ACS77" s="2805"/>
      <c r="ACT77" s="2805"/>
      <c r="ACU77" s="2805"/>
      <c r="ACV77" s="2805"/>
      <c r="ACW77" s="2805"/>
      <c r="ACX77" s="2805"/>
      <c r="ACY77" s="2805"/>
      <c r="ACZ77" s="2805"/>
      <c r="ADA77" s="2805"/>
      <c r="ADB77" s="2805"/>
      <c r="ADC77" s="2805"/>
      <c r="ADD77" s="2805"/>
      <c r="ADE77" s="2805"/>
      <c r="ADF77" s="2805"/>
      <c r="ADG77" s="2805"/>
      <c r="ADH77" s="2805"/>
      <c r="ADI77" s="2805"/>
      <c r="ADJ77" s="2805"/>
      <c r="ADK77" s="2805"/>
      <c r="ADL77" s="2805"/>
      <c r="ADM77" s="2805"/>
      <c r="ADN77" s="2805"/>
      <c r="ADO77" s="2805"/>
      <c r="ADP77" s="2805"/>
      <c r="ADQ77" s="2805"/>
      <c r="ADR77" s="2805"/>
      <c r="ADS77" s="2805"/>
      <c r="ADT77" s="2805"/>
      <c r="ADU77" s="2805"/>
      <c r="ADV77" s="2805"/>
      <c r="ADW77" s="2805"/>
      <c r="ADX77" s="2805"/>
      <c r="ADY77" s="2805"/>
      <c r="ADZ77" s="2805"/>
      <c r="AEA77" s="2805"/>
      <c r="AEB77" s="2805"/>
      <c r="AEC77" s="2805"/>
      <c r="AED77" s="2805"/>
      <c r="AEE77" s="2805"/>
      <c r="AEF77" s="2805"/>
      <c r="AEG77" s="2805"/>
      <c r="AEH77" s="2805"/>
      <c r="AEI77" s="2805"/>
      <c r="AEJ77" s="2805"/>
      <c r="AEK77" s="2805"/>
      <c r="AEL77" s="2805"/>
      <c r="AEM77" s="2805"/>
      <c r="AEN77" s="2805"/>
      <c r="AEO77" s="2805"/>
      <c r="AEP77" s="2805"/>
      <c r="AEQ77" s="2805"/>
      <c r="AER77" s="2805"/>
      <c r="AES77" s="2805"/>
      <c r="AET77" s="2805"/>
      <c r="AEU77" s="2805"/>
      <c r="AEV77" s="2805"/>
      <c r="AEW77" s="2805"/>
      <c r="AEX77" s="2805"/>
      <c r="AEY77" s="2805"/>
      <c r="AEZ77" s="2805"/>
      <c r="AFA77" s="2805"/>
      <c r="AFB77" s="2805"/>
      <c r="AFC77" s="2805"/>
      <c r="AFD77" s="2805"/>
      <c r="AFE77" s="2805"/>
      <c r="AFF77" s="2805"/>
      <c r="AFG77" s="2805"/>
      <c r="AFH77" s="2805"/>
      <c r="AFI77" s="2805"/>
      <c r="AFJ77" s="2805"/>
      <c r="AFK77" s="2805"/>
      <c r="AFL77" s="2805"/>
      <c r="AFM77" s="2805"/>
      <c r="AFN77" s="2805"/>
      <c r="AFO77" s="2805"/>
      <c r="AFP77" s="2805"/>
      <c r="AFQ77" s="2805"/>
      <c r="AFR77" s="2805"/>
      <c r="AFS77" s="2805"/>
      <c r="AFT77" s="2805"/>
      <c r="AFU77" s="2805"/>
      <c r="AFV77" s="2805"/>
      <c r="AFW77" s="2805"/>
      <c r="AFX77" s="2805"/>
      <c r="AFY77" s="2805"/>
      <c r="AFZ77" s="2805"/>
      <c r="AGA77" s="2805"/>
      <c r="AGB77" s="2805"/>
      <c r="AGC77" s="2805"/>
      <c r="AGD77" s="2805"/>
      <c r="AGE77" s="2805"/>
      <c r="AGF77" s="2805"/>
      <c r="AGG77" s="2805"/>
      <c r="AGH77" s="2805"/>
      <c r="AGI77" s="2805"/>
      <c r="AGJ77" s="2805"/>
      <c r="AGK77" s="2805"/>
      <c r="AGL77" s="2805"/>
      <c r="AGM77" s="2805"/>
      <c r="AGN77" s="2805"/>
      <c r="AGO77" s="2805"/>
      <c r="AGP77" s="2805"/>
      <c r="AGQ77" s="2805"/>
      <c r="AGR77" s="2805"/>
      <c r="AGS77" s="2805"/>
      <c r="AGT77" s="2805"/>
      <c r="AGU77" s="2805"/>
      <c r="AGV77" s="2805"/>
      <c r="AGW77" s="2805"/>
      <c r="AGX77" s="2805"/>
      <c r="AGY77" s="2805"/>
      <c r="AGZ77" s="2805"/>
      <c r="AHA77" s="2805"/>
      <c r="AHB77" s="2805"/>
      <c r="AHC77" s="2805"/>
      <c r="AHD77" s="2805"/>
      <c r="AHE77" s="2805"/>
      <c r="AHF77" s="2805"/>
      <c r="AHG77" s="2805"/>
      <c r="AHH77" s="2805"/>
      <c r="AHI77" s="2805"/>
      <c r="AHJ77" s="2805"/>
      <c r="AHK77" s="2805"/>
      <c r="AHL77" s="2805"/>
      <c r="AHM77" s="2805"/>
      <c r="AHN77" s="2805"/>
      <c r="AHO77" s="2805"/>
      <c r="AHP77" s="2805"/>
      <c r="AHQ77" s="2805"/>
      <c r="AHR77" s="2805"/>
      <c r="AHS77" s="2805"/>
      <c r="AHT77" s="2805"/>
      <c r="AHU77" s="2805"/>
      <c r="AHV77" s="2805"/>
      <c r="AHW77" s="2805"/>
      <c r="AHX77" s="2805"/>
      <c r="AHY77" s="2805"/>
      <c r="AHZ77" s="2805"/>
      <c r="AIA77" s="2805"/>
      <c r="AIB77" s="2805"/>
      <c r="AIC77" s="2805"/>
      <c r="AID77" s="2805"/>
      <c r="AIE77" s="2805"/>
      <c r="AIF77" s="2805"/>
      <c r="AIG77" s="2805"/>
      <c r="AIH77" s="2805"/>
      <c r="AII77" s="2805"/>
      <c r="AIJ77" s="2805"/>
      <c r="AIK77" s="2805"/>
      <c r="AIL77" s="2805"/>
      <c r="AIM77" s="2805"/>
      <c r="AIN77" s="2805"/>
      <c r="AIO77" s="2805"/>
      <c r="AIP77" s="2805"/>
      <c r="AIQ77" s="2805"/>
      <c r="AIR77" s="2805"/>
      <c r="AIS77" s="2805"/>
      <c r="AIT77" s="2805"/>
      <c r="AIU77" s="2805"/>
      <c r="AIV77" s="2805"/>
      <c r="AIW77" s="2805"/>
      <c r="AIX77" s="2805"/>
      <c r="AIY77" s="2805"/>
      <c r="AIZ77" s="2805"/>
      <c r="AJA77" s="2805"/>
      <c r="AJB77" s="2805"/>
      <c r="AJC77" s="2805"/>
      <c r="AJD77" s="2805"/>
      <c r="AJE77" s="2805"/>
      <c r="AJF77" s="2805"/>
      <c r="AJG77" s="2805"/>
      <c r="AJH77" s="2805"/>
      <c r="AJI77" s="2805"/>
      <c r="AJJ77" s="2805"/>
      <c r="AJK77" s="2805"/>
      <c r="AJL77" s="2805"/>
      <c r="AJM77" s="2805"/>
      <c r="AJN77" s="2805"/>
      <c r="AJO77" s="2805"/>
      <c r="AJP77" s="2805"/>
      <c r="AJQ77" s="2805"/>
      <c r="AJR77" s="2805"/>
      <c r="AJS77" s="2805"/>
      <c r="AJT77" s="2805"/>
      <c r="AJU77" s="2805"/>
      <c r="AJV77" s="2805"/>
      <c r="AJW77" s="2805"/>
      <c r="AJX77" s="2805"/>
      <c r="AJY77" s="2805"/>
      <c r="AJZ77" s="2805"/>
      <c r="AKA77" s="2805"/>
      <c r="AKB77" s="2805"/>
      <c r="AKC77" s="2805"/>
      <c r="AKD77" s="2805"/>
      <c r="AKE77" s="2805"/>
      <c r="AKF77" s="2805"/>
      <c r="AKG77" s="2805"/>
      <c r="AKH77" s="2805"/>
      <c r="AKI77" s="2805"/>
      <c r="AKJ77" s="2805"/>
      <c r="AKK77" s="2805"/>
      <c r="AKL77" s="2805"/>
      <c r="AKM77" s="2805"/>
      <c r="AKN77" s="2805"/>
      <c r="AKO77" s="2805"/>
      <c r="AKP77" s="2805"/>
      <c r="AKQ77" s="2805"/>
      <c r="AKR77" s="2805"/>
      <c r="AKS77" s="2805"/>
      <c r="AKT77" s="2805"/>
      <c r="AKU77" s="2805"/>
      <c r="AKV77" s="2805"/>
      <c r="AKW77" s="2805"/>
      <c r="AKX77" s="2805"/>
      <c r="AKY77" s="2805"/>
      <c r="AKZ77" s="2805"/>
      <c r="ALA77" s="2805"/>
      <c r="ALB77" s="2805"/>
      <c r="ALC77" s="2805"/>
      <c r="ALD77" s="2805"/>
      <c r="ALE77" s="2805"/>
      <c r="ALF77" s="2805"/>
      <c r="ALG77" s="2805"/>
      <c r="ALH77" s="2805"/>
      <c r="ALI77" s="2805"/>
      <c r="ALJ77" s="2805"/>
      <c r="ALK77" s="2805"/>
      <c r="ALL77" s="2805"/>
      <c r="ALM77" s="2805"/>
      <c r="ALN77" s="2805"/>
      <c r="ALO77" s="2805"/>
      <c r="ALP77" s="2805"/>
      <c r="ALQ77" s="2805"/>
      <c r="ALR77" s="2805"/>
      <c r="ALS77" s="2805"/>
      <c r="ALT77" s="2805"/>
      <c r="ALU77" s="2805"/>
      <c r="ALV77" s="2805"/>
      <c r="ALW77" s="2805"/>
      <c r="ALX77" s="2805"/>
      <c r="ALY77" s="2805"/>
      <c r="ALZ77" s="2805"/>
      <c r="AMA77" s="2805"/>
      <c r="AMB77" s="2805"/>
      <c r="AMC77" s="2805"/>
      <c r="AMD77" s="2805"/>
      <c r="AME77" s="2805"/>
      <c r="AMF77" s="2805"/>
      <c r="AMG77" s="2805"/>
      <c r="AMH77" s="2805"/>
      <c r="AMI77" s="2805"/>
      <c r="AMJ77" s="2805"/>
      <c r="AMK77" s="2805"/>
      <c r="AML77" s="2805"/>
      <c r="AMM77" s="2805"/>
      <c r="AMN77" s="2805"/>
      <c r="AMO77" s="2805"/>
      <c r="AMP77" s="2805"/>
      <c r="AMQ77" s="2805"/>
      <c r="AMR77" s="2805"/>
      <c r="AMS77" s="2805"/>
      <c r="AMT77" s="2805"/>
      <c r="AMU77" s="2805"/>
      <c r="AMV77" s="2805"/>
      <c r="AMW77" s="2805"/>
      <c r="AMX77" s="2805"/>
      <c r="AMY77" s="2805"/>
      <c r="AMZ77" s="2805"/>
      <c r="ANA77" s="2805"/>
      <c r="ANB77" s="2805"/>
      <c r="ANC77" s="2805"/>
      <c r="AND77" s="2805"/>
      <c r="ANE77" s="2805"/>
      <c r="ANF77" s="2805"/>
      <c r="ANG77" s="2805"/>
      <c r="ANH77" s="2805"/>
      <c r="ANI77" s="2805"/>
      <c r="ANJ77" s="2805"/>
      <c r="ANK77" s="2805"/>
      <c r="ANL77" s="2805"/>
      <c r="ANM77" s="2805"/>
      <c r="ANN77" s="2805"/>
      <c r="ANO77" s="2805"/>
      <c r="ANP77" s="2805"/>
      <c r="ANQ77" s="2805"/>
      <c r="ANR77" s="2805"/>
      <c r="ANS77" s="2805"/>
      <c r="ANT77" s="2805"/>
      <c r="ANU77" s="2805"/>
      <c r="ANV77" s="2805"/>
      <c r="ANW77" s="2805"/>
      <c r="ANX77" s="2805"/>
      <c r="ANY77" s="2805"/>
      <c r="ANZ77" s="2805"/>
      <c r="AOA77" s="2805"/>
      <c r="AOB77" s="2805"/>
      <c r="AOC77" s="2805"/>
      <c r="AOD77" s="2805"/>
      <c r="AOE77" s="2805"/>
      <c r="AOF77" s="2805"/>
      <c r="AOG77" s="2805"/>
      <c r="AOH77" s="2805"/>
      <c r="AOI77" s="2805"/>
      <c r="AOJ77" s="2805"/>
      <c r="AOK77" s="2805"/>
      <c r="AOL77" s="2805"/>
      <c r="AOM77" s="2805"/>
      <c r="AON77" s="2805"/>
      <c r="AOO77" s="2805"/>
      <c r="AOP77" s="2805"/>
      <c r="AOQ77" s="2805"/>
      <c r="AOR77" s="2805"/>
      <c r="AOS77" s="2805"/>
      <c r="AOT77" s="2805"/>
      <c r="AOU77" s="2805"/>
      <c r="AOV77" s="2805"/>
      <c r="AOW77" s="2805"/>
      <c r="AOX77" s="2805"/>
      <c r="AOY77" s="2805"/>
      <c r="AOZ77" s="2805"/>
      <c r="APA77" s="2805"/>
      <c r="APB77" s="2805"/>
      <c r="APC77" s="2805"/>
      <c r="APD77" s="2805"/>
      <c r="APE77" s="2805"/>
      <c r="APF77" s="2805"/>
      <c r="APG77" s="2805"/>
      <c r="APH77" s="2805"/>
      <c r="API77" s="2805"/>
      <c r="APJ77" s="2805"/>
      <c r="APK77" s="2805"/>
      <c r="APL77" s="2805"/>
      <c r="APM77" s="2805"/>
      <c r="APN77" s="2805"/>
      <c r="APO77" s="2805"/>
      <c r="APP77" s="2805"/>
      <c r="APQ77" s="2805"/>
      <c r="APR77" s="2805"/>
      <c r="APS77" s="2805"/>
      <c r="APT77" s="2805"/>
      <c r="APU77" s="2805"/>
      <c r="APV77" s="2805"/>
      <c r="APW77" s="2805"/>
      <c r="APX77" s="2805"/>
      <c r="APY77" s="2805"/>
      <c r="APZ77" s="2805"/>
      <c r="AQA77" s="2805"/>
      <c r="AQB77" s="2805"/>
      <c r="AQC77" s="2805"/>
      <c r="AQD77" s="2805"/>
      <c r="AQE77" s="2805"/>
      <c r="AQF77" s="2805"/>
      <c r="AQG77" s="2805"/>
      <c r="AQH77" s="2805"/>
      <c r="AQI77" s="2805"/>
      <c r="AQJ77" s="2805"/>
      <c r="AQK77" s="2805"/>
      <c r="AQL77" s="2805"/>
      <c r="AQM77" s="2805"/>
      <c r="AQN77" s="2805"/>
      <c r="AQO77" s="2805"/>
      <c r="AQP77" s="2805"/>
      <c r="AQQ77" s="2805"/>
      <c r="AQR77" s="2805"/>
      <c r="AQS77" s="2805"/>
      <c r="AQT77" s="2805"/>
      <c r="AQU77" s="2805"/>
      <c r="AQV77" s="2805"/>
      <c r="AQW77" s="2805"/>
      <c r="AQX77" s="2805"/>
      <c r="AQY77" s="2805"/>
      <c r="AQZ77" s="2805"/>
      <c r="ARA77" s="2805"/>
      <c r="ARB77" s="2805"/>
      <c r="ARC77" s="2805"/>
      <c r="ARD77" s="2805"/>
      <c r="ARE77" s="2805"/>
      <c r="ARF77" s="2805"/>
      <c r="ARG77" s="2805"/>
      <c r="ARH77" s="2805"/>
      <c r="ARI77" s="2805"/>
      <c r="ARJ77" s="2805"/>
      <c r="ARK77" s="2805"/>
      <c r="ARL77" s="2805"/>
      <c r="ARM77" s="2805"/>
      <c r="ARN77" s="2805"/>
      <c r="ARO77" s="2805"/>
      <c r="ARP77" s="2805"/>
      <c r="ARQ77" s="2805"/>
      <c r="ARR77" s="2805"/>
      <c r="ARS77" s="2805"/>
      <c r="ART77" s="2805"/>
      <c r="ARU77" s="2805"/>
      <c r="ARV77" s="2805"/>
      <c r="ARW77" s="2805"/>
      <c r="ARX77" s="2805"/>
      <c r="ARY77" s="2805"/>
      <c r="ARZ77" s="2805"/>
      <c r="ASA77" s="2805"/>
      <c r="ASB77" s="2805"/>
      <c r="ASC77" s="2805"/>
      <c r="ASD77" s="2805"/>
      <c r="ASE77" s="2805"/>
      <c r="ASF77" s="2805"/>
      <c r="ASG77" s="2805"/>
      <c r="ASH77" s="2805"/>
      <c r="ASI77" s="2805"/>
      <c r="ASJ77" s="2805"/>
      <c r="ASK77" s="2805"/>
      <c r="ASL77" s="2805"/>
      <c r="ASM77" s="2805"/>
      <c r="ASN77" s="2805"/>
      <c r="ASO77" s="2805"/>
      <c r="ASP77" s="2805"/>
      <c r="ASQ77" s="2805"/>
      <c r="ASR77" s="2805"/>
      <c r="ASS77" s="2805"/>
      <c r="AST77" s="2805"/>
      <c r="ASU77" s="2805"/>
      <c r="ASV77" s="2805"/>
      <c r="ASW77" s="2805"/>
      <c r="ASX77" s="2805"/>
      <c r="ASY77" s="2805"/>
      <c r="ASZ77" s="2805"/>
      <c r="ATA77" s="2805"/>
      <c r="ATB77" s="2805"/>
      <c r="ATC77" s="2805"/>
      <c r="ATD77" s="2805"/>
      <c r="ATE77" s="2805"/>
      <c r="ATF77" s="2805"/>
      <c r="ATG77" s="2805"/>
      <c r="ATH77" s="2805"/>
      <c r="ATI77" s="2805"/>
      <c r="ATJ77" s="2805"/>
      <c r="ATK77" s="2805"/>
      <c r="ATL77" s="2805"/>
      <c r="ATM77" s="2805"/>
      <c r="ATN77" s="2805"/>
      <c r="ATO77" s="2805"/>
      <c r="ATP77" s="2805"/>
      <c r="ATQ77" s="2805"/>
      <c r="ATR77" s="2805"/>
      <c r="ATS77" s="2805"/>
      <c r="ATT77" s="2805"/>
      <c r="ATU77" s="2805"/>
      <c r="ATV77" s="2805"/>
      <c r="ATW77" s="2805"/>
      <c r="ATX77" s="2805"/>
      <c r="ATY77" s="2805"/>
      <c r="ATZ77" s="2805"/>
      <c r="AUA77" s="2805"/>
      <c r="AUB77" s="2805"/>
      <c r="AUC77" s="2805"/>
      <c r="AUD77" s="2805"/>
      <c r="AUE77" s="2805"/>
      <c r="AUF77" s="2805"/>
      <c r="AUG77" s="2805"/>
      <c r="AUH77" s="2805"/>
      <c r="AUI77" s="2805"/>
      <c r="AUJ77" s="2805"/>
      <c r="AUK77" s="2805"/>
      <c r="AUL77" s="2805"/>
      <c r="AUM77" s="2805"/>
      <c r="AUN77" s="2805"/>
      <c r="AUO77" s="2805"/>
      <c r="AUP77" s="2805"/>
      <c r="AUQ77" s="2805"/>
      <c r="AUR77" s="2805"/>
      <c r="AUS77" s="2805"/>
      <c r="AUT77" s="2805"/>
      <c r="AUU77" s="2805"/>
      <c r="AUV77" s="2805"/>
      <c r="AUW77" s="2805"/>
      <c r="AUX77" s="2805"/>
      <c r="AUY77" s="2805"/>
      <c r="AUZ77" s="2805"/>
      <c r="AVA77" s="2805"/>
      <c r="AVB77" s="2805"/>
      <c r="AVC77" s="2805"/>
      <c r="AVD77" s="2805"/>
      <c r="AVE77" s="2805"/>
      <c r="AVF77" s="2805"/>
      <c r="AVG77" s="2805"/>
      <c r="AVH77" s="2805"/>
      <c r="AVI77" s="2805"/>
      <c r="AVJ77" s="2805"/>
      <c r="AVK77" s="2805"/>
      <c r="AVL77" s="2805"/>
      <c r="AVM77" s="2805"/>
      <c r="AVN77" s="2805"/>
      <c r="AVO77" s="2805"/>
      <c r="AVP77" s="2805"/>
      <c r="AVQ77" s="2805"/>
      <c r="AVR77" s="2805"/>
      <c r="AVS77" s="2805"/>
      <c r="AVT77" s="2805"/>
      <c r="AVU77" s="2805"/>
      <c r="AVV77" s="2805"/>
      <c r="AVW77" s="2805"/>
      <c r="AVX77" s="2805"/>
      <c r="AVY77" s="2805"/>
      <c r="AVZ77" s="2805"/>
      <c r="AWA77" s="2805"/>
      <c r="AWB77" s="2805"/>
      <c r="AWC77" s="2805"/>
      <c r="AWD77" s="2805"/>
      <c r="AWE77" s="2805"/>
      <c r="AWF77" s="2805"/>
      <c r="AWG77" s="2805"/>
      <c r="AWH77" s="2805"/>
      <c r="AWI77" s="2805"/>
      <c r="AWJ77" s="2805"/>
      <c r="AWK77" s="2805"/>
      <c r="AWL77" s="2805"/>
      <c r="AWM77" s="2805"/>
      <c r="AWN77" s="2805"/>
      <c r="AWO77" s="2805"/>
      <c r="AWP77" s="2805"/>
      <c r="AWQ77" s="2805"/>
      <c r="AWR77" s="2805"/>
      <c r="AWS77" s="2805"/>
      <c r="AWT77" s="2805"/>
      <c r="AWU77" s="2805"/>
      <c r="AWV77" s="2805"/>
      <c r="AWW77" s="2805"/>
      <c r="AWX77" s="2805"/>
      <c r="AWY77" s="2805"/>
      <c r="AWZ77" s="2805"/>
      <c r="AXA77" s="2805"/>
      <c r="AXB77" s="2805"/>
      <c r="AXC77" s="2805"/>
      <c r="AXD77" s="2805"/>
      <c r="AXE77" s="2805"/>
      <c r="AXF77" s="2805"/>
      <c r="AXG77" s="2805"/>
      <c r="AXH77" s="2805"/>
      <c r="AXI77" s="2805"/>
      <c r="AXJ77" s="2805"/>
      <c r="AXK77" s="2805"/>
      <c r="AXL77" s="2805"/>
      <c r="AXM77" s="2805"/>
      <c r="AXN77" s="2805"/>
      <c r="AXO77" s="2805"/>
      <c r="AXP77" s="2805"/>
      <c r="AXQ77" s="2805"/>
      <c r="AXR77" s="2805"/>
      <c r="AXS77" s="2805"/>
      <c r="AXT77" s="2805"/>
      <c r="AXU77" s="2805"/>
      <c r="AXV77" s="2805"/>
      <c r="AXW77" s="2805"/>
      <c r="AXX77" s="2805"/>
      <c r="AXY77" s="2805"/>
      <c r="AXZ77" s="2805"/>
      <c r="AYA77" s="2805"/>
      <c r="AYB77" s="2805"/>
      <c r="AYC77" s="2805"/>
      <c r="AYD77" s="2805"/>
      <c r="AYE77" s="2805"/>
      <c r="AYF77" s="2805"/>
      <c r="AYG77" s="2805"/>
      <c r="AYH77" s="2805"/>
      <c r="AYI77" s="2805"/>
      <c r="AYJ77" s="2805"/>
      <c r="AYK77" s="2805"/>
      <c r="AYL77" s="2805"/>
      <c r="AYM77" s="2805"/>
      <c r="AYN77" s="2805"/>
      <c r="AYO77" s="2805"/>
      <c r="AYP77" s="2805"/>
      <c r="AYQ77" s="2805"/>
      <c r="AYR77" s="2805"/>
      <c r="AYS77" s="2805"/>
      <c r="AYT77" s="2805"/>
      <c r="AYU77" s="2805"/>
      <c r="AYV77" s="2805"/>
      <c r="AYW77" s="2805"/>
      <c r="AYX77" s="2805"/>
      <c r="AYY77" s="2805"/>
      <c r="AYZ77" s="2805"/>
      <c r="AZA77" s="2805"/>
      <c r="AZB77" s="2805"/>
      <c r="AZC77" s="2805"/>
      <c r="AZD77" s="2805"/>
      <c r="AZE77" s="2805"/>
      <c r="AZF77" s="2805"/>
      <c r="AZG77" s="2805"/>
      <c r="AZH77" s="2805"/>
      <c r="AZI77" s="2805"/>
      <c r="AZJ77" s="2805"/>
      <c r="AZK77" s="2805"/>
      <c r="AZL77" s="2805"/>
      <c r="AZM77" s="2805"/>
      <c r="AZN77" s="2805"/>
      <c r="AZO77" s="2805"/>
      <c r="AZP77" s="2805"/>
      <c r="AZQ77" s="2805"/>
      <c r="AZR77" s="2805"/>
      <c r="AZS77" s="2805"/>
      <c r="AZT77" s="2805"/>
      <c r="AZU77" s="2805"/>
      <c r="AZV77" s="2805"/>
      <c r="AZW77" s="2805"/>
      <c r="AZX77" s="2805"/>
      <c r="AZY77" s="2805"/>
      <c r="AZZ77" s="2805"/>
      <c r="BAA77" s="2805"/>
      <c r="BAB77" s="2805"/>
      <c r="BAC77" s="2805"/>
      <c r="BAD77" s="2805"/>
      <c r="BAE77" s="2805"/>
      <c r="BAF77" s="2805"/>
      <c r="BAG77" s="2805"/>
      <c r="BAH77" s="2805"/>
      <c r="BAI77" s="2805"/>
      <c r="BAJ77" s="2805"/>
      <c r="BAK77" s="2805"/>
      <c r="BAL77" s="2805"/>
      <c r="BAM77" s="2805"/>
      <c r="BAN77" s="2805"/>
      <c r="BAO77" s="2805"/>
      <c r="BAP77" s="2805"/>
      <c r="BAQ77" s="2805"/>
      <c r="BAR77" s="2805"/>
      <c r="BAS77" s="2805"/>
      <c r="BAT77" s="2805"/>
      <c r="BAU77" s="2805"/>
      <c r="BAV77" s="2805"/>
      <c r="BAW77" s="2805"/>
      <c r="BAX77" s="2805"/>
      <c r="BAY77" s="2805"/>
      <c r="BAZ77" s="2805"/>
      <c r="BBA77" s="2805"/>
      <c r="BBB77" s="2805"/>
      <c r="BBC77" s="2805"/>
      <c r="BBD77" s="2805"/>
      <c r="BBE77" s="2805"/>
      <c r="BBF77" s="2805"/>
      <c r="BBG77" s="2805"/>
      <c r="BBH77" s="2805"/>
      <c r="BBI77" s="2805"/>
      <c r="BBJ77" s="2805"/>
      <c r="BBK77" s="2805"/>
      <c r="BBL77" s="2805"/>
      <c r="BBM77" s="2805"/>
      <c r="BBN77" s="2805"/>
      <c r="BBO77" s="2805"/>
      <c r="BBP77" s="2805"/>
      <c r="BBQ77" s="2805"/>
      <c r="BBR77" s="2805"/>
      <c r="BBS77" s="2805"/>
      <c r="BBT77" s="2805"/>
      <c r="BBU77" s="2805"/>
      <c r="BBV77" s="2805"/>
      <c r="BBW77" s="2805"/>
      <c r="BBX77" s="2805"/>
      <c r="BBY77" s="2805"/>
      <c r="BBZ77" s="2805"/>
      <c r="BCA77" s="2805"/>
      <c r="BCB77" s="2805"/>
      <c r="BCC77" s="2805"/>
      <c r="BCD77" s="2805"/>
      <c r="BCE77" s="2805"/>
      <c r="BCF77" s="2805"/>
      <c r="BCG77" s="2805"/>
      <c r="BCH77" s="2805"/>
      <c r="BCI77" s="2805"/>
      <c r="BCJ77" s="2805"/>
      <c r="BCK77" s="2805"/>
      <c r="BCL77" s="2805"/>
      <c r="BCM77" s="2805"/>
      <c r="BCN77" s="2805"/>
      <c r="BCO77" s="2805"/>
      <c r="BCP77" s="2805"/>
      <c r="BCQ77" s="2805"/>
      <c r="BCR77" s="2805"/>
      <c r="BCS77" s="2805"/>
      <c r="BCT77" s="2805"/>
      <c r="BCU77" s="2805"/>
      <c r="BCV77" s="2805"/>
      <c r="BCW77" s="2805"/>
      <c r="BCX77" s="2805"/>
      <c r="BCY77" s="2805"/>
      <c r="BCZ77" s="2805"/>
      <c r="BDA77" s="2805"/>
      <c r="BDB77" s="2805"/>
      <c r="BDC77" s="2805"/>
      <c r="BDD77" s="2805"/>
      <c r="BDE77" s="2805"/>
      <c r="BDF77" s="2805"/>
      <c r="BDG77" s="2805"/>
      <c r="BDH77" s="2805"/>
      <c r="BDI77" s="2805"/>
      <c r="BDJ77" s="2805"/>
      <c r="BDK77" s="2805"/>
      <c r="BDL77" s="2805"/>
      <c r="BDM77" s="2805"/>
      <c r="BDN77" s="2805"/>
      <c r="BDO77" s="2805"/>
      <c r="BDP77" s="2805"/>
      <c r="BDQ77" s="2805"/>
      <c r="BDR77" s="2805"/>
      <c r="BDS77" s="2805"/>
      <c r="BDT77" s="2805"/>
      <c r="BDU77" s="2805"/>
      <c r="BDV77" s="2805"/>
      <c r="BDW77" s="2805"/>
      <c r="BDX77" s="2805"/>
      <c r="BDY77" s="2805"/>
      <c r="BDZ77" s="2805"/>
      <c r="BEA77" s="2805"/>
      <c r="BEB77" s="2805"/>
      <c r="BEC77" s="2805"/>
      <c r="BED77" s="2805"/>
      <c r="BEE77" s="2805"/>
      <c r="BEF77" s="2805"/>
      <c r="BEG77" s="2805"/>
      <c r="BEH77" s="2805"/>
      <c r="BEI77" s="2805"/>
      <c r="BEJ77" s="2805"/>
      <c r="BEK77" s="2805"/>
      <c r="BEL77" s="2805"/>
      <c r="BEM77" s="2805"/>
      <c r="BEN77" s="2805"/>
      <c r="BEO77" s="2805"/>
      <c r="BEP77" s="2805"/>
      <c r="BEQ77" s="2805"/>
      <c r="BER77" s="2805"/>
      <c r="BES77" s="2805"/>
      <c r="BET77" s="2805"/>
      <c r="BEU77" s="2805"/>
      <c r="BEV77" s="2805"/>
      <c r="BEW77" s="2805"/>
      <c r="BEX77" s="2805"/>
      <c r="BEY77" s="2805"/>
      <c r="BEZ77" s="2805"/>
      <c r="BFA77" s="2805"/>
      <c r="BFB77" s="2805"/>
      <c r="BFC77" s="2805"/>
      <c r="BFD77" s="2805"/>
      <c r="BFE77" s="2805"/>
      <c r="BFF77" s="2805"/>
      <c r="BFG77" s="2805"/>
      <c r="BFH77" s="2805"/>
      <c r="BFI77" s="2805"/>
      <c r="BFJ77" s="2805"/>
      <c r="BFK77" s="2805"/>
      <c r="BFL77" s="2805"/>
      <c r="BFM77" s="2805"/>
      <c r="BFN77" s="2805"/>
      <c r="BFO77" s="2805"/>
      <c r="BFP77" s="2805"/>
      <c r="BFQ77" s="2805"/>
      <c r="BFR77" s="2805"/>
      <c r="BFS77" s="2805"/>
      <c r="BFT77" s="2805"/>
      <c r="BFU77" s="2805"/>
      <c r="BFV77" s="2805"/>
      <c r="BFW77" s="2805"/>
      <c r="BFX77" s="2805"/>
      <c r="BFY77" s="2805"/>
      <c r="BFZ77" s="2805"/>
      <c r="BGA77" s="2805"/>
      <c r="BGB77" s="2805"/>
      <c r="BGC77" s="2805"/>
      <c r="BGD77" s="2805"/>
      <c r="BGE77" s="2805"/>
      <c r="BGF77" s="2805"/>
      <c r="BGG77" s="2805"/>
      <c r="BGH77" s="2805"/>
      <c r="BGI77" s="2805"/>
      <c r="BGJ77" s="2805"/>
      <c r="BGK77" s="2805"/>
      <c r="BGL77" s="2805"/>
      <c r="BGM77" s="2805"/>
      <c r="BGN77" s="2805"/>
      <c r="BGO77" s="2805"/>
      <c r="BGP77" s="2805"/>
      <c r="BGQ77" s="2805"/>
      <c r="BGR77" s="2805"/>
      <c r="BGS77" s="2805"/>
      <c r="BGT77" s="2805"/>
      <c r="BGU77" s="2805"/>
      <c r="BGV77" s="2805"/>
      <c r="BGW77" s="2805"/>
      <c r="BGX77" s="2805"/>
      <c r="BGY77" s="2805"/>
      <c r="BGZ77" s="2805"/>
      <c r="BHA77" s="2805"/>
      <c r="BHB77" s="2805"/>
      <c r="BHC77" s="2805"/>
      <c r="BHD77" s="2805"/>
      <c r="BHE77" s="2805"/>
      <c r="BHF77" s="2805"/>
      <c r="BHG77" s="2805"/>
      <c r="BHH77" s="2805"/>
      <c r="BHI77" s="2805"/>
      <c r="BHJ77" s="2805"/>
      <c r="BHK77" s="2805"/>
      <c r="BHL77" s="2805"/>
      <c r="BHM77" s="2805"/>
      <c r="BHN77" s="2805"/>
      <c r="BHO77" s="2805"/>
      <c r="BHP77" s="2805"/>
      <c r="BHQ77" s="2805"/>
      <c r="BHR77" s="2805"/>
      <c r="BHS77" s="2805"/>
      <c r="BHT77" s="2805"/>
      <c r="BHU77" s="2805"/>
      <c r="BHV77" s="2805"/>
      <c r="BHW77" s="2805"/>
      <c r="BHX77" s="2805"/>
      <c r="BHY77" s="2805"/>
      <c r="BHZ77" s="2805"/>
      <c r="BIA77" s="2805"/>
      <c r="BIB77" s="2805"/>
      <c r="BIC77" s="2805"/>
      <c r="BID77" s="2805"/>
      <c r="BIE77" s="2805"/>
      <c r="BIF77" s="2805"/>
      <c r="BIG77" s="2805"/>
      <c r="BIH77" s="2805"/>
      <c r="BII77" s="2805"/>
      <c r="BIJ77" s="2805"/>
      <c r="BIK77" s="2805"/>
      <c r="BIL77" s="2805"/>
      <c r="BIM77" s="2805"/>
      <c r="BIN77" s="2805"/>
      <c r="BIO77" s="2805"/>
      <c r="BIP77" s="2805"/>
      <c r="BIQ77" s="2805"/>
      <c r="BIR77" s="2805"/>
      <c r="BIS77" s="2805"/>
      <c r="BIT77" s="2805"/>
      <c r="BIU77" s="2805"/>
      <c r="BIV77" s="2805"/>
      <c r="BIW77" s="2805"/>
      <c r="BIX77" s="2805"/>
      <c r="BIY77" s="2805"/>
      <c r="BIZ77" s="2805"/>
      <c r="BJA77" s="2805"/>
      <c r="BJB77" s="2805"/>
      <c r="BJC77" s="2805"/>
      <c r="BJD77" s="2805"/>
      <c r="BJE77" s="2805"/>
      <c r="BJF77" s="2805"/>
      <c r="BJG77" s="2805"/>
      <c r="BJH77" s="2805"/>
      <c r="BJI77" s="2805"/>
      <c r="BJJ77" s="2805"/>
      <c r="BJK77" s="2805"/>
      <c r="BJL77" s="2805"/>
      <c r="BJM77" s="2805"/>
      <c r="BJN77" s="2805"/>
      <c r="BJO77" s="2805"/>
      <c r="BJP77" s="2805"/>
      <c r="BJQ77" s="2805"/>
      <c r="BJR77" s="2805"/>
      <c r="BJS77" s="2805"/>
      <c r="BJT77" s="2805"/>
      <c r="BJU77" s="2805"/>
      <c r="BJV77" s="2805"/>
      <c r="BJW77" s="2805"/>
      <c r="BJX77" s="2805"/>
      <c r="BJY77" s="2805"/>
      <c r="BJZ77" s="2805"/>
      <c r="BKA77" s="2805"/>
      <c r="BKB77" s="2805"/>
      <c r="BKC77" s="2805"/>
      <c r="BKD77" s="2805"/>
      <c r="BKE77" s="2805"/>
      <c r="BKF77" s="2805"/>
      <c r="BKG77" s="2805"/>
      <c r="BKH77" s="2805"/>
      <c r="BKI77" s="2805"/>
      <c r="BKJ77" s="2805"/>
      <c r="BKK77" s="2805"/>
      <c r="BKL77" s="2805"/>
      <c r="BKM77" s="2805"/>
      <c r="BKN77" s="2805"/>
      <c r="BKO77" s="2805"/>
      <c r="BKP77" s="2805"/>
      <c r="BKQ77" s="2805"/>
      <c r="BKR77" s="2805"/>
      <c r="BKS77" s="2805"/>
      <c r="BKT77" s="2805"/>
      <c r="BKU77" s="2805"/>
      <c r="BKV77" s="2805"/>
      <c r="BKW77" s="2805"/>
      <c r="BKX77" s="2805"/>
      <c r="BKY77" s="2805"/>
      <c r="BKZ77" s="2805"/>
      <c r="BLA77" s="2805"/>
      <c r="BLB77" s="2805"/>
      <c r="BLC77" s="2805"/>
      <c r="BLD77" s="2805"/>
      <c r="BLE77" s="2805"/>
      <c r="BLF77" s="2805"/>
      <c r="BLG77" s="2805"/>
      <c r="BLH77" s="2805"/>
      <c r="BLI77" s="2805"/>
      <c r="BLJ77" s="2805"/>
      <c r="BLK77" s="2805"/>
      <c r="BLL77" s="2805"/>
      <c r="BLM77" s="2805"/>
      <c r="BLN77" s="2805"/>
      <c r="BLO77" s="2805"/>
      <c r="BLP77" s="2805"/>
      <c r="BLQ77" s="2805"/>
      <c r="BLR77" s="2805"/>
      <c r="BLS77" s="2805"/>
      <c r="BLT77" s="2805"/>
      <c r="BLU77" s="2805"/>
      <c r="BLV77" s="2805"/>
      <c r="BLW77" s="2805"/>
      <c r="BLX77" s="2805"/>
      <c r="BLY77" s="2805"/>
      <c r="BLZ77" s="2805"/>
      <c r="BMA77" s="2805"/>
      <c r="BMB77" s="2805"/>
      <c r="BMC77" s="2805"/>
      <c r="BMD77" s="2805"/>
      <c r="BME77" s="2805"/>
      <c r="BMF77" s="2805"/>
      <c r="BMG77" s="2805"/>
      <c r="BMH77" s="2805"/>
      <c r="BMI77" s="2805"/>
      <c r="BMJ77" s="2805"/>
      <c r="BMK77" s="2805"/>
      <c r="BML77" s="2805"/>
      <c r="BMM77" s="2805"/>
      <c r="BMN77" s="2805"/>
      <c r="BMO77" s="2805"/>
      <c r="BMP77" s="2805"/>
      <c r="BMQ77" s="2805"/>
      <c r="BMR77" s="2805"/>
      <c r="BMS77" s="2805"/>
      <c r="BMT77" s="2805"/>
      <c r="BMU77" s="2805"/>
      <c r="BMV77" s="2805"/>
      <c r="BMW77" s="2805"/>
      <c r="BMX77" s="2805"/>
      <c r="BMY77" s="2805"/>
      <c r="BMZ77" s="2805"/>
      <c r="BNA77" s="2805"/>
      <c r="BNB77" s="2805"/>
      <c r="BNC77" s="2805"/>
      <c r="BND77" s="2805"/>
      <c r="BNE77" s="2805"/>
      <c r="BNF77" s="2805"/>
      <c r="BNG77" s="2805"/>
      <c r="BNH77" s="2805"/>
      <c r="BNI77" s="2805"/>
      <c r="BNJ77" s="2805"/>
      <c r="BNK77" s="2805"/>
      <c r="BNL77" s="2805"/>
      <c r="BNM77" s="2805"/>
      <c r="BNN77" s="2805"/>
      <c r="BNO77" s="2805"/>
      <c r="BNP77" s="2805"/>
      <c r="BNQ77" s="2805"/>
      <c r="BNR77" s="2805"/>
      <c r="BNS77" s="2805"/>
      <c r="BNT77" s="2805"/>
      <c r="BNU77" s="2805"/>
      <c r="BNV77" s="2805"/>
      <c r="BNW77" s="2805"/>
      <c r="BNX77" s="2805"/>
      <c r="BNY77" s="2805"/>
      <c r="BNZ77" s="2805"/>
      <c r="BOA77" s="2805"/>
      <c r="BOB77" s="2805"/>
      <c r="BOC77" s="2805"/>
      <c r="BOD77" s="2805"/>
      <c r="BOE77" s="2805"/>
      <c r="BOF77" s="2805"/>
      <c r="BOG77" s="2805"/>
      <c r="BOH77" s="2805"/>
      <c r="BOI77" s="2805"/>
      <c r="BOJ77" s="2805"/>
      <c r="BOK77" s="2805"/>
      <c r="BOL77" s="2805"/>
      <c r="BOM77" s="2805"/>
      <c r="BON77" s="2805"/>
      <c r="BOO77" s="2805"/>
      <c r="BOP77" s="2805"/>
      <c r="BOQ77" s="2805"/>
      <c r="BOR77" s="2805"/>
      <c r="BOS77" s="2805"/>
      <c r="BOT77" s="2805"/>
      <c r="BOU77" s="2805"/>
      <c r="BOV77" s="2805"/>
      <c r="BOW77" s="2805"/>
      <c r="BOX77" s="2805"/>
      <c r="BOY77" s="2805"/>
      <c r="BOZ77" s="2805"/>
      <c r="BPA77" s="2805"/>
      <c r="BPB77" s="2805"/>
      <c r="BPC77" s="2805"/>
      <c r="BPD77" s="2805"/>
      <c r="BPE77" s="2805"/>
      <c r="BPF77" s="2805"/>
      <c r="BPG77" s="2805"/>
      <c r="BPH77" s="2805"/>
      <c r="BPI77" s="2805"/>
      <c r="BPJ77" s="2805"/>
      <c r="BPK77" s="2805"/>
      <c r="BPL77" s="2805"/>
      <c r="BPM77" s="2805"/>
      <c r="BPN77" s="2805"/>
      <c r="BPO77" s="2805"/>
      <c r="BPP77" s="2805"/>
      <c r="BPQ77" s="2805"/>
      <c r="BPR77" s="2805"/>
      <c r="BPS77" s="2805"/>
      <c r="BPT77" s="2805"/>
      <c r="BPU77" s="2805"/>
      <c r="BPV77" s="2805"/>
      <c r="BPW77" s="2805"/>
      <c r="BPX77" s="2805"/>
      <c r="BPY77" s="2805"/>
      <c r="BPZ77" s="2805"/>
      <c r="BQA77" s="2805"/>
      <c r="BQB77" s="2805"/>
      <c r="BQC77" s="2805"/>
      <c r="BQD77" s="2805"/>
      <c r="BQE77" s="2805"/>
      <c r="BQF77" s="2805"/>
      <c r="BQG77" s="2805"/>
      <c r="BQH77" s="2805"/>
      <c r="BQI77" s="2805"/>
      <c r="BQJ77" s="2805"/>
      <c r="BQK77" s="2805"/>
      <c r="BQL77" s="2805"/>
      <c r="BQM77" s="2805"/>
      <c r="BQN77" s="2805"/>
      <c r="BQO77" s="2805"/>
      <c r="BQP77" s="2805"/>
      <c r="BQQ77" s="2805"/>
      <c r="BQR77" s="2805"/>
      <c r="BQS77" s="2805"/>
      <c r="BQT77" s="2805"/>
      <c r="BQU77" s="2805"/>
      <c r="BQV77" s="2805"/>
      <c r="BQW77" s="2805"/>
      <c r="BQX77" s="2805"/>
      <c r="BQY77" s="2805"/>
      <c r="BQZ77" s="2805"/>
      <c r="BRA77" s="2805"/>
      <c r="BRB77" s="2805"/>
      <c r="BRC77" s="2805"/>
      <c r="BRD77" s="2805"/>
      <c r="BRE77" s="2805"/>
      <c r="BRF77" s="2805"/>
      <c r="BRG77" s="2805"/>
      <c r="BRH77" s="2805"/>
      <c r="BRI77" s="2805"/>
      <c r="BRJ77" s="2805"/>
      <c r="BRK77" s="2805"/>
      <c r="BRL77" s="2805"/>
      <c r="BRM77" s="2805"/>
      <c r="BRN77" s="2805"/>
      <c r="BRO77" s="2805"/>
      <c r="BRP77" s="2805"/>
      <c r="BRQ77" s="2805"/>
      <c r="BRR77" s="2805"/>
      <c r="BRS77" s="2805"/>
      <c r="BRT77" s="2805"/>
      <c r="BRU77" s="2805"/>
      <c r="BRV77" s="2805"/>
      <c r="BRW77" s="2805"/>
      <c r="BRX77" s="2805"/>
      <c r="BRY77" s="2805"/>
      <c r="BRZ77" s="2805"/>
      <c r="BSA77" s="2805"/>
      <c r="BSB77" s="2805"/>
      <c r="BSC77" s="2805"/>
      <c r="BSD77" s="2805"/>
      <c r="BSE77" s="2805"/>
      <c r="BSF77" s="2805"/>
      <c r="BSG77" s="2805"/>
      <c r="BSH77" s="2805"/>
      <c r="BSI77" s="2805"/>
      <c r="BSJ77" s="2805"/>
      <c r="BSK77" s="2805"/>
      <c r="BSL77" s="2805"/>
      <c r="BSM77" s="2805"/>
      <c r="BSN77" s="2805"/>
      <c r="BSO77" s="2805"/>
      <c r="BSP77" s="2805"/>
      <c r="BSQ77" s="2805"/>
      <c r="BSR77" s="2805"/>
      <c r="BSS77" s="2805"/>
      <c r="BST77" s="2805"/>
      <c r="BSU77" s="2805"/>
      <c r="BSV77" s="2805"/>
      <c r="BSW77" s="2805"/>
      <c r="BSX77" s="2805"/>
      <c r="BSY77" s="2805"/>
      <c r="BSZ77" s="2805"/>
      <c r="BTA77" s="2805"/>
      <c r="BTB77" s="2805"/>
      <c r="BTC77" s="2805"/>
      <c r="BTD77" s="2805"/>
      <c r="BTE77" s="2805"/>
      <c r="BTF77" s="2805"/>
      <c r="BTG77" s="2805"/>
      <c r="BTH77" s="2805"/>
      <c r="BTI77" s="2805"/>
      <c r="BTJ77" s="2805"/>
      <c r="BTK77" s="2805"/>
      <c r="BTL77" s="2805"/>
      <c r="BTM77" s="2805"/>
      <c r="BTN77" s="2805"/>
      <c r="BTO77" s="2805"/>
      <c r="BTP77" s="2805"/>
      <c r="BTQ77" s="2805"/>
      <c r="BTR77" s="2805"/>
      <c r="BTS77" s="2805"/>
      <c r="BTT77" s="2805"/>
      <c r="BTU77" s="2805"/>
      <c r="BTV77" s="2805"/>
      <c r="BTW77" s="2805"/>
      <c r="BTX77" s="2805"/>
      <c r="BTY77" s="2805"/>
      <c r="BTZ77" s="2805"/>
      <c r="BUA77" s="2805"/>
      <c r="BUB77" s="2805"/>
      <c r="BUC77" s="2805"/>
      <c r="BUD77" s="2805"/>
      <c r="BUE77" s="2805"/>
      <c r="BUF77" s="2805"/>
      <c r="BUG77" s="2805"/>
      <c r="BUH77" s="2805"/>
      <c r="BUI77" s="2805"/>
      <c r="BUJ77" s="2805"/>
      <c r="BUK77" s="2805"/>
      <c r="BUL77" s="2805"/>
      <c r="BUM77" s="2805"/>
      <c r="BUN77" s="2805"/>
      <c r="BUO77" s="2805"/>
      <c r="BUP77" s="2805"/>
      <c r="BUQ77" s="2805"/>
      <c r="BUR77" s="2805"/>
      <c r="BUS77" s="2805"/>
      <c r="BUT77" s="2805"/>
      <c r="BUU77" s="2805"/>
      <c r="BUV77" s="2805"/>
      <c r="BUW77" s="2805"/>
      <c r="BUX77" s="2805"/>
      <c r="BUY77" s="2805"/>
      <c r="BUZ77" s="2805"/>
      <c r="BVA77" s="2805"/>
      <c r="BVB77" s="2805"/>
      <c r="BVC77" s="2805"/>
      <c r="BVD77" s="2805"/>
      <c r="BVE77" s="2805"/>
      <c r="BVF77" s="2805"/>
      <c r="BVG77" s="2805"/>
      <c r="BVH77" s="2805"/>
      <c r="BVI77" s="2805"/>
      <c r="BVJ77" s="2805"/>
      <c r="BVK77" s="2805"/>
      <c r="BVL77" s="2805"/>
      <c r="BVM77" s="2805"/>
      <c r="BVN77" s="2805"/>
      <c r="BVO77" s="2805"/>
      <c r="BVP77" s="2805"/>
      <c r="BVQ77" s="2805"/>
      <c r="BVR77" s="2805"/>
      <c r="BVS77" s="2805"/>
      <c r="BVT77" s="2805"/>
      <c r="BVU77" s="2805"/>
      <c r="BVV77" s="2805"/>
      <c r="BVW77" s="2805"/>
      <c r="BVX77" s="2805"/>
      <c r="BVY77" s="2805"/>
      <c r="BVZ77" s="2805"/>
      <c r="BWA77" s="2805"/>
      <c r="BWB77" s="2805"/>
      <c r="BWC77" s="2805"/>
      <c r="BWD77" s="2805"/>
      <c r="BWE77" s="2805"/>
      <c r="BWF77" s="2805"/>
      <c r="BWG77" s="2805"/>
      <c r="BWH77" s="2805"/>
      <c r="BWI77" s="2805"/>
      <c r="BWJ77" s="2805"/>
      <c r="BWK77" s="2805"/>
      <c r="BWL77" s="2805"/>
      <c r="BWM77" s="2805"/>
      <c r="BWN77" s="2805"/>
      <c r="BWO77" s="2805"/>
      <c r="BWP77" s="2805"/>
      <c r="BWQ77" s="2805"/>
      <c r="BWR77" s="2805"/>
      <c r="BWS77" s="2805"/>
      <c r="BWT77" s="2805"/>
      <c r="BWU77" s="2805"/>
      <c r="BWV77" s="2805"/>
      <c r="BWW77" s="2805"/>
      <c r="BWX77" s="2805"/>
      <c r="BWY77" s="2805"/>
      <c r="BWZ77" s="2805"/>
      <c r="BXA77" s="2805"/>
      <c r="BXB77" s="2805"/>
      <c r="BXC77" s="2805"/>
      <c r="BXD77" s="2805"/>
      <c r="BXE77" s="2805"/>
      <c r="BXF77" s="2805"/>
      <c r="BXG77" s="2805"/>
      <c r="BXH77" s="2805"/>
      <c r="BXI77" s="2805"/>
      <c r="BXJ77" s="2805"/>
      <c r="BXK77" s="2805"/>
      <c r="BXL77" s="2805"/>
      <c r="BXM77" s="2805"/>
      <c r="BXN77" s="2805"/>
      <c r="BXO77" s="2805"/>
      <c r="BXP77" s="2805"/>
      <c r="BXQ77" s="2805"/>
      <c r="BXR77" s="2805"/>
      <c r="BXS77" s="2805"/>
      <c r="BXT77" s="2805"/>
      <c r="BXU77" s="2805"/>
      <c r="BXV77" s="2805"/>
      <c r="BXW77" s="2805"/>
      <c r="BXX77" s="2805"/>
      <c r="BXY77" s="2805"/>
      <c r="BXZ77" s="2805"/>
      <c r="BYA77" s="2805"/>
      <c r="BYB77" s="2805"/>
      <c r="BYC77" s="2805"/>
      <c r="BYD77" s="2805"/>
      <c r="BYE77" s="2805"/>
      <c r="BYF77" s="2805"/>
      <c r="BYG77" s="2805"/>
      <c r="BYH77" s="2805"/>
      <c r="BYI77" s="2805"/>
      <c r="BYJ77" s="2805"/>
      <c r="BYK77" s="2805"/>
      <c r="BYL77" s="2805"/>
      <c r="BYM77" s="2805"/>
      <c r="BYN77" s="2805"/>
      <c r="BYO77" s="2805"/>
      <c r="BYP77" s="2805"/>
      <c r="BYQ77" s="2805"/>
      <c r="BYR77" s="2805"/>
      <c r="BYS77" s="2805"/>
      <c r="BYT77" s="2805"/>
      <c r="BYU77" s="2805"/>
      <c r="BYV77" s="2805"/>
      <c r="BYW77" s="2805"/>
      <c r="BYX77" s="2805"/>
      <c r="BYY77" s="2805"/>
      <c r="BYZ77" s="2805"/>
      <c r="BZA77" s="2805"/>
      <c r="BZB77" s="2805"/>
      <c r="BZC77" s="2805"/>
      <c r="BZD77" s="2805"/>
      <c r="BZE77" s="2805"/>
      <c r="BZF77" s="2805"/>
      <c r="BZG77" s="2805"/>
      <c r="BZH77" s="2805"/>
      <c r="BZI77" s="2805"/>
      <c r="BZJ77" s="2805"/>
      <c r="BZK77" s="2805"/>
      <c r="BZL77" s="2805"/>
      <c r="BZM77" s="2805"/>
      <c r="BZN77" s="2805"/>
      <c r="BZO77" s="2805"/>
      <c r="BZP77" s="2805"/>
      <c r="BZQ77" s="2805"/>
      <c r="BZR77" s="2805"/>
      <c r="BZS77" s="2805"/>
      <c r="BZT77" s="2805"/>
      <c r="BZU77" s="2805"/>
      <c r="BZV77" s="2805"/>
      <c r="BZW77" s="2805"/>
      <c r="BZX77" s="2805"/>
      <c r="BZY77" s="2805"/>
      <c r="BZZ77" s="2805"/>
      <c r="CAA77" s="2805"/>
      <c r="CAB77" s="2805"/>
      <c r="CAC77" s="2805"/>
      <c r="CAD77" s="2805"/>
      <c r="CAE77" s="2805"/>
      <c r="CAF77" s="2805"/>
      <c r="CAG77" s="2805"/>
      <c r="CAH77" s="2805"/>
      <c r="CAI77" s="2805"/>
      <c r="CAJ77" s="2805"/>
      <c r="CAK77" s="2805"/>
      <c r="CAL77" s="2805"/>
      <c r="CAM77" s="2805"/>
      <c r="CAN77" s="2805"/>
      <c r="CAO77" s="2805"/>
      <c r="CAP77" s="2805"/>
      <c r="CAQ77" s="2805"/>
      <c r="CAR77" s="2805"/>
      <c r="CAS77" s="2805"/>
      <c r="CAT77" s="2805"/>
      <c r="CAU77" s="2805"/>
      <c r="CAV77" s="2805"/>
      <c r="CAW77" s="2805"/>
      <c r="CAX77" s="2805"/>
      <c r="CAY77" s="2805"/>
      <c r="CAZ77" s="2805"/>
      <c r="CBA77" s="2805"/>
      <c r="CBB77" s="2805"/>
      <c r="CBC77" s="2805"/>
      <c r="CBD77" s="2805"/>
      <c r="CBE77" s="2805"/>
      <c r="CBF77" s="2805"/>
      <c r="CBG77" s="2805"/>
      <c r="CBH77" s="2805"/>
      <c r="CBI77" s="2805"/>
      <c r="CBJ77" s="2805"/>
      <c r="CBK77" s="2805"/>
      <c r="CBL77" s="2805"/>
      <c r="CBM77" s="2805"/>
      <c r="CBN77" s="2805"/>
      <c r="CBO77" s="2805"/>
      <c r="CBP77" s="2805"/>
      <c r="CBQ77" s="2805"/>
      <c r="CBR77" s="2805"/>
      <c r="CBS77" s="2805"/>
      <c r="CBT77" s="2805"/>
      <c r="CBU77" s="2805"/>
      <c r="CBV77" s="2805"/>
      <c r="CBW77" s="2805"/>
      <c r="CBX77" s="2805"/>
      <c r="CBY77" s="2805"/>
      <c r="CBZ77" s="2805"/>
      <c r="CCA77" s="2805"/>
      <c r="CCB77" s="2805"/>
      <c r="CCC77" s="2805"/>
      <c r="CCD77" s="2805"/>
      <c r="CCE77" s="2805"/>
      <c r="CCF77" s="2805"/>
      <c r="CCG77" s="2805"/>
      <c r="CCH77" s="2805"/>
      <c r="CCI77" s="2805"/>
      <c r="CCJ77" s="2805"/>
      <c r="CCK77" s="2805"/>
      <c r="CCL77" s="2805"/>
      <c r="CCM77" s="2805"/>
      <c r="CCN77" s="2805"/>
      <c r="CCO77" s="2805"/>
      <c r="CCP77" s="2805"/>
      <c r="CCQ77" s="2805"/>
      <c r="CCR77" s="2805"/>
      <c r="CCS77" s="2805"/>
      <c r="CCT77" s="2805"/>
      <c r="CCU77" s="2805"/>
      <c r="CCV77" s="2805"/>
      <c r="CCW77" s="2805"/>
      <c r="CCX77" s="2805"/>
      <c r="CCY77" s="2805"/>
      <c r="CCZ77" s="2805"/>
      <c r="CDA77" s="2805"/>
      <c r="CDB77" s="2805"/>
      <c r="CDC77" s="2805"/>
      <c r="CDD77" s="2805"/>
      <c r="CDE77" s="2805"/>
      <c r="CDF77" s="2805"/>
      <c r="CDG77" s="2805"/>
      <c r="CDH77" s="2805"/>
      <c r="CDI77" s="2805"/>
      <c r="CDJ77" s="2805"/>
      <c r="CDK77" s="2805"/>
      <c r="CDL77" s="2805"/>
      <c r="CDM77" s="2805"/>
      <c r="CDN77" s="2805"/>
      <c r="CDO77" s="2805"/>
      <c r="CDP77" s="2805"/>
      <c r="CDQ77" s="2805"/>
      <c r="CDR77" s="2805"/>
      <c r="CDS77" s="2805"/>
      <c r="CDT77" s="2805"/>
      <c r="CDU77" s="2805"/>
      <c r="CDV77" s="2805"/>
      <c r="CDW77" s="2805"/>
      <c r="CDX77" s="2805"/>
      <c r="CDY77" s="2805"/>
      <c r="CDZ77" s="2805"/>
      <c r="CEA77" s="2805"/>
      <c r="CEB77" s="2805"/>
      <c r="CEC77" s="2805"/>
      <c r="CED77" s="2805"/>
      <c r="CEE77" s="2805"/>
      <c r="CEF77" s="2805"/>
      <c r="CEG77" s="2805"/>
      <c r="CEH77" s="2805"/>
      <c r="CEI77" s="2805"/>
      <c r="CEJ77" s="2805"/>
      <c r="CEK77" s="2805"/>
      <c r="CEL77" s="2805"/>
      <c r="CEM77" s="2805"/>
      <c r="CEN77" s="2805"/>
      <c r="CEO77" s="2805"/>
      <c r="CEP77" s="2805"/>
      <c r="CEQ77" s="2805"/>
      <c r="CER77" s="2805"/>
      <c r="CES77" s="2805"/>
      <c r="CET77" s="2805"/>
      <c r="CEU77" s="2805"/>
      <c r="CEV77" s="2805"/>
      <c r="CEW77" s="2805"/>
      <c r="CEX77" s="2805"/>
      <c r="CEY77" s="2805"/>
      <c r="CEZ77" s="2805"/>
      <c r="CFA77" s="2805"/>
      <c r="CFB77" s="2805"/>
      <c r="CFC77" s="2805"/>
      <c r="CFD77" s="2805"/>
      <c r="CFE77" s="2805"/>
      <c r="CFF77" s="2805"/>
      <c r="CFG77" s="2805"/>
      <c r="CFH77" s="2805"/>
      <c r="CFI77" s="2805"/>
      <c r="CFJ77" s="2805"/>
      <c r="CFK77" s="2805"/>
      <c r="CFL77" s="2805"/>
      <c r="CFM77" s="2805"/>
      <c r="CFN77" s="2805"/>
      <c r="CFO77" s="2805"/>
      <c r="CFP77" s="2805"/>
      <c r="CFQ77" s="2805"/>
      <c r="CFR77" s="2805"/>
      <c r="CFS77" s="2805"/>
      <c r="CFT77" s="2805"/>
      <c r="CFU77" s="2805"/>
      <c r="CFV77" s="2805"/>
      <c r="CFW77" s="2805"/>
      <c r="CFX77" s="2805"/>
      <c r="CFY77" s="2805"/>
      <c r="CFZ77" s="2805"/>
      <c r="CGA77" s="2805"/>
      <c r="CGB77" s="2805"/>
      <c r="CGC77" s="2805"/>
      <c r="CGD77" s="2805"/>
      <c r="CGE77" s="2805"/>
      <c r="CGF77" s="2805"/>
      <c r="CGG77" s="2805"/>
      <c r="CGH77" s="2805"/>
      <c r="CGI77" s="2805"/>
      <c r="CGJ77" s="2805"/>
      <c r="CGK77" s="2805"/>
      <c r="CGL77" s="2805"/>
      <c r="CGM77" s="2805"/>
      <c r="CGN77" s="2805"/>
      <c r="CGO77" s="2805"/>
      <c r="CGP77" s="2805"/>
      <c r="CGQ77" s="2805"/>
      <c r="CGR77" s="2805"/>
      <c r="CGS77" s="2805"/>
      <c r="CGT77" s="2805"/>
      <c r="CGU77" s="2805"/>
      <c r="CGV77" s="2805"/>
      <c r="CGW77" s="2805"/>
      <c r="CGX77" s="2805"/>
      <c r="CGY77" s="2805"/>
      <c r="CGZ77" s="2805"/>
      <c r="CHA77" s="2805"/>
      <c r="CHB77" s="2805"/>
      <c r="CHC77" s="2805"/>
      <c r="CHD77" s="2805"/>
      <c r="CHE77" s="2805"/>
      <c r="CHF77" s="2805"/>
      <c r="CHG77" s="2805"/>
      <c r="CHH77" s="2805"/>
      <c r="CHI77" s="2805"/>
      <c r="CHJ77" s="2805"/>
      <c r="CHK77" s="2805"/>
      <c r="CHL77" s="2805"/>
      <c r="CHM77" s="2805"/>
      <c r="CHN77" s="2805"/>
      <c r="CHO77" s="2805"/>
      <c r="CHP77" s="2805"/>
      <c r="CHQ77" s="2805"/>
      <c r="CHR77" s="2805"/>
      <c r="CHS77" s="2805"/>
      <c r="CHT77" s="2805"/>
      <c r="CHU77" s="2805"/>
      <c r="CHV77" s="2805"/>
      <c r="CHW77" s="2805"/>
      <c r="CHX77" s="2805"/>
      <c r="CHY77" s="2805"/>
      <c r="CHZ77" s="2805"/>
      <c r="CIA77" s="2805"/>
      <c r="CIB77" s="2805"/>
      <c r="CIC77" s="2805"/>
      <c r="CID77" s="2805"/>
      <c r="CIE77" s="2805"/>
      <c r="CIF77" s="2805"/>
      <c r="CIG77" s="2805"/>
      <c r="CIH77" s="2805"/>
      <c r="CII77" s="2805"/>
      <c r="CIJ77" s="2805"/>
      <c r="CIK77" s="2805"/>
      <c r="CIL77" s="2805"/>
      <c r="CIM77" s="2805"/>
      <c r="CIN77" s="2805"/>
      <c r="CIO77" s="2805"/>
      <c r="CIP77" s="2805"/>
      <c r="CIQ77" s="2805"/>
      <c r="CIR77" s="2805"/>
      <c r="CIS77" s="2805"/>
      <c r="CIT77" s="2805"/>
      <c r="CIU77" s="2805"/>
      <c r="CIV77" s="2805"/>
      <c r="CIW77" s="2805"/>
      <c r="CIX77" s="2805"/>
      <c r="CIY77" s="2805"/>
      <c r="CIZ77" s="2805"/>
      <c r="CJA77" s="2805"/>
      <c r="CJB77" s="2805"/>
      <c r="CJC77" s="2805"/>
      <c r="CJD77" s="2805"/>
      <c r="CJE77" s="2805"/>
      <c r="CJF77" s="2805"/>
      <c r="CJG77" s="2805"/>
      <c r="CJH77" s="2805"/>
      <c r="CJI77" s="2805"/>
      <c r="CJJ77" s="2805"/>
      <c r="CJK77" s="2805"/>
      <c r="CJL77" s="2805"/>
      <c r="CJM77" s="2805"/>
      <c r="CJN77" s="2805"/>
      <c r="CJO77" s="2805"/>
      <c r="CJP77" s="2805"/>
      <c r="CJQ77" s="2805"/>
      <c r="CJR77" s="2805"/>
      <c r="CJS77" s="2805"/>
      <c r="CJT77" s="2805"/>
      <c r="CJU77" s="2805"/>
      <c r="CJV77" s="2805"/>
      <c r="CJW77" s="2805"/>
      <c r="CJX77" s="2805"/>
      <c r="CJY77" s="2805"/>
      <c r="CJZ77" s="2805"/>
      <c r="CKA77" s="2805"/>
      <c r="CKB77" s="2805"/>
      <c r="CKC77" s="2805"/>
      <c r="CKD77" s="2805"/>
      <c r="CKE77" s="2805"/>
      <c r="CKF77" s="2805"/>
      <c r="CKG77" s="2805"/>
      <c r="CKH77" s="2805"/>
      <c r="CKI77" s="2805"/>
      <c r="CKJ77" s="2805"/>
      <c r="CKK77" s="2805"/>
      <c r="CKL77" s="2805"/>
      <c r="CKM77" s="2805"/>
      <c r="CKN77" s="2805"/>
      <c r="CKO77" s="2805"/>
      <c r="CKP77" s="2805"/>
      <c r="CKQ77" s="2805"/>
      <c r="CKR77" s="2805"/>
      <c r="CKS77" s="2805"/>
      <c r="CKT77" s="2805"/>
      <c r="CKU77" s="2805"/>
      <c r="CKV77" s="2805"/>
      <c r="CKW77" s="2805"/>
      <c r="CKX77" s="2805"/>
      <c r="CKY77" s="2805"/>
      <c r="CKZ77" s="2805"/>
      <c r="CLA77" s="2805"/>
      <c r="CLB77" s="2805"/>
      <c r="CLC77" s="2805"/>
      <c r="CLD77" s="2805"/>
      <c r="CLE77" s="2805"/>
      <c r="CLF77" s="2805"/>
      <c r="CLG77" s="2805"/>
      <c r="CLH77" s="2805"/>
      <c r="CLI77" s="2805"/>
      <c r="CLJ77" s="2805"/>
      <c r="CLK77" s="2805"/>
      <c r="CLL77" s="2805"/>
      <c r="CLM77" s="2805"/>
      <c r="CLN77" s="2805"/>
      <c r="CLO77" s="2805"/>
      <c r="CLP77" s="2805"/>
      <c r="CLQ77" s="2805"/>
      <c r="CLR77" s="2805"/>
      <c r="CLS77" s="2805"/>
      <c r="CLT77" s="2805"/>
      <c r="CLU77" s="2805"/>
      <c r="CLV77" s="2805"/>
      <c r="CLW77" s="2805"/>
      <c r="CLX77" s="2805"/>
      <c r="CLY77" s="2805"/>
      <c r="CLZ77" s="2805"/>
      <c r="CMA77" s="2805"/>
      <c r="CMB77" s="2805"/>
      <c r="CMC77" s="2805"/>
      <c r="CMD77" s="2805"/>
      <c r="CME77" s="2805"/>
      <c r="CMF77" s="2805"/>
      <c r="CMG77" s="2805"/>
      <c r="CMH77" s="2805"/>
      <c r="CMI77" s="2805"/>
      <c r="CMJ77" s="2805"/>
      <c r="CMK77" s="2805"/>
      <c r="CML77" s="2805"/>
      <c r="CMM77" s="2805"/>
      <c r="CMN77" s="2805"/>
      <c r="CMO77" s="2805"/>
      <c r="CMP77" s="2805"/>
      <c r="CMQ77" s="2805"/>
      <c r="CMR77" s="2805"/>
      <c r="CMS77" s="2805"/>
      <c r="CMT77" s="2805"/>
      <c r="CMU77" s="2805"/>
      <c r="CMV77" s="2805"/>
      <c r="CMW77" s="2805"/>
      <c r="CMX77" s="2805"/>
      <c r="CMY77" s="2805"/>
      <c r="CMZ77" s="2805"/>
      <c r="CNA77" s="2805"/>
      <c r="CNB77" s="2805"/>
      <c r="CNC77" s="2805"/>
      <c r="CND77" s="2805"/>
      <c r="CNE77" s="2805"/>
      <c r="CNF77" s="2805"/>
      <c r="CNG77" s="2805"/>
      <c r="CNH77" s="2805"/>
      <c r="CNI77" s="2805"/>
      <c r="CNJ77" s="2805"/>
      <c r="CNK77" s="2805"/>
      <c r="CNL77" s="2805"/>
      <c r="CNM77" s="2805"/>
      <c r="CNN77" s="2805"/>
      <c r="CNO77" s="2805"/>
      <c r="CNP77" s="2805"/>
      <c r="CNQ77" s="2805"/>
      <c r="CNR77" s="2805"/>
      <c r="CNS77" s="2805"/>
      <c r="CNT77" s="2805"/>
      <c r="CNU77" s="2805"/>
      <c r="CNV77" s="2805"/>
      <c r="CNW77" s="2805"/>
      <c r="CNX77" s="2805"/>
      <c r="CNY77" s="2805"/>
      <c r="CNZ77" s="2805"/>
      <c r="COA77" s="2805"/>
      <c r="COB77" s="2805"/>
      <c r="COC77" s="2805"/>
      <c r="COD77" s="2805"/>
      <c r="COE77" s="2805"/>
      <c r="COF77" s="2805"/>
      <c r="COG77" s="2805"/>
      <c r="COH77" s="2805"/>
      <c r="COI77" s="2805"/>
      <c r="COJ77" s="2805"/>
      <c r="COK77" s="2805"/>
      <c r="COL77" s="2805"/>
      <c r="COM77" s="2805"/>
      <c r="CON77" s="2805"/>
      <c r="COO77" s="2805"/>
      <c r="COP77" s="2805"/>
      <c r="COQ77" s="2805"/>
      <c r="COR77" s="2805"/>
      <c r="COS77" s="2805"/>
      <c r="COT77" s="2805"/>
      <c r="COU77" s="2805"/>
      <c r="COV77" s="2805"/>
      <c r="COW77" s="2805"/>
      <c r="COX77" s="2805"/>
      <c r="COY77" s="2805"/>
      <c r="COZ77" s="2805"/>
      <c r="CPA77" s="2805"/>
      <c r="CPB77" s="2805"/>
      <c r="CPC77" s="2805"/>
      <c r="CPD77" s="2805"/>
      <c r="CPE77" s="2805"/>
      <c r="CPF77" s="2805"/>
      <c r="CPG77" s="2805"/>
      <c r="CPH77" s="2805"/>
      <c r="CPI77" s="2805"/>
      <c r="CPJ77" s="2805"/>
      <c r="CPK77" s="2805"/>
      <c r="CPL77" s="2805"/>
      <c r="CPM77" s="2805"/>
      <c r="CPN77" s="2805"/>
      <c r="CPO77" s="2805"/>
      <c r="CPP77" s="2805"/>
      <c r="CPQ77" s="2805"/>
      <c r="CPR77" s="2805"/>
      <c r="CPS77" s="2805"/>
      <c r="CPT77" s="2805"/>
      <c r="CPU77" s="2805"/>
      <c r="CPV77" s="2805"/>
      <c r="CPW77" s="2805"/>
      <c r="CPX77" s="2805"/>
      <c r="CPY77" s="2805"/>
      <c r="CPZ77" s="2805"/>
      <c r="CQA77" s="2805"/>
      <c r="CQB77" s="2805"/>
      <c r="CQC77" s="2805"/>
      <c r="CQD77" s="2805"/>
      <c r="CQE77" s="2805"/>
      <c r="CQF77" s="2805"/>
      <c r="CQG77" s="2805"/>
      <c r="CQH77" s="2805"/>
      <c r="CQI77" s="2805"/>
      <c r="CQJ77" s="2805"/>
      <c r="CQK77" s="2805"/>
      <c r="CQL77" s="2805"/>
      <c r="CQM77" s="2805"/>
      <c r="CQN77" s="2805"/>
      <c r="CQO77" s="2805"/>
      <c r="CQP77" s="2805"/>
      <c r="CQQ77" s="2805"/>
      <c r="CQR77" s="2805"/>
      <c r="CQS77" s="2805"/>
      <c r="CQT77" s="2805"/>
      <c r="CQU77" s="2805"/>
      <c r="CQV77" s="2805"/>
      <c r="CQW77" s="2805"/>
      <c r="CQX77" s="2805"/>
      <c r="CQY77" s="2805"/>
      <c r="CQZ77" s="2805"/>
      <c r="CRA77" s="2805"/>
      <c r="CRB77" s="2805"/>
      <c r="CRC77" s="2805"/>
      <c r="CRD77" s="2805"/>
      <c r="CRE77" s="2805"/>
      <c r="CRF77" s="2805"/>
      <c r="CRG77" s="2805"/>
      <c r="CRH77" s="2805"/>
      <c r="CRI77" s="2805"/>
      <c r="CRJ77" s="2805"/>
      <c r="CRK77" s="2805"/>
      <c r="CRL77" s="2805"/>
      <c r="CRM77" s="2805"/>
      <c r="CRN77" s="2805"/>
      <c r="CRO77" s="2805"/>
      <c r="CRP77" s="2805"/>
      <c r="CRQ77" s="2805"/>
      <c r="CRR77" s="2805"/>
      <c r="CRS77" s="2805"/>
      <c r="CRT77" s="2805"/>
      <c r="CRU77" s="2805"/>
      <c r="CRV77" s="2805"/>
      <c r="CRW77" s="2805"/>
      <c r="CRX77" s="2805"/>
      <c r="CRY77" s="2805"/>
      <c r="CRZ77" s="2805"/>
      <c r="CSA77" s="2805"/>
      <c r="CSB77" s="2805"/>
      <c r="CSC77" s="2805"/>
      <c r="CSD77" s="2805"/>
      <c r="CSE77" s="2805"/>
      <c r="CSF77" s="2805"/>
      <c r="CSG77" s="2805"/>
      <c r="CSH77" s="2805"/>
      <c r="CSI77" s="2805"/>
      <c r="CSJ77" s="2805"/>
      <c r="CSK77" s="2805"/>
      <c r="CSL77" s="2805"/>
      <c r="CSM77" s="2805"/>
      <c r="CSN77" s="2805"/>
      <c r="CSO77" s="2805"/>
      <c r="CSP77" s="2805"/>
      <c r="CSQ77" s="2805"/>
      <c r="CSR77" s="2805"/>
      <c r="CSS77" s="2805"/>
      <c r="CST77" s="2805"/>
      <c r="CSU77" s="2805"/>
      <c r="CSV77" s="2805"/>
      <c r="CSW77" s="2805"/>
      <c r="CSX77" s="2805"/>
      <c r="CSY77" s="2805"/>
      <c r="CSZ77" s="2805"/>
      <c r="CTA77" s="2805"/>
      <c r="CTB77" s="2805"/>
      <c r="CTC77" s="2805"/>
      <c r="CTD77" s="2805"/>
      <c r="CTE77" s="2805"/>
      <c r="CTF77" s="2805"/>
      <c r="CTG77" s="2805"/>
      <c r="CTH77" s="2805"/>
      <c r="CTI77" s="2805"/>
      <c r="CTJ77" s="2805"/>
      <c r="CTK77" s="2805"/>
      <c r="CTL77" s="2805"/>
      <c r="CTM77" s="2805"/>
      <c r="CTN77" s="2805"/>
      <c r="CTO77" s="2805"/>
      <c r="CTP77" s="2805"/>
      <c r="CTQ77" s="2805"/>
      <c r="CTR77" s="2805"/>
      <c r="CTS77" s="2805"/>
      <c r="CTT77" s="2805"/>
      <c r="CTU77" s="2805"/>
      <c r="CTV77" s="2805"/>
      <c r="CTW77" s="2805"/>
      <c r="CTX77" s="2805"/>
      <c r="CTY77" s="2805"/>
      <c r="CTZ77" s="2805"/>
      <c r="CUA77" s="2805"/>
      <c r="CUB77" s="2805"/>
      <c r="CUC77" s="2805"/>
      <c r="CUD77" s="2805"/>
      <c r="CUE77" s="2805"/>
      <c r="CUF77" s="2805"/>
      <c r="CUG77" s="2805"/>
      <c r="CUH77" s="2805"/>
      <c r="CUI77" s="2805"/>
      <c r="CUJ77" s="2805"/>
      <c r="CUK77" s="2805"/>
      <c r="CUL77" s="2805"/>
      <c r="CUM77" s="2805"/>
      <c r="CUN77" s="2805"/>
      <c r="CUO77" s="2805"/>
      <c r="CUP77" s="2805"/>
      <c r="CUQ77" s="2805"/>
      <c r="CUR77" s="2805"/>
      <c r="CUS77" s="2805"/>
      <c r="CUT77" s="2805"/>
      <c r="CUU77" s="2805"/>
      <c r="CUV77" s="2805"/>
      <c r="CUW77" s="2805"/>
      <c r="CUX77" s="2805"/>
      <c r="CUY77" s="2805"/>
      <c r="CUZ77" s="2805"/>
      <c r="CVA77" s="2805"/>
      <c r="CVB77" s="2805"/>
      <c r="CVC77" s="2805"/>
      <c r="CVD77" s="2805"/>
      <c r="CVE77" s="2805"/>
      <c r="CVF77" s="2805"/>
      <c r="CVG77" s="2805"/>
      <c r="CVH77" s="2805"/>
      <c r="CVI77" s="2805"/>
      <c r="CVJ77" s="2805"/>
      <c r="CVK77" s="2805"/>
      <c r="CVL77" s="2805"/>
      <c r="CVM77" s="2805"/>
      <c r="CVN77" s="2805"/>
      <c r="CVO77" s="2805"/>
      <c r="CVP77" s="2805"/>
      <c r="CVQ77" s="2805"/>
      <c r="CVR77" s="2805"/>
      <c r="CVS77" s="2805"/>
      <c r="CVT77" s="2805"/>
      <c r="CVU77" s="2805"/>
      <c r="CVV77" s="2805"/>
      <c r="CVW77" s="2805"/>
      <c r="CVX77" s="2805"/>
      <c r="CVY77" s="2805"/>
      <c r="CVZ77" s="2805"/>
      <c r="CWA77" s="2805"/>
      <c r="CWB77" s="2805"/>
      <c r="CWC77" s="2805"/>
      <c r="CWD77" s="2805"/>
      <c r="CWE77" s="2805"/>
      <c r="CWF77" s="2805"/>
      <c r="CWG77" s="2805"/>
      <c r="CWH77" s="2805"/>
      <c r="CWI77" s="2805"/>
      <c r="CWJ77" s="2805"/>
      <c r="CWK77" s="2805"/>
      <c r="CWL77" s="2805"/>
      <c r="CWM77" s="2805"/>
      <c r="CWN77" s="2805"/>
      <c r="CWO77" s="2805"/>
      <c r="CWP77" s="2805"/>
      <c r="CWQ77" s="2805"/>
      <c r="CWR77" s="2805"/>
      <c r="CWS77" s="2805"/>
      <c r="CWT77" s="2805"/>
      <c r="CWU77" s="2805"/>
      <c r="CWV77" s="2805"/>
      <c r="CWW77" s="2805"/>
      <c r="CWX77" s="2805"/>
      <c r="CWY77" s="2805"/>
      <c r="CWZ77" s="2805"/>
      <c r="CXA77" s="2805"/>
      <c r="CXB77" s="2805"/>
      <c r="CXC77" s="2805"/>
      <c r="CXD77" s="2805"/>
      <c r="CXE77" s="2805"/>
      <c r="CXF77" s="2805"/>
      <c r="CXG77" s="2805"/>
      <c r="CXH77" s="2805"/>
      <c r="CXI77" s="2805"/>
      <c r="CXJ77" s="2805"/>
      <c r="CXK77" s="2805"/>
      <c r="CXL77" s="2805"/>
      <c r="CXM77" s="2805"/>
      <c r="CXN77" s="2805"/>
      <c r="CXO77" s="2805"/>
      <c r="CXP77" s="2805"/>
      <c r="CXQ77" s="2805"/>
      <c r="CXR77" s="2805"/>
      <c r="CXS77" s="2805"/>
      <c r="CXT77" s="2805"/>
      <c r="CXU77" s="2805"/>
      <c r="CXV77" s="2805"/>
      <c r="CXW77" s="2805"/>
      <c r="CXX77" s="2805"/>
      <c r="CXY77" s="2805"/>
      <c r="CXZ77" s="2805"/>
      <c r="CYA77" s="2805"/>
      <c r="CYB77" s="2805"/>
      <c r="CYC77" s="2805"/>
      <c r="CYD77" s="2805"/>
      <c r="CYE77" s="2805"/>
      <c r="CYF77" s="2805"/>
      <c r="CYG77" s="2805"/>
      <c r="CYH77" s="2805"/>
      <c r="CYI77" s="2805"/>
      <c r="CYJ77" s="2805"/>
      <c r="CYK77" s="2805"/>
      <c r="CYL77" s="2805"/>
      <c r="CYM77" s="2805"/>
      <c r="CYN77" s="2805"/>
      <c r="CYO77" s="2805"/>
      <c r="CYP77" s="2805"/>
      <c r="CYQ77" s="2805"/>
      <c r="CYR77" s="2805"/>
      <c r="CYS77" s="2805"/>
      <c r="CYT77" s="2805"/>
      <c r="CYU77" s="2805"/>
      <c r="CYV77" s="2805"/>
      <c r="CYW77" s="2805"/>
      <c r="CYX77" s="2805"/>
      <c r="CYY77" s="2805"/>
      <c r="CYZ77" s="2805"/>
      <c r="CZA77" s="2805"/>
      <c r="CZB77" s="2805"/>
      <c r="CZC77" s="2805"/>
      <c r="CZD77" s="2805"/>
      <c r="CZE77" s="2805"/>
      <c r="CZF77" s="2805"/>
      <c r="CZG77" s="2805"/>
      <c r="CZH77" s="2805"/>
      <c r="CZI77" s="2805"/>
      <c r="CZJ77" s="2805"/>
      <c r="CZK77" s="2805"/>
      <c r="CZL77" s="2805"/>
      <c r="CZM77" s="2805"/>
      <c r="CZN77" s="2805"/>
      <c r="CZO77" s="2805"/>
      <c r="CZP77" s="2805"/>
      <c r="CZQ77" s="2805"/>
      <c r="CZR77" s="2805"/>
      <c r="CZS77" s="2805"/>
      <c r="CZT77" s="2805"/>
      <c r="CZU77" s="2805"/>
      <c r="CZV77" s="2805"/>
      <c r="CZW77" s="2805"/>
      <c r="CZX77" s="2805"/>
      <c r="CZY77" s="2805"/>
      <c r="CZZ77" s="2805"/>
      <c r="DAA77" s="2805"/>
      <c r="DAB77" s="2805"/>
      <c r="DAC77" s="2805"/>
      <c r="DAD77" s="2805"/>
      <c r="DAE77" s="2805"/>
      <c r="DAF77" s="2805"/>
      <c r="DAG77" s="2805"/>
      <c r="DAH77" s="2805"/>
      <c r="DAI77" s="2805"/>
      <c r="DAJ77" s="2805"/>
      <c r="DAK77" s="2805"/>
      <c r="DAL77" s="2805"/>
      <c r="DAM77" s="2805"/>
      <c r="DAN77" s="2805"/>
      <c r="DAO77" s="2805"/>
      <c r="DAP77" s="2805"/>
      <c r="DAQ77" s="2805"/>
      <c r="DAR77" s="2805"/>
      <c r="DAS77" s="2805"/>
      <c r="DAT77" s="2805"/>
      <c r="DAU77" s="2805"/>
      <c r="DAV77" s="2805"/>
      <c r="DAW77" s="2805"/>
      <c r="DAX77" s="2805"/>
      <c r="DAY77" s="2805"/>
      <c r="DAZ77" s="2805"/>
      <c r="DBA77" s="2805"/>
      <c r="DBB77" s="2805"/>
      <c r="DBC77" s="2805"/>
      <c r="DBD77" s="2805"/>
      <c r="DBE77" s="2805"/>
      <c r="DBF77" s="2805"/>
      <c r="DBG77" s="2805"/>
      <c r="DBH77" s="2805"/>
      <c r="DBI77" s="2805"/>
      <c r="DBJ77" s="2805"/>
      <c r="DBK77" s="2805"/>
      <c r="DBL77" s="2805"/>
      <c r="DBM77" s="2805"/>
      <c r="DBN77" s="2805"/>
      <c r="DBO77" s="2805"/>
      <c r="DBP77" s="2805"/>
      <c r="DBQ77" s="2805"/>
      <c r="DBR77" s="2805"/>
      <c r="DBS77" s="2805"/>
      <c r="DBT77" s="2805"/>
      <c r="DBU77" s="2805"/>
      <c r="DBV77" s="2805"/>
      <c r="DBW77" s="2805"/>
      <c r="DBX77" s="2805"/>
      <c r="DBY77" s="2805"/>
      <c r="DBZ77" s="2805"/>
      <c r="DCA77" s="2805"/>
      <c r="DCB77" s="2805"/>
      <c r="DCC77" s="2805"/>
      <c r="DCD77" s="2805"/>
      <c r="DCE77" s="2805"/>
      <c r="DCF77" s="2805"/>
      <c r="DCG77" s="2805"/>
      <c r="DCH77" s="2805"/>
      <c r="DCI77" s="2805"/>
      <c r="DCJ77" s="2805"/>
      <c r="DCK77" s="2805"/>
      <c r="DCL77" s="2805"/>
      <c r="DCM77" s="2805"/>
      <c r="DCN77" s="2805"/>
      <c r="DCO77" s="2805"/>
      <c r="DCP77" s="2805"/>
      <c r="DCQ77" s="2805"/>
      <c r="DCR77" s="2805"/>
      <c r="DCS77" s="2805"/>
      <c r="DCT77" s="2805"/>
      <c r="DCU77" s="2805"/>
      <c r="DCV77" s="2805"/>
      <c r="DCW77" s="2805"/>
      <c r="DCX77" s="2805"/>
      <c r="DCY77" s="2805"/>
      <c r="DCZ77" s="2805"/>
      <c r="DDA77" s="2805"/>
      <c r="DDB77" s="2805"/>
      <c r="DDC77" s="2805"/>
      <c r="DDD77" s="2805"/>
      <c r="DDE77" s="2805"/>
      <c r="DDF77" s="2805"/>
      <c r="DDG77" s="2805"/>
      <c r="DDH77" s="2805"/>
      <c r="DDI77" s="2805"/>
      <c r="DDJ77" s="2805"/>
      <c r="DDK77" s="2805"/>
      <c r="DDL77" s="2805"/>
      <c r="DDM77" s="2805"/>
      <c r="DDN77" s="2805"/>
      <c r="DDO77" s="2805"/>
      <c r="DDP77" s="2805"/>
      <c r="DDQ77" s="2805"/>
      <c r="DDR77" s="2805"/>
      <c r="DDS77" s="2805"/>
      <c r="DDT77" s="2805"/>
      <c r="DDU77" s="2805"/>
      <c r="DDV77" s="2805"/>
      <c r="DDW77" s="2805"/>
      <c r="DDX77" s="2805"/>
      <c r="DDY77" s="2805"/>
      <c r="DDZ77" s="2805"/>
      <c r="DEA77" s="2805"/>
      <c r="DEB77" s="2805"/>
      <c r="DEC77" s="2805"/>
      <c r="DED77" s="2805"/>
      <c r="DEE77" s="2805"/>
      <c r="DEF77" s="2805"/>
      <c r="DEG77" s="2805"/>
      <c r="DEH77" s="2805"/>
      <c r="DEI77" s="2805"/>
      <c r="DEJ77" s="2805"/>
      <c r="DEK77" s="2805"/>
      <c r="DEL77" s="2805"/>
      <c r="DEM77" s="2805"/>
      <c r="DEN77" s="2805"/>
      <c r="DEO77" s="2805"/>
      <c r="DEP77" s="2805"/>
      <c r="DEQ77" s="2805"/>
      <c r="DER77" s="2805"/>
      <c r="DES77" s="2805"/>
      <c r="DET77" s="2805"/>
      <c r="DEU77" s="2805"/>
      <c r="DEV77" s="2805"/>
      <c r="DEW77" s="2805"/>
      <c r="DEX77" s="2805"/>
      <c r="DEY77" s="2805"/>
      <c r="DEZ77" s="2805"/>
      <c r="DFA77" s="2805"/>
      <c r="DFB77" s="2805"/>
      <c r="DFC77" s="2805"/>
      <c r="DFD77" s="2805"/>
      <c r="DFE77" s="2805"/>
      <c r="DFF77" s="2805"/>
      <c r="DFG77" s="2805"/>
      <c r="DFH77" s="2805"/>
      <c r="DFI77" s="2805"/>
      <c r="DFJ77" s="2805"/>
      <c r="DFK77" s="2805"/>
      <c r="DFL77" s="2805"/>
      <c r="DFM77" s="2805"/>
      <c r="DFN77" s="2805"/>
      <c r="DFO77" s="2805"/>
      <c r="DFP77" s="2805"/>
      <c r="DFQ77" s="2805"/>
      <c r="DFR77" s="2805"/>
      <c r="DFS77" s="2805"/>
      <c r="DFT77" s="2805"/>
      <c r="DFU77" s="2805"/>
      <c r="DFV77" s="2805"/>
      <c r="DFW77" s="2805"/>
      <c r="DFX77" s="2805"/>
      <c r="DFY77" s="2805"/>
      <c r="DFZ77" s="2805"/>
      <c r="DGA77" s="2805"/>
      <c r="DGB77" s="2805"/>
      <c r="DGC77" s="2805"/>
      <c r="DGD77" s="2805"/>
      <c r="DGE77" s="2805"/>
      <c r="DGF77" s="2805"/>
      <c r="DGG77" s="2805"/>
      <c r="DGH77" s="2805"/>
      <c r="DGI77" s="2805"/>
      <c r="DGJ77" s="2805"/>
      <c r="DGK77" s="2805"/>
      <c r="DGL77" s="2805"/>
      <c r="DGM77" s="2805"/>
      <c r="DGN77" s="2805"/>
      <c r="DGO77" s="2805"/>
      <c r="DGP77" s="2805"/>
      <c r="DGQ77" s="2805"/>
      <c r="DGR77" s="2805"/>
      <c r="DGS77" s="2805"/>
      <c r="DGT77" s="2805"/>
      <c r="DGU77" s="2805"/>
      <c r="DGV77" s="2805"/>
      <c r="DGW77" s="2805"/>
      <c r="DGX77" s="2805"/>
      <c r="DGY77" s="2805"/>
      <c r="DGZ77" s="2805"/>
      <c r="DHA77" s="2805"/>
      <c r="DHB77" s="2805"/>
      <c r="DHC77" s="2805"/>
      <c r="DHD77" s="2805"/>
      <c r="DHE77" s="2805"/>
      <c r="DHF77" s="2805"/>
      <c r="DHG77" s="2805"/>
      <c r="DHH77" s="2805"/>
      <c r="DHI77" s="2805"/>
      <c r="DHJ77" s="2805"/>
      <c r="DHK77" s="2805"/>
      <c r="DHL77" s="2805"/>
      <c r="DHM77" s="2805"/>
      <c r="DHN77" s="2805"/>
      <c r="DHO77" s="2805"/>
      <c r="DHP77" s="2805"/>
      <c r="DHQ77" s="2805"/>
      <c r="DHR77" s="2805"/>
      <c r="DHS77" s="2805"/>
      <c r="DHT77" s="2805"/>
      <c r="DHU77" s="2805"/>
      <c r="DHV77" s="2805"/>
      <c r="DHW77" s="2805"/>
      <c r="DHX77" s="2805"/>
      <c r="DHY77" s="2805"/>
      <c r="DHZ77" s="2805"/>
      <c r="DIA77" s="2805"/>
      <c r="DIB77" s="2805"/>
      <c r="DIC77" s="2805"/>
      <c r="DID77" s="2805"/>
      <c r="DIE77" s="2805"/>
      <c r="DIF77" s="2805"/>
      <c r="DIG77" s="2805"/>
      <c r="DIH77" s="2805"/>
      <c r="DII77" s="2805"/>
      <c r="DIJ77" s="2805"/>
      <c r="DIK77" s="2805"/>
      <c r="DIL77" s="2805"/>
      <c r="DIM77" s="2805"/>
      <c r="DIN77" s="2805"/>
      <c r="DIO77" s="2805"/>
      <c r="DIP77" s="2805"/>
      <c r="DIQ77" s="2805"/>
      <c r="DIR77" s="2805"/>
      <c r="DIS77" s="2805"/>
      <c r="DIT77" s="2805"/>
      <c r="DIU77" s="2805"/>
      <c r="DIV77" s="2805"/>
      <c r="DIW77" s="2805"/>
      <c r="DIX77" s="2805"/>
      <c r="DIY77" s="2805"/>
      <c r="DIZ77" s="2805"/>
      <c r="DJA77" s="2805"/>
      <c r="DJB77" s="2805"/>
      <c r="DJC77" s="2805"/>
      <c r="DJD77" s="2805"/>
      <c r="DJE77" s="2805"/>
      <c r="DJF77" s="2805"/>
      <c r="DJG77" s="2805"/>
      <c r="DJH77" s="2805"/>
      <c r="DJI77" s="2805"/>
      <c r="DJJ77" s="2805"/>
      <c r="DJK77" s="2805"/>
      <c r="DJL77" s="2805"/>
      <c r="DJM77" s="2805"/>
      <c r="DJN77" s="2805"/>
      <c r="DJO77" s="2805"/>
      <c r="DJP77" s="2805"/>
      <c r="DJQ77" s="2805"/>
      <c r="DJR77" s="2805"/>
      <c r="DJS77" s="2805"/>
      <c r="DJT77" s="2805"/>
      <c r="DJU77" s="2805"/>
      <c r="DJV77" s="2805"/>
      <c r="DJW77" s="2805"/>
      <c r="DJX77" s="2805"/>
      <c r="DJY77" s="2805"/>
      <c r="DJZ77" s="2805"/>
      <c r="DKA77" s="2805"/>
      <c r="DKB77" s="2805"/>
      <c r="DKC77" s="2805"/>
      <c r="DKD77" s="2805"/>
      <c r="DKE77" s="2805"/>
      <c r="DKF77" s="2805"/>
      <c r="DKG77" s="2805"/>
      <c r="DKH77" s="2805"/>
      <c r="DKI77" s="2805"/>
      <c r="DKJ77" s="2805"/>
      <c r="DKK77" s="2805"/>
      <c r="DKL77" s="2805"/>
      <c r="DKM77" s="2805"/>
      <c r="DKN77" s="2805"/>
      <c r="DKO77" s="2805"/>
      <c r="DKP77" s="2805"/>
      <c r="DKQ77" s="2805"/>
      <c r="DKR77" s="2805"/>
      <c r="DKS77" s="2805"/>
      <c r="DKT77" s="2805"/>
      <c r="DKU77" s="2805"/>
      <c r="DKV77" s="2805"/>
      <c r="DKW77" s="2805"/>
      <c r="DKX77" s="2805"/>
      <c r="DKY77" s="2805"/>
      <c r="DKZ77" s="2805"/>
      <c r="DLA77" s="2805"/>
      <c r="DLB77" s="2805"/>
      <c r="DLC77" s="2805"/>
      <c r="DLD77" s="2805"/>
      <c r="DLE77" s="2805"/>
      <c r="DLF77" s="2805"/>
      <c r="DLG77" s="2805"/>
      <c r="DLH77" s="2805"/>
      <c r="DLI77" s="2805"/>
      <c r="DLJ77" s="2805"/>
      <c r="DLK77" s="2805"/>
      <c r="DLL77" s="2805"/>
      <c r="DLM77" s="2805"/>
      <c r="DLN77" s="2805"/>
      <c r="DLO77" s="2805"/>
      <c r="DLP77" s="2805"/>
      <c r="DLQ77" s="2805"/>
      <c r="DLR77" s="2805"/>
      <c r="DLS77" s="2805"/>
      <c r="DLT77" s="2805"/>
      <c r="DLU77" s="2805"/>
      <c r="DLV77" s="2805"/>
      <c r="DLW77" s="2805"/>
      <c r="DLX77" s="2805"/>
      <c r="DLY77" s="2805"/>
      <c r="DLZ77" s="2805"/>
      <c r="DMA77" s="2805"/>
      <c r="DMB77" s="2805"/>
      <c r="DMC77" s="2805"/>
      <c r="DMD77" s="2805"/>
      <c r="DME77" s="2805"/>
      <c r="DMF77" s="2805"/>
      <c r="DMG77" s="2805"/>
      <c r="DMH77" s="2805"/>
      <c r="DMI77" s="2805"/>
      <c r="DMJ77" s="2805"/>
      <c r="DMK77" s="2805"/>
      <c r="DML77" s="2805"/>
      <c r="DMM77" s="2805"/>
      <c r="DMN77" s="2805"/>
      <c r="DMO77" s="2805"/>
      <c r="DMP77" s="2805"/>
      <c r="DMQ77" s="2805"/>
      <c r="DMR77" s="2805"/>
      <c r="DMS77" s="2805"/>
      <c r="DMT77" s="2805"/>
      <c r="DMU77" s="2805"/>
      <c r="DMV77" s="2805"/>
      <c r="DMW77" s="2805"/>
      <c r="DMX77" s="2805"/>
      <c r="DMY77" s="2805"/>
      <c r="DMZ77" s="2805"/>
      <c r="DNA77" s="2805"/>
      <c r="DNB77" s="2805"/>
      <c r="DNC77" s="2805"/>
      <c r="DND77" s="2805"/>
      <c r="DNE77" s="2805"/>
      <c r="DNF77" s="2805"/>
      <c r="DNG77" s="2805"/>
      <c r="DNH77" s="2805"/>
      <c r="DNI77" s="2805"/>
      <c r="DNJ77" s="2805"/>
      <c r="DNK77" s="2805"/>
      <c r="DNL77" s="2805"/>
      <c r="DNM77" s="2805"/>
      <c r="DNN77" s="2805"/>
      <c r="DNO77" s="2805"/>
      <c r="DNP77" s="2805"/>
      <c r="DNQ77" s="2805"/>
      <c r="DNR77" s="2805"/>
      <c r="DNS77" s="2805"/>
      <c r="DNT77" s="2805"/>
      <c r="DNU77" s="2805"/>
      <c r="DNV77" s="2805"/>
      <c r="DNW77" s="2805"/>
      <c r="DNX77" s="2805"/>
      <c r="DNY77" s="2805"/>
      <c r="DNZ77" s="2805"/>
      <c r="DOA77" s="2805"/>
      <c r="DOB77" s="2805"/>
      <c r="DOC77" s="2805"/>
      <c r="DOD77" s="2805"/>
      <c r="DOE77" s="2805"/>
      <c r="DOF77" s="2805"/>
      <c r="DOG77" s="2805"/>
      <c r="DOH77" s="2805"/>
      <c r="DOI77" s="2805"/>
      <c r="DOJ77" s="2805"/>
      <c r="DOK77" s="2805"/>
      <c r="DOL77" s="2805"/>
      <c r="DOM77" s="2805"/>
      <c r="DON77" s="2805"/>
      <c r="DOO77" s="2805"/>
      <c r="DOP77" s="2805"/>
      <c r="DOQ77" s="2805"/>
      <c r="DOR77" s="2805"/>
      <c r="DOS77" s="2805"/>
      <c r="DOT77" s="2805"/>
      <c r="DOU77" s="2805"/>
      <c r="DOV77" s="2805"/>
      <c r="DOW77" s="2805"/>
      <c r="DOX77" s="2805"/>
      <c r="DOY77" s="2805"/>
      <c r="DOZ77" s="2805"/>
      <c r="DPA77" s="2805"/>
      <c r="DPB77" s="2805"/>
      <c r="DPC77" s="2805"/>
      <c r="DPD77" s="2805"/>
      <c r="DPE77" s="2805"/>
      <c r="DPF77" s="2805"/>
      <c r="DPG77" s="2805"/>
      <c r="DPH77" s="2805"/>
      <c r="DPI77" s="2805"/>
      <c r="DPJ77" s="2805"/>
      <c r="DPK77" s="2805"/>
      <c r="DPL77" s="2805"/>
      <c r="DPM77" s="2805"/>
      <c r="DPN77" s="2805"/>
      <c r="DPO77" s="2805"/>
      <c r="DPP77" s="2805"/>
      <c r="DPQ77" s="2805"/>
      <c r="DPR77" s="2805"/>
      <c r="DPS77" s="2805"/>
      <c r="DPT77" s="2805"/>
      <c r="DPU77" s="2805"/>
      <c r="DPV77" s="2805"/>
      <c r="DPW77" s="2805"/>
      <c r="DPX77" s="2805"/>
      <c r="DPY77" s="2805"/>
      <c r="DPZ77" s="2805"/>
      <c r="DQA77" s="2805"/>
      <c r="DQB77" s="2805"/>
      <c r="DQC77" s="2805"/>
      <c r="DQD77" s="2805"/>
      <c r="DQE77" s="2805"/>
      <c r="DQF77" s="2805"/>
      <c r="DQG77" s="2805"/>
      <c r="DQH77" s="2805"/>
      <c r="DQI77" s="2805"/>
      <c r="DQJ77" s="2805"/>
      <c r="DQK77" s="2805"/>
      <c r="DQL77" s="2805"/>
      <c r="DQM77" s="2805"/>
      <c r="DQN77" s="2805"/>
      <c r="DQO77" s="2805"/>
      <c r="DQP77" s="2805"/>
      <c r="DQQ77" s="2805"/>
      <c r="DQR77" s="2805"/>
      <c r="DQS77" s="2805"/>
      <c r="DQT77" s="2805"/>
      <c r="DQU77" s="2805"/>
      <c r="DQV77" s="2805"/>
      <c r="DQW77" s="2805"/>
      <c r="DQX77" s="2805"/>
      <c r="DQY77" s="2805"/>
      <c r="DQZ77" s="2805"/>
      <c r="DRA77" s="2805"/>
      <c r="DRB77" s="2805"/>
      <c r="DRC77" s="2805"/>
      <c r="DRD77" s="2805"/>
      <c r="DRE77" s="2805"/>
      <c r="DRF77" s="2805"/>
      <c r="DRG77" s="2805"/>
      <c r="DRH77" s="2805"/>
      <c r="DRI77" s="2805"/>
      <c r="DRJ77" s="2805"/>
      <c r="DRK77" s="2805"/>
      <c r="DRL77" s="2805"/>
      <c r="DRM77" s="2805"/>
      <c r="DRN77" s="2805"/>
      <c r="DRO77" s="2805"/>
      <c r="DRP77" s="2805"/>
      <c r="DRQ77" s="2805"/>
      <c r="DRR77" s="2805"/>
      <c r="DRS77" s="2805"/>
      <c r="DRT77" s="2805"/>
      <c r="DRU77" s="2805"/>
      <c r="DRV77" s="2805"/>
      <c r="DRW77" s="2805"/>
      <c r="DRX77" s="2805"/>
      <c r="DRY77" s="2805"/>
      <c r="DRZ77" s="2805"/>
      <c r="DSA77" s="2805"/>
      <c r="DSB77" s="2805"/>
      <c r="DSC77" s="2805"/>
      <c r="DSD77" s="2805"/>
      <c r="DSE77" s="2805"/>
      <c r="DSF77" s="2805"/>
      <c r="DSG77" s="2805"/>
      <c r="DSH77" s="2805"/>
      <c r="DSI77" s="2805"/>
      <c r="DSJ77" s="2805"/>
      <c r="DSK77" s="2805"/>
      <c r="DSL77" s="2805"/>
      <c r="DSM77" s="2805"/>
      <c r="DSN77" s="2805"/>
      <c r="DSO77" s="2805"/>
      <c r="DSP77" s="2805"/>
      <c r="DSQ77" s="2805"/>
      <c r="DSR77" s="2805"/>
      <c r="DSS77" s="2805"/>
      <c r="DST77" s="2805"/>
      <c r="DSU77" s="2805"/>
      <c r="DSV77" s="2805"/>
      <c r="DSW77" s="2805"/>
      <c r="DSX77" s="2805"/>
      <c r="DSY77" s="2805"/>
      <c r="DSZ77" s="2805"/>
      <c r="DTA77" s="2805"/>
      <c r="DTB77" s="2805"/>
      <c r="DTC77" s="2805"/>
      <c r="DTD77" s="2805"/>
      <c r="DTE77" s="2805"/>
      <c r="DTF77" s="2805"/>
      <c r="DTG77" s="2805"/>
      <c r="DTH77" s="2805"/>
      <c r="DTI77" s="2805"/>
      <c r="DTJ77" s="2805"/>
      <c r="DTK77" s="2805"/>
      <c r="DTL77" s="2805"/>
      <c r="DTM77" s="2805"/>
      <c r="DTN77" s="2805"/>
      <c r="DTO77" s="2805"/>
      <c r="DTP77" s="2805"/>
      <c r="DTQ77" s="2805"/>
      <c r="DTR77" s="2805"/>
      <c r="DTS77" s="2805"/>
      <c r="DTT77" s="2805"/>
      <c r="DTU77" s="2805"/>
      <c r="DTV77" s="2805"/>
      <c r="DTW77" s="2805"/>
      <c r="DTX77" s="2805"/>
      <c r="DTY77" s="2805"/>
      <c r="DTZ77" s="2805"/>
      <c r="DUA77" s="2805"/>
      <c r="DUB77" s="2805"/>
      <c r="DUC77" s="2805"/>
      <c r="DUD77" s="2805"/>
      <c r="DUE77" s="2805"/>
      <c r="DUF77" s="2805"/>
      <c r="DUG77" s="2805"/>
      <c r="DUH77" s="2805"/>
      <c r="DUI77" s="2805"/>
      <c r="DUJ77" s="2805"/>
      <c r="DUK77" s="2805"/>
      <c r="DUL77" s="2805"/>
      <c r="DUM77" s="2805"/>
      <c r="DUN77" s="2805"/>
      <c r="DUO77" s="2805"/>
      <c r="DUP77" s="2805"/>
      <c r="DUQ77" s="2805"/>
      <c r="DUR77" s="2805"/>
      <c r="DUS77" s="2805"/>
      <c r="DUT77" s="2805"/>
      <c r="DUU77" s="2805"/>
      <c r="DUV77" s="2805"/>
      <c r="DUW77" s="2805"/>
      <c r="DUX77" s="2805"/>
      <c r="DUY77" s="2805"/>
      <c r="DUZ77" s="2805"/>
      <c r="DVA77" s="2805"/>
      <c r="DVB77" s="2805"/>
      <c r="DVC77" s="2805"/>
      <c r="DVD77" s="2805"/>
      <c r="DVE77" s="2805"/>
      <c r="DVF77" s="2805"/>
      <c r="DVG77" s="2805"/>
      <c r="DVH77" s="2805"/>
      <c r="DVI77" s="2805"/>
      <c r="DVJ77" s="2805"/>
      <c r="DVK77" s="2805"/>
      <c r="DVL77" s="2805"/>
      <c r="DVM77" s="2805"/>
      <c r="DVN77" s="2805"/>
      <c r="DVO77" s="2805"/>
      <c r="DVP77" s="2805"/>
      <c r="DVQ77" s="2805"/>
      <c r="DVR77" s="2805"/>
      <c r="DVS77" s="2805"/>
      <c r="DVT77" s="2805"/>
      <c r="DVU77" s="2805"/>
      <c r="DVV77" s="2805"/>
      <c r="DVW77" s="2805"/>
      <c r="DVX77" s="2805"/>
      <c r="DVY77" s="2805"/>
      <c r="DVZ77" s="2805"/>
      <c r="DWA77" s="2805"/>
      <c r="DWB77" s="2805"/>
      <c r="DWC77" s="2805"/>
      <c r="DWD77" s="2805"/>
      <c r="DWE77" s="2805"/>
      <c r="DWF77" s="2805"/>
      <c r="DWG77" s="2805"/>
      <c r="DWH77" s="2805"/>
      <c r="DWI77" s="2805"/>
      <c r="DWJ77" s="2805"/>
      <c r="DWK77" s="2805"/>
      <c r="DWL77" s="2805"/>
      <c r="DWM77" s="2805"/>
      <c r="DWN77" s="2805"/>
      <c r="DWO77" s="2805"/>
      <c r="DWP77" s="2805"/>
      <c r="DWQ77" s="2805"/>
      <c r="DWR77" s="2805"/>
      <c r="DWS77" s="2805"/>
      <c r="DWT77" s="2805"/>
      <c r="DWU77" s="2805"/>
      <c r="DWV77" s="2805"/>
      <c r="DWW77" s="2805"/>
      <c r="DWX77" s="2805"/>
      <c r="DWY77" s="2805"/>
      <c r="DWZ77" s="2805"/>
      <c r="DXA77" s="2805"/>
      <c r="DXB77" s="2805"/>
      <c r="DXC77" s="2805"/>
      <c r="DXD77" s="2805"/>
      <c r="DXE77" s="2805"/>
      <c r="DXF77" s="2805"/>
      <c r="DXG77" s="2805"/>
      <c r="DXH77" s="2805"/>
      <c r="DXI77" s="2805"/>
      <c r="DXJ77" s="2805"/>
      <c r="DXK77" s="2805"/>
      <c r="DXL77" s="2805"/>
      <c r="DXM77" s="2805"/>
      <c r="DXN77" s="2805"/>
      <c r="DXO77" s="2805"/>
      <c r="DXP77" s="2805"/>
      <c r="DXQ77" s="2805"/>
      <c r="DXR77" s="2805"/>
      <c r="DXS77" s="2805"/>
      <c r="DXT77" s="2805"/>
      <c r="DXU77" s="2805"/>
      <c r="DXV77" s="2805"/>
      <c r="DXW77" s="2805"/>
      <c r="DXX77" s="2805"/>
      <c r="DXY77" s="2805"/>
      <c r="DXZ77" s="2805"/>
      <c r="DYA77" s="2805"/>
      <c r="DYB77" s="2805"/>
      <c r="DYC77" s="2805"/>
      <c r="DYD77" s="2805"/>
      <c r="DYE77" s="2805"/>
      <c r="DYF77" s="2805"/>
      <c r="DYG77" s="2805"/>
      <c r="DYH77" s="2805"/>
      <c r="DYI77" s="2805"/>
      <c r="DYJ77" s="2805"/>
      <c r="DYK77" s="2805"/>
      <c r="DYL77" s="2805"/>
      <c r="DYM77" s="2805"/>
      <c r="DYN77" s="2805"/>
      <c r="DYO77" s="2805"/>
      <c r="DYP77" s="2805"/>
      <c r="DYQ77" s="2805"/>
      <c r="DYR77" s="2805"/>
      <c r="DYS77" s="2805"/>
      <c r="DYT77" s="2805"/>
      <c r="DYU77" s="2805"/>
      <c r="DYV77" s="2805"/>
      <c r="DYW77" s="2805"/>
      <c r="DYX77" s="2805"/>
      <c r="DYY77" s="2805"/>
      <c r="DYZ77" s="2805"/>
      <c r="DZA77" s="2805"/>
      <c r="DZB77" s="2805"/>
      <c r="DZC77" s="2805"/>
      <c r="DZD77" s="2805"/>
      <c r="DZE77" s="2805"/>
      <c r="DZF77" s="2805"/>
      <c r="DZG77" s="2805"/>
      <c r="DZH77" s="2805"/>
      <c r="DZI77" s="2805"/>
      <c r="DZJ77" s="2805"/>
      <c r="DZK77" s="2805"/>
      <c r="DZL77" s="2805"/>
      <c r="DZM77" s="2805"/>
      <c r="DZN77" s="2805"/>
      <c r="DZO77" s="2805"/>
      <c r="DZP77" s="2805"/>
      <c r="DZQ77" s="2805"/>
      <c r="DZR77" s="2805"/>
      <c r="DZS77" s="2805"/>
      <c r="DZT77" s="2805"/>
      <c r="DZU77" s="2805"/>
      <c r="DZV77" s="2805"/>
      <c r="DZW77" s="2805"/>
      <c r="DZX77" s="2805"/>
      <c r="DZY77" s="2805"/>
      <c r="DZZ77" s="2805"/>
      <c r="EAA77" s="2805"/>
      <c r="EAB77" s="2805"/>
      <c r="EAC77" s="2805"/>
      <c r="EAD77" s="2805"/>
      <c r="EAE77" s="2805"/>
      <c r="EAF77" s="2805"/>
      <c r="EAG77" s="2805"/>
      <c r="EAH77" s="2805"/>
      <c r="EAI77" s="2805"/>
      <c r="EAJ77" s="2805"/>
      <c r="EAK77" s="2805"/>
      <c r="EAL77" s="2805"/>
      <c r="EAM77" s="2805"/>
      <c r="EAN77" s="2805"/>
      <c r="EAO77" s="2805"/>
      <c r="EAP77" s="2805"/>
      <c r="EAQ77" s="2805"/>
      <c r="EAR77" s="2805"/>
      <c r="EAS77" s="2805"/>
      <c r="EAT77" s="2805"/>
      <c r="EAU77" s="2805"/>
      <c r="EAV77" s="2805"/>
      <c r="EAW77" s="2805"/>
      <c r="EAX77" s="2805"/>
      <c r="EAY77" s="2805"/>
      <c r="EAZ77" s="2805"/>
      <c r="EBA77" s="2805"/>
      <c r="EBB77" s="2805"/>
      <c r="EBC77" s="2805"/>
      <c r="EBD77" s="2805"/>
      <c r="EBE77" s="2805"/>
      <c r="EBF77" s="2805"/>
      <c r="EBG77" s="2805"/>
      <c r="EBH77" s="2805"/>
      <c r="EBI77" s="2805"/>
      <c r="EBJ77" s="2805"/>
      <c r="EBK77" s="2805"/>
      <c r="EBL77" s="2805"/>
      <c r="EBM77" s="2805"/>
      <c r="EBN77" s="2805"/>
      <c r="EBO77" s="2805"/>
      <c r="EBP77" s="2805"/>
      <c r="EBQ77" s="2805"/>
      <c r="EBR77" s="2805"/>
      <c r="EBS77" s="2805"/>
      <c r="EBT77" s="2805"/>
      <c r="EBU77" s="2805"/>
      <c r="EBV77" s="2805"/>
      <c r="EBW77" s="2805"/>
      <c r="EBX77" s="2805"/>
      <c r="EBY77" s="2805"/>
      <c r="EBZ77" s="2805"/>
      <c r="ECA77" s="2805"/>
      <c r="ECB77" s="2805"/>
      <c r="ECC77" s="2805"/>
      <c r="ECD77" s="2805"/>
      <c r="ECE77" s="2805"/>
      <c r="ECF77" s="2805"/>
      <c r="ECG77" s="2805"/>
      <c r="ECH77" s="2805"/>
      <c r="ECI77" s="2805"/>
      <c r="ECJ77" s="2805"/>
      <c r="ECK77" s="2805"/>
      <c r="ECL77" s="2805"/>
      <c r="ECM77" s="2805"/>
      <c r="ECN77" s="2805"/>
      <c r="ECO77" s="2805"/>
      <c r="ECP77" s="2805"/>
      <c r="ECQ77" s="2805"/>
      <c r="ECR77" s="2805"/>
      <c r="ECS77" s="2805"/>
      <c r="ECT77" s="2805"/>
      <c r="ECU77" s="2805"/>
      <c r="ECV77" s="2805"/>
      <c r="ECW77" s="2805"/>
      <c r="ECX77" s="2805"/>
      <c r="ECY77" s="2805"/>
      <c r="ECZ77" s="2805"/>
      <c r="EDA77" s="2805"/>
      <c r="EDB77" s="2805"/>
      <c r="EDC77" s="2805"/>
      <c r="EDD77" s="2805"/>
      <c r="EDE77" s="2805"/>
      <c r="EDF77" s="2805"/>
      <c r="EDG77" s="2805"/>
      <c r="EDH77" s="2805"/>
      <c r="EDI77" s="2805"/>
      <c r="EDJ77" s="2805"/>
      <c r="EDK77" s="2805"/>
      <c r="EDL77" s="2805"/>
      <c r="EDM77" s="2805"/>
      <c r="EDN77" s="2805"/>
      <c r="EDO77" s="2805"/>
      <c r="EDP77" s="2805"/>
      <c r="EDQ77" s="2805"/>
      <c r="EDR77" s="2805"/>
      <c r="EDS77" s="2805"/>
      <c r="EDT77" s="2805"/>
      <c r="EDU77" s="2805"/>
      <c r="EDV77" s="2805"/>
      <c r="EDW77" s="2805"/>
      <c r="EDX77" s="2805"/>
      <c r="EDY77" s="2805"/>
      <c r="EDZ77" s="2805"/>
      <c r="EEA77" s="2805"/>
      <c r="EEB77" s="2805"/>
      <c r="EEC77" s="2805"/>
      <c r="EED77" s="2805"/>
      <c r="EEE77" s="2805"/>
      <c r="EEF77" s="2805"/>
      <c r="EEG77" s="2805"/>
      <c r="EEH77" s="2805"/>
      <c r="EEI77" s="2805"/>
      <c r="EEJ77" s="2805"/>
      <c r="EEK77" s="2805"/>
      <c r="EEL77" s="2805"/>
      <c r="EEM77" s="2805"/>
      <c r="EEN77" s="2805"/>
      <c r="EEO77" s="2805"/>
      <c r="EEP77" s="2805"/>
      <c r="EEQ77" s="2805"/>
      <c r="EER77" s="2805"/>
      <c r="EES77" s="2805"/>
      <c r="EET77" s="2805"/>
      <c r="EEU77" s="2805"/>
      <c r="EEV77" s="2805"/>
      <c r="EEW77" s="2805"/>
      <c r="EEX77" s="2805"/>
      <c r="EEY77" s="2805"/>
      <c r="EEZ77" s="2805"/>
      <c r="EFA77" s="2805"/>
      <c r="EFB77" s="2805"/>
      <c r="EFC77" s="2805"/>
      <c r="EFD77" s="2805"/>
      <c r="EFE77" s="2805"/>
      <c r="EFF77" s="2805"/>
      <c r="EFG77" s="2805"/>
      <c r="EFH77" s="2805"/>
      <c r="EFI77" s="2805"/>
      <c r="EFJ77" s="2805"/>
      <c r="EFK77" s="2805"/>
      <c r="EFL77" s="2805"/>
      <c r="EFM77" s="2805"/>
      <c r="EFN77" s="2805"/>
      <c r="EFO77" s="2805"/>
      <c r="EFP77" s="2805"/>
      <c r="EFQ77" s="2805"/>
      <c r="EFR77" s="2805"/>
      <c r="EFS77" s="2805"/>
      <c r="EFT77" s="2805"/>
      <c r="EFU77" s="2805"/>
      <c r="EFV77" s="2805"/>
      <c r="EFW77" s="2805"/>
      <c r="EFX77" s="2805"/>
      <c r="EFY77" s="2805"/>
      <c r="EFZ77" s="2805"/>
      <c r="EGA77" s="2805"/>
      <c r="EGB77" s="2805"/>
      <c r="EGC77" s="2805"/>
      <c r="EGD77" s="2805"/>
      <c r="EGE77" s="2805"/>
      <c r="EGF77" s="2805"/>
      <c r="EGG77" s="2805"/>
      <c r="EGH77" s="2805"/>
      <c r="EGI77" s="2805"/>
      <c r="EGJ77" s="2805"/>
      <c r="EGK77" s="2805"/>
      <c r="EGL77" s="2805"/>
      <c r="EGM77" s="2805"/>
      <c r="EGN77" s="2805"/>
      <c r="EGO77" s="2805"/>
      <c r="EGP77" s="2805"/>
      <c r="EGQ77" s="2805"/>
      <c r="EGR77" s="2805"/>
      <c r="EGS77" s="2805"/>
      <c r="EGT77" s="2805"/>
      <c r="EGU77" s="2805"/>
      <c r="EGV77" s="2805"/>
      <c r="EGW77" s="2805"/>
      <c r="EGX77" s="2805"/>
      <c r="EGY77" s="2805"/>
      <c r="EGZ77" s="2805"/>
      <c r="EHA77" s="2805"/>
      <c r="EHB77" s="2805"/>
      <c r="EHC77" s="2805"/>
      <c r="EHD77" s="2805"/>
      <c r="EHE77" s="2805"/>
      <c r="EHF77" s="2805"/>
      <c r="EHG77" s="2805"/>
      <c r="EHH77" s="2805"/>
      <c r="EHI77" s="2805"/>
      <c r="EHJ77" s="2805"/>
      <c r="EHK77" s="2805"/>
      <c r="EHL77" s="2805"/>
      <c r="EHM77" s="2805"/>
      <c r="EHN77" s="2805"/>
      <c r="EHO77" s="2805"/>
      <c r="EHP77" s="2805"/>
      <c r="EHQ77" s="2805"/>
      <c r="EHR77" s="2805"/>
      <c r="EHS77" s="2805"/>
      <c r="EHT77" s="2805"/>
      <c r="EHU77" s="2805"/>
      <c r="EHV77" s="2805"/>
      <c r="EHW77" s="2805"/>
      <c r="EHX77" s="2805"/>
      <c r="EHY77" s="2805"/>
      <c r="EHZ77" s="2805"/>
      <c r="EIA77" s="2805"/>
      <c r="EIB77" s="2805"/>
      <c r="EIC77" s="2805"/>
      <c r="EID77" s="2805"/>
      <c r="EIE77" s="2805"/>
      <c r="EIF77" s="2805"/>
      <c r="EIG77" s="2805"/>
      <c r="EIH77" s="2805"/>
      <c r="EII77" s="2805"/>
      <c r="EIJ77" s="2805"/>
      <c r="EIK77" s="2805"/>
      <c r="EIL77" s="2805"/>
      <c r="EIM77" s="2805"/>
      <c r="EIN77" s="2805"/>
      <c r="EIO77" s="2805"/>
      <c r="EIP77" s="2805"/>
      <c r="EIQ77" s="2805"/>
      <c r="EIR77" s="2805"/>
      <c r="EIS77" s="2805"/>
      <c r="EIT77" s="2805"/>
      <c r="EIU77" s="2805"/>
      <c r="EIV77" s="2805"/>
      <c r="EIW77" s="2805"/>
      <c r="EIX77" s="2805"/>
      <c r="EIY77" s="2805"/>
      <c r="EIZ77" s="2805"/>
      <c r="EJA77" s="2805"/>
      <c r="EJB77" s="2805"/>
      <c r="EJC77" s="2805"/>
      <c r="EJD77" s="2805"/>
      <c r="EJE77" s="2805"/>
      <c r="EJF77" s="2805"/>
      <c r="EJG77" s="2805"/>
      <c r="EJH77" s="2805"/>
      <c r="EJI77" s="2805"/>
      <c r="EJJ77" s="2805"/>
      <c r="EJK77" s="2805"/>
      <c r="EJL77" s="2805"/>
      <c r="EJM77" s="2805"/>
      <c r="EJN77" s="2805"/>
      <c r="EJO77" s="2805"/>
      <c r="EJP77" s="2805"/>
      <c r="EJQ77" s="2805"/>
      <c r="EJR77" s="2805"/>
      <c r="EJS77" s="2805"/>
      <c r="EJT77" s="2805"/>
      <c r="EJU77" s="2805"/>
      <c r="EJV77" s="2805"/>
      <c r="EJW77" s="2805"/>
      <c r="EJX77" s="2805"/>
      <c r="EJY77" s="2805"/>
      <c r="EJZ77" s="2805"/>
      <c r="EKA77" s="2805"/>
      <c r="EKB77" s="2805"/>
      <c r="EKC77" s="2805"/>
      <c r="EKD77" s="2805"/>
      <c r="EKE77" s="2805"/>
      <c r="EKF77" s="2805"/>
      <c r="EKG77" s="2805"/>
      <c r="EKH77" s="2805"/>
      <c r="EKI77" s="2805"/>
      <c r="EKJ77" s="2805"/>
      <c r="EKK77" s="2805"/>
      <c r="EKL77" s="2805"/>
      <c r="EKM77" s="2805"/>
      <c r="EKN77" s="2805"/>
      <c r="EKO77" s="2805"/>
      <c r="EKP77" s="2805"/>
      <c r="EKQ77" s="2805"/>
      <c r="EKR77" s="2805"/>
      <c r="EKS77" s="2805"/>
      <c r="EKT77" s="2805"/>
      <c r="EKU77" s="2805"/>
      <c r="EKV77" s="2805"/>
      <c r="EKW77" s="2805"/>
      <c r="EKX77" s="2805"/>
      <c r="EKY77" s="2805"/>
      <c r="EKZ77" s="2805"/>
      <c r="ELA77" s="2805"/>
      <c r="ELB77" s="2805"/>
      <c r="ELC77" s="2805"/>
      <c r="ELD77" s="2805"/>
      <c r="ELE77" s="2805"/>
      <c r="ELF77" s="2805"/>
      <c r="ELG77" s="2805"/>
      <c r="ELH77" s="2805"/>
      <c r="ELI77" s="2805"/>
      <c r="ELJ77" s="2805"/>
      <c r="ELK77" s="2805"/>
      <c r="ELL77" s="2805"/>
      <c r="ELM77" s="2805"/>
      <c r="ELN77" s="2805"/>
      <c r="ELO77" s="2805"/>
      <c r="ELP77" s="2805"/>
      <c r="ELQ77" s="2805"/>
      <c r="ELR77" s="2805"/>
      <c r="ELS77" s="2805"/>
      <c r="ELT77" s="2805"/>
      <c r="ELU77" s="2805"/>
      <c r="ELV77" s="2805"/>
      <c r="ELW77" s="2805"/>
      <c r="ELX77" s="2805"/>
      <c r="ELY77" s="2805"/>
      <c r="ELZ77" s="2805"/>
      <c r="EMA77" s="2805"/>
      <c r="EMB77" s="2805"/>
      <c r="EMC77" s="2805"/>
      <c r="EMD77" s="2805"/>
      <c r="EME77" s="2805"/>
      <c r="EMF77" s="2805"/>
      <c r="EMG77" s="2805"/>
      <c r="EMH77" s="2805"/>
      <c r="EMI77" s="2805"/>
      <c r="EMJ77" s="2805"/>
      <c r="EMK77" s="2805"/>
      <c r="EML77" s="2805"/>
      <c r="EMM77" s="2805"/>
      <c r="EMN77" s="2805"/>
      <c r="EMO77" s="2805"/>
      <c r="EMP77" s="2805"/>
      <c r="EMQ77" s="2805"/>
      <c r="EMR77" s="2805"/>
      <c r="EMS77" s="2805"/>
      <c r="EMT77" s="2805"/>
      <c r="EMU77" s="2805"/>
      <c r="EMV77" s="2805"/>
      <c r="EMW77" s="2805"/>
      <c r="EMX77" s="2805"/>
      <c r="EMY77" s="2805"/>
      <c r="EMZ77" s="2805"/>
      <c r="ENA77" s="2805"/>
      <c r="ENB77" s="2805"/>
      <c r="ENC77" s="2805"/>
      <c r="END77" s="2805"/>
      <c r="ENE77" s="2805"/>
      <c r="ENF77" s="2805"/>
      <c r="ENG77" s="2805"/>
      <c r="ENH77" s="2805"/>
      <c r="ENI77" s="2805"/>
      <c r="ENJ77" s="2805"/>
      <c r="ENK77" s="2805"/>
      <c r="ENL77" s="2805"/>
      <c r="ENM77" s="2805"/>
      <c r="ENN77" s="2805"/>
      <c r="ENO77" s="2805"/>
      <c r="ENP77" s="2805"/>
      <c r="ENQ77" s="2805"/>
      <c r="ENR77" s="2805"/>
      <c r="ENS77" s="2805"/>
      <c r="ENT77" s="2805"/>
      <c r="ENU77" s="2805"/>
      <c r="ENV77" s="2805"/>
      <c r="ENW77" s="2805"/>
      <c r="ENX77" s="2805"/>
      <c r="ENY77" s="2805"/>
      <c r="ENZ77" s="2805"/>
      <c r="EOA77" s="2805"/>
      <c r="EOB77" s="2805"/>
      <c r="EOC77" s="2805"/>
      <c r="EOD77" s="2805"/>
      <c r="EOE77" s="2805"/>
      <c r="EOF77" s="2805"/>
      <c r="EOG77" s="2805"/>
      <c r="EOH77" s="2805"/>
      <c r="EOI77" s="2805"/>
      <c r="EOJ77" s="2805"/>
      <c r="EOK77" s="2805"/>
      <c r="EOL77" s="2805"/>
      <c r="EOM77" s="2805"/>
      <c r="EON77" s="2805"/>
      <c r="EOO77" s="2805"/>
      <c r="EOP77" s="2805"/>
      <c r="EOQ77" s="2805"/>
      <c r="EOR77" s="2805"/>
      <c r="EOS77" s="2805"/>
      <c r="EOT77" s="2805"/>
      <c r="EOU77" s="2805"/>
      <c r="EOV77" s="2805"/>
      <c r="EOW77" s="2805"/>
      <c r="EOX77" s="2805"/>
      <c r="EOY77" s="2805"/>
      <c r="EOZ77" s="2805"/>
      <c r="EPA77" s="2805"/>
      <c r="EPB77" s="2805"/>
      <c r="EPC77" s="2805"/>
      <c r="EPD77" s="2805"/>
      <c r="EPE77" s="2805"/>
      <c r="EPF77" s="2805"/>
      <c r="EPG77" s="2805"/>
      <c r="EPH77" s="2805"/>
      <c r="EPI77" s="2805"/>
      <c r="EPJ77" s="2805"/>
      <c r="EPK77" s="2805"/>
      <c r="EPL77" s="2805"/>
      <c r="EPM77" s="2805"/>
      <c r="EPN77" s="2805"/>
      <c r="EPO77" s="2805"/>
      <c r="EPP77" s="2805"/>
      <c r="EPQ77" s="2805"/>
      <c r="EPR77" s="2805"/>
      <c r="EPS77" s="2805"/>
      <c r="EPT77" s="2805"/>
      <c r="EPU77" s="2805"/>
      <c r="EPV77" s="2805"/>
      <c r="EPW77" s="2805"/>
      <c r="EPX77" s="2805"/>
      <c r="EPY77" s="2805"/>
      <c r="EPZ77" s="2805"/>
      <c r="EQA77" s="2805"/>
      <c r="EQB77" s="2805"/>
      <c r="EQC77" s="2805"/>
      <c r="EQD77" s="2805"/>
      <c r="EQE77" s="2805"/>
      <c r="EQF77" s="2805"/>
      <c r="EQG77" s="2805"/>
      <c r="EQH77" s="2805"/>
      <c r="EQI77" s="2805"/>
      <c r="EQJ77" s="2805"/>
      <c r="EQK77" s="2805"/>
      <c r="EQL77" s="2805"/>
      <c r="EQM77" s="2805"/>
      <c r="EQN77" s="2805"/>
      <c r="EQO77" s="2805"/>
      <c r="EQP77" s="2805"/>
      <c r="EQQ77" s="2805"/>
      <c r="EQR77" s="2805"/>
      <c r="EQS77" s="2805"/>
      <c r="EQT77" s="2805"/>
      <c r="EQU77" s="2805"/>
      <c r="EQV77" s="2805"/>
      <c r="EQW77" s="2805"/>
      <c r="EQX77" s="2805"/>
      <c r="EQY77" s="2805"/>
      <c r="EQZ77" s="2805"/>
      <c r="ERA77" s="2805"/>
      <c r="ERB77" s="2805"/>
      <c r="ERC77" s="2805"/>
      <c r="ERD77" s="2805"/>
      <c r="ERE77" s="2805"/>
      <c r="ERF77" s="2805"/>
      <c r="ERG77" s="2805"/>
      <c r="ERH77" s="2805"/>
      <c r="ERI77" s="2805"/>
      <c r="ERJ77" s="2805"/>
      <c r="ERK77" s="2805"/>
      <c r="ERL77" s="2805"/>
      <c r="ERM77" s="2805"/>
      <c r="ERN77" s="2805"/>
      <c r="ERO77" s="2805"/>
      <c r="ERP77" s="2805"/>
      <c r="ERQ77" s="2805"/>
      <c r="ERR77" s="2805"/>
      <c r="ERS77" s="2805"/>
      <c r="ERT77" s="2805"/>
      <c r="ERU77" s="2805"/>
      <c r="ERV77" s="2805"/>
      <c r="ERW77" s="2805"/>
      <c r="ERX77" s="2805"/>
      <c r="ERY77" s="2805"/>
      <c r="ERZ77" s="2805"/>
      <c r="ESA77" s="2805"/>
      <c r="ESB77" s="2805"/>
      <c r="ESC77" s="2805"/>
      <c r="ESD77" s="2805"/>
      <c r="ESE77" s="2805"/>
      <c r="ESF77" s="2805"/>
      <c r="ESG77" s="2805"/>
      <c r="ESH77" s="2805"/>
      <c r="ESI77" s="2805"/>
      <c r="ESJ77" s="2805"/>
      <c r="ESK77" s="2805"/>
      <c r="ESL77" s="2805"/>
      <c r="ESM77" s="2805"/>
      <c r="ESN77" s="2805"/>
      <c r="ESO77" s="2805"/>
      <c r="ESP77" s="2805"/>
      <c r="ESQ77" s="2805"/>
      <c r="ESR77" s="2805"/>
      <c r="ESS77" s="2805"/>
      <c r="EST77" s="2805"/>
      <c r="ESU77" s="2805"/>
      <c r="ESV77" s="2805"/>
      <c r="ESW77" s="2805"/>
      <c r="ESX77" s="2805"/>
      <c r="ESY77" s="2805"/>
      <c r="ESZ77" s="2805"/>
      <c r="ETA77" s="2805"/>
      <c r="ETB77" s="2805"/>
      <c r="ETC77" s="2805"/>
      <c r="ETD77" s="2805"/>
      <c r="ETE77" s="2805"/>
      <c r="ETF77" s="2805"/>
      <c r="ETG77" s="2805"/>
      <c r="ETH77" s="2805"/>
      <c r="ETI77" s="2805"/>
      <c r="ETJ77" s="2805"/>
      <c r="ETK77" s="2805"/>
      <c r="ETL77" s="2805"/>
      <c r="ETM77" s="2805"/>
      <c r="ETN77" s="2805"/>
      <c r="ETO77" s="2805"/>
      <c r="ETP77" s="2805"/>
      <c r="ETQ77" s="2805"/>
      <c r="ETR77" s="2805"/>
      <c r="ETS77" s="2805"/>
      <c r="ETT77" s="2805"/>
      <c r="ETU77" s="2805"/>
      <c r="ETV77" s="2805"/>
      <c r="ETW77" s="2805"/>
      <c r="ETX77" s="2805"/>
      <c r="ETY77" s="2805"/>
      <c r="ETZ77" s="2805"/>
      <c r="EUA77" s="2805"/>
      <c r="EUB77" s="2805"/>
      <c r="EUC77" s="2805"/>
      <c r="EUD77" s="2805"/>
      <c r="EUE77" s="2805"/>
      <c r="EUF77" s="2805"/>
      <c r="EUG77" s="2805"/>
      <c r="EUH77" s="2805"/>
      <c r="EUI77" s="2805"/>
      <c r="EUJ77" s="2805"/>
      <c r="EUK77" s="2805"/>
      <c r="EUL77" s="2805"/>
      <c r="EUM77" s="2805"/>
      <c r="EUN77" s="2805"/>
      <c r="EUO77" s="2805"/>
      <c r="EUP77" s="2805"/>
      <c r="EUQ77" s="2805"/>
      <c r="EUR77" s="2805"/>
      <c r="EUS77" s="2805"/>
      <c r="EUT77" s="2805"/>
      <c r="EUU77" s="2805"/>
      <c r="EUV77" s="2805"/>
      <c r="EUW77" s="2805"/>
      <c r="EUX77" s="2805"/>
      <c r="EUY77" s="2805"/>
      <c r="EUZ77" s="2805"/>
      <c r="EVA77" s="2805"/>
      <c r="EVB77" s="2805"/>
      <c r="EVC77" s="2805"/>
      <c r="EVD77" s="2805"/>
      <c r="EVE77" s="2805"/>
      <c r="EVF77" s="2805"/>
      <c r="EVG77" s="2805"/>
      <c r="EVH77" s="2805"/>
      <c r="EVI77" s="2805"/>
      <c r="EVJ77" s="2805"/>
      <c r="EVK77" s="2805"/>
      <c r="EVL77" s="2805"/>
      <c r="EVM77" s="2805"/>
      <c r="EVN77" s="2805"/>
      <c r="EVO77" s="2805"/>
      <c r="EVP77" s="2805"/>
      <c r="EVQ77" s="2805"/>
      <c r="EVR77" s="2805"/>
      <c r="EVS77" s="2805"/>
      <c r="EVT77" s="2805"/>
      <c r="EVU77" s="2805"/>
      <c r="EVV77" s="2805"/>
      <c r="EVW77" s="2805"/>
      <c r="EVX77" s="2805"/>
      <c r="EVY77" s="2805"/>
      <c r="EVZ77" s="2805"/>
      <c r="EWA77" s="2805"/>
      <c r="EWB77" s="2805"/>
      <c r="EWC77" s="2805"/>
      <c r="EWD77" s="2805"/>
      <c r="EWE77" s="2805"/>
      <c r="EWF77" s="2805"/>
      <c r="EWG77" s="2805"/>
      <c r="EWH77" s="2805"/>
      <c r="EWI77" s="2805"/>
      <c r="EWJ77" s="2805"/>
      <c r="EWK77" s="2805"/>
      <c r="EWL77" s="2805"/>
      <c r="EWM77" s="2805"/>
      <c r="EWN77" s="2805"/>
      <c r="EWO77" s="2805"/>
      <c r="EWP77" s="2805"/>
      <c r="EWQ77" s="2805"/>
      <c r="EWR77" s="2805"/>
      <c r="EWS77" s="2805"/>
      <c r="EWT77" s="2805"/>
      <c r="EWU77" s="2805"/>
      <c r="EWV77" s="2805"/>
      <c r="EWW77" s="2805"/>
      <c r="EWX77" s="2805"/>
      <c r="EWY77" s="2805"/>
      <c r="EWZ77" s="2805"/>
      <c r="EXA77" s="2805"/>
      <c r="EXB77" s="2805"/>
      <c r="EXC77" s="2805"/>
      <c r="EXD77" s="2805"/>
      <c r="EXE77" s="2805"/>
      <c r="EXF77" s="2805"/>
      <c r="EXG77" s="2805"/>
      <c r="EXH77" s="2805"/>
      <c r="EXI77" s="2805"/>
      <c r="EXJ77" s="2805"/>
      <c r="EXK77" s="2805"/>
      <c r="EXL77" s="2805"/>
      <c r="EXM77" s="2805"/>
      <c r="EXN77" s="2805"/>
      <c r="EXO77" s="2805"/>
      <c r="EXP77" s="2805"/>
      <c r="EXQ77" s="2805"/>
      <c r="EXR77" s="2805"/>
      <c r="EXS77" s="2805"/>
      <c r="EXT77" s="2805"/>
      <c r="EXU77" s="2805"/>
      <c r="EXV77" s="2805"/>
      <c r="EXW77" s="2805"/>
      <c r="EXX77" s="2805"/>
      <c r="EXY77" s="2805"/>
      <c r="EXZ77" s="2805"/>
      <c r="EYA77" s="2805"/>
      <c r="EYB77" s="2805"/>
      <c r="EYC77" s="2805"/>
      <c r="EYD77" s="2805"/>
      <c r="EYE77" s="2805"/>
      <c r="EYF77" s="2805"/>
      <c r="EYG77" s="2805"/>
      <c r="EYH77" s="2805"/>
      <c r="EYI77" s="2805"/>
      <c r="EYJ77" s="2805"/>
      <c r="EYK77" s="2805"/>
      <c r="EYL77" s="2805"/>
      <c r="EYM77" s="2805"/>
      <c r="EYN77" s="2805"/>
      <c r="EYO77" s="2805"/>
      <c r="EYP77" s="2805"/>
      <c r="EYQ77" s="2805"/>
      <c r="EYR77" s="2805"/>
      <c r="EYS77" s="2805"/>
      <c r="EYT77" s="2805"/>
      <c r="EYU77" s="2805"/>
      <c r="EYV77" s="2805"/>
      <c r="EYW77" s="2805"/>
      <c r="EYX77" s="2805"/>
      <c r="EYY77" s="2805"/>
      <c r="EYZ77" s="2805"/>
      <c r="EZA77" s="2805"/>
      <c r="EZB77" s="2805"/>
      <c r="EZC77" s="2805"/>
      <c r="EZD77" s="2805"/>
      <c r="EZE77" s="2805"/>
      <c r="EZF77" s="2805"/>
      <c r="EZG77" s="2805"/>
      <c r="EZH77" s="2805"/>
      <c r="EZI77" s="2805"/>
      <c r="EZJ77" s="2805"/>
      <c r="EZK77" s="2805"/>
      <c r="EZL77" s="2805"/>
      <c r="EZM77" s="2805"/>
      <c r="EZN77" s="2805"/>
      <c r="EZO77" s="2805"/>
      <c r="EZP77" s="2805"/>
      <c r="EZQ77" s="2805"/>
      <c r="EZR77" s="2805"/>
      <c r="EZS77" s="2805"/>
      <c r="EZT77" s="2805"/>
      <c r="EZU77" s="2805"/>
      <c r="EZV77" s="2805"/>
      <c r="EZW77" s="2805"/>
      <c r="EZX77" s="2805"/>
      <c r="EZY77" s="2805"/>
      <c r="EZZ77" s="2805"/>
      <c r="FAA77" s="2805"/>
      <c r="FAB77" s="2805"/>
      <c r="FAC77" s="2805"/>
      <c r="FAD77" s="2805"/>
      <c r="FAE77" s="2805"/>
      <c r="FAF77" s="2805"/>
      <c r="FAG77" s="2805"/>
      <c r="FAH77" s="2805"/>
      <c r="FAI77" s="2805"/>
      <c r="FAJ77" s="2805"/>
      <c r="FAK77" s="2805"/>
      <c r="FAL77" s="2805"/>
      <c r="FAM77" s="2805"/>
      <c r="FAN77" s="2805"/>
      <c r="FAO77" s="2805"/>
      <c r="FAP77" s="2805"/>
      <c r="FAQ77" s="2805"/>
      <c r="FAR77" s="2805"/>
      <c r="FAS77" s="2805"/>
      <c r="FAT77" s="2805"/>
      <c r="FAU77" s="2805"/>
      <c r="FAV77" s="2805"/>
      <c r="FAW77" s="2805"/>
      <c r="FAX77" s="2805"/>
      <c r="FAY77" s="2805"/>
      <c r="FAZ77" s="2805"/>
      <c r="FBA77" s="2805"/>
      <c r="FBB77" s="2805"/>
      <c r="FBC77" s="2805"/>
      <c r="FBD77" s="2805"/>
      <c r="FBE77" s="2805"/>
      <c r="FBF77" s="2805"/>
      <c r="FBG77" s="2805"/>
      <c r="FBH77" s="2805"/>
      <c r="FBI77" s="2805"/>
      <c r="FBJ77" s="2805"/>
      <c r="FBK77" s="2805"/>
      <c r="FBL77" s="2805"/>
      <c r="FBM77" s="2805"/>
      <c r="FBN77" s="2805"/>
      <c r="FBO77" s="2805"/>
      <c r="FBP77" s="2805"/>
      <c r="FBQ77" s="2805"/>
      <c r="FBR77" s="2805"/>
      <c r="FBS77" s="2805"/>
      <c r="FBT77" s="2805"/>
      <c r="FBU77" s="2805"/>
      <c r="FBV77" s="2805"/>
      <c r="FBW77" s="2805"/>
      <c r="FBX77" s="2805"/>
      <c r="FBY77" s="2805"/>
      <c r="FBZ77" s="2805"/>
      <c r="FCA77" s="2805"/>
      <c r="FCB77" s="2805"/>
      <c r="FCC77" s="2805"/>
      <c r="FCD77" s="2805"/>
      <c r="FCE77" s="2805"/>
      <c r="FCF77" s="2805"/>
      <c r="FCG77" s="2805"/>
      <c r="FCH77" s="2805"/>
      <c r="FCI77" s="2805"/>
      <c r="FCJ77" s="2805"/>
      <c r="FCK77" s="2805"/>
      <c r="FCL77" s="2805"/>
      <c r="FCM77" s="2805"/>
      <c r="FCN77" s="2805"/>
      <c r="FCO77" s="2805"/>
      <c r="FCP77" s="2805"/>
      <c r="FCQ77" s="2805"/>
      <c r="FCR77" s="2805"/>
      <c r="FCS77" s="2805"/>
      <c r="FCT77" s="2805"/>
      <c r="FCU77" s="2805"/>
      <c r="FCV77" s="2805"/>
      <c r="FCW77" s="2805"/>
      <c r="FCX77" s="2805"/>
      <c r="FCY77" s="2805"/>
      <c r="FCZ77" s="2805"/>
      <c r="FDA77" s="2805"/>
      <c r="FDB77" s="2805"/>
      <c r="FDC77" s="2805"/>
      <c r="FDD77" s="2805"/>
      <c r="FDE77" s="2805"/>
      <c r="FDF77" s="2805"/>
      <c r="FDG77" s="2805"/>
      <c r="FDH77" s="2805"/>
      <c r="FDI77" s="2805"/>
      <c r="FDJ77" s="2805"/>
      <c r="FDK77" s="2805"/>
      <c r="FDL77" s="2805"/>
      <c r="FDM77" s="2805"/>
      <c r="FDN77" s="2805"/>
      <c r="FDO77" s="2805"/>
      <c r="FDP77" s="2805"/>
      <c r="FDQ77" s="2805"/>
      <c r="FDR77" s="2805"/>
      <c r="FDS77" s="2805"/>
      <c r="FDT77" s="2805"/>
      <c r="FDU77" s="2805"/>
      <c r="FDV77" s="2805"/>
      <c r="FDW77" s="2805"/>
      <c r="FDX77" s="2805"/>
      <c r="FDY77" s="2805"/>
      <c r="FDZ77" s="2805"/>
      <c r="FEA77" s="2805"/>
      <c r="FEB77" s="2805"/>
      <c r="FEC77" s="2805"/>
      <c r="FED77" s="2805"/>
      <c r="FEE77" s="2805"/>
      <c r="FEF77" s="2805"/>
      <c r="FEG77" s="2805"/>
      <c r="FEH77" s="2805"/>
      <c r="FEI77" s="2805"/>
      <c r="FEJ77" s="2805"/>
      <c r="FEK77" s="2805"/>
      <c r="FEL77" s="2805"/>
      <c r="FEM77" s="2805"/>
      <c r="FEN77" s="2805"/>
      <c r="FEO77" s="2805"/>
      <c r="FEP77" s="2805"/>
      <c r="FEQ77" s="2805"/>
      <c r="FER77" s="2805"/>
      <c r="FES77" s="2805"/>
      <c r="FET77" s="2805"/>
      <c r="FEU77" s="2805"/>
      <c r="FEV77" s="2805"/>
      <c r="FEW77" s="2805"/>
      <c r="FEX77" s="2805"/>
      <c r="FEY77" s="2805"/>
      <c r="FEZ77" s="2805"/>
      <c r="FFA77" s="2805"/>
      <c r="FFB77" s="2805"/>
      <c r="FFC77" s="2805"/>
      <c r="FFD77" s="2805"/>
      <c r="FFE77" s="2805"/>
      <c r="FFF77" s="2805"/>
      <c r="FFG77" s="2805"/>
      <c r="FFH77" s="2805"/>
      <c r="FFI77" s="2805"/>
      <c r="FFJ77" s="2805"/>
      <c r="FFK77" s="2805"/>
      <c r="FFL77" s="2805"/>
      <c r="FFM77" s="2805"/>
      <c r="FFN77" s="2805"/>
      <c r="FFO77" s="2805"/>
      <c r="FFP77" s="2805"/>
      <c r="FFQ77" s="2805"/>
      <c r="FFR77" s="2805"/>
      <c r="FFS77" s="2805"/>
      <c r="FFT77" s="2805"/>
      <c r="FFU77" s="2805"/>
      <c r="FFV77" s="2805"/>
      <c r="FFW77" s="2805"/>
      <c r="FFX77" s="2805"/>
      <c r="FFY77" s="2805"/>
      <c r="FFZ77" s="2805"/>
      <c r="FGA77" s="2805"/>
      <c r="FGB77" s="2805"/>
      <c r="FGC77" s="2805"/>
      <c r="FGD77" s="2805"/>
      <c r="FGE77" s="2805"/>
      <c r="FGF77" s="2805"/>
      <c r="FGG77" s="2805"/>
      <c r="FGH77" s="2805"/>
      <c r="FGI77" s="2805"/>
      <c r="FGJ77" s="2805"/>
      <c r="FGK77" s="2805"/>
      <c r="FGL77" s="2805"/>
      <c r="FGM77" s="2805"/>
      <c r="FGN77" s="2805"/>
      <c r="FGO77" s="2805"/>
      <c r="FGP77" s="2805"/>
      <c r="FGQ77" s="2805"/>
      <c r="FGR77" s="2805"/>
      <c r="FGS77" s="2805"/>
      <c r="FGT77" s="2805"/>
      <c r="FGU77" s="2805"/>
      <c r="FGV77" s="2805"/>
      <c r="FGW77" s="2805"/>
      <c r="FGX77" s="2805"/>
      <c r="FGY77" s="2805"/>
      <c r="FGZ77" s="2805"/>
      <c r="FHA77" s="2805"/>
      <c r="FHB77" s="2805"/>
      <c r="FHC77" s="2805"/>
      <c r="FHD77" s="2805"/>
      <c r="FHE77" s="2805"/>
      <c r="FHF77" s="2805"/>
      <c r="FHG77" s="2805"/>
      <c r="FHH77" s="2805"/>
      <c r="FHI77" s="2805"/>
      <c r="FHJ77" s="2805"/>
      <c r="FHK77" s="2805"/>
      <c r="FHL77" s="2805"/>
      <c r="FHM77" s="2805"/>
      <c r="FHN77" s="2805"/>
      <c r="FHO77" s="2805"/>
      <c r="FHP77" s="2805"/>
      <c r="FHQ77" s="2805"/>
      <c r="FHR77" s="2805"/>
      <c r="FHS77" s="2805"/>
      <c r="FHT77" s="2805"/>
      <c r="FHU77" s="2805"/>
      <c r="FHV77" s="2805"/>
      <c r="FHW77" s="2805"/>
      <c r="FHX77" s="2805"/>
      <c r="FHY77" s="2805"/>
      <c r="FHZ77" s="2805"/>
      <c r="FIA77" s="2805"/>
      <c r="FIB77" s="2805"/>
      <c r="FIC77" s="2805"/>
      <c r="FID77" s="2805"/>
      <c r="FIE77" s="2805"/>
      <c r="FIF77" s="2805"/>
      <c r="FIG77" s="2805"/>
      <c r="FIH77" s="2805"/>
      <c r="FII77" s="2805"/>
      <c r="FIJ77" s="2805"/>
      <c r="FIK77" s="2805"/>
      <c r="FIL77" s="2805"/>
      <c r="FIM77" s="2805"/>
      <c r="FIN77" s="2805"/>
      <c r="FIO77" s="2805"/>
      <c r="FIP77" s="2805"/>
      <c r="FIQ77" s="2805"/>
      <c r="FIR77" s="2805"/>
      <c r="FIS77" s="2805"/>
      <c r="FIT77" s="2805"/>
      <c r="FIU77" s="2805"/>
      <c r="FIV77" s="2805"/>
      <c r="FIW77" s="2805"/>
      <c r="FIX77" s="2805"/>
      <c r="FIY77" s="2805"/>
      <c r="FIZ77" s="2805"/>
      <c r="FJA77" s="2805"/>
      <c r="FJB77" s="2805"/>
      <c r="FJC77" s="2805"/>
      <c r="FJD77" s="2805"/>
      <c r="FJE77" s="2805"/>
      <c r="FJF77" s="2805"/>
      <c r="FJG77" s="2805"/>
      <c r="FJH77" s="2805"/>
      <c r="FJI77" s="2805"/>
      <c r="FJJ77" s="2805"/>
      <c r="FJK77" s="2805"/>
      <c r="FJL77" s="2805"/>
      <c r="FJM77" s="2805"/>
      <c r="FJN77" s="2805"/>
      <c r="FJO77" s="2805"/>
      <c r="FJP77" s="2805"/>
      <c r="FJQ77" s="2805"/>
      <c r="FJR77" s="2805"/>
      <c r="FJS77" s="2805"/>
      <c r="FJT77" s="2805"/>
      <c r="FJU77" s="2805"/>
      <c r="FJV77" s="2805"/>
      <c r="FJW77" s="2805"/>
      <c r="FJX77" s="2805"/>
      <c r="FJY77" s="2805"/>
      <c r="FJZ77" s="2805"/>
      <c r="FKA77" s="2805"/>
      <c r="FKB77" s="2805"/>
      <c r="FKC77" s="2805"/>
      <c r="FKD77" s="2805"/>
      <c r="FKE77" s="2805"/>
      <c r="FKF77" s="2805"/>
      <c r="FKG77" s="2805"/>
      <c r="FKH77" s="2805"/>
      <c r="FKI77" s="2805"/>
      <c r="FKJ77" s="2805"/>
      <c r="FKK77" s="2805"/>
      <c r="FKL77" s="2805"/>
      <c r="FKM77" s="2805"/>
      <c r="FKN77" s="2805"/>
      <c r="FKO77" s="2805"/>
      <c r="FKP77" s="2805"/>
      <c r="FKQ77" s="2805"/>
      <c r="FKR77" s="2805"/>
      <c r="FKS77" s="2805"/>
      <c r="FKT77" s="2805"/>
      <c r="FKU77" s="2805"/>
      <c r="FKV77" s="2805"/>
      <c r="FKW77" s="2805"/>
      <c r="FKX77" s="2805"/>
      <c r="FKY77" s="2805"/>
      <c r="FKZ77" s="2805"/>
      <c r="FLA77" s="2805"/>
      <c r="FLB77" s="2805"/>
      <c r="FLC77" s="2805"/>
      <c r="FLD77" s="2805"/>
      <c r="FLE77" s="2805"/>
      <c r="FLF77" s="2805"/>
      <c r="FLG77" s="2805"/>
      <c r="FLH77" s="2805"/>
      <c r="FLI77" s="2805"/>
      <c r="FLJ77" s="2805"/>
      <c r="FLK77" s="2805"/>
      <c r="FLL77" s="2805"/>
      <c r="FLM77" s="2805"/>
      <c r="FLN77" s="2805"/>
      <c r="FLO77" s="2805"/>
      <c r="FLP77" s="2805"/>
      <c r="FLQ77" s="2805"/>
      <c r="FLR77" s="2805"/>
      <c r="FLS77" s="2805"/>
      <c r="FLT77" s="2805"/>
      <c r="FLU77" s="2805"/>
      <c r="FLV77" s="2805"/>
      <c r="FLW77" s="2805"/>
      <c r="FLX77" s="2805"/>
      <c r="FLY77" s="2805"/>
      <c r="FLZ77" s="2805"/>
      <c r="FMA77" s="2805"/>
      <c r="FMB77" s="2805"/>
      <c r="FMC77" s="2805"/>
      <c r="FMD77" s="2805"/>
      <c r="FME77" s="2805"/>
      <c r="FMF77" s="2805"/>
      <c r="FMG77" s="2805"/>
      <c r="FMH77" s="2805"/>
      <c r="FMI77" s="2805"/>
      <c r="FMJ77" s="2805"/>
      <c r="FMK77" s="2805"/>
      <c r="FML77" s="2805"/>
      <c r="FMM77" s="2805"/>
      <c r="FMN77" s="2805"/>
      <c r="FMO77" s="2805"/>
      <c r="FMP77" s="2805"/>
      <c r="FMQ77" s="2805"/>
      <c r="FMR77" s="2805"/>
      <c r="FMS77" s="2805"/>
      <c r="FMT77" s="2805"/>
      <c r="FMU77" s="2805"/>
      <c r="FMV77" s="2805"/>
      <c r="FMW77" s="2805"/>
      <c r="FMX77" s="2805"/>
      <c r="FMY77" s="2805"/>
      <c r="FMZ77" s="2805"/>
      <c r="FNA77" s="2805"/>
      <c r="FNB77" s="2805"/>
      <c r="FNC77" s="2805"/>
      <c r="FND77" s="2805"/>
      <c r="FNE77" s="2805"/>
      <c r="FNF77" s="2805"/>
      <c r="FNG77" s="2805"/>
      <c r="FNH77" s="2805"/>
      <c r="FNI77" s="2805"/>
      <c r="FNJ77" s="2805"/>
      <c r="FNK77" s="2805"/>
      <c r="FNL77" s="2805"/>
      <c r="FNM77" s="2805"/>
      <c r="FNN77" s="2805"/>
      <c r="FNO77" s="2805"/>
      <c r="FNP77" s="2805"/>
      <c r="FNQ77" s="2805"/>
      <c r="FNR77" s="2805"/>
      <c r="FNS77" s="2805"/>
      <c r="FNT77" s="2805"/>
      <c r="FNU77" s="2805"/>
      <c r="FNV77" s="2805"/>
      <c r="FNW77" s="2805"/>
      <c r="FNX77" s="2805"/>
      <c r="FNY77" s="2805"/>
      <c r="FNZ77" s="2805"/>
      <c r="FOA77" s="2805"/>
      <c r="FOB77" s="2805"/>
      <c r="FOC77" s="2805"/>
      <c r="FOD77" s="2805"/>
      <c r="FOE77" s="2805"/>
      <c r="FOF77" s="2805"/>
      <c r="FOG77" s="2805"/>
      <c r="FOH77" s="2805"/>
      <c r="FOI77" s="2805"/>
      <c r="FOJ77" s="2805"/>
      <c r="FOK77" s="2805"/>
      <c r="FOL77" s="2805"/>
      <c r="FOM77" s="2805"/>
      <c r="FON77" s="2805"/>
      <c r="FOO77" s="2805"/>
      <c r="FOP77" s="2805"/>
      <c r="FOQ77" s="2805"/>
      <c r="FOR77" s="2805"/>
      <c r="FOS77" s="2805"/>
      <c r="FOT77" s="2805"/>
      <c r="FOU77" s="2805"/>
      <c r="FOV77" s="2805"/>
      <c r="FOW77" s="2805"/>
      <c r="FOX77" s="2805"/>
      <c r="FOY77" s="2805"/>
      <c r="FOZ77" s="2805"/>
      <c r="FPA77" s="2805"/>
      <c r="FPB77" s="2805"/>
      <c r="FPC77" s="2805"/>
      <c r="FPD77" s="2805"/>
      <c r="FPE77" s="2805"/>
      <c r="FPF77" s="2805"/>
      <c r="FPG77" s="2805"/>
      <c r="FPH77" s="2805"/>
      <c r="FPI77" s="2805"/>
      <c r="FPJ77" s="2805"/>
      <c r="FPK77" s="2805"/>
      <c r="FPL77" s="2805"/>
      <c r="FPM77" s="2805"/>
      <c r="FPN77" s="2805"/>
      <c r="FPO77" s="2805"/>
      <c r="FPP77" s="2805"/>
      <c r="FPQ77" s="2805"/>
      <c r="FPR77" s="2805"/>
      <c r="FPS77" s="2805"/>
      <c r="FPT77" s="2805"/>
      <c r="FPU77" s="2805"/>
      <c r="FPV77" s="2805"/>
      <c r="FPW77" s="2805"/>
      <c r="FPX77" s="2805"/>
      <c r="FPY77" s="2805"/>
      <c r="FPZ77" s="2805"/>
      <c r="FQA77" s="2805"/>
      <c r="FQB77" s="2805"/>
      <c r="FQC77" s="2805"/>
      <c r="FQD77" s="2805"/>
      <c r="FQE77" s="2805"/>
      <c r="FQF77" s="2805"/>
      <c r="FQG77" s="2805"/>
      <c r="FQH77" s="2805"/>
      <c r="FQI77" s="2805"/>
      <c r="FQJ77" s="2805"/>
      <c r="FQK77" s="2805"/>
      <c r="FQL77" s="2805"/>
      <c r="FQM77" s="2805"/>
      <c r="FQN77" s="2805"/>
      <c r="FQO77" s="2805"/>
      <c r="FQP77" s="2805"/>
      <c r="FQQ77" s="2805"/>
      <c r="FQR77" s="2805"/>
      <c r="FQS77" s="2805"/>
      <c r="FQT77" s="2805"/>
      <c r="FQU77" s="2805"/>
      <c r="FQV77" s="2805"/>
      <c r="FQW77" s="2805"/>
      <c r="FQX77" s="2805"/>
      <c r="FQY77" s="2805"/>
      <c r="FQZ77" s="2805"/>
      <c r="FRA77" s="2805"/>
      <c r="FRB77" s="2805"/>
      <c r="FRC77" s="2805"/>
      <c r="FRD77" s="2805"/>
      <c r="FRE77" s="2805"/>
      <c r="FRF77" s="2805"/>
      <c r="FRG77" s="2805"/>
      <c r="FRH77" s="2805"/>
      <c r="FRI77" s="2805"/>
      <c r="FRJ77" s="2805"/>
      <c r="FRK77" s="2805"/>
      <c r="FRL77" s="2805"/>
      <c r="FRM77" s="2805"/>
      <c r="FRN77" s="2805"/>
      <c r="FRO77" s="2805"/>
      <c r="FRP77" s="2805"/>
      <c r="FRQ77" s="2805"/>
      <c r="FRR77" s="2805"/>
      <c r="FRS77" s="2805"/>
      <c r="FRT77" s="2805"/>
      <c r="FRU77" s="2805"/>
      <c r="FRV77" s="2805"/>
      <c r="FRW77" s="2805"/>
      <c r="FRX77" s="2805"/>
      <c r="FRY77" s="2805"/>
      <c r="FRZ77" s="2805"/>
      <c r="FSA77" s="2805"/>
      <c r="FSB77" s="2805"/>
      <c r="FSC77" s="2805"/>
      <c r="FSD77" s="2805"/>
      <c r="FSE77" s="2805"/>
      <c r="FSF77" s="2805"/>
      <c r="FSG77" s="2805"/>
      <c r="FSH77" s="2805"/>
      <c r="FSI77" s="2805"/>
      <c r="FSJ77" s="2805"/>
      <c r="FSK77" s="2805"/>
      <c r="FSL77" s="2805"/>
      <c r="FSM77" s="2805"/>
      <c r="FSN77" s="2805"/>
      <c r="FSO77" s="2805"/>
      <c r="FSP77" s="2805"/>
      <c r="FSQ77" s="2805"/>
      <c r="FSR77" s="2805"/>
      <c r="FSS77" s="2805"/>
      <c r="FST77" s="2805"/>
      <c r="FSU77" s="2805"/>
      <c r="FSV77" s="2805"/>
      <c r="FSW77" s="2805"/>
      <c r="FSX77" s="2805"/>
      <c r="FSY77" s="2805"/>
      <c r="FSZ77" s="2805"/>
      <c r="FTA77" s="2805"/>
      <c r="FTB77" s="2805"/>
      <c r="FTC77" s="2805"/>
      <c r="FTD77" s="2805"/>
      <c r="FTE77" s="2805"/>
      <c r="FTF77" s="2805"/>
      <c r="FTG77" s="2805"/>
      <c r="FTH77" s="2805"/>
      <c r="FTI77" s="2805"/>
      <c r="FTJ77" s="2805"/>
      <c r="FTK77" s="2805"/>
      <c r="FTL77" s="2805"/>
      <c r="FTM77" s="2805"/>
      <c r="FTN77" s="2805"/>
      <c r="FTO77" s="2805"/>
      <c r="FTP77" s="2805"/>
      <c r="FTQ77" s="2805"/>
      <c r="FTR77" s="2805"/>
      <c r="FTS77" s="2805"/>
      <c r="FTT77" s="2805"/>
      <c r="FTU77" s="2805"/>
      <c r="FTV77" s="2805"/>
      <c r="FTW77" s="2805"/>
      <c r="FTX77" s="2805"/>
      <c r="FTY77" s="2805"/>
      <c r="FTZ77" s="2805"/>
      <c r="FUA77" s="2805"/>
      <c r="FUB77" s="2805"/>
      <c r="FUC77" s="2805"/>
      <c r="FUD77" s="2805"/>
      <c r="FUE77" s="2805"/>
      <c r="FUF77" s="2805"/>
      <c r="FUG77" s="2805"/>
      <c r="FUH77" s="2805"/>
      <c r="FUI77" s="2805"/>
      <c r="FUJ77" s="2805"/>
      <c r="FUK77" s="2805"/>
      <c r="FUL77" s="2805"/>
      <c r="FUM77" s="2805"/>
      <c r="FUN77" s="2805"/>
      <c r="FUO77" s="2805"/>
      <c r="FUP77" s="2805"/>
      <c r="FUQ77" s="2805"/>
      <c r="FUR77" s="2805"/>
      <c r="FUS77" s="2805"/>
      <c r="FUT77" s="2805"/>
      <c r="FUU77" s="2805"/>
      <c r="FUV77" s="2805"/>
      <c r="FUW77" s="2805"/>
      <c r="FUX77" s="2805"/>
      <c r="FUY77" s="2805"/>
      <c r="FUZ77" s="2805"/>
      <c r="FVA77" s="2805"/>
      <c r="FVB77" s="2805"/>
      <c r="FVC77" s="2805"/>
      <c r="FVD77" s="2805"/>
      <c r="FVE77" s="2805"/>
      <c r="FVF77" s="2805"/>
      <c r="FVG77" s="2805"/>
      <c r="FVH77" s="2805"/>
      <c r="FVI77" s="2805"/>
      <c r="FVJ77" s="2805"/>
      <c r="FVK77" s="2805"/>
      <c r="FVL77" s="2805"/>
      <c r="FVM77" s="2805"/>
      <c r="FVN77" s="2805"/>
      <c r="FVO77" s="2805"/>
      <c r="FVP77" s="2805"/>
      <c r="FVQ77" s="2805"/>
      <c r="FVR77" s="2805"/>
      <c r="FVS77" s="2805"/>
      <c r="FVT77" s="2805"/>
      <c r="FVU77" s="2805"/>
      <c r="FVV77" s="2805"/>
      <c r="FVW77" s="2805"/>
      <c r="FVX77" s="2805"/>
      <c r="FVY77" s="2805"/>
      <c r="FVZ77" s="2805"/>
      <c r="FWA77" s="2805"/>
      <c r="FWB77" s="2805"/>
      <c r="FWC77" s="2805"/>
      <c r="FWD77" s="2805"/>
      <c r="FWE77" s="2805"/>
      <c r="FWF77" s="2805"/>
      <c r="FWG77" s="2805"/>
      <c r="FWH77" s="2805"/>
      <c r="FWI77" s="2805"/>
      <c r="FWJ77" s="2805"/>
      <c r="FWK77" s="2805"/>
      <c r="FWL77" s="2805"/>
      <c r="FWM77" s="2805"/>
      <c r="FWN77" s="2805"/>
      <c r="FWO77" s="2805"/>
      <c r="FWP77" s="2805"/>
      <c r="FWQ77" s="2805"/>
      <c r="FWR77" s="2805"/>
      <c r="FWS77" s="2805"/>
      <c r="FWT77" s="2805"/>
      <c r="FWU77" s="2805"/>
      <c r="FWV77" s="2805"/>
      <c r="FWW77" s="2805"/>
      <c r="FWX77" s="2805"/>
      <c r="FWY77" s="2805"/>
      <c r="FWZ77" s="2805"/>
      <c r="FXA77" s="2805"/>
      <c r="FXB77" s="2805"/>
      <c r="FXC77" s="2805"/>
      <c r="FXD77" s="2805"/>
      <c r="FXE77" s="2805"/>
      <c r="FXF77" s="2805"/>
      <c r="FXG77" s="2805"/>
      <c r="FXH77" s="2805"/>
      <c r="FXI77" s="2805"/>
      <c r="FXJ77" s="2805"/>
      <c r="FXK77" s="2805"/>
      <c r="FXL77" s="2805"/>
      <c r="FXM77" s="2805"/>
      <c r="FXN77" s="2805"/>
      <c r="FXO77" s="2805"/>
      <c r="FXP77" s="2805"/>
      <c r="FXQ77" s="2805"/>
      <c r="FXR77" s="2805"/>
      <c r="FXS77" s="2805"/>
      <c r="FXT77" s="2805"/>
      <c r="FXU77" s="2805"/>
      <c r="FXV77" s="2805"/>
      <c r="FXW77" s="2805"/>
      <c r="FXX77" s="2805"/>
      <c r="FXY77" s="2805"/>
      <c r="FXZ77" s="2805"/>
      <c r="FYA77" s="2805"/>
      <c r="FYB77" s="2805"/>
      <c r="FYC77" s="2805"/>
      <c r="FYD77" s="2805"/>
      <c r="FYE77" s="2805"/>
      <c r="FYF77" s="2805"/>
      <c r="FYG77" s="2805"/>
      <c r="FYH77" s="2805"/>
      <c r="FYI77" s="2805"/>
      <c r="FYJ77" s="2805"/>
      <c r="FYK77" s="2805"/>
      <c r="FYL77" s="2805"/>
      <c r="FYM77" s="2805"/>
      <c r="FYN77" s="2805"/>
      <c r="FYO77" s="2805"/>
      <c r="FYP77" s="2805"/>
      <c r="FYQ77" s="2805"/>
      <c r="FYR77" s="2805"/>
      <c r="FYS77" s="2805"/>
      <c r="FYT77" s="2805"/>
      <c r="FYU77" s="2805"/>
      <c r="FYV77" s="2805"/>
      <c r="FYW77" s="2805"/>
      <c r="FYX77" s="2805"/>
      <c r="FYY77" s="2805"/>
      <c r="FYZ77" s="2805"/>
      <c r="FZA77" s="2805"/>
      <c r="FZB77" s="2805"/>
      <c r="FZC77" s="2805"/>
      <c r="FZD77" s="2805"/>
      <c r="FZE77" s="2805"/>
      <c r="FZF77" s="2805"/>
      <c r="FZG77" s="2805"/>
      <c r="FZH77" s="2805"/>
      <c r="FZI77" s="2805"/>
      <c r="FZJ77" s="2805"/>
      <c r="FZK77" s="2805"/>
      <c r="FZL77" s="2805"/>
      <c r="FZM77" s="2805"/>
      <c r="FZN77" s="2805"/>
      <c r="FZO77" s="2805"/>
      <c r="FZP77" s="2805"/>
      <c r="FZQ77" s="2805"/>
      <c r="FZR77" s="2805"/>
      <c r="FZS77" s="2805"/>
      <c r="FZT77" s="2805"/>
      <c r="FZU77" s="2805"/>
      <c r="FZV77" s="2805"/>
      <c r="FZW77" s="2805"/>
      <c r="FZX77" s="2805"/>
      <c r="FZY77" s="2805"/>
      <c r="FZZ77" s="2805"/>
      <c r="GAA77" s="2805"/>
      <c r="GAB77" s="2805"/>
      <c r="GAC77" s="2805"/>
      <c r="GAD77" s="2805"/>
      <c r="GAE77" s="2805"/>
      <c r="GAF77" s="2805"/>
      <c r="GAG77" s="2805"/>
      <c r="GAH77" s="2805"/>
      <c r="GAI77" s="2805"/>
      <c r="GAJ77" s="2805"/>
      <c r="GAK77" s="2805"/>
      <c r="GAL77" s="2805"/>
      <c r="GAM77" s="2805"/>
      <c r="GAN77" s="2805"/>
      <c r="GAO77" s="2805"/>
      <c r="GAP77" s="2805"/>
      <c r="GAQ77" s="2805"/>
      <c r="GAR77" s="2805"/>
      <c r="GAS77" s="2805"/>
      <c r="GAT77" s="2805"/>
      <c r="GAU77" s="2805"/>
      <c r="GAV77" s="2805"/>
      <c r="GAW77" s="2805"/>
      <c r="GAX77" s="2805"/>
      <c r="GAY77" s="2805"/>
      <c r="GAZ77" s="2805"/>
      <c r="GBA77" s="2805"/>
      <c r="GBB77" s="2805"/>
      <c r="GBC77" s="2805"/>
      <c r="GBD77" s="2805"/>
      <c r="GBE77" s="2805"/>
      <c r="GBF77" s="2805"/>
      <c r="GBG77" s="2805"/>
      <c r="GBH77" s="2805"/>
      <c r="GBI77" s="2805"/>
      <c r="GBJ77" s="2805"/>
      <c r="GBK77" s="2805"/>
      <c r="GBL77" s="2805"/>
      <c r="GBM77" s="2805"/>
      <c r="GBN77" s="2805"/>
      <c r="GBO77" s="2805"/>
      <c r="GBP77" s="2805"/>
      <c r="GBQ77" s="2805"/>
      <c r="GBR77" s="2805"/>
      <c r="GBS77" s="2805"/>
      <c r="GBT77" s="2805"/>
      <c r="GBU77" s="2805"/>
      <c r="GBV77" s="2805"/>
      <c r="GBW77" s="2805"/>
      <c r="GBX77" s="2805"/>
      <c r="GBY77" s="2805"/>
      <c r="GBZ77" s="2805"/>
      <c r="GCA77" s="2805"/>
      <c r="GCB77" s="2805"/>
      <c r="GCC77" s="2805"/>
      <c r="GCD77" s="2805"/>
      <c r="GCE77" s="2805"/>
      <c r="GCF77" s="2805"/>
      <c r="GCG77" s="2805"/>
      <c r="GCH77" s="2805"/>
      <c r="GCI77" s="2805"/>
      <c r="GCJ77" s="2805"/>
      <c r="GCK77" s="2805"/>
      <c r="GCL77" s="2805"/>
      <c r="GCM77" s="2805"/>
      <c r="GCN77" s="2805"/>
      <c r="GCO77" s="2805"/>
      <c r="GCP77" s="2805"/>
      <c r="GCQ77" s="2805"/>
      <c r="GCR77" s="2805"/>
      <c r="GCS77" s="2805"/>
      <c r="GCT77" s="2805"/>
      <c r="GCU77" s="2805"/>
      <c r="GCV77" s="2805"/>
      <c r="GCW77" s="2805"/>
      <c r="GCX77" s="2805"/>
      <c r="GCY77" s="2805"/>
      <c r="GCZ77" s="2805"/>
      <c r="GDA77" s="2805"/>
      <c r="GDB77" s="2805"/>
      <c r="GDC77" s="2805"/>
      <c r="GDD77" s="2805"/>
      <c r="GDE77" s="2805"/>
      <c r="GDF77" s="2805"/>
      <c r="GDG77" s="2805"/>
      <c r="GDH77" s="2805"/>
      <c r="GDI77" s="2805"/>
      <c r="GDJ77" s="2805"/>
      <c r="GDK77" s="2805"/>
      <c r="GDL77" s="2805"/>
      <c r="GDM77" s="2805"/>
      <c r="GDN77" s="2805"/>
      <c r="GDO77" s="2805"/>
      <c r="GDP77" s="2805"/>
      <c r="GDQ77" s="2805"/>
      <c r="GDR77" s="2805"/>
      <c r="GDS77" s="2805"/>
      <c r="GDT77" s="2805"/>
      <c r="GDU77" s="2805"/>
      <c r="GDV77" s="2805"/>
      <c r="GDW77" s="2805"/>
      <c r="GDX77" s="2805"/>
      <c r="GDY77" s="2805"/>
      <c r="GDZ77" s="2805"/>
      <c r="GEA77" s="2805"/>
      <c r="GEB77" s="2805"/>
      <c r="GEC77" s="2805"/>
      <c r="GED77" s="2805"/>
      <c r="GEE77" s="2805"/>
      <c r="GEF77" s="2805"/>
      <c r="GEG77" s="2805"/>
      <c r="GEH77" s="2805"/>
      <c r="GEI77" s="2805"/>
      <c r="GEJ77" s="2805"/>
      <c r="GEK77" s="2805"/>
      <c r="GEL77" s="2805"/>
      <c r="GEM77" s="2805"/>
      <c r="GEN77" s="2805"/>
      <c r="GEO77" s="2805"/>
      <c r="GEP77" s="2805"/>
      <c r="GEQ77" s="2805"/>
      <c r="GER77" s="2805"/>
      <c r="GES77" s="2805"/>
      <c r="GET77" s="2805"/>
      <c r="GEU77" s="2805"/>
      <c r="GEV77" s="2805"/>
      <c r="GEW77" s="2805"/>
      <c r="GEX77" s="2805"/>
      <c r="GEY77" s="2805"/>
      <c r="GEZ77" s="2805"/>
      <c r="GFA77" s="2805"/>
      <c r="GFB77" s="2805"/>
      <c r="GFC77" s="2805"/>
      <c r="GFD77" s="2805"/>
      <c r="GFE77" s="2805"/>
      <c r="GFF77" s="2805"/>
      <c r="GFG77" s="2805"/>
      <c r="GFH77" s="2805"/>
      <c r="GFI77" s="2805"/>
      <c r="GFJ77" s="2805"/>
      <c r="GFK77" s="2805"/>
      <c r="GFL77" s="2805"/>
      <c r="GFM77" s="2805"/>
      <c r="GFN77" s="2805"/>
      <c r="GFO77" s="2805"/>
      <c r="GFP77" s="2805"/>
      <c r="GFQ77" s="2805"/>
      <c r="GFR77" s="2805"/>
      <c r="GFS77" s="2805"/>
      <c r="GFT77" s="2805"/>
      <c r="GFU77" s="2805"/>
      <c r="GFV77" s="2805"/>
      <c r="GFW77" s="2805"/>
      <c r="GFX77" s="2805"/>
      <c r="GFY77" s="2805"/>
      <c r="GFZ77" s="2805"/>
      <c r="GGA77" s="2805"/>
      <c r="GGB77" s="2805"/>
      <c r="GGC77" s="2805"/>
      <c r="GGD77" s="2805"/>
      <c r="GGE77" s="2805"/>
      <c r="GGF77" s="2805"/>
      <c r="GGG77" s="2805"/>
      <c r="GGH77" s="2805"/>
      <c r="GGI77" s="2805"/>
      <c r="GGJ77" s="2805"/>
      <c r="GGK77" s="2805"/>
      <c r="GGL77" s="2805"/>
      <c r="GGM77" s="2805"/>
      <c r="GGN77" s="2805"/>
      <c r="GGO77" s="2805"/>
      <c r="GGP77" s="2805"/>
      <c r="GGQ77" s="2805"/>
      <c r="GGR77" s="2805"/>
      <c r="GGS77" s="2805"/>
      <c r="GGT77" s="2805"/>
      <c r="GGU77" s="2805"/>
      <c r="GGV77" s="2805"/>
      <c r="GGW77" s="2805"/>
      <c r="GGX77" s="2805"/>
      <c r="GGY77" s="2805"/>
      <c r="GGZ77" s="2805"/>
      <c r="GHA77" s="2805"/>
      <c r="GHB77" s="2805"/>
      <c r="GHC77" s="2805"/>
      <c r="GHD77" s="2805"/>
      <c r="GHE77" s="2805"/>
      <c r="GHF77" s="2805"/>
      <c r="GHG77" s="2805"/>
      <c r="GHH77" s="2805"/>
      <c r="GHI77" s="2805"/>
      <c r="GHJ77" s="2805"/>
      <c r="GHK77" s="2805"/>
      <c r="GHL77" s="2805"/>
      <c r="GHM77" s="2805"/>
      <c r="GHN77" s="2805"/>
      <c r="GHO77" s="2805"/>
      <c r="GHP77" s="2805"/>
      <c r="GHQ77" s="2805"/>
      <c r="GHR77" s="2805"/>
      <c r="GHS77" s="2805"/>
      <c r="GHT77" s="2805"/>
      <c r="GHU77" s="2805"/>
      <c r="GHV77" s="2805"/>
      <c r="GHW77" s="2805"/>
      <c r="GHX77" s="2805"/>
      <c r="GHY77" s="2805"/>
      <c r="GHZ77" s="2805"/>
      <c r="GIA77" s="2805"/>
      <c r="GIB77" s="2805"/>
      <c r="GIC77" s="2805"/>
      <c r="GID77" s="2805"/>
      <c r="GIE77" s="2805"/>
      <c r="GIF77" s="2805"/>
      <c r="GIG77" s="2805"/>
      <c r="GIH77" s="2805"/>
      <c r="GII77" s="2805"/>
      <c r="GIJ77" s="2805"/>
      <c r="GIK77" s="2805"/>
      <c r="GIL77" s="2805"/>
      <c r="GIM77" s="2805"/>
      <c r="GIN77" s="2805"/>
      <c r="GIO77" s="2805"/>
      <c r="GIP77" s="2805"/>
      <c r="GIQ77" s="2805"/>
      <c r="GIR77" s="2805"/>
      <c r="GIS77" s="2805"/>
      <c r="GIT77" s="2805"/>
      <c r="GIU77" s="2805"/>
      <c r="GIV77" s="2805"/>
      <c r="GIW77" s="2805"/>
      <c r="GIX77" s="2805"/>
      <c r="GIY77" s="2805"/>
      <c r="GIZ77" s="2805"/>
      <c r="GJA77" s="2805"/>
      <c r="GJB77" s="2805"/>
      <c r="GJC77" s="2805"/>
      <c r="GJD77" s="2805"/>
      <c r="GJE77" s="2805"/>
      <c r="GJF77" s="2805"/>
      <c r="GJG77" s="2805"/>
      <c r="GJH77" s="2805"/>
      <c r="GJI77" s="2805"/>
      <c r="GJJ77" s="2805"/>
      <c r="GJK77" s="2805"/>
      <c r="GJL77" s="2805"/>
      <c r="GJM77" s="2805"/>
      <c r="GJN77" s="2805"/>
      <c r="GJO77" s="2805"/>
      <c r="GJP77" s="2805"/>
      <c r="GJQ77" s="2805"/>
      <c r="GJR77" s="2805"/>
      <c r="GJS77" s="2805"/>
      <c r="GJT77" s="2805"/>
      <c r="GJU77" s="2805"/>
      <c r="GJV77" s="2805"/>
      <c r="GJW77" s="2805"/>
      <c r="GJX77" s="2805"/>
      <c r="GJY77" s="2805"/>
      <c r="GJZ77" s="2805"/>
      <c r="GKA77" s="2805"/>
      <c r="GKB77" s="2805"/>
      <c r="GKC77" s="2805"/>
      <c r="GKD77" s="2805"/>
      <c r="GKE77" s="2805"/>
      <c r="GKF77" s="2805"/>
      <c r="GKG77" s="2805"/>
      <c r="GKH77" s="2805"/>
      <c r="GKI77" s="2805"/>
      <c r="GKJ77" s="2805"/>
      <c r="GKK77" s="2805"/>
      <c r="GKL77" s="2805"/>
      <c r="GKM77" s="2805"/>
      <c r="GKN77" s="2805"/>
      <c r="GKO77" s="2805"/>
      <c r="GKP77" s="2805"/>
      <c r="GKQ77" s="2805"/>
      <c r="GKR77" s="2805"/>
      <c r="GKS77" s="2805"/>
      <c r="GKT77" s="2805"/>
      <c r="GKU77" s="2805"/>
      <c r="GKV77" s="2805"/>
      <c r="GKW77" s="2805"/>
      <c r="GKX77" s="2805"/>
      <c r="GKY77" s="2805"/>
      <c r="GKZ77" s="2805"/>
      <c r="GLA77" s="2805"/>
      <c r="GLB77" s="2805"/>
      <c r="GLC77" s="2805"/>
      <c r="GLD77" s="2805"/>
      <c r="GLE77" s="2805"/>
      <c r="GLF77" s="2805"/>
      <c r="GLG77" s="2805"/>
      <c r="GLH77" s="2805"/>
      <c r="GLI77" s="2805"/>
      <c r="GLJ77" s="2805"/>
      <c r="GLK77" s="2805"/>
      <c r="GLL77" s="2805"/>
      <c r="GLM77" s="2805"/>
      <c r="GLN77" s="2805"/>
      <c r="GLO77" s="2805"/>
      <c r="GLP77" s="2805"/>
      <c r="GLQ77" s="2805"/>
      <c r="GLR77" s="2805"/>
      <c r="GLS77" s="2805"/>
      <c r="GLT77" s="2805"/>
      <c r="GLU77" s="2805"/>
      <c r="GLV77" s="2805"/>
      <c r="GLW77" s="2805"/>
      <c r="GLX77" s="2805"/>
      <c r="GLY77" s="2805"/>
      <c r="GLZ77" s="2805"/>
      <c r="GMA77" s="2805"/>
      <c r="GMB77" s="2805"/>
      <c r="GMC77" s="2805"/>
      <c r="GMD77" s="2805"/>
      <c r="GME77" s="2805"/>
      <c r="GMF77" s="2805"/>
      <c r="GMG77" s="2805"/>
      <c r="GMH77" s="2805"/>
      <c r="GMI77" s="2805"/>
      <c r="GMJ77" s="2805"/>
      <c r="GMK77" s="2805"/>
      <c r="GML77" s="2805"/>
      <c r="GMM77" s="2805"/>
      <c r="GMN77" s="2805"/>
      <c r="GMO77" s="2805"/>
      <c r="GMP77" s="2805"/>
      <c r="GMQ77" s="2805"/>
      <c r="GMR77" s="2805"/>
      <c r="GMS77" s="2805"/>
      <c r="GMT77" s="2805"/>
      <c r="GMU77" s="2805"/>
      <c r="GMV77" s="2805"/>
      <c r="GMW77" s="2805"/>
      <c r="GMX77" s="2805"/>
      <c r="GMY77" s="2805"/>
      <c r="GMZ77" s="2805"/>
      <c r="GNA77" s="2805"/>
      <c r="GNB77" s="2805"/>
      <c r="GNC77" s="2805"/>
      <c r="GND77" s="2805"/>
      <c r="GNE77" s="2805"/>
      <c r="GNF77" s="2805"/>
      <c r="GNG77" s="2805"/>
      <c r="GNH77" s="2805"/>
      <c r="GNI77" s="2805"/>
      <c r="GNJ77" s="2805"/>
      <c r="GNK77" s="2805"/>
      <c r="GNL77" s="2805"/>
      <c r="GNM77" s="2805"/>
      <c r="GNN77" s="2805"/>
      <c r="GNO77" s="2805"/>
      <c r="GNP77" s="2805"/>
      <c r="GNQ77" s="2805"/>
      <c r="GNR77" s="2805"/>
      <c r="GNS77" s="2805"/>
      <c r="GNT77" s="2805"/>
      <c r="GNU77" s="2805"/>
      <c r="GNV77" s="2805"/>
      <c r="GNW77" s="2805"/>
      <c r="GNX77" s="2805"/>
      <c r="GNY77" s="2805"/>
      <c r="GNZ77" s="2805"/>
      <c r="GOA77" s="2805"/>
      <c r="GOB77" s="2805"/>
      <c r="GOC77" s="2805"/>
      <c r="GOD77" s="2805"/>
      <c r="GOE77" s="2805"/>
      <c r="GOF77" s="2805"/>
      <c r="GOG77" s="2805"/>
      <c r="GOH77" s="2805"/>
      <c r="GOI77" s="2805"/>
      <c r="GOJ77" s="2805"/>
      <c r="GOK77" s="2805"/>
      <c r="GOL77" s="2805"/>
      <c r="GOM77" s="2805"/>
      <c r="GON77" s="2805"/>
      <c r="GOO77" s="2805"/>
      <c r="GOP77" s="2805"/>
      <c r="GOQ77" s="2805"/>
      <c r="GOR77" s="2805"/>
      <c r="GOS77" s="2805"/>
      <c r="GOT77" s="2805"/>
      <c r="GOU77" s="2805"/>
      <c r="GOV77" s="2805"/>
      <c r="GOW77" s="2805"/>
      <c r="GOX77" s="2805"/>
      <c r="GOY77" s="2805"/>
      <c r="GOZ77" s="2805"/>
      <c r="GPA77" s="2805"/>
      <c r="GPB77" s="2805"/>
      <c r="GPC77" s="2805"/>
      <c r="GPD77" s="2805"/>
      <c r="GPE77" s="2805"/>
      <c r="GPF77" s="2805"/>
      <c r="GPG77" s="2805"/>
      <c r="GPH77" s="2805"/>
      <c r="GPI77" s="2805"/>
      <c r="GPJ77" s="2805"/>
      <c r="GPK77" s="2805"/>
      <c r="GPL77" s="2805"/>
      <c r="GPM77" s="2805"/>
      <c r="GPN77" s="2805"/>
      <c r="GPO77" s="2805"/>
      <c r="GPP77" s="2805"/>
      <c r="GPQ77" s="2805"/>
      <c r="GPR77" s="2805"/>
      <c r="GPS77" s="2805"/>
      <c r="GPT77" s="2805"/>
      <c r="GPU77" s="2805"/>
      <c r="GPV77" s="2805"/>
      <c r="GPW77" s="2805"/>
      <c r="GPX77" s="2805"/>
      <c r="GPY77" s="2805"/>
      <c r="GPZ77" s="2805"/>
      <c r="GQA77" s="2805"/>
      <c r="GQB77" s="2805"/>
      <c r="GQC77" s="2805"/>
      <c r="GQD77" s="2805"/>
      <c r="GQE77" s="2805"/>
      <c r="GQF77" s="2805"/>
      <c r="GQG77" s="2805"/>
      <c r="GQH77" s="2805"/>
      <c r="GQI77" s="2805"/>
      <c r="GQJ77" s="2805"/>
      <c r="GQK77" s="2805"/>
      <c r="GQL77" s="2805"/>
      <c r="GQM77" s="2805"/>
      <c r="GQN77" s="2805"/>
      <c r="GQO77" s="2805"/>
      <c r="GQP77" s="2805"/>
      <c r="GQQ77" s="2805"/>
      <c r="GQR77" s="2805"/>
      <c r="GQS77" s="2805"/>
      <c r="GQT77" s="2805"/>
      <c r="GQU77" s="2805"/>
      <c r="GQV77" s="2805"/>
      <c r="GQW77" s="2805"/>
      <c r="GQX77" s="2805"/>
      <c r="GQY77" s="2805"/>
      <c r="GQZ77" s="2805"/>
      <c r="GRA77" s="2805"/>
      <c r="GRB77" s="2805"/>
      <c r="GRC77" s="2805"/>
      <c r="GRD77" s="2805"/>
      <c r="GRE77" s="2805"/>
      <c r="GRF77" s="2805"/>
      <c r="GRG77" s="2805"/>
      <c r="GRH77" s="2805"/>
      <c r="GRI77" s="2805"/>
      <c r="GRJ77" s="2805"/>
      <c r="GRK77" s="2805"/>
      <c r="GRL77" s="2805"/>
      <c r="GRM77" s="2805"/>
      <c r="GRN77" s="2805"/>
      <c r="GRO77" s="2805"/>
      <c r="GRP77" s="2805"/>
      <c r="GRQ77" s="2805"/>
      <c r="GRR77" s="2805"/>
      <c r="GRS77" s="2805"/>
      <c r="GRT77" s="2805"/>
      <c r="GRU77" s="2805"/>
      <c r="GRV77" s="2805"/>
      <c r="GRW77" s="2805"/>
      <c r="GRX77" s="2805"/>
      <c r="GRY77" s="2805"/>
      <c r="GRZ77" s="2805"/>
      <c r="GSA77" s="2805"/>
      <c r="GSB77" s="2805"/>
      <c r="GSC77" s="2805"/>
      <c r="GSD77" s="2805"/>
      <c r="GSE77" s="2805"/>
      <c r="GSF77" s="2805"/>
      <c r="GSG77" s="2805"/>
      <c r="GSH77" s="2805"/>
      <c r="GSI77" s="2805"/>
      <c r="GSJ77" s="2805"/>
      <c r="GSK77" s="2805"/>
      <c r="GSL77" s="2805"/>
      <c r="GSM77" s="2805"/>
      <c r="GSN77" s="2805"/>
      <c r="GSO77" s="2805"/>
      <c r="GSP77" s="2805"/>
      <c r="GSQ77" s="2805"/>
      <c r="GSR77" s="2805"/>
      <c r="GSS77" s="2805"/>
      <c r="GST77" s="2805"/>
      <c r="GSU77" s="2805"/>
      <c r="GSV77" s="2805"/>
      <c r="GSW77" s="2805"/>
      <c r="GSX77" s="2805"/>
      <c r="GSY77" s="2805"/>
      <c r="GSZ77" s="2805"/>
      <c r="GTA77" s="2805"/>
      <c r="GTB77" s="2805"/>
      <c r="GTC77" s="2805"/>
      <c r="GTD77" s="2805"/>
      <c r="GTE77" s="2805"/>
      <c r="GTF77" s="2805"/>
      <c r="GTG77" s="2805"/>
      <c r="GTH77" s="2805"/>
      <c r="GTI77" s="2805"/>
      <c r="GTJ77" s="2805"/>
      <c r="GTK77" s="2805"/>
      <c r="GTL77" s="2805"/>
      <c r="GTM77" s="2805"/>
      <c r="GTN77" s="2805"/>
      <c r="GTO77" s="2805"/>
      <c r="GTP77" s="2805"/>
      <c r="GTQ77" s="2805"/>
      <c r="GTR77" s="2805"/>
      <c r="GTS77" s="2805"/>
      <c r="GTT77" s="2805"/>
      <c r="GTU77" s="2805"/>
      <c r="GTV77" s="2805"/>
      <c r="GTW77" s="2805"/>
      <c r="GTX77" s="2805"/>
      <c r="GTY77" s="2805"/>
      <c r="GTZ77" s="2805"/>
      <c r="GUA77" s="2805"/>
      <c r="GUB77" s="2805"/>
      <c r="GUC77" s="2805"/>
      <c r="GUD77" s="2805"/>
      <c r="GUE77" s="2805"/>
      <c r="GUF77" s="2805"/>
      <c r="GUG77" s="2805"/>
      <c r="GUH77" s="2805"/>
      <c r="GUI77" s="2805"/>
      <c r="GUJ77" s="2805"/>
      <c r="GUK77" s="2805"/>
      <c r="GUL77" s="2805"/>
      <c r="GUM77" s="2805"/>
      <c r="GUN77" s="2805"/>
      <c r="GUO77" s="2805"/>
      <c r="GUP77" s="2805"/>
      <c r="GUQ77" s="2805"/>
      <c r="GUR77" s="2805"/>
      <c r="GUS77" s="2805"/>
      <c r="GUT77" s="2805"/>
      <c r="GUU77" s="2805"/>
      <c r="GUV77" s="2805"/>
      <c r="GUW77" s="2805"/>
      <c r="GUX77" s="2805"/>
      <c r="GUY77" s="2805"/>
      <c r="GUZ77" s="2805"/>
      <c r="GVA77" s="2805"/>
      <c r="GVB77" s="2805"/>
      <c r="GVC77" s="2805"/>
      <c r="GVD77" s="2805"/>
      <c r="GVE77" s="2805"/>
      <c r="GVF77" s="2805"/>
      <c r="GVG77" s="2805"/>
      <c r="GVH77" s="2805"/>
      <c r="GVI77" s="2805"/>
      <c r="GVJ77" s="2805"/>
      <c r="GVK77" s="2805"/>
      <c r="GVL77" s="2805"/>
      <c r="GVM77" s="2805"/>
      <c r="GVN77" s="2805"/>
      <c r="GVO77" s="2805"/>
      <c r="GVP77" s="2805"/>
      <c r="GVQ77" s="2805"/>
      <c r="GVR77" s="2805"/>
      <c r="GVS77" s="2805"/>
      <c r="GVT77" s="2805"/>
      <c r="GVU77" s="2805"/>
      <c r="GVV77" s="2805"/>
      <c r="GVW77" s="2805"/>
      <c r="GVX77" s="2805"/>
      <c r="GVY77" s="2805"/>
      <c r="GVZ77" s="2805"/>
      <c r="GWA77" s="2805"/>
      <c r="GWB77" s="2805"/>
      <c r="GWC77" s="2805"/>
      <c r="GWD77" s="2805"/>
      <c r="GWE77" s="2805"/>
      <c r="GWF77" s="2805"/>
      <c r="GWG77" s="2805"/>
      <c r="GWH77" s="2805"/>
      <c r="GWI77" s="2805"/>
      <c r="GWJ77" s="2805"/>
      <c r="GWK77" s="2805"/>
      <c r="GWL77" s="2805"/>
      <c r="GWM77" s="2805"/>
      <c r="GWN77" s="2805"/>
      <c r="GWO77" s="2805"/>
      <c r="GWP77" s="2805"/>
      <c r="GWQ77" s="2805"/>
      <c r="GWR77" s="2805"/>
      <c r="GWS77" s="2805"/>
      <c r="GWT77" s="2805"/>
      <c r="GWU77" s="2805"/>
      <c r="GWV77" s="2805"/>
      <c r="GWW77" s="2805"/>
      <c r="GWX77" s="2805"/>
      <c r="GWY77" s="2805"/>
      <c r="GWZ77" s="2805"/>
      <c r="GXA77" s="2805"/>
      <c r="GXB77" s="2805"/>
      <c r="GXC77" s="2805"/>
      <c r="GXD77" s="2805"/>
      <c r="GXE77" s="2805"/>
      <c r="GXF77" s="2805"/>
      <c r="GXG77" s="2805"/>
      <c r="GXH77" s="2805"/>
      <c r="GXI77" s="2805"/>
      <c r="GXJ77" s="2805"/>
      <c r="GXK77" s="2805"/>
      <c r="GXL77" s="2805"/>
      <c r="GXM77" s="2805"/>
      <c r="GXN77" s="2805"/>
      <c r="GXO77" s="2805"/>
      <c r="GXP77" s="2805"/>
      <c r="GXQ77" s="2805"/>
      <c r="GXR77" s="2805"/>
      <c r="GXS77" s="2805"/>
      <c r="GXT77" s="2805"/>
      <c r="GXU77" s="2805"/>
      <c r="GXV77" s="2805"/>
      <c r="GXW77" s="2805"/>
      <c r="GXX77" s="2805"/>
      <c r="GXY77" s="2805"/>
      <c r="GXZ77" s="2805"/>
      <c r="GYA77" s="2805"/>
      <c r="GYB77" s="2805"/>
      <c r="GYC77" s="2805"/>
      <c r="GYD77" s="2805"/>
      <c r="GYE77" s="2805"/>
      <c r="GYF77" s="2805"/>
      <c r="GYG77" s="2805"/>
      <c r="GYH77" s="2805"/>
      <c r="GYI77" s="2805"/>
      <c r="GYJ77" s="2805"/>
      <c r="GYK77" s="2805"/>
      <c r="GYL77" s="2805"/>
      <c r="GYM77" s="2805"/>
      <c r="GYN77" s="2805"/>
      <c r="GYO77" s="2805"/>
      <c r="GYP77" s="2805"/>
      <c r="GYQ77" s="2805"/>
      <c r="GYR77" s="2805"/>
      <c r="GYS77" s="2805"/>
      <c r="GYT77" s="2805"/>
      <c r="GYU77" s="2805"/>
      <c r="GYV77" s="2805"/>
      <c r="GYW77" s="2805"/>
      <c r="GYX77" s="2805"/>
      <c r="GYY77" s="2805"/>
      <c r="GYZ77" s="2805"/>
      <c r="GZA77" s="2805"/>
      <c r="GZB77" s="2805"/>
      <c r="GZC77" s="2805"/>
      <c r="GZD77" s="2805"/>
      <c r="GZE77" s="2805"/>
      <c r="GZF77" s="2805"/>
      <c r="GZG77" s="2805"/>
      <c r="GZH77" s="2805"/>
      <c r="GZI77" s="2805"/>
      <c r="GZJ77" s="2805"/>
      <c r="GZK77" s="2805"/>
      <c r="GZL77" s="2805"/>
      <c r="GZM77" s="2805"/>
      <c r="GZN77" s="2805"/>
      <c r="GZO77" s="2805"/>
      <c r="GZP77" s="2805"/>
      <c r="GZQ77" s="2805"/>
      <c r="GZR77" s="2805"/>
      <c r="GZS77" s="2805"/>
      <c r="GZT77" s="2805"/>
      <c r="GZU77" s="2805"/>
      <c r="GZV77" s="2805"/>
      <c r="GZW77" s="2805"/>
      <c r="GZX77" s="2805"/>
      <c r="GZY77" s="2805"/>
      <c r="GZZ77" s="2805"/>
      <c r="HAA77" s="2805"/>
      <c r="HAB77" s="2805"/>
      <c r="HAC77" s="2805"/>
      <c r="HAD77" s="2805"/>
      <c r="HAE77" s="2805"/>
      <c r="HAF77" s="2805"/>
      <c r="HAG77" s="2805"/>
      <c r="HAH77" s="2805"/>
      <c r="HAI77" s="2805"/>
      <c r="HAJ77" s="2805"/>
      <c r="HAK77" s="2805"/>
      <c r="HAL77" s="2805"/>
      <c r="HAM77" s="2805"/>
      <c r="HAN77" s="2805"/>
      <c r="HAO77" s="2805"/>
      <c r="HAP77" s="2805"/>
      <c r="HAQ77" s="2805"/>
      <c r="HAR77" s="2805"/>
      <c r="HAS77" s="2805"/>
      <c r="HAT77" s="2805"/>
      <c r="HAU77" s="2805"/>
      <c r="HAV77" s="2805"/>
      <c r="HAW77" s="2805"/>
      <c r="HAX77" s="2805"/>
      <c r="HAY77" s="2805"/>
      <c r="HAZ77" s="2805"/>
      <c r="HBA77" s="2805"/>
      <c r="HBB77" s="2805"/>
      <c r="HBC77" s="2805"/>
      <c r="HBD77" s="2805"/>
      <c r="HBE77" s="2805"/>
      <c r="HBF77" s="2805"/>
      <c r="HBG77" s="2805"/>
      <c r="HBH77" s="2805"/>
      <c r="HBI77" s="2805"/>
      <c r="HBJ77" s="2805"/>
      <c r="HBK77" s="2805"/>
      <c r="HBL77" s="2805"/>
      <c r="HBM77" s="2805"/>
      <c r="HBN77" s="2805"/>
      <c r="HBO77" s="2805"/>
      <c r="HBP77" s="2805"/>
      <c r="HBQ77" s="2805"/>
      <c r="HBR77" s="2805"/>
      <c r="HBS77" s="2805"/>
      <c r="HBT77" s="2805"/>
      <c r="HBU77" s="2805"/>
      <c r="HBV77" s="2805"/>
      <c r="HBW77" s="2805"/>
      <c r="HBX77" s="2805"/>
      <c r="HBY77" s="2805"/>
      <c r="HBZ77" s="2805"/>
      <c r="HCA77" s="2805"/>
      <c r="HCB77" s="2805"/>
      <c r="HCC77" s="2805"/>
      <c r="HCD77" s="2805"/>
      <c r="HCE77" s="2805"/>
      <c r="HCF77" s="2805"/>
      <c r="HCG77" s="2805"/>
      <c r="HCH77" s="2805"/>
      <c r="HCI77" s="2805"/>
      <c r="HCJ77" s="2805"/>
      <c r="HCK77" s="2805"/>
      <c r="HCL77" s="2805"/>
      <c r="HCM77" s="2805"/>
      <c r="HCN77" s="2805"/>
      <c r="HCO77" s="2805"/>
      <c r="HCP77" s="2805"/>
      <c r="HCQ77" s="2805"/>
      <c r="HCR77" s="2805"/>
      <c r="HCS77" s="2805"/>
      <c r="HCT77" s="2805"/>
      <c r="HCU77" s="2805"/>
      <c r="HCV77" s="2805"/>
      <c r="HCW77" s="2805"/>
      <c r="HCX77" s="2805"/>
      <c r="HCY77" s="2805"/>
      <c r="HCZ77" s="2805"/>
      <c r="HDA77" s="2805"/>
      <c r="HDB77" s="2805"/>
      <c r="HDC77" s="2805"/>
      <c r="HDD77" s="2805"/>
      <c r="HDE77" s="2805"/>
      <c r="HDF77" s="2805"/>
      <c r="HDG77" s="2805"/>
      <c r="HDH77" s="2805"/>
      <c r="HDI77" s="2805"/>
      <c r="HDJ77" s="2805"/>
      <c r="HDK77" s="2805"/>
      <c r="HDL77" s="2805"/>
      <c r="HDM77" s="2805"/>
      <c r="HDN77" s="2805"/>
      <c r="HDO77" s="2805"/>
      <c r="HDP77" s="2805"/>
      <c r="HDQ77" s="2805"/>
      <c r="HDR77" s="2805"/>
      <c r="HDS77" s="2805"/>
      <c r="HDT77" s="2805"/>
      <c r="HDU77" s="2805"/>
      <c r="HDV77" s="2805"/>
      <c r="HDW77" s="2805"/>
      <c r="HDX77" s="2805"/>
      <c r="HDY77" s="2805"/>
      <c r="HDZ77" s="2805"/>
      <c r="HEA77" s="2805"/>
      <c r="HEB77" s="2805"/>
      <c r="HEC77" s="2805"/>
      <c r="HED77" s="2805"/>
      <c r="HEE77" s="2805"/>
      <c r="HEF77" s="2805"/>
      <c r="HEG77" s="2805"/>
      <c r="HEH77" s="2805"/>
      <c r="HEI77" s="2805"/>
      <c r="HEJ77" s="2805"/>
      <c r="HEK77" s="2805"/>
      <c r="HEL77" s="2805"/>
      <c r="HEM77" s="2805"/>
      <c r="HEN77" s="2805"/>
      <c r="HEO77" s="2805"/>
      <c r="HEP77" s="2805"/>
      <c r="HEQ77" s="2805"/>
      <c r="HER77" s="2805"/>
      <c r="HES77" s="2805"/>
      <c r="HET77" s="2805"/>
      <c r="HEU77" s="2805"/>
      <c r="HEV77" s="2805"/>
      <c r="HEW77" s="2805"/>
      <c r="HEX77" s="2805"/>
      <c r="HEY77" s="2805"/>
      <c r="HEZ77" s="2805"/>
      <c r="HFA77" s="2805"/>
      <c r="HFB77" s="2805"/>
      <c r="HFC77" s="2805"/>
      <c r="HFD77" s="2805"/>
      <c r="HFE77" s="2805"/>
      <c r="HFF77" s="2805"/>
      <c r="HFG77" s="2805"/>
      <c r="HFH77" s="2805"/>
      <c r="HFI77" s="2805"/>
      <c r="HFJ77" s="2805"/>
      <c r="HFK77" s="2805"/>
      <c r="HFL77" s="2805"/>
      <c r="HFM77" s="2805"/>
      <c r="HFN77" s="2805"/>
      <c r="HFO77" s="2805"/>
      <c r="HFP77" s="2805"/>
      <c r="HFQ77" s="2805"/>
      <c r="HFR77" s="2805"/>
      <c r="HFS77" s="2805"/>
      <c r="HFT77" s="2805"/>
      <c r="HFU77" s="2805"/>
      <c r="HFV77" s="2805"/>
      <c r="HFW77" s="2805"/>
      <c r="HFX77" s="2805"/>
      <c r="HFY77" s="2805"/>
      <c r="HFZ77" s="2805"/>
      <c r="HGA77" s="2805"/>
      <c r="HGB77" s="2805"/>
      <c r="HGC77" s="2805"/>
      <c r="HGD77" s="2805"/>
      <c r="HGE77" s="2805"/>
      <c r="HGF77" s="2805"/>
      <c r="HGG77" s="2805"/>
      <c r="HGH77" s="2805"/>
      <c r="HGI77" s="2805"/>
      <c r="HGJ77" s="2805"/>
      <c r="HGK77" s="2805"/>
      <c r="HGL77" s="2805"/>
      <c r="HGM77" s="2805"/>
      <c r="HGN77" s="2805"/>
      <c r="HGO77" s="2805"/>
      <c r="HGP77" s="2805"/>
      <c r="HGQ77" s="2805"/>
      <c r="HGR77" s="2805"/>
      <c r="HGS77" s="2805"/>
      <c r="HGT77" s="2805"/>
      <c r="HGU77" s="2805"/>
      <c r="HGV77" s="2805"/>
      <c r="HGW77" s="2805"/>
      <c r="HGX77" s="2805"/>
      <c r="HGY77" s="2805"/>
      <c r="HGZ77" s="2805"/>
      <c r="HHA77" s="2805"/>
      <c r="HHB77" s="2805"/>
      <c r="HHC77" s="2805"/>
      <c r="HHD77" s="2805"/>
      <c r="HHE77" s="2805"/>
      <c r="HHF77" s="2805"/>
      <c r="HHG77" s="2805"/>
      <c r="HHH77" s="2805"/>
      <c r="HHI77" s="2805"/>
      <c r="HHJ77" s="2805"/>
      <c r="HHK77" s="2805"/>
      <c r="HHL77" s="2805"/>
      <c r="HHM77" s="2805"/>
      <c r="HHN77" s="2805"/>
      <c r="HHO77" s="2805"/>
      <c r="HHP77" s="2805"/>
      <c r="HHQ77" s="2805"/>
      <c r="HHR77" s="2805"/>
      <c r="HHS77" s="2805"/>
      <c r="HHT77" s="2805"/>
      <c r="HHU77" s="2805"/>
      <c r="HHV77" s="2805"/>
      <c r="HHW77" s="2805"/>
      <c r="HHX77" s="2805"/>
      <c r="HHY77" s="2805"/>
      <c r="HHZ77" s="2805"/>
      <c r="HIA77" s="2805"/>
      <c r="HIB77" s="2805"/>
      <c r="HIC77" s="2805"/>
      <c r="HID77" s="2805"/>
      <c r="HIE77" s="2805"/>
      <c r="HIF77" s="2805"/>
      <c r="HIG77" s="2805"/>
      <c r="HIH77" s="2805"/>
      <c r="HII77" s="2805"/>
      <c r="HIJ77" s="2805"/>
      <c r="HIK77" s="2805"/>
      <c r="HIL77" s="2805"/>
      <c r="HIM77" s="2805"/>
      <c r="HIN77" s="2805"/>
      <c r="HIO77" s="2805"/>
      <c r="HIP77" s="2805"/>
      <c r="HIQ77" s="2805"/>
      <c r="HIR77" s="2805"/>
      <c r="HIS77" s="2805"/>
      <c r="HIT77" s="2805"/>
      <c r="HIU77" s="2805"/>
      <c r="HIV77" s="2805"/>
      <c r="HIW77" s="2805"/>
      <c r="HIX77" s="2805"/>
      <c r="HIY77" s="2805"/>
      <c r="HIZ77" s="2805"/>
      <c r="HJA77" s="2805"/>
      <c r="HJB77" s="2805"/>
      <c r="HJC77" s="2805"/>
      <c r="HJD77" s="2805"/>
      <c r="HJE77" s="2805"/>
      <c r="HJF77" s="2805"/>
      <c r="HJG77" s="2805"/>
      <c r="HJH77" s="2805"/>
      <c r="HJI77" s="2805"/>
      <c r="HJJ77" s="2805"/>
      <c r="HJK77" s="2805"/>
      <c r="HJL77" s="2805"/>
      <c r="HJM77" s="2805"/>
      <c r="HJN77" s="2805"/>
      <c r="HJO77" s="2805"/>
      <c r="HJP77" s="2805"/>
      <c r="HJQ77" s="2805"/>
      <c r="HJR77" s="2805"/>
      <c r="HJS77" s="2805"/>
      <c r="HJT77" s="2805"/>
      <c r="HJU77" s="2805"/>
      <c r="HJV77" s="2805"/>
      <c r="HJW77" s="2805"/>
      <c r="HJX77" s="2805"/>
      <c r="HJY77" s="2805"/>
      <c r="HJZ77" s="2805"/>
      <c r="HKA77" s="2805"/>
      <c r="HKB77" s="2805"/>
      <c r="HKC77" s="2805"/>
      <c r="HKD77" s="2805"/>
      <c r="HKE77" s="2805"/>
      <c r="HKF77" s="2805"/>
      <c r="HKG77" s="2805"/>
      <c r="HKH77" s="2805"/>
      <c r="HKI77" s="2805"/>
      <c r="HKJ77" s="2805"/>
      <c r="HKK77" s="2805"/>
      <c r="HKL77" s="2805"/>
      <c r="HKM77" s="2805"/>
      <c r="HKN77" s="2805"/>
      <c r="HKO77" s="2805"/>
      <c r="HKP77" s="2805"/>
      <c r="HKQ77" s="2805"/>
      <c r="HKR77" s="2805"/>
      <c r="HKS77" s="2805"/>
      <c r="HKT77" s="2805"/>
      <c r="HKU77" s="2805"/>
      <c r="HKV77" s="2805"/>
      <c r="HKW77" s="2805"/>
      <c r="HKX77" s="2805"/>
      <c r="HKY77" s="2805"/>
      <c r="HKZ77" s="2805"/>
      <c r="HLA77" s="2805"/>
      <c r="HLB77" s="2805"/>
      <c r="HLC77" s="2805"/>
      <c r="HLD77" s="2805"/>
      <c r="HLE77" s="2805"/>
      <c r="HLF77" s="2805"/>
      <c r="HLG77" s="2805"/>
      <c r="HLH77" s="2805"/>
      <c r="HLI77" s="2805"/>
      <c r="HLJ77" s="2805"/>
      <c r="HLK77" s="2805"/>
      <c r="HLL77" s="2805"/>
      <c r="HLM77" s="2805"/>
      <c r="HLN77" s="2805"/>
      <c r="HLO77" s="2805"/>
      <c r="HLP77" s="2805"/>
      <c r="HLQ77" s="2805"/>
      <c r="HLR77" s="2805"/>
      <c r="HLS77" s="2805"/>
      <c r="HLT77" s="2805"/>
      <c r="HLU77" s="2805"/>
      <c r="HLV77" s="2805"/>
      <c r="HLW77" s="2805"/>
      <c r="HLX77" s="2805"/>
      <c r="HLY77" s="2805"/>
      <c r="HLZ77" s="2805"/>
      <c r="HMA77" s="2805"/>
      <c r="HMB77" s="2805"/>
      <c r="HMC77" s="2805"/>
      <c r="HMD77" s="2805"/>
      <c r="HME77" s="2805"/>
      <c r="HMF77" s="2805"/>
      <c r="HMG77" s="2805"/>
      <c r="HMH77" s="2805"/>
      <c r="HMI77" s="2805"/>
      <c r="HMJ77" s="2805"/>
      <c r="HMK77" s="2805"/>
      <c r="HML77" s="2805"/>
      <c r="HMM77" s="2805"/>
      <c r="HMN77" s="2805"/>
      <c r="HMO77" s="2805"/>
      <c r="HMP77" s="2805"/>
      <c r="HMQ77" s="2805"/>
      <c r="HMR77" s="2805"/>
      <c r="HMS77" s="2805"/>
      <c r="HMT77" s="2805"/>
      <c r="HMU77" s="2805"/>
      <c r="HMV77" s="2805"/>
      <c r="HMW77" s="2805"/>
      <c r="HMX77" s="2805"/>
      <c r="HMY77" s="2805"/>
      <c r="HMZ77" s="2805"/>
      <c r="HNA77" s="2805"/>
      <c r="HNB77" s="2805"/>
      <c r="HNC77" s="2805"/>
      <c r="HND77" s="2805"/>
      <c r="HNE77" s="2805"/>
      <c r="HNF77" s="2805"/>
      <c r="HNG77" s="2805"/>
      <c r="HNH77" s="2805"/>
      <c r="HNI77" s="2805"/>
      <c r="HNJ77" s="2805"/>
      <c r="HNK77" s="2805"/>
      <c r="HNL77" s="2805"/>
      <c r="HNM77" s="2805"/>
      <c r="HNN77" s="2805"/>
      <c r="HNO77" s="2805"/>
      <c r="HNP77" s="2805"/>
      <c r="HNQ77" s="2805"/>
      <c r="HNR77" s="2805"/>
      <c r="HNS77" s="2805"/>
      <c r="HNT77" s="2805"/>
      <c r="HNU77" s="2805"/>
      <c r="HNV77" s="2805"/>
      <c r="HNW77" s="2805"/>
      <c r="HNX77" s="2805"/>
      <c r="HNY77" s="2805"/>
      <c r="HNZ77" s="2805"/>
      <c r="HOA77" s="2805"/>
      <c r="HOB77" s="2805"/>
      <c r="HOC77" s="2805"/>
      <c r="HOD77" s="2805"/>
      <c r="HOE77" s="2805"/>
      <c r="HOF77" s="2805"/>
      <c r="HOG77" s="2805"/>
      <c r="HOH77" s="2805"/>
      <c r="HOI77" s="2805"/>
      <c r="HOJ77" s="2805"/>
      <c r="HOK77" s="2805"/>
      <c r="HOL77" s="2805"/>
      <c r="HOM77" s="2805"/>
      <c r="HON77" s="2805"/>
      <c r="HOO77" s="2805"/>
      <c r="HOP77" s="2805"/>
      <c r="HOQ77" s="2805"/>
      <c r="HOR77" s="2805"/>
      <c r="HOS77" s="2805"/>
      <c r="HOT77" s="2805"/>
      <c r="HOU77" s="2805"/>
      <c r="HOV77" s="2805"/>
      <c r="HOW77" s="2805"/>
      <c r="HOX77" s="2805"/>
      <c r="HOY77" s="2805"/>
      <c r="HOZ77" s="2805"/>
      <c r="HPA77" s="2805"/>
      <c r="HPB77" s="2805"/>
      <c r="HPC77" s="2805"/>
      <c r="HPD77" s="2805"/>
      <c r="HPE77" s="2805"/>
      <c r="HPF77" s="2805"/>
      <c r="HPG77" s="2805"/>
      <c r="HPH77" s="2805"/>
      <c r="HPI77" s="2805"/>
      <c r="HPJ77" s="2805"/>
      <c r="HPK77" s="2805"/>
      <c r="HPL77" s="2805"/>
      <c r="HPM77" s="2805"/>
      <c r="HPN77" s="2805"/>
      <c r="HPO77" s="2805"/>
      <c r="HPP77" s="2805"/>
      <c r="HPQ77" s="2805"/>
      <c r="HPR77" s="2805"/>
      <c r="HPS77" s="2805"/>
      <c r="HPT77" s="2805"/>
      <c r="HPU77" s="2805"/>
      <c r="HPV77" s="2805"/>
      <c r="HPW77" s="2805"/>
      <c r="HPX77" s="2805"/>
      <c r="HPY77" s="2805"/>
      <c r="HPZ77" s="2805"/>
      <c r="HQA77" s="2805"/>
      <c r="HQB77" s="2805"/>
      <c r="HQC77" s="2805"/>
      <c r="HQD77" s="2805"/>
      <c r="HQE77" s="2805"/>
      <c r="HQF77" s="2805"/>
      <c r="HQG77" s="2805"/>
      <c r="HQH77" s="2805"/>
      <c r="HQI77" s="2805"/>
      <c r="HQJ77" s="2805"/>
      <c r="HQK77" s="2805"/>
      <c r="HQL77" s="2805"/>
      <c r="HQM77" s="2805"/>
      <c r="HQN77" s="2805"/>
      <c r="HQO77" s="2805"/>
      <c r="HQP77" s="2805"/>
      <c r="HQQ77" s="2805"/>
      <c r="HQR77" s="2805"/>
      <c r="HQS77" s="2805"/>
      <c r="HQT77" s="2805"/>
      <c r="HQU77" s="2805"/>
      <c r="HQV77" s="2805"/>
      <c r="HQW77" s="2805"/>
      <c r="HQX77" s="2805"/>
      <c r="HQY77" s="2805"/>
      <c r="HQZ77" s="2805"/>
      <c r="HRA77" s="2805"/>
      <c r="HRB77" s="2805"/>
      <c r="HRC77" s="2805"/>
      <c r="HRD77" s="2805"/>
      <c r="HRE77" s="2805"/>
      <c r="HRF77" s="2805"/>
      <c r="HRG77" s="2805"/>
      <c r="HRH77" s="2805"/>
      <c r="HRI77" s="2805"/>
      <c r="HRJ77" s="2805"/>
      <c r="HRK77" s="2805"/>
      <c r="HRL77" s="2805"/>
      <c r="HRM77" s="2805"/>
      <c r="HRN77" s="2805"/>
      <c r="HRO77" s="2805"/>
      <c r="HRP77" s="2805"/>
      <c r="HRQ77" s="2805"/>
      <c r="HRR77" s="2805"/>
      <c r="HRS77" s="2805"/>
      <c r="HRT77" s="2805"/>
      <c r="HRU77" s="2805"/>
      <c r="HRV77" s="2805"/>
      <c r="HRW77" s="2805"/>
      <c r="HRX77" s="2805"/>
      <c r="HRY77" s="2805"/>
      <c r="HRZ77" s="2805"/>
      <c r="HSA77" s="2805"/>
      <c r="HSB77" s="2805"/>
      <c r="HSC77" s="2805"/>
      <c r="HSD77" s="2805"/>
      <c r="HSE77" s="2805"/>
      <c r="HSF77" s="2805"/>
      <c r="HSG77" s="2805"/>
      <c r="HSH77" s="2805"/>
      <c r="HSI77" s="2805"/>
      <c r="HSJ77" s="2805"/>
      <c r="HSK77" s="2805"/>
      <c r="HSL77" s="2805"/>
      <c r="HSM77" s="2805"/>
      <c r="HSN77" s="2805"/>
      <c r="HSO77" s="2805"/>
      <c r="HSP77" s="2805"/>
      <c r="HSQ77" s="2805"/>
      <c r="HSR77" s="2805"/>
      <c r="HSS77" s="2805"/>
      <c r="HST77" s="2805"/>
      <c r="HSU77" s="2805"/>
      <c r="HSV77" s="2805"/>
      <c r="HSW77" s="2805"/>
      <c r="HSX77" s="2805"/>
      <c r="HSY77" s="2805"/>
      <c r="HSZ77" s="2805"/>
      <c r="HTA77" s="2805"/>
      <c r="HTB77" s="2805"/>
      <c r="HTC77" s="2805"/>
      <c r="HTD77" s="2805"/>
      <c r="HTE77" s="2805"/>
      <c r="HTF77" s="2805"/>
      <c r="HTG77" s="2805"/>
      <c r="HTH77" s="2805"/>
      <c r="HTI77" s="2805"/>
      <c r="HTJ77" s="2805"/>
      <c r="HTK77" s="2805"/>
      <c r="HTL77" s="2805"/>
      <c r="HTM77" s="2805"/>
      <c r="HTN77" s="2805"/>
      <c r="HTO77" s="2805"/>
      <c r="HTP77" s="2805"/>
      <c r="HTQ77" s="2805"/>
      <c r="HTR77" s="2805"/>
      <c r="HTS77" s="2805"/>
      <c r="HTT77" s="2805"/>
      <c r="HTU77" s="2805"/>
      <c r="HTV77" s="2805"/>
      <c r="HTW77" s="2805"/>
      <c r="HTX77" s="2805"/>
      <c r="HTY77" s="2805"/>
      <c r="HTZ77" s="2805"/>
      <c r="HUA77" s="2805"/>
      <c r="HUB77" s="2805"/>
      <c r="HUC77" s="2805"/>
      <c r="HUD77" s="2805"/>
      <c r="HUE77" s="2805"/>
      <c r="HUF77" s="2805"/>
      <c r="HUG77" s="2805"/>
      <c r="HUH77" s="2805"/>
      <c r="HUI77" s="2805"/>
      <c r="HUJ77" s="2805"/>
      <c r="HUK77" s="2805"/>
      <c r="HUL77" s="2805"/>
      <c r="HUM77" s="2805"/>
      <c r="HUN77" s="2805"/>
      <c r="HUO77" s="2805"/>
      <c r="HUP77" s="2805"/>
      <c r="HUQ77" s="2805"/>
      <c r="HUR77" s="2805"/>
      <c r="HUS77" s="2805"/>
      <c r="HUT77" s="2805"/>
      <c r="HUU77" s="2805"/>
      <c r="HUV77" s="2805"/>
      <c r="HUW77" s="2805"/>
      <c r="HUX77" s="2805"/>
      <c r="HUY77" s="2805"/>
      <c r="HUZ77" s="2805"/>
      <c r="HVA77" s="2805"/>
      <c r="HVB77" s="2805"/>
      <c r="HVC77" s="2805"/>
      <c r="HVD77" s="2805"/>
      <c r="HVE77" s="2805"/>
      <c r="HVF77" s="2805"/>
      <c r="HVG77" s="2805"/>
      <c r="HVH77" s="2805"/>
      <c r="HVI77" s="2805"/>
      <c r="HVJ77" s="2805"/>
      <c r="HVK77" s="2805"/>
      <c r="HVL77" s="2805"/>
      <c r="HVM77" s="2805"/>
      <c r="HVN77" s="2805"/>
      <c r="HVO77" s="2805"/>
      <c r="HVP77" s="2805"/>
      <c r="HVQ77" s="2805"/>
      <c r="HVR77" s="2805"/>
      <c r="HVS77" s="2805"/>
      <c r="HVT77" s="2805"/>
      <c r="HVU77" s="2805"/>
      <c r="HVV77" s="2805"/>
      <c r="HVW77" s="2805"/>
      <c r="HVX77" s="2805"/>
      <c r="HVY77" s="2805"/>
      <c r="HVZ77" s="2805"/>
      <c r="HWA77" s="2805"/>
      <c r="HWB77" s="2805"/>
      <c r="HWC77" s="2805"/>
      <c r="HWD77" s="2805"/>
      <c r="HWE77" s="2805"/>
      <c r="HWF77" s="2805"/>
      <c r="HWG77" s="2805"/>
      <c r="HWH77" s="2805"/>
      <c r="HWI77" s="2805"/>
      <c r="HWJ77" s="2805"/>
      <c r="HWK77" s="2805"/>
      <c r="HWL77" s="2805"/>
      <c r="HWM77" s="2805"/>
      <c r="HWN77" s="2805"/>
      <c r="HWO77" s="2805"/>
      <c r="HWP77" s="2805"/>
      <c r="HWQ77" s="2805"/>
      <c r="HWR77" s="2805"/>
      <c r="HWS77" s="2805"/>
      <c r="HWT77" s="2805"/>
      <c r="HWU77" s="2805"/>
      <c r="HWV77" s="2805"/>
      <c r="HWW77" s="2805"/>
      <c r="HWX77" s="2805"/>
      <c r="HWY77" s="2805"/>
      <c r="HWZ77" s="2805"/>
      <c r="HXA77" s="2805"/>
      <c r="HXB77" s="2805"/>
      <c r="HXC77" s="2805"/>
      <c r="HXD77" s="2805"/>
      <c r="HXE77" s="2805"/>
      <c r="HXF77" s="2805"/>
      <c r="HXG77" s="2805"/>
      <c r="HXH77" s="2805"/>
      <c r="HXI77" s="2805"/>
      <c r="HXJ77" s="2805"/>
      <c r="HXK77" s="2805"/>
      <c r="HXL77" s="2805"/>
      <c r="HXM77" s="2805"/>
      <c r="HXN77" s="2805"/>
      <c r="HXO77" s="2805"/>
      <c r="HXP77" s="2805"/>
      <c r="HXQ77" s="2805"/>
      <c r="HXR77" s="2805"/>
      <c r="HXS77" s="2805"/>
      <c r="HXT77" s="2805"/>
      <c r="HXU77" s="2805"/>
      <c r="HXV77" s="2805"/>
      <c r="HXW77" s="2805"/>
      <c r="HXX77" s="2805"/>
      <c r="HXY77" s="2805"/>
      <c r="HXZ77" s="2805"/>
      <c r="HYA77" s="2805"/>
      <c r="HYB77" s="2805"/>
      <c r="HYC77" s="2805"/>
      <c r="HYD77" s="2805"/>
      <c r="HYE77" s="2805"/>
      <c r="HYF77" s="2805"/>
      <c r="HYG77" s="2805"/>
      <c r="HYH77" s="2805"/>
      <c r="HYI77" s="2805"/>
      <c r="HYJ77" s="2805"/>
      <c r="HYK77" s="2805"/>
      <c r="HYL77" s="2805"/>
      <c r="HYM77" s="2805"/>
      <c r="HYN77" s="2805"/>
      <c r="HYO77" s="2805"/>
      <c r="HYP77" s="2805"/>
      <c r="HYQ77" s="2805"/>
      <c r="HYR77" s="2805"/>
      <c r="HYS77" s="2805"/>
      <c r="HYT77" s="2805"/>
      <c r="HYU77" s="2805"/>
      <c r="HYV77" s="2805"/>
      <c r="HYW77" s="2805"/>
      <c r="HYX77" s="2805"/>
      <c r="HYY77" s="2805"/>
      <c r="HYZ77" s="2805"/>
      <c r="HZA77" s="2805"/>
      <c r="HZB77" s="2805"/>
      <c r="HZC77" s="2805"/>
      <c r="HZD77" s="2805"/>
      <c r="HZE77" s="2805"/>
      <c r="HZF77" s="2805"/>
      <c r="HZG77" s="2805"/>
      <c r="HZH77" s="2805"/>
      <c r="HZI77" s="2805"/>
      <c r="HZJ77" s="2805"/>
      <c r="HZK77" s="2805"/>
      <c r="HZL77" s="2805"/>
      <c r="HZM77" s="2805"/>
      <c r="HZN77" s="2805"/>
      <c r="HZO77" s="2805"/>
      <c r="HZP77" s="2805"/>
      <c r="HZQ77" s="2805"/>
      <c r="HZR77" s="2805"/>
      <c r="HZS77" s="2805"/>
      <c r="HZT77" s="2805"/>
      <c r="HZU77" s="2805"/>
      <c r="HZV77" s="2805"/>
      <c r="HZW77" s="2805"/>
      <c r="HZX77" s="2805"/>
      <c r="HZY77" s="2805"/>
      <c r="HZZ77" s="2805"/>
      <c r="IAA77" s="2805"/>
      <c r="IAB77" s="2805"/>
      <c r="IAC77" s="2805"/>
      <c r="IAD77" s="2805"/>
      <c r="IAE77" s="2805"/>
      <c r="IAF77" s="2805"/>
      <c r="IAG77" s="2805"/>
      <c r="IAH77" s="2805"/>
      <c r="IAI77" s="2805"/>
      <c r="IAJ77" s="2805"/>
      <c r="IAK77" s="2805"/>
      <c r="IAL77" s="2805"/>
      <c r="IAM77" s="2805"/>
      <c r="IAN77" s="2805"/>
      <c r="IAO77" s="2805"/>
      <c r="IAP77" s="2805"/>
      <c r="IAQ77" s="2805"/>
      <c r="IAR77" s="2805"/>
      <c r="IAS77" s="2805"/>
      <c r="IAT77" s="2805"/>
      <c r="IAU77" s="2805"/>
      <c r="IAV77" s="2805"/>
      <c r="IAW77" s="2805"/>
      <c r="IAX77" s="2805"/>
      <c r="IAY77" s="2805"/>
      <c r="IAZ77" s="2805"/>
      <c r="IBA77" s="2805"/>
      <c r="IBB77" s="2805"/>
      <c r="IBC77" s="2805"/>
      <c r="IBD77" s="2805"/>
      <c r="IBE77" s="2805"/>
      <c r="IBF77" s="2805"/>
      <c r="IBG77" s="2805"/>
      <c r="IBH77" s="2805"/>
      <c r="IBI77" s="2805"/>
      <c r="IBJ77" s="2805"/>
      <c r="IBK77" s="2805"/>
      <c r="IBL77" s="2805"/>
      <c r="IBM77" s="2805"/>
      <c r="IBN77" s="2805"/>
      <c r="IBO77" s="2805"/>
      <c r="IBP77" s="2805"/>
      <c r="IBQ77" s="2805"/>
      <c r="IBR77" s="2805"/>
      <c r="IBS77" s="2805"/>
      <c r="IBT77" s="2805"/>
      <c r="IBU77" s="2805"/>
      <c r="IBV77" s="2805"/>
      <c r="IBW77" s="2805"/>
      <c r="IBX77" s="2805"/>
      <c r="IBY77" s="2805"/>
      <c r="IBZ77" s="2805"/>
      <c r="ICA77" s="2805"/>
      <c r="ICB77" s="2805"/>
      <c r="ICC77" s="2805"/>
      <c r="ICD77" s="2805"/>
      <c r="ICE77" s="2805"/>
      <c r="ICF77" s="2805"/>
      <c r="ICG77" s="2805"/>
      <c r="ICH77" s="2805"/>
      <c r="ICI77" s="2805"/>
      <c r="ICJ77" s="2805"/>
      <c r="ICK77" s="2805"/>
      <c r="ICL77" s="2805"/>
      <c r="ICM77" s="2805"/>
      <c r="ICN77" s="2805"/>
      <c r="ICO77" s="2805"/>
      <c r="ICP77" s="2805"/>
      <c r="ICQ77" s="2805"/>
      <c r="ICR77" s="2805"/>
      <c r="ICS77" s="2805"/>
      <c r="ICT77" s="2805"/>
      <c r="ICU77" s="2805"/>
      <c r="ICV77" s="2805"/>
      <c r="ICW77" s="2805"/>
      <c r="ICX77" s="2805"/>
      <c r="ICY77" s="2805"/>
      <c r="ICZ77" s="2805"/>
      <c r="IDA77" s="2805"/>
      <c r="IDB77" s="2805"/>
      <c r="IDC77" s="2805"/>
      <c r="IDD77" s="2805"/>
      <c r="IDE77" s="2805"/>
      <c r="IDF77" s="2805"/>
      <c r="IDG77" s="2805"/>
      <c r="IDH77" s="2805"/>
      <c r="IDI77" s="2805"/>
      <c r="IDJ77" s="2805"/>
      <c r="IDK77" s="2805"/>
      <c r="IDL77" s="2805"/>
      <c r="IDM77" s="2805"/>
      <c r="IDN77" s="2805"/>
      <c r="IDO77" s="2805"/>
      <c r="IDP77" s="2805"/>
      <c r="IDQ77" s="2805"/>
      <c r="IDR77" s="2805"/>
      <c r="IDS77" s="2805"/>
      <c r="IDT77" s="2805"/>
      <c r="IDU77" s="2805"/>
      <c r="IDV77" s="2805"/>
      <c r="IDW77" s="2805"/>
      <c r="IDX77" s="2805"/>
      <c r="IDY77" s="2805"/>
      <c r="IDZ77" s="2805"/>
      <c r="IEA77" s="2805"/>
      <c r="IEB77" s="2805"/>
      <c r="IEC77" s="2805"/>
      <c r="IED77" s="2805"/>
      <c r="IEE77" s="2805"/>
      <c r="IEF77" s="2805"/>
      <c r="IEG77" s="2805"/>
      <c r="IEH77" s="2805"/>
      <c r="IEI77" s="2805"/>
      <c r="IEJ77" s="2805"/>
      <c r="IEK77" s="2805"/>
      <c r="IEL77" s="2805"/>
      <c r="IEM77" s="2805"/>
      <c r="IEN77" s="2805"/>
      <c r="IEO77" s="2805"/>
      <c r="IEP77" s="2805"/>
      <c r="IEQ77" s="2805"/>
      <c r="IER77" s="2805"/>
      <c r="IES77" s="2805"/>
      <c r="IET77" s="2805"/>
      <c r="IEU77" s="2805"/>
      <c r="IEV77" s="2805"/>
      <c r="IEW77" s="2805"/>
      <c r="IEX77" s="2805"/>
      <c r="IEY77" s="2805"/>
      <c r="IEZ77" s="2805"/>
      <c r="IFA77" s="2805"/>
      <c r="IFB77" s="2805"/>
      <c r="IFC77" s="2805"/>
      <c r="IFD77" s="2805"/>
      <c r="IFE77" s="2805"/>
      <c r="IFF77" s="2805"/>
      <c r="IFG77" s="2805"/>
      <c r="IFH77" s="2805"/>
      <c r="IFI77" s="2805"/>
      <c r="IFJ77" s="2805"/>
      <c r="IFK77" s="2805"/>
      <c r="IFL77" s="2805"/>
      <c r="IFM77" s="2805"/>
      <c r="IFN77" s="2805"/>
      <c r="IFO77" s="2805"/>
      <c r="IFP77" s="2805"/>
      <c r="IFQ77" s="2805"/>
      <c r="IFR77" s="2805"/>
      <c r="IFS77" s="2805"/>
      <c r="IFT77" s="2805"/>
      <c r="IFU77" s="2805"/>
      <c r="IFV77" s="2805"/>
      <c r="IFW77" s="2805"/>
      <c r="IFX77" s="2805"/>
      <c r="IFY77" s="2805"/>
      <c r="IFZ77" s="2805"/>
      <c r="IGA77" s="2805"/>
      <c r="IGB77" s="2805"/>
      <c r="IGC77" s="2805"/>
      <c r="IGD77" s="2805"/>
      <c r="IGE77" s="2805"/>
      <c r="IGF77" s="2805"/>
      <c r="IGG77" s="2805"/>
      <c r="IGH77" s="2805"/>
      <c r="IGI77" s="2805"/>
      <c r="IGJ77" s="2805"/>
      <c r="IGK77" s="2805"/>
      <c r="IGL77" s="2805"/>
      <c r="IGM77" s="2805"/>
      <c r="IGN77" s="2805"/>
      <c r="IGO77" s="2805"/>
      <c r="IGP77" s="2805"/>
      <c r="IGQ77" s="2805"/>
      <c r="IGR77" s="2805"/>
      <c r="IGS77" s="2805"/>
      <c r="IGT77" s="2805"/>
      <c r="IGU77" s="2805"/>
      <c r="IGV77" s="2805"/>
      <c r="IGW77" s="2805"/>
      <c r="IGX77" s="2805"/>
      <c r="IGY77" s="2805"/>
      <c r="IGZ77" s="2805"/>
      <c r="IHA77" s="2805"/>
      <c r="IHB77" s="2805"/>
      <c r="IHC77" s="2805"/>
      <c r="IHD77" s="2805"/>
      <c r="IHE77" s="2805"/>
      <c r="IHF77" s="2805"/>
      <c r="IHG77" s="2805"/>
      <c r="IHH77" s="2805"/>
      <c r="IHI77" s="2805"/>
      <c r="IHJ77" s="2805"/>
      <c r="IHK77" s="2805"/>
      <c r="IHL77" s="2805"/>
      <c r="IHM77" s="2805"/>
      <c r="IHN77" s="2805"/>
      <c r="IHO77" s="2805"/>
      <c r="IHP77" s="2805"/>
      <c r="IHQ77" s="2805"/>
      <c r="IHR77" s="2805"/>
      <c r="IHS77" s="2805"/>
      <c r="IHT77" s="2805"/>
      <c r="IHU77" s="2805"/>
      <c r="IHV77" s="2805"/>
      <c r="IHW77" s="2805"/>
      <c r="IHX77" s="2805"/>
      <c r="IHY77" s="2805"/>
      <c r="IHZ77" s="2805"/>
      <c r="IIA77" s="2805"/>
      <c r="IIB77" s="2805"/>
      <c r="IIC77" s="2805"/>
      <c r="IID77" s="2805"/>
      <c r="IIE77" s="2805"/>
      <c r="IIF77" s="2805"/>
      <c r="IIG77" s="2805"/>
      <c r="IIH77" s="2805"/>
      <c r="III77" s="2805"/>
      <c r="IIJ77" s="2805"/>
      <c r="IIK77" s="2805"/>
      <c r="IIL77" s="2805"/>
      <c r="IIM77" s="2805"/>
      <c r="IIN77" s="2805"/>
      <c r="IIO77" s="2805"/>
      <c r="IIP77" s="2805"/>
      <c r="IIQ77" s="2805"/>
      <c r="IIR77" s="2805"/>
      <c r="IIS77" s="2805"/>
      <c r="IIT77" s="2805"/>
      <c r="IIU77" s="2805"/>
      <c r="IIV77" s="2805"/>
      <c r="IIW77" s="2805"/>
      <c r="IIX77" s="2805"/>
      <c r="IIY77" s="2805"/>
      <c r="IIZ77" s="2805"/>
      <c r="IJA77" s="2805"/>
      <c r="IJB77" s="2805"/>
      <c r="IJC77" s="2805"/>
      <c r="IJD77" s="2805"/>
      <c r="IJE77" s="2805"/>
      <c r="IJF77" s="2805"/>
      <c r="IJG77" s="2805"/>
      <c r="IJH77" s="2805"/>
      <c r="IJI77" s="2805"/>
      <c r="IJJ77" s="2805"/>
      <c r="IJK77" s="2805"/>
      <c r="IJL77" s="2805"/>
      <c r="IJM77" s="2805"/>
      <c r="IJN77" s="2805"/>
      <c r="IJO77" s="2805"/>
      <c r="IJP77" s="2805"/>
      <c r="IJQ77" s="2805"/>
      <c r="IJR77" s="2805"/>
      <c r="IJS77" s="2805"/>
      <c r="IJT77" s="2805"/>
      <c r="IJU77" s="2805"/>
      <c r="IJV77" s="2805"/>
      <c r="IJW77" s="2805"/>
      <c r="IJX77" s="2805"/>
      <c r="IJY77" s="2805"/>
      <c r="IJZ77" s="2805"/>
      <c r="IKA77" s="2805"/>
      <c r="IKB77" s="2805"/>
      <c r="IKC77" s="2805"/>
      <c r="IKD77" s="2805"/>
      <c r="IKE77" s="2805"/>
      <c r="IKF77" s="2805"/>
      <c r="IKG77" s="2805"/>
      <c r="IKH77" s="2805"/>
      <c r="IKI77" s="2805"/>
      <c r="IKJ77" s="2805"/>
      <c r="IKK77" s="2805"/>
      <c r="IKL77" s="2805"/>
      <c r="IKM77" s="2805"/>
      <c r="IKN77" s="2805"/>
      <c r="IKO77" s="2805"/>
      <c r="IKP77" s="2805"/>
      <c r="IKQ77" s="2805"/>
      <c r="IKR77" s="2805"/>
      <c r="IKS77" s="2805"/>
      <c r="IKT77" s="2805"/>
      <c r="IKU77" s="2805"/>
      <c r="IKV77" s="2805"/>
      <c r="IKW77" s="2805"/>
      <c r="IKX77" s="2805"/>
      <c r="IKY77" s="2805"/>
      <c r="IKZ77" s="2805"/>
      <c r="ILA77" s="2805"/>
      <c r="ILB77" s="2805"/>
      <c r="ILC77" s="2805"/>
      <c r="ILD77" s="2805"/>
      <c r="ILE77" s="2805"/>
      <c r="ILF77" s="2805"/>
      <c r="ILG77" s="2805"/>
      <c r="ILH77" s="2805"/>
      <c r="ILI77" s="2805"/>
      <c r="ILJ77" s="2805"/>
      <c r="ILK77" s="2805"/>
      <c r="ILL77" s="2805"/>
      <c r="ILM77" s="2805"/>
      <c r="ILN77" s="2805"/>
      <c r="ILO77" s="2805"/>
      <c r="ILP77" s="2805"/>
      <c r="ILQ77" s="2805"/>
      <c r="ILR77" s="2805"/>
      <c r="ILS77" s="2805"/>
      <c r="ILT77" s="2805"/>
      <c r="ILU77" s="2805"/>
      <c r="ILV77" s="2805"/>
      <c r="ILW77" s="2805"/>
      <c r="ILX77" s="2805"/>
      <c r="ILY77" s="2805"/>
      <c r="ILZ77" s="2805"/>
      <c r="IMA77" s="2805"/>
      <c r="IMB77" s="2805"/>
      <c r="IMC77" s="2805"/>
      <c r="IMD77" s="2805"/>
      <c r="IME77" s="2805"/>
      <c r="IMF77" s="2805"/>
      <c r="IMG77" s="2805"/>
      <c r="IMH77" s="2805"/>
      <c r="IMI77" s="2805"/>
      <c r="IMJ77" s="2805"/>
      <c r="IMK77" s="2805"/>
      <c r="IML77" s="2805"/>
      <c r="IMM77" s="2805"/>
      <c r="IMN77" s="2805"/>
      <c r="IMO77" s="2805"/>
      <c r="IMP77" s="2805"/>
      <c r="IMQ77" s="2805"/>
      <c r="IMR77" s="2805"/>
      <c r="IMS77" s="2805"/>
      <c r="IMT77" s="2805"/>
      <c r="IMU77" s="2805"/>
      <c r="IMV77" s="2805"/>
      <c r="IMW77" s="2805"/>
      <c r="IMX77" s="2805"/>
      <c r="IMY77" s="2805"/>
      <c r="IMZ77" s="2805"/>
      <c r="INA77" s="2805"/>
      <c r="INB77" s="2805"/>
      <c r="INC77" s="2805"/>
      <c r="IND77" s="2805"/>
      <c r="INE77" s="2805"/>
      <c r="INF77" s="2805"/>
      <c r="ING77" s="2805"/>
      <c r="INH77" s="2805"/>
      <c r="INI77" s="2805"/>
      <c r="INJ77" s="2805"/>
      <c r="INK77" s="2805"/>
      <c r="INL77" s="2805"/>
      <c r="INM77" s="2805"/>
      <c r="INN77" s="2805"/>
      <c r="INO77" s="2805"/>
      <c r="INP77" s="2805"/>
      <c r="INQ77" s="2805"/>
      <c r="INR77" s="2805"/>
      <c r="INS77" s="2805"/>
      <c r="INT77" s="2805"/>
      <c r="INU77" s="2805"/>
      <c r="INV77" s="2805"/>
      <c r="INW77" s="2805"/>
      <c r="INX77" s="2805"/>
      <c r="INY77" s="2805"/>
      <c r="INZ77" s="2805"/>
      <c r="IOA77" s="2805"/>
      <c r="IOB77" s="2805"/>
      <c r="IOC77" s="2805"/>
      <c r="IOD77" s="2805"/>
      <c r="IOE77" s="2805"/>
      <c r="IOF77" s="2805"/>
      <c r="IOG77" s="2805"/>
      <c r="IOH77" s="2805"/>
      <c r="IOI77" s="2805"/>
      <c r="IOJ77" s="2805"/>
      <c r="IOK77" s="2805"/>
      <c r="IOL77" s="2805"/>
      <c r="IOM77" s="2805"/>
      <c r="ION77" s="2805"/>
      <c r="IOO77" s="2805"/>
      <c r="IOP77" s="2805"/>
      <c r="IOQ77" s="2805"/>
      <c r="IOR77" s="2805"/>
      <c r="IOS77" s="2805"/>
      <c r="IOT77" s="2805"/>
      <c r="IOU77" s="2805"/>
      <c r="IOV77" s="2805"/>
      <c r="IOW77" s="2805"/>
      <c r="IOX77" s="2805"/>
      <c r="IOY77" s="2805"/>
      <c r="IOZ77" s="2805"/>
      <c r="IPA77" s="2805"/>
      <c r="IPB77" s="2805"/>
      <c r="IPC77" s="2805"/>
      <c r="IPD77" s="2805"/>
      <c r="IPE77" s="2805"/>
      <c r="IPF77" s="2805"/>
      <c r="IPG77" s="2805"/>
      <c r="IPH77" s="2805"/>
      <c r="IPI77" s="2805"/>
      <c r="IPJ77" s="2805"/>
      <c r="IPK77" s="2805"/>
      <c r="IPL77" s="2805"/>
      <c r="IPM77" s="2805"/>
      <c r="IPN77" s="2805"/>
      <c r="IPO77" s="2805"/>
      <c r="IPP77" s="2805"/>
      <c r="IPQ77" s="2805"/>
      <c r="IPR77" s="2805"/>
      <c r="IPS77" s="2805"/>
      <c r="IPT77" s="2805"/>
      <c r="IPU77" s="2805"/>
      <c r="IPV77" s="2805"/>
      <c r="IPW77" s="2805"/>
      <c r="IPX77" s="2805"/>
      <c r="IPY77" s="2805"/>
      <c r="IPZ77" s="2805"/>
      <c r="IQA77" s="2805"/>
      <c r="IQB77" s="2805"/>
      <c r="IQC77" s="2805"/>
      <c r="IQD77" s="2805"/>
      <c r="IQE77" s="2805"/>
      <c r="IQF77" s="2805"/>
      <c r="IQG77" s="2805"/>
      <c r="IQH77" s="2805"/>
      <c r="IQI77" s="2805"/>
      <c r="IQJ77" s="2805"/>
      <c r="IQK77" s="2805"/>
      <c r="IQL77" s="2805"/>
      <c r="IQM77" s="2805"/>
      <c r="IQN77" s="2805"/>
      <c r="IQO77" s="2805"/>
      <c r="IQP77" s="2805"/>
      <c r="IQQ77" s="2805"/>
      <c r="IQR77" s="2805"/>
      <c r="IQS77" s="2805"/>
      <c r="IQT77" s="2805"/>
      <c r="IQU77" s="2805"/>
      <c r="IQV77" s="2805"/>
      <c r="IQW77" s="2805"/>
      <c r="IQX77" s="2805"/>
      <c r="IQY77" s="2805"/>
      <c r="IQZ77" s="2805"/>
      <c r="IRA77" s="2805"/>
      <c r="IRB77" s="2805"/>
      <c r="IRC77" s="2805"/>
      <c r="IRD77" s="2805"/>
      <c r="IRE77" s="2805"/>
      <c r="IRF77" s="2805"/>
      <c r="IRG77" s="2805"/>
      <c r="IRH77" s="2805"/>
      <c r="IRI77" s="2805"/>
      <c r="IRJ77" s="2805"/>
      <c r="IRK77" s="2805"/>
      <c r="IRL77" s="2805"/>
      <c r="IRM77" s="2805"/>
      <c r="IRN77" s="2805"/>
      <c r="IRO77" s="2805"/>
      <c r="IRP77" s="2805"/>
      <c r="IRQ77" s="2805"/>
      <c r="IRR77" s="2805"/>
      <c r="IRS77" s="2805"/>
      <c r="IRT77" s="2805"/>
      <c r="IRU77" s="2805"/>
      <c r="IRV77" s="2805"/>
      <c r="IRW77" s="2805"/>
      <c r="IRX77" s="2805"/>
      <c r="IRY77" s="2805"/>
      <c r="IRZ77" s="2805"/>
      <c r="ISA77" s="2805"/>
      <c r="ISB77" s="2805"/>
      <c r="ISC77" s="2805"/>
      <c r="ISD77" s="2805"/>
      <c r="ISE77" s="2805"/>
      <c r="ISF77" s="2805"/>
      <c r="ISG77" s="2805"/>
      <c r="ISH77" s="2805"/>
      <c r="ISI77" s="2805"/>
      <c r="ISJ77" s="2805"/>
      <c r="ISK77" s="2805"/>
      <c r="ISL77" s="2805"/>
      <c r="ISM77" s="2805"/>
      <c r="ISN77" s="2805"/>
      <c r="ISO77" s="2805"/>
      <c r="ISP77" s="2805"/>
      <c r="ISQ77" s="2805"/>
      <c r="ISR77" s="2805"/>
      <c r="ISS77" s="2805"/>
      <c r="IST77" s="2805"/>
      <c r="ISU77" s="2805"/>
      <c r="ISV77" s="2805"/>
      <c r="ISW77" s="2805"/>
      <c r="ISX77" s="2805"/>
      <c r="ISY77" s="2805"/>
      <c r="ISZ77" s="2805"/>
      <c r="ITA77" s="2805"/>
      <c r="ITB77" s="2805"/>
      <c r="ITC77" s="2805"/>
      <c r="ITD77" s="2805"/>
      <c r="ITE77" s="2805"/>
      <c r="ITF77" s="2805"/>
      <c r="ITG77" s="2805"/>
      <c r="ITH77" s="2805"/>
      <c r="ITI77" s="2805"/>
      <c r="ITJ77" s="2805"/>
      <c r="ITK77" s="2805"/>
      <c r="ITL77" s="2805"/>
      <c r="ITM77" s="2805"/>
      <c r="ITN77" s="2805"/>
      <c r="ITO77" s="2805"/>
      <c r="ITP77" s="2805"/>
      <c r="ITQ77" s="2805"/>
      <c r="ITR77" s="2805"/>
      <c r="ITS77" s="2805"/>
      <c r="ITT77" s="2805"/>
      <c r="ITU77" s="2805"/>
      <c r="ITV77" s="2805"/>
      <c r="ITW77" s="2805"/>
      <c r="ITX77" s="2805"/>
      <c r="ITY77" s="2805"/>
      <c r="ITZ77" s="2805"/>
      <c r="IUA77" s="2805"/>
      <c r="IUB77" s="2805"/>
      <c r="IUC77" s="2805"/>
      <c r="IUD77" s="2805"/>
      <c r="IUE77" s="2805"/>
      <c r="IUF77" s="2805"/>
      <c r="IUG77" s="2805"/>
      <c r="IUH77" s="2805"/>
      <c r="IUI77" s="2805"/>
      <c r="IUJ77" s="2805"/>
      <c r="IUK77" s="2805"/>
      <c r="IUL77" s="2805"/>
      <c r="IUM77" s="2805"/>
      <c r="IUN77" s="2805"/>
      <c r="IUO77" s="2805"/>
      <c r="IUP77" s="2805"/>
      <c r="IUQ77" s="2805"/>
      <c r="IUR77" s="2805"/>
      <c r="IUS77" s="2805"/>
      <c r="IUT77" s="2805"/>
      <c r="IUU77" s="2805"/>
      <c r="IUV77" s="2805"/>
      <c r="IUW77" s="2805"/>
      <c r="IUX77" s="2805"/>
      <c r="IUY77" s="2805"/>
      <c r="IUZ77" s="2805"/>
      <c r="IVA77" s="2805"/>
      <c r="IVB77" s="2805"/>
      <c r="IVC77" s="2805"/>
      <c r="IVD77" s="2805"/>
      <c r="IVE77" s="2805"/>
      <c r="IVF77" s="2805"/>
      <c r="IVG77" s="2805"/>
      <c r="IVH77" s="2805"/>
      <c r="IVI77" s="2805"/>
      <c r="IVJ77" s="2805"/>
      <c r="IVK77" s="2805"/>
      <c r="IVL77" s="2805"/>
      <c r="IVM77" s="2805"/>
      <c r="IVN77" s="2805"/>
      <c r="IVO77" s="2805"/>
      <c r="IVP77" s="2805"/>
      <c r="IVQ77" s="2805"/>
      <c r="IVR77" s="2805"/>
      <c r="IVS77" s="2805"/>
      <c r="IVT77" s="2805"/>
      <c r="IVU77" s="2805"/>
      <c r="IVV77" s="2805"/>
      <c r="IVW77" s="2805"/>
      <c r="IVX77" s="2805"/>
      <c r="IVY77" s="2805"/>
      <c r="IVZ77" s="2805"/>
      <c r="IWA77" s="2805"/>
      <c r="IWB77" s="2805"/>
      <c r="IWC77" s="2805"/>
      <c r="IWD77" s="2805"/>
      <c r="IWE77" s="2805"/>
      <c r="IWF77" s="2805"/>
      <c r="IWG77" s="2805"/>
      <c r="IWH77" s="2805"/>
      <c r="IWI77" s="2805"/>
      <c r="IWJ77" s="2805"/>
      <c r="IWK77" s="2805"/>
      <c r="IWL77" s="2805"/>
      <c r="IWM77" s="2805"/>
      <c r="IWN77" s="2805"/>
      <c r="IWO77" s="2805"/>
      <c r="IWP77" s="2805"/>
      <c r="IWQ77" s="2805"/>
      <c r="IWR77" s="2805"/>
      <c r="IWS77" s="2805"/>
      <c r="IWT77" s="2805"/>
      <c r="IWU77" s="2805"/>
      <c r="IWV77" s="2805"/>
      <c r="IWW77" s="2805"/>
      <c r="IWX77" s="2805"/>
      <c r="IWY77" s="2805"/>
      <c r="IWZ77" s="2805"/>
      <c r="IXA77" s="2805"/>
      <c r="IXB77" s="2805"/>
      <c r="IXC77" s="2805"/>
      <c r="IXD77" s="2805"/>
      <c r="IXE77" s="2805"/>
      <c r="IXF77" s="2805"/>
      <c r="IXG77" s="2805"/>
      <c r="IXH77" s="2805"/>
      <c r="IXI77" s="2805"/>
      <c r="IXJ77" s="2805"/>
      <c r="IXK77" s="2805"/>
      <c r="IXL77" s="2805"/>
      <c r="IXM77" s="2805"/>
      <c r="IXN77" s="2805"/>
      <c r="IXO77" s="2805"/>
      <c r="IXP77" s="2805"/>
      <c r="IXQ77" s="2805"/>
      <c r="IXR77" s="2805"/>
      <c r="IXS77" s="2805"/>
      <c r="IXT77" s="2805"/>
      <c r="IXU77" s="2805"/>
      <c r="IXV77" s="2805"/>
      <c r="IXW77" s="2805"/>
      <c r="IXX77" s="2805"/>
      <c r="IXY77" s="2805"/>
      <c r="IXZ77" s="2805"/>
      <c r="IYA77" s="2805"/>
      <c r="IYB77" s="2805"/>
      <c r="IYC77" s="2805"/>
      <c r="IYD77" s="2805"/>
      <c r="IYE77" s="2805"/>
      <c r="IYF77" s="2805"/>
      <c r="IYG77" s="2805"/>
      <c r="IYH77" s="2805"/>
      <c r="IYI77" s="2805"/>
      <c r="IYJ77" s="2805"/>
      <c r="IYK77" s="2805"/>
      <c r="IYL77" s="2805"/>
      <c r="IYM77" s="2805"/>
      <c r="IYN77" s="2805"/>
      <c r="IYO77" s="2805"/>
      <c r="IYP77" s="2805"/>
      <c r="IYQ77" s="2805"/>
      <c r="IYR77" s="2805"/>
      <c r="IYS77" s="2805"/>
      <c r="IYT77" s="2805"/>
      <c r="IYU77" s="2805"/>
      <c r="IYV77" s="2805"/>
      <c r="IYW77" s="2805"/>
      <c r="IYX77" s="2805"/>
      <c r="IYY77" s="2805"/>
      <c r="IYZ77" s="2805"/>
      <c r="IZA77" s="2805"/>
      <c r="IZB77" s="2805"/>
      <c r="IZC77" s="2805"/>
      <c r="IZD77" s="2805"/>
      <c r="IZE77" s="2805"/>
      <c r="IZF77" s="2805"/>
      <c r="IZG77" s="2805"/>
      <c r="IZH77" s="2805"/>
      <c r="IZI77" s="2805"/>
      <c r="IZJ77" s="2805"/>
      <c r="IZK77" s="2805"/>
      <c r="IZL77" s="2805"/>
      <c r="IZM77" s="2805"/>
      <c r="IZN77" s="2805"/>
      <c r="IZO77" s="2805"/>
      <c r="IZP77" s="2805"/>
      <c r="IZQ77" s="2805"/>
      <c r="IZR77" s="2805"/>
      <c r="IZS77" s="2805"/>
      <c r="IZT77" s="2805"/>
      <c r="IZU77" s="2805"/>
      <c r="IZV77" s="2805"/>
      <c r="IZW77" s="2805"/>
      <c r="IZX77" s="2805"/>
      <c r="IZY77" s="2805"/>
      <c r="IZZ77" s="2805"/>
      <c r="JAA77" s="2805"/>
      <c r="JAB77" s="2805"/>
      <c r="JAC77" s="2805"/>
      <c r="JAD77" s="2805"/>
      <c r="JAE77" s="2805"/>
      <c r="JAF77" s="2805"/>
      <c r="JAG77" s="2805"/>
      <c r="JAH77" s="2805"/>
      <c r="JAI77" s="2805"/>
      <c r="JAJ77" s="2805"/>
      <c r="JAK77" s="2805"/>
      <c r="JAL77" s="2805"/>
      <c r="JAM77" s="2805"/>
      <c r="JAN77" s="2805"/>
      <c r="JAO77" s="2805"/>
      <c r="JAP77" s="2805"/>
      <c r="JAQ77" s="2805"/>
      <c r="JAR77" s="2805"/>
      <c r="JAS77" s="2805"/>
      <c r="JAT77" s="2805"/>
      <c r="JAU77" s="2805"/>
      <c r="JAV77" s="2805"/>
      <c r="JAW77" s="2805"/>
      <c r="JAX77" s="2805"/>
      <c r="JAY77" s="2805"/>
      <c r="JAZ77" s="2805"/>
      <c r="JBA77" s="2805"/>
      <c r="JBB77" s="2805"/>
      <c r="JBC77" s="2805"/>
      <c r="JBD77" s="2805"/>
      <c r="JBE77" s="2805"/>
      <c r="JBF77" s="2805"/>
      <c r="JBG77" s="2805"/>
      <c r="JBH77" s="2805"/>
      <c r="JBI77" s="2805"/>
      <c r="JBJ77" s="2805"/>
      <c r="JBK77" s="2805"/>
      <c r="JBL77" s="2805"/>
      <c r="JBM77" s="2805"/>
      <c r="JBN77" s="2805"/>
      <c r="JBO77" s="2805"/>
      <c r="JBP77" s="2805"/>
      <c r="JBQ77" s="2805"/>
      <c r="JBR77" s="2805"/>
      <c r="JBS77" s="2805"/>
      <c r="JBT77" s="2805"/>
      <c r="JBU77" s="2805"/>
      <c r="JBV77" s="2805"/>
      <c r="JBW77" s="2805"/>
      <c r="JBX77" s="2805"/>
      <c r="JBY77" s="2805"/>
      <c r="JBZ77" s="2805"/>
      <c r="JCA77" s="2805"/>
      <c r="JCB77" s="2805"/>
      <c r="JCC77" s="2805"/>
      <c r="JCD77" s="2805"/>
      <c r="JCE77" s="2805"/>
      <c r="JCF77" s="2805"/>
      <c r="JCG77" s="2805"/>
      <c r="JCH77" s="2805"/>
      <c r="JCI77" s="2805"/>
      <c r="JCJ77" s="2805"/>
      <c r="JCK77" s="2805"/>
      <c r="JCL77" s="2805"/>
      <c r="JCM77" s="2805"/>
      <c r="JCN77" s="2805"/>
      <c r="JCO77" s="2805"/>
      <c r="JCP77" s="2805"/>
      <c r="JCQ77" s="2805"/>
      <c r="JCR77" s="2805"/>
      <c r="JCS77" s="2805"/>
      <c r="JCT77" s="2805"/>
      <c r="JCU77" s="2805"/>
      <c r="JCV77" s="2805"/>
      <c r="JCW77" s="2805"/>
      <c r="JCX77" s="2805"/>
      <c r="JCY77" s="2805"/>
      <c r="JCZ77" s="2805"/>
      <c r="JDA77" s="2805"/>
      <c r="JDB77" s="2805"/>
      <c r="JDC77" s="2805"/>
      <c r="JDD77" s="2805"/>
      <c r="JDE77" s="2805"/>
      <c r="JDF77" s="2805"/>
      <c r="JDG77" s="2805"/>
      <c r="JDH77" s="2805"/>
      <c r="JDI77" s="2805"/>
      <c r="JDJ77" s="2805"/>
      <c r="JDK77" s="2805"/>
      <c r="JDL77" s="2805"/>
      <c r="JDM77" s="2805"/>
      <c r="JDN77" s="2805"/>
      <c r="JDO77" s="2805"/>
      <c r="JDP77" s="2805"/>
      <c r="JDQ77" s="2805"/>
      <c r="JDR77" s="2805"/>
      <c r="JDS77" s="2805"/>
      <c r="JDT77" s="2805"/>
      <c r="JDU77" s="2805"/>
      <c r="JDV77" s="2805"/>
      <c r="JDW77" s="2805"/>
      <c r="JDX77" s="2805"/>
      <c r="JDY77" s="2805"/>
      <c r="JDZ77" s="2805"/>
      <c r="JEA77" s="2805"/>
      <c r="JEB77" s="2805"/>
      <c r="JEC77" s="2805"/>
      <c r="JED77" s="2805"/>
      <c r="JEE77" s="2805"/>
      <c r="JEF77" s="2805"/>
      <c r="JEG77" s="2805"/>
      <c r="JEH77" s="2805"/>
      <c r="JEI77" s="2805"/>
      <c r="JEJ77" s="2805"/>
      <c r="JEK77" s="2805"/>
      <c r="JEL77" s="2805"/>
      <c r="JEM77" s="2805"/>
      <c r="JEN77" s="2805"/>
      <c r="JEO77" s="2805"/>
      <c r="JEP77" s="2805"/>
      <c r="JEQ77" s="2805"/>
      <c r="JER77" s="2805"/>
      <c r="JES77" s="2805"/>
      <c r="JET77" s="2805"/>
      <c r="JEU77" s="2805"/>
      <c r="JEV77" s="2805"/>
      <c r="JEW77" s="2805"/>
      <c r="JEX77" s="2805"/>
      <c r="JEY77" s="2805"/>
      <c r="JEZ77" s="2805"/>
      <c r="JFA77" s="2805"/>
      <c r="JFB77" s="2805"/>
      <c r="JFC77" s="2805"/>
      <c r="JFD77" s="2805"/>
      <c r="JFE77" s="2805"/>
      <c r="JFF77" s="2805"/>
      <c r="JFG77" s="2805"/>
      <c r="JFH77" s="2805"/>
      <c r="JFI77" s="2805"/>
      <c r="JFJ77" s="2805"/>
      <c r="JFK77" s="2805"/>
      <c r="JFL77" s="2805"/>
      <c r="JFM77" s="2805"/>
      <c r="JFN77" s="2805"/>
      <c r="JFO77" s="2805"/>
      <c r="JFP77" s="2805"/>
      <c r="JFQ77" s="2805"/>
      <c r="JFR77" s="2805"/>
      <c r="JFS77" s="2805"/>
      <c r="JFT77" s="2805"/>
      <c r="JFU77" s="2805"/>
      <c r="JFV77" s="2805"/>
      <c r="JFW77" s="2805"/>
      <c r="JFX77" s="2805"/>
      <c r="JFY77" s="2805"/>
      <c r="JFZ77" s="2805"/>
      <c r="JGA77" s="2805"/>
      <c r="JGB77" s="2805"/>
      <c r="JGC77" s="2805"/>
      <c r="JGD77" s="2805"/>
      <c r="JGE77" s="2805"/>
      <c r="JGF77" s="2805"/>
      <c r="JGG77" s="2805"/>
      <c r="JGH77" s="2805"/>
      <c r="JGI77" s="2805"/>
      <c r="JGJ77" s="2805"/>
      <c r="JGK77" s="2805"/>
      <c r="JGL77" s="2805"/>
      <c r="JGM77" s="2805"/>
      <c r="JGN77" s="2805"/>
      <c r="JGO77" s="2805"/>
      <c r="JGP77" s="2805"/>
      <c r="JGQ77" s="2805"/>
      <c r="JGR77" s="2805"/>
      <c r="JGS77" s="2805"/>
      <c r="JGT77" s="2805"/>
      <c r="JGU77" s="2805"/>
      <c r="JGV77" s="2805"/>
      <c r="JGW77" s="2805"/>
      <c r="JGX77" s="2805"/>
      <c r="JGY77" s="2805"/>
      <c r="JGZ77" s="2805"/>
      <c r="JHA77" s="2805"/>
      <c r="JHB77" s="2805"/>
      <c r="JHC77" s="2805"/>
      <c r="JHD77" s="2805"/>
      <c r="JHE77" s="2805"/>
      <c r="JHF77" s="2805"/>
      <c r="JHG77" s="2805"/>
      <c r="JHH77" s="2805"/>
      <c r="JHI77" s="2805"/>
      <c r="JHJ77" s="2805"/>
      <c r="JHK77" s="2805"/>
      <c r="JHL77" s="2805"/>
      <c r="JHM77" s="2805"/>
      <c r="JHN77" s="2805"/>
      <c r="JHO77" s="2805"/>
      <c r="JHP77" s="2805"/>
      <c r="JHQ77" s="2805"/>
      <c r="JHR77" s="2805"/>
      <c r="JHS77" s="2805"/>
      <c r="JHT77" s="2805"/>
      <c r="JHU77" s="2805"/>
      <c r="JHV77" s="2805"/>
      <c r="JHW77" s="2805"/>
      <c r="JHX77" s="2805"/>
      <c r="JHY77" s="2805"/>
      <c r="JHZ77" s="2805"/>
      <c r="JIA77" s="2805"/>
      <c r="JIB77" s="2805"/>
      <c r="JIC77" s="2805"/>
      <c r="JID77" s="2805"/>
      <c r="JIE77" s="2805"/>
      <c r="JIF77" s="2805"/>
      <c r="JIG77" s="2805"/>
      <c r="JIH77" s="2805"/>
      <c r="JII77" s="2805"/>
      <c r="JIJ77" s="2805"/>
      <c r="JIK77" s="2805"/>
      <c r="JIL77" s="2805"/>
      <c r="JIM77" s="2805"/>
      <c r="JIN77" s="2805"/>
      <c r="JIO77" s="2805"/>
      <c r="JIP77" s="2805"/>
      <c r="JIQ77" s="2805"/>
      <c r="JIR77" s="2805"/>
      <c r="JIS77" s="2805"/>
      <c r="JIT77" s="2805"/>
      <c r="JIU77" s="2805"/>
      <c r="JIV77" s="2805"/>
      <c r="JIW77" s="2805"/>
      <c r="JIX77" s="2805"/>
      <c r="JIY77" s="2805"/>
      <c r="JIZ77" s="2805"/>
      <c r="JJA77" s="2805"/>
      <c r="JJB77" s="2805"/>
      <c r="JJC77" s="2805"/>
      <c r="JJD77" s="2805"/>
      <c r="JJE77" s="2805"/>
      <c r="JJF77" s="2805"/>
      <c r="JJG77" s="2805"/>
      <c r="JJH77" s="2805"/>
      <c r="JJI77" s="2805"/>
      <c r="JJJ77" s="2805"/>
      <c r="JJK77" s="2805"/>
      <c r="JJL77" s="2805"/>
      <c r="JJM77" s="2805"/>
      <c r="JJN77" s="2805"/>
      <c r="JJO77" s="2805"/>
      <c r="JJP77" s="2805"/>
      <c r="JJQ77" s="2805"/>
      <c r="JJR77" s="2805"/>
      <c r="JJS77" s="2805"/>
      <c r="JJT77" s="2805"/>
      <c r="JJU77" s="2805"/>
      <c r="JJV77" s="2805"/>
      <c r="JJW77" s="2805"/>
      <c r="JJX77" s="2805"/>
      <c r="JJY77" s="2805"/>
      <c r="JJZ77" s="2805"/>
      <c r="JKA77" s="2805"/>
      <c r="JKB77" s="2805"/>
      <c r="JKC77" s="2805"/>
      <c r="JKD77" s="2805"/>
      <c r="JKE77" s="2805"/>
      <c r="JKF77" s="2805"/>
      <c r="JKG77" s="2805"/>
      <c r="JKH77" s="2805"/>
      <c r="JKI77" s="2805"/>
      <c r="JKJ77" s="2805"/>
      <c r="JKK77" s="2805"/>
      <c r="JKL77" s="2805"/>
      <c r="JKM77" s="2805"/>
      <c r="JKN77" s="2805"/>
      <c r="JKO77" s="2805"/>
      <c r="JKP77" s="2805"/>
      <c r="JKQ77" s="2805"/>
      <c r="JKR77" s="2805"/>
      <c r="JKS77" s="2805"/>
      <c r="JKT77" s="2805"/>
      <c r="JKU77" s="2805"/>
      <c r="JKV77" s="2805"/>
      <c r="JKW77" s="2805"/>
      <c r="JKX77" s="2805"/>
      <c r="JKY77" s="2805"/>
      <c r="JKZ77" s="2805"/>
      <c r="JLA77" s="2805"/>
      <c r="JLB77" s="2805"/>
      <c r="JLC77" s="2805"/>
      <c r="JLD77" s="2805"/>
      <c r="JLE77" s="2805"/>
      <c r="JLF77" s="2805"/>
      <c r="JLG77" s="2805"/>
      <c r="JLH77" s="2805"/>
      <c r="JLI77" s="2805"/>
      <c r="JLJ77" s="2805"/>
      <c r="JLK77" s="2805"/>
      <c r="JLL77" s="2805"/>
      <c r="JLM77" s="2805"/>
      <c r="JLN77" s="2805"/>
      <c r="JLO77" s="2805"/>
      <c r="JLP77" s="2805"/>
      <c r="JLQ77" s="2805"/>
      <c r="JLR77" s="2805"/>
      <c r="JLS77" s="2805"/>
      <c r="JLT77" s="2805"/>
      <c r="JLU77" s="2805"/>
      <c r="JLV77" s="2805"/>
      <c r="JLW77" s="2805"/>
      <c r="JLX77" s="2805"/>
      <c r="JLY77" s="2805"/>
      <c r="JLZ77" s="2805"/>
      <c r="JMA77" s="2805"/>
      <c r="JMB77" s="2805"/>
      <c r="JMC77" s="2805"/>
      <c r="JMD77" s="2805"/>
      <c r="JME77" s="2805"/>
      <c r="JMF77" s="2805"/>
      <c r="JMG77" s="2805"/>
      <c r="JMH77" s="2805"/>
      <c r="JMI77" s="2805"/>
      <c r="JMJ77" s="2805"/>
      <c r="JMK77" s="2805"/>
      <c r="JML77" s="2805"/>
      <c r="JMM77" s="2805"/>
      <c r="JMN77" s="2805"/>
      <c r="JMO77" s="2805"/>
      <c r="JMP77" s="2805"/>
      <c r="JMQ77" s="2805"/>
      <c r="JMR77" s="2805"/>
      <c r="JMS77" s="2805"/>
      <c r="JMT77" s="2805"/>
      <c r="JMU77" s="2805"/>
      <c r="JMV77" s="2805"/>
      <c r="JMW77" s="2805"/>
      <c r="JMX77" s="2805"/>
      <c r="JMY77" s="2805"/>
      <c r="JMZ77" s="2805"/>
      <c r="JNA77" s="2805"/>
      <c r="JNB77" s="2805"/>
      <c r="JNC77" s="2805"/>
      <c r="JND77" s="2805"/>
      <c r="JNE77" s="2805"/>
      <c r="JNF77" s="2805"/>
      <c r="JNG77" s="2805"/>
      <c r="JNH77" s="2805"/>
      <c r="JNI77" s="2805"/>
      <c r="JNJ77" s="2805"/>
      <c r="JNK77" s="2805"/>
      <c r="JNL77" s="2805"/>
      <c r="JNM77" s="2805"/>
      <c r="JNN77" s="2805"/>
      <c r="JNO77" s="2805"/>
      <c r="JNP77" s="2805"/>
      <c r="JNQ77" s="2805"/>
      <c r="JNR77" s="2805"/>
      <c r="JNS77" s="2805"/>
      <c r="JNT77" s="2805"/>
      <c r="JNU77" s="2805"/>
      <c r="JNV77" s="2805"/>
      <c r="JNW77" s="2805"/>
      <c r="JNX77" s="2805"/>
      <c r="JNY77" s="2805"/>
      <c r="JNZ77" s="2805"/>
      <c r="JOA77" s="2805"/>
      <c r="JOB77" s="2805"/>
      <c r="JOC77" s="2805"/>
      <c r="JOD77" s="2805"/>
      <c r="JOE77" s="2805"/>
      <c r="JOF77" s="2805"/>
      <c r="JOG77" s="2805"/>
      <c r="JOH77" s="2805"/>
      <c r="JOI77" s="2805"/>
      <c r="JOJ77" s="2805"/>
      <c r="JOK77" s="2805"/>
      <c r="JOL77" s="2805"/>
      <c r="JOM77" s="2805"/>
      <c r="JON77" s="2805"/>
      <c r="JOO77" s="2805"/>
      <c r="JOP77" s="2805"/>
      <c r="JOQ77" s="2805"/>
      <c r="JOR77" s="2805"/>
      <c r="JOS77" s="2805"/>
      <c r="JOT77" s="2805"/>
      <c r="JOU77" s="2805"/>
      <c r="JOV77" s="2805"/>
      <c r="JOW77" s="2805"/>
      <c r="JOX77" s="2805"/>
      <c r="JOY77" s="2805"/>
      <c r="JOZ77" s="2805"/>
      <c r="JPA77" s="2805"/>
      <c r="JPB77" s="2805"/>
      <c r="JPC77" s="2805"/>
      <c r="JPD77" s="2805"/>
      <c r="JPE77" s="2805"/>
      <c r="JPF77" s="2805"/>
      <c r="JPG77" s="2805"/>
      <c r="JPH77" s="2805"/>
      <c r="JPI77" s="2805"/>
      <c r="JPJ77" s="2805"/>
      <c r="JPK77" s="2805"/>
      <c r="JPL77" s="2805"/>
      <c r="JPM77" s="2805"/>
      <c r="JPN77" s="2805"/>
      <c r="JPO77" s="2805"/>
      <c r="JPP77" s="2805"/>
      <c r="JPQ77" s="2805"/>
      <c r="JPR77" s="2805"/>
      <c r="JPS77" s="2805"/>
      <c r="JPT77" s="2805"/>
      <c r="JPU77" s="2805"/>
      <c r="JPV77" s="2805"/>
      <c r="JPW77" s="2805"/>
      <c r="JPX77" s="2805"/>
      <c r="JPY77" s="2805"/>
      <c r="JPZ77" s="2805"/>
      <c r="JQA77" s="2805"/>
      <c r="JQB77" s="2805"/>
      <c r="JQC77" s="2805"/>
      <c r="JQD77" s="2805"/>
      <c r="JQE77" s="2805"/>
      <c r="JQF77" s="2805"/>
      <c r="JQG77" s="2805"/>
      <c r="JQH77" s="2805"/>
      <c r="JQI77" s="2805"/>
      <c r="JQJ77" s="2805"/>
      <c r="JQK77" s="2805"/>
      <c r="JQL77" s="2805"/>
      <c r="JQM77" s="2805"/>
      <c r="JQN77" s="2805"/>
      <c r="JQO77" s="2805"/>
      <c r="JQP77" s="2805"/>
      <c r="JQQ77" s="2805"/>
      <c r="JQR77" s="2805"/>
      <c r="JQS77" s="2805"/>
      <c r="JQT77" s="2805"/>
      <c r="JQU77" s="2805"/>
      <c r="JQV77" s="2805"/>
      <c r="JQW77" s="2805"/>
      <c r="JQX77" s="2805"/>
      <c r="JQY77" s="2805"/>
      <c r="JQZ77" s="2805"/>
      <c r="JRA77" s="2805"/>
      <c r="JRB77" s="2805"/>
      <c r="JRC77" s="2805"/>
      <c r="JRD77" s="2805"/>
      <c r="JRE77" s="2805"/>
      <c r="JRF77" s="2805"/>
      <c r="JRG77" s="2805"/>
      <c r="JRH77" s="2805"/>
      <c r="JRI77" s="2805"/>
      <c r="JRJ77" s="2805"/>
      <c r="JRK77" s="2805"/>
      <c r="JRL77" s="2805"/>
      <c r="JRM77" s="2805"/>
      <c r="JRN77" s="2805"/>
      <c r="JRO77" s="2805"/>
      <c r="JRP77" s="2805"/>
      <c r="JRQ77" s="2805"/>
      <c r="JRR77" s="2805"/>
      <c r="JRS77" s="2805"/>
      <c r="JRT77" s="2805"/>
      <c r="JRU77" s="2805"/>
      <c r="JRV77" s="2805"/>
      <c r="JRW77" s="2805"/>
      <c r="JRX77" s="2805"/>
      <c r="JRY77" s="2805"/>
      <c r="JRZ77" s="2805"/>
      <c r="JSA77" s="2805"/>
      <c r="JSB77" s="2805"/>
      <c r="JSC77" s="2805"/>
      <c r="JSD77" s="2805"/>
      <c r="JSE77" s="2805"/>
      <c r="JSF77" s="2805"/>
      <c r="JSG77" s="2805"/>
      <c r="JSH77" s="2805"/>
      <c r="JSI77" s="2805"/>
      <c r="JSJ77" s="2805"/>
      <c r="JSK77" s="2805"/>
      <c r="JSL77" s="2805"/>
      <c r="JSM77" s="2805"/>
      <c r="JSN77" s="2805"/>
      <c r="JSO77" s="2805"/>
      <c r="JSP77" s="2805"/>
      <c r="JSQ77" s="2805"/>
      <c r="JSR77" s="2805"/>
      <c r="JSS77" s="2805"/>
      <c r="JST77" s="2805"/>
      <c r="JSU77" s="2805"/>
      <c r="JSV77" s="2805"/>
      <c r="JSW77" s="2805"/>
      <c r="JSX77" s="2805"/>
      <c r="JSY77" s="2805"/>
      <c r="JSZ77" s="2805"/>
      <c r="JTA77" s="2805"/>
      <c r="JTB77" s="2805"/>
      <c r="JTC77" s="2805"/>
      <c r="JTD77" s="2805"/>
      <c r="JTE77" s="2805"/>
      <c r="JTF77" s="2805"/>
      <c r="JTG77" s="2805"/>
      <c r="JTH77" s="2805"/>
      <c r="JTI77" s="2805"/>
      <c r="JTJ77" s="2805"/>
      <c r="JTK77" s="2805"/>
      <c r="JTL77" s="2805"/>
      <c r="JTM77" s="2805"/>
      <c r="JTN77" s="2805"/>
      <c r="JTO77" s="2805"/>
      <c r="JTP77" s="2805"/>
      <c r="JTQ77" s="2805"/>
      <c r="JTR77" s="2805"/>
      <c r="JTS77" s="2805"/>
      <c r="JTT77" s="2805"/>
      <c r="JTU77" s="2805"/>
      <c r="JTV77" s="2805"/>
      <c r="JTW77" s="2805"/>
      <c r="JTX77" s="2805"/>
      <c r="JTY77" s="2805"/>
      <c r="JTZ77" s="2805"/>
      <c r="JUA77" s="2805"/>
      <c r="JUB77" s="2805"/>
      <c r="JUC77" s="2805"/>
      <c r="JUD77" s="2805"/>
      <c r="JUE77" s="2805"/>
      <c r="JUF77" s="2805"/>
      <c r="JUG77" s="2805"/>
      <c r="JUH77" s="2805"/>
      <c r="JUI77" s="2805"/>
      <c r="JUJ77" s="2805"/>
      <c r="JUK77" s="2805"/>
      <c r="JUL77" s="2805"/>
      <c r="JUM77" s="2805"/>
      <c r="JUN77" s="2805"/>
      <c r="JUO77" s="2805"/>
      <c r="JUP77" s="2805"/>
      <c r="JUQ77" s="2805"/>
      <c r="JUR77" s="2805"/>
      <c r="JUS77" s="2805"/>
      <c r="JUT77" s="2805"/>
      <c r="JUU77" s="2805"/>
      <c r="JUV77" s="2805"/>
      <c r="JUW77" s="2805"/>
      <c r="JUX77" s="2805"/>
      <c r="JUY77" s="2805"/>
      <c r="JUZ77" s="2805"/>
      <c r="JVA77" s="2805"/>
      <c r="JVB77" s="2805"/>
      <c r="JVC77" s="2805"/>
      <c r="JVD77" s="2805"/>
      <c r="JVE77" s="2805"/>
      <c r="JVF77" s="2805"/>
      <c r="JVG77" s="2805"/>
      <c r="JVH77" s="2805"/>
      <c r="JVI77" s="2805"/>
      <c r="JVJ77" s="2805"/>
      <c r="JVK77" s="2805"/>
      <c r="JVL77" s="2805"/>
      <c r="JVM77" s="2805"/>
      <c r="JVN77" s="2805"/>
      <c r="JVO77" s="2805"/>
      <c r="JVP77" s="2805"/>
      <c r="JVQ77" s="2805"/>
      <c r="JVR77" s="2805"/>
      <c r="JVS77" s="2805"/>
      <c r="JVT77" s="2805"/>
      <c r="JVU77" s="2805"/>
      <c r="JVV77" s="2805"/>
      <c r="JVW77" s="2805"/>
      <c r="JVX77" s="2805"/>
      <c r="JVY77" s="2805"/>
      <c r="JVZ77" s="2805"/>
      <c r="JWA77" s="2805"/>
      <c r="JWB77" s="2805"/>
      <c r="JWC77" s="2805"/>
      <c r="JWD77" s="2805"/>
      <c r="JWE77" s="2805"/>
      <c r="JWF77" s="2805"/>
      <c r="JWG77" s="2805"/>
      <c r="JWH77" s="2805"/>
      <c r="JWI77" s="2805"/>
      <c r="JWJ77" s="2805"/>
      <c r="JWK77" s="2805"/>
      <c r="JWL77" s="2805"/>
      <c r="JWM77" s="2805"/>
      <c r="JWN77" s="2805"/>
      <c r="JWO77" s="2805"/>
      <c r="JWP77" s="2805"/>
      <c r="JWQ77" s="2805"/>
      <c r="JWR77" s="2805"/>
      <c r="JWS77" s="2805"/>
      <c r="JWT77" s="2805"/>
      <c r="JWU77" s="2805"/>
      <c r="JWV77" s="2805"/>
      <c r="JWW77" s="2805"/>
      <c r="JWX77" s="2805"/>
      <c r="JWY77" s="2805"/>
      <c r="JWZ77" s="2805"/>
      <c r="JXA77" s="2805"/>
      <c r="JXB77" s="2805"/>
      <c r="JXC77" s="2805"/>
      <c r="JXD77" s="2805"/>
      <c r="JXE77" s="2805"/>
      <c r="JXF77" s="2805"/>
      <c r="JXG77" s="2805"/>
      <c r="JXH77" s="2805"/>
      <c r="JXI77" s="2805"/>
      <c r="JXJ77" s="2805"/>
      <c r="JXK77" s="2805"/>
      <c r="JXL77" s="2805"/>
      <c r="JXM77" s="2805"/>
      <c r="JXN77" s="2805"/>
      <c r="JXO77" s="2805"/>
      <c r="JXP77" s="2805"/>
      <c r="JXQ77" s="2805"/>
      <c r="JXR77" s="2805"/>
      <c r="JXS77" s="2805"/>
      <c r="JXT77" s="2805"/>
      <c r="JXU77" s="2805"/>
      <c r="JXV77" s="2805"/>
      <c r="JXW77" s="2805"/>
      <c r="JXX77" s="2805"/>
      <c r="JXY77" s="2805"/>
      <c r="JXZ77" s="2805"/>
      <c r="JYA77" s="2805"/>
      <c r="JYB77" s="2805"/>
      <c r="JYC77" s="2805"/>
      <c r="JYD77" s="2805"/>
      <c r="JYE77" s="2805"/>
      <c r="JYF77" s="2805"/>
      <c r="JYG77" s="2805"/>
      <c r="JYH77" s="2805"/>
      <c r="JYI77" s="2805"/>
      <c r="JYJ77" s="2805"/>
      <c r="JYK77" s="2805"/>
      <c r="JYL77" s="2805"/>
      <c r="JYM77" s="2805"/>
      <c r="JYN77" s="2805"/>
      <c r="JYO77" s="2805"/>
      <c r="JYP77" s="2805"/>
      <c r="JYQ77" s="2805"/>
      <c r="JYR77" s="2805"/>
      <c r="JYS77" s="2805"/>
      <c r="JYT77" s="2805"/>
      <c r="JYU77" s="2805"/>
      <c r="JYV77" s="2805"/>
      <c r="JYW77" s="2805"/>
      <c r="JYX77" s="2805"/>
      <c r="JYY77" s="2805"/>
      <c r="JYZ77" s="2805"/>
      <c r="JZA77" s="2805"/>
      <c r="JZB77" s="2805"/>
      <c r="JZC77" s="2805"/>
      <c r="JZD77" s="2805"/>
      <c r="JZE77" s="2805"/>
      <c r="JZF77" s="2805"/>
      <c r="JZG77" s="2805"/>
      <c r="JZH77" s="2805"/>
      <c r="JZI77" s="2805"/>
      <c r="JZJ77" s="2805"/>
      <c r="JZK77" s="2805"/>
      <c r="JZL77" s="2805"/>
      <c r="JZM77" s="2805"/>
      <c r="JZN77" s="2805"/>
      <c r="JZO77" s="2805"/>
      <c r="JZP77" s="2805"/>
      <c r="JZQ77" s="2805"/>
      <c r="JZR77" s="2805"/>
      <c r="JZS77" s="2805"/>
      <c r="JZT77" s="2805"/>
      <c r="JZU77" s="2805"/>
      <c r="JZV77" s="2805"/>
      <c r="JZW77" s="2805"/>
      <c r="JZX77" s="2805"/>
      <c r="JZY77" s="2805"/>
      <c r="JZZ77" s="2805"/>
      <c r="KAA77" s="2805"/>
      <c r="KAB77" s="2805"/>
      <c r="KAC77" s="2805"/>
      <c r="KAD77" s="2805"/>
      <c r="KAE77" s="2805"/>
      <c r="KAF77" s="2805"/>
      <c r="KAG77" s="2805"/>
      <c r="KAH77" s="2805"/>
      <c r="KAI77" s="2805"/>
      <c r="KAJ77" s="2805"/>
      <c r="KAK77" s="2805"/>
      <c r="KAL77" s="2805"/>
      <c r="KAM77" s="2805"/>
      <c r="KAN77" s="2805"/>
      <c r="KAO77" s="2805"/>
      <c r="KAP77" s="2805"/>
      <c r="KAQ77" s="2805"/>
      <c r="KAR77" s="2805"/>
      <c r="KAS77" s="2805"/>
      <c r="KAT77" s="2805"/>
      <c r="KAU77" s="2805"/>
      <c r="KAV77" s="2805"/>
      <c r="KAW77" s="2805"/>
      <c r="KAX77" s="2805"/>
      <c r="KAY77" s="2805"/>
      <c r="KAZ77" s="2805"/>
      <c r="KBA77" s="2805"/>
      <c r="KBB77" s="2805"/>
      <c r="KBC77" s="2805"/>
      <c r="KBD77" s="2805"/>
      <c r="KBE77" s="2805"/>
      <c r="KBF77" s="2805"/>
      <c r="KBG77" s="2805"/>
      <c r="KBH77" s="2805"/>
      <c r="KBI77" s="2805"/>
      <c r="KBJ77" s="2805"/>
      <c r="KBK77" s="2805"/>
      <c r="KBL77" s="2805"/>
      <c r="KBM77" s="2805"/>
      <c r="KBN77" s="2805"/>
      <c r="KBO77" s="2805"/>
      <c r="KBP77" s="2805"/>
      <c r="KBQ77" s="2805"/>
      <c r="KBR77" s="2805"/>
      <c r="KBS77" s="2805"/>
      <c r="KBT77" s="2805"/>
      <c r="KBU77" s="2805"/>
      <c r="KBV77" s="2805"/>
      <c r="KBW77" s="2805"/>
      <c r="KBX77" s="2805"/>
      <c r="KBY77" s="2805"/>
      <c r="KBZ77" s="2805"/>
      <c r="KCA77" s="2805"/>
      <c r="KCB77" s="2805"/>
      <c r="KCC77" s="2805"/>
      <c r="KCD77" s="2805"/>
      <c r="KCE77" s="2805"/>
      <c r="KCF77" s="2805"/>
      <c r="KCG77" s="2805"/>
      <c r="KCH77" s="2805"/>
      <c r="KCI77" s="2805"/>
      <c r="KCJ77" s="2805"/>
      <c r="KCK77" s="2805"/>
      <c r="KCL77" s="2805"/>
      <c r="KCM77" s="2805"/>
      <c r="KCN77" s="2805"/>
      <c r="KCO77" s="2805"/>
      <c r="KCP77" s="2805"/>
      <c r="KCQ77" s="2805"/>
      <c r="KCR77" s="2805"/>
      <c r="KCS77" s="2805"/>
      <c r="KCT77" s="2805"/>
      <c r="KCU77" s="2805"/>
      <c r="KCV77" s="2805"/>
      <c r="KCW77" s="2805"/>
      <c r="KCX77" s="2805"/>
      <c r="KCY77" s="2805"/>
      <c r="KCZ77" s="2805"/>
      <c r="KDA77" s="2805"/>
      <c r="KDB77" s="2805"/>
      <c r="KDC77" s="2805"/>
      <c r="KDD77" s="2805"/>
      <c r="KDE77" s="2805"/>
      <c r="KDF77" s="2805"/>
      <c r="KDG77" s="2805"/>
      <c r="KDH77" s="2805"/>
      <c r="KDI77" s="2805"/>
      <c r="KDJ77" s="2805"/>
      <c r="KDK77" s="2805"/>
      <c r="KDL77" s="2805"/>
      <c r="KDM77" s="2805"/>
      <c r="KDN77" s="2805"/>
      <c r="KDO77" s="2805"/>
      <c r="KDP77" s="2805"/>
      <c r="KDQ77" s="2805"/>
      <c r="KDR77" s="2805"/>
      <c r="KDS77" s="2805"/>
      <c r="KDT77" s="2805"/>
      <c r="KDU77" s="2805"/>
      <c r="KDV77" s="2805"/>
      <c r="KDW77" s="2805"/>
      <c r="KDX77" s="2805"/>
      <c r="KDY77" s="2805"/>
      <c r="KDZ77" s="2805"/>
      <c r="KEA77" s="2805"/>
      <c r="KEB77" s="2805"/>
      <c r="KEC77" s="2805"/>
      <c r="KED77" s="2805"/>
      <c r="KEE77" s="2805"/>
      <c r="KEF77" s="2805"/>
      <c r="KEG77" s="2805"/>
      <c r="KEH77" s="2805"/>
      <c r="KEI77" s="2805"/>
      <c r="KEJ77" s="2805"/>
      <c r="KEK77" s="2805"/>
      <c r="KEL77" s="2805"/>
      <c r="KEM77" s="2805"/>
      <c r="KEN77" s="2805"/>
      <c r="KEO77" s="2805"/>
      <c r="KEP77" s="2805"/>
      <c r="KEQ77" s="2805"/>
      <c r="KER77" s="2805"/>
      <c r="KES77" s="2805"/>
      <c r="KET77" s="2805"/>
      <c r="KEU77" s="2805"/>
      <c r="KEV77" s="2805"/>
      <c r="KEW77" s="2805"/>
      <c r="KEX77" s="2805"/>
      <c r="KEY77" s="2805"/>
      <c r="KEZ77" s="2805"/>
      <c r="KFA77" s="2805"/>
      <c r="KFB77" s="2805"/>
      <c r="KFC77" s="2805"/>
      <c r="KFD77" s="2805"/>
      <c r="KFE77" s="2805"/>
      <c r="KFF77" s="2805"/>
      <c r="KFG77" s="2805"/>
      <c r="KFH77" s="2805"/>
      <c r="KFI77" s="2805"/>
      <c r="KFJ77" s="2805"/>
      <c r="KFK77" s="2805"/>
      <c r="KFL77" s="2805"/>
      <c r="KFM77" s="2805"/>
      <c r="KFN77" s="2805"/>
      <c r="KFO77" s="2805"/>
      <c r="KFP77" s="2805"/>
      <c r="KFQ77" s="2805"/>
      <c r="KFR77" s="2805"/>
      <c r="KFS77" s="2805"/>
      <c r="KFT77" s="2805"/>
      <c r="KFU77" s="2805"/>
      <c r="KFV77" s="2805"/>
      <c r="KFW77" s="2805"/>
      <c r="KFX77" s="2805"/>
      <c r="KFY77" s="2805"/>
      <c r="KFZ77" s="2805"/>
      <c r="KGA77" s="2805"/>
      <c r="KGB77" s="2805"/>
      <c r="KGC77" s="2805"/>
      <c r="KGD77" s="2805"/>
      <c r="KGE77" s="2805"/>
      <c r="KGF77" s="2805"/>
      <c r="KGG77" s="2805"/>
      <c r="KGH77" s="2805"/>
      <c r="KGI77" s="2805"/>
      <c r="KGJ77" s="2805"/>
      <c r="KGK77" s="2805"/>
      <c r="KGL77" s="2805"/>
      <c r="KGM77" s="2805"/>
      <c r="KGN77" s="2805"/>
      <c r="KGO77" s="2805"/>
      <c r="KGP77" s="2805"/>
      <c r="KGQ77" s="2805"/>
      <c r="KGR77" s="2805"/>
      <c r="KGS77" s="2805"/>
      <c r="KGT77" s="2805"/>
      <c r="KGU77" s="2805"/>
      <c r="KGV77" s="2805"/>
      <c r="KGW77" s="2805"/>
      <c r="KGX77" s="2805"/>
      <c r="KGY77" s="2805"/>
      <c r="KGZ77" s="2805"/>
      <c r="KHA77" s="2805"/>
      <c r="KHB77" s="2805"/>
      <c r="KHC77" s="2805"/>
      <c r="KHD77" s="2805"/>
      <c r="KHE77" s="2805"/>
      <c r="KHF77" s="2805"/>
      <c r="KHG77" s="2805"/>
      <c r="KHH77" s="2805"/>
      <c r="KHI77" s="2805"/>
      <c r="KHJ77" s="2805"/>
      <c r="KHK77" s="2805"/>
      <c r="KHL77" s="2805"/>
      <c r="KHM77" s="2805"/>
      <c r="KHN77" s="2805"/>
      <c r="KHO77" s="2805"/>
      <c r="KHP77" s="2805"/>
      <c r="KHQ77" s="2805"/>
      <c r="KHR77" s="2805"/>
      <c r="KHS77" s="2805"/>
      <c r="KHT77" s="2805"/>
      <c r="KHU77" s="2805"/>
      <c r="KHV77" s="2805"/>
      <c r="KHW77" s="2805"/>
      <c r="KHX77" s="2805"/>
      <c r="KHY77" s="2805"/>
      <c r="KHZ77" s="2805"/>
      <c r="KIA77" s="2805"/>
      <c r="KIB77" s="2805"/>
      <c r="KIC77" s="2805"/>
      <c r="KID77" s="2805"/>
      <c r="KIE77" s="2805"/>
      <c r="KIF77" s="2805"/>
      <c r="KIG77" s="2805"/>
      <c r="KIH77" s="2805"/>
      <c r="KII77" s="2805"/>
      <c r="KIJ77" s="2805"/>
      <c r="KIK77" s="2805"/>
      <c r="KIL77" s="2805"/>
      <c r="KIM77" s="2805"/>
      <c r="KIN77" s="2805"/>
      <c r="KIO77" s="2805"/>
      <c r="KIP77" s="2805"/>
      <c r="KIQ77" s="2805"/>
      <c r="KIR77" s="2805"/>
      <c r="KIS77" s="2805"/>
      <c r="KIT77" s="2805"/>
      <c r="KIU77" s="2805"/>
      <c r="KIV77" s="2805"/>
      <c r="KIW77" s="2805"/>
      <c r="KIX77" s="2805"/>
      <c r="KIY77" s="2805"/>
      <c r="KIZ77" s="2805"/>
      <c r="KJA77" s="2805"/>
      <c r="KJB77" s="2805"/>
      <c r="KJC77" s="2805"/>
      <c r="KJD77" s="2805"/>
      <c r="KJE77" s="2805"/>
      <c r="KJF77" s="2805"/>
      <c r="KJG77" s="2805"/>
      <c r="KJH77" s="2805"/>
      <c r="KJI77" s="2805"/>
      <c r="KJJ77" s="2805"/>
      <c r="KJK77" s="2805"/>
      <c r="KJL77" s="2805"/>
      <c r="KJM77" s="2805"/>
      <c r="KJN77" s="2805"/>
      <c r="KJO77" s="2805"/>
      <c r="KJP77" s="2805"/>
      <c r="KJQ77" s="2805"/>
      <c r="KJR77" s="2805"/>
      <c r="KJS77" s="2805"/>
      <c r="KJT77" s="2805"/>
      <c r="KJU77" s="2805"/>
      <c r="KJV77" s="2805"/>
      <c r="KJW77" s="2805"/>
      <c r="KJX77" s="2805"/>
      <c r="KJY77" s="2805"/>
      <c r="KJZ77" s="2805"/>
      <c r="KKA77" s="2805"/>
      <c r="KKB77" s="2805"/>
      <c r="KKC77" s="2805"/>
      <c r="KKD77" s="2805"/>
      <c r="KKE77" s="2805"/>
      <c r="KKF77" s="2805"/>
      <c r="KKG77" s="2805"/>
      <c r="KKH77" s="2805"/>
      <c r="KKI77" s="2805"/>
      <c r="KKJ77" s="2805"/>
      <c r="KKK77" s="2805"/>
      <c r="KKL77" s="2805"/>
      <c r="KKM77" s="2805"/>
      <c r="KKN77" s="2805"/>
      <c r="KKO77" s="2805"/>
      <c r="KKP77" s="2805"/>
      <c r="KKQ77" s="2805"/>
      <c r="KKR77" s="2805"/>
      <c r="KKS77" s="2805"/>
      <c r="KKT77" s="2805"/>
      <c r="KKU77" s="2805"/>
      <c r="KKV77" s="2805"/>
      <c r="KKW77" s="2805"/>
      <c r="KKX77" s="2805"/>
      <c r="KKY77" s="2805"/>
      <c r="KKZ77" s="2805"/>
      <c r="KLA77" s="2805"/>
      <c r="KLB77" s="2805"/>
      <c r="KLC77" s="2805"/>
      <c r="KLD77" s="2805"/>
      <c r="KLE77" s="2805"/>
      <c r="KLF77" s="2805"/>
      <c r="KLG77" s="2805"/>
      <c r="KLH77" s="2805"/>
      <c r="KLI77" s="2805"/>
      <c r="KLJ77" s="2805"/>
      <c r="KLK77" s="2805"/>
      <c r="KLL77" s="2805"/>
      <c r="KLM77" s="2805"/>
      <c r="KLN77" s="2805"/>
      <c r="KLO77" s="2805"/>
      <c r="KLP77" s="2805"/>
      <c r="KLQ77" s="2805"/>
      <c r="KLR77" s="2805"/>
      <c r="KLS77" s="2805"/>
      <c r="KLT77" s="2805"/>
      <c r="KLU77" s="2805"/>
      <c r="KLV77" s="2805"/>
      <c r="KLW77" s="2805"/>
      <c r="KLX77" s="2805"/>
      <c r="KLY77" s="2805"/>
      <c r="KLZ77" s="2805"/>
      <c r="KMA77" s="2805"/>
      <c r="KMB77" s="2805"/>
      <c r="KMC77" s="2805"/>
      <c r="KMD77" s="2805"/>
      <c r="KME77" s="2805"/>
      <c r="KMF77" s="2805"/>
      <c r="KMG77" s="2805"/>
      <c r="KMH77" s="2805"/>
      <c r="KMI77" s="2805"/>
      <c r="KMJ77" s="2805"/>
      <c r="KMK77" s="2805"/>
      <c r="KML77" s="2805"/>
      <c r="KMM77" s="2805"/>
      <c r="KMN77" s="2805"/>
      <c r="KMO77" s="2805"/>
      <c r="KMP77" s="2805"/>
      <c r="KMQ77" s="2805"/>
      <c r="KMR77" s="2805"/>
      <c r="KMS77" s="2805"/>
      <c r="KMT77" s="2805"/>
      <c r="KMU77" s="2805"/>
      <c r="KMV77" s="2805"/>
      <c r="KMW77" s="2805"/>
      <c r="KMX77" s="2805"/>
      <c r="KMY77" s="2805"/>
      <c r="KMZ77" s="2805"/>
      <c r="KNA77" s="2805"/>
      <c r="KNB77" s="2805"/>
      <c r="KNC77" s="2805"/>
      <c r="KND77" s="2805"/>
      <c r="KNE77" s="2805"/>
      <c r="KNF77" s="2805"/>
      <c r="KNG77" s="2805"/>
      <c r="KNH77" s="2805"/>
      <c r="KNI77" s="2805"/>
      <c r="KNJ77" s="2805"/>
      <c r="KNK77" s="2805"/>
      <c r="KNL77" s="2805"/>
      <c r="KNM77" s="2805"/>
      <c r="KNN77" s="2805"/>
      <c r="KNO77" s="2805"/>
      <c r="KNP77" s="2805"/>
      <c r="KNQ77" s="2805"/>
      <c r="KNR77" s="2805"/>
      <c r="KNS77" s="2805"/>
      <c r="KNT77" s="2805"/>
      <c r="KNU77" s="2805"/>
      <c r="KNV77" s="2805"/>
      <c r="KNW77" s="2805"/>
      <c r="KNX77" s="2805"/>
      <c r="KNY77" s="2805"/>
      <c r="KNZ77" s="2805"/>
      <c r="KOA77" s="2805"/>
      <c r="KOB77" s="2805"/>
      <c r="KOC77" s="2805"/>
      <c r="KOD77" s="2805"/>
      <c r="KOE77" s="2805"/>
      <c r="KOF77" s="2805"/>
      <c r="KOG77" s="2805"/>
      <c r="KOH77" s="2805"/>
      <c r="KOI77" s="2805"/>
      <c r="KOJ77" s="2805"/>
      <c r="KOK77" s="2805"/>
      <c r="KOL77" s="2805"/>
      <c r="KOM77" s="2805"/>
      <c r="KON77" s="2805"/>
      <c r="KOO77" s="2805"/>
      <c r="KOP77" s="2805"/>
      <c r="KOQ77" s="2805"/>
      <c r="KOR77" s="2805"/>
      <c r="KOS77" s="2805"/>
      <c r="KOT77" s="2805"/>
      <c r="KOU77" s="2805"/>
      <c r="KOV77" s="2805"/>
      <c r="KOW77" s="2805"/>
      <c r="KOX77" s="2805"/>
      <c r="KOY77" s="2805"/>
      <c r="KOZ77" s="2805"/>
      <c r="KPA77" s="2805"/>
      <c r="KPB77" s="2805"/>
      <c r="KPC77" s="2805"/>
      <c r="KPD77" s="2805"/>
      <c r="KPE77" s="2805"/>
      <c r="KPF77" s="2805"/>
      <c r="KPG77" s="2805"/>
      <c r="KPH77" s="2805"/>
      <c r="KPI77" s="2805"/>
      <c r="KPJ77" s="2805"/>
      <c r="KPK77" s="2805"/>
      <c r="KPL77" s="2805"/>
      <c r="KPM77" s="2805"/>
      <c r="KPN77" s="2805"/>
      <c r="KPO77" s="2805"/>
      <c r="KPP77" s="2805"/>
      <c r="KPQ77" s="2805"/>
      <c r="KPR77" s="2805"/>
      <c r="KPS77" s="2805"/>
      <c r="KPT77" s="2805"/>
      <c r="KPU77" s="2805"/>
      <c r="KPV77" s="2805"/>
      <c r="KPW77" s="2805"/>
      <c r="KPX77" s="2805"/>
      <c r="KPY77" s="2805"/>
      <c r="KPZ77" s="2805"/>
      <c r="KQA77" s="2805"/>
      <c r="KQB77" s="2805"/>
      <c r="KQC77" s="2805"/>
      <c r="KQD77" s="2805"/>
      <c r="KQE77" s="2805"/>
      <c r="KQF77" s="2805"/>
      <c r="KQG77" s="2805"/>
      <c r="KQH77" s="2805"/>
      <c r="KQI77" s="2805"/>
      <c r="KQJ77" s="2805"/>
      <c r="KQK77" s="2805"/>
      <c r="KQL77" s="2805"/>
      <c r="KQM77" s="2805"/>
      <c r="KQN77" s="2805"/>
      <c r="KQO77" s="2805"/>
      <c r="KQP77" s="2805"/>
      <c r="KQQ77" s="2805"/>
      <c r="KQR77" s="2805"/>
      <c r="KQS77" s="2805"/>
      <c r="KQT77" s="2805"/>
      <c r="KQU77" s="2805"/>
      <c r="KQV77" s="2805"/>
      <c r="KQW77" s="2805"/>
      <c r="KQX77" s="2805"/>
      <c r="KQY77" s="2805"/>
      <c r="KQZ77" s="2805"/>
      <c r="KRA77" s="2805"/>
      <c r="KRB77" s="2805"/>
      <c r="KRC77" s="2805"/>
      <c r="KRD77" s="2805"/>
      <c r="KRE77" s="2805"/>
      <c r="KRF77" s="2805"/>
      <c r="KRG77" s="2805"/>
      <c r="KRH77" s="2805"/>
      <c r="KRI77" s="2805"/>
      <c r="KRJ77" s="2805"/>
      <c r="KRK77" s="2805"/>
      <c r="KRL77" s="2805"/>
      <c r="KRM77" s="2805"/>
      <c r="KRN77" s="2805"/>
      <c r="KRO77" s="2805"/>
      <c r="KRP77" s="2805"/>
      <c r="KRQ77" s="2805"/>
      <c r="KRR77" s="2805"/>
      <c r="KRS77" s="2805"/>
      <c r="KRT77" s="2805"/>
      <c r="KRU77" s="2805"/>
      <c r="KRV77" s="2805"/>
      <c r="KRW77" s="2805"/>
      <c r="KRX77" s="2805"/>
      <c r="KRY77" s="2805"/>
      <c r="KRZ77" s="2805"/>
      <c r="KSA77" s="2805"/>
      <c r="KSB77" s="2805"/>
      <c r="KSC77" s="2805"/>
      <c r="KSD77" s="2805"/>
      <c r="KSE77" s="2805"/>
      <c r="KSF77" s="2805"/>
      <c r="KSG77" s="2805"/>
      <c r="KSH77" s="2805"/>
      <c r="KSI77" s="2805"/>
      <c r="KSJ77" s="2805"/>
      <c r="KSK77" s="2805"/>
      <c r="KSL77" s="2805"/>
      <c r="KSM77" s="2805"/>
      <c r="KSN77" s="2805"/>
      <c r="KSO77" s="2805"/>
      <c r="KSP77" s="2805"/>
      <c r="KSQ77" s="2805"/>
      <c r="KSR77" s="2805"/>
      <c r="KSS77" s="2805"/>
      <c r="KST77" s="2805"/>
      <c r="KSU77" s="2805"/>
      <c r="KSV77" s="2805"/>
      <c r="KSW77" s="2805"/>
      <c r="KSX77" s="2805"/>
      <c r="KSY77" s="2805"/>
      <c r="KSZ77" s="2805"/>
      <c r="KTA77" s="2805"/>
      <c r="KTB77" s="2805"/>
      <c r="KTC77" s="2805"/>
      <c r="KTD77" s="2805"/>
      <c r="KTE77" s="2805"/>
      <c r="KTF77" s="2805"/>
      <c r="KTG77" s="2805"/>
      <c r="KTH77" s="2805"/>
      <c r="KTI77" s="2805"/>
      <c r="KTJ77" s="2805"/>
      <c r="KTK77" s="2805"/>
      <c r="KTL77" s="2805"/>
      <c r="KTM77" s="2805"/>
      <c r="KTN77" s="2805"/>
      <c r="KTO77" s="2805"/>
      <c r="KTP77" s="2805"/>
      <c r="KTQ77" s="2805"/>
      <c r="KTR77" s="2805"/>
      <c r="KTS77" s="2805"/>
      <c r="KTT77" s="2805"/>
      <c r="KTU77" s="2805"/>
      <c r="KTV77" s="2805"/>
      <c r="KTW77" s="2805"/>
      <c r="KTX77" s="2805"/>
      <c r="KTY77" s="2805"/>
      <c r="KTZ77" s="2805"/>
      <c r="KUA77" s="2805"/>
      <c r="KUB77" s="2805"/>
      <c r="KUC77" s="2805"/>
      <c r="KUD77" s="2805"/>
      <c r="KUE77" s="2805"/>
      <c r="KUF77" s="2805"/>
      <c r="KUG77" s="2805"/>
      <c r="KUH77" s="2805"/>
      <c r="KUI77" s="2805"/>
      <c r="KUJ77" s="2805"/>
      <c r="KUK77" s="2805"/>
      <c r="KUL77" s="2805"/>
      <c r="KUM77" s="2805"/>
      <c r="KUN77" s="2805"/>
      <c r="KUO77" s="2805"/>
      <c r="KUP77" s="2805"/>
      <c r="KUQ77" s="2805"/>
      <c r="KUR77" s="2805"/>
      <c r="KUS77" s="2805"/>
      <c r="KUT77" s="2805"/>
      <c r="KUU77" s="2805"/>
      <c r="KUV77" s="2805"/>
      <c r="KUW77" s="2805"/>
      <c r="KUX77" s="2805"/>
      <c r="KUY77" s="2805"/>
      <c r="KUZ77" s="2805"/>
      <c r="KVA77" s="2805"/>
      <c r="KVB77" s="2805"/>
      <c r="KVC77" s="2805"/>
      <c r="KVD77" s="2805"/>
      <c r="KVE77" s="2805"/>
      <c r="KVF77" s="2805"/>
      <c r="KVG77" s="2805"/>
      <c r="KVH77" s="2805"/>
      <c r="KVI77" s="2805"/>
      <c r="KVJ77" s="2805"/>
      <c r="KVK77" s="2805"/>
      <c r="KVL77" s="2805"/>
      <c r="KVM77" s="2805"/>
      <c r="KVN77" s="2805"/>
      <c r="KVO77" s="2805"/>
      <c r="KVP77" s="2805"/>
      <c r="KVQ77" s="2805"/>
      <c r="KVR77" s="2805"/>
      <c r="KVS77" s="2805"/>
      <c r="KVT77" s="2805"/>
      <c r="KVU77" s="2805"/>
      <c r="KVV77" s="2805"/>
      <c r="KVW77" s="2805"/>
      <c r="KVX77" s="2805"/>
      <c r="KVY77" s="2805"/>
      <c r="KVZ77" s="2805"/>
      <c r="KWA77" s="2805"/>
      <c r="KWB77" s="2805"/>
      <c r="KWC77" s="2805"/>
      <c r="KWD77" s="2805"/>
      <c r="KWE77" s="2805"/>
      <c r="KWF77" s="2805"/>
      <c r="KWG77" s="2805"/>
      <c r="KWH77" s="2805"/>
      <c r="KWI77" s="2805"/>
      <c r="KWJ77" s="2805"/>
      <c r="KWK77" s="2805"/>
      <c r="KWL77" s="2805"/>
      <c r="KWM77" s="2805"/>
      <c r="KWN77" s="2805"/>
      <c r="KWO77" s="2805"/>
      <c r="KWP77" s="2805"/>
      <c r="KWQ77" s="2805"/>
      <c r="KWR77" s="2805"/>
      <c r="KWS77" s="2805"/>
      <c r="KWT77" s="2805"/>
      <c r="KWU77" s="2805"/>
      <c r="KWV77" s="2805"/>
      <c r="KWW77" s="2805"/>
      <c r="KWX77" s="2805"/>
      <c r="KWY77" s="2805"/>
      <c r="KWZ77" s="2805"/>
      <c r="KXA77" s="2805"/>
      <c r="KXB77" s="2805"/>
      <c r="KXC77" s="2805"/>
      <c r="KXD77" s="2805"/>
      <c r="KXE77" s="2805"/>
      <c r="KXF77" s="2805"/>
      <c r="KXG77" s="2805"/>
      <c r="KXH77" s="2805"/>
      <c r="KXI77" s="2805"/>
      <c r="KXJ77" s="2805"/>
      <c r="KXK77" s="2805"/>
      <c r="KXL77" s="2805"/>
      <c r="KXM77" s="2805"/>
      <c r="KXN77" s="2805"/>
      <c r="KXO77" s="2805"/>
      <c r="KXP77" s="2805"/>
      <c r="KXQ77" s="2805"/>
      <c r="KXR77" s="2805"/>
      <c r="KXS77" s="2805"/>
      <c r="KXT77" s="2805"/>
      <c r="KXU77" s="2805"/>
      <c r="KXV77" s="2805"/>
      <c r="KXW77" s="2805"/>
      <c r="KXX77" s="2805"/>
      <c r="KXY77" s="2805"/>
      <c r="KXZ77" s="2805"/>
      <c r="KYA77" s="2805"/>
      <c r="KYB77" s="2805"/>
      <c r="KYC77" s="2805"/>
      <c r="KYD77" s="2805"/>
      <c r="KYE77" s="2805"/>
      <c r="KYF77" s="2805"/>
      <c r="KYG77" s="2805"/>
      <c r="KYH77" s="2805"/>
      <c r="KYI77" s="2805"/>
      <c r="KYJ77" s="2805"/>
      <c r="KYK77" s="2805"/>
      <c r="KYL77" s="2805"/>
      <c r="KYM77" s="2805"/>
      <c r="KYN77" s="2805"/>
      <c r="KYO77" s="2805"/>
      <c r="KYP77" s="2805"/>
      <c r="KYQ77" s="2805"/>
      <c r="KYR77" s="2805"/>
      <c r="KYS77" s="2805"/>
      <c r="KYT77" s="2805"/>
      <c r="KYU77" s="2805"/>
      <c r="KYV77" s="2805"/>
      <c r="KYW77" s="2805"/>
      <c r="KYX77" s="2805"/>
      <c r="KYY77" s="2805"/>
      <c r="KYZ77" s="2805"/>
      <c r="KZA77" s="2805"/>
      <c r="KZB77" s="2805"/>
      <c r="KZC77" s="2805"/>
      <c r="KZD77" s="2805"/>
      <c r="KZE77" s="2805"/>
      <c r="KZF77" s="2805"/>
      <c r="KZG77" s="2805"/>
      <c r="KZH77" s="2805"/>
      <c r="KZI77" s="2805"/>
      <c r="KZJ77" s="2805"/>
      <c r="KZK77" s="2805"/>
      <c r="KZL77" s="2805"/>
      <c r="KZM77" s="2805"/>
      <c r="KZN77" s="2805"/>
      <c r="KZO77" s="2805"/>
      <c r="KZP77" s="2805"/>
      <c r="KZQ77" s="2805"/>
      <c r="KZR77" s="2805"/>
      <c r="KZS77" s="2805"/>
      <c r="KZT77" s="2805"/>
      <c r="KZU77" s="2805"/>
      <c r="KZV77" s="2805"/>
      <c r="KZW77" s="2805"/>
      <c r="KZX77" s="2805"/>
      <c r="KZY77" s="2805"/>
      <c r="KZZ77" s="2805"/>
      <c r="LAA77" s="2805"/>
      <c r="LAB77" s="2805"/>
      <c r="LAC77" s="2805"/>
      <c r="LAD77" s="2805"/>
      <c r="LAE77" s="2805"/>
      <c r="LAF77" s="2805"/>
      <c r="LAG77" s="2805"/>
      <c r="LAH77" s="2805"/>
      <c r="LAI77" s="2805"/>
      <c r="LAJ77" s="2805"/>
      <c r="LAK77" s="2805"/>
      <c r="LAL77" s="2805"/>
      <c r="LAM77" s="2805"/>
      <c r="LAN77" s="2805"/>
      <c r="LAO77" s="2805"/>
      <c r="LAP77" s="2805"/>
      <c r="LAQ77" s="2805"/>
      <c r="LAR77" s="2805"/>
      <c r="LAS77" s="2805"/>
      <c r="LAT77" s="2805"/>
      <c r="LAU77" s="2805"/>
      <c r="LAV77" s="2805"/>
      <c r="LAW77" s="2805"/>
      <c r="LAX77" s="2805"/>
      <c r="LAY77" s="2805"/>
      <c r="LAZ77" s="2805"/>
      <c r="LBA77" s="2805"/>
      <c r="LBB77" s="2805"/>
      <c r="LBC77" s="2805"/>
      <c r="LBD77" s="2805"/>
      <c r="LBE77" s="2805"/>
      <c r="LBF77" s="2805"/>
      <c r="LBG77" s="2805"/>
      <c r="LBH77" s="2805"/>
      <c r="LBI77" s="2805"/>
      <c r="LBJ77" s="2805"/>
      <c r="LBK77" s="2805"/>
      <c r="LBL77" s="2805"/>
      <c r="LBM77" s="2805"/>
      <c r="LBN77" s="2805"/>
      <c r="LBO77" s="2805"/>
      <c r="LBP77" s="2805"/>
      <c r="LBQ77" s="2805"/>
      <c r="LBR77" s="2805"/>
      <c r="LBS77" s="2805"/>
      <c r="LBT77" s="2805"/>
      <c r="LBU77" s="2805"/>
      <c r="LBV77" s="2805"/>
      <c r="LBW77" s="2805"/>
      <c r="LBX77" s="2805"/>
      <c r="LBY77" s="2805"/>
      <c r="LBZ77" s="2805"/>
      <c r="LCA77" s="2805"/>
      <c r="LCB77" s="2805"/>
      <c r="LCC77" s="2805"/>
      <c r="LCD77" s="2805"/>
      <c r="LCE77" s="2805"/>
      <c r="LCF77" s="2805"/>
      <c r="LCG77" s="2805"/>
      <c r="LCH77" s="2805"/>
      <c r="LCI77" s="2805"/>
      <c r="LCJ77" s="2805"/>
      <c r="LCK77" s="2805"/>
      <c r="LCL77" s="2805"/>
      <c r="LCM77" s="2805"/>
      <c r="LCN77" s="2805"/>
      <c r="LCO77" s="2805"/>
      <c r="LCP77" s="2805"/>
      <c r="LCQ77" s="2805"/>
      <c r="LCR77" s="2805"/>
      <c r="LCS77" s="2805"/>
      <c r="LCT77" s="2805"/>
      <c r="LCU77" s="2805"/>
      <c r="LCV77" s="2805"/>
      <c r="LCW77" s="2805"/>
      <c r="LCX77" s="2805"/>
      <c r="LCY77" s="2805"/>
      <c r="LCZ77" s="2805"/>
      <c r="LDA77" s="2805"/>
      <c r="LDB77" s="2805"/>
      <c r="LDC77" s="2805"/>
      <c r="LDD77" s="2805"/>
      <c r="LDE77" s="2805"/>
      <c r="LDF77" s="2805"/>
      <c r="LDG77" s="2805"/>
      <c r="LDH77" s="2805"/>
      <c r="LDI77" s="2805"/>
      <c r="LDJ77" s="2805"/>
      <c r="LDK77" s="2805"/>
      <c r="LDL77" s="2805"/>
      <c r="LDM77" s="2805"/>
      <c r="LDN77" s="2805"/>
      <c r="LDO77" s="2805"/>
      <c r="LDP77" s="2805"/>
      <c r="LDQ77" s="2805"/>
      <c r="LDR77" s="2805"/>
      <c r="LDS77" s="2805"/>
      <c r="LDT77" s="2805"/>
      <c r="LDU77" s="2805"/>
      <c r="LDV77" s="2805"/>
      <c r="LDW77" s="2805"/>
      <c r="LDX77" s="2805"/>
      <c r="LDY77" s="2805"/>
      <c r="LDZ77" s="2805"/>
      <c r="LEA77" s="2805"/>
      <c r="LEB77" s="2805"/>
      <c r="LEC77" s="2805"/>
      <c r="LED77" s="2805"/>
      <c r="LEE77" s="2805"/>
      <c r="LEF77" s="2805"/>
      <c r="LEG77" s="2805"/>
      <c r="LEH77" s="2805"/>
      <c r="LEI77" s="2805"/>
      <c r="LEJ77" s="2805"/>
      <c r="LEK77" s="2805"/>
      <c r="LEL77" s="2805"/>
      <c r="LEM77" s="2805"/>
      <c r="LEN77" s="2805"/>
      <c r="LEO77" s="2805"/>
      <c r="LEP77" s="2805"/>
      <c r="LEQ77" s="2805"/>
      <c r="LER77" s="2805"/>
      <c r="LES77" s="2805"/>
      <c r="LET77" s="2805"/>
      <c r="LEU77" s="2805"/>
      <c r="LEV77" s="2805"/>
      <c r="LEW77" s="2805"/>
      <c r="LEX77" s="2805"/>
      <c r="LEY77" s="2805"/>
      <c r="LEZ77" s="2805"/>
      <c r="LFA77" s="2805"/>
      <c r="LFB77" s="2805"/>
      <c r="LFC77" s="2805"/>
      <c r="LFD77" s="2805"/>
      <c r="LFE77" s="2805"/>
      <c r="LFF77" s="2805"/>
      <c r="LFG77" s="2805"/>
      <c r="LFH77" s="2805"/>
      <c r="LFI77" s="2805"/>
      <c r="LFJ77" s="2805"/>
      <c r="LFK77" s="2805"/>
      <c r="LFL77" s="2805"/>
      <c r="LFM77" s="2805"/>
      <c r="LFN77" s="2805"/>
      <c r="LFO77" s="2805"/>
      <c r="LFP77" s="2805"/>
      <c r="LFQ77" s="2805"/>
      <c r="LFR77" s="2805"/>
      <c r="LFS77" s="2805"/>
      <c r="LFT77" s="2805"/>
      <c r="LFU77" s="2805"/>
      <c r="LFV77" s="2805"/>
      <c r="LFW77" s="2805"/>
      <c r="LFX77" s="2805"/>
      <c r="LFY77" s="2805"/>
      <c r="LFZ77" s="2805"/>
      <c r="LGA77" s="2805"/>
      <c r="LGB77" s="2805"/>
      <c r="LGC77" s="2805"/>
      <c r="LGD77" s="2805"/>
      <c r="LGE77" s="2805"/>
      <c r="LGF77" s="2805"/>
      <c r="LGG77" s="2805"/>
      <c r="LGH77" s="2805"/>
      <c r="LGI77" s="2805"/>
      <c r="LGJ77" s="2805"/>
      <c r="LGK77" s="2805"/>
      <c r="LGL77" s="2805"/>
      <c r="LGM77" s="2805"/>
      <c r="LGN77" s="2805"/>
      <c r="LGO77" s="2805"/>
      <c r="LGP77" s="2805"/>
      <c r="LGQ77" s="2805"/>
      <c r="LGR77" s="2805"/>
      <c r="LGS77" s="2805"/>
      <c r="LGT77" s="2805"/>
      <c r="LGU77" s="2805"/>
      <c r="LGV77" s="2805"/>
      <c r="LGW77" s="2805"/>
      <c r="LGX77" s="2805"/>
      <c r="LGY77" s="2805"/>
      <c r="LGZ77" s="2805"/>
      <c r="LHA77" s="2805"/>
      <c r="LHB77" s="2805"/>
      <c r="LHC77" s="2805"/>
      <c r="LHD77" s="2805"/>
      <c r="LHE77" s="2805"/>
      <c r="LHF77" s="2805"/>
      <c r="LHG77" s="2805"/>
      <c r="LHH77" s="2805"/>
      <c r="LHI77" s="2805"/>
      <c r="LHJ77" s="2805"/>
      <c r="LHK77" s="2805"/>
      <c r="LHL77" s="2805"/>
      <c r="LHM77" s="2805"/>
      <c r="LHN77" s="2805"/>
      <c r="LHO77" s="2805"/>
      <c r="LHP77" s="2805"/>
      <c r="LHQ77" s="2805"/>
      <c r="LHR77" s="2805"/>
      <c r="LHS77" s="2805"/>
      <c r="LHT77" s="2805"/>
      <c r="LHU77" s="2805"/>
      <c r="LHV77" s="2805"/>
      <c r="LHW77" s="2805"/>
      <c r="LHX77" s="2805"/>
      <c r="LHY77" s="2805"/>
      <c r="LHZ77" s="2805"/>
      <c r="LIA77" s="2805"/>
      <c r="LIB77" s="2805"/>
      <c r="LIC77" s="2805"/>
      <c r="LID77" s="2805"/>
      <c r="LIE77" s="2805"/>
      <c r="LIF77" s="2805"/>
      <c r="LIG77" s="2805"/>
      <c r="LIH77" s="2805"/>
      <c r="LII77" s="2805"/>
      <c r="LIJ77" s="2805"/>
      <c r="LIK77" s="2805"/>
      <c r="LIL77" s="2805"/>
      <c r="LIM77" s="2805"/>
      <c r="LIN77" s="2805"/>
      <c r="LIO77" s="2805"/>
      <c r="LIP77" s="2805"/>
      <c r="LIQ77" s="2805"/>
      <c r="LIR77" s="2805"/>
      <c r="LIS77" s="2805"/>
      <c r="LIT77" s="2805"/>
      <c r="LIU77" s="2805"/>
      <c r="LIV77" s="2805"/>
      <c r="LIW77" s="2805"/>
      <c r="LIX77" s="2805"/>
      <c r="LIY77" s="2805"/>
      <c r="LIZ77" s="2805"/>
      <c r="LJA77" s="2805"/>
      <c r="LJB77" s="2805"/>
      <c r="LJC77" s="2805"/>
      <c r="LJD77" s="2805"/>
      <c r="LJE77" s="2805"/>
      <c r="LJF77" s="2805"/>
      <c r="LJG77" s="2805"/>
      <c r="LJH77" s="2805"/>
      <c r="LJI77" s="2805"/>
      <c r="LJJ77" s="2805"/>
      <c r="LJK77" s="2805"/>
      <c r="LJL77" s="2805"/>
      <c r="LJM77" s="2805"/>
      <c r="LJN77" s="2805"/>
      <c r="LJO77" s="2805"/>
      <c r="LJP77" s="2805"/>
      <c r="LJQ77" s="2805"/>
      <c r="LJR77" s="2805"/>
      <c r="LJS77" s="2805"/>
      <c r="LJT77" s="2805"/>
      <c r="LJU77" s="2805"/>
      <c r="LJV77" s="2805"/>
      <c r="LJW77" s="2805"/>
      <c r="LJX77" s="2805"/>
      <c r="LJY77" s="2805"/>
      <c r="LJZ77" s="2805"/>
      <c r="LKA77" s="2805"/>
      <c r="LKB77" s="2805"/>
      <c r="LKC77" s="2805"/>
      <c r="LKD77" s="2805"/>
      <c r="LKE77" s="2805"/>
      <c r="LKF77" s="2805"/>
      <c r="LKG77" s="2805"/>
      <c r="LKH77" s="2805"/>
      <c r="LKI77" s="2805"/>
      <c r="LKJ77" s="2805"/>
      <c r="LKK77" s="2805"/>
      <c r="LKL77" s="2805"/>
      <c r="LKM77" s="2805"/>
      <c r="LKN77" s="2805"/>
      <c r="LKO77" s="2805"/>
      <c r="LKP77" s="2805"/>
      <c r="LKQ77" s="2805"/>
      <c r="LKR77" s="2805"/>
      <c r="LKS77" s="2805"/>
      <c r="LKT77" s="2805"/>
      <c r="LKU77" s="2805"/>
      <c r="LKV77" s="2805"/>
      <c r="LKW77" s="2805"/>
      <c r="LKX77" s="2805"/>
      <c r="LKY77" s="2805"/>
      <c r="LKZ77" s="2805"/>
      <c r="LLA77" s="2805"/>
      <c r="LLB77" s="2805"/>
      <c r="LLC77" s="2805"/>
      <c r="LLD77" s="2805"/>
      <c r="LLE77" s="2805"/>
      <c r="LLF77" s="2805"/>
      <c r="LLG77" s="2805"/>
      <c r="LLH77" s="2805"/>
      <c r="LLI77" s="2805"/>
      <c r="LLJ77" s="2805"/>
      <c r="LLK77" s="2805"/>
      <c r="LLL77" s="2805"/>
      <c r="LLM77" s="2805"/>
      <c r="LLN77" s="2805"/>
      <c r="LLO77" s="2805"/>
      <c r="LLP77" s="2805"/>
      <c r="LLQ77" s="2805"/>
      <c r="LLR77" s="2805"/>
      <c r="LLS77" s="2805"/>
      <c r="LLT77" s="2805"/>
      <c r="LLU77" s="2805"/>
      <c r="LLV77" s="2805"/>
      <c r="LLW77" s="2805"/>
      <c r="LLX77" s="2805"/>
      <c r="LLY77" s="2805"/>
      <c r="LLZ77" s="2805"/>
      <c r="LMA77" s="2805"/>
      <c r="LMB77" s="2805"/>
      <c r="LMC77" s="2805"/>
      <c r="LMD77" s="2805"/>
      <c r="LME77" s="2805"/>
      <c r="LMF77" s="2805"/>
      <c r="LMG77" s="2805"/>
      <c r="LMH77" s="2805"/>
      <c r="LMI77" s="2805"/>
      <c r="LMJ77" s="2805"/>
      <c r="LMK77" s="2805"/>
      <c r="LML77" s="2805"/>
      <c r="LMM77" s="2805"/>
      <c r="LMN77" s="2805"/>
      <c r="LMO77" s="2805"/>
      <c r="LMP77" s="2805"/>
      <c r="LMQ77" s="2805"/>
      <c r="LMR77" s="2805"/>
      <c r="LMS77" s="2805"/>
      <c r="LMT77" s="2805"/>
      <c r="LMU77" s="2805"/>
      <c r="LMV77" s="2805"/>
      <c r="LMW77" s="2805"/>
      <c r="LMX77" s="2805"/>
      <c r="LMY77" s="2805"/>
      <c r="LMZ77" s="2805"/>
      <c r="LNA77" s="2805"/>
      <c r="LNB77" s="2805"/>
      <c r="LNC77" s="2805"/>
      <c r="LND77" s="2805"/>
      <c r="LNE77" s="2805"/>
      <c r="LNF77" s="2805"/>
      <c r="LNG77" s="2805"/>
      <c r="LNH77" s="2805"/>
      <c r="LNI77" s="2805"/>
      <c r="LNJ77" s="2805"/>
      <c r="LNK77" s="2805"/>
      <c r="LNL77" s="2805"/>
      <c r="LNM77" s="2805"/>
      <c r="LNN77" s="2805"/>
      <c r="LNO77" s="2805"/>
      <c r="LNP77" s="2805"/>
      <c r="LNQ77" s="2805"/>
      <c r="LNR77" s="2805"/>
      <c r="LNS77" s="2805"/>
      <c r="LNT77" s="2805"/>
      <c r="LNU77" s="2805"/>
      <c r="LNV77" s="2805"/>
      <c r="LNW77" s="2805"/>
      <c r="LNX77" s="2805"/>
      <c r="LNY77" s="2805"/>
      <c r="LNZ77" s="2805"/>
      <c r="LOA77" s="2805"/>
      <c r="LOB77" s="2805"/>
      <c r="LOC77" s="2805"/>
      <c r="LOD77" s="2805"/>
      <c r="LOE77" s="2805"/>
      <c r="LOF77" s="2805"/>
      <c r="LOG77" s="2805"/>
      <c r="LOH77" s="2805"/>
      <c r="LOI77" s="2805"/>
      <c r="LOJ77" s="2805"/>
      <c r="LOK77" s="2805"/>
      <c r="LOL77" s="2805"/>
      <c r="LOM77" s="2805"/>
      <c r="LON77" s="2805"/>
      <c r="LOO77" s="2805"/>
      <c r="LOP77" s="2805"/>
      <c r="LOQ77" s="2805"/>
      <c r="LOR77" s="2805"/>
      <c r="LOS77" s="2805"/>
      <c r="LOT77" s="2805"/>
      <c r="LOU77" s="2805"/>
      <c r="LOV77" s="2805"/>
      <c r="LOW77" s="2805"/>
      <c r="LOX77" s="2805"/>
      <c r="LOY77" s="2805"/>
      <c r="LOZ77" s="2805"/>
      <c r="LPA77" s="2805"/>
      <c r="LPB77" s="2805"/>
      <c r="LPC77" s="2805"/>
      <c r="LPD77" s="2805"/>
      <c r="LPE77" s="2805"/>
      <c r="LPF77" s="2805"/>
      <c r="LPG77" s="2805"/>
      <c r="LPH77" s="2805"/>
      <c r="LPI77" s="2805"/>
      <c r="LPJ77" s="2805"/>
      <c r="LPK77" s="2805"/>
      <c r="LPL77" s="2805"/>
      <c r="LPM77" s="2805"/>
      <c r="LPN77" s="2805"/>
      <c r="LPO77" s="2805"/>
      <c r="LPP77" s="2805"/>
      <c r="LPQ77" s="2805"/>
      <c r="LPR77" s="2805"/>
      <c r="LPS77" s="2805"/>
      <c r="LPT77" s="2805"/>
      <c r="LPU77" s="2805"/>
      <c r="LPV77" s="2805"/>
      <c r="LPW77" s="2805"/>
      <c r="LPX77" s="2805"/>
      <c r="LPY77" s="2805"/>
      <c r="LPZ77" s="2805"/>
      <c r="LQA77" s="2805"/>
      <c r="LQB77" s="2805"/>
      <c r="LQC77" s="2805"/>
      <c r="LQD77" s="2805"/>
      <c r="LQE77" s="2805"/>
      <c r="LQF77" s="2805"/>
      <c r="LQG77" s="2805"/>
      <c r="LQH77" s="2805"/>
      <c r="LQI77" s="2805"/>
      <c r="LQJ77" s="2805"/>
      <c r="LQK77" s="2805"/>
      <c r="LQL77" s="2805"/>
      <c r="LQM77" s="2805"/>
      <c r="LQN77" s="2805"/>
      <c r="LQO77" s="2805"/>
      <c r="LQP77" s="2805"/>
      <c r="LQQ77" s="2805"/>
      <c r="LQR77" s="2805"/>
      <c r="LQS77" s="2805"/>
      <c r="LQT77" s="2805"/>
      <c r="LQU77" s="2805"/>
      <c r="LQV77" s="2805"/>
      <c r="LQW77" s="2805"/>
      <c r="LQX77" s="2805"/>
      <c r="LQY77" s="2805"/>
      <c r="LQZ77" s="2805"/>
      <c r="LRA77" s="2805"/>
      <c r="LRB77" s="2805"/>
      <c r="LRC77" s="2805"/>
      <c r="LRD77" s="2805"/>
      <c r="LRE77" s="2805"/>
      <c r="LRF77" s="2805"/>
      <c r="LRG77" s="2805"/>
      <c r="LRH77" s="2805"/>
      <c r="LRI77" s="2805"/>
      <c r="LRJ77" s="2805"/>
      <c r="LRK77" s="2805"/>
      <c r="LRL77" s="2805"/>
      <c r="LRM77" s="2805"/>
      <c r="LRN77" s="2805"/>
      <c r="LRO77" s="2805"/>
      <c r="LRP77" s="2805"/>
      <c r="LRQ77" s="2805"/>
      <c r="LRR77" s="2805"/>
      <c r="LRS77" s="2805"/>
      <c r="LRT77" s="2805"/>
      <c r="LRU77" s="2805"/>
      <c r="LRV77" s="2805"/>
      <c r="LRW77" s="2805"/>
      <c r="LRX77" s="2805"/>
      <c r="LRY77" s="2805"/>
      <c r="LRZ77" s="2805"/>
      <c r="LSA77" s="2805"/>
      <c r="LSB77" s="2805"/>
      <c r="LSC77" s="2805"/>
      <c r="LSD77" s="2805"/>
      <c r="LSE77" s="2805"/>
      <c r="LSF77" s="2805"/>
      <c r="LSG77" s="2805"/>
      <c r="LSH77" s="2805"/>
      <c r="LSI77" s="2805"/>
      <c r="LSJ77" s="2805"/>
      <c r="LSK77" s="2805"/>
      <c r="LSL77" s="2805"/>
      <c r="LSM77" s="2805"/>
      <c r="LSN77" s="2805"/>
      <c r="LSO77" s="2805"/>
      <c r="LSP77" s="2805"/>
      <c r="LSQ77" s="2805"/>
      <c r="LSR77" s="2805"/>
      <c r="LSS77" s="2805"/>
      <c r="LST77" s="2805"/>
      <c r="LSU77" s="2805"/>
      <c r="LSV77" s="2805"/>
      <c r="LSW77" s="2805"/>
      <c r="LSX77" s="2805"/>
      <c r="LSY77" s="2805"/>
      <c r="LSZ77" s="2805"/>
      <c r="LTA77" s="2805"/>
      <c r="LTB77" s="2805"/>
      <c r="LTC77" s="2805"/>
      <c r="LTD77" s="2805"/>
      <c r="LTE77" s="2805"/>
      <c r="LTF77" s="2805"/>
      <c r="LTG77" s="2805"/>
      <c r="LTH77" s="2805"/>
      <c r="LTI77" s="2805"/>
      <c r="LTJ77" s="2805"/>
      <c r="LTK77" s="2805"/>
      <c r="LTL77" s="2805"/>
      <c r="LTM77" s="2805"/>
      <c r="LTN77" s="2805"/>
      <c r="LTO77" s="2805"/>
      <c r="LTP77" s="2805"/>
      <c r="LTQ77" s="2805"/>
      <c r="LTR77" s="2805"/>
      <c r="LTS77" s="2805"/>
      <c r="LTT77" s="2805"/>
      <c r="LTU77" s="2805"/>
      <c r="LTV77" s="2805"/>
      <c r="LTW77" s="2805"/>
      <c r="LTX77" s="2805"/>
      <c r="LTY77" s="2805"/>
      <c r="LTZ77" s="2805"/>
      <c r="LUA77" s="2805"/>
      <c r="LUB77" s="2805"/>
      <c r="LUC77" s="2805"/>
      <c r="LUD77" s="2805"/>
      <c r="LUE77" s="2805"/>
      <c r="LUF77" s="2805"/>
      <c r="LUG77" s="2805"/>
      <c r="LUH77" s="2805"/>
      <c r="LUI77" s="2805"/>
      <c r="LUJ77" s="2805"/>
      <c r="LUK77" s="2805"/>
      <c r="LUL77" s="2805"/>
      <c r="LUM77" s="2805"/>
      <c r="LUN77" s="2805"/>
      <c r="LUO77" s="2805"/>
      <c r="LUP77" s="2805"/>
      <c r="LUQ77" s="2805"/>
      <c r="LUR77" s="2805"/>
      <c r="LUS77" s="2805"/>
      <c r="LUT77" s="2805"/>
      <c r="LUU77" s="2805"/>
      <c r="LUV77" s="2805"/>
      <c r="LUW77" s="2805"/>
      <c r="LUX77" s="2805"/>
      <c r="LUY77" s="2805"/>
      <c r="LUZ77" s="2805"/>
      <c r="LVA77" s="2805"/>
      <c r="LVB77" s="2805"/>
      <c r="LVC77" s="2805"/>
      <c r="LVD77" s="2805"/>
      <c r="LVE77" s="2805"/>
      <c r="LVF77" s="2805"/>
      <c r="LVG77" s="2805"/>
      <c r="LVH77" s="2805"/>
      <c r="LVI77" s="2805"/>
      <c r="LVJ77" s="2805"/>
      <c r="LVK77" s="2805"/>
      <c r="LVL77" s="2805"/>
      <c r="LVM77" s="2805"/>
      <c r="LVN77" s="2805"/>
      <c r="LVO77" s="2805"/>
      <c r="LVP77" s="2805"/>
      <c r="LVQ77" s="2805"/>
      <c r="LVR77" s="2805"/>
      <c r="LVS77" s="2805"/>
      <c r="LVT77" s="2805"/>
      <c r="LVU77" s="2805"/>
      <c r="LVV77" s="2805"/>
      <c r="LVW77" s="2805"/>
      <c r="LVX77" s="2805"/>
      <c r="LVY77" s="2805"/>
      <c r="LVZ77" s="2805"/>
      <c r="LWA77" s="2805"/>
      <c r="LWB77" s="2805"/>
      <c r="LWC77" s="2805"/>
      <c r="LWD77" s="2805"/>
      <c r="LWE77" s="2805"/>
      <c r="LWF77" s="2805"/>
      <c r="LWG77" s="2805"/>
      <c r="LWH77" s="2805"/>
      <c r="LWI77" s="2805"/>
      <c r="LWJ77" s="2805"/>
      <c r="LWK77" s="2805"/>
      <c r="LWL77" s="2805"/>
      <c r="LWM77" s="2805"/>
      <c r="LWN77" s="2805"/>
      <c r="LWO77" s="2805"/>
      <c r="LWP77" s="2805"/>
      <c r="LWQ77" s="2805"/>
      <c r="LWR77" s="2805"/>
      <c r="LWS77" s="2805"/>
      <c r="LWT77" s="2805"/>
      <c r="LWU77" s="2805"/>
      <c r="LWV77" s="2805"/>
      <c r="LWW77" s="2805"/>
      <c r="LWX77" s="2805"/>
      <c r="LWY77" s="2805"/>
      <c r="LWZ77" s="2805"/>
      <c r="LXA77" s="2805"/>
      <c r="LXB77" s="2805"/>
      <c r="LXC77" s="2805"/>
      <c r="LXD77" s="2805"/>
      <c r="LXE77" s="2805"/>
      <c r="LXF77" s="2805"/>
      <c r="LXG77" s="2805"/>
      <c r="LXH77" s="2805"/>
      <c r="LXI77" s="2805"/>
      <c r="LXJ77" s="2805"/>
      <c r="LXK77" s="2805"/>
      <c r="LXL77" s="2805"/>
      <c r="LXM77" s="2805"/>
      <c r="LXN77" s="2805"/>
      <c r="LXO77" s="2805"/>
      <c r="LXP77" s="2805"/>
      <c r="LXQ77" s="2805"/>
      <c r="LXR77" s="2805"/>
      <c r="LXS77" s="2805"/>
      <c r="LXT77" s="2805"/>
      <c r="LXU77" s="2805"/>
      <c r="LXV77" s="2805"/>
      <c r="LXW77" s="2805"/>
      <c r="LXX77" s="2805"/>
      <c r="LXY77" s="2805"/>
      <c r="LXZ77" s="2805"/>
      <c r="LYA77" s="2805"/>
      <c r="LYB77" s="2805"/>
      <c r="LYC77" s="2805"/>
      <c r="LYD77" s="2805"/>
      <c r="LYE77" s="2805"/>
      <c r="LYF77" s="2805"/>
      <c r="LYG77" s="2805"/>
      <c r="LYH77" s="2805"/>
      <c r="LYI77" s="2805"/>
      <c r="LYJ77" s="2805"/>
      <c r="LYK77" s="2805"/>
      <c r="LYL77" s="2805"/>
      <c r="LYM77" s="2805"/>
      <c r="LYN77" s="2805"/>
      <c r="LYO77" s="2805"/>
      <c r="LYP77" s="2805"/>
      <c r="LYQ77" s="2805"/>
      <c r="LYR77" s="2805"/>
      <c r="LYS77" s="2805"/>
      <c r="LYT77" s="2805"/>
      <c r="LYU77" s="2805"/>
      <c r="LYV77" s="2805"/>
      <c r="LYW77" s="2805"/>
      <c r="LYX77" s="2805"/>
      <c r="LYY77" s="2805"/>
      <c r="LYZ77" s="2805"/>
      <c r="LZA77" s="2805"/>
      <c r="LZB77" s="2805"/>
      <c r="LZC77" s="2805"/>
      <c r="LZD77" s="2805"/>
      <c r="LZE77" s="2805"/>
      <c r="LZF77" s="2805"/>
      <c r="LZG77" s="2805"/>
      <c r="LZH77" s="2805"/>
      <c r="LZI77" s="2805"/>
      <c r="LZJ77" s="2805"/>
      <c r="LZK77" s="2805"/>
      <c r="LZL77" s="2805"/>
      <c r="LZM77" s="2805"/>
      <c r="LZN77" s="2805"/>
      <c r="LZO77" s="2805"/>
      <c r="LZP77" s="2805"/>
      <c r="LZQ77" s="2805"/>
      <c r="LZR77" s="2805"/>
      <c r="LZS77" s="2805"/>
      <c r="LZT77" s="2805"/>
      <c r="LZU77" s="2805"/>
      <c r="LZV77" s="2805"/>
      <c r="LZW77" s="2805"/>
      <c r="LZX77" s="2805"/>
      <c r="LZY77" s="2805"/>
      <c r="LZZ77" s="2805"/>
      <c r="MAA77" s="2805"/>
      <c r="MAB77" s="2805"/>
      <c r="MAC77" s="2805"/>
      <c r="MAD77" s="2805"/>
      <c r="MAE77" s="2805"/>
      <c r="MAF77" s="2805"/>
      <c r="MAG77" s="2805"/>
      <c r="MAH77" s="2805"/>
      <c r="MAI77" s="2805"/>
      <c r="MAJ77" s="2805"/>
      <c r="MAK77" s="2805"/>
      <c r="MAL77" s="2805"/>
      <c r="MAM77" s="2805"/>
      <c r="MAN77" s="2805"/>
      <c r="MAO77" s="2805"/>
      <c r="MAP77" s="2805"/>
      <c r="MAQ77" s="2805"/>
      <c r="MAR77" s="2805"/>
      <c r="MAS77" s="2805"/>
      <c r="MAT77" s="2805"/>
      <c r="MAU77" s="2805"/>
      <c r="MAV77" s="2805"/>
      <c r="MAW77" s="2805"/>
      <c r="MAX77" s="2805"/>
      <c r="MAY77" s="2805"/>
      <c r="MAZ77" s="2805"/>
      <c r="MBA77" s="2805"/>
      <c r="MBB77" s="2805"/>
      <c r="MBC77" s="2805"/>
      <c r="MBD77" s="2805"/>
      <c r="MBE77" s="2805"/>
      <c r="MBF77" s="2805"/>
      <c r="MBG77" s="2805"/>
      <c r="MBH77" s="2805"/>
      <c r="MBI77" s="2805"/>
      <c r="MBJ77" s="2805"/>
      <c r="MBK77" s="2805"/>
      <c r="MBL77" s="2805"/>
      <c r="MBM77" s="2805"/>
      <c r="MBN77" s="2805"/>
      <c r="MBO77" s="2805"/>
      <c r="MBP77" s="2805"/>
      <c r="MBQ77" s="2805"/>
      <c r="MBR77" s="2805"/>
      <c r="MBS77" s="2805"/>
      <c r="MBT77" s="2805"/>
      <c r="MBU77" s="2805"/>
      <c r="MBV77" s="2805"/>
      <c r="MBW77" s="2805"/>
      <c r="MBX77" s="2805"/>
      <c r="MBY77" s="2805"/>
      <c r="MBZ77" s="2805"/>
      <c r="MCA77" s="2805"/>
      <c r="MCB77" s="2805"/>
      <c r="MCC77" s="2805"/>
      <c r="MCD77" s="2805"/>
      <c r="MCE77" s="2805"/>
      <c r="MCF77" s="2805"/>
      <c r="MCG77" s="2805"/>
      <c r="MCH77" s="2805"/>
      <c r="MCI77" s="2805"/>
      <c r="MCJ77" s="2805"/>
      <c r="MCK77" s="2805"/>
      <c r="MCL77" s="2805"/>
      <c r="MCM77" s="2805"/>
      <c r="MCN77" s="2805"/>
      <c r="MCO77" s="2805"/>
      <c r="MCP77" s="2805"/>
      <c r="MCQ77" s="2805"/>
      <c r="MCR77" s="2805"/>
      <c r="MCS77" s="2805"/>
      <c r="MCT77" s="2805"/>
      <c r="MCU77" s="2805"/>
      <c r="MCV77" s="2805"/>
      <c r="MCW77" s="2805"/>
      <c r="MCX77" s="2805"/>
      <c r="MCY77" s="2805"/>
      <c r="MCZ77" s="2805"/>
      <c r="MDA77" s="2805"/>
      <c r="MDB77" s="2805"/>
      <c r="MDC77" s="2805"/>
      <c r="MDD77" s="2805"/>
      <c r="MDE77" s="2805"/>
      <c r="MDF77" s="2805"/>
      <c r="MDG77" s="2805"/>
      <c r="MDH77" s="2805"/>
      <c r="MDI77" s="2805"/>
      <c r="MDJ77" s="2805"/>
      <c r="MDK77" s="2805"/>
      <c r="MDL77" s="2805"/>
      <c r="MDM77" s="2805"/>
      <c r="MDN77" s="2805"/>
      <c r="MDO77" s="2805"/>
      <c r="MDP77" s="2805"/>
      <c r="MDQ77" s="2805"/>
      <c r="MDR77" s="2805"/>
      <c r="MDS77" s="2805"/>
      <c r="MDT77" s="2805"/>
      <c r="MDU77" s="2805"/>
      <c r="MDV77" s="2805"/>
      <c r="MDW77" s="2805"/>
      <c r="MDX77" s="2805"/>
      <c r="MDY77" s="2805"/>
      <c r="MDZ77" s="2805"/>
      <c r="MEA77" s="2805"/>
      <c r="MEB77" s="2805"/>
      <c r="MEC77" s="2805"/>
      <c r="MED77" s="2805"/>
      <c r="MEE77" s="2805"/>
      <c r="MEF77" s="2805"/>
      <c r="MEG77" s="2805"/>
      <c r="MEH77" s="2805"/>
      <c r="MEI77" s="2805"/>
      <c r="MEJ77" s="2805"/>
      <c r="MEK77" s="2805"/>
      <c r="MEL77" s="2805"/>
      <c r="MEM77" s="2805"/>
      <c r="MEN77" s="2805"/>
      <c r="MEO77" s="2805"/>
      <c r="MEP77" s="2805"/>
      <c r="MEQ77" s="2805"/>
      <c r="MER77" s="2805"/>
      <c r="MES77" s="2805"/>
      <c r="MET77" s="2805"/>
      <c r="MEU77" s="2805"/>
      <c r="MEV77" s="2805"/>
      <c r="MEW77" s="2805"/>
      <c r="MEX77" s="2805"/>
      <c r="MEY77" s="2805"/>
      <c r="MEZ77" s="2805"/>
      <c r="MFA77" s="2805"/>
      <c r="MFB77" s="2805"/>
      <c r="MFC77" s="2805"/>
      <c r="MFD77" s="2805"/>
      <c r="MFE77" s="2805"/>
      <c r="MFF77" s="2805"/>
      <c r="MFG77" s="2805"/>
      <c r="MFH77" s="2805"/>
      <c r="MFI77" s="2805"/>
      <c r="MFJ77" s="2805"/>
      <c r="MFK77" s="2805"/>
      <c r="MFL77" s="2805"/>
      <c r="MFM77" s="2805"/>
      <c r="MFN77" s="2805"/>
      <c r="MFO77" s="2805"/>
      <c r="MFP77" s="2805"/>
      <c r="MFQ77" s="2805"/>
      <c r="MFR77" s="2805"/>
      <c r="MFS77" s="2805"/>
      <c r="MFT77" s="2805"/>
      <c r="MFU77" s="2805"/>
      <c r="MFV77" s="2805"/>
      <c r="MFW77" s="2805"/>
      <c r="MFX77" s="2805"/>
      <c r="MFY77" s="2805"/>
      <c r="MFZ77" s="2805"/>
      <c r="MGA77" s="2805"/>
      <c r="MGB77" s="2805"/>
      <c r="MGC77" s="2805"/>
      <c r="MGD77" s="2805"/>
      <c r="MGE77" s="2805"/>
      <c r="MGF77" s="2805"/>
      <c r="MGG77" s="2805"/>
      <c r="MGH77" s="2805"/>
      <c r="MGI77" s="2805"/>
      <c r="MGJ77" s="2805"/>
      <c r="MGK77" s="2805"/>
      <c r="MGL77" s="2805"/>
      <c r="MGM77" s="2805"/>
      <c r="MGN77" s="2805"/>
      <c r="MGO77" s="2805"/>
      <c r="MGP77" s="2805"/>
      <c r="MGQ77" s="2805"/>
      <c r="MGR77" s="2805"/>
      <c r="MGS77" s="2805"/>
      <c r="MGT77" s="2805"/>
      <c r="MGU77" s="2805"/>
      <c r="MGV77" s="2805"/>
      <c r="MGW77" s="2805"/>
      <c r="MGX77" s="2805"/>
      <c r="MGY77" s="2805"/>
      <c r="MGZ77" s="2805"/>
      <c r="MHA77" s="2805"/>
      <c r="MHB77" s="2805"/>
      <c r="MHC77" s="2805"/>
      <c r="MHD77" s="2805"/>
      <c r="MHE77" s="2805"/>
      <c r="MHF77" s="2805"/>
      <c r="MHG77" s="2805"/>
      <c r="MHH77" s="2805"/>
      <c r="MHI77" s="2805"/>
      <c r="MHJ77" s="2805"/>
      <c r="MHK77" s="2805"/>
      <c r="MHL77" s="2805"/>
      <c r="MHM77" s="2805"/>
      <c r="MHN77" s="2805"/>
      <c r="MHO77" s="2805"/>
      <c r="MHP77" s="2805"/>
      <c r="MHQ77" s="2805"/>
      <c r="MHR77" s="2805"/>
      <c r="MHS77" s="2805"/>
      <c r="MHT77" s="2805"/>
      <c r="MHU77" s="2805"/>
      <c r="MHV77" s="2805"/>
      <c r="MHW77" s="2805"/>
      <c r="MHX77" s="2805"/>
      <c r="MHY77" s="2805"/>
      <c r="MHZ77" s="2805"/>
      <c r="MIA77" s="2805"/>
      <c r="MIB77" s="2805"/>
      <c r="MIC77" s="2805"/>
      <c r="MID77" s="2805"/>
      <c r="MIE77" s="2805"/>
      <c r="MIF77" s="2805"/>
      <c r="MIG77" s="2805"/>
      <c r="MIH77" s="2805"/>
      <c r="MII77" s="2805"/>
      <c r="MIJ77" s="2805"/>
      <c r="MIK77" s="2805"/>
      <c r="MIL77" s="2805"/>
      <c r="MIM77" s="2805"/>
      <c r="MIN77" s="2805"/>
      <c r="MIO77" s="2805"/>
      <c r="MIP77" s="2805"/>
      <c r="MIQ77" s="2805"/>
      <c r="MIR77" s="2805"/>
      <c r="MIS77" s="2805"/>
      <c r="MIT77" s="2805"/>
      <c r="MIU77" s="2805"/>
      <c r="MIV77" s="2805"/>
      <c r="MIW77" s="2805"/>
      <c r="MIX77" s="2805"/>
      <c r="MIY77" s="2805"/>
      <c r="MIZ77" s="2805"/>
      <c r="MJA77" s="2805"/>
      <c r="MJB77" s="2805"/>
      <c r="MJC77" s="2805"/>
      <c r="MJD77" s="2805"/>
      <c r="MJE77" s="2805"/>
      <c r="MJF77" s="2805"/>
      <c r="MJG77" s="2805"/>
      <c r="MJH77" s="2805"/>
      <c r="MJI77" s="2805"/>
      <c r="MJJ77" s="2805"/>
      <c r="MJK77" s="2805"/>
      <c r="MJL77" s="2805"/>
      <c r="MJM77" s="2805"/>
      <c r="MJN77" s="2805"/>
      <c r="MJO77" s="2805"/>
      <c r="MJP77" s="2805"/>
      <c r="MJQ77" s="2805"/>
      <c r="MJR77" s="2805"/>
      <c r="MJS77" s="2805"/>
      <c r="MJT77" s="2805"/>
      <c r="MJU77" s="2805"/>
      <c r="MJV77" s="2805"/>
      <c r="MJW77" s="2805"/>
      <c r="MJX77" s="2805"/>
      <c r="MJY77" s="2805"/>
      <c r="MJZ77" s="2805"/>
      <c r="MKA77" s="2805"/>
      <c r="MKB77" s="2805"/>
      <c r="MKC77" s="2805"/>
      <c r="MKD77" s="2805"/>
      <c r="MKE77" s="2805"/>
      <c r="MKF77" s="2805"/>
      <c r="MKG77" s="2805"/>
      <c r="MKH77" s="2805"/>
      <c r="MKI77" s="2805"/>
      <c r="MKJ77" s="2805"/>
      <c r="MKK77" s="2805"/>
      <c r="MKL77" s="2805"/>
      <c r="MKM77" s="2805"/>
      <c r="MKN77" s="2805"/>
      <c r="MKO77" s="2805"/>
      <c r="MKP77" s="2805"/>
      <c r="MKQ77" s="2805"/>
      <c r="MKR77" s="2805"/>
      <c r="MKS77" s="2805"/>
      <c r="MKT77" s="2805"/>
      <c r="MKU77" s="2805"/>
      <c r="MKV77" s="2805"/>
      <c r="MKW77" s="2805"/>
      <c r="MKX77" s="2805"/>
      <c r="MKY77" s="2805"/>
      <c r="MKZ77" s="2805"/>
      <c r="MLA77" s="2805"/>
      <c r="MLB77" s="2805"/>
      <c r="MLC77" s="2805"/>
      <c r="MLD77" s="2805"/>
      <c r="MLE77" s="2805"/>
      <c r="MLF77" s="2805"/>
      <c r="MLG77" s="2805"/>
      <c r="MLH77" s="2805"/>
      <c r="MLI77" s="2805"/>
      <c r="MLJ77" s="2805"/>
      <c r="MLK77" s="2805"/>
      <c r="MLL77" s="2805"/>
      <c r="MLM77" s="2805"/>
      <c r="MLN77" s="2805"/>
      <c r="MLO77" s="2805"/>
      <c r="MLP77" s="2805"/>
      <c r="MLQ77" s="2805"/>
      <c r="MLR77" s="2805"/>
      <c r="MLS77" s="2805"/>
      <c r="MLT77" s="2805"/>
      <c r="MLU77" s="2805"/>
      <c r="MLV77" s="2805"/>
      <c r="MLW77" s="2805"/>
      <c r="MLX77" s="2805"/>
      <c r="MLY77" s="2805"/>
      <c r="MLZ77" s="2805"/>
      <c r="MMA77" s="2805"/>
      <c r="MMB77" s="2805"/>
      <c r="MMC77" s="2805"/>
      <c r="MMD77" s="2805"/>
      <c r="MME77" s="2805"/>
      <c r="MMF77" s="2805"/>
      <c r="MMG77" s="2805"/>
      <c r="MMH77" s="2805"/>
      <c r="MMI77" s="2805"/>
      <c r="MMJ77" s="2805"/>
      <c r="MMK77" s="2805"/>
      <c r="MML77" s="2805"/>
      <c r="MMM77" s="2805"/>
      <c r="MMN77" s="2805"/>
      <c r="MMO77" s="2805"/>
      <c r="MMP77" s="2805"/>
      <c r="MMQ77" s="2805"/>
      <c r="MMR77" s="2805"/>
      <c r="MMS77" s="2805"/>
      <c r="MMT77" s="2805"/>
      <c r="MMU77" s="2805"/>
      <c r="MMV77" s="2805"/>
      <c r="MMW77" s="2805"/>
      <c r="MMX77" s="2805"/>
      <c r="MMY77" s="2805"/>
      <c r="MMZ77" s="2805"/>
      <c r="MNA77" s="2805"/>
      <c r="MNB77" s="2805"/>
      <c r="MNC77" s="2805"/>
      <c r="MND77" s="2805"/>
      <c r="MNE77" s="2805"/>
      <c r="MNF77" s="2805"/>
      <c r="MNG77" s="2805"/>
      <c r="MNH77" s="2805"/>
      <c r="MNI77" s="2805"/>
      <c r="MNJ77" s="2805"/>
      <c r="MNK77" s="2805"/>
      <c r="MNL77" s="2805"/>
      <c r="MNM77" s="2805"/>
      <c r="MNN77" s="2805"/>
      <c r="MNO77" s="2805"/>
      <c r="MNP77" s="2805"/>
      <c r="MNQ77" s="2805"/>
      <c r="MNR77" s="2805"/>
      <c r="MNS77" s="2805"/>
      <c r="MNT77" s="2805"/>
      <c r="MNU77" s="2805"/>
      <c r="MNV77" s="2805"/>
      <c r="MNW77" s="2805"/>
      <c r="MNX77" s="2805"/>
      <c r="MNY77" s="2805"/>
      <c r="MNZ77" s="2805"/>
      <c r="MOA77" s="2805"/>
      <c r="MOB77" s="2805"/>
      <c r="MOC77" s="2805"/>
      <c r="MOD77" s="2805"/>
      <c r="MOE77" s="2805"/>
      <c r="MOF77" s="2805"/>
      <c r="MOG77" s="2805"/>
      <c r="MOH77" s="2805"/>
      <c r="MOI77" s="2805"/>
      <c r="MOJ77" s="2805"/>
      <c r="MOK77" s="2805"/>
      <c r="MOL77" s="2805"/>
      <c r="MOM77" s="2805"/>
      <c r="MON77" s="2805"/>
      <c r="MOO77" s="2805"/>
      <c r="MOP77" s="2805"/>
      <c r="MOQ77" s="2805"/>
      <c r="MOR77" s="2805"/>
      <c r="MOS77" s="2805"/>
      <c r="MOT77" s="2805"/>
      <c r="MOU77" s="2805"/>
      <c r="MOV77" s="2805"/>
      <c r="MOW77" s="2805"/>
      <c r="MOX77" s="2805"/>
      <c r="MOY77" s="2805"/>
      <c r="MOZ77" s="2805"/>
      <c r="MPA77" s="2805"/>
      <c r="MPB77" s="2805"/>
      <c r="MPC77" s="2805"/>
      <c r="MPD77" s="2805"/>
      <c r="MPE77" s="2805"/>
      <c r="MPF77" s="2805"/>
      <c r="MPG77" s="2805"/>
      <c r="MPH77" s="2805"/>
      <c r="MPI77" s="2805"/>
      <c r="MPJ77" s="2805"/>
      <c r="MPK77" s="2805"/>
      <c r="MPL77" s="2805"/>
      <c r="MPM77" s="2805"/>
      <c r="MPN77" s="2805"/>
      <c r="MPO77" s="2805"/>
      <c r="MPP77" s="2805"/>
      <c r="MPQ77" s="2805"/>
      <c r="MPR77" s="2805"/>
      <c r="MPS77" s="2805"/>
      <c r="MPT77" s="2805"/>
      <c r="MPU77" s="2805"/>
      <c r="MPV77" s="2805"/>
      <c r="MPW77" s="2805"/>
      <c r="MPX77" s="2805"/>
      <c r="MPY77" s="2805"/>
      <c r="MPZ77" s="2805"/>
      <c r="MQA77" s="2805"/>
      <c r="MQB77" s="2805"/>
      <c r="MQC77" s="2805"/>
      <c r="MQD77" s="2805"/>
      <c r="MQE77" s="2805"/>
      <c r="MQF77" s="2805"/>
      <c r="MQG77" s="2805"/>
      <c r="MQH77" s="2805"/>
      <c r="MQI77" s="2805"/>
      <c r="MQJ77" s="2805"/>
      <c r="MQK77" s="2805"/>
      <c r="MQL77" s="2805"/>
      <c r="MQM77" s="2805"/>
      <c r="MQN77" s="2805"/>
      <c r="MQO77" s="2805"/>
      <c r="MQP77" s="2805"/>
      <c r="MQQ77" s="2805"/>
      <c r="MQR77" s="2805"/>
      <c r="MQS77" s="2805"/>
      <c r="MQT77" s="2805"/>
      <c r="MQU77" s="2805"/>
      <c r="MQV77" s="2805"/>
      <c r="MQW77" s="2805"/>
      <c r="MQX77" s="2805"/>
      <c r="MQY77" s="2805"/>
      <c r="MQZ77" s="2805"/>
      <c r="MRA77" s="2805"/>
      <c r="MRB77" s="2805"/>
      <c r="MRC77" s="2805"/>
      <c r="MRD77" s="2805"/>
      <c r="MRE77" s="2805"/>
      <c r="MRF77" s="2805"/>
      <c r="MRG77" s="2805"/>
      <c r="MRH77" s="2805"/>
      <c r="MRI77" s="2805"/>
      <c r="MRJ77" s="2805"/>
      <c r="MRK77" s="2805"/>
      <c r="MRL77" s="2805"/>
      <c r="MRM77" s="2805"/>
      <c r="MRN77" s="2805"/>
      <c r="MRO77" s="2805"/>
      <c r="MRP77" s="2805"/>
      <c r="MRQ77" s="2805"/>
      <c r="MRR77" s="2805"/>
      <c r="MRS77" s="2805"/>
      <c r="MRT77" s="2805"/>
      <c r="MRU77" s="2805"/>
      <c r="MRV77" s="2805"/>
      <c r="MRW77" s="2805"/>
      <c r="MRX77" s="2805"/>
      <c r="MRY77" s="2805"/>
      <c r="MRZ77" s="2805"/>
      <c r="MSA77" s="2805"/>
      <c r="MSB77" s="2805"/>
      <c r="MSC77" s="2805"/>
      <c r="MSD77" s="2805"/>
      <c r="MSE77" s="2805"/>
      <c r="MSF77" s="2805"/>
      <c r="MSG77" s="2805"/>
      <c r="MSH77" s="2805"/>
      <c r="MSI77" s="2805"/>
      <c r="MSJ77" s="2805"/>
      <c r="MSK77" s="2805"/>
      <c r="MSL77" s="2805"/>
      <c r="MSM77" s="2805"/>
      <c r="MSN77" s="2805"/>
      <c r="MSO77" s="2805"/>
      <c r="MSP77" s="2805"/>
      <c r="MSQ77" s="2805"/>
      <c r="MSR77" s="2805"/>
      <c r="MSS77" s="2805"/>
      <c r="MST77" s="2805"/>
      <c r="MSU77" s="2805"/>
      <c r="MSV77" s="2805"/>
      <c r="MSW77" s="2805"/>
      <c r="MSX77" s="2805"/>
      <c r="MSY77" s="2805"/>
      <c r="MSZ77" s="2805"/>
      <c r="MTA77" s="2805"/>
      <c r="MTB77" s="2805"/>
      <c r="MTC77" s="2805"/>
      <c r="MTD77" s="2805"/>
      <c r="MTE77" s="2805"/>
      <c r="MTF77" s="2805"/>
      <c r="MTG77" s="2805"/>
      <c r="MTH77" s="2805"/>
      <c r="MTI77" s="2805"/>
      <c r="MTJ77" s="2805"/>
      <c r="MTK77" s="2805"/>
      <c r="MTL77" s="2805"/>
      <c r="MTM77" s="2805"/>
      <c r="MTN77" s="2805"/>
      <c r="MTO77" s="2805"/>
      <c r="MTP77" s="2805"/>
      <c r="MTQ77" s="2805"/>
      <c r="MTR77" s="2805"/>
      <c r="MTS77" s="2805"/>
      <c r="MTT77" s="2805"/>
      <c r="MTU77" s="2805"/>
      <c r="MTV77" s="2805"/>
      <c r="MTW77" s="2805"/>
      <c r="MTX77" s="2805"/>
      <c r="MTY77" s="2805"/>
      <c r="MTZ77" s="2805"/>
      <c r="MUA77" s="2805"/>
      <c r="MUB77" s="2805"/>
      <c r="MUC77" s="2805"/>
      <c r="MUD77" s="2805"/>
      <c r="MUE77" s="2805"/>
      <c r="MUF77" s="2805"/>
      <c r="MUG77" s="2805"/>
      <c r="MUH77" s="2805"/>
      <c r="MUI77" s="2805"/>
      <c r="MUJ77" s="2805"/>
      <c r="MUK77" s="2805"/>
      <c r="MUL77" s="2805"/>
      <c r="MUM77" s="2805"/>
      <c r="MUN77" s="2805"/>
      <c r="MUO77" s="2805"/>
      <c r="MUP77" s="2805"/>
      <c r="MUQ77" s="2805"/>
      <c r="MUR77" s="2805"/>
      <c r="MUS77" s="2805"/>
      <c r="MUT77" s="2805"/>
      <c r="MUU77" s="2805"/>
      <c r="MUV77" s="2805"/>
      <c r="MUW77" s="2805"/>
      <c r="MUX77" s="2805"/>
      <c r="MUY77" s="2805"/>
      <c r="MUZ77" s="2805"/>
      <c r="MVA77" s="2805"/>
      <c r="MVB77" s="2805"/>
      <c r="MVC77" s="2805"/>
      <c r="MVD77" s="2805"/>
      <c r="MVE77" s="2805"/>
      <c r="MVF77" s="2805"/>
      <c r="MVG77" s="2805"/>
      <c r="MVH77" s="2805"/>
      <c r="MVI77" s="2805"/>
      <c r="MVJ77" s="2805"/>
      <c r="MVK77" s="2805"/>
      <c r="MVL77" s="2805"/>
      <c r="MVM77" s="2805"/>
      <c r="MVN77" s="2805"/>
      <c r="MVO77" s="2805"/>
      <c r="MVP77" s="2805"/>
      <c r="MVQ77" s="2805"/>
      <c r="MVR77" s="2805"/>
      <c r="MVS77" s="2805"/>
      <c r="MVT77" s="2805"/>
      <c r="MVU77" s="2805"/>
      <c r="MVV77" s="2805"/>
      <c r="MVW77" s="2805"/>
      <c r="MVX77" s="2805"/>
      <c r="MVY77" s="2805"/>
      <c r="MVZ77" s="2805"/>
      <c r="MWA77" s="2805"/>
      <c r="MWB77" s="2805"/>
      <c r="MWC77" s="2805"/>
      <c r="MWD77" s="2805"/>
      <c r="MWE77" s="2805"/>
      <c r="MWF77" s="2805"/>
      <c r="MWG77" s="2805"/>
      <c r="MWH77" s="2805"/>
      <c r="MWI77" s="2805"/>
      <c r="MWJ77" s="2805"/>
      <c r="MWK77" s="2805"/>
      <c r="MWL77" s="2805"/>
      <c r="MWM77" s="2805"/>
      <c r="MWN77" s="2805"/>
      <c r="MWO77" s="2805"/>
      <c r="MWP77" s="2805"/>
      <c r="MWQ77" s="2805"/>
      <c r="MWR77" s="2805"/>
      <c r="MWS77" s="2805"/>
      <c r="MWT77" s="2805"/>
      <c r="MWU77" s="2805"/>
      <c r="MWV77" s="2805"/>
      <c r="MWW77" s="2805"/>
      <c r="MWX77" s="2805"/>
      <c r="MWY77" s="2805"/>
      <c r="MWZ77" s="2805"/>
      <c r="MXA77" s="2805"/>
      <c r="MXB77" s="2805"/>
      <c r="MXC77" s="2805"/>
      <c r="MXD77" s="2805"/>
      <c r="MXE77" s="2805"/>
      <c r="MXF77" s="2805"/>
      <c r="MXG77" s="2805"/>
      <c r="MXH77" s="2805"/>
      <c r="MXI77" s="2805"/>
      <c r="MXJ77" s="2805"/>
      <c r="MXK77" s="2805"/>
      <c r="MXL77" s="2805"/>
      <c r="MXM77" s="2805"/>
      <c r="MXN77" s="2805"/>
      <c r="MXO77" s="2805"/>
      <c r="MXP77" s="2805"/>
      <c r="MXQ77" s="2805"/>
      <c r="MXR77" s="2805"/>
      <c r="MXS77" s="2805"/>
      <c r="MXT77" s="2805"/>
      <c r="MXU77" s="2805"/>
      <c r="MXV77" s="2805"/>
      <c r="MXW77" s="2805"/>
      <c r="MXX77" s="2805"/>
      <c r="MXY77" s="2805"/>
      <c r="MXZ77" s="2805"/>
      <c r="MYA77" s="2805"/>
      <c r="MYB77" s="2805"/>
      <c r="MYC77" s="2805"/>
      <c r="MYD77" s="2805"/>
      <c r="MYE77" s="2805"/>
      <c r="MYF77" s="2805"/>
      <c r="MYG77" s="2805"/>
      <c r="MYH77" s="2805"/>
      <c r="MYI77" s="2805"/>
      <c r="MYJ77" s="2805"/>
      <c r="MYK77" s="2805"/>
      <c r="MYL77" s="2805"/>
      <c r="MYM77" s="2805"/>
      <c r="MYN77" s="2805"/>
      <c r="MYO77" s="2805"/>
      <c r="MYP77" s="2805"/>
      <c r="MYQ77" s="2805"/>
      <c r="MYR77" s="2805"/>
      <c r="MYS77" s="2805"/>
      <c r="MYT77" s="2805"/>
      <c r="MYU77" s="2805"/>
      <c r="MYV77" s="2805"/>
      <c r="MYW77" s="2805"/>
      <c r="MYX77" s="2805"/>
      <c r="MYY77" s="2805"/>
      <c r="MYZ77" s="2805"/>
      <c r="MZA77" s="2805"/>
      <c r="MZB77" s="2805"/>
      <c r="MZC77" s="2805"/>
      <c r="MZD77" s="2805"/>
      <c r="MZE77" s="2805"/>
      <c r="MZF77" s="2805"/>
      <c r="MZG77" s="2805"/>
      <c r="MZH77" s="2805"/>
      <c r="MZI77" s="2805"/>
      <c r="MZJ77" s="2805"/>
      <c r="MZK77" s="2805"/>
      <c r="MZL77" s="2805"/>
      <c r="MZM77" s="2805"/>
      <c r="MZN77" s="2805"/>
      <c r="MZO77" s="2805"/>
      <c r="MZP77" s="2805"/>
      <c r="MZQ77" s="2805"/>
      <c r="MZR77" s="2805"/>
      <c r="MZS77" s="2805"/>
      <c r="MZT77" s="2805"/>
      <c r="MZU77" s="2805"/>
      <c r="MZV77" s="2805"/>
      <c r="MZW77" s="2805"/>
      <c r="MZX77" s="2805"/>
      <c r="MZY77" s="2805"/>
      <c r="MZZ77" s="2805"/>
      <c r="NAA77" s="2805"/>
      <c r="NAB77" s="2805"/>
      <c r="NAC77" s="2805"/>
      <c r="NAD77" s="2805"/>
      <c r="NAE77" s="2805"/>
      <c r="NAF77" s="2805"/>
      <c r="NAG77" s="2805"/>
      <c r="NAH77" s="2805"/>
      <c r="NAI77" s="2805"/>
      <c r="NAJ77" s="2805"/>
      <c r="NAK77" s="2805"/>
      <c r="NAL77" s="2805"/>
      <c r="NAM77" s="2805"/>
      <c r="NAN77" s="2805"/>
      <c r="NAO77" s="2805"/>
      <c r="NAP77" s="2805"/>
      <c r="NAQ77" s="2805"/>
      <c r="NAR77" s="2805"/>
      <c r="NAS77" s="2805"/>
      <c r="NAT77" s="2805"/>
      <c r="NAU77" s="2805"/>
      <c r="NAV77" s="2805"/>
      <c r="NAW77" s="2805"/>
      <c r="NAX77" s="2805"/>
      <c r="NAY77" s="2805"/>
      <c r="NAZ77" s="2805"/>
      <c r="NBA77" s="2805"/>
      <c r="NBB77" s="2805"/>
      <c r="NBC77" s="2805"/>
      <c r="NBD77" s="2805"/>
      <c r="NBE77" s="2805"/>
      <c r="NBF77" s="2805"/>
      <c r="NBG77" s="2805"/>
      <c r="NBH77" s="2805"/>
      <c r="NBI77" s="2805"/>
      <c r="NBJ77" s="2805"/>
      <c r="NBK77" s="2805"/>
      <c r="NBL77" s="2805"/>
      <c r="NBM77" s="2805"/>
      <c r="NBN77" s="2805"/>
      <c r="NBO77" s="2805"/>
      <c r="NBP77" s="2805"/>
      <c r="NBQ77" s="2805"/>
      <c r="NBR77" s="2805"/>
      <c r="NBS77" s="2805"/>
      <c r="NBT77" s="2805"/>
      <c r="NBU77" s="2805"/>
      <c r="NBV77" s="2805"/>
      <c r="NBW77" s="2805"/>
      <c r="NBX77" s="2805"/>
      <c r="NBY77" s="2805"/>
      <c r="NBZ77" s="2805"/>
      <c r="NCA77" s="2805"/>
      <c r="NCB77" s="2805"/>
      <c r="NCC77" s="2805"/>
      <c r="NCD77" s="2805"/>
      <c r="NCE77" s="2805"/>
      <c r="NCF77" s="2805"/>
      <c r="NCG77" s="2805"/>
      <c r="NCH77" s="2805"/>
      <c r="NCI77" s="2805"/>
      <c r="NCJ77" s="2805"/>
      <c r="NCK77" s="2805"/>
      <c r="NCL77" s="2805"/>
      <c r="NCM77" s="2805"/>
      <c r="NCN77" s="2805"/>
      <c r="NCO77" s="2805"/>
      <c r="NCP77" s="2805"/>
      <c r="NCQ77" s="2805"/>
      <c r="NCR77" s="2805"/>
      <c r="NCS77" s="2805"/>
      <c r="NCT77" s="2805"/>
      <c r="NCU77" s="2805"/>
      <c r="NCV77" s="2805"/>
      <c r="NCW77" s="2805"/>
      <c r="NCX77" s="2805"/>
      <c r="NCY77" s="2805"/>
      <c r="NCZ77" s="2805"/>
      <c r="NDA77" s="2805"/>
      <c r="NDB77" s="2805"/>
      <c r="NDC77" s="2805"/>
      <c r="NDD77" s="2805"/>
      <c r="NDE77" s="2805"/>
      <c r="NDF77" s="2805"/>
      <c r="NDG77" s="2805"/>
      <c r="NDH77" s="2805"/>
      <c r="NDI77" s="2805"/>
      <c r="NDJ77" s="2805"/>
      <c r="NDK77" s="2805"/>
      <c r="NDL77" s="2805"/>
      <c r="NDM77" s="2805"/>
      <c r="NDN77" s="2805"/>
      <c r="NDO77" s="2805"/>
      <c r="NDP77" s="2805"/>
      <c r="NDQ77" s="2805"/>
      <c r="NDR77" s="2805"/>
      <c r="NDS77" s="2805"/>
      <c r="NDT77" s="2805"/>
      <c r="NDU77" s="2805"/>
      <c r="NDV77" s="2805"/>
      <c r="NDW77" s="2805"/>
      <c r="NDX77" s="2805"/>
      <c r="NDY77" s="2805"/>
      <c r="NDZ77" s="2805"/>
      <c r="NEA77" s="2805"/>
      <c r="NEB77" s="2805"/>
      <c r="NEC77" s="2805"/>
      <c r="NED77" s="2805"/>
      <c r="NEE77" s="2805"/>
      <c r="NEF77" s="2805"/>
      <c r="NEG77" s="2805"/>
      <c r="NEH77" s="2805"/>
      <c r="NEI77" s="2805"/>
      <c r="NEJ77" s="2805"/>
      <c r="NEK77" s="2805"/>
      <c r="NEL77" s="2805"/>
      <c r="NEM77" s="2805"/>
      <c r="NEN77" s="2805"/>
      <c r="NEO77" s="2805"/>
      <c r="NEP77" s="2805"/>
      <c r="NEQ77" s="2805"/>
      <c r="NER77" s="2805"/>
      <c r="NES77" s="2805"/>
      <c r="NET77" s="2805"/>
      <c r="NEU77" s="2805"/>
      <c r="NEV77" s="2805"/>
      <c r="NEW77" s="2805"/>
      <c r="NEX77" s="2805"/>
      <c r="NEY77" s="2805"/>
      <c r="NEZ77" s="2805"/>
      <c r="NFA77" s="2805"/>
      <c r="NFB77" s="2805"/>
      <c r="NFC77" s="2805"/>
      <c r="NFD77" s="2805"/>
      <c r="NFE77" s="2805"/>
      <c r="NFF77" s="2805"/>
      <c r="NFG77" s="2805"/>
      <c r="NFH77" s="2805"/>
      <c r="NFI77" s="2805"/>
      <c r="NFJ77" s="2805"/>
      <c r="NFK77" s="2805"/>
      <c r="NFL77" s="2805"/>
      <c r="NFM77" s="2805"/>
      <c r="NFN77" s="2805"/>
      <c r="NFO77" s="2805"/>
      <c r="NFP77" s="2805"/>
      <c r="NFQ77" s="2805"/>
      <c r="NFR77" s="2805"/>
      <c r="NFS77" s="2805"/>
      <c r="NFT77" s="2805"/>
      <c r="NFU77" s="2805"/>
      <c r="NFV77" s="2805"/>
      <c r="NFW77" s="2805"/>
      <c r="NFX77" s="2805"/>
      <c r="NFY77" s="2805"/>
      <c r="NFZ77" s="2805"/>
      <c r="NGA77" s="2805"/>
      <c r="NGB77" s="2805"/>
      <c r="NGC77" s="2805"/>
      <c r="NGD77" s="2805"/>
      <c r="NGE77" s="2805"/>
      <c r="NGF77" s="2805"/>
      <c r="NGG77" s="2805"/>
      <c r="NGH77" s="2805"/>
      <c r="NGI77" s="2805"/>
      <c r="NGJ77" s="2805"/>
      <c r="NGK77" s="2805"/>
      <c r="NGL77" s="2805"/>
      <c r="NGM77" s="2805"/>
      <c r="NGN77" s="2805"/>
      <c r="NGO77" s="2805"/>
      <c r="NGP77" s="2805"/>
      <c r="NGQ77" s="2805"/>
      <c r="NGR77" s="2805"/>
      <c r="NGS77" s="2805"/>
      <c r="NGT77" s="2805"/>
      <c r="NGU77" s="2805"/>
      <c r="NGV77" s="2805"/>
      <c r="NGW77" s="2805"/>
      <c r="NGX77" s="2805"/>
      <c r="NGY77" s="2805"/>
      <c r="NGZ77" s="2805"/>
      <c r="NHA77" s="2805"/>
      <c r="NHB77" s="2805"/>
      <c r="NHC77" s="2805"/>
      <c r="NHD77" s="2805"/>
      <c r="NHE77" s="2805"/>
      <c r="NHF77" s="2805"/>
      <c r="NHG77" s="2805"/>
      <c r="NHH77" s="2805"/>
      <c r="NHI77" s="2805"/>
      <c r="NHJ77" s="2805"/>
      <c r="NHK77" s="2805"/>
      <c r="NHL77" s="2805"/>
      <c r="NHM77" s="2805"/>
      <c r="NHN77" s="2805"/>
      <c r="NHO77" s="2805"/>
      <c r="NHP77" s="2805"/>
      <c r="NHQ77" s="2805"/>
      <c r="NHR77" s="2805"/>
      <c r="NHS77" s="2805"/>
      <c r="NHT77" s="2805"/>
      <c r="NHU77" s="2805"/>
      <c r="NHV77" s="2805"/>
      <c r="NHW77" s="2805"/>
      <c r="NHX77" s="2805"/>
      <c r="NHY77" s="2805"/>
      <c r="NHZ77" s="2805"/>
      <c r="NIA77" s="2805"/>
      <c r="NIB77" s="2805"/>
      <c r="NIC77" s="2805"/>
      <c r="NID77" s="2805"/>
      <c r="NIE77" s="2805"/>
      <c r="NIF77" s="2805"/>
      <c r="NIG77" s="2805"/>
      <c r="NIH77" s="2805"/>
      <c r="NII77" s="2805"/>
      <c r="NIJ77" s="2805"/>
      <c r="NIK77" s="2805"/>
      <c r="NIL77" s="2805"/>
      <c r="NIM77" s="2805"/>
      <c r="NIN77" s="2805"/>
      <c r="NIO77" s="2805"/>
      <c r="NIP77" s="2805"/>
      <c r="NIQ77" s="2805"/>
      <c r="NIR77" s="2805"/>
      <c r="NIS77" s="2805"/>
      <c r="NIT77" s="2805"/>
      <c r="NIU77" s="2805"/>
      <c r="NIV77" s="2805"/>
      <c r="NIW77" s="2805"/>
      <c r="NIX77" s="2805"/>
      <c r="NIY77" s="2805"/>
      <c r="NIZ77" s="2805"/>
      <c r="NJA77" s="2805"/>
      <c r="NJB77" s="2805"/>
      <c r="NJC77" s="2805"/>
      <c r="NJD77" s="2805"/>
      <c r="NJE77" s="2805"/>
      <c r="NJF77" s="2805"/>
      <c r="NJG77" s="2805"/>
      <c r="NJH77" s="2805"/>
      <c r="NJI77" s="2805"/>
      <c r="NJJ77" s="2805"/>
      <c r="NJK77" s="2805"/>
      <c r="NJL77" s="2805"/>
      <c r="NJM77" s="2805"/>
      <c r="NJN77" s="2805"/>
      <c r="NJO77" s="2805"/>
      <c r="NJP77" s="2805"/>
      <c r="NJQ77" s="2805"/>
      <c r="NJR77" s="2805"/>
      <c r="NJS77" s="2805"/>
      <c r="NJT77" s="2805"/>
      <c r="NJU77" s="2805"/>
      <c r="NJV77" s="2805"/>
      <c r="NJW77" s="2805"/>
      <c r="NJX77" s="2805"/>
      <c r="NJY77" s="2805"/>
      <c r="NJZ77" s="2805"/>
      <c r="NKA77" s="2805"/>
      <c r="NKB77" s="2805"/>
      <c r="NKC77" s="2805"/>
      <c r="NKD77" s="2805"/>
      <c r="NKE77" s="2805"/>
      <c r="NKF77" s="2805"/>
      <c r="NKG77" s="2805"/>
      <c r="NKH77" s="2805"/>
      <c r="NKI77" s="2805"/>
      <c r="NKJ77" s="2805"/>
      <c r="NKK77" s="2805"/>
      <c r="NKL77" s="2805"/>
      <c r="NKM77" s="2805"/>
      <c r="NKN77" s="2805"/>
      <c r="NKO77" s="2805"/>
      <c r="NKP77" s="2805"/>
      <c r="NKQ77" s="2805"/>
      <c r="NKR77" s="2805"/>
      <c r="NKS77" s="2805"/>
      <c r="NKT77" s="2805"/>
      <c r="NKU77" s="2805"/>
      <c r="NKV77" s="2805"/>
      <c r="NKW77" s="2805"/>
      <c r="NKX77" s="2805"/>
      <c r="NKY77" s="2805"/>
      <c r="NKZ77" s="2805"/>
      <c r="NLA77" s="2805"/>
      <c r="NLB77" s="2805"/>
      <c r="NLC77" s="2805"/>
      <c r="NLD77" s="2805"/>
      <c r="NLE77" s="2805"/>
      <c r="NLF77" s="2805"/>
      <c r="NLG77" s="2805"/>
      <c r="NLH77" s="2805"/>
      <c r="NLI77" s="2805"/>
      <c r="NLJ77" s="2805"/>
      <c r="NLK77" s="2805"/>
      <c r="NLL77" s="2805"/>
      <c r="NLM77" s="2805"/>
      <c r="NLN77" s="2805"/>
      <c r="NLO77" s="2805"/>
      <c r="NLP77" s="2805"/>
      <c r="NLQ77" s="2805"/>
      <c r="NLR77" s="2805"/>
      <c r="NLS77" s="2805"/>
      <c r="NLT77" s="2805"/>
      <c r="NLU77" s="2805"/>
      <c r="NLV77" s="2805"/>
      <c r="NLW77" s="2805"/>
      <c r="NLX77" s="2805"/>
      <c r="NLY77" s="2805"/>
      <c r="NLZ77" s="2805"/>
      <c r="NMA77" s="2805"/>
      <c r="NMB77" s="2805"/>
      <c r="NMC77" s="2805"/>
      <c r="NMD77" s="2805"/>
      <c r="NME77" s="2805"/>
      <c r="NMF77" s="2805"/>
      <c r="NMG77" s="2805"/>
      <c r="NMH77" s="2805"/>
      <c r="NMI77" s="2805"/>
      <c r="NMJ77" s="2805"/>
      <c r="NMK77" s="2805"/>
      <c r="NML77" s="2805"/>
      <c r="NMM77" s="2805"/>
      <c r="NMN77" s="2805"/>
      <c r="NMO77" s="2805"/>
      <c r="NMP77" s="2805"/>
      <c r="NMQ77" s="2805"/>
      <c r="NMR77" s="2805"/>
      <c r="NMS77" s="2805"/>
      <c r="NMT77" s="2805"/>
      <c r="NMU77" s="2805"/>
      <c r="NMV77" s="2805"/>
      <c r="NMW77" s="2805"/>
      <c r="NMX77" s="2805"/>
      <c r="NMY77" s="2805"/>
      <c r="NMZ77" s="2805"/>
      <c r="NNA77" s="2805"/>
      <c r="NNB77" s="2805"/>
      <c r="NNC77" s="2805"/>
      <c r="NND77" s="2805"/>
      <c r="NNE77" s="2805"/>
      <c r="NNF77" s="2805"/>
      <c r="NNG77" s="2805"/>
      <c r="NNH77" s="2805"/>
      <c r="NNI77" s="2805"/>
      <c r="NNJ77" s="2805"/>
      <c r="NNK77" s="2805"/>
      <c r="NNL77" s="2805"/>
      <c r="NNM77" s="2805"/>
      <c r="NNN77" s="2805"/>
      <c r="NNO77" s="2805"/>
      <c r="NNP77" s="2805"/>
      <c r="NNQ77" s="2805"/>
      <c r="NNR77" s="2805"/>
      <c r="NNS77" s="2805"/>
      <c r="NNT77" s="2805"/>
      <c r="NNU77" s="2805"/>
      <c r="NNV77" s="2805"/>
      <c r="NNW77" s="2805"/>
      <c r="NNX77" s="2805"/>
      <c r="NNY77" s="2805"/>
      <c r="NNZ77" s="2805"/>
      <c r="NOA77" s="2805"/>
      <c r="NOB77" s="2805"/>
      <c r="NOC77" s="2805"/>
      <c r="NOD77" s="2805"/>
      <c r="NOE77" s="2805"/>
      <c r="NOF77" s="2805"/>
      <c r="NOG77" s="2805"/>
      <c r="NOH77" s="2805"/>
      <c r="NOI77" s="2805"/>
      <c r="NOJ77" s="2805"/>
      <c r="NOK77" s="2805"/>
      <c r="NOL77" s="2805"/>
      <c r="NOM77" s="2805"/>
      <c r="NON77" s="2805"/>
      <c r="NOO77" s="2805"/>
      <c r="NOP77" s="2805"/>
      <c r="NOQ77" s="2805"/>
      <c r="NOR77" s="2805"/>
      <c r="NOS77" s="2805"/>
      <c r="NOT77" s="2805"/>
      <c r="NOU77" s="2805"/>
      <c r="NOV77" s="2805"/>
      <c r="NOW77" s="2805"/>
      <c r="NOX77" s="2805"/>
      <c r="NOY77" s="2805"/>
      <c r="NOZ77" s="2805"/>
      <c r="NPA77" s="2805"/>
      <c r="NPB77" s="2805"/>
      <c r="NPC77" s="2805"/>
      <c r="NPD77" s="2805"/>
      <c r="NPE77" s="2805"/>
      <c r="NPF77" s="2805"/>
      <c r="NPG77" s="2805"/>
      <c r="NPH77" s="2805"/>
      <c r="NPI77" s="2805"/>
      <c r="NPJ77" s="2805"/>
      <c r="NPK77" s="2805"/>
      <c r="NPL77" s="2805"/>
      <c r="NPM77" s="2805"/>
      <c r="NPN77" s="2805"/>
      <c r="NPO77" s="2805"/>
      <c r="NPP77" s="2805"/>
      <c r="NPQ77" s="2805"/>
      <c r="NPR77" s="2805"/>
      <c r="NPS77" s="2805"/>
      <c r="NPT77" s="2805"/>
      <c r="NPU77" s="2805"/>
      <c r="NPV77" s="2805"/>
      <c r="NPW77" s="2805"/>
      <c r="NPX77" s="2805"/>
      <c r="NPY77" s="2805"/>
      <c r="NPZ77" s="2805"/>
      <c r="NQA77" s="2805"/>
      <c r="NQB77" s="2805"/>
      <c r="NQC77" s="2805"/>
      <c r="NQD77" s="2805"/>
      <c r="NQE77" s="2805"/>
      <c r="NQF77" s="2805"/>
      <c r="NQG77" s="2805"/>
      <c r="NQH77" s="2805"/>
      <c r="NQI77" s="2805"/>
      <c r="NQJ77" s="2805"/>
      <c r="NQK77" s="2805"/>
      <c r="NQL77" s="2805"/>
      <c r="NQM77" s="2805"/>
      <c r="NQN77" s="2805"/>
      <c r="NQO77" s="2805"/>
      <c r="NQP77" s="2805"/>
      <c r="NQQ77" s="2805"/>
      <c r="NQR77" s="2805"/>
      <c r="NQS77" s="2805"/>
      <c r="NQT77" s="2805"/>
      <c r="NQU77" s="2805"/>
      <c r="NQV77" s="2805"/>
      <c r="NQW77" s="2805"/>
      <c r="NQX77" s="2805"/>
      <c r="NQY77" s="2805"/>
      <c r="NQZ77" s="2805"/>
      <c r="NRA77" s="2805"/>
      <c r="NRB77" s="2805"/>
      <c r="NRC77" s="2805"/>
      <c r="NRD77" s="2805"/>
      <c r="NRE77" s="2805"/>
      <c r="NRF77" s="2805"/>
      <c r="NRG77" s="2805"/>
      <c r="NRH77" s="2805"/>
      <c r="NRI77" s="2805"/>
      <c r="NRJ77" s="2805"/>
      <c r="NRK77" s="2805"/>
      <c r="NRL77" s="2805"/>
      <c r="NRM77" s="2805"/>
      <c r="NRN77" s="2805"/>
      <c r="NRO77" s="2805"/>
      <c r="NRP77" s="2805"/>
      <c r="NRQ77" s="2805"/>
      <c r="NRR77" s="2805"/>
      <c r="NRS77" s="2805"/>
      <c r="NRT77" s="2805"/>
      <c r="NRU77" s="2805"/>
      <c r="NRV77" s="2805"/>
      <c r="NRW77" s="2805"/>
      <c r="NRX77" s="2805"/>
      <c r="NRY77" s="2805"/>
      <c r="NRZ77" s="2805"/>
      <c r="NSA77" s="2805"/>
      <c r="NSB77" s="2805"/>
      <c r="NSC77" s="2805"/>
      <c r="NSD77" s="2805"/>
      <c r="NSE77" s="2805"/>
      <c r="NSF77" s="2805"/>
      <c r="NSG77" s="2805"/>
      <c r="NSH77" s="2805"/>
      <c r="NSI77" s="2805"/>
      <c r="NSJ77" s="2805"/>
      <c r="NSK77" s="2805"/>
      <c r="NSL77" s="2805"/>
      <c r="NSM77" s="2805"/>
      <c r="NSN77" s="2805"/>
      <c r="NSO77" s="2805"/>
      <c r="NSP77" s="2805"/>
      <c r="NSQ77" s="2805"/>
      <c r="NSR77" s="2805"/>
      <c r="NSS77" s="2805"/>
      <c r="NST77" s="2805"/>
      <c r="NSU77" s="2805"/>
      <c r="NSV77" s="2805"/>
      <c r="NSW77" s="2805"/>
      <c r="NSX77" s="2805"/>
      <c r="NSY77" s="2805"/>
      <c r="NSZ77" s="2805"/>
      <c r="NTA77" s="2805"/>
      <c r="NTB77" s="2805"/>
      <c r="NTC77" s="2805"/>
      <c r="NTD77" s="2805"/>
      <c r="NTE77" s="2805"/>
      <c r="NTF77" s="2805"/>
      <c r="NTG77" s="2805"/>
      <c r="NTH77" s="2805"/>
      <c r="NTI77" s="2805"/>
      <c r="NTJ77" s="2805"/>
      <c r="NTK77" s="2805"/>
      <c r="NTL77" s="2805"/>
      <c r="NTM77" s="2805"/>
      <c r="NTN77" s="2805"/>
      <c r="NTO77" s="2805"/>
      <c r="NTP77" s="2805"/>
      <c r="NTQ77" s="2805"/>
      <c r="NTR77" s="2805"/>
      <c r="NTS77" s="2805"/>
      <c r="NTT77" s="2805"/>
      <c r="NTU77" s="2805"/>
      <c r="NTV77" s="2805"/>
      <c r="NTW77" s="2805"/>
      <c r="NTX77" s="2805"/>
      <c r="NTY77" s="2805"/>
      <c r="NTZ77" s="2805"/>
      <c r="NUA77" s="2805"/>
      <c r="NUB77" s="2805"/>
      <c r="NUC77" s="2805"/>
      <c r="NUD77" s="2805"/>
      <c r="NUE77" s="2805"/>
      <c r="NUF77" s="2805"/>
      <c r="NUG77" s="2805"/>
      <c r="NUH77" s="2805"/>
      <c r="NUI77" s="2805"/>
      <c r="NUJ77" s="2805"/>
      <c r="NUK77" s="2805"/>
      <c r="NUL77" s="2805"/>
      <c r="NUM77" s="2805"/>
      <c r="NUN77" s="2805"/>
      <c r="NUO77" s="2805"/>
      <c r="NUP77" s="2805"/>
      <c r="NUQ77" s="2805"/>
      <c r="NUR77" s="2805"/>
      <c r="NUS77" s="2805"/>
      <c r="NUT77" s="2805"/>
      <c r="NUU77" s="2805"/>
      <c r="NUV77" s="2805"/>
      <c r="NUW77" s="2805"/>
      <c r="NUX77" s="2805"/>
      <c r="NUY77" s="2805"/>
      <c r="NUZ77" s="2805"/>
      <c r="NVA77" s="2805"/>
      <c r="NVB77" s="2805"/>
      <c r="NVC77" s="2805"/>
      <c r="NVD77" s="2805"/>
      <c r="NVE77" s="2805"/>
      <c r="NVF77" s="2805"/>
      <c r="NVG77" s="2805"/>
      <c r="NVH77" s="2805"/>
      <c r="NVI77" s="2805"/>
      <c r="NVJ77" s="2805"/>
      <c r="NVK77" s="2805"/>
      <c r="NVL77" s="2805"/>
      <c r="NVM77" s="2805"/>
      <c r="NVN77" s="2805"/>
      <c r="NVO77" s="2805"/>
      <c r="NVP77" s="2805"/>
      <c r="NVQ77" s="2805"/>
      <c r="NVR77" s="2805"/>
      <c r="NVS77" s="2805"/>
      <c r="NVT77" s="2805"/>
      <c r="NVU77" s="2805"/>
      <c r="NVV77" s="2805"/>
      <c r="NVW77" s="2805"/>
      <c r="NVX77" s="2805"/>
      <c r="NVY77" s="2805"/>
      <c r="NVZ77" s="2805"/>
      <c r="NWA77" s="2805"/>
      <c r="NWB77" s="2805"/>
      <c r="NWC77" s="2805"/>
      <c r="NWD77" s="2805"/>
      <c r="NWE77" s="2805"/>
      <c r="NWF77" s="2805"/>
      <c r="NWG77" s="2805"/>
      <c r="NWH77" s="2805"/>
      <c r="NWI77" s="2805"/>
      <c r="NWJ77" s="2805"/>
      <c r="NWK77" s="2805"/>
      <c r="NWL77" s="2805"/>
      <c r="NWM77" s="2805"/>
      <c r="NWN77" s="2805"/>
      <c r="NWO77" s="2805"/>
      <c r="NWP77" s="2805"/>
      <c r="NWQ77" s="2805"/>
      <c r="NWR77" s="2805"/>
      <c r="NWS77" s="2805"/>
      <c r="NWT77" s="2805"/>
      <c r="NWU77" s="2805"/>
      <c r="NWV77" s="2805"/>
      <c r="NWW77" s="2805"/>
      <c r="NWX77" s="2805"/>
      <c r="NWY77" s="2805"/>
      <c r="NWZ77" s="2805"/>
      <c r="NXA77" s="2805"/>
      <c r="NXB77" s="2805"/>
      <c r="NXC77" s="2805"/>
      <c r="NXD77" s="2805"/>
      <c r="NXE77" s="2805"/>
      <c r="NXF77" s="2805"/>
      <c r="NXG77" s="2805"/>
      <c r="NXH77" s="2805"/>
      <c r="NXI77" s="2805"/>
      <c r="NXJ77" s="2805"/>
      <c r="NXK77" s="2805"/>
      <c r="NXL77" s="2805"/>
      <c r="NXM77" s="2805"/>
      <c r="NXN77" s="2805"/>
      <c r="NXO77" s="2805"/>
      <c r="NXP77" s="2805"/>
      <c r="NXQ77" s="2805"/>
      <c r="NXR77" s="2805"/>
      <c r="NXS77" s="2805"/>
      <c r="NXT77" s="2805"/>
      <c r="NXU77" s="2805"/>
      <c r="NXV77" s="2805"/>
      <c r="NXW77" s="2805"/>
      <c r="NXX77" s="2805"/>
      <c r="NXY77" s="2805"/>
      <c r="NXZ77" s="2805"/>
      <c r="NYA77" s="2805"/>
      <c r="NYB77" s="2805"/>
      <c r="NYC77" s="2805"/>
      <c r="NYD77" s="2805"/>
      <c r="NYE77" s="2805"/>
      <c r="NYF77" s="2805"/>
      <c r="NYG77" s="2805"/>
      <c r="NYH77" s="2805"/>
      <c r="NYI77" s="2805"/>
      <c r="NYJ77" s="2805"/>
      <c r="NYK77" s="2805"/>
      <c r="NYL77" s="2805"/>
      <c r="NYM77" s="2805"/>
      <c r="NYN77" s="2805"/>
      <c r="NYO77" s="2805"/>
      <c r="NYP77" s="2805"/>
      <c r="NYQ77" s="2805"/>
      <c r="NYR77" s="2805"/>
      <c r="NYS77" s="2805"/>
      <c r="NYT77" s="2805"/>
      <c r="NYU77" s="2805"/>
      <c r="NYV77" s="2805"/>
      <c r="NYW77" s="2805"/>
      <c r="NYX77" s="2805"/>
      <c r="NYY77" s="2805"/>
      <c r="NYZ77" s="2805"/>
      <c r="NZA77" s="2805"/>
      <c r="NZB77" s="2805"/>
      <c r="NZC77" s="2805"/>
      <c r="NZD77" s="2805"/>
      <c r="NZE77" s="2805"/>
      <c r="NZF77" s="2805"/>
      <c r="NZG77" s="2805"/>
      <c r="NZH77" s="2805"/>
      <c r="NZI77" s="2805"/>
      <c r="NZJ77" s="2805"/>
      <c r="NZK77" s="2805"/>
      <c r="NZL77" s="2805"/>
      <c r="NZM77" s="2805"/>
      <c r="NZN77" s="2805"/>
      <c r="NZO77" s="2805"/>
      <c r="NZP77" s="2805"/>
      <c r="NZQ77" s="2805"/>
      <c r="NZR77" s="2805"/>
      <c r="NZS77" s="2805"/>
      <c r="NZT77" s="2805"/>
      <c r="NZU77" s="2805"/>
      <c r="NZV77" s="2805"/>
      <c r="NZW77" s="2805"/>
      <c r="NZX77" s="2805"/>
      <c r="NZY77" s="2805"/>
      <c r="NZZ77" s="2805"/>
      <c r="OAA77" s="2805"/>
      <c r="OAB77" s="2805"/>
      <c r="OAC77" s="2805"/>
      <c r="OAD77" s="2805"/>
      <c r="OAE77" s="2805"/>
      <c r="OAF77" s="2805"/>
      <c r="OAG77" s="2805"/>
      <c r="OAH77" s="2805"/>
      <c r="OAI77" s="2805"/>
      <c r="OAJ77" s="2805"/>
      <c r="OAK77" s="2805"/>
      <c r="OAL77" s="2805"/>
      <c r="OAM77" s="2805"/>
      <c r="OAN77" s="2805"/>
      <c r="OAO77" s="2805"/>
      <c r="OAP77" s="2805"/>
      <c r="OAQ77" s="2805"/>
      <c r="OAR77" s="2805"/>
      <c r="OAS77" s="2805"/>
      <c r="OAT77" s="2805"/>
      <c r="OAU77" s="2805"/>
      <c r="OAV77" s="2805"/>
      <c r="OAW77" s="2805"/>
      <c r="OAX77" s="2805"/>
      <c r="OAY77" s="2805"/>
      <c r="OAZ77" s="2805"/>
      <c r="OBA77" s="2805"/>
      <c r="OBB77" s="2805"/>
      <c r="OBC77" s="2805"/>
      <c r="OBD77" s="2805"/>
      <c r="OBE77" s="2805"/>
      <c r="OBF77" s="2805"/>
      <c r="OBG77" s="2805"/>
      <c r="OBH77" s="2805"/>
      <c r="OBI77" s="2805"/>
      <c r="OBJ77" s="2805"/>
      <c r="OBK77" s="2805"/>
      <c r="OBL77" s="2805"/>
      <c r="OBM77" s="2805"/>
      <c r="OBN77" s="2805"/>
      <c r="OBO77" s="2805"/>
      <c r="OBP77" s="2805"/>
      <c r="OBQ77" s="2805"/>
      <c r="OBR77" s="2805"/>
      <c r="OBS77" s="2805"/>
      <c r="OBT77" s="2805"/>
      <c r="OBU77" s="2805"/>
      <c r="OBV77" s="2805"/>
      <c r="OBW77" s="2805"/>
      <c r="OBX77" s="2805"/>
      <c r="OBY77" s="2805"/>
      <c r="OBZ77" s="2805"/>
      <c r="OCA77" s="2805"/>
      <c r="OCB77" s="2805"/>
      <c r="OCC77" s="2805"/>
      <c r="OCD77" s="2805"/>
      <c r="OCE77" s="2805"/>
      <c r="OCF77" s="2805"/>
      <c r="OCG77" s="2805"/>
      <c r="OCH77" s="2805"/>
      <c r="OCI77" s="2805"/>
      <c r="OCJ77" s="2805"/>
      <c r="OCK77" s="2805"/>
      <c r="OCL77" s="2805"/>
      <c r="OCM77" s="2805"/>
      <c r="OCN77" s="2805"/>
      <c r="OCO77" s="2805"/>
      <c r="OCP77" s="2805"/>
      <c r="OCQ77" s="2805"/>
      <c r="OCR77" s="2805"/>
      <c r="OCS77" s="2805"/>
      <c r="OCT77" s="2805"/>
      <c r="OCU77" s="2805"/>
      <c r="OCV77" s="2805"/>
      <c r="OCW77" s="2805"/>
      <c r="OCX77" s="2805"/>
      <c r="OCY77" s="2805"/>
      <c r="OCZ77" s="2805"/>
      <c r="ODA77" s="2805"/>
      <c r="ODB77" s="2805"/>
      <c r="ODC77" s="2805"/>
      <c r="ODD77" s="2805"/>
      <c r="ODE77" s="2805"/>
      <c r="ODF77" s="2805"/>
      <c r="ODG77" s="2805"/>
      <c r="ODH77" s="2805"/>
      <c r="ODI77" s="2805"/>
      <c r="ODJ77" s="2805"/>
      <c r="ODK77" s="2805"/>
      <c r="ODL77" s="2805"/>
      <c r="ODM77" s="2805"/>
      <c r="ODN77" s="2805"/>
      <c r="ODO77" s="2805"/>
      <c r="ODP77" s="2805"/>
      <c r="ODQ77" s="2805"/>
      <c r="ODR77" s="2805"/>
      <c r="ODS77" s="2805"/>
      <c r="ODT77" s="2805"/>
      <c r="ODU77" s="2805"/>
      <c r="ODV77" s="2805"/>
      <c r="ODW77" s="2805"/>
      <c r="ODX77" s="2805"/>
      <c r="ODY77" s="2805"/>
      <c r="ODZ77" s="2805"/>
      <c r="OEA77" s="2805"/>
      <c r="OEB77" s="2805"/>
      <c r="OEC77" s="2805"/>
      <c r="OED77" s="2805"/>
      <c r="OEE77" s="2805"/>
      <c r="OEF77" s="2805"/>
      <c r="OEG77" s="2805"/>
      <c r="OEH77" s="2805"/>
      <c r="OEI77" s="2805"/>
      <c r="OEJ77" s="2805"/>
      <c r="OEK77" s="2805"/>
      <c r="OEL77" s="2805"/>
      <c r="OEM77" s="2805"/>
      <c r="OEN77" s="2805"/>
      <c r="OEO77" s="2805"/>
      <c r="OEP77" s="2805"/>
      <c r="OEQ77" s="2805"/>
      <c r="OER77" s="2805"/>
      <c r="OES77" s="2805"/>
      <c r="OET77" s="2805"/>
      <c r="OEU77" s="2805"/>
      <c r="OEV77" s="2805"/>
      <c r="OEW77" s="2805"/>
      <c r="OEX77" s="2805"/>
      <c r="OEY77" s="2805"/>
      <c r="OEZ77" s="2805"/>
      <c r="OFA77" s="2805"/>
      <c r="OFB77" s="2805"/>
      <c r="OFC77" s="2805"/>
      <c r="OFD77" s="2805"/>
      <c r="OFE77" s="2805"/>
      <c r="OFF77" s="2805"/>
      <c r="OFG77" s="2805"/>
      <c r="OFH77" s="2805"/>
      <c r="OFI77" s="2805"/>
      <c r="OFJ77" s="2805"/>
      <c r="OFK77" s="2805"/>
      <c r="OFL77" s="2805"/>
      <c r="OFM77" s="2805"/>
      <c r="OFN77" s="2805"/>
      <c r="OFO77" s="2805"/>
      <c r="OFP77" s="2805"/>
      <c r="OFQ77" s="2805"/>
      <c r="OFR77" s="2805"/>
      <c r="OFS77" s="2805"/>
      <c r="OFT77" s="2805"/>
      <c r="OFU77" s="2805"/>
      <c r="OFV77" s="2805"/>
      <c r="OFW77" s="2805"/>
      <c r="OFX77" s="2805"/>
      <c r="OFY77" s="2805"/>
      <c r="OFZ77" s="2805"/>
      <c r="OGA77" s="2805"/>
      <c r="OGB77" s="2805"/>
      <c r="OGC77" s="2805"/>
      <c r="OGD77" s="2805"/>
      <c r="OGE77" s="2805"/>
      <c r="OGF77" s="2805"/>
      <c r="OGG77" s="2805"/>
      <c r="OGH77" s="2805"/>
      <c r="OGI77" s="2805"/>
      <c r="OGJ77" s="2805"/>
      <c r="OGK77" s="2805"/>
      <c r="OGL77" s="2805"/>
      <c r="OGM77" s="2805"/>
      <c r="OGN77" s="2805"/>
      <c r="OGO77" s="2805"/>
      <c r="OGP77" s="2805"/>
      <c r="OGQ77" s="2805"/>
      <c r="OGR77" s="2805"/>
      <c r="OGS77" s="2805"/>
      <c r="OGT77" s="2805"/>
      <c r="OGU77" s="2805"/>
      <c r="OGV77" s="2805"/>
      <c r="OGW77" s="2805"/>
      <c r="OGX77" s="2805"/>
      <c r="OGY77" s="2805"/>
      <c r="OGZ77" s="2805"/>
      <c r="OHA77" s="2805"/>
      <c r="OHB77" s="2805"/>
      <c r="OHC77" s="2805"/>
      <c r="OHD77" s="2805"/>
      <c r="OHE77" s="2805"/>
      <c r="OHF77" s="2805"/>
      <c r="OHG77" s="2805"/>
      <c r="OHH77" s="2805"/>
      <c r="OHI77" s="2805"/>
      <c r="OHJ77" s="2805"/>
      <c r="OHK77" s="2805"/>
      <c r="OHL77" s="2805"/>
      <c r="OHM77" s="2805"/>
      <c r="OHN77" s="2805"/>
      <c r="OHO77" s="2805"/>
      <c r="OHP77" s="2805"/>
      <c r="OHQ77" s="2805"/>
      <c r="OHR77" s="2805"/>
      <c r="OHS77" s="2805"/>
      <c r="OHT77" s="2805"/>
      <c r="OHU77" s="2805"/>
      <c r="OHV77" s="2805"/>
      <c r="OHW77" s="2805"/>
      <c r="OHX77" s="2805"/>
      <c r="OHY77" s="2805"/>
      <c r="OHZ77" s="2805"/>
      <c r="OIA77" s="2805"/>
      <c r="OIB77" s="2805"/>
      <c r="OIC77" s="2805"/>
      <c r="OID77" s="2805"/>
      <c r="OIE77" s="2805"/>
      <c r="OIF77" s="2805"/>
      <c r="OIG77" s="2805"/>
      <c r="OIH77" s="2805"/>
      <c r="OII77" s="2805"/>
      <c r="OIJ77" s="2805"/>
      <c r="OIK77" s="2805"/>
      <c r="OIL77" s="2805"/>
      <c r="OIM77" s="2805"/>
      <c r="OIN77" s="2805"/>
      <c r="OIO77" s="2805"/>
      <c r="OIP77" s="2805"/>
      <c r="OIQ77" s="2805"/>
      <c r="OIR77" s="2805"/>
      <c r="OIS77" s="2805"/>
      <c r="OIT77" s="2805"/>
      <c r="OIU77" s="2805"/>
      <c r="OIV77" s="2805"/>
      <c r="OIW77" s="2805"/>
      <c r="OIX77" s="2805"/>
      <c r="OIY77" s="2805"/>
      <c r="OIZ77" s="2805"/>
      <c r="OJA77" s="2805"/>
      <c r="OJB77" s="2805"/>
      <c r="OJC77" s="2805"/>
      <c r="OJD77" s="2805"/>
      <c r="OJE77" s="2805"/>
      <c r="OJF77" s="2805"/>
      <c r="OJG77" s="2805"/>
      <c r="OJH77" s="2805"/>
      <c r="OJI77" s="2805"/>
      <c r="OJJ77" s="2805"/>
      <c r="OJK77" s="2805"/>
      <c r="OJL77" s="2805"/>
      <c r="OJM77" s="2805"/>
      <c r="OJN77" s="2805"/>
      <c r="OJO77" s="2805"/>
      <c r="OJP77" s="2805"/>
      <c r="OJQ77" s="2805"/>
      <c r="OJR77" s="2805"/>
      <c r="OJS77" s="2805"/>
      <c r="OJT77" s="2805"/>
      <c r="OJU77" s="2805"/>
      <c r="OJV77" s="2805"/>
      <c r="OJW77" s="2805"/>
      <c r="OJX77" s="2805"/>
      <c r="OJY77" s="2805"/>
      <c r="OJZ77" s="2805"/>
      <c r="OKA77" s="2805"/>
      <c r="OKB77" s="2805"/>
      <c r="OKC77" s="2805"/>
      <c r="OKD77" s="2805"/>
      <c r="OKE77" s="2805"/>
      <c r="OKF77" s="2805"/>
      <c r="OKG77" s="2805"/>
      <c r="OKH77" s="2805"/>
      <c r="OKI77" s="2805"/>
      <c r="OKJ77" s="2805"/>
      <c r="OKK77" s="2805"/>
      <c r="OKL77" s="2805"/>
      <c r="OKM77" s="2805"/>
      <c r="OKN77" s="2805"/>
      <c r="OKO77" s="2805"/>
      <c r="OKP77" s="2805"/>
      <c r="OKQ77" s="2805"/>
      <c r="OKR77" s="2805"/>
      <c r="OKS77" s="2805"/>
      <c r="OKT77" s="2805"/>
      <c r="OKU77" s="2805"/>
      <c r="OKV77" s="2805"/>
      <c r="OKW77" s="2805"/>
      <c r="OKX77" s="2805"/>
      <c r="OKY77" s="2805"/>
      <c r="OKZ77" s="2805"/>
      <c r="OLA77" s="2805"/>
      <c r="OLB77" s="2805"/>
      <c r="OLC77" s="2805"/>
      <c r="OLD77" s="2805"/>
      <c r="OLE77" s="2805"/>
      <c r="OLF77" s="2805"/>
      <c r="OLG77" s="2805"/>
      <c r="OLH77" s="2805"/>
      <c r="OLI77" s="2805"/>
      <c r="OLJ77" s="2805"/>
      <c r="OLK77" s="2805"/>
      <c r="OLL77" s="2805"/>
      <c r="OLM77" s="2805"/>
      <c r="OLN77" s="2805"/>
      <c r="OLO77" s="2805"/>
      <c r="OLP77" s="2805"/>
      <c r="OLQ77" s="2805"/>
      <c r="OLR77" s="2805"/>
      <c r="OLS77" s="2805"/>
      <c r="OLT77" s="2805"/>
      <c r="OLU77" s="2805"/>
      <c r="OLV77" s="2805"/>
      <c r="OLW77" s="2805"/>
      <c r="OLX77" s="2805"/>
      <c r="OLY77" s="2805"/>
      <c r="OLZ77" s="2805"/>
      <c r="OMA77" s="2805"/>
      <c r="OMB77" s="2805"/>
      <c r="OMC77" s="2805"/>
      <c r="OMD77" s="2805"/>
      <c r="OME77" s="2805"/>
      <c r="OMF77" s="2805"/>
      <c r="OMG77" s="2805"/>
      <c r="OMH77" s="2805"/>
      <c r="OMI77" s="2805"/>
      <c r="OMJ77" s="2805"/>
      <c r="OMK77" s="2805"/>
      <c r="OML77" s="2805"/>
      <c r="OMM77" s="2805"/>
      <c r="OMN77" s="2805"/>
      <c r="OMO77" s="2805"/>
      <c r="OMP77" s="2805"/>
      <c r="OMQ77" s="2805"/>
      <c r="OMR77" s="2805"/>
      <c r="OMS77" s="2805"/>
      <c r="OMT77" s="2805"/>
      <c r="OMU77" s="2805"/>
      <c r="OMV77" s="2805"/>
      <c r="OMW77" s="2805"/>
      <c r="OMX77" s="2805"/>
      <c r="OMY77" s="2805"/>
      <c r="OMZ77" s="2805"/>
      <c r="ONA77" s="2805"/>
      <c r="ONB77" s="2805"/>
      <c r="ONC77" s="2805"/>
      <c r="OND77" s="2805"/>
      <c r="ONE77" s="2805"/>
      <c r="ONF77" s="2805"/>
      <c r="ONG77" s="2805"/>
      <c r="ONH77" s="2805"/>
      <c r="ONI77" s="2805"/>
      <c r="ONJ77" s="2805"/>
      <c r="ONK77" s="2805"/>
      <c r="ONL77" s="2805"/>
      <c r="ONM77" s="2805"/>
      <c r="ONN77" s="2805"/>
      <c r="ONO77" s="2805"/>
      <c r="ONP77" s="2805"/>
      <c r="ONQ77" s="2805"/>
      <c r="ONR77" s="2805"/>
      <c r="ONS77" s="2805"/>
      <c r="ONT77" s="2805"/>
      <c r="ONU77" s="2805"/>
      <c r="ONV77" s="2805"/>
      <c r="ONW77" s="2805"/>
      <c r="ONX77" s="2805"/>
      <c r="ONY77" s="2805"/>
      <c r="ONZ77" s="2805"/>
      <c r="OOA77" s="2805"/>
      <c r="OOB77" s="2805"/>
      <c r="OOC77" s="2805"/>
      <c r="OOD77" s="2805"/>
      <c r="OOE77" s="2805"/>
      <c r="OOF77" s="2805"/>
      <c r="OOG77" s="2805"/>
      <c r="OOH77" s="2805"/>
      <c r="OOI77" s="2805"/>
      <c r="OOJ77" s="2805"/>
      <c r="OOK77" s="2805"/>
      <c r="OOL77" s="2805"/>
      <c r="OOM77" s="2805"/>
      <c r="OON77" s="2805"/>
      <c r="OOO77" s="2805"/>
      <c r="OOP77" s="2805"/>
      <c r="OOQ77" s="2805"/>
      <c r="OOR77" s="2805"/>
      <c r="OOS77" s="2805"/>
      <c r="OOT77" s="2805"/>
      <c r="OOU77" s="2805"/>
      <c r="OOV77" s="2805"/>
      <c r="OOW77" s="2805"/>
      <c r="OOX77" s="2805"/>
      <c r="OOY77" s="2805"/>
      <c r="OOZ77" s="2805"/>
      <c r="OPA77" s="2805"/>
      <c r="OPB77" s="2805"/>
      <c r="OPC77" s="2805"/>
      <c r="OPD77" s="2805"/>
      <c r="OPE77" s="2805"/>
      <c r="OPF77" s="2805"/>
      <c r="OPG77" s="2805"/>
      <c r="OPH77" s="2805"/>
      <c r="OPI77" s="2805"/>
      <c r="OPJ77" s="2805"/>
      <c r="OPK77" s="2805"/>
      <c r="OPL77" s="2805"/>
      <c r="OPM77" s="2805"/>
      <c r="OPN77" s="2805"/>
      <c r="OPO77" s="2805"/>
      <c r="OPP77" s="2805"/>
      <c r="OPQ77" s="2805"/>
      <c r="OPR77" s="2805"/>
      <c r="OPS77" s="2805"/>
      <c r="OPT77" s="2805"/>
      <c r="OPU77" s="2805"/>
      <c r="OPV77" s="2805"/>
      <c r="OPW77" s="2805"/>
      <c r="OPX77" s="2805"/>
      <c r="OPY77" s="2805"/>
      <c r="OPZ77" s="2805"/>
      <c r="OQA77" s="2805"/>
      <c r="OQB77" s="2805"/>
      <c r="OQC77" s="2805"/>
      <c r="OQD77" s="2805"/>
      <c r="OQE77" s="2805"/>
      <c r="OQF77" s="2805"/>
      <c r="OQG77" s="2805"/>
      <c r="OQH77" s="2805"/>
      <c r="OQI77" s="2805"/>
      <c r="OQJ77" s="2805"/>
      <c r="OQK77" s="2805"/>
      <c r="OQL77" s="2805"/>
      <c r="OQM77" s="2805"/>
      <c r="OQN77" s="2805"/>
      <c r="OQO77" s="2805"/>
      <c r="OQP77" s="2805"/>
      <c r="OQQ77" s="2805"/>
      <c r="OQR77" s="2805"/>
      <c r="OQS77" s="2805"/>
      <c r="OQT77" s="2805"/>
      <c r="OQU77" s="2805"/>
      <c r="OQV77" s="2805"/>
      <c r="OQW77" s="2805"/>
      <c r="OQX77" s="2805"/>
      <c r="OQY77" s="2805"/>
      <c r="OQZ77" s="2805"/>
      <c r="ORA77" s="2805"/>
      <c r="ORB77" s="2805"/>
      <c r="ORC77" s="2805"/>
      <c r="ORD77" s="2805"/>
      <c r="ORE77" s="2805"/>
      <c r="ORF77" s="2805"/>
      <c r="ORG77" s="2805"/>
      <c r="ORH77" s="2805"/>
      <c r="ORI77" s="2805"/>
      <c r="ORJ77" s="2805"/>
      <c r="ORK77" s="2805"/>
      <c r="ORL77" s="2805"/>
      <c r="ORM77" s="2805"/>
      <c r="ORN77" s="2805"/>
      <c r="ORO77" s="2805"/>
      <c r="ORP77" s="2805"/>
      <c r="ORQ77" s="2805"/>
      <c r="ORR77" s="2805"/>
      <c r="ORS77" s="2805"/>
      <c r="ORT77" s="2805"/>
      <c r="ORU77" s="2805"/>
      <c r="ORV77" s="2805"/>
      <c r="ORW77" s="2805"/>
      <c r="ORX77" s="2805"/>
      <c r="ORY77" s="2805"/>
      <c r="ORZ77" s="2805"/>
      <c r="OSA77" s="2805"/>
      <c r="OSB77" s="2805"/>
      <c r="OSC77" s="2805"/>
      <c r="OSD77" s="2805"/>
      <c r="OSE77" s="2805"/>
      <c r="OSF77" s="2805"/>
      <c r="OSG77" s="2805"/>
      <c r="OSH77" s="2805"/>
      <c r="OSI77" s="2805"/>
      <c r="OSJ77" s="2805"/>
      <c r="OSK77" s="2805"/>
      <c r="OSL77" s="2805"/>
      <c r="OSM77" s="2805"/>
      <c r="OSN77" s="2805"/>
      <c r="OSO77" s="2805"/>
      <c r="OSP77" s="2805"/>
      <c r="OSQ77" s="2805"/>
      <c r="OSR77" s="2805"/>
      <c r="OSS77" s="2805"/>
      <c r="OST77" s="2805"/>
      <c r="OSU77" s="2805"/>
      <c r="OSV77" s="2805"/>
      <c r="OSW77" s="2805"/>
      <c r="OSX77" s="2805"/>
      <c r="OSY77" s="2805"/>
      <c r="OSZ77" s="2805"/>
      <c r="OTA77" s="2805"/>
      <c r="OTB77" s="2805"/>
      <c r="OTC77" s="2805"/>
      <c r="OTD77" s="2805"/>
      <c r="OTE77" s="2805"/>
      <c r="OTF77" s="2805"/>
      <c r="OTG77" s="2805"/>
      <c r="OTH77" s="2805"/>
      <c r="OTI77" s="2805"/>
      <c r="OTJ77" s="2805"/>
      <c r="OTK77" s="2805"/>
      <c r="OTL77" s="2805"/>
      <c r="OTM77" s="2805"/>
      <c r="OTN77" s="2805"/>
      <c r="OTO77" s="2805"/>
      <c r="OTP77" s="2805"/>
      <c r="OTQ77" s="2805"/>
      <c r="OTR77" s="2805"/>
      <c r="OTS77" s="2805"/>
      <c r="OTT77" s="2805"/>
      <c r="OTU77" s="2805"/>
      <c r="OTV77" s="2805"/>
      <c r="OTW77" s="2805"/>
      <c r="OTX77" s="2805"/>
      <c r="OTY77" s="2805"/>
      <c r="OTZ77" s="2805"/>
      <c r="OUA77" s="2805"/>
      <c r="OUB77" s="2805"/>
      <c r="OUC77" s="2805"/>
      <c r="OUD77" s="2805"/>
      <c r="OUE77" s="2805"/>
      <c r="OUF77" s="2805"/>
      <c r="OUG77" s="2805"/>
      <c r="OUH77" s="2805"/>
      <c r="OUI77" s="2805"/>
      <c r="OUJ77" s="2805"/>
      <c r="OUK77" s="2805"/>
      <c r="OUL77" s="2805"/>
      <c r="OUM77" s="2805"/>
      <c r="OUN77" s="2805"/>
      <c r="OUO77" s="2805"/>
      <c r="OUP77" s="2805"/>
      <c r="OUQ77" s="2805"/>
      <c r="OUR77" s="2805"/>
      <c r="OUS77" s="2805"/>
      <c r="OUT77" s="2805"/>
      <c r="OUU77" s="2805"/>
      <c r="OUV77" s="2805"/>
      <c r="OUW77" s="2805"/>
      <c r="OUX77" s="2805"/>
      <c r="OUY77" s="2805"/>
      <c r="OUZ77" s="2805"/>
      <c r="OVA77" s="2805"/>
      <c r="OVB77" s="2805"/>
      <c r="OVC77" s="2805"/>
      <c r="OVD77" s="2805"/>
      <c r="OVE77" s="2805"/>
      <c r="OVF77" s="2805"/>
      <c r="OVG77" s="2805"/>
      <c r="OVH77" s="2805"/>
      <c r="OVI77" s="2805"/>
      <c r="OVJ77" s="2805"/>
      <c r="OVK77" s="2805"/>
      <c r="OVL77" s="2805"/>
      <c r="OVM77" s="2805"/>
      <c r="OVN77" s="2805"/>
      <c r="OVO77" s="2805"/>
      <c r="OVP77" s="2805"/>
      <c r="OVQ77" s="2805"/>
      <c r="OVR77" s="2805"/>
      <c r="OVS77" s="2805"/>
      <c r="OVT77" s="2805"/>
      <c r="OVU77" s="2805"/>
      <c r="OVV77" s="2805"/>
      <c r="OVW77" s="2805"/>
      <c r="OVX77" s="2805"/>
      <c r="OVY77" s="2805"/>
      <c r="OVZ77" s="2805"/>
      <c r="OWA77" s="2805"/>
      <c r="OWB77" s="2805"/>
      <c r="OWC77" s="2805"/>
      <c r="OWD77" s="2805"/>
      <c r="OWE77" s="2805"/>
      <c r="OWF77" s="2805"/>
      <c r="OWG77" s="2805"/>
      <c r="OWH77" s="2805"/>
      <c r="OWI77" s="2805"/>
      <c r="OWJ77" s="2805"/>
      <c r="OWK77" s="2805"/>
      <c r="OWL77" s="2805"/>
      <c r="OWM77" s="2805"/>
      <c r="OWN77" s="2805"/>
      <c r="OWO77" s="2805"/>
      <c r="OWP77" s="2805"/>
      <c r="OWQ77" s="2805"/>
      <c r="OWR77" s="2805"/>
      <c r="OWS77" s="2805"/>
      <c r="OWT77" s="2805"/>
      <c r="OWU77" s="2805"/>
      <c r="OWV77" s="2805"/>
      <c r="OWW77" s="2805"/>
      <c r="OWX77" s="2805"/>
      <c r="OWY77" s="2805"/>
      <c r="OWZ77" s="2805"/>
      <c r="OXA77" s="2805"/>
      <c r="OXB77" s="2805"/>
      <c r="OXC77" s="2805"/>
      <c r="OXD77" s="2805"/>
      <c r="OXE77" s="2805"/>
      <c r="OXF77" s="2805"/>
      <c r="OXG77" s="2805"/>
      <c r="OXH77" s="2805"/>
      <c r="OXI77" s="2805"/>
      <c r="OXJ77" s="2805"/>
      <c r="OXK77" s="2805"/>
      <c r="OXL77" s="2805"/>
      <c r="OXM77" s="2805"/>
      <c r="OXN77" s="2805"/>
      <c r="OXO77" s="2805"/>
      <c r="OXP77" s="2805"/>
      <c r="OXQ77" s="2805"/>
      <c r="OXR77" s="2805"/>
      <c r="OXS77" s="2805"/>
      <c r="OXT77" s="2805"/>
      <c r="OXU77" s="2805"/>
      <c r="OXV77" s="2805"/>
      <c r="OXW77" s="2805"/>
      <c r="OXX77" s="2805"/>
      <c r="OXY77" s="2805"/>
      <c r="OXZ77" s="2805"/>
      <c r="OYA77" s="2805"/>
      <c r="OYB77" s="2805"/>
      <c r="OYC77" s="2805"/>
      <c r="OYD77" s="2805"/>
      <c r="OYE77" s="2805"/>
      <c r="OYF77" s="2805"/>
      <c r="OYG77" s="2805"/>
      <c r="OYH77" s="2805"/>
      <c r="OYI77" s="2805"/>
      <c r="OYJ77" s="2805"/>
      <c r="OYK77" s="2805"/>
      <c r="OYL77" s="2805"/>
      <c r="OYM77" s="2805"/>
      <c r="OYN77" s="2805"/>
      <c r="OYO77" s="2805"/>
      <c r="OYP77" s="2805"/>
      <c r="OYQ77" s="2805"/>
      <c r="OYR77" s="2805"/>
      <c r="OYS77" s="2805"/>
      <c r="OYT77" s="2805"/>
      <c r="OYU77" s="2805"/>
      <c r="OYV77" s="2805"/>
      <c r="OYW77" s="2805"/>
      <c r="OYX77" s="2805"/>
      <c r="OYY77" s="2805"/>
      <c r="OYZ77" s="2805"/>
      <c r="OZA77" s="2805"/>
      <c r="OZB77" s="2805"/>
      <c r="OZC77" s="2805"/>
      <c r="OZD77" s="2805"/>
      <c r="OZE77" s="2805"/>
      <c r="OZF77" s="2805"/>
      <c r="OZG77" s="2805"/>
      <c r="OZH77" s="2805"/>
      <c r="OZI77" s="2805"/>
      <c r="OZJ77" s="2805"/>
      <c r="OZK77" s="2805"/>
      <c r="OZL77" s="2805"/>
      <c r="OZM77" s="2805"/>
      <c r="OZN77" s="2805"/>
      <c r="OZO77" s="2805"/>
      <c r="OZP77" s="2805"/>
      <c r="OZQ77" s="2805"/>
      <c r="OZR77" s="2805"/>
      <c r="OZS77" s="2805"/>
      <c r="OZT77" s="2805"/>
      <c r="OZU77" s="2805"/>
      <c r="OZV77" s="2805"/>
      <c r="OZW77" s="2805"/>
      <c r="OZX77" s="2805"/>
      <c r="OZY77" s="2805"/>
      <c r="OZZ77" s="2805"/>
      <c r="PAA77" s="2805"/>
      <c r="PAB77" s="2805"/>
      <c r="PAC77" s="2805"/>
      <c r="PAD77" s="2805"/>
      <c r="PAE77" s="2805"/>
      <c r="PAF77" s="2805"/>
      <c r="PAG77" s="2805"/>
      <c r="PAH77" s="2805"/>
      <c r="PAI77" s="2805"/>
      <c r="PAJ77" s="2805"/>
      <c r="PAK77" s="2805"/>
      <c r="PAL77" s="2805"/>
      <c r="PAM77" s="2805"/>
      <c r="PAN77" s="2805"/>
      <c r="PAO77" s="2805"/>
      <c r="PAP77" s="2805"/>
      <c r="PAQ77" s="2805"/>
      <c r="PAR77" s="2805"/>
      <c r="PAS77" s="2805"/>
      <c r="PAT77" s="2805"/>
      <c r="PAU77" s="2805"/>
      <c r="PAV77" s="2805"/>
      <c r="PAW77" s="2805"/>
      <c r="PAX77" s="2805"/>
      <c r="PAY77" s="2805"/>
      <c r="PAZ77" s="2805"/>
      <c r="PBA77" s="2805"/>
      <c r="PBB77" s="2805"/>
      <c r="PBC77" s="2805"/>
      <c r="PBD77" s="2805"/>
      <c r="PBE77" s="2805"/>
      <c r="PBF77" s="2805"/>
      <c r="PBG77" s="2805"/>
      <c r="PBH77" s="2805"/>
      <c r="PBI77" s="2805"/>
      <c r="PBJ77" s="2805"/>
      <c r="PBK77" s="2805"/>
      <c r="PBL77" s="2805"/>
      <c r="PBM77" s="2805"/>
      <c r="PBN77" s="2805"/>
      <c r="PBO77" s="2805"/>
      <c r="PBP77" s="2805"/>
      <c r="PBQ77" s="2805"/>
      <c r="PBR77" s="2805"/>
      <c r="PBS77" s="2805"/>
      <c r="PBT77" s="2805"/>
      <c r="PBU77" s="2805"/>
      <c r="PBV77" s="2805"/>
      <c r="PBW77" s="2805"/>
      <c r="PBX77" s="2805"/>
      <c r="PBY77" s="2805"/>
      <c r="PBZ77" s="2805"/>
      <c r="PCA77" s="2805"/>
      <c r="PCB77" s="2805"/>
      <c r="PCC77" s="2805"/>
      <c r="PCD77" s="2805"/>
      <c r="PCE77" s="2805"/>
      <c r="PCF77" s="2805"/>
      <c r="PCG77" s="2805"/>
      <c r="PCH77" s="2805"/>
      <c r="PCI77" s="2805"/>
      <c r="PCJ77" s="2805"/>
      <c r="PCK77" s="2805"/>
      <c r="PCL77" s="2805"/>
      <c r="PCM77" s="2805"/>
      <c r="PCN77" s="2805"/>
      <c r="PCO77" s="2805"/>
      <c r="PCP77" s="2805"/>
      <c r="PCQ77" s="2805"/>
      <c r="PCR77" s="2805"/>
      <c r="PCS77" s="2805"/>
      <c r="PCT77" s="2805"/>
      <c r="PCU77" s="2805"/>
      <c r="PCV77" s="2805"/>
      <c r="PCW77" s="2805"/>
      <c r="PCX77" s="2805"/>
      <c r="PCY77" s="2805"/>
      <c r="PCZ77" s="2805"/>
      <c r="PDA77" s="2805"/>
      <c r="PDB77" s="2805"/>
      <c r="PDC77" s="2805"/>
      <c r="PDD77" s="2805"/>
      <c r="PDE77" s="2805"/>
      <c r="PDF77" s="2805"/>
      <c r="PDG77" s="2805"/>
      <c r="PDH77" s="2805"/>
      <c r="PDI77" s="2805"/>
      <c r="PDJ77" s="2805"/>
      <c r="PDK77" s="2805"/>
      <c r="PDL77" s="2805"/>
      <c r="PDM77" s="2805"/>
      <c r="PDN77" s="2805"/>
      <c r="PDO77" s="2805"/>
      <c r="PDP77" s="2805"/>
      <c r="PDQ77" s="2805"/>
      <c r="PDR77" s="2805"/>
      <c r="PDS77" s="2805"/>
      <c r="PDT77" s="2805"/>
      <c r="PDU77" s="2805"/>
      <c r="PDV77" s="2805"/>
      <c r="PDW77" s="2805"/>
      <c r="PDX77" s="2805"/>
      <c r="PDY77" s="2805"/>
      <c r="PDZ77" s="2805"/>
      <c r="PEA77" s="2805"/>
      <c r="PEB77" s="2805"/>
      <c r="PEC77" s="2805"/>
      <c r="PED77" s="2805"/>
      <c r="PEE77" s="2805"/>
      <c r="PEF77" s="2805"/>
      <c r="PEG77" s="2805"/>
      <c r="PEH77" s="2805"/>
      <c r="PEI77" s="2805"/>
      <c r="PEJ77" s="2805"/>
      <c r="PEK77" s="2805"/>
      <c r="PEL77" s="2805"/>
      <c r="PEM77" s="2805"/>
      <c r="PEN77" s="2805"/>
      <c r="PEO77" s="2805"/>
      <c r="PEP77" s="2805"/>
      <c r="PEQ77" s="2805"/>
      <c r="PER77" s="2805"/>
      <c r="PES77" s="2805"/>
      <c r="PET77" s="2805"/>
      <c r="PEU77" s="2805"/>
      <c r="PEV77" s="2805"/>
      <c r="PEW77" s="2805"/>
      <c r="PEX77" s="2805"/>
      <c r="PEY77" s="2805"/>
      <c r="PEZ77" s="2805"/>
      <c r="PFA77" s="2805"/>
      <c r="PFB77" s="2805"/>
      <c r="PFC77" s="2805"/>
      <c r="PFD77" s="2805"/>
      <c r="PFE77" s="2805"/>
      <c r="PFF77" s="2805"/>
      <c r="PFG77" s="2805"/>
      <c r="PFH77" s="2805"/>
      <c r="PFI77" s="2805"/>
      <c r="PFJ77" s="2805"/>
      <c r="PFK77" s="2805"/>
      <c r="PFL77" s="2805"/>
      <c r="PFM77" s="2805"/>
      <c r="PFN77" s="2805"/>
      <c r="PFO77" s="2805"/>
      <c r="PFP77" s="2805"/>
      <c r="PFQ77" s="2805"/>
      <c r="PFR77" s="2805"/>
      <c r="PFS77" s="2805"/>
      <c r="PFT77" s="2805"/>
      <c r="PFU77" s="2805"/>
      <c r="PFV77" s="2805"/>
      <c r="PFW77" s="2805"/>
      <c r="PFX77" s="2805"/>
      <c r="PFY77" s="2805"/>
      <c r="PFZ77" s="2805"/>
      <c r="PGA77" s="2805"/>
      <c r="PGB77" s="2805"/>
      <c r="PGC77" s="2805"/>
      <c r="PGD77" s="2805"/>
      <c r="PGE77" s="2805"/>
      <c r="PGF77" s="2805"/>
      <c r="PGG77" s="2805"/>
      <c r="PGH77" s="2805"/>
      <c r="PGI77" s="2805"/>
      <c r="PGJ77" s="2805"/>
      <c r="PGK77" s="2805"/>
      <c r="PGL77" s="2805"/>
      <c r="PGM77" s="2805"/>
      <c r="PGN77" s="2805"/>
      <c r="PGO77" s="2805"/>
      <c r="PGP77" s="2805"/>
      <c r="PGQ77" s="2805"/>
      <c r="PGR77" s="2805"/>
      <c r="PGS77" s="2805"/>
      <c r="PGT77" s="2805"/>
      <c r="PGU77" s="2805"/>
      <c r="PGV77" s="2805"/>
      <c r="PGW77" s="2805"/>
      <c r="PGX77" s="2805"/>
      <c r="PGY77" s="2805"/>
      <c r="PGZ77" s="2805"/>
      <c r="PHA77" s="2805"/>
      <c r="PHB77" s="2805"/>
      <c r="PHC77" s="2805"/>
      <c r="PHD77" s="2805"/>
      <c r="PHE77" s="2805"/>
      <c r="PHF77" s="2805"/>
      <c r="PHG77" s="2805"/>
      <c r="PHH77" s="2805"/>
      <c r="PHI77" s="2805"/>
      <c r="PHJ77" s="2805"/>
      <c r="PHK77" s="2805"/>
      <c r="PHL77" s="2805"/>
      <c r="PHM77" s="2805"/>
      <c r="PHN77" s="2805"/>
      <c r="PHO77" s="2805"/>
      <c r="PHP77" s="2805"/>
      <c r="PHQ77" s="2805"/>
      <c r="PHR77" s="2805"/>
      <c r="PHS77" s="2805"/>
      <c r="PHT77" s="2805"/>
      <c r="PHU77" s="2805"/>
      <c r="PHV77" s="2805"/>
      <c r="PHW77" s="2805"/>
      <c r="PHX77" s="2805"/>
      <c r="PHY77" s="2805"/>
      <c r="PHZ77" s="2805"/>
      <c r="PIA77" s="2805"/>
      <c r="PIB77" s="2805"/>
      <c r="PIC77" s="2805"/>
      <c r="PID77" s="2805"/>
      <c r="PIE77" s="2805"/>
      <c r="PIF77" s="2805"/>
      <c r="PIG77" s="2805"/>
      <c r="PIH77" s="2805"/>
      <c r="PII77" s="2805"/>
      <c r="PIJ77" s="2805"/>
      <c r="PIK77" s="2805"/>
      <c r="PIL77" s="2805"/>
      <c r="PIM77" s="2805"/>
      <c r="PIN77" s="2805"/>
      <c r="PIO77" s="2805"/>
      <c r="PIP77" s="2805"/>
      <c r="PIQ77" s="2805"/>
      <c r="PIR77" s="2805"/>
      <c r="PIS77" s="2805"/>
      <c r="PIT77" s="2805"/>
      <c r="PIU77" s="2805"/>
      <c r="PIV77" s="2805"/>
      <c r="PIW77" s="2805"/>
      <c r="PIX77" s="2805"/>
      <c r="PIY77" s="2805"/>
      <c r="PIZ77" s="2805"/>
      <c r="PJA77" s="2805"/>
      <c r="PJB77" s="2805"/>
      <c r="PJC77" s="2805"/>
      <c r="PJD77" s="2805"/>
      <c r="PJE77" s="2805"/>
      <c r="PJF77" s="2805"/>
      <c r="PJG77" s="2805"/>
      <c r="PJH77" s="2805"/>
      <c r="PJI77" s="2805"/>
      <c r="PJJ77" s="2805"/>
      <c r="PJK77" s="2805"/>
      <c r="PJL77" s="2805"/>
      <c r="PJM77" s="2805"/>
      <c r="PJN77" s="2805"/>
      <c r="PJO77" s="2805"/>
      <c r="PJP77" s="2805"/>
      <c r="PJQ77" s="2805"/>
      <c r="PJR77" s="2805"/>
      <c r="PJS77" s="2805"/>
      <c r="PJT77" s="2805"/>
      <c r="PJU77" s="2805"/>
      <c r="PJV77" s="2805"/>
      <c r="PJW77" s="2805"/>
      <c r="PJX77" s="2805"/>
      <c r="PJY77" s="2805"/>
      <c r="PJZ77" s="2805"/>
      <c r="PKA77" s="2805"/>
      <c r="PKB77" s="2805"/>
      <c r="PKC77" s="2805"/>
      <c r="PKD77" s="2805"/>
      <c r="PKE77" s="2805"/>
      <c r="PKF77" s="2805"/>
      <c r="PKG77" s="2805"/>
      <c r="PKH77" s="2805"/>
      <c r="PKI77" s="2805"/>
      <c r="PKJ77" s="2805"/>
      <c r="PKK77" s="2805"/>
      <c r="PKL77" s="2805"/>
      <c r="PKM77" s="2805"/>
      <c r="PKN77" s="2805"/>
      <c r="PKO77" s="2805"/>
      <c r="PKP77" s="2805"/>
      <c r="PKQ77" s="2805"/>
      <c r="PKR77" s="2805"/>
      <c r="PKS77" s="2805"/>
      <c r="PKT77" s="2805"/>
      <c r="PKU77" s="2805"/>
      <c r="PKV77" s="2805"/>
      <c r="PKW77" s="2805"/>
      <c r="PKX77" s="2805"/>
      <c r="PKY77" s="2805"/>
      <c r="PKZ77" s="2805"/>
      <c r="PLA77" s="2805"/>
      <c r="PLB77" s="2805"/>
      <c r="PLC77" s="2805"/>
      <c r="PLD77" s="2805"/>
      <c r="PLE77" s="2805"/>
      <c r="PLF77" s="2805"/>
      <c r="PLG77" s="2805"/>
      <c r="PLH77" s="2805"/>
      <c r="PLI77" s="2805"/>
      <c r="PLJ77" s="2805"/>
      <c r="PLK77" s="2805"/>
      <c r="PLL77" s="2805"/>
      <c r="PLM77" s="2805"/>
      <c r="PLN77" s="2805"/>
      <c r="PLO77" s="2805"/>
      <c r="PLP77" s="2805"/>
      <c r="PLQ77" s="2805"/>
      <c r="PLR77" s="2805"/>
      <c r="PLS77" s="2805"/>
      <c r="PLT77" s="2805"/>
      <c r="PLU77" s="2805"/>
      <c r="PLV77" s="2805"/>
      <c r="PLW77" s="2805"/>
      <c r="PLX77" s="2805"/>
      <c r="PLY77" s="2805"/>
      <c r="PLZ77" s="2805"/>
      <c r="PMA77" s="2805"/>
      <c r="PMB77" s="2805"/>
      <c r="PMC77" s="2805"/>
      <c r="PMD77" s="2805"/>
      <c r="PME77" s="2805"/>
      <c r="PMF77" s="2805"/>
      <c r="PMG77" s="2805"/>
      <c r="PMH77" s="2805"/>
      <c r="PMI77" s="2805"/>
      <c r="PMJ77" s="2805"/>
      <c r="PMK77" s="2805"/>
      <c r="PML77" s="2805"/>
      <c r="PMM77" s="2805"/>
      <c r="PMN77" s="2805"/>
      <c r="PMO77" s="2805"/>
      <c r="PMP77" s="2805"/>
      <c r="PMQ77" s="2805"/>
      <c r="PMR77" s="2805"/>
      <c r="PMS77" s="2805"/>
      <c r="PMT77" s="2805"/>
      <c r="PMU77" s="2805"/>
      <c r="PMV77" s="2805"/>
      <c r="PMW77" s="2805"/>
      <c r="PMX77" s="2805"/>
      <c r="PMY77" s="2805"/>
      <c r="PMZ77" s="2805"/>
      <c r="PNA77" s="2805"/>
      <c r="PNB77" s="2805"/>
      <c r="PNC77" s="2805"/>
      <c r="PND77" s="2805"/>
      <c r="PNE77" s="2805"/>
      <c r="PNF77" s="2805"/>
      <c r="PNG77" s="2805"/>
      <c r="PNH77" s="2805"/>
      <c r="PNI77" s="2805"/>
      <c r="PNJ77" s="2805"/>
      <c r="PNK77" s="2805"/>
      <c r="PNL77" s="2805"/>
      <c r="PNM77" s="2805"/>
      <c r="PNN77" s="2805"/>
      <c r="PNO77" s="2805"/>
      <c r="PNP77" s="2805"/>
      <c r="PNQ77" s="2805"/>
      <c r="PNR77" s="2805"/>
      <c r="PNS77" s="2805"/>
      <c r="PNT77" s="2805"/>
      <c r="PNU77" s="2805"/>
      <c r="PNV77" s="2805"/>
      <c r="PNW77" s="2805"/>
      <c r="PNX77" s="2805"/>
      <c r="PNY77" s="2805"/>
      <c r="PNZ77" s="2805"/>
      <c r="POA77" s="2805"/>
      <c r="POB77" s="2805"/>
      <c r="POC77" s="2805"/>
      <c r="POD77" s="2805"/>
      <c r="POE77" s="2805"/>
      <c r="POF77" s="2805"/>
      <c r="POG77" s="2805"/>
      <c r="POH77" s="2805"/>
      <c r="POI77" s="2805"/>
      <c r="POJ77" s="2805"/>
      <c r="POK77" s="2805"/>
      <c r="POL77" s="2805"/>
      <c r="POM77" s="2805"/>
      <c r="PON77" s="2805"/>
      <c r="POO77" s="2805"/>
      <c r="POP77" s="2805"/>
      <c r="POQ77" s="2805"/>
      <c r="POR77" s="2805"/>
      <c r="POS77" s="2805"/>
      <c r="POT77" s="2805"/>
      <c r="POU77" s="2805"/>
      <c r="POV77" s="2805"/>
      <c r="POW77" s="2805"/>
      <c r="POX77" s="2805"/>
      <c r="POY77" s="2805"/>
      <c r="POZ77" s="2805"/>
      <c r="PPA77" s="2805"/>
      <c r="PPB77" s="2805"/>
      <c r="PPC77" s="2805"/>
      <c r="PPD77" s="2805"/>
      <c r="PPE77" s="2805"/>
      <c r="PPF77" s="2805"/>
      <c r="PPG77" s="2805"/>
      <c r="PPH77" s="2805"/>
      <c r="PPI77" s="2805"/>
      <c r="PPJ77" s="2805"/>
      <c r="PPK77" s="2805"/>
      <c r="PPL77" s="2805"/>
      <c r="PPM77" s="2805"/>
      <c r="PPN77" s="2805"/>
      <c r="PPO77" s="2805"/>
      <c r="PPP77" s="2805"/>
      <c r="PPQ77" s="2805"/>
      <c r="PPR77" s="2805"/>
      <c r="PPS77" s="2805"/>
      <c r="PPT77" s="2805"/>
      <c r="PPU77" s="2805"/>
      <c r="PPV77" s="2805"/>
      <c r="PPW77" s="2805"/>
      <c r="PPX77" s="2805"/>
      <c r="PPY77" s="2805"/>
      <c r="PPZ77" s="2805"/>
      <c r="PQA77" s="2805"/>
      <c r="PQB77" s="2805"/>
      <c r="PQC77" s="2805"/>
      <c r="PQD77" s="2805"/>
      <c r="PQE77" s="2805"/>
      <c r="PQF77" s="2805"/>
      <c r="PQG77" s="2805"/>
      <c r="PQH77" s="2805"/>
      <c r="PQI77" s="2805"/>
      <c r="PQJ77" s="2805"/>
      <c r="PQK77" s="2805"/>
      <c r="PQL77" s="2805"/>
      <c r="PQM77" s="2805"/>
      <c r="PQN77" s="2805"/>
      <c r="PQO77" s="2805"/>
      <c r="PQP77" s="2805"/>
      <c r="PQQ77" s="2805"/>
      <c r="PQR77" s="2805"/>
      <c r="PQS77" s="2805"/>
      <c r="PQT77" s="2805"/>
      <c r="PQU77" s="2805"/>
      <c r="PQV77" s="2805"/>
      <c r="PQW77" s="2805"/>
      <c r="PQX77" s="2805"/>
      <c r="PQY77" s="2805"/>
      <c r="PQZ77" s="2805"/>
      <c r="PRA77" s="2805"/>
      <c r="PRB77" s="2805"/>
      <c r="PRC77" s="2805"/>
      <c r="PRD77" s="2805"/>
      <c r="PRE77" s="2805"/>
      <c r="PRF77" s="2805"/>
      <c r="PRG77" s="2805"/>
      <c r="PRH77" s="2805"/>
      <c r="PRI77" s="2805"/>
      <c r="PRJ77" s="2805"/>
      <c r="PRK77" s="2805"/>
      <c r="PRL77" s="2805"/>
      <c r="PRM77" s="2805"/>
      <c r="PRN77" s="2805"/>
      <c r="PRO77" s="2805"/>
      <c r="PRP77" s="2805"/>
      <c r="PRQ77" s="2805"/>
      <c r="PRR77" s="2805"/>
      <c r="PRS77" s="2805"/>
      <c r="PRT77" s="2805"/>
      <c r="PRU77" s="2805"/>
      <c r="PRV77" s="2805"/>
      <c r="PRW77" s="2805"/>
      <c r="PRX77" s="2805"/>
      <c r="PRY77" s="2805"/>
      <c r="PRZ77" s="2805"/>
      <c r="PSA77" s="2805"/>
      <c r="PSB77" s="2805"/>
      <c r="PSC77" s="2805"/>
      <c r="PSD77" s="2805"/>
      <c r="PSE77" s="2805"/>
      <c r="PSF77" s="2805"/>
      <c r="PSG77" s="2805"/>
      <c r="PSH77" s="2805"/>
      <c r="PSI77" s="2805"/>
      <c r="PSJ77" s="2805"/>
      <c r="PSK77" s="2805"/>
      <c r="PSL77" s="2805"/>
      <c r="PSM77" s="2805"/>
      <c r="PSN77" s="2805"/>
      <c r="PSO77" s="2805"/>
      <c r="PSP77" s="2805"/>
      <c r="PSQ77" s="2805"/>
      <c r="PSR77" s="2805"/>
      <c r="PSS77" s="2805"/>
      <c r="PST77" s="2805"/>
      <c r="PSU77" s="2805"/>
      <c r="PSV77" s="2805"/>
      <c r="PSW77" s="2805"/>
      <c r="PSX77" s="2805"/>
      <c r="PSY77" s="2805"/>
      <c r="PSZ77" s="2805"/>
      <c r="PTA77" s="2805"/>
      <c r="PTB77" s="2805"/>
      <c r="PTC77" s="2805"/>
      <c r="PTD77" s="2805"/>
      <c r="PTE77" s="2805"/>
      <c r="PTF77" s="2805"/>
      <c r="PTG77" s="2805"/>
      <c r="PTH77" s="2805"/>
      <c r="PTI77" s="2805"/>
      <c r="PTJ77" s="2805"/>
      <c r="PTK77" s="2805"/>
      <c r="PTL77" s="2805"/>
      <c r="PTM77" s="2805"/>
      <c r="PTN77" s="2805"/>
      <c r="PTO77" s="2805"/>
      <c r="PTP77" s="2805"/>
      <c r="PTQ77" s="2805"/>
      <c r="PTR77" s="2805"/>
      <c r="PTS77" s="2805"/>
      <c r="PTT77" s="2805"/>
      <c r="PTU77" s="2805"/>
      <c r="PTV77" s="2805"/>
      <c r="PTW77" s="2805"/>
      <c r="PTX77" s="2805"/>
      <c r="PTY77" s="2805"/>
      <c r="PTZ77" s="2805"/>
      <c r="PUA77" s="2805"/>
      <c r="PUB77" s="2805"/>
      <c r="PUC77" s="2805"/>
      <c r="PUD77" s="2805"/>
      <c r="PUE77" s="2805"/>
      <c r="PUF77" s="2805"/>
      <c r="PUG77" s="2805"/>
      <c r="PUH77" s="2805"/>
      <c r="PUI77" s="2805"/>
      <c r="PUJ77" s="2805"/>
      <c r="PUK77" s="2805"/>
      <c r="PUL77" s="2805"/>
      <c r="PUM77" s="2805"/>
      <c r="PUN77" s="2805"/>
      <c r="PUO77" s="2805"/>
      <c r="PUP77" s="2805"/>
      <c r="PUQ77" s="2805"/>
      <c r="PUR77" s="2805"/>
      <c r="PUS77" s="2805"/>
      <c r="PUT77" s="2805"/>
      <c r="PUU77" s="2805"/>
      <c r="PUV77" s="2805"/>
      <c r="PUW77" s="2805"/>
      <c r="PUX77" s="2805"/>
      <c r="PUY77" s="2805"/>
      <c r="PUZ77" s="2805"/>
      <c r="PVA77" s="2805"/>
      <c r="PVB77" s="2805"/>
      <c r="PVC77" s="2805"/>
      <c r="PVD77" s="2805"/>
      <c r="PVE77" s="2805"/>
      <c r="PVF77" s="2805"/>
      <c r="PVG77" s="2805"/>
      <c r="PVH77" s="2805"/>
      <c r="PVI77" s="2805"/>
      <c r="PVJ77" s="2805"/>
      <c r="PVK77" s="2805"/>
      <c r="PVL77" s="2805"/>
      <c r="PVM77" s="2805"/>
      <c r="PVN77" s="2805"/>
      <c r="PVO77" s="2805"/>
      <c r="PVP77" s="2805"/>
      <c r="PVQ77" s="2805"/>
      <c r="PVR77" s="2805"/>
      <c r="PVS77" s="2805"/>
      <c r="PVT77" s="2805"/>
      <c r="PVU77" s="2805"/>
      <c r="PVV77" s="2805"/>
      <c r="PVW77" s="2805"/>
      <c r="PVX77" s="2805"/>
      <c r="PVY77" s="2805"/>
      <c r="PVZ77" s="2805"/>
      <c r="PWA77" s="2805"/>
      <c r="PWB77" s="2805"/>
      <c r="PWC77" s="2805"/>
      <c r="PWD77" s="2805"/>
      <c r="PWE77" s="2805"/>
      <c r="PWF77" s="2805"/>
      <c r="PWG77" s="2805"/>
      <c r="PWH77" s="2805"/>
      <c r="PWI77" s="2805"/>
      <c r="PWJ77" s="2805"/>
      <c r="PWK77" s="2805"/>
      <c r="PWL77" s="2805"/>
      <c r="PWM77" s="2805"/>
      <c r="PWN77" s="2805"/>
      <c r="PWO77" s="2805"/>
      <c r="PWP77" s="2805"/>
      <c r="PWQ77" s="2805"/>
      <c r="PWR77" s="2805"/>
      <c r="PWS77" s="2805"/>
      <c r="PWT77" s="2805"/>
      <c r="PWU77" s="2805"/>
      <c r="PWV77" s="2805"/>
      <c r="PWW77" s="2805"/>
      <c r="PWX77" s="2805"/>
      <c r="PWY77" s="2805"/>
      <c r="PWZ77" s="2805"/>
      <c r="PXA77" s="2805"/>
      <c r="PXB77" s="2805"/>
      <c r="PXC77" s="2805"/>
      <c r="PXD77" s="2805"/>
      <c r="PXE77" s="2805"/>
      <c r="PXF77" s="2805"/>
      <c r="PXG77" s="2805"/>
      <c r="PXH77" s="2805"/>
      <c r="PXI77" s="2805"/>
      <c r="PXJ77" s="2805"/>
      <c r="PXK77" s="2805"/>
      <c r="PXL77" s="2805"/>
      <c r="PXM77" s="2805"/>
      <c r="PXN77" s="2805"/>
      <c r="PXO77" s="2805"/>
      <c r="PXP77" s="2805"/>
      <c r="PXQ77" s="2805"/>
      <c r="PXR77" s="2805"/>
      <c r="PXS77" s="2805"/>
      <c r="PXT77" s="2805"/>
      <c r="PXU77" s="2805"/>
      <c r="PXV77" s="2805"/>
      <c r="PXW77" s="2805"/>
      <c r="PXX77" s="2805"/>
      <c r="PXY77" s="2805"/>
      <c r="PXZ77" s="2805"/>
      <c r="PYA77" s="2805"/>
      <c r="PYB77" s="2805"/>
      <c r="PYC77" s="2805"/>
      <c r="PYD77" s="2805"/>
      <c r="PYE77" s="2805"/>
      <c r="PYF77" s="2805"/>
      <c r="PYG77" s="2805"/>
      <c r="PYH77" s="2805"/>
      <c r="PYI77" s="2805"/>
      <c r="PYJ77" s="2805"/>
      <c r="PYK77" s="2805"/>
      <c r="PYL77" s="2805"/>
      <c r="PYM77" s="2805"/>
      <c r="PYN77" s="2805"/>
      <c r="PYO77" s="2805"/>
      <c r="PYP77" s="2805"/>
      <c r="PYQ77" s="2805"/>
      <c r="PYR77" s="2805"/>
      <c r="PYS77" s="2805"/>
      <c r="PYT77" s="2805"/>
      <c r="PYU77" s="2805"/>
      <c r="PYV77" s="2805"/>
      <c r="PYW77" s="2805"/>
      <c r="PYX77" s="2805"/>
      <c r="PYY77" s="2805"/>
      <c r="PYZ77" s="2805"/>
      <c r="PZA77" s="2805"/>
      <c r="PZB77" s="2805"/>
      <c r="PZC77" s="2805"/>
      <c r="PZD77" s="2805"/>
      <c r="PZE77" s="2805"/>
      <c r="PZF77" s="2805"/>
      <c r="PZG77" s="2805"/>
      <c r="PZH77" s="2805"/>
      <c r="PZI77" s="2805"/>
      <c r="PZJ77" s="2805"/>
      <c r="PZK77" s="2805"/>
      <c r="PZL77" s="2805"/>
      <c r="PZM77" s="2805"/>
      <c r="PZN77" s="2805"/>
      <c r="PZO77" s="2805"/>
      <c r="PZP77" s="2805"/>
      <c r="PZQ77" s="2805"/>
      <c r="PZR77" s="2805"/>
      <c r="PZS77" s="2805"/>
      <c r="PZT77" s="2805"/>
      <c r="PZU77" s="2805"/>
      <c r="PZV77" s="2805"/>
      <c r="PZW77" s="2805"/>
      <c r="PZX77" s="2805"/>
      <c r="PZY77" s="2805"/>
      <c r="PZZ77" s="2805"/>
      <c r="QAA77" s="2805"/>
      <c r="QAB77" s="2805"/>
      <c r="QAC77" s="2805"/>
      <c r="QAD77" s="2805"/>
      <c r="QAE77" s="2805"/>
      <c r="QAF77" s="2805"/>
      <c r="QAG77" s="2805"/>
      <c r="QAH77" s="2805"/>
      <c r="QAI77" s="2805"/>
      <c r="QAJ77" s="2805"/>
      <c r="QAK77" s="2805"/>
      <c r="QAL77" s="2805"/>
      <c r="QAM77" s="2805"/>
      <c r="QAN77" s="2805"/>
      <c r="QAO77" s="2805"/>
      <c r="QAP77" s="2805"/>
      <c r="QAQ77" s="2805"/>
      <c r="QAR77" s="2805"/>
      <c r="QAS77" s="2805"/>
      <c r="QAT77" s="2805"/>
      <c r="QAU77" s="2805"/>
      <c r="QAV77" s="2805"/>
      <c r="QAW77" s="2805"/>
      <c r="QAX77" s="2805"/>
      <c r="QAY77" s="2805"/>
      <c r="QAZ77" s="2805"/>
      <c r="QBA77" s="2805"/>
      <c r="QBB77" s="2805"/>
      <c r="QBC77" s="2805"/>
      <c r="QBD77" s="2805"/>
      <c r="QBE77" s="2805"/>
      <c r="QBF77" s="2805"/>
      <c r="QBG77" s="2805"/>
      <c r="QBH77" s="2805"/>
      <c r="QBI77" s="2805"/>
      <c r="QBJ77" s="2805"/>
      <c r="QBK77" s="2805"/>
      <c r="QBL77" s="2805"/>
      <c r="QBM77" s="2805"/>
      <c r="QBN77" s="2805"/>
      <c r="QBO77" s="2805"/>
      <c r="QBP77" s="2805"/>
      <c r="QBQ77" s="2805"/>
      <c r="QBR77" s="2805"/>
      <c r="QBS77" s="2805"/>
      <c r="QBT77" s="2805"/>
      <c r="QBU77" s="2805"/>
      <c r="QBV77" s="2805"/>
      <c r="QBW77" s="2805"/>
      <c r="QBX77" s="2805"/>
      <c r="QBY77" s="2805"/>
      <c r="QBZ77" s="2805"/>
      <c r="QCA77" s="2805"/>
      <c r="QCB77" s="2805"/>
      <c r="QCC77" s="2805"/>
      <c r="QCD77" s="2805"/>
      <c r="QCE77" s="2805"/>
      <c r="QCF77" s="2805"/>
      <c r="QCG77" s="2805"/>
      <c r="QCH77" s="2805"/>
      <c r="QCI77" s="2805"/>
      <c r="QCJ77" s="2805"/>
      <c r="QCK77" s="2805"/>
      <c r="QCL77" s="2805"/>
      <c r="QCM77" s="2805"/>
      <c r="QCN77" s="2805"/>
      <c r="QCO77" s="2805"/>
      <c r="QCP77" s="2805"/>
      <c r="QCQ77" s="2805"/>
      <c r="QCR77" s="2805"/>
      <c r="QCS77" s="2805"/>
      <c r="QCT77" s="2805"/>
      <c r="QCU77" s="2805"/>
      <c r="QCV77" s="2805"/>
      <c r="QCW77" s="2805"/>
      <c r="QCX77" s="2805"/>
      <c r="QCY77" s="2805"/>
      <c r="QCZ77" s="2805"/>
      <c r="QDA77" s="2805"/>
      <c r="QDB77" s="2805"/>
      <c r="QDC77" s="2805"/>
      <c r="QDD77" s="2805"/>
      <c r="QDE77" s="2805"/>
      <c r="QDF77" s="2805"/>
      <c r="QDG77" s="2805"/>
      <c r="QDH77" s="2805"/>
      <c r="QDI77" s="2805"/>
      <c r="QDJ77" s="2805"/>
      <c r="QDK77" s="2805"/>
      <c r="QDL77" s="2805"/>
      <c r="QDM77" s="2805"/>
      <c r="QDN77" s="2805"/>
      <c r="QDO77" s="2805"/>
      <c r="QDP77" s="2805"/>
      <c r="QDQ77" s="2805"/>
      <c r="QDR77" s="2805"/>
      <c r="QDS77" s="2805"/>
      <c r="QDT77" s="2805"/>
      <c r="QDU77" s="2805"/>
      <c r="QDV77" s="2805"/>
      <c r="QDW77" s="2805"/>
      <c r="QDX77" s="2805"/>
      <c r="QDY77" s="2805"/>
      <c r="QDZ77" s="2805"/>
      <c r="QEA77" s="2805"/>
      <c r="QEB77" s="2805"/>
      <c r="QEC77" s="2805"/>
      <c r="QED77" s="2805"/>
      <c r="QEE77" s="2805"/>
      <c r="QEF77" s="2805"/>
      <c r="QEG77" s="2805"/>
      <c r="QEH77" s="2805"/>
      <c r="QEI77" s="2805"/>
      <c r="QEJ77" s="2805"/>
      <c r="QEK77" s="2805"/>
      <c r="QEL77" s="2805"/>
      <c r="QEM77" s="2805"/>
      <c r="QEN77" s="2805"/>
      <c r="QEO77" s="2805"/>
      <c r="QEP77" s="2805"/>
      <c r="QEQ77" s="2805"/>
      <c r="QER77" s="2805"/>
      <c r="QES77" s="2805"/>
      <c r="QET77" s="2805"/>
      <c r="QEU77" s="2805"/>
      <c r="QEV77" s="2805"/>
      <c r="QEW77" s="2805"/>
      <c r="QEX77" s="2805"/>
      <c r="QEY77" s="2805"/>
      <c r="QEZ77" s="2805"/>
      <c r="QFA77" s="2805"/>
      <c r="QFB77" s="2805"/>
      <c r="QFC77" s="2805"/>
      <c r="QFD77" s="2805"/>
      <c r="QFE77" s="2805"/>
      <c r="QFF77" s="2805"/>
      <c r="QFG77" s="2805"/>
      <c r="QFH77" s="2805"/>
      <c r="QFI77" s="2805"/>
      <c r="QFJ77" s="2805"/>
      <c r="QFK77" s="2805"/>
      <c r="QFL77" s="2805"/>
      <c r="QFM77" s="2805"/>
      <c r="QFN77" s="2805"/>
      <c r="QFO77" s="2805"/>
      <c r="QFP77" s="2805"/>
      <c r="QFQ77" s="2805"/>
      <c r="QFR77" s="2805"/>
      <c r="QFS77" s="2805"/>
      <c r="QFT77" s="2805"/>
      <c r="QFU77" s="2805"/>
      <c r="QFV77" s="2805"/>
      <c r="QFW77" s="2805"/>
      <c r="QFX77" s="2805"/>
      <c r="QFY77" s="2805"/>
      <c r="QFZ77" s="2805"/>
      <c r="QGA77" s="2805"/>
      <c r="QGB77" s="2805"/>
      <c r="QGC77" s="2805"/>
      <c r="QGD77" s="2805"/>
      <c r="QGE77" s="2805"/>
      <c r="QGF77" s="2805"/>
      <c r="QGG77" s="2805"/>
      <c r="QGH77" s="2805"/>
      <c r="QGI77" s="2805"/>
      <c r="QGJ77" s="2805"/>
      <c r="QGK77" s="2805"/>
      <c r="QGL77" s="2805"/>
      <c r="QGM77" s="2805"/>
      <c r="QGN77" s="2805"/>
      <c r="QGO77" s="2805"/>
      <c r="QGP77" s="2805"/>
      <c r="QGQ77" s="2805"/>
      <c r="QGR77" s="2805"/>
      <c r="QGS77" s="2805"/>
      <c r="QGT77" s="2805"/>
      <c r="QGU77" s="2805"/>
      <c r="QGV77" s="2805"/>
      <c r="QGW77" s="2805"/>
      <c r="QGX77" s="2805"/>
      <c r="QGY77" s="2805"/>
      <c r="QGZ77" s="2805"/>
      <c r="QHA77" s="2805"/>
      <c r="QHB77" s="2805"/>
      <c r="QHC77" s="2805"/>
      <c r="QHD77" s="2805"/>
      <c r="QHE77" s="2805"/>
      <c r="QHF77" s="2805"/>
      <c r="QHG77" s="2805"/>
      <c r="QHH77" s="2805"/>
      <c r="QHI77" s="2805"/>
      <c r="QHJ77" s="2805"/>
      <c r="QHK77" s="2805"/>
      <c r="QHL77" s="2805"/>
      <c r="QHM77" s="2805"/>
      <c r="QHN77" s="2805"/>
      <c r="QHO77" s="2805"/>
      <c r="QHP77" s="2805"/>
      <c r="QHQ77" s="2805"/>
      <c r="QHR77" s="2805"/>
      <c r="QHS77" s="2805"/>
      <c r="QHT77" s="2805"/>
      <c r="QHU77" s="2805"/>
      <c r="QHV77" s="2805"/>
      <c r="QHW77" s="2805"/>
      <c r="QHX77" s="2805"/>
      <c r="QHY77" s="2805"/>
      <c r="QHZ77" s="2805"/>
      <c r="QIA77" s="2805"/>
      <c r="QIB77" s="2805"/>
      <c r="QIC77" s="2805"/>
      <c r="QID77" s="2805"/>
      <c r="QIE77" s="2805"/>
      <c r="QIF77" s="2805"/>
      <c r="QIG77" s="2805"/>
      <c r="QIH77" s="2805"/>
      <c r="QII77" s="2805"/>
      <c r="QIJ77" s="2805"/>
      <c r="QIK77" s="2805"/>
      <c r="QIL77" s="2805"/>
      <c r="QIM77" s="2805"/>
      <c r="QIN77" s="2805"/>
      <c r="QIO77" s="2805"/>
      <c r="QIP77" s="2805"/>
      <c r="QIQ77" s="2805"/>
      <c r="QIR77" s="2805"/>
      <c r="QIS77" s="2805"/>
      <c r="QIT77" s="2805"/>
      <c r="QIU77" s="2805"/>
      <c r="QIV77" s="2805"/>
      <c r="QIW77" s="2805"/>
      <c r="QIX77" s="2805"/>
      <c r="QIY77" s="2805"/>
      <c r="QIZ77" s="2805"/>
      <c r="QJA77" s="2805"/>
      <c r="QJB77" s="2805"/>
      <c r="QJC77" s="2805"/>
      <c r="QJD77" s="2805"/>
      <c r="QJE77" s="2805"/>
      <c r="QJF77" s="2805"/>
      <c r="QJG77" s="2805"/>
      <c r="QJH77" s="2805"/>
      <c r="QJI77" s="2805"/>
      <c r="QJJ77" s="2805"/>
      <c r="QJK77" s="2805"/>
      <c r="QJL77" s="2805"/>
      <c r="QJM77" s="2805"/>
      <c r="QJN77" s="2805"/>
      <c r="QJO77" s="2805"/>
      <c r="QJP77" s="2805"/>
      <c r="QJQ77" s="2805"/>
      <c r="QJR77" s="2805"/>
      <c r="QJS77" s="2805"/>
      <c r="QJT77" s="2805"/>
      <c r="QJU77" s="2805"/>
      <c r="QJV77" s="2805"/>
      <c r="QJW77" s="2805"/>
      <c r="QJX77" s="2805"/>
      <c r="QJY77" s="2805"/>
      <c r="QJZ77" s="2805"/>
      <c r="QKA77" s="2805"/>
      <c r="QKB77" s="2805"/>
      <c r="QKC77" s="2805"/>
      <c r="QKD77" s="2805"/>
      <c r="QKE77" s="2805"/>
      <c r="QKF77" s="2805"/>
      <c r="QKG77" s="2805"/>
      <c r="QKH77" s="2805"/>
      <c r="QKI77" s="2805"/>
      <c r="QKJ77" s="2805"/>
      <c r="QKK77" s="2805"/>
      <c r="QKL77" s="2805"/>
      <c r="QKM77" s="2805"/>
      <c r="QKN77" s="2805"/>
      <c r="QKO77" s="2805"/>
      <c r="QKP77" s="2805"/>
      <c r="QKQ77" s="2805"/>
      <c r="QKR77" s="2805"/>
      <c r="QKS77" s="2805"/>
      <c r="QKT77" s="2805"/>
      <c r="QKU77" s="2805"/>
      <c r="QKV77" s="2805"/>
      <c r="QKW77" s="2805"/>
      <c r="QKX77" s="2805"/>
      <c r="QKY77" s="2805"/>
      <c r="QKZ77" s="2805"/>
      <c r="QLA77" s="2805"/>
      <c r="QLB77" s="2805"/>
      <c r="QLC77" s="2805"/>
      <c r="QLD77" s="2805"/>
      <c r="QLE77" s="2805"/>
      <c r="QLF77" s="2805"/>
      <c r="QLG77" s="2805"/>
      <c r="QLH77" s="2805"/>
      <c r="QLI77" s="2805"/>
      <c r="QLJ77" s="2805"/>
      <c r="QLK77" s="2805"/>
      <c r="QLL77" s="2805"/>
      <c r="QLM77" s="2805"/>
      <c r="QLN77" s="2805"/>
      <c r="QLO77" s="2805"/>
      <c r="QLP77" s="2805"/>
      <c r="QLQ77" s="2805"/>
      <c r="QLR77" s="2805"/>
      <c r="QLS77" s="2805"/>
      <c r="QLT77" s="2805"/>
      <c r="QLU77" s="2805"/>
      <c r="QLV77" s="2805"/>
      <c r="QLW77" s="2805"/>
      <c r="QLX77" s="2805"/>
      <c r="QLY77" s="2805"/>
      <c r="QLZ77" s="2805"/>
      <c r="QMA77" s="2805"/>
      <c r="QMB77" s="2805"/>
      <c r="QMC77" s="2805"/>
      <c r="QMD77" s="2805"/>
      <c r="QME77" s="2805"/>
      <c r="QMF77" s="2805"/>
      <c r="QMG77" s="2805"/>
      <c r="QMH77" s="2805"/>
      <c r="QMI77" s="2805"/>
      <c r="QMJ77" s="2805"/>
      <c r="QMK77" s="2805"/>
      <c r="QML77" s="2805"/>
      <c r="QMM77" s="2805"/>
      <c r="QMN77" s="2805"/>
      <c r="QMO77" s="2805"/>
      <c r="QMP77" s="2805"/>
      <c r="QMQ77" s="2805"/>
      <c r="QMR77" s="2805"/>
      <c r="QMS77" s="2805"/>
      <c r="QMT77" s="2805"/>
      <c r="QMU77" s="2805"/>
      <c r="QMV77" s="2805"/>
      <c r="QMW77" s="2805"/>
      <c r="QMX77" s="2805"/>
      <c r="QMY77" s="2805"/>
      <c r="QMZ77" s="2805"/>
      <c r="QNA77" s="2805"/>
      <c r="QNB77" s="2805"/>
      <c r="QNC77" s="2805"/>
      <c r="QND77" s="2805"/>
      <c r="QNE77" s="2805"/>
      <c r="QNF77" s="2805"/>
      <c r="QNG77" s="2805"/>
      <c r="QNH77" s="2805"/>
      <c r="QNI77" s="2805"/>
      <c r="QNJ77" s="2805"/>
      <c r="QNK77" s="2805"/>
      <c r="QNL77" s="2805"/>
      <c r="QNM77" s="2805"/>
      <c r="QNN77" s="2805"/>
      <c r="QNO77" s="2805"/>
      <c r="QNP77" s="2805"/>
      <c r="QNQ77" s="2805"/>
      <c r="QNR77" s="2805"/>
      <c r="QNS77" s="2805"/>
      <c r="QNT77" s="2805"/>
      <c r="QNU77" s="2805"/>
      <c r="QNV77" s="2805"/>
      <c r="QNW77" s="2805"/>
      <c r="QNX77" s="2805"/>
      <c r="QNY77" s="2805"/>
      <c r="QNZ77" s="2805"/>
      <c r="QOA77" s="2805"/>
      <c r="QOB77" s="2805"/>
      <c r="QOC77" s="2805"/>
      <c r="QOD77" s="2805"/>
      <c r="QOE77" s="2805"/>
      <c r="QOF77" s="2805"/>
      <c r="QOG77" s="2805"/>
      <c r="QOH77" s="2805"/>
      <c r="QOI77" s="2805"/>
      <c r="QOJ77" s="2805"/>
      <c r="QOK77" s="2805"/>
      <c r="QOL77" s="2805"/>
      <c r="QOM77" s="2805"/>
      <c r="QON77" s="2805"/>
      <c r="QOO77" s="2805"/>
      <c r="QOP77" s="2805"/>
      <c r="QOQ77" s="2805"/>
      <c r="QOR77" s="2805"/>
      <c r="QOS77" s="2805"/>
      <c r="QOT77" s="2805"/>
      <c r="QOU77" s="2805"/>
      <c r="QOV77" s="2805"/>
      <c r="QOW77" s="2805"/>
      <c r="QOX77" s="2805"/>
      <c r="QOY77" s="2805"/>
      <c r="QOZ77" s="2805"/>
      <c r="QPA77" s="2805"/>
      <c r="QPB77" s="2805"/>
      <c r="QPC77" s="2805"/>
      <c r="QPD77" s="2805"/>
      <c r="QPE77" s="2805"/>
      <c r="QPF77" s="2805"/>
      <c r="QPG77" s="2805"/>
      <c r="QPH77" s="2805"/>
      <c r="QPI77" s="2805"/>
      <c r="QPJ77" s="2805"/>
      <c r="QPK77" s="2805"/>
      <c r="QPL77" s="2805"/>
      <c r="QPM77" s="2805"/>
      <c r="QPN77" s="2805"/>
      <c r="QPO77" s="2805"/>
      <c r="QPP77" s="2805"/>
      <c r="QPQ77" s="2805"/>
      <c r="QPR77" s="2805"/>
      <c r="QPS77" s="2805"/>
      <c r="QPT77" s="2805"/>
      <c r="QPU77" s="2805"/>
      <c r="QPV77" s="2805"/>
      <c r="QPW77" s="2805"/>
      <c r="QPX77" s="2805"/>
      <c r="QPY77" s="2805"/>
      <c r="QPZ77" s="2805"/>
      <c r="QQA77" s="2805"/>
      <c r="QQB77" s="2805"/>
      <c r="QQC77" s="2805"/>
      <c r="QQD77" s="2805"/>
      <c r="QQE77" s="2805"/>
      <c r="QQF77" s="2805"/>
      <c r="QQG77" s="2805"/>
      <c r="QQH77" s="2805"/>
      <c r="QQI77" s="2805"/>
      <c r="QQJ77" s="2805"/>
      <c r="QQK77" s="2805"/>
      <c r="QQL77" s="2805"/>
      <c r="QQM77" s="2805"/>
      <c r="QQN77" s="2805"/>
      <c r="QQO77" s="2805"/>
      <c r="QQP77" s="2805"/>
      <c r="QQQ77" s="2805"/>
      <c r="QQR77" s="2805"/>
      <c r="QQS77" s="2805"/>
      <c r="QQT77" s="2805"/>
      <c r="QQU77" s="2805"/>
      <c r="QQV77" s="2805"/>
      <c r="QQW77" s="2805"/>
      <c r="QQX77" s="2805"/>
      <c r="QQY77" s="2805"/>
      <c r="QQZ77" s="2805"/>
      <c r="QRA77" s="2805"/>
      <c r="QRB77" s="2805"/>
      <c r="QRC77" s="2805"/>
      <c r="QRD77" s="2805"/>
      <c r="QRE77" s="2805"/>
      <c r="QRF77" s="2805"/>
      <c r="QRG77" s="2805"/>
      <c r="QRH77" s="2805"/>
      <c r="QRI77" s="2805"/>
      <c r="QRJ77" s="2805"/>
      <c r="QRK77" s="2805"/>
      <c r="QRL77" s="2805"/>
      <c r="QRM77" s="2805"/>
      <c r="QRN77" s="2805"/>
      <c r="QRO77" s="2805"/>
      <c r="QRP77" s="2805"/>
      <c r="QRQ77" s="2805"/>
      <c r="QRR77" s="2805"/>
      <c r="QRS77" s="2805"/>
      <c r="QRT77" s="2805"/>
      <c r="QRU77" s="2805"/>
      <c r="QRV77" s="2805"/>
      <c r="QRW77" s="2805"/>
      <c r="QRX77" s="2805"/>
      <c r="QRY77" s="2805"/>
      <c r="QRZ77" s="2805"/>
      <c r="QSA77" s="2805"/>
      <c r="QSB77" s="2805"/>
      <c r="QSC77" s="2805"/>
      <c r="QSD77" s="2805"/>
      <c r="QSE77" s="2805"/>
      <c r="QSF77" s="2805"/>
      <c r="QSG77" s="2805"/>
      <c r="QSH77" s="2805"/>
      <c r="QSI77" s="2805"/>
      <c r="QSJ77" s="2805"/>
      <c r="QSK77" s="2805"/>
      <c r="QSL77" s="2805"/>
      <c r="QSM77" s="2805"/>
      <c r="QSN77" s="2805"/>
      <c r="QSO77" s="2805"/>
      <c r="QSP77" s="2805"/>
      <c r="QSQ77" s="2805"/>
      <c r="QSR77" s="2805"/>
      <c r="QSS77" s="2805"/>
      <c r="QST77" s="2805"/>
      <c r="QSU77" s="2805"/>
      <c r="QSV77" s="2805"/>
      <c r="QSW77" s="2805"/>
      <c r="QSX77" s="2805"/>
      <c r="QSY77" s="2805"/>
      <c r="QSZ77" s="2805"/>
      <c r="QTA77" s="2805"/>
      <c r="QTB77" s="2805"/>
      <c r="QTC77" s="2805"/>
      <c r="QTD77" s="2805"/>
      <c r="QTE77" s="2805"/>
      <c r="QTF77" s="2805"/>
      <c r="QTG77" s="2805"/>
      <c r="QTH77" s="2805"/>
      <c r="QTI77" s="2805"/>
      <c r="QTJ77" s="2805"/>
      <c r="QTK77" s="2805"/>
      <c r="QTL77" s="2805"/>
      <c r="QTM77" s="2805"/>
      <c r="QTN77" s="2805"/>
      <c r="QTO77" s="2805"/>
      <c r="QTP77" s="2805"/>
      <c r="QTQ77" s="2805"/>
      <c r="QTR77" s="2805"/>
      <c r="QTS77" s="2805"/>
      <c r="QTT77" s="2805"/>
      <c r="QTU77" s="2805"/>
      <c r="QTV77" s="2805"/>
      <c r="QTW77" s="2805"/>
      <c r="QTX77" s="2805"/>
      <c r="QTY77" s="2805"/>
      <c r="QTZ77" s="2805"/>
      <c r="QUA77" s="2805"/>
      <c r="QUB77" s="2805"/>
      <c r="QUC77" s="2805"/>
      <c r="QUD77" s="2805"/>
      <c r="QUE77" s="2805"/>
      <c r="QUF77" s="2805"/>
      <c r="QUG77" s="2805"/>
      <c r="QUH77" s="2805"/>
      <c r="QUI77" s="2805"/>
      <c r="QUJ77" s="2805"/>
      <c r="QUK77" s="2805"/>
      <c r="QUL77" s="2805"/>
      <c r="QUM77" s="2805"/>
      <c r="QUN77" s="2805"/>
      <c r="QUO77" s="2805"/>
      <c r="QUP77" s="2805"/>
      <c r="QUQ77" s="2805"/>
      <c r="QUR77" s="2805"/>
      <c r="QUS77" s="2805"/>
      <c r="QUT77" s="2805"/>
      <c r="QUU77" s="2805"/>
      <c r="QUV77" s="2805"/>
      <c r="QUW77" s="2805"/>
      <c r="QUX77" s="2805"/>
      <c r="QUY77" s="2805"/>
      <c r="QUZ77" s="2805"/>
      <c r="QVA77" s="2805"/>
      <c r="QVB77" s="2805"/>
      <c r="QVC77" s="2805"/>
      <c r="QVD77" s="2805"/>
      <c r="QVE77" s="2805"/>
      <c r="QVF77" s="2805"/>
      <c r="QVG77" s="2805"/>
      <c r="QVH77" s="2805"/>
      <c r="QVI77" s="2805"/>
      <c r="QVJ77" s="2805"/>
      <c r="QVK77" s="2805"/>
      <c r="QVL77" s="2805"/>
      <c r="QVM77" s="2805"/>
      <c r="QVN77" s="2805"/>
      <c r="QVO77" s="2805"/>
      <c r="QVP77" s="2805"/>
      <c r="QVQ77" s="2805"/>
      <c r="QVR77" s="2805"/>
      <c r="QVS77" s="2805"/>
      <c r="QVT77" s="2805"/>
      <c r="QVU77" s="2805"/>
      <c r="QVV77" s="2805"/>
      <c r="QVW77" s="2805"/>
      <c r="QVX77" s="2805"/>
      <c r="QVY77" s="2805"/>
      <c r="QVZ77" s="2805"/>
      <c r="QWA77" s="2805"/>
      <c r="QWB77" s="2805"/>
      <c r="QWC77" s="2805"/>
      <c r="QWD77" s="2805"/>
      <c r="QWE77" s="2805"/>
      <c r="QWF77" s="2805"/>
      <c r="QWG77" s="2805"/>
      <c r="QWH77" s="2805"/>
      <c r="QWI77" s="2805"/>
      <c r="QWJ77" s="2805"/>
      <c r="QWK77" s="2805"/>
      <c r="QWL77" s="2805"/>
      <c r="QWM77" s="2805"/>
      <c r="QWN77" s="2805"/>
      <c r="QWO77" s="2805"/>
      <c r="QWP77" s="2805"/>
      <c r="QWQ77" s="2805"/>
      <c r="QWR77" s="2805"/>
      <c r="QWS77" s="2805"/>
      <c r="QWT77" s="2805"/>
      <c r="QWU77" s="2805"/>
      <c r="QWV77" s="2805"/>
      <c r="QWW77" s="2805"/>
      <c r="QWX77" s="2805"/>
      <c r="QWY77" s="2805"/>
      <c r="QWZ77" s="2805"/>
      <c r="QXA77" s="2805"/>
      <c r="QXB77" s="2805"/>
      <c r="QXC77" s="2805"/>
      <c r="QXD77" s="2805"/>
      <c r="QXE77" s="2805"/>
      <c r="QXF77" s="2805"/>
      <c r="QXG77" s="2805"/>
      <c r="QXH77" s="2805"/>
      <c r="QXI77" s="2805"/>
      <c r="QXJ77" s="2805"/>
      <c r="QXK77" s="2805"/>
      <c r="QXL77" s="2805"/>
      <c r="QXM77" s="2805"/>
      <c r="QXN77" s="2805"/>
      <c r="QXO77" s="2805"/>
      <c r="QXP77" s="2805"/>
      <c r="QXQ77" s="2805"/>
      <c r="QXR77" s="2805"/>
      <c r="QXS77" s="2805"/>
      <c r="QXT77" s="2805"/>
      <c r="QXU77" s="2805"/>
      <c r="QXV77" s="2805"/>
      <c r="QXW77" s="2805"/>
      <c r="QXX77" s="2805"/>
      <c r="QXY77" s="2805"/>
      <c r="QXZ77" s="2805"/>
      <c r="QYA77" s="2805"/>
      <c r="QYB77" s="2805"/>
      <c r="QYC77" s="2805"/>
      <c r="QYD77" s="2805"/>
      <c r="QYE77" s="2805"/>
      <c r="QYF77" s="2805"/>
      <c r="QYG77" s="2805"/>
      <c r="QYH77" s="2805"/>
      <c r="QYI77" s="2805"/>
      <c r="QYJ77" s="2805"/>
      <c r="QYK77" s="2805"/>
      <c r="QYL77" s="2805"/>
      <c r="QYM77" s="2805"/>
      <c r="QYN77" s="2805"/>
      <c r="QYO77" s="2805"/>
      <c r="QYP77" s="2805"/>
      <c r="QYQ77" s="2805"/>
      <c r="QYR77" s="2805"/>
      <c r="QYS77" s="2805"/>
      <c r="QYT77" s="2805"/>
      <c r="QYU77" s="2805"/>
      <c r="QYV77" s="2805"/>
      <c r="QYW77" s="2805"/>
      <c r="QYX77" s="2805"/>
      <c r="QYY77" s="2805"/>
      <c r="QYZ77" s="2805"/>
      <c r="QZA77" s="2805"/>
      <c r="QZB77" s="2805"/>
      <c r="QZC77" s="2805"/>
      <c r="QZD77" s="2805"/>
      <c r="QZE77" s="2805"/>
      <c r="QZF77" s="2805"/>
      <c r="QZG77" s="2805"/>
      <c r="QZH77" s="2805"/>
      <c r="QZI77" s="2805"/>
      <c r="QZJ77" s="2805"/>
      <c r="QZK77" s="2805"/>
      <c r="QZL77" s="2805"/>
      <c r="QZM77" s="2805"/>
      <c r="QZN77" s="2805"/>
      <c r="QZO77" s="2805"/>
      <c r="QZP77" s="2805"/>
      <c r="QZQ77" s="2805"/>
      <c r="QZR77" s="2805"/>
      <c r="QZS77" s="2805"/>
      <c r="QZT77" s="2805"/>
      <c r="QZU77" s="2805"/>
      <c r="QZV77" s="2805"/>
      <c r="QZW77" s="2805"/>
      <c r="QZX77" s="2805"/>
      <c r="QZY77" s="2805"/>
      <c r="QZZ77" s="2805"/>
      <c r="RAA77" s="2805"/>
      <c r="RAB77" s="2805"/>
      <c r="RAC77" s="2805"/>
      <c r="RAD77" s="2805"/>
      <c r="RAE77" s="2805"/>
      <c r="RAF77" s="2805"/>
      <c r="RAG77" s="2805"/>
      <c r="RAH77" s="2805"/>
      <c r="RAI77" s="2805"/>
      <c r="RAJ77" s="2805"/>
      <c r="RAK77" s="2805"/>
      <c r="RAL77" s="2805"/>
      <c r="RAM77" s="2805"/>
      <c r="RAN77" s="2805"/>
      <c r="RAO77" s="2805"/>
      <c r="RAP77" s="2805"/>
      <c r="RAQ77" s="2805"/>
      <c r="RAR77" s="2805"/>
      <c r="RAS77" s="2805"/>
      <c r="RAT77" s="2805"/>
      <c r="RAU77" s="2805"/>
      <c r="RAV77" s="2805"/>
      <c r="RAW77" s="2805"/>
      <c r="RAX77" s="2805"/>
      <c r="RAY77" s="2805"/>
      <c r="RAZ77" s="2805"/>
      <c r="RBA77" s="2805"/>
      <c r="RBB77" s="2805"/>
      <c r="RBC77" s="2805"/>
      <c r="RBD77" s="2805"/>
      <c r="RBE77" s="2805"/>
      <c r="RBF77" s="2805"/>
      <c r="RBG77" s="2805"/>
      <c r="RBH77" s="2805"/>
      <c r="RBI77" s="2805"/>
      <c r="RBJ77" s="2805"/>
      <c r="RBK77" s="2805"/>
      <c r="RBL77" s="2805"/>
      <c r="RBM77" s="2805"/>
      <c r="RBN77" s="2805"/>
      <c r="RBO77" s="2805"/>
      <c r="RBP77" s="2805"/>
      <c r="RBQ77" s="2805"/>
      <c r="RBR77" s="2805"/>
      <c r="RBS77" s="2805"/>
      <c r="RBT77" s="2805"/>
      <c r="RBU77" s="2805"/>
      <c r="RBV77" s="2805"/>
      <c r="RBW77" s="2805"/>
      <c r="RBX77" s="2805"/>
      <c r="RBY77" s="2805"/>
      <c r="RBZ77" s="2805"/>
      <c r="RCA77" s="2805"/>
      <c r="RCB77" s="2805"/>
      <c r="RCC77" s="2805"/>
      <c r="RCD77" s="2805"/>
      <c r="RCE77" s="2805"/>
      <c r="RCF77" s="2805"/>
      <c r="RCG77" s="2805"/>
      <c r="RCH77" s="2805"/>
      <c r="RCI77" s="2805"/>
      <c r="RCJ77" s="2805"/>
      <c r="RCK77" s="2805"/>
      <c r="RCL77" s="2805"/>
      <c r="RCM77" s="2805"/>
      <c r="RCN77" s="2805"/>
      <c r="RCO77" s="2805"/>
      <c r="RCP77" s="2805"/>
      <c r="RCQ77" s="2805"/>
      <c r="RCR77" s="2805"/>
      <c r="RCS77" s="2805"/>
      <c r="RCT77" s="2805"/>
      <c r="RCU77" s="2805"/>
      <c r="RCV77" s="2805"/>
      <c r="RCW77" s="2805"/>
      <c r="RCX77" s="2805"/>
      <c r="RCY77" s="2805"/>
      <c r="RCZ77" s="2805"/>
      <c r="RDA77" s="2805"/>
      <c r="RDB77" s="2805"/>
      <c r="RDC77" s="2805"/>
      <c r="RDD77" s="2805"/>
      <c r="RDE77" s="2805"/>
      <c r="RDF77" s="2805"/>
      <c r="RDG77" s="2805"/>
      <c r="RDH77" s="2805"/>
      <c r="RDI77" s="2805"/>
      <c r="RDJ77" s="2805"/>
      <c r="RDK77" s="2805"/>
      <c r="RDL77" s="2805"/>
      <c r="RDM77" s="2805"/>
      <c r="RDN77" s="2805"/>
      <c r="RDO77" s="2805"/>
      <c r="RDP77" s="2805"/>
      <c r="RDQ77" s="2805"/>
      <c r="RDR77" s="2805"/>
      <c r="RDS77" s="2805"/>
      <c r="RDT77" s="2805"/>
      <c r="RDU77" s="2805"/>
      <c r="RDV77" s="2805"/>
      <c r="RDW77" s="2805"/>
      <c r="RDX77" s="2805"/>
      <c r="RDY77" s="2805"/>
      <c r="RDZ77" s="2805"/>
      <c r="REA77" s="2805"/>
      <c r="REB77" s="2805"/>
      <c r="REC77" s="2805"/>
      <c r="RED77" s="2805"/>
      <c r="REE77" s="2805"/>
      <c r="REF77" s="2805"/>
      <c r="REG77" s="2805"/>
      <c r="REH77" s="2805"/>
      <c r="REI77" s="2805"/>
      <c r="REJ77" s="2805"/>
      <c r="REK77" s="2805"/>
      <c r="REL77" s="2805"/>
      <c r="REM77" s="2805"/>
      <c r="REN77" s="2805"/>
      <c r="REO77" s="2805"/>
      <c r="REP77" s="2805"/>
      <c r="REQ77" s="2805"/>
      <c r="RER77" s="2805"/>
      <c r="RES77" s="2805"/>
      <c r="RET77" s="2805"/>
      <c r="REU77" s="2805"/>
      <c r="REV77" s="2805"/>
      <c r="REW77" s="2805"/>
      <c r="REX77" s="2805"/>
      <c r="REY77" s="2805"/>
      <c r="REZ77" s="2805"/>
      <c r="RFA77" s="2805"/>
      <c r="RFB77" s="2805"/>
      <c r="RFC77" s="2805"/>
      <c r="RFD77" s="2805"/>
      <c r="RFE77" s="2805"/>
      <c r="RFF77" s="2805"/>
      <c r="RFG77" s="2805"/>
      <c r="RFH77" s="2805"/>
      <c r="RFI77" s="2805"/>
      <c r="RFJ77" s="2805"/>
      <c r="RFK77" s="2805"/>
      <c r="RFL77" s="2805"/>
      <c r="RFM77" s="2805"/>
      <c r="RFN77" s="2805"/>
      <c r="RFO77" s="2805"/>
      <c r="RFP77" s="2805"/>
      <c r="RFQ77" s="2805"/>
      <c r="RFR77" s="2805"/>
      <c r="RFS77" s="2805"/>
      <c r="RFT77" s="2805"/>
      <c r="RFU77" s="2805"/>
      <c r="RFV77" s="2805"/>
      <c r="RFW77" s="2805"/>
      <c r="RFX77" s="2805"/>
      <c r="RFY77" s="2805"/>
      <c r="RFZ77" s="2805"/>
      <c r="RGA77" s="2805"/>
      <c r="RGB77" s="2805"/>
      <c r="RGC77" s="2805"/>
      <c r="RGD77" s="2805"/>
      <c r="RGE77" s="2805"/>
      <c r="RGF77" s="2805"/>
      <c r="RGG77" s="2805"/>
      <c r="RGH77" s="2805"/>
      <c r="RGI77" s="2805"/>
      <c r="RGJ77" s="2805"/>
      <c r="RGK77" s="2805"/>
      <c r="RGL77" s="2805"/>
      <c r="RGM77" s="2805"/>
      <c r="RGN77" s="2805"/>
      <c r="RGO77" s="2805"/>
      <c r="RGP77" s="2805"/>
      <c r="RGQ77" s="2805"/>
      <c r="RGR77" s="2805"/>
      <c r="RGS77" s="2805"/>
      <c r="RGT77" s="2805"/>
      <c r="RGU77" s="2805"/>
      <c r="RGV77" s="2805"/>
      <c r="RGW77" s="2805"/>
      <c r="RGX77" s="2805"/>
      <c r="RGY77" s="2805"/>
      <c r="RGZ77" s="2805"/>
      <c r="RHA77" s="2805"/>
      <c r="RHB77" s="2805"/>
      <c r="RHC77" s="2805"/>
      <c r="RHD77" s="2805"/>
      <c r="RHE77" s="2805"/>
      <c r="RHF77" s="2805"/>
      <c r="RHG77" s="2805"/>
      <c r="RHH77" s="2805"/>
      <c r="RHI77" s="2805"/>
      <c r="RHJ77" s="2805"/>
      <c r="RHK77" s="2805"/>
      <c r="RHL77" s="2805"/>
      <c r="RHM77" s="2805"/>
      <c r="RHN77" s="2805"/>
      <c r="RHO77" s="2805"/>
      <c r="RHP77" s="2805"/>
      <c r="RHQ77" s="2805"/>
      <c r="RHR77" s="2805"/>
      <c r="RHS77" s="2805"/>
      <c r="RHT77" s="2805"/>
      <c r="RHU77" s="2805"/>
      <c r="RHV77" s="2805"/>
      <c r="RHW77" s="2805"/>
      <c r="RHX77" s="2805"/>
      <c r="RHY77" s="2805"/>
      <c r="RHZ77" s="2805"/>
      <c r="RIA77" s="2805"/>
      <c r="RIB77" s="2805"/>
      <c r="RIC77" s="2805"/>
      <c r="RID77" s="2805"/>
      <c r="RIE77" s="2805"/>
      <c r="RIF77" s="2805"/>
      <c r="RIG77" s="2805"/>
      <c r="RIH77" s="2805"/>
      <c r="RII77" s="2805"/>
      <c r="RIJ77" s="2805"/>
      <c r="RIK77" s="2805"/>
      <c r="RIL77" s="2805"/>
      <c r="RIM77" s="2805"/>
      <c r="RIN77" s="2805"/>
      <c r="RIO77" s="2805"/>
      <c r="RIP77" s="2805"/>
      <c r="RIQ77" s="2805"/>
      <c r="RIR77" s="2805"/>
      <c r="RIS77" s="2805"/>
      <c r="RIT77" s="2805"/>
      <c r="RIU77" s="2805"/>
      <c r="RIV77" s="2805"/>
      <c r="RIW77" s="2805"/>
      <c r="RIX77" s="2805"/>
      <c r="RIY77" s="2805"/>
      <c r="RIZ77" s="2805"/>
      <c r="RJA77" s="2805"/>
      <c r="RJB77" s="2805"/>
      <c r="RJC77" s="2805"/>
      <c r="RJD77" s="2805"/>
      <c r="RJE77" s="2805"/>
      <c r="RJF77" s="2805"/>
      <c r="RJG77" s="2805"/>
      <c r="RJH77" s="2805"/>
      <c r="RJI77" s="2805"/>
      <c r="RJJ77" s="2805"/>
      <c r="RJK77" s="2805"/>
      <c r="RJL77" s="2805"/>
      <c r="RJM77" s="2805"/>
      <c r="RJN77" s="2805"/>
      <c r="RJO77" s="2805"/>
      <c r="RJP77" s="2805"/>
      <c r="RJQ77" s="2805"/>
      <c r="RJR77" s="2805"/>
      <c r="RJS77" s="2805"/>
      <c r="RJT77" s="2805"/>
      <c r="RJU77" s="2805"/>
      <c r="RJV77" s="2805"/>
      <c r="RJW77" s="2805"/>
      <c r="RJX77" s="2805"/>
      <c r="RJY77" s="2805"/>
      <c r="RJZ77" s="2805"/>
      <c r="RKA77" s="2805"/>
      <c r="RKB77" s="2805"/>
      <c r="RKC77" s="2805"/>
      <c r="RKD77" s="2805"/>
      <c r="RKE77" s="2805"/>
      <c r="RKF77" s="2805"/>
      <c r="RKG77" s="2805"/>
      <c r="RKH77" s="2805"/>
      <c r="RKI77" s="2805"/>
      <c r="RKJ77" s="2805"/>
      <c r="RKK77" s="2805"/>
      <c r="RKL77" s="2805"/>
      <c r="RKM77" s="2805"/>
      <c r="RKN77" s="2805"/>
      <c r="RKO77" s="2805"/>
      <c r="RKP77" s="2805"/>
      <c r="RKQ77" s="2805"/>
      <c r="RKR77" s="2805"/>
      <c r="RKS77" s="2805"/>
      <c r="RKT77" s="2805"/>
      <c r="RKU77" s="2805"/>
      <c r="RKV77" s="2805"/>
      <c r="RKW77" s="2805"/>
      <c r="RKX77" s="2805"/>
      <c r="RKY77" s="2805"/>
      <c r="RKZ77" s="2805"/>
      <c r="RLA77" s="2805"/>
      <c r="RLB77" s="2805"/>
      <c r="RLC77" s="2805"/>
      <c r="RLD77" s="2805"/>
      <c r="RLE77" s="2805"/>
      <c r="RLF77" s="2805"/>
      <c r="RLG77" s="2805"/>
      <c r="RLH77" s="2805"/>
      <c r="RLI77" s="2805"/>
      <c r="RLJ77" s="2805"/>
      <c r="RLK77" s="2805"/>
      <c r="RLL77" s="2805"/>
      <c r="RLM77" s="2805"/>
      <c r="RLN77" s="2805"/>
      <c r="RLO77" s="2805"/>
      <c r="RLP77" s="2805"/>
      <c r="RLQ77" s="2805"/>
      <c r="RLR77" s="2805"/>
      <c r="RLS77" s="2805"/>
      <c r="RLT77" s="2805"/>
      <c r="RLU77" s="2805"/>
      <c r="RLV77" s="2805"/>
      <c r="RLW77" s="2805"/>
      <c r="RLX77" s="2805"/>
      <c r="RLY77" s="2805"/>
      <c r="RLZ77" s="2805"/>
      <c r="RMA77" s="2805"/>
      <c r="RMB77" s="2805"/>
      <c r="RMC77" s="2805"/>
      <c r="RMD77" s="2805"/>
      <c r="RME77" s="2805"/>
      <c r="RMF77" s="2805"/>
      <c r="RMG77" s="2805"/>
      <c r="RMH77" s="2805"/>
      <c r="RMI77" s="2805"/>
      <c r="RMJ77" s="2805"/>
      <c r="RMK77" s="2805"/>
      <c r="RML77" s="2805"/>
      <c r="RMM77" s="2805"/>
      <c r="RMN77" s="2805"/>
      <c r="RMO77" s="2805"/>
      <c r="RMP77" s="2805"/>
      <c r="RMQ77" s="2805"/>
      <c r="RMR77" s="2805"/>
      <c r="RMS77" s="2805"/>
      <c r="RMT77" s="2805"/>
      <c r="RMU77" s="2805"/>
      <c r="RMV77" s="2805"/>
      <c r="RMW77" s="2805"/>
      <c r="RMX77" s="2805"/>
      <c r="RMY77" s="2805"/>
      <c r="RMZ77" s="2805"/>
      <c r="RNA77" s="2805"/>
      <c r="RNB77" s="2805"/>
      <c r="RNC77" s="2805"/>
      <c r="RND77" s="2805"/>
      <c r="RNE77" s="2805"/>
      <c r="RNF77" s="2805"/>
      <c r="RNG77" s="2805"/>
      <c r="RNH77" s="2805"/>
      <c r="RNI77" s="2805"/>
      <c r="RNJ77" s="2805"/>
      <c r="RNK77" s="2805"/>
      <c r="RNL77" s="2805"/>
      <c r="RNM77" s="2805"/>
      <c r="RNN77" s="2805"/>
      <c r="RNO77" s="2805"/>
      <c r="RNP77" s="2805"/>
      <c r="RNQ77" s="2805"/>
      <c r="RNR77" s="2805"/>
      <c r="RNS77" s="2805"/>
      <c r="RNT77" s="2805"/>
      <c r="RNU77" s="2805"/>
      <c r="RNV77" s="2805"/>
      <c r="RNW77" s="2805"/>
      <c r="RNX77" s="2805"/>
      <c r="RNY77" s="2805"/>
      <c r="RNZ77" s="2805"/>
      <c r="ROA77" s="2805"/>
      <c r="ROB77" s="2805"/>
      <c r="ROC77" s="2805"/>
      <c r="ROD77" s="2805"/>
      <c r="ROE77" s="2805"/>
      <c r="ROF77" s="2805"/>
      <c r="ROG77" s="2805"/>
      <c r="ROH77" s="2805"/>
      <c r="ROI77" s="2805"/>
      <c r="ROJ77" s="2805"/>
      <c r="ROK77" s="2805"/>
      <c r="ROL77" s="2805"/>
      <c r="ROM77" s="2805"/>
      <c r="RON77" s="2805"/>
      <c r="ROO77" s="2805"/>
      <c r="ROP77" s="2805"/>
      <c r="ROQ77" s="2805"/>
      <c r="ROR77" s="2805"/>
      <c r="ROS77" s="2805"/>
      <c r="ROT77" s="2805"/>
      <c r="ROU77" s="2805"/>
      <c r="ROV77" s="2805"/>
      <c r="ROW77" s="2805"/>
      <c r="ROX77" s="2805"/>
      <c r="ROY77" s="2805"/>
      <c r="ROZ77" s="2805"/>
      <c r="RPA77" s="2805"/>
      <c r="RPB77" s="2805"/>
      <c r="RPC77" s="2805"/>
      <c r="RPD77" s="2805"/>
      <c r="RPE77" s="2805"/>
      <c r="RPF77" s="2805"/>
      <c r="RPG77" s="2805"/>
      <c r="RPH77" s="2805"/>
      <c r="RPI77" s="2805"/>
      <c r="RPJ77" s="2805"/>
      <c r="RPK77" s="2805"/>
      <c r="RPL77" s="2805"/>
      <c r="RPM77" s="2805"/>
      <c r="RPN77" s="2805"/>
      <c r="RPO77" s="2805"/>
      <c r="RPP77" s="2805"/>
      <c r="RPQ77" s="2805"/>
      <c r="RPR77" s="2805"/>
      <c r="RPS77" s="2805"/>
      <c r="RPT77" s="2805"/>
      <c r="RPU77" s="2805"/>
      <c r="RPV77" s="2805"/>
      <c r="RPW77" s="2805"/>
      <c r="RPX77" s="2805"/>
      <c r="RPY77" s="2805"/>
      <c r="RPZ77" s="2805"/>
      <c r="RQA77" s="2805"/>
      <c r="RQB77" s="2805"/>
      <c r="RQC77" s="2805"/>
      <c r="RQD77" s="2805"/>
      <c r="RQE77" s="2805"/>
      <c r="RQF77" s="2805"/>
      <c r="RQG77" s="2805"/>
      <c r="RQH77" s="2805"/>
      <c r="RQI77" s="2805"/>
      <c r="RQJ77" s="2805"/>
      <c r="RQK77" s="2805"/>
      <c r="RQL77" s="2805"/>
      <c r="RQM77" s="2805"/>
      <c r="RQN77" s="2805"/>
      <c r="RQO77" s="2805"/>
      <c r="RQP77" s="2805"/>
      <c r="RQQ77" s="2805"/>
      <c r="RQR77" s="2805"/>
      <c r="RQS77" s="2805"/>
      <c r="RQT77" s="2805"/>
      <c r="RQU77" s="2805"/>
      <c r="RQV77" s="2805"/>
      <c r="RQW77" s="2805"/>
      <c r="RQX77" s="2805"/>
      <c r="RQY77" s="2805"/>
      <c r="RQZ77" s="2805"/>
      <c r="RRA77" s="2805"/>
      <c r="RRB77" s="2805"/>
      <c r="RRC77" s="2805"/>
      <c r="RRD77" s="2805"/>
      <c r="RRE77" s="2805"/>
      <c r="RRF77" s="2805"/>
      <c r="RRG77" s="2805"/>
      <c r="RRH77" s="2805"/>
      <c r="RRI77" s="2805"/>
      <c r="RRJ77" s="2805"/>
      <c r="RRK77" s="2805"/>
      <c r="RRL77" s="2805"/>
      <c r="RRM77" s="2805"/>
      <c r="RRN77" s="2805"/>
      <c r="RRO77" s="2805"/>
      <c r="RRP77" s="2805"/>
      <c r="RRQ77" s="2805"/>
      <c r="RRR77" s="2805"/>
      <c r="RRS77" s="2805"/>
      <c r="RRT77" s="2805"/>
      <c r="RRU77" s="2805"/>
      <c r="RRV77" s="2805"/>
      <c r="RRW77" s="2805"/>
      <c r="RRX77" s="2805"/>
      <c r="RRY77" s="2805"/>
      <c r="RRZ77" s="2805"/>
      <c r="RSA77" s="2805"/>
      <c r="RSB77" s="2805"/>
      <c r="RSC77" s="2805"/>
      <c r="RSD77" s="2805"/>
      <c r="RSE77" s="2805"/>
      <c r="RSF77" s="2805"/>
      <c r="RSG77" s="2805"/>
      <c r="RSH77" s="2805"/>
      <c r="RSI77" s="2805"/>
      <c r="RSJ77" s="2805"/>
      <c r="RSK77" s="2805"/>
      <c r="RSL77" s="2805"/>
      <c r="RSM77" s="2805"/>
      <c r="RSN77" s="2805"/>
      <c r="RSO77" s="2805"/>
      <c r="RSP77" s="2805"/>
      <c r="RSQ77" s="2805"/>
      <c r="RSR77" s="2805"/>
      <c r="RSS77" s="2805"/>
      <c r="RST77" s="2805"/>
      <c r="RSU77" s="2805"/>
      <c r="RSV77" s="2805"/>
      <c r="RSW77" s="2805"/>
      <c r="RSX77" s="2805"/>
      <c r="RSY77" s="2805"/>
      <c r="RSZ77" s="2805"/>
      <c r="RTA77" s="2805"/>
      <c r="RTB77" s="2805"/>
      <c r="RTC77" s="2805"/>
      <c r="RTD77" s="2805"/>
      <c r="RTE77" s="2805"/>
      <c r="RTF77" s="2805"/>
      <c r="RTG77" s="2805"/>
      <c r="RTH77" s="2805"/>
      <c r="RTI77" s="2805"/>
      <c r="RTJ77" s="2805"/>
      <c r="RTK77" s="2805"/>
      <c r="RTL77" s="2805"/>
      <c r="RTM77" s="2805"/>
      <c r="RTN77" s="2805"/>
      <c r="RTO77" s="2805"/>
      <c r="RTP77" s="2805"/>
      <c r="RTQ77" s="2805"/>
      <c r="RTR77" s="2805"/>
      <c r="RTS77" s="2805"/>
      <c r="RTT77" s="2805"/>
      <c r="RTU77" s="2805"/>
      <c r="RTV77" s="2805"/>
      <c r="RTW77" s="2805"/>
      <c r="RTX77" s="2805"/>
      <c r="RTY77" s="2805"/>
      <c r="RTZ77" s="2805"/>
      <c r="RUA77" s="2805"/>
      <c r="RUB77" s="2805"/>
      <c r="RUC77" s="2805"/>
      <c r="RUD77" s="2805"/>
      <c r="RUE77" s="2805"/>
      <c r="RUF77" s="2805"/>
      <c r="RUG77" s="2805"/>
      <c r="RUH77" s="2805"/>
      <c r="RUI77" s="2805"/>
      <c r="RUJ77" s="2805"/>
      <c r="RUK77" s="2805"/>
      <c r="RUL77" s="2805"/>
      <c r="RUM77" s="2805"/>
      <c r="RUN77" s="2805"/>
      <c r="RUO77" s="2805"/>
      <c r="RUP77" s="2805"/>
      <c r="RUQ77" s="2805"/>
      <c r="RUR77" s="2805"/>
      <c r="RUS77" s="2805"/>
      <c r="RUT77" s="2805"/>
      <c r="RUU77" s="2805"/>
      <c r="RUV77" s="2805"/>
      <c r="RUW77" s="2805"/>
      <c r="RUX77" s="2805"/>
      <c r="RUY77" s="2805"/>
      <c r="RUZ77" s="2805"/>
      <c r="RVA77" s="2805"/>
      <c r="RVB77" s="2805"/>
      <c r="RVC77" s="2805"/>
      <c r="RVD77" s="2805"/>
      <c r="RVE77" s="2805"/>
      <c r="RVF77" s="2805"/>
      <c r="RVG77" s="2805"/>
      <c r="RVH77" s="2805"/>
      <c r="RVI77" s="2805"/>
      <c r="RVJ77" s="2805"/>
      <c r="RVK77" s="2805"/>
      <c r="RVL77" s="2805"/>
      <c r="RVM77" s="2805"/>
      <c r="RVN77" s="2805"/>
      <c r="RVO77" s="2805"/>
      <c r="RVP77" s="2805"/>
      <c r="RVQ77" s="2805"/>
      <c r="RVR77" s="2805"/>
      <c r="RVS77" s="2805"/>
      <c r="RVT77" s="2805"/>
      <c r="RVU77" s="2805"/>
      <c r="RVV77" s="2805"/>
      <c r="RVW77" s="2805"/>
      <c r="RVX77" s="2805"/>
      <c r="RVY77" s="2805"/>
      <c r="RVZ77" s="2805"/>
      <c r="RWA77" s="2805"/>
      <c r="RWB77" s="2805"/>
      <c r="RWC77" s="2805"/>
      <c r="RWD77" s="2805"/>
      <c r="RWE77" s="2805"/>
      <c r="RWF77" s="2805"/>
      <c r="RWG77" s="2805"/>
      <c r="RWH77" s="2805"/>
      <c r="RWI77" s="2805"/>
      <c r="RWJ77" s="2805"/>
      <c r="RWK77" s="2805"/>
      <c r="RWL77" s="2805"/>
      <c r="RWM77" s="2805"/>
      <c r="RWN77" s="2805"/>
      <c r="RWO77" s="2805"/>
      <c r="RWP77" s="2805"/>
      <c r="RWQ77" s="2805"/>
      <c r="RWR77" s="2805"/>
      <c r="RWS77" s="2805"/>
      <c r="RWT77" s="2805"/>
      <c r="RWU77" s="2805"/>
      <c r="RWV77" s="2805"/>
      <c r="RWW77" s="2805"/>
      <c r="RWX77" s="2805"/>
      <c r="RWY77" s="2805"/>
      <c r="RWZ77" s="2805"/>
      <c r="RXA77" s="2805"/>
      <c r="RXB77" s="2805"/>
      <c r="RXC77" s="2805"/>
      <c r="RXD77" s="2805"/>
      <c r="RXE77" s="2805"/>
      <c r="RXF77" s="2805"/>
      <c r="RXG77" s="2805"/>
      <c r="RXH77" s="2805"/>
      <c r="RXI77" s="2805"/>
      <c r="RXJ77" s="2805"/>
      <c r="RXK77" s="2805"/>
      <c r="RXL77" s="2805"/>
      <c r="RXM77" s="2805"/>
      <c r="RXN77" s="2805"/>
      <c r="RXO77" s="2805"/>
      <c r="RXP77" s="2805"/>
      <c r="RXQ77" s="2805"/>
      <c r="RXR77" s="2805"/>
      <c r="RXS77" s="2805"/>
      <c r="RXT77" s="2805"/>
      <c r="RXU77" s="2805"/>
      <c r="RXV77" s="2805"/>
      <c r="RXW77" s="2805"/>
      <c r="RXX77" s="2805"/>
      <c r="RXY77" s="2805"/>
      <c r="RXZ77" s="2805"/>
      <c r="RYA77" s="2805"/>
      <c r="RYB77" s="2805"/>
      <c r="RYC77" s="2805"/>
      <c r="RYD77" s="2805"/>
      <c r="RYE77" s="2805"/>
      <c r="RYF77" s="2805"/>
      <c r="RYG77" s="2805"/>
      <c r="RYH77" s="2805"/>
      <c r="RYI77" s="2805"/>
      <c r="RYJ77" s="2805"/>
      <c r="RYK77" s="2805"/>
      <c r="RYL77" s="2805"/>
      <c r="RYM77" s="2805"/>
      <c r="RYN77" s="2805"/>
      <c r="RYO77" s="2805"/>
      <c r="RYP77" s="2805"/>
      <c r="RYQ77" s="2805"/>
      <c r="RYR77" s="2805"/>
      <c r="RYS77" s="2805"/>
      <c r="RYT77" s="2805"/>
      <c r="RYU77" s="2805"/>
      <c r="RYV77" s="2805"/>
      <c r="RYW77" s="2805"/>
      <c r="RYX77" s="2805"/>
      <c r="RYY77" s="2805"/>
      <c r="RYZ77" s="2805"/>
      <c r="RZA77" s="2805"/>
      <c r="RZB77" s="2805"/>
      <c r="RZC77" s="2805"/>
      <c r="RZD77" s="2805"/>
      <c r="RZE77" s="2805"/>
      <c r="RZF77" s="2805"/>
      <c r="RZG77" s="2805"/>
      <c r="RZH77" s="2805"/>
      <c r="RZI77" s="2805"/>
      <c r="RZJ77" s="2805"/>
      <c r="RZK77" s="2805"/>
      <c r="RZL77" s="2805"/>
      <c r="RZM77" s="2805"/>
      <c r="RZN77" s="2805"/>
      <c r="RZO77" s="2805"/>
      <c r="RZP77" s="2805"/>
      <c r="RZQ77" s="2805"/>
      <c r="RZR77" s="2805"/>
      <c r="RZS77" s="2805"/>
      <c r="RZT77" s="2805"/>
      <c r="RZU77" s="2805"/>
      <c r="RZV77" s="2805"/>
      <c r="RZW77" s="2805"/>
      <c r="RZX77" s="2805"/>
      <c r="RZY77" s="2805"/>
      <c r="RZZ77" s="2805"/>
      <c r="SAA77" s="2805"/>
      <c r="SAB77" s="2805"/>
      <c r="SAC77" s="2805"/>
      <c r="SAD77" s="2805"/>
      <c r="SAE77" s="2805"/>
      <c r="SAF77" s="2805"/>
      <c r="SAG77" s="2805"/>
      <c r="SAH77" s="2805"/>
      <c r="SAI77" s="2805"/>
      <c r="SAJ77" s="2805"/>
      <c r="SAK77" s="2805"/>
      <c r="SAL77" s="2805"/>
      <c r="SAM77" s="2805"/>
      <c r="SAN77" s="2805"/>
      <c r="SAO77" s="2805"/>
      <c r="SAP77" s="2805"/>
      <c r="SAQ77" s="2805"/>
      <c r="SAR77" s="2805"/>
      <c r="SAS77" s="2805"/>
      <c r="SAT77" s="2805"/>
      <c r="SAU77" s="2805"/>
      <c r="SAV77" s="2805"/>
      <c r="SAW77" s="2805"/>
      <c r="SAX77" s="2805"/>
      <c r="SAY77" s="2805"/>
      <c r="SAZ77" s="2805"/>
      <c r="SBA77" s="2805"/>
      <c r="SBB77" s="2805"/>
      <c r="SBC77" s="2805"/>
      <c r="SBD77" s="2805"/>
      <c r="SBE77" s="2805"/>
      <c r="SBF77" s="2805"/>
      <c r="SBG77" s="2805"/>
      <c r="SBH77" s="2805"/>
      <c r="SBI77" s="2805"/>
      <c r="SBJ77" s="2805"/>
      <c r="SBK77" s="2805"/>
      <c r="SBL77" s="2805"/>
      <c r="SBM77" s="2805"/>
      <c r="SBN77" s="2805"/>
      <c r="SBO77" s="2805"/>
      <c r="SBP77" s="2805"/>
      <c r="SBQ77" s="2805"/>
      <c r="SBR77" s="2805"/>
      <c r="SBS77" s="2805"/>
      <c r="SBT77" s="2805"/>
      <c r="SBU77" s="2805"/>
      <c r="SBV77" s="2805"/>
      <c r="SBW77" s="2805"/>
      <c r="SBX77" s="2805"/>
      <c r="SBY77" s="2805"/>
      <c r="SBZ77" s="2805"/>
      <c r="SCA77" s="2805"/>
      <c r="SCB77" s="2805"/>
      <c r="SCC77" s="2805"/>
      <c r="SCD77" s="2805"/>
      <c r="SCE77" s="2805"/>
      <c r="SCF77" s="2805"/>
      <c r="SCG77" s="2805"/>
      <c r="SCH77" s="2805"/>
      <c r="SCI77" s="2805"/>
      <c r="SCJ77" s="2805"/>
      <c r="SCK77" s="2805"/>
      <c r="SCL77" s="2805"/>
      <c r="SCM77" s="2805"/>
      <c r="SCN77" s="2805"/>
      <c r="SCO77" s="2805"/>
      <c r="SCP77" s="2805"/>
      <c r="SCQ77" s="2805"/>
      <c r="SCR77" s="2805"/>
      <c r="SCS77" s="2805"/>
      <c r="SCT77" s="2805"/>
      <c r="SCU77" s="2805"/>
      <c r="SCV77" s="2805"/>
      <c r="SCW77" s="2805"/>
      <c r="SCX77" s="2805"/>
      <c r="SCY77" s="2805"/>
      <c r="SCZ77" s="2805"/>
      <c r="SDA77" s="2805"/>
      <c r="SDB77" s="2805"/>
      <c r="SDC77" s="2805"/>
      <c r="SDD77" s="2805"/>
      <c r="SDE77" s="2805"/>
      <c r="SDF77" s="2805"/>
      <c r="SDG77" s="2805"/>
      <c r="SDH77" s="2805"/>
      <c r="SDI77" s="2805"/>
      <c r="SDJ77" s="2805"/>
      <c r="SDK77" s="2805"/>
      <c r="SDL77" s="2805"/>
      <c r="SDM77" s="2805"/>
      <c r="SDN77" s="2805"/>
      <c r="SDO77" s="2805"/>
      <c r="SDP77" s="2805"/>
      <c r="SDQ77" s="2805"/>
      <c r="SDR77" s="2805"/>
      <c r="SDS77" s="2805"/>
      <c r="SDT77" s="2805"/>
      <c r="SDU77" s="2805"/>
      <c r="SDV77" s="2805"/>
      <c r="SDW77" s="2805"/>
      <c r="SDX77" s="2805"/>
      <c r="SDY77" s="2805"/>
      <c r="SDZ77" s="2805"/>
      <c r="SEA77" s="2805"/>
      <c r="SEB77" s="2805"/>
      <c r="SEC77" s="2805"/>
      <c r="SED77" s="2805"/>
      <c r="SEE77" s="2805"/>
      <c r="SEF77" s="2805"/>
      <c r="SEG77" s="2805"/>
      <c r="SEH77" s="2805"/>
      <c r="SEI77" s="2805"/>
      <c r="SEJ77" s="2805"/>
      <c r="SEK77" s="2805"/>
      <c r="SEL77" s="2805"/>
      <c r="SEM77" s="2805"/>
      <c r="SEN77" s="2805"/>
      <c r="SEO77" s="2805"/>
      <c r="SEP77" s="2805"/>
      <c r="SEQ77" s="2805"/>
      <c r="SER77" s="2805"/>
      <c r="SES77" s="2805"/>
      <c r="SET77" s="2805"/>
      <c r="SEU77" s="2805"/>
      <c r="SEV77" s="2805"/>
      <c r="SEW77" s="2805"/>
      <c r="SEX77" s="2805"/>
      <c r="SEY77" s="2805"/>
      <c r="SEZ77" s="2805"/>
      <c r="SFA77" s="2805"/>
      <c r="SFB77" s="2805"/>
      <c r="SFC77" s="2805"/>
      <c r="SFD77" s="2805"/>
      <c r="SFE77" s="2805"/>
      <c r="SFF77" s="2805"/>
      <c r="SFG77" s="2805"/>
      <c r="SFH77" s="2805"/>
      <c r="SFI77" s="2805"/>
      <c r="SFJ77" s="2805"/>
      <c r="SFK77" s="2805"/>
      <c r="SFL77" s="2805"/>
      <c r="SFM77" s="2805"/>
      <c r="SFN77" s="2805"/>
      <c r="SFO77" s="2805"/>
      <c r="SFP77" s="2805"/>
      <c r="SFQ77" s="2805"/>
      <c r="SFR77" s="2805"/>
      <c r="SFS77" s="2805"/>
      <c r="SFT77" s="2805"/>
      <c r="SFU77" s="2805"/>
      <c r="SFV77" s="2805"/>
      <c r="SFW77" s="2805"/>
      <c r="SFX77" s="2805"/>
      <c r="SFY77" s="2805"/>
      <c r="SFZ77" s="2805"/>
      <c r="SGA77" s="2805"/>
      <c r="SGB77" s="2805"/>
      <c r="SGC77" s="2805"/>
      <c r="SGD77" s="2805"/>
      <c r="SGE77" s="2805"/>
      <c r="SGF77" s="2805"/>
      <c r="SGG77" s="2805"/>
      <c r="SGH77" s="2805"/>
      <c r="SGI77" s="2805"/>
      <c r="SGJ77" s="2805"/>
      <c r="SGK77" s="2805"/>
      <c r="SGL77" s="2805"/>
      <c r="SGM77" s="2805"/>
      <c r="SGN77" s="2805"/>
      <c r="SGO77" s="2805"/>
      <c r="SGP77" s="2805"/>
      <c r="SGQ77" s="2805"/>
      <c r="SGR77" s="2805"/>
      <c r="SGS77" s="2805"/>
      <c r="SGT77" s="2805"/>
      <c r="SGU77" s="2805"/>
      <c r="SGV77" s="2805"/>
      <c r="SGW77" s="2805"/>
      <c r="SGX77" s="2805"/>
      <c r="SGY77" s="2805"/>
      <c r="SGZ77" s="2805"/>
      <c r="SHA77" s="2805"/>
      <c r="SHB77" s="2805"/>
      <c r="SHC77" s="2805"/>
      <c r="SHD77" s="2805"/>
      <c r="SHE77" s="2805"/>
      <c r="SHF77" s="2805"/>
      <c r="SHG77" s="2805"/>
      <c r="SHH77" s="2805"/>
      <c r="SHI77" s="2805"/>
      <c r="SHJ77" s="2805"/>
      <c r="SHK77" s="2805"/>
      <c r="SHL77" s="2805"/>
      <c r="SHM77" s="2805"/>
      <c r="SHN77" s="2805"/>
      <c r="SHO77" s="2805"/>
      <c r="SHP77" s="2805"/>
      <c r="SHQ77" s="2805"/>
      <c r="SHR77" s="2805"/>
      <c r="SHS77" s="2805"/>
      <c r="SHT77" s="2805"/>
      <c r="SHU77" s="2805"/>
      <c r="SHV77" s="2805"/>
      <c r="SHW77" s="2805"/>
      <c r="SHX77" s="2805"/>
      <c r="SHY77" s="2805"/>
      <c r="SHZ77" s="2805"/>
      <c r="SIA77" s="2805"/>
      <c r="SIB77" s="2805"/>
      <c r="SIC77" s="2805"/>
      <c r="SID77" s="2805"/>
      <c r="SIE77" s="2805"/>
      <c r="SIF77" s="2805"/>
      <c r="SIG77" s="2805"/>
      <c r="SIH77" s="2805"/>
      <c r="SII77" s="2805"/>
      <c r="SIJ77" s="2805"/>
      <c r="SIK77" s="2805"/>
      <c r="SIL77" s="2805"/>
      <c r="SIM77" s="2805"/>
      <c r="SIN77" s="2805"/>
      <c r="SIO77" s="2805"/>
      <c r="SIP77" s="2805"/>
      <c r="SIQ77" s="2805"/>
      <c r="SIR77" s="2805"/>
      <c r="SIS77" s="2805"/>
      <c r="SIT77" s="2805"/>
      <c r="SIU77" s="2805"/>
      <c r="SIV77" s="2805"/>
      <c r="SIW77" s="2805"/>
      <c r="SIX77" s="2805"/>
      <c r="SIY77" s="2805"/>
      <c r="SIZ77" s="2805"/>
      <c r="SJA77" s="2805"/>
      <c r="SJB77" s="2805"/>
      <c r="SJC77" s="2805"/>
      <c r="SJD77" s="2805"/>
      <c r="SJE77" s="2805"/>
      <c r="SJF77" s="2805"/>
      <c r="SJG77" s="2805"/>
      <c r="SJH77" s="2805"/>
      <c r="SJI77" s="2805"/>
      <c r="SJJ77" s="2805"/>
      <c r="SJK77" s="2805"/>
      <c r="SJL77" s="2805"/>
      <c r="SJM77" s="2805"/>
      <c r="SJN77" s="2805"/>
      <c r="SJO77" s="2805"/>
      <c r="SJP77" s="2805"/>
      <c r="SJQ77" s="2805"/>
      <c r="SJR77" s="2805"/>
      <c r="SJS77" s="2805"/>
      <c r="SJT77" s="2805"/>
      <c r="SJU77" s="2805"/>
      <c r="SJV77" s="2805"/>
      <c r="SJW77" s="2805"/>
      <c r="SJX77" s="2805"/>
      <c r="SJY77" s="2805"/>
      <c r="SJZ77" s="2805"/>
      <c r="SKA77" s="2805"/>
      <c r="SKB77" s="2805"/>
      <c r="SKC77" s="2805"/>
      <c r="SKD77" s="2805"/>
      <c r="SKE77" s="2805"/>
      <c r="SKF77" s="2805"/>
      <c r="SKG77" s="2805"/>
      <c r="SKH77" s="2805"/>
      <c r="SKI77" s="2805"/>
      <c r="SKJ77" s="2805"/>
      <c r="SKK77" s="2805"/>
      <c r="SKL77" s="2805"/>
      <c r="SKM77" s="2805"/>
      <c r="SKN77" s="2805"/>
      <c r="SKO77" s="2805"/>
      <c r="SKP77" s="2805"/>
      <c r="SKQ77" s="2805"/>
      <c r="SKR77" s="2805"/>
      <c r="SKS77" s="2805"/>
      <c r="SKT77" s="2805"/>
      <c r="SKU77" s="2805"/>
      <c r="SKV77" s="2805"/>
      <c r="SKW77" s="2805"/>
      <c r="SKX77" s="2805"/>
      <c r="SKY77" s="2805"/>
      <c r="SKZ77" s="2805"/>
      <c r="SLA77" s="2805"/>
      <c r="SLB77" s="2805"/>
      <c r="SLC77" s="2805"/>
      <c r="SLD77" s="2805"/>
      <c r="SLE77" s="2805"/>
      <c r="SLF77" s="2805"/>
      <c r="SLG77" s="2805"/>
      <c r="SLH77" s="2805"/>
      <c r="SLI77" s="2805"/>
      <c r="SLJ77" s="2805"/>
      <c r="SLK77" s="2805"/>
      <c r="SLL77" s="2805"/>
      <c r="SLM77" s="2805"/>
      <c r="SLN77" s="2805"/>
      <c r="SLO77" s="2805"/>
      <c r="SLP77" s="2805"/>
      <c r="SLQ77" s="2805"/>
      <c r="SLR77" s="2805"/>
      <c r="SLS77" s="2805"/>
      <c r="SLT77" s="2805"/>
      <c r="SLU77" s="2805"/>
      <c r="SLV77" s="2805"/>
      <c r="SLW77" s="2805"/>
      <c r="SLX77" s="2805"/>
      <c r="SLY77" s="2805"/>
      <c r="SLZ77" s="2805"/>
      <c r="SMA77" s="2805"/>
      <c r="SMB77" s="2805"/>
      <c r="SMC77" s="2805"/>
      <c r="SMD77" s="2805"/>
      <c r="SME77" s="2805"/>
      <c r="SMF77" s="2805"/>
      <c r="SMG77" s="2805"/>
      <c r="SMH77" s="2805"/>
      <c r="SMI77" s="2805"/>
      <c r="SMJ77" s="2805"/>
      <c r="SMK77" s="2805"/>
      <c r="SML77" s="2805"/>
      <c r="SMM77" s="2805"/>
      <c r="SMN77" s="2805"/>
      <c r="SMO77" s="2805"/>
      <c r="SMP77" s="2805"/>
      <c r="SMQ77" s="2805"/>
      <c r="SMR77" s="2805"/>
      <c r="SMS77" s="2805"/>
      <c r="SMT77" s="2805"/>
      <c r="SMU77" s="2805"/>
      <c r="SMV77" s="2805"/>
      <c r="SMW77" s="2805"/>
      <c r="SMX77" s="2805"/>
      <c r="SMY77" s="2805"/>
      <c r="SMZ77" s="2805"/>
      <c r="SNA77" s="2805"/>
      <c r="SNB77" s="2805"/>
      <c r="SNC77" s="2805"/>
      <c r="SND77" s="2805"/>
      <c r="SNE77" s="2805"/>
      <c r="SNF77" s="2805"/>
      <c r="SNG77" s="2805"/>
      <c r="SNH77" s="2805"/>
      <c r="SNI77" s="2805"/>
      <c r="SNJ77" s="2805"/>
      <c r="SNK77" s="2805"/>
      <c r="SNL77" s="2805"/>
      <c r="SNM77" s="2805"/>
      <c r="SNN77" s="2805"/>
      <c r="SNO77" s="2805"/>
      <c r="SNP77" s="2805"/>
      <c r="SNQ77" s="2805"/>
      <c r="SNR77" s="2805"/>
      <c r="SNS77" s="2805"/>
      <c r="SNT77" s="2805"/>
      <c r="SNU77" s="2805"/>
      <c r="SNV77" s="2805"/>
      <c r="SNW77" s="2805"/>
      <c r="SNX77" s="2805"/>
      <c r="SNY77" s="2805"/>
      <c r="SNZ77" s="2805"/>
      <c r="SOA77" s="2805"/>
      <c r="SOB77" s="2805"/>
      <c r="SOC77" s="2805"/>
      <c r="SOD77" s="2805"/>
      <c r="SOE77" s="2805"/>
      <c r="SOF77" s="2805"/>
      <c r="SOG77" s="2805"/>
      <c r="SOH77" s="2805"/>
      <c r="SOI77" s="2805"/>
      <c r="SOJ77" s="2805"/>
      <c r="SOK77" s="2805"/>
      <c r="SOL77" s="2805"/>
      <c r="SOM77" s="2805"/>
      <c r="SON77" s="2805"/>
      <c r="SOO77" s="2805"/>
      <c r="SOP77" s="2805"/>
      <c r="SOQ77" s="2805"/>
      <c r="SOR77" s="2805"/>
      <c r="SOS77" s="2805"/>
      <c r="SOT77" s="2805"/>
      <c r="SOU77" s="2805"/>
      <c r="SOV77" s="2805"/>
      <c r="SOW77" s="2805"/>
      <c r="SOX77" s="2805"/>
      <c r="SOY77" s="2805"/>
      <c r="SOZ77" s="2805"/>
      <c r="SPA77" s="2805"/>
      <c r="SPB77" s="2805"/>
      <c r="SPC77" s="2805"/>
      <c r="SPD77" s="2805"/>
      <c r="SPE77" s="2805"/>
      <c r="SPF77" s="2805"/>
      <c r="SPG77" s="2805"/>
      <c r="SPH77" s="2805"/>
      <c r="SPI77" s="2805"/>
      <c r="SPJ77" s="2805"/>
      <c r="SPK77" s="2805"/>
      <c r="SPL77" s="2805"/>
      <c r="SPM77" s="2805"/>
      <c r="SPN77" s="2805"/>
      <c r="SPO77" s="2805"/>
      <c r="SPP77" s="2805"/>
      <c r="SPQ77" s="2805"/>
      <c r="SPR77" s="2805"/>
      <c r="SPS77" s="2805"/>
      <c r="SPT77" s="2805"/>
      <c r="SPU77" s="2805"/>
      <c r="SPV77" s="2805"/>
      <c r="SPW77" s="2805"/>
      <c r="SPX77" s="2805"/>
      <c r="SPY77" s="2805"/>
      <c r="SPZ77" s="2805"/>
      <c r="SQA77" s="2805"/>
      <c r="SQB77" s="2805"/>
      <c r="SQC77" s="2805"/>
      <c r="SQD77" s="2805"/>
      <c r="SQE77" s="2805"/>
      <c r="SQF77" s="2805"/>
      <c r="SQG77" s="2805"/>
      <c r="SQH77" s="2805"/>
      <c r="SQI77" s="2805"/>
      <c r="SQJ77" s="2805"/>
      <c r="SQK77" s="2805"/>
      <c r="SQL77" s="2805"/>
      <c r="SQM77" s="2805"/>
      <c r="SQN77" s="2805"/>
      <c r="SQO77" s="2805"/>
      <c r="SQP77" s="2805"/>
      <c r="SQQ77" s="2805"/>
      <c r="SQR77" s="2805"/>
      <c r="SQS77" s="2805"/>
      <c r="SQT77" s="2805"/>
      <c r="SQU77" s="2805"/>
      <c r="SQV77" s="2805"/>
      <c r="SQW77" s="2805"/>
      <c r="SQX77" s="2805"/>
      <c r="SQY77" s="2805"/>
      <c r="SQZ77" s="2805"/>
      <c r="SRA77" s="2805"/>
      <c r="SRB77" s="2805"/>
      <c r="SRC77" s="2805"/>
      <c r="SRD77" s="2805"/>
      <c r="SRE77" s="2805"/>
      <c r="SRF77" s="2805"/>
      <c r="SRG77" s="2805"/>
      <c r="SRH77" s="2805"/>
      <c r="SRI77" s="2805"/>
      <c r="SRJ77" s="2805"/>
      <c r="SRK77" s="2805"/>
      <c r="SRL77" s="2805"/>
      <c r="SRM77" s="2805"/>
      <c r="SRN77" s="2805"/>
      <c r="SRO77" s="2805"/>
      <c r="SRP77" s="2805"/>
      <c r="SRQ77" s="2805"/>
      <c r="SRR77" s="2805"/>
      <c r="SRS77" s="2805"/>
      <c r="SRT77" s="2805"/>
      <c r="SRU77" s="2805"/>
      <c r="SRV77" s="2805"/>
      <c r="SRW77" s="2805"/>
      <c r="SRX77" s="2805"/>
      <c r="SRY77" s="2805"/>
      <c r="SRZ77" s="2805"/>
      <c r="SSA77" s="2805"/>
      <c r="SSB77" s="2805"/>
      <c r="SSC77" s="2805"/>
      <c r="SSD77" s="2805"/>
      <c r="SSE77" s="2805"/>
      <c r="SSF77" s="2805"/>
      <c r="SSG77" s="2805"/>
      <c r="SSH77" s="2805"/>
      <c r="SSI77" s="2805"/>
      <c r="SSJ77" s="2805"/>
      <c r="SSK77" s="2805"/>
      <c r="SSL77" s="2805"/>
      <c r="SSM77" s="2805"/>
      <c r="SSN77" s="2805"/>
      <c r="SSO77" s="2805"/>
      <c r="SSP77" s="2805"/>
      <c r="SSQ77" s="2805"/>
      <c r="SSR77" s="2805"/>
      <c r="SSS77" s="2805"/>
      <c r="SST77" s="2805"/>
      <c r="SSU77" s="2805"/>
      <c r="SSV77" s="2805"/>
      <c r="SSW77" s="2805"/>
      <c r="SSX77" s="2805"/>
      <c r="SSY77" s="2805"/>
      <c r="SSZ77" s="2805"/>
      <c r="STA77" s="2805"/>
      <c r="STB77" s="2805"/>
      <c r="STC77" s="2805"/>
      <c r="STD77" s="2805"/>
      <c r="STE77" s="2805"/>
      <c r="STF77" s="2805"/>
      <c r="STG77" s="2805"/>
      <c r="STH77" s="2805"/>
      <c r="STI77" s="2805"/>
      <c r="STJ77" s="2805"/>
      <c r="STK77" s="2805"/>
      <c r="STL77" s="2805"/>
      <c r="STM77" s="2805"/>
      <c r="STN77" s="2805"/>
      <c r="STO77" s="2805"/>
      <c r="STP77" s="2805"/>
      <c r="STQ77" s="2805"/>
      <c r="STR77" s="2805"/>
      <c r="STS77" s="2805"/>
      <c r="STT77" s="2805"/>
      <c r="STU77" s="2805"/>
      <c r="STV77" s="2805"/>
      <c r="STW77" s="2805"/>
      <c r="STX77" s="2805"/>
      <c r="STY77" s="2805"/>
      <c r="STZ77" s="2805"/>
      <c r="SUA77" s="2805"/>
      <c r="SUB77" s="2805"/>
      <c r="SUC77" s="2805"/>
      <c r="SUD77" s="2805"/>
      <c r="SUE77" s="2805"/>
      <c r="SUF77" s="2805"/>
      <c r="SUG77" s="2805"/>
      <c r="SUH77" s="2805"/>
      <c r="SUI77" s="2805"/>
      <c r="SUJ77" s="2805"/>
      <c r="SUK77" s="2805"/>
      <c r="SUL77" s="2805"/>
      <c r="SUM77" s="2805"/>
      <c r="SUN77" s="2805"/>
      <c r="SUO77" s="2805"/>
      <c r="SUP77" s="2805"/>
      <c r="SUQ77" s="2805"/>
      <c r="SUR77" s="2805"/>
      <c r="SUS77" s="2805"/>
      <c r="SUT77" s="2805"/>
      <c r="SUU77" s="2805"/>
      <c r="SUV77" s="2805"/>
      <c r="SUW77" s="2805"/>
      <c r="SUX77" s="2805"/>
      <c r="SUY77" s="2805"/>
      <c r="SUZ77" s="2805"/>
      <c r="SVA77" s="2805"/>
      <c r="SVB77" s="2805"/>
      <c r="SVC77" s="2805"/>
      <c r="SVD77" s="2805"/>
      <c r="SVE77" s="2805"/>
      <c r="SVF77" s="2805"/>
      <c r="SVG77" s="2805"/>
      <c r="SVH77" s="2805"/>
      <c r="SVI77" s="2805"/>
      <c r="SVJ77" s="2805"/>
      <c r="SVK77" s="2805"/>
      <c r="SVL77" s="2805"/>
      <c r="SVM77" s="2805"/>
      <c r="SVN77" s="2805"/>
      <c r="SVO77" s="2805"/>
      <c r="SVP77" s="2805"/>
      <c r="SVQ77" s="2805"/>
      <c r="SVR77" s="2805"/>
      <c r="SVS77" s="2805"/>
      <c r="SVT77" s="2805"/>
      <c r="SVU77" s="2805"/>
      <c r="SVV77" s="2805"/>
      <c r="SVW77" s="2805"/>
      <c r="SVX77" s="2805"/>
      <c r="SVY77" s="2805"/>
      <c r="SVZ77" s="2805"/>
      <c r="SWA77" s="2805"/>
      <c r="SWB77" s="2805"/>
      <c r="SWC77" s="2805"/>
      <c r="SWD77" s="2805"/>
      <c r="SWE77" s="2805"/>
      <c r="SWF77" s="2805"/>
      <c r="SWG77" s="2805"/>
      <c r="SWH77" s="2805"/>
      <c r="SWI77" s="2805"/>
      <c r="SWJ77" s="2805"/>
      <c r="SWK77" s="2805"/>
      <c r="SWL77" s="2805"/>
      <c r="SWM77" s="2805"/>
      <c r="SWN77" s="2805"/>
      <c r="SWO77" s="2805"/>
      <c r="SWP77" s="2805"/>
      <c r="SWQ77" s="2805"/>
      <c r="SWR77" s="2805"/>
      <c r="SWS77" s="2805"/>
      <c r="SWT77" s="2805"/>
      <c r="SWU77" s="2805"/>
      <c r="SWV77" s="2805"/>
      <c r="SWW77" s="2805"/>
      <c r="SWX77" s="2805"/>
      <c r="SWY77" s="2805"/>
      <c r="SWZ77" s="2805"/>
      <c r="SXA77" s="2805"/>
      <c r="SXB77" s="2805"/>
      <c r="SXC77" s="2805"/>
      <c r="SXD77" s="2805"/>
      <c r="SXE77" s="2805"/>
      <c r="SXF77" s="2805"/>
      <c r="SXG77" s="2805"/>
      <c r="SXH77" s="2805"/>
      <c r="SXI77" s="2805"/>
      <c r="SXJ77" s="2805"/>
      <c r="SXK77" s="2805"/>
      <c r="SXL77" s="2805"/>
      <c r="SXM77" s="2805"/>
      <c r="SXN77" s="2805"/>
      <c r="SXO77" s="2805"/>
      <c r="SXP77" s="2805"/>
      <c r="SXQ77" s="2805"/>
      <c r="SXR77" s="2805"/>
      <c r="SXS77" s="2805"/>
      <c r="SXT77" s="2805"/>
      <c r="SXU77" s="2805"/>
      <c r="SXV77" s="2805"/>
      <c r="SXW77" s="2805"/>
      <c r="SXX77" s="2805"/>
      <c r="SXY77" s="2805"/>
      <c r="SXZ77" s="2805"/>
      <c r="SYA77" s="2805"/>
      <c r="SYB77" s="2805"/>
      <c r="SYC77" s="2805"/>
      <c r="SYD77" s="2805"/>
      <c r="SYE77" s="2805"/>
      <c r="SYF77" s="2805"/>
      <c r="SYG77" s="2805"/>
      <c r="SYH77" s="2805"/>
      <c r="SYI77" s="2805"/>
      <c r="SYJ77" s="2805"/>
      <c r="SYK77" s="2805"/>
      <c r="SYL77" s="2805"/>
      <c r="SYM77" s="2805"/>
      <c r="SYN77" s="2805"/>
      <c r="SYO77" s="2805"/>
      <c r="SYP77" s="2805"/>
      <c r="SYQ77" s="2805"/>
      <c r="SYR77" s="2805"/>
      <c r="SYS77" s="2805"/>
      <c r="SYT77" s="2805"/>
      <c r="SYU77" s="2805"/>
      <c r="SYV77" s="2805"/>
      <c r="SYW77" s="2805"/>
      <c r="SYX77" s="2805"/>
      <c r="SYY77" s="2805"/>
      <c r="SYZ77" s="2805"/>
      <c r="SZA77" s="2805"/>
      <c r="SZB77" s="2805"/>
      <c r="SZC77" s="2805"/>
      <c r="SZD77" s="2805"/>
      <c r="SZE77" s="2805"/>
      <c r="SZF77" s="2805"/>
      <c r="SZG77" s="2805"/>
      <c r="SZH77" s="2805"/>
      <c r="SZI77" s="2805"/>
      <c r="SZJ77" s="2805"/>
      <c r="SZK77" s="2805"/>
      <c r="SZL77" s="2805"/>
      <c r="SZM77" s="2805"/>
      <c r="SZN77" s="2805"/>
      <c r="SZO77" s="2805"/>
      <c r="SZP77" s="2805"/>
      <c r="SZQ77" s="2805"/>
      <c r="SZR77" s="2805"/>
      <c r="SZS77" s="2805"/>
      <c r="SZT77" s="2805"/>
      <c r="SZU77" s="2805"/>
      <c r="SZV77" s="2805"/>
      <c r="SZW77" s="2805"/>
      <c r="SZX77" s="2805"/>
      <c r="SZY77" s="2805"/>
      <c r="SZZ77" s="2805"/>
      <c r="TAA77" s="2805"/>
      <c r="TAB77" s="2805"/>
      <c r="TAC77" s="2805"/>
      <c r="TAD77" s="2805"/>
      <c r="TAE77" s="2805"/>
      <c r="TAF77" s="2805"/>
      <c r="TAG77" s="2805"/>
      <c r="TAH77" s="2805"/>
      <c r="TAI77" s="2805"/>
      <c r="TAJ77" s="2805"/>
      <c r="TAK77" s="2805"/>
      <c r="TAL77" s="2805"/>
      <c r="TAM77" s="2805"/>
      <c r="TAN77" s="2805"/>
      <c r="TAO77" s="2805"/>
      <c r="TAP77" s="2805"/>
      <c r="TAQ77" s="2805"/>
      <c r="TAR77" s="2805"/>
      <c r="TAS77" s="2805"/>
      <c r="TAT77" s="2805"/>
      <c r="TAU77" s="2805"/>
      <c r="TAV77" s="2805"/>
      <c r="TAW77" s="2805"/>
      <c r="TAX77" s="2805"/>
      <c r="TAY77" s="2805"/>
      <c r="TAZ77" s="2805"/>
      <c r="TBA77" s="2805"/>
      <c r="TBB77" s="2805"/>
      <c r="TBC77" s="2805"/>
      <c r="TBD77" s="2805"/>
      <c r="TBE77" s="2805"/>
      <c r="TBF77" s="2805"/>
      <c r="TBG77" s="2805"/>
      <c r="TBH77" s="2805"/>
      <c r="TBI77" s="2805"/>
      <c r="TBJ77" s="2805"/>
      <c r="TBK77" s="2805"/>
      <c r="TBL77" s="2805"/>
      <c r="TBM77" s="2805"/>
      <c r="TBN77" s="2805"/>
      <c r="TBO77" s="2805"/>
      <c r="TBP77" s="2805"/>
      <c r="TBQ77" s="2805"/>
      <c r="TBR77" s="2805"/>
      <c r="TBS77" s="2805"/>
      <c r="TBT77" s="2805"/>
      <c r="TBU77" s="2805"/>
      <c r="TBV77" s="2805"/>
      <c r="TBW77" s="2805"/>
      <c r="TBX77" s="2805"/>
      <c r="TBY77" s="2805"/>
      <c r="TBZ77" s="2805"/>
      <c r="TCA77" s="2805"/>
      <c r="TCB77" s="2805"/>
      <c r="TCC77" s="2805"/>
      <c r="TCD77" s="2805"/>
      <c r="TCE77" s="2805"/>
      <c r="TCF77" s="2805"/>
      <c r="TCG77" s="2805"/>
      <c r="TCH77" s="2805"/>
      <c r="TCI77" s="2805"/>
      <c r="TCJ77" s="2805"/>
      <c r="TCK77" s="2805"/>
      <c r="TCL77" s="2805"/>
      <c r="TCM77" s="2805"/>
      <c r="TCN77" s="2805"/>
      <c r="TCO77" s="2805"/>
      <c r="TCP77" s="2805"/>
      <c r="TCQ77" s="2805"/>
      <c r="TCR77" s="2805"/>
      <c r="TCS77" s="2805"/>
      <c r="TCT77" s="2805"/>
      <c r="TCU77" s="2805"/>
      <c r="TCV77" s="2805"/>
      <c r="TCW77" s="2805"/>
      <c r="TCX77" s="2805"/>
      <c r="TCY77" s="2805"/>
      <c r="TCZ77" s="2805"/>
      <c r="TDA77" s="2805"/>
      <c r="TDB77" s="2805"/>
      <c r="TDC77" s="2805"/>
      <c r="TDD77" s="2805"/>
      <c r="TDE77" s="2805"/>
      <c r="TDF77" s="2805"/>
      <c r="TDG77" s="2805"/>
      <c r="TDH77" s="2805"/>
      <c r="TDI77" s="2805"/>
      <c r="TDJ77" s="2805"/>
      <c r="TDK77" s="2805"/>
      <c r="TDL77" s="2805"/>
      <c r="TDM77" s="2805"/>
      <c r="TDN77" s="2805"/>
      <c r="TDO77" s="2805"/>
      <c r="TDP77" s="2805"/>
      <c r="TDQ77" s="2805"/>
      <c r="TDR77" s="2805"/>
      <c r="TDS77" s="2805"/>
      <c r="TDT77" s="2805"/>
      <c r="TDU77" s="2805"/>
      <c r="TDV77" s="2805"/>
      <c r="TDW77" s="2805"/>
      <c r="TDX77" s="2805"/>
      <c r="TDY77" s="2805"/>
      <c r="TDZ77" s="2805"/>
      <c r="TEA77" s="2805"/>
      <c r="TEB77" s="2805"/>
      <c r="TEC77" s="2805"/>
      <c r="TED77" s="2805"/>
      <c r="TEE77" s="2805"/>
      <c r="TEF77" s="2805"/>
      <c r="TEG77" s="2805"/>
      <c r="TEH77" s="2805"/>
      <c r="TEI77" s="2805"/>
      <c r="TEJ77" s="2805"/>
      <c r="TEK77" s="2805"/>
      <c r="TEL77" s="2805"/>
      <c r="TEM77" s="2805"/>
      <c r="TEN77" s="2805"/>
      <c r="TEO77" s="2805"/>
      <c r="TEP77" s="2805"/>
      <c r="TEQ77" s="2805"/>
      <c r="TER77" s="2805"/>
      <c r="TES77" s="2805"/>
      <c r="TET77" s="2805"/>
      <c r="TEU77" s="2805"/>
      <c r="TEV77" s="2805"/>
      <c r="TEW77" s="2805"/>
      <c r="TEX77" s="2805"/>
      <c r="TEY77" s="2805"/>
      <c r="TEZ77" s="2805"/>
      <c r="TFA77" s="2805"/>
      <c r="TFB77" s="2805"/>
      <c r="TFC77" s="2805"/>
      <c r="TFD77" s="2805"/>
      <c r="TFE77" s="2805"/>
      <c r="TFF77" s="2805"/>
      <c r="TFG77" s="2805"/>
      <c r="TFH77" s="2805"/>
      <c r="TFI77" s="2805"/>
      <c r="TFJ77" s="2805"/>
      <c r="TFK77" s="2805"/>
      <c r="TFL77" s="2805"/>
      <c r="TFM77" s="2805"/>
      <c r="TFN77" s="2805"/>
      <c r="TFO77" s="2805"/>
      <c r="TFP77" s="2805"/>
      <c r="TFQ77" s="2805"/>
      <c r="TFR77" s="2805"/>
      <c r="TFS77" s="2805"/>
      <c r="TFT77" s="2805"/>
      <c r="TFU77" s="2805"/>
      <c r="TFV77" s="2805"/>
      <c r="TFW77" s="2805"/>
      <c r="TFX77" s="2805"/>
      <c r="TFY77" s="2805"/>
      <c r="TFZ77" s="2805"/>
      <c r="TGA77" s="2805"/>
      <c r="TGB77" s="2805"/>
      <c r="TGC77" s="2805"/>
      <c r="TGD77" s="2805"/>
      <c r="TGE77" s="2805"/>
      <c r="TGF77" s="2805"/>
      <c r="TGG77" s="2805"/>
      <c r="TGH77" s="2805"/>
      <c r="TGI77" s="2805"/>
      <c r="TGJ77" s="2805"/>
      <c r="TGK77" s="2805"/>
      <c r="TGL77" s="2805"/>
      <c r="TGM77" s="2805"/>
      <c r="TGN77" s="2805"/>
      <c r="TGO77" s="2805"/>
      <c r="TGP77" s="2805"/>
      <c r="TGQ77" s="2805"/>
      <c r="TGR77" s="2805"/>
      <c r="TGS77" s="2805"/>
      <c r="TGT77" s="2805"/>
      <c r="TGU77" s="2805"/>
      <c r="TGV77" s="2805"/>
      <c r="TGW77" s="2805"/>
      <c r="TGX77" s="2805"/>
      <c r="TGY77" s="2805"/>
      <c r="TGZ77" s="2805"/>
      <c r="THA77" s="2805"/>
      <c r="THB77" s="2805"/>
      <c r="THC77" s="2805"/>
      <c r="THD77" s="2805"/>
      <c r="THE77" s="2805"/>
      <c r="THF77" s="2805"/>
      <c r="THG77" s="2805"/>
      <c r="THH77" s="2805"/>
      <c r="THI77" s="2805"/>
      <c r="THJ77" s="2805"/>
      <c r="THK77" s="2805"/>
      <c r="THL77" s="2805"/>
      <c r="THM77" s="2805"/>
      <c r="THN77" s="2805"/>
      <c r="THO77" s="2805"/>
      <c r="THP77" s="2805"/>
      <c r="THQ77" s="2805"/>
      <c r="THR77" s="2805"/>
      <c r="THS77" s="2805"/>
      <c r="THT77" s="2805"/>
      <c r="THU77" s="2805"/>
      <c r="THV77" s="2805"/>
      <c r="THW77" s="2805"/>
      <c r="THX77" s="2805"/>
      <c r="THY77" s="2805"/>
      <c r="THZ77" s="2805"/>
      <c r="TIA77" s="2805"/>
      <c r="TIB77" s="2805"/>
      <c r="TIC77" s="2805"/>
      <c r="TID77" s="2805"/>
      <c r="TIE77" s="2805"/>
      <c r="TIF77" s="2805"/>
      <c r="TIG77" s="2805"/>
      <c r="TIH77" s="2805"/>
      <c r="TII77" s="2805"/>
      <c r="TIJ77" s="2805"/>
      <c r="TIK77" s="2805"/>
      <c r="TIL77" s="2805"/>
      <c r="TIM77" s="2805"/>
      <c r="TIN77" s="2805"/>
      <c r="TIO77" s="2805"/>
      <c r="TIP77" s="2805"/>
      <c r="TIQ77" s="2805"/>
      <c r="TIR77" s="2805"/>
      <c r="TIS77" s="2805"/>
      <c r="TIT77" s="2805"/>
      <c r="TIU77" s="2805"/>
      <c r="TIV77" s="2805"/>
      <c r="TIW77" s="2805"/>
      <c r="TIX77" s="2805"/>
      <c r="TIY77" s="2805"/>
      <c r="TIZ77" s="2805"/>
      <c r="TJA77" s="2805"/>
      <c r="TJB77" s="2805"/>
      <c r="TJC77" s="2805"/>
      <c r="TJD77" s="2805"/>
      <c r="TJE77" s="2805"/>
      <c r="TJF77" s="2805"/>
      <c r="TJG77" s="2805"/>
      <c r="TJH77" s="2805"/>
      <c r="TJI77" s="2805"/>
      <c r="TJJ77" s="2805"/>
      <c r="TJK77" s="2805"/>
      <c r="TJL77" s="2805"/>
      <c r="TJM77" s="2805"/>
      <c r="TJN77" s="2805"/>
      <c r="TJO77" s="2805"/>
      <c r="TJP77" s="2805"/>
      <c r="TJQ77" s="2805"/>
      <c r="TJR77" s="2805"/>
      <c r="TJS77" s="2805"/>
      <c r="TJT77" s="2805"/>
      <c r="TJU77" s="2805"/>
      <c r="TJV77" s="2805"/>
      <c r="TJW77" s="2805"/>
      <c r="TJX77" s="2805"/>
      <c r="TJY77" s="2805"/>
      <c r="TJZ77" s="2805"/>
      <c r="TKA77" s="2805"/>
      <c r="TKB77" s="2805"/>
      <c r="TKC77" s="2805"/>
      <c r="TKD77" s="2805"/>
      <c r="TKE77" s="2805"/>
      <c r="TKF77" s="2805"/>
      <c r="TKG77" s="2805"/>
      <c r="TKH77" s="2805"/>
      <c r="TKI77" s="2805"/>
      <c r="TKJ77" s="2805"/>
      <c r="TKK77" s="2805"/>
      <c r="TKL77" s="2805"/>
      <c r="TKM77" s="2805"/>
      <c r="TKN77" s="2805"/>
      <c r="TKO77" s="2805"/>
      <c r="TKP77" s="2805"/>
      <c r="TKQ77" s="2805"/>
      <c r="TKR77" s="2805"/>
      <c r="TKS77" s="2805"/>
      <c r="TKT77" s="2805"/>
      <c r="TKU77" s="2805"/>
      <c r="TKV77" s="2805"/>
      <c r="TKW77" s="2805"/>
      <c r="TKX77" s="2805"/>
      <c r="TKY77" s="2805"/>
      <c r="TKZ77" s="2805"/>
      <c r="TLA77" s="2805"/>
      <c r="TLB77" s="2805"/>
      <c r="TLC77" s="2805"/>
      <c r="TLD77" s="2805"/>
      <c r="TLE77" s="2805"/>
      <c r="TLF77" s="2805"/>
      <c r="TLG77" s="2805"/>
      <c r="TLH77" s="2805"/>
      <c r="TLI77" s="2805"/>
      <c r="TLJ77" s="2805"/>
      <c r="TLK77" s="2805"/>
      <c r="TLL77" s="2805"/>
      <c r="TLM77" s="2805"/>
      <c r="TLN77" s="2805"/>
      <c r="TLO77" s="2805"/>
      <c r="TLP77" s="2805"/>
      <c r="TLQ77" s="2805"/>
      <c r="TLR77" s="2805"/>
      <c r="TLS77" s="2805"/>
      <c r="TLT77" s="2805"/>
      <c r="TLU77" s="2805"/>
      <c r="TLV77" s="2805"/>
      <c r="TLW77" s="2805"/>
      <c r="TLX77" s="2805"/>
      <c r="TLY77" s="2805"/>
      <c r="TLZ77" s="2805"/>
      <c r="TMA77" s="2805"/>
      <c r="TMB77" s="2805"/>
      <c r="TMC77" s="2805"/>
      <c r="TMD77" s="2805"/>
      <c r="TME77" s="2805"/>
      <c r="TMF77" s="2805"/>
      <c r="TMG77" s="2805"/>
      <c r="TMH77" s="2805"/>
      <c r="TMI77" s="2805"/>
      <c r="TMJ77" s="2805"/>
      <c r="TMK77" s="2805"/>
      <c r="TML77" s="2805"/>
      <c r="TMM77" s="2805"/>
      <c r="TMN77" s="2805"/>
      <c r="TMO77" s="2805"/>
      <c r="TMP77" s="2805"/>
      <c r="TMQ77" s="2805"/>
      <c r="TMR77" s="2805"/>
      <c r="TMS77" s="2805"/>
      <c r="TMT77" s="2805"/>
      <c r="TMU77" s="2805"/>
      <c r="TMV77" s="2805"/>
      <c r="TMW77" s="2805"/>
      <c r="TMX77" s="2805"/>
      <c r="TMY77" s="2805"/>
      <c r="TMZ77" s="2805"/>
      <c r="TNA77" s="2805"/>
      <c r="TNB77" s="2805"/>
      <c r="TNC77" s="2805"/>
      <c r="TND77" s="2805"/>
      <c r="TNE77" s="2805"/>
      <c r="TNF77" s="2805"/>
      <c r="TNG77" s="2805"/>
      <c r="TNH77" s="2805"/>
      <c r="TNI77" s="2805"/>
      <c r="TNJ77" s="2805"/>
      <c r="TNK77" s="2805"/>
      <c r="TNL77" s="2805"/>
      <c r="TNM77" s="2805"/>
      <c r="TNN77" s="2805"/>
      <c r="TNO77" s="2805"/>
      <c r="TNP77" s="2805"/>
      <c r="TNQ77" s="2805"/>
      <c r="TNR77" s="2805"/>
      <c r="TNS77" s="2805"/>
      <c r="TNT77" s="2805"/>
      <c r="TNU77" s="2805"/>
      <c r="TNV77" s="2805"/>
      <c r="TNW77" s="2805"/>
      <c r="TNX77" s="2805"/>
      <c r="TNY77" s="2805"/>
      <c r="TNZ77" s="2805"/>
      <c r="TOA77" s="2805"/>
      <c r="TOB77" s="2805"/>
      <c r="TOC77" s="2805"/>
      <c r="TOD77" s="2805"/>
      <c r="TOE77" s="2805"/>
      <c r="TOF77" s="2805"/>
      <c r="TOG77" s="2805"/>
      <c r="TOH77" s="2805"/>
      <c r="TOI77" s="2805"/>
      <c r="TOJ77" s="2805"/>
      <c r="TOK77" s="2805"/>
      <c r="TOL77" s="2805"/>
      <c r="TOM77" s="2805"/>
      <c r="TON77" s="2805"/>
      <c r="TOO77" s="2805"/>
      <c r="TOP77" s="2805"/>
      <c r="TOQ77" s="2805"/>
      <c r="TOR77" s="2805"/>
      <c r="TOS77" s="2805"/>
      <c r="TOT77" s="2805"/>
      <c r="TOU77" s="2805"/>
      <c r="TOV77" s="2805"/>
      <c r="TOW77" s="2805"/>
      <c r="TOX77" s="2805"/>
      <c r="TOY77" s="2805"/>
      <c r="TOZ77" s="2805"/>
      <c r="TPA77" s="2805"/>
      <c r="TPB77" s="2805"/>
      <c r="TPC77" s="2805"/>
      <c r="TPD77" s="2805"/>
      <c r="TPE77" s="2805"/>
      <c r="TPF77" s="2805"/>
      <c r="TPG77" s="2805"/>
      <c r="TPH77" s="2805"/>
      <c r="TPI77" s="2805"/>
      <c r="TPJ77" s="2805"/>
      <c r="TPK77" s="2805"/>
      <c r="TPL77" s="2805"/>
      <c r="TPM77" s="2805"/>
      <c r="TPN77" s="2805"/>
      <c r="TPO77" s="2805"/>
      <c r="TPP77" s="2805"/>
      <c r="TPQ77" s="2805"/>
      <c r="TPR77" s="2805"/>
      <c r="TPS77" s="2805"/>
      <c r="TPT77" s="2805"/>
      <c r="TPU77" s="2805"/>
      <c r="TPV77" s="2805"/>
      <c r="TPW77" s="2805"/>
      <c r="TPX77" s="2805"/>
      <c r="TPY77" s="2805"/>
      <c r="TPZ77" s="2805"/>
      <c r="TQA77" s="2805"/>
      <c r="TQB77" s="2805"/>
      <c r="TQC77" s="2805"/>
      <c r="TQD77" s="2805"/>
      <c r="TQE77" s="2805"/>
      <c r="TQF77" s="2805"/>
      <c r="TQG77" s="2805"/>
      <c r="TQH77" s="2805"/>
      <c r="TQI77" s="2805"/>
      <c r="TQJ77" s="2805"/>
      <c r="TQK77" s="2805"/>
      <c r="TQL77" s="2805"/>
      <c r="TQM77" s="2805"/>
      <c r="TQN77" s="2805"/>
      <c r="TQO77" s="2805"/>
      <c r="TQP77" s="2805"/>
      <c r="TQQ77" s="2805"/>
      <c r="TQR77" s="2805"/>
      <c r="TQS77" s="2805"/>
      <c r="TQT77" s="2805"/>
      <c r="TQU77" s="2805"/>
      <c r="TQV77" s="2805"/>
      <c r="TQW77" s="2805"/>
      <c r="TQX77" s="2805"/>
      <c r="TQY77" s="2805"/>
      <c r="TQZ77" s="2805"/>
      <c r="TRA77" s="2805"/>
      <c r="TRB77" s="2805"/>
      <c r="TRC77" s="2805"/>
      <c r="TRD77" s="2805"/>
      <c r="TRE77" s="2805"/>
      <c r="TRF77" s="2805"/>
      <c r="TRG77" s="2805"/>
      <c r="TRH77" s="2805"/>
      <c r="TRI77" s="2805"/>
      <c r="TRJ77" s="2805"/>
      <c r="TRK77" s="2805"/>
      <c r="TRL77" s="2805"/>
      <c r="TRM77" s="2805"/>
      <c r="TRN77" s="2805"/>
      <c r="TRO77" s="2805"/>
      <c r="TRP77" s="2805"/>
      <c r="TRQ77" s="2805"/>
      <c r="TRR77" s="2805"/>
      <c r="TRS77" s="2805"/>
      <c r="TRT77" s="2805"/>
      <c r="TRU77" s="2805"/>
      <c r="TRV77" s="2805"/>
      <c r="TRW77" s="2805"/>
      <c r="TRX77" s="2805"/>
      <c r="TRY77" s="2805"/>
      <c r="TRZ77" s="2805"/>
      <c r="TSA77" s="2805"/>
      <c r="TSB77" s="2805"/>
      <c r="TSC77" s="2805"/>
      <c r="TSD77" s="2805"/>
      <c r="TSE77" s="2805"/>
      <c r="TSF77" s="2805"/>
      <c r="TSG77" s="2805"/>
      <c r="TSH77" s="2805"/>
      <c r="TSI77" s="2805"/>
      <c r="TSJ77" s="2805"/>
      <c r="TSK77" s="2805"/>
      <c r="TSL77" s="2805"/>
      <c r="TSM77" s="2805"/>
      <c r="TSN77" s="2805"/>
      <c r="TSO77" s="2805"/>
      <c r="TSP77" s="2805"/>
      <c r="TSQ77" s="2805"/>
      <c r="TSR77" s="2805"/>
      <c r="TSS77" s="2805"/>
      <c r="TST77" s="2805"/>
      <c r="TSU77" s="2805"/>
      <c r="TSV77" s="2805"/>
      <c r="TSW77" s="2805"/>
      <c r="TSX77" s="2805"/>
      <c r="TSY77" s="2805"/>
      <c r="TSZ77" s="2805"/>
      <c r="TTA77" s="2805"/>
      <c r="TTB77" s="2805"/>
      <c r="TTC77" s="2805"/>
      <c r="TTD77" s="2805"/>
      <c r="TTE77" s="2805"/>
      <c r="TTF77" s="2805"/>
      <c r="TTG77" s="2805"/>
      <c r="TTH77" s="2805"/>
      <c r="TTI77" s="2805"/>
      <c r="TTJ77" s="2805"/>
      <c r="TTK77" s="2805"/>
      <c r="TTL77" s="2805"/>
      <c r="TTM77" s="2805"/>
      <c r="TTN77" s="2805"/>
      <c r="TTO77" s="2805"/>
      <c r="TTP77" s="2805"/>
      <c r="TTQ77" s="2805"/>
      <c r="TTR77" s="2805"/>
      <c r="TTS77" s="2805"/>
      <c r="TTT77" s="2805"/>
      <c r="TTU77" s="2805"/>
      <c r="TTV77" s="2805"/>
      <c r="TTW77" s="2805"/>
      <c r="TTX77" s="2805"/>
      <c r="TTY77" s="2805"/>
      <c r="TTZ77" s="2805"/>
      <c r="TUA77" s="2805"/>
      <c r="TUB77" s="2805"/>
      <c r="TUC77" s="2805"/>
      <c r="TUD77" s="2805"/>
      <c r="TUE77" s="2805"/>
      <c r="TUF77" s="2805"/>
      <c r="TUG77" s="2805"/>
      <c r="TUH77" s="2805"/>
      <c r="TUI77" s="2805"/>
      <c r="TUJ77" s="2805"/>
      <c r="TUK77" s="2805"/>
      <c r="TUL77" s="2805"/>
      <c r="TUM77" s="2805"/>
      <c r="TUN77" s="2805"/>
      <c r="TUO77" s="2805"/>
      <c r="TUP77" s="2805"/>
      <c r="TUQ77" s="2805"/>
      <c r="TUR77" s="2805"/>
      <c r="TUS77" s="2805"/>
      <c r="TUT77" s="2805"/>
      <c r="TUU77" s="2805"/>
      <c r="TUV77" s="2805"/>
      <c r="TUW77" s="2805"/>
      <c r="TUX77" s="2805"/>
      <c r="TUY77" s="2805"/>
      <c r="TUZ77" s="2805"/>
      <c r="TVA77" s="2805"/>
      <c r="TVB77" s="2805"/>
      <c r="TVC77" s="2805"/>
      <c r="TVD77" s="2805"/>
      <c r="TVE77" s="2805"/>
      <c r="TVF77" s="2805"/>
      <c r="TVG77" s="2805"/>
      <c r="TVH77" s="2805"/>
      <c r="TVI77" s="2805"/>
      <c r="TVJ77" s="2805"/>
      <c r="TVK77" s="2805"/>
      <c r="TVL77" s="2805"/>
      <c r="TVM77" s="2805"/>
      <c r="TVN77" s="2805"/>
      <c r="TVO77" s="2805"/>
      <c r="TVP77" s="2805"/>
      <c r="TVQ77" s="2805"/>
      <c r="TVR77" s="2805"/>
      <c r="TVS77" s="2805"/>
      <c r="TVT77" s="2805"/>
      <c r="TVU77" s="2805"/>
      <c r="TVV77" s="2805"/>
      <c r="TVW77" s="2805"/>
      <c r="TVX77" s="2805"/>
      <c r="TVY77" s="2805"/>
      <c r="TVZ77" s="2805"/>
      <c r="TWA77" s="2805"/>
      <c r="TWB77" s="2805"/>
      <c r="TWC77" s="2805"/>
      <c r="TWD77" s="2805"/>
      <c r="TWE77" s="2805"/>
      <c r="TWF77" s="2805"/>
      <c r="TWG77" s="2805"/>
      <c r="TWH77" s="2805"/>
      <c r="TWI77" s="2805"/>
      <c r="TWJ77" s="2805"/>
      <c r="TWK77" s="2805"/>
      <c r="TWL77" s="2805"/>
      <c r="TWM77" s="2805"/>
      <c r="TWN77" s="2805"/>
      <c r="TWO77" s="2805"/>
      <c r="TWP77" s="2805"/>
      <c r="TWQ77" s="2805"/>
      <c r="TWR77" s="2805"/>
      <c r="TWS77" s="2805"/>
      <c r="TWT77" s="2805"/>
      <c r="TWU77" s="2805"/>
      <c r="TWV77" s="2805"/>
      <c r="TWW77" s="2805"/>
      <c r="TWX77" s="2805"/>
      <c r="TWY77" s="2805"/>
      <c r="TWZ77" s="2805"/>
      <c r="TXA77" s="2805"/>
      <c r="TXB77" s="2805"/>
      <c r="TXC77" s="2805"/>
      <c r="TXD77" s="2805"/>
      <c r="TXE77" s="2805"/>
      <c r="TXF77" s="2805"/>
      <c r="TXG77" s="2805"/>
      <c r="TXH77" s="2805"/>
      <c r="TXI77" s="2805"/>
      <c r="TXJ77" s="2805"/>
      <c r="TXK77" s="2805"/>
      <c r="TXL77" s="2805"/>
      <c r="TXM77" s="2805"/>
      <c r="TXN77" s="2805"/>
      <c r="TXO77" s="2805"/>
      <c r="TXP77" s="2805"/>
      <c r="TXQ77" s="2805"/>
      <c r="TXR77" s="2805"/>
      <c r="TXS77" s="2805"/>
      <c r="TXT77" s="2805"/>
      <c r="TXU77" s="2805"/>
      <c r="TXV77" s="2805"/>
      <c r="TXW77" s="2805"/>
      <c r="TXX77" s="2805"/>
      <c r="TXY77" s="2805"/>
      <c r="TXZ77" s="2805"/>
      <c r="TYA77" s="2805"/>
      <c r="TYB77" s="2805"/>
      <c r="TYC77" s="2805"/>
      <c r="TYD77" s="2805"/>
      <c r="TYE77" s="2805"/>
      <c r="TYF77" s="2805"/>
      <c r="TYG77" s="2805"/>
      <c r="TYH77" s="2805"/>
      <c r="TYI77" s="2805"/>
      <c r="TYJ77" s="2805"/>
      <c r="TYK77" s="2805"/>
      <c r="TYL77" s="2805"/>
      <c r="TYM77" s="2805"/>
      <c r="TYN77" s="2805"/>
      <c r="TYO77" s="2805"/>
      <c r="TYP77" s="2805"/>
      <c r="TYQ77" s="2805"/>
      <c r="TYR77" s="2805"/>
      <c r="TYS77" s="2805"/>
      <c r="TYT77" s="2805"/>
      <c r="TYU77" s="2805"/>
      <c r="TYV77" s="2805"/>
      <c r="TYW77" s="2805"/>
      <c r="TYX77" s="2805"/>
      <c r="TYY77" s="2805"/>
      <c r="TYZ77" s="2805"/>
      <c r="TZA77" s="2805"/>
      <c r="TZB77" s="2805"/>
      <c r="TZC77" s="2805"/>
      <c r="TZD77" s="2805"/>
      <c r="TZE77" s="2805"/>
      <c r="TZF77" s="2805"/>
      <c r="TZG77" s="2805"/>
      <c r="TZH77" s="2805"/>
      <c r="TZI77" s="2805"/>
      <c r="TZJ77" s="2805"/>
      <c r="TZK77" s="2805"/>
      <c r="TZL77" s="2805"/>
      <c r="TZM77" s="2805"/>
      <c r="TZN77" s="2805"/>
      <c r="TZO77" s="2805"/>
      <c r="TZP77" s="2805"/>
      <c r="TZQ77" s="2805"/>
      <c r="TZR77" s="2805"/>
      <c r="TZS77" s="2805"/>
      <c r="TZT77" s="2805"/>
      <c r="TZU77" s="2805"/>
      <c r="TZV77" s="2805"/>
      <c r="TZW77" s="2805"/>
      <c r="TZX77" s="2805"/>
      <c r="TZY77" s="2805"/>
      <c r="TZZ77" s="2805"/>
      <c r="UAA77" s="2805"/>
      <c r="UAB77" s="2805"/>
      <c r="UAC77" s="2805"/>
      <c r="UAD77" s="2805"/>
      <c r="UAE77" s="2805"/>
      <c r="UAF77" s="2805"/>
      <c r="UAG77" s="2805"/>
      <c r="UAH77" s="2805"/>
      <c r="UAI77" s="2805"/>
      <c r="UAJ77" s="2805"/>
      <c r="UAK77" s="2805"/>
      <c r="UAL77" s="2805"/>
      <c r="UAM77" s="2805"/>
      <c r="UAN77" s="2805"/>
      <c r="UAO77" s="2805"/>
      <c r="UAP77" s="2805"/>
      <c r="UAQ77" s="2805"/>
      <c r="UAR77" s="2805"/>
      <c r="UAS77" s="2805"/>
      <c r="UAT77" s="2805"/>
      <c r="UAU77" s="2805"/>
      <c r="UAV77" s="2805"/>
      <c r="UAW77" s="2805"/>
      <c r="UAX77" s="2805"/>
      <c r="UAY77" s="2805"/>
      <c r="UAZ77" s="2805"/>
      <c r="UBA77" s="2805"/>
      <c r="UBB77" s="2805"/>
      <c r="UBC77" s="2805"/>
      <c r="UBD77" s="2805"/>
      <c r="UBE77" s="2805"/>
      <c r="UBF77" s="2805"/>
      <c r="UBG77" s="2805"/>
      <c r="UBH77" s="2805"/>
      <c r="UBI77" s="2805"/>
      <c r="UBJ77" s="2805"/>
      <c r="UBK77" s="2805"/>
      <c r="UBL77" s="2805"/>
      <c r="UBM77" s="2805"/>
      <c r="UBN77" s="2805"/>
      <c r="UBO77" s="2805"/>
      <c r="UBP77" s="2805"/>
      <c r="UBQ77" s="2805"/>
      <c r="UBR77" s="2805"/>
      <c r="UBS77" s="2805"/>
      <c r="UBT77" s="2805"/>
      <c r="UBU77" s="2805"/>
      <c r="UBV77" s="2805"/>
      <c r="UBW77" s="2805"/>
      <c r="UBX77" s="2805"/>
      <c r="UBY77" s="2805"/>
      <c r="UBZ77" s="2805"/>
      <c r="UCA77" s="2805"/>
      <c r="UCB77" s="2805"/>
      <c r="UCC77" s="2805"/>
      <c r="UCD77" s="2805"/>
      <c r="UCE77" s="2805"/>
      <c r="UCF77" s="2805"/>
      <c r="UCG77" s="2805"/>
      <c r="UCH77" s="2805"/>
      <c r="UCI77" s="2805"/>
      <c r="UCJ77" s="2805"/>
      <c r="UCK77" s="2805"/>
      <c r="UCL77" s="2805"/>
      <c r="UCM77" s="2805"/>
      <c r="UCN77" s="2805"/>
      <c r="UCO77" s="2805"/>
      <c r="UCP77" s="2805"/>
      <c r="UCQ77" s="2805"/>
      <c r="UCR77" s="2805"/>
      <c r="UCS77" s="2805"/>
      <c r="UCT77" s="2805"/>
      <c r="UCU77" s="2805"/>
      <c r="UCV77" s="2805"/>
      <c r="UCW77" s="2805"/>
      <c r="UCX77" s="2805"/>
      <c r="UCY77" s="2805"/>
      <c r="UCZ77" s="2805"/>
      <c r="UDA77" s="2805"/>
      <c r="UDB77" s="2805"/>
      <c r="UDC77" s="2805"/>
      <c r="UDD77" s="2805"/>
      <c r="UDE77" s="2805"/>
      <c r="UDF77" s="2805"/>
      <c r="UDG77" s="2805"/>
      <c r="UDH77" s="2805"/>
      <c r="UDI77" s="2805"/>
      <c r="UDJ77" s="2805"/>
      <c r="UDK77" s="2805"/>
      <c r="UDL77" s="2805"/>
      <c r="UDM77" s="2805"/>
      <c r="UDN77" s="2805"/>
      <c r="UDO77" s="2805"/>
      <c r="UDP77" s="2805"/>
      <c r="UDQ77" s="2805"/>
      <c r="UDR77" s="2805"/>
      <c r="UDS77" s="2805"/>
      <c r="UDT77" s="2805"/>
      <c r="UDU77" s="2805"/>
      <c r="UDV77" s="2805"/>
      <c r="UDW77" s="2805"/>
      <c r="UDX77" s="2805"/>
      <c r="UDY77" s="2805"/>
      <c r="UDZ77" s="2805"/>
      <c r="UEA77" s="2805"/>
      <c r="UEB77" s="2805"/>
      <c r="UEC77" s="2805"/>
      <c r="UED77" s="2805"/>
      <c r="UEE77" s="2805"/>
      <c r="UEF77" s="2805"/>
      <c r="UEG77" s="2805"/>
      <c r="UEH77" s="2805"/>
      <c r="UEI77" s="2805"/>
      <c r="UEJ77" s="2805"/>
      <c r="UEK77" s="2805"/>
      <c r="UEL77" s="2805"/>
      <c r="UEM77" s="2805"/>
      <c r="UEN77" s="2805"/>
      <c r="UEO77" s="2805"/>
      <c r="UEP77" s="2805"/>
      <c r="UEQ77" s="2805"/>
      <c r="UER77" s="2805"/>
      <c r="UES77" s="2805"/>
      <c r="UET77" s="2805"/>
      <c r="UEU77" s="2805"/>
      <c r="UEV77" s="2805"/>
      <c r="UEW77" s="2805"/>
      <c r="UEX77" s="2805"/>
      <c r="UEY77" s="2805"/>
      <c r="UEZ77" s="2805"/>
      <c r="UFA77" s="2805"/>
      <c r="UFB77" s="2805"/>
      <c r="UFC77" s="2805"/>
      <c r="UFD77" s="2805"/>
      <c r="UFE77" s="2805"/>
      <c r="UFF77" s="2805"/>
      <c r="UFG77" s="2805"/>
      <c r="UFH77" s="2805"/>
      <c r="UFI77" s="2805"/>
      <c r="UFJ77" s="2805"/>
      <c r="UFK77" s="2805"/>
      <c r="UFL77" s="2805"/>
      <c r="UFM77" s="2805"/>
      <c r="UFN77" s="2805"/>
      <c r="UFO77" s="2805"/>
      <c r="UFP77" s="2805"/>
      <c r="UFQ77" s="2805"/>
      <c r="UFR77" s="2805"/>
      <c r="UFS77" s="2805"/>
      <c r="UFT77" s="2805"/>
      <c r="UFU77" s="2805"/>
      <c r="UFV77" s="2805"/>
      <c r="UFW77" s="2805"/>
      <c r="UFX77" s="2805"/>
      <c r="UFY77" s="2805"/>
      <c r="UFZ77" s="2805"/>
      <c r="UGA77" s="2805"/>
      <c r="UGB77" s="2805"/>
      <c r="UGC77" s="2805"/>
      <c r="UGD77" s="2805"/>
      <c r="UGE77" s="2805"/>
      <c r="UGF77" s="2805"/>
      <c r="UGG77" s="2805"/>
      <c r="UGH77" s="2805"/>
      <c r="UGI77" s="2805"/>
      <c r="UGJ77" s="2805"/>
      <c r="UGK77" s="2805"/>
      <c r="UGL77" s="2805"/>
      <c r="UGM77" s="2805"/>
      <c r="UGN77" s="2805"/>
      <c r="UGO77" s="2805"/>
      <c r="UGP77" s="2805"/>
      <c r="UGQ77" s="2805"/>
      <c r="UGR77" s="2805"/>
      <c r="UGS77" s="2805"/>
      <c r="UGT77" s="2805"/>
      <c r="UGU77" s="2805"/>
      <c r="UGV77" s="2805"/>
      <c r="UGW77" s="2805"/>
      <c r="UGX77" s="2805"/>
      <c r="UGY77" s="2805"/>
      <c r="UGZ77" s="2805"/>
      <c r="UHA77" s="2805"/>
      <c r="UHB77" s="2805"/>
      <c r="UHC77" s="2805"/>
      <c r="UHD77" s="2805"/>
      <c r="UHE77" s="2805"/>
      <c r="UHF77" s="2805"/>
      <c r="UHG77" s="2805"/>
      <c r="UHH77" s="2805"/>
      <c r="UHI77" s="2805"/>
      <c r="UHJ77" s="2805"/>
      <c r="UHK77" s="2805"/>
      <c r="UHL77" s="2805"/>
      <c r="UHM77" s="2805"/>
      <c r="UHN77" s="2805"/>
      <c r="UHO77" s="2805"/>
      <c r="UHP77" s="2805"/>
      <c r="UHQ77" s="2805"/>
      <c r="UHR77" s="2805"/>
      <c r="UHS77" s="2805"/>
      <c r="UHT77" s="2805"/>
      <c r="UHU77" s="2805"/>
      <c r="UHV77" s="2805"/>
      <c r="UHW77" s="2805"/>
      <c r="UHX77" s="2805"/>
      <c r="UHY77" s="2805"/>
      <c r="UHZ77" s="2805"/>
      <c r="UIA77" s="2805"/>
      <c r="UIB77" s="2805"/>
      <c r="UIC77" s="2805"/>
      <c r="UID77" s="2805"/>
      <c r="UIE77" s="2805"/>
      <c r="UIF77" s="2805"/>
      <c r="UIG77" s="2805"/>
      <c r="UIH77" s="2805"/>
      <c r="UII77" s="2805"/>
      <c r="UIJ77" s="2805"/>
      <c r="UIK77" s="2805"/>
      <c r="UIL77" s="2805"/>
      <c r="UIM77" s="2805"/>
      <c r="UIN77" s="2805"/>
      <c r="UIO77" s="2805"/>
      <c r="UIP77" s="2805"/>
      <c r="UIQ77" s="2805"/>
      <c r="UIR77" s="2805"/>
      <c r="UIS77" s="2805"/>
      <c r="UIT77" s="2805"/>
      <c r="UIU77" s="2805"/>
      <c r="UIV77" s="2805"/>
      <c r="UIW77" s="2805"/>
      <c r="UIX77" s="2805"/>
      <c r="UIY77" s="2805"/>
      <c r="UIZ77" s="2805"/>
      <c r="UJA77" s="2805"/>
      <c r="UJB77" s="2805"/>
      <c r="UJC77" s="2805"/>
      <c r="UJD77" s="2805"/>
      <c r="UJE77" s="2805"/>
      <c r="UJF77" s="2805"/>
      <c r="UJG77" s="2805"/>
      <c r="UJH77" s="2805"/>
      <c r="UJI77" s="2805"/>
      <c r="UJJ77" s="2805"/>
      <c r="UJK77" s="2805"/>
      <c r="UJL77" s="2805"/>
      <c r="UJM77" s="2805"/>
      <c r="UJN77" s="2805"/>
      <c r="UJO77" s="2805"/>
      <c r="UJP77" s="2805"/>
      <c r="UJQ77" s="2805"/>
      <c r="UJR77" s="2805"/>
      <c r="UJS77" s="2805"/>
      <c r="UJT77" s="2805"/>
      <c r="UJU77" s="2805"/>
      <c r="UJV77" s="2805"/>
      <c r="UJW77" s="2805"/>
      <c r="UJX77" s="2805"/>
      <c r="UJY77" s="2805"/>
      <c r="UJZ77" s="2805"/>
      <c r="UKA77" s="2805"/>
      <c r="UKB77" s="2805"/>
      <c r="UKC77" s="2805"/>
      <c r="UKD77" s="2805"/>
      <c r="UKE77" s="2805"/>
      <c r="UKF77" s="2805"/>
      <c r="UKG77" s="2805"/>
      <c r="UKH77" s="2805"/>
      <c r="UKI77" s="2805"/>
      <c r="UKJ77" s="2805"/>
      <c r="UKK77" s="2805"/>
      <c r="UKL77" s="2805"/>
      <c r="UKM77" s="2805"/>
      <c r="UKN77" s="2805"/>
      <c r="UKO77" s="2805"/>
      <c r="UKP77" s="2805"/>
      <c r="UKQ77" s="2805"/>
      <c r="UKR77" s="2805"/>
      <c r="UKS77" s="2805"/>
      <c r="UKT77" s="2805"/>
      <c r="UKU77" s="2805"/>
      <c r="UKV77" s="2805"/>
      <c r="UKW77" s="2805"/>
      <c r="UKX77" s="2805"/>
      <c r="UKY77" s="2805"/>
      <c r="UKZ77" s="2805"/>
      <c r="ULA77" s="2805"/>
      <c r="ULB77" s="2805"/>
      <c r="ULC77" s="2805"/>
      <c r="ULD77" s="2805"/>
      <c r="ULE77" s="2805"/>
      <c r="ULF77" s="2805"/>
      <c r="ULG77" s="2805"/>
      <c r="ULH77" s="2805"/>
      <c r="ULI77" s="2805"/>
      <c r="ULJ77" s="2805"/>
      <c r="ULK77" s="2805"/>
      <c r="ULL77" s="2805"/>
      <c r="ULM77" s="2805"/>
      <c r="ULN77" s="2805"/>
      <c r="ULO77" s="2805"/>
      <c r="ULP77" s="2805"/>
      <c r="ULQ77" s="2805"/>
      <c r="ULR77" s="2805"/>
      <c r="ULS77" s="2805"/>
      <c r="ULT77" s="2805"/>
      <c r="ULU77" s="2805"/>
      <c r="ULV77" s="2805"/>
      <c r="ULW77" s="2805"/>
      <c r="ULX77" s="2805"/>
      <c r="ULY77" s="2805"/>
      <c r="ULZ77" s="2805"/>
      <c r="UMA77" s="2805"/>
      <c r="UMB77" s="2805"/>
      <c r="UMC77" s="2805"/>
      <c r="UMD77" s="2805"/>
      <c r="UME77" s="2805"/>
      <c r="UMF77" s="2805"/>
      <c r="UMG77" s="2805"/>
      <c r="UMH77" s="2805"/>
      <c r="UMI77" s="2805"/>
      <c r="UMJ77" s="2805"/>
      <c r="UMK77" s="2805"/>
      <c r="UML77" s="2805"/>
      <c r="UMM77" s="2805"/>
      <c r="UMN77" s="2805"/>
      <c r="UMO77" s="2805"/>
      <c r="UMP77" s="2805"/>
      <c r="UMQ77" s="2805"/>
      <c r="UMR77" s="2805"/>
      <c r="UMS77" s="2805"/>
      <c r="UMT77" s="2805"/>
      <c r="UMU77" s="2805"/>
      <c r="UMV77" s="2805"/>
      <c r="UMW77" s="2805"/>
      <c r="UMX77" s="2805"/>
      <c r="UMY77" s="2805"/>
      <c r="UMZ77" s="2805"/>
      <c r="UNA77" s="2805"/>
      <c r="UNB77" s="2805"/>
      <c r="UNC77" s="2805"/>
      <c r="UND77" s="2805"/>
      <c r="UNE77" s="2805"/>
      <c r="UNF77" s="2805"/>
      <c r="UNG77" s="2805"/>
      <c r="UNH77" s="2805"/>
      <c r="UNI77" s="2805"/>
      <c r="UNJ77" s="2805"/>
      <c r="UNK77" s="2805"/>
      <c r="UNL77" s="2805"/>
      <c r="UNM77" s="2805"/>
      <c r="UNN77" s="2805"/>
      <c r="UNO77" s="2805"/>
      <c r="UNP77" s="2805"/>
      <c r="UNQ77" s="2805"/>
      <c r="UNR77" s="2805"/>
      <c r="UNS77" s="2805"/>
      <c r="UNT77" s="2805"/>
      <c r="UNU77" s="2805"/>
      <c r="UNV77" s="2805"/>
      <c r="UNW77" s="2805"/>
      <c r="UNX77" s="2805"/>
      <c r="UNY77" s="2805"/>
      <c r="UNZ77" s="2805"/>
      <c r="UOA77" s="2805"/>
      <c r="UOB77" s="2805"/>
      <c r="UOC77" s="2805"/>
      <c r="UOD77" s="2805"/>
      <c r="UOE77" s="2805"/>
      <c r="UOF77" s="2805"/>
      <c r="UOG77" s="2805"/>
      <c r="UOH77" s="2805"/>
      <c r="UOI77" s="2805"/>
      <c r="UOJ77" s="2805"/>
      <c r="UOK77" s="2805"/>
      <c r="UOL77" s="2805"/>
      <c r="UOM77" s="2805"/>
      <c r="UON77" s="2805"/>
      <c r="UOO77" s="2805"/>
      <c r="UOP77" s="2805"/>
      <c r="UOQ77" s="2805"/>
      <c r="UOR77" s="2805"/>
      <c r="UOS77" s="2805"/>
      <c r="UOT77" s="2805"/>
      <c r="UOU77" s="2805"/>
      <c r="UOV77" s="2805"/>
      <c r="UOW77" s="2805"/>
      <c r="UOX77" s="2805"/>
      <c r="UOY77" s="2805"/>
      <c r="UOZ77" s="2805"/>
      <c r="UPA77" s="2805"/>
      <c r="UPB77" s="2805"/>
      <c r="UPC77" s="2805"/>
      <c r="UPD77" s="2805"/>
      <c r="UPE77" s="2805"/>
      <c r="UPF77" s="2805"/>
      <c r="UPG77" s="2805"/>
      <c r="UPH77" s="2805"/>
      <c r="UPI77" s="2805"/>
      <c r="UPJ77" s="2805"/>
      <c r="UPK77" s="2805"/>
      <c r="UPL77" s="2805"/>
      <c r="UPM77" s="2805"/>
      <c r="UPN77" s="2805"/>
      <c r="UPO77" s="2805"/>
      <c r="UPP77" s="2805"/>
      <c r="UPQ77" s="2805"/>
      <c r="UPR77" s="2805"/>
      <c r="UPS77" s="2805"/>
      <c r="UPT77" s="2805"/>
      <c r="UPU77" s="2805"/>
      <c r="UPV77" s="2805"/>
      <c r="UPW77" s="2805"/>
      <c r="UPX77" s="2805"/>
      <c r="UPY77" s="2805"/>
      <c r="UPZ77" s="2805"/>
      <c r="UQA77" s="2805"/>
      <c r="UQB77" s="2805"/>
      <c r="UQC77" s="2805"/>
      <c r="UQD77" s="2805"/>
      <c r="UQE77" s="2805"/>
      <c r="UQF77" s="2805"/>
      <c r="UQG77" s="2805"/>
      <c r="UQH77" s="2805"/>
      <c r="UQI77" s="2805"/>
      <c r="UQJ77" s="2805"/>
      <c r="UQK77" s="2805"/>
      <c r="UQL77" s="2805"/>
      <c r="UQM77" s="2805"/>
      <c r="UQN77" s="2805"/>
      <c r="UQO77" s="2805"/>
      <c r="UQP77" s="2805"/>
      <c r="UQQ77" s="2805"/>
      <c r="UQR77" s="2805"/>
      <c r="UQS77" s="2805"/>
      <c r="UQT77" s="2805"/>
      <c r="UQU77" s="2805"/>
      <c r="UQV77" s="2805"/>
      <c r="UQW77" s="2805"/>
      <c r="UQX77" s="2805"/>
      <c r="UQY77" s="2805"/>
      <c r="UQZ77" s="2805"/>
      <c r="URA77" s="2805"/>
      <c r="URB77" s="2805"/>
      <c r="URC77" s="2805"/>
      <c r="URD77" s="2805"/>
      <c r="URE77" s="2805"/>
      <c r="URF77" s="2805"/>
      <c r="URG77" s="2805"/>
      <c r="URH77" s="2805"/>
      <c r="URI77" s="2805"/>
      <c r="URJ77" s="2805"/>
      <c r="URK77" s="2805"/>
      <c r="URL77" s="2805"/>
      <c r="URM77" s="2805"/>
      <c r="URN77" s="2805"/>
      <c r="URO77" s="2805"/>
      <c r="URP77" s="2805"/>
      <c r="URQ77" s="2805"/>
      <c r="URR77" s="2805"/>
      <c r="URS77" s="2805"/>
      <c r="URT77" s="2805"/>
      <c r="URU77" s="2805"/>
      <c r="URV77" s="2805"/>
      <c r="URW77" s="2805"/>
      <c r="URX77" s="2805"/>
      <c r="URY77" s="2805"/>
      <c r="URZ77" s="2805"/>
      <c r="USA77" s="2805"/>
      <c r="USB77" s="2805"/>
      <c r="USC77" s="2805"/>
      <c r="USD77" s="2805"/>
      <c r="USE77" s="2805"/>
      <c r="USF77" s="2805"/>
      <c r="USG77" s="2805"/>
      <c r="USH77" s="2805"/>
      <c r="USI77" s="2805"/>
      <c r="USJ77" s="2805"/>
      <c r="USK77" s="2805"/>
      <c r="USL77" s="2805"/>
      <c r="USM77" s="2805"/>
      <c r="USN77" s="2805"/>
      <c r="USO77" s="2805"/>
      <c r="USP77" s="2805"/>
      <c r="USQ77" s="2805"/>
      <c r="USR77" s="2805"/>
      <c r="USS77" s="2805"/>
      <c r="UST77" s="2805"/>
      <c r="USU77" s="2805"/>
      <c r="USV77" s="2805"/>
      <c r="USW77" s="2805"/>
      <c r="USX77" s="2805"/>
      <c r="USY77" s="2805"/>
      <c r="USZ77" s="2805"/>
      <c r="UTA77" s="2805"/>
      <c r="UTB77" s="2805"/>
      <c r="UTC77" s="2805"/>
      <c r="UTD77" s="2805"/>
      <c r="UTE77" s="2805"/>
      <c r="UTF77" s="2805"/>
      <c r="UTG77" s="2805"/>
      <c r="UTH77" s="2805"/>
      <c r="UTI77" s="2805"/>
      <c r="UTJ77" s="2805"/>
      <c r="UTK77" s="2805"/>
      <c r="UTL77" s="2805"/>
      <c r="UTM77" s="2805"/>
      <c r="UTN77" s="2805"/>
      <c r="UTO77" s="2805"/>
      <c r="UTP77" s="2805"/>
      <c r="UTQ77" s="2805"/>
      <c r="UTR77" s="2805"/>
      <c r="UTS77" s="2805"/>
      <c r="UTT77" s="2805"/>
      <c r="UTU77" s="2805"/>
      <c r="UTV77" s="2805"/>
      <c r="UTW77" s="2805"/>
      <c r="UTX77" s="2805"/>
      <c r="UTY77" s="2805"/>
      <c r="UTZ77" s="2805"/>
      <c r="UUA77" s="2805"/>
      <c r="UUB77" s="2805"/>
      <c r="UUC77" s="2805"/>
      <c r="UUD77" s="2805"/>
      <c r="UUE77" s="2805"/>
      <c r="UUF77" s="2805"/>
      <c r="UUG77" s="2805"/>
      <c r="UUH77" s="2805"/>
      <c r="UUI77" s="2805"/>
      <c r="UUJ77" s="2805"/>
      <c r="UUK77" s="2805"/>
      <c r="UUL77" s="2805"/>
      <c r="UUM77" s="2805"/>
      <c r="UUN77" s="2805"/>
      <c r="UUO77" s="2805"/>
      <c r="UUP77" s="2805"/>
      <c r="UUQ77" s="2805"/>
      <c r="UUR77" s="2805"/>
      <c r="UUS77" s="2805"/>
      <c r="UUT77" s="2805"/>
      <c r="UUU77" s="2805"/>
      <c r="UUV77" s="2805"/>
      <c r="UUW77" s="2805"/>
      <c r="UUX77" s="2805"/>
      <c r="UUY77" s="2805"/>
      <c r="UUZ77" s="2805"/>
      <c r="UVA77" s="2805"/>
      <c r="UVB77" s="2805"/>
      <c r="UVC77" s="2805"/>
      <c r="UVD77" s="2805"/>
      <c r="UVE77" s="2805"/>
      <c r="UVF77" s="2805"/>
      <c r="UVG77" s="2805"/>
      <c r="UVH77" s="2805"/>
      <c r="UVI77" s="2805"/>
      <c r="UVJ77" s="2805"/>
      <c r="UVK77" s="2805"/>
      <c r="UVL77" s="2805"/>
      <c r="UVM77" s="2805"/>
      <c r="UVN77" s="2805"/>
      <c r="UVO77" s="2805"/>
      <c r="UVP77" s="2805"/>
      <c r="UVQ77" s="2805"/>
      <c r="UVR77" s="2805"/>
      <c r="UVS77" s="2805"/>
      <c r="UVT77" s="2805"/>
      <c r="UVU77" s="2805"/>
      <c r="UVV77" s="2805"/>
      <c r="UVW77" s="2805"/>
      <c r="UVX77" s="2805"/>
      <c r="UVY77" s="2805"/>
      <c r="UVZ77" s="2805"/>
      <c r="UWA77" s="2805"/>
      <c r="UWB77" s="2805"/>
      <c r="UWC77" s="2805"/>
      <c r="UWD77" s="2805"/>
      <c r="UWE77" s="2805"/>
      <c r="UWF77" s="2805"/>
      <c r="UWG77" s="2805"/>
      <c r="UWH77" s="2805"/>
      <c r="UWI77" s="2805"/>
      <c r="UWJ77" s="2805"/>
      <c r="UWK77" s="2805"/>
      <c r="UWL77" s="2805"/>
      <c r="UWM77" s="2805"/>
      <c r="UWN77" s="2805"/>
      <c r="UWO77" s="2805"/>
      <c r="UWP77" s="2805"/>
      <c r="UWQ77" s="2805"/>
      <c r="UWR77" s="2805"/>
      <c r="UWS77" s="2805"/>
      <c r="UWT77" s="2805"/>
      <c r="UWU77" s="2805"/>
      <c r="UWV77" s="2805"/>
      <c r="UWW77" s="2805"/>
      <c r="UWX77" s="2805"/>
      <c r="UWY77" s="2805"/>
      <c r="UWZ77" s="2805"/>
      <c r="UXA77" s="2805"/>
      <c r="UXB77" s="2805"/>
      <c r="UXC77" s="2805"/>
      <c r="UXD77" s="2805"/>
      <c r="UXE77" s="2805"/>
      <c r="UXF77" s="2805"/>
      <c r="UXG77" s="2805"/>
      <c r="UXH77" s="2805"/>
      <c r="UXI77" s="2805"/>
      <c r="UXJ77" s="2805"/>
      <c r="UXK77" s="2805"/>
      <c r="UXL77" s="2805"/>
      <c r="UXM77" s="2805"/>
      <c r="UXN77" s="2805"/>
      <c r="UXO77" s="2805"/>
      <c r="UXP77" s="2805"/>
      <c r="UXQ77" s="2805"/>
      <c r="UXR77" s="2805"/>
      <c r="UXS77" s="2805"/>
      <c r="UXT77" s="2805"/>
      <c r="UXU77" s="2805"/>
      <c r="UXV77" s="2805"/>
      <c r="UXW77" s="2805"/>
      <c r="UXX77" s="2805"/>
      <c r="UXY77" s="2805"/>
      <c r="UXZ77" s="2805"/>
      <c r="UYA77" s="2805"/>
      <c r="UYB77" s="2805"/>
      <c r="UYC77" s="2805"/>
      <c r="UYD77" s="2805"/>
      <c r="UYE77" s="2805"/>
      <c r="UYF77" s="2805"/>
      <c r="UYG77" s="2805"/>
      <c r="UYH77" s="2805"/>
      <c r="UYI77" s="2805"/>
      <c r="UYJ77" s="2805"/>
      <c r="UYK77" s="2805"/>
      <c r="UYL77" s="2805"/>
      <c r="UYM77" s="2805"/>
      <c r="UYN77" s="2805"/>
      <c r="UYO77" s="2805"/>
      <c r="UYP77" s="2805"/>
      <c r="UYQ77" s="2805"/>
      <c r="UYR77" s="2805"/>
      <c r="UYS77" s="2805"/>
      <c r="UYT77" s="2805"/>
      <c r="UYU77" s="2805"/>
      <c r="UYV77" s="2805"/>
      <c r="UYW77" s="2805"/>
      <c r="UYX77" s="2805"/>
      <c r="UYY77" s="2805"/>
      <c r="UYZ77" s="2805"/>
      <c r="UZA77" s="2805"/>
      <c r="UZB77" s="2805"/>
      <c r="UZC77" s="2805"/>
      <c r="UZD77" s="2805"/>
      <c r="UZE77" s="2805"/>
      <c r="UZF77" s="2805"/>
      <c r="UZG77" s="2805"/>
      <c r="UZH77" s="2805"/>
      <c r="UZI77" s="2805"/>
      <c r="UZJ77" s="2805"/>
      <c r="UZK77" s="2805"/>
      <c r="UZL77" s="2805"/>
      <c r="UZM77" s="2805"/>
      <c r="UZN77" s="2805"/>
      <c r="UZO77" s="2805"/>
      <c r="UZP77" s="2805"/>
      <c r="UZQ77" s="2805"/>
      <c r="UZR77" s="2805"/>
      <c r="UZS77" s="2805"/>
      <c r="UZT77" s="2805"/>
      <c r="UZU77" s="2805"/>
      <c r="UZV77" s="2805"/>
      <c r="UZW77" s="2805"/>
      <c r="UZX77" s="2805"/>
      <c r="UZY77" s="2805"/>
      <c r="UZZ77" s="2805"/>
      <c r="VAA77" s="2805"/>
      <c r="VAB77" s="2805"/>
      <c r="VAC77" s="2805"/>
      <c r="VAD77" s="2805"/>
      <c r="VAE77" s="2805"/>
      <c r="VAF77" s="2805"/>
      <c r="VAG77" s="2805"/>
      <c r="VAH77" s="2805"/>
      <c r="VAI77" s="2805"/>
      <c r="VAJ77" s="2805"/>
      <c r="VAK77" s="2805"/>
      <c r="VAL77" s="2805"/>
      <c r="VAM77" s="2805"/>
      <c r="VAN77" s="2805"/>
      <c r="VAO77" s="2805"/>
      <c r="VAP77" s="2805"/>
      <c r="VAQ77" s="2805"/>
      <c r="VAR77" s="2805"/>
      <c r="VAS77" s="2805"/>
      <c r="VAT77" s="2805"/>
      <c r="VAU77" s="2805"/>
      <c r="VAV77" s="2805"/>
      <c r="VAW77" s="2805"/>
      <c r="VAX77" s="2805"/>
      <c r="VAY77" s="2805"/>
      <c r="VAZ77" s="2805"/>
      <c r="VBA77" s="2805"/>
      <c r="VBB77" s="2805"/>
      <c r="VBC77" s="2805"/>
      <c r="VBD77" s="2805"/>
      <c r="VBE77" s="2805"/>
      <c r="VBF77" s="2805"/>
      <c r="VBG77" s="2805"/>
      <c r="VBH77" s="2805"/>
      <c r="VBI77" s="2805"/>
      <c r="VBJ77" s="2805"/>
      <c r="VBK77" s="2805"/>
      <c r="VBL77" s="2805"/>
      <c r="VBM77" s="2805"/>
      <c r="VBN77" s="2805"/>
      <c r="VBO77" s="2805"/>
      <c r="VBP77" s="2805"/>
      <c r="VBQ77" s="2805"/>
      <c r="VBR77" s="2805"/>
      <c r="VBS77" s="2805"/>
      <c r="VBT77" s="2805"/>
      <c r="VBU77" s="2805"/>
      <c r="VBV77" s="2805"/>
      <c r="VBW77" s="2805"/>
      <c r="VBX77" s="2805"/>
      <c r="VBY77" s="2805"/>
      <c r="VBZ77" s="2805"/>
      <c r="VCA77" s="2805"/>
      <c r="VCB77" s="2805"/>
      <c r="VCC77" s="2805"/>
      <c r="VCD77" s="2805"/>
      <c r="VCE77" s="2805"/>
      <c r="VCF77" s="2805"/>
      <c r="VCG77" s="2805"/>
      <c r="VCH77" s="2805"/>
      <c r="VCI77" s="2805"/>
      <c r="VCJ77" s="2805"/>
      <c r="VCK77" s="2805"/>
      <c r="VCL77" s="2805"/>
      <c r="VCM77" s="2805"/>
      <c r="VCN77" s="2805"/>
      <c r="VCO77" s="2805"/>
      <c r="VCP77" s="2805"/>
      <c r="VCQ77" s="2805"/>
      <c r="VCR77" s="2805"/>
      <c r="VCS77" s="2805"/>
      <c r="VCT77" s="2805"/>
      <c r="VCU77" s="2805"/>
      <c r="VCV77" s="2805"/>
      <c r="VCW77" s="2805"/>
      <c r="VCX77" s="2805"/>
      <c r="VCY77" s="2805"/>
      <c r="VCZ77" s="2805"/>
      <c r="VDA77" s="2805"/>
      <c r="VDB77" s="2805"/>
      <c r="VDC77" s="2805"/>
      <c r="VDD77" s="2805"/>
      <c r="VDE77" s="2805"/>
      <c r="VDF77" s="2805"/>
      <c r="VDG77" s="2805"/>
      <c r="VDH77" s="2805"/>
      <c r="VDI77" s="2805"/>
      <c r="VDJ77" s="2805"/>
      <c r="VDK77" s="2805"/>
      <c r="VDL77" s="2805"/>
      <c r="VDM77" s="2805"/>
      <c r="VDN77" s="2805"/>
      <c r="VDO77" s="2805"/>
      <c r="VDP77" s="2805"/>
      <c r="VDQ77" s="2805"/>
      <c r="VDR77" s="2805"/>
      <c r="VDS77" s="2805"/>
      <c r="VDT77" s="2805"/>
      <c r="VDU77" s="2805"/>
      <c r="VDV77" s="2805"/>
      <c r="VDW77" s="2805"/>
      <c r="VDX77" s="2805"/>
      <c r="VDY77" s="2805"/>
      <c r="VDZ77" s="2805"/>
      <c r="VEA77" s="2805"/>
      <c r="VEB77" s="2805"/>
      <c r="VEC77" s="2805"/>
      <c r="VED77" s="2805"/>
      <c r="VEE77" s="2805"/>
      <c r="VEF77" s="2805"/>
      <c r="VEG77" s="2805"/>
      <c r="VEH77" s="2805"/>
      <c r="VEI77" s="2805"/>
      <c r="VEJ77" s="2805"/>
      <c r="VEK77" s="2805"/>
      <c r="VEL77" s="2805"/>
      <c r="VEM77" s="2805"/>
      <c r="VEN77" s="2805"/>
      <c r="VEO77" s="2805"/>
      <c r="VEP77" s="2805"/>
      <c r="VEQ77" s="2805"/>
      <c r="VER77" s="2805"/>
      <c r="VES77" s="2805"/>
      <c r="VET77" s="2805"/>
      <c r="VEU77" s="2805"/>
      <c r="VEV77" s="2805"/>
      <c r="VEW77" s="2805"/>
      <c r="VEX77" s="2805"/>
      <c r="VEY77" s="2805"/>
      <c r="VEZ77" s="2805"/>
      <c r="VFA77" s="2805"/>
      <c r="VFB77" s="2805"/>
      <c r="VFC77" s="2805"/>
      <c r="VFD77" s="2805"/>
      <c r="VFE77" s="2805"/>
      <c r="VFF77" s="2805"/>
      <c r="VFG77" s="2805"/>
      <c r="VFH77" s="2805"/>
      <c r="VFI77" s="2805"/>
      <c r="VFJ77" s="2805"/>
      <c r="VFK77" s="2805"/>
      <c r="VFL77" s="2805"/>
      <c r="VFM77" s="2805"/>
      <c r="VFN77" s="2805"/>
      <c r="VFO77" s="2805"/>
      <c r="VFP77" s="2805"/>
      <c r="VFQ77" s="2805"/>
      <c r="VFR77" s="2805"/>
      <c r="VFS77" s="2805"/>
      <c r="VFT77" s="2805"/>
      <c r="VFU77" s="2805"/>
      <c r="VFV77" s="2805"/>
      <c r="VFW77" s="2805"/>
      <c r="VFX77" s="2805"/>
      <c r="VFY77" s="2805"/>
      <c r="VFZ77" s="2805"/>
      <c r="VGA77" s="2805"/>
      <c r="VGB77" s="2805"/>
      <c r="VGC77" s="2805"/>
      <c r="VGD77" s="2805"/>
      <c r="VGE77" s="2805"/>
      <c r="VGF77" s="2805"/>
      <c r="VGG77" s="2805"/>
      <c r="VGH77" s="2805"/>
      <c r="VGI77" s="2805"/>
      <c r="VGJ77" s="2805"/>
      <c r="VGK77" s="2805"/>
      <c r="VGL77" s="2805"/>
      <c r="VGM77" s="2805"/>
      <c r="VGN77" s="2805"/>
      <c r="VGO77" s="2805"/>
      <c r="VGP77" s="2805"/>
      <c r="VGQ77" s="2805"/>
      <c r="VGR77" s="2805"/>
      <c r="VGS77" s="2805"/>
      <c r="VGT77" s="2805"/>
      <c r="VGU77" s="2805"/>
      <c r="VGV77" s="2805"/>
      <c r="VGW77" s="2805"/>
      <c r="VGX77" s="2805"/>
      <c r="VGY77" s="2805"/>
      <c r="VGZ77" s="2805"/>
      <c r="VHA77" s="2805"/>
      <c r="VHB77" s="2805"/>
      <c r="VHC77" s="2805"/>
      <c r="VHD77" s="2805"/>
      <c r="VHE77" s="2805"/>
      <c r="VHF77" s="2805"/>
      <c r="VHG77" s="2805"/>
      <c r="VHH77" s="2805"/>
      <c r="VHI77" s="2805"/>
      <c r="VHJ77" s="2805"/>
      <c r="VHK77" s="2805"/>
      <c r="VHL77" s="2805"/>
      <c r="VHM77" s="2805"/>
      <c r="VHN77" s="2805"/>
      <c r="VHO77" s="2805"/>
      <c r="VHP77" s="2805"/>
      <c r="VHQ77" s="2805"/>
      <c r="VHR77" s="2805"/>
      <c r="VHS77" s="2805"/>
      <c r="VHT77" s="2805"/>
      <c r="VHU77" s="2805"/>
      <c r="VHV77" s="2805"/>
      <c r="VHW77" s="2805"/>
      <c r="VHX77" s="2805"/>
      <c r="VHY77" s="2805"/>
      <c r="VHZ77" s="2805"/>
      <c r="VIA77" s="2805"/>
      <c r="VIB77" s="2805"/>
      <c r="VIC77" s="2805"/>
      <c r="VID77" s="2805"/>
      <c r="VIE77" s="2805"/>
      <c r="VIF77" s="2805"/>
      <c r="VIG77" s="2805"/>
      <c r="VIH77" s="2805"/>
      <c r="VII77" s="2805"/>
      <c r="VIJ77" s="2805"/>
      <c r="VIK77" s="2805"/>
      <c r="VIL77" s="2805"/>
      <c r="VIM77" s="2805"/>
      <c r="VIN77" s="2805"/>
      <c r="VIO77" s="2805"/>
      <c r="VIP77" s="2805"/>
      <c r="VIQ77" s="2805"/>
      <c r="VIR77" s="2805"/>
      <c r="VIS77" s="2805"/>
      <c r="VIT77" s="2805"/>
      <c r="VIU77" s="2805"/>
      <c r="VIV77" s="2805"/>
      <c r="VIW77" s="2805"/>
      <c r="VIX77" s="2805"/>
      <c r="VIY77" s="2805"/>
      <c r="VIZ77" s="2805"/>
      <c r="VJA77" s="2805"/>
      <c r="VJB77" s="2805"/>
      <c r="VJC77" s="2805"/>
      <c r="VJD77" s="2805"/>
      <c r="VJE77" s="2805"/>
      <c r="VJF77" s="2805"/>
      <c r="VJG77" s="2805"/>
      <c r="VJH77" s="2805"/>
      <c r="VJI77" s="2805"/>
      <c r="VJJ77" s="2805"/>
      <c r="VJK77" s="2805"/>
      <c r="VJL77" s="2805"/>
      <c r="VJM77" s="2805"/>
      <c r="VJN77" s="2805"/>
      <c r="VJO77" s="2805"/>
      <c r="VJP77" s="2805"/>
      <c r="VJQ77" s="2805"/>
      <c r="VJR77" s="2805"/>
      <c r="VJS77" s="2805"/>
      <c r="VJT77" s="2805"/>
      <c r="VJU77" s="2805"/>
      <c r="VJV77" s="2805"/>
      <c r="VJW77" s="2805"/>
      <c r="VJX77" s="2805"/>
      <c r="VJY77" s="2805"/>
      <c r="VJZ77" s="2805"/>
      <c r="VKA77" s="2805"/>
      <c r="VKB77" s="2805"/>
      <c r="VKC77" s="2805"/>
      <c r="VKD77" s="2805"/>
      <c r="VKE77" s="2805"/>
      <c r="VKF77" s="2805"/>
      <c r="VKG77" s="2805"/>
      <c r="VKH77" s="2805"/>
      <c r="VKI77" s="2805"/>
      <c r="VKJ77" s="2805"/>
      <c r="VKK77" s="2805"/>
      <c r="VKL77" s="2805"/>
      <c r="VKM77" s="2805"/>
      <c r="VKN77" s="2805"/>
      <c r="VKO77" s="2805"/>
      <c r="VKP77" s="2805"/>
      <c r="VKQ77" s="2805"/>
      <c r="VKR77" s="2805"/>
      <c r="VKS77" s="2805"/>
      <c r="VKT77" s="2805"/>
      <c r="VKU77" s="2805"/>
      <c r="VKV77" s="2805"/>
      <c r="VKW77" s="2805"/>
      <c r="VKX77" s="2805"/>
      <c r="VKY77" s="2805"/>
      <c r="VKZ77" s="2805"/>
      <c r="VLA77" s="2805"/>
      <c r="VLB77" s="2805"/>
      <c r="VLC77" s="2805"/>
      <c r="VLD77" s="2805"/>
      <c r="VLE77" s="2805"/>
      <c r="VLF77" s="2805"/>
      <c r="VLG77" s="2805"/>
      <c r="VLH77" s="2805"/>
      <c r="VLI77" s="2805"/>
      <c r="VLJ77" s="2805"/>
      <c r="VLK77" s="2805"/>
      <c r="VLL77" s="2805"/>
      <c r="VLM77" s="2805"/>
      <c r="VLN77" s="2805"/>
      <c r="VLO77" s="2805"/>
      <c r="VLP77" s="2805"/>
      <c r="VLQ77" s="2805"/>
      <c r="VLR77" s="2805"/>
      <c r="VLS77" s="2805"/>
      <c r="VLT77" s="2805"/>
      <c r="VLU77" s="2805"/>
      <c r="VLV77" s="2805"/>
      <c r="VLW77" s="2805"/>
      <c r="VLX77" s="2805"/>
      <c r="VLY77" s="2805"/>
      <c r="VLZ77" s="2805"/>
      <c r="VMA77" s="2805"/>
      <c r="VMB77" s="2805"/>
      <c r="VMC77" s="2805"/>
      <c r="VMD77" s="2805"/>
      <c r="VME77" s="2805"/>
      <c r="VMF77" s="2805"/>
      <c r="VMG77" s="2805"/>
      <c r="VMH77" s="2805"/>
      <c r="VMI77" s="2805"/>
      <c r="VMJ77" s="2805"/>
      <c r="VMK77" s="2805"/>
      <c r="VML77" s="2805"/>
      <c r="VMM77" s="2805"/>
      <c r="VMN77" s="2805"/>
      <c r="VMO77" s="2805"/>
      <c r="VMP77" s="2805"/>
      <c r="VMQ77" s="2805"/>
      <c r="VMR77" s="2805"/>
      <c r="VMS77" s="2805"/>
      <c r="VMT77" s="2805"/>
      <c r="VMU77" s="2805"/>
      <c r="VMV77" s="2805"/>
      <c r="VMW77" s="2805"/>
      <c r="VMX77" s="2805"/>
      <c r="VMY77" s="2805"/>
      <c r="VMZ77" s="2805"/>
      <c r="VNA77" s="2805"/>
      <c r="VNB77" s="2805"/>
      <c r="VNC77" s="2805"/>
      <c r="VND77" s="2805"/>
      <c r="VNE77" s="2805"/>
      <c r="VNF77" s="2805"/>
      <c r="VNG77" s="2805"/>
      <c r="VNH77" s="2805"/>
      <c r="VNI77" s="2805"/>
      <c r="VNJ77" s="2805"/>
      <c r="VNK77" s="2805"/>
      <c r="VNL77" s="2805"/>
      <c r="VNM77" s="2805"/>
      <c r="VNN77" s="2805"/>
      <c r="VNO77" s="2805"/>
      <c r="VNP77" s="2805"/>
      <c r="VNQ77" s="2805"/>
      <c r="VNR77" s="2805"/>
      <c r="VNS77" s="2805"/>
      <c r="VNT77" s="2805"/>
      <c r="VNU77" s="2805"/>
      <c r="VNV77" s="2805"/>
      <c r="VNW77" s="2805"/>
      <c r="VNX77" s="2805"/>
      <c r="VNY77" s="2805"/>
      <c r="VNZ77" s="2805"/>
      <c r="VOA77" s="2805"/>
      <c r="VOB77" s="2805"/>
      <c r="VOC77" s="2805"/>
      <c r="VOD77" s="2805"/>
      <c r="VOE77" s="2805"/>
      <c r="VOF77" s="2805"/>
      <c r="VOG77" s="2805"/>
      <c r="VOH77" s="2805"/>
      <c r="VOI77" s="2805"/>
      <c r="VOJ77" s="2805"/>
      <c r="VOK77" s="2805"/>
      <c r="VOL77" s="2805"/>
      <c r="VOM77" s="2805"/>
      <c r="VON77" s="2805"/>
      <c r="VOO77" s="2805"/>
      <c r="VOP77" s="2805"/>
      <c r="VOQ77" s="2805"/>
      <c r="VOR77" s="2805"/>
      <c r="VOS77" s="2805"/>
      <c r="VOT77" s="2805"/>
      <c r="VOU77" s="2805"/>
      <c r="VOV77" s="2805"/>
      <c r="VOW77" s="2805"/>
      <c r="VOX77" s="2805"/>
      <c r="VOY77" s="2805"/>
      <c r="VOZ77" s="2805"/>
      <c r="VPA77" s="2805"/>
      <c r="VPB77" s="2805"/>
      <c r="VPC77" s="2805"/>
      <c r="VPD77" s="2805"/>
      <c r="VPE77" s="2805"/>
      <c r="VPF77" s="2805"/>
      <c r="VPG77" s="2805"/>
      <c r="VPH77" s="2805"/>
      <c r="VPI77" s="2805"/>
      <c r="VPJ77" s="2805"/>
      <c r="VPK77" s="2805"/>
      <c r="VPL77" s="2805"/>
      <c r="VPM77" s="2805"/>
      <c r="VPN77" s="2805"/>
      <c r="VPO77" s="2805"/>
      <c r="VPP77" s="2805"/>
      <c r="VPQ77" s="2805"/>
      <c r="VPR77" s="2805"/>
      <c r="VPS77" s="2805"/>
      <c r="VPT77" s="2805"/>
      <c r="VPU77" s="2805"/>
      <c r="VPV77" s="2805"/>
      <c r="VPW77" s="2805"/>
      <c r="VPX77" s="2805"/>
      <c r="VPY77" s="2805"/>
      <c r="VPZ77" s="2805"/>
      <c r="VQA77" s="2805"/>
      <c r="VQB77" s="2805"/>
      <c r="VQC77" s="2805"/>
      <c r="VQD77" s="2805"/>
      <c r="VQE77" s="2805"/>
      <c r="VQF77" s="2805"/>
      <c r="VQG77" s="2805"/>
      <c r="VQH77" s="2805"/>
      <c r="VQI77" s="2805"/>
      <c r="VQJ77" s="2805"/>
      <c r="VQK77" s="2805"/>
      <c r="VQL77" s="2805"/>
      <c r="VQM77" s="2805"/>
      <c r="VQN77" s="2805"/>
      <c r="VQO77" s="2805"/>
      <c r="VQP77" s="2805"/>
      <c r="VQQ77" s="2805"/>
      <c r="VQR77" s="2805"/>
      <c r="VQS77" s="2805"/>
      <c r="VQT77" s="2805"/>
      <c r="VQU77" s="2805"/>
      <c r="VQV77" s="2805"/>
      <c r="VQW77" s="2805"/>
      <c r="VQX77" s="2805"/>
      <c r="VQY77" s="2805"/>
      <c r="VQZ77" s="2805"/>
      <c r="VRA77" s="2805"/>
      <c r="VRB77" s="2805"/>
      <c r="VRC77" s="2805"/>
      <c r="VRD77" s="2805"/>
      <c r="VRE77" s="2805"/>
      <c r="VRF77" s="2805"/>
      <c r="VRG77" s="2805"/>
      <c r="VRH77" s="2805"/>
      <c r="VRI77" s="2805"/>
      <c r="VRJ77" s="2805"/>
      <c r="VRK77" s="2805"/>
      <c r="VRL77" s="2805"/>
      <c r="VRM77" s="2805"/>
      <c r="VRN77" s="2805"/>
      <c r="VRO77" s="2805"/>
      <c r="VRP77" s="2805"/>
      <c r="VRQ77" s="2805"/>
      <c r="VRR77" s="2805"/>
      <c r="VRS77" s="2805"/>
      <c r="VRT77" s="2805"/>
      <c r="VRU77" s="2805"/>
      <c r="VRV77" s="2805"/>
      <c r="VRW77" s="2805"/>
      <c r="VRX77" s="2805"/>
      <c r="VRY77" s="2805"/>
      <c r="VRZ77" s="2805"/>
      <c r="VSA77" s="2805"/>
      <c r="VSB77" s="2805"/>
      <c r="VSC77" s="2805"/>
      <c r="VSD77" s="2805"/>
      <c r="VSE77" s="2805"/>
      <c r="VSF77" s="2805"/>
      <c r="VSG77" s="2805"/>
      <c r="VSH77" s="2805"/>
      <c r="VSI77" s="2805"/>
      <c r="VSJ77" s="2805"/>
      <c r="VSK77" s="2805"/>
      <c r="VSL77" s="2805"/>
      <c r="VSM77" s="2805"/>
      <c r="VSN77" s="2805"/>
      <c r="VSO77" s="2805"/>
      <c r="VSP77" s="2805"/>
      <c r="VSQ77" s="2805"/>
      <c r="VSR77" s="2805"/>
      <c r="VSS77" s="2805"/>
      <c r="VST77" s="2805"/>
      <c r="VSU77" s="2805"/>
      <c r="VSV77" s="2805"/>
      <c r="VSW77" s="2805"/>
      <c r="VSX77" s="2805"/>
      <c r="VSY77" s="2805"/>
      <c r="VSZ77" s="2805"/>
      <c r="VTA77" s="2805"/>
      <c r="VTB77" s="2805"/>
      <c r="VTC77" s="2805"/>
      <c r="VTD77" s="2805"/>
      <c r="VTE77" s="2805"/>
      <c r="VTF77" s="2805"/>
      <c r="VTG77" s="2805"/>
      <c r="VTH77" s="2805"/>
      <c r="VTI77" s="2805"/>
      <c r="VTJ77" s="2805"/>
      <c r="VTK77" s="2805"/>
      <c r="VTL77" s="2805"/>
      <c r="VTM77" s="2805"/>
      <c r="VTN77" s="2805"/>
      <c r="VTO77" s="2805"/>
      <c r="VTP77" s="2805"/>
      <c r="VTQ77" s="2805"/>
      <c r="VTR77" s="2805"/>
      <c r="VTS77" s="2805"/>
      <c r="VTT77" s="2805"/>
      <c r="VTU77" s="2805"/>
      <c r="VTV77" s="2805"/>
      <c r="VTW77" s="2805"/>
      <c r="VTX77" s="2805"/>
      <c r="VTY77" s="2805"/>
      <c r="VTZ77" s="2805"/>
      <c r="VUA77" s="2805"/>
      <c r="VUB77" s="2805"/>
      <c r="VUC77" s="2805"/>
      <c r="VUD77" s="2805"/>
      <c r="VUE77" s="2805"/>
      <c r="VUF77" s="2805"/>
      <c r="VUG77" s="2805"/>
      <c r="VUH77" s="2805"/>
      <c r="VUI77" s="2805"/>
      <c r="VUJ77" s="2805"/>
      <c r="VUK77" s="2805"/>
      <c r="VUL77" s="2805"/>
      <c r="VUM77" s="2805"/>
      <c r="VUN77" s="2805"/>
      <c r="VUO77" s="2805"/>
      <c r="VUP77" s="2805"/>
      <c r="VUQ77" s="2805"/>
      <c r="VUR77" s="2805"/>
      <c r="VUS77" s="2805"/>
      <c r="VUT77" s="2805"/>
      <c r="VUU77" s="2805"/>
      <c r="VUV77" s="2805"/>
      <c r="VUW77" s="2805"/>
      <c r="VUX77" s="2805"/>
      <c r="VUY77" s="2805"/>
      <c r="VUZ77" s="2805"/>
      <c r="VVA77" s="2805"/>
      <c r="VVB77" s="2805"/>
      <c r="VVC77" s="2805"/>
      <c r="VVD77" s="2805"/>
      <c r="VVE77" s="2805"/>
      <c r="VVF77" s="2805"/>
      <c r="VVG77" s="2805"/>
      <c r="VVH77" s="2805"/>
      <c r="VVI77" s="2805"/>
      <c r="VVJ77" s="2805"/>
      <c r="VVK77" s="2805"/>
      <c r="VVL77" s="2805"/>
      <c r="VVM77" s="2805"/>
      <c r="VVN77" s="2805"/>
      <c r="VVO77" s="2805"/>
      <c r="VVP77" s="2805"/>
      <c r="VVQ77" s="2805"/>
      <c r="VVR77" s="2805"/>
      <c r="VVS77" s="2805"/>
      <c r="VVT77" s="2805"/>
      <c r="VVU77" s="2805"/>
      <c r="VVV77" s="2805"/>
      <c r="VVW77" s="2805"/>
      <c r="VVX77" s="2805"/>
      <c r="VVY77" s="2805"/>
      <c r="VVZ77" s="2805"/>
      <c r="VWA77" s="2805"/>
      <c r="VWB77" s="2805"/>
      <c r="VWC77" s="2805"/>
      <c r="VWD77" s="2805"/>
      <c r="VWE77" s="2805"/>
      <c r="VWF77" s="2805"/>
      <c r="VWG77" s="2805"/>
      <c r="VWH77" s="2805"/>
      <c r="VWI77" s="2805"/>
      <c r="VWJ77" s="2805"/>
      <c r="VWK77" s="2805"/>
      <c r="VWL77" s="2805"/>
      <c r="VWM77" s="2805"/>
      <c r="VWN77" s="2805"/>
      <c r="VWO77" s="2805"/>
      <c r="VWP77" s="2805"/>
      <c r="VWQ77" s="2805"/>
      <c r="VWR77" s="2805"/>
      <c r="VWS77" s="2805"/>
      <c r="VWT77" s="2805"/>
      <c r="VWU77" s="2805"/>
      <c r="VWV77" s="2805"/>
      <c r="VWW77" s="2805"/>
      <c r="VWX77" s="2805"/>
      <c r="VWY77" s="2805"/>
      <c r="VWZ77" s="2805"/>
      <c r="VXA77" s="2805"/>
      <c r="VXB77" s="2805"/>
      <c r="VXC77" s="2805"/>
      <c r="VXD77" s="2805"/>
      <c r="VXE77" s="2805"/>
      <c r="VXF77" s="2805"/>
      <c r="VXG77" s="2805"/>
      <c r="VXH77" s="2805"/>
      <c r="VXI77" s="2805"/>
      <c r="VXJ77" s="2805"/>
      <c r="VXK77" s="2805"/>
      <c r="VXL77" s="2805"/>
      <c r="VXM77" s="2805"/>
      <c r="VXN77" s="2805"/>
      <c r="VXO77" s="2805"/>
      <c r="VXP77" s="2805"/>
      <c r="VXQ77" s="2805"/>
      <c r="VXR77" s="2805"/>
      <c r="VXS77" s="2805"/>
      <c r="VXT77" s="2805"/>
      <c r="VXU77" s="2805"/>
      <c r="VXV77" s="2805"/>
      <c r="VXW77" s="2805"/>
      <c r="VXX77" s="2805"/>
      <c r="VXY77" s="2805"/>
      <c r="VXZ77" s="2805"/>
      <c r="VYA77" s="2805"/>
      <c r="VYB77" s="2805"/>
      <c r="VYC77" s="2805"/>
      <c r="VYD77" s="2805"/>
      <c r="VYE77" s="2805"/>
      <c r="VYF77" s="2805"/>
      <c r="VYG77" s="2805"/>
      <c r="VYH77" s="2805"/>
      <c r="VYI77" s="2805"/>
      <c r="VYJ77" s="2805"/>
      <c r="VYK77" s="2805"/>
      <c r="VYL77" s="2805"/>
      <c r="VYM77" s="2805"/>
      <c r="VYN77" s="2805"/>
      <c r="VYO77" s="2805"/>
      <c r="VYP77" s="2805"/>
      <c r="VYQ77" s="2805"/>
      <c r="VYR77" s="2805"/>
      <c r="VYS77" s="2805"/>
      <c r="VYT77" s="2805"/>
      <c r="VYU77" s="2805"/>
      <c r="VYV77" s="2805"/>
      <c r="VYW77" s="2805"/>
      <c r="VYX77" s="2805"/>
      <c r="VYY77" s="2805"/>
      <c r="VYZ77" s="2805"/>
      <c r="VZA77" s="2805"/>
      <c r="VZB77" s="2805"/>
      <c r="VZC77" s="2805"/>
      <c r="VZD77" s="2805"/>
      <c r="VZE77" s="2805"/>
      <c r="VZF77" s="2805"/>
      <c r="VZG77" s="2805"/>
      <c r="VZH77" s="2805"/>
      <c r="VZI77" s="2805"/>
      <c r="VZJ77" s="2805"/>
      <c r="VZK77" s="2805"/>
      <c r="VZL77" s="2805"/>
      <c r="VZM77" s="2805"/>
      <c r="VZN77" s="2805"/>
      <c r="VZO77" s="2805"/>
      <c r="VZP77" s="2805"/>
      <c r="VZQ77" s="2805"/>
      <c r="VZR77" s="2805"/>
      <c r="VZS77" s="2805"/>
      <c r="VZT77" s="2805"/>
      <c r="VZU77" s="2805"/>
      <c r="VZV77" s="2805"/>
      <c r="VZW77" s="2805"/>
      <c r="VZX77" s="2805"/>
      <c r="VZY77" s="2805"/>
      <c r="VZZ77" s="2805"/>
      <c r="WAA77" s="2805"/>
      <c r="WAB77" s="2805"/>
      <c r="WAC77" s="2805"/>
      <c r="WAD77" s="2805"/>
      <c r="WAE77" s="2805"/>
      <c r="WAF77" s="2805"/>
      <c r="WAG77" s="2805"/>
      <c r="WAH77" s="2805"/>
      <c r="WAI77" s="2805"/>
      <c r="WAJ77" s="2805"/>
      <c r="WAK77" s="2805"/>
      <c r="WAL77" s="2805"/>
      <c r="WAM77" s="2805"/>
      <c r="WAN77" s="2805"/>
      <c r="WAO77" s="2805"/>
      <c r="WAP77" s="2805"/>
      <c r="WAQ77" s="2805"/>
      <c r="WAR77" s="2805"/>
      <c r="WAS77" s="2805"/>
      <c r="WAT77" s="2805"/>
      <c r="WAU77" s="2805"/>
      <c r="WAV77" s="2805"/>
      <c r="WAW77" s="2805"/>
      <c r="WAX77" s="2805"/>
      <c r="WAY77" s="2805"/>
      <c r="WAZ77" s="2805"/>
      <c r="WBA77" s="2805"/>
      <c r="WBB77" s="2805"/>
      <c r="WBC77" s="2805"/>
      <c r="WBD77" s="2805"/>
      <c r="WBE77" s="2805"/>
      <c r="WBF77" s="2805"/>
      <c r="WBG77" s="2805"/>
      <c r="WBH77" s="2805"/>
      <c r="WBI77" s="2805"/>
      <c r="WBJ77" s="2805"/>
      <c r="WBK77" s="2805"/>
      <c r="WBL77" s="2805"/>
      <c r="WBM77" s="2805"/>
      <c r="WBN77" s="2805"/>
      <c r="WBO77" s="2805"/>
      <c r="WBP77" s="2805"/>
      <c r="WBQ77" s="2805"/>
      <c r="WBR77" s="2805"/>
      <c r="WBS77" s="2805"/>
      <c r="WBT77" s="2805"/>
      <c r="WBU77" s="2805"/>
      <c r="WBV77" s="2805"/>
      <c r="WBW77" s="2805"/>
      <c r="WBX77" s="2805"/>
      <c r="WBY77" s="2805"/>
      <c r="WBZ77" s="2805"/>
      <c r="WCA77" s="2805"/>
      <c r="WCB77" s="2805"/>
      <c r="WCC77" s="2805"/>
      <c r="WCD77" s="2805"/>
      <c r="WCE77" s="2805"/>
      <c r="WCF77" s="2805"/>
      <c r="WCG77" s="2805"/>
      <c r="WCH77" s="2805"/>
      <c r="WCI77" s="2805"/>
      <c r="WCJ77" s="2805"/>
      <c r="WCK77" s="2805"/>
      <c r="WCL77" s="2805"/>
      <c r="WCM77" s="2805"/>
      <c r="WCN77" s="2805"/>
      <c r="WCO77" s="2805"/>
      <c r="WCP77" s="2805"/>
      <c r="WCQ77" s="2805"/>
      <c r="WCR77" s="2805"/>
      <c r="WCS77" s="2805"/>
      <c r="WCT77" s="2805"/>
      <c r="WCU77" s="2805"/>
      <c r="WCV77" s="2805"/>
      <c r="WCW77" s="2805"/>
      <c r="WCX77" s="2805"/>
      <c r="WCY77" s="2805"/>
      <c r="WCZ77" s="2805"/>
      <c r="WDA77" s="2805"/>
      <c r="WDB77" s="2805"/>
      <c r="WDC77" s="2805"/>
      <c r="WDD77" s="2805"/>
      <c r="WDE77" s="2805"/>
      <c r="WDF77" s="2805"/>
      <c r="WDG77" s="2805"/>
      <c r="WDH77" s="2805"/>
      <c r="WDI77" s="2805"/>
      <c r="WDJ77" s="2805"/>
      <c r="WDK77" s="2805"/>
      <c r="WDL77" s="2805"/>
      <c r="WDM77" s="2805"/>
      <c r="WDN77" s="2805"/>
      <c r="WDO77" s="2805"/>
      <c r="WDP77" s="2805"/>
      <c r="WDQ77" s="2805"/>
      <c r="WDR77" s="2805"/>
      <c r="WDS77" s="2805"/>
      <c r="WDT77" s="2805"/>
      <c r="WDU77" s="2805"/>
      <c r="WDV77" s="2805"/>
      <c r="WDW77" s="2805"/>
      <c r="WDX77" s="2805"/>
      <c r="WDY77" s="2805"/>
      <c r="WDZ77" s="2805"/>
      <c r="WEA77" s="2805"/>
      <c r="WEB77" s="2805"/>
      <c r="WEC77" s="2805"/>
      <c r="WED77" s="2805"/>
      <c r="WEE77" s="2805"/>
      <c r="WEF77" s="2805"/>
      <c r="WEG77" s="2805"/>
      <c r="WEH77" s="2805"/>
      <c r="WEI77" s="2805"/>
      <c r="WEJ77" s="2805"/>
      <c r="WEK77" s="2805"/>
      <c r="WEL77" s="2805"/>
      <c r="WEM77" s="2805"/>
      <c r="WEN77" s="2805"/>
      <c r="WEO77" s="2805"/>
      <c r="WEP77" s="2805"/>
      <c r="WEQ77" s="2805"/>
      <c r="WER77" s="2805"/>
      <c r="WES77" s="2805"/>
      <c r="WET77" s="2805"/>
      <c r="WEU77" s="2805"/>
      <c r="WEV77" s="2805"/>
      <c r="WEW77" s="2805"/>
      <c r="WEX77" s="2805"/>
      <c r="WEY77" s="2805"/>
      <c r="WEZ77" s="2805"/>
      <c r="WFA77" s="2805"/>
      <c r="WFB77" s="2805"/>
      <c r="WFC77" s="2805"/>
      <c r="WFD77" s="2805"/>
      <c r="WFE77" s="2805"/>
      <c r="WFF77" s="2805"/>
      <c r="WFG77" s="2805"/>
      <c r="WFH77" s="2805"/>
      <c r="WFI77" s="2805"/>
      <c r="WFJ77" s="2805"/>
      <c r="WFK77" s="2805"/>
      <c r="WFL77" s="2805"/>
      <c r="WFM77" s="2805"/>
      <c r="WFN77" s="2805"/>
      <c r="WFO77" s="2805"/>
      <c r="WFP77" s="2805"/>
      <c r="WFQ77" s="2805"/>
      <c r="WFR77" s="2805"/>
      <c r="WFS77" s="2805"/>
      <c r="WFT77" s="2805"/>
      <c r="WFU77" s="2805"/>
      <c r="WFV77" s="2805"/>
      <c r="WFW77" s="2805"/>
      <c r="WFX77" s="2805"/>
      <c r="WFY77" s="2805"/>
      <c r="WFZ77" s="2805"/>
      <c r="WGA77" s="2805"/>
      <c r="WGB77" s="2805"/>
      <c r="WGC77" s="2805"/>
      <c r="WGD77" s="2805"/>
      <c r="WGE77" s="2805"/>
      <c r="WGF77" s="2805"/>
      <c r="WGG77" s="2805"/>
      <c r="WGH77" s="2805"/>
      <c r="WGI77" s="2805"/>
      <c r="WGJ77" s="2805"/>
      <c r="WGK77" s="2805"/>
      <c r="WGL77" s="2805"/>
      <c r="WGM77" s="2805"/>
      <c r="WGN77" s="2805"/>
      <c r="WGO77" s="2805"/>
      <c r="WGP77" s="2805"/>
      <c r="WGQ77" s="2805"/>
      <c r="WGR77" s="2805"/>
      <c r="WGS77" s="2805"/>
      <c r="WGT77" s="2805"/>
      <c r="WGU77" s="2805"/>
      <c r="WGV77" s="2805"/>
      <c r="WGW77" s="2805"/>
      <c r="WGX77" s="2805"/>
      <c r="WGY77" s="2805"/>
      <c r="WGZ77" s="2805"/>
      <c r="WHA77" s="2805"/>
      <c r="WHB77" s="2805"/>
      <c r="WHC77" s="2805"/>
      <c r="WHD77" s="2805"/>
      <c r="WHE77" s="2805"/>
      <c r="WHF77" s="2805"/>
      <c r="WHG77" s="2805"/>
      <c r="WHH77" s="2805"/>
      <c r="WHI77" s="2805"/>
      <c r="WHJ77" s="2805"/>
      <c r="WHK77" s="2805"/>
      <c r="WHL77" s="2805"/>
      <c r="WHM77" s="2805"/>
      <c r="WHN77" s="2805"/>
      <c r="WHO77" s="2805"/>
      <c r="WHP77" s="2805"/>
      <c r="WHQ77" s="2805"/>
      <c r="WHR77" s="2805"/>
      <c r="WHS77" s="2805"/>
      <c r="WHT77" s="2805"/>
      <c r="WHU77" s="2805"/>
      <c r="WHV77" s="2805"/>
      <c r="WHW77" s="2805"/>
      <c r="WHX77" s="2805"/>
      <c r="WHY77" s="2805"/>
      <c r="WHZ77" s="2805"/>
      <c r="WIA77" s="2805"/>
      <c r="WIB77" s="2805"/>
      <c r="WIC77" s="2805"/>
      <c r="WID77" s="2805"/>
      <c r="WIE77" s="2805"/>
      <c r="WIF77" s="2805"/>
      <c r="WIG77" s="2805"/>
      <c r="WIH77" s="2805"/>
      <c r="WII77" s="2805"/>
      <c r="WIJ77" s="2805"/>
      <c r="WIK77" s="2805"/>
      <c r="WIL77" s="2805"/>
      <c r="WIM77" s="2805"/>
      <c r="WIN77" s="2805"/>
      <c r="WIO77" s="2805"/>
      <c r="WIP77" s="2805"/>
      <c r="WIQ77" s="2805"/>
      <c r="WIR77" s="2805"/>
      <c r="WIS77" s="2805"/>
      <c r="WIT77" s="2805"/>
      <c r="WIU77" s="2805"/>
      <c r="WIV77" s="2805"/>
      <c r="WIW77" s="2805"/>
      <c r="WIX77" s="2805"/>
      <c r="WIY77" s="2805"/>
      <c r="WIZ77" s="2805"/>
      <c r="WJA77" s="2805"/>
      <c r="WJB77" s="2805"/>
      <c r="WJC77" s="2805"/>
      <c r="WJD77" s="2805"/>
      <c r="WJE77" s="2805"/>
      <c r="WJF77" s="2805"/>
      <c r="WJG77" s="2805"/>
      <c r="WJH77" s="2805"/>
      <c r="WJI77" s="2805"/>
      <c r="WJJ77" s="2805"/>
      <c r="WJK77" s="2805"/>
      <c r="WJL77" s="2805"/>
      <c r="WJM77" s="2805"/>
      <c r="WJN77" s="2805"/>
      <c r="WJO77" s="2805"/>
      <c r="WJP77" s="2805"/>
      <c r="WJQ77" s="2805"/>
      <c r="WJR77" s="2805"/>
      <c r="WJS77" s="2805"/>
      <c r="WJT77" s="2805"/>
      <c r="WJU77" s="2805"/>
      <c r="WJV77" s="2805"/>
      <c r="WJW77" s="2805"/>
      <c r="WJX77" s="2805"/>
      <c r="WJY77" s="2805"/>
      <c r="WJZ77" s="2805"/>
      <c r="WKA77" s="2805"/>
      <c r="WKB77" s="2805"/>
      <c r="WKC77" s="2805"/>
      <c r="WKD77" s="2805"/>
      <c r="WKE77" s="2805"/>
      <c r="WKF77" s="2805"/>
      <c r="WKG77" s="2805"/>
      <c r="WKH77" s="2805"/>
      <c r="WKI77" s="2805"/>
      <c r="WKJ77" s="2805"/>
      <c r="WKK77" s="2805"/>
      <c r="WKL77" s="2805"/>
      <c r="WKM77" s="2805"/>
      <c r="WKN77" s="2805"/>
      <c r="WKO77" s="2805"/>
      <c r="WKP77" s="2805"/>
      <c r="WKQ77" s="2805"/>
      <c r="WKR77" s="2805"/>
      <c r="WKS77" s="2805"/>
      <c r="WKT77" s="2805"/>
      <c r="WKU77" s="2805"/>
      <c r="WKV77" s="2805"/>
      <c r="WKW77" s="2805"/>
      <c r="WKX77" s="2805"/>
      <c r="WKY77" s="2805"/>
      <c r="WKZ77" s="2805"/>
      <c r="WLA77" s="2805"/>
      <c r="WLB77" s="2805"/>
      <c r="WLC77" s="2805"/>
      <c r="WLD77" s="2805"/>
      <c r="WLE77" s="2805"/>
      <c r="WLF77" s="2805"/>
      <c r="WLG77" s="2805"/>
      <c r="WLH77" s="2805"/>
      <c r="WLI77" s="2805"/>
      <c r="WLJ77" s="2805"/>
      <c r="WLK77" s="2805"/>
      <c r="WLL77" s="2805"/>
      <c r="WLM77" s="2805"/>
      <c r="WLN77" s="2805"/>
      <c r="WLO77" s="2805"/>
      <c r="WLP77" s="2805"/>
      <c r="WLQ77" s="2805"/>
      <c r="WLR77" s="2805"/>
      <c r="WLS77" s="2805"/>
      <c r="WLT77" s="2805"/>
      <c r="WLU77" s="2805"/>
      <c r="WLV77" s="2805"/>
      <c r="WLW77" s="2805"/>
      <c r="WLX77" s="2805"/>
      <c r="WLY77" s="2805"/>
      <c r="WLZ77" s="2805"/>
      <c r="WMA77" s="2805"/>
      <c r="WMB77" s="2805"/>
      <c r="WMC77" s="2805"/>
      <c r="WMD77" s="2805"/>
      <c r="WME77" s="2805"/>
      <c r="WMF77" s="2805"/>
      <c r="WMG77" s="2805"/>
      <c r="WMH77" s="2805"/>
      <c r="WMI77" s="2805"/>
      <c r="WMJ77" s="2805"/>
      <c r="WMK77" s="2805"/>
      <c r="WML77" s="2805"/>
      <c r="WMM77" s="2805"/>
      <c r="WMN77" s="2805"/>
      <c r="WMO77" s="2805"/>
      <c r="WMP77" s="2805"/>
      <c r="WMQ77" s="2805"/>
      <c r="WMR77" s="2805"/>
      <c r="WMS77" s="2805"/>
      <c r="WMT77" s="2805"/>
      <c r="WMU77" s="2805"/>
      <c r="WMV77" s="2805"/>
      <c r="WMW77" s="2805"/>
      <c r="WMX77" s="2805"/>
      <c r="WMY77" s="2805"/>
      <c r="WMZ77" s="2805"/>
      <c r="WNA77" s="2805"/>
      <c r="WNB77" s="2805"/>
      <c r="WNC77" s="2805"/>
      <c r="WND77" s="2805"/>
      <c r="WNE77" s="2805"/>
      <c r="WNF77" s="2805"/>
      <c r="WNG77" s="2805"/>
      <c r="WNH77" s="2805"/>
      <c r="WNI77" s="2805"/>
      <c r="WNJ77" s="2805"/>
      <c r="WNK77" s="2805"/>
      <c r="WNL77" s="2805"/>
      <c r="WNM77" s="2805"/>
      <c r="WNN77" s="2805"/>
      <c r="WNO77" s="2805"/>
      <c r="WNP77" s="2805"/>
      <c r="WNQ77" s="2805"/>
      <c r="WNR77" s="2805"/>
      <c r="WNS77" s="2805"/>
      <c r="WNT77" s="2805"/>
      <c r="WNU77" s="2805"/>
      <c r="WNV77" s="2805"/>
      <c r="WNW77" s="2805"/>
      <c r="WNX77" s="2805"/>
      <c r="WNY77" s="2805"/>
      <c r="WNZ77" s="2805"/>
      <c r="WOA77" s="2805"/>
      <c r="WOB77" s="2805"/>
      <c r="WOC77" s="2805"/>
      <c r="WOD77" s="2805"/>
      <c r="WOE77" s="2805"/>
      <c r="WOF77" s="2805"/>
      <c r="WOG77" s="2805"/>
      <c r="WOH77" s="2805"/>
      <c r="WOI77" s="2805"/>
      <c r="WOJ77" s="2805"/>
      <c r="WOK77" s="2805"/>
      <c r="WOL77" s="2805"/>
      <c r="WOM77" s="2805"/>
      <c r="WON77" s="2805"/>
      <c r="WOO77" s="2805"/>
      <c r="WOP77" s="2805"/>
      <c r="WOQ77" s="2805"/>
      <c r="WOR77" s="2805"/>
      <c r="WOS77" s="2805"/>
      <c r="WOT77" s="2805"/>
      <c r="WOU77" s="2805"/>
      <c r="WOV77" s="2805"/>
      <c r="WOW77" s="2805"/>
      <c r="WOX77" s="2805"/>
      <c r="WOY77" s="2805"/>
      <c r="WOZ77" s="2805"/>
      <c r="WPA77" s="2805"/>
      <c r="WPB77" s="2805"/>
      <c r="WPC77" s="2805"/>
      <c r="WPD77" s="2805"/>
      <c r="WPE77" s="2805"/>
      <c r="WPF77" s="2805"/>
      <c r="WPG77" s="2805"/>
      <c r="WPH77" s="2805"/>
      <c r="WPI77" s="2805"/>
      <c r="WPJ77" s="2805"/>
      <c r="WPK77" s="2805"/>
      <c r="WPL77" s="2805"/>
      <c r="WPM77" s="2805"/>
      <c r="WPN77" s="2805"/>
      <c r="WPO77" s="2805"/>
      <c r="WPP77" s="2805"/>
      <c r="WPQ77" s="2805"/>
      <c r="WPR77" s="2805"/>
      <c r="WPS77" s="2805"/>
      <c r="WPT77" s="2805"/>
      <c r="WPU77" s="2805"/>
      <c r="WPV77" s="2805"/>
      <c r="WPW77" s="2805"/>
      <c r="WPX77" s="2805"/>
      <c r="WPY77" s="2805"/>
      <c r="WPZ77" s="2805"/>
      <c r="WQA77" s="2805"/>
      <c r="WQB77" s="2805"/>
      <c r="WQC77" s="2805"/>
      <c r="WQD77" s="2805"/>
      <c r="WQE77" s="2805"/>
      <c r="WQF77" s="2805"/>
      <c r="WQG77" s="2805"/>
      <c r="WQH77" s="2805"/>
      <c r="WQI77" s="2805"/>
      <c r="WQJ77" s="2805"/>
      <c r="WQK77" s="2805"/>
      <c r="WQL77" s="2805"/>
      <c r="WQM77" s="2805"/>
      <c r="WQN77" s="2805"/>
      <c r="WQO77" s="2805"/>
      <c r="WQP77" s="2805"/>
      <c r="WQQ77" s="2805"/>
      <c r="WQR77" s="2805"/>
      <c r="WQS77" s="2805"/>
      <c r="WQT77" s="2805"/>
      <c r="WQU77" s="2805"/>
      <c r="WQV77" s="2805"/>
      <c r="WQW77" s="2805"/>
      <c r="WQX77" s="2805"/>
      <c r="WQY77" s="2805"/>
      <c r="WQZ77" s="2805"/>
      <c r="WRA77" s="2805"/>
      <c r="WRB77" s="2805"/>
      <c r="WRC77" s="2805"/>
      <c r="WRD77" s="2805"/>
      <c r="WRE77" s="2805"/>
      <c r="WRF77" s="2805"/>
      <c r="WRG77" s="2805"/>
      <c r="WRH77" s="2805"/>
      <c r="WRI77" s="2805"/>
      <c r="WRJ77" s="2805"/>
      <c r="WRK77" s="2805"/>
      <c r="WRL77" s="2805"/>
      <c r="WRM77" s="2805"/>
      <c r="WRN77" s="2805"/>
      <c r="WRO77" s="2805"/>
      <c r="WRP77" s="2805"/>
      <c r="WRQ77" s="2805"/>
      <c r="WRR77" s="2805"/>
      <c r="WRS77" s="2805"/>
      <c r="WRT77" s="2805"/>
      <c r="WRU77" s="2805"/>
      <c r="WRV77" s="2805"/>
      <c r="WRW77" s="2805"/>
      <c r="WRX77" s="2805"/>
      <c r="WRY77" s="2805"/>
      <c r="WRZ77" s="2805"/>
      <c r="WSA77" s="2805"/>
      <c r="WSB77" s="2805"/>
      <c r="WSC77" s="2805"/>
      <c r="WSD77" s="2805"/>
      <c r="WSE77" s="2805"/>
      <c r="WSF77" s="2805"/>
      <c r="WSG77" s="2805"/>
      <c r="WSH77" s="2805"/>
      <c r="WSI77" s="2805"/>
      <c r="WSJ77" s="2805"/>
      <c r="WSK77" s="2805"/>
      <c r="WSL77" s="2805"/>
      <c r="WSM77" s="2805"/>
      <c r="WSN77" s="2805"/>
      <c r="WSO77" s="2805"/>
      <c r="WSP77" s="2805"/>
      <c r="WSQ77" s="2805"/>
      <c r="WSR77" s="2805"/>
      <c r="WSS77" s="2805"/>
      <c r="WST77" s="2805"/>
      <c r="WSU77" s="2805"/>
      <c r="WSV77" s="2805"/>
      <c r="WSW77" s="2805"/>
      <c r="WSX77" s="2805"/>
      <c r="WSY77" s="2805"/>
      <c r="WSZ77" s="2805"/>
      <c r="WTA77" s="2805"/>
      <c r="WTB77" s="2805"/>
      <c r="WTC77" s="2805"/>
      <c r="WTD77" s="2805"/>
      <c r="WTE77" s="2805"/>
      <c r="WTF77" s="2805"/>
      <c r="WTG77" s="2805"/>
      <c r="WTH77" s="2805"/>
      <c r="WTI77" s="2805"/>
      <c r="WTJ77" s="2805"/>
      <c r="WTK77" s="2805"/>
      <c r="WTL77" s="2805"/>
      <c r="WTM77" s="2805"/>
      <c r="WTN77" s="2805"/>
      <c r="WTO77" s="2805"/>
      <c r="WTP77" s="2805"/>
      <c r="WTQ77" s="2805"/>
      <c r="WTR77" s="2805"/>
      <c r="WTS77" s="2805"/>
      <c r="WTT77" s="2805"/>
      <c r="WTU77" s="2805"/>
      <c r="WTV77" s="2805"/>
      <c r="WTW77" s="2805"/>
      <c r="WTX77" s="2805"/>
      <c r="WTY77" s="2805"/>
      <c r="WTZ77" s="2805"/>
      <c r="WUA77" s="2805"/>
      <c r="WUB77" s="2805"/>
      <c r="WUC77" s="2805"/>
      <c r="WUD77" s="2805"/>
      <c r="WUE77" s="2805"/>
      <c r="WUF77" s="2805"/>
      <c r="WUG77" s="2805"/>
      <c r="WUH77" s="2805"/>
      <c r="WUI77" s="2805"/>
      <c r="WUJ77" s="2805"/>
      <c r="WUK77" s="2805"/>
      <c r="WUL77" s="2805"/>
      <c r="WUM77" s="2805"/>
      <c r="WUN77" s="2805"/>
      <c r="WUO77" s="2805"/>
      <c r="WUP77" s="2805"/>
      <c r="WUQ77" s="2805"/>
      <c r="WUR77" s="2805"/>
      <c r="WUS77" s="2805"/>
      <c r="WUT77" s="2805"/>
      <c r="WUU77" s="2805"/>
      <c r="WUV77" s="2805"/>
      <c r="WUW77" s="2805"/>
      <c r="WUX77" s="2805"/>
      <c r="WUY77" s="2805"/>
      <c r="WUZ77" s="2805"/>
      <c r="WVA77" s="2805"/>
      <c r="WVB77" s="2805"/>
      <c r="WVC77" s="2805"/>
      <c r="WVD77" s="2805"/>
      <c r="WVE77" s="2805"/>
      <c r="WVF77" s="2805"/>
      <c r="WVG77" s="2805"/>
      <c r="WVH77" s="2805"/>
      <c r="WVI77" s="2805"/>
      <c r="WVJ77" s="2805"/>
      <c r="WVK77" s="2805"/>
      <c r="WVL77" s="2805"/>
      <c r="WVM77" s="2805"/>
      <c r="WVN77" s="2805"/>
      <c r="WVO77" s="2805"/>
      <c r="WVP77" s="2805"/>
      <c r="WVQ77" s="2805"/>
      <c r="WVR77" s="2805"/>
      <c r="WVS77" s="2805"/>
      <c r="WVT77" s="2805"/>
      <c r="WVU77" s="2805"/>
      <c r="WVV77" s="2805"/>
      <c r="WVW77" s="2805"/>
      <c r="WVX77" s="2805"/>
      <c r="WVY77" s="2805"/>
      <c r="WVZ77" s="2805"/>
      <c r="WWA77" s="2805"/>
      <c r="WWB77" s="2805"/>
      <c r="WWC77" s="2805"/>
      <c r="WWD77" s="2805"/>
      <c r="WWE77" s="2805"/>
      <c r="WWF77" s="2805"/>
      <c r="WWG77" s="2805"/>
      <c r="WWH77" s="2805"/>
      <c r="WWI77" s="2805"/>
      <c r="WWJ77" s="2805"/>
      <c r="WWK77" s="2805"/>
      <c r="WWL77" s="2805"/>
      <c r="WWM77" s="2805"/>
      <c r="WWN77" s="2805"/>
      <c r="WWO77" s="2805"/>
      <c r="WWP77" s="2805"/>
      <c r="WWQ77" s="2805"/>
      <c r="WWR77" s="2805"/>
      <c r="WWS77" s="2805"/>
      <c r="WWT77" s="2805"/>
      <c r="WWU77" s="2805"/>
      <c r="WWV77" s="2805"/>
      <c r="WWW77" s="2805"/>
      <c r="WWX77" s="2805"/>
      <c r="WWY77" s="2805"/>
      <c r="WWZ77" s="2805"/>
      <c r="WXA77" s="2805"/>
      <c r="WXB77" s="2805"/>
      <c r="WXC77" s="2805"/>
      <c r="WXD77" s="2805"/>
      <c r="WXE77" s="2805"/>
      <c r="WXF77" s="2805"/>
      <c r="WXG77" s="2805"/>
      <c r="WXH77" s="2805"/>
      <c r="WXI77" s="2805"/>
      <c r="WXJ77" s="2805"/>
      <c r="WXK77" s="2805"/>
      <c r="WXL77" s="2805"/>
      <c r="WXM77" s="2805"/>
      <c r="WXN77" s="2805"/>
      <c r="WXO77" s="2805"/>
      <c r="WXP77" s="2805"/>
      <c r="WXQ77" s="2805"/>
      <c r="WXR77" s="2805"/>
      <c r="WXS77" s="2805"/>
      <c r="WXT77" s="2805"/>
      <c r="WXU77" s="2805"/>
      <c r="WXV77" s="2805"/>
      <c r="WXW77" s="2805"/>
      <c r="WXX77" s="2805"/>
      <c r="WXY77" s="2805"/>
      <c r="WXZ77" s="2805"/>
      <c r="WYA77" s="2805"/>
      <c r="WYB77" s="2805"/>
      <c r="WYC77" s="2805"/>
      <c r="WYD77" s="2805"/>
      <c r="WYE77" s="2805"/>
      <c r="WYF77" s="2805"/>
      <c r="WYG77" s="2805"/>
      <c r="WYH77" s="2805"/>
      <c r="WYI77" s="2805"/>
      <c r="WYJ77" s="2805"/>
      <c r="WYK77" s="2805"/>
      <c r="WYL77" s="2805"/>
      <c r="WYM77" s="2805"/>
      <c r="WYN77" s="2805"/>
      <c r="WYO77" s="2805"/>
      <c r="WYP77" s="2805"/>
      <c r="WYQ77" s="2805"/>
      <c r="WYR77" s="2805"/>
      <c r="WYS77" s="2805"/>
      <c r="WYT77" s="2805"/>
      <c r="WYU77" s="2805"/>
      <c r="WYV77" s="2805"/>
      <c r="WYW77" s="2805"/>
      <c r="WYX77" s="2805"/>
      <c r="WYY77" s="2805"/>
      <c r="WYZ77" s="2805"/>
      <c r="WZA77" s="2805"/>
      <c r="WZB77" s="2805"/>
      <c r="WZC77" s="2805"/>
      <c r="WZD77" s="2805"/>
      <c r="WZE77" s="2805"/>
      <c r="WZF77" s="2805"/>
      <c r="WZG77" s="2805"/>
      <c r="WZH77" s="2805"/>
      <c r="WZI77" s="2805"/>
      <c r="WZJ77" s="2805"/>
      <c r="WZK77" s="2805"/>
      <c r="WZL77" s="2805"/>
      <c r="WZM77" s="2805"/>
      <c r="WZN77" s="2805"/>
      <c r="WZO77" s="2805"/>
      <c r="WZP77" s="2805"/>
      <c r="WZQ77" s="2805"/>
      <c r="WZR77" s="2805"/>
      <c r="WZS77" s="2805"/>
      <c r="WZT77" s="2805"/>
      <c r="WZU77" s="2805"/>
      <c r="WZV77" s="2805"/>
      <c r="WZW77" s="2805"/>
      <c r="WZX77" s="2805"/>
      <c r="WZY77" s="2805"/>
      <c r="WZZ77" s="2805"/>
      <c r="XAA77" s="2805"/>
      <c r="XAB77" s="2805"/>
      <c r="XAC77" s="2805"/>
      <c r="XAD77" s="2805"/>
      <c r="XAE77" s="2805"/>
      <c r="XAF77" s="2805"/>
      <c r="XAG77" s="2805"/>
      <c r="XAH77" s="2805"/>
      <c r="XAI77" s="2805"/>
      <c r="XAJ77" s="2805"/>
      <c r="XAK77" s="2805"/>
      <c r="XAL77" s="2805"/>
      <c r="XAM77" s="2805"/>
      <c r="XAN77" s="2805"/>
      <c r="XAO77" s="2805"/>
      <c r="XAP77" s="2805"/>
      <c r="XAQ77" s="2805"/>
      <c r="XAR77" s="2805"/>
      <c r="XAS77" s="2805"/>
      <c r="XAT77" s="2805"/>
      <c r="XAU77" s="2805"/>
      <c r="XAV77" s="2805"/>
      <c r="XAW77" s="2805"/>
      <c r="XAX77" s="2805"/>
      <c r="XAY77" s="2805"/>
      <c r="XAZ77" s="2805"/>
      <c r="XBA77" s="2805"/>
      <c r="XBB77" s="2805"/>
      <c r="XBC77" s="2805"/>
      <c r="XBD77" s="2805"/>
      <c r="XBE77" s="2805"/>
      <c r="XBF77" s="2805"/>
      <c r="XBG77" s="2805"/>
      <c r="XBH77" s="2805"/>
      <c r="XBI77" s="2805"/>
      <c r="XBJ77" s="2805"/>
      <c r="XBK77" s="2805"/>
      <c r="XBL77" s="2805"/>
      <c r="XBM77" s="2805"/>
      <c r="XBN77" s="2805"/>
      <c r="XBO77" s="2805"/>
      <c r="XBP77" s="2805"/>
      <c r="XBQ77" s="2805"/>
      <c r="XBR77" s="2805"/>
      <c r="XBS77" s="2805"/>
      <c r="XBT77" s="2805"/>
      <c r="XBU77" s="2805"/>
      <c r="XBV77" s="2805"/>
      <c r="XBW77" s="2805"/>
      <c r="XBX77" s="2805"/>
      <c r="XBY77" s="2805"/>
      <c r="XBZ77" s="2805"/>
      <c r="XCA77" s="2805"/>
      <c r="XCB77" s="2805"/>
      <c r="XCC77" s="2805"/>
      <c r="XCD77" s="2805"/>
      <c r="XCE77" s="2805"/>
      <c r="XCF77" s="2805"/>
      <c r="XCG77" s="2805"/>
      <c r="XCH77" s="2805"/>
      <c r="XCI77" s="2805"/>
      <c r="XCJ77" s="2805"/>
      <c r="XCK77" s="2805"/>
      <c r="XCL77" s="2805"/>
      <c r="XCM77" s="2805"/>
      <c r="XCN77" s="2805"/>
      <c r="XCO77" s="2805"/>
      <c r="XCP77" s="2805"/>
      <c r="XCQ77" s="2805"/>
      <c r="XCR77" s="2805"/>
      <c r="XCS77" s="2805"/>
      <c r="XCT77" s="2805"/>
      <c r="XCU77" s="2805"/>
      <c r="XCV77" s="2805"/>
      <c r="XCW77" s="2805"/>
      <c r="XCX77" s="2805"/>
      <c r="XCY77" s="2805"/>
      <c r="XCZ77" s="2805"/>
      <c r="XDA77" s="2805"/>
      <c r="XDB77" s="2805"/>
      <c r="XDC77" s="2805"/>
      <c r="XDD77" s="2805"/>
      <c r="XDE77" s="2805"/>
      <c r="XDF77" s="2805"/>
      <c r="XDG77" s="2805"/>
      <c r="XDH77" s="2805"/>
      <c r="XDI77" s="2805"/>
      <c r="XDJ77" s="2805"/>
      <c r="XDK77" s="2805"/>
      <c r="XDL77" s="2805"/>
      <c r="XDM77" s="2805"/>
      <c r="XDN77" s="2805"/>
      <c r="XDO77" s="2805"/>
      <c r="XDP77" s="2805"/>
      <c r="XDQ77" s="2805"/>
      <c r="XDR77" s="2805"/>
      <c r="XDS77" s="2805"/>
      <c r="XDT77" s="2805"/>
      <c r="XDU77" s="2805"/>
      <c r="XDV77" s="2805"/>
      <c r="XDW77" s="2805"/>
      <c r="XDX77" s="2805"/>
      <c r="XDY77" s="2805"/>
      <c r="XDZ77" s="2805"/>
      <c r="XEA77" s="2805"/>
      <c r="XEB77" s="2805"/>
      <c r="XEC77" s="2805"/>
      <c r="XED77" s="2805"/>
      <c r="XEE77" s="2805"/>
      <c r="XEF77" s="2805"/>
      <c r="XEG77" s="2805"/>
      <c r="XEH77" s="2805"/>
      <c r="XEI77" s="2805"/>
      <c r="XEJ77" s="2805"/>
      <c r="XEK77" s="2805"/>
      <c r="XEL77" s="2805"/>
      <c r="XEM77" s="2805"/>
      <c r="XEN77" s="2805"/>
      <c r="XEO77" s="2805"/>
      <c r="XEP77" s="2805"/>
      <c r="XEQ77" s="2805"/>
      <c r="XER77" s="2805"/>
      <c r="XES77" s="2805"/>
      <c r="XET77" s="2805"/>
      <c r="XEU77" s="2805"/>
      <c r="XEV77" s="2805"/>
      <c r="XEW77" s="2805"/>
      <c r="XEX77" s="2805"/>
      <c r="XEY77" s="2805"/>
      <c r="XEZ77" s="2805"/>
      <c r="XFA77" s="2805"/>
      <c r="XFB77" s="2805"/>
      <c r="XFC77" s="2805"/>
      <c r="XFD77" s="2805"/>
    </row>
    <row r="78" spans="1:16384" s="2815" customFormat="1" ht="56.25" customHeight="1">
      <c r="A78" s="2499"/>
      <c r="B78" s="2516" t="s">
        <v>1662</v>
      </c>
      <c r="C78" s="2526">
        <f>IF(('Balances y Proyecciones'!Q17)&lt;&gt;360,'Balances y Proyecciones'!K63+'Balances y Proyecciones'!K64+'Balances y Proyecciones'!K65,'Balances y Proyecciones'!K63+'Balances y Proyecciones'!K64+'Balances y Proyecciones'!K65)</f>
        <v>0</v>
      </c>
      <c r="D78" s="2526"/>
      <c r="E78" s="2527">
        <f>IF(('Balances y Proyecciones'!Q17)&lt;&gt;360,'Balances y Proyecciones'!Q63+'Balances y Proyecciones'!Q64+'Balances y Proyecciones'!Q65,'Balances y Proyecciones'!Q63+'Balances y Proyecciones'!Q64+'Balances y Proyecciones'!Q65)</f>
        <v>0</v>
      </c>
      <c r="F78" s="2508"/>
      <c r="G78" s="2516" t="s">
        <v>1754</v>
      </c>
      <c r="H78" s="2598">
        <f>IF(('Balances y Proyecciones'!Q17)&lt;&gt;360,'Balances y Proyecciones'!AV746,'Balances y Proyecciones'!AV746)</f>
        <v>0</v>
      </c>
      <c r="I78" s="2598"/>
      <c r="J78" s="2599">
        <f>IF(('Balances y Proyecciones'!Q17)&lt;&gt;360,'Balances y Proyecciones'!BB746,'Balances y Proyecciones'!BB746)</f>
        <v>0</v>
      </c>
      <c r="K78" s="2499"/>
      <c r="L78" s="2499"/>
      <c r="M78" s="2499"/>
      <c r="N78" s="2499"/>
      <c r="O78" s="2499"/>
      <c r="P78" s="2499"/>
      <c r="Q78" s="2499"/>
      <c r="R78" s="2499"/>
      <c r="S78" s="2499"/>
      <c r="T78" s="2499"/>
      <c r="U78" s="2499"/>
      <c r="V78" s="2499"/>
      <c r="W78" s="2499"/>
      <c r="X78" s="2499"/>
      <c r="Y78" s="2499"/>
      <c r="Z78" s="2499"/>
      <c r="AA78" s="2499"/>
      <c r="AB78" s="2499"/>
      <c r="AC78" s="2499"/>
      <c r="AD78" s="2499"/>
      <c r="AE78" s="2499"/>
      <c r="AF78" s="2567"/>
      <c r="AG78" s="2567"/>
      <c r="AH78" s="2805" t="s">
        <v>1755</v>
      </c>
      <c r="AI78" s="2805"/>
      <c r="AJ78" s="2805"/>
      <c r="AK78" s="2805"/>
      <c r="AL78" s="2805"/>
      <c r="AM78" s="2805"/>
      <c r="AN78" s="2805"/>
      <c r="AO78" s="2805"/>
      <c r="AP78" s="2805"/>
      <c r="AQ78" s="2805"/>
      <c r="AR78" s="2805"/>
      <c r="AS78" s="2805"/>
      <c r="AT78" s="2805"/>
      <c r="AU78" s="2805"/>
      <c r="AV78" s="2805"/>
      <c r="AW78" s="2567"/>
      <c r="AX78" s="2567"/>
      <c r="AY78" s="2567"/>
      <c r="AZ78" s="2567"/>
      <c r="BA78" s="2567"/>
      <c r="BB78" s="2567"/>
      <c r="BC78" s="2567"/>
      <c r="BD78" s="2567"/>
      <c r="BE78" s="2567"/>
      <c r="BF78" s="2567"/>
      <c r="BG78" s="2567"/>
      <c r="BH78" s="2567"/>
      <c r="BI78" s="2567"/>
      <c r="BJ78" s="2567"/>
      <c r="BK78" s="2567"/>
      <c r="BL78" s="2567"/>
      <c r="BM78" s="2567"/>
      <c r="BN78" s="2567"/>
      <c r="BO78" s="2567"/>
      <c r="BP78" s="2805"/>
      <c r="BQ78" s="2805"/>
      <c r="BR78" s="2805"/>
      <c r="BS78" s="2805"/>
      <c r="BT78" s="2805"/>
      <c r="BU78" s="2805"/>
      <c r="BV78" s="2805"/>
      <c r="BW78" s="2805"/>
      <c r="BX78" s="2805"/>
      <c r="BY78" s="2805"/>
      <c r="BZ78" s="2805"/>
      <c r="CA78" s="2805"/>
      <c r="CB78" s="2805"/>
      <c r="CC78" s="2805"/>
      <c r="CD78" s="2805"/>
      <c r="CE78" s="2805"/>
      <c r="CF78" s="2805"/>
      <c r="CG78" s="2805"/>
      <c r="CH78" s="2805"/>
      <c r="CI78" s="2805"/>
      <c r="CJ78" s="2805"/>
      <c r="CK78" s="2805"/>
      <c r="CL78" s="2805"/>
      <c r="CM78" s="2805"/>
      <c r="CN78" s="2805"/>
      <c r="CO78" s="2805"/>
      <c r="CP78" s="2805"/>
      <c r="CQ78" s="2805"/>
      <c r="CR78" s="2805"/>
      <c r="CS78" s="2805"/>
      <c r="CT78" s="2805"/>
      <c r="CU78" s="2805"/>
      <c r="CV78" s="2805"/>
      <c r="CW78" s="2805"/>
      <c r="CX78" s="2805"/>
      <c r="CY78" s="2805"/>
      <c r="CZ78" s="2805"/>
      <c r="DA78" s="2805"/>
      <c r="DB78" s="2805"/>
      <c r="DC78" s="2805"/>
      <c r="DD78" s="2805"/>
      <c r="DE78" s="2805"/>
      <c r="DF78" s="2805"/>
      <c r="DG78" s="2805"/>
      <c r="DH78" s="2805"/>
      <c r="DI78" s="2805"/>
      <c r="DJ78" s="2805"/>
      <c r="DK78" s="2805"/>
      <c r="DL78" s="2805"/>
      <c r="DM78" s="2805"/>
      <c r="DN78" s="2805"/>
      <c r="DO78" s="2805"/>
      <c r="DP78" s="2805"/>
      <c r="DQ78" s="2805"/>
      <c r="DR78" s="2805"/>
      <c r="DS78" s="2805"/>
      <c r="DT78" s="2805"/>
      <c r="DU78" s="2805"/>
      <c r="DV78" s="2805"/>
      <c r="DW78" s="2805"/>
      <c r="DX78" s="2805"/>
      <c r="DY78" s="2805"/>
      <c r="DZ78" s="2805"/>
      <c r="EA78" s="2805"/>
      <c r="EB78" s="2805"/>
      <c r="EC78" s="2805"/>
      <c r="ED78" s="2805"/>
      <c r="EE78" s="2805"/>
      <c r="EF78" s="2805"/>
      <c r="EG78" s="2805"/>
      <c r="EH78" s="2805"/>
      <c r="EI78" s="2805"/>
      <c r="EJ78" s="2805"/>
      <c r="EK78" s="2805"/>
      <c r="EL78" s="2805"/>
      <c r="EM78" s="2805"/>
      <c r="EN78" s="2805"/>
      <c r="EO78" s="2805"/>
      <c r="EP78" s="2805"/>
      <c r="EQ78" s="2805"/>
      <c r="ER78" s="2805"/>
      <c r="ES78" s="2805"/>
      <c r="ET78" s="2805"/>
      <c r="EU78" s="2805"/>
      <c r="EV78" s="2805"/>
      <c r="EW78" s="2805"/>
      <c r="EX78" s="2805"/>
      <c r="EY78" s="2805"/>
      <c r="EZ78" s="2805"/>
      <c r="FA78" s="2805"/>
      <c r="FB78" s="2805"/>
      <c r="FC78" s="2805"/>
      <c r="FD78" s="2805"/>
      <c r="FE78" s="2805"/>
      <c r="FF78" s="2805"/>
      <c r="FG78" s="2805"/>
      <c r="FH78" s="2805"/>
      <c r="FI78" s="2805"/>
      <c r="FJ78" s="2805"/>
      <c r="FK78" s="2805"/>
      <c r="FL78" s="2805"/>
      <c r="FM78" s="2805"/>
      <c r="FN78" s="2805"/>
      <c r="FO78" s="2805"/>
      <c r="FP78" s="2805"/>
      <c r="FQ78" s="2805"/>
      <c r="FR78" s="2805"/>
      <c r="FS78" s="2805"/>
      <c r="FT78" s="2805"/>
      <c r="FU78" s="2805"/>
      <c r="FV78" s="2805"/>
      <c r="FW78" s="2805"/>
      <c r="FX78" s="2805"/>
      <c r="FY78" s="2805"/>
      <c r="FZ78" s="2805"/>
      <c r="GA78" s="2805"/>
      <c r="GB78" s="2805"/>
      <c r="GC78" s="2805"/>
      <c r="GD78" s="2805"/>
      <c r="GE78" s="2805"/>
      <c r="GF78" s="2805"/>
      <c r="GG78" s="2805"/>
      <c r="GH78" s="2805"/>
      <c r="GI78" s="2805"/>
      <c r="GJ78" s="2805"/>
      <c r="GK78" s="2805"/>
      <c r="GL78" s="2805"/>
      <c r="GM78" s="2805"/>
      <c r="GN78" s="2805"/>
      <c r="GO78" s="2805"/>
      <c r="GP78" s="2805"/>
      <c r="GQ78" s="2805"/>
      <c r="GR78" s="2805"/>
      <c r="GS78" s="2805"/>
      <c r="GT78" s="2805"/>
      <c r="GU78" s="2805"/>
      <c r="GV78" s="2805"/>
      <c r="GW78" s="2805"/>
      <c r="GX78" s="2805"/>
      <c r="GY78" s="2805"/>
      <c r="GZ78" s="2805"/>
      <c r="HA78" s="2805"/>
      <c r="HB78" s="2805"/>
      <c r="HC78" s="2805"/>
      <c r="HD78" s="2805"/>
      <c r="HE78" s="2805"/>
      <c r="HF78" s="2805"/>
      <c r="HG78" s="2805"/>
      <c r="HH78" s="2805"/>
      <c r="HI78" s="2805"/>
      <c r="HJ78" s="2805"/>
      <c r="HK78" s="2805"/>
      <c r="HL78" s="2805"/>
      <c r="HM78" s="2805"/>
      <c r="HN78" s="2805"/>
      <c r="HO78" s="2805"/>
      <c r="HP78" s="2805"/>
      <c r="HQ78" s="2805"/>
      <c r="HR78" s="2805"/>
      <c r="HS78" s="2805"/>
      <c r="HT78" s="2805"/>
      <c r="HU78" s="2805"/>
      <c r="HV78" s="2805"/>
      <c r="HW78" s="2805"/>
      <c r="HX78" s="2805"/>
      <c r="HY78" s="2805"/>
      <c r="HZ78" s="2805"/>
      <c r="IA78" s="2805"/>
      <c r="IB78" s="2805"/>
      <c r="IC78" s="2805"/>
      <c r="ID78" s="2805"/>
      <c r="IE78" s="2805"/>
      <c r="IF78" s="2805"/>
      <c r="IG78" s="2805"/>
      <c r="IH78" s="2805"/>
      <c r="II78" s="2805"/>
      <c r="IJ78" s="2805"/>
      <c r="IK78" s="2805"/>
      <c r="IL78" s="2805"/>
      <c r="IM78" s="2805"/>
      <c r="IN78" s="2805"/>
      <c r="IO78" s="2805"/>
      <c r="IP78" s="2805"/>
      <c r="IQ78" s="2805"/>
      <c r="IR78" s="2805"/>
      <c r="IS78" s="2805"/>
      <c r="IT78" s="2805"/>
      <c r="IU78" s="2805"/>
      <c r="IV78" s="2805"/>
      <c r="IW78" s="2805"/>
      <c r="IX78" s="2805"/>
      <c r="IY78" s="2805"/>
      <c r="IZ78" s="2805"/>
      <c r="JA78" s="2805"/>
      <c r="JB78" s="2805"/>
      <c r="JC78" s="2805"/>
      <c r="JD78" s="2805"/>
      <c r="JE78" s="2805"/>
      <c r="JF78" s="2805"/>
      <c r="JG78" s="2805"/>
      <c r="JH78" s="2805"/>
      <c r="JI78" s="2805"/>
      <c r="JJ78" s="2805"/>
      <c r="JK78" s="2805"/>
      <c r="JL78" s="2805"/>
      <c r="JM78" s="2805"/>
      <c r="JN78" s="2805"/>
      <c r="JO78" s="2805"/>
      <c r="JP78" s="2805"/>
      <c r="JQ78" s="2805"/>
      <c r="JR78" s="2805"/>
      <c r="JS78" s="2805"/>
      <c r="JT78" s="2805"/>
      <c r="JU78" s="2805"/>
      <c r="JV78" s="2805"/>
      <c r="JW78" s="2805"/>
      <c r="JX78" s="2805"/>
      <c r="JY78" s="2805"/>
      <c r="JZ78" s="2805"/>
      <c r="KA78" s="2805"/>
      <c r="KB78" s="2805"/>
      <c r="KC78" s="2805"/>
      <c r="KD78" s="2805"/>
      <c r="KE78" s="2805"/>
      <c r="KF78" s="2805"/>
      <c r="KG78" s="2805"/>
      <c r="KH78" s="2805"/>
      <c r="KI78" s="2805"/>
      <c r="KJ78" s="2805"/>
      <c r="KK78" s="2805"/>
      <c r="KL78" s="2805"/>
      <c r="KM78" s="2805"/>
      <c r="KN78" s="2805"/>
      <c r="KO78" s="2805"/>
      <c r="KP78" s="2805"/>
      <c r="KQ78" s="2805"/>
      <c r="KR78" s="2805"/>
      <c r="KS78" s="2805"/>
      <c r="KT78" s="2805"/>
      <c r="KU78" s="2805"/>
      <c r="KV78" s="2805"/>
      <c r="KW78" s="2805"/>
      <c r="KX78" s="2805"/>
      <c r="KY78" s="2805"/>
      <c r="KZ78" s="2805"/>
      <c r="LA78" s="2805"/>
      <c r="LB78" s="2805"/>
      <c r="LC78" s="2805"/>
      <c r="LD78" s="2805"/>
      <c r="LE78" s="2805"/>
      <c r="LF78" s="2805"/>
      <c r="LG78" s="2805"/>
      <c r="LH78" s="2805"/>
      <c r="LI78" s="2805"/>
      <c r="LJ78" s="2805"/>
      <c r="LK78" s="2805"/>
      <c r="LL78" s="2805"/>
      <c r="LM78" s="2805"/>
      <c r="LN78" s="2805"/>
      <c r="LO78" s="2805"/>
      <c r="LP78" s="2805"/>
      <c r="LQ78" s="2805"/>
      <c r="LR78" s="2805"/>
      <c r="LS78" s="2805"/>
      <c r="LT78" s="2805"/>
      <c r="LU78" s="2805"/>
      <c r="LV78" s="2805"/>
      <c r="LW78" s="2805"/>
      <c r="LX78" s="2805"/>
      <c r="LY78" s="2805"/>
      <c r="LZ78" s="2805"/>
      <c r="MA78" s="2805"/>
      <c r="MB78" s="2805"/>
      <c r="MC78" s="2805"/>
      <c r="MD78" s="2805"/>
      <c r="ME78" s="2805"/>
      <c r="MF78" s="2805"/>
      <c r="MG78" s="2805"/>
      <c r="MH78" s="2805"/>
      <c r="MI78" s="2805"/>
      <c r="MJ78" s="2805"/>
      <c r="MK78" s="2805"/>
      <c r="ML78" s="2805"/>
      <c r="MM78" s="2805"/>
      <c r="MN78" s="2805"/>
      <c r="MO78" s="2805"/>
      <c r="MP78" s="2805"/>
      <c r="MQ78" s="2805"/>
      <c r="MR78" s="2805"/>
      <c r="MS78" s="2805"/>
      <c r="MT78" s="2805"/>
      <c r="MU78" s="2805"/>
      <c r="MV78" s="2805"/>
      <c r="MW78" s="2805"/>
      <c r="MX78" s="2805"/>
      <c r="MY78" s="2805"/>
      <c r="MZ78" s="2805"/>
      <c r="NA78" s="2805"/>
      <c r="NB78" s="2805"/>
      <c r="NC78" s="2805"/>
      <c r="ND78" s="2805"/>
      <c r="NE78" s="2805"/>
      <c r="NF78" s="2805"/>
      <c r="NG78" s="2805"/>
      <c r="NH78" s="2805"/>
      <c r="NI78" s="2805"/>
      <c r="NJ78" s="2805"/>
      <c r="NK78" s="2805"/>
      <c r="NL78" s="2805"/>
      <c r="NM78" s="2805"/>
      <c r="NN78" s="2805"/>
      <c r="NO78" s="2805"/>
      <c r="NP78" s="2805"/>
      <c r="NQ78" s="2805"/>
      <c r="NR78" s="2805"/>
      <c r="NS78" s="2805"/>
      <c r="NT78" s="2805"/>
      <c r="NU78" s="2805"/>
      <c r="NV78" s="2805"/>
      <c r="NW78" s="2805"/>
      <c r="NX78" s="2805"/>
      <c r="NY78" s="2805"/>
      <c r="NZ78" s="2805"/>
      <c r="OA78" s="2805"/>
      <c r="OB78" s="2805"/>
      <c r="OC78" s="2805"/>
      <c r="OD78" s="2805"/>
      <c r="OE78" s="2805"/>
      <c r="OF78" s="2805"/>
      <c r="OG78" s="2805"/>
      <c r="OH78" s="2805"/>
      <c r="OI78" s="2805"/>
      <c r="OJ78" s="2805"/>
      <c r="OK78" s="2805"/>
      <c r="OL78" s="2805"/>
      <c r="OM78" s="2805"/>
      <c r="ON78" s="2805"/>
      <c r="OO78" s="2805"/>
      <c r="OP78" s="2805"/>
      <c r="OQ78" s="2805"/>
      <c r="OR78" s="2805"/>
      <c r="OS78" s="2805"/>
      <c r="OT78" s="2805"/>
      <c r="OU78" s="2805"/>
      <c r="OV78" s="2805"/>
      <c r="OW78" s="2805"/>
      <c r="OX78" s="2805"/>
      <c r="OY78" s="2805"/>
      <c r="OZ78" s="2805"/>
      <c r="PA78" s="2805"/>
      <c r="PB78" s="2805"/>
      <c r="PC78" s="2805"/>
      <c r="PD78" s="2805"/>
      <c r="PE78" s="2805"/>
      <c r="PF78" s="2805"/>
      <c r="PG78" s="2805"/>
      <c r="PH78" s="2805"/>
      <c r="PI78" s="2805"/>
      <c r="PJ78" s="2805"/>
      <c r="PK78" s="2805"/>
      <c r="PL78" s="2805"/>
      <c r="PM78" s="2805"/>
      <c r="PN78" s="2805"/>
      <c r="PO78" s="2805"/>
      <c r="PP78" s="2805"/>
      <c r="PQ78" s="2805"/>
      <c r="PR78" s="2805"/>
      <c r="PS78" s="2805"/>
      <c r="PT78" s="2805"/>
      <c r="PU78" s="2805"/>
      <c r="PV78" s="2805"/>
      <c r="PW78" s="2805"/>
      <c r="PX78" s="2805"/>
      <c r="PY78" s="2805"/>
      <c r="PZ78" s="2805"/>
      <c r="QA78" s="2805"/>
      <c r="QB78" s="2805"/>
      <c r="QC78" s="2805"/>
      <c r="QD78" s="2805"/>
      <c r="QE78" s="2805"/>
      <c r="QF78" s="2805"/>
      <c r="QG78" s="2805"/>
      <c r="QH78" s="2805"/>
      <c r="QI78" s="2805"/>
      <c r="QJ78" s="2805"/>
      <c r="QK78" s="2805"/>
      <c r="QL78" s="2805"/>
      <c r="QM78" s="2805"/>
      <c r="QN78" s="2805"/>
      <c r="QO78" s="2805"/>
      <c r="QP78" s="2805"/>
      <c r="QQ78" s="2805"/>
      <c r="QR78" s="2805"/>
      <c r="QS78" s="2805"/>
      <c r="QT78" s="2805"/>
      <c r="QU78" s="2805"/>
      <c r="QV78" s="2805"/>
      <c r="QW78" s="2805"/>
      <c r="QX78" s="2805"/>
      <c r="QY78" s="2805"/>
      <c r="QZ78" s="2805"/>
      <c r="RA78" s="2805"/>
      <c r="RB78" s="2805"/>
      <c r="RC78" s="2805"/>
      <c r="RD78" s="2805"/>
      <c r="RE78" s="2805"/>
      <c r="RF78" s="2805"/>
      <c r="RG78" s="2805"/>
      <c r="RH78" s="2805"/>
      <c r="RI78" s="2805"/>
      <c r="RJ78" s="2805"/>
      <c r="RK78" s="2805"/>
      <c r="RL78" s="2805"/>
      <c r="RM78" s="2805"/>
      <c r="RN78" s="2805"/>
      <c r="RO78" s="2805"/>
      <c r="RP78" s="2805"/>
      <c r="RQ78" s="2805"/>
      <c r="RR78" s="2805"/>
      <c r="RS78" s="2805"/>
      <c r="RT78" s="2805"/>
      <c r="RU78" s="2805"/>
      <c r="RV78" s="2805"/>
      <c r="RW78" s="2805"/>
      <c r="RX78" s="2805"/>
      <c r="RY78" s="2805"/>
      <c r="RZ78" s="2805"/>
      <c r="SA78" s="2805"/>
      <c r="SB78" s="2805"/>
      <c r="SC78" s="2805"/>
      <c r="SD78" s="2805"/>
      <c r="SE78" s="2805"/>
      <c r="SF78" s="2805"/>
      <c r="SG78" s="2805"/>
      <c r="SH78" s="2805"/>
      <c r="SI78" s="2805"/>
      <c r="SJ78" s="2805"/>
      <c r="SK78" s="2805"/>
      <c r="SL78" s="2805"/>
      <c r="SM78" s="2805"/>
      <c r="SN78" s="2805"/>
      <c r="SO78" s="2805"/>
      <c r="SP78" s="2805"/>
      <c r="SQ78" s="2805"/>
      <c r="SR78" s="2805"/>
      <c r="SS78" s="2805"/>
      <c r="ST78" s="2805"/>
      <c r="SU78" s="2805"/>
      <c r="SV78" s="2805"/>
      <c r="SW78" s="2805"/>
      <c r="SX78" s="2805"/>
      <c r="SY78" s="2805"/>
      <c r="SZ78" s="2805"/>
      <c r="TA78" s="2805"/>
      <c r="TB78" s="2805"/>
      <c r="TC78" s="2805"/>
      <c r="TD78" s="2805"/>
      <c r="TE78" s="2805"/>
      <c r="TF78" s="2805"/>
      <c r="TG78" s="2805"/>
      <c r="TH78" s="2805"/>
      <c r="TI78" s="2805"/>
      <c r="TJ78" s="2805"/>
      <c r="TK78" s="2805"/>
      <c r="TL78" s="2805"/>
      <c r="TM78" s="2805"/>
      <c r="TN78" s="2805"/>
      <c r="TO78" s="2805"/>
      <c r="TP78" s="2805"/>
      <c r="TQ78" s="2805"/>
      <c r="TR78" s="2805"/>
      <c r="TS78" s="2805"/>
      <c r="TT78" s="2805"/>
      <c r="TU78" s="2805"/>
      <c r="TV78" s="2805"/>
      <c r="TW78" s="2805"/>
      <c r="TX78" s="2805"/>
      <c r="TY78" s="2805"/>
      <c r="TZ78" s="2805"/>
      <c r="UA78" s="2805"/>
      <c r="UB78" s="2805"/>
      <c r="UC78" s="2805"/>
      <c r="UD78" s="2805"/>
      <c r="UE78" s="2805"/>
      <c r="UF78" s="2805"/>
      <c r="UG78" s="2805"/>
      <c r="UH78" s="2805"/>
      <c r="UI78" s="2805"/>
      <c r="UJ78" s="2805"/>
      <c r="UK78" s="2805"/>
      <c r="UL78" s="2805"/>
      <c r="UM78" s="2805"/>
      <c r="UN78" s="2805"/>
      <c r="UO78" s="2805"/>
      <c r="UP78" s="2805"/>
      <c r="UQ78" s="2805"/>
      <c r="UR78" s="2805"/>
      <c r="US78" s="2805"/>
      <c r="UT78" s="2805"/>
      <c r="UU78" s="2805"/>
      <c r="UV78" s="2805"/>
      <c r="UW78" s="2805"/>
      <c r="UX78" s="2805"/>
      <c r="UY78" s="2805"/>
      <c r="UZ78" s="2805"/>
      <c r="VA78" s="2805"/>
      <c r="VB78" s="2805"/>
      <c r="VC78" s="2805"/>
      <c r="VD78" s="2805"/>
      <c r="VE78" s="2805"/>
      <c r="VF78" s="2805"/>
      <c r="VG78" s="2805"/>
      <c r="VH78" s="2805"/>
      <c r="VI78" s="2805"/>
      <c r="VJ78" s="2805"/>
      <c r="VK78" s="2805"/>
      <c r="VL78" s="2805"/>
      <c r="VM78" s="2805"/>
      <c r="VN78" s="2805"/>
      <c r="VO78" s="2805"/>
      <c r="VP78" s="2805"/>
      <c r="VQ78" s="2805"/>
      <c r="VR78" s="2805"/>
      <c r="VS78" s="2805"/>
      <c r="VT78" s="2805"/>
      <c r="VU78" s="2805"/>
      <c r="VV78" s="2805"/>
      <c r="VW78" s="2805"/>
      <c r="VX78" s="2805"/>
      <c r="VY78" s="2805"/>
      <c r="VZ78" s="2805"/>
      <c r="WA78" s="2805"/>
      <c r="WB78" s="2805"/>
      <c r="WC78" s="2805"/>
      <c r="WD78" s="2805"/>
      <c r="WE78" s="2805"/>
      <c r="WF78" s="2805"/>
      <c r="WG78" s="2805"/>
      <c r="WH78" s="2805"/>
      <c r="WI78" s="2805"/>
      <c r="WJ78" s="2805"/>
      <c r="WK78" s="2805"/>
      <c r="WL78" s="2805"/>
      <c r="WM78" s="2805"/>
      <c r="WN78" s="2805"/>
      <c r="WO78" s="2805"/>
      <c r="WP78" s="2805"/>
      <c r="WQ78" s="2805"/>
      <c r="WR78" s="2805"/>
      <c r="WS78" s="2805"/>
      <c r="WT78" s="2805"/>
      <c r="WU78" s="2805"/>
      <c r="WV78" s="2805"/>
      <c r="WW78" s="2805"/>
      <c r="WX78" s="2805"/>
      <c r="WY78" s="2805"/>
      <c r="WZ78" s="2805"/>
      <c r="XA78" s="2805"/>
      <c r="XB78" s="2805"/>
      <c r="XC78" s="2805"/>
      <c r="XD78" s="2805"/>
      <c r="XE78" s="2805"/>
      <c r="XF78" s="2805"/>
      <c r="XG78" s="2805"/>
      <c r="XH78" s="2805"/>
      <c r="XI78" s="2805"/>
      <c r="XJ78" s="2805"/>
      <c r="XK78" s="2805"/>
      <c r="XL78" s="2805"/>
      <c r="XM78" s="2805"/>
      <c r="XN78" s="2805"/>
      <c r="XO78" s="2805"/>
      <c r="XP78" s="2805"/>
      <c r="XQ78" s="2805"/>
      <c r="XR78" s="2805"/>
      <c r="XS78" s="2805"/>
      <c r="XT78" s="2805"/>
      <c r="XU78" s="2805"/>
      <c r="XV78" s="2805"/>
      <c r="XW78" s="2805"/>
      <c r="XX78" s="2805"/>
      <c r="XY78" s="2805"/>
      <c r="XZ78" s="2805"/>
      <c r="YA78" s="2805"/>
      <c r="YB78" s="2805"/>
      <c r="YC78" s="2805"/>
      <c r="YD78" s="2805"/>
      <c r="YE78" s="2805"/>
      <c r="YF78" s="2805"/>
      <c r="YG78" s="2805"/>
      <c r="YH78" s="2805"/>
      <c r="YI78" s="2805"/>
      <c r="YJ78" s="2805"/>
      <c r="YK78" s="2805"/>
      <c r="YL78" s="2805"/>
      <c r="YM78" s="2805"/>
      <c r="YN78" s="2805"/>
      <c r="YO78" s="2805"/>
      <c r="YP78" s="2805"/>
      <c r="YQ78" s="2805"/>
      <c r="YR78" s="2805"/>
      <c r="YS78" s="2805"/>
      <c r="YT78" s="2805"/>
      <c r="YU78" s="2805"/>
      <c r="YV78" s="2805"/>
      <c r="YW78" s="2805"/>
      <c r="YX78" s="2805"/>
      <c r="YY78" s="2805"/>
      <c r="YZ78" s="2805"/>
      <c r="ZA78" s="2805"/>
      <c r="ZB78" s="2805"/>
      <c r="ZC78" s="2805"/>
      <c r="ZD78" s="2805"/>
      <c r="ZE78" s="2805"/>
      <c r="ZF78" s="2805"/>
      <c r="ZG78" s="2805"/>
      <c r="ZH78" s="2805"/>
      <c r="ZI78" s="2805"/>
      <c r="ZJ78" s="2805"/>
      <c r="ZK78" s="2805"/>
      <c r="ZL78" s="2805"/>
      <c r="ZM78" s="2805"/>
      <c r="ZN78" s="2805"/>
      <c r="ZO78" s="2805"/>
      <c r="ZP78" s="2805"/>
      <c r="ZQ78" s="2805"/>
      <c r="ZR78" s="2805"/>
      <c r="ZS78" s="2805"/>
      <c r="ZT78" s="2805"/>
      <c r="ZU78" s="2805"/>
      <c r="ZV78" s="2805"/>
      <c r="ZW78" s="2805"/>
      <c r="ZX78" s="2805"/>
      <c r="ZY78" s="2805"/>
      <c r="ZZ78" s="2805"/>
      <c r="AAA78" s="2805"/>
      <c r="AAB78" s="2805"/>
      <c r="AAC78" s="2805"/>
      <c r="AAD78" s="2805"/>
      <c r="AAE78" s="2805"/>
      <c r="AAF78" s="2805"/>
      <c r="AAG78" s="2805"/>
      <c r="AAH78" s="2805"/>
      <c r="AAI78" s="2805"/>
      <c r="AAJ78" s="2805"/>
      <c r="AAK78" s="2805"/>
      <c r="AAL78" s="2805"/>
      <c r="AAM78" s="2805"/>
      <c r="AAN78" s="2805"/>
      <c r="AAO78" s="2805"/>
      <c r="AAP78" s="2805"/>
      <c r="AAQ78" s="2805"/>
      <c r="AAR78" s="2805"/>
      <c r="AAS78" s="2805"/>
      <c r="AAT78" s="2805"/>
      <c r="AAU78" s="2805"/>
      <c r="AAV78" s="2805"/>
      <c r="AAW78" s="2805"/>
      <c r="AAX78" s="2805"/>
      <c r="AAY78" s="2805"/>
      <c r="AAZ78" s="2805"/>
      <c r="ABA78" s="2805"/>
      <c r="ABB78" s="2805"/>
      <c r="ABC78" s="2805"/>
      <c r="ABD78" s="2805"/>
      <c r="ABE78" s="2805"/>
      <c r="ABF78" s="2805"/>
      <c r="ABG78" s="2805"/>
      <c r="ABH78" s="2805"/>
      <c r="ABI78" s="2805"/>
      <c r="ABJ78" s="2805"/>
      <c r="ABK78" s="2805"/>
      <c r="ABL78" s="2805"/>
      <c r="ABM78" s="2805"/>
      <c r="ABN78" s="2805"/>
      <c r="ABO78" s="2805"/>
      <c r="ABP78" s="2805"/>
      <c r="ABQ78" s="2805"/>
      <c r="ABR78" s="2805"/>
      <c r="ABS78" s="2805"/>
      <c r="ABT78" s="2805"/>
      <c r="ABU78" s="2805"/>
      <c r="ABV78" s="2805"/>
      <c r="ABW78" s="2805"/>
      <c r="ABX78" s="2805"/>
      <c r="ABY78" s="2805"/>
      <c r="ABZ78" s="2805"/>
      <c r="ACA78" s="2805"/>
      <c r="ACB78" s="2805"/>
      <c r="ACC78" s="2805"/>
      <c r="ACD78" s="2805"/>
      <c r="ACE78" s="2805"/>
      <c r="ACF78" s="2805"/>
      <c r="ACG78" s="2805"/>
      <c r="ACH78" s="2805"/>
      <c r="ACI78" s="2805"/>
      <c r="ACJ78" s="2805"/>
      <c r="ACK78" s="2805"/>
      <c r="ACL78" s="2805"/>
      <c r="ACM78" s="2805"/>
      <c r="ACN78" s="2805"/>
      <c r="ACO78" s="2805"/>
      <c r="ACP78" s="2805"/>
      <c r="ACQ78" s="2805"/>
      <c r="ACR78" s="2805"/>
      <c r="ACS78" s="2805"/>
      <c r="ACT78" s="2805"/>
      <c r="ACU78" s="2805"/>
      <c r="ACV78" s="2805"/>
      <c r="ACW78" s="2805"/>
      <c r="ACX78" s="2805"/>
      <c r="ACY78" s="2805"/>
      <c r="ACZ78" s="2805"/>
      <c r="ADA78" s="2805"/>
      <c r="ADB78" s="2805"/>
      <c r="ADC78" s="2805"/>
      <c r="ADD78" s="2805"/>
      <c r="ADE78" s="2805"/>
      <c r="ADF78" s="2805"/>
      <c r="ADG78" s="2805"/>
      <c r="ADH78" s="2805"/>
      <c r="ADI78" s="2805"/>
      <c r="ADJ78" s="2805"/>
      <c r="ADK78" s="2805"/>
      <c r="ADL78" s="2805"/>
      <c r="ADM78" s="2805"/>
      <c r="ADN78" s="2805"/>
      <c r="ADO78" s="2805"/>
      <c r="ADP78" s="2805"/>
      <c r="ADQ78" s="2805"/>
      <c r="ADR78" s="2805"/>
      <c r="ADS78" s="2805"/>
      <c r="ADT78" s="2805"/>
      <c r="ADU78" s="2805"/>
      <c r="ADV78" s="2805"/>
      <c r="ADW78" s="2805"/>
      <c r="ADX78" s="2805"/>
      <c r="ADY78" s="2805"/>
      <c r="ADZ78" s="2805"/>
      <c r="AEA78" s="2805"/>
      <c r="AEB78" s="2805"/>
      <c r="AEC78" s="2805"/>
      <c r="AED78" s="2805"/>
      <c r="AEE78" s="2805"/>
      <c r="AEF78" s="2805"/>
      <c r="AEG78" s="2805"/>
      <c r="AEH78" s="2805"/>
      <c r="AEI78" s="2805"/>
      <c r="AEJ78" s="2805"/>
      <c r="AEK78" s="2805"/>
      <c r="AEL78" s="2805"/>
      <c r="AEM78" s="2805"/>
      <c r="AEN78" s="2805"/>
      <c r="AEO78" s="2805"/>
      <c r="AEP78" s="2805"/>
      <c r="AEQ78" s="2805"/>
      <c r="AER78" s="2805"/>
      <c r="AES78" s="2805"/>
      <c r="AET78" s="2805"/>
      <c r="AEU78" s="2805"/>
      <c r="AEV78" s="2805"/>
      <c r="AEW78" s="2805"/>
      <c r="AEX78" s="2805"/>
      <c r="AEY78" s="2805"/>
      <c r="AEZ78" s="2805"/>
      <c r="AFA78" s="2805"/>
      <c r="AFB78" s="2805"/>
      <c r="AFC78" s="2805"/>
      <c r="AFD78" s="2805"/>
      <c r="AFE78" s="2805"/>
      <c r="AFF78" s="2805"/>
      <c r="AFG78" s="2805"/>
      <c r="AFH78" s="2805"/>
      <c r="AFI78" s="2805"/>
      <c r="AFJ78" s="2805"/>
      <c r="AFK78" s="2805"/>
      <c r="AFL78" s="2805"/>
      <c r="AFM78" s="2805"/>
      <c r="AFN78" s="2805"/>
      <c r="AFO78" s="2805"/>
      <c r="AFP78" s="2805"/>
      <c r="AFQ78" s="2805"/>
      <c r="AFR78" s="2805"/>
      <c r="AFS78" s="2805"/>
      <c r="AFT78" s="2805"/>
      <c r="AFU78" s="2805"/>
      <c r="AFV78" s="2805"/>
      <c r="AFW78" s="2805"/>
      <c r="AFX78" s="2805"/>
      <c r="AFY78" s="2805"/>
      <c r="AFZ78" s="2805"/>
      <c r="AGA78" s="2805"/>
      <c r="AGB78" s="2805"/>
      <c r="AGC78" s="2805"/>
      <c r="AGD78" s="2805"/>
      <c r="AGE78" s="2805"/>
      <c r="AGF78" s="2805"/>
      <c r="AGG78" s="2805"/>
      <c r="AGH78" s="2805"/>
      <c r="AGI78" s="2805"/>
      <c r="AGJ78" s="2805"/>
      <c r="AGK78" s="2805"/>
      <c r="AGL78" s="2805"/>
      <c r="AGM78" s="2805"/>
      <c r="AGN78" s="2805"/>
      <c r="AGO78" s="2805"/>
      <c r="AGP78" s="2805"/>
      <c r="AGQ78" s="2805"/>
      <c r="AGR78" s="2805"/>
      <c r="AGS78" s="2805"/>
      <c r="AGT78" s="2805"/>
      <c r="AGU78" s="2805"/>
      <c r="AGV78" s="2805"/>
      <c r="AGW78" s="2805"/>
      <c r="AGX78" s="2805"/>
      <c r="AGY78" s="2805"/>
      <c r="AGZ78" s="2805"/>
      <c r="AHA78" s="2805"/>
      <c r="AHB78" s="2805"/>
      <c r="AHC78" s="2805"/>
      <c r="AHD78" s="2805"/>
      <c r="AHE78" s="2805"/>
      <c r="AHF78" s="2805"/>
      <c r="AHG78" s="2805"/>
      <c r="AHH78" s="2805"/>
      <c r="AHI78" s="2805"/>
      <c r="AHJ78" s="2805"/>
      <c r="AHK78" s="2805"/>
      <c r="AHL78" s="2805"/>
      <c r="AHM78" s="2805"/>
      <c r="AHN78" s="2805"/>
      <c r="AHO78" s="2805"/>
      <c r="AHP78" s="2805"/>
      <c r="AHQ78" s="2805"/>
      <c r="AHR78" s="2805"/>
      <c r="AHS78" s="2805"/>
      <c r="AHT78" s="2805"/>
      <c r="AHU78" s="2805"/>
      <c r="AHV78" s="2805"/>
      <c r="AHW78" s="2805"/>
      <c r="AHX78" s="2805"/>
      <c r="AHY78" s="2805"/>
      <c r="AHZ78" s="2805"/>
      <c r="AIA78" s="2805"/>
      <c r="AIB78" s="2805"/>
      <c r="AIC78" s="2805"/>
      <c r="AID78" s="2805"/>
      <c r="AIE78" s="2805"/>
      <c r="AIF78" s="2805"/>
      <c r="AIG78" s="2805"/>
      <c r="AIH78" s="2805"/>
      <c r="AII78" s="2805"/>
      <c r="AIJ78" s="2805"/>
      <c r="AIK78" s="2805"/>
      <c r="AIL78" s="2805"/>
      <c r="AIM78" s="2805"/>
      <c r="AIN78" s="2805"/>
      <c r="AIO78" s="2805"/>
      <c r="AIP78" s="2805"/>
      <c r="AIQ78" s="2805"/>
      <c r="AIR78" s="2805"/>
      <c r="AIS78" s="2805"/>
      <c r="AIT78" s="2805"/>
      <c r="AIU78" s="2805"/>
      <c r="AIV78" s="2805"/>
      <c r="AIW78" s="2805"/>
      <c r="AIX78" s="2805"/>
      <c r="AIY78" s="2805"/>
      <c r="AIZ78" s="2805"/>
      <c r="AJA78" s="2805"/>
      <c r="AJB78" s="2805"/>
      <c r="AJC78" s="2805"/>
      <c r="AJD78" s="2805"/>
      <c r="AJE78" s="2805"/>
      <c r="AJF78" s="2805"/>
      <c r="AJG78" s="2805"/>
      <c r="AJH78" s="2805"/>
      <c r="AJI78" s="2805"/>
      <c r="AJJ78" s="2805"/>
      <c r="AJK78" s="2805"/>
      <c r="AJL78" s="2805"/>
      <c r="AJM78" s="2805"/>
      <c r="AJN78" s="2805"/>
      <c r="AJO78" s="2805"/>
      <c r="AJP78" s="2805"/>
      <c r="AJQ78" s="2805"/>
      <c r="AJR78" s="2805"/>
      <c r="AJS78" s="2805"/>
      <c r="AJT78" s="2805"/>
      <c r="AJU78" s="2805"/>
      <c r="AJV78" s="2805"/>
      <c r="AJW78" s="2805"/>
      <c r="AJX78" s="2805"/>
      <c r="AJY78" s="2805"/>
      <c r="AJZ78" s="2805"/>
      <c r="AKA78" s="2805"/>
      <c r="AKB78" s="2805"/>
      <c r="AKC78" s="2805"/>
      <c r="AKD78" s="2805"/>
      <c r="AKE78" s="2805"/>
      <c r="AKF78" s="2805"/>
      <c r="AKG78" s="2805"/>
      <c r="AKH78" s="2805"/>
      <c r="AKI78" s="2805"/>
      <c r="AKJ78" s="2805"/>
      <c r="AKK78" s="2805"/>
      <c r="AKL78" s="2805"/>
      <c r="AKM78" s="2805"/>
      <c r="AKN78" s="2805"/>
      <c r="AKO78" s="2805"/>
      <c r="AKP78" s="2805"/>
      <c r="AKQ78" s="2805"/>
      <c r="AKR78" s="2805"/>
      <c r="AKS78" s="2805"/>
      <c r="AKT78" s="2805"/>
      <c r="AKU78" s="2805"/>
      <c r="AKV78" s="2805"/>
      <c r="AKW78" s="2805"/>
      <c r="AKX78" s="2805"/>
      <c r="AKY78" s="2805"/>
      <c r="AKZ78" s="2805"/>
      <c r="ALA78" s="2805"/>
      <c r="ALB78" s="2805"/>
      <c r="ALC78" s="2805"/>
      <c r="ALD78" s="2805"/>
      <c r="ALE78" s="2805"/>
      <c r="ALF78" s="2805"/>
      <c r="ALG78" s="2805"/>
      <c r="ALH78" s="2805"/>
      <c r="ALI78" s="2805"/>
      <c r="ALJ78" s="2805"/>
      <c r="ALK78" s="2805"/>
      <c r="ALL78" s="2805"/>
      <c r="ALM78" s="2805"/>
      <c r="ALN78" s="2805"/>
      <c r="ALO78" s="2805"/>
      <c r="ALP78" s="2805"/>
      <c r="ALQ78" s="2805"/>
      <c r="ALR78" s="2805"/>
      <c r="ALS78" s="2805"/>
      <c r="ALT78" s="2805"/>
      <c r="ALU78" s="2805"/>
      <c r="ALV78" s="2805"/>
      <c r="ALW78" s="2805"/>
      <c r="ALX78" s="2805"/>
      <c r="ALY78" s="2805"/>
      <c r="ALZ78" s="2805"/>
      <c r="AMA78" s="2805"/>
      <c r="AMB78" s="2805"/>
      <c r="AMC78" s="2805"/>
      <c r="AMD78" s="2805"/>
      <c r="AME78" s="2805"/>
      <c r="AMF78" s="2805"/>
      <c r="AMG78" s="2805"/>
      <c r="AMH78" s="2805"/>
      <c r="AMI78" s="2805"/>
      <c r="AMJ78" s="2805"/>
      <c r="AMK78" s="2805"/>
      <c r="AML78" s="2805"/>
      <c r="AMM78" s="2805"/>
      <c r="AMN78" s="2805"/>
      <c r="AMO78" s="2805"/>
      <c r="AMP78" s="2805"/>
      <c r="AMQ78" s="2805"/>
      <c r="AMR78" s="2805"/>
      <c r="AMS78" s="2805"/>
      <c r="AMT78" s="2805"/>
      <c r="AMU78" s="2805"/>
      <c r="AMV78" s="2805"/>
      <c r="AMW78" s="2805"/>
      <c r="AMX78" s="2805"/>
      <c r="AMY78" s="2805"/>
      <c r="AMZ78" s="2805"/>
      <c r="ANA78" s="2805"/>
      <c r="ANB78" s="2805"/>
      <c r="ANC78" s="2805"/>
      <c r="AND78" s="2805"/>
      <c r="ANE78" s="2805"/>
      <c r="ANF78" s="2805"/>
      <c r="ANG78" s="2805"/>
      <c r="ANH78" s="2805"/>
      <c r="ANI78" s="2805"/>
      <c r="ANJ78" s="2805"/>
      <c r="ANK78" s="2805"/>
      <c r="ANL78" s="2805"/>
      <c r="ANM78" s="2805"/>
      <c r="ANN78" s="2805"/>
      <c r="ANO78" s="2805"/>
      <c r="ANP78" s="2805"/>
      <c r="ANQ78" s="2805"/>
      <c r="ANR78" s="2805"/>
      <c r="ANS78" s="2805"/>
      <c r="ANT78" s="2805"/>
      <c r="ANU78" s="2805"/>
      <c r="ANV78" s="2805"/>
      <c r="ANW78" s="2805"/>
      <c r="ANX78" s="2805"/>
      <c r="ANY78" s="2805"/>
      <c r="ANZ78" s="2805"/>
      <c r="AOA78" s="2805"/>
      <c r="AOB78" s="2805"/>
      <c r="AOC78" s="2805"/>
      <c r="AOD78" s="2805"/>
      <c r="AOE78" s="2805"/>
      <c r="AOF78" s="2805"/>
      <c r="AOG78" s="2805"/>
      <c r="AOH78" s="2805"/>
      <c r="AOI78" s="2805"/>
      <c r="AOJ78" s="2805"/>
      <c r="AOK78" s="2805"/>
      <c r="AOL78" s="2805"/>
      <c r="AOM78" s="2805"/>
      <c r="AON78" s="2805"/>
      <c r="AOO78" s="2805"/>
      <c r="AOP78" s="2805"/>
      <c r="AOQ78" s="2805"/>
      <c r="AOR78" s="2805"/>
      <c r="AOS78" s="2805"/>
      <c r="AOT78" s="2805"/>
      <c r="AOU78" s="2805"/>
      <c r="AOV78" s="2805"/>
      <c r="AOW78" s="2805"/>
      <c r="AOX78" s="2805"/>
      <c r="AOY78" s="2805"/>
      <c r="AOZ78" s="2805"/>
      <c r="APA78" s="2805"/>
      <c r="APB78" s="2805"/>
      <c r="APC78" s="2805"/>
      <c r="APD78" s="2805"/>
      <c r="APE78" s="2805"/>
      <c r="APF78" s="2805"/>
      <c r="APG78" s="2805"/>
      <c r="APH78" s="2805"/>
      <c r="API78" s="2805"/>
      <c r="APJ78" s="2805"/>
      <c r="APK78" s="2805"/>
      <c r="APL78" s="2805"/>
      <c r="APM78" s="2805"/>
      <c r="APN78" s="2805"/>
      <c r="APO78" s="2805"/>
      <c r="APP78" s="2805"/>
      <c r="APQ78" s="2805"/>
      <c r="APR78" s="2805"/>
      <c r="APS78" s="2805"/>
      <c r="APT78" s="2805"/>
      <c r="APU78" s="2805"/>
      <c r="APV78" s="2805"/>
      <c r="APW78" s="2805"/>
      <c r="APX78" s="2805"/>
      <c r="APY78" s="2805"/>
      <c r="APZ78" s="2805"/>
      <c r="AQA78" s="2805"/>
      <c r="AQB78" s="2805"/>
      <c r="AQC78" s="2805"/>
      <c r="AQD78" s="2805"/>
      <c r="AQE78" s="2805"/>
      <c r="AQF78" s="2805"/>
      <c r="AQG78" s="2805"/>
      <c r="AQH78" s="2805"/>
      <c r="AQI78" s="2805"/>
      <c r="AQJ78" s="2805"/>
      <c r="AQK78" s="2805"/>
      <c r="AQL78" s="2805"/>
      <c r="AQM78" s="2805"/>
      <c r="AQN78" s="2805"/>
      <c r="AQO78" s="2805"/>
      <c r="AQP78" s="2805"/>
      <c r="AQQ78" s="2805"/>
      <c r="AQR78" s="2805"/>
      <c r="AQS78" s="2805"/>
      <c r="AQT78" s="2805"/>
      <c r="AQU78" s="2805"/>
      <c r="AQV78" s="2805"/>
      <c r="AQW78" s="2805"/>
      <c r="AQX78" s="2805"/>
      <c r="AQY78" s="2805"/>
      <c r="AQZ78" s="2805"/>
      <c r="ARA78" s="2805"/>
      <c r="ARB78" s="2805"/>
      <c r="ARC78" s="2805"/>
      <c r="ARD78" s="2805"/>
      <c r="ARE78" s="2805"/>
      <c r="ARF78" s="2805"/>
      <c r="ARG78" s="2805"/>
      <c r="ARH78" s="2805"/>
      <c r="ARI78" s="2805"/>
      <c r="ARJ78" s="2805"/>
      <c r="ARK78" s="2805"/>
      <c r="ARL78" s="2805"/>
      <c r="ARM78" s="2805"/>
      <c r="ARN78" s="2805"/>
      <c r="ARO78" s="2805"/>
      <c r="ARP78" s="2805"/>
      <c r="ARQ78" s="2805"/>
      <c r="ARR78" s="2805"/>
      <c r="ARS78" s="2805"/>
      <c r="ART78" s="2805"/>
      <c r="ARU78" s="2805"/>
      <c r="ARV78" s="2805"/>
      <c r="ARW78" s="2805"/>
      <c r="ARX78" s="2805"/>
      <c r="ARY78" s="2805"/>
      <c r="ARZ78" s="2805"/>
      <c r="ASA78" s="2805"/>
      <c r="ASB78" s="2805"/>
      <c r="ASC78" s="2805"/>
      <c r="ASD78" s="2805"/>
      <c r="ASE78" s="2805"/>
      <c r="ASF78" s="2805"/>
      <c r="ASG78" s="2805"/>
      <c r="ASH78" s="2805"/>
      <c r="ASI78" s="2805"/>
      <c r="ASJ78" s="2805"/>
      <c r="ASK78" s="2805"/>
      <c r="ASL78" s="2805"/>
      <c r="ASM78" s="2805"/>
      <c r="ASN78" s="2805"/>
      <c r="ASO78" s="2805"/>
      <c r="ASP78" s="2805"/>
      <c r="ASQ78" s="2805"/>
      <c r="ASR78" s="2805"/>
      <c r="ASS78" s="2805"/>
      <c r="AST78" s="2805"/>
      <c r="ASU78" s="2805"/>
      <c r="ASV78" s="2805"/>
      <c r="ASW78" s="2805"/>
      <c r="ASX78" s="2805"/>
      <c r="ASY78" s="2805"/>
      <c r="ASZ78" s="2805"/>
      <c r="ATA78" s="2805"/>
      <c r="ATB78" s="2805"/>
      <c r="ATC78" s="2805"/>
      <c r="ATD78" s="2805"/>
      <c r="ATE78" s="2805"/>
      <c r="ATF78" s="2805"/>
      <c r="ATG78" s="2805"/>
      <c r="ATH78" s="2805"/>
      <c r="ATI78" s="2805"/>
      <c r="ATJ78" s="2805"/>
      <c r="ATK78" s="2805"/>
      <c r="ATL78" s="2805"/>
      <c r="ATM78" s="2805"/>
      <c r="ATN78" s="2805"/>
      <c r="ATO78" s="2805"/>
      <c r="ATP78" s="2805"/>
      <c r="ATQ78" s="2805"/>
      <c r="ATR78" s="2805"/>
      <c r="ATS78" s="2805"/>
      <c r="ATT78" s="2805"/>
      <c r="ATU78" s="2805"/>
      <c r="ATV78" s="2805"/>
      <c r="ATW78" s="2805"/>
      <c r="ATX78" s="2805"/>
      <c r="ATY78" s="2805"/>
      <c r="ATZ78" s="2805"/>
      <c r="AUA78" s="2805"/>
      <c r="AUB78" s="2805"/>
      <c r="AUC78" s="2805"/>
      <c r="AUD78" s="2805"/>
      <c r="AUE78" s="2805"/>
      <c r="AUF78" s="2805"/>
      <c r="AUG78" s="2805"/>
      <c r="AUH78" s="2805"/>
      <c r="AUI78" s="2805"/>
      <c r="AUJ78" s="2805"/>
      <c r="AUK78" s="2805"/>
      <c r="AUL78" s="2805"/>
      <c r="AUM78" s="2805"/>
      <c r="AUN78" s="2805"/>
      <c r="AUO78" s="2805"/>
      <c r="AUP78" s="2805"/>
      <c r="AUQ78" s="2805"/>
      <c r="AUR78" s="2805"/>
      <c r="AUS78" s="2805"/>
      <c r="AUT78" s="2805"/>
      <c r="AUU78" s="2805"/>
      <c r="AUV78" s="2805"/>
      <c r="AUW78" s="2805"/>
      <c r="AUX78" s="2805"/>
      <c r="AUY78" s="2805"/>
      <c r="AUZ78" s="2805"/>
      <c r="AVA78" s="2805"/>
      <c r="AVB78" s="2805"/>
      <c r="AVC78" s="2805"/>
      <c r="AVD78" s="2805"/>
      <c r="AVE78" s="2805"/>
      <c r="AVF78" s="2805"/>
      <c r="AVG78" s="2805"/>
      <c r="AVH78" s="2805"/>
      <c r="AVI78" s="2805"/>
      <c r="AVJ78" s="2805"/>
      <c r="AVK78" s="2805"/>
      <c r="AVL78" s="2805"/>
      <c r="AVM78" s="2805"/>
      <c r="AVN78" s="2805"/>
      <c r="AVO78" s="2805"/>
      <c r="AVP78" s="2805"/>
      <c r="AVQ78" s="2805"/>
      <c r="AVR78" s="2805"/>
      <c r="AVS78" s="2805"/>
      <c r="AVT78" s="2805"/>
      <c r="AVU78" s="2805"/>
      <c r="AVV78" s="2805"/>
      <c r="AVW78" s="2805"/>
      <c r="AVX78" s="2805"/>
      <c r="AVY78" s="2805"/>
      <c r="AVZ78" s="2805"/>
      <c r="AWA78" s="2805"/>
      <c r="AWB78" s="2805"/>
      <c r="AWC78" s="2805"/>
      <c r="AWD78" s="2805"/>
      <c r="AWE78" s="2805"/>
      <c r="AWF78" s="2805"/>
      <c r="AWG78" s="2805"/>
      <c r="AWH78" s="2805"/>
      <c r="AWI78" s="2805"/>
      <c r="AWJ78" s="2805"/>
      <c r="AWK78" s="2805"/>
      <c r="AWL78" s="2805"/>
      <c r="AWM78" s="2805"/>
      <c r="AWN78" s="2805"/>
      <c r="AWO78" s="2805"/>
      <c r="AWP78" s="2805"/>
      <c r="AWQ78" s="2805"/>
      <c r="AWR78" s="2805"/>
      <c r="AWS78" s="2805"/>
      <c r="AWT78" s="2805"/>
      <c r="AWU78" s="2805"/>
      <c r="AWV78" s="2805"/>
      <c r="AWW78" s="2805"/>
      <c r="AWX78" s="2805"/>
      <c r="AWY78" s="2805"/>
      <c r="AWZ78" s="2805"/>
      <c r="AXA78" s="2805"/>
      <c r="AXB78" s="2805"/>
      <c r="AXC78" s="2805"/>
      <c r="AXD78" s="2805"/>
      <c r="AXE78" s="2805"/>
      <c r="AXF78" s="2805"/>
      <c r="AXG78" s="2805"/>
      <c r="AXH78" s="2805"/>
      <c r="AXI78" s="2805"/>
      <c r="AXJ78" s="2805"/>
      <c r="AXK78" s="2805"/>
      <c r="AXL78" s="2805"/>
      <c r="AXM78" s="2805"/>
      <c r="AXN78" s="2805"/>
      <c r="AXO78" s="2805"/>
      <c r="AXP78" s="2805"/>
      <c r="AXQ78" s="2805"/>
      <c r="AXR78" s="2805"/>
      <c r="AXS78" s="2805"/>
      <c r="AXT78" s="2805"/>
      <c r="AXU78" s="2805"/>
      <c r="AXV78" s="2805"/>
      <c r="AXW78" s="2805"/>
      <c r="AXX78" s="2805"/>
      <c r="AXY78" s="2805"/>
      <c r="AXZ78" s="2805"/>
      <c r="AYA78" s="2805"/>
      <c r="AYB78" s="2805"/>
      <c r="AYC78" s="2805"/>
      <c r="AYD78" s="2805"/>
      <c r="AYE78" s="2805"/>
      <c r="AYF78" s="2805"/>
      <c r="AYG78" s="2805"/>
      <c r="AYH78" s="2805"/>
      <c r="AYI78" s="2805"/>
      <c r="AYJ78" s="2805"/>
      <c r="AYK78" s="2805"/>
      <c r="AYL78" s="2805"/>
      <c r="AYM78" s="2805"/>
      <c r="AYN78" s="2805"/>
      <c r="AYO78" s="2805"/>
      <c r="AYP78" s="2805"/>
      <c r="AYQ78" s="2805"/>
      <c r="AYR78" s="2805"/>
      <c r="AYS78" s="2805"/>
      <c r="AYT78" s="2805"/>
      <c r="AYU78" s="2805"/>
      <c r="AYV78" s="2805"/>
      <c r="AYW78" s="2805"/>
      <c r="AYX78" s="2805"/>
      <c r="AYY78" s="2805"/>
      <c r="AYZ78" s="2805"/>
      <c r="AZA78" s="2805"/>
      <c r="AZB78" s="2805"/>
      <c r="AZC78" s="2805"/>
      <c r="AZD78" s="2805"/>
      <c r="AZE78" s="2805"/>
      <c r="AZF78" s="2805"/>
      <c r="AZG78" s="2805"/>
      <c r="AZH78" s="2805"/>
      <c r="AZI78" s="2805"/>
      <c r="AZJ78" s="2805"/>
      <c r="AZK78" s="2805"/>
      <c r="AZL78" s="2805"/>
      <c r="AZM78" s="2805"/>
      <c r="AZN78" s="2805"/>
      <c r="AZO78" s="2805"/>
      <c r="AZP78" s="2805"/>
      <c r="AZQ78" s="2805"/>
      <c r="AZR78" s="2805"/>
      <c r="AZS78" s="2805"/>
      <c r="AZT78" s="2805"/>
      <c r="AZU78" s="2805"/>
      <c r="AZV78" s="2805"/>
      <c r="AZW78" s="2805"/>
      <c r="AZX78" s="2805"/>
      <c r="AZY78" s="2805"/>
      <c r="AZZ78" s="2805"/>
      <c r="BAA78" s="2805"/>
      <c r="BAB78" s="2805"/>
      <c r="BAC78" s="2805"/>
      <c r="BAD78" s="2805"/>
      <c r="BAE78" s="2805"/>
      <c r="BAF78" s="2805"/>
      <c r="BAG78" s="2805"/>
      <c r="BAH78" s="2805"/>
      <c r="BAI78" s="2805"/>
      <c r="BAJ78" s="2805"/>
      <c r="BAK78" s="2805"/>
      <c r="BAL78" s="2805"/>
      <c r="BAM78" s="2805"/>
      <c r="BAN78" s="2805"/>
      <c r="BAO78" s="2805"/>
      <c r="BAP78" s="2805"/>
      <c r="BAQ78" s="2805"/>
      <c r="BAR78" s="2805"/>
      <c r="BAS78" s="2805"/>
      <c r="BAT78" s="2805"/>
      <c r="BAU78" s="2805"/>
      <c r="BAV78" s="2805"/>
      <c r="BAW78" s="2805"/>
      <c r="BAX78" s="2805"/>
      <c r="BAY78" s="2805"/>
      <c r="BAZ78" s="2805"/>
      <c r="BBA78" s="2805"/>
      <c r="BBB78" s="2805"/>
      <c r="BBC78" s="2805"/>
      <c r="BBD78" s="2805"/>
      <c r="BBE78" s="2805"/>
      <c r="BBF78" s="2805"/>
      <c r="BBG78" s="2805"/>
      <c r="BBH78" s="2805"/>
      <c r="BBI78" s="2805"/>
      <c r="BBJ78" s="2805"/>
      <c r="BBK78" s="2805"/>
      <c r="BBL78" s="2805"/>
      <c r="BBM78" s="2805"/>
      <c r="BBN78" s="2805"/>
      <c r="BBO78" s="2805"/>
      <c r="BBP78" s="2805"/>
      <c r="BBQ78" s="2805"/>
      <c r="BBR78" s="2805"/>
      <c r="BBS78" s="2805"/>
      <c r="BBT78" s="2805"/>
      <c r="BBU78" s="2805"/>
      <c r="BBV78" s="2805"/>
      <c r="BBW78" s="2805"/>
      <c r="BBX78" s="2805"/>
      <c r="BBY78" s="2805"/>
      <c r="BBZ78" s="2805"/>
      <c r="BCA78" s="2805"/>
      <c r="BCB78" s="2805"/>
      <c r="BCC78" s="2805"/>
      <c r="BCD78" s="2805"/>
      <c r="BCE78" s="2805"/>
      <c r="BCF78" s="2805"/>
      <c r="BCG78" s="2805"/>
      <c r="BCH78" s="2805"/>
      <c r="BCI78" s="2805"/>
      <c r="BCJ78" s="2805"/>
      <c r="BCK78" s="2805"/>
      <c r="BCL78" s="2805"/>
      <c r="BCM78" s="2805"/>
      <c r="BCN78" s="2805"/>
      <c r="BCO78" s="2805"/>
      <c r="BCP78" s="2805"/>
      <c r="BCQ78" s="2805"/>
      <c r="BCR78" s="2805"/>
      <c r="BCS78" s="2805"/>
      <c r="BCT78" s="2805"/>
      <c r="BCU78" s="2805"/>
      <c r="BCV78" s="2805"/>
      <c r="BCW78" s="2805"/>
      <c r="BCX78" s="2805"/>
      <c r="BCY78" s="2805"/>
      <c r="BCZ78" s="2805"/>
      <c r="BDA78" s="2805"/>
      <c r="BDB78" s="2805"/>
      <c r="BDC78" s="2805"/>
      <c r="BDD78" s="2805"/>
      <c r="BDE78" s="2805"/>
      <c r="BDF78" s="2805"/>
      <c r="BDG78" s="2805"/>
      <c r="BDH78" s="2805"/>
      <c r="BDI78" s="2805"/>
      <c r="BDJ78" s="2805"/>
      <c r="BDK78" s="2805"/>
      <c r="BDL78" s="2805"/>
      <c r="BDM78" s="2805"/>
      <c r="BDN78" s="2805"/>
      <c r="BDO78" s="2805"/>
      <c r="BDP78" s="2805"/>
      <c r="BDQ78" s="2805"/>
      <c r="BDR78" s="2805"/>
      <c r="BDS78" s="2805"/>
      <c r="BDT78" s="2805"/>
      <c r="BDU78" s="2805"/>
      <c r="BDV78" s="2805"/>
      <c r="BDW78" s="2805"/>
      <c r="BDX78" s="2805"/>
      <c r="BDY78" s="2805"/>
      <c r="BDZ78" s="2805"/>
      <c r="BEA78" s="2805"/>
      <c r="BEB78" s="2805"/>
      <c r="BEC78" s="2805"/>
      <c r="BED78" s="2805"/>
      <c r="BEE78" s="2805"/>
      <c r="BEF78" s="2805"/>
      <c r="BEG78" s="2805"/>
      <c r="BEH78" s="2805"/>
      <c r="BEI78" s="2805"/>
      <c r="BEJ78" s="2805"/>
      <c r="BEK78" s="2805"/>
      <c r="BEL78" s="2805"/>
      <c r="BEM78" s="2805"/>
      <c r="BEN78" s="2805"/>
      <c r="BEO78" s="2805"/>
      <c r="BEP78" s="2805"/>
      <c r="BEQ78" s="2805"/>
      <c r="BER78" s="2805"/>
      <c r="BES78" s="2805"/>
      <c r="BET78" s="2805"/>
      <c r="BEU78" s="2805"/>
      <c r="BEV78" s="2805"/>
      <c r="BEW78" s="2805"/>
      <c r="BEX78" s="2805"/>
      <c r="BEY78" s="2805"/>
      <c r="BEZ78" s="2805"/>
      <c r="BFA78" s="2805"/>
      <c r="BFB78" s="2805"/>
      <c r="BFC78" s="2805"/>
      <c r="BFD78" s="2805"/>
      <c r="BFE78" s="2805"/>
      <c r="BFF78" s="2805"/>
      <c r="BFG78" s="2805"/>
      <c r="BFH78" s="2805"/>
      <c r="BFI78" s="2805"/>
      <c r="BFJ78" s="2805"/>
      <c r="BFK78" s="2805"/>
      <c r="BFL78" s="2805"/>
      <c r="BFM78" s="2805"/>
      <c r="BFN78" s="2805"/>
      <c r="BFO78" s="2805"/>
      <c r="BFP78" s="2805"/>
      <c r="BFQ78" s="2805"/>
      <c r="BFR78" s="2805"/>
      <c r="BFS78" s="2805"/>
      <c r="BFT78" s="2805"/>
      <c r="BFU78" s="2805"/>
      <c r="BFV78" s="2805"/>
      <c r="BFW78" s="2805"/>
      <c r="BFX78" s="2805"/>
      <c r="BFY78" s="2805"/>
      <c r="BFZ78" s="2805"/>
      <c r="BGA78" s="2805"/>
      <c r="BGB78" s="2805"/>
      <c r="BGC78" s="2805"/>
      <c r="BGD78" s="2805"/>
      <c r="BGE78" s="2805"/>
      <c r="BGF78" s="2805"/>
      <c r="BGG78" s="2805"/>
      <c r="BGH78" s="2805"/>
      <c r="BGI78" s="2805"/>
      <c r="BGJ78" s="2805"/>
      <c r="BGK78" s="2805"/>
      <c r="BGL78" s="2805"/>
      <c r="BGM78" s="2805"/>
      <c r="BGN78" s="2805"/>
      <c r="BGO78" s="2805"/>
      <c r="BGP78" s="2805"/>
      <c r="BGQ78" s="2805"/>
      <c r="BGR78" s="2805"/>
      <c r="BGS78" s="2805"/>
      <c r="BGT78" s="2805"/>
      <c r="BGU78" s="2805"/>
      <c r="BGV78" s="2805"/>
      <c r="BGW78" s="2805"/>
      <c r="BGX78" s="2805"/>
      <c r="BGY78" s="2805"/>
      <c r="BGZ78" s="2805"/>
      <c r="BHA78" s="2805"/>
      <c r="BHB78" s="2805"/>
      <c r="BHC78" s="2805"/>
      <c r="BHD78" s="2805"/>
      <c r="BHE78" s="2805"/>
      <c r="BHF78" s="2805"/>
      <c r="BHG78" s="2805"/>
      <c r="BHH78" s="2805"/>
      <c r="BHI78" s="2805"/>
      <c r="BHJ78" s="2805"/>
      <c r="BHK78" s="2805"/>
      <c r="BHL78" s="2805"/>
      <c r="BHM78" s="2805"/>
      <c r="BHN78" s="2805"/>
      <c r="BHO78" s="2805"/>
      <c r="BHP78" s="2805"/>
      <c r="BHQ78" s="2805"/>
      <c r="BHR78" s="2805"/>
      <c r="BHS78" s="2805"/>
      <c r="BHT78" s="2805"/>
      <c r="BHU78" s="2805"/>
      <c r="BHV78" s="2805"/>
      <c r="BHW78" s="2805"/>
      <c r="BHX78" s="2805"/>
      <c r="BHY78" s="2805"/>
      <c r="BHZ78" s="2805"/>
      <c r="BIA78" s="2805"/>
      <c r="BIB78" s="2805"/>
      <c r="BIC78" s="2805"/>
      <c r="BID78" s="2805"/>
      <c r="BIE78" s="2805"/>
      <c r="BIF78" s="2805"/>
      <c r="BIG78" s="2805"/>
      <c r="BIH78" s="2805"/>
      <c r="BII78" s="2805"/>
      <c r="BIJ78" s="2805"/>
      <c r="BIK78" s="2805"/>
      <c r="BIL78" s="2805"/>
      <c r="BIM78" s="2805"/>
      <c r="BIN78" s="2805"/>
      <c r="BIO78" s="2805"/>
      <c r="BIP78" s="2805"/>
      <c r="BIQ78" s="2805"/>
      <c r="BIR78" s="2805"/>
      <c r="BIS78" s="2805"/>
      <c r="BIT78" s="2805"/>
      <c r="BIU78" s="2805"/>
      <c r="BIV78" s="2805"/>
      <c r="BIW78" s="2805"/>
      <c r="BIX78" s="2805"/>
      <c r="BIY78" s="2805"/>
      <c r="BIZ78" s="2805"/>
      <c r="BJA78" s="2805"/>
      <c r="BJB78" s="2805"/>
      <c r="BJC78" s="2805"/>
      <c r="BJD78" s="2805"/>
      <c r="BJE78" s="2805"/>
      <c r="BJF78" s="2805"/>
      <c r="BJG78" s="2805"/>
      <c r="BJH78" s="2805"/>
      <c r="BJI78" s="2805"/>
      <c r="BJJ78" s="2805"/>
      <c r="BJK78" s="2805"/>
      <c r="BJL78" s="2805"/>
      <c r="BJM78" s="2805"/>
      <c r="BJN78" s="2805"/>
      <c r="BJO78" s="2805"/>
      <c r="BJP78" s="2805"/>
      <c r="BJQ78" s="2805"/>
      <c r="BJR78" s="2805"/>
      <c r="BJS78" s="2805"/>
      <c r="BJT78" s="2805"/>
      <c r="BJU78" s="2805"/>
      <c r="BJV78" s="2805"/>
      <c r="BJW78" s="2805"/>
      <c r="BJX78" s="2805"/>
      <c r="BJY78" s="2805"/>
      <c r="BJZ78" s="2805"/>
      <c r="BKA78" s="2805"/>
      <c r="BKB78" s="2805"/>
      <c r="BKC78" s="2805"/>
      <c r="BKD78" s="2805"/>
      <c r="BKE78" s="2805"/>
      <c r="BKF78" s="2805"/>
      <c r="BKG78" s="2805"/>
      <c r="BKH78" s="2805"/>
      <c r="BKI78" s="2805"/>
      <c r="BKJ78" s="2805"/>
      <c r="BKK78" s="2805"/>
      <c r="BKL78" s="2805"/>
      <c r="BKM78" s="2805"/>
      <c r="BKN78" s="2805"/>
      <c r="BKO78" s="2805"/>
      <c r="BKP78" s="2805"/>
      <c r="BKQ78" s="2805"/>
      <c r="BKR78" s="2805"/>
      <c r="BKS78" s="2805"/>
      <c r="BKT78" s="2805"/>
      <c r="BKU78" s="2805"/>
      <c r="BKV78" s="2805"/>
      <c r="BKW78" s="2805"/>
      <c r="BKX78" s="2805"/>
      <c r="BKY78" s="2805"/>
      <c r="BKZ78" s="2805"/>
      <c r="BLA78" s="2805"/>
      <c r="BLB78" s="2805"/>
      <c r="BLC78" s="2805"/>
      <c r="BLD78" s="2805"/>
      <c r="BLE78" s="2805"/>
      <c r="BLF78" s="2805"/>
      <c r="BLG78" s="2805"/>
      <c r="BLH78" s="2805"/>
      <c r="BLI78" s="2805"/>
      <c r="BLJ78" s="2805"/>
      <c r="BLK78" s="2805"/>
      <c r="BLL78" s="2805"/>
      <c r="BLM78" s="2805"/>
      <c r="BLN78" s="2805"/>
      <c r="BLO78" s="2805"/>
      <c r="BLP78" s="2805"/>
      <c r="BLQ78" s="2805"/>
      <c r="BLR78" s="2805"/>
      <c r="BLS78" s="2805"/>
      <c r="BLT78" s="2805"/>
      <c r="BLU78" s="2805"/>
      <c r="BLV78" s="2805"/>
      <c r="BLW78" s="2805"/>
      <c r="BLX78" s="2805"/>
      <c r="BLY78" s="2805"/>
      <c r="BLZ78" s="2805"/>
      <c r="BMA78" s="2805"/>
      <c r="BMB78" s="2805"/>
      <c r="BMC78" s="2805"/>
      <c r="BMD78" s="2805"/>
      <c r="BME78" s="2805"/>
      <c r="BMF78" s="2805"/>
      <c r="BMG78" s="2805"/>
      <c r="BMH78" s="2805"/>
      <c r="BMI78" s="2805"/>
      <c r="BMJ78" s="2805"/>
      <c r="BMK78" s="2805"/>
      <c r="BML78" s="2805"/>
      <c r="BMM78" s="2805"/>
      <c r="BMN78" s="2805"/>
      <c r="BMO78" s="2805"/>
      <c r="BMP78" s="2805"/>
      <c r="BMQ78" s="2805"/>
      <c r="BMR78" s="2805"/>
      <c r="BMS78" s="2805"/>
      <c r="BMT78" s="2805"/>
      <c r="BMU78" s="2805"/>
      <c r="BMV78" s="2805"/>
      <c r="BMW78" s="2805"/>
      <c r="BMX78" s="2805"/>
      <c r="BMY78" s="2805"/>
      <c r="BMZ78" s="2805"/>
      <c r="BNA78" s="2805"/>
      <c r="BNB78" s="2805"/>
      <c r="BNC78" s="2805"/>
      <c r="BND78" s="2805"/>
      <c r="BNE78" s="2805"/>
      <c r="BNF78" s="2805"/>
      <c r="BNG78" s="2805"/>
      <c r="BNH78" s="2805"/>
      <c r="BNI78" s="2805"/>
      <c r="BNJ78" s="2805"/>
      <c r="BNK78" s="2805"/>
      <c r="BNL78" s="2805"/>
      <c r="BNM78" s="2805"/>
      <c r="BNN78" s="2805"/>
      <c r="BNO78" s="2805"/>
      <c r="BNP78" s="2805"/>
      <c r="BNQ78" s="2805"/>
      <c r="BNR78" s="2805"/>
      <c r="BNS78" s="2805"/>
      <c r="BNT78" s="2805"/>
      <c r="BNU78" s="2805"/>
      <c r="BNV78" s="2805"/>
      <c r="BNW78" s="2805"/>
      <c r="BNX78" s="2805"/>
      <c r="BNY78" s="2805"/>
      <c r="BNZ78" s="2805"/>
      <c r="BOA78" s="2805"/>
      <c r="BOB78" s="2805"/>
      <c r="BOC78" s="2805"/>
      <c r="BOD78" s="2805"/>
      <c r="BOE78" s="2805"/>
      <c r="BOF78" s="2805"/>
      <c r="BOG78" s="2805"/>
      <c r="BOH78" s="2805"/>
      <c r="BOI78" s="2805"/>
      <c r="BOJ78" s="2805"/>
      <c r="BOK78" s="2805"/>
      <c r="BOL78" s="2805"/>
      <c r="BOM78" s="2805"/>
      <c r="BON78" s="2805"/>
      <c r="BOO78" s="2805"/>
      <c r="BOP78" s="2805"/>
      <c r="BOQ78" s="2805"/>
      <c r="BOR78" s="2805"/>
      <c r="BOS78" s="2805"/>
      <c r="BOT78" s="2805"/>
      <c r="BOU78" s="2805"/>
      <c r="BOV78" s="2805"/>
      <c r="BOW78" s="2805"/>
      <c r="BOX78" s="2805"/>
      <c r="BOY78" s="2805"/>
      <c r="BOZ78" s="2805"/>
      <c r="BPA78" s="2805"/>
      <c r="BPB78" s="2805"/>
      <c r="BPC78" s="2805"/>
      <c r="BPD78" s="2805"/>
      <c r="BPE78" s="2805"/>
      <c r="BPF78" s="2805"/>
      <c r="BPG78" s="2805"/>
      <c r="BPH78" s="2805"/>
      <c r="BPI78" s="2805"/>
      <c r="BPJ78" s="2805"/>
      <c r="BPK78" s="2805"/>
      <c r="BPL78" s="2805"/>
      <c r="BPM78" s="2805"/>
      <c r="BPN78" s="2805"/>
      <c r="BPO78" s="2805"/>
      <c r="BPP78" s="2805"/>
      <c r="BPQ78" s="2805"/>
      <c r="BPR78" s="2805"/>
      <c r="BPS78" s="2805"/>
      <c r="BPT78" s="2805"/>
      <c r="BPU78" s="2805"/>
      <c r="BPV78" s="2805"/>
      <c r="BPW78" s="2805"/>
      <c r="BPX78" s="2805"/>
      <c r="BPY78" s="2805"/>
      <c r="BPZ78" s="2805"/>
      <c r="BQA78" s="2805"/>
      <c r="BQB78" s="2805"/>
      <c r="BQC78" s="2805"/>
      <c r="BQD78" s="2805"/>
      <c r="BQE78" s="2805"/>
      <c r="BQF78" s="2805"/>
      <c r="BQG78" s="2805"/>
      <c r="BQH78" s="2805"/>
      <c r="BQI78" s="2805"/>
      <c r="BQJ78" s="2805"/>
      <c r="BQK78" s="2805"/>
      <c r="BQL78" s="2805"/>
      <c r="BQM78" s="2805"/>
      <c r="BQN78" s="2805"/>
      <c r="BQO78" s="2805"/>
      <c r="BQP78" s="2805"/>
      <c r="BQQ78" s="2805"/>
      <c r="BQR78" s="2805"/>
      <c r="BQS78" s="2805"/>
      <c r="BQT78" s="2805"/>
      <c r="BQU78" s="2805"/>
      <c r="BQV78" s="2805"/>
      <c r="BQW78" s="2805"/>
      <c r="BQX78" s="2805"/>
      <c r="BQY78" s="2805"/>
      <c r="BQZ78" s="2805"/>
      <c r="BRA78" s="2805"/>
      <c r="BRB78" s="2805"/>
      <c r="BRC78" s="2805"/>
      <c r="BRD78" s="2805"/>
      <c r="BRE78" s="2805"/>
      <c r="BRF78" s="2805"/>
      <c r="BRG78" s="2805"/>
      <c r="BRH78" s="2805"/>
      <c r="BRI78" s="2805"/>
      <c r="BRJ78" s="2805"/>
      <c r="BRK78" s="2805"/>
      <c r="BRL78" s="2805"/>
      <c r="BRM78" s="2805"/>
      <c r="BRN78" s="2805"/>
      <c r="BRO78" s="2805"/>
      <c r="BRP78" s="2805"/>
      <c r="BRQ78" s="2805"/>
      <c r="BRR78" s="2805"/>
      <c r="BRS78" s="2805"/>
      <c r="BRT78" s="2805"/>
      <c r="BRU78" s="2805"/>
      <c r="BRV78" s="2805"/>
      <c r="BRW78" s="2805"/>
      <c r="BRX78" s="2805"/>
      <c r="BRY78" s="2805"/>
      <c r="BRZ78" s="2805"/>
      <c r="BSA78" s="2805"/>
      <c r="BSB78" s="2805"/>
      <c r="BSC78" s="2805"/>
      <c r="BSD78" s="2805"/>
      <c r="BSE78" s="2805"/>
      <c r="BSF78" s="2805"/>
      <c r="BSG78" s="2805"/>
      <c r="BSH78" s="2805"/>
      <c r="BSI78" s="2805"/>
      <c r="BSJ78" s="2805"/>
      <c r="BSK78" s="2805"/>
      <c r="BSL78" s="2805"/>
      <c r="BSM78" s="2805"/>
      <c r="BSN78" s="2805"/>
      <c r="BSO78" s="2805"/>
      <c r="BSP78" s="2805"/>
      <c r="BSQ78" s="2805"/>
      <c r="BSR78" s="2805"/>
      <c r="BSS78" s="2805"/>
      <c r="BST78" s="2805"/>
      <c r="BSU78" s="2805"/>
      <c r="BSV78" s="2805"/>
      <c r="BSW78" s="2805"/>
      <c r="BSX78" s="2805"/>
      <c r="BSY78" s="2805"/>
      <c r="BSZ78" s="2805"/>
      <c r="BTA78" s="2805"/>
      <c r="BTB78" s="2805"/>
      <c r="BTC78" s="2805"/>
      <c r="BTD78" s="2805"/>
      <c r="BTE78" s="2805"/>
      <c r="BTF78" s="2805"/>
      <c r="BTG78" s="2805"/>
      <c r="BTH78" s="2805"/>
      <c r="BTI78" s="2805"/>
      <c r="BTJ78" s="2805"/>
      <c r="BTK78" s="2805"/>
      <c r="BTL78" s="2805"/>
      <c r="BTM78" s="2805"/>
      <c r="BTN78" s="2805"/>
      <c r="BTO78" s="2805"/>
      <c r="BTP78" s="2805"/>
      <c r="BTQ78" s="2805"/>
      <c r="BTR78" s="2805"/>
      <c r="BTS78" s="2805"/>
      <c r="BTT78" s="2805"/>
      <c r="BTU78" s="2805"/>
      <c r="BTV78" s="2805"/>
      <c r="BTW78" s="2805"/>
      <c r="BTX78" s="2805"/>
      <c r="BTY78" s="2805"/>
      <c r="BTZ78" s="2805"/>
      <c r="BUA78" s="2805"/>
      <c r="BUB78" s="2805"/>
      <c r="BUC78" s="2805"/>
      <c r="BUD78" s="2805"/>
      <c r="BUE78" s="2805"/>
      <c r="BUF78" s="2805"/>
      <c r="BUG78" s="2805"/>
      <c r="BUH78" s="2805"/>
      <c r="BUI78" s="2805"/>
      <c r="BUJ78" s="2805"/>
      <c r="BUK78" s="2805"/>
      <c r="BUL78" s="2805"/>
      <c r="BUM78" s="2805"/>
      <c r="BUN78" s="2805"/>
      <c r="BUO78" s="2805"/>
      <c r="BUP78" s="2805"/>
      <c r="BUQ78" s="2805"/>
      <c r="BUR78" s="2805"/>
      <c r="BUS78" s="2805"/>
      <c r="BUT78" s="2805"/>
      <c r="BUU78" s="2805"/>
      <c r="BUV78" s="2805"/>
      <c r="BUW78" s="2805"/>
      <c r="BUX78" s="2805"/>
      <c r="BUY78" s="2805"/>
      <c r="BUZ78" s="2805"/>
      <c r="BVA78" s="2805"/>
      <c r="BVB78" s="2805"/>
      <c r="BVC78" s="2805"/>
      <c r="BVD78" s="2805"/>
      <c r="BVE78" s="2805"/>
      <c r="BVF78" s="2805"/>
      <c r="BVG78" s="2805"/>
      <c r="BVH78" s="2805"/>
      <c r="BVI78" s="2805"/>
      <c r="BVJ78" s="2805"/>
      <c r="BVK78" s="2805"/>
      <c r="BVL78" s="2805"/>
      <c r="BVM78" s="2805"/>
      <c r="BVN78" s="2805"/>
      <c r="BVO78" s="2805"/>
      <c r="BVP78" s="2805"/>
      <c r="BVQ78" s="2805"/>
      <c r="BVR78" s="2805"/>
      <c r="BVS78" s="2805"/>
      <c r="BVT78" s="2805"/>
      <c r="BVU78" s="2805"/>
      <c r="BVV78" s="2805"/>
      <c r="BVW78" s="2805"/>
      <c r="BVX78" s="2805"/>
      <c r="BVY78" s="2805"/>
      <c r="BVZ78" s="2805"/>
      <c r="BWA78" s="2805"/>
      <c r="BWB78" s="2805"/>
      <c r="BWC78" s="2805"/>
      <c r="BWD78" s="2805"/>
      <c r="BWE78" s="2805"/>
      <c r="BWF78" s="2805"/>
      <c r="BWG78" s="2805"/>
      <c r="BWH78" s="2805"/>
      <c r="BWI78" s="2805"/>
      <c r="BWJ78" s="2805"/>
      <c r="BWK78" s="2805"/>
      <c r="BWL78" s="2805"/>
      <c r="BWM78" s="2805"/>
      <c r="BWN78" s="2805"/>
      <c r="BWO78" s="2805"/>
      <c r="BWP78" s="2805"/>
      <c r="BWQ78" s="2805"/>
      <c r="BWR78" s="2805"/>
      <c r="BWS78" s="2805"/>
      <c r="BWT78" s="2805"/>
      <c r="BWU78" s="2805"/>
      <c r="BWV78" s="2805"/>
      <c r="BWW78" s="2805"/>
      <c r="BWX78" s="2805"/>
      <c r="BWY78" s="2805"/>
      <c r="BWZ78" s="2805"/>
      <c r="BXA78" s="2805"/>
      <c r="BXB78" s="2805"/>
      <c r="BXC78" s="2805"/>
      <c r="BXD78" s="2805"/>
      <c r="BXE78" s="2805"/>
      <c r="BXF78" s="2805"/>
      <c r="BXG78" s="2805"/>
      <c r="BXH78" s="2805"/>
      <c r="BXI78" s="2805"/>
      <c r="BXJ78" s="2805"/>
      <c r="BXK78" s="2805"/>
      <c r="BXL78" s="2805"/>
      <c r="BXM78" s="2805"/>
      <c r="BXN78" s="2805"/>
      <c r="BXO78" s="2805"/>
      <c r="BXP78" s="2805"/>
      <c r="BXQ78" s="2805"/>
      <c r="BXR78" s="2805"/>
      <c r="BXS78" s="2805"/>
      <c r="BXT78" s="2805"/>
      <c r="BXU78" s="2805"/>
      <c r="BXV78" s="2805"/>
      <c r="BXW78" s="2805"/>
      <c r="BXX78" s="2805"/>
      <c r="BXY78" s="2805"/>
      <c r="BXZ78" s="2805"/>
      <c r="BYA78" s="2805"/>
      <c r="BYB78" s="2805"/>
      <c r="BYC78" s="2805"/>
      <c r="BYD78" s="2805"/>
      <c r="BYE78" s="2805"/>
      <c r="BYF78" s="2805"/>
      <c r="BYG78" s="2805"/>
      <c r="BYH78" s="2805"/>
      <c r="BYI78" s="2805"/>
      <c r="BYJ78" s="2805"/>
      <c r="BYK78" s="2805"/>
      <c r="BYL78" s="2805"/>
      <c r="BYM78" s="2805"/>
      <c r="BYN78" s="2805"/>
      <c r="BYO78" s="2805"/>
      <c r="BYP78" s="2805"/>
      <c r="BYQ78" s="2805"/>
      <c r="BYR78" s="2805"/>
      <c r="BYS78" s="2805"/>
      <c r="BYT78" s="2805"/>
      <c r="BYU78" s="2805"/>
      <c r="BYV78" s="2805"/>
      <c r="BYW78" s="2805"/>
      <c r="BYX78" s="2805"/>
      <c r="BYY78" s="2805"/>
      <c r="BYZ78" s="2805"/>
      <c r="BZA78" s="2805"/>
      <c r="BZB78" s="2805"/>
      <c r="BZC78" s="2805"/>
      <c r="BZD78" s="2805"/>
      <c r="BZE78" s="2805"/>
      <c r="BZF78" s="2805"/>
      <c r="BZG78" s="2805"/>
      <c r="BZH78" s="2805"/>
      <c r="BZI78" s="2805"/>
      <c r="BZJ78" s="2805"/>
      <c r="BZK78" s="2805"/>
      <c r="BZL78" s="2805"/>
      <c r="BZM78" s="2805"/>
      <c r="BZN78" s="2805"/>
      <c r="BZO78" s="2805"/>
      <c r="BZP78" s="2805"/>
      <c r="BZQ78" s="2805"/>
      <c r="BZR78" s="2805"/>
      <c r="BZS78" s="2805"/>
      <c r="BZT78" s="2805"/>
      <c r="BZU78" s="2805"/>
      <c r="BZV78" s="2805"/>
      <c r="BZW78" s="2805"/>
      <c r="BZX78" s="2805"/>
      <c r="BZY78" s="2805"/>
      <c r="BZZ78" s="2805"/>
      <c r="CAA78" s="2805"/>
      <c r="CAB78" s="2805"/>
      <c r="CAC78" s="2805"/>
      <c r="CAD78" s="2805"/>
      <c r="CAE78" s="2805"/>
      <c r="CAF78" s="2805"/>
      <c r="CAG78" s="2805"/>
      <c r="CAH78" s="2805"/>
      <c r="CAI78" s="2805"/>
      <c r="CAJ78" s="2805"/>
      <c r="CAK78" s="2805"/>
      <c r="CAL78" s="2805"/>
      <c r="CAM78" s="2805"/>
      <c r="CAN78" s="2805"/>
      <c r="CAO78" s="2805"/>
      <c r="CAP78" s="2805"/>
      <c r="CAQ78" s="2805"/>
      <c r="CAR78" s="2805"/>
      <c r="CAS78" s="2805"/>
      <c r="CAT78" s="2805"/>
      <c r="CAU78" s="2805"/>
      <c r="CAV78" s="2805"/>
      <c r="CAW78" s="2805"/>
      <c r="CAX78" s="2805"/>
      <c r="CAY78" s="2805"/>
      <c r="CAZ78" s="2805"/>
      <c r="CBA78" s="2805"/>
      <c r="CBB78" s="2805"/>
      <c r="CBC78" s="2805"/>
      <c r="CBD78" s="2805"/>
      <c r="CBE78" s="2805"/>
      <c r="CBF78" s="2805"/>
      <c r="CBG78" s="2805"/>
      <c r="CBH78" s="2805"/>
      <c r="CBI78" s="2805"/>
      <c r="CBJ78" s="2805"/>
      <c r="CBK78" s="2805"/>
      <c r="CBL78" s="2805"/>
      <c r="CBM78" s="2805"/>
      <c r="CBN78" s="2805"/>
      <c r="CBO78" s="2805"/>
      <c r="CBP78" s="2805"/>
      <c r="CBQ78" s="2805"/>
      <c r="CBR78" s="2805"/>
      <c r="CBS78" s="2805"/>
      <c r="CBT78" s="2805"/>
      <c r="CBU78" s="2805"/>
      <c r="CBV78" s="2805"/>
      <c r="CBW78" s="2805"/>
      <c r="CBX78" s="2805"/>
      <c r="CBY78" s="2805"/>
      <c r="CBZ78" s="2805"/>
      <c r="CCA78" s="2805"/>
      <c r="CCB78" s="2805"/>
      <c r="CCC78" s="2805"/>
      <c r="CCD78" s="2805"/>
      <c r="CCE78" s="2805"/>
      <c r="CCF78" s="2805"/>
      <c r="CCG78" s="2805"/>
      <c r="CCH78" s="2805"/>
      <c r="CCI78" s="2805"/>
      <c r="CCJ78" s="2805"/>
      <c r="CCK78" s="2805"/>
      <c r="CCL78" s="2805"/>
      <c r="CCM78" s="2805"/>
      <c r="CCN78" s="2805"/>
      <c r="CCO78" s="2805"/>
      <c r="CCP78" s="2805"/>
      <c r="CCQ78" s="2805"/>
      <c r="CCR78" s="2805"/>
      <c r="CCS78" s="2805"/>
      <c r="CCT78" s="2805"/>
      <c r="CCU78" s="2805"/>
      <c r="CCV78" s="2805"/>
      <c r="CCW78" s="2805"/>
      <c r="CCX78" s="2805"/>
      <c r="CCY78" s="2805"/>
      <c r="CCZ78" s="2805"/>
      <c r="CDA78" s="2805"/>
      <c r="CDB78" s="2805"/>
      <c r="CDC78" s="2805"/>
      <c r="CDD78" s="2805"/>
      <c r="CDE78" s="2805"/>
      <c r="CDF78" s="2805"/>
      <c r="CDG78" s="2805"/>
      <c r="CDH78" s="2805"/>
      <c r="CDI78" s="2805"/>
      <c r="CDJ78" s="2805"/>
      <c r="CDK78" s="2805"/>
      <c r="CDL78" s="2805"/>
      <c r="CDM78" s="2805"/>
      <c r="CDN78" s="2805"/>
      <c r="CDO78" s="2805"/>
      <c r="CDP78" s="2805"/>
      <c r="CDQ78" s="2805"/>
      <c r="CDR78" s="2805"/>
      <c r="CDS78" s="2805"/>
      <c r="CDT78" s="2805"/>
      <c r="CDU78" s="2805"/>
      <c r="CDV78" s="2805"/>
      <c r="CDW78" s="2805"/>
      <c r="CDX78" s="2805"/>
      <c r="CDY78" s="2805"/>
      <c r="CDZ78" s="2805"/>
      <c r="CEA78" s="2805"/>
      <c r="CEB78" s="2805"/>
      <c r="CEC78" s="2805"/>
      <c r="CED78" s="2805"/>
      <c r="CEE78" s="2805"/>
      <c r="CEF78" s="2805"/>
      <c r="CEG78" s="2805"/>
      <c r="CEH78" s="2805"/>
      <c r="CEI78" s="2805"/>
      <c r="CEJ78" s="2805"/>
      <c r="CEK78" s="2805"/>
      <c r="CEL78" s="2805"/>
      <c r="CEM78" s="2805"/>
      <c r="CEN78" s="2805"/>
      <c r="CEO78" s="2805"/>
      <c r="CEP78" s="2805"/>
      <c r="CEQ78" s="2805"/>
      <c r="CER78" s="2805"/>
      <c r="CES78" s="2805"/>
      <c r="CET78" s="2805"/>
      <c r="CEU78" s="2805"/>
      <c r="CEV78" s="2805"/>
      <c r="CEW78" s="2805"/>
      <c r="CEX78" s="2805"/>
      <c r="CEY78" s="2805"/>
      <c r="CEZ78" s="2805"/>
      <c r="CFA78" s="2805"/>
      <c r="CFB78" s="2805"/>
      <c r="CFC78" s="2805"/>
      <c r="CFD78" s="2805"/>
      <c r="CFE78" s="2805"/>
      <c r="CFF78" s="2805"/>
      <c r="CFG78" s="2805"/>
      <c r="CFH78" s="2805"/>
      <c r="CFI78" s="2805"/>
      <c r="CFJ78" s="2805"/>
      <c r="CFK78" s="2805"/>
      <c r="CFL78" s="2805"/>
      <c r="CFM78" s="2805"/>
      <c r="CFN78" s="2805"/>
      <c r="CFO78" s="2805"/>
      <c r="CFP78" s="2805"/>
      <c r="CFQ78" s="2805"/>
      <c r="CFR78" s="2805"/>
      <c r="CFS78" s="2805"/>
      <c r="CFT78" s="2805"/>
      <c r="CFU78" s="2805"/>
      <c r="CFV78" s="2805"/>
      <c r="CFW78" s="2805"/>
      <c r="CFX78" s="2805"/>
      <c r="CFY78" s="2805"/>
      <c r="CFZ78" s="2805"/>
      <c r="CGA78" s="2805"/>
      <c r="CGB78" s="2805"/>
      <c r="CGC78" s="2805"/>
      <c r="CGD78" s="2805"/>
      <c r="CGE78" s="2805"/>
      <c r="CGF78" s="2805"/>
      <c r="CGG78" s="2805"/>
      <c r="CGH78" s="2805"/>
      <c r="CGI78" s="2805"/>
      <c r="CGJ78" s="2805"/>
      <c r="CGK78" s="2805"/>
      <c r="CGL78" s="2805"/>
      <c r="CGM78" s="2805"/>
      <c r="CGN78" s="2805"/>
      <c r="CGO78" s="2805"/>
      <c r="CGP78" s="2805"/>
      <c r="CGQ78" s="2805"/>
      <c r="CGR78" s="2805"/>
      <c r="CGS78" s="2805"/>
      <c r="CGT78" s="2805"/>
      <c r="CGU78" s="2805"/>
      <c r="CGV78" s="2805"/>
      <c r="CGW78" s="2805"/>
      <c r="CGX78" s="2805"/>
      <c r="CGY78" s="2805"/>
      <c r="CGZ78" s="2805"/>
      <c r="CHA78" s="2805"/>
      <c r="CHB78" s="2805"/>
      <c r="CHC78" s="2805"/>
      <c r="CHD78" s="2805"/>
      <c r="CHE78" s="2805"/>
      <c r="CHF78" s="2805"/>
      <c r="CHG78" s="2805"/>
      <c r="CHH78" s="2805"/>
      <c r="CHI78" s="2805"/>
      <c r="CHJ78" s="2805"/>
      <c r="CHK78" s="2805"/>
      <c r="CHL78" s="2805"/>
      <c r="CHM78" s="2805"/>
      <c r="CHN78" s="2805"/>
      <c r="CHO78" s="2805"/>
      <c r="CHP78" s="2805"/>
      <c r="CHQ78" s="2805"/>
      <c r="CHR78" s="2805"/>
      <c r="CHS78" s="2805"/>
      <c r="CHT78" s="2805"/>
      <c r="CHU78" s="2805"/>
      <c r="CHV78" s="2805"/>
      <c r="CHW78" s="2805"/>
      <c r="CHX78" s="2805"/>
      <c r="CHY78" s="2805"/>
      <c r="CHZ78" s="2805"/>
      <c r="CIA78" s="2805"/>
      <c r="CIB78" s="2805"/>
      <c r="CIC78" s="2805"/>
      <c r="CID78" s="2805"/>
      <c r="CIE78" s="2805"/>
      <c r="CIF78" s="2805"/>
      <c r="CIG78" s="2805"/>
      <c r="CIH78" s="2805"/>
      <c r="CII78" s="2805"/>
      <c r="CIJ78" s="2805"/>
      <c r="CIK78" s="2805"/>
      <c r="CIL78" s="2805"/>
      <c r="CIM78" s="2805"/>
      <c r="CIN78" s="2805"/>
      <c r="CIO78" s="2805"/>
      <c r="CIP78" s="2805"/>
      <c r="CIQ78" s="2805"/>
      <c r="CIR78" s="2805"/>
      <c r="CIS78" s="2805"/>
      <c r="CIT78" s="2805"/>
      <c r="CIU78" s="2805"/>
      <c r="CIV78" s="2805"/>
      <c r="CIW78" s="2805"/>
      <c r="CIX78" s="2805"/>
      <c r="CIY78" s="2805"/>
      <c r="CIZ78" s="2805"/>
      <c r="CJA78" s="2805"/>
      <c r="CJB78" s="2805"/>
      <c r="CJC78" s="2805"/>
      <c r="CJD78" s="2805"/>
      <c r="CJE78" s="2805"/>
      <c r="CJF78" s="2805"/>
      <c r="CJG78" s="2805"/>
      <c r="CJH78" s="2805"/>
      <c r="CJI78" s="2805"/>
      <c r="CJJ78" s="2805"/>
      <c r="CJK78" s="2805"/>
      <c r="CJL78" s="2805"/>
      <c r="CJM78" s="2805"/>
      <c r="CJN78" s="2805"/>
      <c r="CJO78" s="2805"/>
      <c r="CJP78" s="2805"/>
      <c r="CJQ78" s="2805"/>
      <c r="CJR78" s="2805"/>
      <c r="CJS78" s="2805"/>
      <c r="CJT78" s="2805"/>
      <c r="CJU78" s="2805"/>
      <c r="CJV78" s="2805"/>
      <c r="CJW78" s="2805"/>
      <c r="CJX78" s="2805"/>
      <c r="CJY78" s="2805"/>
      <c r="CJZ78" s="2805"/>
      <c r="CKA78" s="2805"/>
      <c r="CKB78" s="2805"/>
      <c r="CKC78" s="2805"/>
      <c r="CKD78" s="2805"/>
      <c r="CKE78" s="2805"/>
      <c r="CKF78" s="2805"/>
      <c r="CKG78" s="2805"/>
      <c r="CKH78" s="2805"/>
      <c r="CKI78" s="2805"/>
      <c r="CKJ78" s="2805"/>
      <c r="CKK78" s="2805"/>
      <c r="CKL78" s="2805"/>
      <c r="CKM78" s="2805"/>
      <c r="CKN78" s="2805"/>
      <c r="CKO78" s="2805"/>
      <c r="CKP78" s="2805"/>
      <c r="CKQ78" s="2805"/>
      <c r="CKR78" s="2805"/>
      <c r="CKS78" s="2805"/>
      <c r="CKT78" s="2805"/>
      <c r="CKU78" s="2805"/>
      <c r="CKV78" s="2805"/>
      <c r="CKW78" s="2805"/>
      <c r="CKX78" s="2805"/>
      <c r="CKY78" s="2805"/>
      <c r="CKZ78" s="2805"/>
      <c r="CLA78" s="2805"/>
      <c r="CLB78" s="2805"/>
      <c r="CLC78" s="2805"/>
      <c r="CLD78" s="2805"/>
      <c r="CLE78" s="2805"/>
      <c r="CLF78" s="2805"/>
      <c r="CLG78" s="2805"/>
      <c r="CLH78" s="2805"/>
      <c r="CLI78" s="2805"/>
      <c r="CLJ78" s="2805"/>
      <c r="CLK78" s="2805"/>
      <c r="CLL78" s="2805"/>
      <c r="CLM78" s="2805"/>
      <c r="CLN78" s="2805"/>
      <c r="CLO78" s="2805"/>
      <c r="CLP78" s="2805"/>
      <c r="CLQ78" s="2805"/>
      <c r="CLR78" s="2805"/>
      <c r="CLS78" s="2805"/>
      <c r="CLT78" s="2805"/>
      <c r="CLU78" s="2805"/>
      <c r="CLV78" s="2805"/>
      <c r="CLW78" s="2805"/>
      <c r="CLX78" s="2805"/>
      <c r="CLY78" s="2805"/>
      <c r="CLZ78" s="2805"/>
      <c r="CMA78" s="2805"/>
      <c r="CMB78" s="2805"/>
      <c r="CMC78" s="2805"/>
      <c r="CMD78" s="2805"/>
      <c r="CME78" s="2805"/>
      <c r="CMF78" s="2805"/>
      <c r="CMG78" s="2805"/>
      <c r="CMH78" s="2805"/>
      <c r="CMI78" s="2805"/>
      <c r="CMJ78" s="2805"/>
      <c r="CMK78" s="2805"/>
      <c r="CML78" s="2805"/>
      <c r="CMM78" s="2805"/>
      <c r="CMN78" s="2805"/>
      <c r="CMO78" s="2805"/>
      <c r="CMP78" s="2805"/>
      <c r="CMQ78" s="2805"/>
      <c r="CMR78" s="2805"/>
      <c r="CMS78" s="2805"/>
      <c r="CMT78" s="2805"/>
      <c r="CMU78" s="2805"/>
      <c r="CMV78" s="2805"/>
      <c r="CMW78" s="2805"/>
      <c r="CMX78" s="2805"/>
      <c r="CMY78" s="2805"/>
      <c r="CMZ78" s="2805"/>
      <c r="CNA78" s="2805"/>
      <c r="CNB78" s="2805"/>
      <c r="CNC78" s="2805"/>
      <c r="CND78" s="2805"/>
      <c r="CNE78" s="2805"/>
      <c r="CNF78" s="2805"/>
      <c r="CNG78" s="2805"/>
      <c r="CNH78" s="2805"/>
      <c r="CNI78" s="2805"/>
      <c r="CNJ78" s="2805"/>
      <c r="CNK78" s="2805"/>
      <c r="CNL78" s="2805"/>
      <c r="CNM78" s="2805"/>
      <c r="CNN78" s="2805"/>
      <c r="CNO78" s="2805"/>
      <c r="CNP78" s="2805"/>
      <c r="CNQ78" s="2805"/>
      <c r="CNR78" s="2805"/>
      <c r="CNS78" s="2805"/>
      <c r="CNT78" s="2805"/>
      <c r="CNU78" s="2805"/>
      <c r="CNV78" s="2805"/>
      <c r="CNW78" s="2805"/>
      <c r="CNX78" s="2805"/>
      <c r="CNY78" s="2805"/>
      <c r="CNZ78" s="2805"/>
      <c r="COA78" s="2805"/>
      <c r="COB78" s="2805"/>
      <c r="COC78" s="2805"/>
      <c r="COD78" s="2805"/>
      <c r="COE78" s="2805"/>
      <c r="COF78" s="2805"/>
      <c r="COG78" s="2805"/>
      <c r="COH78" s="2805"/>
      <c r="COI78" s="2805"/>
      <c r="COJ78" s="2805"/>
      <c r="COK78" s="2805"/>
      <c r="COL78" s="2805"/>
      <c r="COM78" s="2805"/>
      <c r="CON78" s="2805"/>
      <c r="COO78" s="2805"/>
      <c r="COP78" s="2805"/>
      <c r="COQ78" s="2805"/>
      <c r="COR78" s="2805"/>
      <c r="COS78" s="2805"/>
      <c r="COT78" s="2805"/>
      <c r="COU78" s="2805"/>
      <c r="COV78" s="2805"/>
      <c r="COW78" s="2805"/>
      <c r="COX78" s="2805"/>
      <c r="COY78" s="2805"/>
      <c r="COZ78" s="2805"/>
      <c r="CPA78" s="2805"/>
      <c r="CPB78" s="2805"/>
      <c r="CPC78" s="2805"/>
      <c r="CPD78" s="2805"/>
      <c r="CPE78" s="2805"/>
      <c r="CPF78" s="2805"/>
      <c r="CPG78" s="2805"/>
      <c r="CPH78" s="2805"/>
      <c r="CPI78" s="2805"/>
      <c r="CPJ78" s="2805"/>
      <c r="CPK78" s="2805"/>
      <c r="CPL78" s="2805"/>
      <c r="CPM78" s="2805"/>
      <c r="CPN78" s="2805"/>
      <c r="CPO78" s="2805"/>
      <c r="CPP78" s="2805"/>
      <c r="CPQ78" s="2805"/>
      <c r="CPR78" s="2805"/>
      <c r="CPS78" s="2805"/>
      <c r="CPT78" s="2805"/>
      <c r="CPU78" s="2805"/>
      <c r="CPV78" s="2805"/>
      <c r="CPW78" s="2805"/>
      <c r="CPX78" s="2805"/>
      <c r="CPY78" s="2805"/>
      <c r="CPZ78" s="2805"/>
      <c r="CQA78" s="2805"/>
      <c r="CQB78" s="2805"/>
      <c r="CQC78" s="2805"/>
      <c r="CQD78" s="2805"/>
      <c r="CQE78" s="2805"/>
      <c r="CQF78" s="2805"/>
      <c r="CQG78" s="2805"/>
      <c r="CQH78" s="2805"/>
      <c r="CQI78" s="2805"/>
      <c r="CQJ78" s="2805"/>
      <c r="CQK78" s="2805"/>
      <c r="CQL78" s="2805"/>
      <c r="CQM78" s="2805"/>
      <c r="CQN78" s="2805"/>
      <c r="CQO78" s="2805"/>
      <c r="CQP78" s="2805"/>
      <c r="CQQ78" s="2805"/>
      <c r="CQR78" s="2805"/>
      <c r="CQS78" s="2805"/>
      <c r="CQT78" s="2805"/>
      <c r="CQU78" s="2805"/>
      <c r="CQV78" s="2805"/>
      <c r="CQW78" s="2805"/>
      <c r="CQX78" s="2805"/>
      <c r="CQY78" s="2805"/>
      <c r="CQZ78" s="2805"/>
      <c r="CRA78" s="2805"/>
      <c r="CRB78" s="2805"/>
      <c r="CRC78" s="2805"/>
      <c r="CRD78" s="2805"/>
      <c r="CRE78" s="2805"/>
      <c r="CRF78" s="2805"/>
      <c r="CRG78" s="2805"/>
      <c r="CRH78" s="2805"/>
      <c r="CRI78" s="2805"/>
      <c r="CRJ78" s="2805"/>
      <c r="CRK78" s="2805"/>
      <c r="CRL78" s="2805"/>
      <c r="CRM78" s="2805"/>
      <c r="CRN78" s="2805"/>
      <c r="CRO78" s="2805"/>
      <c r="CRP78" s="2805"/>
      <c r="CRQ78" s="2805"/>
      <c r="CRR78" s="2805"/>
      <c r="CRS78" s="2805"/>
      <c r="CRT78" s="2805"/>
      <c r="CRU78" s="2805"/>
      <c r="CRV78" s="2805"/>
      <c r="CRW78" s="2805"/>
      <c r="CRX78" s="2805"/>
      <c r="CRY78" s="2805"/>
      <c r="CRZ78" s="2805"/>
      <c r="CSA78" s="2805"/>
      <c r="CSB78" s="2805"/>
      <c r="CSC78" s="2805"/>
      <c r="CSD78" s="2805"/>
      <c r="CSE78" s="2805"/>
      <c r="CSF78" s="2805"/>
      <c r="CSG78" s="2805"/>
      <c r="CSH78" s="2805"/>
      <c r="CSI78" s="2805"/>
      <c r="CSJ78" s="2805"/>
      <c r="CSK78" s="2805"/>
      <c r="CSL78" s="2805"/>
      <c r="CSM78" s="2805"/>
      <c r="CSN78" s="2805"/>
      <c r="CSO78" s="2805"/>
      <c r="CSP78" s="2805"/>
      <c r="CSQ78" s="2805"/>
      <c r="CSR78" s="2805"/>
      <c r="CSS78" s="2805"/>
      <c r="CST78" s="2805"/>
      <c r="CSU78" s="2805"/>
      <c r="CSV78" s="2805"/>
      <c r="CSW78" s="2805"/>
      <c r="CSX78" s="2805"/>
      <c r="CSY78" s="2805"/>
      <c r="CSZ78" s="2805"/>
      <c r="CTA78" s="2805"/>
      <c r="CTB78" s="2805"/>
      <c r="CTC78" s="2805"/>
      <c r="CTD78" s="2805"/>
      <c r="CTE78" s="2805"/>
      <c r="CTF78" s="2805"/>
      <c r="CTG78" s="2805"/>
      <c r="CTH78" s="2805"/>
      <c r="CTI78" s="2805"/>
      <c r="CTJ78" s="2805"/>
      <c r="CTK78" s="2805"/>
      <c r="CTL78" s="2805"/>
      <c r="CTM78" s="2805"/>
      <c r="CTN78" s="2805"/>
      <c r="CTO78" s="2805"/>
      <c r="CTP78" s="2805"/>
      <c r="CTQ78" s="2805"/>
      <c r="CTR78" s="2805"/>
      <c r="CTS78" s="2805"/>
      <c r="CTT78" s="2805"/>
      <c r="CTU78" s="2805"/>
      <c r="CTV78" s="2805"/>
      <c r="CTW78" s="2805"/>
      <c r="CTX78" s="2805"/>
      <c r="CTY78" s="2805"/>
      <c r="CTZ78" s="2805"/>
      <c r="CUA78" s="2805"/>
      <c r="CUB78" s="2805"/>
      <c r="CUC78" s="2805"/>
      <c r="CUD78" s="2805"/>
      <c r="CUE78" s="2805"/>
      <c r="CUF78" s="2805"/>
      <c r="CUG78" s="2805"/>
      <c r="CUH78" s="2805"/>
      <c r="CUI78" s="2805"/>
      <c r="CUJ78" s="2805"/>
      <c r="CUK78" s="2805"/>
      <c r="CUL78" s="2805"/>
      <c r="CUM78" s="2805"/>
      <c r="CUN78" s="2805"/>
      <c r="CUO78" s="2805"/>
      <c r="CUP78" s="2805"/>
      <c r="CUQ78" s="2805"/>
      <c r="CUR78" s="2805"/>
      <c r="CUS78" s="2805"/>
      <c r="CUT78" s="2805"/>
      <c r="CUU78" s="2805"/>
      <c r="CUV78" s="2805"/>
      <c r="CUW78" s="2805"/>
      <c r="CUX78" s="2805"/>
      <c r="CUY78" s="2805"/>
      <c r="CUZ78" s="2805"/>
      <c r="CVA78" s="2805"/>
      <c r="CVB78" s="2805"/>
      <c r="CVC78" s="2805"/>
      <c r="CVD78" s="2805"/>
      <c r="CVE78" s="2805"/>
      <c r="CVF78" s="2805"/>
      <c r="CVG78" s="2805"/>
      <c r="CVH78" s="2805"/>
      <c r="CVI78" s="2805"/>
      <c r="CVJ78" s="2805"/>
      <c r="CVK78" s="2805"/>
      <c r="CVL78" s="2805"/>
      <c r="CVM78" s="2805"/>
      <c r="CVN78" s="2805"/>
      <c r="CVO78" s="2805"/>
      <c r="CVP78" s="2805"/>
      <c r="CVQ78" s="2805"/>
      <c r="CVR78" s="2805"/>
      <c r="CVS78" s="2805"/>
      <c r="CVT78" s="2805"/>
      <c r="CVU78" s="2805"/>
      <c r="CVV78" s="2805"/>
      <c r="CVW78" s="2805"/>
      <c r="CVX78" s="2805"/>
      <c r="CVY78" s="2805"/>
      <c r="CVZ78" s="2805"/>
      <c r="CWA78" s="2805"/>
      <c r="CWB78" s="2805"/>
      <c r="CWC78" s="2805"/>
      <c r="CWD78" s="2805"/>
      <c r="CWE78" s="2805"/>
      <c r="CWF78" s="2805"/>
      <c r="CWG78" s="2805"/>
      <c r="CWH78" s="2805"/>
      <c r="CWI78" s="2805"/>
      <c r="CWJ78" s="2805"/>
      <c r="CWK78" s="2805"/>
      <c r="CWL78" s="2805"/>
      <c r="CWM78" s="2805"/>
      <c r="CWN78" s="2805"/>
      <c r="CWO78" s="2805"/>
      <c r="CWP78" s="2805"/>
      <c r="CWQ78" s="2805"/>
      <c r="CWR78" s="2805"/>
      <c r="CWS78" s="2805"/>
      <c r="CWT78" s="2805"/>
      <c r="CWU78" s="2805"/>
      <c r="CWV78" s="2805"/>
      <c r="CWW78" s="2805"/>
      <c r="CWX78" s="2805"/>
      <c r="CWY78" s="2805"/>
      <c r="CWZ78" s="2805"/>
      <c r="CXA78" s="2805"/>
      <c r="CXB78" s="2805"/>
      <c r="CXC78" s="2805"/>
      <c r="CXD78" s="2805"/>
      <c r="CXE78" s="2805"/>
      <c r="CXF78" s="2805"/>
      <c r="CXG78" s="2805"/>
      <c r="CXH78" s="2805"/>
      <c r="CXI78" s="2805"/>
      <c r="CXJ78" s="2805"/>
      <c r="CXK78" s="2805"/>
      <c r="CXL78" s="2805"/>
      <c r="CXM78" s="2805"/>
      <c r="CXN78" s="2805"/>
      <c r="CXO78" s="2805"/>
      <c r="CXP78" s="2805"/>
      <c r="CXQ78" s="2805"/>
      <c r="CXR78" s="2805"/>
      <c r="CXS78" s="2805"/>
      <c r="CXT78" s="2805"/>
      <c r="CXU78" s="2805"/>
      <c r="CXV78" s="2805"/>
      <c r="CXW78" s="2805"/>
      <c r="CXX78" s="2805"/>
      <c r="CXY78" s="2805"/>
      <c r="CXZ78" s="2805"/>
      <c r="CYA78" s="2805"/>
      <c r="CYB78" s="2805"/>
      <c r="CYC78" s="2805"/>
      <c r="CYD78" s="2805"/>
      <c r="CYE78" s="2805"/>
      <c r="CYF78" s="2805"/>
      <c r="CYG78" s="2805"/>
      <c r="CYH78" s="2805"/>
      <c r="CYI78" s="2805"/>
      <c r="CYJ78" s="2805"/>
      <c r="CYK78" s="2805"/>
      <c r="CYL78" s="2805"/>
      <c r="CYM78" s="2805"/>
      <c r="CYN78" s="2805"/>
      <c r="CYO78" s="2805"/>
      <c r="CYP78" s="2805"/>
      <c r="CYQ78" s="2805"/>
      <c r="CYR78" s="2805"/>
      <c r="CYS78" s="2805"/>
      <c r="CYT78" s="2805"/>
      <c r="CYU78" s="2805"/>
      <c r="CYV78" s="2805"/>
      <c r="CYW78" s="2805"/>
      <c r="CYX78" s="2805"/>
      <c r="CYY78" s="2805"/>
      <c r="CYZ78" s="2805"/>
      <c r="CZA78" s="2805"/>
      <c r="CZB78" s="2805"/>
      <c r="CZC78" s="2805"/>
      <c r="CZD78" s="2805"/>
      <c r="CZE78" s="2805"/>
      <c r="CZF78" s="2805"/>
      <c r="CZG78" s="2805"/>
      <c r="CZH78" s="2805"/>
      <c r="CZI78" s="2805"/>
      <c r="CZJ78" s="2805"/>
      <c r="CZK78" s="2805"/>
      <c r="CZL78" s="2805"/>
      <c r="CZM78" s="2805"/>
      <c r="CZN78" s="2805"/>
      <c r="CZO78" s="2805"/>
      <c r="CZP78" s="2805"/>
      <c r="CZQ78" s="2805"/>
      <c r="CZR78" s="2805"/>
      <c r="CZS78" s="2805"/>
      <c r="CZT78" s="2805"/>
      <c r="CZU78" s="2805"/>
      <c r="CZV78" s="2805"/>
      <c r="CZW78" s="2805"/>
      <c r="CZX78" s="2805"/>
      <c r="CZY78" s="2805"/>
      <c r="CZZ78" s="2805"/>
      <c r="DAA78" s="2805"/>
      <c r="DAB78" s="2805"/>
      <c r="DAC78" s="2805"/>
      <c r="DAD78" s="2805"/>
      <c r="DAE78" s="2805"/>
      <c r="DAF78" s="2805"/>
      <c r="DAG78" s="2805"/>
      <c r="DAH78" s="2805"/>
      <c r="DAI78" s="2805"/>
      <c r="DAJ78" s="2805"/>
      <c r="DAK78" s="2805"/>
      <c r="DAL78" s="2805"/>
      <c r="DAM78" s="2805"/>
      <c r="DAN78" s="2805"/>
      <c r="DAO78" s="2805"/>
      <c r="DAP78" s="2805"/>
      <c r="DAQ78" s="2805"/>
      <c r="DAR78" s="2805"/>
      <c r="DAS78" s="2805"/>
      <c r="DAT78" s="2805"/>
      <c r="DAU78" s="2805"/>
      <c r="DAV78" s="2805"/>
      <c r="DAW78" s="2805"/>
      <c r="DAX78" s="2805"/>
      <c r="DAY78" s="2805"/>
      <c r="DAZ78" s="2805"/>
      <c r="DBA78" s="2805"/>
      <c r="DBB78" s="2805"/>
      <c r="DBC78" s="2805"/>
      <c r="DBD78" s="2805"/>
      <c r="DBE78" s="2805"/>
      <c r="DBF78" s="2805"/>
      <c r="DBG78" s="2805"/>
      <c r="DBH78" s="2805"/>
      <c r="DBI78" s="2805"/>
      <c r="DBJ78" s="2805"/>
      <c r="DBK78" s="2805"/>
      <c r="DBL78" s="2805"/>
      <c r="DBM78" s="2805"/>
      <c r="DBN78" s="2805"/>
      <c r="DBO78" s="2805"/>
      <c r="DBP78" s="2805"/>
      <c r="DBQ78" s="2805"/>
      <c r="DBR78" s="2805"/>
      <c r="DBS78" s="2805"/>
      <c r="DBT78" s="2805"/>
      <c r="DBU78" s="2805"/>
      <c r="DBV78" s="2805"/>
      <c r="DBW78" s="2805"/>
      <c r="DBX78" s="2805"/>
      <c r="DBY78" s="2805"/>
      <c r="DBZ78" s="2805"/>
      <c r="DCA78" s="2805"/>
      <c r="DCB78" s="2805"/>
      <c r="DCC78" s="2805"/>
      <c r="DCD78" s="2805"/>
      <c r="DCE78" s="2805"/>
      <c r="DCF78" s="2805"/>
      <c r="DCG78" s="2805"/>
      <c r="DCH78" s="2805"/>
      <c r="DCI78" s="2805"/>
      <c r="DCJ78" s="2805"/>
      <c r="DCK78" s="2805"/>
      <c r="DCL78" s="2805"/>
      <c r="DCM78" s="2805"/>
      <c r="DCN78" s="2805"/>
      <c r="DCO78" s="2805"/>
      <c r="DCP78" s="2805"/>
      <c r="DCQ78" s="2805"/>
      <c r="DCR78" s="2805"/>
      <c r="DCS78" s="2805"/>
      <c r="DCT78" s="2805"/>
      <c r="DCU78" s="2805"/>
      <c r="DCV78" s="2805"/>
      <c r="DCW78" s="2805"/>
      <c r="DCX78" s="2805"/>
      <c r="DCY78" s="2805"/>
      <c r="DCZ78" s="2805"/>
      <c r="DDA78" s="2805"/>
      <c r="DDB78" s="2805"/>
      <c r="DDC78" s="2805"/>
      <c r="DDD78" s="2805"/>
      <c r="DDE78" s="2805"/>
      <c r="DDF78" s="2805"/>
      <c r="DDG78" s="2805"/>
      <c r="DDH78" s="2805"/>
      <c r="DDI78" s="2805"/>
      <c r="DDJ78" s="2805"/>
      <c r="DDK78" s="2805"/>
      <c r="DDL78" s="2805"/>
      <c r="DDM78" s="2805"/>
      <c r="DDN78" s="2805"/>
      <c r="DDO78" s="2805"/>
      <c r="DDP78" s="2805"/>
      <c r="DDQ78" s="2805"/>
      <c r="DDR78" s="2805"/>
      <c r="DDS78" s="2805"/>
      <c r="DDT78" s="2805"/>
      <c r="DDU78" s="2805"/>
      <c r="DDV78" s="2805"/>
      <c r="DDW78" s="2805"/>
      <c r="DDX78" s="2805"/>
      <c r="DDY78" s="2805"/>
      <c r="DDZ78" s="2805"/>
      <c r="DEA78" s="2805"/>
      <c r="DEB78" s="2805"/>
      <c r="DEC78" s="2805"/>
      <c r="DED78" s="2805"/>
      <c r="DEE78" s="2805"/>
      <c r="DEF78" s="2805"/>
      <c r="DEG78" s="2805"/>
      <c r="DEH78" s="2805"/>
      <c r="DEI78" s="2805"/>
      <c r="DEJ78" s="2805"/>
      <c r="DEK78" s="2805"/>
      <c r="DEL78" s="2805"/>
      <c r="DEM78" s="2805"/>
      <c r="DEN78" s="2805"/>
      <c r="DEO78" s="2805"/>
      <c r="DEP78" s="2805"/>
      <c r="DEQ78" s="2805"/>
      <c r="DER78" s="2805"/>
      <c r="DES78" s="2805"/>
      <c r="DET78" s="2805"/>
      <c r="DEU78" s="2805"/>
      <c r="DEV78" s="2805"/>
      <c r="DEW78" s="2805"/>
      <c r="DEX78" s="2805"/>
      <c r="DEY78" s="2805"/>
      <c r="DEZ78" s="2805"/>
      <c r="DFA78" s="2805"/>
      <c r="DFB78" s="2805"/>
      <c r="DFC78" s="2805"/>
      <c r="DFD78" s="2805"/>
      <c r="DFE78" s="2805"/>
      <c r="DFF78" s="2805"/>
      <c r="DFG78" s="2805"/>
      <c r="DFH78" s="2805"/>
      <c r="DFI78" s="2805"/>
      <c r="DFJ78" s="2805"/>
      <c r="DFK78" s="2805"/>
      <c r="DFL78" s="2805"/>
      <c r="DFM78" s="2805"/>
      <c r="DFN78" s="2805"/>
      <c r="DFO78" s="2805"/>
      <c r="DFP78" s="2805"/>
      <c r="DFQ78" s="2805"/>
      <c r="DFR78" s="2805"/>
      <c r="DFS78" s="2805"/>
      <c r="DFT78" s="2805"/>
      <c r="DFU78" s="2805"/>
      <c r="DFV78" s="2805"/>
      <c r="DFW78" s="2805"/>
      <c r="DFX78" s="2805"/>
      <c r="DFY78" s="2805"/>
      <c r="DFZ78" s="2805"/>
      <c r="DGA78" s="2805"/>
      <c r="DGB78" s="2805"/>
      <c r="DGC78" s="2805"/>
      <c r="DGD78" s="2805"/>
      <c r="DGE78" s="2805"/>
      <c r="DGF78" s="2805"/>
      <c r="DGG78" s="2805"/>
      <c r="DGH78" s="2805"/>
      <c r="DGI78" s="2805"/>
      <c r="DGJ78" s="2805"/>
      <c r="DGK78" s="2805"/>
      <c r="DGL78" s="2805"/>
      <c r="DGM78" s="2805"/>
      <c r="DGN78" s="2805"/>
      <c r="DGO78" s="2805"/>
      <c r="DGP78" s="2805"/>
      <c r="DGQ78" s="2805"/>
      <c r="DGR78" s="2805"/>
      <c r="DGS78" s="2805"/>
      <c r="DGT78" s="2805"/>
      <c r="DGU78" s="2805"/>
      <c r="DGV78" s="2805"/>
      <c r="DGW78" s="2805"/>
      <c r="DGX78" s="2805"/>
      <c r="DGY78" s="2805"/>
      <c r="DGZ78" s="2805"/>
      <c r="DHA78" s="2805"/>
      <c r="DHB78" s="2805"/>
      <c r="DHC78" s="2805"/>
      <c r="DHD78" s="2805"/>
      <c r="DHE78" s="2805"/>
      <c r="DHF78" s="2805"/>
      <c r="DHG78" s="2805"/>
      <c r="DHH78" s="2805"/>
      <c r="DHI78" s="2805"/>
      <c r="DHJ78" s="2805"/>
      <c r="DHK78" s="2805"/>
      <c r="DHL78" s="2805"/>
      <c r="DHM78" s="2805"/>
      <c r="DHN78" s="2805"/>
      <c r="DHO78" s="2805"/>
      <c r="DHP78" s="2805"/>
      <c r="DHQ78" s="2805"/>
      <c r="DHR78" s="2805"/>
      <c r="DHS78" s="2805"/>
      <c r="DHT78" s="2805"/>
      <c r="DHU78" s="2805"/>
      <c r="DHV78" s="2805"/>
      <c r="DHW78" s="2805"/>
      <c r="DHX78" s="2805"/>
      <c r="DHY78" s="2805"/>
      <c r="DHZ78" s="2805"/>
      <c r="DIA78" s="2805"/>
      <c r="DIB78" s="2805"/>
      <c r="DIC78" s="2805"/>
      <c r="DID78" s="2805"/>
      <c r="DIE78" s="2805"/>
      <c r="DIF78" s="2805"/>
      <c r="DIG78" s="2805"/>
      <c r="DIH78" s="2805"/>
      <c r="DII78" s="2805"/>
      <c r="DIJ78" s="2805"/>
      <c r="DIK78" s="2805"/>
      <c r="DIL78" s="2805"/>
      <c r="DIM78" s="2805"/>
      <c r="DIN78" s="2805"/>
      <c r="DIO78" s="2805"/>
      <c r="DIP78" s="2805"/>
      <c r="DIQ78" s="2805"/>
      <c r="DIR78" s="2805"/>
      <c r="DIS78" s="2805"/>
      <c r="DIT78" s="2805"/>
      <c r="DIU78" s="2805"/>
      <c r="DIV78" s="2805"/>
      <c r="DIW78" s="2805"/>
      <c r="DIX78" s="2805"/>
      <c r="DIY78" s="2805"/>
      <c r="DIZ78" s="2805"/>
      <c r="DJA78" s="2805"/>
      <c r="DJB78" s="2805"/>
      <c r="DJC78" s="2805"/>
      <c r="DJD78" s="2805"/>
      <c r="DJE78" s="2805"/>
      <c r="DJF78" s="2805"/>
      <c r="DJG78" s="2805"/>
      <c r="DJH78" s="2805"/>
      <c r="DJI78" s="2805"/>
      <c r="DJJ78" s="2805"/>
      <c r="DJK78" s="2805"/>
      <c r="DJL78" s="2805"/>
      <c r="DJM78" s="2805"/>
      <c r="DJN78" s="2805"/>
      <c r="DJO78" s="2805"/>
      <c r="DJP78" s="2805"/>
      <c r="DJQ78" s="2805"/>
      <c r="DJR78" s="2805"/>
      <c r="DJS78" s="2805"/>
      <c r="DJT78" s="2805"/>
      <c r="DJU78" s="2805"/>
      <c r="DJV78" s="2805"/>
      <c r="DJW78" s="2805"/>
      <c r="DJX78" s="2805"/>
      <c r="DJY78" s="2805"/>
      <c r="DJZ78" s="2805"/>
      <c r="DKA78" s="2805"/>
      <c r="DKB78" s="2805"/>
      <c r="DKC78" s="2805"/>
      <c r="DKD78" s="2805"/>
      <c r="DKE78" s="2805"/>
      <c r="DKF78" s="2805"/>
      <c r="DKG78" s="2805"/>
      <c r="DKH78" s="2805"/>
      <c r="DKI78" s="2805"/>
      <c r="DKJ78" s="2805"/>
      <c r="DKK78" s="2805"/>
      <c r="DKL78" s="2805"/>
      <c r="DKM78" s="2805"/>
      <c r="DKN78" s="2805"/>
      <c r="DKO78" s="2805"/>
      <c r="DKP78" s="2805"/>
      <c r="DKQ78" s="2805"/>
      <c r="DKR78" s="2805"/>
      <c r="DKS78" s="2805"/>
      <c r="DKT78" s="2805"/>
      <c r="DKU78" s="2805"/>
      <c r="DKV78" s="2805"/>
      <c r="DKW78" s="2805"/>
      <c r="DKX78" s="2805"/>
      <c r="DKY78" s="2805"/>
      <c r="DKZ78" s="2805"/>
      <c r="DLA78" s="2805"/>
      <c r="DLB78" s="2805"/>
      <c r="DLC78" s="2805"/>
      <c r="DLD78" s="2805"/>
      <c r="DLE78" s="2805"/>
      <c r="DLF78" s="2805"/>
      <c r="DLG78" s="2805"/>
      <c r="DLH78" s="2805"/>
      <c r="DLI78" s="2805"/>
      <c r="DLJ78" s="2805"/>
      <c r="DLK78" s="2805"/>
      <c r="DLL78" s="2805"/>
      <c r="DLM78" s="2805"/>
      <c r="DLN78" s="2805"/>
      <c r="DLO78" s="2805"/>
      <c r="DLP78" s="2805"/>
      <c r="DLQ78" s="2805"/>
      <c r="DLR78" s="2805"/>
      <c r="DLS78" s="2805"/>
      <c r="DLT78" s="2805"/>
      <c r="DLU78" s="2805"/>
      <c r="DLV78" s="2805"/>
      <c r="DLW78" s="2805"/>
      <c r="DLX78" s="2805"/>
      <c r="DLY78" s="2805"/>
      <c r="DLZ78" s="2805"/>
      <c r="DMA78" s="2805"/>
      <c r="DMB78" s="2805"/>
      <c r="DMC78" s="2805"/>
      <c r="DMD78" s="2805"/>
      <c r="DME78" s="2805"/>
      <c r="DMF78" s="2805"/>
      <c r="DMG78" s="2805"/>
      <c r="DMH78" s="2805"/>
      <c r="DMI78" s="2805"/>
      <c r="DMJ78" s="2805"/>
      <c r="DMK78" s="2805"/>
      <c r="DML78" s="2805"/>
      <c r="DMM78" s="2805"/>
      <c r="DMN78" s="2805"/>
      <c r="DMO78" s="2805"/>
      <c r="DMP78" s="2805"/>
      <c r="DMQ78" s="2805"/>
      <c r="DMR78" s="2805"/>
      <c r="DMS78" s="2805"/>
      <c r="DMT78" s="2805"/>
      <c r="DMU78" s="2805"/>
      <c r="DMV78" s="2805"/>
      <c r="DMW78" s="2805"/>
      <c r="DMX78" s="2805"/>
      <c r="DMY78" s="2805"/>
      <c r="DMZ78" s="2805"/>
      <c r="DNA78" s="2805"/>
      <c r="DNB78" s="2805"/>
      <c r="DNC78" s="2805"/>
      <c r="DND78" s="2805"/>
      <c r="DNE78" s="2805"/>
      <c r="DNF78" s="2805"/>
      <c r="DNG78" s="2805"/>
      <c r="DNH78" s="2805"/>
      <c r="DNI78" s="2805"/>
      <c r="DNJ78" s="2805"/>
      <c r="DNK78" s="2805"/>
      <c r="DNL78" s="2805"/>
      <c r="DNM78" s="2805"/>
      <c r="DNN78" s="2805"/>
      <c r="DNO78" s="2805"/>
      <c r="DNP78" s="2805"/>
      <c r="DNQ78" s="2805"/>
      <c r="DNR78" s="2805"/>
      <c r="DNS78" s="2805"/>
      <c r="DNT78" s="2805"/>
      <c r="DNU78" s="2805"/>
      <c r="DNV78" s="2805"/>
      <c r="DNW78" s="2805"/>
      <c r="DNX78" s="2805"/>
      <c r="DNY78" s="2805"/>
      <c r="DNZ78" s="2805"/>
      <c r="DOA78" s="2805"/>
      <c r="DOB78" s="2805"/>
      <c r="DOC78" s="2805"/>
      <c r="DOD78" s="2805"/>
      <c r="DOE78" s="2805"/>
      <c r="DOF78" s="2805"/>
      <c r="DOG78" s="2805"/>
      <c r="DOH78" s="2805"/>
      <c r="DOI78" s="2805"/>
      <c r="DOJ78" s="2805"/>
      <c r="DOK78" s="2805"/>
      <c r="DOL78" s="2805"/>
      <c r="DOM78" s="2805"/>
      <c r="DON78" s="2805"/>
      <c r="DOO78" s="2805"/>
      <c r="DOP78" s="2805"/>
      <c r="DOQ78" s="2805"/>
      <c r="DOR78" s="2805"/>
      <c r="DOS78" s="2805"/>
      <c r="DOT78" s="2805"/>
      <c r="DOU78" s="2805"/>
      <c r="DOV78" s="2805"/>
      <c r="DOW78" s="2805"/>
      <c r="DOX78" s="2805"/>
      <c r="DOY78" s="2805"/>
      <c r="DOZ78" s="2805"/>
      <c r="DPA78" s="2805"/>
      <c r="DPB78" s="2805"/>
      <c r="DPC78" s="2805"/>
      <c r="DPD78" s="2805"/>
      <c r="DPE78" s="2805"/>
      <c r="DPF78" s="2805"/>
      <c r="DPG78" s="2805"/>
      <c r="DPH78" s="2805"/>
      <c r="DPI78" s="2805"/>
      <c r="DPJ78" s="2805"/>
      <c r="DPK78" s="2805"/>
      <c r="DPL78" s="2805"/>
      <c r="DPM78" s="2805"/>
      <c r="DPN78" s="2805"/>
      <c r="DPO78" s="2805"/>
      <c r="DPP78" s="2805"/>
      <c r="DPQ78" s="2805"/>
      <c r="DPR78" s="2805"/>
      <c r="DPS78" s="2805"/>
      <c r="DPT78" s="2805"/>
      <c r="DPU78" s="2805"/>
      <c r="DPV78" s="2805"/>
      <c r="DPW78" s="2805"/>
      <c r="DPX78" s="2805"/>
      <c r="DPY78" s="2805"/>
      <c r="DPZ78" s="2805"/>
      <c r="DQA78" s="2805"/>
      <c r="DQB78" s="2805"/>
      <c r="DQC78" s="2805"/>
      <c r="DQD78" s="2805"/>
      <c r="DQE78" s="2805"/>
      <c r="DQF78" s="2805"/>
      <c r="DQG78" s="2805"/>
      <c r="DQH78" s="2805"/>
      <c r="DQI78" s="2805"/>
      <c r="DQJ78" s="2805"/>
      <c r="DQK78" s="2805"/>
      <c r="DQL78" s="2805"/>
      <c r="DQM78" s="2805"/>
      <c r="DQN78" s="2805"/>
      <c r="DQO78" s="2805"/>
      <c r="DQP78" s="2805"/>
      <c r="DQQ78" s="2805"/>
      <c r="DQR78" s="2805"/>
      <c r="DQS78" s="2805"/>
      <c r="DQT78" s="2805"/>
      <c r="DQU78" s="2805"/>
      <c r="DQV78" s="2805"/>
      <c r="DQW78" s="2805"/>
      <c r="DQX78" s="2805"/>
      <c r="DQY78" s="2805"/>
      <c r="DQZ78" s="2805"/>
      <c r="DRA78" s="2805"/>
      <c r="DRB78" s="2805"/>
      <c r="DRC78" s="2805"/>
      <c r="DRD78" s="2805"/>
      <c r="DRE78" s="2805"/>
      <c r="DRF78" s="2805"/>
      <c r="DRG78" s="2805"/>
      <c r="DRH78" s="2805"/>
      <c r="DRI78" s="2805"/>
      <c r="DRJ78" s="2805"/>
      <c r="DRK78" s="2805"/>
      <c r="DRL78" s="2805"/>
      <c r="DRM78" s="2805"/>
      <c r="DRN78" s="2805"/>
      <c r="DRO78" s="2805"/>
      <c r="DRP78" s="2805"/>
      <c r="DRQ78" s="2805"/>
      <c r="DRR78" s="2805"/>
      <c r="DRS78" s="2805"/>
      <c r="DRT78" s="2805"/>
      <c r="DRU78" s="2805"/>
      <c r="DRV78" s="2805"/>
      <c r="DRW78" s="2805"/>
      <c r="DRX78" s="2805"/>
      <c r="DRY78" s="2805"/>
      <c r="DRZ78" s="2805"/>
      <c r="DSA78" s="2805"/>
      <c r="DSB78" s="2805"/>
      <c r="DSC78" s="2805"/>
      <c r="DSD78" s="2805"/>
      <c r="DSE78" s="2805"/>
      <c r="DSF78" s="2805"/>
      <c r="DSG78" s="2805"/>
      <c r="DSH78" s="2805"/>
      <c r="DSI78" s="2805"/>
      <c r="DSJ78" s="2805"/>
      <c r="DSK78" s="2805"/>
      <c r="DSL78" s="2805"/>
      <c r="DSM78" s="2805"/>
      <c r="DSN78" s="2805"/>
      <c r="DSO78" s="2805"/>
      <c r="DSP78" s="2805"/>
      <c r="DSQ78" s="2805"/>
      <c r="DSR78" s="2805"/>
      <c r="DSS78" s="2805"/>
      <c r="DST78" s="2805"/>
      <c r="DSU78" s="2805"/>
      <c r="DSV78" s="2805"/>
      <c r="DSW78" s="2805"/>
      <c r="DSX78" s="2805"/>
      <c r="DSY78" s="2805"/>
      <c r="DSZ78" s="2805"/>
      <c r="DTA78" s="2805"/>
      <c r="DTB78" s="2805"/>
      <c r="DTC78" s="2805"/>
      <c r="DTD78" s="2805"/>
      <c r="DTE78" s="2805"/>
      <c r="DTF78" s="2805"/>
      <c r="DTG78" s="2805"/>
      <c r="DTH78" s="2805"/>
      <c r="DTI78" s="2805"/>
      <c r="DTJ78" s="2805"/>
      <c r="DTK78" s="2805"/>
      <c r="DTL78" s="2805"/>
      <c r="DTM78" s="2805"/>
      <c r="DTN78" s="2805"/>
      <c r="DTO78" s="2805"/>
      <c r="DTP78" s="2805"/>
      <c r="DTQ78" s="2805"/>
      <c r="DTR78" s="2805"/>
      <c r="DTS78" s="2805"/>
      <c r="DTT78" s="2805"/>
      <c r="DTU78" s="2805"/>
      <c r="DTV78" s="2805"/>
      <c r="DTW78" s="2805"/>
      <c r="DTX78" s="2805"/>
      <c r="DTY78" s="2805"/>
      <c r="DTZ78" s="2805"/>
      <c r="DUA78" s="2805"/>
      <c r="DUB78" s="2805"/>
      <c r="DUC78" s="2805"/>
      <c r="DUD78" s="2805"/>
      <c r="DUE78" s="2805"/>
      <c r="DUF78" s="2805"/>
      <c r="DUG78" s="2805"/>
      <c r="DUH78" s="2805"/>
      <c r="DUI78" s="2805"/>
      <c r="DUJ78" s="2805"/>
      <c r="DUK78" s="2805"/>
      <c r="DUL78" s="2805"/>
      <c r="DUM78" s="2805"/>
      <c r="DUN78" s="2805"/>
      <c r="DUO78" s="2805"/>
      <c r="DUP78" s="2805"/>
      <c r="DUQ78" s="2805"/>
      <c r="DUR78" s="2805"/>
      <c r="DUS78" s="2805"/>
      <c r="DUT78" s="2805"/>
      <c r="DUU78" s="2805"/>
      <c r="DUV78" s="2805"/>
      <c r="DUW78" s="2805"/>
      <c r="DUX78" s="2805"/>
      <c r="DUY78" s="2805"/>
      <c r="DUZ78" s="2805"/>
      <c r="DVA78" s="2805"/>
      <c r="DVB78" s="2805"/>
      <c r="DVC78" s="2805"/>
      <c r="DVD78" s="2805"/>
      <c r="DVE78" s="2805"/>
      <c r="DVF78" s="2805"/>
      <c r="DVG78" s="2805"/>
      <c r="DVH78" s="2805"/>
      <c r="DVI78" s="2805"/>
      <c r="DVJ78" s="2805"/>
      <c r="DVK78" s="2805"/>
      <c r="DVL78" s="2805"/>
      <c r="DVM78" s="2805"/>
      <c r="DVN78" s="2805"/>
      <c r="DVO78" s="2805"/>
      <c r="DVP78" s="2805"/>
      <c r="DVQ78" s="2805"/>
      <c r="DVR78" s="2805"/>
      <c r="DVS78" s="2805"/>
      <c r="DVT78" s="2805"/>
      <c r="DVU78" s="2805"/>
      <c r="DVV78" s="2805"/>
      <c r="DVW78" s="2805"/>
      <c r="DVX78" s="2805"/>
      <c r="DVY78" s="2805"/>
      <c r="DVZ78" s="2805"/>
      <c r="DWA78" s="2805"/>
      <c r="DWB78" s="2805"/>
      <c r="DWC78" s="2805"/>
      <c r="DWD78" s="2805"/>
      <c r="DWE78" s="2805"/>
      <c r="DWF78" s="2805"/>
      <c r="DWG78" s="2805"/>
      <c r="DWH78" s="2805"/>
      <c r="DWI78" s="2805"/>
      <c r="DWJ78" s="2805"/>
      <c r="DWK78" s="2805"/>
      <c r="DWL78" s="2805"/>
      <c r="DWM78" s="2805"/>
      <c r="DWN78" s="2805"/>
      <c r="DWO78" s="2805"/>
      <c r="DWP78" s="2805"/>
      <c r="DWQ78" s="2805"/>
      <c r="DWR78" s="2805"/>
      <c r="DWS78" s="2805"/>
      <c r="DWT78" s="2805"/>
      <c r="DWU78" s="2805"/>
      <c r="DWV78" s="2805"/>
      <c r="DWW78" s="2805"/>
      <c r="DWX78" s="2805"/>
      <c r="DWY78" s="2805"/>
      <c r="DWZ78" s="2805"/>
      <c r="DXA78" s="2805"/>
      <c r="DXB78" s="2805"/>
      <c r="DXC78" s="2805"/>
      <c r="DXD78" s="2805"/>
      <c r="DXE78" s="2805"/>
      <c r="DXF78" s="2805"/>
      <c r="DXG78" s="2805"/>
      <c r="DXH78" s="2805"/>
      <c r="DXI78" s="2805"/>
      <c r="DXJ78" s="2805"/>
      <c r="DXK78" s="2805"/>
      <c r="DXL78" s="2805"/>
      <c r="DXM78" s="2805"/>
      <c r="DXN78" s="2805"/>
      <c r="DXO78" s="2805"/>
      <c r="DXP78" s="2805"/>
      <c r="DXQ78" s="2805"/>
      <c r="DXR78" s="2805"/>
      <c r="DXS78" s="2805"/>
      <c r="DXT78" s="2805"/>
      <c r="DXU78" s="2805"/>
      <c r="DXV78" s="2805"/>
      <c r="DXW78" s="2805"/>
      <c r="DXX78" s="2805"/>
      <c r="DXY78" s="2805"/>
      <c r="DXZ78" s="2805"/>
      <c r="DYA78" s="2805"/>
      <c r="DYB78" s="2805"/>
      <c r="DYC78" s="2805"/>
      <c r="DYD78" s="2805"/>
      <c r="DYE78" s="2805"/>
      <c r="DYF78" s="2805"/>
      <c r="DYG78" s="2805"/>
      <c r="DYH78" s="2805"/>
      <c r="DYI78" s="2805"/>
      <c r="DYJ78" s="2805"/>
      <c r="DYK78" s="2805"/>
      <c r="DYL78" s="2805"/>
      <c r="DYM78" s="2805"/>
      <c r="DYN78" s="2805"/>
      <c r="DYO78" s="2805"/>
      <c r="DYP78" s="2805"/>
      <c r="DYQ78" s="2805"/>
      <c r="DYR78" s="2805"/>
      <c r="DYS78" s="2805"/>
      <c r="DYT78" s="2805"/>
      <c r="DYU78" s="2805"/>
      <c r="DYV78" s="2805"/>
      <c r="DYW78" s="2805"/>
      <c r="DYX78" s="2805"/>
      <c r="DYY78" s="2805"/>
      <c r="DYZ78" s="2805"/>
      <c r="DZA78" s="2805"/>
      <c r="DZB78" s="2805"/>
      <c r="DZC78" s="2805"/>
      <c r="DZD78" s="2805"/>
      <c r="DZE78" s="2805"/>
      <c r="DZF78" s="2805"/>
      <c r="DZG78" s="2805"/>
      <c r="DZH78" s="2805"/>
      <c r="DZI78" s="2805"/>
      <c r="DZJ78" s="2805"/>
      <c r="DZK78" s="2805"/>
      <c r="DZL78" s="2805"/>
      <c r="DZM78" s="2805"/>
      <c r="DZN78" s="2805"/>
      <c r="DZO78" s="2805"/>
      <c r="DZP78" s="2805"/>
      <c r="DZQ78" s="2805"/>
      <c r="DZR78" s="2805"/>
      <c r="DZS78" s="2805"/>
      <c r="DZT78" s="2805"/>
      <c r="DZU78" s="2805"/>
      <c r="DZV78" s="2805"/>
      <c r="DZW78" s="2805"/>
      <c r="DZX78" s="2805"/>
      <c r="DZY78" s="2805"/>
      <c r="DZZ78" s="2805"/>
      <c r="EAA78" s="2805"/>
      <c r="EAB78" s="2805"/>
      <c r="EAC78" s="2805"/>
      <c r="EAD78" s="2805"/>
      <c r="EAE78" s="2805"/>
      <c r="EAF78" s="2805"/>
      <c r="EAG78" s="2805"/>
      <c r="EAH78" s="2805"/>
      <c r="EAI78" s="2805"/>
      <c r="EAJ78" s="2805"/>
      <c r="EAK78" s="2805"/>
      <c r="EAL78" s="2805"/>
      <c r="EAM78" s="2805"/>
      <c r="EAN78" s="2805"/>
      <c r="EAO78" s="2805"/>
      <c r="EAP78" s="2805"/>
      <c r="EAQ78" s="2805"/>
      <c r="EAR78" s="2805"/>
      <c r="EAS78" s="2805"/>
      <c r="EAT78" s="2805"/>
      <c r="EAU78" s="2805"/>
      <c r="EAV78" s="2805"/>
      <c r="EAW78" s="2805"/>
      <c r="EAX78" s="2805"/>
      <c r="EAY78" s="2805"/>
      <c r="EAZ78" s="2805"/>
      <c r="EBA78" s="2805"/>
      <c r="EBB78" s="2805"/>
      <c r="EBC78" s="2805"/>
      <c r="EBD78" s="2805"/>
      <c r="EBE78" s="2805"/>
      <c r="EBF78" s="2805"/>
      <c r="EBG78" s="2805"/>
      <c r="EBH78" s="2805"/>
      <c r="EBI78" s="2805"/>
      <c r="EBJ78" s="2805"/>
      <c r="EBK78" s="2805"/>
      <c r="EBL78" s="2805"/>
      <c r="EBM78" s="2805"/>
      <c r="EBN78" s="2805"/>
      <c r="EBO78" s="2805"/>
      <c r="EBP78" s="2805"/>
      <c r="EBQ78" s="2805"/>
      <c r="EBR78" s="2805"/>
      <c r="EBS78" s="2805"/>
      <c r="EBT78" s="2805"/>
      <c r="EBU78" s="2805"/>
      <c r="EBV78" s="2805"/>
      <c r="EBW78" s="2805"/>
      <c r="EBX78" s="2805"/>
      <c r="EBY78" s="2805"/>
      <c r="EBZ78" s="2805"/>
      <c r="ECA78" s="2805"/>
      <c r="ECB78" s="2805"/>
      <c r="ECC78" s="2805"/>
      <c r="ECD78" s="2805"/>
      <c r="ECE78" s="2805"/>
      <c r="ECF78" s="2805"/>
      <c r="ECG78" s="2805"/>
      <c r="ECH78" s="2805"/>
      <c r="ECI78" s="2805"/>
      <c r="ECJ78" s="2805"/>
      <c r="ECK78" s="2805"/>
      <c r="ECL78" s="2805"/>
      <c r="ECM78" s="2805"/>
      <c r="ECN78" s="2805"/>
      <c r="ECO78" s="2805"/>
      <c r="ECP78" s="2805"/>
      <c r="ECQ78" s="2805"/>
      <c r="ECR78" s="2805"/>
      <c r="ECS78" s="2805"/>
      <c r="ECT78" s="2805"/>
      <c r="ECU78" s="2805"/>
      <c r="ECV78" s="2805"/>
      <c r="ECW78" s="2805"/>
      <c r="ECX78" s="2805"/>
      <c r="ECY78" s="2805"/>
      <c r="ECZ78" s="2805"/>
      <c r="EDA78" s="2805"/>
      <c r="EDB78" s="2805"/>
      <c r="EDC78" s="2805"/>
      <c r="EDD78" s="2805"/>
      <c r="EDE78" s="2805"/>
      <c r="EDF78" s="2805"/>
      <c r="EDG78" s="2805"/>
      <c r="EDH78" s="2805"/>
      <c r="EDI78" s="2805"/>
      <c r="EDJ78" s="2805"/>
      <c r="EDK78" s="2805"/>
      <c r="EDL78" s="2805"/>
      <c r="EDM78" s="2805"/>
      <c r="EDN78" s="2805"/>
      <c r="EDO78" s="2805"/>
      <c r="EDP78" s="2805"/>
      <c r="EDQ78" s="2805"/>
      <c r="EDR78" s="2805"/>
      <c r="EDS78" s="2805"/>
      <c r="EDT78" s="2805"/>
      <c r="EDU78" s="2805"/>
      <c r="EDV78" s="2805"/>
      <c r="EDW78" s="2805"/>
      <c r="EDX78" s="2805"/>
      <c r="EDY78" s="2805"/>
      <c r="EDZ78" s="2805"/>
      <c r="EEA78" s="2805"/>
      <c r="EEB78" s="2805"/>
      <c r="EEC78" s="2805"/>
      <c r="EED78" s="2805"/>
      <c r="EEE78" s="2805"/>
      <c r="EEF78" s="2805"/>
      <c r="EEG78" s="2805"/>
      <c r="EEH78" s="2805"/>
      <c r="EEI78" s="2805"/>
      <c r="EEJ78" s="2805"/>
      <c r="EEK78" s="2805"/>
      <c r="EEL78" s="2805"/>
      <c r="EEM78" s="2805"/>
      <c r="EEN78" s="2805"/>
      <c r="EEO78" s="2805"/>
      <c r="EEP78" s="2805"/>
      <c r="EEQ78" s="2805"/>
      <c r="EER78" s="2805"/>
      <c r="EES78" s="2805"/>
      <c r="EET78" s="2805"/>
      <c r="EEU78" s="2805"/>
      <c r="EEV78" s="2805"/>
      <c r="EEW78" s="2805"/>
      <c r="EEX78" s="2805"/>
      <c r="EEY78" s="2805"/>
      <c r="EEZ78" s="2805"/>
      <c r="EFA78" s="2805"/>
      <c r="EFB78" s="2805"/>
      <c r="EFC78" s="2805"/>
      <c r="EFD78" s="2805"/>
      <c r="EFE78" s="2805"/>
      <c r="EFF78" s="2805"/>
      <c r="EFG78" s="2805"/>
      <c r="EFH78" s="2805"/>
      <c r="EFI78" s="2805"/>
      <c r="EFJ78" s="2805"/>
      <c r="EFK78" s="2805"/>
      <c r="EFL78" s="2805"/>
      <c r="EFM78" s="2805"/>
      <c r="EFN78" s="2805"/>
      <c r="EFO78" s="2805"/>
      <c r="EFP78" s="2805"/>
      <c r="EFQ78" s="2805"/>
      <c r="EFR78" s="2805"/>
      <c r="EFS78" s="2805"/>
      <c r="EFT78" s="2805"/>
      <c r="EFU78" s="2805"/>
      <c r="EFV78" s="2805"/>
      <c r="EFW78" s="2805"/>
      <c r="EFX78" s="2805"/>
      <c r="EFY78" s="2805"/>
      <c r="EFZ78" s="2805"/>
      <c r="EGA78" s="2805"/>
      <c r="EGB78" s="2805"/>
      <c r="EGC78" s="2805"/>
      <c r="EGD78" s="2805"/>
      <c r="EGE78" s="2805"/>
      <c r="EGF78" s="2805"/>
      <c r="EGG78" s="2805"/>
      <c r="EGH78" s="2805"/>
      <c r="EGI78" s="2805"/>
      <c r="EGJ78" s="2805"/>
      <c r="EGK78" s="2805"/>
      <c r="EGL78" s="2805"/>
      <c r="EGM78" s="2805"/>
      <c r="EGN78" s="2805"/>
      <c r="EGO78" s="2805"/>
      <c r="EGP78" s="2805"/>
      <c r="EGQ78" s="2805"/>
      <c r="EGR78" s="2805"/>
      <c r="EGS78" s="2805"/>
      <c r="EGT78" s="2805"/>
      <c r="EGU78" s="2805"/>
      <c r="EGV78" s="2805"/>
      <c r="EGW78" s="2805"/>
      <c r="EGX78" s="2805"/>
      <c r="EGY78" s="2805"/>
      <c r="EGZ78" s="2805"/>
      <c r="EHA78" s="2805"/>
      <c r="EHB78" s="2805"/>
      <c r="EHC78" s="2805"/>
      <c r="EHD78" s="2805"/>
      <c r="EHE78" s="2805"/>
      <c r="EHF78" s="2805"/>
      <c r="EHG78" s="2805"/>
      <c r="EHH78" s="2805"/>
      <c r="EHI78" s="2805"/>
      <c r="EHJ78" s="2805"/>
      <c r="EHK78" s="2805"/>
      <c r="EHL78" s="2805"/>
      <c r="EHM78" s="2805"/>
      <c r="EHN78" s="2805"/>
      <c r="EHO78" s="2805"/>
      <c r="EHP78" s="2805"/>
      <c r="EHQ78" s="2805"/>
      <c r="EHR78" s="2805"/>
      <c r="EHS78" s="2805"/>
      <c r="EHT78" s="2805"/>
      <c r="EHU78" s="2805"/>
      <c r="EHV78" s="2805"/>
      <c r="EHW78" s="2805"/>
      <c r="EHX78" s="2805"/>
      <c r="EHY78" s="2805"/>
      <c r="EHZ78" s="2805"/>
      <c r="EIA78" s="2805"/>
      <c r="EIB78" s="2805"/>
      <c r="EIC78" s="2805"/>
      <c r="EID78" s="2805"/>
      <c r="EIE78" s="2805"/>
      <c r="EIF78" s="2805"/>
      <c r="EIG78" s="2805"/>
      <c r="EIH78" s="2805"/>
      <c r="EII78" s="2805"/>
      <c r="EIJ78" s="2805"/>
      <c r="EIK78" s="2805"/>
      <c r="EIL78" s="2805"/>
      <c r="EIM78" s="2805"/>
      <c r="EIN78" s="2805"/>
      <c r="EIO78" s="2805"/>
      <c r="EIP78" s="2805"/>
      <c r="EIQ78" s="2805"/>
      <c r="EIR78" s="2805"/>
      <c r="EIS78" s="2805"/>
      <c r="EIT78" s="2805"/>
      <c r="EIU78" s="2805"/>
      <c r="EIV78" s="2805"/>
      <c r="EIW78" s="2805"/>
      <c r="EIX78" s="2805"/>
      <c r="EIY78" s="2805"/>
      <c r="EIZ78" s="2805"/>
      <c r="EJA78" s="2805"/>
      <c r="EJB78" s="2805"/>
      <c r="EJC78" s="2805"/>
      <c r="EJD78" s="2805"/>
      <c r="EJE78" s="2805"/>
      <c r="EJF78" s="2805"/>
      <c r="EJG78" s="2805"/>
      <c r="EJH78" s="2805"/>
      <c r="EJI78" s="2805"/>
      <c r="EJJ78" s="2805"/>
      <c r="EJK78" s="2805"/>
      <c r="EJL78" s="2805"/>
      <c r="EJM78" s="2805"/>
      <c r="EJN78" s="2805"/>
      <c r="EJO78" s="2805"/>
      <c r="EJP78" s="2805"/>
      <c r="EJQ78" s="2805"/>
      <c r="EJR78" s="2805"/>
      <c r="EJS78" s="2805"/>
      <c r="EJT78" s="2805"/>
      <c r="EJU78" s="2805"/>
      <c r="EJV78" s="2805"/>
      <c r="EJW78" s="2805"/>
      <c r="EJX78" s="2805"/>
      <c r="EJY78" s="2805"/>
      <c r="EJZ78" s="2805"/>
      <c r="EKA78" s="2805"/>
      <c r="EKB78" s="2805"/>
      <c r="EKC78" s="2805"/>
      <c r="EKD78" s="2805"/>
      <c r="EKE78" s="2805"/>
      <c r="EKF78" s="2805"/>
      <c r="EKG78" s="2805"/>
      <c r="EKH78" s="2805"/>
      <c r="EKI78" s="2805"/>
      <c r="EKJ78" s="2805"/>
      <c r="EKK78" s="2805"/>
      <c r="EKL78" s="2805"/>
      <c r="EKM78" s="2805"/>
      <c r="EKN78" s="2805"/>
      <c r="EKO78" s="2805"/>
      <c r="EKP78" s="2805"/>
      <c r="EKQ78" s="2805"/>
      <c r="EKR78" s="2805"/>
      <c r="EKS78" s="2805"/>
      <c r="EKT78" s="2805"/>
      <c r="EKU78" s="2805"/>
      <c r="EKV78" s="2805"/>
      <c r="EKW78" s="2805"/>
      <c r="EKX78" s="2805"/>
      <c r="EKY78" s="2805"/>
      <c r="EKZ78" s="2805"/>
      <c r="ELA78" s="2805"/>
      <c r="ELB78" s="2805"/>
      <c r="ELC78" s="2805"/>
      <c r="ELD78" s="2805"/>
      <c r="ELE78" s="2805"/>
      <c r="ELF78" s="2805"/>
      <c r="ELG78" s="2805"/>
      <c r="ELH78" s="2805"/>
      <c r="ELI78" s="2805"/>
      <c r="ELJ78" s="2805"/>
      <c r="ELK78" s="2805"/>
      <c r="ELL78" s="2805"/>
      <c r="ELM78" s="2805"/>
      <c r="ELN78" s="2805"/>
      <c r="ELO78" s="2805"/>
      <c r="ELP78" s="2805"/>
      <c r="ELQ78" s="2805"/>
      <c r="ELR78" s="2805"/>
      <c r="ELS78" s="2805"/>
      <c r="ELT78" s="2805"/>
      <c r="ELU78" s="2805"/>
      <c r="ELV78" s="2805"/>
      <c r="ELW78" s="2805"/>
      <c r="ELX78" s="2805"/>
      <c r="ELY78" s="2805"/>
      <c r="ELZ78" s="2805"/>
      <c r="EMA78" s="2805"/>
      <c r="EMB78" s="2805"/>
      <c r="EMC78" s="2805"/>
      <c r="EMD78" s="2805"/>
      <c r="EME78" s="2805"/>
      <c r="EMF78" s="2805"/>
      <c r="EMG78" s="2805"/>
      <c r="EMH78" s="2805"/>
      <c r="EMI78" s="2805"/>
      <c r="EMJ78" s="2805"/>
      <c r="EMK78" s="2805"/>
      <c r="EML78" s="2805"/>
      <c r="EMM78" s="2805"/>
      <c r="EMN78" s="2805"/>
      <c r="EMO78" s="2805"/>
      <c r="EMP78" s="2805"/>
      <c r="EMQ78" s="2805"/>
      <c r="EMR78" s="2805"/>
      <c r="EMS78" s="2805"/>
      <c r="EMT78" s="2805"/>
      <c r="EMU78" s="2805"/>
      <c r="EMV78" s="2805"/>
      <c r="EMW78" s="2805"/>
      <c r="EMX78" s="2805"/>
      <c r="EMY78" s="2805"/>
      <c r="EMZ78" s="2805"/>
      <c r="ENA78" s="2805"/>
      <c r="ENB78" s="2805"/>
      <c r="ENC78" s="2805"/>
      <c r="END78" s="2805"/>
      <c r="ENE78" s="2805"/>
      <c r="ENF78" s="2805"/>
      <c r="ENG78" s="2805"/>
      <c r="ENH78" s="2805"/>
      <c r="ENI78" s="2805"/>
      <c r="ENJ78" s="2805"/>
      <c r="ENK78" s="2805"/>
      <c r="ENL78" s="2805"/>
      <c r="ENM78" s="2805"/>
      <c r="ENN78" s="2805"/>
      <c r="ENO78" s="2805"/>
      <c r="ENP78" s="2805"/>
      <c r="ENQ78" s="2805"/>
      <c r="ENR78" s="2805"/>
      <c r="ENS78" s="2805"/>
      <c r="ENT78" s="2805"/>
      <c r="ENU78" s="2805"/>
      <c r="ENV78" s="2805"/>
      <c r="ENW78" s="2805"/>
      <c r="ENX78" s="2805"/>
      <c r="ENY78" s="2805"/>
      <c r="ENZ78" s="2805"/>
      <c r="EOA78" s="2805"/>
      <c r="EOB78" s="2805"/>
      <c r="EOC78" s="2805"/>
      <c r="EOD78" s="2805"/>
      <c r="EOE78" s="2805"/>
      <c r="EOF78" s="2805"/>
      <c r="EOG78" s="2805"/>
      <c r="EOH78" s="2805"/>
      <c r="EOI78" s="2805"/>
      <c r="EOJ78" s="2805"/>
      <c r="EOK78" s="2805"/>
      <c r="EOL78" s="2805"/>
      <c r="EOM78" s="2805"/>
      <c r="EON78" s="2805"/>
      <c r="EOO78" s="2805"/>
      <c r="EOP78" s="2805"/>
      <c r="EOQ78" s="2805"/>
      <c r="EOR78" s="2805"/>
      <c r="EOS78" s="2805"/>
      <c r="EOT78" s="2805"/>
      <c r="EOU78" s="2805"/>
      <c r="EOV78" s="2805"/>
      <c r="EOW78" s="2805"/>
      <c r="EOX78" s="2805"/>
      <c r="EOY78" s="2805"/>
      <c r="EOZ78" s="2805"/>
      <c r="EPA78" s="2805"/>
      <c r="EPB78" s="2805"/>
      <c r="EPC78" s="2805"/>
      <c r="EPD78" s="2805"/>
      <c r="EPE78" s="2805"/>
      <c r="EPF78" s="2805"/>
      <c r="EPG78" s="2805"/>
      <c r="EPH78" s="2805"/>
      <c r="EPI78" s="2805"/>
      <c r="EPJ78" s="2805"/>
      <c r="EPK78" s="2805"/>
      <c r="EPL78" s="2805"/>
      <c r="EPM78" s="2805"/>
      <c r="EPN78" s="2805"/>
      <c r="EPO78" s="2805"/>
      <c r="EPP78" s="2805"/>
      <c r="EPQ78" s="2805"/>
      <c r="EPR78" s="2805"/>
      <c r="EPS78" s="2805"/>
      <c r="EPT78" s="2805"/>
      <c r="EPU78" s="2805"/>
      <c r="EPV78" s="2805"/>
      <c r="EPW78" s="2805"/>
      <c r="EPX78" s="2805"/>
      <c r="EPY78" s="2805"/>
      <c r="EPZ78" s="2805"/>
      <c r="EQA78" s="2805"/>
      <c r="EQB78" s="2805"/>
      <c r="EQC78" s="2805"/>
      <c r="EQD78" s="2805"/>
      <c r="EQE78" s="2805"/>
      <c r="EQF78" s="2805"/>
      <c r="EQG78" s="2805"/>
      <c r="EQH78" s="2805"/>
      <c r="EQI78" s="2805"/>
      <c r="EQJ78" s="2805"/>
      <c r="EQK78" s="2805"/>
      <c r="EQL78" s="2805"/>
      <c r="EQM78" s="2805"/>
      <c r="EQN78" s="2805"/>
      <c r="EQO78" s="2805"/>
      <c r="EQP78" s="2805"/>
      <c r="EQQ78" s="2805"/>
      <c r="EQR78" s="2805"/>
      <c r="EQS78" s="2805"/>
      <c r="EQT78" s="2805"/>
      <c r="EQU78" s="2805"/>
      <c r="EQV78" s="2805"/>
      <c r="EQW78" s="2805"/>
      <c r="EQX78" s="2805"/>
      <c r="EQY78" s="2805"/>
      <c r="EQZ78" s="2805"/>
      <c r="ERA78" s="2805"/>
      <c r="ERB78" s="2805"/>
      <c r="ERC78" s="2805"/>
      <c r="ERD78" s="2805"/>
      <c r="ERE78" s="2805"/>
      <c r="ERF78" s="2805"/>
      <c r="ERG78" s="2805"/>
      <c r="ERH78" s="2805"/>
      <c r="ERI78" s="2805"/>
      <c r="ERJ78" s="2805"/>
      <c r="ERK78" s="2805"/>
      <c r="ERL78" s="2805"/>
      <c r="ERM78" s="2805"/>
      <c r="ERN78" s="2805"/>
      <c r="ERO78" s="2805"/>
      <c r="ERP78" s="2805"/>
      <c r="ERQ78" s="2805"/>
      <c r="ERR78" s="2805"/>
      <c r="ERS78" s="2805"/>
      <c r="ERT78" s="2805"/>
      <c r="ERU78" s="2805"/>
      <c r="ERV78" s="2805"/>
      <c r="ERW78" s="2805"/>
      <c r="ERX78" s="2805"/>
      <c r="ERY78" s="2805"/>
      <c r="ERZ78" s="2805"/>
      <c r="ESA78" s="2805"/>
      <c r="ESB78" s="2805"/>
      <c r="ESC78" s="2805"/>
      <c r="ESD78" s="2805"/>
      <c r="ESE78" s="2805"/>
      <c r="ESF78" s="2805"/>
      <c r="ESG78" s="2805"/>
      <c r="ESH78" s="2805"/>
      <c r="ESI78" s="2805"/>
      <c r="ESJ78" s="2805"/>
      <c r="ESK78" s="2805"/>
      <c r="ESL78" s="2805"/>
      <c r="ESM78" s="2805"/>
      <c r="ESN78" s="2805"/>
      <c r="ESO78" s="2805"/>
      <c r="ESP78" s="2805"/>
      <c r="ESQ78" s="2805"/>
      <c r="ESR78" s="2805"/>
      <c r="ESS78" s="2805"/>
      <c r="EST78" s="2805"/>
      <c r="ESU78" s="2805"/>
      <c r="ESV78" s="2805"/>
      <c r="ESW78" s="2805"/>
      <c r="ESX78" s="2805"/>
      <c r="ESY78" s="2805"/>
      <c r="ESZ78" s="2805"/>
      <c r="ETA78" s="2805"/>
      <c r="ETB78" s="2805"/>
      <c r="ETC78" s="2805"/>
      <c r="ETD78" s="2805"/>
      <c r="ETE78" s="2805"/>
      <c r="ETF78" s="2805"/>
      <c r="ETG78" s="2805"/>
      <c r="ETH78" s="2805"/>
      <c r="ETI78" s="2805"/>
      <c r="ETJ78" s="2805"/>
      <c r="ETK78" s="2805"/>
      <c r="ETL78" s="2805"/>
      <c r="ETM78" s="2805"/>
      <c r="ETN78" s="2805"/>
      <c r="ETO78" s="2805"/>
      <c r="ETP78" s="2805"/>
      <c r="ETQ78" s="2805"/>
      <c r="ETR78" s="2805"/>
      <c r="ETS78" s="2805"/>
      <c r="ETT78" s="2805"/>
      <c r="ETU78" s="2805"/>
      <c r="ETV78" s="2805"/>
      <c r="ETW78" s="2805"/>
      <c r="ETX78" s="2805"/>
      <c r="ETY78" s="2805"/>
      <c r="ETZ78" s="2805"/>
      <c r="EUA78" s="2805"/>
      <c r="EUB78" s="2805"/>
      <c r="EUC78" s="2805"/>
      <c r="EUD78" s="2805"/>
      <c r="EUE78" s="2805"/>
      <c r="EUF78" s="2805"/>
      <c r="EUG78" s="2805"/>
      <c r="EUH78" s="2805"/>
      <c r="EUI78" s="2805"/>
      <c r="EUJ78" s="2805"/>
      <c r="EUK78" s="2805"/>
      <c r="EUL78" s="2805"/>
      <c r="EUM78" s="2805"/>
      <c r="EUN78" s="2805"/>
      <c r="EUO78" s="2805"/>
      <c r="EUP78" s="2805"/>
      <c r="EUQ78" s="2805"/>
      <c r="EUR78" s="2805"/>
      <c r="EUS78" s="2805"/>
      <c r="EUT78" s="2805"/>
      <c r="EUU78" s="2805"/>
      <c r="EUV78" s="2805"/>
      <c r="EUW78" s="2805"/>
      <c r="EUX78" s="2805"/>
      <c r="EUY78" s="2805"/>
      <c r="EUZ78" s="2805"/>
      <c r="EVA78" s="2805"/>
      <c r="EVB78" s="2805"/>
      <c r="EVC78" s="2805"/>
      <c r="EVD78" s="2805"/>
      <c r="EVE78" s="2805"/>
      <c r="EVF78" s="2805"/>
      <c r="EVG78" s="2805"/>
      <c r="EVH78" s="2805"/>
      <c r="EVI78" s="2805"/>
      <c r="EVJ78" s="2805"/>
      <c r="EVK78" s="2805"/>
      <c r="EVL78" s="2805"/>
      <c r="EVM78" s="2805"/>
      <c r="EVN78" s="2805"/>
      <c r="EVO78" s="2805"/>
      <c r="EVP78" s="2805"/>
      <c r="EVQ78" s="2805"/>
      <c r="EVR78" s="2805"/>
      <c r="EVS78" s="2805"/>
      <c r="EVT78" s="2805"/>
      <c r="EVU78" s="2805"/>
      <c r="EVV78" s="2805"/>
      <c r="EVW78" s="2805"/>
      <c r="EVX78" s="2805"/>
      <c r="EVY78" s="2805"/>
      <c r="EVZ78" s="2805"/>
      <c r="EWA78" s="2805"/>
      <c r="EWB78" s="2805"/>
      <c r="EWC78" s="2805"/>
      <c r="EWD78" s="2805"/>
      <c r="EWE78" s="2805"/>
      <c r="EWF78" s="2805"/>
      <c r="EWG78" s="2805"/>
      <c r="EWH78" s="2805"/>
      <c r="EWI78" s="2805"/>
      <c r="EWJ78" s="2805"/>
      <c r="EWK78" s="2805"/>
      <c r="EWL78" s="2805"/>
      <c r="EWM78" s="2805"/>
      <c r="EWN78" s="2805"/>
      <c r="EWO78" s="2805"/>
      <c r="EWP78" s="2805"/>
      <c r="EWQ78" s="2805"/>
      <c r="EWR78" s="2805"/>
      <c r="EWS78" s="2805"/>
      <c r="EWT78" s="2805"/>
      <c r="EWU78" s="2805"/>
      <c r="EWV78" s="2805"/>
      <c r="EWW78" s="2805"/>
      <c r="EWX78" s="2805"/>
      <c r="EWY78" s="2805"/>
      <c r="EWZ78" s="2805"/>
      <c r="EXA78" s="2805"/>
      <c r="EXB78" s="2805"/>
      <c r="EXC78" s="2805"/>
      <c r="EXD78" s="2805"/>
      <c r="EXE78" s="2805"/>
      <c r="EXF78" s="2805"/>
      <c r="EXG78" s="2805"/>
      <c r="EXH78" s="2805"/>
      <c r="EXI78" s="2805"/>
      <c r="EXJ78" s="2805"/>
      <c r="EXK78" s="2805"/>
      <c r="EXL78" s="2805"/>
      <c r="EXM78" s="2805"/>
      <c r="EXN78" s="2805"/>
      <c r="EXO78" s="2805"/>
      <c r="EXP78" s="2805"/>
      <c r="EXQ78" s="2805"/>
      <c r="EXR78" s="2805"/>
      <c r="EXS78" s="2805"/>
      <c r="EXT78" s="2805"/>
      <c r="EXU78" s="2805"/>
      <c r="EXV78" s="2805"/>
      <c r="EXW78" s="2805"/>
      <c r="EXX78" s="2805"/>
      <c r="EXY78" s="2805"/>
      <c r="EXZ78" s="2805"/>
      <c r="EYA78" s="2805"/>
      <c r="EYB78" s="2805"/>
      <c r="EYC78" s="2805"/>
      <c r="EYD78" s="2805"/>
      <c r="EYE78" s="2805"/>
      <c r="EYF78" s="2805"/>
      <c r="EYG78" s="2805"/>
      <c r="EYH78" s="2805"/>
      <c r="EYI78" s="2805"/>
      <c r="EYJ78" s="2805"/>
      <c r="EYK78" s="2805"/>
      <c r="EYL78" s="2805"/>
      <c r="EYM78" s="2805"/>
      <c r="EYN78" s="2805"/>
      <c r="EYO78" s="2805"/>
      <c r="EYP78" s="2805"/>
      <c r="EYQ78" s="2805"/>
      <c r="EYR78" s="2805"/>
      <c r="EYS78" s="2805"/>
      <c r="EYT78" s="2805"/>
      <c r="EYU78" s="2805"/>
      <c r="EYV78" s="2805"/>
      <c r="EYW78" s="2805"/>
      <c r="EYX78" s="2805"/>
      <c r="EYY78" s="2805"/>
      <c r="EYZ78" s="2805"/>
      <c r="EZA78" s="2805"/>
      <c r="EZB78" s="2805"/>
      <c r="EZC78" s="2805"/>
      <c r="EZD78" s="2805"/>
      <c r="EZE78" s="2805"/>
      <c r="EZF78" s="2805"/>
      <c r="EZG78" s="2805"/>
      <c r="EZH78" s="2805"/>
      <c r="EZI78" s="2805"/>
      <c r="EZJ78" s="2805"/>
      <c r="EZK78" s="2805"/>
      <c r="EZL78" s="2805"/>
      <c r="EZM78" s="2805"/>
      <c r="EZN78" s="2805"/>
      <c r="EZO78" s="2805"/>
      <c r="EZP78" s="2805"/>
      <c r="EZQ78" s="2805"/>
      <c r="EZR78" s="2805"/>
      <c r="EZS78" s="2805"/>
      <c r="EZT78" s="2805"/>
      <c r="EZU78" s="2805"/>
      <c r="EZV78" s="2805"/>
      <c r="EZW78" s="2805"/>
      <c r="EZX78" s="2805"/>
      <c r="EZY78" s="2805"/>
      <c r="EZZ78" s="2805"/>
      <c r="FAA78" s="2805"/>
      <c r="FAB78" s="2805"/>
      <c r="FAC78" s="2805"/>
      <c r="FAD78" s="2805"/>
      <c r="FAE78" s="2805"/>
      <c r="FAF78" s="2805"/>
      <c r="FAG78" s="2805"/>
      <c r="FAH78" s="2805"/>
      <c r="FAI78" s="2805"/>
      <c r="FAJ78" s="2805"/>
      <c r="FAK78" s="2805"/>
      <c r="FAL78" s="2805"/>
      <c r="FAM78" s="2805"/>
      <c r="FAN78" s="2805"/>
      <c r="FAO78" s="2805"/>
      <c r="FAP78" s="2805"/>
      <c r="FAQ78" s="2805"/>
      <c r="FAR78" s="2805"/>
      <c r="FAS78" s="2805"/>
      <c r="FAT78" s="2805"/>
      <c r="FAU78" s="2805"/>
      <c r="FAV78" s="2805"/>
      <c r="FAW78" s="2805"/>
      <c r="FAX78" s="2805"/>
      <c r="FAY78" s="2805"/>
      <c r="FAZ78" s="2805"/>
      <c r="FBA78" s="2805"/>
      <c r="FBB78" s="2805"/>
      <c r="FBC78" s="2805"/>
      <c r="FBD78" s="2805"/>
      <c r="FBE78" s="2805"/>
      <c r="FBF78" s="2805"/>
      <c r="FBG78" s="2805"/>
      <c r="FBH78" s="2805"/>
      <c r="FBI78" s="2805"/>
      <c r="FBJ78" s="2805"/>
      <c r="FBK78" s="2805"/>
      <c r="FBL78" s="2805"/>
      <c r="FBM78" s="2805"/>
      <c r="FBN78" s="2805"/>
      <c r="FBO78" s="2805"/>
      <c r="FBP78" s="2805"/>
      <c r="FBQ78" s="2805"/>
      <c r="FBR78" s="2805"/>
      <c r="FBS78" s="2805"/>
      <c r="FBT78" s="2805"/>
      <c r="FBU78" s="2805"/>
      <c r="FBV78" s="2805"/>
      <c r="FBW78" s="2805"/>
      <c r="FBX78" s="2805"/>
      <c r="FBY78" s="2805"/>
      <c r="FBZ78" s="2805"/>
      <c r="FCA78" s="2805"/>
      <c r="FCB78" s="2805"/>
      <c r="FCC78" s="2805"/>
      <c r="FCD78" s="2805"/>
      <c r="FCE78" s="2805"/>
      <c r="FCF78" s="2805"/>
      <c r="FCG78" s="2805"/>
      <c r="FCH78" s="2805"/>
      <c r="FCI78" s="2805"/>
      <c r="FCJ78" s="2805"/>
      <c r="FCK78" s="2805"/>
      <c r="FCL78" s="2805"/>
      <c r="FCM78" s="2805"/>
      <c r="FCN78" s="2805"/>
      <c r="FCO78" s="2805"/>
      <c r="FCP78" s="2805"/>
      <c r="FCQ78" s="2805"/>
      <c r="FCR78" s="2805"/>
      <c r="FCS78" s="2805"/>
      <c r="FCT78" s="2805"/>
      <c r="FCU78" s="2805"/>
      <c r="FCV78" s="2805"/>
      <c r="FCW78" s="2805"/>
      <c r="FCX78" s="2805"/>
      <c r="FCY78" s="2805"/>
      <c r="FCZ78" s="2805"/>
      <c r="FDA78" s="2805"/>
      <c r="FDB78" s="2805"/>
      <c r="FDC78" s="2805"/>
      <c r="FDD78" s="2805"/>
      <c r="FDE78" s="2805"/>
      <c r="FDF78" s="2805"/>
      <c r="FDG78" s="2805"/>
      <c r="FDH78" s="2805"/>
      <c r="FDI78" s="2805"/>
      <c r="FDJ78" s="2805"/>
      <c r="FDK78" s="2805"/>
      <c r="FDL78" s="2805"/>
      <c r="FDM78" s="2805"/>
      <c r="FDN78" s="2805"/>
      <c r="FDO78" s="2805"/>
      <c r="FDP78" s="2805"/>
      <c r="FDQ78" s="2805"/>
      <c r="FDR78" s="2805"/>
      <c r="FDS78" s="2805"/>
      <c r="FDT78" s="2805"/>
      <c r="FDU78" s="2805"/>
      <c r="FDV78" s="2805"/>
      <c r="FDW78" s="2805"/>
      <c r="FDX78" s="2805"/>
      <c r="FDY78" s="2805"/>
      <c r="FDZ78" s="2805"/>
      <c r="FEA78" s="2805"/>
      <c r="FEB78" s="2805"/>
      <c r="FEC78" s="2805"/>
      <c r="FED78" s="2805"/>
      <c r="FEE78" s="2805"/>
      <c r="FEF78" s="2805"/>
      <c r="FEG78" s="2805"/>
      <c r="FEH78" s="2805"/>
      <c r="FEI78" s="2805"/>
      <c r="FEJ78" s="2805"/>
      <c r="FEK78" s="2805"/>
      <c r="FEL78" s="2805"/>
      <c r="FEM78" s="2805"/>
      <c r="FEN78" s="2805"/>
      <c r="FEO78" s="2805"/>
      <c r="FEP78" s="2805"/>
      <c r="FEQ78" s="2805"/>
      <c r="FER78" s="2805"/>
      <c r="FES78" s="2805"/>
      <c r="FET78" s="2805"/>
      <c r="FEU78" s="2805"/>
      <c r="FEV78" s="2805"/>
      <c r="FEW78" s="2805"/>
      <c r="FEX78" s="2805"/>
      <c r="FEY78" s="2805"/>
      <c r="FEZ78" s="2805"/>
      <c r="FFA78" s="2805"/>
      <c r="FFB78" s="2805"/>
      <c r="FFC78" s="2805"/>
      <c r="FFD78" s="2805"/>
      <c r="FFE78" s="2805"/>
      <c r="FFF78" s="2805"/>
      <c r="FFG78" s="2805"/>
      <c r="FFH78" s="2805"/>
      <c r="FFI78" s="2805"/>
      <c r="FFJ78" s="2805"/>
      <c r="FFK78" s="2805"/>
      <c r="FFL78" s="2805"/>
      <c r="FFM78" s="2805"/>
      <c r="FFN78" s="2805"/>
      <c r="FFO78" s="2805"/>
      <c r="FFP78" s="2805"/>
      <c r="FFQ78" s="2805"/>
      <c r="FFR78" s="2805"/>
      <c r="FFS78" s="2805"/>
      <c r="FFT78" s="2805"/>
      <c r="FFU78" s="2805"/>
      <c r="FFV78" s="2805"/>
      <c r="FFW78" s="2805"/>
      <c r="FFX78" s="2805"/>
      <c r="FFY78" s="2805"/>
      <c r="FFZ78" s="2805"/>
      <c r="FGA78" s="2805"/>
      <c r="FGB78" s="2805"/>
      <c r="FGC78" s="2805"/>
      <c r="FGD78" s="2805"/>
      <c r="FGE78" s="2805"/>
      <c r="FGF78" s="2805"/>
      <c r="FGG78" s="2805"/>
      <c r="FGH78" s="2805"/>
      <c r="FGI78" s="2805"/>
      <c r="FGJ78" s="2805"/>
      <c r="FGK78" s="2805"/>
      <c r="FGL78" s="2805"/>
      <c r="FGM78" s="2805"/>
      <c r="FGN78" s="2805"/>
      <c r="FGO78" s="2805"/>
      <c r="FGP78" s="2805"/>
      <c r="FGQ78" s="2805"/>
      <c r="FGR78" s="2805"/>
      <c r="FGS78" s="2805"/>
      <c r="FGT78" s="2805"/>
      <c r="FGU78" s="2805"/>
      <c r="FGV78" s="2805"/>
      <c r="FGW78" s="2805"/>
      <c r="FGX78" s="2805"/>
      <c r="FGY78" s="2805"/>
      <c r="FGZ78" s="2805"/>
      <c r="FHA78" s="2805"/>
      <c r="FHB78" s="2805"/>
      <c r="FHC78" s="2805"/>
      <c r="FHD78" s="2805"/>
      <c r="FHE78" s="2805"/>
      <c r="FHF78" s="2805"/>
      <c r="FHG78" s="2805"/>
      <c r="FHH78" s="2805"/>
      <c r="FHI78" s="2805"/>
      <c r="FHJ78" s="2805"/>
      <c r="FHK78" s="2805"/>
      <c r="FHL78" s="2805"/>
      <c r="FHM78" s="2805"/>
      <c r="FHN78" s="2805"/>
      <c r="FHO78" s="2805"/>
      <c r="FHP78" s="2805"/>
      <c r="FHQ78" s="2805"/>
      <c r="FHR78" s="2805"/>
      <c r="FHS78" s="2805"/>
      <c r="FHT78" s="2805"/>
      <c r="FHU78" s="2805"/>
      <c r="FHV78" s="2805"/>
      <c r="FHW78" s="2805"/>
      <c r="FHX78" s="2805"/>
      <c r="FHY78" s="2805"/>
      <c r="FHZ78" s="2805"/>
      <c r="FIA78" s="2805"/>
      <c r="FIB78" s="2805"/>
      <c r="FIC78" s="2805"/>
      <c r="FID78" s="2805"/>
      <c r="FIE78" s="2805"/>
      <c r="FIF78" s="2805"/>
      <c r="FIG78" s="2805"/>
      <c r="FIH78" s="2805"/>
      <c r="FII78" s="2805"/>
      <c r="FIJ78" s="2805"/>
      <c r="FIK78" s="2805"/>
      <c r="FIL78" s="2805"/>
      <c r="FIM78" s="2805"/>
      <c r="FIN78" s="2805"/>
      <c r="FIO78" s="2805"/>
      <c r="FIP78" s="2805"/>
      <c r="FIQ78" s="2805"/>
      <c r="FIR78" s="2805"/>
      <c r="FIS78" s="2805"/>
      <c r="FIT78" s="2805"/>
      <c r="FIU78" s="2805"/>
      <c r="FIV78" s="2805"/>
      <c r="FIW78" s="2805"/>
      <c r="FIX78" s="2805"/>
      <c r="FIY78" s="2805"/>
      <c r="FIZ78" s="2805"/>
      <c r="FJA78" s="2805"/>
      <c r="FJB78" s="2805"/>
      <c r="FJC78" s="2805"/>
      <c r="FJD78" s="2805"/>
      <c r="FJE78" s="2805"/>
      <c r="FJF78" s="2805"/>
      <c r="FJG78" s="2805"/>
      <c r="FJH78" s="2805"/>
      <c r="FJI78" s="2805"/>
      <c r="FJJ78" s="2805"/>
      <c r="FJK78" s="2805"/>
      <c r="FJL78" s="2805"/>
      <c r="FJM78" s="2805"/>
      <c r="FJN78" s="2805"/>
      <c r="FJO78" s="2805"/>
      <c r="FJP78" s="2805"/>
      <c r="FJQ78" s="2805"/>
      <c r="FJR78" s="2805"/>
      <c r="FJS78" s="2805"/>
      <c r="FJT78" s="2805"/>
      <c r="FJU78" s="2805"/>
      <c r="FJV78" s="2805"/>
      <c r="FJW78" s="2805"/>
      <c r="FJX78" s="2805"/>
      <c r="FJY78" s="2805"/>
      <c r="FJZ78" s="2805"/>
      <c r="FKA78" s="2805"/>
      <c r="FKB78" s="2805"/>
      <c r="FKC78" s="2805"/>
      <c r="FKD78" s="2805"/>
      <c r="FKE78" s="2805"/>
      <c r="FKF78" s="2805"/>
      <c r="FKG78" s="2805"/>
      <c r="FKH78" s="2805"/>
      <c r="FKI78" s="2805"/>
      <c r="FKJ78" s="2805"/>
      <c r="FKK78" s="2805"/>
      <c r="FKL78" s="2805"/>
      <c r="FKM78" s="2805"/>
      <c r="FKN78" s="2805"/>
      <c r="FKO78" s="2805"/>
      <c r="FKP78" s="2805"/>
      <c r="FKQ78" s="2805"/>
      <c r="FKR78" s="2805"/>
      <c r="FKS78" s="2805"/>
      <c r="FKT78" s="2805"/>
      <c r="FKU78" s="2805"/>
      <c r="FKV78" s="2805"/>
      <c r="FKW78" s="2805"/>
      <c r="FKX78" s="2805"/>
      <c r="FKY78" s="2805"/>
      <c r="FKZ78" s="2805"/>
      <c r="FLA78" s="2805"/>
      <c r="FLB78" s="2805"/>
      <c r="FLC78" s="2805"/>
      <c r="FLD78" s="2805"/>
      <c r="FLE78" s="2805"/>
      <c r="FLF78" s="2805"/>
      <c r="FLG78" s="2805"/>
      <c r="FLH78" s="2805"/>
      <c r="FLI78" s="2805"/>
      <c r="FLJ78" s="2805"/>
      <c r="FLK78" s="2805"/>
      <c r="FLL78" s="2805"/>
      <c r="FLM78" s="2805"/>
      <c r="FLN78" s="2805"/>
      <c r="FLO78" s="2805"/>
      <c r="FLP78" s="2805"/>
      <c r="FLQ78" s="2805"/>
      <c r="FLR78" s="2805"/>
      <c r="FLS78" s="2805"/>
      <c r="FLT78" s="2805"/>
      <c r="FLU78" s="2805"/>
      <c r="FLV78" s="2805"/>
      <c r="FLW78" s="2805"/>
      <c r="FLX78" s="2805"/>
      <c r="FLY78" s="2805"/>
      <c r="FLZ78" s="2805"/>
      <c r="FMA78" s="2805"/>
      <c r="FMB78" s="2805"/>
      <c r="FMC78" s="2805"/>
      <c r="FMD78" s="2805"/>
      <c r="FME78" s="2805"/>
      <c r="FMF78" s="2805"/>
      <c r="FMG78" s="2805"/>
      <c r="FMH78" s="2805"/>
      <c r="FMI78" s="2805"/>
      <c r="FMJ78" s="2805"/>
      <c r="FMK78" s="2805"/>
      <c r="FML78" s="2805"/>
      <c r="FMM78" s="2805"/>
      <c r="FMN78" s="2805"/>
      <c r="FMO78" s="2805"/>
      <c r="FMP78" s="2805"/>
      <c r="FMQ78" s="2805"/>
      <c r="FMR78" s="2805"/>
      <c r="FMS78" s="2805"/>
      <c r="FMT78" s="2805"/>
      <c r="FMU78" s="2805"/>
      <c r="FMV78" s="2805"/>
      <c r="FMW78" s="2805"/>
      <c r="FMX78" s="2805"/>
      <c r="FMY78" s="2805"/>
      <c r="FMZ78" s="2805"/>
      <c r="FNA78" s="2805"/>
      <c r="FNB78" s="2805"/>
      <c r="FNC78" s="2805"/>
      <c r="FND78" s="2805"/>
      <c r="FNE78" s="2805"/>
      <c r="FNF78" s="2805"/>
      <c r="FNG78" s="2805"/>
      <c r="FNH78" s="2805"/>
      <c r="FNI78" s="2805"/>
      <c r="FNJ78" s="2805"/>
      <c r="FNK78" s="2805"/>
      <c r="FNL78" s="2805"/>
      <c r="FNM78" s="2805"/>
      <c r="FNN78" s="2805"/>
      <c r="FNO78" s="2805"/>
      <c r="FNP78" s="2805"/>
      <c r="FNQ78" s="2805"/>
      <c r="FNR78" s="2805"/>
      <c r="FNS78" s="2805"/>
      <c r="FNT78" s="2805"/>
      <c r="FNU78" s="2805"/>
      <c r="FNV78" s="2805"/>
      <c r="FNW78" s="2805"/>
      <c r="FNX78" s="2805"/>
      <c r="FNY78" s="2805"/>
      <c r="FNZ78" s="2805"/>
      <c r="FOA78" s="2805"/>
      <c r="FOB78" s="2805"/>
      <c r="FOC78" s="2805"/>
      <c r="FOD78" s="2805"/>
      <c r="FOE78" s="2805"/>
      <c r="FOF78" s="2805"/>
      <c r="FOG78" s="2805"/>
      <c r="FOH78" s="2805"/>
      <c r="FOI78" s="2805"/>
      <c r="FOJ78" s="2805"/>
      <c r="FOK78" s="2805"/>
      <c r="FOL78" s="2805"/>
      <c r="FOM78" s="2805"/>
      <c r="FON78" s="2805"/>
      <c r="FOO78" s="2805"/>
      <c r="FOP78" s="2805"/>
      <c r="FOQ78" s="2805"/>
      <c r="FOR78" s="2805"/>
      <c r="FOS78" s="2805"/>
      <c r="FOT78" s="2805"/>
      <c r="FOU78" s="2805"/>
      <c r="FOV78" s="2805"/>
      <c r="FOW78" s="2805"/>
      <c r="FOX78" s="2805"/>
      <c r="FOY78" s="2805"/>
      <c r="FOZ78" s="2805"/>
      <c r="FPA78" s="2805"/>
      <c r="FPB78" s="2805"/>
      <c r="FPC78" s="2805"/>
      <c r="FPD78" s="2805"/>
      <c r="FPE78" s="2805"/>
      <c r="FPF78" s="2805"/>
      <c r="FPG78" s="2805"/>
      <c r="FPH78" s="2805"/>
      <c r="FPI78" s="2805"/>
      <c r="FPJ78" s="2805"/>
      <c r="FPK78" s="2805"/>
      <c r="FPL78" s="2805"/>
      <c r="FPM78" s="2805"/>
      <c r="FPN78" s="2805"/>
      <c r="FPO78" s="2805"/>
      <c r="FPP78" s="2805"/>
      <c r="FPQ78" s="2805"/>
      <c r="FPR78" s="2805"/>
      <c r="FPS78" s="2805"/>
      <c r="FPT78" s="2805"/>
      <c r="FPU78" s="2805"/>
      <c r="FPV78" s="2805"/>
      <c r="FPW78" s="2805"/>
      <c r="FPX78" s="2805"/>
      <c r="FPY78" s="2805"/>
      <c r="FPZ78" s="2805"/>
      <c r="FQA78" s="2805"/>
      <c r="FQB78" s="2805"/>
      <c r="FQC78" s="2805"/>
      <c r="FQD78" s="2805"/>
      <c r="FQE78" s="2805"/>
      <c r="FQF78" s="2805"/>
      <c r="FQG78" s="2805"/>
      <c r="FQH78" s="2805"/>
      <c r="FQI78" s="2805"/>
      <c r="FQJ78" s="2805"/>
      <c r="FQK78" s="2805"/>
      <c r="FQL78" s="2805"/>
      <c r="FQM78" s="2805"/>
      <c r="FQN78" s="2805"/>
      <c r="FQO78" s="2805"/>
      <c r="FQP78" s="2805"/>
      <c r="FQQ78" s="2805"/>
      <c r="FQR78" s="2805"/>
      <c r="FQS78" s="2805"/>
      <c r="FQT78" s="2805"/>
      <c r="FQU78" s="2805"/>
      <c r="FQV78" s="2805"/>
      <c r="FQW78" s="2805"/>
      <c r="FQX78" s="2805"/>
      <c r="FQY78" s="2805"/>
      <c r="FQZ78" s="2805"/>
      <c r="FRA78" s="2805"/>
      <c r="FRB78" s="2805"/>
      <c r="FRC78" s="2805"/>
      <c r="FRD78" s="2805"/>
      <c r="FRE78" s="2805"/>
      <c r="FRF78" s="2805"/>
      <c r="FRG78" s="2805"/>
      <c r="FRH78" s="2805"/>
      <c r="FRI78" s="2805"/>
      <c r="FRJ78" s="2805"/>
      <c r="FRK78" s="2805"/>
      <c r="FRL78" s="2805"/>
      <c r="FRM78" s="2805"/>
      <c r="FRN78" s="2805"/>
      <c r="FRO78" s="2805"/>
      <c r="FRP78" s="2805"/>
      <c r="FRQ78" s="2805"/>
      <c r="FRR78" s="2805"/>
      <c r="FRS78" s="2805"/>
      <c r="FRT78" s="2805"/>
      <c r="FRU78" s="2805"/>
      <c r="FRV78" s="2805"/>
      <c r="FRW78" s="2805"/>
      <c r="FRX78" s="2805"/>
      <c r="FRY78" s="2805"/>
      <c r="FRZ78" s="2805"/>
      <c r="FSA78" s="2805"/>
      <c r="FSB78" s="2805"/>
      <c r="FSC78" s="2805"/>
      <c r="FSD78" s="2805"/>
      <c r="FSE78" s="2805"/>
      <c r="FSF78" s="2805"/>
      <c r="FSG78" s="2805"/>
      <c r="FSH78" s="2805"/>
      <c r="FSI78" s="2805"/>
      <c r="FSJ78" s="2805"/>
      <c r="FSK78" s="2805"/>
      <c r="FSL78" s="2805"/>
      <c r="FSM78" s="2805"/>
      <c r="FSN78" s="2805"/>
      <c r="FSO78" s="2805"/>
      <c r="FSP78" s="2805"/>
      <c r="FSQ78" s="2805"/>
      <c r="FSR78" s="2805"/>
      <c r="FSS78" s="2805"/>
      <c r="FST78" s="2805"/>
      <c r="FSU78" s="2805"/>
      <c r="FSV78" s="2805"/>
      <c r="FSW78" s="2805"/>
      <c r="FSX78" s="2805"/>
      <c r="FSY78" s="2805"/>
      <c r="FSZ78" s="2805"/>
      <c r="FTA78" s="2805"/>
      <c r="FTB78" s="2805"/>
      <c r="FTC78" s="2805"/>
      <c r="FTD78" s="2805"/>
      <c r="FTE78" s="2805"/>
      <c r="FTF78" s="2805"/>
      <c r="FTG78" s="2805"/>
      <c r="FTH78" s="2805"/>
      <c r="FTI78" s="2805"/>
      <c r="FTJ78" s="2805"/>
      <c r="FTK78" s="2805"/>
      <c r="FTL78" s="2805"/>
      <c r="FTM78" s="2805"/>
      <c r="FTN78" s="2805"/>
      <c r="FTO78" s="2805"/>
      <c r="FTP78" s="2805"/>
      <c r="FTQ78" s="2805"/>
      <c r="FTR78" s="2805"/>
      <c r="FTS78" s="2805"/>
      <c r="FTT78" s="2805"/>
      <c r="FTU78" s="2805"/>
      <c r="FTV78" s="2805"/>
      <c r="FTW78" s="2805"/>
      <c r="FTX78" s="2805"/>
      <c r="FTY78" s="2805"/>
      <c r="FTZ78" s="2805"/>
      <c r="FUA78" s="2805"/>
      <c r="FUB78" s="2805"/>
      <c r="FUC78" s="2805"/>
      <c r="FUD78" s="2805"/>
      <c r="FUE78" s="2805"/>
      <c r="FUF78" s="2805"/>
      <c r="FUG78" s="2805"/>
      <c r="FUH78" s="2805"/>
      <c r="FUI78" s="2805"/>
      <c r="FUJ78" s="2805"/>
      <c r="FUK78" s="2805"/>
      <c r="FUL78" s="2805"/>
      <c r="FUM78" s="2805"/>
      <c r="FUN78" s="2805"/>
      <c r="FUO78" s="2805"/>
      <c r="FUP78" s="2805"/>
      <c r="FUQ78" s="2805"/>
      <c r="FUR78" s="2805"/>
      <c r="FUS78" s="2805"/>
      <c r="FUT78" s="2805"/>
      <c r="FUU78" s="2805"/>
      <c r="FUV78" s="2805"/>
      <c r="FUW78" s="2805"/>
      <c r="FUX78" s="2805"/>
      <c r="FUY78" s="2805"/>
      <c r="FUZ78" s="2805"/>
      <c r="FVA78" s="2805"/>
      <c r="FVB78" s="2805"/>
      <c r="FVC78" s="2805"/>
      <c r="FVD78" s="2805"/>
      <c r="FVE78" s="2805"/>
      <c r="FVF78" s="2805"/>
      <c r="FVG78" s="2805"/>
      <c r="FVH78" s="2805"/>
      <c r="FVI78" s="2805"/>
      <c r="FVJ78" s="2805"/>
      <c r="FVK78" s="2805"/>
      <c r="FVL78" s="2805"/>
      <c r="FVM78" s="2805"/>
      <c r="FVN78" s="2805"/>
      <c r="FVO78" s="2805"/>
      <c r="FVP78" s="2805"/>
      <c r="FVQ78" s="2805"/>
      <c r="FVR78" s="2805"/>
      <c r="FVS78" s="2805"/>
      <c r="FVT78" s="2805"/>
      <c r="FVU78" s="2805"/>
      <c r="FVV78" s="2805"/>
      <c r="FVW78" s="2805"/>
      <c r="FVX78" s="2805"/>
      <c r="FVY78" s="2805"/>
      <c r="FVZ78" s="2805"/>
      <c r="FWA78" s="2805"/>
      <c r="FWB78" s="2805"/>
      <c r="FWC78" s="2805"/>
      <c r="FWD78" s="2805"/>
      <c r="FWE78" s="2805"/>
      <c r="FWF78" s="2805"/>
      <c r="FWG78" s="2805"/>
      <c r="FWH78" s="2805"/>
      <c r="FWI78" s="2805"/>
      <c r="FWJ78" s="2805"/>
      <c r="FWK78" s="2805"/>
      <c r="FWL78" s="2805"/>
      <c r="FWM78" s="2805"/>
      <c r="FWN78" s="2805"/>
      <c r="FWO78" s="2805"/>
      <c r="FWP78" s="2805"/>
      <c r="FWQ78" s="2805"/>
      <c r="FWR78" s="2805"/>
      <c r="FWS78" s="2805"/>
      <c r="FWT78" s="2805"/>
      <c r="FWU78" s="2805"/>
      <c r="FWV78" s="2805"/>
      <c r="FWW78" s="2805"/>
      <c r="FWX78" s="2805"/>
      <c r="FWY78" s="2805"/>
      <c r="FWZ78" s="2805"/>
      <c r="FXA78" s="2805"/>
      <c r="FXB78" s="2805"/>
      <c r="FXC78" s="2805"/>
      <c r="FXD78" s="2805"/>
      <c r="FXE78" s="2805"/>
      <c r="FXF78" s="2805"/>
      <c r="FXG78" s="2805"/>
      <c r="FXH78" s="2805"/>
      <c r="FXI78" s="2805"/>
      <c r="FXJ78" s="2805"/>
      <c r="FXK78" s="2805"/>
      <c r="FXL78" s="2805"/>
      <c r="FXM78" s="2805"/>
      <c r="FXN78" s="2805"/>
      <c r="FXO78" s="2805"/>
      <c r="FXP78" s="2805"/>
      <c r="FXQ78" s="2805"/>
      <c r="FXR78" s="2805"/>
      <c r="FXS78" s="2805"/>
      <c r="FXT78" s="2805"/>
      <c r="FXU78" s="2805"/>
      <c r="FXV78" s="2805"/>
      <c r="FXW78" s="2805"/>
      <c r="FXX78" s="2805"/>
      <c r="FXY78" s="2805"/>
      <c r="FXZ78" s="2805"/>
      <c r="FYA78" s="2805"/>
      <c r="FYB78" s="2805"/>
      <c r="FYC78" s="2805"/>
      <c r="FYD78" s="2805"/>
      <c r="FYE78" s="2805"/>
      <c r="FYF78" s="2805"/>
      <c r="FYG78" s="2805"/>
      <c r="FYH78" s="2805"/>
      <c r="FYI78" s="2805"/>
      <c r="FYJ78" s="2805"/>
      <c r="FYK78" s="2805"/>
      <c r="FYL78" s="2805"/>
      <c r="FYM78" s="2805"/>
      <c r="FYN78" s="2805"/>
      <c r="FYO78" s="2805"/>
      <c r="FYP78" s="2805"/>
      <c r="FYQ78" s="2805"/>
      <c r="FYR78" s="2805"/>
      <c r="FYS78" s="2805"/>
      <c r="FYT78" s="2805"/>
      <c r="FYU78" s="2805"/>
      <c r="FYV78" s="2805"/>
      <c r="FYW78" s="2805"/>
      <c r="FYX78" s="2805"/>
      <c r="FYY78" s="2805"/>
      <c r="FYZ78" s="2805"/>
      <c r="FZA78" s="2805"/>
      <c r="FZB78" s="2805"/>
      <c r="FZC78" s="2805"/>
      <c r="FZD78" s="2805"/>
      <c r="FZE78" s="2805"/>
      <c r="FZF78" s="2805"/>
      <c r="FZG78" s="2805"/>
      <c r="FZH78" s="2805"/>
      <c r="FZI78" s="2805"/>
      <c r="FZJ78" s="2805"/>
      <c r="FZK78" s="2805"/>
      <c r="FZL78" s="2805"/>
      <c r="FZM78" s="2805"/>
      <c r="FZN78" s="2805"/>
      <c r="FZO78" s="2805"/>
      <c r="FZP78" s="2805"/>
      <c r="FZQ78" s="2805"/>
      <c r="FZR78" s="2805"/>
      <c r="FZS78" s="2805"/>
      <c r="FZT78" s="2805"/>
      <c r="FZU78" s="2805"/>
      <c r="FZV78" s="2805"/>
      <c r="FZW78" s="2805"/>
      <c r="FZX78" s="2805"/>
      <c r="FZY78" s="2805"/>
      <c r="FZZ78" s="2805"/>
      <c r="GAA78" s="2805"/>
      <c r="GAB78" s="2805"/>
      <c r="GAC78" s="2805"/>
      <c r="GAD78" s="2805"/>
      <c r="GAE78" s="2805"/>
      <c r="GAF78" s="2805"/>
      <c r="GAG78" s="2805"/>
      <c r="GAH78" s="2805"/>
      <c r="GAI78" s="2805"/>
      <c r="GAJ78" s="2805"/>
      <c r="GAK78" s="2805"/>
      <c r="GAL78" s="2805"/>
      <c r="GAM78" s="2805"/>
      <c r="GAN78" s="2805"/>
      <c r="GAO78" s="2805"/>
      <c r="GAP78" s="2805"/>
      <c r="GAQ78" s="2805"/>
      <c r="GAR78" s="2805"/>
      <c r="GAS78" s="2805"/>
      <c r="GAT78" s="2805"/>
      <c r="GAU78" s="2805"/>
      <c r="GAV78" s="2805"/>
      <c r="GAW78" s="2805"/>
      <c r="GAX78" s="2805"/>
      <c r="GAY78" s="2805"/>
      <c r="GAZ78" s="2805"/>
      <c r="GBA78" s="2805"/>
      <c r="GBB78" s="2805"/>
      <c r="GBC78" s="2805"/>
      <c r="GBD78" s="2805"/>
      <c r="GBE78" s="2805"/>
      <c r="GBF78" s="2805"/>
      <c r="GBG78" s="2805"/>
      <c r="GBH78" s="2805"/>
      <c r="GBI78" s="2805"/>
      <c r="GBJ78" s="2805"/>
      <c r="GBK78" s="2805"/>
      <c r="GBL78" s="2805"/>
      <c r="GBM78" s="2805"/>
      <c r="GBN78" s="2805"/>
      <c r="GBO78" s="2805"/>
      <c r="GBP78" s="2805"/>
      <c r="GBQ78" s="2805"/>
      <c r="GBR78" s="2805"/>
      <c r="GBS78" s="2805"/>
      <c r="GBT78" s="2805"/>
      <c r="GBU78" s="2805"/>
      <c r="GBV78" s="2805"/>
      <c r="GBW78" s="2805"/>
      <c r="GBX78" s="2805"/>
      <c r="GBY78" s="2805"/>
      <c r="GBZ78" s="2805"/>
      <c r="GCA78" s="2805"/>
      <c r="GCB78" s="2805"/>
      <c r="GCC78" s="2805"/>
      <c r="GCD78" s="2805"/>
      <c r="GCE78" s="2805"/>
      <c r="GCF78" s="2805"/>
      <c r="GCG78" s="2805"/>
      <c r="GCH78" s="2805"/>
      <c r="GCI78" s="2805"/>
      <c r="GCJ78" s="2805"/>
      <c r="GCK78" s="2805"/>
      <c r="GCL78" s="2805"/>
      <c r="GCM78" s="2805"/>
      <c r="GCN78" s="2805"/>
      <c r="GCO78" s="2805"/>
      <c r="GCP78" s="2805"/>
      <c r="GCQ78" s="2805"/>
      <c r="GCR78" s="2805"/>
      <c r="GCS78" s="2805"/>
      <c r="GCT78" s="2805"/>
      <c r="GCU78" s="2805"/>
      <c r="GCV78" s="2805"/>
      <c r="GCW78" s="2805"/>
      <c r="GCX78" s="2805"/>
      <c r="GCY78" s="2805"/>
      <c r="GCZ78" s="2805"/>
      <c r="GDA78" s="2805"/>
      <c r="GDB78" s="2805"/>
      <c r="GDC78" s="2805"/>
      <c r="GDD78" s="2805"/>
      <c r="GDE78" s="2805"/>
      <c r="GDF78" s="2805"/>
      <c r="GDG78" s="2805"/>
      <c r="GDH78" s="2805"/>
      <c r="GDI78" s="2805"/>
      <c r="GDJ78" s="2805"/>
      <c r="GDK78" s="2805"/>
      <c r="GDL78" s="2805"/>
      <c r="GDM78" s="2805"/>
      <c r="GDN78" s="2805"/>
      <c r="GDO78" s="2805"/>
      <c r="GDP78" s="2805"/>
      <c r="GDQ78" s="2805"/>
      <c r="GDR78" s="2805"/>
      <c r="GDS78" s="2805"/>
      <c r="GDT78" s="2805"/>
      <c r="GDU78" s="2805"/>
      <c r="GDV78" s="2805"/>
      <c r="GDW78" s="2805"/>
      <c r="GDX78" s="2805"/>
      <c r="GDY78" s="2805"/>
      <c r="GDZ78" s="2805"/>
      <c r="GEA78" s="2805"/>
      <c r="GEB78" s="2805"/>
      <c r="GEC78" s="2805"/>
      <c r="GED78" s="2805"/>
      <c r="GEE78" s="2805"/>
      <c r="GEF78" s="2805"/>
      <c r="GEG78" s="2805"/>
      <c r="GEH78" s="2805"/>
      <c r="GEI78" s="2805"/>
      <c r="GEJ78" s="2805"/>
      <c r="GEK78" s="2805"/>
      <c r="GEL78" s="2805"/>
      <c r="GEM78" s="2805"/>
      <c r="GEN78" s="2805"/>
      <c r="GEO78" s="2805"/>
      <c r="GEP78" s="2805"/>
      <c r="GEQ78" s="2805"/>
      <c r="GER78" s="2805"/>
      <c r="GES78" s="2805"/>
      <c r="GET78" s="2805"/>
      <c r="GEU78" s="2805"/>
      <c r="GEV78" s="2805"/>
      <c r="GEW78" s="2805"/>
      <c r="GEX78" s="2805"/>
      <c r="GEY78" s="2805"/>
      <c r="GEZ78" s="2805"/>
      <c r="GFA78" s="2805"/>
      <c r="GFB78" s="2805"/>
      <c r="GFC78" s="2805"/>
      <c r="GFD78" s="2805"/>
      <c r="GFE78" s="2805"/>
      <c r="GFF78" s="2805"/>
      <c r="GFG78" s="2805"/>
      <c r="GFH78" s="2805"/>
      <c r="GFI78" s="2805"/>
      <c r="GFJ78" s="2805"/>
      <c r="GFK78" s="2805"/>
      <c r="GFL78" s="2805"/>
      <c r="GFM78" s="2805"/>
      <c r="GFN78" s="2805"/>
      <c r="GFO78" s="2805"/>
      <c r="GFP78" s="2805"/>
      <c r="GFQ78" s="2805"/>
      <c r="GFR78" s="2805"/>
      <c r="GFS78" s="2805"/>
      <c r="GFT78" s="2805"/>
      <c r="GFU78" s="2805"/>
      <c r="GFV78" s="2805"/>
      <c r="GFW78" s="2805"/>
      <c r="GFX78" s="2805"/>
      <c r="GFY78" s="2805"/>
      <c r="GFZ78" s="2805"/>
      <c r="GGA78" s="2805"/>
      <c r="GGB78" s="2805"/>
      <c r="GGC78" s="2805"/>
      <c r="GGD78" s="2805"/>
      <c r="GGE78" s="2805"/>
      <c r="GGF78" s="2805"/>
      <c r="GGG78" s="2805"/>
      <c r="GGH78" s="2805"/>
      <c r="GGI78" s="2805"/>
      <c r="GGJ78" s="2805"/>
      <c r="GGK78" s="2805"/>
      <c r="GGL78" s="2805"/>
      <c r="GGM78" s="2805"/>
      <c r="GGN78" s="2805"/>
      <c r="GGO78" s="2805"/>
      <c r="GGP78" s="2805"/>
      <c r="GGQ78" s="2805"/>
      <c r="GGR78" s="2805"/>
      <c r="GGS78" s="2805"/>
      <c r="GGT78" s="2805"/>
      <c r="GGU78" s="2805"/>
      <c r="GGV78" s="2805"/>
      <c r="GGW78" s="2805"/>
      <c r="GGX78" s="2805"/>
      <c r="GGY78" s="2805"/>
      <c r="GGZ78" s="2805"/>
      <c r="GHA78" s="2805"/>
      <c r="GHB78" s="2805"/>
      <c r="GHC78" s="2805"/>
      <c r="GHD78" s="2805"/>
      <c r="GHE78" s="2805"/>
      <c r="GHF78" s="2805"/>
      <c r="GHG78" s="2805"/>
      <c r="GHH78" s="2805"/>
      <c r="GHI78" s="2805"/>
      <c r="GHJ78" s="2805"/>
      <c r="GHK78" s="2805"/>
      <c r="GHL78" s="2805"/>
      <c r="GHM78" s="2805"/>
      <c r="GHN78" s="2805"/>
      <c r="GHO78" s="2805"/>
      <c r="GHP78" s="2805"/>
      <c r="GHQ78" s="2805"/>
      <c r="GHR78" s="2805"/>
      <c r="GHS78" s="2805"/>
      <c r="GHT78" s="2805"/>
      <c r="GHU78" s="2805"/>
      <c r="GHV78" s="2805"/>
      <c r="GHW78" s="2805"/>
      <c r="GHX78" s="2805"/>
      <c r="GHY78" s="2805"/>
      <c r="GHZ78" s="2805"/>
      <c r="GIA78" s="2805"/>
      <c r="GIB78" s="2805"/>
      <c r="GIC78" s="2805"/>
      <c r="GID78" s="2805"/>
      <c r="GIE78" s="2805"/>
      <c r="GIF78" s="2805"/>
      <c r="GIG78" s="2805"/>
      <c r="GIH78" s="2805"/>
      <c r="GII78" s="2805"/>
      <c r="GIJ78" s="2805"/>
      <c r="GIK78" s="2805"/>
      <c r="GIL78" s="2805"/>
      <c r="GIM78" s="2805"/>
      <c r="GIN78" s="2805"/>
      <c r="GIO78" s="2805"/>
      <c r="GIP78" s="2805"/>
      <c r="GIQ78" s="2805"/>
      <c r="GIR78" s="2805"/>
      <c r="GIS78" s="2805"/>
      <c r="GIT78" s="2805"/>
      <c r="GIU78" s="2805"/>
      <c r="GIV78" s="2805"/>
      <c r="GIW78" s="2805"/>
      <c r="GIX78" s="2805"/>
      <c r="GIY78" s="2805"/>
      <c r="GIZ78" s="2805"/>
      <c r="GJA78" s="2805"/>
      <c r="GJB78" s="2805"/>
      <c r="GJC78" s="2805"/>
      <c r="GJD78" s="2805"/>
      <c r="GJE78" s="2805"/>
      <c r="GJF78" s="2805"/>
      <c r="GJG78" s="2805"/>
      <c r="GJH78" s="2805"/>
      <c r="GJI78" s="2805"/>
      <c r="GJJ78" s="2805"/>
      <c r="GJK78" s="2805"/>
      <c r="GJL78" s="2805"/>
      <c r="GJM78" s="2805"/>
      <c r="GJN78" s="2805"/>
      <c r="GJO78" s="2805"/>
      <c r="GJP78" s="2805"/>
      <c r="GJQ78" s="2805"/>
      <c r="GJR78" s="2805"/>
      <c r="GJS78" s="2805"/>
      <c r="GJT78" s="2805"/>
      <c r="GJU78" s="2805"/>
      <c r="GJV78" s="2805"/>
      <c r="GJW78" s="2805"/>
      <c r="GJX78" s="2805"/>
      <c r="GJY78" s="2805"/>
      <c r="GJZ78" s="2805"/>
      <c r="GKA78" s="2805"/>
      <c r="GKB78" s="2805"/>
      <c r="GKC78" s="2805"/>
      <c r="GKD78" s="2805"/>
      <c r="GKE78" s="2805"/>
      <c r="GKF78" s="2805"/>
      <c r="GKG78" s="2805"/>
      <c r="GKH78" s="2805"/>
      <c r="GKI78" s="2805"/>
      <c r="GKJ78" s="2805"/>
      <c r="GKK78" s="2805"/>
      <c r="GKL78" s="2805"/>
      <c r="GKM78" s="2805"/>
      <c r="GKN78" s="2805"/>
      <c r="GKO78" s="2805"/>
      <c r="GKP78" s="2805"/>
      <c r="GKQ78" s="2805"/>
      <c r="GKR78" s="2805"/>
      <c r="GKS78" s="2805"/>
      <c r="GKT78" s="2805"/>
      <c r="GKU78" s="2805"/>
      <c r="GKV78" s="2805"/>
      <c r="GKW78" s="2805"/>
      <c r="GKX78" s="2805"/>
      <c r="GKY78" s="2805"/>
      <c r="GKZ78" s="2805"/>
      <c r="GLA78" s="2805"/>
      <c r="GLB78" s="2805"/>
      <c r="GLC78" s="2805"/>
      <c r="GLD78" s="2805"/>
      <c r="GLE78" s="2805"/>
      <c r="GLF78" s="2805"/>
      <c r="GLG78" s="2805"/>
      <c r="GLH78" s="2805"/>
      <c r="GLI78" s="2805"/>
      <c r="GLJ78" s="2805"/>
      <c r="GLK78" s="2805"/>
      <c r="GLL78" s="2805"/>
      <c r="GLM78" s="2805"/>
      <c r="GLN78" s="2805"/>
      <c r="GLO78" s="2805"/>
      <c r="GLP78" s="2805"/>
      <c r="GLQ78" s="2805"/>
      <c r="GLR78" s="2805"/>
      <c r="GLS78" s="2805"/>
      <c r="GLT78" s="2805"/>
      <c r="GLU78" s="2805"/>
      <c r="GLV78" s="2805"/>
      <c r="GLW78" s="2805"/>
      <c r="GLX78" s="2805"/>
      <c r="GLY78" s="2805"/>
      <c r="GLZ78" s="2805"/>
      <c r="GMA78" s="2805"/>
      <c r="GMB78" s="2805"/>
      <c r="GMC78" s="2805"/>
      <c r="GMD78" s="2805"/>
      <c r="GME78" s="2805"/>
      <c r="GMF78" s="2805"/>
      <c r="GMG78" s="2805"/>
      <c r="GMH78" s="2805"/>
      <c r="GMI78" s="2805"/>
      <c r="GMJ78" s="2805"/>
      <c r="GMK78" s="2805"/>
      <c r="GML78" s="2805"/>
      <c r="GMM78" s="2805"/>
      <c r="GMN78" s="2805"/>
      <c r="GMO78" s="2805"/>
      <c r="GMP78" s="2805"/>
      <c r="GMQ78" s="2805"/>
      <c r="GMR78" s="2805"/>
      <c r="GMS78" s="2805"/>
      <c r="GMT78" s="2805"/>
      <c r="GMU78" s="2805"/>
      <c r="GMV78" s="2805"/>
      <c r="GMW78" s="2805"/>
      <c r="GMX78" s="2805"/>
      <c r="GMY78" s="2805"/>
      <c r="GMZ78" s="2805"/>
      <c r="GNA78" s="2805"/>
      <c r="GNB78" s="2805"/>
      <c r="GNC78" s="2805"/>
      <c r="GND78" s="2805"/>
      <c r="GNE78" s="2805"/>
      <c r="GNF78" s="2805"/>
      <c r="GNG78" s="2805"/>
      <c r="GNH78" s="2805"/>
      <c r="GNI78" s="2805"/>
      <c r="GNJ78" s="2805"/>
      <c r="GNK78" s="2805"/>
      <c r="GNL78" s="2805"/>
      <c r="GNM78" s="2805"/>
      <c r="GNN78" s="2805"/>
      <c r="GNO78" s="2805"/>
      <c r="GNP78" s="2805"/>
      <c r="GNQ78" s="2805"/>
      <c r="GNR78" s="2805"/>
      <c r="GNS78" s="2805"/>
      <c r="GNT78" s="2805"/>
      <c r="GNU78" s="2805"/>
      <c r="GNV78" s="2805"/>
      <c r="GNW78" s="2805"/>
      <c r="GNX78" s="2805"/>
      <c r="GNY78" s="2805"/>
      <c r="GNZ78" s="2805"/>
      <c r="GOA78" s="2805"/>
      <c r="GOB78" s="2805"/>
      <c r="GOC78" s="2805"/>
      <c r="GOD78" s="2805"/>
      <c r="GOE78" s="2805"/>
      <c r="GOF78" s="2805"/>
      <c r="GOG78" s="2805"/>
      <c r="GOH78" s="2805"/>
      <c r="GOI78" s="2805"/>
      <c r="GOJ78" s="2805"/>
      <c r="GOK78" s="2805"/>
      <c r="GOL78" s="2805"/>
      <c r="GOM78" s="2805"/>
      <c r="GON78" s="2805"/>
      <c r="GOO78" s="2805"/>
      <c r="GOP78" s="2805"/>
      <c r="GOQ78" s="2805"/>
      <c r="GOR78" s="2805"/>
      <c r="GOS78" s="2805"/>
      <c r="GOT78" s="2805"/>
      <c r="GOU78" s="2805"/>
      <c r="GOV78" s="2805"/>
      <c r="GOW78" s="2805"/>
      <c r="GOX78" s="2805"/>
      <c r="GOY78" s="2805"/>
      <c r="GOZ78" s="2805"/>
      <c r="GPA78" s="2805"/>
      <c r="GPB78" s="2805"/>
      <c r="GPC78" s="2805"/>
      <c r="GPD78" s="2805"/>
      <c r="GPE78" s="2805"/>
      <c r="GPF78" s="2805"/>
      <c r="GPG78" s="2805"/>
      <c r="GPH78" s="2805"/>
      <c r="GPI78" s="2805"/>
      <c r="GPJ78" s="2805"/>
      <c r="GPK78" s="2805"/>
      <c r="GPL78" s="2805"/>
      <c r="GPM78" s="2805"/>
      <c r="GPN78" s="2805"/>
      <c r="GPO78" s="2805"/>
      <c r="GPP78" s="2805"/>
      <c r="GPQ78" s="2805"/>
      <c r="GPR78" s="2805"/>
      <c r="GPS78" s="2805"/>
      <c r="GPT78" s="2805"/>
      <c r="GPU78" s="2805"/>
      <c r="GPV78" s="2805"/>
      <c r="GPW78" s="2805"/>
      <c r="GPX78" s="2805"/>
      <c r="GPY78" s="2805"/>
      <c r="GPZ78" s="2805"/>
      <c r="GQA78" s="2805"/>
      <c r="GQB78" s="2805"/>
      <c r="GQC78" s="2805"/>
      <c r="GQD78" s="2805"/>
      <c r="GQE78" s="2805"/>
      <c r="GQF78" s="2805"/>
      <c r="GQG78" s="2805"/>
      <c r="GQH78" s="2805"/>
      <c r="GQI78" s="2805"/>
      <c r="GQJ78" s="2805"/>
      <c r="GQK78" s="2805"/>
      <c r="GQL78" s="2805"/>
      <c r="GQM78" s="2805"/>
      <c r="GQN78" s="2805"/>
      <c r="GQO78" s="2805"/>
      <c r="GQP78" s="2805"/>
      <c r="GQQ78" s="2805"/>
      <c r="GQR78" s="2805"/>
      <c r="GQS78" s="2805"/>
      <c r="GQT78" s="2805"/>
      <c r="GQU78" s="2805"/>
      <c r="GQV78" s="2805"/>
      <c r="GQW78" s="2805"/>
      <c r="GQX78" s="2805"/>
      <c r="GQY78" s="2805"/>
      <c r="GQZ78" s="2805"/>
      <c r="GRA78" s="2805"/>
      <c r="GRB78" s="2805"/>
      <c r="GRC78" s="2805"/>
      <c r="GRD78" s="2805"/>
      <c r="GRE78" s="2805"/>
      <c r="GRF78" s="2805"/>
      <c r="GRG78" s="2805"/>
      <c r="GRH78" s="2805"/>
      <c r="GRI78" s="2805"/>
      <c r="GRJ78" s="2805"/>
      <c r="GRK78" s="2805"/>
      <c r="GRL78" s="2805"/>
      <c r="GRM78" s="2805"/>
      <c r="GRN78" s="2805"/>
      <c r="GRO78" s="2805"/>
      <c r="GRP78" s="2805"/>
      <c r="GRQ78" s="2805"/>
      <c r="GRR78" s="2805"/>
      <c r="GRS78" s="2805"/>
      <c r="GRT78" s="2805"/>
      <c r="GRU78" s="2805"/>
      <c r="GRV78" s="2805"/>
      <c r="GRW78" s="2805"/>
      <c r="GRX78" s="2805"/>
      <c r="GRY78" s="2805"/>
      <c r="GRZ78" s="2805"/>
      <c r="GSA78" s="2805"/>
      <c r="GSB78" s="2805"/>
      <c r="GSC78" s="2805"/>
      <c r="GSD78" s="2805"/>
      <c r="GSE78" s="2805"/>
      <c r="GSF78" s="2805"/>
      <c r="GSG78" s="2805"/>
      <c r="GSH78" s="2805"/>
      <c r="GSI78" s="2805"/>
      <c r="GSJ78" s="2805"/>
      <c r="GSK78" s="2805"/>
      <c r="GSL78" s="2805"/>
      <c r="GSM78" s="2805"/>
      <c r="GSN78" s="2805"/>
      <c r="GSO78" s="2805"/>
      <c r="GSP78" s="2805"/>
      <c r="GSQ78" s="2805"/>
      <c r="GSR78" s="2805"/>
      <c r="GSS78" s="2805"/>
      <c r="GST78" s="2805"/>
      <c r="GSU78" s="2805"/>
      <c r="GSV78" s="2805"/>
      <c r="GSW78" s="2805"/>
      <c r="GSX78" s="2805"/>
      <c r="GSY78" s="2805"/>
      <c r="GSZ78" s="2805"/>
      <c r="GTA78" s="2805"/>
      <c r="GTB78" s="2805"/>
      <c r="GTC78" s="2805"/>
      <c r="GTD78" s="2805"/>
      <c r="GTE78" s="2805"/>
      <c r="GTF78" s="2805"/>
      <c r="GTG78" s="2805"/>
      <c r="GTH78" s="2805"/>
      <c r="GTI78" s="2805"/>
      <c r="GTJ78" s="2805"/>
      <c r="GTK78" s="2805"/>
      <c r="GTL78" s="2805"/>
      <c r="GTM78" s="2805"/>
      <c r="GTN78" s="2805"/>
      <c r="GTO78" s="2805"/>
      <c r="GTP78" s="2805"/>
      <c r="GTQ78" s="2805"/>
      <c r="GTR78" s="2805"/>
      <c r="GTS78" s="2805"/>
      <c r="GTT78" s="2805"/>
      <c r="GTU78" s="2805"/>
      <c r="GTV78" s="2805"/>
      <c r="GTW78" s="2805"/>
      <c r="GTX78" s="2805"/>
      <c r="GTY78" s="2805"/>
      <c r="GTZ78" s="2805"/>
      <c r="GUA78" s="2805"/>
      <c r="GUB78" s="2805"/>
      <c r="GUC78" s="2805"/>
      <c r="GUD78" s="2805"/>
      <c r="GUE78" s="2805"/>
      <c r="GUF78" s="2805"/>
      <c r="GUG78" s="2805"/>
      <c r="GUH78" s="2805"/>
      <c r="GUI78" s="2805"/>
      <c r="GUJ78" s="2805"/>
      <c r="GUK78" s="2805"/>
      <c r="GUL78" s="2805"/>
      <c r="GUM78" s="2805"/>
      <c r="GUN78" s="2805"/>
      <c r="GUO78" s="2805"/>
      <c r="GUP78" s="2805"/>
      <c r="GUQ78" s="2805"/>
      <c r="GUR78" s="2805"/>
      <c r="GUS78" s="2805"/>
      <c r="GUT78" s="2805"/>
      <c r="GUU78" s="2805"/>
      <c r="GUV78" s="2805"/>
      <c r="GUW78" s="2805"/>
      <c r="GUX78" s="2805"/>
      <c r="GUY78" s="2805"/>
      <c r="GUZ78" s="2805"/>
      <c r="GVA78" s="2805"/>
      <c r="GVB78" s="2805"/>
      <c r="GVC78" s="2805"/>
      <c r="GVD78" s="2805"/>
      <c r="GVE78" s="2805"/>
      <c r="GVF78" s="2805"/>
      <c r="GVG78" s="2805"/>
      <c r="GVH78" s="2805"/>
      <c r="GVI78" s="2805"/>
      <c r="GVJ78" s="2805"/>
      <c r="GVK78" s="2805"/>
      <c r="GVL78" s="2805"/>
      <c r="GVM78" s="2805"/>
      <c r="GVN78" s="2805"/>
      <c r="GVO78" s="2805"/>
      <c r="GVP78" s="2805"/>
      <c r="GVQ78" s="2805"/>
      <c r="GVR78" s="2805"/>
      <c r="GVS78" s="2805"/>
      <c r="GVT78" s="2805"/>
      <c r="GVU78" s="2805"/>
      <c r="GVV78" s="2805"/>
      <c r="GVW78" s="2805"/>
      <c r="GVX78" s="2805"/>
      <c r="GVY78" s="2805"/>
      <c r="GVZ78" s="2805"/>
      <c r="GWA78" s="2805"/>
      <c r="GWB78" s="2805"/>
      <c r="GWC78" s="2805"/>
      <c r="GWD78" s="2805"/>
      <c r="GWE78" s="2805"/>
      <c r="GWF78" s="2805"/>
      <c r="GWG78" s="2805"/>
      <c r="GWH78" s="2805"/>
      <c r="GWI78" s="2805"/>
      <c r="GWJ78" s="2805"/>
      <c r="GWK78" s="2805"/>
      <c r="GWL78" s="2805"/>
      <c r="GWM78" s="2805"/>
      <c r="GWN78" s="2805"/>
      <c r="GWO78" s="2805"/>
      <c r="GWP78" s="2805"/>
      <c r="GWQ78" s="2805"/>
      <c r="GWR78" s="2805"/>
      <c r="GWS78" s="2805"/>
      <c r="GWT78" s="2805"/>
      <c r="GWU78" s="2805"/>
      <c r="GWV78" s="2805"/>
      <c r="GWW78" s="2805"/>
      <c r="GWX78" s="2805"/>
      <c r="GWY78" s="2805"/>
      <c r="GWZ78" s="2805"/>
      <c r="GXA78" s="2805"/>
      <c r="GXB78" s="2805"/>
      <c r="GXC78" s="2805"/>
      <c r="GXD78" s="2805"/>
      <c r="GXE78" s="2805"/>
      <c r="GXF78" s="2805"/>
      <c r="GXG78" s="2805"/>
      <c r="GXH78" s="2805"/>
      <c r="GXI78" s="2805"/>
      <c r="GXJ78" s="2805"/>
      <c r="GXK78" s="2805"/>
      <c r="GXL78" s="2805"/>
      <c r="GXM78" s="2805"/>
      <c r="GXN78" s="2805"/>
      <c r="GXO78" s="2805"/>
      <c r="GXP78" s="2805"/>
      <c r="GXQ78" s="2805"/>
      <c r="GXR78" s="2805"/>
      <c r="GXS78" s="2805"/>
      <c r="GXT78" s="2805"/>
      <c r="GXU78" s="2805"/>
      <c r="GXV78" s="2805"/>
      <c r="GXW78" s="2805"/>
      <c r="GXX78" s="2805"/>
      <c r="GXY78" s="2805"/>
      <c r="GXZ78" s="2805"/>
      <c r="GYA78" s="2805"/>
      <c r="GYB78" s="2805"/>
      <c r="GYC78" s="2805"/>
      <c r="GYD78" s="2805"/>
      <c r="GYE78" s="2805"/>
      <c r="GYF78" s="2805"/>
      <c r="GYG78" s="2805"/>
      <c r="GYH78" s="2805"/>
      <c r="GYI78" s="2805"/>
      <c r="GYJ78" s="2805"/>
      <c r="GYK78" s="2805"/>
      <c r="GYL78" s="2805"/>
      <c r="GYM78" s="2805"/>
      <c r="GYN78" s="2805"/>
      <c r="GYO78" s="2805"/>
      <c r="GYP78" s="2805"/>
      <c r="GYQ78" s="2805"/>
      <c r="GYR78" s="2805"/>
      <c r="GYS78" s="2805"/>
      <c r="GYT78" s="2805"/>
      <c r="GYU78" s="2805"/>
      <c r="GYV78" s="2805"/>
      <c r="GYW78" s="2805"/>
      <c r="GYX78" s="2805"/>
      <c r="GYY78" s="2805"/>
      <c r="GYZ78" s="2805"/>
      <c r="GZA78" s="2805"/>
      <c r="GZB78" s="2805"/>
      <c r="GZC78" s="2805"/>
      <c r="GZD78" s="2805"/>
      <c r="GZE78" s="2805"/>
      <c r="GZF78" s="2805"/>
      <c r="GZG78" s="2805"/>
      <c r="GZH78" s="2805"/>
      <c r="GZI78" s="2805"/>
      <c r="GZJ78" s="2805"/>
      <c r="GZK78" s="2805"/>
      <c r="GZL78" s="2805"/>
      <c r="GZM78" s="2805"/>
      <c r="GZN78" s="2805"/>
      <c r="GZO78" s="2805"/>
      <c r="GZP78" s="2805"/>
      <c r="GZQ78" s="2805"/>
      <c r="GZR78" s="2805"/>
      <c r="GZS78" s="2805"/>
      <c r="GZT78" s="2805"/>
      <c r="GZU78" s="2805"/>
      <c r="GZV78" s="2805"/>
      <c r="GZW78" s="2805"/>
      <c r="GZX78" s="2805"/>
      <c r="GZY78" s="2805"/>
      <c r="GZZ78" s="2805"/>
      <c r="HAA78" s="2805"/>
      <c r="HAB78" s="2805"/>
      <c r="HAC78" s="2805"/>
      <c r="HAD78" s="2805"/>
      <c r="HAE78" s="2805"/>
      <c r="HAF78" s="2805"/>
      <c r="HAG78" s="2805"/>
      <c r="HAH78" s="2805"/>
      <c r="HAI78" s="2805"/>
      <c r="HAJ78" s="2805"/>
      <c r="HAK78" s="2805"/>
      <c r="HAL78" s="2805"/>
      <c r="HAM78" s="2805"/>
      <c r="HAN78" s="2805"/>
      <c r="HAO78" s="2805"/>
      <c r="HAP78" s="2805"/>
      <c r="HAQ78" s="2805"/>
      <c r="HAR78" s="2805"/>
      <c r="HAS78" s="2805"/>
      <c r="HAT78" s="2805"/>
      <c r="HAU78" s="2805"/>
      <c r="HAV78" s="2805"/>
      <c r="HAW78" s="2805"/>
      <c r="HAX78" s="2805"/>
      <c r="HAY78" s="2805"/>
      <c r="HAZ78" s="2805"/>
      <c r="HBA78" s="2805"/>
      <c r="HBB78" s="2805"/>
      <c r="HBC78" s="2805"/>
      <c r="HBD78" s="2805"/>
      <c r="HBE78" s="2805"/>
      <c r="HBF78" s="2805"/>
      <c r="HBG78" s="2805"/>
      <c r="HBH78" s="2805"/>
      <c r="HBI78" s="2805"/>
      <c r="HBJ78" s="2805"/>
      <c r="HBK78" s="2805"/>
      <c r="HBL78" s="2805"/>
      <c r="HBM78" s="2805"/>
      <c r="HBN78" s="2805"/>
      <c r="HBO78" s="2805"/>
      <c r="HBP78" s="2805"/>
      <c r="HBQ78" s="2805"/>
      <c r="HBR78" s="2805"/>
      <c r="HBS78" s="2805"/>
      <c r="HBT78" s="2805"/>
      <c r="HBU78" s="2805"/>
      <c r="HBV78" s="2805"/>
      <c r="HBW78" s="2805"/>
      <c r="HBX78" s="2805"/>
      <c r="HBY78" s="2805"/>
      <c r="HBZ78" s="2805"/>
      <c r="HCA78" s="2805"/>
      <c r="HCB78" s="2805"/>
      <c r="HCC78" s="2805"/>
      <c r="HCD78" s="2805"/>
      <c r="HCE78" s="2805"/>
      <c r="HCF78" s="2805"/>
      <c r="HCG78" s="2805"/>
      <c r="HCH78" s="2805"/>
      <c r="HCI78" s="2805"/>
      <c r="HCJ78" s="2805"/>
      <c r="HCK78" s="2805"/>
      <c r="HCL78" s="2805"/>
      <c r="HCM78" s="2805"/>
      <c r="HCN78" s="2805"/>
      <c r="HCO78" s="2805"/>
      <c r="HCP78" s="2805"/>
      <c r="HCQ78" s="2805"/>
      <c r="HCR78" s="2805"/>
      <c r="HCS78" s="2805"/>
      <c r="HCT78" s="2805"/>
      <c r="HCU78" s="2805"/>
      <c r="HCV78" s="2805"/>
      <c r="HCW78" s="2805"/>
      <c r="HCX78" s="2805"/>
      <c r="HCY78" s="2805"/>
      <c r="HCZ78" s="2805"/>
      <c r="HDA78" s="2805"/>
      <c r="HDB78" s="2805"/>
      <c r="HDC78" s="2805"/>
      <c r="HDD78" s="2805"/>
      <c r="HDE78" s="2805"/>
      <c r="HDF78" s="2805"/>
      <c r="HDG78" s="2805"/>
      <c r="HDH78" s="2805"/>
      <c r="HDI78" s="2805"/>
      <c r="HDJ78" s="2805"/>
      <c r="HDK78" s="2805"/>
      <c r="HDL78" s="2805"/>
      <c r="HDM78" s="2805"/>
      <c r="HDN78" s="2805"/>
      <c r="HDO78" s="2805"/>
      <c r="HDP78" s="2805"/>
      <c r="HDQ78" s="2805"/>
      <c r="HDR78" s="2805"/>
      <c r="HDS78" s="2805"/>
      <c r="HDT78" s="2805"/>
      <c r="HDU78" s="2805"/>
      <c r="HDV78" s="2805"/>
      <c r="HDW78" s="2805"/>
      <c r="HDX78" s="2805"/>
      <c r="HDY78" s="2805"/>
      <c r="HDZ78" s="2805"/>
      <c r="HEA78" s="2805"/>
      <c r="HEB78" s="2805"/>
      <c r="HEC78" s="2805"/>
      <c r="HED78" s="2805"/>
      <c r="HEE78" s="2805"/>
      <c r="HEF78" s="2805"/>
      <c r="HEG78" s="2805"/>
      <c r="HEH78" s="2805"/>
      <c r="HEI78" s="2805"/>
      <c r="HEJ78" s="2805"/>
      <c r="HEK78" s="2805"/>
      <c r="HEL78" s="2805"/>
      <c r="HEM78" s="2805"/>
      <c r="HEN78" s="2805"/>
      <c r="HEO78" s="2805"/>
      <c r="HEP78" s="2805"/>
      <c r="HEQ78" s="2805"/>
      <c r="HER78" s="2805"/>
      <c r="HES78" s="2805"/>
      <c r="HET78" s="2805"/>
      <c r="HEU78" s="2805"/>
      <c r="HEV78" s="2805"/>
      <c r="HEW78" s="2805"/>
      <c r="HEX78" s="2805"/>
      <c r="HEY78" s="2805"/>
      <c r="HEZ78" s="2805"/>
      <c r="HFA78" s="2805"/>
      <c r="HFB78" s="2805"/>
      <c r="HFC78" s="2805"/>
      <c r="HFD78" s="2805"/>
      <c r="HFE78" s="2805"/>
      <c r="HFF78" s="2805"/>
      <c r="HFG78" s="2805"/>
      <c r="HFH78" s="2805"/>
      <c r="HFI78" s="2805"/>
      <c r="HFJ78" s="2805"/>
      <c r="HFK78" s="2805"/>
      <c r="HFL78" s="2805"/>
      <c r="HFM78" s="2805"/>
      <c r="HFN78" s="2805"/>
      <c r="HFO78" s="2805"/>
      <c r="HFP78" s="2805"/>
      <c r="HFQ78" s="2805"/>
      <c r="HFR78" s="2805"/>
      <c r="HFS78" s="2805"/>
      <c r="HFT78" s="2805"/>
      <c r="HFU78" s="2805"/>
      <c r="HFV78" s="2805"/>
      <c r="HFW78" s="2805"/>
      <c r="HFX78" s="2805"/>
      <c r="HFY78" s="2805"/>
      <c r="HFZ78" s="2805"/>
      <c r="HGA78" s="2805"/>
      <c r="HGB78" s="2805"/>
      <c r="HGC78" s="2805"/>
      <c r="HGD78" s="2805"/>
      <c r="HGE78" s="2805"/>
      <c r="HGF78" s="2805"/>
      <c r="HGG78" s="2805"/>
      <c r="HGH78" s="2805"/>
      <c r="HGI78" s="2805"/>
      <c r="HGJ78" s="2805"/>
      <c r="HGK78" s="2805"/>
      <c r="HGL78" s="2805"/>
      <c r="HGM78" s="2805"/>
      <c r="HGN78" s="2805"/>
      <c r="HGO78" s="2805"/>
      <c r="HGP78" s="2805"/>
      <c r="HGQ78" s="2805"/>
      <c r="HGR78" s="2805"/>
      <c r="HGS78" s="2805"/>
      <c r="HGT78" s="2805"/>
      <c r="HGU78" s="2805"/>
      <c r="HGV78" s="2805"/>
      <c r="HGW78" s="2805"/>
      <c r="HGX78" s="2805"/>
      <c r="HGY78" s="2805"/>
      <c r="HGZ78" s="2805"/>
      <c r="HHA78" s="2805"/>
      <c r="HHB78" s="2805"/>
      <c r="HHC78" s="2805"/>
      <c r="HHD78" s="2805"/>
      <c r="HHE78" s="2805"/>
      <c r="HHF78" s="2805"/>
      <c r="HHG78" s="2805"/>
      <c r="HHH78" s="2805"/>
      <c r="HHI78" s="2805"/>
      <c r="HHJ78" s="2805"/>
      <c r="HHK78" s="2805"/>
      <c r="HHL78" s="2805"/>
      <c r="HHM78" s="2805"/>
      <c r="HHN78" s="2805"/>
      <c r="HHO78" s="2805"/>
      <c r="HHP78" s="2805"/>
      <c r="HHQ78" s="2805"/>
      <c r="HHR78" s="2805"/>
      <c r="HHS78" s="2805"/>
      <c r="HHT78" s="2805"/>
      <c r="HHU78" s="2805"/>
      <c r="HHV78" s="2805"/>
      <c r="HHW78" s="2805"/>
      <c r="HHX78" s="2805"/>
      <c r="HHY78" s="2805"/>
      <c r="HHZ78" s="2805"/>
      <c r="HIA78" s="2805"/>
      <c r="HIB78" s="2805"/>
      <c r="HIC78" s="2805"/>
      <c r="HID78" s="2805"/>
      <c r="HIE78" s="2805"/>
      <c r="HIF78" s="2805"/>
      <c r="HIG78" s="2805"/>
      <c r="HIH78" s="2805"/>
      <c r="HII78" s="2805"/>
      <c r="HIJ78" s="2805"/>
      <c r="HIK78" s="2805"/>
      <c r="HIL78" s="2805"/>
      <c r="HIM78" s="2805"/>
      <c r="HIN78" s="2805"/>
      <c r="HIO78" s="2805"/>
      <c r="HIP78" s="2805"/>
      <c r="HIQ78" s="2805"/>
      <c r="HIR78" s="2805"/>
      <c r="HIS78" s="2805"/>
      <c r="HIT78" s="2805"/>
      <c r="HIU78" s="2805"/>
      <c r="HIV78" s="2805"/>
      <c r="HIW78" s="2805"/>
      <c r="HIX78" s="2805"/>
      <c r="HIY78" s="2805"/>
      <c r="HIZ78" s="2805"/>
      <c r="HJA78" s="2805"/>
      <c r="HJB78" s="2805"/>
      <c r="HJC78" s="2805"/>
      <c r="HJD78" s="2805"/>
      <c r="HJE78" s="2805"/>
      <c r="HJF78" s="2805"/>
      <c r="HJG78" s="2805"/>
      <c r="HJH78" s="2805"/>
      <c r="HJI78" s="2805"/>
      <c r="HJJ78" s="2805"/>
      <c r="HJK78" s="2805"/>
      <c r="HJL78" s="2805"/>
      <c r="HJM78" s="2805"/>
      <c r="HJN78" s="2805"/>
      <c r="HJO78" s="2805"/>
      <c r="HJP78" s="2805"/>
      <c r="HJQ78" s="2805"/>
      <c r="HJR78" s="2805"/>
      <c r="HJS78" s="2805"/>
      <c r="HJT78" s="2805"/>
      <c r="HJU78" s="2805"/>
      <c r="HJV78" s="2805"/>
      <c r="HJW78" s="2805"/>
      <c r="HJX78" s="2805"/>
      <c r="HJY78" s="2805"/>
      <c r="HJZ78" s="2805"/>
      <c r="HKA78" s="2805"/>
      <c r="HKB78" s="2805"/>
      <c r="HKC78" s="2805"/>
      <c r="HKD78" s="2805"/>
      <c r="HKE78" s="2805"/>
      <c r="HKF78" s="2805"/>
      <c r="HKG78" s="2805"/>
      <c r="HKH78" s="2805"/>
      <c r="HKI78" s="2805"/>
      <c r="HKJ78" s="2805"/>
      <c r="HKK78" s="2805"/>
      <c r="HKL78" s="2805"/>
      <c r="HKM78" s="2805"/>
      <c r="HKN78" s="2805"/>
      <c r="HKO78" s="2805"/>
      <c r="HKP78" s="2805"/>
      <c r="HKQ78" s="2805"/>
      <c r="HKR78" s="2805"/>
      <c r="HKS78" s="2805"/>
      <c r="HKT78" s="2805"/>
      <c r="HKU78" s="2805"/>
      <c r="HKV78" s="2805"/>
      <c r="HKW78" s="2805"/>
      <c r="HKX78" s="2805"/>
      <c r="HKY78" s="2805"/>
      <c r="HKZ78" s="2805"/>
      <c r="HLA78" s="2805"/>
      <c r="HLB78" s="2805"/>
      <c r="HLC78" s="2805"/>
      <c r="HLD78" s="2805"/>
      <c r="HLE78" s="2805"/>
      <c r="HLF78" s="2805"/>
      <c r="HLG78" s="2805"/>
      <c r="HLH78" s="2805"/>
      <c r="HLI78" s="2805"/>
      <c r="HLJ78" s="2805"/>
      <c r="HLK78" s="2805"/>
      <c r="HLL78" s="2805"/>
      <c r="HLM78" s="2805"/>
      <c r="HLN78" s="2805"/>
      <c r="HLO78" s="2805"/>
      <c r="HLP78" s="2805"/>
      <c r="HLQ78" s="2805"/>
      <c r="HLR78" s="2805"/>
      <c r="HLS78" s="2805"/>
      <c r="HLT78" s="2805"/>
      <c r="HLU78" s="2805"/>
      <c r="HLV78" s="2805"/>
      <c r="HLW78" s="2805"/>
      <c r="HLX78" s="2805"/>
      <c r="HLY78" s="2805"/>
      <c r="HLZ78" s="2805"/>
      <c r="HMA78" s="2805"/>
      <c r="HMB78" s="2805"/>
      <c r="HMC78" s="2805"/>
      <c r="HMD78" s="2805"/>
      <c r="HME78" s="2805"/>
      <c r="HMF78" s="2805"/>
      <c r="HMG78" s="2805"/>
      <c r="HMH78" s="2805"/>
      <c r="HMI78" s="2805"/>
      <c r="HMJ78" s="2805"/>
      <c r="HMK78" s="2805"/>
      <c r="HML78" s="2805"/>
      <c r="HMM78" s="2805"/>
      <c r="HMN78" s="2805"/>
      <c r="HMO78" s="2805"/>
      <c r="HMP78" s="2805"/>
      <c r="HMQ78" s="2805"/>
      <c r="HMR78" s="2805"/>
      <c r="HMS78" s="2805"/>
      <c r="HMT78" s="2805"/>
      <c r="HMU78" s="2805"/>
      <c r="HMV78" s="2805"/>
      <c r="HMW78" s="2805"/>
      <c r="HMX78" s="2805"/>
      <c r="HMY78" s="2805"/>
      <c r="HMZ78" s="2805"/>
      <c r="HNA78" s="2805"/>
      <c r="HNB78" s="2805"/>
      <c r="HNC78" s="2805"/>
      <c r="HND78" s="2805"/>
      <c r="HNE78" s="2805"/>
      <c r="HNF78" s="2805"/>
      <c r="HNG78" s="2805"/>
      <c r="HNH78" s="2805"/>
      <c r="HNI78" s="2805"/>
      <c r="HNJ78" s="2805"/>
      <c r="HNK78" s="2805"/>
      <c r="HNL78" s="2805"/>
      <c r="HNM78" s="2805"/>
      <c r="HNN78" s="2805"/>
      <c r="HNO78" s="2805"/>
      <c r="HNP78" s="2805"/>
      <c r="HNQ78" s="2805"/>
      <c r="HNR78" s="2805"/>
      <c r="HNS78" s="2805"/>
      <c r="HNT78" s="2805"/>
      <c r="HNU78" s="2805"/>
      <c r="HNV78" s="2805"/>
      <c r="HNW78" s="2805"/>
      <c r="HNX78" s="2805"/>
      <c r="HNY78" s="2805"/>
      <c r="HNZ78" s="2805"/>
      <c r="HOA78" s="2805"/>
      <c r="HOB78" s="2805"/>
      <c r="HOC78" s="2805"/>
      <c r="HOD78" s="2805"/>
      <c r="HOE78" s="2805"/>
      <c r="HOF78" s="2805"/>
      <c r="HOG78" s="2805"/>
      <c r="HOH78" s="2805"/>
      <c r="HOI78" s="2805"/>
      <c r="HOJ78" s="2805"/>
      <c r="HOK78" s="2805"/>
      <c r="HOL78" s="2805"/>
      <c r="HOM78" s="2805"/>
      <c r="HON78" s="2805"/>
      <c r="HOO78" s="2805"/>
      <c r="HOP78" s="2805"/>
      <c r="HOQ78" s="2805"/>
      <c r="HOR78" s="2805"/>
      <c r="HOS78" s="2805"/>
      <c r="HOT78" s="2805"/>
      <c r="HOU78" s="2805"/>
      <c r="HOV78" s="2805"/>
      <c r="HOW78" s="2805"/>
      <c r="HOX78" s="2805"/>
      <c r="HOY78" s="2805"/>
      <c r="HOZ78" s="2805"/>
      <c r="HPA78" s="2805"/>
      <c r="HPB78" s="2805"/>
      <c r="HPC78" s="2805"/>
      <c r="HPD78" s="2805"/>
      <c r="HPE78" s="2805"/>
      <c r="HPF78" s="2805"/>
      <c r="HPG78" s="2805"/>
      <c r="HPH78" s="2805"/>
      <c r="HPI78" s="2805"/>
      <c r="HPJ78" s="2805"/>
      <c r="HPK78" s="2805"/>
      <c r="HPL78" s="2805"/>
      <c r="HPM78" s="2805"/>
      <c r="HPN78" s="2805"/>
      <c r="HPO78" s="2805"/>
      <c r="HPP78" s="2805"/>
      <c r="HPQ78" s="2805"/>
      <c r="HPR78" s="2805"/>
      <c r="HPS78" s="2805"/>
      <c r="HPT78" s="2805"/>
      <c r="HPU78" s="2805"/>
      <c r="HPV78" s="2805"/>
      <c r="HPW78" s="2805"/>
      <c r="HPX78" s="2805"/>
      <c r="HPY78" s="2805"/>
      <c r="HPZ78" s="2805"/>
      <c r="HQA78" s="2805"/>
      <c r="HQB78" s="2805"/>
      <c r="HQC78" s="2805"/>
      <c r="HQD78" s="2805"/>
      <c r="HQE78" s="2805"/>
      <c r="HQF78" s="2805"/>
      <c r="HQG78" s="2805"/>
      <c r="HQH78" s="2805"/>
      <c r="HQI78" s="2805"/>
      <c r="HQJ78" s="2805"/>
      <c r="HQK78" s="2805"/>
      <c r="HQL78" s="2805"/>
      <c r="HQM78" s="2805"/>
      <c r="HQN78" s="2805"/>
      <c r="HQO78" s="2805"/>
      <c r="HQP78" s="2805"/>
      <c r="HQQ78" s="2805"/>
      <c r="HQR78" s="2805"/>
      <c r="HQS78" s="2805"/>
      <c r="HQT78" s="2805"/>
      <c r="HQU78" s="2805"/>
      <c r="HQV78" s="2805"/>
      <c r="HQW78" s="2805"/>
      <c r="HQX78" s="2805"/>
      <c r="HQY78" s="2805"/>
      <c r="HQZ78" s="2805"/>
      <c r="HRA78" s="2805"/>
      <c r="HRB78" s="2805"/>
      <c r="HRC78" s="2805"/>
      <c r="HRD78" s="2805"/>
      <c r="HRE78" s="2805"/>
      <c r="HRF78" s="2805"/>
      <c r="HRG78" s="2805"/>
      <c r="HRH78" s="2805"/>
      <c r="HRI78" s="2805"/>
      <c r="HRJ78" s="2805"/>
      <c r="HRK78" s="2805"/>
      <c r="HRL78" s="2805"/>
      <c r="HRM78" s="2805"/>
      <c r="HRN78" s="2805"/>
      <c r="HRO78" s="2805"/>
      <c r="HRP78" s="2805"/>
      <c r="HRQ78" s="2805"/>
      <c r="HRR78" s="2805"/>
      <c r="HRS78" s="2805"/>
      <c r="HRT78" s="2805"/>
      <c r="HRU78" s="2805"/>
      <c r="HRV78" s="2805"/>
      <c r="HRW78" s="2805"/>
      <c r="HRX78" s="2805"/>
      <c r="HRY78" s="2805"/>
      <c r="HRZ78" s="2805"/>
      <c r="HSA78" s="2805"/>
      <c r="HSB78" s="2805"/>
      <c r="HSC78" s="2805"/>
      <c r="HSD78" s="2805"/>
      <c r="HSE78" s="2805"/>
      <c r="HSF78" s="2805"/>
      <c r="HSG78" s="2805"/>
      <c r="HSH78" s="2805"/>
      <c r="HSI78" s="2805"/>
      <c r="HSJ78" s="2805"/>
      <c r="HSK78" s="2805"/>
      <c r="HSL78" s="2805"/>
      <c r="HSM78" s="2805"/>
      <c r="HSN78" s="2805"/>
      <c r="HSO78" s="2805"/>
      <c r="HSP78" s="2805"/>
      <c r="HSQ78" s="2805"/>
      <c r="HSR78" s="2805"/>
      <c r="HSS78" s="2805"/>
      <c r="HST78" s="2805"/>
      <c r="HSU78" s="2805"/>
      <c r="HSV78" s="2805"/>
      <c r="HSW78" s="2805"/>
      <c r="HSX78" s="2805"/>
      <c r="HSY78" s="2805"/>
      <c r="HSZ78" s="2805"/>
      <c r="HTA78" s="2805"/>
      <c r="HTB78" s="2805"/>
      <c r="HTC78" s="2805"/>
      <c r="HTD78" s="2805"/>
      <c r="HTE78" s="2805"/>
      <c r="HTF78" s="2805"/>
      <c r="HTG78" s="2805"/>
      <c r="HTH78" s="2805"/>
      <c r="HTI78" s="2805"/>
      <c r="HTJ78" s="2805"/>
      <c r="HTK78" s="2805"/>
      <c r="HTL78" s="2805"/>
      <c r="HTM78" s="2805"/>
      <c r="HTN78" s="2805"/>
      <c r="HTO78" s="2805"/>
      <c r="HTP78" s="2805"/>
      <c r="HTQ78" s="2805"/>
      <c r="HTR78" s="2805"/>
      <c r="HTS78" s="2805"/>
      <c r="HTT78" s="2805"/>
      <c r="HTU78" s="2805"/>
      <c r="HTV78" s="2805"/>
      <c r="HTW78" s="2805"/>
      <c r="HTX78" s="2805"/>
      <c r="HTY78" s="2805"/>
      <c r="HTZ78" s="2805"/>
      <c r="HUA78" s="2805"/>
      <c r="HUB78" s="2805"/>
      <c r="HUC78" s="2805"/>
      <c r="HUD78" s="2805"/>
      <c r="HUE78" s="2805"/>
      <c r="HUF78" s="2805"/>
      <c r="HUG78" s="2805"/>
      <c r="HUH78" s="2805"/>
      <c r="HUI78" s="2805"/>
      <c r="HUJ78" s="2805"/>
      <c r="HUK78" s="2805"/>
      <c r="HUL78" s="2805"/>
      <c r="HUM78" s="2805"/>
      <c r="HUN78" s="2805"/>
      <c r="HUO78" s="2805"/>
      <c r="HUP78" s="2805"/>
      <c r="HUQ78" s="2805"/>
      <c r="HUR78" s="2805"/>
      <c r="HUS78" s="2805"/>
      <c r="HUT78" s="2805"/>
      <c r="HUU78" s="2805"/>
      <c r="HUV78" s="2805"/>
      <c r="HUW78" s="2805"/>
      <c r="HUX78" s="2805"/>
      <c r="HUY78" s="2805"/>
      <c r="HUZ78" s="2805"/>
      <c r="HVA78" s="2805"/>
      <c r="HVB78" s="2805"/>
      <c r="HVC78" s="2805"/>
      <c r="HVD78" s="2805"/>
      <c r="HVE78" s="2805"/>
      <c r="HVF78" s="2805"/>
      <c r="HVG78" s="2805"/>
      <c r="HVH78" s="2805"/>
      <c r="HVI78" s="2805"/>
      <c r="HVJ78" s="2805"/>
      <c r="HVK78" s="2805"/>
      <c r="HVL78" s="2805"/>
      <c r="HVM78" s="2805"/>
      <c r="HVN78" s="2805"/>
      <c r="HVO78" s="2805"/>
      <c r="HVP78" s="2805"/>
      <c r="HVQ78" s="2805"/>
      <c r="HVR78" s="2805"/>
      <c r="HVS78" s="2805"/>
      <c r="HVT78" s="2805"/>
      <c r="HVU78" s="2805"/>
      <c r="HVV78" s="2805"/>
      <c r="HVW78" s="2805"/>
      <c r="HVX78" s="2805"/>
      <c r="HVY78" s="2805"/>
      <c r="HVZ78" s="2805"/>
      <c r="HWA78" s="2805"/>
      <c r="HWB78" s="2805"/>
      <c r="HWC78" s="2805"/>
      <c r="HWD78" s="2805"/>
      <c r="HWE78" s="2805"/>
      <c r="HWF78" s="2805"/>
      <c r="HWG78" s="2805"/>
      <c r="HWH78" s="2805"/>
      <c r="HWI78" s="2805"/>
      <c r="HWJ78" s="2805"/>
      <c r="HWK78" s="2805"/>
      <c r="HWL78" s="2805"/>
      <c r="HWM78" s="2805"/>
      <c r="HWN78" s="2805"/>
      <c r="HWO78" s="2805"/>
      <c r="HWP78" s="2805"/>
      <c r="HWQ78" s="2805"/>
      <c r="HWR78" s="2805"/>
      <c r="HWS78" s="2805"/>
      <c r="HWT78" s="2805"/>
      <c r="HWU78" s="2805"/>
      <c r="HWV78" s="2805"/>
      <c r="HWW78" s="2805"/>
      <c r="HWX78" s="2805"/>
      <c r="HWY78" s="2805"/>
      <c r="HWZ78" s="2805"/>
      <c r="HXA78" s="2805"/>
      <c r="HXB78" s="2805"/>
      <c r="HXC78" s="2805"/>
      <c r="HXD78" s="2805"/>
      <c r="HXE78" s="2805"/>
      <c r="HXF78" s="2805"/>
      <c r="HXG78" s="2805"/>
      <c r="HXH78" s="2805"/>
      <c r="HXI78" s="2805"/>
      <c r="HXJ78" s="2805"/>
      <c r="HXK78" s="2805"/>
      <c r="HXL78" s="2805"/>
      <c r="HXM78" s="2805"/>
      <c r="HXN78" s="2805"/>
      <c r="HXO78" s="2805"/>
      <c r="HXP78" s="2805"/>
      <c r="HXQ78" s="2805"/>
      <c r="HXR78" s="2805"/>
      <c r="HXS78" s="2805"/>
      <c r="HXT78" s="2805"/>
      <c r="HXU78" s="2805"/>
      <c r="HXV78" s="2805"/>
      <c r="HXW78" s="2805"/>
      <c r="HXX78" s="2805"/>
      <c r="HXY78" s="2805"/>
      <c r="HXZ78" s="2805"/>
      <c r="HYA78" s="2805"/>
      <c r="HYB78" s="2805"/>
      <c r="HYC78" s="2805"/>
      <c r="HYD78" s="2805"/>
      <c r="HYE78" s="2805"/>
      <c r="HYF78" s="2805"/>
      <c r="HYG78" s="2805"/>
      <c r="HYH78" s="2805"/>
      <c r="HYI78" s="2805"/>
      <c r="HYJ78" s="2805"/>
      <c r="HYK78" s="2805"/>
      <c r="HYL78" s="2805"/>
      <c r="HYM78" s="2805"/>
      <c r="HYN78" s="2805"/>
      <c r="HYO78" s="2805"/>
      <c r="HYP78" s="2805"/>
      <c r="HYQ78" s="2805"/>
      <c r="HYR78" s="2805"/>
      <c r="HYS78" s="2805"/>
      <c r="HYT78" s="2805"/>
      <c r="HYU78" s="2805"/>
      <c r="HYV78" s="2805"/>
      <c r="HYW78" s="2805"/>
      <c r="HYX78" s="2805"/>
      <c r="HYY78" s="2805"/>
      <c r="HYZ78" s="2805"/>
      <c r="HZA78" s="2805"/>
      <c r="HZB78" s="2805"/>
      <c r="HZC78" s="2805"/>
      <c r="HZD78" s="2805"/>
      <c r="HZE78" s="2805"/>
      <c r="HZF78" s="2805"/>
      <c r="HZG78" s="2805"/>
      <c r="HZH78" s="2805"/>
      <c r="HZI78" s="2805"/>
      <c r="HZJ78" s="2805"/>
      <c r="HZK78" s="2805"/>
      <c r="HZL78" s="2805"/>
      <c r="HZM78" s="2805"/>
      <c r="HZN78" s="2805"/>
      <c r="HZO78" s="2805"/>
      <c r="HZP78" s="2805"/>
      <c r="HZQ78" s="2805"/>
      <c r="HZR78" s="2805"/>
      <c r="HZS78" s="2805"/>
      <c r="HZT78" s="2805"/>
      <c r="HZU78" s="2805"/>
      <c r="HZV78" s="2805"/>
      <c r="HZW78" s="2805"/>
      <c r="HZX78" s="2805"/>
      <c r="HZY78" s="2805"/>
      <c r="HZZ78" s="2805"/>
      <c r="IAA78" s="2805"/>
      <c r="IAB78" s="2805"/>
      <c r="IAC78" s="2805"/>
      <c r="IAD78" s="2805"/>
      <c r="IAE78" s="2805"/>
      <c r="IAF78" s="2805"/>
      <c r="IAG78" s="2805"/>
      <c r="IAH78" s="2805"/>
      <c r="IAI78" s="2805"/>
      <c r="IAJ78" s="2805"/>
      <c r="IAK78" s="2805"/>
      <c r="IAL78" s="2805"/>
      <c r="IAM78" s="2805"/>
      <c r="IAN78" s="2805"/>
      <c r="IAO78" s="2805"/>
      <c r="IAP78" s="2805"/>
      <c r="IAQ78" s="2805"/>
      <c r="IAR78" s="2805"/>
      <c r="IAS78" s="2805"/>
      <c r="IAT78" s="2805"/>
      <c r="IAU78" s="2805"/>
      <c r="IAV78" s="2805"/>
      <c r="IAW78" s="2805"/>
      <c r="IAX78" s="2805"/>
      <c r="IAY78" s="2805"/>
      <c r="IAZ78" s="2805"/>
      <c r="IBA78" s="2805"/>
      <c r="IBB78" s="2805"/>
      <c r="IBC78" s="2805"/>
      <c r="IBD78" s="2805"/>
      <c r="IBE78" s="2805"/>
      <c r="IBF78" s="2805"/>
      <c r="IBG78" s="2805"/>
      <c r="IBH78" s="2805"/>
      <c r="IBI78" s="2805"/>
      <c r="IBJ78" s="2805"/>
      <c r="IBK78" s="2805"/>
      <c r="IBL78" s="2805"/>
      <c r="IBM78" s="2805"/>
      <c r="IBN78" s="2805"/>
      <c r="IBO78" s="2805"/>
      <c r="IBP78" s="2805"/>
      <c r="IBQ78" s="2805"/>
      <c r="IBR78" s="2805"/>
      <c r="IBS78" s="2805"/>
      <c r="IBT78" s="2805"/>
      <c r="IBU78" s="2805"/>
      <c r="IBV78" s="2805"/>
      <c r="IBW78" s="2805"/>
      <c r="IBX78" s="2805"/>
      <c r="IBY78" s="2805"/>
      <c r="IBZ78" s="2805"/>
      <c r="ICA78" s="2805"/>
      <c r="ICB78" s="2805"/>
      <c r="ICC78" s="2805"/>
      <c r="ICD78" s="2805"/>
      <c r="ICE78" s="2805"/>
      <c r="ICF78" s="2805"/>
      <c r="ICG78" s="2805"/>
      <c r="ICH78" s="2805"/>
      <c r="ICI78" s="2805"/>
      <c r="ICJ78" s="2805"/>
      <c r="ICK78" s="2805"/>
      <c r="ICL78" s="2805"/>
      <c r="ICM78" s="2805"/>
      <c r="ICN78" s="2805"/>
      <c r="ICO78" s="2805"/>
      <c r="ICP78" s="2805"/>
      <c r="ICQ78" s="2805"/>
      <c r="ICR78" s="2805"/>
      <c r="ICS78" s="2805"/>
      <c r="ICT78" s="2805"/>
      <c r="ICU78" s="2805"/>
      <c r="ICV78" s="2805"/>
      <c r="ICW78" s="2805"/>
      <c r="ICX78" s="2805"/>
      <c r="ICY78" s="2805"/>
      <c r="ICZ78" s="2805"/>
      <c r="IDA78" s="2805"/>
      <c r="IDB78" s="2805"/>
      <c r="IDC78" s="2805"/>
      <c r="IDD78" s="2805"/>
      <c r="IDE78" s="2805"/>
      <c r="IDF78" s="2805"/>
      <c r="IDG78" s="2805"/>
      <c r="IDH78" s="2805"/>
      <c r="IDI78" s="2805"/>
      <c r="IDJ78" s="2805"/>
      <c r="IDK78" s="2805"/>
      <c r="IDL78" s="2805"/>
      <c r="IDM78" s="2805"/>
      <c r="IDN78" s="2805"/>
      <c r="IDO78" s="2805"/>
      <c r="IDP78" s="2805"/>
      <c r="IDQ78" s="2805"/>
      <c r="IDR78" s="2805"/>
      <c r="IDS78" s="2805"/>
      <c r="IDT78" s="2805"/>
      <c r="IDU78" s="2805"/>
      <c r="IDV78" s="2805"/>
      <c r="IDW78" s="2805"/>
      <c r="IDX78" s="2805"/>
      <c r="IDY78" s="2805"/>
      <c r="IDZ78" s="2805"/>
      <c r="IEA78" s="2805"/>
      <c r="IEB78" s="2805"/>
      <c r="IEC78" s="2805"/>
      <c r="IED78" s="2805"/>
      <c r="IEE78" s="2805"/>
      <c r="IEF78" s="2805"/>
      <c r="IEG78" s="2805"/>
      <c r="IEH78" s="2805"/>
      <c r="IEI78" s="2805"/>
      <c r="IEJ78" s="2805"/>
      <c r="IEK78" s="2805"/>
      <c r="IEL78" s="2805"/>
      <c r="IEM78" s="2805"/>
      <c r="IEN78" s="2805"/>
      <c r="IEO78" s="2805"/>
      <c r="IEP78" s="2805"/>
      <c r="IEQ78" s="2805"/>
      <c r="IER78" s="2805"/>
      <c r="IES78" s="2805"/>
      <c r="IET78" s="2805"/>
      <c r="IEU78" s="2805"/>
      <c r="IEV78" s="2805"/>
      <c r="IEW78" s="2805"/>
      <c r="IEX78" s="2805"/>
      <c r="IEY78" s="2805"/>
      <c r="IEZ78" s="2805"/>
      <c r="IFA78" s="2805"/>
      <c r="IFB78" s="2805"/>
      <c r="IFC78" s="2805"/>
      <c r="IFD78" s="2805"/>
      <c r="IFE78" s="2805"/>
      <c r="IFF78" s="2805"/>
      <c r="IFG78" s="2805"/>
      <c r="IFH78" s="2805"/>
      <c r="IFI78" s="2805"/>
      <c r="IFJ78" s="2805"/>
      <c r="IFK78" s="2805"/>
      <c r="IFL78" s="2805"/>
      <c r="IFM78" s="2805"/>
      <c r="IFN78" s="2805"/>
      <c r="IFO78" s="2805"/>
      <c r="IFP78" s="2805"/>
      <c r="IFQ78" s="2805"/>
      <c r="IFR78" s="2805"/>
      <c r="IFS78" s="2805"/>
      <c r="IFT78" s="2805"/>
      <c r="IFU78" s="2805"/>
      <c r="IFV78" s="2805"/>
      <c r="IFW78" s="2805"/>
      <c r="IFX78" s="2805"/>
      <c r="IFY78" s="2805"/>
      <c r="IFZ78" s="2805"/>
      <c r="IGA78" s="2805"/>
      <c r="IGB78" s="2805"/>
      <c r="IGC78" s="2805"/>
      <c r="IGD78" s="2805"/>
      <c r="IGE78" s="2805"/>
      <c r="IGF78" s="2805"/>
      <c r="IGG78" s="2805"/>
      <c r="IGH78" s="2805"/>
      <c r="IGI78" s="2805"/>
      <c r="IGJ78" s="2805"/>
      <c r="IGK78" s="2805"/>
      <c r="IGL78" s="2805"/>
      <c r="IGM78" s="2805"/>
      <c r="IGN78" s="2805"/>
      <c r="IGO78" s="2805"/>
      <c r="IGP78" s="2805"/>
      <c r="IGQ78" s="2805"/>
      <c r="IGR78" s="2805"/>
      <c r="IGS78" s="2805"/>
      <c r="IGT78" s="2805"/>
      <c r="IGU78" s="2805"/>
      <c r="IGV78" s="2805"/>
      <c r="IGW78" s="2805"/>
      <c r="IGX78" s="2805"/>
      <c r="IGY78" s="2805"/>
      <c r="IGZ78" s="2805"/>
      <c r="IHA78" s="2805"/>
      <c r="IHB78" s="2805"/>
      <c r="IHC78" s="2805"/>
      <c r="IHD78" s="2805"/>
      <c r="IHE78" s="2805"/>
      <c r="IHF78" s="2805"/>
      <c r="IHG78" s="2805"/>
      <c r="IHH78" s="2805"/>
      <c r="IHI78" s="2805"/>
      <c r="IHJ78" s="2805"/>
      <c r="IHK78" s="2805"/>
      <c r="IHL78" s="2805"/>
      <c r="IHM78" s="2805"/>
      <c r="IHN78" s="2805"/>
      <c r="IHO78" s="2805"/>
      <c r="IHP78" s="2805"/>
      <c r="IHQ78" s="2805"/>
      <c r="IHR78" s="2805"/>
      <c r="IHS78" s="2805"/>
      <c r="IHT78" s="2805"/>
      <c r="IHU78" s="2805"/>
      <c r="IHV78" s="2805"/>
      <c r="IHW78" s="2805"/>
      <c r="IHX78" s="2805"/>
      <c r="IHY78" s="2805"/>
      <c r="IHZ78" s="2805"/>
      <c r="IIA78" s="2805"/>
      <c r="IIB78" s="2805"/>
      <c r="IIC78" s="2805"/>
      <c r="IID78" s="2805"/>
      <c r="IIE78" s="2805"/>
      <c r="IIF78" s="2805"/>
      <c r="IIG78" s="2805"/>
      <c r="IIH78" s="2805"/>
      <c r="III78" s="2805"/>
      <c r="IIJ78" s="2805"/>
      <c r="IIK78" s="2805"/>
      <c r="IIL78" s="2805"/>
      <c r="IIM78" s="2805"/>
      <c r="IIN78" s="2805"/>
      <c r="IIO78" s="2805"/>
      <c r="IIP78" s="2805"/>
      <c r="IIQ78" s="2805"/>
      <c r="IIR78" s="2805"/>
      <c r="IIS78" s="2805"/>
      <c r="IIT78" s="2805"/>
      <c r="IIU78" s="2805"/>
      <c r="IIV78" s="2805"/>
      <c r="IIW78" s="2805"/>
      <c r="IIX78" s="2805"/>
      <c r="IIY78" s="2805"/>
      <c r="IIZ78" s="2805"/>
      <c r="IJA78" s="2805"/>
      <c r="IJB78" s="2805"/>
      <c r="IJC78" s="2805"/>
      <c r="IJD78" s="2805"/>
      <c r="IJE78" s="2805"/>
      <c r="IJF78" s="2805"/>
      <c r="IJG78" s="2805"/>
      <c r="IJH78" s="2805"/>
      <c r="IJI78" s="2805"/>
      <c r="IJJ78" s="2805"/>
      <c r="IJK78" s="2805"/>
      <c r="IJL78" s="2805"/>
      <c r="IJM78" s="2805"/>
      <c r="IJN78" s="2805"/>
      <c r="IJO78" s="2805"/>
      <c r="IJP78" s="2805"/>
      <c r="IJQ78" s="2805"/>
      <c r="IJR78" s="2805"/>
      <c r="IJS78" s="2805"/>
      <c r="IJT78" s="2805"/>
      <c r="IJU78" s="2805"/>
      <c r="IJV78" s="2805"/>
      <c r="IJW78" s="2805"/>
      <c r="IJX78" s="2805"/>
      <c r="IJY78" s="2805"/>
      <c r="IJZ78" s="2805"/>
      <c r="IKA78" s="2805"/>
      <c r="IKB78" s="2805"/>
      <c r="IKC78" s="2805"/>
      <c r="IKD78" s="2805"/>
      <c r="IKE78" s="2805"/>
      <c r="IKF78" s="2805"/>
      <c r="IKG78" s="2805"/>
      <c r="IKH78" s="2805"/>
      <c r="IKI78" s="2805"/>
      <c r="IKJ78" s="2805"/>
      <c r="IKK78" s="2805"/>
      <c r="IKL78" s="2805"/>
      <c r="IKM78" s="2805"/>
      <c r="IKN78" s="2805"/>
      <c r="IKO78" s="2805"/>
      <c r="IKP78" s="2805"/>
      <c r="IKQ78" s="2805"/>
      <c r="IKR78" s="2805"/>
      <c r="IKS78" s="2805"/>
      <c r="IKT78" s="2805"/>
      <c r="IKU78" s="2805"/>
      <c r="IKV78" s="2805"/>
      <c r="IKW78" s="2805"/>
      <c r="IKX78" s="2805"/>
      <c r="IKY78" s="2805"/>
      <c r="IKZ78" s="2805"/>
      <c r="ILA78" s="2805"/>
      <c r="ILB78" s="2805"/>
      <c r="ILC78" s="2805"/>
      <c r="ILD78" s="2805"/>
      <c r="ILE78" s="2805"/>
      <c r="ILF78" s="2805"/>
      <c r="ILG78" s="2805"/>
      <c r="ILH78" s="2805"/>
      <c r="ILI78" s="2805"/>
      <c r="ILJ78" s="2805"/>
      <c r="ILK78" s="2805"/>
      <c r="ILL78" s="2805"/>
      <c r="ILM78" s="2805"/>
      <c r="ILN78" s="2805"/>
      <c r="ILO78" s="2805"/>
      <c r="ILP78" s="2805"/>
      <c r="ILQ78" s="2805"/>
      <c r="ILR78" s="2805"/>
      <c r="ILS78" s="2805"/>
      <c r="ILT78" s="2805"/>
      <c r="ILU78" s="2805"/>
      <c r="ILV78" s="2805"/>
      <c r="ILW78" s="2805"/>
      <c r="ILX78" s="2805"/>
      <c r="ILY78" s="2805"/>
      <c r="ILZ78" s="2805"/>
      <c r="IMA78" s="2805"/>
      <c r="IMB78" s="2805"/>
      <c r="IMC78" s="2805"/>
      <c r="IMD78" s="2805"/>
      <c r="IME78" s="2805"/>
      <c r="IMF78" s="2805"/>
      <c r="IMG78" s="2805"/>
      <c r="IMH78" s="2805"/>
      <c r="IMI78" s="2805"/>
      <c r="IMJ78" s="2805"/>
      <c r="IMK78" s="2805"/>
      <c r="IML78" s="2805"/>
      <c r="IMM78" s="2805"/>
      <c r="IMN78" s="2805"/>
      <c r="IMO78" s="2805"/>
      <c r="IMP78" s="2805"/>
      <c r="IMQ78" s="2805"/>
      <c r="IMR78" s="2805"/>
      <c r="IMS78" s="2805"/>
      <c r="IMT78" s="2805"/>
      <c r="IMU78" s="2805"/>
      <c r="IMV78" s="2805"/>
      <c r="IMW78" s="2805"/>
      <c r="IMX78" s="2805"/>
      <c r="IMY78" s="2805"/>
      <c r="IMZ78" s="2805"/>
      <c r="INA78" s="2805"/>
      <c r="INB78" s="2805"/>
      <c r="INC78" s="2805"/>
      <c r="IND78" s="2805"/>
      <c r="INE78" s="2805"/>
      <c r="INF78" s="2805"/>
      <c r="ING78" s="2805"/>
      <c r="INH78" s="2805"/>
      <c r="INI78" s="2805"/>
      <c r="INJ78" s="2805"/>
      <c r="INK78" s="2805"/>
      <c r="INL78" s="2805"/>
      <c r="INM78" s="2805"/>
      <c r="INN78" s="2805"/>
      <c r="INO78" s="2805"/>
      <c r="INP78" s="2805"/>
      <c r="INQ78" s="2805"/>
      <c r="INR78" s="2805"/>
      <c r="INS78" s="2805"/>
      <c r="INT78" s="2805"/>
      <c r="INU78" s="2805"/>
      <c r="INV78" s="2805"/>
      <c r="INW78" s="2805"/>
      <c r="INX78" s="2805"/>
      <c r="INY78" s="2805"/>
      <c r="INZ78" s="2805"/>
      <c r="IOA78" s="2805"/>
      <c r="IOB78" s="2805"/>
      <c r="IOC78" s="2805"/>
      <c r="IOD78" s="2805"/>
      <c r="IOE78" s="2805"/>
      <c r="IOF78" s="2805"/>
      <c r="IOG78" s="2805"/>
      <c r="IOH78" s="2805"/>
      <c r="IOI78" s="2805"/>
      <c r="IOJ78" s="2805"/>
      <c r="IOK78" s="2805"/>
      <c r="IOL78" s="2805"/>
      <c r="IOM78" s="2805"/>
      <c r="ION78" s="2805"/>
      <c r="IOO78" s="2805"/>
      <c r="IOP78" s="2805"/>
      <c r="IOQ78" s="2805"/>
      <c r="IOR78" s="2805"/>
      <c r="IOS78" s="2805"/>
      <c r="IOT78" s="2805"/>
      <c r="IOU78" s="2805"/>
      <c r="IOV78" s="2805"/>
      <c r="IOW78" s="2805"/>
      <c r="IOX78" s="2805"/>
      <c r="IOY78" s="2805"/>
      <c r="IOZ78" s="2805"/>
      <c r="IPA78" s="2805"/>
      <c r="IPB78" s="2805"/>
      <c r="IPC78" s="2805"/>
      <c r="IPD78" s="2805"/>
      <c r="IPE78" s="2805"/>
      <c r="IPF78" s="2805"/>
      <c r="IPG78" s="2805"/>
      <c r="IPH78" s="2805"/>
      <c r="IPI78" s="2805"/>
      <c r="IPJ78" s="2805"/>
      <c r="IPK78" s="2805"/>
      <c r="IPL78" s="2805"/>
      <c r="IPM78" s="2805"/>
      <c r="IPN78" s="2805"/>
      <c r="IPO78" s="2805"/>
      <c r="IPP78" s="2805"/>
      <c r="IPQ78" s="2805"/>
      <c r="IPR78" s="2805"/>
      <c r="IPS78" s="2805"/>
      <c r="IPT78" s="2805"/>
      <c r="IPU78" s="2805"/>
      <c r="IPV78" s="2805"/>
      <c r="IPW78" s="2805"/>
      <c r="IPX78" s="2805"/>
      <c r="IPY78" s="2805"/>
      <c r="IPZ78" s="2805"/>
      <c r="IQA78" s="2805"/>
      <c r="IQB78" s="2805"/>
      <c r="IQC78" s="2805"/>
      <c r="IQD78" s="2805"/>
      <c r="IQE78" s="2805"/>
      <c r="IQF78" s="2805"/>
      <c r="IQG78" s="2805"/>
      <c r="IQH78" s="2805"/>
      <c r="IQI78" s="2805"/>
      <c r="IQJ78" s="2805"/>
      <c r="IQK78" s="2805"/>
      <c r="IQL78" s="2805"/>
      <c r="IQM78" s="2805"/>
      <c r="IQN78" s="2805"/>
      <c r="IQO78" s="2805"/>
      <c r="IQP78" s="2805"/>
      <c r="IQQ78" s="2805"/>
      <c r="IQR78" s="2805"/>
      <c r="IQS78" s="2805"/>
      <c r="IQT78" s="2805"/>
      <c r="IQU78" s="2805"/>
      <c r="IQV78" s="2805"/>
      <c r="IQW78" s="2805"/>
      <c r="IQX78" s="2805"/>
      <c r="IQY78" s="2805"/>
      <c r="IQZ78" s="2805"/>
      <c r="IRA78" s="2805"/>
      <c r="IRB78" s="2805"/>
      <c r="IRC78" s="2805"/>
      <c r="IRD78" s="2805"/>
      <c r="IRE78" s="2805"/>
      <c r="IRF78" s="2805"/>
      <c r="IRG78" s="2805"/>
      <c r="IRH78" s="2805"/>
      <c r="IRI78" s="2805"/>
      <c r="IRJ78" s="2805"/>
      <c r="IRK78" s="2805"/>
      <c r="IRL78" s="2805"/>
      <c r="IRM78" s="2805"/>
      <c r="IRN78" s="2805"/>
      <c r="IRO78" s="2805"/>
      <c r="IRP78" s="2805"/>
      <c r="IRQ78" s="2805"/>
      <c r="IRR78" s="2805"/>
      <c r="IRS78" s="2805"/>
      <c r="IRT78" s="2805"/>
      <c r="IRU78" s="2805"/>
      <c r="IRV78" s="2805"/>
      <c r="IRW78" s="2805"/>
      <c r="IRX78" s="2805"/>
      <c r="IRY78" s="2805"/>
      <c r="IRZ78" s="2805"/>
      <c r="ISA78" s="2805"/>
      <c r="ISB78" s="2805"/>
      <c r="ISC78" s="2805"/>
      <c r="ISD78" s="2805"/>
      <c r="ISE78" s="2805"/>
      <c r="ISF78" s="2805"/>
      <c r="ISG78" s="2805"/>
      <c r="ISH78" s="2805"/>
      <c r="ISI78" s="2805"/>
      <c r="ISJ78" s="2805"/>
      <c r="ISK78" s="2805"/>
      <c r="ISL78" s="2805"/>
      <c r="ISM78" s="2805"/>
      <c r="ISN78" s="2805"/>
      <c r="ISO78" s="2805"/>
      <c r="ISP78" s="2805"/>
      <c r="ISQ78" s="2805"/>
      <c r="ISR78" s="2805"/>
      <c r="ISS78" s="2805"/>
      <c r="IST78" s="2805"/>
      <c r="ISU78" s="2805"/>
      <c r="ISV78" s="2805"/>
      <c r="ISW78" s="2805"/>
      <c r="ISX78" s="2805"/>
      <c r="ISY78" s="2805"/>
      <c r="ISZ78" s="2805"/>
      <c r="ITA78" s="2805"/>
      <c r="ITB78" s="2805"/>
      <c r="ITC78" s="2805"/>
      <c r="ITD78" s="2805"/>
      <c r="ITE78" s="2805"/>
      <c r="ITF78" s="2805"/>
      <c r="ITG78" s="2805"/>
      <c r="ITH78" s="2805"/>
      <c r="ITI78" s="2805"/>
      <c r="ITJ78" s="2805"/>
      <c r="ITK78" s="2805"/>
      <c r="ITL78" s="2805"/>
      <c r="ITM78" s="2805"/>
      <c r="ITN78" s="2805"/>
      <c r="ITO78" s="2805"/>
      <c r="ITP78" s="2805"/>
      <c r="ITQ78" s="2805"/>
      <c r="ITR78" s="2805"/>
      <c r="ITS78" s="2805"/>
      <c r="ITT78" s="2805"/>
      <c r="ITU78" s="2805"/>
      <c r="ITV78" s="2805"/>
      <c r="ITW78" s="2805"/>
      <c r="ITX78" s="2805"/>
      <c r="ITY78" s="2805"/>
      <c r="ITZ78" s="2805"/>
      <c r="IUA78" s="2805"/>
      <c r="IUB78" s="2805"/>
      <c r="IUC78" s="2805"/>
      <c r="IUD78" s="2805"/>
      <c r="IUE78" s="2805"/>
      <c r="IUF78" s="2805"/>
      <c r="IUG78" s="2805"/>
      <c r="IUH78" s="2805"/>
      <c r="IUI78" s="2805"/>
      <c r="IUJ78" s="2805"/>
      <c r="IUK78" s="2805"/>
      <c r="IUL78" s="2805"/>
      <c r="IUM78" s="2805"/>
      <c r="IUN78" s="2805"/>
      <c r="IUO78" s="2805"/>
      <c r="IUP78" s="2805"/>
      <c r="IUQ78" s="2805"/>
      <c r="IUR78" s="2805"/>
      <c r="IUS78" s="2805"/>
      <c r="IUT78" s="2805"/>
      <c r="IUU78" s="2805"/>
      <c r="IUV78" s="2805"/>
      <c r="IUW78" s="2805"/>
      <c r="IUX78" s="2805"/>
      <c r="IUY78" s="2805"/>
      <c r="IUZ78" s="2805"/>
      <c r="IVA78" s="2805"/>
      <c r="IVB78" s="2805"/>
      <c r="IVC78" s="2805"/>
      <c r="IVD78" s="2805"/>
      <c r="IVE78" s="2805"/>
      <c r="IVF78" s="2805"/>
      <c r="IVG78" s="2805"/>
      <c r="IVH78" s="2805"/>
      <c r="IVI78" s="2805"/>
      <c r="IVJ78" s="2805"/>
      <c r="IVK78" s="2805"/>
      <c r="IVL78" s="2805"/>
      <c r="IVM78" s="2805"/>
      <c r="IVN78" s="2805"/>
      <c r="IVO78" s="2805"/>
      <c r="IVP78" s="2805"/>
      <c r="IVQ78" s="2805"/>
      <c r="IVR78" s="2805"/>
      <c r="IVS78" s="2805"/>
      <c r="IVT78" s="2805"/>
      <c r="IVU78" s="2805"/>
      <c r="IVV78" s="2805"/>
      <c r="IVW78" s="2805"/>
      <c r="IVX78" s="2805"/>
      <c r="IVY78" s="2805"/>
      <c r="IVZ78" s="2805"/>
      <c r="IWA78" s="2805"/>
      <c r="IWB78" s="2805"/>
      <c r="IWC78" s="2805"/>
      <c r="IWD78" s="2805"/>
      <c r="IWE78" s="2805"/>
      <c r="IWF78" s="2805"/>
      <c r="IWG78" s="2805"/>
      <c r="IWH78" s="2805"/>
      <c r="IWI78" s="2805"/>
      <c r="IWJ78" s="2805"/>
      <c r="IWK78" s="2805"/>
      <c r="IWL78" s="2805"/>
      <c r="IWM78" s="2805"/>
      <c r="IWN78" s="2805"/>
      <c r="IWO78" s="2805"/>
      <c r="IWP78" s="2805"/>
      <c r="IWQ78" s="2805"/>
      <c r="IWR78" s="2805"/>
      <c r="IWS78" s="2805"/>
      <c r="IWT78" s="2805"/>
      <c r="IWU78" s="2805"/>
      <c r="IWV78" s="2805"/>
      <c r="IWW78" s="2805"/>
      <c r="IWX78" s="2805"/>
      <c r="IWY78" s="2805"/>
      <c r="IWZ78" s="2805"/>
      <c r="IXA78" s="2805"/>
      <c r="IXB78" s="2805"/>
      <c r="IXC78" s="2805"/>
      <c r="IXD78" s="2805"/>
      <c r="IXE78" s="2805"/>
      <c r="IXF78" s="2805"/>
      <c r="IXG78" s="2805"/>
      <c r="IXH78" s="2805"/>
      <c r="IXI78" s="2805"/>
      <c r="IXJ78" s="2805"/>
      <c r="IXK78" s="2805"/>
      <c r="IXL78" s="2805"/>
      <c r="IXM78" s="2805"/>
      <c r="IXN78" s="2805"/>
      <c r="IXO78" s="2805"/>
      <c r="IXP78" s="2805"/>
      <c r="IXQ78" s="2805"/>
      <c r="IXR78" s="2805"/>
      <c r="IXS78" s="2805"/>
      <c r="IXT78" s="2805"/>
      <c r="IXU78" s="2805"/>
      <c r="IXV78" s="2805"/>
      <c r="IXW78" s="2805"/>
      <c r="IXX78" s="2805"/>
      <c r="IXY78" s="2805"/>
      <c r="IXZ78" s="2805"/>
      <c r="IYA78" s="2805"/>
      <c r="IYB78" s="2805"/>
      <c r="IYC78" s="2805"/>
      <c r="IYD78" s="2805"/>
      <c r="IYE78" s="2805"/>
      <c r="IYF78" s="2805"/>
      <c r="IYG78" s="2805"/>
      <c r="IYH78" s="2805"/>
      <c r="IYI78" s="2805"/>
      <c r="IYJ78" s="2805"/>
      <c r="IYK78" s="2805"/>
      <c r="IYL78" s="2805"/>
      <c r="IYM78" s="2805"/>
      <c r="IYN78" s="2805"/>
      <c r="IYO78" s="2805"/>
      <c r="IYP78" s="2805"/>
      <c r="IYQ78" s="2805"/>
      <c r="IYR78" s="2805"/>
      <c r="IYS78" s="2805"/>
      <c r="IYT78" s="2805"/>
      <c r="IYU78" s="2805"/>
      <c r="IYV78" s="2805"/>
      <c r="IYW78" s="2805"/>
      <c r="IYX78" s="2805"/>
      <c r="IYY78" s="2805"/>
      <c r="IYZ78" s="2805"/>
      <c r="IZA78" s="2805"/>
      <c r="IZB78" s="2805"/>
      <c r="IZC78" s="2805"/>
      <c r="IZD78" s="2805"/>
      <c r="IZE78" s="2805"/>
      <c r="IZF78" s="2805"/>
      <c r="IZG78" s="2805"/>
      <c r="IZH78" s="2805"/>
      <c r="IZI78" s="2805"/>
      <c r="IZJ78" s="2805"/>
      <c r="IZK78" s="2805"/>
      <c r="IZL78" s="2805"/>
      <c r="IZM78" s="2805"/>
      <c r="IZN78" s="2805"/>
      <c r="IZO78" s="2805"/>
      <c r="IZP78" s="2805"/>
      <c r="IZQ78" s="2805"/>
      <c r="IZR78" s="2805"/>
      <c r="IZS78" s="2805"/>
      <c r="IZT78" s="2805"/>
      <c r="IZU78" s="2805"/>
      <c r="IZV78" s="2805"/>
      <c r="IZW78" s="2805"/>
      <c r="IZX78" s="2805"/>
      <c r="IZY78" s="2805"/>
      <c r="IZZ78" s="2805"/>
      <c r="JAA78" s="2805"/>
      <c r="JAB78" s="2805"/>
      <c r="JAC78" s="2805"/>
      <c r="JAD78" s="2805"/>
      <c r="JAE78" s="2805"/>
      <c r="JAF78" s="2805"/>
      <c r="JAG78" s="2805"/>
      <c r="JAH78" s="2805"/>
      <c r="JAI78" s="2805"/>
      <c r="JAJ78" s="2805"/>
      <c r="JAK78" s="2805"/>
      <c r="JAL78" s="2805"/>
      <c r="JAM78" s="2805"/>
      <c r="JAN78" s="2805"/>
      <c r="JAO78" s="2805"/>
      <c r="JAP78" s="2805"/>
      <c r="JAQ78" s="2805"/>
      <c r="JAR78" s="2805"/>
      <c r="JAS78" s="2805"/>
      <c r="JAT78" s="2805"/>
      <c r="JAU78" s="2805"/>
      <c r="JAV78" s="2805"/>
      <c r="JAW78" s="2805"/>
      <c r="JAX78" s="2805"/>
      <c r="JAY78" s="2805"/>
      <c r="JAZ78" s="2805"/>
      <c r="JBA78" s="2805"/>
      <c r="JBB78" s="2805"/>
      <c r="JBC78" s="2805"/>
      <c r="JBD78" s="2805"/>
      <c r="JBE78" s="2805"/>
      <c r="JBF78" s="2805"/>
      <c r="JBG78" s="2805"/>
      <c r="JBH78" s="2805"/>
      <c r="JBI78" s="2805"/>
      <c r="JBJ78" s="2805"/>
      <c r="JBK78" s="2805"/>
      <c r="JBL78" s="2805"/>
      <c r="JBM78" s="2805"/>
      <c r="JBN78" s="2805"/>
      <c r="JBO78" s="2805"/>
      <c r="JBP78" s="2805"/>
      <c r="JBQ78" s="2805"/>
      <c r="JBR78" s="2805"/>
      <c r="JBS78" s="2805"/>
      <c r="JBT78" s="2805"/>
      <c r="JBU78" s="2805"/>
      <c r="JBV78" s="2805"/>
      <c r="JBW78" s="2805"/>
      <c r="JBX78" s="2805"/>
      <c r="JBY78" s="2805"/>
      <c r="JBZ78" s="2805"/>
      <c r="JCA78" s="2805"/>
      <c r="JCB78" s="2805"/>
      <c r="JCC78" s="2805"/>
      <c r="JCD78" s="2805"/>
      <c r="JCE78" s="2805"/>
      <c r="JCF78" s="2805"/>
      <c r="JCG78" s="2805"/>
      <c r="JCH78" s="2805"/>
      <c r="JCI78" s="2805"/>
      <c r="JCJ78" s="2805"/>
      <c r="JCK78" s="2805"/>
      <c r="JCL78" s="2805"/>
      <c r="JCM78" s="2805"/>
      <c r="JCN78" s="2805"/>
      <c r="JCO78" s="2805"/>
      <c r="JCP78" s="2805"/>
      <c r="JCQ78" s="2805"/>
      <c r="JCR78" s="2805"/>
      <c r="JCS78" s="2805"/>
      <c r="JCT78" s="2805"/>
      <c r="JCU78" s="2805"/>
      <c r="JCV78" s="2805"/>
      <c r="JCW78" s="2805"/>
      <c r="JCX78" s="2805"/>
      <c r="JCY78" s="2805"/>
      <c r="JCZ78" s="2805"/>
      <c r="JDA78" s="2805"/>
      <c r="JDB78" s="2805"/>
      <c r="JDC78" s="2805"/>
      <c r="JDD78" s="2805"/>
      <c r="JDE78" s="2805"/>
      <c r="JDF78" s="2805"/>
      <c r="JDG78" s="2805"/>
      <c r="JDH78" s="2805"/>
      <c r="JDI78" s="2805"/>
      <c r="JDJ78" s="2805"/>
      <c r="JDK78" s="2805"/>
      <c r="JDL78" s="2805"/>
      <c r="JDM78" s="2805"/>
      <c r="JDN78" s="2805"/>
      <c r="JDO78" s="2805"/>
      <c r="JDP78" s="2805"/>
      <c r="JDQ78" s="2805"/>
      <c r="JDR78" s="2805"/>
      <c r="JDS78" s="2805"/>
      <c r="JDT78" s="2805"/>
      <c r="JDU78" s="2805"/>
      <c r="JDV78" s="2805"/>
      <c r="JDW78" s="2805"/>
      <c r="JDX78" s="2805"/>
      <c r="JDY78" s="2805"/>
      <c r="JDZ78" s="2805"/>
      <c r="JEA78" s="2805"/>
      <c r="JEB78" s="2805"/>
      <c r="JEC78" s="2805"/>
      <c r="JED78" s="2805"/>
      <c r="JEE78" s="2805"/>
      <c r="JEF78" s="2805"/>
      <c r="JEG78" s="2805"/>
      <c r="JEH78" s="2805"/>
      <c r="JEI78" s="2805"/>
      <c r="JEJ78" s="2805"/>
      <c r="JEK78" s="2805"/>
      <c r="JEL78" s="2805"/>
      <c r="JEM78" s="2805"/>
      <c r="JEN78" s="2805"/>
      <c r="JEO78" s="2805"/>
      <c r="JEP78" s="2805"/>
      <c r="JEQ78" s="2805"/>
      <c r="JER78" s="2805"/>
      <c r="JES78" s="2805"/>
      <c r="JET78" s="2805"/>
      <c r="JEU78" s="2805"/>
      <c r="JEV78" s="2805"/>
      <c r="JEW78" s="2805"/>
      <c r="JEX78" s="2805"/>
      <c r="JEY78" s="2805"/>
      <c r="JEZ78" s="2805"/>
      <c r="JFA78" s="2805"/>
      <c r="JFB78" s="2805"/>
      <c r="JFC78" s="2805"/>
      <c r="JFD78" s="2805"/>
      <c r="JFE78" s="2805"/>
      <c r="JFF78" s="2805"/>
      <c r="JFG78" s="2805"/>
      <c r="JFH78" s="2805"/>
      <c r="JFI78" s="2805"/>
      <c r="JFJ78" s="2805"/>
      <c r="JFK78" s="2805"/>
      <c r="JFL78" s="2805"/>
      <c r="JFM78" s="2805"/>
      <c r="JFN78" s="2805"/>
      <c r="JFO78" s="2805"/>
      <c r="JFP78" s="2805"/>
      <c r="JFQ78" s="2805"/>
      <c r="JFR78" s="2805"/>
      <c r="JFS78" s="2805"/>
      <c r="JFT78" s="2805"/>
      <c r="JFU78" s="2805"/>
      <c r="JFV78" s="2805"/>
      <c r="JFW78" s="2805"/>
      <c r="JFX78" s="2805"/>
      <c r="JFY78" s="2805"/>
      <c r="JFZ78" s="2805"/>
      <c r="JGA78" s="2805"/>
      <c r="JGB78" s="2805"/>
      <c r="JGC78" s="2805"/>
      <c r="JGD78" s="2805"/>
      <c r="JGE78" s="2805"/>
      <c r="JGF78" s="2805"/>
      <c r="JGG78" s="2805"/>
      <c r="JGH78" s="2805"/>
      <c r="JGI78" s="2805"/>
      <c r="JGJ78" s="2805"/>
      <c r="JGK78" s="2805"/>
      <c r="JGL78" s="2805"/>
      <c r="JGM78" s="2805"/>
      <c r="JGN78" s="2805"/>
      <c r="JGO78" s="2805"/>
      <c r="JGP78" s="2805"/>
      <c r="JGQ78" s="2805"/>
      <c r="JGR78" s="2805"/>
      <c r="JGS78" s="2805"/>
      <c r="JGT78" s="2805"/>
      <c r="JGU78" s="2805"/>
      <c r="JGV78" s="2805"/>
      <c r="JGW78" s="2805"/>
      <c r="JGX78" s="2805"/>
      <c r="JGY78" s="2805"/>
      <c r="JGZ78" s="2805"/>
      <c r="JHA78" s="2805"/>
      <c r="JHB78" s="2805"/>
      <c r="JHC78" s="2805"/>
      <c r="JHD78" s="2805"/>
      <c r="JHE78" s="2805"/>
      <c r="JHF78" s="2805"/>
      <c r="JHG78" s="2805"/>
      <c r="JHH78" s="2805"/>
      <c r="JHI78" s="2805"/>
      <c r="JHJ78" s="2805"/>
      <c r="JHK78" s="2805"/>
      <c r="JHL78" s="2805"/>
      <c r="JHM78" s="2805"/>
      <c r="JHN78" s="2805"/>
      <c r="JHO78" s="2805"/>
      <c r="JHP78" s="2805"/>
      <c r="JHQ78" s="2805"/>
      <c r="JHR78" s="2805"/>
      <c r="JHS78" s="2805"/>
      <c r="JHT78" s="2805"/>
      <c r="JHU78" s="2805"/>
      <c r="JHV78" s="2805"/>
      <c r="JHW78" s="2805"/>
      <c r="JHX78" s="2805"/>
      <c r="JHY78" s="2805"/>
      <c r="JHZ78" s="2805"/>
      <c r="JIA78" s="2805"/>
      <c r="JIB78" s="2805"/>
      <c r="JIC78" s="2805"/>
      <c r="JID78" s="2805"/>
      <c r="JIE78" s="2805"/>
      <c r="JIF78" s="2805"/>
      <c r="JIG78" s="2805"/>
      <c r="JIH78" s="2805"/>
      <c r="JII78" s="2805"/>
      <c r="JIJ78" s="2805"/>
      <c r="JIK78" s="2805"/>
      <c r="JIL78" s="2805"/>
      <c r="JIM78" s="2805"/>
      <c r="JIN78" s="2805"/>
      <c r="JIO78" s="2805"/>
      <c r="JIP78" s="2805"/>
      <c r="JIQ78" s="2805"/>
      <c r="JIR78" s="2805"/>
      <c r="JIS78" s="2805"/>
      <c r="JIT78" s="2805"/>
      <c r="JIU78" s="2805"/>
      <c r="JIV78" s="2805"/>
      <c r="JIW78" s="2805"/>
      <c r="JIX78" s="2805"/>
      <c r="JIY78" s="2805"/>
      <c r="JIZ78" s="2805"/>
      <c r="JJA78" s="2805"/>
      <c r="JJB78" s="2805"/>
      <c r="JJC78" s="2805"/>
      <c r="JJD78" s="2805"/>
      <c r="JJE78" s="2805"/>
      <c r="JJF78" s="2805"/>
      <c r="JJG78" s="2805"/>
      <c r="JJH78" s="2805"/>
      <c r="JJI78" s="2805"/>
      <c r="JJJ78" s="2805"/>
      <c r="JJK78" s="2805"/>
      <c r="JJL78" s="2805"/>
      <c r="JJM78" s="2805"/>
      <c r="JJN78" s="2805"/>
      <c r="JJO78" s="2805"/>
      <c r="JJP78" s="2805"/>
      <c r="JJQ78" s="2805"/>
      <c r="JJR78" s="2805"/>
      <c r="JJS78" s="2805"/>
      <c r="JJT78" s="2805"/>
      <c r="JJU78" s="2805"/>
      <c r="JJV78" s="2805"/>
      <c r="JJW78" s="2805"/>
      <c r="JJX78" s="2805"/>
      <c r="JJY78" s="2805"/>
      <c r="JJZ78" s="2805"/>
      <c r="JKA78" s="2805"/>
      <c r="JKB78" s="2805"/>
      <c r="JKC78" s="2805"/>
      <c r="JKD78" s="2805"/>
      <c r="JKE78" s="2805"/>
      <c r="JKF78" s="2805"/>
      <c r="JKG78" s="2805"/>
      <c r="JKH78" s="2805"/>
      <c r="JKI78" s="2805"/>
      <c r="JKJ78" s="2805"/>
      <c r="JKK78" s="2805"/>
      <c r="JKL78" s="2805"/>
      <c r="JKM78" s="2805"/>
      <c r="JKN78" s="2805"/>
      <c r="JKO78" s="2805"/>
      <c r="JKP78" s="2805"/>
      <c r="JKQ78" s="2805"/>
      <c r="JKR78" s="2805"/>
      <c r="JKS78" s="2805"/>
      <c r="JKT78" s="2805"/>
      <c r="JKU78" s="2805"/>
      <c r="JKV78" s="2805"/>
      <c r="JKW78" s="2805"/>
      <c r="JKX78" s="2805"/>
      <c r="JKY78" s="2805"/>
      <c r="JKZ78" s="2805"/>
      <c r="JLA78" s="2805"/>
      <c r="JLB78" s="2805"/>
      <c r="JLC78" s="2805"/>
      <c r="JLD78" s="2805"/>
      <c r="JLE78" s="2805"/>
      <c r="JLF78" s="2805"/>
      <c r="JLG78" s="2805"/>
      <c r="JLH78" s="2805"/>
      <c r="JLI78" s="2805"/>
      <c r="JLJ78" s="2805"/>
      <c r="JLK78" s="2805"/>
      <c r="JLL78" s="2805"/>
      <c r="JLM78" s="2805"/>
      <c r="JLN78" s="2805"/>
      <c r="JLO78" s="2805"/>
      <c r="JLP78" s="2805"/>
      <c r="JLQ78" s="2805"/>
      <c r="JLR78" s="2805"/>
      <c r="JLS78" s="2805"/>
      <c r="JLT78" s="2805"/>
      <c r="JLU78" s="2805"/>
      <c r="JLV78" s="2805"/>
      <c r="JLW78" s="2805"/>
      <c r="JLX78" s="2805"/>
      <c r="JLY78" s="2805"/>
      <c r="JLZ78" s="2805"/>
      <c r="JMA78" s="2805"/>
      <c r="JMB78" s="2805"/>
      <c r="JMC78" s="2805"/>
      <c r="JMD78" s="2805"/>
      <c r="JME78" s="2805"/>
      <c r="JMF78" s="2805"/>
      <c r="JMG78" s="2805"/>
      <c r="JMH78" s="2805"/>
      <c r="JMI78" s="2805"/>
      <c r="JMJ78" s="2805"/>
      <c r="JMK78" s="2805"/>
      <c r="JML78" s="2805"/>
      <c r="JMM78" s="2805"/>
      <c r="JMN78" s="2805"/>
      <c r="JMO78" s="2805"/>
      <c r="JMP78" s="2805"/>
      <c r="JMQ78" s="2805"/>
      <c r="JMR78" s="2805"/>
      <c r="JMS78" s="2805"/>
      <c r="JMT78" s="2805"/>
      <c r="JMU78" s="2805"/>
      <c r="JMV78" s="2805"/>
      <c r="JMW78" s="2805"/>
      <c r="JMX78" s="2805"/>
      <c r="JMY78" s="2805"/>
      <c r="JMZ78" s="2805"/>
      <c r="JNA78" s="2805"/>
      <c r="JNB78" s="2805"/>
      <c r="JNC78" s="2805"/>
      <c r="JND78" s="2805"/>
      <c r="JNE78" s="2805"/>
      <c r="JNF78" s="2805"/>
      <c r="JNG78" s="2805"/>
      <c r="JNH78" s="2805"/>
      <c r="JNI78" s="2805"/>
      <c r="JNJ78" s="2805"/>
      <c r="JNK78" s="2805"/>
      <c r="JNL78" s="2805"/>
      <c r="JNM78" s="2805"/>
      <c r="JNN78" s="2805"/>
      <c r="JNO78" s="2805"/>
      <c r="JNP78" s="2805"/>
      <c r="JNQ78" s="2805"/>
      <c r="JNR78" s="2805"/>
      <c r="JNS78" s="2805"/>
      <c r="JNT78" s="2805"/>
      <c r="JNU78" s="2805"/>
      <c r="JNV78" s="2805"/>
      <c r="JNW78" s="2805"/>
      <c r="JNX78" s="2805"/>
      <c r="JNY78" s="2805"/>
      <c r="JNZ78" s="2805"/>
      <c r="JOA78" s="2805"/>
      <c r="JOB78" s="2805"/>
      <c r="JOC78" s="2805"/>
      <c r="JOD78" s="2805"/>
      <c r="JOE78" s="2805"/>
      <c r="JOF78" s="2805"/>
      <c r="JOG78" s="2805"/>
      <c r="JOH78" s="2805"/>
      <c r="JOI78" s="2805"/>
      <c r="JOJ78" s="2805"/>
      <c r="JOK78" s="2805"/>
      <c r="JOL78" s="2805"/>
      <c r="JOM78" s="2805"/>
      <c r="JON78" s="2805"/>
      <c r="JOO78" s="2805"/>
      <c r="JOP78" s="2805"/>
      <c r="JOQ78" s="2805"/>
      <c r="JOR78" s="2805"/>
      <c r="JOS78" s="2805"/>
      <c r="JOT78" s="2805"/>
      <c r="JOU78" s="2805"/>
      <c r="JOV78" s="2805"/>
      <c r="JOW78" s="2805"/>
      <c r="JOX78" s="2805"/>
      <c r="JOY78" s="2805"/>
      <c r="JOZ78" s="2805"/>
      <c r="JPA78" s="2805"/>
      <c r="JPB78" s="2805"/>
      <c r="JPC78" s="2805"/>
      <c r="JPD78" s="2805"/>
      <c r="JPE78" s="2805"/>
      <c r="JPF78" s="2805"/>
      <c r="JPG78" s="2805"/>
      <c r="JPH78" s="2805"/>
      <c r="JPI78" s="2805"/>
      <c r="JPJ78" s="2805"/>
      <c r="JPK78" s="2805"/>
      <c r="JPL78" s="2805"/>
      <c r="JPM78" s="2805"/>
      <c r="JPN78" s="2805"/>
      <c r="JPO78" s="2805"/>
      <c r="JPP78" s="2805"/>
      <c r="JPQ78" s="2805"/>
      <c r="JPR78" s="2805"/>
      <c r="JPS78" s="2805"/>
      <c r="JPT78" s="2805"/>
      <c r="JPU78" s="2805"/>
      <c r="JPV78" s="2805"/>
      <c r="JPW78" s="2805"/>
      <c r="JPX78" s="2805"/>
      <c r="JPY78" s="2805"/>
      <c r="JPZ78" s="2805"/>
      <c r="JQA78" s="2805"/>
      <c r="JQB78" s="2805"/>
      <c r="JQC78" s="2805"/>
      <c r="JQD78" s="2805"/>
      <c r="JQE78" s="2805"/>
      <c r="JQF78" s="2805"/>
      <c r="JQG78" s="2805"/>
      <c r="JQH78" s="2805"/>
      <c r="JQI78" s="2805"/>
      <c r="JQJ78" s="2805"/>
      <c r="JQK78" s="2805"/>
      <c r="JQL78" s="2805"/>
      <c r="JQM78" s="2805"/>
      <c r="JQN78" s="2805"/>
      <c r="JQO78" s="2805"/>
      <c r="JQP78" s="2805"/>
      <c r="JQQ78" s="2805"/>
      <c r="JQR78" s="2805"/>
      <c r="JQS78" s="2805"/>
      <c r="JQT78" s="2805"/>
      <c r="JQU78" s="2805"/>
      <c r="JQV78" s="2805"/>
      <c r="JQW78" s="2805"/>
      <c r="JQX78" s="2805"/>
      <c r="JQY78" s="2805"/>
      <c r="JQZ78" s="2805"/>
      <c r="JRA78" s="2805"/>
      <c r="JRB78" s="2805"/>
      <c r="JRC78" s="2805"/>
      <c r="JRD78" s="2805"/>
      <c r="JRE78" s="2805"/>
      <c r="JRF78" s="2805"/>
      <c r="JRG78" s="2805"/>
      <c r="JRH78" s="2805"/>
      <c r="JRI78" s="2805"/>
      <c r="JRJ78" s="2805"/>
      <c r="JRK78" s="2805"/>
      <c r="JRL78" s="2805"/>
      <c r="JRM78" s="2805"/>
      <c r="JRN78" s="2805"/>
      <c r="JRO78" s="2805"/>
      <c r="JRP78" s="2805"/>
      <c r="JRQ78" s="2805"/>
      <c r="JRR78" s="2805"/>
      <c r="JRS78" s="2805"/>
      <c r="JRT78" s="2805"/>
      <c r="JRU78" s="2805"/>
      <c r="JRV78" s="2805"/>
      <c r="JRW78" s="2805"/>
      <c r="JRX78" s="2805"/>
      <c r="JRY78" s="2805"/>
      <c r="JRZ78" s="2805"/>
      <c r="JSA78" s="2805"/>
      <c r="JSB78" s="2805"/>
      <c r="JSC78" s="2805"/>
      <c r="JSD78" s="2805"/>
      <c r="JSE78" s="2805"/>
      <c r="JSF78" s="2805"/>
      <c r="JSG78" s="2805"/>
      <c r="JSH78" s="2805"/>
      <c r="JSI78" s="2805"/>
      <c r="JSJ78" s="2805"/>
      <c r="JSK78" s="2805"/>
      <c r="JSL78" s="2805"/>
      <c r="JSM78" s="2805"/>
      <c r="JSN78" s="2805"/>
      <c r="JSO78" s="2805"/>
      <c r="JSP78" s="2805"/>
      <c r="JSQ78" s="2805"/>
      <c r="JSR78" s="2805"/>
      <c r="JSS78" s="2805"/>
      <c r="JST78" s="2805"/>
      <c r="JSU78" s="2805"/>
      <c r="JSV78" s="2805"/>
      <c r="JSW78" s="2805"/>
      <c r="JSX78" s="2805"/>
      <c r="JSY78" s="2805"/>
      <c r="JSZ78" s="2805"/>
      <c r="JTA78" s="2805"/>
      <c r="JTB78" s="2805"/>
      <c r="JTC78" s="2805"/>
      <c r="JTD78" s="2805"/>
      <c r="JTE78" s="2805"/>
      <c r="JTF78" s="2805"/>
      <c r="JTG78" s="2805"/>
      <c r="JTH78" s="2805"/>
      <c r="JTI78" s="2805"/>
      <c r="JTJ78" s="2805"/>
      <c r="JTK78" s="2805"/>
      <c r="JTL78" s="2805"/>
      <c r="JTM78" s="2805"/>
      <c r="JTN78" s="2805"/>
      <c r="JTO78" s="2805"/>
      <c r="JTP78" s="2805"/>
      <c r="JTQ78" s="2805"/>
      <c r="JTR78" s="2805"/>
      <c r="JTS78" s="2805"/>
      <c r="JTT78" s="2805"/>
      <c r="JTU78" s="2805"/>
      <c r="JTV78" s="2805"/>
      <c r="JTW78" s="2805"/>
      <c r="JTX78" s="2805"/>
      <c r="JTY78" s="2805"/>
      <c r="JTZ78" s="2805"/>
      <c r="JUA78" s="2805"/>
      <c r="JUB78" s="2805"/>
      <c r="JUC78" s="2805"/>
      <c r="JUD78" s="2805"/>
      <c r="JUE78" s="2805"/>
      <c r="JUF78" s="2805"/>
      <c r="JUG78" s="2805"/>
      <c r="JUH78" s="2805"/>
      <c r="JUI78" s="2805"/>
      <c r="JUJ78" s="2805"/>
      <c r="JUK78" s="2805"/>
      <c r="JUL78" s="2805"/>
      <c r="JUM78" s="2805"/>
      <c r="JUN78" s="2805"/>
      <c r="JUO78" s="2805"/>
      <c r="JUP78" s="2805"/>
      <c r="JUQ78" s="2805"/>
      <c r="JUR78" s="2805"/>
      <c r="JUS78" s="2805"/>
      <c r="JUT78" s="2805"/>
      <c r="JUU78" s="2805"/>
      <c r="JUV78" s="2805"/>
      <c r="JUW78" s="2805"/>
      <c r="JUX78" s="2805"/>
      <c r="JUY78" s="2805"/>
      <c r="JUZ78" s="2805"/>
      <c r="JVA78" s="2805"/>
      <c r="JVB78" s="2805"/>
      <c r="JVC78" s="2805"/>
      <c r="JVD78" s="2805"/>
      <c r="JVE78" s="2805"/>
      <c r="JVF78" s="2805"/>
      <c r="JVG78" s="2805"/>
      <c r="JVH78" s="2805"/>
      <c r="JVI78" s="2805"/>
      <c r="JVJ78" s="2805"/>
      <c r="JVK78" s="2805"/>
      <c r="JVL78" s="2805"/>
      <c r="JVM78" s="2805"/>
      <c r="JVN78" s="2805"/>
      <c r="JVO78" s="2805"/>
      <c r="JVP78" s="2805"/>
      <c r="JVQ78" s="2805"/>
      <c r="JVR78" s="2805"/>
      <c r="JVS78" s="2805"/>
      <c r="JVT78" s="2805"/>
      <c r="JVU78" s="2805"/>
      <c r="JVV78" s="2805"/>
      <c r="JVW78" s="2805"/>
      <c r="JVX78" s="2805"/>
      <c r="JVY78" s="2805"/>
      <c r="JVZ78" s="2805"/>
      <c r="JWA78" s="2805"/>
      <c r="JWB78" s="2805"/>
      <c r="JWC78" s="2805"/>
      <c r="JWD78" s="2805"/>
      <c r="JWE78" s="2805"/>
      <c r="JWF78" s="2805"/>
      <c r="JWG78" s="2805"/>
      <c r="JWH78" s="2805"/>
      <c r="JWI78" s="2805"/>
      <c r="JWJ78" s="2805"/>
      <c r="JWK78" s="2805"/>
      <c r="JWL78" s="2805"/>
      <c r="JWM78" s="2805"/>
      <c r="JWN78" s="2805"/>
      <c r="JWO78" s="2805"/>
      <c r="JWP78" s="2805"/>
      <c r="JWQ78" s="2805"/>
      <c r="JWR78" s="2805"/>
      <c r="JWS78" s="2805"/>
      <c r="JWT78" s="2805"/>
      <c r="JWU78" s="2805"/>
      <c r="JWV78" s="2805"/>
      <c r="JWW78" s="2805"/>
      <c r="JWX78" s="2805"/>
      <c r="JWY78" s="2805"/>
      <c r="JWZ78" s="2805"/>
      <c r="JXA78" s="2805"/>
      <c r="JXB78" s="2805"/>
      <c r="JXC78" s="2805"/>
      <c r="JXD78" s="2805"/>
      <c r="JXE78" s="2805"/>
      <c r="JXF78" s="2805"/>
      <c r="JXG78" s="2805"/>
      <c r="JXH78" s="2805"/>
      <c r="JXI78" s="2805"/>
      <c r="JXJ78" s="2805"/>
      <c r="JXK78" s="2805"/>
      <c r="JXL78" s="2805"/>
      <c r="JXM78" s="2805"/>
      <c r="JXN78" s="2805"/>
      <c r="JXO78" s="2805"/>
      <c r="JXP78" s="2805"/>
      <c r="JXQ78" s="2805"/>
      <c r="JXR78" s="2805"/>
      <c r="JXS78" s="2805"/>
      <c r="JXT78" s="2805"/>
      <c r="JXU78" s="2805"/>
      <c r="JXV78" s="2805"/>
      <c r="JXW78" s="2805"/>
      <c r="JXX78" s="2805"/>
      <c r="JXY78" s="2805"/>
      <c r="JXZ78" s="2805"/>
      <c r="JYA78" s="2805"/>
      <c r="JYB78" s="2805"/>
      <c r="JYC78" s="2805"/>
      <c r="JYD78" s="2805"/>
      <c r="JYE78" s="2805"/>
      <c r="JYF78" s="2805"/>
      <c r="JYG78" s="2805"/>
      <c r="JYH78" s="2805"/>
      <c r="JYI78" s="2805"/>
      <c r="JYJ78" s="2805"/>
      <c r="JYK78" s="2805"/>
      <c r="JYL78" s="2805"/>
      <c r="JYM78" s="2805"/>
      <c r="JYN78" s="2805"/>
      <c r="JYO78" s="2805"/>
      <c r="JYP78" s="2805"/>
      <c r="JYQ78" s="2805"/>
      <c r="JYR78" s="2805"/>
      <c r="JYS78" s="2805"/>
      <c r="JYT78" s="2805"/>
      <c r="JYU78" s="2805"/>
      <c r="JYV78" s="2805"/>
      <c r="JYW78" s="2805"/>
      <c r="JYX78" s="2805"/>
      <c r="JYY78" s="2805"/>
      <c r="JYZ78" s="2805"/>
      <c r="JZA78" s="2805"/>
      <c r="JZB78" s="2805"/>
      <c r="JZC78" s="2805"/>
      <c r="JZD78" s="2805"/>
      <c r="JZE78" s="2805"/>
      <c r="JZF78" s="2805"/>
      <c r="JZG78" s="2805"/>
      <c r="JZH78" s="2805"/>
      <c r="JZI78" s="2805"/>
      <c r="JZJ78" s="2805"/>
      <c r="JZK78" s="2805"/>
      <c r="JZL78" s="2805"/>
      <c r="JZM78" s="2805"/>
      <c r="JZN78" s="2805"/>
      <c r="JZO78" s="2805"/>
      <c r="JZP78" s="2805"/>
      <c r="JZQ78" s="2805"/>
      <c r="JZR78" s="2805"/>
      <c r="JZS78" s="2805"/>
      <c r="JZT78" s="2805"/>
      <c r="JZU78" s="2805"/>
      <c r="JZV78" s="2805"/>
      <c r="JZW78" s="2805"/>
      <c r="JZX78" s="2805"/>
      <c r="JZY78" s="2805"/>
      <c r="JZZ78" s="2805"/>
      <c r="KAA78" s="2805"/>
      <c r="KAB78" s="2805"/>
      <c r="KAC78" s="2805"/>
      <c r="KAD78" s="2805"/>
      <c r="KAE78" s="2805"/>
      <c r="KAF78" s="2805"/>
      <c r="KAG78" s="2805"/>
      <c r="KAH78" s="2805"/>
      <c r="KAI78" s="2805"/>
      <c r="KAJ78" s="2805"/>
      <c r="KAK78" s="2805"/>
      <c r="KAL78" s="2805"/>
      <c r="KAM78" s="2805"/>
      <c r="KAN78" s="2805"/>
      <c r="KAO78" s="2805"/>
      <c r="KAP78" s="2805"/>
      <c r="KAQ78" s="2805"/>
      <c r="KAR78" s="2805"/>
      <c r="KAS78" s="2805"/>
      <c r="KAT78" s="2805"/>
      <c r="KAU78" s="2805"/>
      <c r="KAV78" s="2805"/>
      <c r="KAW78" s="2805"/>
      <c r="KAX78" s="2805"/>
      <c r="KAY78" s="2805"/>
      <c r="KAZ78" s="2805"/>
      <c r="KBA78" s="2805"/>
      <c r="KBB78" s="2805"/>
      <c r="KBC78" s="2805"/>
      <c r="KBD78" s="2805"/>
      <c r="KBE78" s="2805"/>
      <c r="KBF78" s="2805"/>
      <c r="KBG78" s="2805"/>
      <c r="KBH78" s="2805"/>
      <c r="KBI78" s="2805"/>
      <c r="KBJ78" s="2805"/>
      <c r="KBK78" s="2805"/>
      <c r="KBL78" s="2805"/>
      <c r="KBM78" s="2805"/>
      <c r="KBN78" s="2805"/>
      <c r="KBO78" s="2805"/>
      <c r="KBP78" s="2805"/>
      <c r="KBQ78" s="2805"/>
      <c r="KBR78" s="2805"/>
      <c r="KBS78" s="2805"/>
      <c r="KBT78" s="2805"/>
      <c r="KBU78" s="2805"/>
      <c r="KBV78" s="2805"/>
      <c r="KBW78" s="2805"/>
      <c r="KBX78" s="2805"/>
      <c r="KBY78" s="2805"/>
      <c r="KBZ78" s="2805"/>
      <c r="KCA78" s="2805"/>
      <c r="KCB78" s="2805"/>
      <c r="KCC78" s="2805"/>
      <c r="KCD78" s="2805"/>
      <c r="KCE78" s="2805"/>
      <c r="KCF78" s="2805"/>
      <c r="KCG78" s="2805"/>
      <c r="KCH78" s="2805"/>
      <c r="KCI78" s="2805"/>
      <c r="KCJ78" s="2805"/>
      <c r="KCK78" s="2805"/>
      <c r="KCL78" s="2805"/>
      <c r="KCM78" s="2805"/>
      <c r="KCN78" s="2805"/>
      <c r="KCO78" s="2805"/>
      <c r="KCP78" s="2805"/>
      <c r="KCQ78" s="2805"/>
      <c r="KCR78" s="2805"/>
      <c r="KCS78" s="2805"/>
      <c r="KCT78" s="2805"/>
      <c r="KCU78" s="2805"/>
      <c r="KCV78" s="2805"/>
      <c r="KCW78" s="2805"/>
      <c r="KCX78" s="2805"/>
      <c r="KCY78" s="2805"/>
      <c r="KCZ78" s="2805"/>
      <c r="KDA78" s="2805"/>
      <c r="KDB78" s="2805"/>
      <c r="KDC78" s="2805"/>
      <c r="KDD78" s="2805"/>
      <c r="KDE78" s="2805"/>
      <c r="KDF78" s="2805"/>
      <c r="KDG78" s="2805"/>
      <c r="KDH78" s="2805"/>
      <c r="KDI78" s="2805"/>
      <c r="KDJ78" s="2805"/>
      <c r="KDK78" s="2805"/>
      <c r="KDL78" s="2805"/>
      <c r="KDM78" s="2805"/>
      <c r="KDN78" s="2805"/>
      <c r="KDO78" s="2805"/>
      <c r="KDP78" s="2805"/>
      <c r="KDQ78" s="2805"/>
      <c r="KDR78" s="2805"/>
      <c r="KDS78" s="2805"/>
      <c r="KDT78" s="2805"/>
      <c r="KDU78" s="2805"/>
      <c r="KDV78" s="2805"/>
      <c r="KDW78" s="2805"/>
      <c r="KDX78" s="2805"/>
      <c r="KDY78" s="2805"/>
      <c r="KDZ78" s="2805"/>
      <c r="KEA78" s="2805"/>
      <c r="KEB78" s="2805"/>
      <c r="KEC78" s="2805"/>
      <c r="KED78" s="2805"/>
      <c r="KEE78" s="2805"/>
      <c r="KEF78" s="2805"/>
      <c r="KEG78" s="2805"/>
      <c r="KEH78" s="2805"/>
      <c r="KEI78" s="2805"/>
      <c r="KEJ78" s="2805"/>
      <c r="KEK78" s="2805"/>
      <c r="KEL78" s="2805"/>
      <c r="KEM78" s="2805"/>
      <c r="KEN78" s="2805"/>
      <c r="KEO78" s="2805"/>
      <c r="KEP78" s="2805"/>
      <c r="KEQ78" s="2805"/>
      <c r="KER78" s="2805"/>
      <c r="KES78" s="2805"/>
      <c r="KET78" s="2805"/>
      <c r="KEU78" s="2805"/>
      <c r="KEV78" s="2805"/>
      <c r="KEW78" s="2805"/>
      <c r="KEX78" s="2805"/>
      <c r="KEY78" s="2805"/>
      <c r="KEZ78" s="2805"/>
      <c r="KFA78" s="2805"/>
      <c r="KFB78" s="2805"/>
      <c r="KFC78" s="2805"/>
      <c r="KFD78" s="2805"/>
      <c r="KFE78" s="2805"/>
      <c r="KFF78" s="2805"/>
      <c r="KFG78" s="2805"/>
      <c r="KFH78" s="2805"/>
      <c r="KFI78" s="2805"/>
      <c r="KFJ78" s="2805"/>
      <c r="KFK78" s="2805"/>
      <c r="KFL78" s="2805"/>
      <c r="KFM78" s="2805"/>
      <c r="KFN78" s="2805"/>
      <c r="KFO78" s="2805"/>
      <c r="KFP78" s="2805"/>
      <c r="KFQ78" s="2805"/>
      <c r="KFR78" s="2805"/>
      <c r="KFS78" s="2805"/>
      <c r="KFT78" s="2805"/>
      <c r="KFU78" s="2805"/>
      <c r="KFV78" s="2805"/>
      <c r="KFW78" s="2805"/>
      <c r="KFX78" s="2805"/>
      <c r="KFY78" s="2805"/>
      <c r="KFZ78" s="2805"/>
      <c r="KGA78" s="2805"/>
      <c r="KGB78" s="2805"/>
      <c r="KGC78" s="2805"/>
      <c r="KGD78" s="2805"/>
      <c r="KGE78" s="2805"/>
      <c r="KGF78" s="2805"/>
      <c r="KGG78" s="2805"/>
      <c r="KGH78" s="2805"/>
      <c r="KGI78" s="2805"/>
      <c r="KGJ78" s="2805"/>
      <c r="KGK78" s="2805"/>
      <c r="KGL78" s="2805"/>
      <c r="KGM78" s="2805"/>
      <c r="KGN78" s="2805"/>
      <c r="KGO78" s="2805"/>
      <c r="KGP78" s="2805"/>
      <c r="KGQ78" s="2805"/>
      <c r="KGR78" s="2805"/>
      <c r="KGS78" s="2805"/>
      <c r="KGT78" s="2805"/>
      <c r="KGU78" s="2805"/>
      <c r="KGV78" s="2805"/>
      <c r="KGW78" s="2805"/>
      <c r="KGX78" s="2805"/>
      <c r="KGY78" s="2805"/>
      <c r="KGZ78" s="2805"/>
      <c r="KHA78" s="2805"/>
      <c r="KHB78" s="2805"/>
      <c r="KHC78" s="2805"/>
      <c r="KHD78" s="2805"/>
      <c r="KHE78" s="2805"/>
      <c r="KHF78" s="2805"/>
      <c r="KHG78" s="2805"/>
      <c r="KHH78" s="2805"/>
      <c r="KHI78" s="2805"/>
      <c r="KHJ78" s="2805"/>
      <c r="KHK78" s="2805"/>
      <c r="KHL78" s="2805"/>
      <c r="KHM78" s="2805"/>
      <c r="KHN78" s="2805"/>
      <c r="KHO78" s="2805"/>
      <c r="KHP78" s="2805"/>
      <c r="KHQ78" s="2805"/>
      <c r="KHR78" s="2805"/>
      <c r="KHS78" s="2805"/>
      <c r="KHT78" s="2805"/>
      <c r="KHU78" s="2805"/>
      <c r="KHV78" s="2805"/>
      <c r="KHW78" s="2805"/>
      <c r="KHX78" s="2805"/>
      <c r="KHY78" s="2805"/>
      <c r="KHZ78" s="2805"/>
      <c r="KIA78" s="2805"/>
      <c r="KIB78" s="2805"/>
      <c r="KIC78" s="2805"/>
      <c r="KID78" s="2805"/>
      <c r="KIE78" s="2805"/>
      <c r="KIF78" s="2805"/>
      <c r="KIG78" s="2805"/>
      <c r="KIH78" s="2805"/>
      <c r="KII78" s="2805"/>
      <c r="KIJ78" s="2805"/>
      <c r="KIK78" s="2805"/>
      <c r="KIL78" s="2805"/>
      <c r="KIM78" s="2805"/>
      <c r="KIN78" s="2805"/>
      <c r="KIO78" s="2805"/>
      <c r="KIP78" s="2805"/>
      <c r="KIQ78" s="2805"/>
      <c r="KIR78" s="2805"/>
      <c r="KIS78" s="2805"/>
      <c r="KIT78" s="2805"/>
      <c r="KIU78" s="2805"/>
      <c r="KIV78" s="2805"/>
      <c r="KIW78" s="2805"/>
      <c r="KIX78" s="2805"/>
      <c r="KIY78" s="2805"/>
      <c r="KIZ78" s="2805"/>
      <c r="KJA78" s="2805"/>
      <c r="KJB78" s="2805"/>
      <c r="KJC78" s="2805"/>
      <c r="KJD78" s="2805"/>
      <c r="KJE78" s="2805"/>
      <c r="KJF78" s="2805"/>
      <c r="KJG78" s="2805"/>
      <c r="KJH78" s="2805"/>
      <c r="KJI78" s="2805"/>
      <c r="KJJ78" s="2805"/>
      <c r="KJK78" s="2805"/>
      <c r="KJL78" s="2805"/>
      <c r="KJM78" s="2805"/>
      <c r="KJN78" s="2805"/>
      <c r="KJO78" s="2805"/>
      <c r="KJP78" s="2805"/>
      <c r="KJQ78" s="2805"/>
      <c r="KJR78" s="2805"/>
      <c r="KJS78" s="2805"/>
      <c r="KJT78" s="2805"/>
      <c r="KJU78" s="2805"/>
      <c r="KJV78" s="2805"/>
      <c r="KJW78" s="2805"/>
      <c r="KJX78" s="2805"/>
      <c r="KJY78" s="2805"/>
      <c r="KJZ78" s="2805"/>
      <c r="KKA78" s="2805"/>
      <c r="KKB78" s="2805"/>
      <c r="KKC78" s="2805"/>
      <c r="KKD78" s="2805"/>
      <c r="KKE78" s="2805"/>
      <c r="KKF78" s="2805"/>
      <c r="KKG78" s="2805"/>
      <c r="KKH78" s="2805"/>
      <c r="KKI78" s="2805"/>
      <c r="KKJ78" s="2805"/>
      <c r="KKK78" s="2805"/>
      <c r="KKL78" s="2805"/>
      <c r="KKM78" s="2805"/>
      <c r="KKN78" s="2805"/>
      <c r="KKO78" s="2805"/>
      <c r="KKP78" s="2805"/>
      <c r="KKQ78" s="2805"/>
      <c r="KKR78" s="2805"/>
      <c r="KKS78" s="2805"/>
      <c r="KKT78" s="2805"/>
      <c r="KKU78" s="2805"/>
      <c r="KKV78" s="2805"/>
      <c r="KKW78" s="2805"/>
      <c r="KKX78" s="2805"/>
      <c r="KKY78" s="2805"/>
      <c r="KKZ78" s="2805"/>
      <c r="KLA78" s="2805"/>
      <c r="KLB78" s="2805"/>
      <c r="KLC78" s="2805"/>
      <c r="KLD78" s="2805"/>
      <c r="KLE78" s="2805"/>
      <c r="KLF78" s="2805"/>
      <c r="KLG78" s="2805"/>
      <c r="KLH78" s="2805"/>
      <c r="KLI78" s="2805"/>
      <c r="KLJ78" s="2805"/>
      <c r="KLK78" s="2805"/>
      <c r="KLL78" s="2805"/>
      <c r="KLM78" s="2805"/>
      <c r="KLN78" s="2805"/>
      <c r="KLO78" s="2805"/>
      <c r="KLP78" s="2805"/>
      <c r="KLQ78" s="2805"/>
      <c r="KLR78" s="2805"/>
      <c r="KLS78" s="2805"/>
      <c r="KLT78" s="2805"/>
      <c r="KLU78" s="2805"/>
      <c r="KLV78" s="2805"/>
      <c r="KLW78" s="2805"/>
      <c r="KLX78" s="2805"/>
      <c r="KLY78" s="2805"/>
      <c r="KLZ78" s="2805"/>
      <c r="KMA78" s="2805"/>
      <c r="KMB78" s="2805"/>
      <c r="KMC78" s="2805"/>
      <c r="KMD78" s="2805"/>
      <c r="KME78" s="2805"/>
      <c r="KMF78" s="2805"/>
      <c r="KMG78" s="2805"/>
      <c r="KMH78" s="2805"/>
      <c r="KMI78" s="2805"/>
      <c r="KMJ78" s="2805"/>
      <c r="KMK78" s="2805"/>
      <c r="KML78" s="2805"/>
      <c r="KMM78" s="2805"/>
      <c r="KMN78" s="2805"/>
      <c r="KMO78" s="2805"/>
      <c r="KMP78" s="2805"/>
      <c r="KMQ78" s="2805"/>
      <c r="KMR78" s="2805"/>
      <c r="KMS78" s="2805"/>
      <c r="KMT78" s="2805"/>
      <c r="KMU78" s="2805"/>
      <c r="KMV78" s="2805"/>
      <c r="KMW78" s="2805"/>
      <c r="KMX78" s="2805"/>
      <c r="KMY78" s="2805"/>
      <c r="KMZ78" s="2805"/>
      <c r="KNA78" s="2805"/>
      <c r="KNB78" s="2805"/>
      <c r="KNC78" s="2805"/>
      <c r="KND78" s="2805"/>
      <c r="KNE78" s="2805"/>
      <c r="KNF78" s="2805"/>
      <c r="KNG78" s="2805"/>
      <c r="KNH78" s="2805"/>
      <c r="KNI78" s="2805"/>
      <c r="KNJ78" s="2805"/>
      <c r="KNK78" s="2805"/>
      <c r="KNL78" s="2805"/>
      <c r="KNM78" s="2805"/>
      <c r="KNN78" s="2805"/>
      <c r="KNO78" s="2805"/>
      <c r="KNP78" s="2805"/>
      <c r="KNQ78" s="2805"/>
      <c r="KNR78" s="2805"/>
      <c r="KNS78" s="2805"/>
      <c r="KNT78" s="2805"/>
      <c r="KNU78" s="2805"/>
      <c r="KNV78" s="2805"/>
      <c r="KNW78" s="2805"/>
      <c r="KNX78" s="2805"/>
      <c r="KNY78" s="2805"/>
      <c r="KNZ78" s="2805"/>
      <c r="KOA78" s="2805"/>
      <c r="KOB78" s="2805"/>
      <c r="KOC78" s="2805"/>
      <c r="KOD78" s="2805"/>
      <c r="KOE78" s="2805"/>
      <c r="KOF78" s="2805"/>
      <c r="KOG78" s="2805"/>
      <c r="KOH78" s="2805"/>
      <c r="KOI78" s="2805"/>
      <c r="KOJ78" s="2805"/>
      <c r="KOK78" s="2805"/>
      <c r="KOL78" s="2805"/>
      <c r="KOM78" s="2805"/>
      <c r="KON78" s="2805"/>
      <c r="KOO78" s="2805"/>
      <c r="KOP78" s="2805"/>
      <c r="KOQ78" s="2805"/>
      <c r="KOR78" s="2805"/>
      <c r="KOS78" s="2805"/>
      <c r="KOT78" s="2805"/>
      <c r="KOU78" s="2805"/>
      <c r="KOV78" s="2805"/>
      <c r="KOW78" s="2805"/>
      <c r="KOX78" s="2805"/>
      <c r="KOY78" s="2805"/>
      <c r="KOZ78" s="2805"/>
      <c r="KPA78" s="2805"/>
      <c r="KPB78" s="2805"/>
      <c r="KPC78" s="2805"/>
      <c r="KPD78" s="2805"/>
      <c r="KPE78" s="2805"/>
      <c r="KPF78" s="2805"/>
      <c r="KPG78" s="2805"/>
      <c r="KPH78" s="2805"/>
      <c r="KPI78" s="2805"/>
      <c r="KPJ78" s="2805"/>
      <c r="KPK78" s="2805"/>
      <c r="KPL78" s="2805"/>
      <c r="KPM78" s="2805"/>
      <c r="KPN78" s="2805"/>
      <c r="KPO78" s="2805"/>
      <c r="KPP78" s="2805"/>
      <c r="KPQ78" s="2805"/>
      <c r="KPR78" s="2805"/>
      <c r="KPS78" s="2805"/>
      <c r="KPT78" s="2805"/>
      <c r="KPU78" s="2805"/>
      <c r="KPV78" s="2805"/>
      <c r="KPW78" s="2805"/>
      <c r="KPX78" s="2805"/>
      <c r="KPY78" s="2805"/>
      <c r="KPZ78" s="2805"/>
      <c r="KQA78" s="2805"/>
      <c r="KQB78" s="2805"/>
      <c r="KQC78" s="2805"/>
      <c r="KQD78" s="2805"/>
      <c r="KQE78" s="2805"/>
      <c r="KQF78" s="2805"/>
      <c r="KQG78" s="2805"/>
      <c r="KQH78" s="2805"/>
      <c r="KQI78" s="2805"/>
      <c r="KQJ78" s="2805"/>
      <c r="KQK78" s="2805"/>
      <c r="KQL78" s="2805"/>
      <c r="KQM78" s="2805"/>
      <c r="KQN78" s="2805"/>
      <c r="KQO78" s="2805"/>
      <c r="KQP78" s="2805"/>
      <c r="KQQ78" s="2805"/>
      <c r="KQR78" s="2805"/>
      <c r="KQS78" s="2805"/>
      <c r="KQT78" s="2805"/>
      <c r="KQU78" s="2805"/>
      <c r="KQV78" s="2805"/>
      <c r="KQW78" s="2805"/>
      <c r="KQX78" s="2805"/>
      <c r="KQY78" s="2805"/>
      <c r="KQZ78" s="2805"/>
      <c r="KRA78" s="2805"/>
      <c r="KRB78" s="2805"/>
      <c r="KRC78" s="2805"/>
      <c r="KRD78" s="2805"/>
      <c r="KRE78" s="2805"/>
      <c r="KRF78" s="2805"/>
      <c r="KRG78" s="2805"/>
      <c r="KRH78" s="2805"/>
      <c r="KRI78" s="2805"/>
      <c r="KRJ78" s="2805"/>
      <c r="KRK78" s="2805"/>
      <c r="KRL78" s="2805"/>
      <c r="KRM78" s="2805"/>
      <c r="KRN78" s="2805"/>
      <c r="KRO78" s="2805"/>
      <c r="KRP78" s="2805"/>
      <c r="KRQ78" s="2805"/>
      <c r="KRR78" s="2805"/>
      <c r="KRS78" s="2805"/>
      <c r="KRT78" s="2805"/>
      <c r="KRU78" s="2805"/>
      <c r="KRV78" s="2805"/>
      <c r="KRW78" s="2805"/>
      <c r="KRX78" s="2805"/>
      <c r="KRY78" s="2805"/>
      <c r="KRZ78" s="2805"/>
      <c r="KSA78" s="2805"/>
      <c r="KSB78" s="2805"/>
      <c r="KSC78" s="2805"/>
      <c r="KSD78" s="2805"/>
      <c r="KSE78" s="2805"/>
      <c r="KSF78" s="2805"/>
      <c r="KSG78" s="2805"/>
      <c r="KSH78" s="2805"/>
      <c r="KSI78" s="2805"/>
      <c r="KSJ78" s="2805"/>
      <c r="KSK78" s="2805"/>
      <c r="KSL78" s="2805"/>
      <c r="KSM78" s="2805"/>
      <c r="KSN78" s="2805"/>
      <c r="KSO78" s="2805"/>
      <c r="KSP78" s="2805"/>
      <c r="KSQ78" s="2805"/>
      <c r="KSR78" s="2805"/>
      <c r="KSS78" s="2805"/>
      <c r="KST78" s="2805"/>
      <c r="KSU78" s="2805"/>
      <c r="KSV78" s="2805"/>
      <c r="KSW78" s="2805"/>
      <c r="KSX78" s="2805"/>
      <c r="KSY78" s="2805"/>
      <c r="KSZ78" s="2805"/>
      <c r="KTA78" s="2805"/>
      <c r="KTB78" s="2805"/>
      <c r="KTC78" s="2805"/>
      <c r="KTD78" s="2805"/>
      <c r="KTE78" s="2805"/>
      <c r="KTF78" s="2805"/>
      <c r="KTG78" s="2805"/>
      <c r="KTH78" s="2805"/>
      <c r="KTI78" s="2805"/>
      <c r="KTJ78" s="2805"/>
      <c r="KTK78" s="2805"/>
      <c r="KTL78" s="2805"/>
      <c r="KTM78" s="2805"/>
      <c r="KTN78" s="2805"/>
      <c r="KTO78" s="2805"/>
      <c r="KTP78" s="2805"/>
      <c r="KTQ78" s="2805"/>
      <c r="KTR78" s="2805"/>
      <c r="KTS78" s="2805"/>
      <c r="KTT78" s="2805"/>
      <c r="KTU78" s="2805"/>
      <c r="KTV78" s="2805"/>
      <c r="KTW78" s="2805"/>
      <c r="KTX78" s="2805"/>
      <c r="KTY78" s="2805"/>
      <c r="KTZ78" s="2805"/>
      <c r="KUA78" s="2805"/>
      <c r="KUB78" s="2805"/>
      <c r="KUC78" s="2805"/>
      <c r="KUD78" s="2805"/>
      <c r="KUE78" s="2805"/>
      <c r="KUF78" s="2805"/>
      <c r="KUG78" s="2805"/>
      <c r="KUH78" s="2805"/>
      <c r="KUI78" s="2805"/>
      <c r="KUJ78" s="2805"/>
      <c r="KUK78" s="2805"/>
      <c r="KUL78" s="2805"/>
      <c r="KUM78" s="2805"/>
      <c r="KUN78" s="2805"/>
      <c r="KUO78" s="2805"/>
      <c r="KUP78" s="2805"/>
      <c r="KUQ78" s="2805"/>
      <c r="KUR78" s="2805"/>
      <c r="KUS78" s="2805"/>
      <c r="KUT78" s="2805"/>
      <c r="KUU78" s="2805"/>
      <c r="KUV78" s="2805"/>
      <c r="KUW78" s="2805"/>
      <c r="KUX78" s="2805"/>
      <c r="KUY78" s="2805"/>
      <c r="KUZ78" s="2805"/>
      <c r="KVA78" s="2805"/>
      <c r="KVB78" s="2805"/>
      <c r="KVC78" s="2805"/>
      <c r="KVD78" s="2805"/>
      <c r="KVE78" s="2805"/>
      <c r="KVF78" s="2805"/>
      <c r="KVG78" s="2805"/>
      <c r="KVH78" s="2805"/>
      <c r="KVI78" s="2805"/>
      <c r="KVJ78" s="2805"/>
      <c r="KVK78" s="2805"/>
      <c r="KVL78" s="2805"/>
      <c r="KVM78" s="2805"/>
      <c r="KVN78" s="2805"/>
      <c r="KVO78" s="2805"/>
      <c r="KVP78" s="2805"/>
      <c r="KVQ78" s="2805"/>
      <c r="KVR78" s="2805"/>
      <c r="KVS78" s="2805"/>
      <c r="KVT78" s="2805"/>
      <c r="KVU78" s="2805"/>
      <c r="KVV78" s="2805"/>
      <c r="KVW78" s="2805"/>
      <c r="KVX78" s="2805"/>
      <c r="KVY78" s="2805"/>
      <c r="KVZ78" s="2805"/>
      <c r="KWA78" s="2805"/>
      <c r="KWB78" s="2805"/>
      <c r="KWC78" s="2805"/>
      <c r="KWD78" s="2805"/>
      <c r="KWE78" s="2805"/>
      <c r="KWF78" s="2805"/>
      <c r="KWG78" s="2805"/>
      <c r="KWH78" s="2805"/>
      <c r="KWI78" s="2805"/>
      <c r="KWJ78" s="2805"/>
      <c r="KWK78" s="2805"/>
      <c r="KWL78" s="2805"/>
      <c r="KWM78" s="2805"/>
      <c r="KWN78" s="2805"/>
      <c r="KWO78" s="2805"/>
      <c r="KWP78" s="2805"/>
      <c r="KWQ78" s="2805"/>
      <c r="KWR78" s="2805"/>
      <c r="KWS78" s="2805"/>
      <c r="KWT78" s="2805"/>
      <c r="KWU78" s="2805"/>
      <c r="KWV78" s="2805"/>
      <c r="KWW78" s="2805"/>
      <c r="KWX78" s="2805"/>
      <c r="KWY78" s="2805"/>
      <c r="KWZ78" s="2805"/>
      <c r="KXA78" s="2805"/>
      <c r="KXB78" s="2805"/>
      <c r="KXC78" s="2805"/>
      <c r="KXD78" s="2805"/>
      <c r="KXE78" s="2805"/>
      <c r="KXF78" s="2805"/>
      <c r="KXG78" s="2805"/>
      <c r="KXH78" s="2805"/>
      <c r="KXI78" s="2805"/>
      <c r="KXJ78" s="2805"/>
      <c r="KXK78" s="2805"/>
      <c r="KXL78" s="2805"/>
      <c r="KXM78" s="2805"/>
      <c r="KXN78" s="2805"/>
      <c r="KXO78" s="2805"/>
      <c r="KXP78" s="2805"/>
      <c r="KXQ78" s="2805"/>
      <c r="KXR78" s="2805"/>
      <c r="KXS78" s="2805"/>
      <c r="KXT78" s="2805"/>
      <c r="KXU78" s="2805"/>
      <c r="KXV78" s="2805"/>
      <c r="KXW78" s="2805"/>
      <c r="KXX78" s="2805"/>
      <c r="KXY78" s="2805"/>
      <c r="KXZ78" s="2805"/>
      <c r="KYA78" s="2805"/>
      <c r="KYB78" s="2805"/>
      <c r="KYC78" s="2805"/>
      <c r="KYD78" s="2805"/>
      <c r="KYE78" s="2805"/>
      <c r="KYF78" s="2805"/>
      <c r="KYG78" s="2805"/>
      <c r="KYH78" s="2805"/>
      <c r="KYI78" s="2805"/>
      <c r="KYJ78" s="2805"/>
      <c r="KYK78" s="2805"/>
      <c r="KYL78" s="2805"/>
      <c r="KYM78" s="2805"/>
      <c r="KYN78" s="2805"/>
      <c r="KYO78" s="2805"/>
      <c r="KYP78" s="2805"/>
      <c r="KYQ78" s="2805"/>
      <c r="KYR78" s="2805"/>
      <c r="KYS78" s="2805"/>
      <c r="KYT78" s="2805"/>
      <c r="KYU78" s="2805"/>
      <c r="KYV78" s="2805"/>
      <c r="KYW78" s="2805"/>
      <c r="KYX78" s="2805"/>
      <c r="KYY78" s="2805"/>
      <c r="KYZ78" s="2805"/>
      <c r="KZA78" s="2805"/>
      <c r="KZB78" s="2805"/>
      <c r="KZC78" s="2805"/>
      <c r="KZD78" s="2805"/>
      <c r="KZE78" s="2805"/>
      <c r="KZF78" s="2805"/>
      <c r="KZG78" s="2805"/>
      <c r="KZH78" s="2805"/>
      <c r="KZI78" s="2805"/>
      <c r="KZJ78" s="2805"/>
      <c r="KZK78" s="2805"/>
      <c r="KZL78" s="2805"/>
      <c r="KZM78" s="2805"/>
      <c r="KZN78" s="2805"/>
      <c r="KZO78" s="2805"/>
      <c r="KZP78" s="2805"/>
      <c r="KZQ78" s="2805"/>
      <c r="KZR78" s="2805"/>
      <c r="KZS78" s="2805"/>
      <c r="KZT78" s="2805"/>
      <c r="KZU78" s="2805"/>
      <c r="KZV78" s="2805"/>
      <c r="KZW78" s="2805"/>
      <c r="KZX78" s="2805"/>
      <c r="KZY78" s="2805"/>
      <c r="KZZ78" s="2805"/>
      <c r="LAA78" s="2805"/>
      <c r="LAB78" s="2805"/>
      <c r="LAC78" s="2805"/>
      <c r="LAD78" s="2805"/>
      <c r="LAE78" s="2805"/>
      <c r="LAF78" s="2805"/>
      <c r="LAG78" s="2805"/>
      <c r="LAH78" s="2805"/>
      <c r="LAI78" s="2805"/>
      <c r="LAJ78" s="2805"/>
      <c r="LAK78" s="2805"/>
      <c r="LAL78" s="2805"/>
      <c r="LAM78" s="2805"/>
      <c r="LAN78" s="2805"/>
      <c r="LAO78" s="2805"/>
      <c r="LAP78" s="2805"/>
      <c r="LAQ78" s="2805"/>
      <c r="LAR78" s="2805"/>
      <c r="LAS78" s="2805"/>
      <c r="LAT78" s="2805"/>
      <c r="LAU78" s="2805"/>
      <c r="LAV78" s="2805"/>
      <c r="LAW78" s="2805"/>
      <c r="LAX78" s="2805"/>
      <c r="LAY78" s="2805"/>
      <c r="LAZ78" s="2805"/>
      <c r="LBA78" s="2805"/>
      <c r="LBB78" s="2805"/>
      <c r="LBC78" s="2805"/>
      <c r="LBD78" s="2805"/>
      <c r="LBE78" s="2805"/>
      <c r="LBF78" s="2805"/>
      <c r="LBG78" s="2805"/>
      <c r="LBH78" s="2805"/>
      <c r="LBI78" s="2805"/>
      <c r="LBJ78" s="2805"/>
      <c r="LBK78" s="2805"/>
      <c r="LBL78" s="2805"/>
      <c r="LBM78" s="2805"/>
      <c r="LBN78" s="2805"/>
      <c r="LBO78" s="2805"/>
      <c r="LBP78" s="2805"/>
      <c r="LBQ78" s="2805"/>
      <c r="LBR78" s="2805"/>
      <c r="LBS78" s="2805"/>
      <c r="LBT78" s="2805"/>
      <c r="LBU78" s="2805"/>
      <c r="LBV78" s="2805"/>
      <c r="LBW78" s="2805"/>
      <c r="LBX78" s="2805"/>
      <c r="LBY78" s="2805"/>
      <c r="LBZ78" s="2805"/>
      <c r="LCA78" s="2805"/>
      <c r="LCB78" s="2805"/>
      <c r="LCC78" s="2805"/>
      <c r="LCD78" s="2805"/>
      <c r="LCE78" s="2805"/>
      <c r="LCF78" s="2805"/>
      <c r="LCG78" s="2805"/>
      <c r="LCH78" s="2805"/>
      <c r="LCI78" s="2805"/>
      <c r="LCJ78" s="2805"/>
      <c r="LCK78" s="2805"/>
      <c r="LCL78" s="2805"/>
      <c r="LCM78" s="2805"/>
      <c r="LCN78" s="2805"/>
      <c r="LCO78" s="2805"/>
      <c r="LCP78" s="2805"/>
      <c r="LCQ78" s="2805"/>
      <c r="LCR78" s="2805"/>
      <c r="LCS78" s="2805"/>
      <c r="LCT78" s="2805"/>
      <c r="LCU78" s="2805"/>
      <c r="LCV78" s="2805"/>
      <c r="LCW78" s="2805"/>
      <c r="LCX78" s="2805"/>
      <c r="LCY78" s="2805"/>
      <c r="LCZ78" s="2805"/>
      <c r="LDA78" s="2805"/>
      <c r="LDB78" s="2805"/>
      <c r="LDC78" s="2805"/>
      <c r="LDD78" s="2805"/>
      <c r="LDE78" s="2805"/>
      <c r="LDF78" s="2805"/>
      <c r="LDG78" s="2805"/>
      <c r="LDH78" s="2805"/>
      <c r="LDI78" s="2805"/>
      <c r="LDJ78" s="2805"/>
      <c r="LDK78" s="2805"/>
      <c r="LDL78" s="2805"/>
      <c r="LDM78" s="2805"/>
      <c r="LDN78" s="2805"/>
      <c r="LDO78" s="2805"/>
      <c r="LDP78" s="2805"/>
      <c r="LDQ78" s="2805"/>
      <c r="LDR78" s="2805"/>
      <c r="LDS78" s="2805"/>
      <c r="LDT78" s="2805"/>
      <c r="LDU78" s="2805"/>
      <c r="LDV78" s="2805"/>
      <c r="LDW78" s="2805"/>
      <c r="LDX78" s="2805"/>
      <c r="LDY78" s="2805"/>
      <c r="LDZ78" s="2805"/>
      <c r="LEA78" s="2805"/>
      <c r="LEB78" s="2805"/>
      <c r="LEC78" s="2805"/>
      <c r="LED78" s="2805"/>
      <c r="LEE78" s="2805"/>
      <c r="LEF78" s="2805"/>
      <c r="LEG78" s="2805"/>
      <c r="LEH78" s="2805"/>
      <c r="LEI78" s="2805"/>
      <c r="LEJ78" s="2805"/>
      <c r="LEK78" s="2805"/>
      <c r="LEL78" s="2805"/>
      <c r="LEM78" s="2805"/>
      <c r="LEN78" s="2805"/>
      <c r="LEO78" s="2805"/>
      <c r="LEP78" s="2805"/>
      <c r="LEQ78" s="2805"/>
      <c r="LER78" s="2805"/>
      <c r="LES78" s="2805"/>
      <c r="LET78" s="2805"/>
      <c r="LEU78" s="2805"/>
      <c r="LEV78" s="2805"/>
      <c r="LEW78" s="2805"/>
      <c r="LEX78" s="2805"/>
      <c r="LEY78" s="2805"/>
      <c r="LEZ78" s="2805"/>
      <c r="LFA78" s="2805"/>
      <c r="LFB78" s="2805"/>
      <c r="LFC78" s="2805"/>
      <c r="LFD78" s="2805"/>
      <c r="LFE78" s="2805"/>
      <c r="LFF78" s="2805"/>
      <c r="LFG78" s="2805"/>
      <c r="LFH78" s="2805"/>
      <c r="LFI78" s="2805"/>
      <c r="LFJ78" s="2805"/>
      <c r="LFK78" s="2805"/>
      <c r="LFL78" s="2805"/>
      <c r="LFM78" s="2805"/>
      <c r="LFN78" s="2805"/>
      <c r="LFO78" s="2805"/>
      <c r="LFP78" s="2805"/>
      <c r="LFQ78" s="2805"/>
      <c r="LFR78" s="2805"/>
      <c r="LFS78" s="2805"/>
      <c r="LFT78" s="2805"/>
      <c r="LFU78" s="2805"/>
      <c r="LFV78" s="2805"/>
      <c r="LFW78" s="2805"/>
      <c r="LFX78" s="2805"/>
      <c r="LFY78" s="2805"/>
      <c r="LFZ78" s="2805"/>
      <c r="LGA78" s="2805"/>
      <c r="LGB78" s="2805"/>
      <c r="LGC78" s="2805"/>
      <c r="LGD78" s="2805"/>
      <c r="LGE78" s="2805"/>
      <c r="LGF78" s="2805"/>
      <c r="LGG78" s="2805"/>
      <c r="LGH78" s="2805"/>
      <c r="LGI78" s="2805"/>
      <c r="LGJ78" s="2805"/>
      <c r="LGK78" s="2805"/>
      <c r="LGL78" s="2805"/>
      <c r="LGM78" s="2805"/>
      <c r="LGN78" s="2805"/>
      <c r="LGO78" s="2805"/>
      <c r="LGP78" s="2805"/>
      <c r="LGQ78" s="2805"/>
      <c r="LGR78" s="2805"/>
      <c r="LGS78" s="2805"/>
      <c r="LGT78" s="2805"/>
      <c r="LGU78" s="2805"/>
      <c r="LGV78" s="2805"/>
      <c r="LGW78" s="2805"/>
      <c r="LGX78" s="2805"/>
      <c r="LGY78" s="2805"/>
      <c r="LGZ78" s="2805"/>
      <c r="LHA78" s="2805"/>
      <c r="LHB78" s="2805"/>
      <c r="LHC78" s="2805"/>
      <c r="LHD78" s="2805"/>
      <c r="LHE78" s="2805"/>
      <c r="LHF78" s="2805"/>
      <c r="LHG78" s="2805"/>
      <c r="LHH78" s="2805"/>
      <c r="LHI78" s="2805"/>
      <c r="LHJ78" s="2805"/>
      <c r="LHK78" s="2805"/>
      <c r="LHL78" s="2805"/>
      <c r="LHM78" s="2805"/>
      <c r="LHN78" s="2805"/>
      <c r="LHO78" s="2805"/>
      <c r="LHP78" s="2805"/>
      <c r="LHQ78" s="2805"/>
      <c r="LHR78" s="2805"/>
      <c r="LHS78" s="2805"/>
      <c r="LHT78" s="2805"/>
      <c r="LHU78" s="2805"/>
      <c r="LHV78" s="2805"/>
      <c r="LHW78" s="2805"/>
      <c r="LHX78" s="2805"/>
      <c r="LHY78" s="2805"/>
      <c r="LHZ78" s="2805"/>
      <c r="LIA78" s="2805"/>
      <c r="LIB78" s="2805"/>
      <c r="LIC78" s="2805"/>
      <c r="LID78" s="2805"/>
      <c r="LIE78" s="2805"/>
      <c r="LIF78" s="2805"/>
      <c r="LIG78" s="2805"/>
      <c r="LIH78" s="2805"/>
      <c r="LII78" s="2805"/>
      <c r="LIJ78" s="2805"/>
      <c r="LIK78" s="2805"/>
      <c r="LIL78" s="2805"/>
      <c r="LIM78" s="2805"/>
      <c r="LIN78" s="2805"/>
      <c r="LIO78" s="2805"/>
      <c r="LIP78" s="2805"/>
      <c r="LIQ78" s="2805"/>
      <c r="LIR78" s="2805"/>
      <c r="LIS78" s="2805"/>
      <c r="LIT78" s="2805"/>
      <c r="LIU78" s="2805"/>
      <c r="LIV78" s="2805"/>
      <c r="LIW78" s="2805"/>
      <c r="LIX78" s="2805"/>
      <c r="LIY78" s="2805"/>
      <c r="LIZ78" s="2805"/>
      <c r="LJA78" s="2805"/>
      <c r="LJB78" s="2805"/>
      <c r="LJC78" s="2805"/>
      <c r="LJD78" s="2805"/>
      <c r="LJE78" s="2805"/>
      <c r="LJF78" s="2805"/>
      <c r="LJG78" s="2805"/>
      <c r="LJH78" s="2805"/>
      <c r="LJI78" s="2805"/>
      <c r="LJJ78" s="2805"/>
      <c r="LJK78" s="2805"/>
      <c r="LJL78" s="2805"/>
      <c r="LJM78" s="2805"/>
      <c r="LJN78" s="2805"/>
      <c r="LJO78" s="2805"/>
      <c r="LJP78" s="2805"/>
      <c r="LJQ78" s="2805"/>
      <c r="LJR78" s="2805"/>
      <c r="LJS78" s="2805"/>
      <c r="LJT78" s="2805"/>
      <c r="LJU78" s="2805"/>
      <c r="LJV78" s="2805"/>
      <c r="LJW78" s="2805"/>
      <c r="LJX78" s="2805"/>
      <c r="LJY78" s="2805"/>
      <c r="LJZ78" s="2805"/>
      <c r="LKA78" s="2805"/>
      <c r="LKB78" s="2805"/>
      <c r="LKC78" s="2805"/>
      <c r="LKD78" s="2805"/>
      <c r="LKE78" s="2805"/>
      <c r="LKF78" s="2805"/>
      <c r="LKG78" s="2805"/>
      <c r="LKH78" s="2805"/>
      <c r="LKI78" s="2805"/>
      <c r="LKJ78" s="2805"/>
      <c r="LKK78" s="2805"/>
      <c r="LKL78" s="2805"/>
      <c r="LKM78" s="2805"/>
      <c r="LKN78" s="2805"/>
      <c r="LKO78" s="2805"/>
      <c r="LKP78" s="2805"/>
      <c r="LKQ78" s="2805"/>
      <c r="LKR78" s="2805"/>
      <c r="LKS78" s="2805"/>
      <c r="LKT78" s="2805"/>
      <c r="LKU78" s="2805"/>
      <c r="LKV78" s="2805"/>
      <c r="LKW78" s="2805"/>
      <c r="LKX78" s="2805"/>
      <c r="LKY78" s="2805"/>
      <c r="LKZ78" s="2805"/>
      <c r="LLA78" s="2805"/>
      <c r="LLB78" s="2805"/>
      <c r="LLC78" s="2805"/>
      <c r="LLD78" s="2805"/>
      <c r="LLE78" s="2805"/>
      <c r="LLF78" s="2805"/>
      <c r="LLG78" s="2805"/>
      <c r="LLH78" s="2805"/>
      <c r="LLI78" s="2805"/>
      <c r="LLJ78" s="2805"/>
      <c r="LLK78" s="2805"/>
      <c r="LLL78" s="2805"/>
      <c r="LLM78" s="2805"/>
      <c r="LLN78" s="2805"/>
      <c r="LLO78" s="2805"/>
      <c r="LLP78" s="2805"/>
      <c r="LLQ78" s="2805"/>
      <c r="LLR78" s="2805"/>
      <c r="LLS78" s="2805"/>
      <c r="LLT78" s="2805"/>
      <c r="LLU78" s="2805"/>
      <c r="LLV78" s="2805"/>
      <c r="LLW78" s="2805"/>
      <c r="LLX78" s="2805"/>
      <c r="LLY78" s="2805"/>
      <c r="LLZ78" s="2805"/>
      <c r="LMA78" s="2805"/>
      <c r="LMB78" s="2805"/>
      <c r="LMC78" s="2805"/>
      <c r="LMD78" s="2805"/>
      <c r="LME78" s="2805"/>
      <c r="LMF78" s="2805"/>
      <c r="LMG78" s="2805"/>
      <c r="LMH78" s="2805"/>
      <c r="LMI78" s="2805"/>
      <c r="LMJ78" s="2805"/>
      <c r="LMK78" s="2805"/>
      <c r="LML78" s="2805"/>
      <c r="LMM78" s="2805"/>
      <c r="LMN78" s="2805"/>
      <c r="LMO78" s="2805"/>
      <c r="LMP78" s="2805"/>
      <c r="LMQ78" s="2805"/>
      <c r="LMR78" s="2805"/>
      <c r="LMS78" s="2805"/>
      <c r="LMT78" s="2805"/>
      <c r="LMU78" s="2805"/>
      <c r="LMV78" s="2805"/>
      <c r="LMW78" s="2805"/>
      <c r="LMX78" s="2805"/>
      <c r="LMY78" s="2805"/>
      <c r="LMZ78" s="2805"/>
      <c r="LNA78" s="2805"/>
      <c r="LNB78" s="2805"/>
      <c r="LNC78" s="2805"/>
      <c r="LND78" s="2805"/>
      <c r="LNE78" s="2805"/>
      <c r="LNF78" s="2805"/>
      <c r="LNG78" s="2805"/>
      <c r="LNH78" s="2805"/>
      <c r="LNI78" s="2805"/>
      <c r="LNJ78" s="2805"/>
      <c r="LNK78" s="2805"/>
      <c r="LNL78" s="2805"/>
      <c r="LNM78" s="2805"/>
      <c r="LNN78" s="2805"/>
      <c r="LNO78" s="2805"/>
      <c r="LNP78" s="2805"/>
      <c r="LNQ78" s="2805"/>
      <c r="LNR78" s="2805"/>
      <c r="LNS78" s="2805"/>
      <c r="LNT78" s="2805"/>
      <c r="LNU78" s="2805"/>
      <c r="LNV78" s="2805"/>
      <c r="LNW78" s="2805"/>
      <c r="LNX78" s="2805"/>
      <c r="LNY78" s="2805"/>
      <c r="LNZ78" s="2805"/>
      <c r="LOA78" s="2805"/>
      <c r="LOB78" s="2805"/>
      <c r="LOC78" s="2805"/>
      <c r="LOD78" s="2805"/>
      <c r="LOE78" s="2805"/>
      <c r="LOF78" s="2805"/>
      <c r="LOG78" s="2805"/>
      <c r="LOH78" s="2805"/>
      <c r="LOI78" s="2805"/>
      <c r="LOJ78" s="2805"/>
      <c r="LOK78" s="2805"/>
      <c r="LOL78" s="2805"/>
      <c r="LOM78" s="2805"/>
      <c r="LON78" s="2805"/>
      <c r="LOO78" s="2805"/>
      <c r="LOP78" s="2805"/>
      <c r="LOQ78" s="2805"/>
      <c r="LOR78" s="2805"/>
      <c r="LOS78" s="2805"/>
      <c r="LOT78" s="2805"/>
      <c r="LOU78" s="2805"/>
      <c r="LOV78" s="2805"/>
      <c r="LOW78" s="2805"/>
      <c r="LOX78" s="2805"/>
      <c r="LOY78" s="2805"/>
      <c r="LOZ78" s="2805"/>
      <c r="LPA78" s="2805"/>
      <c r="LPB78" s="2805"/>
      <c r="LPC78" s="2805"/>
      <c r="LPD78" s="2805"/>
      <c r="LPE78" s="2805"/>
      <c r="LPF78" s="2805"/>
      <c r="LPG78" s="2805"/>
      <c r="LPH78" s="2805"/>
      <c r="LPI78" s="2805"/>
      <c r="LPJ78" s="2805"/>
      <c r="LPK78" s="2805"/>
      <c r="LPL78" s="2805"/>
      <c r="LPM78" s="2805"/>
      <c r="LPN78" s="2805"/>
      <c r="LPO78" s="2805"/>
      <c r="LPP78" s="2805"/>
      <c r="LPQ78" s="2805"/>
      <c r="LPR78" s="2805"/>
      <c r="LPS78" s="2805"/>
      <c r="LPT78" s="2805"/>
      <c r="LPU78" s="2805"/>
      <c r="LPV78" s="2805"/>
      <c r="LPW78" s="2805"/>
      <c r="LPX78" s="2805"/>
      <c r="LPY78" s="2805"/>
      <c r="LPZ78" s="2805"/>
      <c r="LQA78" s="2805"/>
      <c r="LQB78" s="2805"/>
      <c r="LQC78" s="2805"/>
      <c r="LQD78" s="2805"/>
      <c r="LQE78" s="2805"/>
      <c r="LQF78" s="2805"/>
      <c r="LQG78" s="2805"/>
      <c r="LQH78" s="2805"/>
      <c r="LQI78" s="2805"/>
      <c r="LQJ78" s="2805"/>
      <c r="LQK78" s="2805"/>
      <c r="LQL78" s="2805"/>
      <c r="LQM78" s="2805"/>
      <c r="LQN78" s="2805"/>
      <c r="LQO78" s="2805"/>
      <c r="LQP78" s="2805"/>
      <c r="LQQ78" s="2805"/>
      <c r="LQR78" s="2805"/>
      <c r="LQS78" s="2805"/>
      <c r="LQT78" s="2805"/>
      <c r="LQU78" s="2805"/>
      <c r="LQV78" s="2805"/>
      <c r="LQW78" s="2805"/>
      <c r="LQX78" s="2805"/>
      <c r="LQY78" s="2805"/>
      <c r="LQZ78" s="2805"/>
      <c r="LRA78" s="2805"/>
      <c r="LRB78" s="2805"/>
      <c r="LRC78" s="2805"/>
      <c r="LRD78" s="2805"/>
      <c r="LRE78" s="2805"/>
      <c r="LRF78" s="2805"/>
      <c r="LRG78" s="2805"/>
      <c r="LRH78" s="2805"/>
      <c r="LRI78" s="2805"/>
      <c r="LRJ78" s="2805"/>
      <c r="LRK78" s="2805"/>
      <c r="LRL78" s="2805"/>
      <c r="LRM78" s="2805"/>
      <c r="LRN78" s="2805"/>
      <c r="LRO78" s="2805"/>
      <c r="LRP78" s="2805"/>
      <c r="LRQ78" s="2805"/>
      <c r="LRR78" s="2805"/>
      <c r="LRS78" s="2805"/>
      <c r="LRT78" s="2805"/>
      <c r="LRU78" s="2805"/>
      <c r="LRV78" s="2805"/>
      <c r="LRW78" s="2805"/>
      <c r="LRX78" s="2805"/>
      <c r="LRY78" s="2805"/>
      <c r="LRZ78" s="2805"/>
      <c r="LSA78" s="2805"/>
      <c r="LSB78" s="2805"/>
      <c r="LSC78" s="2805"/>
      <c r="LSD78" s="2805"/>
      <c r="LSE78" s="2805"/>
      <c r="LSF78" s="2805"/>
      <c r="LSG78" s="2805"/>
      <c r="LSH78" s="2805"/>
      <c r="LSI78" s="2805"/>
      <c r="LSJ78" s="2805"/>
      <c r="LSK78" s="2805"/>
      <c r="LSL78" s="2805"/>
      <c r="LSM78" s="2805"/>
      <c r="LSN78" s="2805"/>
      <c r="LSO78" s="2805"/>
      <c r="LSP78" s="2805"/>
      <c r="LSQ78" s="2805"/>
      <c r="LSR78" s="2805"/>
      <c r="LSS78" s="2805"/>
      <c r="LST78" s="2805"/>
      <c r="LSU78" s="2805"/>
      <c r="LSV78" s="2805"/>
      <c r="LSW78" s="2805"/>
      <c r="LSX78" s="2805"/>
      <c r="LSY78" s="2805"/>
      <c r="LSZ78" s="2805"/>
      <c r="LTA78" s="2805"/>
      <c r="LTB78" s="2805"/>
      <c r="LTC78" s="2805"/>
      <c r="LTD78" s="2805"/>
      <c r="LTE78" s="2805"/>
      <c r="LTF78" s="2805"/>
      <c r="LTG78" s="2805"/>
      <c r="LTH78" s="2805"/>
      <c r="LTI78" s="2805"/>
      <c r="LTJ78" s="2805"/>
      <c r="LTK78" s="2805"/>
      <c r="LTL78" s="2805"/>
      <c r="LTM78" s="2805"/>
      <c r="LTN78" s="2805"/>
      <c r="LTO78" s="2805"/>
      <c r="LTP78" s="2805"/>
      <c r="LTQ78" s="2805"/>
      <c r="LTR78" s="2805"/>
      <c r="LTS78" s="2805"/>
      <c r="LTT78" s="2805"/>
      <c r="LTU78" s="2805"/>
      <c r="LTV78" s="2805"/>
      <c r="LTW78" s="2805"/>
      <c r="LTX78" s="2805"/>
      <c r="LTY78" s="2805"/>
      <c r="LTZ78" s="2805"/>
      <c r="LUA78" s="2805"/>
      <c r="LUB78" s="2805"/>
      <c r="LUC78" s="2805"/>
      <c r="LUD78" s="2805"/>
      <c r="LUE78" s="2805"/>
      <c r="LUF78" s="2805"/>
      <c r="LUG78" s="2805"/>
      <c r="LUH78" s="2805"/>
      <c r="LUI78" s="2805"/>
      <c r="LUJ78" s="2805"/>
      <c r="LUK78" s="2805"/>
      <c r="LUL78" s="2805"/>
      <c r="LUM78" s="2805"/>
      <c r="LUN78" s="2805"/>
      <c r="LUO78" s="2805"/>
      <c r="LUP78" s="2805"/>
      <c r="LUQ78" s="2805"/>
      <c r="LUR78" s="2805"/>
      <c r="LUS78" s="2805"/>
      <c r="LUT78" s="2805"/>
      <c r="LUU78" s="2805"/>
      <c r="LUV78" s="2805"/>
      <c r="LUW78" s="2805"/>
      <c r="LUX78" s="2805"/>
      <c r="LUY78" s="2805"/>
      <c r="LUZ78" s="2805"/>
      <c r="LVA78" s="2805"/>
      <c r="LVB78" s="2805"/>
      <c r="LVC78" s="2805"/>
      <c r="LVD78" s="2805"/>
      <c r="LVE78" s="2805"/>
      <c r="LVF78" s="2805"/>
      <c r="LVG78" s="2805"/>
      <c r="LVH78" s="2805"/>
      <c r="LVI78" s="2805"/>
      <c r="LVJ78" s="2805"/>
      <c r="LVK78" s="2805"/>
      <c r="LVL78" s="2805"/>
      <c r="LVM78" s="2805"/>
      <c r="LVN78" s="2805"/>
      <c r="LVO78" s="2805"/>
      <c r="LVP78" s="2805"/>
      <c r="LVQ78" s="2805"/>
      <c r="LVR78" s="2805"/>
      <c r="LVS78" s="2805"/>
      <c r="LVT78" s="2805"/>
      <c r="LVU78" s="2805"/>
      <c r="LVV78" s="2805"/>
      <c r="LVW78" s="2805"/>
      <c r="LVX78" s="2805"/>
      <c r="LVY78" s="2805"/>
      <c r="LVZ78" s="2805"/>
      <c r="LWA78" s="2805"/>
      <c r="LWB78" s="2805"/>
      <c r="LWC78" s="2805"/>
      <c r="LWD78" s="2805"/>
      <c r="LWE78" s="2805"/>
      <c r="LWF78" s="2805"/>
      <c r="LWG78" s="2805"/>
      <c r="LWH78" s="2805"/>
      <c r="LWI78" s="2805"/>
      <c r="LWJ78" s="2805"/>
      <c r="LWK78" s="2805"/>
      <c r="LWL78" s="2805"/>
      <c r="LWM78" s="2805"/>
      <c r="LWN78" s="2805"/>
      <c r="LWO78" s="2805"/>
      <c r="LWP78" s="2805"/>
      <c r="LWQ78" s="2805"/>
      <c r="LWR78" s="2805"/>
      <c r="LWS78" s="2805"/>
      <c r="LWT78" s="2805"/>
      <c r="LWU78" s="2805"/>
      <c r="LWV78" s="2805"/>
      <c r="LWW78" s="2805"/>
      <c r="LWX78" s="2805"/>
      <c r="LWY78" s="2805"/>
      <c r="LWZ78" s="2805"/>
      <c r="LXA78" s="2805"/>
      <c r="LXB78" s="2805"/>
      <c r="LXC78" s="2805"/>
      <c r="LXD78" s="2805"/>
      <c r="LXE78" s="2805"/>
      <c r="LXF78" s="2805"/>
      <c r="LXG78" s="2805"/>
      <c r="LXH78" s="2805"/>
      <c r="LXI78" s="2805"/>
      <c r="LXJ78" s="2805"/>
      <c r="LXK78" s="2805"/>
      <c r="LXL78" s="2805"/>
      <c r="LXM78" s="2805"/>
      <c r="LXN78" s="2805"/>
      <c r="LXO78" s="2805"/>
      <c r="LXP78" s="2805"/>
      <c r="LXQ78" s="2805"/>
      <c r="LXR78" s="2805"/>
      <c r="LXS78" s="2805"/>
      <c r="LXT78" s="2805"/>
      <c r="LXU78" s="2805"/>
      <c r="LXV78" s="2805"/>
      <c r="LXW78" s="2805"/>
      <c r="LXX78" s="2805"/>
      <c r="LXY78" s="2805"/>
      <c r="LXZ78" s="2805"/>
      <c r="LYA78" s="2805"/>
      <c r="LYB78" s="2805"/>
      <c r="LYC78" s="2805"/>
      <c r="LYD78" s="2805"/>
      <c r="LYE78" s="2805"/>
      <c r="LYF78" s="2805"/>
      <c r="LYG78" s="2805"/>
      <c r="LYH78" s="2805"/>
      <c r="LYI78" s="2805"/>
      <c r="LYJ78" s="2805"/>
      <c r="LYK78" s="2805"/>
      <c r="LYL78" s="2805"/>
      <c r="LYM78" s="2805"/>
      <c r="LYN78" s="2805"/>
      <c r="LYO78" s="2805"/>
      <c r="LYP78" s="2805"/>
      <c r="LYQ78" s="2805"/>
      <c r="LYR78" s="2805"/>
      <c r="LYS78" s="2805"/>
      <c r="LYT78" s="2805"/>
      <c r="LYU78" s="2805"/>
      <c r="LYV78" s="2805"/>
      <c r="LYW78" s="2805"/>
      <c r="LYX78" s="2805"/>
      <c r="LYY78" s="2805"/>
      <c r="LYZ78" s="2805"/>
      <c r="LZA78" s="2805"/>
      <c r="LZB78" s="2805"/>
      <c r="LZC78" s="2805"/>
      <c r="LZD78" s="2805"/>
      <c r="LZE78" s="2805"/>
      <c r="LZF78" s="2805"/>
      <c r="LZG78" s="2805"/>
      <c r="LZH78" s="2805"/>
      <c r="LZI78" s="2805"/>
      <c r="LZJ78" s="2805"/>
      <c r="LZK78" s="2805"/>
      <c r="LZL78" s="2805"/>
      <c r="LZM78" s="2805"/>
      <c r="LZN78" s="2805"/>
      <c r="LZO78" s="2805"/>
      <c r="LZP78" s="2805"/>
      <c r="LZQ78" s="2805"/>
      <c r="LZR78" s="2805"/>
      <c r="LZS78" s="2805"/>
      <c r="LZT78" s="2805"/>
      <c r="LZU78" s="2805"/>
      <c r="LZV78" s="2805"/>
      <c r="LZW78" s="2805"/>
      <c r="LZX78" s="2805"/>
      <c r="LZY78" s="2805"/>
      <c r="LZZ78" s="2805"/>
      <c r="MAA78" s="2805"/>
      <c r="MAB78" s="2805"/>
      <c r="MAC78" s="2805"/>
      <c r="MAD78" s="2805"/>
      <c r="MAE78" s="2805"/>
      <c r="MAF78" s="2805"/>
      <c r="MAG78" s="2805"/>
      <c r="MAH78" s="2805"/>
      <c r="MAI78" s="2805"/>
      <c r="MAJ78" s="2805"/>
      <c r="MAK78" s="2805"/>
      <c r="MAL78" s="2805"/>
      <c r="MAM78" s="2805"/>
      <c r="MAN78" s="2805"/>
      <c r="MAO78" s="2805"/>
      <c r="MAP78" s="2805"/>
      <c r="MAQ78" s="2805"/>
      <c r="MAR78" s="2805"/>
      <c r="MAS78" s="2805"/>
      <c r="MAT78" s="2805"/>
      <c r="MAU78" s="2805"/>
      <c r="MAV78" s="2805"/>
      <c r="MAW78" s="2805"/>
      <c r="MAX78" s="2805"/>
      <c r="MAY78" s="2805"/>
      <c r="MAZ78" s="2805"/>
      <c r="MBA78" s="2805"/>
      <c r="MBB78" s="2805"/>
      <c r="MBC78" s="2805"/>
      <c r="MBD78" s="2805"/>
      <c r="MBE78" s="2805"/>
      <c r="MBF78" s="2805"/>
      <c r="MBG78" s="2805"/>
      <c r="MBH78" s="2805"/>
      <c r="MBI78" s="2805"/>
      <c r="MBJ78" s="2805"/>
      <c r="MBK78" s="2805"/>
      <c r="MBL78" s="2805"/>
      <c r="MBM78" s="2805"/>
      <c r="MBN78" s="2805"/>
      <c r="MBO78" s="2805"/>
      <c r="MBP78" s="2805"/>
      <c r="MBQ78" s="2805"/>
      <c r="MBR78" s="2805"/>
      <c r="MBS78" s="2805"/>
      <c r="MBT78" s="2805"/>
      <c r="MBU78" s="2805"/>
      <c r="MBV78" s="2805"/>
      <c r="MBW78" s="2805"/>
      <c r="MBX78" s="2805"/>
      <c r="MBY78" s="2805"/>
      <c r="MBZ78" s="2805"/>
      <c r="MCA78" s="2805"/>
      <c r="MCB78" s="2805"/>
      <c r="MCC78" s="2805"/>
      <c r="MCD78" s="2805"/>
      <c r="MCE78" s="2805"/>
      <c r="MCF78" s="2805"/>
      <c r="MCG78" s="2805"/>
      <c r="MCH78" s="2805"/>
      <c r="MCI78" s="2805"/>
      <c r="MCJ78" s="2805"/>
      <c r="MCK78" s="2805"/>
      <c r="MCL78" s="2805"/>
      <c r="MCM78" s="2805"/>
      <c r="MCN78" s="2805"/>
      <c r="MCO78" s="2805"/>
      <c r="MCP78" s="2805"/>
      <c r="MCQ78" s="2805"/>
      <c r="MCR78" s="2805"/>
      <c r="MCS78" s="2805"/>
      <c r="MCT78" s="2805"/>
      <c r="MCU78" s="2805"/>
      <c r="MCV78" s="2805"/>
      <c r="MCW78" s="2805"/>
      <c r="MCX78" s="2805"/>
      <c r="MCY78" s="2805"/>
      <c r="MCZ78" s="2805"/>
      <c r="MDA78" s="2805"/>
      <c r="MDB78" s="2805"/>
      <c r="MDC78" s="2805"/>
      <c r="MDD78" s="2805"/>
      <c r="MDE78" s="2805"/>
      <c r="MDF78" s="2805"/>
      <c r="MDG78" s="2805"/>
      <c r="MDH78" s="2805"/>
      <c r="MDI78" s="2805"/>
      <c r="MDJ78" s="2805"/>
      <c r="MDK78" s="2805"/>
      <c r="MDL78" s="2805"/>
      <c r="MDM78" s="2805"/>
      <c r="MDN78" s="2805"/>
      <c r="MDO78" s="2805"/>
      <c r="MDP78" s="2805"/>
      <c r="MDQ78" s="2805"/>
      <c r="MDR78" s="2805"/>
      <c r="MDS78" s="2805"/>
      <c r="MDT78" s="2805"/>
      <c r="MDU78" s="2805"/>
      <c r="MDV78" s="2805"/>
      <c r="MDW78" s="2805"/>
      <c r="MDX78" s="2805"/>
      <c r="MDY78" s="2805"/>
      <c r="MDZ78" s="2805"/>
      <c r="MEA78" s="2805"/>
      <c r="MEB78" s="2805"/>
      <c r="MEC78" s="2805"/>
      <c r="MED78" s="2805"/>
      <c r="MEE78" s="2805"/>
      <c r="MEF78" s="2805"/>
      <c r="MEG78" s="2805"/>
      <c r="MEH78" s="2805"/>
      <c r="MEI78" s="2805"/>
      <c r="MEJ78" s="2805"/>
      <c r="MEK78" s="2805"/>
      <c r="MEL78" s="2805"/>
      <c r="MEM78" s="2805"/>
      <c r="MEN78" s="2805"/>
      <c r="MEO78" s="2805"/>
      <c r="MEP78" s="2805"/>
      <c r="MEQ78" s="2805"/>
      <c r="MER78" s="2805"/>
      <c r="MES78" s="2805"/>
      <c r="MET78" s="2805"/>
      <c r="MEU78" s="2805"/>
      <c r="MEV78" s="2805"/>
      <c r="MEW78" s="2805"/>
      <c r="MEX78" s="2805"/>
      <c r="MEY78" s="2805"/>
      <c r="MEZ78" s="2805"/>
      <c r="MFA78" s="2805"/>
      <c r="MFB78" s="2805"/>
      <c r="MFC78" s="2805"/>
      <c r="MFD78" s="2805"/>
      <c r="MFE78" s="2805"/>
      <c r="MFF78" s="2805"/>
      <c r="MFG78" s="2805"/>
      <c r="MFH78" s="2805"/>
      <c r="MFI78" s="2805"/>
      <c r="MFJ78" s="2805"/>
      <c r="MFK78" s="2805"/>
      <c r="MFL78" s="2805"/>
      <c r="MFM78" s="2805"/>
      <c r="MFN78" s="2805"/>
      <c r="MFO78" s="2805"/>
      <c r="MFP78" s="2805"/>
      <c r="MFQ78" s="2805"/>
      <c r="MFR78" s="2805"/>
      <c r="MFS78" s="2805"/>
      <c r="MFT78" s="2805"/>
      <c r="MFU78" s="2805"/>
      <c r="MFV78" s="2805"/>
      <c r="MFW78" s="2805"/>
      <c r="MFX78" s="2805"/>
      <c r="MFY78" s="2805"/>
      <c r="MFZ78" s="2805"/>
      <c r="MGA78" s="2805"/>
      <c r="MGB78" s="2805"/>
      <c r="MGC78" s="2805"/>
      <c r="MGD78" s="2805"/>
      <c r="MGE78" s="2805"/>
      <c r="MGF78" s="2805"/>
      <c r="MGG78" s="2805"/>
      <c r="MGH78" s="2805"/>
      <c r="MGI78" s="2805"/>
      <c r="MGJ78" s="2805"/>
      <c r="MGK78" s="2805"/>
      <c r="MGL78" s="2805"/>
      <c r="MGM78" s="2805"/>
      <c r="MGN78" s="2805"/>
      <c r="MGO78" s="2805"/>
      <c r="MGP78" s="2805"/>
      <c r="MGQ78" s="2805"/>
      <c r="MGR78" s="2805"/>
      <c r="MGS78" s="2805"/>
      <c r="MGT78" s="2805"/>
      <c r="MGU78" s="2805"/>
      <c r="MGV78" s="2805"/>
      <c r="MGW78" s="2805"/>
      <c r="MGX78" s="2805"/>
      <c r="MGY78" s="2805"/>
      <c r="MGZ78" s="2805"/>
      <c r="MHA78" s="2805"/>
      <c r="MHB78" s="2805"/>
      <c r="MHC78" s="2805"/>
      <c r="MHD78" s="2805"/>
      <c r="MHE78" s="2805"/>
      <c r="MHF78" s="2805"/>
      <c r="MHG78" s="2805"/>
      <c r="MHH78" s="2805"/>
      <c r="MHI78" s="2805"/>
      <c r="MHJ78" s="2805"/>
      <c r="MHK78" s="2805"/>
      <c r="MHL78" s="2805"/>
      <c r="MHM78" s="2805"/>
      <c r="MHN78" s="2805"/>
      <c r="MHO78" s="2805"/>
      <c r="MHP78" s="2805"/>
      <c r="MHQ78" s="2805"/>
      <c r="MHR78" s="2805"/>
      <c r="MHS78" s="2805"/>
      <c r="MHT78" s="2805"/>
      <c r="MHU78" s="2805"/>
      <c r="MHV78" s="2805"/>
      <c r="MHW78" s="2805"/>
      <c r="MHX78" s="2805"/>
      <c r="MHY78" s="2805"/>
      <c r="MHZ78" s="2805"/>
      <c r="MIA78" s="2805"/>
      <c r="MIB78" s="2805"/>
      <c r="MIC78" s="2805"/>
      <c r="MID78" s="2805"/>
      <c r="MIE78" s="2805"/>
      <c r="MIF78" s="2805"/>
      <c r="MIG78" s="2805"/>
      <c r="MIH78" s="2805"/>
      <c r="MII78" s="2805"/>
      <c r="MIJ78" s="2805"/>
      <c r="MIK78" s="2805"/>
      <c r="MIL78" s="2805"/>
      <c r="MIM78" s="2805"/>
      <c r="MIN78" s="2805"/>
      <c r="MIO78" s="2805"/>
      <c r="MIP78" s="2805"/>
      <c r="MIQ78" s="2805"/>
      <c r="MIR78" s="2805"/>
      <c r="MIS78" s="2805"/>
      <c r="MIT78" s="2805"/>
      <c r="MIU78" s="2805"/>
      <c r="MIV78" s="2805"/>
      <c r="MIW78" s="2805"/>
      <c r="MIX78" s="2805"/>
      <c r="MIY78" s="2805"/>
      <c r="MIZ78" s="2805"/>
      <c r="MJA78" s="2805"/>
      <c r="MJB78" s="2805"/>
      <c r="MJC78" s="2805"/>
      <c r="MJD78" s="2805"/>
      <c r="MJE78" s="2805"/>
      <c r="MJF78" s="2805"/>
      <c r="MJG78" s="2805"/>
      <c r="MJH78" s="2805"/>
      <c r="MJI78" s="2805"/>
      <c r="MJJ78" s="2805"/>
      <c r="MJK78" s="2805"/>
      <c r="MJL78" s="2805"/>
      <c r="MJM78" s="2805"/>
      <c r="MJN78" s="2805"/>
      <c r="MJO78" s="2805"/>
      <c r="MJP78" s="2805"/>
      <c r="MJQ78" s="2805"/>
      <c r="MJR78" s="2805"/>
      <c r="MJS78" s="2805"/>
      <c r="MJT78" s="2805"/>
      <c r="MJU78" s="2805"/>
      <c r="MJV78" s="2805"/>
      <c r="MJW78" s="2805"/>
      <c r="MJX78" s="2805"/>
      <c r="MJY78" s="2805"/>
      <c r="MJZ78" s="2805"/>
      <c r="MKA78" s="2805"/>
      <c r="MKB78" s="2805"/>
      <c r="MKC78" s="2805"/>
      <c r="MKD78" s="2805"/>
      <c r="MKE78" s="2805"/>
      <c r="MKF78" s="2805"/>
      <c r="MKG78" s="2805"/>
      <c r="MKH78" s="2805"/>
      <c r="MKI78" s="2805"/>
      <c r="MKJ78" s="2805"/>
      <c r="MKK78" s="2805"/>
      <c r="MKL78" s="2805"/>
      <c r="MKM78" s="2805"/>
      <c r="MKN78" s="2805"/>
      <c r="MKO78" s="2805"/>
      <c r="MKP78" s="2805"/>
      <c r="MKQ78" s="2805"/>
      <c r="MKR78" s="2805"/>
      <c r="MKS78" s="2805"/>
      <c r="MKT78" s="2805"/>
      <c r="MKU78" s="2805"/>
      <c r="MKV78" s="2805"/>
      <c r="MKW78" s="2805"/>
      <c r="MKX78" s="2805"/>
      <c r="MKY78" s="2805"/>
      <c r="MKZ78" s="2805"/>
      <c r="MLA78" s="2805"/>
      <c r="MLB78" s="2805"/>
      <c r="MLC78" s="2805"/>
      <c r="MLD78" s="2805"/>
      <c r="MLE78" s="2805"/>
      <c r="MLF78" s="2805"/>
      <c r="MLG78" s="2805"/>
      <c r="MLH78" s="2805"/>
      <c r="MLI78" s="2805"/>
      <c r="MLJ78" s="2805"/>
      <c r="MLK78" s="2805"/>
      <c r="MLL78" s="2805"/>
      <c r="MLM78" s="2805"/>
      <c r="MLN78" s="2805"/>
      <c r="MLO78" s="2805"/>
      <c r="MLP78" s="2805"/>
      <c r="MLQ78" s="2805"/>
      <c r="MLR78" s="2805"/>
      <c r="MLS78" s="2805"/>
      <c r="MLT78" s="2805"/>
      <c r="MLU78" s="2805"/>
      <c r="MLV78" s="2805"/>
      <c r="MLW78" s="2805"/>
      <c r="MLX78" s="2805"/>
      <c r="MLY78" s="2805"/>
      <c r="MLZ78" s="2805"/>
      <c r="MMA78" s="2805"/>
      <c r="MMB78" s="2805"/>
      <c r="MMC78" s="2805"/>
      <c r="MMD78" s="2805"/>
      <c r="MME78" s="2805"/>
      <c r="MMF78" s="2805"/>
      <c r="MMG78" s="2805"/>
      <c r="MMH78" s="2805"/>
      <c r="MMI78" s="2805"/>
      <c r="MMJ78" s="2805"/>
      <c r="MMK78" s="2805"/>
      <c r="MML78" s="2805"/>
      <c r="MMM78" s="2805"/>
      <c r="MMN78" s="2805"/>
      <c r="MMO78" s="2805"/>
      <c r="MMP78" s="2805"/>
      <c r="MMQ78" s="2805"/>
      <c r="MMR78" s="2805"/>
      <c r="MMS78" s="2805"/>
      <c r="MMT78" s="2805"/>
      <c r="MMU78" s="2805"/>
      <c r="MMV78" s="2805"/>
      <c r="MMW78" s="2805"/>
      <c r="MMX78" s="2805"/>
      <c r="MMY78" s="2805"/>
      <c r="MMZ78" s="2805"/>
      <c r="MNA78" s="2805"/>
      <c r="MNB78" s="2805"/>
      <c r="MNC78" s="2805"/>
      <c r="MND78" s="2805"/>
      <c r="MNE78" s="2805"/>
      <c r="MNF78" s="2805"/>
      <c r="MNG78" s="2805"/>
      <c r="MNH78" s="2805"/>
      <c r="MNI78" s="2805"/>
      <c r="MNJ78" s="2805"/>
      <c r="MNK78" s="2805"/>
      <c r="MNL78" s="2805"/>
      <c r="MNM78" s="2805"/>
      <c r="MNN78" s="2805"/>
      <c r="MNO78" s="2805"/>
      <c r="MNP78" s="2805"/>
      <c r="MNQ78" s="2805"/>
      <c r="MNR78" s="2805"/>
      <c r="MNS78" s="2805"/>
      <c r="MNT78" s="2805"/>
      <c r="MNU78" s="2805"/>
      <c r="MNV78" s="2805"/>
      <c r="MNW78" s="2805"/>
      <c r="MNX78" s="2805"/>
      <c r="MNY78" s="2805"/>
      <c r="MNZ78" s="2805"/>
      <c r="MOA78" s="2805"/>
      <c r="MOB78" s="2805"/>
      <c r="MOC78" s="2805"/>
      <c r="MOD78" s="2805"/>
      <c r="MOE78" s="2805"/>
      <c r="MOF78" s="2805"/>
      <c r="MOG78" s="2805"/>
      <c r="MOH78" s="2805"/>
      <c r="MOI78" s="2805"/>
      <c r="MOJ78" s="2805"/>
      <c r="MOK78" s="2805"/>
      <c r="MOL78" s="2805"/>
      <c r="MOM78" s="2805"/>
      <c r="MON78" s="2805"/>
      <c r="MOO78" s="2805"/>
      <c r="MOP78" s="2805"/>
      <c r="MOQ78" s="2805"/>
      <c r="MOR78" s="2805"/>
      <c r="MOS78" s="2805"/>
      <c r="MOT78" s="2805"/>
      <c r="MOU78" s="2805"/>
      <c r="MOV78" s="2805"/>
      <c r="MOW78" s="2805"/>
      <c r="MOX78" s="2805"/>
      <c r="MOY78" s="2805"/>
      <c r="MOZ78" s="2805"/>
      <c r="MPA78" s="2805"/>
      <c r="MPB78" s="2805"/>
      <c r="MPC78" s="2805"/>
      <c r="MPD78" s="2805"/>
      <c r="MPE78" s="2805"/>
      <c r="MPF78" s="2805"/>
      <c r="MPG78" s="2805"/>
      <c r="MPH78" s="2805"/>
      <c r="MPI78" s="2805"/>
      <c r="MPJ78" s="2805"/>
      <c r="MPK78" s="2805"/>
      <c r="MPL78" s="2805"/>
      <c r="MPM78" s="2805"/>
      <c r="MPN78" s="2805"/>
      <c r="MPO78" s="2805"/>
      <c r="MPP78" s="2805"/>
      <c r="MPQ78" s="2805"/>
      <c r="MPR78" s="2805"/>
      <c r="MPS78" s="2805"/>
      <c r="MPT78" s="2805"/>
      <c r="MPU78" s="2805"/>
      <c r="MPV78" s="2805"/>
      <c r="MPW78" s="2805"/>
      <c r="MPX78" s="2805"/>
      <c r="MPY78" s="2805"/>
      <c r="MPZ78" s="2805"/>
      <c r="MQA78" s="2805"/>
      <c r="MQB78" s="2805"/>
      <c r="MQC78" s="2805"/>
      <c r="MQD78" s="2805"/>
      <c r="MQE78" s="2805"/>
      <c r="MQF78" s="2805"/>
      <c r="MQG78" s="2805"/>
      <c r="MQH78" s="2805"/>
      <c r="MQI78" s="2805"/>
      <c r="MQJ78" s="2805"/>
      <c r="MQK78" s="2805"/>
      <c r="MQL78" s="2805"/>
      <c r="MQM78" s="2805"/>
      <c r="MQN78" s="2805"/>
      <c r="MQO78" s="2805"/>
      <c r="MQP78" s="2805"/>
      <c r="MQQ78" s="2805"/>
      <c r="MQR78" s="2805"/>
      <c r="MQS78" s="2805"/>
      <c r="MQT78" s="2805"/>
      <c r="MQU78" s="2805"/>
      <c r="MQV78" s="2805"/>
      <c r="MQW78" s="2805"/>
      <c r="MQX78" s="2805"/>
      <c r="MQY78" s="2805"/>
      <c r="MQZ78" s="2805"/>
      <c r="MRA78" s="2805"/>
      <c r="MRB78" s="2805"/>
      <c r="MRC78" s="2805"/>
      <c r="MRD78" s="2805"/>
      <c r="MRE78" s="2805"/>
      <c r="MRF78" s="2805"/>
      <c r="MRG78" s="2805"/>
      <c r="MRH78" s="2805"/>
      <c r="MRI78" s="2805"/>
      <c r="MRJ78" s="2805"/>
      <c r="MRK78" s="2805"/>
      <c r="MRL78" s="2805"/>
      <c r="MRM78" s="2805"/>
      <c r="MRN78" s="2805"/>
      <c r="MRO78" s="2805"/>
      <c r="MRP78" s="2805"/>
      <c r="MRQ78" s="2805"/>
      <c r="MRR78" s="2805"/>
      <c r="MRS78" s="2805"/>
      <c r="MRT78" s="2805"/>
      <c r="MRU78" s="2805"/>
      <c r="MRV78" s="2805"/>
      <c r="MRW78" s="2805"/>
      <c r="MRX78" s="2805"/>
      <c r="MRY78" s="2805"/>
      <c r="MRZ78" s="2805"/>
      <c r="MSA78" s="2805"/>
      <c r="MSB78" s="2805"/>
      <c r="MSC78" s="2805"/>
      <c r="MSD78" s="2805"/>
      <c r="MSE78" s="2805"/>
      <c r="MSF78" s="2805"/>
      <c r="MSG78" s="2805"/>
      <c r="MSH78" s="2805"/>
      <c r="MSI78" s="2805"/>
      <c r="MSJ78" s="2805"/>
      <c r="MSK78" s="2805"/>
      <c r="MSL78" s="2805"/>
      <c r="MSM78" s="2805"/>
      <c r="MSN78" s="2805"/>
      <c r="MSO78" s="2805"/>
      <c r="MSP78" s="2805"/>
      <c r="MSQ78" s="2805"/>
      <c r="MSR78" s="2805"/>
      <c r="MSS78" s="2805"/>
      <c r="MST78" s="2805"/>
      <c r="MSU78" s="2805"/>
      <c r="MSV78" s="2805"/>
      <c r="MSW78" s="2805"/>
      <c r="MSX78" s="2805"/>
      <c r="MSY78" s="2805"/>
      <c r="MSZ78" s="2805"/>
      <c r="MTA78" s="2805"/>
      <c r="MTB78" s="2805"/>
      <c r="MTC78" s="2805"/>
      <c r="MTD78" s="2805"/>
      <c r="MTE78" s="2805"/>
      <c r="MTF78" s="2805"/>
      <c r="MTG78" s="2805"/>
      <c r="MTH78" s="2805"/>
      <c r="MTI78" s="2805"/>
      <c r="MTJ78" s="2805"/>
      <c r="MTK78" s="2805"/>
      <c r="MTL78" s="2805"/>
      <c r="MTM78" s="2805"/>
      <c r="MTN78" s="2805"/>
      <c r="MTO78" s="2805"/>
      <c r="MTP78" s="2805"/>
      <c r="MTQ78" s="2805"/>
      <c r="MTR78" s="2805"/>
      <c r="MTS78" s="2805"/>
      <c r="MTT78" s="2805"/>
      <c r="MTU78" s="2805"/>
      <c r="MTV78" s="2805"/>
      <c r="MTW78" s="2805"/>
      <c r="MTX78" s="2805"/>
      <c r="MTY78" s="2805"/>
      <c r="MTZ78" s="2805"/>
      <c r="MUA78" s="2805"/>
      <c r="MUB78" s="2805"/>
      <c r="MUC78" s="2805"/>
      <c r="MUD78" s="2805"/>
      <c r="MUE78" s="2805"/>
      <c r="MUF78" s="2805"/>
      <c r="MUG78" s="2805"/>
      <c r="MUH78" s="2805"/>
      <c r="MUI78" s="2805"/>
      <c r="MUJ78" s="2805"/>
      <c r="MUK78" s="2805"/>
      <c r="MUL78" s="2805"/>
      <c r="MUM78" s="2805"/>
      <c r="MUN78" s="2805"/>
      <c r="MUO78" s="2805"/>
      <c r="MUP78" s="2805"/>
      <c r="MUQ78" s="2805"/>
      <c r="MUR78" s="2805"/>
      <c r="MUS78" s="2805"/>
      <c r="MUT78" s="2805"/>
      <c r="MUU78" s="2805"/>
      <c r="MUV78" s="2805"/>
      <c r="MUW78" s="2805"/>
      <c r="MUX78" s="2805"/>
      <c r="MUY78" s="2805"/>
      <c r="MUZ78" s="2805"/>
      <c r="MVA78" s="2805"/>
      <c r="MVB78" s="2805"/>
      <c r="MVC78" s="2805"/>
      <c r="MVD78" s="2805"/>
      <c r="MVE78" s="2805"/>
      <c r="MVF78" s="2805"/>
      <c r="MVG78" s="2805"/>
      <c r="MVH78" s="2805"/>
      <c r="MVI78" s="2805"/>
      <c r="MVJ78" s="2805"/>
      <c r="MVK78" s="2805"/>
      <c r="MVL78" s="2805"/>
      <c r="MVM78" s="2805"/>
      <c r="MVN78" s="2805"/>
      <c r="MVO78" s="2805"/>
      <c r="MVP78" s="2805"/>
      <c r="MVQ78" s="2805"/>
      <c r="MVR78" s="2805"/>
      <c r="MVS78" s="2805"/>
      <c r="MVT78" s="2805"/>
      <c r="MVU78" s="2805"/>
      <c r="MVV78" s="2805"/>
      <c r="MVW78" s="2805"/>
      <c r="MVX78" s="2805"/>
      <c r="MVY78" s="2805"/>
      <c r="MVZ78" s="2805"/>
      <c r="MWA78" s="2805"/>
      <c r="MWB78" s="2805"/>
      <c r="MWC78" s="2805"/>
      <c r="MWD78" s="2805"/>
      <c r="MWE78" s="2805"/>
      <c r="MWF78" s="2805"/>
      <c r="MWG78" s="2805"/>
      <c r="MWH78" s="2805"/>
      <c r="MWI78" s="2805"/>
      <c r="MWJ78" s="2805"/>
      <c r="MWK78" s="2805"/>
      <c r="MWL78" s="2805"/>
      <c r="MWM78" s="2805"/>
      <c r="MWN78" s="2805"/>
      <c r="MWO78" s="2805"/>
      <c r="MWP78" s="2805"/>
      <c r="MWQ78" s="2805"/>
      <c r="MWR78" s="2805"/>
      <c r="MWS78" s="2805"/>
      <c r="MWT78" s="2805"/>
      <c r="MWU78" s="2805"/>
      <c r="MWV78" s="2805"/>
      <c r="MWW78" s="2805"/>
      <c r="MWX78" s="2805"/>
      <c r="MWY78" s="2805"/>
      <c r="MWZ78" s="2805"/>
      <c r="MXA78" s="2805"/>
      <c r="MXB78" s="2805"/>
      <c r="MXC78" s="2805"/>
      <c r="MXD78" s="2805"/>
      <c r="MXE78" s="2805"/>
      <c r="MXF78" s="2805"/>
      <c r="MXG78" s="2805"/>
      <c r="MXH78" s="2805"/>
      <c r="MXI78" s="2805"/>
      <c r="MXJ78" s="2805"/>
      <c r="MXK78" s="2805"/>
      <c r="MXL78" s="2805"/>
      <c r="MXM78" s="2805"/>
      <c r="MXN78" s="2805"/>
      <c r="MXO78" s="2805"/>
      <c r="MXP78" s="2805"/>
      <c r="MXQ78" s="2805"/>
      <c r="MXR78" s="2805"/>
      <c r="MXS78" s="2805"/>
      <c r="MXT78" s="2805"/>
      <c r="MXU78" s="2805"/>
      <c r="MXV78" s="2805"/>
      <c r="MXW78" s="2805"/>
      <c r="MXX78" s="2805"/>
      <c r="MXY78" s="2805"/>
      <c r="MXZ78" s="2805"/>
      <c r="MYA78" s="2805"/>
      <c r="MYB78" s="2805"/>
      <c r="MYC78" s="2805"/>
      <c r="MYD78" s="2805"/>
      <c r="MYE78" s="2805"/>
      <c r="MYF78" s="2805"/>
      <c r="MYG78" s="2805"/>
      <c r="MYH78" s="2805"/>
      <c r="MYI78" s="2805"/>
      <c r="MYJ78" s="2805"/>
      <c r="MYK78" s="2805"/>
      <c r="MYL78" s="2805"/>
      <c r="MYM78" s="2805"/>
      <c r="MYN78" s="2805"/>
      <c r="MYO78" s="2805"/>
      <c r="MYP78" s="2805"/>
      <c r="MYQ78" s="2805"/>
      <c r="MYR78" s="2805"/>
      <c r="MYS78" s="2805"/>
      <c r="MYT78" s="2805"/>
      <c r="MYU78" s="2805"/>
      <c r="MYV78" s="2805"/>
      <c r="MYW78" s="2805"/>
      <c r="MYX78" s="2805"/>
      <c r="MYY78" s="2805"/>
      <c r="MYZ78" s="2805"/>
      <c r="MZA78" s="2805"/>
      <c r="MZB78" s="2805"/>
      <c r="MZC78" s="2805"/>
      <c r="MZD78" s="2805"/>
      <c r="MZE78" s="2805"/>
      <c r="MZF78" s="2805"/>
      <c r="MZG78" s="2805"/>
      <c r="MZH78" s="2805"/>
      <c r="MZI78" s="2805"/>
      <c r="MZJ78" s="2805"/>
      <c r="MZK78" s="2805"/>
      <c r="MZL78" s="2805"/>
      <c r="MZM78" s="2805"/>
      <c r="MZN78" s="2805"/>
      <c r="MZO78" s="2805"/>
      <c r="MZP78" s="2805"/>
      <c r="MZQ78" s="2805"/>
      <c r="MZR78" s="2805"/>
      <c r="MZS78" s="2805"/>
      <c r="MZT78" s="2805"/>
      <c r="MZU78" s="2805"/>
      <c r="MZV78" s="2805"/>
      <c r="MZW78" s="2805"/>
      <c r="MZX78" s="2805"/>
      <c r="MZY78" s="2805"/>
      <c r="MZZ78" s="2805"/>
      <c r="NAA78" s="2805"/>
      <c r="NAB78" s="2805"/>
      <c r="NAC78" s="2805"/>
      <c r="NAD78" s="2805"/>
      <c r="NAE78" s="2805"/>
      <c r="NAF78" s="2805"/>
      <c r="NAG78" s="2805"/>
      <c r="NAH78" s="2805"/>
      <c r="NAI78" s="2805"/>
      <c r="NAJ78" s="2805"/>
      <c r="NAK78" s="2805"/>
      <c r="NAL78" s="2805"/>
      <c r="NAM78" s="2805"/>
      <c r="NAN78" s="2805"/>
      <c r="NAO78" s="2805"/>
      <c r="NAP78" s="2805"/>
      <c r="NAQ78" s="2805"/>
      <c r="NAR78" s="2805"/>
      <c r="NAS78" s="2805"/>
      <c r="NAT78" s="2805"/>
      <c r="NAU78" s="2805"/>
      <c r="NAV78" s="2805"/>
      <c r="NAW78" s="2805"/>
      <c r="NAX78" s="2805"/>
      <c r="NAY78" s="2805"/>
      <c r="NAZ78" s="2805"/>
      <c r="NBA78" s="2805"/>
      <c r="NBB78" s="2805"/>
      <c r="NBC78" s="2805"/>
      <c r="NBD78" s="2805"/>
      <c r="NBE78" s="2805"/>
      <c r="NBF78" s="2805"/>
      <c r="NBG78" s="2805"/>
      <c r="NBH78" s="2805"/>
      <c r="NBI78" s="2805"/>
      <c r="NBJ78" s="2805"/>
      <c r="NBK78" s="2805"/>
      <c r="NBL78" s="2805"/>
      <c r="NBM78" s="2805"/>
      <c r="NBN78" s="2805"/>
      <c r="NBO78" s="2805"/>
      <c r="NBP78" s="2805"/>
      <c r="NBQ78" s="2805"/>
      <c r="NBR78" s="2805"/>
      <c r="NBS78" s="2805"/>
      <c r="NBT78" s="2805"/>
      <c r="NBU78" s="2805"/>
      <c r="NBV78" s="2805"/>
      <c r="NBW78" s="2805"/>
      <c r="NBX78" s="2805"/>
      <c r="NBY78" s="2805"/>
      <c r="NBZ78" s="2805"/>
      <c r="NCA78" s="2805"/>
      <c r="NCB78" s="2805"/>
      <c r="NCC78" s="2805"/>
      <c r="NCD78" s="2805"/>
      <c r="NCE78" s="2805"/>
      <c r="NCF78" s="2805"/>
      <c r="NCG78" s="2805"/>
      <c r="NCH78" s="2805"/>
      <c r="NCI78" s="2805"/>
      <c r="NCJ78" s="2805"/>
      <c r="NCK78" s="2805"/>
      <c r="NCL78" s="2805"/>
      <c r="NCM78" s="2805"/>
      <c r="NCN78" s="2805"/>
      <c r="NCO78" s="2805"/>
      <c r="NCP78" s="2805"/>
      <c r="NCQ78" s="2805"/>
      <c r="NCR78" s="2805"/>
      <c r="NCS78" s="2805"/>
      <c r="NCT78" s="2805"/>
      <c r="NCU78" s="2805"/>
      <c r="NCV78" s="2805"/>
      <c r="NCW78" s="2805"/>
      <c r="NCX78" s="2805"/>
      <c r="NCY78" s="2805"/>
      <c r="NCZ78" s="2805"/>
      <c r="NDA78" s="2805"/>
      <c r="NDB78" s="2805"/>
      <c r="NDC78" s="2805"/>
      <c r="NDD78" s="2805"/>
      <c r="NDE78" s="2805"/>
      <c r="NDF78" s="2805"/>
      <c r="NDG78" s="2805"/>
      <c r="NDH78" s="2805"/>
      <c r="NDI78" s="2805"/>
      <c r="NDJ78" s="2805"/>
      <c r="NDK78" s="2805"/>
      <c r="NDL78" s="2805"/>
      <c r="NDM78" s="2805"/>
      <c r="NDN78" s="2805"/>
      <c r="NDO78" s="2805"/>
      <c r="NDP78" s="2805"/>
      <c r="NDQ78" s="2805"/>
      <c r="NDR78" s="2805"/>
      <c r="NDS78" s="2805"/>
      <c r="NDT78" s="2805"/>
      <c r="NDU78" s="2805"/>
      <c r="NDV78" s="2805"/>
      <c r="NDW78" s="2805"/>
      <c r="NDX78" s="2805"/>
      <c r="NDY78" s="2805"/>
      <c r="NDZ78" s="2805"/>
      <c r="NEA78" s="2805"/>
      <c r="NEB78" s="2805"/>
      <c r="NEC78" s="2805"/>
      <c r="NED78" s="2805"/>
      <c r="NEE78" s="2805"/>
      <c r="NEF78" s="2805"/>
      <c r="NEG78" s="2805"/>
      <c r="NEH78" s="2805"/>
      <c r="NEI78" s="2805"/>
      <c r="NEJ78" s="2805"/>
      <c r="NEK78" s="2805"/>
      <c r="NEL78" s="2805"/>
      <c r="NEM78" s="2805"/>
      <c r="NEN78" s="2805"/>
      <c r="NEO78" s="2805"/>
      <c r="NEP78" s="2805"/>
      <c r="NEQ78" s="2805"/>
      <c r="NER78" s="2805"/>
      <c r="NES78" s="2805"/>
      <c r="NET78" s="2805"/>
      <c r="NEU78" s="2805"/>
      <c r="NEV78" s="2805"/>
      <c r="NEW78" s="2805"/>
      <c r="NEX78" s="2805"/>
      <c r="NEY78" s="2805"/>
      <c r="NEZ78" s="2805"/>
      <c r="NFA78" s="2805"/>
      <c r="NFB78" s="2805"/>
      <c r="NFC78" s="2805"/>
      <c r="NFD78" s="2805"/>
      <c r="NFE78" s="2805"/>
      <c r="NFF78" s="2805"/>
      <c r="NFG78" s="2805"/>
      <c r="NFH78" s="2805"/>
      <c r="NFI78" s="2805"/>
      <c r="NFJ78" s="2805"/>
      <c r="NFK78" s="2805"/>
      <c r="NFL78" s="2805"/>
      <c r="NFM78" s="2805"/>
      <c r="NFN78" s="2805"/>
      <c r="NFO78" s="2805"/>
      <c r="NFP78" s="2805"/>
      <c r="NFQ78" s="2805"/>
      <c r="NFR78" s="2805"/>
      <c r="NFS78" s="2805"/>
      <c r="NFT78" s="2805"/>
      <c r="NFU78" s="2805"/>
      <c r="NFV78" s="2805"/>
      <c r="NFW78" s="2805"/>
      <c r="NFX78" s="2805"/>
      <c r="NFY78" s="2805"/>
      <c r="NFZ78" s="2805"/>
      <c r="NGA78" s="2805"/>
      <c r="NGB78" s="2805"/>
      <c r="NGC78" s="2805"/>
      <c r="NGD78" s="2805"/>
      <c r="NGE78" s="2805"/>
      <c r="NGF78" s="2805"/>
      <c r="NGG78" s="2805"/>
      <c r="NGH78" s="2805"/>
      <c r="NGI78" s="2805"/>
      <c r="NGJ78" s="2805"/>
      <c r="NGK78" s="2805"/>
      <c r="NGL78" s="2805"/>
      <c r="NGM78" s="2805"/>
      <c r="NGN78" s="2805"/>
      <c r="NGO78" s="2805"/>
      <c r="NGP78" s="2805"/>
      <c r="NGQ78" s="2805"/>
      <c r="NGR78" s="2805"/>
      <c r="NGS78" s="2805"/>
      <c r="NGT78" s="2805"/>
      <c r="NGU78" s="2805"/>
      <c r="NGV78" s="2805"/>
      <c r="NGW78" s="2805"/>
      <c r="NGX78" s="2805"/>
      <c r="NGY78" s="2805"/>
      <c r="NGZ78" s="2805"/>
      <c r="NHA78" s="2805"/>
      <c r="NHB78" s="2805"/>
      <c r="NHC78" s="2805"/>
      <c r="NHD78" s="2805"/>
      <c r="NHE78" s="2805"/>
      <c r="NHF78" s="2805"/>
      <c r="NHG78" s="2805"/>
      <c r="NHH78" s="2805"/>
      <c r="NHI78" s="2805"/>
      <c r="NHJ78" s="2805"/>
      <c r="NHK78" s="2805"/>
      <c r="NHL78" s="2805"/>
      <c r="NHM78" s="2805"/>
      <c r="NHN78" s="2805"/>
      <c r="NHO78" s="2805"/>
      <c r="NHP78" s="2805"/>
      <c r="NHQ78" s="2805"/>
      <c r="NHR78" s="2805"/>
      <c r="NHS78" s="2805"/>
      <c r="NHT78" s="2805"/>
      <c r="NHU78" s="2805"/>
      <c r="NHV78" s="2805"/>
      <c r="NHW78" s="2805"/>
      <c r="NHX78" s="2805"/>
      <c r="NHY78" s="2805"/>
      <c r="NHZ78" s="2805"/>
      <c r="NIA78" s="2805"/>
      <c r="NIB78" s="2805"/>
      <c r="NIC78" s="2805"/>
      <c r="NID78" s="2805"/>
      <c r="NIE78" s="2805"/>
      <c r="NIF78" s="2805"/>
      <c r="NIG78" s="2805"/>
      <c r="NIH78" s="2805"/>
      <c r="NII78" s="2805"/>
      <c r="NIJ78" s="2805"/>
      <c r="NIK78" s="2805"/>
      <c r="NIL78" s="2805"/>
      <c r="NIM78" s="2805"/>
      <c r="NIN78" s="2805"/>
      <c r="NIO78" s="2805"/>
      <c r="NIP78" s="2805"/>
      <c r="NIQ78" s="2805"/>
      <c r="NIR78" s="2805"/>
      <c r="NIS78" s="2805"/>
      <c r="NIT78" s="2805"/>
      <c r="NIU78" s="2805"/>
      <c r="NIV78" s="2805"/>
      <c r="NIW78" s="2805"/>
      <c r="NIX78" s="2805"/>
      <c r="NIY78" s="2805"/>
      <c r="NIZ78" s="2805"/>
      <c r="NJA78" s="2805"/>
      <c r="NJB78" s="2805"/>
      <c r="NJC78" s="2805"/>
      <c r="NJD78" s="2805"/>
      <c r="NJE78" s="2805"/>
      <c r="NJF78" s="2805"/>
      <c r="NJG78" s="2805"/>
      <c r="NJH78" s="2805"/>
      <c r="NJI78" s="2805"/>
      <c r="NJJ78" s="2805"/>
      <c r="NJK78" s="2805"/>
      <c r="NJL78" s="2805"/>
      <c r="NJM78" s="2805"/>
      <c r="NJN78" s="2805"/>
      <c r="NJO78" s="2805"/>
      <c r="NJP78" s="2805"/>
      <c r="NJQ78" s="2805"/>
      <c r="NJR78" s="2805"/>
      <c r="NJS78" s="2805"/>
      <c r="NJT78" s="2805"/>
      <c r="NJU78" s="2805"/>
      <c r="NJV78" s="2805"/>
      <c r="NJW78" s="2805"/>
      <c r="NJX78" s="2805"/>
      <c r="NJY78" s="2805"/>
      <c r="NJZ78" s="2805"/>
      <c r="NKA78" s="2805"/>
      <c r="NKB78" s="2805"/>
      <c r="NKC78" s="2805"/>
      <c r="NKD78" s="2805"/>
      <c r="NKE78" s="2805"/>
      <c r="NKF78" s="2805"/>
      <c r="NKG78" s="2805"/>
      <c r="NKH78" s="2805"/>
      <c r="NKI78" s="2805"/>
      <c r="NKJ78" s="2805"/>
      <c r="NKK78" s="2805"/>
      <c r="NKL78" s="2805"/>
      <c r="NKM78" s="2805"/>
      <c r="NKN78" s="2805"/>
      <c r="NKO78" s="2805"/>
      <c r="NKP78" s="2805"/>
      <c r="NKQ78" s="2805"/>
      <c r="NKR78" s="2805"/>
      <c r="NKS78" s="2805"/>
      <c r="NKT78" s="2805"/>
      <c r="NKU78" s="2805"/>
      <c r="NKV78" s="2805"/>
      <c r="NKW78" s="2805"/>
      <c r="NKX78" s="2805"/>
      <c r="NKY78" s="2805"/>
      <c r="NKZ78" s="2805"/>
      <c r="NLA78" s="2805"/>
      <c r="NLB78" s="2805"/>
      <c r="NLC78" s="2805"/>
      <c r="NLD78" s="2805"/>
      <c r="NLE78" s="2805"/>
      <c r="NLF78" s="2805"/>
      <c r="NLG78" s="2805"/>
      <c r="NLH78" s="2805"/>
      <c r="NLI78" s="2805"/>
      <c r="NLJ78" s="2805"/>
      <c r="NLK78" s="2805"/>
      <c r="NLL78" s="2805"/>
      <c r="NLM78" s="2805"/>
      <c r="NLN78" s="2805"/>
      <c r="NLO78" s="2805"/>
      <c r="NLP78" s="2805"/>
      <c r="NLQ78" s="2805"/>
      <c r="NLR78" s="2805"/>
      <c r="NLS78" s="2805"/>
      <c r="NLT78" s="2805"/>
      <c r="NLU78" s="2805"/>
      <c r="NLV78" s="2805"/>
      <c r="NLW78" s="2805"/>
      <c r="NLX78" s="2805"/>
      <c r="NLY78" s="2805"/>
      <c r="NLZ78" s="2805"/>
      <c r="NMA78" s="2805"/>
      <c r="NMB78" s="2805"/>
      <c r="NMC78" s="2805"/>
      <c r="NMD78" s="2805"/>
      <c r="NME78" s="2805"/>
      <c r="NMF78" s="2805"/>
      <c r="NMG78" s="2805"/>
      <c r="NMH78" s="2805"/>
      <c r="NMI78" s="2805"/>
      <c r="NMJ78" s="2805"/>
      <c r="NMK78" s="2805"/>
      <c r="NML78" s="2805"/>
      <c r="NMM78" s="2805"/>
      <c r="NMN78" s="2805"/>
      <c r="NMO78" s="2805"/>
      <c r="NMP78" s="2805"/>
      <c r="NMQ78" s="2805"/>
      <c r="NMR78" s="2805"/>
      <c r="NMS78" s="2805"/>
      <c r="NMT78" s="2805"/>
      <c r="NMU78" s="2805"/>
      <c r="NMV78" s="2805"/>
      <c r="NMW78" s="2805"/>
      <c r="NMX78" s="2805"/>
      <c r="NMY78" s="2805"/>
      <c r="NMZ78" s="2805"/>
      <c r="NNA78" s="2805"/>
      <c r="NNB78" s="2805"/>
      <c r="NNC78" s="2805"/>
      <c r="NND78" s="2805"/>
      <c r="NNE78" s="2805"/>
      <c r="NNF78" s="2805"/>
      <c r="NNG78" s="2805"/>
      <c r="NNH78" s="2805"/>
      <c r="NNI78" s="2805"/>
      <c r="NNJ78" s="2805"/>
      <c r="NNK78" s="2805"/>
      <c r="NNL78" s="2805"/>
      <c r="NNM78" s="2805"/>
      <c r="NNN78" s="2805"/>
      <c r="NNO78" s="2805"/>
      <c r="NNP78" s="2805"/>
      <c r="NNQ78" s="2805"/>
      <c r="NNR78" s="2805"/>
      <c r="NNS78" s="2805"/>
      <c r="NNT78" s="2805"/>
      <c r="NNU78" s="2805"/>
      <c r="NNV78" s="2805"/>
      <c r="NNW78" s="2805"/>
      <c r="NNX78" s="2805"/>
      <c r="NNY78" s="2805"/>
      <c r="NNZ78" s="2805"/>
      <c r="NOA78" s="2805"/>
      <c r="NOB78" s="2805"/>
      <c r="NOC78" s="2805"/>
      <c r="NOD78" s="2805"/>
      <c r="NOE78" s="2805"/>
      <c r="NOF78" s="2805"/>
      <c r="NOG78" s="2805"/>
      <c r="NOH78" s="2805"/>
      <c r="NOI78" s="2805"/>
      <c r="NOJ78" s="2805"/>
      <c r="NOK78" s="2805"/>
      <c r="NOL78" s="2805"/>
      <c r="NOM78" s="2805"/>
      <c r="NON78" s="2805"/>
      <c r="NOO78" s="2805"/>
      <c r="NOP78" s="2805"/>
      <c r="NOQ78" s="2805"/>
      <c r="NOR78" s="2805"/>
      <c r="NOS78" s="2805"/>
      <c r="NOT78" s="2805"/>
      <c r="NOU78" s="2805"/>
      <c r="NOV78" s="2805"/>
      <c r="NOW78" s="2805"/>
      <c r="NOX78" s="2805"/>
      <c r="NOY78" s="2805"/>
      <c r="NOZ78" s="2805"/>
      <c r="NPA78" s="2805"/>
      <c r="NPB78" s="2805"/>
      <c r="NPC78" s="2805"/>
      <c r="NPD78" s="2805"/>
      <c r="NPE78" s="2805"/>
      <c r="NPF78" s="2805"/>
      <c r="NPG78" s="2805"/>
      <c r="NPH78" s="2805"/>
      <c r="NPI78" s="2805"/>
      <c r="NPJ78" s="2805"/>
      <c r="NPK78" s="2805"/>
      <c r="NPL78" s="2805"/>
      <c r="NPM78" s="2805"/>
      <c r="NPN78" s="2805"/>
      <c r="NPO78" s="2805"/>
      <c r="NPP78" s="2805"/>
      <c r="NPQ78" s="2805"/>
      <c r="NPR78" s="2805"/>
      <c r="NPS78" s="2805"/>
      <c r="NPT78" s="2805"/>
      <c r="NPU78" s="2805"/>
      <c r="NPV78" s="2805"/>
      <c r="NPW78" s="2805"/>
      <c r="NPX78" s="2805"/>
      <c r="NPY78" s="2805"/>
      <c r="NPZ78" s="2805"/>
      <c r="NQA78" s="2805"/>
      <c r="NQB78" s="2805"/>
      <c r="NQC78" s="2805"/>
      <c r="NQD78" s="2805"/>
      <c r="NQE78" s="2805"/>
      <c r="NQF78" s="2805"/>
      <c r="NQG78" s="2805"/>
      <c r="NQH78" s="2805"/>
      <c r="NQI78" s="2805"/>
      <c r="NQJ78" s="2805"/>
      <c r="NQK78" s="2805"/>
      <c r="NQL78" s="2805"/>
      <c r="NQM78" s="2805"/>
      <c r="NQN78" s="2805"/>
      <c r="NQO78" s="2805"/>
      <c r="NQP78" s="2805"/>
      <c r="NQQ78" s="2805"/>
      <c r="NQR78" s="2805"/>
      <c r="NQS78" s="2805"/>
      <c r="NQT78" s="2805"/>
      <c r="NQU78" s="2805"/>
      <c r="NQV78" s="2805"/>
      <c r="NQW78" s="2805"/>
      <c r="NQX78" s="2805"/>
      <c r="NQY78" s="2805"/>
      <c r="NQZ78" s="2805"/>
      <c r="NRA78" s="2805"/>
      <c r="NRB78" s="2805"/>
      <c r="NRC78" s="2805"/>
      <c r="NRD78" s="2805"/>
      <c r="NRE78" s="2805"/>
      <c r="NRF78" s="2805"/>
      <c r="NRG78" s="2805"/>
      <c r="NRH78" s="2805"/>
      <c r="NRI78" s="2805"/>
      <c r="NRJ78" s="2805"/>
      <c r="NRK78" s="2805"/>
      <c r="NRL78" s="2805"/>
      <c r="NRM78" s="2805"/>
      <c r="NRN78" s="2805"/>
      <c r="NRO78" s="2805"/>
      <c r="NRP78" s="2805"/>
      <c r="NRQ78" s="2805"/>
      <c r="NRR78" s="2805"/>
      <c r="NRS78" s="2805"/>
      <c r="NRT78" s="2805"/>
      <c r="NRU78" s="2805"/>
      <c r="NRV78" s="2805"/>
      <c r="NRW78" s="2805"/>
      <c r="NRX78" s="2805"/>
      <c r="NRY78" s="2805"/>
      <c r="NRZ78" s="2805"/>
      <c r="NSA78" s="2805"/>
      <c r="NSB78" s="2805"/>
      <c r="NSC78" s="2805"/>
      <c r="NSD78" s="2805"/>
      <c r="NSE78" s="2805"/>
      <c r="NSF78" s="2805"/>
      <c r="NSG78" s="2805"/>
      <c r="NSH78" s="2805"/>
      <c r="NSI78" s="2805"/>
      <c r="NSJ78" s="2805"/>
      <c r="NSK78" s="2805"/>
      <c r="NSL78" s="2805"/>
      <c r="NSM78" s="2805"/>
      <c r="NSN78" s="2805"/>
      <c r="NSO78" s="2805"/>
      <c r="NSP78" s="2805"/>
      <c r="NSQ78" s="2805"/>
      <c r="NSR78" s="2805"/>
      <c r="NSS78" s="2805"/>
      <c r="NST78" s="2805"/>
      <c r="NSU78" s="2805"/>
      <c r="NSV78" s="2805"/>
      <c r="NSW78" s="2805"/>
      <c r="NSX78" s="2805"/>
      <c r="NSY78" s="2805"/>
      <c r="NSZ78" s="2805"/>
      <c r="NTA78" s="2805"/>
      <c r="NTB78" s="2805"/>
      <c r="NTC78" s="2805"/>
      <c r="NTD78" s="2805"/>
      <c r="NTE78" s="2805"/>
      <c r="NTF78" s="2805"/>
      <c r="NTG78" s="2805"/>
      <c r="NTH78" s="2805"/>
      <c r="NTI78" s="2805"/>
      <c r="NTJ78" s="2805"/>
      <c r="NTK78" s="2805"/>
      <c r="NTL78" s="2805"/>
      <c r="NTM78" s="2805"/>
      <c r="NTN78" s="2805"/>
      <c r="NTO78" s="2805"/>
      <c r="NTP78" s="2805"/>
      <c r="NTQ78" s="2805"/>
      <c r="NTR78" s="2805"/>
      <c r="NTS78" s="2805"/>
      <c r="NTT78" s="2805"/>
      <c r="NTU78" s="2805"/>
      <c r="NTV78" s="2805"/>
      <c r="NTW78" s="2805"/>
      <c r="NTX78" s="2805"/>
      <c r="NTY78" s="2805"/>
      <c r="NTZ78" s="2805"/>
      <c r="NUA78" s="2805"/>
      <c r="NUB78" s="2805"/>
      <c r="NUC78" s="2805"/>
      <c r="NUD78" s="2805"/>
      <c r="NUE78" s="2805"/>
      <c r="NUF78" s="2805"/>
      <c r="NUG78" s="2805"/>
      <c r="NUH78" s="2805"/>
      <c r="NUI78" s="2805"/>
      <c r="NUJ78" s="2805"/>
      <c r="NUK78" s="2805"/>
      <c r="NUL78" s="2805"/>
      <c r="NUM78" s="2805"/>
      <c r="NUN78" s="2805"/>
      <c r="NUO78" s="2805"/>
      <c r="NUP78" s="2805"/>
      <c r="NUQ78" s="2805"/>
      <c r="NUR78" s="2805"/>
      <c r="NUS78" s="2805"/>
      <c r="NUT78" s="2805"/>
      <c r="NUU78" s="2805"/>
      <c r="NUV78" s="2805"/>
      <c r="NUW78" s="2805"/>
      <c r="NUX78" s="2805"/>
      <c r="NUY78" s="2805"/>
      <c r="NUZ78" s="2805"/>
      <c r="NVA78" s="2805"/>
      <c r="NVB78" s="2805"/>
      <c r="NVC78" s="2805"/>
      <c r="NVD78" s="2805"/>
      <c r="NVE78" s="2805"/>
      <c r="NVF78" s="2805"/>
      <c r="NVG78" s="2805"/>
      <c r="NVH78" s="2805"/>
      <c r="NVI78" s="2805"/>
      <c r="NVJ78" s="2805"/>
      <c r="NVK78" s="2805"/>
      <c r="NVL78" s="2805"/>
      <c r="NVM78" s="2805"/>
      <c r="NVN78" s="2805"/>
      <c r="NVO78" s="2805"/>
      <c r="NVP78" s="2805"/>
      <c r="NVQ78" s="2805"/>
      <c r="NVR78" s="2805"/>
      <c r="NVS78" s="2805"/>
      <c r="NVT78" s="2805"/>
      <c r="NVU78" s="2805"/>
      <c r="NVV78" s="2805"/>
      <c r="NVW78" s="2805"/>
      <c r="NVX78" s="2805"/>
      <c r="NVY78" s="2805"/>
      <c r="NVZ78" s="2805"/>
      <c r="NWA78" s="2805"/>
      <c r="NWB78" s="2805"/>
      <c r="NWC78" s="2805"/>
      <c r="NWD78" s="2805"/>
      <c r="NWE78" s="2805"/>
      <c r="NWF78" s="2805"/>
      <c r="NWG78" s="2805"/>
      <c r="NWH78" s="2805"/>
      <c r="NWI78" s="2805"/>
      <c r="NWJ78" s="2805"/>
      <c r="NWK78" s="2805"/>
      <c r="NWL78" s="2805"/>
      <c r="NWM78" s="2805"/>
      <c r="NWN78" s="2805"/>
      <c r="NWO78" s="2805"/>
      <c r="NWP78" s="2805"/>
      <c r="NWQ78" s="2805"/>
      <c r="NWR78" s="2805"/>
      <c r="NWS78" s="2805"/>
      <c r="NWT78" s="2805"/>
      <c r="NWU78" s="2805"/>
      <c r="NWV78" s="2805"/>
      <c r="NWW78" s="2805"/>
      <c r="NWX78" s="2805"/>
      <c r="NWY78" s="2805"/>
      <c r="NWZ78" s="2805"/>
      <c r="NXA78" s="2805"/>
      <c r="NXB78" s="2805"/>
      <c r="NXC78" s="2805"/>
      <c r="NXD78" s="2805"/>
      <c r="NXE78" s="2805"/>
      <c r="NXF78" s="2805"/>
      <c r="NXG78" s="2805"/>
      <c r="NXH78" s="2805"/>
      <c r="NXI78" s="2805"/>
      <c r="NXJ78" s="2805"/>
      <c r="NXK78" s="2805"/>
      <c r="NXL78" s="2805"/>
      <c r="NXM78" s="2805"/>
      <c r="NXN78" s="2805"/>
      <c r="NXO78" s="2805"/>
      <c r="NXP78" s="2805"/>
      <c r="NXQ78" s="2805"/>
      <c r="NXR78" s="2805"/>
      <c r="NXS78" s="2805"/>
      <c r="NXT78" s="2805"/>
      <c r="NXU78" s="2805"/>
      <c r="NXV78" s="2805"/>
      <c r="NXW78" s="2805"/>
      <c r="NXX78" s="2805"/>
      <c r="NXY78" s="2805"/>
      <c r="NXZ78" s="2805"/>
      <c r="NYA78" s="2805"/>
      <c r="NYB78" s="2805"/>
      <c r="NYC78" s="2805"/>
      <c r="NYD78" s="2805"/>
      <c r="NYE78" s="2805"/>
      <c r="NYF78" s="2805"/>
      <c r="NYG78" s="2805"/>
      <c r="NYH78" s="2805"/>
      <c r="NYI78" s="2805"/>
      <c r="NYJ78" s="2805"/>
      <c r="NYK78" s="2805"/>
      <c r="NYL78" s="2805"/>
      <c r="NYM78" s="2805"/>
      <c r="NYN78" s="2805"/>
      <c r="NYO78" s="2805"/>
      <c r="NYP78" s="2805"/>
      <c r="NYQ78" s="2805"/>
      <c r="NYR78" s="2805"/>
      <c r="NYS78" s="2805"/>
      <c r="NYT78" s="2805"/>
      <c r="NYU78" s="2805"/>
      <c r="NYV78" s="2805"/>
      <c r="NYW78" s="2805"/>
      <c r="NYX78" s="2805"/>
      <c r="NYY78" s="2805"/>
      <c r="NYZ78" s="2805"/>
      <c r="NZA78" s="2805"/>
      <c r="NZB78" s="2805"/>
      <c r="NZC78" s="2805"/>
      <c r="NZD78" s="2805"/>
      <c r="NZE78" s="2805"/>
      <c r="NZF78" s="2805"/>
      <c r="NZG78" s="2805"/>
      <c r="NZH78" s="2805"/>
      <c r="NZI78" s="2805"/>
      <c r="NZJ78" s="2805"/>
      <c r="NZK78" s="2805"/>
      <c r="NZL78" s="2805"/>
      <c r="NZM78" s="2805"/>
      <c r="NZN78" s="2805"/>
      <c r="NZO78" s="2805"/>
      <c r="NZP78" s="2805"/>
      <c r="NZQ78" s="2805"/>
      <c r="NZR78" s="2805"/>
      <c r="NZS78" s="2805"/>
      <c r="NZT78" s="2805"/>
      <c r="NZU78" s="2805"/>
      <c r="NZV78" s="2805"/>
      <c r="NZW78" s="2805"/>
      <c r="NZX78" s="2805"/>
      <c r="NZY78" s="2805"/>
      <c r="NZZ78" s="2805"/>
      <c r="OAA78" s="2805"/>
      <c r="OAB78" s="2805"/>
      <c r="OAC78" s="2805"/>
      <c r="OAD78" s="2805"/>
      <c r="OAE78" s="2805"/>
      <c r="OAF78" s="2805"/>
      <c r="OAG78" s="2805"/>
      <c r="OAH78" s="2805"/>
      <c r="OAI78" s="2805"/>
      <c r="OAJ78" s="2805"/>
      <c r="OAK78" s="2805"/>
      <c r="OAL78" s="2805"/>
      <c r="OAM78" s="2805"/>
      <c r="OAN78" s="2805"/>
      <c r="OAO78" s="2805"/>
      <c r="OAP78" s="2805"/>
      <c r="OAQ78" s="2805"/>
      <c r="OAR78" s="2805"/>
      <c r="OAS78" s="2805"/>
      <c r="OAT78" s="2805"/>
      <c r="OAU78" s="2805"/>
      <c r="OAV78" s="2805"/>
      <c r="OAW78" s="2805"/>
      <c r="OAX78" s="2805"/>
      <c r="OAY78" s="2805"/>
      <c r="OAZ78" s="2805"/>
      <c r="OBA78" s="2805"/>
      <c r="OBB78" s="2805"/>
      <c r="OBC78" s="2805"/>
      <c r="OBD78" s="2805"/>
      <c r="OBE78" s="2805"/>
      <c r="OBF78" s="2805"/>
      <c r="OBG78" s="2805"/>
      <c r="OBH78" s="2805"/>
      <c r="OBI78" s="2805"/>
      <c r="OBJ78" s="2805"/>
      <c r="OBK78" s="2805"/>
      <c r="OBL78" s="2805"/>
      <c r="OBM78" s="2805"/>
      <c r="OBN78" s="2805"/>
      <c r="OBO78" s="2805"/>
      <c r="OBP78" s="2805"/>
      <c r="OBQ78" s="2805"/>
      <c r="OBR78" s="2805"/>
      <c r="OBS78" s="2805"/>
      <c r="OBT78" s="2805"/>
      <c r="OBU78" s="2805"/>
      <c r="OBV78" s="2805"/>
      <c r="OBW78" s="2805"/>
      <c r="OBX78" s="2805"/>
      <c r="OBY78" s="2805"/>
      <c r="OBZ78" s="2805"/>
      <c r="OCA78" s="2805"/>
      <c r="OCB78" s="2805"/>
      <c r="OCC78" s="2805"/>
      <c r="OCD78" s="2805"/>
      <c r="OCE78" s="2805"/>
      <c r="OCF78" s="2805"/>
      <c r="OCG78" s="2805"/>
      <c r="OCH78" s="2805"/>
      <c r="OCI78" s="2805"/>
      <c r="OCJ78" s="2805"/>
      <c r="OCK78" s="2805"/>
      <c r="OCL78" s="2805"/>
      <c r="OCM78" s="2805"/>
      <c r="OCN78" s="2805"/>
      <c r="OCO78" s="2805"/>
      <c r="OCP78" s="2805"/>
      <c r="OCQ78" s="2805"/>
      <c r="OCR78" s="2805"/>
      <c r="OCS78" s="2805"/>
      <c r="OCT78" s="2805"/>
      <c r="OCU78" s="2805"/>
      <c r="OCV78" s="2805"/>
      <c r="OCW78" s="2805"/>
      <c r="OCX78" s="2805"/>
      <c r="OCY78" s="2805"/>
      <c r="OCZ78" s="2805"/>
      <c r="ODA78" s="2805"/>
      <c r="ODB78" s="2805"/>
      <c r="ODC78" s="2805"/>
      <c r="ODD78" s="2805"/>
      <c r="ODE78" s="2805"/>
      <c r="ODF78" s="2805"/>
      <c r="ODG78" s="2805"/>
      <c r="ODH78" s="2805"/>
      <c r="ODI78" s="2805"/>
      <c r="ODJ78" s="2805"/>
      <c r="ODK78" s="2805"/>
      <c r="ODL78" s="2805"/>
      <c r="ODM78" s="2805"/>
      <c r="ODN78" s="2805"/>
      <c r="ODO78" s="2805"/>
      <c r="ODP78" s="2805"/>
      <c r="ODQ78" s="2805"/>
      <c r="ODR78" s="2805"/>
      <c r="ODS78" s="2805"/>
      <c r="ODT78" s="2805"/>
      <c r="ODU78" s="2805"/>
      <c r="ODV78" s="2805"/>
      <c r="ODW78" s="2805"/>
      <c r="ODX78" s="2805"/>
      <c r="ODY78" s="2805"/>
      <c r="ODZ78" s="2805"/>
      <c r="OEA78" s="2805"/>
      <c r="OEB78" s="2805"/>
      <c r="OEC78" s="2805"/>
      <c r="OED78" s="2805"/>
      <c r="OEE78" s="2805"/>
      <c r="OEF78" s="2805"/>
      <c r="OEG78" s="2805"/>
      <c r="OEH78" s="2805"/>
      <c r="OEI78" s="2805"/>
      <c r="OEJ78" s="2805"/>
      <c r="OEK78" s="2805"/>
      <c r="OEL78" s="2805"/>
      <c r="OEM78" s="2805"/>
      <c r="OEN78" s="2805"/>
      <c r="OEO78" s="2805"/>
      <c r="OEP78" s="2805"/>
      <c r="OEQ78" s="2805"/>
      <c r="OER78" s="2805"/>
      <c r="OES78" s="2805"/>
      <c r="OET78" s="2805"/>
      <c r="OEU78" s="2805"/>
      <c r="OEV78" s="2805"/>
      <c r="OEW78" s="2805"/>
      <c r="OEX78" s="2805"/>
      <c r="OEY78" s="2805"/>
      <c r="OEZ78" s="2805"/>
      <c r="OFA78" s="2805"/>
      <c r="OFB78" s="2805"/>
      <c r="OFC78" s="2805"/>
      <c r="OFD78" s="2805"/>
      <c r="OFE78" s="2805"/>
      <c r="OFF78" s="2805"/>
      <c r="OFG78" s="2805"/>
      <c r="OFH78" s="2805"/>
      <c r="OFI78" s="2805"/>
      <c r="OFJ78" s="2805"/>
      <c r="OFK78" s="2805"/>
      <c r="OFL78" s="2805"/>
      <c r="OFM78" s="2805"/>
      <c r="OFN78" s="2805"/>
      <c r="OFO78" s="2805"/>
      <c r="OFP78" s="2805"/>
      <c r="OFQ78" s="2805"/>
      <c r="OFR78" s="2805"/>
      <c r="OFS78" s="2805"/>
      <c r="OFT78" s="2805"/>
      <c r="OFU78" s="2805"/>
      <c r="OFV78" s="2805"/>
      <c r="OFW78" s="2805"/>
      <c r="OFX78" s="2805"/>
      <c r="OFY78" s="2805"/>
      <c r="OFZ78" s="2805"/>
      <c r="OGA78" s="2805"/>
      <c r="OGB78" s="2805"/>
      <c r="OGC78" s="2805"/>
      <c r="OGD78" s="2805"/>
      <c r="OGE78" s="2805"/>
      <c r="OGF78" s="2805"/>
      <c r="OGG78" s="2805"/>
      <c r="OGH78" s="2805"/>
      <c r="OGI78" s="2805"/>
      <c r="OGJ78" s="2805"/>
      <c r="OGK78" s="2805"/>
      <c r="OGL78" s="2805"/>
      <c r="OGM78" s="2805"/>
      <c r="OGN78" s="2805"/>
      <c r="OGO78" s="2805"/>
      <c r="OGP78" s="2805"/>
      <c r="OGQ78" s="2805"/>
      <c r="OGR78" s="2805"/>
      <c r="OGS78" s="2805"/>
      <c r="OGT78" s="2805"/>
      <c r="OGU78" s="2805"/>
      <c r="OGV78" s="2805"/>
      <c r="OGW78" s="2805"/>
      <c r="OGX78" s="2805"/>
      <c r="OGY78" s="2805"/>
      <c r="OGZ78" s="2805"/>
      <c r="OHA78" s="2805"/>
      <c r="OHB78" s="2805"/>
      <c r="OHC78" s="2805"/>
      <c r="OHD78" s="2805"/>
      <c r="OHE78" s="2805"/>
      <c r="OHF78" s="2805"/>
      <c r="OHG78" s="2805"/>
      <c r="OHH78" s="2805"/>
      <c r="OHI78" s="2805"/>
      <c r="OHJ78" s="2805"/>
      <c r="OHK78" s="2805"/>
      <c r="OHL78" s="2805"/>
      <c r="OHM78" s="2805"/>
      <c r="OHN78" s="2805"/>
      <c r="OHO78" s="2805"/>
      <c r="OHP78" s="2805"/>
      <c r="OHQ78" s="2805"/>
      <c r="OHR78" s="2805"/>
      <c r="OHS78" s="2805"/>
      <c r="OHT78" s="2805"/>
      <c r="OHU78" s="2805"/>
      <c r="OHV78" s="2805"/>
      <c r="OHW78" s="2805"/>
      <c r="OHX78" s="2805"/>
      <c r="OHY78" s="2805"/>
      <c r="OHZ78" s="2805"/>
      <c r="OIA78" s="2805"/>
      <c r="OIB78" s="2805"/>
      <c r="OIC78" s="2805"/>
      <c r="OID78" s="2805"/>
      <c r="OIE78" s="2805"/>
      <c r="OIF78" s="2805"/>
      <c r="OIG78" s="2805"/>
      <c r="OIH78" s="2805"/>
      <c r="OII78" s="2805"/>
      <c r="OIJ78" s="2805"/>
      <c r="OIK78" s="2805"/>
      <c r="OIL78" s="2805"/>
      <c r="OIM78" s="2805"/>
      <c r="OIN78" s="2805"/>
      <c r="OIO78" s="2805"/>
      <c r="OIP78" s="2805"/>
      <c r="OIQ78" s="2805"/>
      <c r="OIR78" s="2805"/>
      <c r="OIS78" s="2805"/>
      <c r="OIT78" s="2805"/>
      <c r="OIU78" s="2805"/>
      <c r="OIV78" s="2805"/>
      <c r="OIW78" s="2805"/>
      <c r="OIX78" s="2805"/>
      <c r="OIY78" s="2805"/>
      <c r="OIZ78" s="2805"/>
      <c r="OJA78" s="2805"/>
      <c r="OJB78" s="2805"/>
      <c r="OJC78" s="2805"/>
      <c r="OJD78" s="2805"/>
      <c r="OJE78" s="2805"/>
      <c r="OJF78" s="2805"/>
      <c r="OJG78" s="2805"/>
      <c r="OJH78" s="2805"/>
      <c r="OJI78" s="2805"/>
      <c r="OJJ78" s="2805"/>
      <c r="OJK78" s="2805"/>
      <c r="OJL78" s="2805"/>
      <c r="OJM78" s="2805"/>
      <c r="OJN78" s="2805"/>
      <c r="OJO78" s="2805"/>
      <c r="OJP78" s="2805"/>
      <c r="OJQ78" s="2805"/>
      <c r="OJR78" s="2805"/>
      <c r="OJS78" s="2805"/>
      <c r="OJT78" s="2805"/>
      <c r="OJU78" s="2805"/>
      <c r="OJV78" s="2805"/>
      <c r="OJW78" s="2805"/>
      <c r="OJX78" s="2805"/>
      <c r="OJY78" s="2805"/>
      <c r="OJZ78" s="2805"/>
      <c r="OKA78" s="2805"/>
      <c r="OKB78" s="2805"/>
      <c r="OKC78" s="2805"/>
      <c r="OKD78" s="2805"/>
      <c r="OKE78" s="2805"/>
      <c r="OKF78" s="2805"/>
      <c r="OKG78" s="2805"/>
      <c r="OKH78" s="2805"/>
      <c r="OKI78" s="2805"/>
      <c r="OKJ78" s="2805"/>
      <c r="OKK78" s="2805"/>
      <c r="OKL78" s="2805"/>
      <c r="OKM78" s="2805"/>
      <c r="OKN78" s="2805"/>
      <c r="OKO78" s="2805"/>
      <c r="OKP78" s="2805"/>
      <c r="OKQ78" s="2805"/>
      <c r="OKR78" s="2805"/>
      <c r="OKS78" s="2805"/>
      <c r="OKT78" s="2805"/>
      <c r="OKU78" s="2805"/>
      <c r="OKV78" s="2805"/>
      <c r="OKW78" s="2805"/>
      <c r="OKX78" s="2805"/>
      <c r="OKY78" s="2805"/>
      <c r="OKZ78" s="2805"/>
      <c r="OLA78" s="2805"/>
      <c r="OLB78" s="2805"/>
      <c r="OLC78" s="2805"/>
      <c r="OLD78" s="2805"/>
      <c r="OLE78" s="2805"/>
      <c r="OLF78" s="2805"/>
      <c r="OLG78" s="2805"/>
      <c r="OLH78" s="2805"/>
      <c r="OLI78" s="2805"/>
      <c r="OLJ78" s="2805"/>
      <c r="OLK78" s="2805"/>
      <c r="OLL78" s="2805"/>
      <c r="OLM78" s="2805"/>
      <c r="OLN78" s="2805"/>
      <c r="OLO78" s="2805"/>
      <c r="OLP78" s="2805"/>
      <c r="OLQ78" s="2805"/>
      <c r="OLR78" s="2805"/>
      <c r="OLS78" s="2805"/>
      <c r="OLT78" s="2805"/>
      <c r="OLU78" s="2805"/>
      <c r="OLV78" s="2805"/>
      <c r="OLW78" s="2805"/>
      <c r="OLX78" s="2805"/>
      <c r="OLY78" s="2805"/>
      <c r="OLZ78" s="2805"/>
      <c r="OMA78" s="2805"/>
      <c r="OMB78" s="2805"/>
      <c r="OMC78" s="2805"/>
      <c r="OMD78" s="2805"/>
      <c r="OME78" s="2805"/>
      <c r="OMF78" s="2805"/>
      <c r="OMG78" s="2805"/>
      <c r="OMH78" s="2805"/>
      <c r="OMI78" s="2805"/>
      <c r="OMJ78" s="2805"/>
      <c r="OMK78" s="2805"/>
      <c r="OML78" s="2805"/>
      <c r="OMM78" s="2805"/>
      <c r="OMN78" s="2805"/>
      <c r="OMO78" s="2805"/>
      <c r="OMP78" s="2805"/>
      <c r="OMQ78" s="2805"/>
      <c r="OMR78" s="2805"/>
      <c r="OMS78" s="2805"/>
      <c r="OMT78" s="2805"/>
      <c r="OMU78" s="2805"/>
      <c r="OMV78" s="2805"/>
      <c r="OMW78" s="2805"/>
      <c r="OMX78" s="2805"/>
      <c r="OMY78" s="2805"/>
      <c r="OMZ78" s="2805"/>
      <c r="ONA78" s="2805"/>
      <c r="ONB78" s="2805"/>
      <c r="ONC78" s="2805"/>
      <c r="OND78" s="2805"/>
      <c r="ONE78" s="2805"/>
      <c r="ONF78" s="2805"/>
      <c r="ONG78" s="2805"/>
      <c r="ONH78" s="2805"/>
      <c r="ONI78" s="2805"/>
      <c r="ONJ78" s="2805"/>
      <c r="ONK78" s="2805"/>
      <c r="ONL78" s="2805"/>
      <c r="ONM78" s="2805"/>
      <c r="ONN78" s="2805"/>
      <c r="ONO78" s="2805"/>
      <c r="ONP78" s="2805"/>
      <c r="ONQ78" s="2805"/>
      <c r="ONR78" s="2805"/>
      <c r="ONS78" s="2805"/>
      <c r="ONT78" s="2805"/>
      <c r="ONU78" s="2805"/>
      <c r="ONV78" s="2805"/>
      <c r="ONW78" s="2805"/>
      <c r="ONX78" s="2805"/>
      <c r="ONY78" s="2805"/>
      <c r="ONZ78" s="2805"/>
      <c r="OOA78" s="2805"/>
      <c r="OOB78" s="2805"/>
      <c r="OOC78" s="2805"/>
      <c r="OOD78" s="2805"/>
      <c r="OOE78" s="2805"/>
      <c r="OOF78" s="2805"/>
      <c r="OOG78" s="2805"/>
      <c r="OOH78" s="2805"/>
      <c r="OOI78" s="2805"/>
      <c r="OOJ78" s="2805"/>
      <c r="OOK78" s="2805"/>
      <c r="OOL78" s="2805"/>
      <c r="OOM78" s="2805"/>
      <c r="OON78" s="2805"/>
      <c r="OOO78" s="2805"/>
      <c r="OOP78" s="2805"/>
      <c r="OOQ78" s="2805"/>
      <c r="OOR78" s="2805"/>
      <c r="OOS78" s="2805"/>
      <c r="OOT78" s="2805"/>
      <c r="OOU78" s="2805"/>
      <c r="OOV78" s="2805"/>
      <c r="OOW78" s="2805"/>
      <c r="OOX78" s="2805"/>
      <c r="OOY78" s="2805"/>
      <c r="OOZ78" s="2805"/>
      <c r="OPA78" s="2805"/>
      <c r="OPB78" s="2805"/>
      <c r="OPC78" s="2805"/>
      <c r="OPD78" s="2805"/>
      <c r="OPE78" s="2805"/>
      <c r="OPF78" s="2805"/>
      <c r="OPG78" s="2805"/>
      <c r="OPH78" s="2805"/>
      <c r="OPI78" s="2805"/>
      <c r="OPJ78" s="2805"/>
      <c r="OPK78" s="2805"/>
      <c r="OPL78" s="2805"/>
      <c r="OPM78" s="2805"/>
      <c r="OPN78" s="2805"/>
      <c r="OPO78" s="2805"/>
      <c r="OPP78" s="2805"/>
      <c r="OPQ78" s="2805"/>
      <c r="OPR78" s="2805"/>
      <c r="OPS78" s="2805"/>
      <c r="OPT78" s="2805"/>
      <c r="OPU78" s="2805"/>
      <c r="OPV78" s="2805"/>
      <c r="OPW78" s="2805"/>
      <c r="OPX78" s="2805"/>
      <c r="OPY78" s="2805"/>
      <c r="OPZ78" s="2805"/>
      <c r="OQA78" s="2805"/>
      <c r="OQB78" s="2805"/>
      <c r="OQC78" s="2805"/>
      <c r="OQD78" s="2805"/>
      <c r="OQE78" s="2805"/>
      <c r="OQF78" s="2805"/>
      <c r="OQG78" s="2805"/>
      <c r="OQH78" s="2805"/>
      <c r="OQI78" s="2805"/>
      <c r="OQJ78" s="2805"/>
      <c r="OQK78" s="2805"/>
      <c r="OQL78" s="2805"/>
      <c r="OQM78" s="2805"/>
      <c r="OQN78" s="2805"/>
      <c r="OQO78" s="2805"/>
      <c r="OQP78" s="2805"/>
      <c r="OQQ78" s="2805"/>
      <c r="OQR78" s="2805"/>
      <c r="OQS78" s="2805"/>
      <c r="OQT78" s="2805"/>
      <c r="OQU78" s="2805"/>
      <c r="OQV78" s="2805"/>
      <c r="OQW78" s="2805"/>
      <c r="OQX78" s="2805"/>
      <c r="OQY78" s="2805"/>
      <c r="OQZ78" s="2805"/>
      <c r="ORA78" s="2805"/>
      <c r="ORB78" s="2805"/>
      <c r="ORC78" s="2805"/>
      <c r="ORD78" s="2805"/>
      <c r="ORE78" s="2805"/>
      <c r="ORF78" s="2805"/>
      <c r="ORG78" s="2805"/>
      <c r="ORH78" s="2805"/>
      <c r="ORI78" s="2805"/>
      <c r="ORJ78" s="2805"/>
      <c r="ORK78" s="2805"/>
      <c r="ORL78" s="2805"/>
      <c r="ORM78" s="2805"/>
      <c r="ORN78" s="2805"/>
      <c r="ORO78" s="2805"/>
      <c r="ORP78" s="2805"/>
      <c r="ORQ78" s="2805"/>
      <c r="ORR78" s="2805"/>
      <c r="ORS78" s="2805"/>
      <c r="ORT78" s="2805"/>
      <c r="ORU78" s="2805"/>
      <c r="ORV78" s="2805"/>
      <c r="ORW78" s="2805"/>
      <c r="ORX78" s="2805"/>
      <c r="ORY78" s="2805"/>
      <c r="ORZ78" s="2805"/>
      <c r="OSA78" s="2805"/>
      <c r="OSB78" s="2805"/>
      <c r="OSC78" s="2805"/>
      <c r="OSD78" s="2805"/>
      <c r="OSE78" s="2805"/>
      <c r="OSF78" s="2805"/>
      <c r="OSG78" s="2805"/>
      <c r="OSH78" s="2805"/>
      <c r="OSI78" s="2805"/>
      <c r="OSJ78" s="2805"/>
      <c r="OSK78" s="2805"/>
      <c r="OSL78" s="2805"/>
      <c r="OSM78" s="2805"/>
      <c r="OSN78" s="2805"/>
      <c r="OSO78" s="2805"/>
      <c r="OSP78" s="2805"/>
      <c r="OSQ78" s="2805"/>
      <c r="OSR78" s="2805"/>
      <c r="OSS78" s="2805"/>
      <c r="OST78" s="2805"/>
      <c r="OSU78" s="2805"/>
      <c r="OSV78" s="2805"/>
      <c r="OSW78" s="2805"/>
      <c r="OSX78" s="2805"/>
      <c r="OSY78" s="2805"/>
      <c r="OSZ78" s="2805"/>
      <c r="OTA78" s="2805"/>
      <c r="OTB78" s="2805"/>
      <c r="OTC78" s="2805"/>
      <c r="OTD78" s="2805"/>
      <c r="OTE78" s="2805"/>
      <c r="OTF78" s="2805"/>
      <c r="OTG78" s="2805"/>
      <c r="OTH78" s="2805"/>
      <c r="OTI78" s="2805"/>
      <c r="OTJ78" s="2805"/>
      <c r="OTK78" s="2805"/>
      <c r="OTL78" s="2805"/>
      <c r="OTM78" s="2805"/>
      <c r="OTN78" s="2805"/>
      <c r="OTO78" s="2805"/>
      <c r="OTP78" s="2805"/>
      <c r="OTQ78" s="2805"/>
      <c r="OTR78" s="2805"/>
      <c r="OTS78" s="2805"/>
      <c r="OTT78" s="2805"/>
      <c r="OTU78" s="2805"/>
      <c r="OTV78" s="2805"/>
      <c r="OTW78" s="2805"/>
      <c r="OTX78" s="2805"/>
      <c r="OTY78" s="2805"/>
      <c r="OTZ78" s="2805"/>
      <c r="OUA78" s="2805"/>
      <c r="OUB78" s="2805"/>
      <c r="OUC78" s="2805"/>
      <c r="OUD78" s="2805"/>
      <c r="OUE78" s="2805"/>
      <c r="OUF78" s="2805"/>
      <c r="OUG78" s="2805"/>
      <c r="OUH78" s="2805"/>
      <c r="OUI78" s="2805"/>
      <c r="OUJ78" s="2805"/>
      <c r="OUK78" s="2805"/>
      <c r="OUL78" s="2805"/>
      <c r="OUM78" s="2805"/>
      <c r="OUN78" s="2805"/>
      <c r="OUO78" s="2805"/>
      <c r="OUP78" s="2805"/>
      <c r="OUQ78" s="2805"/>
      <c r="OUR78" s="2805"/>
      <c r="OUS78" s="2805"/>
      <c r="OUT78" s="2805"/>
      <c r="OUU78" s="2805"/>
      <c r="OUV78" s="2805"/>
      <c r="OUW78" s="2805"/>
      <c r="OUX78" s="2805"/>
      <c r="OUY78" s="2805"/>
      <c r="OUZ78" s="2805"/>
      <c r="OVA78" s="2805"/>
      <c r="OVB78" s="2805"/>
      <c r="OVC78" s="2805"/>
      <c r="OVD78" s="2805"/>
      <c r="OVE78" s="2805"/>
      <c r="OVF78" s="2805"/>
      <c r="OVG78" s="2805"/>
      <c r="OVH78" s="2805"/>
      <c r="OVI78" s="2805"/>
      <c r="OVJ78" s="2805"/>
      <c r="OVK78" s="2805"/>
      <c r="OVL78" s="2805"/>
      <c r="OVM78" s="2805"/>
      <c r="OVN78" s="2805"/>
      <c r="OVO78" s="2805"/>
      <c r="OVP78" s="2805"/>
      <c r="OVQ78" s="2805"/>
      <c r="OVR78" s="2805"/>
      <c r="OVS78" s="2805"/>
      <c r="OVT78" s="2805"/>
      <c r="OVU78" s="2805"/>
      <c r="OVV78" s="2805"/>
      <c r="OVW78" s="2805"/>
      <c r="OVX78" s="2805"/>
      <c r="OVY78" s="2805"/>
      <c r="OVZ78" s="2805"/>
      <c r="OWA78" s="2805"/>
      <c r="OWB78" s="2805"/>
      <c r="OWC78" s="2805"/>
      <c r="OWD78" s="2805"/>
      <c r="OWE78" s="2805"/>
      <c r="OWF78" s="2805"/>
      <c r="OWG78" s="2805"/>
      <c r="OWH78" s="2805"/>
      <c r="OWI78" s="2805"/>
      <c r="OWJ78" s="2805"/>
      <c r="OWK78" s="2805"/>
      <c r="OWL78" s="2805"/>
      <c r="OWM78" s="2805"/>
      <c r="OWN78" s="2805"/>
      <c r="OWO78" s="2805"/>
      <c r="OWP78" s="2805"/>
      <c r="OWQ78" s="2805"/>
      <c r="OWR78" s="2805"/>
      <c r="OWS78" s="2805"/>
      <c r="OWT78" s="2805"/>
      <c r="OWU78" s="2805"/>
      <c r="OWV78" s="2805"/>
      <c r="OWW78" s="2805"/>
      <c r="OWX78" s="2805"/>
      <c r="OWY78" s="2805"/>
      <c r="OWZ78" s="2805"/>
      <c r="OXA78" s="2805"/>
      <c r="OXB78" s="2805"/>
      <c r="OXC78" s="2805"/>
      <c r="OXD78" s="2805"/>
      <c r="OXE78" s="2805"/>
      <c r="OXF78" s="2805"/>
      <c r="OXG78" s="2805"/>
      <c r="OXH78" s="2805"/>
      <c r="OXI78" s="2805"/>
      <c r="OXJ78" s="2805"/>
      <c r="OXK78" s="2805"/>
      <c r="OXL78" s="2805"/>
      <c r="OXM78" s="2805"/>
      <c r="OXN78" s="2805"/>
      <c r="OXO78" s="2805"/>
      <c r="OXP78" s="2805"/>
      <c r="OXQ78" s="2805"/>
      <c r="OXR78" s="2805"/>
      <c r="OXS78" s="2805"/>
      <c r="OXT78" s="2805"/>
      <c r="OXU78" s="2805"/>
      <c r="OXV78" s="2805"/>
      <c r="OXW78" s="2805"/>
      <c r="OXX78" s="2805"/>
      <c r="OXY78" s="2805"/>
      <c r="OXZ78" s="2805"/>
      <c r="OYA78" s="2805"/>
      <c r="OYB78" s="2805"/>
      <c r="OYC78" s="2805"/>
      <c r="OYD78" s="2805"/>
      <c r="OYE78" s="2805"/>
      <c r="OYF78" s="2805"/>
      <c r="OYG78" s="2805"/>
      <c r="OYH78" s="2805"/>
      <c r="OYI78" s="2805"/>
      <c r="OYJ78" s="2805"/>
      <c r="OYK78" s="2805"/>
      <c r="OYL78" s="2805"/>
      <c r="OYM78" s="2805"/>
      <c r="OYN78" s="2805"/>
      <c r="OYO78" s="2805"/>
      <c r="OYP78" s="2805"/>
      <c r="OYQ78" s="2805"/>
      <c r="OYR78" s="2805"/>
      <c r="OYS78" s="2805"/>
      <c r="OYT78" s="2805"/>
      <c r="OYU78" s="2805"/>
      <c r="OYV78" s="2805"/>
      <c r="OYW78" s="2805"/>
      <c r="OYX78" s="2805"/>
      <c r="OYY78" s="2805"/>
      <c r="OYZ78" s="2805"/>
      <c r="OZA78" s="2805"/>
      <c r="OZB78" s="2805"/>
      <c r="OZC78" s="2805"/>
      <c r="OZD78" s="2805"/>
      <c r="OZE78" s="2805"/>
      <c r="OZF78" s="2805"/>
      <c r="OZG78" s="2805"/>
      <c r="OZH78" s="2805"/>
      <c r="OZI78" s="2805"/>
      <c r="OZJ78" s="2805"/>
      <c r="OZK78" s="2805"/>
      <c r="OZL78" s="2805"/>
      <c r="OZM78" s="2805"/>
      <c r="OZN78" s="2805"/>
      <c r="OZO78" s="2805"/>
      <c r="OZP78" s="2805"/>
      <c r="OZQ78" s="2805"/>
      <c r="OZR78" s="2805"/>
      <c r="OZS78" s="2805"/>
      <c r="OZT78" s="2805"/>
      <c r="OZU78" s="2805"/>
      <c r="OZV78" s="2805"/>
      <c r="OZW78" s="2805"/>
      <c r="OZX78" s="2805"/>
      <c r="OZY78" s="2805"/>
      <c r="OZZ78" s="2805"/>
      <c r="PAA78" s="2805"/>
      <c r="PAB78" s="2805"/>
      <c r="PAC78" s="2805"/>
      <c r="PAD78" s="2805"/>
      <c r="PAE78" s="2805"/>
      <c r="PAF78" s="2805"/>
      <c r="PAG78" s="2805"/>
      <c r="PAH78" s="2805"/>
      <c r="PAI78" s="2805"/>
      <c r="PAJ78" s="2805"/>
      <c r="PAK78" s="2805"/>
      <c r="PAL78" s="2805"/>
      <c r="PAM78" s="2805"/>
      <c r="PAN78" s="2805"/>
      <c r="PAO78" s="2805"/>
      <c r="PAP78" s="2805"/>
      <c r="PAQ78" s="2805"/>
      <c r="PAR78" s="2805"/>
      <c r="PAS78" s="2805"/>
      <c r="PAT78" s="2805"/>
      <c r="PAU78" s="2805"/>
      <c r="PAV78" s="2805"/>
      <c r="PAW78" s="2805"/>
      <c r="PAX78" s="2805"/>
      <c r="PAY78" s="2805"/>
      <c r="PAZ78" s="2805"/>
      <c r="PBA78" s="2805"/>
      <c r="PBB78" s="2805"/>
      <c r="PBC78" s="2805"/>
      <c r="PBD78" s="2805"/>
      <c r="PBE78" s="2805"/>
      <c r="PBF78" s="2805"/>
      <c r="PBG78" s="2805"/>
      <c r="PBH78" s="2805"/>
      <c r="PBI78" s="2805"/>
      <c r="PBJ78" s="2805"/>
      <c r="PBK78" s="2805"/>
      <c r="PBL78" s="2805"/>
      <c r="PBM78" s="2805"/>
      <c r="PBN78" s="2805"/>
      <c r="PBO78" s="2805"/>
      <c r="PBP78" s="2805"/>
      <c r="PBQ78" s="2805"/>
      <c r="PBR78" s="2805"/>
      <c r="PBS78" s="2805"/>
      <c r="PBT78" s="2805"/>
      <c r="PBU78" s="2805"/>
      <c r="PBV78" s="2805"/>
      <c r="PBW78" s="2805"/>
      <c r="PBX78" s="2805"/>
      <c r="PBY78" s="2805"/>
      <c r="PBZ78" s="2805"/>
      <c r="PCA78" s="2805"/>
      <c r="PCB78" s="2805"/>
      <c r="PCC78" s="2805"/>
      <c r="PCD78" s="2805"/>
      <c r="PCE78" s="2805"/>
      <c r="PCF78" s="2805"/>
      <c r="PCG78" s="2805"/>
      <c r="PCH78" s="2805"/>
      <c r="PCI78" s="2805"/>
      <c r="PCJ78" s="2805"/>
      <c r="PCK78" s="2805"/>
      <c r="PCL78" s="2805"/>
      <c r="PCM78" s="2805"/>
      <c r="PCN78" s="2805"/>
      <c r="PCO78" s="2805"/>
      <c r="PCP78" s="2805"/>
      <c r="PCQ78" s="2805"/>
      <c r="PCR78" s="2805"/>
      <c r="PCS78" s="2805"/>
      <c r="PCT78" s="2805"/>
      <c r="PCU78" s="2805"/>
      <c r="PCV78" s="2805"/>
      <c r="PCW78" s="2805"/>
      <c r="PCX78" s="2805"/>
      <c r="PCY78" s="2805"/>
      <c r="PCZ78" s="2805"/>
      <c r="PDA78" s="2805"/>
      <c r="PDB78" s="2805"/>
      <c r="PDC78" s="2805"/>
      <c r="PDD78" s="2805"/>
      <c r="PDE78" s="2805"/>
      <c r="PDF78" s="2805"/>
      <c r="PDG78" s="2805"/>
      <c r="PDH78" s="2805"/>
      <c r="PDI78" s="2805"/>
      <c r="PDJ78" s="2805"/>
      <c r="PDK78" s="2805"/>
      <c r="PDL78" s="2805"/>
      <c r="PDM78" s="2805"/>
      <c r="PDN78" s="2805"/>
      <c r="PDO78" s="2805"/>
      <c r="PDP78" s="2805"/>
      <c r="PDQ78" s="2805"/>
      <c r="PDR78" s="2805"/>
      <c r="PDS78" s="2805"/>
      <c r="PDT78" s="2805"/>
      <c r="PDU78" s="2805"/>
      <c r="PDV78" s="2805"/>
      <c r="PDW78" s="2805"/>
      <c r="PDX78" s="2805"/>
      <c r="PDY78" s="2805"/>
      <c r="PDZ78" s="2805"/>
      <c r="PEA78" s="2805"/>
      <c r="PEB78" s="2805"/>
      <c r="PEC78" s="2805"/>
      <c r="PED78" s="2805"/>
      <c r="PEE78" s="2805"/>
      <c r="PEF78" s="2805"/>
      <c r="PEG78" s="2805"/>
      <c r="PEH78" s="2805"/>
      <c r="PEI78" s="2805"/>
      <c r="PEJ78" s="2805"/>
      <c r="PEK78" s="2805"/>
      <c r="PEL78" s="2805"/>
      <c r="PEM78" s="2805"/>
      <c r="PEN78" s="2805"/>
      <c r="PEO78" s="2805"/>
      <c r="PEP78" s="2805"/>
      <c r="PEQ78" s="2805"/>
      <c r="PER78" s="2805"/>
      <c r="PES78" s="2805"/>
      <c r="PET78" s="2805"/>
      <c r="PEU78" s="2805"/>
      <c r="PEV78" s="2805"/>
      <c r="PEW78" s="2805"/>
      <c r="PEX78" s="2805"/>
      <c r="PEY78" s="2805"/>
      <c r="PEZ78" s="2805"/>
      <c r="PFA78" s="2805"/>
      <c r="PFB78" s="2805"/>
      <c r="PFC78" s="2805"/>
      <c r="PFD78" s="2805"/>
      <c r="PFE78" s="2805"/>
      <c r="PFF78" s="2805"/>
      <c r="PFG78" s="2805"/>
      <c r="PFH78" s="2805"/>
      <c r="PFI78" s="2805"/>
      <c r="PFJ78" s="2805"/>
      <c r="PFK78" s="2805"/>
      <c r="PFL78" s="2805"/>
      <c r="PFM78" s="2805"/>
      <c r="PFN78" s="2805"/>
      <c r="PFO78" s="2805"/>
      <c r="PFP78" s="2805"/>
      <c r="PFQ78" s="2805"/>
      <c r="PFR78" s="2805"/>
      <c r="PFS78" s="2805"/>
      <c r="PFT78" s="2805"/>
      <c r="PFU78" s="2805"/>
      <c r="PFV78" s="2805"/>
      <c r="PFW78" s="2805"/>
      <c r="PFX78" s="2805"/>
      <c r="PFY78" s="2805"/>
      <c r="PFZ78" s="2805"/>
      <c r="PGA78" s="2805"/>
      <c r="PGB78" s="2805"/>
      <c r="PGC78" s="2805"/>
      <c r="PGD78" s="2805"/>
      <c r="PGE78" s="2805"/>
      <c r="PGF78" s="2805"/>
      <c r="PGG78" s="2805"/>
      <c r="PGH78" s="2805"/>
      <c r="PGI78" s="2805"/>
      <c r="PGJ78" s="2805"/>
      <c r="PGK78" s="2805"/>
      <c r="PGL78" s="2805"/>
      <c r="PGM78" s="2805"/>
      <c r="PGN78" s="2805"/>
      <c r="PGO78" s="2805"/>
      <c r="PGP78" s="2805"/>
      <c r="PGQ78" s="2805"/>
      <c r="PGR78" s="2805"/>
      <c r="PGS78" s="2805"/>
      <c r="PGT78" s="2805"/>
      <c r="PGU78" s="2805"/>
      <c r="PGV78" s="2805"/>
      <c r="PGW78" s="2805"/>
      <c r="PGX78" s="2805"/>
      <c r="PGY78" s="2805"/>
      <c r="PGZ78" s="2805"/>
      <c r="PHA78" s="2805"/>
      <c r="PHB78" s="2805"/>
      <c r="PHC78" s="2805"/>
      <c r="PHD78" s="2805"/>
      <c r="PHE78" s="2805"/>
      <c r="PHF78" s="2805"/>
      <c r="PHG78" s="2805"/>
      <c r="PHH78" s="2805"/>
      <c r="PHI78" s="2805"/>
      <c r="PHJ78" s="2805"/>
      <c r="PHK78" s="2805"/>
      <c r="PHL78" s="2805"/>
      <c r="PHM78" s="2805"/>
      <c r="PHN78" s="2805"/>
      <c r="PHO78" s="2805"/>
      <c r="PHP78" s="2805"/>
      <c r="PHQ78" s="2805"/>
      <c r="PHR78" s="2805"/>
      <c r="PHS78" s="2805"/>
      <c r="PHT78" s="2805"/>
      <c r="PHU78" s="2805"/>
      <c r="PHV78" s="2805"/>
      <c r="PHW78" s="2805"/>
      <c r="PHX78" s="2805"/>
      <c r="PHY78" s="2805"/>
      <c r="PHZ78" s="2805"/>
      <c r="PIA78" s="2805"/>
      <c r="PIB78" s="2805"/>
      <c r="PIC78" s="2805"/>
      <c r="PID78" s="2805"/>
      <c r="PIE78" s="2805"/>
      <c r="PIF78" s="2805"/>
      <c r="PIG78" s="2805"/>
      <c r="PIH78" s="2805"/>
      <c r="PII78" s="2805"/>
      <c r="PIJ78" s="2805"/>
      <c r="PIK78" s="2805"/>
      <c r="PIL78" s="2805"/>
      <c r="PIM78" s="2805"/>
      <c r="PIN78" s="2805"/>
      <c r="PIO78" s="2805"/>
      <c r="PIP78" s="2805"/>
      <c r="PIQ78" s="2805"/>
      <c r="PIR78" s="2805"/>
      <c r="PIS78" s="2805"/>
      <c r="PIT78" s="2805"/>
      <c r="PIU78" s="2805"/>
      <c r="PIV78" s="2805"/>
      <c r="PIW78" s="2805"/>
      <c r="PIX78" s="2805"/>
      <c r="PIY78" s="2805"/>
      <c r="PIZ78" s="2805"/>
      <c r="PJA78" s="2805"/>
      <c r="PJB78" s="2805"/>
      <c r="PJC78" s="2805"/>
      <c r="PJD78" s="2805"/>
      <c r="PJE78" s="2805"/>
      <c r="PJF78" s="2805"/>
      <c r="PJG78" s="2805"/>
      <c r="PJH78" s="2805"/>
      <c r="PJI78" s="2805"/>
      <c r="PJJ78" s="2805"/>
      <c r="PJK78" s="2805"/>
      <c r="PJL78" s="2805"/>
      <c r="PJM78" s="2805"/>
      <c r="PJN78" s="2805"/>
      <c r="PJO78" s="2805"/>
      <c r="PJP78" s="2805"/>
      <c r="PJQ78" s="2805"/>
      <c r="PJR78" s="2805"/>
      <c r="PJS78" s="2805"/>
      <c r="PJT78" s="2805"/>
      <c r="PJU78" s="2805"/>
      <c r="PJV78" s="2805"/>
      <c r="PJW78" s="2805"/>
      <c r="PJX78" s="2805"/>
      <c r="PJY78" s="2805"/>
      <c r="PJZ78" s="2805"/>
      <c r="PKA78" s="2805"/>
      <c r="PKB78" s="2805"/>
      <c r="PKC78" s="2805"/>
      <c r="PKD78" s="2805"/>
      <c r="PKE78" s="2805"/>
      <c r="PKF78" s="2805"/>
      <c r="PKG78" s="2805"/>
      <c r="PKH78" s="2805"/>
      <c r="PKI78" s="2805"/>
      <c r="PKJ78" s="2805"/>
      <c r="PKK78" s="2805"/>
      <c r="PKL78" s="2805"/>
      <c r="PKM78" s="2805"/>
      <c r="PKN78" s="2805"/>
      <c r="PKO78" s="2805"/>
      <c r="PKP78" s="2805"/>
      <c r="PKQ78" s="2805"/>
      <c r="PKR78" s="2805"/>
      <c r="PKS78" s="2805"/>
      <c r="PKT78" s="2805"/>
      <c r="PKU78" s="2805"/>
      <c r="PKV78" s="2805"/>
      <c r="PKW78" s="2805"/>
      <c r="PKX78" s="2805"/>
      <c r="PKY78" s="2805"/>
      <c r="PKZ78" s="2805"/>
      <c r="PLA78" s="2805"/>
      <c r="PLB78" s="2805"/>
      <c r="PLC78" s="2805"/>
      <c r="PLD78" s="2805"/>
      <c r="PLE78" s="2805"/>
      <c r="PLF78" s="2805"/>
      <c r="PLG78" s="2805"/>
      <c r="PLH78" s="2805"/>
      <c r="PLI78" s="2805"/>
      <c r="PLJ78" s="2805"/>
      <c r="PLK78" s="2805"/>
      <c r="PLL78" s="2805"/>
      <c r="PLM78" s="2805"/>
      <c r="PLN78" s="2805"/>
      <c r="PLO78" s="2805"/>
      <c r="PLP78" s="2805"/>
      <c r="PLQ78" s="2805"/>
      <c r="PLR78" s="2805"/>
      <c r="PLS78" s="2805"/>
      <c r="PLT78" s="2805"/>
      <c r="PLU78" s="2805"/>
      <c r="PLV78" s="2805"/>
      <c r="PLW78" s="2805"/>
      <c r="PLX78" s="2805"/>
      <c r="PLY78" s="2805"/>
      <c r="PLZ78" s="2805"/>
      <c r="PMA78" s="2805"/>
      <c r="PMB78" s="2805"/>
      <c r="PMC78" s="2805"/>
      <c r="PMD78" s="2805"/>
      <c r="PME78" s="2805"/>
      <c r="PMF78" s="2805"/>
      <c r="PMG78" s="2805"/>
      <c r="PMH78" s="2805"/>
      <c r="PMI78" s="2805"/>
      <c r="PMJ78" s="2805"/>
      <c r="PMK78" s="2805"/>
      <c r="PML78" s="2805"/>
      <c r="PMM78" s="2805"/>
      <c r="PMN78" s="2805"/>
      <c r="PMO78" s="2805"/>
      <c r="PMP78" s="2805"/>
      <c r="PMQ78" s="2805"/>
      <c r="PMR78" s="2805"/>
      <c r="PMS78" s="2805"/>
      <c r="PMT78" s="2805"/>
      <c r="PMU78" s="2805"/>
      <c r="PMV78" s="2805"/>
      <c r="PMW78" s="2805"/>
      <c r="PMX78" s="2805"/>
      <c r="PMY78" s="2805"/>
      <c r="PMZ78" s="2805"/>
      <c r="PNA78" s="2805"/>
      <c r="PNB78" s="2805"/>
      <c r="PNC78" s="2805"/>
      <c r="PND78" s="2805"/>
      <c r="PNE78" s="2805"/>
      <c r="PNF78" s="2805"/>
      <c r="PNG78" s="2805"/>
      <c r="PNH78" s="2805"/>
      <c r="PNI78" s="2805"/>
      <c r="PNJ78" s="2805"/>
      <c r="PNK78" s="2805"/>
      <c r="PNL78" s="2805"/>
      <c r="PNM78" s="2805"/>
      <c r="PNN78" s="2805"/>
      <c r="PNO78" s="2805"/>
      <c r="PNP78" s="2805"/>
      <c r="PNQ78" s="2805"/>
      <c r="PNR78" s="2805"/>
      <c r="PNS78" s="2805"/>
      <c r="PNT78" s="2805"/>
      <c r="PNU78" s="2805"/>
      <c r="PNV78" s="2805"/>
      <c r="PNW78" s="2805"/>
      <c r="PNX78" s="2805"/>
      <c r="PNY78" s="2805"/>
      <c r="PNZ78" s="2805"/>
      <c r="POA78" s="2805"/>
      <c r="POB78" s="2805"/>
      <c r="POC78" s="2805"/>
      <c r="POD78" s="2805"/>
      <c r="POE78" s="2805"/>
      <c r="POF78" s="2805"/>
      <c r="POG78" s="2805"/>
      <c r="POH78" s="2805"/>
      <c r="POI78" s="2805"/>
      <c r="POJ78" s="2805"/>
      <c r="POK78" s="2805"/>
      <c r="POL78" s="2805"/>
      <c r="POM78" s="2805"/>
      <c r="PON78" s="2805"/>
      <c r="POO78" s="2805"/>
      <c r="POP78" s="2805"/>
      <c r="POQ78" s="2805"/>
      <c r="POR78" s="2805"/>
      <c r="POS78" s="2805"/>
      <c r="POT78" s="2805"/>
      <c r="POU78" s="2805"/>
      <c r="POV78" s="2805"/>
      <c r="POW78" s="2805"/>
      <c r="POX78" s="2805"/>
      <c r="POY78" s="2805"/>
      <c r="POZ78" s="2805"/>
      <c r="PPA78" s="2805"/>
      <c r="PPB78" s="2805"/>
      <c r="PPC78" s="2805"/>
      <c r="PPD78" s="2805"/>
      <c r="PPE78" s="2805"/>
      <c r="PPF78" s="2805"/>
      <c r="PPG78" s="2805"/>
      <c r="PPH78" s="2805"/>
      <c r="PPI78" s="2805"/>
      <c r="PPJ78" s="2805"/>
      <c r="PPK78" s="2805"/>
      <c r="PPL78" s="2805"/>
      <c r="PPM78" s="2805"/>
      <c r="PPN78" s="2805"/>
      <c r="PPO78" s="2805"/>
      <c r="PPP78" s="2805"/>
      <c r="PPQ78" s="2805"/>
      <c r="PPR78" s="2805"/>
      <c r="PPS78" s="2805"/>
      <c r="PPT78" s="2805"/>
      <c r="PPU78" s="2805"/>
      <c r="PPV78" s="2805"/>
      <c r="PPW78" s="2805"/>
      <c r="PPX78" s="2805"/>
      <c r="PPY78" s="2805"/>
      <c r="PPZ78" s="2805"/>
      <c r="PQA78" s="2805"/>
      <c r="PQB78" s="2805"/>
      <c r="PQC78" s="2805"/>
      <c r="PQD78" s="2805"/>
      <c r="PQE78" s="2805"/>
      <c r="PQF78" s="2805"/>
      <c r="PQG78" s="2805"/>
      <c r="PQH78" s="2805"/>
      <c r="PQI78" s="2805"/>
      <c r="PQJ78" s="2805"/>
      <c r="PQK78" s="2805"/>
      <c r="PQL78" s="2805"/>
      <c r="PQM78" s="2805"/>
      <c r="PQN78" s="2805"/>
      <c r="PQO78" s="2805"/>
      <c r="PQP78" s="2805"/>
      <c r="PQQ78" s="2805"/>
      <c r="PQR78" s="2805"/>
      <c r="PQS78" s="2805"/>
      <c r="PQT78" s="2805"/>
      <c r="PQU78" s="2805"/>
      <c r="PQV78" s="2805"/>
      <c r="PQW78" s="2805"/>
      <c r="PQX78" s="2805"/>
      <c r="PQY78" s="2805"/>
      <c r="PQZ78" s="2805"/>
      <c r="PRA78" s="2805"/>
      <c r="PRB78" s="2805"/>
      <c r="PRC78" s="2805"/>
      <c r="PRD78" s="2805"/>
      <c r="PRE78" s="2805"/>
      <c r="PRF78" s="2805"/>
      <c r="PRG78" s="2805"/>
      <c r="PRH78" s="2805"/>
      <c r="PRI78" s="2805"/>
      <c r="PRJ78" s="2805"/>
      <c r="PRK78" s="2805"/>
      <c r="PRL78" s="2805"/>
      <c r="PRM78" s="2805"/>
      <c r="PRN78" s="2805"/>
      <c r="PRO78" s="2805"/>
      <c r="PRP78" s="2805"/>
      <c r="PRQ78" s="2805"/>
      <c r="PRR78" s="2805"/>
      <c r="PRS78" s="2805"/>
      <c r="PRT78" s="2805"/>
      <c r="PRU78" s="2805"/>
      <c r="PRV78" s="2805"/>
      <c r="PRW78" s="2805"/>
      <c r="PRX78" s="2805"/>
      <c r="PRY78" s="2805"/>
      <c r="PRZ78" s="2805"/>
      <c r="PSA78" s="2805"/>
      <c r="PSB78" s="2805"/>
      <c r="PSC78" s="2805"/>
      <c r="PSD78" s="2805"/>
      <c r="PSE78" s="2805"/>
      <c r="PSF78" s="2805"/>
      <c r="PSG78" s="2805"/>
      <c r="PSH78" s="2805"/>
      <c r="PSI78" s="2805"/>
      <c r="PSJ78" s="2805"/>
      <c r="PSK78" s="2805"/>
      <c r="PSL78" s="2805"/>
      <c r="PSM78" s="2805"/>
      <c r="PSN78" s="2805"/>
      <c r="PSO78" s="2805"/>
      <c r="PSP78" s="2805"/>
      <c r="PSQ78" s="2805"/>
      <c r="PSR78" s="2805"/>
      <c r="PSS78" s="2805"/>
      <c r="PST78" s="2805"/>
      <c r="PSU78" s="2805"/>
      <c r="PSV78" s="2805"/>
      <c r="PSW78" s="2805"/>
      <c r="PSX78" s="2805"/>
      <c r="PSY78" s="2805"/>
      <c r="PSZ78" s="2805"/>
      <c r="PTA78" s="2805"/>
      <c r="PTB78" s="2805"/>
      <c r="PTC78" s="2805"/>
      <c r="PTD78" s="2805"/>
      <c r="PTE78" s="2805"/>
      <c r="PTF78" s="2805"/>
      <c r="PTG78" s="2805"/>
      <c r="PTH78" s="2805"/>
      <c r="PTI78" s="2805"/>
      <c r="PTJ78" s="2805"/>
      <c r="PTK78" s="2805"/>
      <c r="PTL78" s="2805"/>
      <c r="PTM78" s="2805"/>
      <c r="PTN78" s="2805"/>
      <c r="PTO78" s="2805"/>
      <c r="PTP78" s="2805"/>
      <c r="PTQ78" s="2805"/>
      <c r="PTR78" s="2805"/>
      <c r="PTS78" s="2805"/>
      <c r="PTT78" s="2805"/>
      <c r="PTU78" s="2805"/>
      <c r="PTV78" s="2805"/>
      <c r="PTW78" s="2805"/>
      <c r="PTX78" s="2805"/>
      <c r="PTY78" s="2805"/>
      <c r="PTZ78" s="2805"/>
      <c r="PUA78" s="2805"/>
      <c r="PUB78" s="2805"/>
      <c r="PUC78" s="2805"/>
      <c r="PUD78" s="2805"/>
      <c r="PUE78" s="2805"/>
      <c r="PUF78" s="2805"/>
      <c r="PUG78" s="2805"/>
      <c r="PUH78" s="2805"/>
      <c r="PUI78" s="2805"/>
      <c r="PUJ78" s="2805"/>
      <c r="PUK78" s="2805"/>
      <c r="PUL78" s="2805"/>
      <c r="PUM78" s="2805"/>
      <c r="PUN78" s="2805"/>
      <c r="PUO78" s="2805"/>
      <c r="PUP78" s="2805"/>
      <c r="PUQ78" s="2805"/>
      <c r="PUR78" s="2805"/>
      <c r="PUS78" s="2805"/>
      <c r="PUT78" s="2805"/>
      <c r="PUU78" s="2805"/>
      <c r="PUV78" s="2805"/>
      <c r="PUW78" s="2805"/>
      <c r="PUX78" s="2805"/>
      <c r="PUY78" s="2805"/>
      <c r="PUZ78" s="2805"/>
      <c r="PVA78" s="2805"/>
      <c r="PVB78" s="2805"/>
      <c r="PVC78" s="2805"/>
      <c r="PVD78" s="2805"/>
      <c r="PVE78" s="2805"/>
      <c r="PVF78" s="2805"/>
      <c r="PVG78" s="2805"/>
      <c r="PVH78" s="2805"/>
      <c r="PVI78" s="2805"/>
      <c r="PVJ78" s="2805"/>
      <c r="PVK78" s="2805"/>
      <c r="PVL78" s="2805"/>
      <c r="PVM78" s="2805"/>
      <c r="PVN78" s="2805"/>
      <c r="PVO78" s="2805"/>
      <c r="PVP78" s="2805"/>
      <c r="PVQ78" s="2805"/>
      <c r="PVR78" s="2805"/>
      <c r="PVS78" s="2805"/>
      <c r="PVT78" s="2805"/>
      <c r="PVU78" s="2805"/>
      <c r="PVV78" s="2805"/>
      <c r="PVW78" s="2805"/>
      <c r="PVX78" s="2805"/>
      <c r="PVY78" s="2805"/>
      <c r="PVZ78" s="2805"/>
      <c r="PWA78" s="2805"/>
      <c r="PWB78" s="2805"/>
      <c r="PWC78" s="2805"/>
      <c r="PWD78" s="2805"/>
      <c r="PWE78" s="2805"/>
      <c r="PWF78" s="2805"/>
      <c r="PWG78" s="2805"/>
      <c r="PWH78" s="2805"/>
      <c r="PWI78" s="2805"/>
      <c r="PWJ78" s="2805"/>
      <c r="PWK78" s="2805"/>
      <c r="PWL78" s="2805"/>
      <c r="PWM78" s="2805"/>
      <c r="PWN78" s="2805"/>
      <c r="PWO78" s="2805"/>
      <c r="PWP78" s="2805"/>
      <c r="PWQ78" s="2805"/>
      <c r="PWR78" s="2805"/>
      <c r="PWS78" s="2805"/>
      <c r="PWT78" s="2805"/>
      <c r="PWU78" s="2805"/>
      <c r="PWV78" s="2805"/>
      <c r="PWW78" s="2805"/>
      <c r="PWX78" s="2805"/>
      <c r="PWY78" s="2805"/>
      <c r="PWZ78" s="2805"/>
      <c r="PXA78" s="2805"/>
      <c r="PXB78" s="2805"/>
      <c r="PXC78" s="2805"/>
      <c r="PXD78" s="2805"/>
      <c r="PXE78" s="2805"/>
      <c r="PXF78" s="2805"/>
      <c r="PXG78" s="2805"/>
      <c r="PXH78" s="2805"/>
      <c r="PXI78" s="2805"/>
      <c r="PXJ78" s="2805"/>
      <c r="PXK78" s="2805"/>
      <c r="PXL78" s="2805"/>
      <c r="PXM78" s="2805"/>
      <c r="PXN78" s="2805"/>
      <c r="PXO78" s="2805"/>
      <c r="PXP78" s="2805"/>
      <c r="PXQ78" s="2805"/>
      <c r="PXR78" s="2805"/>
      <c r="PXS78" s="2805"/>
      <c r="PXT78" s="2805"/>
      <c r="PXU78" s="2805"/>
      <c r="PXV78" s="2805"/>
      <c r="PXW78" s="2805"/>
      <c r="PXX78" s="2805"/>
      <c r="PXY78" s="2805"/>
      <c r="PXZ78" s="2805"/>
      <c r="PYA78" s="2805"/>
      <c r="PYB78" s="2805"/>
      <c r="PYC78" s="2805"/>
      <c r="PYD78" s="2805"/>
      <c r="PYE78" s="2805"/>
      <c r="PYF78" s="2805"/>
      <c r="PYG78" s="2805"/>
      <c r="PYH78" s="2805"/>
      <c r="PYI78" s="2805"/>
      <c r="PYJ78" s="2805"/>
      <c r="PYK78" s="2805"/>
      <c r="PYL78" s="2805"/>
      <c r="PYM78" s="2805"/>
      <c r="PYN78" s="2805"/>
      <c r="PYO78" s="2805"/>
      <c r="PYP78" s="2805"/>
      <c r="PYQ78" s="2805"/>
      <c r="PYR78" s="2805"/>
      <c r="PYS78" s="2805"/>
      <c r="PYT78" s="2805"/>
      <c r="PYU78" s="2805"/>
      <c r="PYV78" s="2805"/>
      <c r="PYW78" s="2805"/>
      <c r="PYX78" s="2805"/>
      <c r="PYY78" s="2805"/>
      <c r="PYZ78" s="2805"/>
      <c r="PZA78" s="2805"/>
      <c r="PZB78" s="2805"/>
      <c r="PZC78" s="2805"/>
      <c r="PZD78" s="2805"/>
      <c r="PZE78" s="2805"/>
      <c r="PZF78" s="2805"/>
      <c r="PZG78" s="2805"/>
      <c r="PZH78" s="2805"/>
      <c r="PZI78" s="2805"/>
      <c r="PZJ78" s="2805"/>
      <c r="PZK78" s="2805"/>
      <c r="PZL78" s="2805"/>
      <c r="PZM78" s="2805"/>
      <c r="PZN78" s="2805"/>
      <c r="PZO78" s="2805"/>
      <c r="PZP78" s="2805"/>
      <c r="PZQ78" s="2805"/>
      <c r="PZR78" s="2805"/>
      <c r="PZS78" s="2805"/>
      <c r="PZT78" s="2805"/>
      <c r="PZU78" s="2805"/>
      <c r="PZV78" s="2805"/>
      <c r="PZW78" s="2805"/>
      <c r="PZX78" s="2805"/>
      <c r="PZY78" s="2805"/>
      <c r="PZZ78" s="2805"/>
      <c r="QAA78" s="2805"/>
      <c r="QAB78" s="2805"/>
      <c r="QAC78" s="2805"/>
      <c r="QAD78" s="2805"/>
      <c r="QAE78" s="2805"/>
      <c r="QAF78" s="2805"/>
      <c r="QAG78" s="2805"/>
      <c r="QAH78" s="2805"/>
      <c r="QAI78" s="2805"/>
      <c r="QAJ78" s="2805"/>
      <c r="QAK78" s="2805"/>
      <c r="QAL78" s="2805"/>
      <c r="QAM78" s="2805"/>
      <c r="QAN78" s="2805"/>
      <c r="QAO78" s="2805"/>
      <c r="QAP78" s="2805"/>
      <c r="QAQ78" s="2805"/>
      <c r="QAR78" s="2805"/>
      <c r="QAS78" s="2805"/>
      <c r="QAT78" s="2805"/>
      <c r="QAU78" s="2805"/>
      <c r="QAV78" s="2805"/>
      <c r="QAW78" s="2805"/>
      <c r="QAX78" s="2805"/>
      <c r="QAY78" s="2805"/>
      <c r="QAZ78" s="2805"/>
      <c r="QBA78" s="2805"/>
      <c r="QBB78" s="2805"/>
      <c r="QBC78" s="2805"/>
      <c r="QBD78" s="2805"/>
      <c r="QBE78" s="2805"/>
      <c r="QBF78" s="2805"/>
      <c r="QBG78" s="2805"/>
      <c r="QBH78" s="2805"/>
      <c r="QBI78" s="2805"/>
      <c r="QBJ78" s="2805"/>
      <c r="QBK78" s="2805"/>
      <c r="QBL78" s="2805"/>
      <c r="QBM78" s="2805"/>
      <c r="QBN78" s="2805"/>
      <c r="QBO78" s="2805"/>
      <c r="QBP78" s="2805"/>
      <c r="QBQ78" s="2805"/>
      <c r="QBR78" s="2805"/>
      <c r="QBS78" s="2805"/>
      <c r="QBT78" s="2805"/>
      <c r="QBU78" s="2805"/>
      <c r="QBV78" s="2805"/>
      <c r="QBW78" s="2805"/>
      <c r="QBX78" s="2805"/>
      <c r="QBY78" s="2805"/>
      <c r="QBZ78" s="2805"/>
      <c r="QCA78" s="2805"/>
      <c r="QCB78" s="2805"/>
      <c r="QCC78" s="2805"/>
      <c r="QCD78" s="2805"/>
      <c r="QCE78" s="2805"/>
      <c r="QCF78" s="2805"/>
      <c r="QCG78" s="2805"/>
      <c r="QCH78" s="2805"/>
      <c r="QCI78" s="2805"/>
      <c r="QCJ78" s="2805"/>
      <c r="QCK78" s="2805"/>
      <c r="QCL78" s="2805"/>
      <c r="QCM78" s="2805"/>
      <c r="QCN78" s="2805"/>
      <c r="QCO78" s="2805"/>
      <c r="QCP78" s="2805"/>
      <c r="QCQ78" s="2805"/>
      <c r="QCR78" s="2805"/>
      <c r="QCS78" s="2805"/>
      <c r="QCT78" s="2805"/>
      <c r="QCU78" s="2805"/>
      <c r="QCV78" s="2805"/>
      <c r="QCW78" s="2805"/>
      <c r="QCX78" s="2805"/>
      <c r="QCY78" s="2805"/>
      <c r="QCZ78" s="2805"/>
      <c r="QDA78" s="2805"/>
      <c r="QDB78" s="2805"/>
      <c r="QDC78" s="2805"/>
      <c r="QDD78" s="2805"/>
      <c r="QDE78" s="2805"/>
      <c r="QDF78" s="2805"/>
      <c r="QDG78" s="2805"/>
      <c r="QDH78" s="2805"/>
      <c r="QDI78" s="2805"/>
      <c r="QDJ78" s="2805"/>
      <c r="QDK78" s="2805"/>
      <c r="QDL78" s="2805"/>
      <c r="QDM78" s="2805"/>
      <c r="QDN78" s="2805"/>
      <c r="QDO78" s="2805"/>
      <c r="QDP78" s="2805"/>
      <c r="QDQ78" s="2805"/>
      <c r="QDR78" s="2805"/>
      <c r="QDS78" s="2805"/>
      <c r="QDT78" s="2805"/>
      <c r="QDU78" s="2805"/>
      <c r="QDV78" s="2805"/>
      <c r="QDW78" s="2805"/>
      <c r="QDX78" s="2805"/>
      <c r="QDY78" s="2805"/>
      <c r="QDZ78" s="2805"/>
      <c r="QEA78" s="2805"/>
      <c r="QEB78" s="2805"/>
      <c r="QEC78" s="2805"/>
      <c r="QED78" s="2805"/>
      <c r="QEE78" s="2805"/>
      <c r="QEF78" s="2805"/>
      <c r="QEG78" s="2805"/>
      <c r="QEH78" s="2805"/>
      <c r="QEI78" s="2805"/>
      <c r="QEJ78" s="2805"/>
      <c r="QEK78" s="2805"/>
      <c r="QEL78" s="2805"/>
      <c r="QEM78" s="2805"/>
      <c r="QEN78" s="2805"/>
      <c r="QEO78" s="2805"/>
      <c r="QEP78" s="2805"/>
      <c r="QEQ78" s="2805"/>
      <c r="QER78" s="2805"/>
      <c r="QES78" s="2805"/>
      <c r="QET78" s="2805"/>
      <c r="QEU78" s="2805"/>
      <c r="QEV78" s="2805"/>
      <c r="QEW78" s="2805"/>
      <c r="QEX78" s="2805"/>
      <c r="QEY78" s="2805"/>
      <c r="QEZ78" s="2805"/>
      <c r="QFA78" s="2805"/>
      <c r="QFB78" s="2805"/>
      <c r="QFC78" s="2805"/>
      <c r="QFD78" s="2805"/>
      <c r="QFE78" s="2805"/>
      <c r="QFF78" s="2805"/>
      <c r="QFG78" s="2805"/>
      <c r="QFH78" s="2805"/>
      <c r="QFI78" s="2805"/>
      <c r="QFJ78" s="2805"/>
      <c r="QFK78" s="2805"/>
      <c r="QFL78" s="2805"/>
      <c r="QFM78" s="2805"/>
      <c r="QFN78" s="2805"/>
      <c r="QFO78" s="2805"/>
      <c r="QFP78" s="2805"/>
      <c r="QFQ78" s="2805"/>
      <c r="QFR78" s="2805"/>
      <c r="QFS78" s="2805"/>
      <c r="QFT78" s="2805"/>
      <c r="QFU78" s="2805"/>
      <c r="QFV78" s="2805"/>
      <c r="QFW78" s="2805"/>
      <c r="QFX78" s="2805"/>
      <c r="QFY78" s="2805"/>
      <c r="QFZ78" s="2805"/>
      <c r="QGA78" s="2805"/>
      <c r="QGB78" s="2805"/>
      <c r="QGC78" s="2805"/>
      <c r="QGD78" s="2805"/>
      <c r="QGE78" s="2805"/>
      <c r="QGF78" s="2805"/>
      <c r="QGG78" s="2805"/>
      <c r="QGH78" s="2805"/>
      <c r="QGI78" s="2805"/>
      <c r="QGJ78" s="2805"/>
      <c r="QGK78" s="2805"/>
      <c r="QGL78" s="2805"/>
      <c r="QGM78" s="2805"/>
      <c r="QGN78" s="2805"/>
      <c r="QGO78" s="2805"/>
      <c r="QGP78" s="2805"/>
      <c r="QGQ78" s="2805"/>
      <c r="QGR78" s="2805"/>
      <c r="QGS78" s="2805"/>
      <c r="QGT78" s="2805"/>
      <c r="QGU78" s="2805"/>
      <c r="QGV78" s="2805"/>
      <c r="QGW78" s="2805"/>
      <c r="QGX78" s="2805"/>
      <c r="QGY78" s="2805"/>
      <c r="QGZ78" s="2805"/>
      <c r="QHA78" s="2805"/>
      <c r="QHB78" s="2805"/>
      <c r="QHC78" s="2805"/>
      <c r="QHD78" s="2805"/>
      <c r="QHE78" s="2805"/>
      <c r="QHF78" s="2805"/>
      <c r="QHG78" s="2805"/>
      <c r="QHH78" s="2805"/>
      <c r="QHI78" s="2805"/>
      <c r="QHJ78" s="2805"/>
      <c r="QHK78" s="2805"/>
      <c r="QHL78" s="2805"/>
      <c r="QHM78" s="2805"/>
      <c r="QHN78" s="2805"/>
      <c r="QHO78" s="2805"/>
      <c r="QHP78" s="2805"/>
      <c r="QHQ78" s="2805"/>
      <c r="QHR78" s="2805"/>
      <c r="QHS78" s="2805"/>
      <c r="QHT78" s="2805"/>
      <c r="QHU78" s="2805"/>
      <c r="QHV78" s="2805"/>
      <c r="QHW78" s="2805"/>
      <c r="QHX78" s="2805"/>
      <c r="QHY78" s="2805"/>
      <c r="QHZ78" s="2805"/>
      <c r="QIA78" s="2805"/>
      <c r="QIB78" s="2805"/>
      <c r="QIC78" s="2805"/>
      <c r="QID78" s="2805"/>
      <c r="QIE78" s="2805"/>
      <c r="QIF78" s="2805"/>
      <c r="QIG78" s="2805"/>
      <c r="QIH78" s="2805"/>
      <c r="QII78" s="2805"/>
      <c r="QIJ78" s="2805"/>
      <c r="QIK78" s="2805"/>
      <c r="QIL78" s="2805"/>
      <c r="QIM78" s="2805"/>
      <c r="QIN78" s="2805"/>
      <c r="QIO78" s="2805"/>
      <c r="QIP78" s="2805"/>
      <c r="QIQ78" s="2805"/>
      <c r="QIR78" s="2805"/>
      <c r="QIS78" s="2805"/>
      <c r="QIT78" s="2805"/>
      <c r="QIU78" s="2805"/>
      <c r="QIV78" s="2805"/>
      <c r="QIW78" s="2805"/>
      <c r="QIX78" s="2805"/>
      <c r="QIY78" s="2805"/>
      <c r="QIZ78" s="2805"/>
      <c r="QJA78" s="2805"/>
      <c r="QJB78" s="2805"/>
      <c r="QJC78" s="2805"/>
      <c r="QJD78" s="2805"/>
      <c r="QJE78" s="2805"/>
      <c r="QJF78" s="2805"/>
      <c r="QJG78" s="2805"/>
      <c r="QJH78" s="2805"/>
      <c r="QJI78" s="2805"/>
      <c r="QJJ78" s="2805"/>
      <c r="QJK78" s="2805"/>
      <c r="QJL78" s="2805"/>
      <c r="QJM78" s="2805"/>
      <c r="QJN78" s="2805"/>
      <c r="QJO78" s="2805"/>
      <c r="QJP78" s="2805"/>
      <c r="QJQ78" s="2805"/>
      <c r="QJR78" s="2805"/>
      <c r="QJS78" s="2805"/>
      <c r="QJT78" s="2805"/>
      <c r="QJU78" s="2805"/>
      <c r="QJV78" s="2805"/>
      <c r="QJW78" s="2805"/>
      <c r="QJX78" s="2805"/>
      <c r="QJY78" s="2805"/>
      <c r="QJZ78" s="2805"/>
      <c r="QKA78" s="2805"/>
      <c r="QKB78" s="2805"/>
      <c r="QKC78" s="2805"/>
      <c r="QKD78" s="2805"/>
      <c r="QKE78" s="2805"/>
      <c r="QKF78" s="2805"/>
      <c r="QKG78" s="2805"/>
      <c r="QKH78" s="2805"/>
      <c r="QKI78" s="2805"/>
      <c r="QKJ78" s="2805"/>
      <c r="QKK78" s="2805"/>
      <c r="QKL78" s="2805"/>
      <c r="QKM78" s="2805"/>
      <c r="QKN78" s="2805"/>
      <c r="QKO78" s="2805"/>
      <c r="QKP78" s="2805"/>
      <c r="QKQ78" s="2805"/>
      <c r="QKR78" s="2805"/>
      <c r="QKS78" s="2805"/>
      <c r="QKT78" s="2805"/>
      <c r="QKU78" s="2805"/>
      <c r="QKV78" s="2805"/>
      <c r="QKW78" s="2805"/>
      <c r="QKX78" s="2805"/>
      <c r="QKY78" s="2805"/>
      <c r="QKZ78" s="2805"/>
      <c r="QLA78" s="2805"/>
      <c r="QLB78" s="2805"/>
      <c r="QLC78" s="2805"/>
      <c r="QLD78" s="2805"/>
      <c r="QLE78" s="2805"/>
      <c r="QLF78" s="2805"/>
      <c r="QLG78" s="2805"/>
      <c r="QLH78" s="2805"/>
      <c r="QLI78" s="2805"/>
      <c r="QLJ78" s="2805"/>
      <c r="QLK78" s="2805"/>
      <c r="QLL78" s="2805"/>
      <c r="QLM78" s="2805"/>
      <c r="QLN78" s="2805"/>
      <c r="QLO78" s="2805"/>
      <c r="QLP78" s="2805"/>
      <c r="QLQ78" s="2805"/>
      <c r="QLR78" s="2805"/>
      <c r="QLS78" s="2805"/>
      <c r="QLT78" s="2805"/>
      <c r="QLU78" s="2805"/>
      <c r="QLV78" s="2805"/>
      <c r="QLW78" s="2805"/>
      <c r="QLX78" s="2805"/>
      <c r="QLY78" s="2805"/>
      <c r="QLZ78" s="2805"/>
      <c r="QMA78" s="2805"/>
      <c r="QMB78" s="2805"/>
      <c r="QMC78" s="2805"/>
      <c r="QMD78" s="2805"/>
      <c r="QME78" s="2805"/>
      <c r="QMF78" s="2805"/>
      <c r="QMG78" s="2805"/>
      <c r="QMH78" s="2805"/>
      <c r="QMI78" s="2805"/>
      <c r="QMJ78" s="2805"/>
      <c r="QMK78" s="2805"/>
      <c r="QML78" s="2805"/>
      <c r="QMM78" s="2805"/>
      <c r="QMN78" s="2805"/>
      <c r="QMO78" s="2805"/>
      <c r="QMP78" s="2805"/>
      <c r="QMQ78" s="2805"/>
      <c r="QMR78" s="2805"/>
      <c r="QMS78" s="2805"/>
      <c r="QMT78" s="2805"/>
      <c r="QMU78" s="2805"/>
      <c r="QMV78" s="2805"/>
      <c r="QMW78" s="2805"/>
      <c r="QMX78" s="2805"/>
      <c r="QMY78" s="2805"/>
      <c r="QMZ78" s="2805"/>
      <c r="QNA78" s="2805"/>
      <c r="QNB78" s="2805"/>
      <c r="QNC78" s="2805"/>
      <c r="QND78" s="2805"/>
      <c r="QNE78" s="2805"/>
      <c r="QNF78" s="2805"/>
      <c r="QNG78" s="2805"/>
      <c r="QNH78" s="2805"/>
      <c r="QNI78" s="2805"/>
      <c r="QNJ78" s="2805"/>
      <c r="QNK78" s="2805"/>
      <c r="QNL78" s="2805"/>
      <c r="QNM78" s="2805"/>
      <c r="QNN78" s="2805"/>
      <c r="QNO78" s="2805"/>
      <c r="QNP78" s="2805"/>
      <c r="QNQ78" s="2805"/>
      <c r="QNR78" s="2805"/>
      <c r="QNS78" s="2805"/>
      <c r="QNT78" s="2805"/>
      <c r="QNU78" s="2805"/>
      <c r="QNV78" s="2805"/>
      <c r="QNW78" s="2805"/>
      <c r="QNX78" s="2805"/>
      <c r="QNY78" s="2805"/>
      <c r="QNZ78" s="2805"/>
      <c r="QOA78" s="2805"/>
      <c r="QOB78" s="2805"/>
      <c r="QOC78" s="2805"/>
      <c r="QOD78" s="2805"/>
      <c r="QOE78" s="2805"/>
      <c r="QOF78" s="2805"/>
      <c r="QOG78" s="2805"/>
      <c r="QOH78" s="2805"/>
      <c r="QOI78" s="2805"/>
      <c r="QOJ78" s="2805"/>
      <c r="QOK78" s="2805"/>
      <c r="QOL78" s="2805"/>
      <c r="QOM78" s="2805"/>
      <c r="QON78" s="2805"/>
      <c r="QOO78" s="2805"/>
      <c r="QOP78" s="2805"/>
      <c r="QOQ78" s="2805"/>
      <c r="QOR78" s="2805"/>
      <c r="QOS78" s="2805"/>
      <c r="QOT78" s="2805"/>
      <c r="QOU78" s="2805"/>
      <c r="QOV78" s="2805"/>
      <c r="QOW78" s="2805"/>
      <c r="QOX78" s="2805"/>
      <c r="QOY78" s="2805"/>
      <c r="QOZ78" s="2805"/>
      <c r="QPA78" s="2805"/>
      <c r="QPB78" s="2805"/>
      <c r="QPC78" s="2805"/>
      <c r="QPD78" s="2805"/>
      <c r="QPE78" s="2805"/>
      <c r="QPF78" s="2805"/>
      <c r="QPG78" s="2805"/>
      <c r="QPH78" s="2805"/>
      <c r="QPI78" s="2805"/>
      <c r="QPJ78" s="2805"/>
      <c r="QPK78" s="2805"/>
      <c r="QPL78" s="2805"/>
      <c r="QPM78" s="2805"/>
      <c r="QPN78" s="2805"/>
      <c r="QPO78" s="2805"/>
      <c r="QPP78" s="2805"/>
      <c r="QPQ78" s="2805"/>
      <c r="QPR78" s="2805"/>
      <c r="QPS78" s="2805"/>
      <c r="QPT78" s="2805"/>
      <c r="QPU78" s="2805"/>
      <c r="QPV78" s="2805"/>
      <c r="QPW78" s="2805"/>
      <c r="QPX78" s="2805"/>
      <c r="QPY78" s="2805"/>
      <c r="QPZ78" s="2805"/>
      <c r="QQA78" s="2805"/>
      <c r="QQB78" s="2805"/>
      <c r="QQC78" s="2805"/>
      <c r="QQD78" s="2805"/>
      <c r="QQE78" s="2805"/>
      <c r="QQF78" s="2805"/>
      <c r="QQG78" s="2805"/>
      <c r="QQH78" s="2805"/>
      <c r="QQI78" s="2805"/>
      <c r="QQJ78" s="2805"/>
      <c r="QQK78" s="2805"/>
      <c r="QQL78" s="2805"/>
      <c r="QQM78" s="2805"/>
      <c r="QQN78" s="2805"/>
      <c r="QQO78" s="2805"/>
      <c r="QQP78" s="2805"/>
      <c r="QQQ78" s="2805"/>
      <c r="QQR78" s="2805"/>
      <c r="QQS78" s="2805"/>
      <c r="QQT78" s="2805"/>
      <c r="QQU78" s="2805"/>
      <c r="QQV78" s="2805"/>
      <c r="QQW78" s="2805"/>
      <c r="QQX78" s="2805"/>
      <c r="QQY78" s="2805"/>
      <c r="QQZ78" s="2805"/>
      <c r="QRA78" s="2805"/>
      <c r="QRB78" s="2805"/>
      <c r="QRC78" s="2805"/>
      <c r="QRD78" s="2805"/>
      <c r="QRE78" s="2805"/>
      <c r="QRF78" s="2805"/>
      <c r="QRG78" s="2805"/>
      <c r="QRH78" s="2805"/>
      <c r="QRI78" s="2805"/>
      <c r="QRJ78" s="2805"/>
      <c r="QRK78" s="2805"/>
      <c r="QRL78" s="2805"/>
      <c r="QRM78" s="2805"/>
      <c r="QRN78" s="2805"/>
      <c r="QRO78" s="2805"/>
      <c r="QRP78" s="2805"/>
      <c r="QRQ78" s="2805"/>
      <c r="QRR78" s="2805"/>
      <c r="QRS78" s="2805"/>
      <c r="QRT78" s="2805"/>
      <c r="QRU78" s="2805"/>
      <c r="QRV78" s="2805"/>
      <c r="QRW78" s="2805"/>
      <c r="QRX78" s="2805"/>
      <c r="QRY78" s="2805"/>
      <c r="QRZ78" s="2805"/>
      <c r="QSA78" s="2805"/>
      <c r="QSB78" s="2805"/>
      <c r="QSC78" s="2805"/>
      <c r="QSD78" s="2805"/>
      <c r="QSE78" s="2805"/>
      <c r="QSF78" s="2805"/>
      <c r="QSG78" s="2805"/>
      <c r="QSH78" s="2805"/>
      <c r="QSI78" s="2805"/>
      <c r="QSJ78" s="2805"/>
      <c r="QSK78" s="2805"/>
      <c r="QSL78" s="2805"/>
      <c r="QSM78" s="2805"/>
      <c r="QSN78" s="2805"/>
      <c r="QSO78" s="2805"/>
      <c r="QSP78" s="2805"/>
      <c r="QSQ78" s="2805"/>
      <c r="QSR78" s="2805"/>
      <c r="QSS78" s="2805"/>
      <c r="QST78" s="2805"/>
      <c r="QSU78" s="2805"/>
      <c r="QSV78" s="2805"/>
      <c r="QSW78" s="2805"/>
      <c r="QSX78" s="2805"/>
      <c r="QSY78" s="2805"/>
      <c r="QSZ78" s="2805"/>
      <c r="QTA78" s="2805"/>
      <c r="QTB78" s="2805"/>
      <c r="QTC78" s="2805"/>
      <c r="QTD78" s="2805"/>
      <c r="QTE78" s="2805"/>
      <c r="QTF78" s="2805"/>
      <c r="QTG78" s="2805"/>
      <c r="QTH78" s="2805"/>
      <c r="QTI78" s="2805"/>
      <c r="QTJ78" s="2805"/>
      <c r="QTK78" s="2805"/>
      <c r="QTL78" s="2805"/>
      <c r="QTM78" s="2805"/>
      <c r="QTN78" s="2805"/>
      <c r="QTO78" s="2805"/>
      <c r="QTP78" s="2805"/>
      <c r="QTQ78" s="2805"/>
      <c r="QTR78" s="2805"/>
      <c r="QTS78" s="2805"/>
      <c r="QTT78" s="2805"/>
      <c r="QTU78" s="2805"/>
      <c r="QTV78" s="2805"/>
      <c r="QTW78" s="2805"/>
      <c r="QTX78" s="2805"/>
      <c r="QTY78" s="2805"/>
      <c r="QTZ78" s="2805"/>
      <c r="QUA78" s="2805"/>
      <c r="QUB78" s="2805"/>
      <c r="QUC78" s="2805"/>
      <c r="QUD78" s="2805"/>
      <c r="QUE78" s="2805"/>
      <c r="QUF78" s="2805"/>
      <c r="QUG78" s="2805"/>
      <c r="QUH78" s="2805"/>
      <c r="QUI78" s="2805"/>
      <c r="QUJ78" s="2805"/>
      <c r="QUK78" s="2805"/>
      <c r="QUL78" s="2805"/>
      <c r="QUM78" s="2805"/>
      <c r="QUN78" s="2805"/>
      <c r="QUO78" s="2805"/>
      <c r="QUP78" s="2805"/>
      <c r="QUQ78" s="2805"/>
      <c r="QUR78" s="2805"/>
      <c r="QUS78" s="2805"/>
      <c r="QUT78" s="2805"/>
      <c r="QUU78" s="2805"/>
      <c r="QUV78" s="2805"/>
      <c r="QUW78" s="2805"/>
      <c r="QUX78" s="2805"/>
      <c r="QUY78" s="2805"/>
      <c r="QUZ78" s="2805"/>
      <c r="QVA78" s="2805"/>
      <c r="QVB78" s="2805"/>
      <c r="QVC78" s="2805"/>
      <c r="QVD78" s="2805"/>
      <c r="QVE78" s="2805"/>
      <c r="QVF78" s="2805"/>
      <c r="QVG78" s="2805"/>
      <c r="QVH78" s="2805"/>
      <c r="QVI78" s="2805"/>
      <c r="QVJ78" s="2805"/>
      <c r="QVK78" s="2805"/>
      <c r="QVL78" s="2805"/>
      <c r="QVM78" s="2805"/>
      <c r="QVN78" s="2805"/>
      <c r="QVO78" s="2805"/>
      <c r="QVP78" s="2805"/>
      <c r="QVQ78" s="2805"/>
      <c r="QVR78" s="2805"/>
      <c r="QVS78" s="2805"/>
      <c r="QVT78" s="2805"/>
      <c r="QVU78" s="2805"/>
      <c r="QVV78" s="2805"/>
      <c r="QVW78" s="2805"/>
      <c r="QVX78" s="2805"/>
      <c r="QVY78" s="2805"/>
      <c r="QVZ78" s="2805"/>
      <c r="QWA78" s="2805"/>
      <c r="QWB78" s="2805"/>
      <c r="QWC78" s="2805"/>
      <c r="QWD78" s="2805"/>
      <c r="QWE78" s="2805"/>
      <c r="QWF78" s="2805"/>
      <c r="QWG78" s="2805"/>
      <c r="QWH78" s="2805"/>
      <c r="QWI78" s="2805"/>
      <c r="QWJ78" s="2805"/>
      <c r="QWK78" s="2805"/>
      <c r="QWL78" s="2805"/>
      <c r="QWM78" s="2805"/>
      <c r="QWN78" s="2805"/>
      <c r="QWO78" s="2805"/>
      <c r="QWP78" s="2805"/>
      <c r="QWQ78" s="2805"/>
      <c r="QWR78" s="2805"/>
      <c r="QWS78" s="2805"/>
      <c r="QWT78" s="2805"/>
      <c r="QWU78" s="2805"/>
      <c r="QWV78" s="2805"/>
      <c r="QWW78" s="2805"/>
      <c r="QWX78" s="2805"/>
      <c r="QWY78" s="2805"/>
      <c r="QWZ78" s="2805"/>
      <c r="QXA78" s="2805"/>
      <c r="QXB78" s="2805"/>
      <c r="QXC78" s="2805"/>
      <c r="QXD78" s="2805"/>
      <c r="QXE78" s="2805"/>
      <c r="QXF78" s="2805"/>
      <c r="QXG78" s="2805"/>
      <c r="QXH78" s="2805"/>
      <c r="QXI78" s="2805"/>
      <c r="QXJ78" s="2805"/>
      <c r="QXK78" s="2805"/>
      <c r="QXL78" s="2805"/>
      <c r="QXM78" s="2805"/>
      <c r="QXN78" s="2805"/>
      <c r="QXO78" s="2805"/>
      <c r="QXP78" s="2805"/>
      <c r="QXQ78" s="2805"/>
      <c r="QXR78" s="2805"/>
      <c r="QXS78" s="2805"/>
      <c r="QXT78" s="2805"/>
      <c r="QXU78" s="2805"/>
      <c r="QXV78" s="2805"/>
      <c r="QXW78" s="2805"/>
      <c r="QXX78" s="2805"/>
      <c r="QXY78" s="2805"/>
      <c r="QXZ78" s="2805"/>
      <c r="QYA78" s="2805"/>
      <c r="QYB78" s="2805"/>
      <c r="QYC78" s="2805"/>
      <c r="QYD78" s="2805"/>
      <c r="QYE78" s="2805"/>
      <c r="QYF78" s="2805"/>
      <c r="QYG78" s="2805"/>
      <c r="QYH78" s="2805"/>
      <c r="QYI78" s="2805"/>
      <c r="QYJ78" s="2805"/>
      <c r="QYK78" s="2805"/>
      <c r="QYL78" s="2805"/>
      <c r="QYM78" s="2805"/>
      <c r="QYN78" s="2805"/>
      <c r="QYO78" s="2805"/>
      <c r="QYP78" s="2805"/>
      <c r="QYQ78" s="2805"/>
      <c r="QYR78" s="2805"/>
      <c r="QYS78" s="2805"/>
      <c r="QYT78" s="2805"/>
      <c r="QYU78" s="2805"/>
      <c r="QYV78" s="2805"/>
      <c r="QYW78" s="2805"/>
      <c r="QYX78" s="2805"/>
      <c r="QYY78" s="2805"/>
      <c r="QYZ78" s="2805"/>
      <c r="QZA78" s="2805"/>
      <c r="QZB78" s="2805"/>
      <c r="QZC78" s="2805"/>
      <c r="QZD78" s="2805"/>
      <c r="QZE78" s="2805"/>
      <c r="QZF78" s="2805"/>
      <c r="QZG78" s="2805"/>
      <c r="QZH78" s="2805"/>
      <c r="QZI78" s="2805"/>
      <c r="QZJ78" s="2805"/>
      <c r="QZK78" s="2805"/>
      <c r="QZL78" s="2805"/>
      <c r="QZM78" s="2805"/>
      <c r="QZN78" s="2805"/>
      <c r="QZO78" s="2805"/>
      <c r="QZP78" s="2805"/>
      <c r="QZQ78" s="2805"/>
      <c r="QZR78" s="2805"/>
      <c r="QZS78" s="2805"/>
      <c r="QZT78" s="2805"/>
      <c r="QZU78" s="2805"/>
      <c r="QZV78" s="2805"/>
      <c r="QZW78" s="2805"/>
      <c r="QZX78" s="2805"/>
      <c r="QZY78" s="2805"/>
      <c r="QZZ78" s="2805"/>
      <c r="RAA78" s="2805"/>
      <c r="RAB78" s="2805"/>
      <c r="RAC78" s="2805"/>
      <c r="RAD78" s="2805"/>
      <c r="RAE78" s="2805"/>
      <c r="RAF78" s="2805"/>
      <c r="RAG78" s="2805"/>
      <c r="RAH78" s="2805"/>
      <c r="RAI78" s="2805"/>
      <c r="RAJ78" s="2805"/>
      <c r="RAK78" s="2805"/>
      <c r="RAL78" s="2805"/>
      <c r="RAM78" s="2805"/>
      <c r="RAN78" s="2805"/>
      <c r="RAO78" s="2805"/>
      <c r="RAP78" s="2805"/>
      <c r="RAQ78" s="2805"/>
      <c r="RAR78" s="2805"/>
      <c r="RAS78" s="2805"/>
      <c r="RAT78" s="2805"/>
      <c r="RAU78" s="2805"/>
      <c r="RAV78" s="2805"/>
      <c r="RAW78" s="2805"/>
      <c r="RAX78" s="2805"/>
      <c r="RAY78" s="2805"/>
      <c r="RAZ78" s="2805"/>
      <c r="RBA78" s="2805"/>
      <c r="RBB78" s="2805"/>
      <c r="RBC78" s="2805"/>
      <c r="RBD78" s="2805"/>
      <c r="RBE78" s="2805"/>
      <c r="RBF78" s="2805"/>
      <c r="RBG78" s="2805"/>
      <c r="RBH78" s="2805"/>
      <c r="RBI78" s="2805"/>
      <c r="RBJ78" s="2805"/>
      <c r="RBK78" s="2805"/>
      <c r="RBL78" s="2805"/>
      <c r="RBM78" s="2805"/>
      <c r="RBN78" s="2805"/>
      <c r="RBO78" s="2805"/>
      <c r="RBP78" s="2805"/>
      <c r="RBQ78" s="2805"/>
      <c r="RBR78" s="2805"/>
      <c r="RBS78" s="2805"/>
      <c r="RBT78" s="2805"/>
      <c r="RBU78" s="2805"/>
      <c r="RBV78" s="2805"/>
      <c r="RBW78" s="2805"/>
      <c r="RBX78" s="2805"/>
      <c r="RBY78" s="2805"/>
      <c r="RBZ78" s="2805"/>
      <c r="RCA78" s="2805"/>
      <c r="RCB78" s="2805"/>
      <c r="RCC78" s="2805"/>
      <c r="RCD78" s="2805"/>
      <c r="RCE78" s="2805"/>
      <c r="RCF78" s="2805"/>
      <c r="RCG78" s="2805"/>
      <c r="RCH78" s="2805"/>
      <c r="RCI78" s="2805"/>
      <c r="RCJ78" s="2805"/>
      <c r="RCK78" s="2805"/>
      <c r="RCL78" s="2805"/>
      <c r="RCM78" s="2805"/>
      <c r="RCN78" s="2805"/>
      <c r="RCO78" s="2805"/>
      <c r="RCP78" s="2805"/>
      <c r="RCQ78" s="2805"/>
      <c r="RCR78" s="2805"/>
      <c r="RCS78" s="2805"/>
      <c r="RCT78" s="2805"/>
      <c r="RCU78" s="2805"/>
      <c r="RCV78" s="2805"/>
      <c r="RCW78" s="2805"/>
      <c r="RCX78" s="2805"/>
      <c r="RCY78" s="2805"/>
      <c r="RCZ78" s="2805"/>
      <c r="RDA78" s="2805"/>
      <c r="RDB78" s="2805"/>
      <c r="RDC78" s="2805"/>
      <c r="RDD78" s="2805"/>
      <c r="RDE78" s="2805"/>
      <c r="RDF78" s="2805"/>
      <c r="RDG78" s="2805"/>
      <c r="RDH78" s="2805"/>
      <c r="RDI78" s="2805"/>
      <c r="RDJ78" s="2805"/>
      <c r="RDK78" s="2805"/>
      <c r="RDL78" s="2805"/>
      <c r="RDM78" s="2805"/>
      <c r="RDN78" s="2805"/>
      <c r="RDO78" s="2805"/>
      <c r="RDP78" s="2805"/>
      <c r="RDQ78" s="2805"/>
      <c r="RDR78" s="2805"/>
      <c r="RDS78" s="2805"/>
      <c r="RDT78" s="2805"/>
      <c r="RDU78" s="2805"/>
      <c r="RDV78" s="2805"/>
      <c r="RDW78" s="2805"/>
      <c r="RDX78" s="2805"/>
      <c r="RDY78" s="2805"/>
      <c r="RDZ78" s="2805"/>
      <c r="REA78" s="2805"/>
      <c r="REB78" s="2805"/>
      <c r="REC78" s="2805"/>
      <c r="RED78" s="2805"/>
      <c r="REE78" s="2805"/>
      <c r="REF78" s="2805"/>
      <c r="REG78" s="2805"/>
      <c r="REH78" s="2805"/>
      <c r="REI78" s="2805"/>
      <c r="REJ78" s="2805"/>
      <c r="REK78" s="2805"/>
      <c r="REL78" s="2805"/>
      <c r="REM78" s="2805"/>
      <c r="REN78" s="2805"/>
      <c r="REO78" s="2805"/>
      <c r="REP78" s="2805"/>
      <c r="REQ78" s="2805"/>
      <c r="RER78" s="2805"/>
      <c r="RES78" s="2805"/>
      <c r="RET78" s="2805"/>
      <c r="REU78" s="2805"/>
      <c r="REV78" s="2805"/>
      <c r="REW78" s="2805"/>
      <c r="REX78" s="2805"/>
      <c r="REY78" s="2805"/>
      <c r="REZ78" s="2805"/>
      <c r="RFA78" s="2805"/>
      <c r="RFB78" s="2805"/>
      <c r="RFC78" s="2805"/>
      <c r="RFD78" s="2805"/>
      <c r="RFE78" s="2805"/>
      <c r="RFF78" s="2805"/>
      <c r="RFG78" s="2805"/>
      <c r="RFH78" s="2805"/>
      <c r="RFI78" s="2805"/>
      <c r="RFJ78" s="2805"/>
      <c r="RFK78" s="2805"/>
      <c r="RFL78" s="2805"/>
      <c r="RFM78" s="2805"/>
      <c r="RFN78" s="2805"/>
      <c r="RFO78" s="2805"/>
      <c r="RFP78" s="2805"/>
      <c r="RFQ78" s="2805"/>
      <c r="RFR78" s="2805"/>
      <c r="RFS78" s="2805"/>
      <c r="RFT78" s="2805"/>
      <c r="RFU78" s="2805"/>
      <c r="RFV78" s="2805"/>
      <c r="RFW78" s="2805"/>
      <c r="RFX78" s="2805"/>
      <c r="RFY78" s="2805"/>
      <c r="RFZ78" s="2805"/>
      <c r="RGA78" s="2805"/>
      <c r="RGB78" s="2805"/>
      <c r="RGC78" s="2805"/>
      <c r="RGD78" s="2805"/>
      <c r="RGE78" s="2805"/>
      <c r="RGF78" s="2805"/>
      <c r="RGG78" s="2805"/>
      <c r="RGH78" s="2805"/>
      <c r="RGI78" s="2805"/>
      <c r="RGJ78" s="2805"/>
      <c r="RGK78" s="2805"/>
      <c r="RGL78" s="2805"/>
      <c r="RGM78" s="2805"/>
      <c r="RGN78" s="2805"/>
      <c r="RGO78" s="2805"/>
      <c r="RGP78" s="2805"/>
      <c r="RGQ78" s="2805"/>
      <c r="RGR78" s="2805"/>
      <c r="RGS78" s="2805"/>
      <c r="RGT78" s="2805"/>
      <c r="RGU78" s="2805"/>
      <c r="RGV78" s="2805"/>
      <c r="RGW78" s="2805"/>
      <c r="RGX78" s="2805"/>
      <c r="RGY78" s="2805"/>
      <c r="RGZ78" s="2805"/>
      <c r="RHA78" s="2805"/>
      <c r="RHB78" s="2805"/>
      <c r="RHC78" s="2805"/>
      <c r="RHD78" s="2805"/>
      <c r="RHE78" s="2805"/>
      <c r="RHF78" s="2805"/>
      <c r="RHG78" s="2805"/>
      <c r="RHH78" s="2805"/>
      <c r="RHI78" s="2805"/>
      <c r="RHJ78" s="2805"/>
      <c r="RHK78" s="2805"/>
      <c r="RHL78" s="2805"/>
      <c r="RHM78" s="2805"/>
      <c r="RHN78" s="2805"/>
      <c r="RHO78" s="2805"/>
      <c r="RHP78" s="2805"/>
      <c r="RHQ78" s="2805"/>
      <c r="RHR78" s="2805"/>
      <c r="RHS78" s="2805"/>
      <c r="RHT78" s="2805"/>
      <c r="RHU78" s="2805"/>
      <c r="RHV78" s="2805"/>
      <c r="RHW78" s="2805"/>
      <c r="RHX78" s="2805"/>
      <c r="RHY78" s="2805"/>
      <c r="RHZ78" s="2805"/>
      <c r="RIA78" s="2805"/>
      <c r="RIB78" s="2805"/>
      <c r="RIC78" s="2805"/>
      <c r="RID78" s="2805"/>
      <c r="RIE78" s="2805"/>
      <c r="RIF78" s="2805"/>
      <c r="RIG78" s="2805"/>
      <c r="RIH78" s="2805"/>
      <c r="RII78" s="2805"/>
      <c r="RIJ78" s="2805"/>
      <c r="RIK78" s="2805"/>
      <c r="RIL78" s="2805"/>
      <c r="RIM78" s="2805"/>
      <c r="RIN78" s="2805"/>
      <c r="RIO78" s="2805"/>
      <c r="RIP78" s="2805"/>
      <c r="RIQ78" s="2805"/>
      <c r="RIR78" s="2805"/>
      <c r="RIS78" s="2805"/>
      <c r="RIT78" s="2805"/>
      <c r="RIU78" s="2805"/>
      <c r="RIV78" s="2805"/>
      <c r="RIW78" s="2805"/>
      <c r="RIX78" s="2805"/>
      <c r="RIY78" s="2805"/>
      <c r="RIZ78" s="2805"/>
      <c r="RJA78" s="2805"/>
      <c r="RJB78" s="2805"/>
      <c r="RJC78" s="2805"/>
      <c r="RJD78" s="2805"/>
      <c r="RJE78" s="2805"/>
      <c r="RJF78" s="2805"/>
      <c r="RJG78" s="2805"/>
      <c r="RJH78" s="2805"/>
      <c r="RJI78" s="2805"/>
      <c r="RJJ78" s="2805"/>
      <c r="RJK78" s="2805"/>
      <c r="RJL78" s="2805"/>
      <c r="RJM78" s="2805"/>
      <c r="RJN78" s="2805"/>
      <c r="RJO78" s="2805"/>
      <c r="RJP78" s="2805"/>
      <c r="RJQ78" s="2805"/>
      <c r="RJR78" s="2805"/>
      <c r="RJS78" s="2805"/>
      <c r="RJT78" s="2805"/>
      <c r="RJU78" s="2805"/>
      <c r="RJV78" s="2805"/>
      <c r="RJW78" s="2805"/>
      <c r="RJX78" s="2805"/>
      <c r="RJY78" s="2805"/>
      <c r="RJZ78" s="2805"/>
      <c r="RKA78" s="2805"/>
      <c r="RKB78" s="2805"/>
      <c r="RKC78" s="2805"/>
      <c r="RKD78" s="2805"/>
      <c r="RKE78" s="2805"/>
      <c r="RKF78" s="2805"/>
      <c r="RKG78" s="2805"/>
      <c r="RKH78" s="2805"/>
      <c r="RKI78" s="2805"/>
      <c r="RKJ78" s="2805"/>
      <c r="RKK78" s="2805"/>
      <c r="RKL78" s="2805"/>
      <c r="RKM78" s="2805"/>
      <c r="RKN78" s="2805"/>
      <c r="RKO78" s="2805"/>
      <c r="RKP78" s="2805"/>
      <c r="RKQ78" s="2805"/>
      <c r="RKR78" s="2805"/>
      <c r="RKS78" s="2805"/>
      <c r="RKT78" s="2805"/>
      <c r="RKU78" s="2805"/>
      <c r="RKV78" s="2805"/>
      <c r="RKW78" s="2805"/>
      <c r="RKX78" s="2805"/>
      <c r="RKY78" s="2805"/>
      <c r="RKZ78" s="2805"/>
      <c r="RLA78" s="2805"/>
      <c r="RLB78" s="2805"/>
      <c r="RLC78" s="2805"/>
      <c r="RLD78" s="2805"/>
      <c r="RLE78" s="2805"/>
      <c r="RLF78" s="2805"/>
      <c r="RLG78" s="2805"/>
      <c r="RLH78" s="2805"/>
      <c r="RLI78" s="2805"/>
      <c r="RLJ78" s="2805"/>
      <c r="RLK78" s="2805"/>
      <c r="RLL78" s="2805"/>
      <c r="RLM78" s="2805"/>
      <c r="RLN78" s="2805"/>
      <c r="RLO78" s="2805"/>
      <c r="RLP78" s="2805"/>
      <c r="RLQ78" s="2805"/>
      <c r="RLR78" s="2805"/>
      <c r="RLS78" s="2805"/>
      <c r="RLT78" s="2805"/>
      <c r="RLU78" s="2805"/>
      <c r="RLV78" s="2805"/>
      <c r="RLW78" s="2805"/>
      <c r="RLX78" s="2805"/>
      <c r="RLY78" s="2805"/>
      <c r="RLZ78" s="2805"/>
      <c r="RMA78" s="2805"/>
      <c r="RMB78" s="2805"/>
      <c r="RMC78" s="2805"/>
      <c r="RMD78" s="2805"/>
      <c r="RME78" s="2805"/>
      <c r="RMF78" s="2805"/>
      <c r="RMG78" s="2805"/>
      <c r="RMH78" s="2805"/>
      <c r="RMI78" s="2805"/>
      <c r="RMJ78" s="2805"/>
      <c r="RMK78" s="2805"/>
      <c r="RML78" s="2805"/>
      <c r="RMM78" s="2805"/>
      <c r="RMN78" s="2805"/>
      <c r="RMO78" s="2805"/>
      <c r="RMP78" s="2805"/>
      <c r="RMQ78" s="2805"/>
      <c r="RMR78" s="2805"/>
      <c r="RMS78" s="2805"/>
      <c r="RMT78" s="2805"/>
      <c r="RMU78" s="2805"/>
      <c r="RMV78" s="2805"/>
      <c r="RMW78" s="2805"/>
      <c r="RMX78" s="2805"/>
      <c r="RMY78" s="2805"/>
      <c r="RMZ78" s="2805"/>
      <c r="RNA78" s="2805"/>
      <c r="RNB78" s="2805"/>
      <c r="RNC78" s="2805"/>
      <c r="RND78" s="2805"/>
      <c r="RNE78" s="2805"/>
      <c r="RNF78" s="2805"/>
      <c r="RNG78" s="2805"/>
      <c r="RNH78" s="2805"/>
      <c r="RNI78" s="2805"/>
      <c r="RNJ78" s="2805"/>
      <c r="RNK78" s="2805"/>
      <c r="RNL78" s="2805"/>
      <c r="RNM78" s="2805"/>
      <c r="RNN78" s="2805"/>
      <c r="RNO78" s="2805"/>
      <c r="RNP78" s="2805"/>
      <c r="RNQ78" s="2805"/>
      <c r="RNR78" s="2805"/>
      <c r="RNS78" s="2805"/>
      <c r="RNT78" s="2805"/>
      <c r="RNU78" s="2805"/>
      <c r="RNV78" s="2805"/>
      <c r="RNW78" s="2805"/>
      <c r="RNX78" s="2805"/>
      <c r="RNY78" s="2805"/>
      <c r="RNZ78" s="2805"/>
      <c r="ROA78" s="2805"/>
      <c r="ROB78" s="2805"/>
      <c r="ROC78" s="2805"/>
      <c r="ROD78" s="2805"/>
      <c r="ROE78" s="2805"/>
      <c r="ROF78" s="2805"/>
      <c r="ROG78" s="2805"/>
      <c r="ROH78" s="2805"/>
      <c r="ROI78" s="2805"/>
      <c r="ROJ78" s="2805"/>
      <c r="ROK78" s="2805"/>
      <c r="ROL78" s="2805"/>
      <c r="ROM78" s="2805"/>
      <c r="RON78" s="2805"/>
      <c r="ROO78" s="2805"/>
      <c r="ROP78" s="2805"/>
      <c r="ROQ78" s="2805"/>
      <c r="ROR78" s="2805"/>
      <c r="ROS78" s="2805"/>
      <c r="ROT78" s="2805"/>
      <c r="ROU78" s="2805"/>
      <c r="ROV78" s="2805"/>
      <c r="ROW78" s="2805"/>
      <c r="ROX78" s="2805"/>
      <c r="ROY78" s="2805"/>
      <c r="ROZ78" s="2805"/>
      <c r="RPA78" s="2805"/>
      <c r="RPB78" s="2805"/>
      <c r="RPC78" s="2805"/>
      <c r="RPD78" s="2805"/>
      <c r="RPE78" s="2805"/>
      <c r="RPF78" s="2805"/>
      <c r="RPG78" s="2805"/>
      <c r="RPH78" s="2805"/>
      <c r="RPI78" s="2805"/>
      <c r="RPJ78" s="2805"/>
      <c r="RPK78" s="2805"/>
      <c r="RPL78" s="2805"/>
      <c r="RPM78" s="2805"/>
      <c r="RPN78" s="2805"/>
      <c r="RPO78" s="2805"/>
      <c r="RPP78" s="2805"/>
      <c r="RPQ78" s="2805"/>
      <c r="RPR78" s="2805"/>
      <c r="RPS78" s="2805"/>
      <c r="RPT78" s="2805"/>
      <c r="RPU78" s="2805"/>
      <c r="RPV78" s="2805"/>
      <c r="RPW78" s="2805"/>
      <c r="RPX78" s="2805"/>
      <c r="RPY78" s="2805"/>
      <c r="RPZ78" s="2805"/>
      <c r="RQA78" s="2805"/>
      <c r="RQB78" s="2805"/>
      <c r="RQC78" s="2805"/>
      <c r="RQD78" s="2805"/>
      <c r="RQE78" s="2805"/>
      <c r="RQF78" s="2805"/>
      <c r="RQG78" s="2805"/>
      <c r="RQH78" s="2805"/>
      <c r="RQI78" s="2805"/>
      <c r="RQJ78" s="2805"/>
      <c r="RQK78" s="2805"/>
      <c r="RQL78" s="2805"/>
      <c r="RQM78" s="2805"/>
      <c r="RQN78" s="2805"/>
      <c r="RQO78" s="2805"/>
      <c r="RQP78" s="2805"/>
      <c r="RQQ78" s="2805"/>
      <c r="RQR78" s="2805"/>
      <c r="RQS78" s="2805"/>
      <c r="RQT78" s="2805"/>
      <c r="RQU78" s="2805"/>
      <c r="RQV78" s="2805"/>
      <c r="RQW78" s="2805"/>
      <c r="RQX78" s="2805"/>
      <c r="RQY78" s="2805"/>
      <c r="RQZ78" s="2805"/>
      <c r="RRA78" s="2805"/>
      <c r="RRB78" s="2805"/>
      <c r="RRC78" s="2805"/>
      <c r="RRD78" s="2805"/>
      <c r="RRE78" s="2805"/>
      <c r="RRF78" s="2805"/>
      <c r="RRG78" s="2805"/>
      <c r="RRH78" s="2805"/>
      <c r="RRI78" s="2805"/>
      <c r="RRJ78" s="2805"/>
      <c r="RRK78" s="2805"/>
      <c r="RRL78" s="2805"/>
      <c r="RRM78" s="2805"/>
      <c r="RRN78" s="2805"/>
      <c r="RRO78" s="2805"/>
      <c r="RRP78" s="2805"/>
      <c r="RRQ78" s="2805"/>
      <c r="RRR78" s="2805"/>
      <c r="RRS78" s="2805"/>
      <c r="RRT78" s="2805"/>
      <c r="RRU78" s="2805"/>
      <c r="RRV78" s="2805"/>
      <c r="RRW78" s="2805"/>
      <c r="RRX78" s="2805"/>
      <c r="RRY78" s="2805"/>
      <c r="RRZ78" s="2805"/>
      <c r="RSA78" s="2805"/>
      <c r="RSB78" s="2805"/>
      <c r="RSC78" s="2805"/>
      <c r="RSD78" s="2805"/>
      <c r="RSE78" s="2805"/>
      <c r="RSF78" s="2805"/>
      <c r="RSG78" s="2805"/>
      <c r="RSH78" s="2805"/>
      <c r="RSI78" s="2805"/>
      <c r="RSJ78" s="2805"/>
      <c r="RSK78" s="2805"/>
      <c r="RSL78" s="2805"/>
      <c r="RSM78" s="2805"/>
      <c r="RSN78" s="2805"/>
      <c r="RSO78" s="2805"/>
      <c r="RSP78" s="2805"/>
      <c r="RSQ78" s="2805"/>
      <c r="RSR78" s="2805"/>
      <c r="RSS78" s="2805"/>
      <c r="RST78" s="2805"/>
      <c r="RSU78" s="2805"/>
      <c r="RSV78" s="2805"/>
      <c r="RSW78" s="2805"/>
      <c r="RSX78" s="2805"/>
      <c r="RSY78" s="2805"/>
      <c r="RSZ78" s="2805"/>
      <c r="RTA78" s="2805"/>
      <c r="RTB78" s="2805"/>
      <c r="RTC78" s="2805"/>
      <c r="RTD78" s="2805"/>
      <c r="RTE78" s="2805"/>
      <c r="RTF78" s="2805"/>
      <c r="RTG78" s="2805"/>
      <c r="RTH78" s="2805"/>
      <c r="RTI78" s="2805"/>
      <c r="RTJ78" s="2805"/>
      <c r="RTK78" s="2805"/>
      <c r="RTL78" s="2805"/>
      <c r="RTM78" s="2805"/>
      <c r="RTN78" s="2805"/>
      <c r="RTO78" s="2805"/>
      <c r="RTP78" s="2805"/>
      <c r="RTQ78" s="2805"/>
      <c r="RTR78" s="2805"/>
      <c r="RTS78" s="2805"/>
      <c r="RTT78" s="2805"/>
      <c r="RTU78" s="2805"/>
      <c r="RTV78" s="2805"/>
      <c r="RTW78" s="2805"/>
      <c r="RTX78" s="2805"/>
      <c r="RTY78" s="2805"/>
      <c r="RTZ78" s="2805"/>
      <c r="RUA78" s="2805"/>
      <c r="RUB78" s="2805"/>
      <c r="RUC78" s="2805"/>
      <c r="RUD78" s="2805"/>
      <c r="RUE78" s="2805"/>
      <c r="RUF78" s="2805"/>
      <c r="RUG78" s="2805"/>
      <c r="RUH78" s="2805"/>
      <c r="RUI78" s="2805"/>
      <c r="RUJ78" s="2805"/>
      <c r="RUK78" s="2805"/>
      <c r="RUL78" s="2805"/>
      <c r="RUM78" s="2805"/>
      <c r="RUN78" s="2805"/>
      <c r="RUO78" s="2805"/>
      <c r="RUP78" s="2805"/>
      <c r="RUQ78" s="2805"/>
      <c r="RUR78" s="2805"/>
      <c r="RUS78" s="2805"/>
      <c r="RUT78" s="2805"/>
      <c r="RUU78" s="2805"/>
      <c r="RUV78" s="2805"/>
      <c r="RUW78" s="2805"/>
      <c r="RUX78" s="2805"/>
      <c r="RUY78" s="2805"/>
      <c r="RUZ78" s="2805"/>
      <c r="RVA78" s="2805"/>
      <c r="RVB78" s="2805"/>
      <c r="RVC78" s="2805"/>
      <c r="RVD78" s="2805"/>
      <c r="RVE78" s="2805"/>
      <c r="RVF78" s="2805"/>
      <c r="RVG78" s="2805"/>
      <c r="RVH78" s="2805"/>
      <c r="RVI78" s="2805"/>
      <c r="RVJ78" s="2805"/>
      <c r="RVK78" s="2805"/>
      <c r="RVL78" s="2805"/>
      <c r="RVM78" s="2805"/>
      <c r="RVN78" s="2805"/>
      <c r="RVO78" s="2805"/>
      <c r="RVP78" s="2805"/>
      <c r="RVQ78" s="2805"/>
      <c r="RVR78" s="2805"/>
      <c r="RVS78" s="2805"/>
      <c r="RVT78" s="2805"/>
      <c r="RVU78" s="2805"/>
      <c r="RVV78" s="2805"/>
      <c r="RVW78" s="2805"/>
      <c r="RVX78" s="2805"/>
      <c r="RVY78" s="2805"/>
      <c r="RVZ78" s="2805"/>
      <c r="RWA78" s="2805"/>
      <c r="RWB78" s="2805"/>
      <c r="RWC78" s="2805"/>
      <c r="RWD78" s="2805"/>
      <c r="RWE78" s="2805"/>
      <c r="RWF78" s="2805"/>
      <c r="RWG78" s="2805"/>
      <c r="RWH78" s="2805"/>
      <c r="RWI78" s="2805"/>
      <c r="RWJ78" s="2805"/>
      <c r="RWK78" s="2805"/>
      <c r="RWL78" s="2805"/>
      <c r="RWM78" s="2805"/>
      <c r="RWN78" s="2805"/>
      <c r="RWO78" s="2805"/>
      <c r="RWP78" s="2805"/>
      <c r="RWQ78" s="2805"/>
      <c r="RWR78" s="2805"/>
      <c r="RWS78" s="2805"/>
      <c r="RWT78" s="2805"/>
      <c r="RWU78" s="2805"/>
      <c r="RWV78" s="2805"/>
      <c r="RWW78" s="2805"/>
      <c r="RWX78" s="2805"/>
      <c r="RWY78" s="2805"/>
      <c r="RWZ78" s="2805"/>
      <c r="RXA78" s="2805"/>
      <c r="RXB78" s="2805"/>
      <c r="RXC78" s="2805"/>
      <c r="RXD78" s="2805"/>
      <c r="RXE78" s="2805"/>
      <c r="RXF78" s="2805"/>
      <c r="RXG78" s="2805"/>
      <c r="RXH78" s="2805"/>
      <c r="RXI78" s="2805"/>
      <c r="RXJ78" s="2805"/>
      <c r="RXK78" s="2805"/>
      <c r="RXL78" s="2805"/>
      <c r="RXM78" s="2805"/>
      <c r="RXN78" s="2805"/>
      <c r="RXO78" s="2805"/>
      <c r="RXP78" s="2805"/>
      <c r="RXQ78" s="2805"/>
      <c r="RXR78" s="2805"/>
      <c r="RXS78" s="2805"/>
      <c r="RXT78" s="2805"/>
      <c r="RXU78" s="2805"/>
      <c r="RXV78" s="2805"/>
      <c r="RXW78" s="2805"/>
      <c r="RXX78" s="2805"/>
      <c r="RXY78" s="2805"/>
      <c r="RXZ78" s="2805"/>
      <c r="RYA78" s="2805"/>
      <c r="RYB78" s="2805"/>
      <c r="RYC78" s="2805"/>
      <c r="RYD78" s="2805"/>
      <c r="RYE78" s="2805"/>
      <c r="RYF78" s="2805"/>
      <c r="RYG78" s="2805"/>
      <c r="RYH78" s="2805"/>
      <c r="RYI78" s="2805"/>
      <c r="RYJ78" s="2805"/>
      <c r="RYK78" s="2805"/>
      <c r="RYL78" s="2805"/>
      <c r="RYM78" s="2805"/>
      <c r="RYN78" s="2805"/>
      <c r="RYO78" s="2805"/>
      <c r="RYP78" s="2805"/>
      <c r="RYQ78" s="2805"/>
      <c r="RYR78" s="2805"/>
      <c r="RYS78" s="2805"/>
      <c r="RYT78" s="2805"/>
      <c r="RYU78" s="2805"/>
      <c r="RYV78" s="2805"/>
      <c r="RYW78" s="2805"/>
      <c r="RYX78" s="2805"/>
      <c r="RYY78" s="2805"/>
      <c r="RYZ78" s="2805"/>
      <c r="RZA78" s="2805"/>
      <c r="RZB78" s="2805"/>
      <c r="RZC78" s="2805"/>
      <c r="RZD78" s="2805"/>
      <c r="RZE78" s="2805"/>
      <c r="RZF78" s="2805"/>
      <c r="RZG78" s="2805"/>
      <c r="RZH78" s="2805"/>
      <c r="RZI78" s="2805"/>
      <c r="RZJ78" s="2805"/>
      <c r="RZK78" s="2805"/>
      <c r="RZL78" s="2805"/>
      <c r="RZM78" s="2805"/>
      <c r="RZN78" s="2805"/>
      <c r="RZO78" s="2805"/>
      <c r="RZP78" s="2805"/>
      <c r="RZQ78" s="2805"/>
      <c r="RZR78" s="2805"/>
      <c r="RZS78" s="2805"/>
      <c r="RZT78" s="2805"/>
      <c r="RZU78" s="2805"/>
      <c r="RZV78" s="2805"/>
      <c r="RZW78" s="2805"/>
      <c r="RZX78" s="2805"/>
      <c r="RZY78" s="2805"/>
      <c r="RZZ78" s="2805"/>
      <c r="SAA78" s="2805"/>
      <c r="SAB78" s="2805"/>
      <c r="SAC78" s="2805"/>
      <c r="SAD78" s="2805"/>
      <c r="SAE78" s="2805"/>
      <c r="SAF78" s="2805"/>
      <c r="SAG78" s="2805"/>
      <c r="SAH78" s="2805"/>
      <c r="SAI78" s="2805"/>
      <c r="SAJ78" s="2805"/>
      <c r="SAK78" s="2805"/>
      <c r="SAL78" s="2805"/>
      <c r="SAM78" s="2805"/>
      <c r="SAN78" s="2805"/>
      <c r="SAO78" s="2805"/>
      <c r="SAP78" s="2805"/>
      <c r="SAQ78" s="2805"/>
      <c r="SAR78" s="2805"/>
      <c r="SAS78" s="2805"/>
      <c r="SAT78" s="2805"/>
      <c r="SAU78" s="2805"/>
      <c r="SAV78" s="2805"/>
      <c r="SAW78" s="2805"/>
      <c r="SAX78" s="2805"/>
      <c r="SAY78" s="2805"/>
      <c r="SAZ78" s="2805"/>
      <c r="SBA78" s="2805"/>
      <c r="SBB78" s="2805"/>
      <c r="SBC78" s="2805"/>
      <c r="SBD78" s="2805"/>
      <c r="SBE78" s="2805"/>
      <c r="SBF78" s="2805"/>
      <c r="SBG78" s="2805"/>
      <c r="SBH78" s="2805"/>
      <c r="SBI78" s="2805"/>
      <c r="SBJ78" s="2805"/>
      <c r="SBK78" s="2805"/>
      <c r="SBL78" s="2805"/>
      <c r="SBM78" s="2805"/>
      <c r="SBN78" s="2805"/>
      <c r="SBO78" s="2805"/>
      <c r="SBP78" s="2805"/>
      <c r="SBQ78" s="2805"/>
      <c r="SBR78" s="2805"/>
      <c r="SBS78" s="2805"/>
      <c r="SBT78" s="2805"/>
      <c r="SBU78" s="2805"/>
      <c r="SBV78" s="2805"/>
      <c r="SBW78" s="2805"/>
      <c r="SBX78" s="2805"/>
      <c r="SBY78" s="2805"/>
      <c r="SBZ78" s="2805"/>
      <c r="SCA78" s="2805"/>
      <c r="SCB78" s="2805"/>
      <c r="SCC78" s="2805"/>
      <c r="SCD78" s="2805"/>
      <c r="SCE78" s="2805"/>
      <c r="SCF78" s="2805"/>
      <c r="SCG78" s="2805"/>
      <c r="SCH78" s="2805"/>
      <c r="SCI78" s="2805"/>
      <c r="SCJ78" s="2805"/>
      <c r="SCK78" s="2805"/>
      <c r="SCL78" s="2805"/>
      <c r="SCM78" s="2805"/>
      <c r="SCN78" s="2805"/>
      <c r="SCO78" s="2805"/>
      <c r="SCP78" s="2805"/>
      <c r="SCQ78" s="2805"/>
      <c r="SCR78" s="2805"/>
      <c r="SCS78" s="2805"/>
      <c r="SCT78" s="2805"/>
      <c r="SCU78" s="2805"/>
      <c r="SCV78" s="2805"/>
      <c r="SCW78" s="2805"/>
      <c r="SCX78" s="2805"/>
      <c r="SCY78" s="2805"/>
      <c r="SCZ78" s="2805"/>
      <c r="SDA78" s="2805"/>
      <c r="SDB78" s="2805"/>
      <c r="SDC78" s="2805"/>
      <c r="SDD78" s="2805"/>
      <c r="SDE78" s="2805"/>
      <c r="SDF78" s="2805"/>
      <c r="SDG78" s="2805"/>
      <c r="SDH78" s="2805"/>
      <c r="SDI78" s="2805"/>
      <c r="SDJ78" s="2805"/>
      <c r="SDK78" s="2805"/>
      <c r="SDL78" s="2805"/>
      <c r="SDM78" s="2805"/>
      <c r="SDN78" s="2805"/>
      <c r="SDO78" s="2805"/>
      <c r="SDP78" s="2805"/>
      <c r="SDQ78" s="2805"/>
      <c r="SDR78" s="2805"/>
      <c r="SDS78" s="2805"/>
      <c r="SDT78" s="2805"/>
      <c r="SDU78" s="2805"/>
      <c r="SDV78" s="2805"/>
      <c r="SDW78" s="2805"/>
      <c r="SDX78" s="2805"/>
      <c r="SDY78" s="2805"/>
      <c r="SDZ78" s="2805"/>
      <c r="SEA78" s="2805"/>
      <c r="SEB78" s="2805"/>
      <c r="SEC78" s="2805"/>
      <c r="SED78" s="2805"/>
      <c r="SEE78" s="2805"/>
      <c r="SEF78" s="2805"/>
      <c r="SEG78" s="2805"/>
      <c r="SEH78" s="2805"/>
      <c r="SEI78" s="2805"/>
      <c r="SEJ78" s="2805"/>
      <c r="SEK78" s="2805"/>
      <c r="SEL78" s="2805"/>
      <c r="SEM78" s="2805"/>
      <c r="SEN78" s="2805"/>
      <c r="SEO78" s="2805"/>
      <c r="SEP78" s="2805"/>
      <c r="SEQ78" s="2805"/>
      <c r="SER78" s="2805"/>
      <c r="SES78" s="2805"/>
      <c r="SET78" s="2805"/>
      <c r="SEU78" s="2805"/>
      <c r="SEV78" s="2805"/>
      <c r="SEW78" s="2805"/>
      <c r="SEX78" s="2805"/>
      <c r="SEY78" s="2805"/>
      <c r="SEZ78" s="2805"/>
      <c r="SFA78" s="2805"/>
      <c r="SFB78" s="2805"/>
      <c r="SFC78" s="2805"/>
      <c r="SFD78" s="2805"/>
      <c r="SFE78" s="2805"/>
      <c r="SFF78" s="2805"/>
      <c r="SFG78" s="2805"/>
      <c r="SFH78" s="2805"/>
      <c r="SFI78" s="2805"/>
      <c r="SFJ78" s="2805"/>
      <c r="SFK78" s="2805"/>
      <c r="SFL78" s="2805"/>
      <c r="SFM78" s="2805"/>
      <c r="SFN78" s="2805"/>
      <c r="SFO78" s="2805"/>
      <c r="SFP78" s="2805"/>
      <c r="SFQ78" s="2805"/>
      <c r="SFR78" s="2805"/>
      <c r="SFS78" s="2805"/>
      <c r="SFT78" s="2805"/>
      <c r="SFU78" s="2805"/>
      <c r="SFV78" s="2805"/>
      <c r="SFW78" s="2805"/>
      <c r="SFX78" s="2805"/>
      <c r="SFY78" s="2805"/>
      <c r="SFZ78" s="2805"/>
      <c r="SGA78" s="2805"/>
      <c r="SGB78" s="2805"/>
      <c r="SGC78" s="2805"/>
      <c r="SGD78" s="2805"/>
      <c r="SGE78" s="2805"/>
      <c r="SGF78" s="2805"/>
      <c r="SGG78" s="2805"/>
      <c r="SGH78" s="2805"/>
      <c r="SGI78" s="2805"/>
      <c r="SGJ78" s="2805"/>
      <c r="SGK78" s="2805"/>
      <c r="SGL78" s="2805"/>
      <c r="SGM78" s="2805"/>
      <c r="SGN78" s="2805"/>
      <c r="SGO78" s="2805"/>
      <c r="SGP78" s="2805"/>
      <c r="SGQ78" s="2805"/>
      <c r="SGR78" s="2805"/>
      <c r="SGS78" s="2805"/>
      <c r="SGT78" s="2805"/>
      <c r="SGU78" s="2805"/>
      <c r="SGV78" s="2805"/>
      <c r="SGW78" s="2805"/>
      <c r="SGX78" s="2805"/>
      <c r="SGY78" s="2805"/>
      <c r="SGZ78" s="2805"/>
      <c r="SHA78" s="2805"/>
      <c r="SHB78" s="2805"/>
      <c r="SHC78" s="2805"/>
      <c r="SHD78" s="2805"/>
      <c r="SHE78" s="2805"/>
      <c r="SHF78" s="2805"/>
      <c r="SHG78" s="2805"/>
      <c r="SHH78" s="2805"/>
      <c r="SHI78" s="2805"/>
      <c r="SHJ78" s="2805"/>
      <c r="SHK78" s="2805"/>
      <c r="SHL78" s="2805"/>
      <c r="SHM78" s="2805"/>
      <c r="SHN78" s="2805"/>
      <c r="SHO78" s="2805"/>
      <c r="SHP78" s="2805"/>
      <c r="SHQ78" s="2805"/>
      <c r="SHR78" s="2805"/>
      <c r="SHS78" s="2805"/>
      <c r="SHT78" s="2805"/>
      <c r="SHU78" s="2805"/>
      <c r="SHV78" s="2805"/>
      <c r="SHW78" s="2805"/>
      <c r="SHX78" s="2805"/>
      <c r="SHY78" s="2805"/>
      <c r="SHZ78" s="2805"/>
      <c r="SIA78" s="2805"/>
      <c r="SIB78" s="2805"/>
      <c r="SIC78" s="2805"/>
      <c r="SID78" s="2805"/>
      <c r="SIE78" s="2805"/>
      <c r="SIF78" s="2805"/>
      <c r="SIG78" s="2805"/>
      <c r="SIH78" s="2805"/>
      <c r="SII78" s="2805"/>
      <c r="SIJ78" s="2805"/>
      <c r="SIK78" s="2805"/>
      <c r="SIL78" s="2805"/>
      <c r="SIM78" s="2805"/>
      <c r="SIN78" s="2805"/>
      <c r="SIO78" s="2805"/>
      <c r="SIP78" s="2805"/>
      <c r="SIQ78" s="2805"/>
      <c r="SIR78" s="2805"/>
      <c r="SIS78" s="2805"/>
      <c r="SIT78" s="2805"/>
      <c r="SIU78" s="2805"/>
      <c r="SIV78" s="2805"/>
      <c r="SIW78" s="2805"/>
      <c r="SIX78" s="2805"/>
      <c r="SIY78" s="2805"/>
      <c r="SIZ78" s="2805"/>
      <c r="SJA78" s="2805"/>
      <c r="SJB78" s="2805"/>
      <c r="SJC78" s="2805"/>
      <c r="SJD78" s="2805"/>
      <c r="SJE78" s="2805"/>
      <c r="SJF78" s="2805"/>
      <c r="SJG78" s="2805"/>
      <c r="SJH78" s="2805"/>
      <c r="SJI78" s="2805"/>
      <c r="SJJ78" s="2805"/>
      <c r="SJK78" s="2805"/>
      <c r="SJL78" s="2805"/>
      <c r="SJM78" s="2805"/>
      <c r="SJN78" s="2805"/>
      <c r="SJO78" s="2805"/>
      <c r="SJP78" s="2805"/>
      <c r="SJQ78" s="2805"/>
      <c r="SJR78" s="2805"/>
      <c r="SJS78" s="2805"/>
      <c r="SJT78" s="2805"/>
      <c r="SJU78" s="2805"/>
      <c r="SJV78" s="2805"/>
      <c r="SJW78" s="2805"/>
      <c r="SJX78" s="2805"/>
      <c r="SJY78" s="2805"/>
      <c r="SJZ78" s="2805"/>
      <c r="SKA78" s="2805"/>
      <c r="SKB78" s="2805"/>
      <c r="SKC78" s="2805"/>
      <c r="SKD78" s="2805"/>
      <c r="SKE78" s="2805"/>
      <c r="SKF78" s="2805"/>
      <c r="SKG78" s="2805"/>
      <c r="SKH78" s="2805"/>
      <c r="SKI78" s="2805"/>
      <c r="SKJ78" s="2805"/>
      <c r="SKK78" s="2805"/>
      <c r="SKL78" s="2805"/>
      <c r="SKM78" s="2805"/>
      <c r="SKN78" s="2805"/>
      <c r="SKO78" s="2805"/>
      <c r="SKP78" s="2805"/>
      <c r="SKQ78" s="2805"/>
      <c r="SKR78" s="2805"/>
      <c r="SKS78" s="2805"/>
      <c r="SKT78" s="2805"/>
      <c r="SKU78" s="2805"/>
      <c r="SKV78" s="2805"/>
      <c r="SKW78" s="2805"/>
      <c r="SKX78" s="2805"/>
      <c r="SKY78" s="2805"/>
      <c r="SKZ78" s="2805"/>
      <c r="SLA78" s="2805"/>
      <c r="SLB78" s="2805"/>
      <c r="SLC78" s="2805"/>
      <c r="SLD78" s="2805"/>
      <c r="SLE78" s="2805"/>
      <c r="SLF78" s="2805"/>
      <c r="SLG78" s="2805"/>
      <c r="SLH78" s="2805"/>
      <c r="SLI78" s="2805"/>
      <c r="SLJ78" s="2805"/>
      <c r="SLK78" s="2805"/>
      <c r="SLL78" s="2805"/>
      <c r="SLM78" s="2805"/>
      <c r="SLN78" s="2805"/>
      <c r="SLO78" s="2805"/>
      <c r="SLP78" s="2805"/>
      <c r="SLQ78" s="2805"/>
      <c r="SLR78" s="2805"/>
      <c r="SLS78" s="2805"/>
      <c r="SLT78" s="2805"/>
      <c r="SLU78" s="2805"/>
      <c r="SLV78" s="2805"/>
      <c r="SLW78" s="2805"/>
      <c r="SLX78" s="2805"/>
      <c r="SLY78" s="2805"/>
      <c r="SLZ78" s="2805"/>
      <c r="SMA78" s="2805"/>
      <c r="SMB78" s="2805"/>
      <c r="SMC78" s="2805"/>
      <c r="SMD78" s="2805"/>
      <c r="SME78" s="2805"/>
      <c r="SMF78" s="2805"/>
      <c r="SMG78" s="2805"/>
      <c r="SMH78" s="2805"/>
      <c r="SMI78" s="2805"/>
      <c r="SMJ78" s="2805"/>
      <c r="SMK78" s="2805"/>
      <c r="SML78" s="2805"/>
      <c r="SMM78" s="2805"/>
      <c r="SMN78" s="2805"/>
      <c r="SMO78" s="2805"/>
      <c r="SMP78" s="2805"/>
      <c r="SMQ78" s="2805"/>
      <c r="SMR78" s="2805"/>
      <c r="SMS78" s="2805"/>
      <c r="SMT78" s="2805"/>
      <c r="SMU78" s="2805"/>
      <c r="SMV78" s="2805"/>
      <c r="SMW78" s="2805"/>
      <c r="SMX78" s="2805"/>
      <c r="SMY78" s="2805"/>
      <c r="SMZ78" s="2805"/>
      <c r="SNA78" s="2805"/>
      <c r="SNB78" s="2805"/>
      <c r="SNC78" s="2805"/>
      <c r="SND78" s="2805"/>
      <c r="SNE78" s="2805"/>
      <c r="SNF78" s="2805"/>
      <c r="SNG78" s="2805"/>
      <c r="SNH78" s="2805"/>
      <c r="SNI78" s="2805"/>
      <c r="SNJ78" s="2805"/>
      <c r="SNK78" s="2805"/>
      <c r="SNL78" s="2805"/>
      <c r="SNM78" s="2805"/>
      <c r="SNN78" s="2805"/>
      <c r="SNO78" s="2805"/>
      <c r="SNP78" s="2805"/>
      <c r="SNQ78" s="2805"/>
      <c r="SNR78" s="2805"/>
      <c r="SNS78" s="2805"/>
      <c r="SNT78" s="2805"/>
      <c r="SNU78" s="2805"/>
      <c r="SNV78" s="2805"/>
      <c r="SNW78" s="2805"/>
      <c r="SNX78" s="2805"/>
      <c r="SNY78" s="2805"/>
      <c r="SNZ78" s="2805"/>
      <c r="SOA78" s="2805"/>
      <c r="SOB78" s="2805"/>
      <c r="SOC78" s="2805"/>
      <c r="SOD78" s="2805"/>
      <c r="SOE78" s="2805"/>
      <c r="SOF78" s="2805"/>
      <c r="SOG78" s="2805"/>
      <c r="SOH78" s="2805"/>
      <c r="SOI78" s="2805"/>
      <c r="SOJ78" s="2805"/>
      <c r="SOK78" s="2805"/>
      <c r="SOL78" s="2805"/>
      <c r="SOM78" s="2805"/>
      <c r="SON78" s="2805"/>
      <c r="SOO78" s="2805"/>
      <c r="SOP78" s="2805"/>
      <c r="SOQ78" s="2805"/>
      <c r="SOR78" s="2805"/>
      <c r="SOS78" s="2805"/>
      <c r="SOT78" s="2805"/>
      <c r="SOU78" s="2805"/>
      <c r="SOV78" s="2805"/>
      <c r="SOW78" s="2805"/>
      <c r="SOX78" s="2805"/>
      <c r="SOY78" s="2805"/>
      <c r="SOZ78" s="2805"/>
      <c r="SPA78" s="2805"/>
      <c r="SPB78" s="2805"/>
      <c r="SPC78" s="2805"/>
      <c r="SPD78" s="2805"/>
      <c r="SPE78" s="2805"/>
      <c r="SPF78" s="2805"/>
      <c r="SPG78" s="2805"/>
      <c r="SPH78" s="2805"/>
      <c r="SPI78" s="2805"/>
      <c r="SPJ78" s="2805"/>
      <c r="SPK78" s="2805"/>
      <c r="SPL78" s="2805"/>
      <c r="SPM78" s="2805"/>
      <c r="SPN78" s="2805"/>
      <c r="SPO78" s="2805"/>
      <c r="SPP78" s="2805"/>
      <c r="SPQ78" s="2805"/>
      <c r="SPR78" s="2805"/>
      <c r="SPS78" s="2805"/>
      <c r="SPT78" s="2805"/>
      <c r="SPU78" s="2805"/>
      <c r="SPV78" s="2805"/>
      <c r="SPW78" s="2805"/>
      <c r="SPX78" s="2805"/>
      <c r="SPY78" s="2805"/>
      <c r="SPZ78" s="2805"/>
      <c r="SQA78" s="2805"/>
      <c r="SQB78" s="2805"/>
      <c r="SQC78" s="2805"/>
      <c r="SQD78" s="2805"/>
      <c r="SQE78" s="2805"/>
      <c r="SQF78" s="2805"/>
      <c r="SQG78" s="2805"/>
      <c r="SQH78" s="2805"/>
      <c r="SQI78" s="2805"/>
      <c r="SQJ78" s="2805"/>
      <c r="SQK78" s="2805"/>
      <c r="SQL78" s="2805"/>
      <c r="SQM78" s="2805"/>
      <c r="SQN78" s="2805"/>
      <c r="SQO78" s="2805"/>
      <c r="SQP78" s="2805"/>
      <c r="SQQ78" s="2805"/>
      <c r="SQR78" s="2805"/>
      <c r="SQS78" s="2805"/>
      <c r="SQT78" s="2805"/>
      <c r="SQU78" s="2805"/>
      <c r="SQV78" s="2805"/>
      <c r="SQW78" s="2805"/>
      <c r="SQX78" s="2805"/>
      <c r="SQY78" s="2805"/>
      <c r="SQZ78" s="2805"/>
      <c r="SRA78" s="2805"/>
      <c r="SRB78" s="2805"/>
      <c r="SRC78" s="2805"/>
      <c r="SRD78" s="2805"/>
      <c r="SRE78" s="2805"/>
      <c r="SRF78" s="2805"/>
      <c r="SRG78" s="2805"/>
      <c r="SRH78" s="2805"/>
      <c r="SRI78" s="2805"/>
      <c r="SRJ78" s="2805"/>
      <c r="SRK78" s="2805"/>
      <c r="SRL78" s="2805"/>
      <c r="SRM78" s="2805"/>
      <c r="SRN78" s="2805"/>
      <c r="SRO78" s="2805"/>
      <c r="SRP78" s="2805"/>
      <c r="SRQ78" s="2805"/>
      <c r="SRR78" s="2805"/>
      <c r="SRS78" s="2805"/>
      <c r="SRT78" s="2805"/>
      <c r="SRU78" s="2805"/>
      <c r="SRV78" s="2805"/>
      <c r="SRW78" s="2805"/>
      <c r="SRX78" s="2805"/>
      <c r="SRY78" s="2805"/>
      <c r="SRZ78" s="2805"/>
      <c r="SSA78" s="2805"/>
      <c r="SSB78" s="2805"/>
      <c r="SSC78" s="2805"/>
      <c r="SSD78" s="2805"/>
      <c r="SSE78" s="2805"/>
      <c r="SSF78" s="2805"/>
      <c r="SSG78" s="2805"/>
      <c r="SSH78" s="2805"/>
      <c r="SSI78" s="2805"/>
      <c r="SSJ78" s="2805"/>
      <c r="SSK78" s="2805"/>
      <c r="SSL78" s="2805"/>
      <c r="SSM78" s="2805"/>
      <c r="SSN78" s="2805"/>
      <c r="SSO78" s="2805"/>
      <c r="SSP78" s="2805"/>
      <c r="SSQ78" s="2805"/>
      <c r="SSR78" s="2805"/>
      <c r="SSS78" s="2805"/>
      <c r="SST78" s="2805"/>
      <c r="SSU78" s="2805"/>
      <c r="SSV78" s="2805"/>
      <c r="SSW78" s="2805"/>
      <c r="SSX78" s="2805"/>
      <c r="SSY78" s="2805"/>
      <c r="SSZ78" s="2805"/>
      <c r="STA78" s="2805"/>
      <c r="STB78" s="2805"/>
      <c r="STC78" s="2805"/>
      <c r="STD78" s="2805"/>
      <c r="STE78" s="2805"/>
      <c r="STF78" s="2805"/>
      <c r="STG78" s="2805"/>
      <c r="STH78" s="2805"/>
      <c r="STI78" s="2805"/>
      <c r="STJ78" s="2805"/>
      <c r="STK78" s="2805"/>
      <c r="STL78" s="2805"/>
      <c r="STM78" s="2805"/>
      <c r="STN78" s="2805"/>
      <c r="STO78" s="2805"/>
      <c r="STP78" s="2805"/>
      <c r="STQ78" s="2805"/>
      <c r="STR78" s="2805"/>
      <c r="STS78" s="2805"/>
      <c r="STT78" s="2805"/>
      <c r="STU78" s="2805"/>
      <c r="STV78" s="2805"/>
      <c r="STW78" s="2805"/>
      <c r="STX78" s="2805"/>
      <c r="STY78" s="2805"/>
      <c r="STZ78" s="2805"/>
      <c r="SUA78" s="2805"/>
      <c r="SUB78" s="2805"/>
      <c r="SUC78" s="2805"/>
      <c r="SUD78" s="2805"/>
      <c r="SUE78" s="2805"/>
      <c r="SUF78" s="2805"/>
      <c r="SUG78" s="2805"/>
      <c r="SUH78" s="2805"/>
      <c r="SUI78" s="2805"/>
      <c r="SUJ78" s="2805"/>
      <c r="SUK78" s="2805"/>
      <c r="SUL78" s="2805"/>
      <c r="SUM78" s="2805"/>
      <c r="SUN78" s="2805"/>
      <c r="SUO78" s="2805"/>
      <c r="SUP78" s="2805"/>
      <c r="SUQ78" s="2805"/>
      <c r="SUR78" s="2805"/>
      <c r="SUS78" s="2805"/>
      <c r="SUT78" s="2805"/>
      <c r="SUU78" s="2805"/>
      <c r="SUV78" s="2805"/>
      <c r="SUW78" s="2805"/>
      <c r="SUX78" s="2805"/>
      <c r="SUY78" s="2805"/>
      <c r="SUZ78" s="2805"/>
      <c r="SVA78" s="2805"/>
      <c r="SVB78" s="2805"/>
      <c r="SVC78" s="2805"/>
      <c r="SVD78" s="2805"/>
      <c r="SVE78" s="2805"/>
      <c r="SVF78" s="2805"/>
      <c r="SVG78" s="2805"/>
      <c r="SVH78" s="2805"/>
      <c r="SVI78" s="2805"/>
      <c r="SVJ78" s="2805"/>
      <c r="SVK78" s="2805"/>
      <c r="SVL78" s="2805"/>
      <c r="SVM78" s="2805"/>
      <c r="SVN78" s="2805"/>
      <c r="SVO78" s="2805"/>
      <c r="SVP78" s="2805"/>
      <c r="SVQ78" s="2805"/>
      <c r="SVR78" s="2805"/>
      <c r="SVS78" s="2805"/>
      <c r="SVT78" s="2805"/>
      <c r="SVU78" s="2805"/>
      <c r="SVV78" s="2805"/>
      <c r="SVW78" s="2805"/>
      <c r="SVX78" s="2805"/>
      <c r="SVY78" s="2805"/>
      <c r="SVZ78" s="2805"/>
      <c r="SWA78" s="2805"/>
      <c r="SWB78" s="2805"/>
      <c r="SWC78" s="2805"/>
      <c r="SWD78" s="2805"/>
      <c r="SWE78" s="2805"/>
      <c r="SWF78" s="2805"/>
      <c r="SWG78" s="2805"/>
      <c r="SWH78" s="2805"/>
      <c r="SWI78" s="2805"/>
      <c r="SWJ78" s="2805"/>
      <c r="SWK78" s="2805"/>
      <c r="SWL78" s="2805"/>
      <c r="SWM78" s="2805"/>
      <c r="SWN78" s="2805"/>
      <c r="SWO78" s="2805"/>
      <c r="SWP78" s="2805"/>
      <c r="SWQ78" s="2805"/>
      <c r="SWR78" s="2805"/>
      <c r="SWS78" s="2805"/>
      <c r="SWT78" s="2805"/>
      <c r="SWU78" s="2805"/>
      <c r="SWV78" s="2805"/>
      <c r="SWW78" s="2805"/>
      <c r="SWX78" s="2805"/>
      <c r="SWY78" s="2805"/>
      <c r="SWZ78" s="2805"/>
      <c r="SXA78" s="2805"/>
      <c r="SXB78" s="2805"/>
      <c r="SXC78" s="2805"/>
      <c r="SXD78" s="2805"/>
      <c r="SXE78" s="2805"/>
      <c r="SXF78" s="2805"/>
      <c r="SXG78" s="2805"/>
      <c r="SXH78" s="2805"/>
      <c r="SXI78" s="2805"/>
      <c r="SXJ78" s="2805"/>
      <c r="SXK78" s="2805"/>
      <c r="SXL78" s="2805"/>
      <c r="SXM78" s="2805"/>
      <c r="SXN78" s="2805"/>
      <c r="SXO78" s="2805"/>
      <c r="SXP78" s="2805"/>
      <c r="SXQ78" s="2805"/>
      <c r="SXR78" s="2805"/>
      <c r="SXS78" s="2805"/>
      <c r="SXT78" s="2805"/>
      <c r="SXU78" s="2805"/>
      <c r="SXV78" s="2805"/>
      <c r="SXW78" s="2805"/>
      <c r="SXX78" s="2805"/>
      <c r="SXY78" s="2805"/>
      <c r="SXZ78" s="2805"/>
      <c r="SYA78" s="2805"/>
      <c r="SYB78" s="2805"/>
      <c r="SYC78" s="2805"/>
      <c r="SYD78" s="2805"/>
      <c r="SYE78" s="2805"/>
      <c r="SYF78" s="2805"/>
      <c r="SYG78" s="2805"/>
      <c r="SYH78" s="2805"/>
      <c r="SYI78" s="2805"/>
      <c r="SYJ78" s="2805"/>
      <c r="SYK78" s="2805"/>
      <c r="SYL78" s="2805"/>
      <c r="SYM78" s="2805"/>
      <c r="SYN78" s="2805"/>
      <c r="SYO78" s="2805"/>
      <c r="SYP78" s="2805"/>
      <c r="SYQ78" s="2805"/>
      <c r="SYR78" s="2805"/>
      <c r="SYS78" s="2805"/>
      <c r="SYT78" s="2805"/>
      <c r="SYU78" s="2805"/>
      <c r="SYV78" s="2805"/>
      <c r="SYW78" s="2805"/>
      <c r="SYX78" s="2805"/>
      <c r="SYY78" s="2805"/>
      <c r="SYZ78" s="2805"/>
      <c r="SZA78" s="2805"/>
      <c r="SZB78" s="2805"/>
      <c r="SZC78" s="2805"/>
      <c r="SZD78" s="2805"/>
      <c r="SZE78" s="2805"/>
      <c r="SZF78" s="2805"/>
      <c r="SZG78" s="2805"/>
      <c r="SZH78" s="2805"/>
      <c r="SZI78" s="2805"/>
      <c r="SZJ78" s="2805"/>
      <c r="SZK78" s="2805"/>
      <c r="SZL78" s="2805"/>
      <c r="SZM78" s="2805"/>
      <c r="SZN78" s="2805"/>
      <c r="SZO78" s="2805"/>
      <c r="SZP78" s="2805"/>
      <c r="SZQ78" s="2805"/>
      <c r="SZR78" s="2805"/>
      <c r="SZS78" s="2805"/>
      <c r="SZT78" s="2805"/>
      <c r="SZU78" s="2805"/>
      <c r="SZV78" s="2805"/>
      <c r="SZW78" s="2805"/>
      <c r="SZX78" s="2805"/>
      <c r="SZY78" s="2805"/>
      <c r="SZZ78" s="2805"/>
      <c r="TAA78" s="2805"/>
      <c r="TAB78" s="2805"/>
      <c r="TAC78" s="2805"/>
      <c r="TAD78" s="2805"/>
      <c r="TAE78" s="2805"/>
      <c r="TAF78" s="2805"/>
      <c r="TAG78" s="2805"/>
      <c r="TAH78" s="2805"/>
      <c r="TAI78" s="2805"/>
      <c r="TAJ78" s="2805"/>
      <c r="TAK78" s="2805"/>
      <c r="TAL78" s="2805"/>
      <c r="TAM78" s="2805"/>
      <c r="TAN78" s="2805"/>
      <c r="TAO78" s="2805"/>
      <c r="TAP78" s="2805"/>
      <c r="TAQ78" s="2805"/>
      <c r="TAR78" s="2805"/>
      <c r="TAS78" s="2805"/>
      <c r="TAT78" s="2805"/>
      <c r="TAU78" s="2805"/>
      <c r="TAV78" s="2805"/>
      <c r="TAW78" s="2805"/>
      <c r="TAX78" s="2805"/>
      <c r="TAY78" s="2805"/>
      <c r="TAZ78" s="2805"/>
      <c r="TBA78" s="2805"/>
      <c r="TBB78" s="2805"/>
      <c r="TBC78" s="2805"/>
      <c r="TBD78" s="2805"/>
      <c r="TBE78" s="2805"/>
      <c r="TBF78" s="2805"/>
      <c r="TBG78" s="2805"/>
      <c r="TBH78" s="2805"/>
      <c r="TBI78" s="2805"/>
      <c r="TBJ78" s="2805"/>
      <c r="TBK78" s="2805"/>
      <c r="TBL78" s="2805"/>
      <c r="TBM78" s="2805"/>
      <c r="TBN78" s="2805"/>
      <c r="TBO78" s="2805"/>
      <c r="TBP78" s="2805"/>
      <c r="TBQ78" s="2805"/>
      <c r="TBR78" s="2805"/>
      <c r="TBS78" s="2805"/>
      <c r="TBT78" s="2805"/>
      <c r="TBU78" s="2805"/>
      <c r="TBV78" s="2805"/>
      <c r="TBW78" s="2805"/>
      <c r="TBX78" s="2805"/>
      <c r="TBY78" s="2805"/>
      <c r="TBZ78" s="2805"/>
      <c r="TCA78" s="2805"/>
      <c r="TCB78" s="2805"/>
      <c r="TCC78" s="2805"/>
      <c r="TCD78" s="2805"/>
      <c r="TCE78" s="2805"/>
      <c r="TCF78" s="2805"/>
      <c r="TCG78" s="2805"/>
      <c r="TCH78" s="2805"/>
      <c r="TCI78" s="2805"/>
      <c r="TCJ78" s="2805"/>
      <c r="TCK78" s="2805"/>
      <c r="TCL78" s="2805"/>
      <c r="TCM78" s="2805"/>
      <c r="TCN78" s="2805"/>
      <c r="TCO78" s="2805"/>
      <c r="TCP78" s="2805"/>
      <c r="TCQ78" s="2805"/>
      <c r="TCR78" s="2805"/>
      <c r="TCS78" s="2805"/>
      <c r="TCT78" s="2805"/>
      <c r="TCU78" s="2805"/>
      <c r="TCV78" s="2805"/>
      <c r="TCW78" s="2805"/>
      <c r="TCX78" s="2805"/>
      <c r="TCY78" s="2805"/>
      <c r="TCZ78" s="2805"/>
      <c r="TDA78" s="2805"/>
      <c r="TDB78" s="2805"/>
      <c r="TDC78" s="2805"/>
      <c r="TDD78" s="2805"/>
      <c r="TDE78" s="2805"/>
      <c r="TDF78" s="2805"/>
      <c r="TDG78" s="2805"/>
      <c r="TDH78" s="2805"/>
      <c r="TDI78" s="2805"/>
      <c r="TDJ78" s="2805"/>
      <c r="TDK78" s="2805"/>
      <c r="TDL78" s="2805"/>
      <c r="TDM78" s="2805"/>
      <c r="TDN78" s="2805"/>
      <c r="TDO78" s="2805"/>
      <c r="TDP78" s="2805"/>
      <c r="TDQ78" s="2805"/>
      <c r="TDR78" s="2805"/>
      <c r="TDS78" s="2805"/>
      <c r="TDT78" s="2805"/>
      <c r="TDU78" s="2805"/>
      <c r="TDV78" s="2805"/>
      <c r="TDW78" s="2805"/>
      <c r="TDX78" s="2805"/>
      <c r="TDY78" s="2805"/>
      <c r="TDZ78" s="2805"/>
      <c r="TEA78" s="2805"/>
      <c r="TEB78" s="2805"/>
      <c r="TEC78" s="2805"/>
      <c r="TED78" s="2805"/>
      <c r="TEE78" s="2805"/>
      <c r="TEF78" s="2805"/>
      <c r="TEG78" s="2805"/>
      <c r="TEH78" s="2805"/>
      <c r="TEI78" s="2805"/>
      <c r="TEJ78" s="2805"/>
      <c r="TEK78" s="2805"/>
      <c r="TEL78" s="2805"/>
      <c r="TEM78" s="2805"/>
      <c r="TEN78" s="2805"/>
      <c r="TEO78" s="2805"/>
      <c r="TEP78" s="2805"/>
      <c r="TEQ78" s="2805"/>
      <c r="TER78" s="2805"/>
      <c r="TES78" s="2805"/>
      <c r="TET78" s="2805"/>
      <c r="TEU78" s="2805"/>
      <c r="TEV78" s="2805"/>
      <c r="TEW78" s="2805"/>
      <c r="TEX78" s="2805"/>
      <c r="TEY78" s="2805"/>
      <c r="TEZ78" s="2805"/>
      <c r="TFA78" s="2805"/>
      <c r="TFB78" s="2805"/>
      <c r="TFC78" s="2805"/>
      <c r="TFD78" s="2805"/>
      <c r="TFE78" s="2805"/>
      <c r="TFF78" s="2805"/>
      <c r="TFG78" s="2805"/>
      <c r="TFH78" s="2805"/>
      <c r="TFI78" s="2805"/>
      <c r="TFJ78" s="2805"/>
      <c r="TFK78" s="2805"/>
      <c r="TFL78" s="2805"/>
      <c r="TFM78" s="2805"/>
      <c r="TFN78" s="2805"/>
      <c r="TFO78" s="2805"/>
      <c r="TFP78" s="2805"/>
      <c r="TFQ78" s="2805"/>
      <c r="TFR78" s="2805"/>
      <c r="TFS78" s="2805"/>
      <c r="TFT78" s="2805"/>
      <c r="TFU78" s="2805"/>
      <c r="TFV78" s="2805"/>
      <c r="TFW78" s="2805"/>
      <c r="TFX78" s="2805"/>
      <c r="TFY78" s="2805"/>
      <c r="TFZ78" s="2805"/>
      <c r="TGA78" s="2805"/>
      <c r="TGB78" s="2805"/>
      <c r="TGC78" s="2805"/>
      <c r="TGD78" s="2805"/>
      <c r="TGE78" s="2805"/>
      <c r="TGF78" s="2805"/>
      <c r="TGG78" s="2805"/>
      <c r="TGH78" s="2805"/>
      <c r="TGI78" s="2805"/>
      <c r="TGJ78" s="2805"/>
      <c r="TGK78" s="2805"/>
      <c r="TGL78" s="2805"/>
      <c r="TGM78" s="2805"/>
      <c r="TGN78" s="2805"/>
      <c r="TGO78" s="2805"/>
      <c r="TGP78" s="2805"/>
      <c r="TGQ78" s="2805"/>
      <c r="TGR78" s="2805"/>
      <c r="TGS78" s="2805"/>
      <c r="TGT78" s="2805"/>
      <c r="TGU78" s="2805"/>
      <c r="TGV78" s="2805"/>
      <c r="TGW78" s="2805"/>
      <c r="TGX78" s="2805"/>
      <c r="TGY78" s="2805"/>
      <c r="TGZ78" s="2805"/>
      <c r="THA78" s="2805"/>
      <c r="THB78" s="2805"/>
      <c r="THC78" s="2805"/>
      <c r="THD78" s="2805"/>
      <c r="THE78" s="2805"/>
      <c r="THF78" s="2805"/>
      <c r="THG78" s="2805"/>
      <c r="THH78" s="2805"/>
      <c r="THI78" s="2805"/>
      <c r="THJ78" s="2805"/>
      <c r="THK78" s="2805"/>
      <c r="THL78" s="2805"/>
      <c r="THM78" s="2805"/>
      <c r="THN78" s="2805"/>
      <c r="THO78" s="2805"/>
      <c r="THP78" s="2805"/>
      <c r="THQ78" s="2805"/>
      <c r="THR78" s="2805"/>
      <c r="THS78" s="2805"/>
      <c r="THT78" s="2805"/>
      <c r="THU78" s="2805"/>
      <c r="THV78" s="2805"/>
      <c r="THW78" s="2805"/>
      <c r="THX78" s="2805"/>
      <c r="THY78" s="2805"/>
      <c r="THZ78" s="2805"/>
      <c r="TIA78" s="2805"/>
      <c r="TIB78" s="2805"/>
      <c r="TIC78" s="2805"/>
      <c r="TID78" s="2805"/>
      <c r="TIE78" s="2805"/>
      <c r="TIF78" s="2805"/>
      <c r="TIG78" s="2805"/>
      <c r="TIH78" s="2805"/>
      <c r="TII78" s="2805"/>
      <c r="TIJ78" s="2805"/>
      <c r="TIK78" s="2805"/>
      <c r="TIL78" s="2805"/>
      <c r="TIM78" s="2805"/>
      <c r="TIN78" s="2805"/>
      <c r="TIO78" s="2805"/>
      <c r="TIP78" s="2805"/>
      <c r="TIQ78" s="2805"/>
      <c r="TIR78" s="2805"/>
      <c r="TIS78" s="2805"/>
      <c r="TIT78" s="2805"/>
      <c r="TIU78" s="2805"/>
      <c r="TIV78" s="2805"/>
      <c r="TIW78" s="2805"/>
      <c r="TIX78" s="2805"/>
      <c r="TIY78" s="2805"/>
      <c r="TIZ78" s="2805"/>
      <c r="TJA78" s="2805"/>
      <c r="TJB78" s="2805"/>
      <c r="TJC78" s="2805"/>
      <c r="TJD78" s="2805"/>
      <c r="TJE78" s="2805"/>
      <c r="TJF78" s="2805"/>
      <c r="TJG78" s="2805"/>
      <c r="TJH78" s="2805"/>
      <c r="TJI78" s="2805"/>
      <c r="TJJ78" s="2805"/>
      <c r="TJK78" s="2805"/>
      <c r="TJL78" s="2805"/>
      <c r="TJM78" s="2805"/>
      <c r="TJN78" s="2805"/>
      <c r="TJO78" s="2805"/>
      <c r="TJP78" s="2805"/>
      <c r="TJQ78" s="2805"/>
      <c r="TJR78" s="2805"/>
      <c r="TJS78" s="2805"/>
      <c r="TJT78" s="2805"/>
      <c r="TJU78" s="2805"/>
      <c r="TJV78" s="2805"/>
      <c r="TJW78" s="2805"/>
      <c r="TJX78" s="2805"/>
      <c r="TJY78" s="2805"/>
      <c r="TJZ78" s="2805"/>
      <c r="TKA78" s="2805"/>
      <c r="TKB78" s="2805"/>
      <c r="TKC78" s="2805"/>
      <c r="TKD78" s="2805"/>
      <c r="TKE78" s="2805"/>
      <c r="TKF78" s="2805"/>
      <c r="TKG78" s="2805"/>
      <c r="TKH78" s="2805"/>
      <c r="TKI78" s="2805"/>
      <c r="TKJ78" s="2805"/>
      <c r="TKK78" s="2805"/>
      <c r="TKL78" s="2805"/>
      <c r="TKM78" s="2805"/>
      <c r="TKN78" s="2805"/>
      <c r="TKO78" s="2805"/>
      <c r="TKP78" s="2805"/>
      <c r="TKQ78" s="2805"/>
      <c r="TKR78" s="2805"/>
      <c r="TKS78" s="2805"/>
      <c r="TKT78" s="2805"/>
      <c r="TKU78" s="2805"/>
      <c r="TKV78" s="2805"/>
      <c r="TKW78" s="2805"/>
      <c r="TKX78" s="2805"/>
      <c r="TKY78" s="2805"/>
      <c r="TKZ78" s="2805"/>
      <c r="TLA78" s="2805"/>
      <c r="TLB78" s="2805"/>
      <c r="TLC78" s="2805"/>
      <c r="TLD78" s="2805"/>
      <c r="TLE78" s="2805"/>
      <c r="TLF78" s="2805"/>
      <c r="TLG78" s="2805"/>
      <c r="TLH78" s="2805"/>
      <c r="TLI78" s="2805"/>
      <c r="TLJ78" s="2805"/>
      <c r="TLK78" s="2805"/>
      <c r="TLL78" s="2805"/>
      <c r="TLM78" s="2805"/>
      <c r="TLN78" s="2805"/>
      <c r="TLO78" s="2805"/>
      <c r="TLP78" s="2805"/>
      <c r="TLQ78" s="2805"/>
      <c r="TLR78" s="2805"/>
      <c r="TLS78" s="2805"/>
      <c r="TLT78" s="2805"/>
      <c r="TLU78" s="2805"/>
      <c r="TLV78" s="2805"/>
      <c r="TLW78" s="2805"/>
      <c r="TLX78" s="2805"/>
      <c r="TLY78" s="2805"/>
      <c r="TLZ78" s="2805"/>
      <c r="TMA78" s="2805"/>
      <c r="TMB78" s="2805"/>
      <c r="TMC78" s="2805"/>
      <c r="TMD78" s="2805"/>
      <c r="TME78" s="2805"/>
      <c r="TMF78" s="2805"/>
      <c r="TMG78" s="2805"/>
      <c r="TMH78" s="2805"/>
      <c r="TMI78" s="2805"/>
      <c r="TMJ78" s="2805"/>
      <c r="TMK78" s="2805"/>
      <c r="TML78" s="2805"/>
      <c r="TMM78" s="2805"/>
      <c r="TMN78" s="2805"/>
      <c r="TMO78" s="2805"/>
      <c r="TMP78" s="2805"/>
      <c r="TMQ78" s="2805"/>
      <c r="TMR78" s="2805"/>
      <c r="TMS78" s="2805"/>
      <c r="TMT78" s="2805"/>
      <c r="TMU78" s="2805"/>
      <c r="TMV78" s="2805"/>
      <c r="TMW78" s="2805"/>
      <c r="TMX78" s="2805"/>
      <c r="TMY78" s="2805"/>
      <c r="TMZ78" s="2805"/>
      <c r="TNA78" s="2805"/>
      <c r="TNB78" s="2805"/>
      <c r="TNC78" s="2805"/>
      <c r="TND78" s="2805"/>
      <c r="TNE78" s="2805"/>
      <c r="TNF78" s="2805"/>
      <c r="TNG78" s="2805"/>
      <c r="TNH78" s="2805"/>
      <c r="TNI78" s="2805"/>
      <c r="TNJ78" s="2805"/>
      <c r="TNK78" s="2805"/>
      <c r="TNL78" s="2805"/>
      <c r="TNM78" s="2805"/>
      <c r="TNN78" s="2805"/>
      <c r="TNO78" s="2805"/>
      <c r="TNP78" s="2805"/>
      <c r="TNQ78" s="2805"/>
      <c r="TNR78" s="2805"/>
      <c r="TNS78" s="2805"/>
      <c r="TNT78" s="2805"/>
      <c r="TNU78" s="2805"/>
      <c r="TNV78" s="2805"/>
      <c r="TNW78" s="2805"/>
      <c r="TNX78" s="2805"/>
      <c r="TNY78" s="2805"/>
      <c r="TNZ78" s="2805"/>
      <c r="TOA78" s="2805"/>
      <c r="TOB78" s="2805"/>
      <c r="TOC78" s="2805"/>
      <c r="TOD78" s="2805"/>
      <c r="TOE78" s="2805"/>
      <c r="TOF78" s="2805"/>
      <c r="TOG78" s="2805"/>
      <c r="TOH78" s="2805"/>
      <c r="TOI78" s="2805"/>
      <c r="TOJ78" s="2805"/>
      <c r="TOK78" s="2805"/>
      <c r="TOL78" s="2805"/>
      <c r="TOM78" s="2805"/>
      <c r="TON78" s="2805"/>
      <c r="TOO78" s="2805"/>
      <c r="TOP78" s="2805"/>
      <c r="TOQ78" s="2805"/>
      <c r="TOR78" s="2805"/>
      <c r="TOS78" s="2805"/>
      <c r="TOT78" s="2805"/>
      <c r="TOU78" s="2805"/>
      <c r="TOV78" s="2805"/>
      <c r="TOW78" s="2805"/>
      <c r="TOX78" s="2805"/>
      <c r="TOY78" s="2805"/>
      <c r="TOZ78" s="2805"/>
      <c r="TPA78" s="2805"/>
      <c r="TPB78" s="2805"/>
      <c r="TPC78" s="2805"/>
      <c r="TPD78" s="2805"/>
      <c r="TPE78" s="2805"/>
      <c r="TPF78" s="2805"/>
      <c r="TPG78" s="2805"/>
      <c r="TPH78" s="2805"/>
      <c r="TPI78" s="2805"/>
      <c r="TPJ78" s="2805"/>
      <c r="TPK78" s="2805"/>
      <c r="TPL78" s="2805"/>
      <c r="TPM78" s="2805"/>
      <c r="TPN78" s="2805"/>
      <c r="TPO78" s="2805"/>
      <c r="TPP78" s="2805"/>
      <c r="TPQ78" s="2805"/>
      <c r="TPR78" s="2805"/>
      <c r="TPS78" s="2805"/>
      <c r="TPT78" s="2805"/>
      <c r="TPU78" s="2805"/>
      <c r="TPV78" s="2805"/>
      <c r="TPW78" s="2805"/>
      <c r="TPX78" s="2805"/>
      <c r="TPY78" s="2805"/>
      <c r="TPZ78" s="2805"/>
      <c r="TQA78" s="2805"/>
      <c r="TQB78" s="2805"/>
      <c r="TQC78" s="2805"/>
      <c r="TQD78" s="2805"/>
      <c r="TQE78" s="2805"/>
      <c r="TQF78" s="2805"/>
      <c r="TQG78" s="2805"/>
      <c r="TQH78" s="2805"/>
      <c r="TQI78" s="2805"/>
      <c r="TQJ78" s="2805"/>
      <c r="TQK78" s="2805"/>
      <c r="TQL78" s="2805"/>
      <c r="TQM78" s="2805"/>
      <c r="TQN78" s="2805"/>
      <c r="TQO78" s="2805"/>
      <c r="TQP78" s="2805"/>
      <c r="TQQ78" s="2805"/>
      <c r="TQR78" s="2805"/>
      <c r="TQS78" s="2805"/>
      <c r="TQT78" s="2805"/>
      <c r="TQU78" s="2805"/>
      <c r="TQV78" s="2805"/>
      <c r="TQW78" s="2805"/>
      <c r="TQX78" s="2805"/>
      <c r="TQY78" s="2805"/>
      <c r="TQZ78" s="2805"/>
      <c r="TRA78" s="2805"/>
      <c r="TRB78" s="2805"/>
      <c r="TRC78" s="2805"/>
      <c r="TRD78" s="2805"/>
      <c r="TRE78" s="2805"/>
      <c r="TRF78" s="2805"/>
      <c r="TRG78" s="2805"/>
      <c r="TRH78" s="2805"/>
      <c r="TRI78" s="2805"/>
      <c r="TRJ78" s="2805"/>
      <c r="TRK78" s="2805"/>
      <c r="TRL78" s="2805"/>
      <c r="TRM78" s="2805"/>
      <c r="TRN78" s="2805"/>
      <c r="TRO78" s="2805"/>
      <c r="TRP78" s="2805"/>
      <c r="TRQ78" s="2805"/>
      <c r="TRR78" s="2805"/>
      <c r="TRS78" s="2805"/>
      <c r="TRT78" s="2805"/>
      <c r="TRU78" s="2805"/>
      <c r="TRV78" s="2805"/>
      <c r="TRW78" s="2805"/>
      <c r="TRX78" s="2805"/>
      <c r="TRY78" s="2805"/>
      <c r="TRZ78" s="2805"/>
      <c r="TSA78" s="2805"/>
      <c r="TSB78" s="2805"/>
      <c r="TSC78" s="2805"/>
      <c r="TSD78" s="2805"/>
      <c r="TSE78" s="2805"/>
      <c r="TSF78" s="2805"/>
      <c r="TSG78" s="2805"/>
      <c r="TSH78" s="2805"/>
      <c r="TSI78" s="2805"/>
      <c r="TSJ78" s="2805"/>
      <c r="TSK78" s="2805"/>
      <c r="TSL78" s="2805"/>
      <c r="TSM78" s="2805"/>
      <c r="TSN78" s="2805"/>
      <c r="TSO78" s="2805"/>
      <c r="TSP78" s="2805"/>
      <c r="TSQ78" s="2805"/>
      <c r="TSR78" s="2805"/>
      <c r="TSS78" s="2805"/>
      <c r="TST78" s="2805"/>
      <c r="TSU78" s="2805"/>
      <c r="TSV78" s="2805"/>
      <c r="TSW78" s="2805"/>
      <c r="TSX78" s="2805"/>
      <c r="TSY78" s="2805"/>
      <c r="TSZ78" s="2805"/>
      <c r="TTA78" s="2805"/>
      <c r="TTB78" s="2805"/>
      <c r="TTC78" s="2805"/>
      <c r="TTD78" s="2805"/>
      <c r="TTE78" s="2805"/>
      <c r="TTF78" s="2805"/>
      <c r="TTG78" s="2805"/>
      <c r="TTH78" s="2805"/>
      <c r="TTI78" s="2805"/>
      <c r="TTJ78" s="2805"/>
      <c r="TTK78" s="2805"/>
      <c r="TTL78" s="2805"/>
      <c r="TTM78" s="2805"/>
      <c r="TTN78" s="2805"/>
      <c r="TTO78" s="2805"/>
      <c r="TTP78" s="2805"/>
      <c r="TTQ78" s="2805"/>
      <c r="TTR78" s="2805"/>
      <c r="TTS78" s="2805"/>
      <c r="TTT78" s="2805"/>
      <c r="TTU78" s="2805"/>
      <c r="TTV78" s="2805"/>
      <c r="TTW78" s="2805"/>
      <c r="TTX78" s="2805"/>
      <c r="TTY78" s="2805"/>
      <c r="TTZ78" s="2805"/>
      <c r="TUA78" s="2805"/>
      <c r="TUB78" s="2805"/>
      <c r="TUC78" s="2805"/>
      <c r="TUD78" s="2805"/>
      <c r="TUE78" s="2805"/>
      <c r="TUF78" s="2805"/>
      <c r="TUG78" s="2805"/>
      <c r="TUH78" s="2805"/>
      <c r="TUI78" s="2805"/>
      <c r="TUJ78" s="2805"/>
      <c r="TUK78" s="2805"/>
      <c r="TUL78" s="2805"/>
      <c r="TUM78" s="2805"/>
      <c r="TUN78" s="2805"/>
      <c r="TUO78" s="2805"/>
      <c r="TUP78" s="2805"/>
      <c r="TUQ78" s="2805"/>
      <c r="TUR78" s="2805"/>
      <c r="TUS78" s="2805"/>
      <c r="TUT78" s="2805"/>
      <c r="TUU78" s="2805"/>
      <c r="TUV78" s="2805"/>
      <c r="TUW78" s="2805"/>
      <c r="TUX78" s="2805"/>
      <c r="TUY78" s="2805"/>
      <c r="TUZ78" s="2805"/>
      <c r="TVA78" s="2805"/>
      <c r="TVB78" s="2805"/>
      <c r="TVC78" s="2805"/>
      <c r="TVD78" s="2805"/>
      <c r="TVE78" s="2805"/>
      <c r="TVF78" s="2805"/>
      <c r="TVG78" s="2805"/>
      <c r="TVH78" s="2805"/>
      <c r="TVI78" s="2805"/>
      <c r="TVJ78" s="2805"/>
      <c r="TVK78" s="2805"/>
      <c r="TVL78" s="2805"/>
      <c r="TVM78" s="2805"/>
      <c r="TVN78" s="2805"/>
      <c r="TVO78" s="2805"/>
      <c r="TVP78" s="2805"/>
      <c r="TVQ78" s="2805"/>
      <c r="TVR78" s="2805"/>
      <c r="TVS78" s="2805"/>
      <c r="TVT78" s="2805"/>
      <c r="TVU78" s="2805"/>
      <c r="TVV78" s="2805"/>
      <c r="TVW78" s="2805"/>
      <c r="TVX78" s="2805"/>
      <c r="TVY78" s="2805"/>
      <c r="TVZ78" s="2805"/>
      <c r="TWA78" s="2805"/>
      <c r="TWB78" s="2805"/>
      <c r="TWC78" s="2805"/>
      <c r="TWD78" s="2805"/>
      <c r="TWE78" s="2805"/>
      <c r="TWF78" s="2805"/>
      <c r="TWG78" s="2805"/>
      <c r="TWH78" s="2805"/>
      <c r="TWI78" s="2805"/>
      <c r="TWJ78" s="2805"/>
      <c r="TWK78" s="2805"/>
      <c r="TWL78" s="2805"/>
      <c r="TWM78" s="2805"/>
      <c r="TWN78" s="2805"/>
      <c r="TWO78" s="2805"/>
      <c r="TWP78" s="2805"/>
      <c r="TWQ78" s="2805"/>
      <c r="TWR78" s="2805"/>
      <c r="TWS78" s="2805"/>
      <c r="TWT78" s="2805"/>
      <c r="TWU78" s="2805"/>
      <c r="TWV78" s="2805"/>
      <c r="TWW78" s="2805"/>
      <c r="TWX78" s="2805"/>
      <c r="TWY78" s="2805"/>
      <c r="TWZ78" s="2805"/>
      <c r="TXA78" s="2805"/>
      <c r="TXB78" s="2805"/>
      <c r="TXC78" s="2805"/>
      <c r="TXD78" s="2805"/>
      <c r="TXE78" s="2805"/>
      <c r="TXF78" s="2805"/>
      <c r="TXG78" s="2805"/>
      <c r="TXH78" s="2805"/>
      <c r="TXI78" s="2805"/>
      <c r="TXJ78" s="2805"/>
      <c r="TXK78" s="2805"/>
      <c r="TXL78" s="2805"/>
      <c r="TXM78" s="2805"/>
      <c r="TXN78" s="2805"/>
      <c r="TXO78" s="2805"/>
      <c r="TXP78" s="2805"/>
      <c r="TXQ78" s="2805"/>
      <c r="TXR78" s="2805"/>
      <c r="TXS78" s="2805"/>
      <c r="TXT78" s="2805"/>
      <c r="TXU78" s="2805"/>
      <c r="TXV78" s="2805"/>
      <c r="TXW78" s="2805"/>
      <c r="TXX78" s="2805"/>
      <c r="TXY78" s="2805"/>
      <c r="TXZ78" s="2805"/>
      <c r="TYA78" s="2805"/>
      <c r="TYB78" s="2805"/>
      <c r="TYC78" s="2805"/>
      <c r="TYD78" s="2805"/>
      <c r="TYE78" s="2805"/>
      <c r="TYF78" s="2805"/>
      <c r="TYG78" s="2805"/>
      <c r="TYH78" s="2805"/>
      <c r="TYI78" s="2805"/>
      <c r="TYJ78" s="2805"/>
      <c r="TYK78" s="2805"/>
      <c r="TYL78" s="2805"/>
      <c r="TYM78" s="2805"/>
      <c r="TYN78" s="2805"/>
      <c r="TYO78" s="2805"/>
      <c r="TYP78" s="2805"/>
      <c r="TYQ78" s="2805"/>
      <c r="TYR78" s="2805"/>
      <c r="TYS78" s="2805"/>
      <c r="TYT78" s="2805"/>
      <c r="TYU78" s="2805"/>
      <c r="TYV78" s="2805"/>
      <c r="TYW78" s="2805"/>
      <c r="TYX78" s="2805"/>
      <c r="TYY78" s="2805"/>
      <c r="TYZ78" s="2805"/>
      <c r="TZA78" s="2805"/>
      <c r="TZB78" s="2805"/>
      <c r="TZC78" s="2805"/>
      <c r="TZD78" s="2805"/>
      <c r="TZE78" s="2805"/>
      <c r="TZF78" s="2805"/>
      <c r="TZG78" s="2805"/>
      <c r="TZH78" s="2805"/>
      <c r="TZI78" s="2805"/>
      <c r="TZJ78" s="2805"/>
      <c r="TZK78" s="2805"/>
      <c r="TZL78" s="2805"/>
      <c r="TZM78" s="2805"/>
      <c r="TZN78" s="2805"/>
      <c r="TZO78" s="2805"/>
      <c r="TZP78" s="2805"/>
      <c r="TZQ78" s="2805"/>
      <c r="TZR78" s="2805"/>
      <c r="TZS78" s="2805"/>
      <c r="TZT78" s="2805"/>
      <c r="TZU78" s="2805"/>
      <c r="TZV78" s="2805"/>
      <c r="TZW78" s="2805"/>
      <c r="TZX78" s="2805"/>
      <c r="TZY78" s="2805"/>
      <c r="TZZ78" s="2805"/>
      <c r="UAA78" s="2805"/>
      <c r="UAB78" s="2805"/>
      <c r="UAC78" s="2805"/>
      <c r="UAD78" s="2805"/>
      <c r="UAE78" s="2805"/>
      <c r="UAF78" s="2805"/>
      <c r="UAG78" s="2805"/>
      <c r="UAH78" s="2805"/>
      <c r="UAI78" s="2805"/>
      <c r="UAJ78" s="2805"/>
      <c r="UAK78" s="2805"/>
      <c r="UAL78" s="2805"/>
      <c r="UAM78" s="2805"/>
      <c r="UAN78" s="2805"/>
      <c r="UAO78" s="2805"/>
      <c r="UAP78" s="2805"/>
      <c r="UAQ78" s="2805"/>
      <c r="UAR78" s="2805"/>
      <c r="UAS78" s="2805"/>
      <c r="UAT78" s="2805"/>
      <c r="UAU78" s="2805"/>
      <c r="UAV78" s="2805"/>
      <c r="UAW78" s="2805"/>
      <c r="UAX78" s="2805"/>
      <c r="UAY78" s="2805"/>
      <c r="UAZ78" s="2805"/>
      <c r="UBA78" s="2805"/>
      <c r="UBB78" s="2805"/>
      <c r="UBC78" s="2805"/>
      <c r="UBD78" s="2805"/>
      <c r="UBE78" s="2805"/>
      <c r="UBF78" s="2805"/>
      <c r="UBG78" s="2805"/>
      <c r="UBH78" s="2805"/>
      <c r="UBI78" s="2805"/>
      <c r="UBJ78" s="2805"/>
      <c r="UBK78" s="2805"/>
      <c r="UBL78" s="2805"/>
      <c r="UBM78" s="2805"/>
      <c r="UBN78" s="2805"/>
      <c r="UBO78" s="2805"/>
      <c r="UBP78" s="2805"/>
      <c r="UBQ78" s="2805"/>
      <c r="UBR78" s="2805"/>
      <c r="UBS78" s="2805"/>
      <c r="UBT78" s="2805"/>
      <c r="UBU78" s="2805"/>
      <c r="UBV78" s="2805"/>
      <c r="UBW78" s="2805"/>
      <c r="UBX78" s="2805"/>
      <c r="UBY78" s="2805"/>
      <c r="UBZ78" s="2805"/>
      <c r="UCA78" s="2805"/>
      <c r="UCB78" s="2805"/>
      <c r="UCC78" s="2805"/>
      <c r="UCD78" s="2805"/>
      <c r="UCE78" s="2805"/>
      <c r="UCF78" s="2805"/>
      <c r="UCG78" s="2805"/>
      <c r="UCH78" s="2805"/>
      <c r="UCI78" s="2805"/>
      <c r="UCJ78" s="2805"/>
      <c r="UCK78" s="2805"/>
      <c r="UCL78" s="2805"/>
      <c r="UCM78" s="2805"/>
      <c r="UCN78" s="2805"/>
      <c r="UCO78" s="2805"/>
      <c r="UCP78" s="2805"/>
      <c r="UCQ78" s="2805"/>
      <c r="UCR78" s="2805"/>
      <c r="UCS78" s="2805"/>
      <c r="UCT78" s="2805"/>
      <c r="UCU78" s="2805"/>
      <c r="UCV78" s="2805"/>
      <c r="UCW78" s="2805"/>
      <c r="UCX78" s="2805"/>
      <c r="UCY78" s="2805"/>
      <c r="UCZ78" s="2805"/>
      <c r="UDA78" s="2805"/>
      <c r="UDB78" s="2805"/>
      <c r="UDC78" s="2805"/>
      <c r="UDD78" s="2805"/>
      <c r="UDE78" s="2805"/>
      <c r="UDF78" s="2805"/>
      <c r="UDG78" s="2805"/>
      <c r="UDH78" s="2805"/>
      <c r="UDI78" s="2805"/>
      <c r="UDJ78" s="2805"/>
      <c r="UDK78" s="2805"/>
      <c r="UDL78" s="2805"/>
      <c r="UDM78" s="2805"/>
      <c r="UDN78" s="2805"/>
      <c r="UDO78" s="2805"/>
      <c r="UDP78" s="2805"/>
      <c r="UDQ78" s="2805"/>
      <c r="UDR78" s="2805"/>
      <c r="UDS78" s="2805"/>
      <c r="UDT78" s="2805"/>
      <c r="UDU78" s="2805"/>
      <c r="UDV78" s="2805"/>
      <c r="UDW78" s="2805"/>
      <c r="UDX78" s="2805"/>
      <c r="UDY78" s="2805"/>
      <c r="UDZ78" s="2805"/>
      <c r="UEA78" s="2805"/>
      <c r="UEB78" s="2805"/>
      <c r="UEC78" s="2805"/>
      <c r="UED78" s="2805"/>
      <c r="UEE78" s="2805"/>
      <c r="UEF78" s="2805"/>
      <c r="UEG78" s="2805"/>
      <c r="UEH78" s="2805"/>
      <c r="UEI78" s="2805"/>
      <c r="UEJ78" s="2805"/>
      <c r="UEK78" s="2805"/>
      <c r="UEL78" s="2805"/>
      <c r="UEM78" s="2805"/>
      <c r="UEN78" s="2805"/>
      <c r="UEO78" s="2805"/>
      <c r="UEP78" s="2805"/>
      <c r="UEQ78" s="2805"/>
      <c r="UER78" s="2805"/>
      <c r="UES78" s="2805"/>
      <c r="UET78" s="2805"/>
      <c r="UEU78" s="2805"/>
      <c r="UEV78" s="2805"/>
      <c r="UEW78" s="2805"/>
      <c r="UEX78" s="2805"/>
      <c r="UEY78" s="2805"/>
      <c r="UEZ78" s="2805"/>
      <c r="UFA78" s="2805"/>
      <c r="UFB78" s="2805"/>
      <c r="UFC78" s="2805"/>
      <c r="UFD78" s="2805"/>
      <c r="UFE78" s="2805"/>
      <c r="UFF78" s="2805"/>
      <c r="UFG78" s="2805"/>
      <c r="UFH78" s="2805"/>
      <c r="UFI78" s="2805"/>
      <c r="UFJ78" s="2805"/>
      <c r="UFK78" s="2805"/>
      <c r="UFL78" s="2805"/>
      <c r="UFM78" s="2805"/>
      <c r="UFN78" s="2805"/>
      <c r="UFO78" s="2805"/>
      <c r="UFP78" s="2805"/>
      <c r="UFQ78" s="2805"/>
      <c r="UFR78" s="2805"/>
      <c r="UFS78" s="2805"/>
      <c r="UFT78" s="2805"/>
      <c r="UFU78" s="2805"/>
      <c r="UFV78" s="2805"/>
      <c r="UFW78" s="2805"/>
      <c r="UFX78" s="2805"/>
      <c r="UFY78" s="2805"/>
      <c r="UFZ78" s="2805"/>
      <c r="UGA78" s="2805"/>
      <c r="UGB78" s="2805"/>
      <c r="UGC78" s="2805"/>
      <c r="UGD78" s="2805"/>
      <c r="UGE78" s="2805"/>
      <c r="UGF78" s="2805"/>
      <c r="UGG78" s="2805"/>
      <c r="UGH78" s="2805"/>
      <c r="UGI78" s="2805"/>
      <c r="UGJ78" s="2805"/>
      <c r="UGK78" s="2805"/>
      <c r="UGL78" s="2805"/>
      <c r="UGM78" s="2805"/>
      <c r="UGN78" s="2805"/>
      <c r="UGO78" s="2805"/>
      <c r="UGP78" s="2805"/>
      <c r="UGQ78" s="2805"/>
      <c r="UGR78" s="2805"/>
      <c r="UGS78" s="2805"/>
      <c r="UGT78" s="2805"/>
      <c r="UGU78" s="2805"/>
      <c r="UGV78" s="2805"/>
      <c r="UGW78" s="2805"/>
      <c r="UGX78" s="2805"/>
      <c r="UGY78" s="2805"/>
      <c r="UGZ78" s="2805"/>
      <c r="UHA78" s="2805"/>
      <c r="UHB78" s="2805"/>
      <c r="UHC78" s="2805"/>
      <c r="UHD78" s="2805"/>
      <c r="UHE78" s="2805"/>
      <c r="UHF78" s="2805"/>
      <c r="UHG78" s="2805"/>
      <c r="UHH78" s="2805"/>
      <c r="UHI78" s="2805"/>
      <c r="UHJ78" s="2805"/>
      <c r="UHK78" s="2805"/>
      <c r="UHL78" s="2805"/>
      <c r="UHM78" s="2805"/>
      <c r="UHN78" s="2805"/>
      <c r="UHO78" s="2805"/>
      <c r="UHP78" s="2805"/>
      <c r="UHQ78" s="2805"/>
      <c r="UHR78" s="2805"/>
      <c r="UHS78" s="2805"/>
      <c r="UHT78" s="2805"/>
      <c r="UHU78" s="2805"/>
      <c r="UHV78" s="2805"/>
      <c r="UHW78" s="2805"/>
      <c r="UHX78" s="2805"/>
      <c r="UHY78" s="2805"/>
      <c r="UHZ78" s="2805"/>
      <c r="UIA78" s="2805"/>
      <c r="UIB78" s="2805"/>
      <c r="UIC78" s="2805"/>
      <c r="UID78" s="2805"/>
      <c r="UIE78" s="2805"/>
      <c r="UIF78" s="2805"/>
      <c r="UIG78" s="2805"/>
      <c r="UIH78" s="2805"/>
      <c r="UII78" s="2805"/>
      <c r="UIJ78" s="2805"/>
      <c r="UIK78" s="2805"/>
      <c r="UIL78" s="2805"/>
      <c r="UIM78" s="2805"/>
      <c r="UIN78" s="2805"/>
      <c r="UIO78" s="2805"/>
      <c r="UIP78" s="2805"/>
      <c r="UIQ78" s="2805"/>
      <c r="UIR78" s="2805"/>
      <c r="UIS78" s="2805"/>
      <c r="UIT78" s="2805"/>
      <c r="UIU78" s="2805"/>
      <c r="UIV78" s="2805"/>
      <c r="UIW78" s="2805"/>
      <c r="UIX78" s="2805"/>
      <c r="UIY78" s="2805"/>
      <c r="UIZ78" s="2805"/>
      <c r="UJA78" s="2805"/>
      <c r="UJB78" s="2805"/>
      <c r="UJC78" s="2805"/>
      <c r="UJD78" s="2805"/>
      <c r="UJE78" s="2805"/>
      <c r="UJF78" s="2805"/>
      <c r="UJG78" s="2805"/>
      <c r="UJH78" s="2805"/>
      <c r="UJI78" s="2805"/>
      <c r="UJJ78" s="2805"/>
      <c r="UJK78" s="2805"/>
      <c r="UJL78" s="2805"/>
      <c r="UJM78" s="2805"/>
      <c r="UJN78" s="2805"/>
      <c r="UJO78" s="2805"/>
      <c r="UJP78" s="2805"/>
      <c r="UJQ78" s="2805"/>
      <c r="UJR78" s="2805"/>
      <c r="UJS78" s="2805"/>
      <c r="UJT78" s="2805"/>
      <c r="UJU78" s="2805"/>
      <c r="UJV78" s="2805"/>
      <c r="UJW78" s="2805"/>
      <c r="UJX78" s="2805"/>
      <c r="UJY78" s="2805"/>
      <c r="UJZ78" s="2805"/>
      <c r="UKA78" s="2805"/>
      <c r="UKB78" s="2805"/>
      <c r="UKC78" s="2805"/>
      <c r="UKD78" s="2805"/>
      <c r="UKE78" s="2805"/>
      <c r="UKF78" s="2805"/>
      <c r="UKG78" s="2805"/>
      <c r="UKH78" s="2805"/>
      <c r="UKI78" s="2805"/>
      <c r="UKJ78" s="2805"/>
      <c r="UKK78" s="2805"/>
      <c r="UKL78" s="2805"/>
      <c r="UKM78" s="2805"/>
      <c r="UKN78" s="2805"/>
      <c r="UKO78" s="2805"/>
      <c r="UKP78" s="2805"/>
      <c r="UKQ78" s="2805"/>
      <c r="UKR78" s="2805"/>
      <c r="UKS78" s="2805"/>
      <c r="UKT78" s="2805"/>
      <c r="UKU78" s="2805"/>
      <c r="UKV78" s="2805"/>
      <c r="UKW78" s="2805"/>
      <c r="UKX78" s="2805"/>
      <c r="UKY78" s="2805"/>
      <c r="UKZ78" s="2805"/>
      <c r="ULA78" s="2805"/>
      <c r="ULB78" s="2805"/>
      <c r="ULC78" s="2805"/>
      <c r="ULD78" s="2805"/>
      <c r="ULE78" s="2805"/>
      <c r="ULF78" s="2805"/>
      <c r="ULG78" s="2805"/>
      <c r="ULH78" s="2805"/>
      <c r="ULI78" s="2805"/>
      <c r="ULJ78" s="2805"/>
      <c r="ULK78" s="2805"/>
      <c r="ULL78" s="2805"/>
      <c r="ULM78" s="2805"/>
      <c r="ULN78" s="2805"/>
      <c r="ULO78" s="2805"/>
      <c r="ULP78" s="2805"/>
      <c r="ULQ78" s="2805"/>
      <c r="ULR78" s="2805"/>
      <c r="ULS78" s="2805"/>
      <c r="ULT78" s="2805"/>
      <c r="ULU78" s="2805"/>
      <c r="ULV78" s="2805"/>
      <c r="ULW78" s="2805"/>
      <c r="ULX78" s="2805"/>
      <c r="ULY78" s="2805"/>
      <c r="ULZ78" s="2805"/>
      <c r="UMA78" s="2805"/>
      <c r="UMB78" s="2805"/>
      <c r="UMC78" s="2805"/>
      <c r="UMD78" s="2805"/>
      <c r="UME78" s="2805"/>
      <c r="UMF78" s="2805"/>
      <c r="UMG78" s="2805"/>
      <c r="UMH78" s="2805"/>
      <c r="UMI78" s="2805"/>
      <c r="UMJ78" s="2805"/>
      <c r="UMK78" s="2805"/>
      <c r="UML78" s="2805"/>
      <c r="UMM78" s="2805"/>
      <c r="UMN78" s="2805"/>
      <c r="UMO78" s="2805"/>
      <c r="UMP78" s="2805"/>
      <c r="UMQ78" s="2805"/>
      <c r="UMR78" s="2805"/>
      <c r="UMS78" s="2805"/>
      <c r="UMT78" s="2805"/>
      <c r="UMU78" s="2805"/>
      <c r="UMV78" s="2805"/>
      <c r="UMW78" s="2805"/>
      <c r="UMX78" s="2805"/>
      <c r="UMY78" s="2805"/>
      <c r="UMZ78" s="2805"/>
      <c r="UNA78" s="2805"/>
      <c r="UNB78" s="2805"/>
      <c r="UNC78" s="2805"/>
      <c r="UND78" s="2805"/>
      <c r="UNE78" s="2805"/>
      <c r="UNF78" s="2805"/>
      <c r="UNG78" s="2805"/>
      <c r="UNH78" s="2805"/>
      <c r="UNI78" s="2805"/>
      <c r="UNJ78" s="2805"/>
      <c r="UNK78" s="2805"/>
      <c r="UNL78" s="2805"/>
      <c r="UNM78" s="2805"/>
      <c r="UNN78" s="2805"/>
      <c r="UNO78" s="2805"/>
      <c r="UNP78" s="2805"/>
      <c r="UNQ78" s="2805"/>
      <c r="UNR78" s="2805"/>
      <c r="UNS78" s="2805"/>
      <c r="UNT78" s="2805"/>
      <c r="UNU78" s="2805"/>
      <c r="UNV78" s="2805"/>
      <c r="UNW78" s="2805"/>
      <c r="UNX78" s="2805"/>
      <c r="UNY78" s="2805"/>
      <c r="UNZ78" s="2805"/>
      <c r="UOA78" s="2805"/>
      <c r="UOB78" s="2805"/>
      <c r="UOC78" s="2805"/>
      <c r="UOD78" s="2805"/>
      <c r="UOE78" s="2805"/>
      <c r="UOF78" s="2805"/>
      <c r="UOG78" s="2805"/>
      <c r="UOH78" s="2805"/>
      <c r="UOI78" s="2805"/>
      <c r="UOJ78" s="2805"/>
      <c r="UOK78" s="2805"/>
      <c r="UOL78" s="2805"/>
      <c r="UOM78" s="2805"/>
      <c r="UON78" s="2805"/>
      <c r="UOO78" s="2805"/>
      <c r="UOP78" s="2805"/>
      <c r="UOQ78" s="2805"/>
      <c r="UOR78" s="2805"/>
      <c r="UOS78" s="2805"/>
      <c r="UOT78" s="2805"/>
      <c r="UOU78" s="2805"/>
      <c r="UOV78" s="2805"/>
      <c r="UOW78" s="2805"/>
      <c r="UOX78" s="2805"/>
      <c r="UOY78" s="2805"/>
      <c r="UOZ78" s="2805"/>
      <c r="UPA78" s="2805"/>
      <c r="UPB78" s="2805"/>
      <c r="UPC78" s="2805"/>
      <c r="UPD78" s="2805"/>
      <c r="UPE78" s="2805"/>
      <c r="UPF78" s="2805"/>
      <c r="UPG78" s="2805"/>
      <c r="UPH78" s="2805"/>
      <c r="UPI78" s="2805"/>
      <c r="UPJ78" s="2805"/>
      <c r="UPK78" s="2805"/>
      <c r="UPL78" s="2805"/>
      <c r="UPM78" s="2805"/>
      <c r="UPN78" s="2805"/>
      <c r="UPO78" s="2805"/>
      <c r="UPP78" s="2805"/>
      <c r="UPQ78" s="2805"/>
      <c r="UPR78" s="2805"/>
      <c r="UPS78" s="2805"/>
      <c r="UPT78" s="2805"/>
      <c r="UPU78" s="2805"/>
      <c r="UPV78" s="2805"/>
      <c r="UPW78" s="2805"/>
      <c r="UPX78" s="2805"/>
      <c r="UPY78" s="2805"/>
      <c r="UPZ78" s="2805"/>
      <c r="UQA78" s="2805"/>
      <c r="UQB78" s="2805"/>
      <c r="UQC78" s="2805"/>
      <c r="UQD78" s="2805"/>
      <c r="UQE78" s="2805"/>
      <c r="UQF78" s="2805"/>
      <c r="UQG78" s="2805"/>
      <c r="UQH78" s="2805"/>
      <c r="UQI78" s="2805"/>
      <c r="UQJ78" s="2805"/>
      <c r="UQK78" s="2805"/>
      <c r="UQL78" s="2805"/>
      <c r="UQM78" s="2805"/>
      <c r="UQN78" s="2805"/>
      <c r="UQO78" s="2805"/>
      <c r="UQP78" s="2805"/>
      <c r="UQQ78" s="2805"/>
      <c r="UQR78" s="2805"/>
      <c r="UQS78" s="2805"/>
      <c r="UQT78" s="2805"/>
      <c r="UQU78" s="2805"/>
      <c r="UQV78" s="2805"/>
      <c r="UQW78" s="2805"/>
      <c r="UQX78" s="2805"/>
      <c r="UQY78" s="2805"/>
      <c r="UQZ78" s="2805"/>
      <c r="URA78" s="2805"/>
      <c r="URB78" s="2805"/>
      <c r="URC78" s="2805"/>
      <c r="URD78" s="2805"/>
      <c r="URE78" s="2805"/>
      <c r="URF78" s="2805"/>
      <c r="URG78" s="2805"/>
      <c r="URH78" s="2805"/>
      <c r="URI78" s="2805"/>
      <c r="URJ78" s="2805"/>
      <c r="URK78" s="2805"/>
      <c r="URL78" s="2805"/>
      <c r="URM78" s="2805"/>
      <c r="URN78" s="2805"/>
      <c r="URO78" s="2805"/>
      <c r="URP78" s="2805"/>
      <c r="URQ78" s="2805"/>
      <c r="URR78" s="2805"/>
      <c r="URS78" s="2805"/>
      <c r="URT78" s="2805"/>
      <c r="URU78" s="2805"/>
      <c r="URV78" s="2805"/>
      <c r="URW78" s="2805"/>
      <c r="URX78" s="2805"/>
      <c r="URY78" s="2805"/>
      <c r="URZ78" s="2805"/>
      <c r="USA78" s="2805"/>
      <c r="USB78" s="2805"/>
      <c r="USC78" s="2805"/>
      <c r="USD78" s="2805"/>
      <c r="USE78" s="2805"/>
      <c r="USF78" s="2805"/>
      <c r="USG78" s="2805"/>
      <c r="USH78" s="2805"/>
      <c r="USI78" s="2805"/>
      <c r="USJ78" s="2805"/>
      <c r="USK78" s="2805"/>
      <c r="USL78" s="2805"/>
      <c r="USM78" s="2805"/>
      <c r="USN78" s="2805"/>
      <c r="USO78" s="2805"/>
      <c r="USP78" s="2805"/>
      <c r="USQ78" s="2805"/>
      <c r="USR78" s="2805"/>
      <c r="USS78" s="2805"/>
      <c r="UST78" s="2805"/>
      <c r="USU78" s="2805"/>
      <c r="USV78" s="2805"/>
      <c r="USW78" s="2805"/>
      <c r="USX78" s="2805"/>
      <c r="USY78" s="2805"/>
      <c r="USZ78" s="2805"/>
      <c r="UTA78" s="2805"/>
      <c r="UTB78" s="2805"/>
      <c r="UTC78" s="2805"/>
      <c r="UTD78" s="2805"/>
      <c r="UTE78" s="2805"/>
      <c r="UTF78" s="2805"/>
      <c r="UTG78" s="2805"/>
      <c r="UTH78" s="2805"/>
      <c r="UTI78" s="2805"/>
      <c r="UTJ78" s="2805"/>
      <c r="UTK78" s="2805"/>
      <c r="UTL78" s="2805"/>
      <c r="UTM78" s="2805"/>
      <c r="UTN78" s="2805"/>
      <c r="UTO78" s="2805"/>
      <c r="UTP78" s="2805"/>
      <c r="UTQ78" s="2805"/>
      <c r="UTR78" s="2805"/>
      <c r="UTS78" s="2805"/>
      <c r="UTT78" s="2805"/>
      <c r="UTU78" s="2805"/>
      <c r="UTV78" s="2805"/>
      <c r="UTW78" s="2805"/>
      <c r="UTX78" s="2805"/>
      <c r="UTY78" s="2805"/>
      <c r="UTZ78" s="2805"/>
      <c r="UUA78" s="2805"/>
      <c r="UUB78" s="2805"/>
      <c r="UUC78" s="2805"/>
      <c r="UUD78" s="2805"/>
      <c r="UUE78" s="2805"/>
      <c r="UUF78" s="2805"/>
      <c r="UUG78" s="2805"/>
      <c r="UUH78" s="2805"/>
      <c r="UUI78" s="2805"/>
      <c r="UUJ78" s="2805"/>
      <c r="UUK78" s="2805"/>
      <c r="UUL78" s="2805"/>
      <c r="UUM78" s="2805"/>
      <c r="UUN78" s="2805"/>
      <c r="UUO78" s="2805"/>
      <c r="UUP78" s="2805"/>
      <c r="UUQ78" s="2805"/>
      <c r="UUR78" s="2805"/>
      <c r="UUS78" s="2805"/>
      <c r="UUT78" s="2805"/>
      <c r="UUU78" s="2805"/>
      <c r="UUV78" s="2805"/>
      <c r="UUW78" s="2805"/>
      <c r="UUX78" s="2805"/>
      <c r="UUY78" s="2805"/>
      <c r="UUZ78" s="2805"/>
      <c r="UVA78" s="2805"/>
      <c r="UVB78" s="2805"/>
      <c r="UVC78" s="2805"/>
      <c r="UVD78" s="2805"/>
      <c r="UVE78" s="2805"/>
      <c r="UVF78" s="2805"/>
      <c r="UVG78" s="2805"/>
      <c r="UVH78" s="2805"/>
      <c r="UVI78" s="2805"/>
      <c r="UVJ78" s="2805"/>
      <c r="UVK78" s="2805"/>
      <c r="UVL78" s="2805"/>
      <c r="UVM78" s="2805"/>
      <c r="UVN78" s="2805"/>
      <c r="UVO78" s="2805"/>
      <c r="UVP78" s="2805"/>
      <c r="UVQ78" s="2805"/>
      <c r="UVR78" s="2805"/>
      <c r="UVS78" s="2805"/>
      <c r="UVT78" s="2805"/>
      <c r="UVU78" s="2805"/>
      <c r="UVV78" s="2805"/>
      <c r="UVW78" s="2805"/>
      <c r="UVX78" s="2805"/>
      <c r="UVY78" s="2805"/>
      <c r="UVZ78" s="2805"/>
      <c r="UWA78" s="2805"/>
      <c r="UWB78" s="2805"/>
      <c r="UWC78" s="2805"/>
      <c r="UWD78" s="2805"/>
      <c r="UWE78" s="2805"/>
      <c r="UWF78" s="2805"/>
      <c r="UWG78" s="2805"/>
      <c r="UWH78" s="2805"/>
      <c r="UWI78" s="2805"/>
      <c r="UWJ78" s="2805"/>
      <c r="UWK78" s="2805"/>
      <c r="UWL78" s="2805"/>
      <c r="UWM78" s="2805"/>
      <c r="UWN78" s="2805"/>
      <c r="UWO78" s="2805"/>
      <c r="UWP78" s="2805"/>
      <c r="UWQ78" s="2805"/>
      <c r="UWR78" s="2805"/>
      <c r="UWS78" s="2805"/>
      <c r="UWT78" s="2805"/>
      <c r="UWU78" s="2805"/>
      <c r="UWV78" s="2805"/>
      <c r="UWW78" s="2805"/>
      <c r="UWX78" s="2805"/>
      <c r="UWY78" s="2805"/>
      <c r="UWZ78" s="2805"/>
      <c r="UXA78" s="2805"/>
      <c r="UXB78" s="2805"/>
      <c r="UXC78" s="2805"/>
      <c r="UXD78" s="2805"/>
      <c r="UXE78" s="2805"/>
      <c r="UXF78" s="2805"/>
      <c r="UXG78" s="2805"/>
      <c r="UXH78" s="2805"/>
      <c r="UXI78" s="2805"/>
      <c r="UXJ78" s="2805"/>
      <c r="UXK78" s="2805"/>
      <c r="UXL78" s="2805"/>
      <c r="UXM78" s="2805"/>
      <c r="UXN78" s="2805"/>
      <c r="UXO78" s="2805"/>
      <c r="UXP78" s="2805"/>
      <c r="UXQ78" s="2805"/>
      <c r="UXR78" s="2805"/>
      <c r="UXS78" s="2805"/>
      <c r="UXT78" s="2805"/>
      <c r="UXU78" s="2805"/>
      <c r="UXV78" s="2805"/>
      <c r="UXW78" s="2805"/>
      <c r="UXX78" s="2805"/>
      <c r="UXY78" s="2805"/>
      <c r="UXZ78" s="2805"/>
      <c r="UYA78" s="2805"/>
      <c r="UYB78" s="2805"/>
      <c r="UYC78" s="2805"/>
      <c r="UYD78" s="2805"/>
      <c r="UYE78" s="2805"/>
      <c r="UYF78" s="2805"/>
      <c r="UYG78" s="2805"/>
      <c r="UYH78" s="2805"/>
      <c r="UYI78" s="2805"/>
      <c r="UYJ78" s="2805"/>
      <c r="UYK78" s="2805"/>
      <c r="UYL78" s="2805"/>
      <c r="UYM78" s="2805"/>
      <c r="UYN78" s="2805"/>
      <c r="UYO78" s="2805"/>
      <c r="UYP78" s="2805"/>
      <c r="UYQ78" s="2805"/>
      <c r="UYR78" s="2805"/>
      <c r="UYS78" s="2805"/>
      <c r="UYT78" s="2805"/>
      <c r="UYU78" s="2805"/>
      <c r="UYV78" s="2805"/>
      <c r="UYW78" s="2805"/>
      <c r="UYX78" s="2805"/>
      <c r="UYY78" s="2805"/>
      <c r="UYZ78" s="2805"/>
      <c r="UZA78" s="2805"/>
      <c r="UZB78" s="2805"/>
      <c r="UZC78" s="2805"/>
      <c r="UZD78" s="2805"/>
      <c r="UZE78" s="2805"/>
      <c r="UZF78" s="2805"/>
      <c r="UZG78" s="2805"/>
      <c r="UZH78" s="2805"/>
      <c r="UZI78" s="2805"/>
      <c r="UZJ78" s="2805"/>
      <c r="UZK78" s="2805"/>
      <c r="UZL78" s="2805"/>
      <c r="UZM78" s="2805"/>
      <c r="UZN78" s="2805"/>
      <c r="UZO78" s="2805"/>
      <c r="UZP78" s="2805"/>
      <c r="UZQ78" s="2805"/>
      <c r="UZR78" s="2805"/>
      <c r="UZS78" s="2805"/>
      <c r="UZT78" s="2805"/>
      <c r="UZU78" s="2805"/>
      <c r="UZV78" s="2805"/>
      <c r="UZW78" s="2805"/>
      <c r="UZX78" s="2805"/>
      <c r="UZY78" s="2805"/>
      <c r="UZZ78" s="2805"/>
      <c r="VAA78" s="2805"/>
      <c r="VAB78" s="2805"/>
      <c r="VAC78" s="2805"/>
      <c r="VAD78" s="2805"/>
      <c r="VAE78" s="2805"/>
      <c r="VAF78" s="2805"/>
      <c r="VAG78" s="2805"/>
      <c r="VAH78" s="2805"/>
      <c r="VAI78" s="2805"/>
      <c r="VAJ78" s="2805"/>
      <c r="VAK78" s="2805"/>
      <c r="VAL78" s="2805"/>
      <c r="VAM78" s="2805"/>
      <c r="VAN78" s="2805"/>
      <c r="VAO78" s="2805"/>
      <c r="VAP78" s="2805"/>
      <c r="VAQ78" s="2805"/>
      <c r="VAR78" s="2805"/>
      <c r="VAS78" s="2805"/>
      <c r="VAT78" s="2805"/>
      <c r="VAU78" s="2805"/>
      <c r="VAV78" s="2805"/>
      <c r="VAW78" s="2805"/>
      <c r="VAX78" s="2805"/>
      <c r="VAY78" s="2805"/>
      <c r="VAZ78" s="2805"/>
      <c r="VBA78" s="2805"/>
      <c r="VBB78" s="2805"/>
      <c r="VBC78" s="2805"/>
      <c r="VBD78" s="2805"/>
      <c r="VBE78" s="2805"/>
      <c r="VBF78" s="2805"/>
      <c r="VBG78" s="2805"/>
      <c r="VBH78" s="2805"/>
      <c r="VBI78" s="2805"/>
      <c r="VBJ78" s="2805"/>
      <c r="VBK78" s="2805"/>
      <c r="VBL78" s="2805"/>
      <c r="VBM78" s="2805"/>
      <c r="VBN78" s="2805"/>
      <c r="VBO78" s="2805"/>
      <c r="VBP78" s="2805"/>
      <c r="VBQ78" s="2805"/>
      <c r="VBR78" s="2805"/>
      <c r="VBS78" s="2805"/>
      <c r="VBT78" s="2805"/>
      <c r="VBU78" s="2805"/>
      <c r="VBV78" s="2805"/>
      <c r="VBW78" s="2805"/>
      <c r="VBX78" s="2805"/>
      <c r="VBY78" s="2805"/>
      <c r="VBZ78" s="2805"/>
      <c r="VCA78" s="2805"/>
      <c r="VCB78" s="2805"/>
      <c r="VCC78" s="2805"/>
      <c r="VCD78" s="2805"/>
      <c r="VCE78" s="2805"/>
      <c r="VCF78" s="2805"/>
      <c r="VCG78" s="2805"/>
      <c r="VCH78" s="2805"/>
      <c r="VCI78" s="2805"/>
      <c r="VCJ78" s="2805"/>
      <c r="VCK78" s="2805"/>
      <c r="VCL78" s="2805"/>
      <c r="VCM78" s="2805"/>
      <c r="VCN78" s="2805"/>
      <c r="VCO78" s="2805"/>
      <c r="VCP78" s="2805"/>
      <c r="VCQ78" s="2805"/>
      <c r="VCR78" s="2805"/>
      <c r="VCS78" s="2805"/>
      <c r="VCT78" s="2805"/>
      <c r="VCU78" s="2805"/>
      <c r="VCV78" s="2805"/>
      <c r="VCW78" s="2805"/>
      <c r="VCX78" s="2805"/>
      <c r="VCY78" s="2805"/>
      <c r="VCZ78" s="2805"/>
      <c r="VDA78" s="2805"/>
      <c r="VDB78" s="2805"/>
      <c r="VDC78" s="2805"/>
      <c r="VDD78" s="2805"/>
      <c r="VDE78" s="2805"/>
      <c r="VDF78" s="2805"/>
      <c r="VDG78" s="2805"/>
      <c r="VDH78" s="2805"/>
      <c r="VDI78" s="2805"/>
      <c r="VDJ78" s="2805"/>
      <c r="VDK78" s="2805"/>
      <c r="VDL78" s="2805"/>
      <c r="VDM78" s="2805"/>
      <c r="VDN78" s="2805"/>
      <c r="VDO78" s="2805"/>
      <c r="VDP78" s="2805"/>
      <c r="VDQ78" s="2805"/>
      <c r="VDR78" s="2805"/>
      <c r="VDS78" s="2805"/>
      <c r="VDT78" s="2805"/>
      <c r="VDU78" s="2805"/>
      <c r="VDV78" s="2805"/>
      <c r="VDW78" s="2805"/>
      <c r="VDX78" s="2805"/>
      <c r="VDY78" s="2805"/>
      <c r="VDZ78" s="2805"/>
      <c r="VEA78" s="2805"/>
      <c r="VEB78" s="2805"/>
      <c r="VEC78" s="2805"/>
      <c r="VED78" s="2805"/>
      <c r="VEE78" s="2805"/>
      <c r="VEF78" s="2805"/>
      <c r="VEG78" s="2805"/>
      <c r="VEH78" s="2805"/>
      <c r="VEI78" s="2805"/>
      <c r="VEJ78" s="2805"/>
      <c r="VEK78" s="2805"/>
      <c r="VEL78" s="2805"/>
      <c r="VEM78" s="2805"/>
      <c r="VEN78" s="2805"/>
      <c r="VEO78" s="2805"/>
      <c r="VEP78" s="2805"/>
      <c r="VEQ78" s="2805"/>
      <c r="VER78" s="2805"/>
      <c r="VES78" s="2805"/>
      <c r="VET78" s="2805"/>
      <c r="VEU78" s="2805"/>
      <c r="VEV78" s="2805"/>
      <c r="VEW78" s="2805"/>
      <c r="VEX78" s="2805"/>
      <c r="VEY78" s="2805"/>
      <c r="VEZ78" s="2805"/>
      <c r="VFA78" s="2805"/>
      <c r="VFB78" s="2805"/>
      <c r="VFC78" s="2805"/>
      <c r="VFD78" s="2805"/>
      <c r="VFE78" s="2805"/>
      <c r="VFF78" s="2805"/>
      <c r="VFG78" s="2805"/>
      <c r="VFH78" s="2805"/>
      <c r="VFI78" s="2805"/>
      <c r="VFJ78" s="2805"/>
      <c r="VFK78" s="2805"/>
      <c r="VFL78" s="2805"/>
      <c r="VFM78" s="2805"/>
      <c r="VFN78" s="2805"/>
      <c r="VFO78" s="2805"/>
      <c r="VFP78" s="2805"/>
      <c r="VFQ78" s="2805"/>
      <c r="VFR78" s="2805"/>
      <c r="VFS78" s="2805"/>
      <c r="VFT78" s="2805"/>
      <c r="VFU78" s="2805"/>
      <c r="VFV78" s="2805"/>
      <c r="VFW78" s="2805"/>
      <c r="VFX78" s="2805"/>
      <c r="VFY78" s="2805"/>
      <c r="VFZ78" s="2805"/>
      <c r="VGA78" s="2805"/>
      <c r="VGB78" s="2805"/>
      <c r="VGC78" s="2805"/>
      <c r="VGD78" s="2805"/>
      <c r="VGE78" s="2805"/>
      <c r="VGF78" s="2805"/>
      <c r="VGG78" s="2805"/>
      <c r="VGH78" s="2805"/>
      <c r="VGI78" s="2805"/>
      <c r="VGJ78" s="2805"/>
      <c r="VGK78" s="2805"/>
      <c r="VGL78" s="2805"/>
      <c r="VGM78" s="2805"/>
      <c r="VGN78" s="2805"/>
      <c r="VGO78" s="2805"/>
      <c r="VGP78" s="2805"/>
      <c r="VGQ78" s="2805"/>
      <c r="VGR78" s="2805"/>
      <c r="VGS78" s="2805"/>
      <c r="VGT78" s="2805"/>
      <c r="VGU78" s="2805"/>
      <c r="VGV78" s="2805"/>
      <c r="VGW78" s="2805"/>
      <c r="VGX78" s="2805"/>
      <c r="VGY78" s="2805"/>
      <c r="VGZ78" s="2805"/>
      <c r="VHA78" s="2805"/>
      <c r="VHB78" s="2805"/>
      <c r="VHC78" s="2805"/>
      <c r="VHD78" s="2805"/>
      <c r="VHE78" s="2805"/>
      <c r="VHF78" s="2805"/>
      <c r="VHG78" s="2805"/>
      <c r="VHH78" s="2805"/>
      <c r="VHI78" s="2805"/>
      <c r="VHJ78" s="2805"/>
      <c r="VHK78" s="2805"/>
      <c r="VHL78" s="2805"/>
      <c r="VHM78" s="2805"/>
      <c r="VHN78" s="2805"/>
      <c r="VHO78" s="2805"/>
      <c r="VHP78" s="2805"/>
      <c r="VHQ78" s="2805"/>
      <c r="VHR78" s="2805"/>
      <c r="VHS78" s="2805"/>
      <c r="VHT78" s="2805"/>
      <c r="VHU78" s="2805"/>
      <c r="VHV78" s="2805"/>
      <c r="VHW78" s="2805"/>
      <c r="VHX78" s="2805"/>
      <c r="VHY78" s="2805"/>
      <c r="VHZ78" s="2805"/>
      <c r="VIA78" s="2805"/>
      <c r="VIB78" s="2805"/>
      <c r="VIC78" s="2805"/>
      <c r="VID78" s="2805"/>
      <c r="VIE78" s="2805"/>
      <c r="VIF78" s="2805"/>
      <c r="VIG78" s="2805"/>
      <c r="VIH78" s="2805"/>
      <c r="VII78" s="2805"/>
      <c r="VIJ78" s="2805"/>
      <c r="VIK78" s="2805"/>
      <c r="VIL78" s="2805"/>
      <c r="VIM78" s="2805"/>
      <c r="VIN78" s="2805"/>
      <c r="VIO78" s="2805"/>
      <c r="VIP78" s="2805"/>
      <c r="VIQ78" s="2805"/>
      <c r="VIR78" s="2805"/>
      <c r="VIS78" s="2805"/>
      <c r="VIT78" s="2805"/>
      <c r="VIU78" s="2805"/>
      <c r="VIV78" s="2805"/>
      <c r="VIW78" s="2805"/>
      <c r="VIX78" s="2805"/>
      <c r="VIY78" s="2805"/>
      <c r="VIZ78" s="2805"/>
      <c r="VJA78" s="2805"/>
      <c r="VJB78" s="2805"/>
      <c r="VJC78" s="2805"/>
      <c r="VJD78" s="2805"/>
      <c r="VJE78" s="2805"/>
      <c r="VJF78" s="2805"/>
      <c r="VJG78" s="2805"/>
      <c r="VJH78" s="2805"/>
      <c r="VJI78" s="2805"/>
      <c r="VJJ78" s="2805"/>
      <c r="VJK78" s="2805"/>
      <c r="VJL78" s="2805"/>
      <c r="VJM78" s="2805"/>
      <c r="VJN78" s="2805"/>
      <c r="VJO78" s="2805"/>
      <c r="VJP78" s="2805"/>
      <c r="VJQ78" s="2805"/>
      <c r="VJR78" s="2805"/>
      <c r="VJS78" s="2805"/>
      <c r="VJT78" s="2805"/>
      <c r="VJU78" s="2805"/>
      <c r="VJV78" s="2805"/>
      <c r="VJW78" s="2805"/>
      <c r="VJX78" s="2805"/>
      <c r="VJY78" s="2805"/>
      <c r="VJZ78" s="2805"/>
      <c r="VKA78" s="2805"/>
      <c r="VKB78" s="2805"/>
      <c r="VKC78" s="2805"/>
      <c r="VKD78" s="2805"/>
      <c r="VKE78" s="2805"/>
      <c r="VKF78" s="2805"/>
      <c r="VKG78" s="2805"/>
      <c r="VKH78" s="2805"/>
      <c r="VKI78" s="2805"/>
      <c r="VKJ78" s="2805"/>
      <c r="VKK78" s="2805"/>
      <c r="VKL78" s="2805"/>
      <c r="VKM78" s="2805"/>
      <c r="VKN78" s="2805"/>
      <c r="VKO78" s="2805"/>
      <c r="VKP78" s="2805"/>
      <c r="VKQ78" s="2805"/>
      <c r="VKR78" s="2805"/>
      <c r="VKS78" s="2805"/>
      <c r="VKT78" s="2805"/>
      <c r="VKU78" s="2805"/>
      <c r="VKV78" s="2805"/>
      <c r="VKW78" s="2805"/>
      <c r="VKX78" s="2805"/>
      <c r="VKY78" s="2805"/>
      <c r="VKZ78" s="2805"/>
      <c r="VLA78" s="2805"/>
      <c r="VLB78" s="2805"/>
      <c r="VLC78" s="2805"/>
      <c r="VLD78" s="2805"/>
      <c r="VLE78" s="2805"/>
      <c r="VLF78" s="2805"/>
      <c r="VLG78" s="2805"/>
      <c r="VLH78" s="2805"/>
      <c r="VLI78" s="2805"/>
      <c r="VLJ78" s="2805"/>
      <c r="VLK78" s="2805"/>
      <c r="VLL78" s="2805"/>
      <c r="VLM78" s="2805"/>
      <c r="VLN78" s="2805"/>
      <c r="VLO78" s="2805"/>
      <c r="VLP78" s="2805"/>
      <c r="VLQ78" s="2805"/>
      <c r="VLR78" s="2805"/>
      <c r="VLS78" s="2805"/>
      <c r="VLT78" s="2805"/>
      <c r="VLU78" s="2805"/>
      <c r="VLV78" s="2805"/>
      <c r="VLW78" s="2805"/>
      <c r="VLX78" s="2805"/>
      <c r="VLY78" s="2805"/>
      <c r="VLZ78" s="2805"/>
      <c r="VMA78" s="2805"/>
      <c r="VMB78" s="2805"/>
      <c r="VMC78" s="2805"/>
      <c r="VMD78" s="2805"/>
      <c r="VME78" s="2805"/>
      <c r="VMF78" s="2805"/>
      <c r="VMG78" s="2805"/>
      <c r="VMH78" s="2805"/>
      <c r="VMI78" s="2805"/>
      <c r="VMJ78" s="2805"/>
      <c r="VMK78" s="2805"/>
      <c r="VML78" s="2805"/>
      <c r="VMM78" s="2805"/>
      <c r="VMN78" s="2805"/>
      <c r="VMO78" s="2805"/>
      <c r="VMP78" s="2805"/>
      <c r="VMQ78" s="2805"/>
      <c r="VMR78" s="2805"/>
      <c r="VMS78" s="2805"/>
      <c r="VMT78" s="2805"/>
      <c r="VMU78" s="2805"/>
      <c r="VMV78" s="2805"/>
      <c r="VMW78" s="2805"/>
      <c r="VMX78" s="2805"/>
      <c r="VMY78" s="2805"/>
      <c r="VMZ78" s="2805"/>
      <c r="VNA78" s="2805"/>
      <c r="VNB78" s="2805"/>
      <c r="VNC78" s="2805"/>
      <c r="VND78" s="2805"/>
      <c r="VNE78" s="2805"/>
      <c r="VNF78" s="2805"/>
      <c r="VNG78" s="2805"/>
      <c r="VNH78" s="2805"/>
      <c r="VNI78" s="2805"/>
      <c r="VNJ78" s="2805"/>
      <c r="VNK78" s="2805"/>
      <c r="VNL78" s="2805"/>
      <c r="VNM78" s="2805"/>
      <c r="VNN78" s="2805"/>
      <c r="VNO78" s="2805"/>
      <c r="VNP78" s="2805"/>
      <c r="VNQ78" s="2805"/>
      <c r="VNR78" s="2805"/>
      <c r="VNS78" s="2805"/>
      <c r="VNT78" s="2805"/>
      <c r="VNU78" s="2805"/>
      <c r="VNV78" s="2805"/>
      <c r="VNW78" s="2805"/>
      <c r="VNX78" s="2805"/>
      <c r="VNY78" s="2805"/>
      <c r="VNZ78" s="2805"/>
      <c r="VOA78" s="2805"/>
      <c r="VOB78" s="2805"/>
      <c r="VOC78" s="2805"/>
      <c r="VOD78" s="2805"/>
      <c r="VOE78" s="2805"/>
      <c r="VOF78" s="2805"/>
      <c r="VOG78" s="2805"/>
      <c r="VOH78" s="2805"/>
      <c r="VOI78" s="2805"/>
      <c r="VOJ78" s="2805"/>
      <c r="VOK78" s="2805"/>
      <c r="VOL78" s="2805"/>
      <c r="VOM78" s="2805"/>
      <c r="VON78" s="2805"/>
      <c r="VOO78" s="2805"/>
      <c r="VOP78" s="2805"/>
      <c r="VOQ78" s="2805"/>
      <c r="VOR78" s="2805"/>
      <c r="VOS78" s="2805"/>
      <c r="VOT78" s="2805"/>
      <c r="VOU78" s="2805"/>
      <c r="VOV78" s="2805"/>
      <c r="VOW78" s="2805"/>
      <c r="VOX78" s="2805"/>
      <c r="VOY78" s="2805"/>
      <c r="VOZ78" s="2805"/>
      <c r="VPA78" s="2805"/>
      <c r="VPB78" s="2805"/>
      <c r="VPC78" s="2805"/>
      <c r="VPD78" s="2805"/>
      <c r="VPE78" s="2805"/>
      <c r="VPF78" s="2805"/>
      <c r="VPG78" s="2805"/>
      <c r="VPH78" s="2805"/>
      <c r="VPI78" s="2805"/>
      <c r="VPJ78" s="2805"/>
      <c r="VPK78" s="2805"/>
      <c r="VPL78" s="2805"/>
      <c r="VPM78" s="2805"/>
      <c r="VPN78" s="2805"/>
      <c r="VPO78" s="2805"/>
      <c r="VPP78" s="2805"/>
      <c r="VPQ78" s="2805"/>
      <c r="VPR78" s="2805"/>
      <c r="VPS78" s="2805"/>
      <c r="VPT78" s="2805"/>
      <c r="VPU78" s="2805"/>
      <c r="VPV78" s="2805"/>
      <c r="VPW78" s="2805"/>
      <c r="VPX78" s="2805"/>
      <c r="VPY78" s="2805"/>
      <c r="VPZ78" s="2805"/>
      <c r="VQA78" s="2805"/>
      <c r="VQB78" s="2805"/>
      <c r="VQC78" s="2805"/>
      <c r="VQD78" s="2805"/>
      <c r="VQE78" s="2805"/>
      <c r="VQF78" s="2805"/>
      <c r="VQG78" s="2805"/>
      <c r="VQH78" s="2805"/>
      <c r="VQI78" s="2805"/>
      <c r="VQJ78" s="2805"/>
      <c r="VQK78" s="2805"/>
      <c r="VQL78" s="2805"/>
      <c r="VQM78" s="2805"/>
      <c r="VQN78" s="2805"/>
      <c r="VQO78" s="2805"/>
      <c r="VQP78" s="2805"/>
      <c r="VQQ78" s="2805"/>
      <c r="VQR78" s="2805"/>
      <c r="VQS78" s="2805"/>
      <c r="VQT78" s="2805"/>
      <c r="VQU78" s="2805"/>
      <c r="VQV78" s="2805"/>
      <c r="VQW78" s="2805"/>
      <c r="VQX78" s="2805"/>
      <c r="VQY78" s="2805"/>
      <c r="VQZ78" s="2805"/>
      <c r="VRA78" s="2805"/>
      <c r="VRB78" s="2805"/>
      <c r="VRC78" s="2805"/>
      <c r="VRD78" s="2805"/>
      <c r="VRE78" s="2805"/>
      <c r="VRF78" s="2805"/>
      <c r="VRG78" s="2805"/>
      <c r="VRH78" s="2805"/>
      <c r="VRI78" s="2805"/>
      <c r="VRJ78" s="2805"/>
      <c r="VRK78" s="2805"/>
      <c r="VRL78" s="2805"/>
      <c r="VRM78" s="2805"/>
      <c r="VRN78" s="2805"/>
      <c r="VRO78" s="2805"/>
      <c r="VRP78" s="2805"/>
      <c r="VRQ78" s="2805"/>
      <c r="VRR78" s="2805"/>
      <c r="VRS78" s="2805"/>
      <c r="VRT78" s="2805"/>
      <c r="VRU78" s="2805"/>
      <c r="VRV78" s="2805"/>
      <c r="VRW78" s="2805"/>
      <c r="VRX78" s="2805"/>
      <c r="VRY78" s="2805"/>
      <c r="VRZ78" s="2805"/>
      <c r="VSA78" s="2805"/>
      <c r="VSB78" s="2805"/>
      <c r="VSC78" s="2805"/>
      <c r="VSD78" s="2805"/>
      <c r="VSE78" s="2805"/>
      <c r="VSF78" s="2805"/>
      <c r="VSG78" s="2805"/>
      <c r="VSH78" s="2805"/>
      <c r="VSI78" s="2805"/>
      <c r="VSJ78" s="2805"/>
      <c r="VSK78" s="2805"/>
      <c r="VSL78" s="2805"/>
      <c r="VSM78" s="2805"/>
      <c r="VSN78" s="2805"/>
      <c r="VSO78" s="2805"/>
      <c r="VSP78" s="2805"/>
      <c r="VSQ78" s="2805"/>
      <c r="VSR78" s="2805"/>
      <c r="VSS78" s="2805"/>
      <c r="VST78" s="2805"/>
      <c r="VSU78" s="2805"/>
      <c r="VSV78" s="2805"/>
      <c r="VSW78" s="2805"/>
      <c r="VSX78" s="2805"/>
      <c r="VSY78" s="2805"/>
      <c r="VSZ78" s="2805"/>
      <c r="VTA78" s="2805"/>
      <c r="VTB78" s="2805"/>
      <c r="VTC78" s="2805"/>
      <c r="VTD78" s="2805"/>
      <c r="VTE78" s="2805"/>
      <c r="VTF78" s="2805"/>
      <c r="VTG78" s="2805"/>
      <c r="VTH78" s="2805"/>
      <c r="VTI78" s="2805"/>
      <c r="VTJ78" s="2805"/>
      <c r="VTK78" s="2805"/>
      <c r="VTL78" s="2805"/>
      <c r="VTM78" s="2805"/>
      <c r="VTN78" s="2805"/>
      <c r="VTO78" s="2805"/>
      <c r="VTP78" s="2805"/>
      <c r="VTQ78" s="2805"/>
      <c r="VTR78" s="2805"/>
      <c r="VTS78" s="2805"/>
      <c r="VTT78" s="2805"/>
      <c r="VTU78" s="2805"/>
      <c r="VTV78" s="2805"/>
      <c r="VTW78" s="2805"/>
      <c r="VTX78" s="2805"/>
      <c r="VTY78" s="2805"/>
      <c r="VTZ78" s="2805"/>
      <c r="VUA78" s="2805"/>
      <c r="VUB78" s="2805"/>
      <c r="VUC78" s="2805"/>
      <c r="VUD78" s="2805"/>
      <c r="VUE78" s="2805"/>
      <c r="VUF78" s="2805"/>
      <c r="VUG78" s="2805"/>
      <c r="VUH78" s="2805"/>
      <c r="VUI78" s="2805"/>
      <c r="VUJ78" s="2805"/>
      <c r="VUK78" s="2805"/>
      <c r="VUL78" s="2805"/>
      <c r="VUM78" s="2805"/>
      <c r="VUN78" s="2805"/>
      <c r="VUO78" s="2805"/>
      <c r="VUP78" s="2805"/>
      <c r="VUQ78" s="2805"/>
      <c r="VUR78" s="2805"/>
      <c r="VUS78" s="2805"/>
      <c r="VUT78" s="2805"/>
      <c r="VUU78" s="2805"/>
      <c r="VUV78" s="2805"/>
      <c r="VUW78" s="2805"/>
      <c r="VUX78" s="2805"/>
      <c r="VUY78" s="2805"/>
      <c r="VUZ78" s="2805"/>
      <c r="VVA78" s="2805"/>
      <c r="VVB78" s="2805"/>
      <c r="VVC78" s="2805"/>
      <c r="VVD78" s="2805"/>
      <c r="VVE78" s="2805"/>
      <c r="VVF78" s="2805"/>
      <c r="VVG78" s="2805"/>
      <c r="VVH78" s="2805"/>
      <c r="VVI78" s="2805"/>
      <c r="VVJ78" s="2805"/>
      <c r="VVK78" s="2805"/>
      <c r="VVL78" s="2805"/>
      <c r="VVM78" s="2805"/>
      <c r="VVN78" s="2805"/>
      <c r="VVO78" s="2805"/>
      <c r="VVP78" s="2805"/>
      <c r="VVQ78" s="2805"/>
      <c r="VVR78" s="2805"/>
      <c r="VVS78" s="2805"/>
      <c r="VVT78" s="2805"/>
      <c r="VVU78" s="2805"/>
      <c r="VVV78" s="2805"/>
      <c r="VVW78" s="2805"/>
      <c r="VVX78" s="2805"/>
      <c r="VVY78" s="2805"/>
      <c r="VVZ78" s="2805"/>
      <c r="VWA78" s="2805"/>
      <c r="VWB78" s="2805"/>
      <c r="VWC78" s="2805"/>
      <c r="VWD78" s="2805"/>
      <c r="VWE78" s="2805"/>
      <c r="VWF78" s="2805"/>
      <c r="VWG78" s="2805"/>
      <c r="VWH78" s="2805"/>
      <c r="VWI78" s="2805"/>
      <c r="VWJ78" s="2805"/>
      <c r="VWK78" s="2805"/>
      <c r="VWL78" s="2805"/>
      <c r="VWM78" s="2805"/>
      <c r="VWN78" s="2805"/>
      <c r="VWO78" s="2805"/>
      <c r="VWP78" s="2805"/>
      <c r="VWQ78" s="2805"/>
      <c r="VWR78" s="2805"/>
      <c r="VWS78" s="2805"/>
      <c r="VWT78" s="2805"/>
      <c r="VWU78" s="2805"/>
      <c r="VWV78" s="2805"/>
      <c r="VWW78" s="2805"/>
      <c r="VWX78" s="2805"/>
      <c r="VWY78" s="2805"/>
      <c r="VWZ78" s="2805"/>
      <c r="VXA78" s="2805"/>
      <c r="VXB78" s="2805"/>
      <c r="VXC78" s="2805"/>
      <c r="VXD78" s="2805"/>
      <c r="VXE78" s="2805"/>
      <c r="VXF78" s="2805"/>
      <c r="VXG78" s="2805"/>
      <c r="VXH78" s="2805"/>
      <c r="VXI78" s="2805"/>
      <c r="VXJ78" s="2805"/>
      <c r="VXK78" s="2805"/>
      <c r="VXL78" s="2805"/>
      <c r="VXM78" s="2805"/>
      <c r="VXN78" s="2805"/>
      <c r="VXO78" s="2805"/>
      <c r="VXP78" s="2805"/>
      <c r="VXQ78" s="2805"/>
      <c r="VXR78" s="2805"/>
      <c r="VXS78" s="2805"/>
      <c r="VXT78" s="2805"/>
      <c r="VXU78" s="2805"/>
      <c r="VXV78" s="2805"/>
      <c r="VXW78" s="2805"/>
      <c r="VXX78" s="2805"/>
      <c r="VXY78" s="2805"/>
      <c r="VXZ78" s="2805"/>
      <c r="VYA78" s="2805"/>
      <c r="VYB78" s="2805"/>
      <c r="VYC78" s="2805"/>
      <c r="VYD78" s="2805"/>
      <c r="VYE78" s="2805"/>
      <c r="VYF78" s="2805"/>
      <c r="VYG78" s="2805"/>
      <c r="VYH78" s="2805"/>
      <c r="VYI78" s="2805"/>
      <c r="VYJ78" s="2805"/>
      <c r="VYK78" s="2805"/>
      <c r="VYL78" s="2805"/>
      <c r="VYM78" s="2805"/>
      <c r="VYN78" s="2805"/>
      <c r="VYO78" s="2805"/>
      <c r="VYP78" s="2805"/>
      <c r="VYQ78" s="2805"/>
      <c r="VYR78" s="2805"/>
      <c r="VYS78" s="2805"/>
      <c r="VYT78" s="2805"/>
      <c r="VYU78" s="2805"/>
      <c r="VYV78" s="2805"/>
      <c r="VYW78" s="2805"/>
      <c r="VYX78" s="2805"/>
      <c r="VYY78" s="2805"/>
      <c r="VYZ78" s="2805"/>
      <c r="VZA78" s="2805"/>
      <c r="VZB78" s="2805"/>
      <c r="VZC78" s="2805"/>
      <c r="VZD78" s="2805"/>
      <c r="VZE78" s="2805"/>
      <c r="VZF78" s="2805"/>
      <c r="VZG78" s="2805"/>
      <c r="VZH78" s="2805"/>
      <c r="VZI78" s="2805"/>
      <c r="VZJ78" s="2805"/>
      <c r="VZK78" s="2805"/>
      <c r="VZL78" s="2805"/>
      <c r="VZM78" s="2805"/>
      <c r="VZN78" s="2805"/>
      <c r="VZO78" s="2805"/>
      <c r="VZP78" s="2805"/>
      <c r="VZQ78" s="2805"/>
      <c r="VZR78" s="2805"/>
      <c r="VZS78" s="2805"/>
      <c r="VZT78" s="2805"/>
      <c r="VZU78" s="2805"/>
      <c r="VZV78" s="2805"/>
      <c r="VZW78" s="2805"/>
      <c r="VZX78" s="2805"/>
      <c r="VZY78" s="2805"/>
      <c r="VZZ78" s="2805"/>
      <c r="WAA78" s="2805"/>
      <c r="WAB78" s="2805"/>
      <c r="WAC78" s="2805"/>
      <c r="WAD78" s="2805"/>
      <c r="WAE78" s="2805"/>
      <c r="WAF78" s="2805"/>
      <c r="WAG78" s="2805"/>
      <c r="WAH78" s="2805"/>
      <c r="WAI78" s="2805"/>
      <c r="WAJ78" s="2805"/>
      <c r="WAK78" s="2805"/>
      <c r="WAL78" s="2805"/>
      <c r="WAM78" s="2805"/>
      <c r="WAN78" s="2805"/>
      <c r="WAO78" s="2805"/>
      <c r="WAP78" s="2805"/>
      <c r="WAQ78" s="2805"/>
      <c r="WAR78" s="2805"/>
      <c r="WAS78" s="2805"/>
      <c r="WAT78" s="2805"/>
      <c r="WAU78" s="2805"/>
      <c r="WAV78" s="2805"/>
      <c r="WAW78" s="2805"/>
      <c r="WAX78" s="2805"/>
      <c r="WAY78" s="2805"/>
      <c r="WAZ78" s="2805"/>
      <c r="WBA78" s="2805"/>
      <c r="WBB78" s="2805"/>
      <c r="WBC78" s="2805"/>
      <c r="WBD78" s="2805"/>
      <c r="WBE78" s="2805"/>
      <c r="WBF78" s="2805"/>
      <c r="WBG78" s="2805"/>
      <c r="WBH78" s="2805"/>
      <c r="WBI78" s="2805"/>
      <c r="WBJ78" s="2805"/>
      <c r="WBK78" s="2805"/>
      <c r="WBL78" s="2805"/>
      <c r="WBM78" s="2805"/>
      <c r="WBN78" s="2805"/>
      <c r="WBO78" s="2805"/>
      <c r="WBP78" s="2805"/>
      <c r="WBQ78" s="2805"/>
      <c r="WBR78" s="2805"/>
      <c r="WBS78" s="2805"/>
      <c r="WBT78" s="2805"/>
      <c r="WBU78" s="2805"/>
      <c r="WBV78" s="2805"/>
      <c r="WBW78" s="2805"/>
      <c r="WBX78" s="2805"/>
      <c r="WBY78" s="2805"/>
      <c r="WBZ78" s="2805"/>
      <c r="WCA78" s="2805"/>
      <c r="WCB78" s="2805"/>
      <c r="WCC78" s="2805"/>
      <c r="WCD78" s="2805"/>
      <c r="WCE78" s="2805"/>
      <c r="WCF78" s="2805"/>
      <c r="WCG78" s="2805"/>
      <c r="WCH78" s="2805"/>
      <c r="WCI78" s="2805"/>
      <c r="WCJ78" s="2805"/>
      <c r="WCK78" s="2805"/>
      <c r="WCL78" s="2805"/>
      <c r="WCM78" s="2805"/>
      <c r="WCN78" s="2805"/>
      <c r="WCO78" s="2805"/>
      <c r="WCP78" s="2805"/>
      <c r="WCQ78" s="2805"/>
      <c r="WCR78" s="2805"/>
      <c r="WCS78" s="2805"/>
      <c r="WCT78" s="2805"/>
      <c r="WCU78" s="2805"/>
      <c r="WCV78" s="2805"/>
      <c r="WCW78" s="2805"/>
      <c r="WCX78" s="2805"/>
      <c r="WCY78" s="2805"/>
      <c r="WCZ78" s="2805"/>
      <c r="WDA78" s="2805"/>
      <c r="WDB78" s="2805"/>
      <c r="WDC78" s="2805"/>
      <c r="WDD78" s="2805"/>
      <c r="WDE78" s="2805"/>
      <c r="WDF78" s="2805"/>
      <c r="WDG78" s="2805"/>
      <c r="WDH78" s="2805"/>
      <c r="WDI78" s="2805"/>
      <c r="WDJ78" s="2805"/>
      <c r="WDK78" s="2805"/>
      <c r="WDL78" s="2805"/>
      <c r="WDM78" s="2805"/>
      <c r="WDN78" s="2805"/>
      <c r="WDO78" s="2805"/>
      <c r="WDP78" s="2805"/>
      <c r="WDQ78" s="2805"/>
      <c r="WDR78" s="2805"/>
      <c r="WDS78" s="2805"/>
      <c r="WDT78" s="2805"/>
      <c r="WDU78" s="2805"/>
      <c r="WDV78" s="2805"/>
      <c r="WDW78" s="2805"/>
      <c r="WDX78" s="2805"/>
      <c r="WDY78" s="2805"/>
      <c r="WDZ78" s="2805"/>
      <c r="WEA78" s="2805"/>
      <c r="WEB78" s="2805"/>
      <c r="WEC78" s="2805"/>
      <c r="WED78" s="2805"/>
      <c r="WEE78" s="2805"/>
      <c r="WEF78" s="2805"/>
      <c r="WEG78" s="2805"/>
      <c r="WEH78" s="2805"/>
      <c r="WEI78" s="2805"/>
      <c r="WEJ78" s="2805"/>
      <c r="WEK78" s="2805"/>
      <c r="WEL78" s="2805"/>
      <c r="WEM78" s="2805"/>
      <c r="WEN78" s="2805"/>
      <c r="WEO78" s="2805"/>
      <c r="WEP78" s="2805"/>
      <c r="WEQ78" s="2805"/>
      <c r="WER78" s="2805"/>
      <c r="WES78" s="2805"/>
      <c r="WET78" s="2805"/>
      <c r="WEU78" s="2805"/>
      <c r="WEV78" s="2805"/>
      <c r="WEW78" s="2805"/>
      <c r="WEX78" s="2805"/>
      <c r="WEY78" s="2805"/>
      <c r="WEZ78" s="2805"/>
      <c r="WFA78" s="2805"/>
      <c r="WFB78" s="2805"/>
      <c r="WFC78" s="2805"/>
      <c r="WFD78" s="2805"/>
      <c r="WFE78" s="2805"/>
      <c r="WFF78" s="2805"/>
      <c r="WFG78" s="2805"/>
      <c r="WFH78" s="2805"/>
      <c r="WFI78" s="2805"/>
      <c r="WFJ78" s="2805"/>
      <c r="WFK78" s="2805"/>
      <c r="WFL78" s="2805"/>
      <c r="WFM78" s="2805"/>
      <c r="WFN78" s="2805"/>
      <c r="WFO78" s="2805"/>
      <c r="WFP78" s="2805"/>
      <c r="WFQ78" s="2805"/>
      <c r="WFR78" s="2805"/>
      <c r="WFS78" s="2805"/>
      <c r="WFT78" s="2805"/>
      <c r="WFU78" s="2805"/>
      <c r="WFV78" s="2805"/>
      <c r="WFW78" s="2805"/>
      <c r="WFX78" s="2805"/>
      <c r="WFY78" s="2805"/>
      <c r="WFZ78" s="2805"/>
      <c r="WGA78" s="2805"/>
      <c r="WGB78" s="2805"/>
      <c r="WGC78" s="2805"/>
      <c r="WGD78" s="2805"/>
      <c r="WGE78" s="2805"/>
      <c r="WGF78" s="2805"/>
      <c r="WGG78" s="2805"/>
      <c r="WGH78" s="2805"/>
      <c r="WGI78" s="2805"/>
      <c r="WGJ78" s="2805"/>
      <c r="WGK78" s="2805"/>
      <c r="WGL78" s="2805"/>
      <c r="WGM78" s="2805"/>
      <c r="WGN78" s="2805"/>
      <c r="WGO78" s="2805"/>
      <c r="WGP78" s="2805"/>
      <c r="WGQ78" s="2805"/>
      <c r="WGR78" s="2805"/>
      <c r="WGS78" s="2805"/>
      <c r="WGT78" s="2805"/>
      <c r="WGU78" s="2805"/>
      <c r="WGV78" s="2805"/>
      <c r="WGW78" s="2805"/>
      <c r="WGX78" s="2805"/>
      <c r="WGY78" s="2805"/>
      <c r="WGZ78" s="2805"/>
      <c r="WHA78" s="2805"/>
      <c r="WHB78" s="2805"/>
      <c r="WHC78" s="2805"/>
      <c r="WHD78" s="2805"/>
      <c r="WHE78" s="2805"/>
      <c r="WHF78" s="2805"/>
      <c r="WHG78" s="2805"/>
      <c r="WHH78" s="2805"/>
      <c r="WHI78" s="2805"/>
      <c r="WHJ78" s="2805"/>
      <c r="WHK78" s="2805"/>
      <c r="WHL78" s="2805"/>
      <c r="WHM78" s="2805"/>
      <c r="WHN78" s="2805"/>
      <c r="WHO78" s="2805"/>
      <c r="WHP78" s="2805"/>
      <c r="WHQ78" s="2805"/>
      <c r="WHR78" s="2805"/>
      <c r="WHS78" s="2805"/>
      <c r="WHT78" s="2805"/>
      <c r="WHU78" s="2805"/>
      <c r="WHV78" s="2805"/>
      <c r="WHW78" s="2805"/>
      <c r="WHX78" s="2805"/>
      <c r="WHY78" s="2805"/>
      <c r="WHZ78" s="2805"/>
      <c r="WIA78" s="2805"/>
      <c r="WIB78" s="2805"/>
      <c r="WIC78" s="2805"/>
      <c r="WID78" s="2805"/>
      <c r="WIE78" s="2805"/>
      <c r="WIF78" s="2805"/>
      <c r="WIG78" s="2805"/>
      <c r="WIH78" s="2805"/>
      <c r="WII78" s="2805"/>
      <c r="WIJ78" s="2805"/>
      <c r="WIK78" s="2805"/>
      <c r="WIL78" s="2805"/>
      <c r="WIM78" s="2805"/>
      <c r="WIN78" s="2805"/>
      <c r="WIO78" s="2805"/>
      <c r="WIP78" s="2805"/>
      <c r="WIQ78" s="2805"/>
      <c r="WIR78" s="2805"/>
      <c r="WIS78" s="2805"/>
      <c r="WIT78" s="2805"/>
      <c r="WIU78" s="2805"/>
      <c r="WIV78" s="2805"/>
      <c r="WIW78" s="2805"/>
      <c r="WIX78" s="2805"/>
      <c r="WIY78" s="2805"/>
      <c r="WIZ78" s="2805"/>
      <c r="WJA78" s="2805"/>
      <c r="WJB78" s="2805"/>
      <c r="WJC78" s="2805"/>
      <c r="WJD78" s="2805"/>
      <c r="WJE78" s="2805"/>
      <c r="WJF78" s="2805"/>
      <c r="WJG78" s="2805"/>
      <c r="WJH78" s="2805"/>
      <c r="WJI78" s="2805"/>
      <c r="WJJ78" s="2805"/>
      <c r="WJK78" s="2805"/>
      <c r="WJL78" s="2805"/>
      <c r="WJM78" s="2805"/>
      <c r="WJN78" s="2805"/>
      <c r="WJO78" s="2805"/>
      <c r="WJP78" s="2805"/>
      <c r="WJQ78" s="2805"/>
      <c r="WJR78" s="2805"/>
      <c r="WJS78" s="2805"/>
      <c r="WJT78" s="2805"/>
      <c r="WJU78" s="2805"/>
      <c r="WJV78" s="2805"/>
      <c r="WJW78" s="2805"/>
      <c r="WJX78" s="2805"/>
      <c r="WJY78" s="2805"/>
      <c r="WJZ78" s="2805"/>
      <c r="WKA78" s="2805"/>
      <c r="WKB78" s="2805"/>
      <c r="WKC78" s="2805"/>
      <c r="WKD78" s="2805"/>
      <c r="WKE78" s="2805"/>
      <c r="WKF78" s="2805"/>
      <c r="WKG78" s="2805"/>
      <c r="WKH78" s="2805"/>
      <c r="WKI78" s="2805"/>
      <c r="WKJ78" s="2805"/>
      <c r="WKK78" s="2805"/>
      <c r="WKL78" s="2805"/>
      <c r="WKM78" s="2805"/>
      <c r="WKN78" s="2805"/>
      <c r="WKO78" s="2805"/>
      <c r="WKP78" s="2805"/>
      <c r="WKQ78" s="2805"/>
      <c r="WKR78" s="2805"/>
      <c r="WKS78" s="2805"/>
      <c r="WKT78" s="2805"/>
      <c r="WKU78" s="2805"/>
      <c r="WKV78" s="2805"/>
      <c r="WKW78" s="2805"/>
      <c r="WKX78" s="2805"/>
      <c r="WKY78" s="2805"/>
      <c r="WKZ78" s="2805"/>
      <c r="WLA78" s="2805"/>
      <c r="WLB78" s="2805"/>
      <c r="WLC78" s="2805"/>
      <c r="WLD78" s="2805"/>
      <c r="WLE78" s="2805"/>
      <c r="WLF78" s="2805"/>
      <c r="WLG78" s="2805"/>
      <c r="WLH78" s="2805"/>
      <c r="WLI78" s="2805"/>
      <c r="WLJ78" s="2805"/>
      <c r="WLK78" s="2805"/>
      <c r="WLL78" s="2805"/>
      <c r="WLM78" s="2805"/>
      <c r="WLN78" s="2805"/>
      <c r="WLO78" s="2805"/>
      <c r="WLP78" s="2805"/>
      <c r="WLQ78" s="2805"/>
      <c r="WLR78" s="2805"/>
      <c r="WLS78" s="2805"/>
      <c r="WLT78" s="2805"/>
      <c r="WLU78" s="2805"/>
      <c r="WLV78" s="2805"/>
      <c r="WLW78" s="2805"/>
      <c r="WLX78" s="2805"/>
      <c r="WLY78" s="2805"/>
      <c r="WLZ78" s="2805"/>
      <c r="WMA78" s="2805"/>
      <c r="WMB78" s="2805"/>
      <c r="WMC78" s="2805"/>
      <c r="WMD78" s="2805"/>
      <c r="WME78" s="2805"/>
      <c r="WMF78" s="2805"/>
      <c r="WMG78" s="2805"/>
      <c r="WMH78" s="2805"/>
      <c r="WMI78" s="2805"/>
      <c r="WMJ78" s="2805"/>
      <c r="WMK78" s="2805"/>
      <c r="WML78" s="2805"/>
      <c r="WMM78" s="2805"/>
      <c r="WMN78" s="2805"/>
      <c r="WMO78" s="2805"/>
      <c r="WMP78" s="2805"/>
      <c r="WMQ78" s="2805"/>
      <c r="WMR78" s="2805"/>
      <c r="WMS78" s="2805"/>
      <c r="WMT78" s="2805"/>
      <c r="WMU78" s="2805"/>
      <c r="WMV78" s="2805"/>
      <c r="WMW78" s="2805"/>
      <c r="WMX78" s="2805"/>
      <c r="WMY78" s="2805"/>
      <c r="WMZ78" s="2805"/>
      <c r="WNA78" s="2805"/>
      <c r="WNB78" s="2805"/>
      <c r="WNC78" s="2805"/>
      <c r="WND78" s="2805"/>
      <c r="WNE78" s="2805"/>
      <c r="WNF78" s="2805"/>
      <c r="WNG78" s="2805"/>
      <c r="WNH78" s="2805"/>
      <c r="WNI78" s="2805"/>
      <c r="WNJ78" s="2805"/>
      <c r="WNK78" s="2805"/>
      <c r="WNL78" s="2805"/>
      <c r="WNM78" s="2805"/>
      <c r="WNN78" s="2805"/>
      <c r="WNO78" s="2805"/>
      <c r="WNP78" s="2805"/>
      <c r="WNQ78" s="2805"/>
      <c r="WNR78" s="2805"/>
      <c r="WNS78" s="2805"/>
      <c r="WNT78" s="2805"/>
      <c r="WNU78" s="2805"/>
      <c r="WNV78" s="2805"/>
      <c r="WNW78" s="2805"/>
      <c r="WNX78" s="2805"/>
      <c r="WNY78" s="2805"/>
      <c r="WNZ78" s="2805"/>
      <c r="WOA78" s="2805"/>
      <c r="WOB78" s="2805"/>
      <c r="WOC78" s="2805"/>
      <c r="WOD78" s="2805"/>
      <c r="WOE78" s="2805"/>
      <c r="WOF78" s="2805"/>
      <c r="WOG78" s="2805"/>
      <c r="WOH78" s="2805"/>
      <c r="WOI78" s="2805"/>
      <c r="WOJ78" s="2805"/>
      <c r="WOK78" s="2805"/>
      <c r="WOL78" s="2805"/>
      <c r="WOM78" s="2805"/>
      <c r="WON78" s="2805"/>
      <c r="WOO78" s="2805"/>
      <c r="WOP78" s="2805"/>
      <c r="WOQ78" s="2805"/>
      <c r="WOR78" s="2805"/>
      <c r="WOS78" s="2805"/>
      <c r="WOT78" s="2805"/>
      <c r="WOU78" s="2805"/>
      <c r="WOV78" s="2805"/>
      <c r="WOW78" s="2805"/>
      <c r="WOX78" s="2805"/>
      <c r="WOY78" s="2805"/>
      <c r="WOZ78" s="2805"/>
      <c r="WPA78" s="2805"/>
      <c r="WPB78" s="2805"/>
      <c r="WPC78" s="2805"/>
      <c r="WPD78" s="2805"/>
      <c r="WPE78" s="2805"/>
      <c r="WPF78" s="2805"/>
      <c r="WPG78" s="2805"/>
      <c r="WPH78" s="2805"/>
      <c r="WPI78" s="2805"/>
      <c r="WPJ78" s="2805"/>
      <c r="WPK78" s="2805"/>
      <c r="WPL78" s="2805"/>
      <c r="WPM78" s="2805"/>
      <c r="WPN78" s="2805"/>
      <c r="WPO78" s="2805"/>
      <c r="WPP78" s="2805"/>
      <c r="WPQ78" s="2805"/>
      <c r="WPR78" s="2805"/>
      <c r="WPS78" s="2805"/>
      <c r="WPT78" s="2805"/>
      <c r="WPU78" s="2805"/>
      <c r="WPV78" s="2805"/>
      <c r="WPW78" s="2805"/>
      <c r="WPX78" s="2805"/>
      <c r="WPY78" s="2805"/>
      <c r="WPZ78" s="2805"/>
      <c r="WQA78" s="2805"/>
      <c r="WQB78" s="2805"/>
      <c r="WQC78" s="2805"/>
      <c r="WQD78" s="2805"/>
      <c r="WQE78" s="2805"/>
      <c r="WQF78" s="2805"/>
      <c r="WQG78" s="2805"/>
      <c r="WQH78" s="2805"/>
      <c r="WQI78" s="2805"/>
      <c r="WQJ78" s="2805"/>
      <c r="WQK78" s="2805"/>
      <c r="WQL78" s="2805"/>
      <c r="WQM78" s="2805"/>
      <c r="WQN78" s="2805"/>
      <c r="WQO78" s="2805"/>
      <c r="WQP78" s="2805"/>
      <c r="WQQ78" s="2805"/>
      <c r="WQR78" s="2805"/>
      <c r="WQS78" s="2805"/>
      <c r="WQT78" s="2805"/>
      <c r="WQU78" s="2805"/>
      <c r="WQV78" s="2805"/>
      <c r="WQW78" s="2805"/>
      <c r="WQX78" s="2805"/>
      <c r="WQY78" s="2805"/>
      <c r="WQZ78" s="2805"/>
      <c r="WRA78" s="2805"/>
      <c r="WRB78" s="2805"/>
      <c r="WRC78" s="2805"/>
      <c r="WRD78" s="2805"/>
      <c r="WRE78" s="2805"/>
      <c r="WRF78" s="2805"/>
      <c r="WRG78" s="2805"/>
      <c r="WRH78" s="2805"/>
      <c r="WRI78" s="2805"/>
      <c r="WRJ78" s="2805"/>
      <c r="WRK78" s="2805"/>
      <c r="WRL78" s="2805"/>
      <c r="WRM78" s="2805"/>
      <c r="WRN78" s="2805"/>
      <c r="WRO78" s="2805"/>
      <c r="WRP78" s="2805"/>
      <c r="WRQ78" s="2805"/>
      <c r="WRR78" s="2805"/>
      <c r="WRS78" s="2805"/>
      <c r="WRT78" s="2805"/>
      <c r="WRU78" s="2805"/>
      <c r="WRV78" s="2805"/>
      <c r="WRW78" s="2805"/>
      <c r="WRX78" s="2805"/>
      <c r="WRY78" s="2805"/>
      <c r="WRZ78" s="2805"/>
      <c r="WSA78" s="2805"/>
      <c r="WSB78" s="2805"/>
      <c r="WSC78" s="2805"/>
      <c r="WSD78" s="2805"/>
      <c r="WSE78" s="2805"/>
      <c r="WSF78" s="2805"/>
      <c r="WSG78" s="2805"/>
      <c r="WSH78" s="2805"/>
      <c r="WSI78" s="2805"/>
      <c r="WSJ78" s="2805"/>
      <c r="WSK78" s="2805"/>
      <c r="WSL78" s="2805"/>
      <c r="WSM78" s="2805"/>
      <c r="WSN78" s="2805"/>
      <c r="WSO78" s="2805"/>
      <c r="WSP78" s="2805"/>
      <c r="WSQ78" s="2805"/>
      <c r="WSR78" s="2805"/>
      <c r="WSS78" s="2805"/>
      <c r="WST78" s="2805"/>
      <c r="WSU78" s="2805"/>
      <c r="WSV78" s="2805"/>
      <c r="WSW78" s="2805"/>
      <c r="WSX78" s="2805"/>
      <c r="WSY78" s="2805"/>
      <c r="WSZ78" s="2805"/>
      <c r="WTA78" s="2805"/>
      <c r="WTB78" s="2805"/>
      <c r="WTC78" s="2805"/>
      <c r="WTD78" s="2805"/>
      <c r="WTE78" s="2805"/>
      <c r="WTF78" s="2805"/>
      <c r="WTG78" s="2805"/>
      <c r="WTH78" s="2805"/>
      <c r="WTI78" s="2805"/>
      <c r="WTJ78" s="2805"/>
      <c r="WTK78" s="2805"/>
      <c r="WTL78" s="2805"/>
      <c r="WTM78" s="2805"/>
      <c r="WTN78" s="2805"/>
      <c r="WTO78" s="2805"/>
      <c r="WTP78" s="2805"/>
      <c r="WTQ78" s="2805"/>
      <c r="WTR78" s="2805"/>
      <c r="WTS78" s="2805"/>
      <c r="WTT78" s="2805"/>
      <c r="WTU78" s="2805"/>
      <c r="WTV78" s="2805"/>
      <c r="WTW78" s="2805"/>
      <c r="WTX78" s="2805"/>
      <c r="WTY78" s="2805"/>
      <c r="WTZ78" s="2805"/>
      <c r="WUA78" s="2805"/>
      <c r="WUB78" s="2805"/>
      <c r="WUC78" s="2805"/>
      <c r="WUD78" s="2805"/>
      <c r="WUE78" s="2805"/>
      <c r="WUF78" s="2805"/>
      <c r="WUG78" s="2805"/>
      <c r="WUH78" s="2805"/>
      <c r="WUI78" s="2805"/>
      <c r="WUJ78" s="2805"/>
      <c r="WUK78" s="2805"/>
      <c r="WUL78" s="2805"/>
      <c r="WUM78" s="2805"/>
      <c r="WUN78" s="2805"/>
      <c r="WUO78" s="2805"/>
      <c r="WUP78" s="2805"/>
      <c r="WUQ78" s="2805"/>
      <c r="WUR78" s="2805"/>
      <c r="WUS78" s="2805"/>
      <c r="WUT78" s="2805"/>
      <c r="WUU78" s="2805"/>
      <c r="WUV78" s="2805"/>
      <c r="WUW78" s="2805"/>
      <c r="WUX78" s="2805"/>
      <c r="WUY78" s="2805"/>
      <c r="WUZ78" s="2805"/>
      <c r="WVA78" s="2805"/>
      <c r="WVB78" s="2805"/>
      <c r="WVC78" s="2805"/>
      <c r="WVD78" s="2805"/>
      <c r="WVE78" s="2805"/>
      <c r="WVF78" s="2805"/>
      <c r="WVG78" s="2805"/>
      <c r="WVH78" s="2805"/>
      <c r="WVI78" s="2805"/>
      <c r="WVJ78" s="2805"/>
      <c r="WVK78" s="2805"/>
      <c r="WVL78" s="2805"/>
      <c r="WVM78" s="2805"/>
      <c r="WVN78" s="2805"/>
      <c r="WVO78" s="2805"/>
      <c r="WVP78" s="2805"/>
      <c r="WVQ78" s="2805"/>
      <c r="WVR78" s="2805"/>
      <c r="WVS78" s="2805"/>
      <c r="WVT78" s="2805"/>
      <c r="WVU78" s="2805"/>
      <c r="WVV78" s="2805"/>
      <c r="WVW78" s="2805"/>
      <c r="WVX78" s="2805"/>
      <c r="WVY78" s="2805"/>
      <c r="WVZ78" s="2805"/>
      <c r="WWA78" s="2805"/>
      <c r="WWB78" s="2805"/>
      <c r="WWC78" s="2805"/>
      <c r="WWD78" s="2805"/>
      <c r="WWE78" s="2805"/>
      <c r="WWF78" s="2805"/>
      <c r="WWG78" s="2805"/>
      <c r="WWH78" s="2805"/>
      <c r="WWI78" s="2805"/>
      <c r="WWJ78" s="2805"/>
      <c r="WWK78" s="2805"/>
      <c r="WWL78" s="2805"/>
      <c r="WWM78" s="2805"/>
      <c r="WWN78" s="2805"/>
      <c r="WWO78" s="2805"/>
      <c r="WWP78" s="2805"/>
      <c r="WWQ78" s="2805"/>
      <c r="WWR78" s="2805"/>
      <c r="WWS78" s="2805"/>
      <c r="WWT78" s="2805"/>
      <c r="WWU78" s="2805"/>
      <c r="WWV78" s="2805"/>
      <c r="WWW78" s="2805"/>
      <c r="WWX78" s="2805"/>
      <c r="WWY78" s="2805"/>
      <c r="WWZ78" s="2805"/>
      <c r="WXA78" s="2805"/>
      <c r="WXB78" s="2805"/>
      <c r="WXC78" s="2805"/>
      <c r="WXD78" s="2805"/>
      <c r="WXE78" s="2805"/>
      <c r="WXF78" s="2805"/>
      <c r="WXG78" s="2805"/>
      <c r="WXH78" s="2805"/>
      <c r="WXI78" s="2805"/>
      <c r="WXJ78" s="2805"/>
      <c r="WXK78" s="2805"/>
      <c r="WXL78" s="2805"/>
      <c r="WXM78" s="2805"/>
      <c r="WXN78" s="2805"/>
      <c r="WXO78" s="2805"/>
      <c r="WXP78" s="2805"/>
      <c r="WXQ78" s="2805"/>
      <c r="WXR78" s="2805"/>
      <c r="WXS78" s="2805"/>
      <c r="WXT78" s="2805"/>
      <c r="WXU78" s="2805"/>
      <c r="WXV78" s="2805"/>
      <c r="WXW78" s="2805"/>
      <c r="WXX78" s="2805"/>
      <c r="WXY78" s="2805"/>
      <c r="WXZ78" s="2805"/>
      <c r="WYA78" s="2805"/>
      <c r="WYB78" s="2805"/>
      <c r="WYC78" s="2805"/>
      <c r="WYD78" s="2805"/>
      <c r="WYE78" s="2805"/>
      <c r="WYF78" s="2805"/>
      <c r="WYG78" s="2805"/>
      <c r="WYH78" s="2805"/>
      <c r="WYI78" s="2805"/>
      <c r="WYJ78" s="2805"/>
      <c r="WYK78" s="2805"/>
      <c r="WYL78" s="2805"/>
      <c r="WYM78" s="2805"/>
      <c r="WYN78" s="2805"/>
      <c r="WYO78" s="2805"/>
      <c r="WYP78" s="2805"/>
      <c r="WYQ78" s="2805"/>
      <c r="WYR78" s="2805"/>
      <c r="WYS78" s="2805"/>
      <c r="WYT78" s="2805"/>
      <c r="WYU78" s="2805"/>
      <c r="WYV78" s="2805"/>
      <c r="WYW78" s="2805"/>
      <c r="WYX78" s="2805"/>
      <c r="WYY78" s="2805"/>
      <c r="WYZ78" s="2805"/>
      <c r="WZA78" s="2805"/>
      <c r="WZB78" s="2805"/>
      <c r="WZC78" s="2805"/>
      <c r="WZD78" s="2805"/>
      <c r="WZE78" s="2805"/>
      <c r="WZF78" s="2805"/>
      <c r="WZG78" s="2805"/>
      <c r="WZH78" s="2805"/>
      <c r="WZI78" s="2805"/>
      <c r="WZJ78" s="2805"/>
      <c r="WZK78" s="2805"/>
      <c r="WZL78" s="2805"/>
      <c r="WZM78" s="2805"/>
      <c r="WZN78" s="2805"/>
      <c r="WZO78" s="2805"/>
      <c r="WZP78" s="2805"/>
      <c r="WZQ78" s="2805"/>
      <c r="WZR78" s="2805"/>
      <c r="WZS78" s="2805"/>
      <c r="WZT78" s="2805"/>
      <c r="WZU78" s="2805"/>
      <c r="WZV78" s="2805"/>
      <c r="WZW78" s="2805"/>
      <c r="WZX78" s="2805"/>
      <c r="WZY78" s="2805"/>
      <c r="WZZ78" s="2805"/>
      <c r="XAA78" s="2805"/>
      <c r="XAB78" s="2805"/>
      <c r="XAC78" s="2805"/>
      <c r="XAD78" s="2805"/>
      <c r="XAE78" s="2805"/>
      <c r="XAF78" s="2805"/>
      <c r="XAG78" s="2805"/>
      <c r="XAH78" s="2805"/>
      <c r="XAI78" s="2805"/>
      <c r="XAJ78" s="2805"/>
      <c r="XAK78" s="2805"/>
      <c r="XAL78" s="2805"/>
      <c r="XAM78" s="2805"/>
      <c r="XAN78" s="2805"/>
      <c r="XAO78" s="2805"/>
      <c r="XAP78" s="2805"/>
      <c r="XAQ78" s="2805"/>
      <c r="XAR78" s="2805"/>
      <c r="XAS78" s="2805"/>
      <c r="XAT78" s="2805"/>
      <c r="XAU78" s="2805"/>
      <c r="XAV78" s="2805"/>
      <c r="XAW78" s="2805"/>
      <c r="XAX78" s="2805"/>
      <c r="XAY78" s="2805"/>
      <c r="XAZ78" s="2805"/>
      <c r="XBA78" s="2805"/>
      <c r="XBB78" s="2805"/>
      <c r="XBC78" s="2805"/>
      <c r="XBD78" s="2805"/>
      <c r="XBE78" s="2805"/>
      <c r="XBF78" s="2805"/>
      <c r="XBG78" s="2805"/>
      <c r="XBH78" s="2805"/>
      <c r="XBI78" s="2805"/>
      <c r="XBJ78" s="2805"/>
      <c r="XBK78" s="2805"/>
      <c r="XBL78" s="2805"/>
      <c r="XBM78" s="2805"/>
      <c r="XBN78" s="2805"/>
      <c r="XBO78" s="2805"/>
      <c r="XBP78" s="2805"/>
      <c r="XBQ78" s="2805"/>
      <c r="XBR78" s="2805"/>
      <c r="XBS78" s="2805"/>
      <c r="XBT78" s="2805"/>
      <c r="XBU78" s="2805"/>
      <c r="XBV78" s="2805"/>
      <c r="XBW78" s="2805"/>
      <c r="XBX78" s="2805"/>
      <c r="XBY78" s="2805"/>
      <c r="XBZ78" s="2805"/>
      <c r="XCA78" s="2805"/>
      <c r="XCB78" s="2805"/>
      <c r="XCC78" s="2805"/>
      <c r="XCD78" s="2805"/>
      <c r="XCE78" s="2805"/>
      <c r="XCF78" s="2805"/>
      <c r="XCG78" s="2805"/>
      <c r="XCH78" s="2805"/>
      <c r="XCI78" s="2805"/>
      <c r="XCJ78" s="2805"/>
      <c r="XCK78" s="2805"/>
      <c r="XCL78" s="2805"/>
      <c r="XCM78" s="2805"/>
      <c r="XCN78" s="2805"/>
      <c r="XCO78" s="2805"/>
      <c r="XCP78" s="2805"/>
      <c r="XCQ78" s="2805"/>
      <c r="XCR78" s="2805"/>
      <c r="XCS78" s="2805"/>
      <c r="XCT78" s="2805"/>
      <c r="XCU78" s="2805"/>
      <c r="XCV78" s="2805"/>
      <c r="XCW78" s="2805"/>
      <c r="XCX78" s="2805"/>
      <c r="XCY78" s="2805"/>
      <c r="XCZ78" s="2805"/>
      <c r="XDA78" s="2805"/>
      <c r="XDB78" s="2805"/>
      <c r="XDC78" s="2805"/>
      <c r="XDD78" s="2805"/>
      <c r="XDE78" s="2805"/>
      <c r="XDF78" s="2805"/>
      <c r="XDG78" s="2805"/>
      <c r="XDH78" s="2805"/>
      <c r="XDI78" s="2805"/>
      <c r="XDJ78" s="2805"/>
      <c r="XDK78" s="2805"/>
      <c r="XDL78" s="2805"/>
      <c r="XDM78" s="2805"/>
      <c r="XDN78" s="2805"/>
      <c r="XDO78" s="2805"/>
      <c r="XDP78" s="2805"/>
      <c r="XDQ78" s="2805"/>
      <c r="XDR78" s="2805"/>
      <c r="XDS78" s="2805"/>
      <c r="XDT78" s="2805"/>
      <c r="XDU78" s="2805"/>
      <c r="XDV78" s="2805"/>
      <c r="XDW78" s="2805"/>
      <c r="XDX78" s="2805"/>
      <c r="XDY78" s="2805"/>
      <c r="XDZ78" s="2805"/>
      <c r="XEA78" s="2805"/>
      <c r="XEB78" s="2805"/>
      <c r="XEC78" s="2805"/>
      <c r="XED78" s="2805"/>
      <c r="XEE78" s="2805"/>
      <c r="XEF78" s="2805"/>
      <c r="XEG78" s="2805"/>
      <c r="XEH78" s="2805"/>
      <c r="XEI78" s="2805"/>
      <c r="XEJ78" s="2805"/>
      <c r="XEK78" s="2805"/>
      <c r="XEL78" s="2805"/>
      <c r="XEM78" s="2805"/>
      <c r="XEN78" s="2805"/>
      <c r="XEO78" s="2805"/>
      <c r="XEP78" s="2805"/>
      <c r="XEQ78" s="2805"/>
      <c r="XER78" s="2805"/>
      <c r="XES78" s="2805"/>
      <c r="XET78" s="2805"/>
      <c r="XEU78" s="2805"/>
      <c r="XEV78" s="2805"/>
      <c r="XEW78" s="2805"/>
      <c r="XEX78" s="2805"/>
      <c r="XEY78" s="2805"/>
      <c r="XEZ78" s="2805"/>
      <c r="XFA78" s="2805"/>
      <c r="XFB78" s="2805"/>
      <c r="XFC78" s="2805"/>
      <c r="XFD78" s="2805"/>
    </row>
    <row r="79" spans="1:16384" s="2815" customFormat="1" ht="51" customHeight="1">
      <c r="A79" s="2499"/>
      <c r="B79" s="2516" t="s">
        <v>1611</v>
      </c>
      <c r="C79" s="2526">
        <f>IF(('Balances y Proyecciones'!Q17)&lt;&gt;360,'Balances y Proyecciones'!K33,'Balances y Proyecciones'!K33)</f>
        <v>0</v>
      </c>
      <c r="D79" s="2526"/>
      <c r="E79" s="2527">
        <f>IF(('Balances y Proyecciones'!Q17)&lt;&gt;360,'Balances y Proyecciones'!Q33,'Balances y Proyecciones'!Q33)</f>
        <v>0</v>
      </c>
      <c r="F79" s="2508"/>
      <c r="G79" s="2551" t="s">
        <v>1666</v>
      </c>
      <c r="H79" s="2598"/>
      <c r="I79" s="2598"/>
      <c r="J79" s="2599"/>
      <c r="K79" s="2499"/>
      <c r="L79" s="2499"/>
      <c r="M79" s="2499"/>
      <c r="N79" s="2499"/>
      <c r="O79" s="2499"/>
      <c r="P79" s="2499"/>
      <c r="Q79" s="2499"/>
      <c r="R79" s="2499"/>
      <c r="S79" s="2499"/>
      <c r="T79" s="2499"/>
      <c r="U79" s="2499"/>
      <c r="V79" s="2499"/>
      <c r="W79" s="2499"/>
      <c r="X79" s="2499"/>
      <c r="Y79" s="2499"/>
      <c r="Z79" s="2499"/>
      <c r="AA79" s="2499"/>
      <c r="AB79" s="2499"/>
      <c r="AC79" s="2499"/>
      <c r="AD79" s="2499"/>
      <c r="AE79" s="2499"/>
      <c r="AF79" s="2567"/>
      <c r="AG79" s="2567"/>
      <c r="AH79" s="2805"/>
      <c r="AI79" s="2805"/>
      <c r="AJ79" s="2805"/>
      <c r="AK79" s="2805"/>
      <c r="AL79" s="2805"/>
      <c r="AM79" s="2805"/>
      <c r="AN79" s="2805"/>
      <c r="AO79" s="2805"/>
      <c r="AP79" s="2805"/>
      <c r="AQ79" s="2805"/>
      <c r="AR79" s="2805"/>
      <c r="AS79" s="2805"/>
      <c r="AT79" s="2805"/>
      <c r="AU79" s="2805"/>
      <c r="AV79" s="2805"/>
      <c r="AW79" s="2567"/>
      <c r="AX79" s="2567"/>
      <c r="AY79" s="2567"/>
      <c r="AZ79" s="2567"/>
      <c r="BA79" s="2567"/>
      <c r="BB79" s="2567"/>
      <c r="BC79" s="2567"/>
      <c r="BD79" s="2567"/>
      <c r="BE79" s="2567"/>
      <c r="BF79" s="2567"/>
      <c r="BG79" s="2567"/>
      <c r="BH79" s="2567"/>
      <c r="BI79" s="2567"/>
      <c r="BJ79" s="2567"/>
      <c r="BK79" s="2567"/>
      <c r="BL79" s="2567"/>
      <c r="BM79" s="2567"/>
      <c r="BN79" s="2567"/>
      <c r="BO79" s="2567"/>
      <c r="BP79" s="2805"/>
      <c r="BQ79" s="2805"/>
      <c r="BR79" s="2805"/>
      <c r="BS79" s="2805"/>
      <c r="BT79" s="2805"/>
      <c r="BU79" s="2805"/>
      <c r="BV79" s="2805"/>
      <c r="BW79" s="2805"/>
      <c r="BX79" s="2805"/>
      <c r="BY79" s="2805"/>
      <c r="BZ79" s="2805"/>
      <c r="CA79" s="2805"/>
      <c r="CB79" s="2805"/>
      <c r="CC79" s="2805"/>
      <c r="CD79" s="2805"/>
      <c r="CE79" s="2805"/>
      <c r="CF79" s="2805"/>
      <c r="CG79" s="2805"/>
      <c r="CH79" s="2805" t="s">
        <v>1756</v>
      </c>
      <c r="CI79" s="2805" t="e">
        <f>+CI66/CI77</f>
        <v>#DIV/0!</v>
      </c>
      <c r="CJ79" s="2805" t="e">
        <f>+CJ66/CJ77</f>
        <v>#DIV/0!</v>
      </c>
      <c r="CK79" s="2805" t="e">
        <f>+CK66/CK77</f>
        <v>#DIV/0!</v>
      </c>
      <c r="CL79" s="2805"/>
      <c r="CM79" s="2805"/>
      <c r="CN79" s="2805"/>
      <c r="CO79" s="2805"/>
      <c r="CP79" s="2805"/>
      <c r="CQ79" s="2805"/>
      <c r="CR79" s="2805"/>
      <c r="CS79" s="2805"/>
      <c r="CT79" s="2805"/>
      <c r="CU79" s="2805"/>
      <c r="CV79" s="2805"/>
      <c r="CW79" s="2805"/>
      <c r="CX79" s="2805"/>
      <c r="CY79" s="2805"/>
      <c r="CZ79" s="2805"/>
      <c r="DA79" s="2805"/>
      <c r="DB79" s="2805"/>
      <c r="DC79" s="2805"/>
      <c r="DD79" s="2805"/>
      <c r="DE79" s="2805"/>
      <c r="DF79" s="2805"/>
      <c r="DG79" s="2805"/>
      <c r="DH79" s="2805"/>
      <c r="DI79" s="2805"/>
      <c r="DJ79" s="2805"/>
      <c r="DK79" s="2805"/>
      <c r="DL79" s="2805"/>
      <c r="DM79" s="2805"/>
      <c r="DN79" s="2805"/>
      <c r="DO79" s="2805"/>
      <c r="DP79" s="2805"/>
      <c r="DQ79" s="2805"/>
      <c r="DR79" s="2805"/>
      <c r="DS79" s="2805"/>
      <c r="DT79" s="2805"/>
      <c r="DU79" s="2805"/>
      <c r="DV79" s="2805"/>
      <c r="DW79" s="2805"/>
      <c r="DX79" s="2805"/>
      <c r="DY79" s="2805"/>
      <c r="DZ79" s="2805"/>
      <c r="EA79" s="2805"/>
      <c r="EB79" s="2805"/>
      <c r="EC79" s="2805"/>
      <c r="ED79" s="2805"/>
      <c r="EE79" s="2805"/>
      <c r="EF79" s="2805"/>
      <c r="EG79" s="2805"/>
      <c r="EH79" s="2805"/>
      <c r="EI79" s="2805"/>
      <c r="EJ79" s="2805"/>
      <c r="EK79" s="2805"/>
      <c r="EL79" s="2805"/>
      <c r="EM79" s="2805"/>
      <c r="EN79" s="2805"/>
      <c r="EO79" s="2805"/>
      <c r="EP79" s="2805"/>
      <c r="EQ79" s="2805"/>
      <c r="ER79" s="2805"/>
      <c r="ES79" s="2805"/>
      <c r="ET79" s="2805"/>
      <c r="EU79" s="2805"/>
      <c r="EV79" s="2805"/>
      <c r="EW79" s="2805"/>
      <c r="EX79" s="2805"/>
      <c r="EY79" s="2805"/>
      <c r="EZ79" s="2805"/>
      <c r="FA79" s="2805"/>
      <c r="FB79" s="2805"/>
      <c r="FC79" s="2805"/>
      <c r="FD79" s="2805"/>
      <c r="FE79" s="2805"/>
      <c r="FF79" s="2805"/>
      <c r="FG79" s="2805"/>
      <c r="FH79" s="2805"/>
      <c r="FI79" s="2805"/>
      <c r="FJ79" s="2805"/>
      <c r="FK79" s="2805"/>
      <c r="FL79" s="2805"/>
      <c r="FM79" s="2805"/>
      <c r="FN79" s="2805"/>
      <c r="FO79" s="2805"/>
      <c r="FP79" s="2805"/>
      <c r="FQ79" s="2805"/>
      <c r="FR79" s="2805"/>
      <c r="FS79" s="2805"/>
      <c r="FT79" s="2805"/>
      <c r="FU79" s="2805"/>
      <c r="FV79" s="2805"/>
      <c r="FW79" s="2805"/>
      <c r="FX79" s="2805"/>
      <c r="FY79" s="2805"/>
      <c r="FZ79" s="2805"/>
      <c r="GA79" s="2805"/>
      <c r="GB79" s="2805"/>
      <c r="GC79" s="2805"/>
      <c r="GD79" s="2805"/>
      <c r="GE79" s="2805"/>
      <c r="GF79" s="2805"/>
      <c r="GG79" s="2805"/>
      <c r="GH79" s="2805"/>
      <c r="GI79" s="2805"/>
      <c r="GJ79" s="2805"/>
      <c r="GK79" s="2805"/>
      <c r="GL79" s="2805"/>
      <c r="GM79" s="2805"/>
      <c r="GN79" s="2805"/>
      <c r="GO79" s="2805"/>
      <c r="GP79" s="2805"/>
      <c r="GQ79" s="2805"/>
      <c r="GR79" s="2805"/>
      <c r="GS79" s="2805"/>
      <c r="GT79" s="2805"/>
      <c r="GU79" s="2805"/>
      <c r="GV79" s="2805"/>
      <c r="GW79" s="2805"/>
      <c r="GX79" s="2805"/>
      <c r="GY79" s="2805"/>
      <c r="GZ79" s="2805"/>
      <c r="HA79" s="2805"/>
      <c r="HB79" s="2805"/>
      <c r="HC79" s="2805"/>
      <c r="HD79" s="2805"/>
      <c r="HE79" s="2805"/>
      <c r="HF79" s="2805"/>
      <c r="HG79" s="2805"/>
      <c r="HH79" s="2805"/>
      <c r="HI79" s="2805"/>
      <c r="HJ79" s="2805"/>
      <c r="HK79" s="2805"/>
      <c r="HL79" s="2805"/>
      <c r="HM79" s="2805"/>
      <c r="HN79" s="2805"/>
      <c r="HO79" s="2805"/>
      <c r="HP79" s="2805"/>
      <c r="HQ79" s="2805"/>
      <c r="HR79" s="2805"/>
      <c r="HS79" s="2805"/>
      <c r="HT79" s="2805"/>
      <c r="HU79" s="2805"/>
      <c r="HV79" s="2805"/>
      <c r="HW79" s="2805"/>
      <c r="HX79" s="2805"/>
      <c r="HY79" s="2805"/>
      <c r="HZ79" s="2805"/>
      <c r="IA79" s="2805"/>
      <c r="IB79" s="2805"/>
      <c r="IC79" s="2805"/>
      <c r="ID79" s="2805"/>
      <c r="IE79" s="2805"/>
      <c r="IF79" s="2805"/>
      <c r="IG79" s="2805"/>
      <c r="IH79" s="2805"/>
      <c r="II79" s="2805"/>
      <c r="IJ79" s="2805"/>
      <c r="IK79" s="2805"/>
      <c r="IL79" s="2805"/>
      <c r="IM79" s="2805"/>
      <c r="IN79" s="2805"/>
      <c r="IO79" s="2805"/>
      <c r="IP79" s="2805"/>
      <c r="IQ79" s="2805"/>
      <c r="IR79" s="2805"/>
      <c r="IS79" s="2805"/>
      <c r="IT79" s="2805"/>
      <c r="IU79" s="2805"/>
      <c r="IV79" s="2805"/>
      <c r="IW79" s="2805"/>
      <c r="IX79" s="2805"/>
      <c r="IY79" s="2805"/>
      <c r="IZ79" s="2805"/>
      <c r="JA79" s="2805"/>
      <c r="JB79" s="2805"/>
      <c r="JC79" s="2805"/>
      <c r="JD79" s="2805"/>
      <c r="JE79" s="2805"/>
      <c r="JF79" s="2805"/>
      <c r="JG79" s="2805"/>
      <c r="JH79" s="2805"/>
      <c r="JI79" s="2805"/>
      <c r="JJ79" s="2805"/>
      <c r="JK79" s="2805"/>
      <c r="JL79" s="2805"/>
      <c r="JM79" s="2805"/>
      <c r="JN79" s="2805"/>
      <c r="JO79" s="2805"/>
      <c r="JP79" s="2805"/>
      <c r="JQ79" s="2805"/>
      <c r="JR79" s="2805"/>
      <c r="JS79" s="2805"/>
      <c r="JT79" s="2805"/>
      <c r="JU79" s="2805"/>
      <c r="JV79" s="2805"/>
      <c r="JW79" s="2805"/>
      <c r="JX79" s="2805"/>
      <c r="JY79" s="2805"/>
      <c r="JZ79" s="2805"/>
      <c r="KA79" s="2805"/>
      <c r="KB79" s="2805"/>
      <c r="KC79" s="2805"/>
      <c r="KD79" s="2805"/>
      <c r="KE79" s="2805"/>
      <c r="KF79" s="2805"/>
      <c r="KG79" s="2805"/>
      <c r="KH79" s="2805"/>
      <c r="KI79" s="2805"/>
      <c r="KJ79" s="2805"/>
      <c r="KK79" s="2805"/>
      <c r="KL79" s="2805"/>
      <c r="KM79" s="2805"/>
      <c r="KN79" s="2805"/>
      <c r="KO79" s="2805"/>
      <c r="KP79" s="2805"/>
      <c r="KQ79" s="2805"/>
      <c r="KR79" s="2805"/>
      <c r="KS79" s="2805"/>
      <c r="KT79" s="2805"/>
      <c r="KU79" s="2805"/>
      <c r="KV79" s="2805"/>
      <c r="KW79" s="2805"/>
      <c r="KX79" s="2805"/>
      <c r="KY79" s="2805"/>
      <c r="KZ79" s="2805"/>
      <c r="LA79" s="2805"/>
      <c r="LB79" s="2805"/>
      <c r="LC79" s="2805"/>
      <c r="LD79" s="2805"/>
      <c r="LE79" s="2805"/>
      <c r="LF79" s="2805"/>
      <c r="LG79" s="2805"/>
      <c r="LH79" s="2805"/>
      <c r="LI79" s="2805"/>
      <c r="LJ79" s="2805"/>
      <c r="LK79" s="2805"/>
      <c r="LL79" s="2805"/>
      <c r="LM79" s="2805"/>
      <c r="LN79" s="2805"/>
      <c r="LO79" s="2805"/>
      <c r="LP79" s="2805"/>
      <c r="LQ79" s="2805"/>
      <c r="LR79" s="2805"/>
      <c r="LS79" s="2805"/>
      <c r="LT79" s="2805"/>
      <c r="LU79" s="2805"/>
      <c r="LV79" s="2805"/>
      <c r="LW79" s="2805"/>
      <c r="LX79" s="2805"/>
      <c r="LY79" s="2805"/>
      <c r="LZ79" s="2805"/>
      <c r="MA79" s="2805"/>
      <c r="MB79" s="2805"/>
      <c r="MC79" s="2805"/>
      <c r="MD79" s="2805"/>
      <c r="ME79" s="2805"/>
      <c r="MF79" s="2805"/>
      <c r="MG79" s="2805"/>
      <c r="MH79" s="2805"/>
      <c r="MI79" s="2805"/>
      <c r="MJ79" s="2805"/>
      <c r="MK79" s="2805"/>
      <c r="ML79" s="2805"/>
      <c r="MM79" s="2805"/>
      <c r="MN79" s="2805"/>
      <c r="MO79" s="2805"/>
      <c r="MP79" s="2805"/>
      <c r="MQ79" s="2805"/>
      <c r="MR79" s="2805"/>
      <c r="MS79" s="2805"/>
      <c r="MT79" s="2805"/>
      <c r="MU79" s="2805"/>
      <c r="MV79" s="2805"/>
      <c r="MW79" s="2805"/>
      <c r="MX79" s="2805"/>
      <c r="MY79" s="2805"/>
      <c r="MZ79" s="2805"/>
      <c r="NA79" s="2805"/>
      <c r="NB79" s="2805"/>
      <c r="NC79" s="2805"/>
      <c r="ND79" s="2805"/>
      <c r="NE79" s="2805"/>
      <c r="NF79" s="2805"/>
      <c r="NG79" s="2805"/>
      <c r="NH79" s="2805"/>
      <c r="NI79" s="2805"/>
      <c r="NJ79" s="2805"/>
      <c r="NK79" s="2805"/>
      <c r="NL79" s="2805"/>
      <c r="NM79" s="2805"/>
      <c r="NN79" s="2805"/>
      <c r="NO79" s="2805"/>
      <c r="NP79" s="2805"/>
      <c r="NQ79" s="2805"/>
      <c r="NR79" s="2805"/>
      <c r="NS79" s="2805"/>
      <c r="NT79" s="2805"/>
      <c r="NU79" s="2805"/>
      <c r="NV79" s="2805"/>
      <c r="NW79" s="2805"/>
      <c r="NX79" s="2805"/>
      <c r="NY79" s="2805"/>
      <c r="NZ79" s="2805"/>
      <c r="OA79" s="2805"/>
      <c r="OB79" s="2805"/>
      <c r="OC79" s="2805"/>
      <c r="OD79" s="2805"/>
      <c r="OE79" s="2805"/>
      <c r="OF79" s="2805"/>
      <c r="OG79" s="2805"/>
      <c r="OH79" s="2805"/>
      <c r="OI79" s="2805"/>
      <c r="OJ79" s="2805"/>
      <c r="OK79" s="2805"/>
      <c r="OL79" s="2805"/>
      <c r="OM79" s="2805"/>
      <c r="ON79" s="2805"/>
      <c r="OO79" s="2805"/>
      <c r="OP79" s="2805"/>
      <c r="OQ79" s="2805"/>
      <c r="OR79" s="2805"/>
      <c r="OS79" s="2805"/>
      <c r="OT79" s="2805"/>
      <c r="OU79" s="2805"/>
      <c r="OV79" s="2805"/>
      <c r="OW79" s="2805"/>
      <c r="OX79" s="2805"/>
      <c r="OY79" s="2805"/>
      <c r="OZ79" s="2805"/>
      <c r="PA79" s="2805"/>
      <c r="PB79" s="2805"/>
      <c r="PC79" s="2805"/>
      <c r="PD79" s="2805"/>
      <c r="PE79" s="2805"/>
      <c r="PF79" s="2805"/>
      <c r="PG79" s="2805"/>
      <c r="PH79" s="2805"/>
      <c r="PI79" s="2805"/>
      <c r="PJ79" s="2805"/>
      <c r="PK79" s="2805"/>
      <c r="PL79" s="2805"/>
      <c r="PM79" s="2805"/>
      <c r="PN79" s="2805"/>
      <c r="PO79" s="2805"/>
      <c r="PP79" s="2805"/>
      <c r="PQ79" s="2805"/>
      <c r="PR79" s="2805"/>
      <c r="PS79" s="2805"/>
      <c r="PT79" s="2805"/>
      <c r="PU79" s="2805"/>
      <c r="PV79" s="2805"/>
      <c r="PW79" s="2805"/>
      <c r="PX79" s="2805"/>
      <c r="PY79" s="2805"/>
      <c r="PZ79" s="2805"/>
      <c r="QA79" s="2805"/>
      <c r="QB79" s="2805"/>
      <c r="QC79" s="2805"/>
      <c r="QD79" s="2805"/>
      <c r="QE79" s="2805"/>
      <c r="QF79" s="2805"/>
      <c r="QG79" s="2805"/>
      <c r="QH79" s="2805"/>
      <c r="QI79" s="2805"/>
      <c r="QJ79" s="2805"/>
      <c r="QK79" s="2805"/>
      <c r="QL79" s="2805"/>
      <c r="QM79" s="2805"/>
      <c r="QN79" s="2805"/>
      <c r="QO79" s="2805"/>
      <c r="QP79" s="2805"/>
      <c r="QQ79" s="2805"/>
      <c r="QR79" s="2805"/>
      <c r="QS79" s="2805"/>
      <c r="QT79" s="2805"/>
      <c r="QU79" s="2805"/>
      <c r="QV79" s="2805"/>
      <c r="QW79" s="2805"/>
      <c r="QX79" s="2805"/>
      <c r="QY79" s="2805"/>
      <c r="QZ79" s="2805"/>
      <c r="RA79" s="2805"/>
      <c r="RB79" s="2805"/>
      <c r="RC79" s="2805"/>
      <c r="RD79" s="2805"/>
      <c r="RE79" s="2805"/>
      <c r="RF79" s="2805"/>
      <c r="RG79" s="2805"/>
      <c r="RH79" s="2805"/>
      <c r="RI79" s="2805"/>
      <c r="RJ79" s="2805"/>
      <c r="RK79" s="2805"/>
      <c r="RL79" s="2805"/>
      <c r="RM79" s="2805"/>
      <c r="RN79" s="2805"/>
      <c r="RO79" s="2805"/>
      <c r="RP79" s="2805"/>
      <c r="RQ79" s="2805"/>
      <c r="RR79" s="2805"/>
      <c r="RS79" s="2805"/>
      <c r="RT79" s="2805"/>
      <c r="RU79" s="2805"/>
      <c r="RV79" s="2805"/>
      <c r="RW79" s="2805"/>
      <c r="RX79" s="2805"/>
      <c r="RY79" s="2805"/>
      <c r="RZ79" s="2805"/>
      <c r="SA79" s="2805"/>
      <c r="SB79" s="2805"/>
      <c r="SC79" s="2805"/>
      <c r="SD79" s="2805"/>
      <c r="SE79" s="2805"/>
      <c r="SF79" s="2805"/>
      <c r="SG79" s="2805"/>
      <c r="SH79" s="2805"/>
      <c r="SI79" s="2805"/>
      <c r="SJ79" s="2805"/>
      <c r="SK79" s="2805"/>
      <c r="SL79" s="2805"/>
      <c r="SM79" s="2805"/>
      <c r="SN79" s="2805"/>
      <c r="SO79" s="2805"/>
      <c r="SP79" s="2805"/>
      <c r="SQ79" s="2805"/>
      <c r="SR79" s="2805"/>
      <c r="SS79" s="2805"/>
      <c r="ST79" s="2805"/>
      <c r="SU79" s="2805"/>
      <c r="SV79" s="2805"/>
      <c r="SW79" s="2805"/>
      <c r="SX79" s="2805"/>
      <c r="SY79" s="2805"/>
      <c r="SZ79" s="2805"/>
      <c r="TA79" s="2805"/>
      <c r="TB79" s="2805"/>
      <c r="TC79" s="2805"/>
      <c r="TD79" s="2805"/>
      <c r="TE79" s="2805"/>
      <c r="TF79" s="2805"/>
      <c r="TG79" s="2805"/>
      <c r="TH79" s="2805"/>
      <c r="TI79" s="2805"/>
      <c r="TJ79" s="2805"/>
      <c r="TK79" s="2805"/>
      <c r="TL79" s="2805"/>
      <c r="TM79" s="2805"/>
      <c r="TN79" s="2805"/>
      <c r="TO79" s="2805"/>
      <c r="TP79" s="2805"/>
      <c r="TQ79" s="2805"/>
      <c r="TR79" s="2805"/>
      <c r="TS79" s="2805"/>
      <c r="TT79" s="2805"/>
      <c r="TU79" s="2805"/>
      <c r="TV79" s="2805"/>
      <c r="TW79" s="2805"/>
      <c r="TX79" s="2805"/>
      <c r="TY79" s="2805"/>
      <c r="TZ79" s="2805"/>
      <c r="UA79" s="2805"/>
      <c r="UB79" s="2805"/>
      <c r="UC79" s="2805"/>
      <c r="UD79" s="2805"/>
      <c r="UE79" s="2805"/>
      <c r="UF79" s="2805"/>
      <c r="UG79" s="2805"/>
      <c r="UH79" s="2805"/>
      <c r="UI79" s="2805"/>
      <c r="UJ79" s="2805"/>
      <c r="UK79" s="2805"/>
      <c r="UL79" s="2805"/>
      <c r="UM79" s="2805"/>
      <c r="UN79" s="2805"/>
      <c r="UO79" s="2805"/>
      <c r="UP79" s="2805"/>
      <c r="UQ79" s="2805"/>
      <c r="UR79" s="2805"/>
      <c r="US79" s="2805"/>
      <c r="UT79" s="2805"/>
      <c r="UU79" s="2805"/>
      <c r="UV79" s="2805"/>
      <c r="UW79" s="2805"/>
      <c r="UX79" s="2805"/>
      <c r="UY79" s="2805"/>
      <c r="UZ79" s="2805"/>
      <c r="VA79" s="2805"/>
      <c r="VB79" s="2805"/>
      <c r="VC79" s="2805"/>
      <c r="VD79" s="2805"/>
      <c r="VE79" s="2805"/>
      <c r="VF79" s="2805"/>
      <c r="VG79" s="2805"/>
      <c r="VH79" s="2805"/>
      <c r="VI79" s="2805"/>
      <c r="VJ79" s="2805"/>
      <c r="VK79" s="2805"/>
      <c r="VL79" s="2805"/>
      <c r="VM79" s="2805"/>
      <c r="VN79" s="2805"/>
      <c r="VO79" s="2805"/>
      <c r="VP79" s="2805"/>
      <c r="VQ79" s="2805"/>
      <c r="VR79" s="2805"/>
      <c r="VS79" s="2805"/>
      <c r="VT79" s="2805"/>
      <c r="VU79" s="2805"/>
      <c r="VV79" s="2805"/>
      <c r="VW79" s="2805"/>
      <c r="VX79" s="2805"/>
      <c r="VY79" s="2805"/>
      <c r="VZ79" s="2805"/>
      <c r="WA79" s="2805"/>
      <c r="WB79" s="2805"/>
      <c r="WC79" s="2805"/>
      <c r="WD79" s="2805"/>
      <c r="WE79" s="2805"/>
      <c r="WF79" s="2805"/>
      <c r="WG79" s="2805"/>
      <c r="WH79" s="2805"/>
      <c r="WI79" s="2805"/>
      <c r="WJ79" s="2805"/>
      <c r="WK79" s="2805"/>
      <c r="WL79" s="2805"/>
      <c r="WM79" s="2805"/>
      <c r="WN79" s="2805"/>
      <c r="WO79" s="2805"/>
      <c r="WP79" s="2805"/>
      <c r="WQ79" s="2805"/>
      <c r="WR79" s="2805"/>
      <c r="WS79" s="2805"/>
      <c r="WT79" s="2805"/>
      <c r="WU79" s="2805"/>
      <c r="WV79" s="2805"/>
      <c r="WW79" s="2805"/>
      <c r="WX79" s="2805"/>
      <c r="WY79" s="2805"/>
      <c r="WZ79" s="2805"/>
      <c r="XA79" s="2805"/>
      <c r="XB79" s="2805"/>
      <c r="XC79" s="2805"/>
      <c r="XD79" s="2805"/>
      <c r="XE79" s="2805"/>
      <c r="XF79" s="2805"/>
      <c r="XG79" s="2805"/>
      <c r="XH79" s="2805"/>
      <c r="XI79" s="2805"/>
      <c r="XJ79" s="2805"/>
      <c r="XK79" s="2805"/>
      <c r="XL79" s="2805"/>
      <c r="XM79" s="2805"/>
      <c r="XN79" s="2805"/>
      <c r="XO79" s="2805"/>
      <c r="XP79" s="2805"/>
      <c r="XQ79" s="2805"/>
      <c r="XR79" s="2805"/>
      <c r="XS79" s="2805"/>
      <c r="XT79" s="2805"/>
      <c r="XU79" s="2805"/>
      <c r="XV79" s="2805"/>
      <c r="XW79" s="2805"/>
      <c r="XX79" s="2805"/>
      <c r="XY79" s="2805"/>
      <c r="XZ79" s="2805"/>
      <c r="YA79" s="2805"/>
      <c r="YB79" s="2805"/>
      <c r="YC79" s="2805"/>
      <c r="YD79" s="2805"/>
      <c r="YE79" s="2805"/>
      <c r="YF79" s="2805"/>
      <c r="YG79" s="2805"/>
      <c r="YH79" s="2805"/>
      <c r="YI79" s="2805"/>
      <c r="YJ79" s="2805"/>
      <c r="YK79" s="2805"/>
      <c r="YL79" s="2805"/>
      <c r="YM79" s="2805"/>
      <c r="YN79" s="2805"/>
      <c r="YO79" s="2805"/>
      <c r="YP79" s="2805"/>
      <c r="YQ79" s="2805"/>
      <c r="YR79" s="2805"/>
      <c r="YS79" s="2805"/>
      <c r="YT79" s="2805"/>
      <c r="YU79" s="2805"/>
      <c r="YV79" s="2805"/>
      <c r="YW79" s="2805"/>
      <c r="YX79" s="2805"/>
      <c r="YY79" s="2805"/>
      <c r="YZ79" s="2805"/>
      <c r="ZA79" s="2805"/>
      <c r="ZB79" s="2805"/>
      <c r="ZC79" s="2805"/>
      <c r="ZD79" s="2805"/>
      <c r="ZE79" s="2805"/>
      <c r="ZF79" s="2805"/>
      <c r="ZG79" s="2805"/>
      <c r="ZH79" s="2805"/>
      <c r="ZI79" s="2805"/>
      <c r="ZJ79" s="2805"/>
      <c r="ZK79" s="2805"/>
      <c r="ZL79" s="2805"/>
      <c r="ZM79" s="2805"/>
      <c r="ZN79" s="2805"/>
      <c r="ZO79" s="2805"/>
      <c r="ZP79" s="2805"/>
      <c r="ZQ79" s="2805"/>
      <c r="ZR79" s="2805"/>
      <c r="ZS79" s="2805"/>
      <c r="ZT79" s="2805"/>
      <c r="ZU79" s="2805"/>
      <c r="ZV79" s="2805"/>
      <c r="ZW79" s="2805"/>
      <c r="ZX79" s="2805"/>
      <c r="ZY79" s="2805"/>
      <c r="ZZ79" s="2805"/>
      <c r="AAA79" s="2805"/>
      <c r="AAB79" s="2805"/>
      <c r="AAC79" s="2805"/>
      <c r="AAD79" s="2805"/>
      <c r="AAE79" s="2805"/>
      <c r="AAF79" s="2805"/>
      <c r="AAG79" s="2805"/>
      <c r="AAH79" s="2805"/>
      <c r="AAI79" s="2805"/>
      <c r="AAJ79" s="2805"/>
      <c r="AAK79" s="2805"/>
      <c r="AAL79" s="2805"/>
      <c r="AAM79" s="2805"/>
      <c r="AAN79" s="2805"/>
      <c r="AAO79" s="2805"/>
      <c r="AAP79" s="2805"/>
      <c r="AAQ79" s="2805"/>
      <c r="AAR79" s="2805"/>
      <c r="AAS79" s="2805"/>
      <c r="AAT79" s="2805"/>
      <c r="AAU79" s="2805"/>
      <c r="AAV79" s="2805"/>
      <c r="AAW79" s="2805"/>
      <c r="AAX79" s="2805"/>
      <c r="AAY79" s="2805"/>
      <c r="AAZ79" s="2805"/>
      <c r="ABA79" s="2805"/>
      <c r="ABB79" s="2805"/>
      <c r="ABC79" s="2805"/>
      <c r="ABD79" s="2805"/>
      <c r="ABE79" s="2805"/>
      <c r="ABF79" s="2805"/>
      <c r="ABG79" s="2805"/>
      <c r="ABH79" s="2805"/>
      <c r="ABI79" s="2805"/>
      <c r="ABJ79" s="2805"/>
      <c r="ABK79" s="2805"/>
      <c r="ABL79" s="2805"/>
      <c r="ABM79" s="2805"/>
      <c r="ABN79" s="2805"/>
      <c r="ABO79" s="2805"/>
      <c r="ABP79" s="2805"/>
      <c r="ABQ79" s="2805"/>
      <c r="ABR79" s="2805"/>
      <c r="ABS79" s="2805"/>
      <c r="ABT79" s="2805"/>
      <c r="ABU79" s="2805"/>
      <c r="ABV79" s="2805"/>
      <c r="ABW79" s="2805"/>
      <c r="ABX79" s="2805"/>
      <c r="ABY79" s="2805"/>
      <c r="ABZ79" s="2805"/>
      <c r="ACA79" s="2805"/>
      <c r="ACB79" s="2805"/>
      <c r="ACC79" s="2805"/>
      <c r="ACD79" s="2805"/>
      <c r="ACE79" s="2805"/>
      <c r="ACF79" s="2805"/>
      <c r="ACG79" s="2805"/>
      <c r="ACH79" s="2805"/>
      <c r="ACI79" s="2805"/>
      <c r="ACJ79" s="2805"/>
      <c r="ACK79" s="2805"/>
      <c r="ACL79" s="2805"/>
      <c r="ACM79" s="2805"/>
      <c r="ACN79" s="2805"/>
      <c r="ACO79" s="2805"/>
      <c r="ACP79" s="2805"/>
      <c r="ACQ79" s="2805"/>
      <c r="ACR79" s="2805"/>
      <c r="ACS79" s="2805"/>
      <c r="ACT79" s="2805"/>
      <c r="ACU79" s="2805"/>
      <c r="ACV79" s="2805"/>
      <c r="ACW79" s="2805"/>
      <c r="ACX79" s="2805"/>
      <c r="ACY79" s="2805"/>
      <c r="ACZ79" s="2805"/>
      <c r="ADA79" s="2805"/>
      <c r="ADB79" s="2805"/>
      <c r="ADC79" s="2805"/>
      <c r="ADD79" s="2805"/>
      <c r="ADE79" s="2805"/>
      <c r="ADF79" s="2805"/>
      <c r="ADG79" s="2805"/>
      <c r="ADH79" s="2805"/>
      <c r="ADI79" s="2805"/>
      <c r="ADJ79" s="2805"/>
      <c r="ADK79" s="2805"/>
      <c r="ADL79" s="2805"/>
      <c r="ADM79" s="2805"/>
      <c r="ADN79" s="2805"/>
      <c r="ADO79" s="2805"/>
      <c r="ADP79" s="2805"/>
      <c r="ADQ79" s="2805"/>
      <c r="ADR79" s="2805"/>
      <c r="ADS79" s="2805"/>
      <c r="ADT79" s="2805"/>
      <c r="ADU79" s="2805"/>
      <c r="ADV79" s="2805"/>
      <c r="ADW79" s="2805"/>
      <c r="ADX79" s="2805"/>
      <c r="ADY79" s="2805"/>
      <c r="ADZ79" s="2805"/>
      <c r="AEA79" s="2805"/>
      <c r="AEB79" s="2805"/>
      <c r="AEC79" s="2805"/>
      <c r="AED79" s="2805"/>
      <c r="AEE79" s="2805"/>
      <c r="AEF79" s="2805"/>
      <c r="AEG79" s="2805"/>
      <c r="AEH79" s="2805"/>
      <c r="AEI79" s="2805"/>
      <c r="AEJ79" s="2805"/>
      <c r="AEK79" s="2805"/>
      <c r="AEL79" s="2805"/>
      <c r="AEM79" s="2805"/>
      <c r="AEN79" s="2805"/>
      <c r="AEO79" s="2805"/>
      <c r="AEP79" s="2805"/>
      <c r="AEQ79" s="2805"/>
      <c r="AER79" s="2805"/>
      <c r="AES79" s="2805"/>
      <c r="AET79" s="2805"/>
      <c r="AEU79" s="2805"/>
      <c r="AEV79" s="2805"/>
      <c r="AEW79" s="2805"/>
      <c r="AEX79" s="2805"/>
      <c r="AEY79" s="2805"/>
      <c r="AEZ79" s="2805"/>
      <c r="AFA79" s="2805"/>
      <c r="AFB79" s="2805"/>
      <c r="AFC79" s="2805"/>
      <c r="AFD79" s="2805"/>
      <c r="AFE79" s="2805"/>
      <c r="AFF79" s="2805"/>
      <c r="AFG79" s="2805"/>
      <c r="AFH79" s="2805"/>
      <c r="AFI79" s="2805"/>
      <c r="AFJ79" s="2805"/>
      <c r="AFK79" s="2805"/>
      <c r="AFL79" s="2805"/>
      <c r="AFM79" s="2805"/>
      <c r="AFN79" s="2805"/>
      <c r="AFO79" s="2805"/>
      <c r="AFP79" s="2805"/>
      <c r="AFQ79" s="2805"/>
      <c r="AFR79" s="2805"/>
      <c r="AFS79" s="2805"/>
      <c r="AFT79" s="2805"/>
      <c r="AFU79" s="2805"/>
      <c r="AFV79" s="2805"/>
      <c r="AFW79" s="2805"/>
      <c r="AFX79" s="2805"/>
      <c r="AFY79" s="2805"/>
      <c r="AFZ79" s="2805"/>
      <c r="AGA79" s="2805"/>
      <c r="AGB79" s="2805"/>
      <c r="AGC79" s="2805"/>
      <c r="AGD79" s="2805"/>
      <c r="AGE79" s="2805"/>
      <c r="AGF79" s="2805"/>
      <c r="AGG79" s="2805"/>
      <c r="AGH79" s="2805"/>
      <c r="AGI79" s="2805"/>
      <c r="AGJ79" s="2805"/>
      <c r="AGK79" s="2805"/>
      <c r="AGL79" s="2805"/>
      <c r="AGM79" s="2805"/>
      <c r="AGN79" s="2805"/>
      <c r="AGO79" s="2805"/>
      <c r="AGP79" s="2805"/>
      <c r="AGQ79" s="2805"/>
      <c r="AGR79" s="2805"/>
      <c r="AGS79" s="2805"/>
      <c r="AGT79" s="2805"/>
      <c r="AGU79" s="2805"/>
      <c r="AGV79" s="2805"/>
      <c r="AGW79" s="2805"/>
      <c r="AGX79" s="2805"/>
      <c r="AGY79" s="2805"/>
      <c r="AGZ79" s="2805"/>
      <c r="AHA79" s="2805"/>
      <c r="AHB79" s="2805"/>
      <c r="AHC79" s="2805"/>
      <c r="AHD79" s="2805"/>
      <c r="AHE79" s="2805"/>
      <c r="AHF79" s="2805"/>
      <c r="AHG79" s="2805"/>
      <c r="AHH79" s="2805"/>
      <c r="AHI79" s="2805"/>
      <c r="AHJ79" s="2805"/>
      <c r="AHK79" s="2805"/>
      <c r="AHL79" s="2805"/>
      <c r="AHM79" s="2805"/>
      <c r="AHN79" s="2805"/>
      <c r="AHO79" s="2805"/>
      <c r="AHP79" s="2805"/>
      <c r="AHQ79" s="2805"/>
      <c r="AHR79" s="2805"/>
      <c r="AHS79" s="2805"/>
      <c r="AHT79" s="2805"/>
      <c r="AHU79" s="2805"/>
      <c r="AHV79" s="2805"/>
      <c r="AHW79" s="2805"/>
      <c r="AHX79" s="2805"/>
      <c r="AHY79" s="2805"/>
      <c r="AHZ79" s="2805"/>
      <c r="AIA79" s="2805"/>
      <c r="AIB79" s="2805"/>
      <c r="AIC79" s="2805"/>
      <c r="AID79" s="2805"/>
      <c r="AIE79" s="2805"/>
      <c r="AIF79" s="2805"/>
      <c r="AIG79" s="2805"/>
      <c r="AIH79" s="2805"/>
      <c r="AII79" s="2805"/>
      <c r="AIJ79" s="2805"/>
      <c r="AIK79" s="2805"/>
      <c r="AIL79" s="2805"/>
      <c r="AIM79" s="2805"/>
      <c r="AIN79" s="2805"/>
      <c r="AIO79" s="2805"/>
      <c r="AIP79" s="2805"/>
      <c r="AIQ79" s="2805"/>
      <c r="AIR79" s="2805"/>
      <c r="AIS79" s="2805"/>
      <c r="AIT79" s="2805"/>
      <c r="AIU79" s="2805"/>
      <c r="AIV79" s="2805"/>
      <c r="AIW79" s="2805"/>
      <c r="AIX79" s="2805"/>
      <c r="AIY79" s="2805"/>
      <c r="AIZ79" s="2805"/>
      <c r="AJA79" s="2805"/>
      <c r="AJB79" s="2805"/>
      <c r="AJC79" s="2805"/>
      <c r="AJD79" s="2805"/>
      <c r="AJE79" s="2805"/>
      <c r="AJF79" s="2805"/>
      <c r="AJG79" s="2805"/>
      <c r="AJH79" s="2805"/>
      <c r="AJI79" s="2805"/>
      <c r="AJJ79" s="2805"/>
      <c r="AJK79" s="2805"/>
      <c r="AJL79" s="2805"/>
      <c r="AJM79" s="2805"/>
      <c r="AJN79" s="2805"/>
      <c r="AJO79" s="2805"/>
      <c r="AJP79" s="2805"/>
      <c r="AJQ79" s="2805"/>
      <c r="AJR79" s="2805"/>
      <c r="AJS79" s="2805"/>
      <c r="AJT79" s="2805"/>
      <c r="AJU79" s="2805"/>
      <c r="AJV79" s="2805"/>
      <c r="AJW79" s="2805"/>
      <c r="AJX79" s="2805"/>
      <c r="AJY79" s="2805"/>
      <c r="AJZ79" s="2805"/>
      <c r="AKA79" s="2805"/>
      <c r="AKB79" s="2805"/>
      <c r="AKC79" s="2805"/>
      <c r="AKD79" s="2805"/>
      <c r="AKE79" s="2805"/>
      <c r="AKF79" s="2805"/>
      <c r="AKG79" s="2805"/>
      <c r="AKH79" s="2805"/>
      <c r="AKI79" s="2805"/>
      <c r="AKJ79" s="2805"/>
      <c r="AKK79" s="2805"/>
      <c r="AKL79" s="2805"/>
      <c r="AKM79" s="2805"/>
      <c r="AKN79" s="2805"/>
      <c r="AKO79" s="2805"/>
      <c r="AKP79" s="2805"/>
      <c r="AKQ79" s="2805"/>
      <c r="AKR79" s="2805"/>
      <c r="AKS79" s="2805"/>
      <c r="AKT79" s="2805"/>
      <c r="AKU79" s="2805"/>
      <c r="AKV79" s="2805"/>
      <c r="AKW79" s="2805"/>
      <c r="AKX79" s="2805"/>
      <c r="AKY79" s="2805"/>
      <c r="AKZ79" s="2805"/>
      <c r="ALA79" s="2805"/>
      <c r="ALB79" s="2805"/>
      <c r="ALC79" s="2805"/>
      <c r="ALD79" s="2805"/>
      <c r="ALE79" s="2805"/>
      <c r="ALF79" s="2805"/>
      <c r="ALG79" s="2805"/>
      <c r="ALH79" s="2805"/>
      <c r="ALI79" s="2805"/>
      <c r="ALJ79" s="2805"/>
      <c r="ALK79" s="2805"/>
      <c r="ALL79" s="2805"/>
      <c r="ALM79" s="2805"/>
      <c r="ALN79" s="2805"/>
      <c r="ALO79" s="2805"/>
      <c r="ALP79" s="2805"/>
      <c r="ALQ79" s="2805"/>
      <c r="ALR79" s="2805"/>
      <c r="ALS79" s="2805"/>
      <c r="ALT79" s="2805"/>
      <c r="ALU79" s="2805"/>
      <c r="ALV79" s="2805"/>
      <c r="ALW79" s="2805"/>
      <c r="ALX79" s="2805"/>
      <c r="ALY79" s="2805"/>
      <c r="ALZ79" s="2805"/>
      <c r="AMA79" s="2805"/>
      <c r="AMB79" s="2805"/>
      <c r="AMC79" s="2805"/>
      <c r="AMD79" s="2805"/>
      <c r="AME79" s="2805"/>
      <c r="AMF79" s="2805"/>
      <c r="AMG79" s="2805"/>
      <c r="AMH79" s="2805"/>
      <c r="AMI79" s="2805"/>
      <c r="AMJ79" s="2805"/>
      <c r="AMK79" s="2805"/>
      <c r="AML79" s="2805"/>
      <c r="AMM79" s="2805"/>
      <c r="AMN79" s="2805"/>
      <c r="AMO79" s="2805"/>
      <c r="AMP79" s="2805"/>
      <c r="AMQ79" s="2805"/>
      <c r="AMR79" s="2805"/>
      <c r="AMS79" s="2805"/>
      <c r="AMT79" s="2805"/>
      <c r="AMU79" s="2805"/>
      <c r="AMV79" s="2805"/>
      <c r="AMW79" s="2805"/>
      <c r="AMX79" s="2805"/>
      <c r="AMY79" s="2805"/>
      <c r="AMZ79" s="2805"/>
      <c r="ANA79" s="2805"/>
      <c r="ANB79" s="2805"/>
      <c r="ANC79" s="2805"/>
      <c r="AND79" s="2805"/>
      <c r="ANE79" s="2805"/>
      <c r="ANF79" s="2805"/>
      <c r="ANG79" s="2805"/>
      <c r="ANH79" s="2805"/>
      <c r="ANI79" s="2805"/>
      <c r="ANJ79" s="2805"/>
      <c r="ANK79" s="2805"/>
      <c r="ANL79" s="2805"/>
      <c r="ANM79" s="2805"/>
      <c r="ANN79" s="2805"/>
      <c r="ANO79" s="2805"/>
      <c r="ANP79" s="2805"/>
      <c r="ANQ79" s="2805"/>
      <c r="ANR79" s="2805"/>
      <c r="ANS79" s="2805"/>
      <c r="ANT79" s="2805"/>
      <c r="ANU79" s="2805"/>
      <c r="ANV79" s="2805"/>
      <c r="ANW79" s="2805"/>
      <c r="ANX79" s="2805"/>
      <c r="ANY79" s="2805"/>
      <c r="ANZ79" s="2805"/>
      <c r="AOA79" s="2805"/>
      <c r="AOB79" s="2805"/>
      <c r="AOC79" s="2805"/>
      <c r="AOD79" s="2805"/>
      <c r="AOE79" s="2805"/>
      <c r="AOF79" s="2805"/>
      <c r="AOG79" s="2805"/>
      <c r="AOH79" s="2805"/>
      <c r="AOI79" s="2805"/>
      <c r="AOJ79" s="2805"/>
      <c r="AOK79" s="2805"/>
      <c r="AOL79" s="2805"/>
      <c r="AOM79" s="2805"/>
      <c r="AON79" s="2805"/>
      <c r="AOO79" s="2805"/>
      <c r="AOP79" s="2805"/>
      <c r="AOQ79" s="2805"/>
      <c r="AOR79" s="2805"/>
      <c r="AOS79" s="2805"/>
      <c r="AOT79" s="2805"/>
      <c r="AOU79" s="2805"/>
      <c r="AOV79" s="2805"/>
      <c r="AOW79" s="2805"/>
      <c r="AOX79" s="2805"/>
      <c r="AOY79" s="2805"/>
      <c r="AOZ79" s="2805"/>
      <c r="APA79" s="2805"/>
      <c r="APB79" s="2805"/>
      <c r="APC79" s="2805"/>
      <c r="APD79" s="2805"/>
      <c r="APE79" s="2805"/>
      <c r="APF79" s="2805"/>
      <c r="APG79" s="2805"/>
      <c r="APH79" s="2805"/>
      <c r="API79" s="2805"/>
      <c r="APJ79" s="2805"/>
      <c r="APK79" s="2805"/>
      <c r="APL79" s="2805"/>
      <c r="APM79" s="2805"/>
      <c r="APN79" s="2805"/>
      <c r="APO79" s="2805"/>
      <c r="APP79" s="2805"/>
      <c r="APQ79" s="2805"/>
      <c r="APR79" s="2805"/>
      <c r="APS79" s="2805"/>
      <c r="APT79" s="2805"/>
      <c r="APU79" s="2805"/>
      <c r="APV79" s="2805"/>
      <c r="APW79" s="2805"/>
      <c r="APX79" s="2805"/>
      <c r="APY79" s="2805"/>
      <c r="APZ79" s="2805"/>
      <c r="AQA79" s="2805"/>
      <c r="AQB79" s="2805"/>
      <c r="AQC79" s="2805"/>
      <c r="AQD79" s="2805"/>
      <c r="AQE79" s="2805"/>
      <c r="AQF79" s="2805"/>
      <c r="AQG79" s="2805"/>
      <c r="AQH79" s="2805"/>
      <c r="AQI79" s="2805"/>
      <c r="AQJ79" s="2805"/>
      <c r="AQK79" s="2805"/>
      <c r="AQL79" s="2805"/>
      <c r="AQM79" s="2805"/>
      <c r="AQN79" s="2805"/>
      <c r="AQO79" s="2805"/>
      <c r="AQP79" s="2805"/>
      <c r="AQQ79" s="2805"/>
      <c r="AQR79" s="2805"/>
      <c r="AQS79" s="2805"/>
      <c r="AQT79" s="2805"/>
      <c r="AQU79" s="2805"/>
      <c r="AQV79" s="2805"/>
      <c r="AQW79" s="2805"/>
      <c r="AQX79" s="2805"/>
      <c r="AQY79" s="2805"/>
      <c r="AQZ79" s="2805"/>
      <c r="ARA79" s="2805"/>
      <c r="ARB79" s="2805"/>
      <c r="ARC79" s="2805"/>
      <c r="ARD79" s="2805"/>
      <c r="ARE79" s="2805"/>
      <c r="ARF79" s="2805"/>
      <c r="ARG79" s="2805"/>
      <c r="ARH79" s="2805"/>
      <c r="ARI79" s="2805"/>
      <c r="ARJ79" s="2805"/>
      <c r="ARK79" s="2805"/>
      <c r="ARL79" s="2805"/>
      <c r="ARM79" s="2805"/>
      <c r="ARN79" s="2805"/>
      <c r="ARO79" s="2805"/>
      <c r="ARP79" s="2805"/>
      <c r="ARQ79" s="2805"/>
      <c r="ARR79" s="2805"/>
      <c r="ARS79" s="2805"/>
      <c r="ART79" s="2805"/>
      <c r="ARU79" s="2805"/>
      <c r="ARV79" s="2805"/>
      <c r="ARW79" s="2805"/>
      <c r="ARX79" s="2805"/>
      <c r="ARY79" s="2805"/>
      <c r="ARZ79" s="2805"/>
      <c r="ASA79" s="2805"/>
      <c r="ASB79" s="2805"/>
      <c r="ASC79" s="2805"/>
      <c r="ASD79" s="2805"/>
      <c r="ASE79" s="2805"/>
      <c r="ASF79" s="2805"/>
      <c r="ASG79" s="2805"/>
      <c r="ASH79" s="2805"/>
      <c r="ASI79" s="2805"/>
      <c r="ASJ79" s="2805"/>
      <c r="ASK79" s="2805"/>
      <c r="ASL79" s="2805"/>
      <c r="ASM79" s="2805"/>
      <c r="ASN79" s="2805"/>
      <c r="ASO79" s="2805"/>
      <c r="ASP79" s="2805"/>
      <c r="ASQ79" s="2805"/>
      <c r="ASR79" s="2805"/>
      <c r="ASS79" s="2805"/>
      <c r="AST79" s="2805"/>
      <c r="ASU79" s="2805"/>
      <c r="ASV79" s="2805"/>
      <c r="ASW79" s="2805"/>
      <c r="ASX79" s="2805"/>
      <c r="ASY79" s="2805"/>
      <c r="ASZ79" s="2805"/>
      <c r="ATA79" s="2805"/>
      <c r="ATB79" s="2805"/>
      <c r="ATC79" s="2805"/>
      <c r="ATD79" s="2805"/>
      <c r="ATE79" s="2805"/>
      <c r="ATF79" s="2805"/>
      <c r="ATG79" s="2805"/>
      <c r="ATH79" s="2805"/>
      <c r="ATI79" s="2805"/>
      <c r="ATJ79" s="2805"/>
      <c r="ATK79" s="2805"/>
      <c r="ATL79" s="2805"/>
      <c r="ATM79" s="2805"/>
      <c r="ATN79" s="2805"/>
      <c r="ATO79" s="2805"/>
      <c r="ATP79" s="2805"/>
      <c r="ATQ79" s="2805"/>
      <c r="ATR79" s="2805"/>
      <c r="ATS79" s="2805"/>
      <c r="ATT79" s="2805"/>
      <c r="ATU79" s="2805"/>
      <c r="ATV79" s="2805"/>
      <c r="ATW79" s="2805"/>
      <c r="ATX79" s="2805"/>
      <c r="ATY79" s="2805"/>
      <c r="ATZ79" s="2805"/>
      <c r="AUA79" s="2805"/>
      <c r="AUB79" s="2805"/>
      <c r="AUC79" s="2805"/>
      <c r="AUD79" s="2805"/>
      <c r="AUE79" s="2805"/>
      <c r="AUF79" s="2805"/>
      <c r="AUG79" s="2805"/>
      <c r="AUH79" s="2805"/>
      <c r="AUI79" s="2805"/>
      <c r="AUJ79" s="2805"/>
      <c r="AUK79" s="2805"/>
      <c r="AUL79" s="2805"/>
      <c r="AUM79" s="2805"/>
      <c r="AUN79" s="2805"/>
      <c r="AUO79" s="2805"/>
      <c r="AUP79" s="2805"/>
      <c r="AUQ79" s="2805"/>
      <c r="AUR79" s="2805"/>
      <c r="AUS79" s="2805"/>
      <c r="AUT79" s="2805"/>
      <c r="AUU79" s="2805"/>
      <c r="AUV79" s="2805"/>
      <c r="AUW79" s="2805"/>
      <c r="AUX79" s="2805"/>
      <c r="AUY79" s="2805"/>
      <c r="AUZ79" s="2805"/>
      <c r="AVA79" s="2805"/>
      <c r="AVB79" s="2805"/>
      <c r="AVC79" s="2805"/>
      <c r="AVD79" s="2805"/>
      <c r="AVE79" s="2805"/>
      <c r="AVF79" s="2805"/>
      <c r="AVG79" s="2805"/>
      <c r="AVH79" s="2805"/>
      <c r="AVI79" s="2805"/>
      <c r="AVJ79" s="2805"/>
      <c r="AVK79" s="2805"/>
      <c r="AVL79" s="2805"/>
      <c r="AVM79" s="2805"/>
      <c r="AVN79" s="2805"/>
      <c r="AVO79" s="2805"/>
      <c r="AVP79" s="2805"/>
      <c r="AVQ79" s="2805"/>
      <c r="AVR79" s="2805"/>
      <c r="AVS79" s="2805"/>
      <c r="AVT79" s="2805"/>
      <c r="AVU79" s="2805"/>
      <c r="AVV79" s="2805"/>
      <c r="AVW79" s="2805"/>
      <c r="AVX79" s="2805"/>
      <c r="AVY79" s="2805"/>
      <c r="AVZ79" s="2805"/>
      <c r="AWA79" s="2805"/>
      <c r="AWB79" s="2805"/>
      <c r="AWC79" s="2805"/>
      <c r="AWD79" s="2805"/>
      <c r="AWE79" s="2805"/>
      <c r="AWF79" s="2805"/>
      <c r="AWG79" s="2805"/>
      <c r="AWH79" s="2805"/>
      <c r="AWI79" s="2805"/>
      <c r="AWJ79" s="2805"/>
      <c r="AWK79" s="2805"/>
      <c r="AWL79" s="2805"/>
      <c r="AWM79" s="2805"/>
      <c r="AWN79" s="2805"/>
      <c r="AWO79" s="2805"/>
      <c r="AWP79" s="2805"/>
      <c r="AWQ79" s="2805"/>
      <c r="AWR79" s="2805"/>
      <c r="AWS79" s="2805"/>
      <c r="AWT79" s="2805"/>
      <c r="AWU79" s="2805"/>
      <c r="AWV79" s="2805"/>
      <c r="AWW79" s="2805"/>
      <c r="AWX79" s="2805"/>
      <c r="AWY79" s="2805"/>
      <c r="AWZ79" s="2805"/>
      <c r="AXA79" s="2805"/>
      <c r="AXB79" s="2805"/>
      <c r="AXC79" s="2805"/>
      <c r="AXD79" s="2805"/>
      <c r="AXE79" s="2805"/>
      <c r="AXF79" s="2805"/>
      <c r="AXG79" s="2805"/>
      <c r="AXH79" s="2805"/>
      <c r="AXI79" s="2805"/>
      <c r="AXJ79" s="2805"/>
      <c r="AXK79" s="2805"/>
      <c r="AXL79" s="2805"/>
      <c r="AXM79" s="2805"/>
      <c r="AXN79" s="2805"/>
      <c r="AXO79" s="2805"/>
      <c r="AXP79" s="2805"/>
      <c r="AXQ79" s="2805"/>
      <c r="AXR79" s="2805"/>
      <c r="AXS79" s="2805"/>
      <c r="AXT79" s="2805"/>
      <c r="AXU79" s="2805"/>
      <c r="AXV79" s="2805"/>
      <c r="AXW79" s="2805"/>
      <c r="AXX79" s="2805"/>
      <c r="AXY79" s="2805"/>
      <c r="AXZ79" s="2805"/>
      <c r="AYA79" s="2805"/>
      <c r="AYB79" s="2805"/>
      <c r="AYC79" s="2805"/>
      <c r="AYD79" s="2805"/>
      <c r="AYE79" s="2805"/>
      <c r="AYF79" s="2805"/>
      <c r="AYG79" s="2805"/>
      <c r="AYH79" s="2805"/>
      <c r="AYI79" s="2805"/>
      <c r="AYJ79" s="2805"/>
      <c r="AYK79" s="2805"/>
      <c r="AYL79" s="2805"/>
      <c r="AYM79" s="2805"/>
      <c r="AYN79" s="2805"/>
      <c r="AYO79" s="2805"/>
      <c r="AYP79" s="2805"/>
      <c r="AYQ79" s="2805"/>
      <c r="AYR79" s="2805"/>
      <c r="AYS79" s="2805"/>
      <c r="AYT79" s="2805"/>
      <c r="AYU79" s="2805"/>
      <c r="AYV79" s="2805"/>
      <c r="AYW79" s="2805"/>
      <c r="AYX79" s="2805"/>
      <c r="AYY79" s="2805"/>
      <c r="AYZ79" s="2805"/>
      <c r="AZA79" s="2805"/>
      <c r="AZB79" s="2805"/>
      <c r="AZC79" s="2805"/>
      <c r="AZD79" s="2805"/>
      <c r="AZE79" s="2805"/>
      <c r="AZF79" s="2805"/>
      <c r="AZG79" s="2805"/>
      <c r="AZH79" s="2805"/>
      <c r="AZI79" s="2805"/>
      <c r="AZJ79" s="2805"/>
      <c r="AZK79" s="2805"/>
      <c r="AZL79" s="2805"/>
      <c r="AZM79" s="2805"/>
      <c r="AZN79" s="2805"/>
      <c r="AZO79" s="2805"/>
      <c r="AZP79" s="2805"/>
      <c r="AZQ79" s="2805"/>
      <c r="AZR79" s="2805"/>
      <c r="AZS79" s="2805"/>
      <c r="AZT79" s="2805"/>
      <c r="AZU79" s="2805"/>
      <c r="AZV79" s="2805"/>
      <c r="AZW79" s="2805"/>
      <c r="AZX79" s="2805"/>
      <c r="AZY79" s="2805"/>
      <c r="AZZ79" s="2805"/>
      <c r="BAA79" s="2805"/>
      <c r="BAB79" s="2805"/>
      <c r="BAC79" s="2805"/>
      <c r="BAD79" s="2805"/>
      <c r="BAE79" s="2805"/>
      <c r="BAF79" s="2805"/>
      <c r="BAG79" s="2805"/>
      <c r="BAH79" s="2805"/>
      <c r="BAI79" s="2805"/>
      <c r="BAJ79" s="2805"/>
      <c r="BAK79" s="2805"/>
      <c r="BAL79" s="2805"/>
      <c r="BAM79" s="2805"/>
      <c r="BAN79" s="2805"/>
      <c r="BAO79" s="2805"/>
      <c r="BAP79" s="2805"/>
      <c r="BAQ79" s="2805"/>
      <c r="BAR79" s="2805"/>
      <c r="BAS79" s="2805"/>
      <c r="BAT79" s="2805"/>
      <c r="BAU79" s="2805"/>
      <c r="BAV79" s="2805"/>
      <c r="BAW79" s="2805"/>
      <c r="BAX79" s="2805"/>
      <c r="BAY79" s="2805"/>
      <c r="BAZ79" s="2805"/>
      <c r="BBA79" s="2805"/>
      <c r="BBB79" s="2805"/>
      <c r="BBC79" s="2805"/>
      <c r="BBD79" s="2805"/>
      <c r="BBE79" s="2805"/>
      <c r="BBF79" s="2805"/>
      <c r="BBG79" s="2805"/>
      <c r="BBH79" s="2805"/>
      <c r="BBI79" s="2805"/>
      <c r="BBJ79" s="2805"/>
      <c r="BBK79" s="2805"/>
      <c r="BBL79" s="2805"/>
      <c r="BBM79" s="2805"/>
      <c r="BBN79" s="2805"/>
      <c r="BBO79" s="2805"/>
      <c r="BBP79" s="2805"/>
      <c r="BBQ79" s="2805"/>
      <c r="BBR79" s="2805"/>
      <c r="BBS79" s="2805"/>
      <c r="BBT79" s="2805"/>
      <c r="BBU79" s="2805"/>
      <c r="BBV79" s="2805"/>
      <c r="BBW79" s="2805"/>
      <c r="BBX79" s="2805"/>
      <c r="BBY79" s="2805"/>
      <c r="BBZ79" s="2805"/>
      <c r="BCA79" s="2805"/>
      <c r="BCB79" s="2805"/>
      <c r="BCC79" s="2805"/>
      <c r="BCD79" s="2805"/>
      <c r="BCE79" s="2805"/>
      <c r="BCF79" s="2805"/>
      <c r="BCG79" s="2805"/>
      <c r="BCH79" s="2805"/>
      <c r="BCI79" s="2805"/>
      <c r="BCJ79" s="2805"/>
      <c r="BCK79" s="2805"/>
      <c r="BCL79" s="2805"/>
      <c r="BCM79" s="2805"/>
      <c r="BCN79" s="2805"/>
      <c r="BCO79" s="2805"/>
      <c r="BCP79" s="2805"/>
      <c r="BCQ79" s="2805"/>
      <c r="BCR79" s="2805"/>
      <c r="BCS79" s="2805"/>
      <c r="BCT79" s="2805"/>
      <c r="BCU79" s="2805"/>
      <c r="BCV79" s="2805"/>
      <c r="BCW79" s="2805"/>
      <c r="BCX79" s="2805"/>
      <c r="BCY79" s="2805"/>
      <c r="BCZ79" s="2805"/>
      <c r="BDA79" s="2805"/>
      <c r="BDB79" s="2805"/>
      <c r="BDC79" s="2805"/>
      <c r="BDD79" s="2805"/>
      <c r="BDE79" s="2805"/>
      <c r="BDF79" s="2805"/>
      <c r="BDG79" s="2805"/>
      <c r="BDH79" s="2805"/>
      <c r="BDI79" s="2805"/>
      <c r="BDJ79" s="2805"/>
      <c r="BDK79" s="2805"/>
      <c r="BDL79" s="2805"/>
      <c r="BDM79" s="2805"/>
      <c r="BDN79" s="2805"/>
      <c r="BDO79" s="2805"/>
      <c r="BDP79" s="2805"/>
      <c r="BDQ79" s="2805"/>
      <c r="BDR79" s="2805"/>
      <c r="BDS79" s="2805"/>
      <c r="BDT79" s="2805"/>
      <c r="BDU79" s="2805"/>
      <c r="BDV79" s="2805"/>
      <c r="BDW79" s="2805"/>
      <c r="BDX79" s="2805"/>
      <c r="BDY79" s="2805"/>
      <c r="BDZ79" s="2805"/>
      <c r="BEA79" s="2805"/>
      <c r="BEB79" s="2805"/>
      <c r="BEC79" s="2805"/>
      <c r="BED79" s="2805"/>
      <c r="BEE79" s="2805"/>
      <c r="BEF79" s="2805"/>
      <c r="BEG79" s="2805"/>
      <c r="BEH79" s="2805"/>
      <c r="BEI79" s="2805"/>
      <c r="BEJ79" s="2805"/>
      <c r="BEK79" s="2805"/>
      <c r="BEL79" s="2805"/>
      <c r="BEM79" s="2805"/>
      <c r="BEN79" s="2805"/>
      <c r="BEO79" s="2805"/>
      <c r="BEP79" s="2805"/>
      <c r="BEQ79" s="2805"/>
      <c r="BER79" s="2805"/>
      <c r="BES79" s="2805"/>
      <c r="BET79" s="2805"/>
      <c r="BEU79" s="2805"/>
      <c r="BEV79" s="2805"/>
      <c r="BEW79" s="2805"/>
      <c r="BEX79" s="2805"/>
      <c r="BEY79" s="2805"/>
      <c r="BEZ79" s="2805"/>
      <c r="BFA79" s="2805"/>
      <c r="BFB79" s="2805"/>
      <c r="BFC79" s="2805"/>
      <c r="BFD79" s="2805"/>
      <c r="BFE79" s="2805"/>
      <c r="BFF79" s="2805"/>
      <c r="BFG79" s="2805"/>
      <c r="BFH79" s="2805"/>
      <c r="BFI79" s="2805"/>
      <c r="BFJ79" s="2805"/>
      <c r="BFK79" s="2805"/>
      <c r="BFL79" s="2805"/>
      <c r="BFM79" s="2805"/>
      <c r="BFN79" s="2805"/>
      <c r="BFO79" s="2805"/>
      <c r="BFP79" s="2805"/>
      <c r="BFQ79" s="2805"/>
      <c r="BFR79" s="2805"/>
      <c r="BFS79" s="2805"/>
      <c r="BFT79" s="2805"/>
      <c r="BFU79" s="2805"/>
      <c r="BFV79" s="2805"/>
      <c r="BFW79" s="2805"/>
      <c r="BFX79" s="2805"/>
      <c r="BFY79" s="2805"/>
      <c r="BFZ79" s="2805"/>
      <c r="BGA79" s="2805"/>
      <c r="BGB79" s="2805"/>
      <c r="BGC79" s="2805"/>
      <c r="BGD79" s="2805"/>
      <c r="BGE79" s="2805"/>
      <c r="BGF79" s="2805"/>
      <c r="BGG79" s="2805"/>
      <c r="BGH79" s="2805"/>
      <c r="BGI79" s="2805"/>
      <c r="BGJ79" s="2805"/>
      <c r="BGK79" s="2805"/>
      <c r="BGL79" s="2805"/>
      <c r="BGM79" s="2805"/>
      <c r="BGN79" s="2805"/>
      <c r="BGO79" s="2805"/>
      <c r="BGP79" s="2805"/>
      <c r="BGQ79" s="2805"/>
      <c r="BGR79" s="2805"/>
      <c r="BGS79" s="2805"/>
      <c r="BGT79" s="2805"/>
      <c r="BGU79" s="2805"/>
      <c r="BGV79" s="2805"/>
      <c r="BGW79" s="2805"/>
      <c r="BGX79" s="2805"/>
      <c r="BGY79" s="2805"/>
      <c r="BGZ79" s="2805"/>
      <c r="BHA79" s="2805"/>
      <c r="BHB79" s="2805"/>
      <c r="BHC79" s="2805"/>
      <c r="BHD79" s="2805"/>
      <c r="BHE79" s="2805"/>
      <c r="BHF79" s="2805"/>
      <c r="BHG79" s="2805"/>
      <c r="BHH79" s="2805"/>
      <c r="BHI79" s="2805"/>
      <c r="BHJ79" s="2805"/>
      <c r="BHK79" s="2805"/>
      <c r="BHL79" s="2805"/>
      <c r="BHM79" s="2805"/>
      <c r="BHN79" s="2805"/>
      <c r="BHO79" s="2805"/>
      <c r="BHP79" s="2805"/>
      <c r="BHQ79" s="2805"/>
      <c r="BHR79" s="2805"/>
      <c r="BHS79" s="2805"/>
      <c r="BHT79" s="2805"/>
      <c r="BHU79" s="2805"/>
      <c r="BHV79" s="2805"/>
      <c r="BHW79" s="2805"/>
      <c r="BHX79" s="2805"/>
      <c r="BHY79" s="2805"/>
      <c r="BHZ79" s="2805"/>
      <c r="BIA79" s="2805"/>
      <c r="BIB79" s="2805"/>
      <c r="BIC79" s="2805"/>
      <c r="BID79" s="2805"/>
      <c r="BIE79" s="2805"/>
      <c r="BIF79" s="2805"/>
      <c r="BIG79" s="2805"/>
      <c r="BIH79" s="2805"/>
      <c r="BII79" s="2805"/>
      <c r="BIJ79" s="2805"/>
      <c r="BIK79" s="2805"/>
      <c r="BIL79" s="2805"/>
      <c r="BIM79" s="2805"/>
      <c r="BIN79" s="2805"/>
      <c r="BIO79" s="2805"/>
      <c r="BIP79" s="2805"/>
      <c r="BIQ79" s="2805"/>
      <c r="BIR79" s="2805"/>
      <c r="BIS79" s="2805"/>
      <c r="BIT79" s="2805"/>
      <c r="BIU79" s="2805"/>
      <c r="BIV79" s="2805"/>
      <c r="BIW79" s="2805"/>
      <c r="BIX79" s="2805"/>
      <c r="BIY79" s="2805"/>
      <c r="BIZ79" s="2805"/>
      <c r="BJA79" s="2805"/>
      <c r="BJB79" s="2805"/>
      <c r="BJC79" s="2805"/>
      <c r="BJD79" s="2805"/>
      <c r="BJE79" s="2805"/>
      <c r="BJF79" s="2805"/>
      <c r="BJG79" s="2805"/>
      <c r="BJH79" s="2805"/>
      <c r="BJI79" s="2805"/>
      <c r="BJJ79" s="2805"/>
      <c r="BJK79" s="2805"/>
      <c r="BJL79" s="2805"/>
      <c r="BJM79" s="2805"/>
      <c r="BJN79" s="2805"/>
      <c r="BJO79" s="2805"/>
      <c r="BJP79" s="2805"/>
      <c r="BJQ79" s="2805"/>
      <c r="BJR79" s="2805"/>
      <c r="BJS79" s="2805"/>
      <c r="BJT79" s="2805"/>
      <c r="BJU79" s="2805"/>
      <c r="BJV79" s="2805"/>
      <c r="BJW79" s="2805"/>
      <c r="BJX79" s="2805"/>
      <c r="BJY79" s="2805"/>
      <c r="BJZ79" s="2805"/>
      <c r="BKA79" s="2805"/>
      <c r="BKB79" s="2805"/>
      <c r="BKC79" s="2805"/>
      <c r="BKD79" s="2805"/>
      <c r="BKE79" s="2805"/>
      <c r="BKF79" s="2805"/>
      <c r="BKG79" s="2805"/>
      <c r="BKH79" s="2805"/>
      <c r="BKI79" s="2805"/>
      <c r="BKJ79" s="2805"/>
      <c r="BKK79" s="2805"/>
      <c r="BKL79" s="2805"/>
      <c r="BKM79" s="2805"/>
      <c r="BKN79" s="2805"/>
      <c r="BKO79" s="2805"/>
      <c r="BKP79" s="2805"/>
      <c r="BKQ79" s="2805"/>
      <c r="BKR79" s="2805"/>
      <c r="BKS79" s="2805"/>
      <c r="BKT79" s="2805"/>
      <c r="BKU79" s="2805"/>
      <c r="BKV79" s="2805"/>
      <c r="BKW79" s="2805"/>
      <c r="BKX79" s="2805"/>
      <c r="BKY79" s="2805"/>
      <c r="BKZ79" s="2805"/>
      <c r="BLA79" s="2805"/>
      <c r="BLB79" s="2805"/>
      <c r="BLC79" s="2805"/>
      <c r="BLD79" s="2805"/>
      <c r="BLE79" s="2805"/>
      <c r="BLF79" s="2805"/>
      <c r="BLG79" s="2805"/>
      <c r="BLH79" s="2805"/>
      <c r="BLI79" s="2805"/>
      <c r="BLJ79" s="2805"/>
      <c r="BLK79" s="2805"/>
      <c r="BLL79" s="2805"/>
      <c r="BLM79" s="2805"/>
      <c r="BLN79" s="2805"/>
      <c r="BLO79" s="2805"/>
      <c r="BLP79" s="2805"/>
      <c r="BLQ79" s="2805"/>
      <c r="BLR79" s="2805"/>
      <c r="BLS79" s="2805"/>
      <c r="BLT79" s="2805"/>
      <c r="BLU79" s="2805"/>
      <c r="BLV79" s="2805"/>
      <c r="BLW79" s="2805"/>
      <c r="BLX79" s="2805"/>
      <c r="BLY79" s="2805"/>
      <c r="BLZ79" s="2805"/>
      <c r="BMA79" s="2805"/>
      <c r="BMB79" s="2805"/>
      <c r="BMC79" s="2805"/>
      <c r="BMD79" s="2805"/>
      <c r="BME79" s="2805"/>
      <c r="BMF79" s="2805"/>
      <c r="BMG79" s="2805"/>
      <c r="BMH79" s="2805"/>
      <c r="BMI79" s="2805"/>
      <c r="BMJ79" s="2805"/>
      <c r="BMK79" s="2805"/>
      <c r="BML79" s="2805"/>
      <c r="BMM79" s="2805"/>
      <c r="BMN79" s="2805"/>
      <c r="BMO79" s="2805"/>
      <c r="BMP79" s="2805"/>
      <c r="BMQ79" s="2805"/>
      <c r="BMR79" s="2805"/>
      <c r="BMS79" s="2805"/>
      <c r="BMT79" s="2805"/>
      <c r="BMU79" s="2805"/>
      <c r="BMV79" s="2805"/>
      <c r="BMW79" s="2805"/>
      <c r="BMX79" s="2805"/>
      <c r="BMY79" s="2805"/>
      <c r="BMZ79" s="2805"/>
      <c r="BNA79" s="2805"/>
      <c r="BNB79" s="2805"/>
      <c r="BNC79" s="2805"/>
      <c r="BND79" s="2805"/>
      <c r="BNE79" s="2805"/>
      <c r="BNF79" s="2805"/>
      <c r="BNG79" s="2805"/>
      <c r="BNH79" s="2805"/>
      <c r="BNI79" s="2805"/>
      <c r="BNJ79" s="2805"/>
      <c r="BNK79" s="2805"/>
      <c r="BNL79" s="2805"/>
      <c r="BNM79" s="2805"/>
      <c r="BNN79" s="2805"/>
      <c r="BNO79" s="2805"/>
      <c r="BNP79" s="2805"/>
      <c r="BNQ79" s="2805"/>
      <c r="BNR79" s="2805"/>
      <c r="BNS79" s="2805"/>
      <c r="BNT79" s="2805"/>
      <c r="BNU79" s="2805"/>
      <c r="BNV79" s="2805"/>
      <c r="BNW79" s="2805"/>
      <c r="BNX79" s="2805"/>
      <c r="BNY79" s="2805"/>
      <c r="BNZ79" s="2805"/>
      <c r="BOA79" s="2805"/>
      <c r="BOB79" s="2805"/>
      <c r="BOC79" s="2805"/>
      <c r="BOD79" s="2805"/>
      <c r="BOE79" s="2805"/>
      <c r="BOF79" s="2805"/>
      <c r="BOG79" s="2805"/>
      <c r="BOH79" s="2805"/>
      <c r="BOI79" s="2805"/>
      <c r="BOJ79" s="2805"/>
      <c r="BOK79" s="2805"/>
      <c r="BOL79" s="2805"/>
      <c r="BOM79" s="2805"/>
      <c r="BON79" s="2805"/>
      <c r="BOO79" s="2805"/>
      <c r="BOP79" s="2805"/>
      <c r="BOQ79" s="2805"/>
      <c r="BOR79" s="2805"/>
      <c r="BOS79" s="2805"/>
      <c r="BOT79" s="2805"/>
      <c r="BOU79" s="2805"/>
      <c r="BOV79" s="2805"/>
      <c r="BOW79" s="2805"/>
      <c r="BOX79" s="2805"/>
      <c r="BOY79" s="2805"/>
      <c r="BOZ79" s="2805"/>
      <c r="BPA79" s="2805"/>
      <c r="BPB79" s="2805"/>
      <c r="BPC79" s="2805"/>
      <c r="BPD79" s="2805"/>
      <c r="BPE79" s="2805"/>
      <c r="BPF79" s="2805"/>
      <c r="BPG79" s="2805"/>
      <c r="BPH79" s="2805"/>
      <c r="BPI79" s="2805"/>
      <c r="BPJ79" s="2805"/>
      <c r="BPK79" s="2805"/>
      <c r="BPL79" s="2805"/>
      <c r="BPM79" s="2805"/>
      <c r="BPN79" s="2805"/>
      <c r="BPO79" s="2805"/>
      <c r="BPP79" s="2805"/>
      <c r="BPQ79" s="2805"/>
      <c r="BPR79" s="2805"/>
      <c r="BPS79" s="2805"/>
      <c r="BPT79" s="2805"/>
      <c r="BPU79" s="2805"/>
      <c r="BPV79" s="2805"/>
      <c r="BPW79" s="2805"/>
      <c r="BPX79" s="2805"/>
      <c r="BPY79" s="2805"/>
      <c r="BPZ79" s="2805"/>
      <c r="BQA79" s="2805"/>
      <c r="BQB79" s="2805"/>
      <c r="BQC79" s="2805"/>
      <c r="BQD79" s="2805"/>
      <c r="BQE79" s="2805"/>
      <c r="BQF79" s="2805"/>
      <c r="BQG79" s="2805"/>
      <c r="BQH79" s="2805"/>
      <c r="BQI79" s="2805"/>
      <c r="BQJ79" s="2805"/>
      <c r="BQK79" s="2805"/>
      <c r="BQL79" s="2805"/>
      <c r="BQM79" s="2805"/>
      <c r="BQN79" s="2805"/>
      <c r="BQO79" s="2805"/>
      <c r="BQP79" s="2805"/>
      <c r="BQQ79" s="2805"/>
      <c r="BQR79" s="2805"/>
      <c r="BQS79" s="2805"/>
      <c r="BQT79" s="2805"/>
      <c r="BQU79" s="2805"/>
      <c r="BQV79" s="2805"/>
      <c r="BQW79" s="2805"/>
      <c r="BQX79" s="2805"/>
      <c r="BQY79" s="2805"/>
      <c r="BQZ79" s="2805"/>
      <c r="BRA79" s="2805"/>
      <c r="BRB79" s="2805"/>
      <c r="BRC79" s="2805"/>
      <c r="BRD79" s="2805"/>
      <c r="BRE79" s="2805"/>
      <c r="BRF79" s="2805"/>
      <c r="BRG79" s="2805"/>
      <c r="BRH79" s="2805"/>
      <c r="BRI79" s="2805"/>
      <c r="BRJ79" s="2805"/>
      <c r="BRK79" s="2805"/>
      <c r="BRL79" s="2805"/>
      <c r="BRM79" s="2805"/>
      <c r="BRN79" s="2805"/>
      <c r="BRO79" s="2805"/>
      <c r="BRP79" s="2805"/>
      <c r="BRQ79" s="2805"/>
      <c r="BRR79" s="2805"/>
      <c r="BRS79" s="2805"/>
      <c r="BRT79" s="2805"/>
      <c r="BRU79" s="2805"/>
      <c r="BRV79" s="2805"/>
      <c r="BRW79" s="2805"/>
      <c r="BRX79" s="2805"/>
      <c r="BRY79" s="2805"/>
      <c r="BRZ79" s="2805"/>
      <c r="BSA79" s="2805"/>
      <c r="BSB79" s="2805"/>
      <c r="BSC79" s="2805"/>
      <c r="BSD79" s="2805"/>
      <c r="BSE79" s="2805"/>
      <c r="BSF79" s="2805"/>
      <c r="BSG79" s="2805"/>
      <c r="BSH79" s="2805"/>
      <c r="BSI79" s="2805"/>
      <c r="BSJ79" s="2805"/>
      <c r="BSK79" s="2805"/>
      <c r="BSL79" s="2805"/>
      <c r="BSM79" s="2805"/>
      <c r="BSN79" s="2805"/>
      <c r="BSO79" s="2805"/>
      <c r="BSP79" s="2805"/>
      <c r="BSQ79" s="2805"/>
      <c r="BSR79" s="2805"/>
      <c r="BSS79" s="2805"/>
      <c r="BST79" s="2805"/>
      <c r="BSU79" s="2805"/>
      <c r="BSV79" s="2805"/>
      <c r="BSW79" s="2805"/>
      <c r="BSX79" s="2805"/>
      <c r="BSY79" s="2805"/>
      <c r="BSZ79" s="2805"/>
      <c r="BTA79" s="2805"/>
      <c r="BTB79" s="2805"/>
      <c r="BTC79" s="2805"/>
      <c r="BTD79" s="2805"/>
      <c r="BTE79" s="2805"/>
      <c r="BTF79" s="2805"/>
      <c r="BTG79" s="2805"/>
      <c r="BTH79" s="2805"/>
      <c r="BTI79" s="2805"/>
      <c r="BTJ79" s="2805"/>
      <c r="BTK79" s="2805"/>
      <c r="BTL79" s="2805"/>
      <c r="BTM79" s="2805"/>
      <c r="BTN79" s="2805"/>
      <c r="BTO79" s="2805"/>
      <c r="BTP79" s="2805"/>
      <c r="BTQ79" s="2805"/>
      <c r="BTR79" s="2805"/>
      <c r="BTS79" s="2805"/>
      <c r="BTT79" s="2805"/>
      <c r="BTU79" s="2805"/>
      <c r="BTV79" s="2805"/>
      <c r="BTW79" s="2805"/>
      <c r="BTX79" s="2805"/>
      <c r="BTY79" s="2805"/>
      <c r="BTZ79" s="2805"/>
      <c r="BUA79" s="2805"/>
      <c r="BUB79" s="2805"/>
      <c r="BUC79" s="2805"/>
      <c r="BUD79" s="2805"/>
      <c r="BUE79" s="2805"/>
      <c r="BUF79" s="2805"/>
      <c r="BUG79" s="2805"/>
      <c r="BUH79" s="2805"/>
      <c r="BUI79" s="2805"/>
      <c r="BUJ79" s="2805"/>
      <c r="BUK79" s="2805"/>
      <c r="BUL79" s="2805"/>
      <c r="BUM79" s="2805"/>
      <c r="BUN79" s="2805"/>
      <c r="BUO79" s="2805"/>
      <c r="BUP79" s="2805"/>
      <c r="BUQ79" s="2805"/>
      <c r="BUR79" s="2805"/>
      <c r="BUS79" s="2805"/>
      <c r="BUT79" s="2805"/>
      <c r="BUU79" s="2805"/>
      <c r="BUV79" s="2805"/>
      <c r="BUW79" s="2805"/>
      <c r="BUX79" s="2805"/>
      <c r="BUY79" s="2805"/>
      <c r="BUZ79" s="2805"/>
      <c r="BVA79" s="2805"/>
      <c r="BVB79" s="2805"/>
      <c r="BVC79" s="2805"/>
      <c r="BVD79" s="2805"/>
      <c r="BVE79" s="2805"/>
      <c r="BVF79" s="2805"/>
      <c r="BVG79" s="2805"/>
      <c r="BVH79" s="2805"/>
      <c r="BVI79" s="2805"/>
      <c r="BVJ79" s="2805"/>
      <c r="BVK79" s="2805"/>
      <c r="BVL79" s="2805"/>
      <c r="BVM79" s="2805"/>
      <c r="BVN79" s="2805"/>
      <c r="BVO79" s="2805"/>
      <c r="BVP79" s="2805"/>
      <c r="BVQ79" s="2805"/>
      <c r="BVR79" s="2805"/>
      <c r="BVS79" s="2805"/>
      <c r="BVT79" s="2805"/>
      <c r="BVU79" s="2805"/>
      <c r="BVV79" s="2805"/>
      <c r="BVW79" s="2805"/>
      <c r="BVX79" s="2805"/>
      <c r="BVY79" s="2805"/>
      <c r="BVZ79" s="2805"/>
      <c r="BWA79" s="2805"/>
      <c r="BWB79" s="2805"/>
      <c r="BWC79" s="2805"/>
      <c r="BWD79" s="2805"/>
      <c r="BWE79" s="2805"/>
      <c r="BWF79" s="2805"/>
      <c r="BWG79" s="2805"/>
      <c r="BWH79" s="2805"/>
      <c r="BWI79" s="2805"/>
      <c r="BWJ79" s="2805"/>
      <c r="BWK79" s="2805"/>
      <c r="BWL79" s="2805"/>
      <c r="BWM79" s="2805"/>
      <c r="BWN79" s="2805"/>
      <c r="BWO79" s="2805"/>
      <c r="BWP79" s="2805"/>
      <c r="BWQ79" s="2805"/>
      <c r="BWR79" s="2805"/>
      <c r="BWS79" s="2805"/>
      <c r="BWT79" s="2805"/>
      <c r="BWU79" s="2805"/>
      <c r="BWV79" s="2805"/>
      <c r="BWW79" s="2805"/>
      <c r="BWX79" s="2805"/>
      <c r="BWY79" s="2805"/>
      <c r="BWZ79" s="2805"/>
      <c r="BXA79" s="2805"/>
      <c r="BXB79" s="2805"/>
      <c r="BXC79" s="2805"/>
      <c r="BXD79" s="2805"/>
      <c r="BXE79" s="2805"/>
      <c r="BXF79" s="2805"/>
      <c r="BXG79" s="2805"/>
      <c r="BXH79" s="2805"/>
      <c r="BXI79" s="2805"/>
      <c r="BXJ79" s="2805"/>
      <c r="BXK79" s="2805"/>
      <c r="BXL79" s="2805"/>
      <c r="BXM79" s="2805"/>
      <c r="BXN79" s="2805"/>
      <c r="BXO79" s="2805"/>
      <c r="BXP79" s="2805"/>
      <c r="BXQ79" s="2805"/>
      <c r="BXR79" s="2805"/>
      <c r="BXS79" s="2805"/>
      <c r="BXT79" s="2805"/>
      <c r="BXU79" s="2805"/>
      <c r="BXV79" s="2805"/>
      <c r="BXW79" s="2805"/>
      <c r="BXX79" s="2805"/>
      <c r="BXY79" s="2805"/>
      <c r="BXZ79" s="2805"/>
      <c r="BYA79" s="2805"/>
      <c r="BYB79" s="2805"/>
      <c r="BYC79" s="2805"/>
      <c r="BYD79" s="2805"/>
      <c r="BYE79" s="2805"/>
      <c r="BYF79" s="2805"/>
      <c r="BYG79" s="2805"/>
      <c r="BYH79" s="2805"/>
      <c r="BYI79" s="2805"/>
      <c r="BYJ79" s="2805"/>
      <c r="BYK79" s="2805"/>
      <c r="BYL79" s="2805"/>
      <c r="BYM79" s="2805"/>
      <c r="BYN79" s="2805"/>
      <c r="BYO79" s="2805"/>
      <c r="BYP79" s="2805"/>
      <c r="BYQ79" s="2805"/>
      <c r="BYR79" s="2805"/>
      <c r="BYS79" s="2805"/>
      <c r="BYT79" s="2805"/>
      <c r="BYU79" s="2805"/>
      <c r="BYV79" s="2805"/>
      <c r="BYW79" s="2805"/>
      <c r="BYX79" s="2805"/>
      <c r="BYY79" s="2805"/>
      <c r="BYZ79" s="2805"/>
      <c r="BZA79" s="2805"/>
      <c r="BZB79" s="2805"/>
      <c r="BZC79" s="2805"/>
      <c r="BZD79" s="2805"/>
      <c r="BZE79" s="2805"/>
      <c r="BZF79" s="2805"/>
      <c r="BZG79" s="2805"/>
      <c r="BZH79" s="2805"/>
      <c r="BZI79" s="2805"/>
      <c r="BZJ79" s="2805"/>
      <c r="BZK79" s="2805"/>
      <c r="BZL79" s="2805"/>
      <c r="BZM79" s="2805"/>
      <c r="BZN79" s="2805"/>
      <c r="BZO79" s="2805"/>
      <c r="BZP79" s="2805"/>
      <c r="BZQ79" s="2805"/>
      <c r="BZR79" s="2805"/>
      <c r="BZS79" s="2805"/>
      <c r="BZT79" s="2805"/>
      <c r="BZU79" s="2805"/>
      <c r="BZV79" s="2805"/>
      <c r="BZW79" s="2805"/>
      <c r="BZX79" s="2805"/>
      <c r="BZY79" s="2805"/>
      <c r="BZZ79" s="2805"/>
      <c r="CAA79" s="2805"/>
      <c r="CAB79" s="2805"/>
      <c r="CAC79" s="2805"/>
      <c r="CAD79" s="2805"/>
      <c r="CAE79" s="2805"/>
      <c r="CAF79" s="2805"/>
      <c r="CAG79" s="2805"/>
      <c r="CAH79" s="2805"/>
      <c r="CAI79" s="2805"/>
      <c r="CAJ79" s="2805"/>
      <c r="CAK79" s="2805"/>
      <c r="CAL79" s="2805"/>
      <c r="CAM79" s="2805"/>
      <c r="CAN79" s="2805"/>
      <c r="CAO79" s="2805"/>
      <c r="CAP79" s="2805"/>
      <c r="CAQ79" s="2805"/>
      <c r="CAR79" s="2805"/>
      <c r="CAS79" s="2805"/>
      <c r="CAT79" s="2805"/>
      <c r="CAU79" s="2805"/>
      <c r="CAV79" s="2805"/>
      <c r="CAW79" s="2805"/>
      <c r="CAX79" s="2805"/>
      <c r="CAY79" s="2805"/>
      <c r="CAZ79" s="2805"/>
      <c r="CBA79" s="2805"/>
      <c r="CBB79" s="2805"/>
      <c r="CBC79" s="2805"/>
      <c r="CBD79" s="2805"/>
      <c r="CBE79" s="2805"/>
      <c r="CBF79" s="2805"/>
      <c r="CBG79" s="2805"/>
      <c r="CBH79" s="2805"/>
      <c r="CBI79" s="2805"/>
      <c r="CBJ79" s="2805"/>
      <c r="CBK79" s="2805"/>
      <c r="CBL79" s="2805"/>
      <c r="CBM79" s="2805"/>
      <c r="CBN79" s="2805"/>
      <c r="CBO79" s="2805"/>
      <c r="CBP79" s="2805"/>
      <c r="CBQ79" s="2805"/>
      <c r="CBR79" s="2805"/>
      <c r="CBS79" s="2805"/>
      <c r="CBT79" s="2805"/>
      <c r="CBU79" s="2805"/>
      <c r="CBV79" s="2805"/>
      <c r="CBW79" s="2805"/>
      <c r="CBX79" s="2805"/>
      <c r="CBY79" s="2805"/>
      <c r="CBZ79" s="2805"/>
      <c r="CCA79" s="2805"/>
      <c r="CCB79" s="2805"/>
      <c r="CCC79" s="2805"/>
      <c r="CCD79" s="2805"/>
      <c r="CCE79" s="2805"/>
      <c r="CCF79" s="2805"/>
      <c r="CCG79" s="2805"/>
      <c r="CCH79" s="2805"/>
      <c r="CCI79" s="2805"/>
      <c r="CCJ79" s="2805"/>
      <c r="CCK79" s="2805"/>
      <c r="CCL79" s="2805"/>
      <c r="CCM79" s="2805"/>
      <c r="CCN79" s="2805"/>
      <c r="CCO79" s="2805"/>
      <c r="CCP79" s="2805"/>
      <c r="CCQ79" s="2805"/>
      <c r="CCR79" s="2805"/>
      <c r="CCS79" s="2805"/>
      <c r="CCT79" s="2805"/>
      <c r="CCU79" s="2805"/>
      <c r="CCV79" s="2805"/>
      <c r="CCW79" s="2805"/>
      <c r="CCX79" s="2805"/>
      <c r="CCY79" s="2805"/>
      <c r="CCZ79" s="2805"/>
      <c r="CDA79" s="2805"/>
      <c r="CDB79" s="2805"/>
      <c r="CDC79" s="2805"/>
      <c r="CDD79" s="2805"/>
      <c r="CDE79" s="2805"/>
      <c r="CDF79" s="2805"/>
      <c r="CDG79" s="2805"/>
      <c r="CDH79" s="2805"/>
      <c r="CDI79" s="2805"/>
      <c r="CDJ79" s="2805"/>
      <c r="CDK79" s="2805"/>
      <c r="CDL79" s="2805"/>
      <c r="CDM79" s="2805"/>
      <c r="CDN79" s="2805"/>
      <c r="CDO79" s="2805"/>
      <c r="CDP79" s="2805"/>
      <c r="CDQ79" s="2805"/>
      <c r="CDR79" s="2805"/>
      <c r="CDS79" s="2805"/>
      <c r="CDT79" s="2805"/>
      <c r="CDU79" s="2805"/>
      <c r="CDV79" s="2805"/>
      <c r="CDW79" s="2805"/>
      <c r="CDX79" s="2805"/>
      <c r="CDY79" s="2805"/>
      <c r="CDZ79" s="2805"/>
      <c r="CEA79" s="2805"/>
      <c r="CEB79" s="2805"/>
      <c r="CEC79" s="2805"/>
      <c r="CED79" s="2805"/>
      <c r="CEE79" s="2805"/>
      <c r="CEF79" s="2805"/>
      <c r="CEG79" s="2805"/>
      <c r="CEH79" s="2805"/>
      <c r="CEI79" s="2805"/>
      <c r="CEJ79" s="2805"/>
      <c r="CEK79" s="2805"/>
      <c r="CEL79" s="2805"/>
      <c r="CEM79" s="2805"/>
      <c r="CEN79" s="2805"/>
      <c r="CEO79" s="2805"/>
      <c r="CEP79" s="2805"/>
      <c r="CEQ79" s="2805"/>
      <c r="CER79" s="2805"/>
      <c r="CES79" s="2805"/>
      <c r="CET79" s="2805"/>
      <c r="CEU79" s="2805"/>
      <c r="CEV79" s="2805"/>
      <c r="CEW79" s="2805"/>
      <c r="CEX79" s="2805"/>
      <c r="CEY79" s="2805"/>
      <c r="CEZ79" s="2805"/>
      <c r="CFA79" s="2805"/>
      <c r="CFB79" s="2805"/>
      <c r="CFC79" s="2805"/>
      <c r="CFD79" s="2805"/>
      <c r="CFE79" s="2805"/>
      <c r="CFF79" s="2805"/>
      <c r="CFG79" s="2805"/>
      <c r="CFH79" s="2805"/>
      <c r="CFI79" s="2805"/>
      <c r="CFJ79" s="2805"/>
      <c r="CFK79" s="2805"/>
      <c r="CFL79" s="2805"/>
      <c r="CFM79" s="2805"/>
      <c r="CFN79" s="2805"/>
      <c r="CFO79" s="2805"/>
      <c r="CFP79" s="2805"/>
      <c r="CFQ79" s="2805"/>
      <c r="CFR79" s="2805"/>
      <c r="CFS79" s="2805"/>
      <c r="CFT79" s="2805"/>
      <c r="CFU79" s="2805"/>
      <c r="CFV79" s="2805"/>
      <c r="CFW79" s="2805"/>
      <c r="CFX79" s="2805"/>
      <c r="CFY79" s="2805"/>
      <c r="CFZ79" s="2805"/>
      <c r="CGA79" s="2805"/>
      <c r="CGB79" s="2805"/>
      <c r="CGC79" s="2805"/>
      <c r="CGD79" s="2805"/>
      <c r="CGE79" s="2805"/>
      <c r="CGF79" s="2805"/>
      <c r="CGG79" s="2805"/>
      <c r="CGH79" s="2805"/>
      <c r="CGI79" s="2805"/>
      <c r="CGJ79" s="2805"/>
      <c r="CGK79" s="2805"/>
      <c r="CGL79" s="2805"/>
      <c r="CGM79" s="2805"/>
      <c r="CGN79" s="2805"/>
      <c r="CGO79" s="2805"/>
      <c r="CGP79" s="2805"/>
      <c r="CGQ79" s="2805"/>
      <c r="CGR79" s="2805"/>
      <c r="CGS79" s="2805"/>
      <c r="CGT79" s="2805"/>
      <c r="CGU79" s="2805"/>
      <c r="CGV79" s="2805"/>
      <c r="CGW79" s="2805"/>
      <c r="CGX79" s="2805"/>
      <c r="CGY79" s="2805"/>
      <c r="CGZ79" s="2805"/>
      <c r="CHA79" s="2805"/>
      <c r="CHB79" s="2805"/>
      <c r="CHC79" s="2805"/>
      <c r="CHD79" s="2805"/>
      <c r="CHE79" s="2805"/>
      <c r="CHF79" s="2805"/>
      <c r="CHG79" s="2805"/>
      <c r="CHH79" s="2805"/>
      <c r="CHI79" s="2805"/>
      <c r="CHJ79" s="2805"/>
      <c r="CHK79" s="2805"/>
      <c r="CHL79" s="2805"/>
      <c r="CHM79" s="2805"/>
      <c r="CHN79" s="2805"/>
      <c r="CHO79" s="2805"/>
      <c r="CHP79" s="2805"/>
      <c r="CHQ79" s="2805"/>
      <c r="CHR79" s="2805"/>
      <c r="CHS79" s="2805"/>
      <c r="CHT79" s="2805"/>
      <c r="CHU79" s="2805"/>
      <c r="CHV79" s="2805"/>
      <c r="CHW79" s="2805"/>
      <c r="CHX79" s="2805"/>
      <c r="CHY79" s="2805"/>
      <c r="CHZ79" s="2805"/>
      <c r="CIA79" s="2805"/>
      <c r="CIB79" s="2805"/>
      <c r="CIC79" s="2805"/>
      <c r="CID79" s="2805"/>
      <c r="CIE79" s="2805"/>
      <c r="CIF79" s="2805"/>
      <c r="CIG79" s="2805"/>
      <c r="CIH79" s="2805"/>
      <c r="CII79" s="2805"/>
      <c r="CIJ79" s="2805"/>
      <c r="CIK79" s="2805"/>
      <c r="CIL79" s="2805"/>
      <c r="CIM79" s="2805"/>
      <c r="CIN79" s="2805"/>
      <c r="CIO79" s="2805"/>
      <c r="CIP79" s="2805"/>
      <c r="CIQ79" s="2805"/>
      <c r="CIR79" s="2805"/>
      <c r="CIS79" s="2805"/>
      <c r="CIT79" s="2805"/>
      <c r="CIU79" s="2805"/>
      <c r="CIV79" s="2805"/>
      <c r="CIW79" s="2805"/>
      <c r="CIX79" s="2805"/>
      <c r="CIY79" s="2805"/>
      <c r="CIZ79" s="2805"/>
      <c r="CJA79" s="2805"/>
      <c r="CJB79" s="2805"/>
      <c r="CJC79" s="2805"/>
      <c r="CJD79" s="2805"/>
      <c r="CJE79" s="2805"/>
      <c r="CJF79" s="2805"/>
      <c r="CJG79" s="2805"/>
      <c r="CJH79" s="2805"/>
      <c r="CJI79" s="2805"/>
      <c r="CJJ79" s="2805"/>
      <c r="CJK79" s="2805"/>
      <c r="CJL79" s="2805"/>
      <c r="CJM79" s="2805"/>
      <c r="CJN79" s="2805"/>
      <c r="CJO79" s="2805"/>
      <c r="CJP79" s="2805"/>
      <c r="CJQ79" s="2805"/>
      <c r="CJR79" s="2805"/>
      <c r="CJS79" s="2805"/>
      <c r="CJT79" s="2805"/>
      <c r="CJU79" s="2805"/>
      <c r="CJV79" s="2805"/>
      <c r="CJW79" s="2805"/>
      <c r="CJX79" s="2805"/>
      <c r="CJY79" s="2805"/>
      <c r="CJZ79" s="2805"/>
      <c r="CKA79" s="2805"/>
      <c r="CKB79" s="2805"/>
      <c r="CKC79" s="2805"/>
      <c r="CKD79" s="2805"/>
      <c r="CKE79" s="2805"/>
      <c r="CKF79" s="2805"/>
      <c r="CKG79" s="2805"/>
      <c r="CKH79" s="2805"/>
      <c r="CKI79" s="2805"/>
      <c r="CKJ79" s="2805"/>
      <c r="CKK79" s="2805"/>
      <c r="CKL79" s="2805"/>
      <c r="CKM79" s="2805"/>
      <c r="CKN79" s="2805"/>
      <c r="CKO79" s="2805"/>
      <c r="CKP79" s="2805"/>
      <c r="CKQ79" s="2805"/>
      <c r="CKR79" s="2805"/>
      <c r="CKS79" s="2805"/>
      <c r="CKT79" s="2805"/>
      <c r="CKU79" s="2805"/>
      <c r="CKV79" s="2805"/>
      <c r="CKW79" s="2805"/>
      <c r="CKX79" s="2805"/>
      <c r="CKY79" s="2805"/>
      <c r="CKZ79" s="2805"/>
      <c r="CLA79" s="2805"/>
      <c r="CLB79" s="2805"/>
      <c r="CLC79" s="2805"/>
      <c r="CLD79" s="2805"/>
      <c r="CLE79" s="2805"/>
      <c r="CLF79" s="2805"/>
      <c r="CLG79" s="2805"/>
      <c r="CLH79" s="2805"/>
      <c r="CLI79" s="2805"/>
      <c r="CLJ79" s="2805"/>
      <c r="CLK79" s="2805"/>
      <c r="CLL79" s="2805"/>
      <c r="CLM79" s="2805"/>
      <c r="CLN79" s="2805"/>
      <c r="CLO79" s="2805"/>
      <c r="CLP79" s="2805"/>
      <c r="CLQ79" s="2805"/>
      <c r="CLR79" s="2805"/>
      <c r="CLS79" s="2805"/>
      <c r="CLT79" s="2805"/>
      <c r="CLU79" s="2805"/>
      <c r="CLV79" s="2805"/>
      <c r="CLW79" s="2805"/>
      <c r="CLX79" s="2805"/>
      <c r="CLY79" s="2805"/>
      <c r="CLZ79" s="2805"/>
      <c r="CMA79" s="2805"/>
      <c r="CMB79" s="2805"/>
      <c r="CMC79" s="2805"/>
      <c r="CMD79" s="2805"/>
      <c r="CME79" s="2805"/>
      <c r="CMF79" s="2805"/>
      <c r="CMG79" s="2805"/>
      <c r="CMH79" s="2805"/>
      <c r="CMI79" s="2805"/>
      <c r="CMJ79" s="2805"/>
      <c r="CMK79" s="2805"/>
      <c r="CML79" s="2805"/>
      <c r="CMM79" s="2805"/>
      <c r="CMN79" s="2805"/>
      <c r="CMO79" s="2805"/>
      <c r="CMP79" s="2805"/>
      <c r="CMQ79" s="2805"/>
      <c r="CMR79" s="2805"/>
      <c r="CMS79" s="2805"/>
      <c r="CMT79" s="2805"/>
      <c r="CMU79" s="2805"/>
      <c r="CMV79" s="2805"/>
      <c r="CMW79" s="2805"/>
      <c r="CMX79" s="2805"/>
      <c r="CMY79" s="2805"/>
      <c r="CMZ79" s="2805"/>
      <c r="CNA79" s="2805"/>
      <c r="CNB79" s="2805"/>
      <c r="CNC79" s="2805"/>
      <c r="CND79" s="2805"/>
      <c r="CNE79" s="2805"/>
      <c r="CNF79" s="2805"/>
      <c r="CNG79" s="2805"/>
      <c r="CNH79" s="2805"/>
      <c r="CNI79" s="2805"/>
      <c r="CNJ79" s="2805"/>
      <c r="CNK79" s="2805"/>
      <c r="CNL79" s="2805"/>
      <c r="CNM79" s="2805"/>
      <c r="CNN79" s="2805"/>
      <c r="CNO79" s="2805"/>
      <c r="CNP79" s="2805"/>
      <c r="CNQ79" s="2805"/>
      <c r="CNR79" s="2805"/>
      <c r="CNS79" s="2805"/>
      <c r="CNT79" s="2805"/>
      <c r="CNU79" s="2805"/>
      <c r="CNV79" s="2805"/>
      <c r="CNW79" s="2805"/>
      <c r="CNX79" s="2805"/>
      <c r="CNY79" s="2805"/>
      <c r="CNZ79" s="2805"/>
      <c r="COA79" s="2805"/>
      <c r="COB79" s="2805"/>
      <c r="COC79" s="2805"/>
      <c r="COD79" s="2805"/>
      <c r="COE79" s="2805"/>
      <c r="COF79" s="2805"/>
      <c r="COG79" s="2805"/>
      <c r="COH79" s="2805"/>
      <c r="COI79" s="2805"/>
      <c r="COJ79" s="2805"/>
      <c r="COK79" s="2805"/>
      <c r="COL79" s="2805"/>
      <c r="COM79" s="2805"/>
      <c r="CON79" s="2805"/>
      <c r="COO79" s="2805"/>
      <c r="COP79" s="2805"/>
      <c r="COQ79" s="2805"/>
      <c r="COR79" s="2805"/>
      <c r="COS79" s="2805"/>
      <c r="COT79" s="2805"/>
      <c r="COU79" s="2805"/>
      <c r="COV79" s="2805"/>
      <c r="COW79" s="2805"/>
      <c r="COX79" s="2805"/>
      <c r="COY79" s="2805"/>
      <c r="COZ79" s="2805"/>
      <c r="CPA79" s="2805"/>
      <c r="CPB79" s="2805"/>
      <c r="CPC79" s="2805"/>
      <c r="CPD79" s="2805"/>
      <c r="CPE79" s="2805"/>
      <c r="CPF79" s="2805"/>
      <c r="CPG79" s="2805"/>
      <c r="CPH79" s="2805"/>
      <c r="CPI79" s="2805"/>
      <c r="CPJ79" s="2805"/>
      <c r="CPK79" s="2805"/>
      <c r="CPL79" s="2805"/>
      <c r="CPM79" s="2805"/>
      <c r="CPN79" s="2805"/>
      <c r="CPO79" s="2805"/>
      <c r="CPP79" s="2805"/>
      <c r="CPQ79" s="2805"/>
      <c r="CPR79" s="2805"/>
      <c r="CPS79" s="2805"/>
      <c r="CPT79" s="2805"/>
      <c r="CPU79" s="2805"/>
      <c r="CPV79" s="2805"/>
      <c r="CPW79" s="2805"/>
      <c r="CPX79" s="2805"/>
      <c r="CPY79" s="2805"/>
      <c r="CPZ79" s="2805"/>
      <c r="CQA79" s="2805"/>
      <c r="CQB79" s="2805"/>
      <c r="CQC79" s="2805"/>
      <c r="CQD79" s="2805"/>
      <c r="CQE79" s="2805"/>
      <c r="CQF79" s="2805"/>
      <c r="CQG79" s="2805"/>
      <c r="CQH79" s="2805"/>
      <c r="CQI79" s="2805"/>
      <c r="CQJ79" s="2805"/>
      <c r="CQK79" s="2805"/>
      <c r="CQL79" s="2805"/>
      <c r="CQM79" s="2805"/>
      <c r="CQN79" s="2805"/>
      <c r="CQO79" s="2805"/>
      <c r="CQP79" s="2805"/>
      <c r="CQQ79" s="2805"/>
      <c r="CQR79" s="2805"/>
      <c r="CQS79" s="2805"/>
      <c r="CQT79" s="2805"/>
      <c r="CQU79" s="2805"/>
      <c r="CQV79" s="2805"/>
      <c r="CQW79" s="2805"/>
      <c r="CQX79" s="2805"/>
      <c r="CQY79" s="2805"/>
      <c r="CQZ79" s="2805"/>
      <c r="CRA79" s="2805"/>
      <c r="CRB79" s="2805"/>
      <c r="CRC79" s="2805"/>
      <c r="CRD79" s="2805"/>
      <c r="CRE79" s="2805"/>
      <c r="CRF79" s="2805"/>
      <c r="CRG79" s="2805"/>
      <c r="CRH79" s="2805"/>
      <c r="CRI79" s="2805"/>
      <c r="CRJ79" s="2805"/>
      <c r="CRK79" s="2805"/>
      <c r="CRL79" s="2805"/>
      <c r="CRM79" s="2805"/>
      <c r="CRN79" s="2805"/>
      <c r="CRO79" s="2805"/>
      <c r="CRP79" s="2805"/>
      <c r="CRQ79" s="2805"/>
      <c r="CRR79" s="2805"/>
      <c r="CRS79" s="2805"/>
      <c r="CRT79" s="2805"/>
      <c r="CRU79" s="2805"/>
      <c r="CRV79" s="2805"/>
      <c r="CRW79" s="2805"/>
      <c r="CRX79" s="2805"/>
      <c r="CRY79" s="2805"/>
      <c r="CRZ79" s="2805"/>
      <c r="CSA79" s="2805"/>
      <c r="CSB79" s="2805"/>
      <c r="CSC79" s="2805"/>
      <c r="CSD79" s="2805"/>
      <c r="CSE79" s="2805"/>
      <c r="CSF79" s="2805"/>
      <c r="CSG79" s="2805"/>
      <c r="CSH79" s="2805"/>
      <c r="CSI79" s="2805"/>
      <c r="CSJ79" s="2805"/>
      <c r="CSK79" s="2805"/>
      <c r="CSL79" s="2805"/>
      <c r="CSM79" s="2805"/>
      <c r="CSN79" s="2805"/>
      <c r="CSO79" s="2805"/>
      <c r="CSP79" s="2805"/>
      <c r="CSQ79" s="2805"/>
      <c r="CSR79" s="2805"/>
      <c r="CSS79" s="2805"/>
      <c r="CST79" s="2805"/>
      <c r="CSU79" s="2805"/>
      <c r="CSV79" s="2805"/>
      <c r="CSW79" s="2805"/>
      <c r="CSX79" s="2805"/>
      <c r="CSY79" s="2805"/>
      <c r="CSZ79" s="2805"/>
      <c r="CTA79" s="2805"/>
      <c r="CTB79" s="2805"/>
      <c r="CTC79" s="2805"/>
      <c r="CTD79" s="2805"/>
      <c r="CTE79" s="2805"/>
      <c r="CTF79" s="2805"/>
      <c r="CTG79" s="2805"/>
      <c r="CTH79" s="2805"/>
      <c r="CTI79" s="2805"/>
      <c r="CTJ79" s="2805"/>
      <c r="CTK79" s="2805"/>
      <c r="CTL79" s="2805"/>
      <c r="CTM79" s="2805"/>
      <c r="CTN79" s="2805"/>
      <c r="CTO79" s="2805"/>
      <c r="CTP79" s="2805"/>
      <c r="CTQ79" s="2805"/>
      <c r="CTR79" s="2805"/>
      <c r="CTS79" s="2805"/>
      <c r="CTT79" s="2805"/>
      <c r="CTU79" s="2805"/>
      <c r="CTV79" s="2805"/>
      <c r="CTW79" s="2805"/>
      <c r="CTX79" s="2805"/>
      <c r="CTY79" s="2805"/>
      <c r="CTZ79" s="2805"/>
      <c r="CUA79" s="2805"/>
      <c r="CUB79" s="2805"/>
      <c r="CUC79" s="2805"/>
      <c r="CUD79" s="2805"/>
      <c r="CUE79" s="2805"/>
      <c r="CUF79" s="2805"/>
      <c r="CUG79" s="2805"/>
      <c r="CUH79" s="2805"/>
      <c r="CUI79" s="2805"/>
      <c r="CUJ79" s="2805"/>
      <c r="CUK79" s="2805"/>
      <c r="CUL79" s="2805"/>
      <c r="CUM79" s="2805"/>
      <c r="CUN79" s="2805"/>
      <c r="CUO79" s="2805"/>
      <c r="CUP79" s="2805"/>
      <c r="CUQ79" s="2805"/>
      <c r="CUR79" s="2805"/>
      <c r="CUS79" s="2805"/>
      <c r="CUT79" s="2805"/>
      <c r="CUU79" s="2805"/>
      <c r="CUV79" s="2805"/>
      <c r="CUW79" s="2805"/>
      <c r="CUX79" s="2805"/>
      <c r="CUY79" s="2805"/>
      <c r="CUZ79" s="2805"/>
      <c r="CVA79" s="2805"/>
      <c r="CVB79" s="2805"/>
      <c r="CVC79" s="2805"/>
      <c r="CVD79" s="2805"/>
      <c r="CVE79" s="2805"/>
      <c r="CVF79" s="2805"/>
      <c r="CVG79" s="2805"/>
      <c r="CVH79" s="2805"/>
      <c r="CVI79" s="2805"/>
      <c r="CVJ79" s="2805"/>
      <c r="CVK79" s="2805"/>
      <c r="CVL79" s="2805"/>
      <c r="CVM79" s="2805"/>
      <c r="CVN79" s="2805"/>
      <c r="CVO79" s="2805"/>
      <c r="CVP79" s="2805"/>
      <c r="CVQ79" s="2805"/>
      <c r="CVR79" s="2805"/>
      <c r="CVS79" s="2805"/>
      <c r="CVT79" s="2805"/>
      <c r="CVU79" s="2805"/>
      <c r="CVV79" s="2805"/>
      <c r="CVW79" s="2805"/>
      <c r="CVX79" s="2805"/>
      <c r="CVY79" s="2805"/>
      <c r="CVZ79" s="2805"/>
      <c r="CWA79" s="2805"/>
      <c r="CWB79" s="2805"/>
      <c r="CWC79" s="2805"/>
      <c r="CWD79" s="2805"/>
      <c r="CWE79" s="2805"/>
      <c r="CWF79" s="2805"/>
      <c r="CWG79" s="2805"/>
      <c r="CWH79" s="2805"/>
      <c r="CWI79" s="2805"/>
      <c r="CWJ79" s="2805"/>
      <c r="CWK79" s="2805"/>
      <c r="CWL79" s="2805"/>
      <c r="CWM79" s="2805"/>
      <c r="CWN79" s="2805"/>
      <c r="CWO79" s="2805"/>
      <c r="CWP79" s="2805"/>
      <c r="CWQ79" s="2805"/>
      <c r="CWR79" s="2805"/>
      <c r="CWS79" s="2805"/>
      <c r="CWT79" s="2805"/>
      <c r="CWU79" s="2805"/>
      <c r="CWV79" s="2805"/>
      <c r="CWW79" s="2805"/>
      <c r="CWX79" s="2805"/>
      <c r="CWY79" s="2805"/>
      <c r="CWZ79" s="2805"/>
      <c r="CXA79" s="2805"/>
      <c r="CXB79" s="2805"/>
      <c r="CXC79" s="2805"/>
      <c r="CXD79" s="2805"/>
      <c r="CXE79" s="2805"/>
      <c r="CXF79" s="2805"/>
      <c r="CXG79" s="2805"/>
      <c r="CXH79" s="2805"/>
      <c r="CXI79" s="2805"/>
      <c r="CXJ79" s="2805"/>
      <c r="CXK79" s="2805"/>
      <c r="CXL79" s="2805"/>
      <c r="CXM79" s="2805"/>
      <c r="CXN79" s="2805"/>
      <c r="CXO79" s="2805"/>
      <c r="CXP79" s="2805"/>
      <c r="CXQ79" s="2805"/>
      <c r="CXR79" s="2805"/>
      <c r="CXS79" s="2805"/>
      <c r="CXT79" s="2805"/>
      <c r="CXU79" s="2805"/>
      <c r="CXV79" s="2805"/>
      <c r="CXW79" s="2805"/>
      <c r="CXX79" s="2805"/>
      <c r="CXY79" s="2805"/>
      <c r="CXZ79" s="2805"/>
      <c r="CYA79" s="2805"/>
      <c r="CYB79" s="2805"/>
      <c r="CYC79" s="2805"/>
      <c r="CYD79" s="2805"/>
      <c r="CYE79" s="2805"/>
      <c r="CYF79" s="2805"/>
      <c r="CYG79" s="2805"/>
      <c r="CYH79" s="2805"/>
      <c r="CYI79" s="2805"/>
      <c r="CYJ79" s="2805"/>
      <c r="CYK79" s="2805"/>
      <c r="CYL79" s="2805"/>
      <c r="CYM79" s="2805"/>
      <c r="CYN79" s="2805"/>
      <c r="CYO79" s="2805"/>
      <c r="CYP79" s="2805"/>
      <c r="CYQ79" s="2805"/>
      <c r="CYR79" s="2805"/>
      <c r="CYS79" s="2805"/>
      <c r="CYT79" s="2805"/>
      <c r="CYU79" s="2805"/>
      <c r="CYV79" s="2805"/>
      <c r="CYW79" s="2805"/>
      <c r="CYX79" s="2805"/>
      <c r="CYY79" s="2805"/>
      <c r="CYZ79" s="2805"/>
      <c r="CZA79" s="2805"/>
      <c r="CZB79" s="2805"/>
      <c r="CZC79" s="2805"/>
      <c r="CZD79" s="2805"/>
      <c r="CZE79" s="2805"/>
      <c r="CZF79" s="2805"/>
      <c r="CZG79" s="2805"/>
      <c r="CZH79" s="2805"/>
      <c r="CZI79" s="2805"/>
      <c r="CZJ79" s="2805"/>
      <c r="CZK79" s="2805"/>
      <c r="CZL79" s="2805"/>
      <c r="CZM79" s="2805"/>
      <c r="CZN79" s="2805"/>
      <c r="CZO79" s="2805"/>
      <c r="CZP79" s="2805"/>
      <c r="CZQ79" s="2805"/>
      <c r="CZR79" s="2805"/>
      <c r="CZS79" s="2805"/>
      <c r="CZT79" s="2805"/>
      <c r="CZU79" s="2805"/>
      <c r="CZV79" s="2805"/>
      <c r="CZW79" s="2805"/>
      <c r="CZX79" s="2805"/>
      <c r="CZY79" s="2805"/>
      <c r="CZZ79" s="2805"/>
      <c r="DAA79" s="2805"/>
      <c r="DAB79" s="2805"/>
      <c r="DAC79" s="2805"/>
      <c r="DAD79" s="2805"/>
      <c r="DAE79" s="2805"/>
      <c r="DAF79" s="2805"/>
      <c r="DAG79" s="2805"/>
      <c r="DAH79" s="2805"/>
      <c r="DAI79" s="2805"/>
      <c r="DAJ79" s="2805"/>
      <c r="DAK79" s="2805"/>
      <c r="DAL79" s="2805"/>
      <c r="DAM79" s="2805"/>
      <c r="DAN79" s="2805"/>
      <c r="DAO79" s="2805"/>
      <c r="DAP79" s="2805"/>
      <c r="DAQ79" s="2805"/>
      <c r="DAR79" s="2805"/>
      <c r="DAS79" s="2805"/>
      <c r="DAT79" s="2805"/>
      <c r="DAU79" s="2805"/>
      <c r="DAV79" s="2805"/>
      <c r="DAW79" s="2805"/>
      <c r="DAX79" s="2805"/>
      <c r="DAY79" s="2805"/>
      <c r="DAZ79" s="2805"/>
      <c r="DBA79" s="2805"/>
      <c r="DBB79" s="2805"/>
      <c r="DBC79" s="2805"/>
      <c r="DBD79" s="2805"/>
      <c r="DBE79" s="2805"/>
      <c r="DBF79" s="2805"/>
      <c r="DBG79" s="2805"/>
      <c r="DBH79" s="2805"/>
      <c r="DBI79" s="2805"/>
      <c r="DBJ79" s="2805"/>
      <c r="DBK79" s="2805"/>
      <c r="DBL79" s="2805"/>
      <c r="DBM79" s="2805"/>
      <c r="DBN79" s="2805"/>
      <c r="DBO79" s="2805"/>
      <c r="DBP79" s="2805"/>
      <c r="DBQ79" s="2805"/>
      <c r="DBR79" s="2805"/>
      <c r="DBS79" s="2805"/>
      <c r="DBT79" s="2805"/>
      <c r="DBU79" s="2805"/>
      <c r="DBV79" s="2805"/>
      <c r="DBW79" s="2805"/>
      <c r="DBX79" s="2805"/>
      <c r="DBY79" s="2805"/>
      <c r="DBZ79" s="2805"/>
      <c r="DCA79" s="2805"/>
      <c r="DCB79" s="2805"/>
      <c r="DCC79" s="2805"/>
      <c r="DCD79" s="2805"/>
      <c r="DCE79" s="2805"/>
      <c r="DCF79" s="2805"/>
      <c r="DCG79" s="2805"/>
      <c r="DCH79" s="2805"/>
      <c r="DCI79" s="2805"/>
      <c r="DCJ79" s="2805"/>
      <c r="DCK79" s="2805"/>
      <c r="DCL79" s="2805"/>
      <c r="DCM79" s="2805"/>
      <c r="DCN79" s="2805"/>
      <c r="DCO79" s="2805"/>
      <c r="DCP79" s="2805"/>
      <c r="DCQ79" s="2805"/>
      <c r="DCR79" s="2805"/>
      <c r="DCS79" s="2805"/>
      <c r="DCT79" s="2805"/>
      <c r="DCU79" s="2805"/>
      <c r="DCV79" s="2805"/>
      <c r="DCW79" s="2805"/>
      <c r="DCX79" s="2805"/>
      <c r="DCY79" s="2805"/>
      <c r="DCZ79" s="2805"/>
      <c r="DDA79" s="2805"/>
      <c r="DDB79" s="2805"/>
      <c r="DDC79" s="2805"/>
      <c r="DDD79" s="2805"/>
      <c r="DDE79" s="2805"/>
      <c r="DDF79" s="2805"/>
      <c r="DDG79" s="2805"/>
      <c r="DDH79" s="2805"/>
      <c r="DDI79" s="2805"/>
      <c r="DDJ79" s="2805"/>
      <c r="DDK79" s="2805"/>
      <c r="DDL79" s="2805"/>
      <c r="DDM79" s="2805"/>
      <c r="DDN79" s="2805"/>
      <c r="DDO79" s="2805"/>
      <c r="DDP79" s="2805"/>
      <c r="DDQ79" s="2805"/>
      <c r="DDR79" s="2805"/>
      <c r="DDS79" s="2805"/>
      <c r="DDT79" s="2805"/>
      <c r="DDU79" s="2805"/>
      <c r="DDV79" s="2805"/>
      <c r="DDW79" s="2805"/>
      <c r="DDX79" s="2805"/>
      <c r="DDY79" s="2805"/>
      <c r="DDZ79" s="2805"/>
      <c r="DEA79" s="2805"/>
      <c r="DEB79" s="2805"/>
      <c r="DEC79" s="2805"/>
      <c r="DED79" s="2805"/>
      <c r="DEE79" s="2805"/>
      <c r="DEF79" s="2805"/>
      <c r="DEG79" s="2805"/>
      <c r="DEH79" s="2805"/>
      <c r="DEI79" s="2805"/>
      <c r="DEJ79" s="2805"/>
      <c r="DEK79" s="2805"/>
      <c r="DEL79" s="2805"/>
      <c r="DEM79" s="2805"/>
      <c r="DEN79" s="2805"/>
      <c r="DEO79" s="2805"/>
      <c r="DEP79" s="2805"/>
      <c r="DEQ79" s="2805"/>
      <c r="DER79" s="2805"/>
      <c r="DES79" s="2805"/>
      <c r="DET79" s="2805"/>
      <c r="DEU79" s="2805"/>
      <c r="DEV79" s="2805"/>
      <c r="DEW79" s="2805"/>
      <c r="DEX79" s="2805"/>
      <c r="DEY79" s="2805"/>
      <c r="DEZ79" s="2805"/>
      <c r="DFA79" s="2805"/>
      <c r="DFB79" s="2805"/>
      <c r="DFC79" s="2805"/>
      <c r="DFD79" s="2805"/>
      <c r="DFE79" s="2805"/>
      <c r="DFF79" s="2805"/>
      <c r="DFG79" s="2805"/>
      <c r="DFH79" s="2805"/>
      <c r="DFI79" s="2805"/>
      <c r="DFJ79" s="2805"/>
      <c r="DFK79" s="2805"/>
      <c r="DFL79" s="2805"/>
      <c r="DFM79" s="2805"/>
      <c r="DFN79" s="2805"/>
      <c r="DFO79" s="2805"/>
      <c r="DFP79" s="2805"/>
      <c r="DFQ79" s="2805"/>
      <c r="DFR79" s="2805"/>
      <c r="DFS79" s="2805"/>
      <c r="DFT79" s="2805"/>
      <c r="DFU79" s="2805"/>
      <c r="DFV79" s="2805"/>
      <c r="DFW79" s="2805"/>
      <c r="DFX79" s="2805"/>
      <c r="DFY79" s="2805"/>
      <c r="DFZ79" s="2805"/>
      <c r="DGA79" s="2805"/>
      <c r="DGB79" s="2805"/>
      <c r="DGC79" s="2805"/>
      <c r="DGD79" s="2805"/>
      <c r="DGE79" s="2805"/>
      <c r="DGF79" s="2805"/>
      <c r="DGG79" s="2805"/>
      <c r="DGH79" s="2805"/>
      <c r="DGI79" s="2805"/>
      <c r="DGJ79" s="2805"/>
      <c r="DGK79" s="2805"/>
      <c r="DGL79" s="2805"/>
      <c r="DGM79" s="2805"/>
      <c r="DGN79" s="2805"/>
      <c r="DGO79" s="2805"/>
      <c r="DGP79" s="2805"/>
      <c r="DGQ79" s="2805"/>
      <c r="DGR79" s="2805"/>
      <c r="DGS79" s="2805"/>
      <c r="DGT79" s="2805"/>
      <c r="DGU79" s="2805"/>
      <c r="DGV79" s="2805"/>
      <c r="DGW79" s="2805"/>
      <c r="DGX79" s="2805"/>
      <c r="DGY79" s="2805"/>
      <c r="DGZ79" s="2805"/>
      <c r="DHA79" s="2805"/>
      <c r="DHB79" s="2805"/>
      <c r="DHC79" s="2805"/>
      <c r="DHD79" s="2805"/>
      <c r="DHE79" s="2805"/>
      <c r="DHF79" s="2805"/>
      <c r="DHG79" s="2805"/>
      <c r="DHH79" s="2805"/>
      <c r="DHI79" s="2805"/>
      <c r="DHJ79" s="2805"/>
      <c r="DHK79" s="2805"/>
      <c r="DHL79" s="2805"/>
      <c r="DHM79" s="2805"/>
      <c r="DHN79" s="2805"/>
      <c r="DHO79" s="2805"/>
      <c r="DHP79" s="2805"/>
      <c r="DHQ79" s="2805"/>
      <c r="DHR79" s="2805"/>
      <c r="DHS79" s="2805"/>
      <c r="DHT79" s="2805"/>
      <c r="DHU79" s="2805"/>
      <c r="DHV79" s="2805"/>
      <c r="DHW79" s="2805"/>
      <c r="DHX79" s="2805"/>
      <c r="DHY79" s="2805"/>
      <c r="DHZ79" s="2805"/>
      <c r="DIA79" s="2805"/>
      <c r="DIB79" s="2805"/>
      <c r="DIC79" s="2805"/>
      <c r="DID79" s="2805"/>
      <c r="DIE79" s="2805"/>
      <c r="DIF79" s="2805"/>
      <c r="DIG79" s="2805"/>
      <c r="DIH79" s="2805"/>
      <c r="DII79" s="2805"/>
      <c r="DIJ79" s="2805"/>
      <c r="DIK79" s="2805"/>
      <c r="DIL79" s="2805"/>
      <c r="DIM79" s="2805"/>
      <c r="DIN79" s="2805"/>
      <c r="DIO79" s="2805"/>
      <c r="DIP79" s="2805"/>
      <c r="DIQ79" s="2805"/>
      <c r="DIR79" s="2805"/>
      <c r="DIS79" s="2805"/>
      <c r="DIT79" s="2805"/>
      <c r="DIU79" s="2805"/>
      <c r="DIV79" s="2805"/>
      <c r="DIW79" s="2805"/>
      <c r="DIX79" s="2805"/>
      <c r="DIY79" s="2805"/>
      <c r="DIZ79" s="2805"/>
      <c r="DJA79" s="2805"/>
      <c r="DJB79" s="2805"/>
      <c r="DJC79" s="2805"/>
      <c r="DJD79" s="2805"/>
      <c r="DJE79" s="2805"/>
      <c r="DJF79" s="2805"/>
      <c r="DJG79" s="2805"/>
      <c r="DJH79" s="2805"/>
      <c r="DJI79" s="2805"/>
      <c r="DJJ79" s="2805"/>
      <c r="DJK79" s="2805"/>
      <c r="DJL79" s="2805"/>
      <c r="DJM79" s="2805"/>
      <c r="DJN79" s="2805"/>
      <c r="DJO79" s="2805"/>
      <c r="DJP79" s="2805"/>
      <c r="DJQ79" s="2805"/>
      <c r="DJR79" s="2805"/>
      <c r="DJS79" s="2805"/>
      <c r="DJT79" s="2805"/>
      <c r="DJU79" s="2805"/>
      <c r="DJV79" s="2805"/>
      <c r="DJW79" s="2805"/>
      <c r="DJX79" s="2805"/>
      <c r="DJY79" s="2805"/>
      <c r="DJZ79" s="2805"/>
      <c r="DKA79" s="2805"/>
      <c r="DKB79" s="2805"/>
      <c r="DKC79" s="2805"/>
      <c r="DKD79" s="2805"/>
      <c r="DKE79" s="2805"/>
      <c r="DKF79" s="2805"/>
      <c r="DKG79" s="2805"/>
      <c r="DKH79" s="2805"/>
      <c r="DKI79" s="2805"/>
      <c r="DKJ79" s="2805"/>
      <c r="DKK79" s="2805"/>
      <c r="DKL79" s="2805"/>
      <c r="DKM79" s="2805"/>
      <c r="DKN79" s="2805"/>
      <c r="DKO79" s="2805"/>
      <c r="DKP79" s="2805"/>
      <c r="DKQ79" s="2805"/>
      <c r="DKR79" s="2805"/>
      <c r="DKS79" s="2805"/>
      <c r="DKT79" s="2805"/>
      <c r="DKU79" s="2805"/>
      <c r="DKV79" s="2805"/>
      <c r="DKW79" s="2805"/>
      <c r="DKX79" s="2805"/>
      <c r="DKY79" s="2805"/>
      <c r="DKZ79" s="2805"/>
      <c r="DLA79" s="2805"/>
      <c r="DLB79" s="2805"/>
      <c r="DLC79" s="2805"/>
      <c r="DLD79" s="2805"/>
      <c r="DLE79" s="2805"/>
      <c r="DLF79" s="2805"/>
      <c r="DLG79" s="2805"/>
      <c r="DLH79" s="2805"/>
      <c r="DLI79" s="2805"/>
      <c r="DLJ79" s="2805"/>
      <c r="DLK79" s="2805"/>
      <c r="DLL79" s="2805"/>
      <c r="DLM79" s="2805"/>
      <c r="DLN79" s="2805"/>
      <c r="DLO79" s="2805"/>
      <c r="DLP79" s="2805"/>
      <c r="DLQ79" s="2805"/>
      <c r="DLR79" s="2805"/>
      <c r="DLS79" s="2805"/>
      <c r="DLT79" s="2805"/>
      <c r="DLU79" s="2805"/>
      <c r="DLV79" s="2805"/>
      <c r="DLW79" s="2805"/>
      <c r="DLX79" s="2805"/>
      <c r="DLY79" s="2805"/>
      <c r="DLZ79" s="2805"/>
      <c r="DMA79" s="2805"/>
      <c r="DMB79" s="2805"/>
      <c r="DMC79" s="2805"/>
      <c r="DMD79" s="2805"/>
      <c r="DME79" s="2805"/>
      <c r="DMF79" s="2805"/>
      <c r="DMG79" s="2805"/>
      <c r="DMH79" s="2805"/>
      <c r="DMI79" s="2805"/>
      <c r="DMJ79" s="2805"/>
      <c r="DMK79" s="2805"/>
      <c r="DML79" s="2805"/>
      <c r="DMM79" s="2805"/>
      <c r="DMN79" s="2805"/>
      <c r="DMO79" s="2805"/>
      <c r="DMP79" s="2805"/>
      <c r="DMQ79" s="2805"/>
      <c r="DMR79" s="2805"/>
      <c r="DMS79" s="2805"/>
      <c r="DMT79" s="2805"/>
      <c r="DMU79" s="2805"/>
      <c r="DMV79" s="2805"/>
      <c r="DMW79" s="2805"/>
      <c r="DMX79" s="2805"/>
      <c r="DMY79" s="2805"/>
      <c r="DMZ79" s="2805"/>
      <c r="DNA79" s="2805"/>
      <c r="DNB79" s="2805"/>
      <c r="DNC79" s="2805"/>
      <c r="DND79" s="2805"/>
      <c r="DNE79" s="2805"/>
      <c r="DNF79" s="2805"/>
      <c r="DNG79" s="2805"/>
      <c r="DNH79" s="2805"/>
      <c r="DNI79" s="2805"/>
      <c r="DNJ79" s="2805"/>
      <c r="DNK79" s="2805"/>
      <c r="DNL79" s="2805"/>
      <c r="DNM79" s="2805"/>
      <c r="DNN79" s="2805"/>
      <c r="DNO79" s="2805"/>
      <c r="DNP79" s="2805"/>
      <c r="DNQ79" s="2805"/>
      <c r="DNR79" s="2805"/>
      <c r="DNS79" s="2805"/>
      <c r="DNT79" s="2805"/>
      <c r="DNU79" s="2805"/>
      <c r="DNV79" s="2805"/>
      <c r="DNW79" s="2805"/>
      <c r="DNX79" s="2805"/>
      <c r="DNY79" s="2805"/>
      <c r="DNZ79" s="2805"/>
      <c r="DOA79" s="2805"/>
      <c r="DOB79" s="2805"/>
      <c r="DOC79" s="2805"/>
      <c r="DOD79" s="2805"/>
      <c r="DOE79" s="2805"/>
      <c r="DOF79" s="2805"/>
      <c r="DOG79" s="2805"/>
      <c r="DOH79" s="2805"/>
      <c r="DOI79" s="2805"/>
      <c r="DOJ79" s="2805"/>
      <c r="DOK79" s="2805"/>
      <c r="DOL79" s="2805"/>
      <c r="DOM79" s="2805"/>
      <c r="DON79" s="2805"/>
      <c r="DOO79" s="2805"/>
      <c r="DOP79" s="2805"/>
      <c r="DOQ79" s="2805"/>
      <c r="DOR79" s="2805"/>
      <c r="DOS79" s="2805"/>
      <c r="DOT79" s="2805"/>
      <c r="DOU79" s="2805"/>
      <c r="DOV79" s="2805"/>
      <c r="DOW79" s="2805"/>
      <c r="DOX79" s="2805"/>
      <c r="DOY79" s="2805"/>
      <c r="DOZ79" s="2805"/>
      <c r="DPA79" s="2805"/>
      <c r="DPB79" s="2805"/>
      <c r="DPC79" s="2805"/>
      <c r="DPD79" s="2805"/>
      <c r="DPE79" s="2805"/>
      <c r="DPF79" s="2805"/>
      <c r="DPG79" s="2805"/>
      <c r="DPH79" s="2805"/>
      <c r="DPI79" s="2805"/>
      <c r="DPJ79" s="2805"/>
      <c r="DPK79" s="2805"/>
      <c r="DPL79" s="2805"/>
      <c r="DPM79" s="2805"/>
      <c r="DPN79" s="2805"/>
      <c r="DPO79" s="2805"/>
      <c r="DPP79" s="2805"/>
      <c r="DPQ79" s="2805"/>
      <c r="DPR79" s="2805"/>
      <c r="DPS79" s="2805"/>
      <c r="DPT79" s="2805"/>
      <c r="DPU79" s="2805"/>
      <c r="DPV79" s="2805"/>
      <c r="DPW79" s="2805"/>
      <c r="DPX79" s="2805"/>
      <c r="DPY79" s="2805"/>
      <c r="DPZ79" s="2805"/>
      <c r="DQA79" s="2805"/>
      <c r="DQB79" s="2805"/>
      <c r="DQC79" s="2805"/>
      <c r="DQD79" s="2805"/>
      <c r="DQE79" s="2805"/>
      <c r="DQF79" s="2805"/>
      <c r="DQG79" s="2805"/>
      <c r="DQH79" s="2805"/>
      <c r="DQI79" s="2805"/>
      <c r="DQJ79" s="2805"/>
      <c r="DQK79" s="2805"/>
      <c r="DQL79" s="2805"/>
      <c r="DQM79" s="2805"/>
      <c r="DQN79" s="2805"/>
      <c r="DQO79" s="2805"/>
      <c r="DQP79" s="2805"/>
      <c r="DQQ79" s="2805"/>
      <c r="DQR79" s="2805"/>
      <c r="DQS79" s="2805"/>
      <c r="DQT79" s="2805"/>
      <c r="DQU79" s="2805"/>
      <c r="DQV79" s="2805"/>
      <c r="DQW79" s="2805"/>
      <c r="DQX79" s="2805"/>
      <c r="DQY79" s="2805"/>
      <c r="DQZ79" s="2805"/>
      <c r="DRA79" s="2805"/>
      <c r="DRB79" s="2805"/>
      <c r="DRC79" s="2805"/>
      <c r="DRD79" s="2805"/>
      <c r="DRE79" s="2805"/>
      <c r="DRF79" s="2805"/>
      <c r="DRG79" s="2805"/>
      <c r="DRH79" s="2805"/>
      <c r="DRI79" s="2805"/>
      <c r="DRJ79" s="2805"/>
      <c r="DRK79" s="2805"/>
      <c r="DRL79" s="2805"/>
      <c r="DRM79" s="2805"/>
      <c r="DRN79" s="2805"/>
      <c r="DRO79" s="2805"/>
      <c r="DRP79" s="2805"/>
      <c r="DRQ79" s="2805"/>
      <c r="DRR79" s="2805"/>
      <c r="DRS79" s="2805"/>
      <c r="DRT79" s="2805"/>
      <c r="DRU79" s="2805"/>
      <c r="DRV79" s="2805"/>
      <c r="DRW79" s="2805"/>
      <c r="DRX79" s="2805"/>
      <c r="DRY79" s="2805"/>
      <c r="DRZ79" s="2805"/>
      <c r="DSA79" s="2805"/>
      <c r="DSB79" s="2805"/>
      <c r="DSC79" s="2805"/>
      <c r="DSD79" s="2805"/>
      <c r="DSE79" s="2805"/>
      <c r="DSF79" s="2805"/>
      <c r="DSG79" s="2805"/>
      <c r="DSH79" s="2805"/>
      <c r="DSI79" s="2805"/>
      <c r="DSJ79" s="2805"/>
      <c r="DSK79" s="2805"/>
      <c r="DSL79" s="2805"/>
      <c r="DSM79" s="2805"/>
      <c r="DSN79" s="2805"/>
      <c r="DSO79" s="2805"/>
      <c r="DSP79" s="2805"/>
      <c r="DSQ79" s="2805"/>
      <c r="DSR79" s="2805"/>
      <c r="DSS79" s="2805"/>
      <c r="DST79" s="2805"/>
      <c r="DSU79" s="2805"/>
      <c r="DSV79" s="2805"/>
      <c r="DSW79" s="2805"/>
      <c r="DSX79" s="2805"/>
      <c r="DSY79" s="2805"/>
      <c r="DSZ79" s="2805"/>
      <c r="DTA79" s="2805"/>
      <c r="DTB79" s="2805"/>
      <c r="DTC79" s="2805"/>
      <c r="DTD79" s="2805"/>
      <c r="DTE79" s="2805"/>
      <c r="DTF79" s="2805"/>
      <c r="DTG79" s="2805"/>
      <c r="DTH79" s="2805"/>
      <c r="DTI79" s="2805"/>
      <c r="DTJ79" s="2805"/>
      <c r="DTK79" s="2805"/>
      <c r="DTL79" s="2805"/>
      <c r="DTM79" s="2805"/>
      <c r="DTN79" s="2805"/>
      <c r="DTO79" s="2805"/>
      <c r="DTP79" s="2805"/>
      <c r="DTQ79" s="2805"/>
      <c r="DTR79" s="2805"/>
      <c r="DTS79" s="2805"/>
      <c r="DTT79" s="2805"/>
      <c r="DTU79" s="2805"/>
      <c r="DTV79" s="2805"/>
      <c r="DTW79" s="2805"/>
      <c r="DTX79" s="2805"/>
      <c r="DTY79" s="2805"/>
      <c r="DTZ79" s="2805"/>
      <c r="DUA79" s="2805"/>
      <c r="DUB79" s="2805"/>
      <c r="DUC79" s="2805"/>
      <c r="DUD79" s="2805"/>
      <c r="DUE79" s="2805"/>
      <c r="DUF79" s="2805"/>
      <c r="DUG79" s="2805"/>
      <c r="DUH79" s="2805"/>
      <c r="DUI79" s="2805"/>
      <c r="DUJ79" s="2805"/>
      <c r="DUK79" s="2805"/>
      <c r="DUL79" s="2805"/>
      <c r="DUM79" s="2805"/>
      <c r="DUN79" s="2805"/>
      <c r="DUO79" s="2805"/>
      <c r="DUP79" s="2805"/>
      <c r="DUQ79" s="2805"/>
      <c r="DUR79" s="2805"/>
      <c r="DUS79" s="2805"/>
      <c r="DUT79" s="2805"/>
      <c r="DUU79" s="2805"/>
      <c r="DUV79" s="2805"/>
      <c r="DUW79" s="2805"/>
      <c r="DUX79" s="2805"/>
      <c r="DUY79" s="2805"/>
      <c r="DUZ79" s="2805"/>
      <c r="DVA79" s="2805"/>
      <c r="DVB79" s="2805"/>
      <c r="DVC79" s="2805"/>
      <c r="DVD79" s="2805"/>
      <c r="DVE79" s="2805"/>
      <c r="DVF79" s="2805"/>
      <c r="DVG79" s="2805"/>
      <c r="DVH79" s="2805"/>
      <c r="DVI79" s="2805"/>
      <c r="DVJ79" s="2805"/>
      <c r="DVK79" s="2805"/>
      <c r="DVL79" s="2805"/>
      <c r="DVM79" s="2805"/>
      <c r="DVN79" s="2805"/>
      <c r="DVO79" s="2805"/>
      <c r="DVP79" s="2805"/>
      <c r="DVQ79" s="2805"/>
      <c r="DVR79" s="2805"/>
      <c r="DVS79" s="2805"/>
      <c r="DVT79" s="2805"/>
      <c r="DVU79" s="2805"/>
      <c r="DVV79" s="2805"/>
      <c r="DVW79" s="2805"/>
      <c r="DVX79" s="2805"/>
      <c r="DVY79" s="2805"/>
      <c r="DVZ79" s="2805"/>
      <c r="DWA79" s="2805"/>
      <c r="DWB79" s="2805"/>
      <c r="DWC79" s="2805"/>
      <c r="DWD79" s="2805"/>
      <c r="DWE79" s="2805"/>
      <c r="DWF79" s="2805"/>
      <c r="DWG79" s="2805"/>
      <c r="DWH79" s="2805"/>
      <c r="DWI79" s="2805"/>
      <c r="DWJ79" s="2805"/>
      <c r="DWK79" s="2805"/>
      <c r="DWL79" s="2805"/>
      <c r="DWM79" s="2805"/>
      <c r="DWN79" s="2805"/>
      <c r="DWO79" s="2805"/>
      <c r="DWP79" s="2805"/>
      <c r="DWQ79" s="2805"/>
      <c r="DWR79" s="2805"/>
      <c r="DWS79" s="2805"/>
      <c r="DWT79" s="2805"/>
      <c r="DWU79" s="2805"/>
      <c r="DWV79" s="2805"/>
      <c r="DWW79" s="2805"/>
      <c r="DWX79" s="2805"/>
      <c r="DWY79" s="2805"/>
      <c r="DWZ79" s="2805"/>
      <c r="DXA79" s="2805"/>
      <c r="DXB79" s="2805"/>
      <c r="DXC79" s="2805"/>
      <c r="DXD79" s="2805"/>
      <c r="DXE79" s="2805"/>
      <c r="DXF79" s="2805"/>
      <c r="DXG79" s="2805"/>
      <c r="DXH79" s="2805"/>
      <c r="DXI79" s="2805"/>
      <c r="DXJ79" s="2805"/>
      <c r="DXK79" s="2805"/>
      <c r="DXL79" s="2805"/>
      <c r="DXM79" s="2805"/>
      <c r="DXN79" s="2805"/>
      <c r="DXO79" s="2805"/>
      <c r="DXP79" s="2805"/>
      <c r="DXQ79" s="2805"/>
      <c r="DXR79" s="2805"/>
      <c r="DXS79" s="2805"/>
      <c r="DXT79" s="2805"/>
      <c r="DXU79" s="2805"/>
      <c r="DXV79" s="2805"/>
      <c r="DXW79" s="2805"/>
      <c r="DXX79" s="2805"/>
      <c r="DXY79" s="2805"/>
      <c r="DXZ79" s="2805"/>
      <c r="DYA79" s="2805"/>
      <c r="DYB79" s="2805"/>
      <c r="DYC79" s="2805"/>
      <c r="DYD79" s="2805"/>
      <c r="DYE79" s="2805"/>
      <c r="DYF79" s="2805"/>
      <c r="DYG79" s="2805"/>
      <c r="DYH79" s="2805"/>
      <c r="DYI79" s="2805"/>
      <c r="DYJ79" s="2805"/>
      <c r="DYK79" s="2805"/>
      <c r="DYL79" s="2805"/>
      <c r="DYM79" s="2805"/>
      <c r="DYN79" s="2805"/>
      <c r="DYO79" s="2805"/>
      <c r="DYP79" s="2805"/>
      <c r="DYQ79" s="2805"/>
      <c r="DYR79" s="2805"/>
      <c r="DYS79" s="2805"/>
      <c r="DYT79" s="2805"/>
      <c r="DYU79" s="2805"/>
      <c r="DYV79" s="2805"/>
      <c r="DYW79" s="2805"/>
      <c r="DYX79" s="2805"/>
      <c r="DYY79" s="2805"/>
      <c r="DYZ79" s="2805"/>
      <c r="DZA79" s="2805"/>
      <c r="DZB79" s="2805"/>
      <c r="DZC79" s="2805"/>
      <c r="DZD79" s="2805"/>
      <c r="DZE79" s="2805"/>
      <c r="DZF79" s="2805"/>
      <c r="DZG79" s="2805"/>
      <c r="DZH79" s="2805"/>
      <c r="DZI79" s="2805"/>
      <c r="DZJ79" s="2805"/>
      <c r="DZK79" s="2805"/>
      <c r="DZL79" s="2805"/>
      <c r="DZM79" s="2805"/>
      <c r="DZN79" s="2805"/>
      <c r="DZO79" s="2805"/>
      <c r="DZP79" s="2805"/>
      <c r="DZQ79" s="2805"/>
      <c r="DZR79" s="2805"/>
      <c r="DZS79" s="2805"/>
      <c r="DZT79" s="2805"/>
      <c r="DZU79" s="2805"/>
      <c r="DZV79" s="2805"/>
      <c r="DZW79" s="2805"/>
      <c r="DZX79" s="2805"/>
      <c r="DZY79" s="2805"/>
      <c r="DZZ79" s="2805"/>
      <c r="EAA79" s="2805"/>
      <c r="EAB79" s="2805"/>
      <c r="EAC79" s="2805"/>
      <c r="EAD79" s="2805"/>
      <c r="EAE79" s="2805"/>
      <c r="EAF79" s="2805"/>
      <c r="EAG79" s="2805"/>
      <c r="EAH79" s="2805"/>
      <c r="EAI79" s="2805"/>
      <c r="EAJ79" s="2805"/>
      <c r="EAK79" s="2805"/>
      <c r="EAL79" s="2805"/>
      <c r="EAM79" s="2805"/>
      <c r="EAN79" s="2805"/>
      <c r="EAO79" s="2805"/>
      <c r="EAP79" s="2805"/>
      <c r="EAQ79" s="2805"/>
      <c r="EAR79" s="2805"/>
      <c r="EAS79" s="2805"/>
      <c r="EAT79" s="2805"/>
      <c r="EAU79" s="2805"/>
      <c r="EAV79" s="2805"/>
      <c r="EAW79" s="2805"/>
      <c r="EAX79" s="2805"/>
      <c r="EAY79" s="2805"/>
      <c r="EAZ79" s="2805"/>
      <c r="EBA79" s="2805"/>
      <c r="EBB79" s="2805"/>
      <c r="EBC79" s="2805"/>
      <c r="EBD79" s="2805"/>
      <c r="EBE79" s="2805"/>
      <c r="EBF79" s="2805"/>
      <c r="EBG79" s="2805"/>
      <c r="EBH79" s="2805"/>
      <c r="EBI79" s="2805"/>
      <c r="EBJ79" s="2805"/>
      <c r="EBK79" s="2805"/>
      <c r="EBL79" s="2805"/>
      <c r="EBM79" s="2805"/>
      <c r="EBN79" s="2805"/>
      <c r="EBO79" s="2805"/>
      <c r="EBP79" s="2805"/>
      <c r="EBQ79" s="2805"/>
      <c r="EBR79" s="2805"/>
      <c r="EBS79" s="2805"/>
      <c r="EBT79" s="2805"/>
      <c r="EBU79" s="2805"/>
      <c r="EBV79" s="2805"/>
      <c r="EBW79" s="2805"/>
      <c r="EBX79" s="2805"/>
      <c r="EBY79" s="2805"/>
      <c r="EBZ79" s="2805"/>
      <c r="ECA79" s="2805"/>
      <c r="ECB79" s="2805"/>
      <c r="ECC79" s="2805"/>
      <c r="ECD79" s="2805"/>
      <c r="ECE79" s="2805"/>
      <c r="ECF79" s="2805"/>
      <c r="ECG79" s="2805"/>
      <c r="ECH79" s="2805"/>
      <c r="ECI79" s="2805"/>
      <c r="ECJ79" s="2805"/>
      <c r="ECK79" s="2805"/>
      <c r="ECL79" s="2805"/>
      <c r="ECM79" s="2805"/>
      <c r="ECN79" s="2805"/>
      <c r="ECO79" s="2805"/>
      <c r="ECP79" s="2805"/>
      <c r="ECQ79" s="2805"/>
      <c r="ECR79" s="2805"/>
      <c r="ECS79" s="2805"/>
      <c r="ECT79" s="2805"/>
      <c r="ECU79" s="2805"/>
      <c r="ECV79" s="2805"/>
      <c r="ECW79" s="2805"/>
      <c r="ECX79" s="2805"/>
      <c r="ECY79" s="2805"/>
      <c r="ECZ79" s="2805"/>
      <c r="EDA79" s="2805"/>
      <c r="EDB79" s="2805"/>
      <c r="EDC79" s="2805"/>
      <c r="EDD79" s="2805"/>
      <c r="EDE79" s="2805"/>
      <c r="EDF79" s="2805"/>
      <c r="EDG79" s="2805"/>
      <c r="EDH79" s="2805"/>
      <c r="EDI79" s="2805"/>
      <c r="EDJ79" s="2805"/>
      <c r="EDK79" s="2805"/>
      <c r="EDL79" s="2805"/>
      <c r="EDM79" s="2805"/>
      <c r="EDN79" s="2805"/>
      <c r="EDO79" s="2805"/>
      <c r="EDP79" s="2805"/>
      <c r="EDQ79" s="2805"/>
      <c r="EDR79" s="2805"/>
      <c r="EDS79" s="2805"/>
      <c r="EDT79" s="2805"/>
      <c r="EDU79" s="2805"/>
      <c r="EDV79" s="2805"/>
      <c r="EDW79" s="2805"/>
      <c r="EDX79" s="2805"/>
      <c r="EDY79" s="2805"/>
      <c r="EDZ79" s="2805"/>
      <c r="EEA79" s="2805"/>
      <c r="EEB79" s="2805"/>
      <c r="EEC79" s="2805"/>
      <c r="EED79" s="2805"/>
      <c r="EEE79" s="2805"/>
      <c r="EEF79" s="2805"/>
      <c r="EEG79" s="2805"/>
      <c r="EEH79" s="2805"/>
      <c r="EEI79" s="2805"/>
      <c r="EEJ79" s="2805"/>
      <c r="EEK79" s="2805"/>
      <c r="EEL79" s="2805"/>
      <c r="EEM79" s="2805"/>
      <c r="EEN79" s="2805"/>
      <c r="EEO79" s="2805"/>
      <c r="EEP79" s="2805"/>
      <c r="EEQ79" s="2805"/>
      <c r="EER79" s="2805"/>
      <c r="EES79" s="2805"/>
      <c r="EET79" s="2805"/>
      <c r="EEU79" s="2805"/>
      <c r="EEV79" s="2805"/>
      <c r="EEW79" s="2805"/>
      <c r="EEX79" s="2805"/>
      <c r="EEY79" s="2805"/>
      <c r="EEZ79" s="2805"/>
      <c r="EFA79" s="2805"/>
      <c r="EFB79" s="2805"/>
      <c r="EFC79" s="2805"/>
      <c r="EFD79" s="2805"/>
      <c r="EFE79" s="2805"/>
      <c r="EFF79" s="2805"/>
      <c r="EFG79" s="2805"/>
      <c r="EFH79" s="2805"/>
      <c r="EFI79" s="2805"/>
      <c r="EFJ79" s="2805"/>
      <c r="EFK79" s="2805"/>
      <c r="EFL79" s="2805"/>
      <c r="EFM79" s="2805"/>
      <c r="EFN79" s="2805"/>
      <c r="EFO79" s="2805"/>
      <c r="EFP79" s="2805"/>
      <c r="EFQ79" s="2805"/>
      <c r="EFR79" s="2805"/>
      <c r="EFS79" s="2805"/>
      <c r="EFT79" s="2805"/>
      <c r="EFU79" s="2805"/>
      <c r="EFV79" s="2805"/>
      <c r="EFW79" s="2805"/>
      <c r="EFX79" s="2805"/>
      <c r="EFY79" s="2805"/>
      <c r="EFZ79" s="2805"/>
      <c r="EGA79" s="2805"/>
      <c r="EGB79" s="2805"/>
      <c r="EGC79" s="2805"/>
      <c r="EGD79" s="2805"/>
      <c r="EGE79" s="2805"/>
      <c r="EGF79" s="2805"/>
      <c r="EGG79" s="2805"/>
      <c r="EGH79" s="2805"/>
      <c r="EGI79" s="2805"/>
      <c r="EGJ79" s="2805"/>
      <c r="EGK79" s="2805"/>
      <c r="EGL79" s="2805"/>
      <c r="EGM79" s="2805"/>
      <c r="EGN79" s="2805"/>
      <c r="EGO79" s="2805"/>
      <c r="EGP79" s="2805"/>
      <c r="EGQ79" s="2805"/>
      <c r="EGR79" s="2805"/>
      <c r="EGS79" s="2805"/>
      <c r="EGT79" s="2805"/>
      <c r="EGU79" s="2805"/>
      <c r="EGV79" s="2805"/>
      <c r="EGW79" s="2805"/>
      <c r="EGX79" s="2805"/>
      <c r="EGY79" s="2805"/>
      <c r="EGZ79" s="2805"/>
      <c r="EHA79" s="2805"/>
      <c r="EHB79" s="2805"/>
      <c r="EHC79" s="2805"/>
      <c r="EHD79" s="2805"/>
      <c r="EHE79" s="2805"/>
      <c r="EHF79" s="2805"/>
      <c r="EHG79" s="2805"/>
      <c r="EHH79" s="2805"/>
      <c r="EHI79" s="2805"/>
      <c r="EHJ79" s="2805"/>
      <c r="EHK79" s="2805"/>
      <c r="EHL79" s="2805"/>
      <c r="EHM79" s="2805"/>
      <c r="EHN79" s="2805"/>
      <c r="EHO79" s="2805"/>
      <c r="EHP79" s="2805"/>
      <c r="EHQ79" s="2805"/>
      <c r="EHR79" s="2805"/>
      <c r="EHS79" s="2805"/>
      <c r="EHT79" s="2805"/>
      <c r="EHU79" s="2805"/>
      <c r="EHV79" s="2805"/>
      <c r="EHW79" s="2805"/>
      <c r="EHX79" s="2805"/>
      <c r="EHY79" s="2805"/>
      <c r="EHZ79" s="2805"/>
      <c r="EIA79" s="2805"/>
      <c r="EIB79" s="2805"/>
      <c r="EIC79" s="2805"/>
      <c r="EID79" s="2805"/>
      <c r="EIE79" s="2805"/>
      <c r="EIF79" s="2805"/>
      <c r="EIG79" s="2805"/>
      <c r="EIH79" s="2805"/>
      <c r="EII79" s="2805"/>
      <c r="EIJ79" s="2805"/>
      <c r="EIK79" s="2805"/>
      <c r="EIL79" s="2805"/>
      <c r="EIM79" s="2805"/>
      <c r="EIN79" s="2805"/>
      <c r="EIO79" s="2805"/>
      <c r="EIP79" s="2805"/>
      <c r="EIQ79" s="2805"/>
      <c r="EIR79" s="2805"/>
      <c r="EIS79" s="2805"/>
      <c r="EIT79" s="2805"/>
      <c r="EIU79" s="2805"/>
      <c r="EIV79" s="2805"/>
      <c r="EIW79" s="2805"/>
      <c r="EIX79" s="2805"/>
      <c r="EIY79" s="2805"/>
      <c r="EIZ79" s="2805"/>
      <c r="EJA79" s="2805"/>
      <c r="EJB79" s="2805"/>
      <c r="EJC79" s="2805"/>
      <c r="EJD79" s="2805"/>
      <c r="EJE79" s="2805"/>
      <c r="EJF79" s="2805"/>
      <c r="EJG79" s="2805"/>
      <c r="EJH79" s="2805"/>
      <c r="EJI79" s="2805"/>
      <c r="EJJ79" s="2805"/>
      <c r="EJK79" s="2805"/>
      <c r="EJL79" s="2805"/>
      <c r="EJM79" s="2805"/>
      <c r="EJN79" s="2805"/>
      <c r="EJO79" s="2805"/>
      <c r="EJP79" s="2805"/>
      <c r="EJQ79" s="2805"/>
      <c r="EJR79" s="2805"/>
      <c r="EJS79" s="2805"/>
      <c r="EJT79" s="2805"/>
      <c r="EJU79" s="2805"/>
      <c r="EJV79" s="2805"/>
      <c r="EJW79" s="2805"/>
      <c r="EJX79" s="2805"/>
      <c r="EJY79" s="2805"/>
      <c r="EJZ79" s="2805"/>
      <c r="EKA79" s="2805"/>
      <c r="EKB79" s="2805"/>
      <c r="EKC79" s="2805"/>
      <c r="EKD79" s="2805"/>
      <c r="EKE79" s="2805"/>
      <c r="EKF79" s="2805"/>
      <c r="EKG79" s="2805"/>
      <c r="EKH79" s="2805"/>
      <c r="EKI79" s="2805"/>
      <c r="EKJ79" s="2805"/>
      <c r="EKK79" s="2805"/>
      <c r="EKL79" s="2805"/>
      <c r="EKM79" s="2805"/>
      <c r="EKN79" s="2805"/>
      <c r="EKO79" s="2805"/>
      <c r="EKP79" s="2805"/>
      <c r="EKQ79" s="2805"/>
      <c r="EKR79" s="2805"/>
      <c r="EKS79" s="2805"/>
      <c r="EKT79" s="2805"/>
      <c r="EKU79" s="2805"/>
      <c r="EKV79" s="2805"/>
      <c r="EKW79" s="2805"/>
      <c r="EKX79" s="2805"/>
      <c r="EKY79" s="2805"/>
      <c r="EKZ79" s="2805"/>
      <c r="ELA79" s="2805"/>
      <c r="ELB79" s="2805"/>
      <c r="ELC79" s="2805"/>
      <c r="ELD79" s="2805"/>
      <c r="ELE79" s="2805"/>
      <c r="ELF79" s="2805"/>
      <c r="ELG79" s="2805"/>
      <c r="ELH79" s="2805"/>
      <c r="ELI79" s="2805"/>
      <c r="ELJ79" s="2805"/>
      <c r="ELK79" s="2805"/>
      <c r="ELL79" s="2805"/>
      <c r="ELM79" s="2805"/>
      <c r="ELN79" s="2805"/>
      <c r="ELO79" s="2805"/>
      <c r="ELP79" s="2805"/>
      <c r="ELQ79" s="2805"/>
      <c r="ELR79" s="2805"/>
      <c r="ELS79" s="2805"/>
      <c r="ELT79" s="2805"/>
      <c r="ELU79" s="2805"/>
      <c r="ELV79" s="2805"/>
      <c r="ELW79" s="2805"/>
      <c r="ELX79" s="2805"/>
      <c r="ELY79" s="2805"/>
      <c r="ELZ79" s="2805"/>
      <c r="EMA79" s="2805"/>
      <c r="EMB79" s="2805"/>
      <c r="EMC79" s="2805"/>
      <c r="EMD79" s="2805"/>
      <c r="EME79" s="2805"/>
      <c r="EMF79" s="2805"/>
      <c r="EMG79" s="2805"/>
      <c r="EMH79" s="2805"/>
      <c r="EMI79" s="2805"/>
      <c r="EMJ79" s="2805"/>
      <c r="EMK79" s="2805"/>
      <c r="EML79" s="2805"/>
      <c r="EMM79" s="2805"/>
      <c r="EMN79" s="2805"/>
      <c r="EMO79" s="2805"/>
      <c r="EMP79" s="2805"/>
      <c r="EMQ79" s="2805"/>
      <c r="EMR79" s="2805"/>
      <c r="EMS79" s="2805"/>
      <c r="EMT79" s="2805"/>
      <c r="EMU79" s="2805"/>
      <c r="EMV79" s="2805"/>
      <c r="EMW79" s="2805"/>
      <c r="EMX79" s="2805"/>
      <c r="EMY79" s="2805"/>
      <c r="EMZ79" s="2805"/>
      <c r="ENA79" s="2805"/>
      <c r="ENB79" s="2805"/>
      <c r="ENC79" s="2805"/>
      <c r="END79" s="2805"/>
      <c r="ENE79" s="2805"/>
      <c r="ENF79" s="2805"/>
      <c r="ENG79" s="2805"/>
      <c r="ENH79" s="2805"/>
      <c r="ENI79" s="2805"/>
      <c r="ENJ79" s="2805"/>
      <c r="ENK79" s="2805"/>
      <c r="ENL79" s="2805"/>
      <c r="ENM79" s="2805"/>
      <c r="ENN79" s="2805"/>
      <c r="ENO79" s="2805"/>
      <c r="ENP79" s="2805"/>
      <c r="ENQ79" s="2805"/>
      <c r="ENR79" s="2805"/>
      <c r="ENS79" s="2805"/>
      <c r="ENT79" s="2805"/>
      <c r="ENU79" s="2805"/>
      <c r="ENV79" s="2805"/>
      <c r="ENW79" s="2805"/>
      <c r="ENX79" s="2805"/>
      <c r="ENY79" s="2805"/>
      <c r="ENZ79" s="2805"/>
      <c r="EOA79" s="2805"/>
      <c r="EOB79" s="2805"/>
      <c r="EOC79" s="2805"/>
      <c r="EOD79" s="2805"/>
      <c r="EOE79" s="2805"/>
      <c r="EOF79" s="2805"/>
      <c r="EOG79" s="2805"/>
      <c r="EOH79" s="2805"/>
      <c r="EOI79" s="2805"/>
      <c r="EOJ79" s="2805"/>
      <c r="EOK79" s="2805"/>
      <c r="EOL79" s="2805"/>
      <c r="EOM79" s="2805"/>
      <c r="EON79" s="2805"/>
      <c r="EOO79" s="2805"/>
      <c r="EOP79" s="2805"/>
      <c r="EOQ79" s="2805"/>
      <c r="EOR79" s="2805"/>
      <c r="EOS79" s="2805"/>
      <c r="EOT79" s="2805"/>
      <c r="EOU79" s="2805"/>
      <c r="EOV79" s="2805"/>
      <c r="EOW79" s="2805"/>
      <c r="EOX79" s="2805"/>
      <c r="EOY79" s="2805"/>
      <c r="EOZ79" s="2805"/>
      <c r="EPA79" s="2805"/>
      <c r="EPB79" s="2805"/>
      <c r="EPC79" s="2805"/>
      <c r="EPD79" s="2805"/>
      <c r="EPE79" s="2805"/>
      <c r="EPF79" s="2805"/>
      <c r="EPG79" s="2805"/>
      <c r="EPH79" s="2805"/>
      <c r="EPI79" s="2805"/>
      <c r="EPJ79" s="2805"/>
      <c r="EPK79" s="2805"/>
      <c r="EPL79" s="2805"/>
      <c r="EPM79" s="2805"/>
      <c r="EPN79" s="2805"/>
      <c r="EPO79" s="2805"/>
      <c r="EPP79" s="2805"/>
      <c r="EPQ79" s="2805"/>
      <c r="EPR79" s="2805"/>
      <c r="EPS79" s="2805"/>
      <c r="EPT79" s="2805"/>
      <c r="EPU79" s="2805"/>
      <c r="EPV79" s="2805"/>
      <c r="EPW79" s="2805"/>
      <c r="EPX79" s="2805"/>
      <c r="EPY79" s="2805"/>
      <c r="EPZ79" s="2805"/>
      <c r="EQA79" s="2805"/>
      <c r="EQB79" s="2805"/>
      <c r="EQC79" s="2805"/>
      <c r="EQD79" s="2805"/>
      <c r="EQE79" s="2805"/>
      <c r="EQF79" s="2805"/>
      <c r="EQG79" s="2805"/>
      <c r="EQH79" s="2805"/>
      <c r="EQI79" s="2805"/>
      <c r="EQJ79" s="2805"/>
      <c r="EQK79" s="2805"/>
      <c r="EQL79" s="2805"/>
      <c r="EQM79" s="2805"/>
      <c r="EQN79" s="2805"/>
      <c r="EQO79" s="2805"/>
      <c r="EQP79" s="2805"/>
      <c r="EQQ79" s="2805"/>
      <c r="EQR79" s="2805"/>
      <c r="EQS79" s="2805"/>
      <c r="EQT79" s="2805"/>
      <c r="EQU79" s="2805"/>
      <c r="EQV79" s="2805"/>
      <c r="EQW79" s="2805"/>
      <c r="EQX79" s="2805"/>
      <c r="EQY79" s="2805"/>
      <c r="EQZ79" s="2805"/>
      <c r="ERA79" s="2805"/>
      <c r="ERB79" s="2805"/>
      <c r="ERC79" s="2805"/>
      <c r="ERD79" s="2805"/>
      <c r="ERE79" s="2805"/>
      <c r="ERF79" s="2805"/>
      <c r="ERG79" s="2805"/>
      <c r="ERH79" s="2805"/>
      <c r="ERI79" s="2805"/>
      <c r="ERJ79" s="2805"/>
      <c r="ERK79" s="2805"/>
      <c r="ERL79" s="2805"/>
      <c r="ERM79" s="2805"/>
      <c r="ERN79" s="2805"/>
      <c r="ERO79" s="2805"/>
      <c r="ERP79" s="2805"/>
      <c r="ERQ79" s="2805"/>
      <c r="ERR79" s="2805"/>
      <c r="ERS79" s="2805"/>
      <c r="ERT79" s="2805"/>
      <c r="ERU79" s="2805"/>
      <c r="ERV79" s="2805"/>
      <c r="ERW79" s="2805"/>
      <c r="ERX79" s="2805"/>
      <c r="ERY79" s="2805"/>
      <c r="ERZ79" s="2805"/>
      <c r="ESA79" s="2805"/>
      <c r="ESB79" s="2805"/>
      <c r="ESC79" s="2805"/>
      <c r="ESD79" s="2805"/>
      <c r="ESE79" s="2805"/>
      <c r="ESF79" s="2805"/>
      <c r="ESG79" s="2805"/>
      <c r="ESH79" s="2805"/>
      <c r="ESI79" s="2805"/>
      <c r="ESJ79" s="2805"/>
      <c r="ESK79" s="2805"/>
      <c r="ESL79" s="2805"/>
      <c r="ESM79" s="2805"/>
      <c r="ESN79" s="2805"/>
      <c r="ESO79" s="2805"/>
      <c r="ESP79" s="2805"/>
      <c r="ESQ79" s="2805"/>
      <c r="ESR79" s="2805"/>
      <c r="ESS79" s="2805"/>
      <c r="EST79" s="2805"/>
      <c r="ESU79" s="2805"/>
      <c r="ESV79" s="2805"/>
      <c r="ESW79" s="2805"/>
      <c r="ESX79" s="2805"/>
      <c r="ESY79" s="2805"/>
      <c r="ESZ79" s="2805"/>
      <c r="ETA79" s="2805"/>
      <c r="ETB79" s="2805"/>
      <c r="ETC79" s="2805"/>
      <c r="ETD79" s="2805"/>
      <c r="ETE79" s="2805"/>
      <c r="ETF79" s="2805"/>
      <c r="ETG79" s="2805"/>
      <c r="ETH79" s="2805"/>
      <c r="ETI79" s="2805"/>
      <c r="ETJ79" s="2805"/>
      <c r="ETK79" s="2805"/>
      <c r="ETL79" s="2805"/>
      <c r="ETM79" s="2805"/>
      <c r="ETN79" s="2805"/>
      <c r="ETO79" s="2805"/>
      <c r="ETP79" s="2805"/>
      <c r="ETQ79" s="2805"/>
      <c r="ETR79" s="2805"/>
      <c r="ETS79" s="2805"/>
      <c r="ETT79" s="2805"/>
      <c r="ETU79" s="2805"/>
      <c r="ETV79" s="2805"/>
      <c r="ETW79" s="2805"/>
      <c r="ETX79" s="2805"/>
      <c r="ETY79" s="2805"/>
      <c r="ETZ79" s="2805"/>
      <c r="EUA79" s="2805"/>
      <c r="EUB79" s="2805"/>
      <c r="EUC79" s="2805"/>
      <c r="EUD79" s="2805"/>
      <c r="EUE79" s="2805"/>
      <c r="EUF79" s="2805"/>
      <c r="EUG79" s="2805"/>
      <c r="EUH79" s="2805"/>
      <c r="EUI79" s="2805"/>
      <c r="EUJ79" s="2805"/>
      <c r="EUK79" s="2805"/>
      <c r="EUL79" s="2805"/>
      <c r="EUM79" s="2805"/>
      <c r="EUN79" s="2805"/>
      <c r="EUO79" s="2805"/>
      <c r="EUP79" s="2805"/>
      <c r="EUQ79" s="2805"/>
      <c r="EUR79" s="2805"/>
      <c r="EUS79" s="2805"/>
      <c r="EUT79" s="2805"/>
      <c r="EUU79" s="2805"/>
      <c r="EUV79" s="2805"/>
      <c r="EUW79" s="2805"/>
      <c r="EUX79" s="2805"/>
      <c r="EUY79" s="2805"/>
      <c r="EUZ79" s="2805"/>
      <c r="EVA79" s="2805"/>
      <c r="EVB79" s="2805"/>
      <c r="EVC79" s="2805"/>
      <c r="EVD79" s="2805"/>
      <c r="EVE79" s="2805"/>
      <c r="EVF79" s="2805"/>
      <c r="EVG79" s="2805"/>
      <c r="EVH79" s="2805"/>
      <c r="EVI79" s="2805"/>
      <c r="EVJ79" s="2805"/>
      <c r="EVK79" s="2805"/>
      <c r="EVL79" s="2805"/>
      <c r="EVM79" s="2805"/>
      <c r="EVN79" s="2805"/>
      <c r="EVO79" s="2805"/>
      <c r="EVP79" s="2805"/>
      <c r="EVQ79" s="2805"/>
      <c r="EVR79" s="2805"/>
      <c r="EVS79" s="2805"/>
      <c r="EVT79" s="2805"/>
      <c r="EVU79" s="2805"/>
      <c r="EVV79" s="2805"/>
      <c r="EVW79" s="2805"/>
      <c r="EVX79" s="2805"/>
      <c r="EVY79" s="2805"/>
      <c r="EVZ79" s="2805"/>
      <c r="EWA79" s="2805"/>
      <c r="EWB79" s="2805"/>
      <c r="EWC79" s="2805"/>
      <c r="EWD79" s="2805"/>
      <c r="EWE79" s="2805"/>
      <c r="EWF79" s="2805"/>
      <c r="EWG79" s="2805"/>
      <c r="EWH79" s="2805"/>
      <c r="EWI79" s="2805"/>
      <c r="EWJ79" s="2805"/>
      <c r="EWK79" s="2805"/>
      <c r="EWL79" s="2805"/>
      <c r="EWM79" s="2805"/>
      <c r="EWN79" s="2805"/>
      <c r="EWO79" s="2805"/>
      <c r="EWP79" s="2805"/>
      <c r="EWQ79" s="2805"/>
      <c r="EWR79" s="2805"/>
      <c r="EWS79" s="2805"/>
      <c r="EWT79" s="2805"/>
      <c r="EWU79" s="2805"/>
      <c r="EWV79" s="2805"/>
      <c r="EWW79" s="2805"/>
      <c r="EWX79" s="2805"/>
      <c r="EWY79" s="2805"/>
      <c r="EWZ79" s="2805"/>
      <c r="EXA79" s="2805"/>
      <c r="EXB79" s="2805"/>
      <c r="EXC79" s="2805"/>
      <c r="EXD79" s="2805"/>
      <c r="EXE79" s="2805"/>
      <c r="EXF79" s="2805"/>
      <c r="EXG79" s="2805"/>
      <c r="EXH79" s="2805"/>
      <c r="EXI79" s="2805"/>
      <c r="EXJ79" s="2805"/>
      <c r="EXK79" s="2805"/>
      <c r="EXL79" s="2805"/>
      <c r="EXM79" s="2805"/>
      <c r="EXN79" s="2805"/>
      <c r="EXO79" s="2805"/>
      <c r="EXP79" s="2805"/>
      <c r="EXQ79" s="2805"/>
      <c r="EXR79" s="2805"/>
      <c r="EXS79" s="2805"/>
      <c r="EXT79" s="2805"/>
      <c r="EXU79" s="2805"/>
      <c r="EXV79" s="2805"/>
      <c r="EXW79" s="2805"/>
      <c r="EXX79" s="2805"/>
      <c r="EXY79" s="2805"/>
      <c r="EXZ79" s="2805"/>
      <c r="EYA79" s="2805"/>
      <c r="EYB79" s="2805"/>
      <c r="EYC79" s="2805"/>
      <c r="EYD79" s="2805"/>
      <c r="EYE79" s="2805"/>
      <c r="EYF79" s="2805"/>
      <c r="EYG79" s="2805"/>
      <c r="EYH79" s="2805"/>
      <c r="EYI79" s="2805"/>
      <c r="EYJ79" s="2805"/>
      <c r="EYK79" s="2805"/>
      <c r="EYL79" s="2805"/>
      <c r="EYM79" s="2805"/>
      <c r="EYN79" s="2805"/>
      <c r="EYO79" s="2805"/>
      <c r="EYP79" s="2805"/>
      <c r="EYQ79" s="2805"/>
      <c r="EYR79" s="2805"/>
      <c r="EYS79" s="2805"/>
      <c r="EYT79" s="2805"/>
      <c r="EYU79" s="2805"/>
      <c r="EYV79" s="2805"/>
      <c r="EYW79" s="2805"/>
      <c r="EYX79" s="2805"/>
      <c r="EYY79" s="2805"/>
      <c r="EYZ79" s="2805"/>
      <c r="EZA79" s="2805"/>
      <c r="EZB79" s="2805"/>
      <c r="EZC79" s="2805"/>
      <c r="EZD79" s="2805"/>
      <c r="EZE79" s="2805"/>
      <c r="EZF79" s="2805"/>
      <c r="EZG79" s="2805"/>
      <c r="EZH79" s="2805"/>
      <c r="EZI79" s="2805"/>
      <c r="EZJ79" s="2805"/>
      <c r="EZK79" s="2805"/>
      <c r="EZL79" s="2805"/>
      <c r="EZM79" s="2805"/>
      <c r="EZN79" s="2805"/>
      <c r="EZO79" s="2805"/>
      <c r="EZP79" s="2805"/>
      <c r="EZQ79" s="2805"/>
      <c r="EZR79" s="2805"/>
      <c r="EZS79" s="2805"/>
      <c r="EZT79" s="2805"/>
      <c r="EZU79" s="2805"/>
      <c r="EZV79" s="2805"/>
      <c r="EZW79" s="2805"/>
      <c r="EZX79" s="2805"/>
      <c r="EZY79" s="2805"/>
      <c r="EZZ79" s="2805"/>
      <c r="FAA79" s="2805"/>
      <c r="FAB79" s="2805"/>
      <c r="FAC79" s="2805"/>
      <c r="FAD79" s="2805"/>
      <c r="FAE79" s="2805"/>
      <c r="FAF79" s="2805"/>
      <c r="FAG79" s="2805"/>
      <c r="FAH79" s="2805"/>
      <c r="FAI79" s="2805"/>
      <c r="FAJ79" s="2805"/>
      <c r="FAK79" s="2805"/>
      <c r="FAL79" s="2805"/>
      <c r="FAM79" s="2805"/>
      <c r="FAN79" s="2805"/>
      <c r="FAO79" s="2805"/>
      <c r="FAP79" s="2805"/>
      <c r="FAQ79" s="2805"/>
      <c r="FAR79" s="2805"/>
      <c r="FAS79" s="2805"/>
      <c r="FAT79" s="2805"/>
      <c r="FAU79" s="2805"/>
      <c r="FAV79" s="2805"/>
      <c r="FAW79" s="2805"/>
      <c r="FAX79" s="2805"/>
      <c r="FAY79" s="2805"/>
      <c r="FAZ79" s="2805"/>
      <c r="FBA79" s="2805"/>
      <c r="FBB79" s="2805"/>
      <c r="FBC79" s="2805"/>
      <c r="FBD79" s="2805"/>
      <c r="FBE79" s="2805"/>
      <c r="FBF79" s="2805"/>
      <c r="FBG79" s="2805"/>
      <c r="FBH79" s="2805"/>
      <c r="FBI79" s="2805"/>
      <c r="FBJ79" s="2805"/>
      <c r="FBK79" s="2805"/>
      <c r="FBL79" s="2805"/>
      <c r="FBM79" s="2805"/>
      <c r="FBN79" s="2805"/>
      <c r="FBO79" s="2805"/>
      <c r="FBP79" s="2805"/>
      <c r="FBQ79" s="2805"/>
      <c r="FBR79" s="2805"/>
      <c r="FBS79" s="2805"/>
      <c r="FBT79" s="2805"/>
      <c r="FBU79" s="2805"/>
      <c r="FBV79" s="2805"/>
      <c r="FBW79" s="2805"/>
      <c r="FBX79" s="2805"/>
      <c r="FBY79" s="2805"/>
      <c r="FBZ79" s="2805"/>
      <c r="FCA79" s="2805"/>
      <c r="FCB79" s="2805"/>
      <c r="FCC79" s="2805"/>
      <c r="FCD79" s="2805"/>
      <c r="FCE79" s="2805"/>
      <c r="FCF79" s="2805"/>
      <c r="FCG79" s="2805"/>
      <c r="FCH79" s="2805"/>
      <c r="FCI79" s="2805"/>
      <c r="FCJ79" s="2805"/>
      <c r="FCK79" s="2805"/>
      <c r="FCL79" s="2805"/>
      <c r="FCM79" s="2805"/>
      <c r="FCN79" s="2805"/>
      <c r="FCO79" s="2805"/>
      <c r="FCP79" s="2805"/>
      <c r="FCQ79" s="2805"/>
      <c r="FCR79" s="2805"/>
      <c r="FCS79" s="2805"/>
      <c r="FCT79" s="2805"/>
      <c r="FCU79" s="2805"/>
      <c r="FCV79" s="2805"/>
      <c r="FCW79" s="2805"/>
      <c r="FCX79" s="2805"/>
      <c r="FCY79" s="2805"/>
      <c r="FCZ79" s="2805"/>
      <c r="FDA79" s="2805"/>
      <c r="FDB79" s="2805"/>
      <c r="FDC79" s="2805"/>
      <c r="FDD79" s="2805"/>
      <c r="FDE79" s="2805"/>
      <c r="FDF79" s="2805"/>
      <c r="FDG79" s="2805"/>
      <c r="FDH79" s="2805"/>
      <c r="FDI79" s="2805"/>
      <c r="FDJ79" s="2805"/>
      <c r="FDK79" s="2805"/>
      <c r="FDL79" s="2805"/>
      <c r="FDM79" s="2805"/>
      <c r="FDN79" s="2805"/>
      <c r="FDO79" s="2805"/>
      <c r="FDP79" s="2805"/>
      <c r="FDQ79" s="2805"/>
      <c r="FDR79" s="2805"/>
      <c r="FDS79" s="2805"/>
      <c r="FDT79" s="2805"/>
      <c r="FDU79" s="2805"/>
      <c r="FDV79" s="2805"/>
      <c r="FDW79" s="2805"/>
      <c r="FDX79" s="2805"/>
      <c r="FDY79" s="2805"/>
      <c r="FDZ79" s="2805"/>
      <c r="FEA79" s="2805"/>
      <c r="FEB79" s="2805"/>
      <c r="FEC79" s="2805"/>
      <c r="FED79" s="2805"/>
      <c r="FEE79" s="2805"/>
      <c r="FEF79" s="2805"/>
      <c r="FEG79" s="2805"/>
      <c r="FEH79" s="2805"/>
      <c r="FEI79" s="2805"/>
      <c r="FEJ79" s="2805"/>
      <c r="FEK79" s="2805"/>
      <c r="FEL79" s="2805"/>
      <c r="FEM79" s="2805"/>
      <c r="FEN79" s="2805"/>
      <c r="FEO79" s="2805"/>
      <c r="FEP79" s="2805"/>
      <c r="FEQ79" s="2805"/>
      <c r="FER79" s="2805"/>
      <c r="FES79" s="2805"/>
      <c r="FET79" s="2805"/>
      <c r="FEU79" s="2805"/>
      <c r="FEV79" s="2805"/>
      <c r="FEW79" s="2805"/>
      <c r="FEX79" s="2805"/>
      <c r="FEY79" s="2805"/>
      <c r="FEZ79" s="2805"/>
      <c r="FFA79" s="2805"/>
      <c r="FFB79" s="2805"/>
      <c r="FFC79" s="2805"/>
      <c r="FFD79" s="2805"/>
      <c r="FFE79" s="2805"/>
      <c r="FFF79" s="2805"/>
      <c r="FFG79" s="2805"/>
      <c r="FFH79" s="2805"/>
      <c r="FFI79" s="2805"/>
      <c r="FFJ79" s="2805"/>
      <c r="FFK79" s="2805"/>
      <c r="FFL79" s="2805"/>
      <c r="FFM79" s="2805"/>
      <c r="FFN79" s="2805"/>
      <c r="FFO79" s="2805"/>
      <c r="FFP79" s="2805"/>
      <c r="FFQ79" s="2805"/>
      <c r="FFR79" s="2805"/>
      <c r="FFS79" s="2805"/>
      <c r="FFT79" s="2805"/>
      <c r="FFU79" s="2805"/>
      <c r="FFV79" s="2805"/>
      <c r="FFW79" s="2805"/>
      <c r="FFX79" s="2805"/>
      <c r="FFY79" s="2805"/>
      <c r="FFZ79" s="2805"/>
      <c r="FGA79" s="2805"/>
      <c r="FGB79" s="2805"/>
      <c r="FGC79" s="2805"/>
      <c r="FGD79" s="2805"/>
      <c r="FGE79" s="2805"/>
      <c r="FGF79" s="2805"/>
      <c r="FGG79" s="2805"/>
      <c r="FGH79" s="2805"/>
      <c r="FGI79" s="2805"/>
      <c r="FGJ79" s="2805"/>
      <c r="FGK79" s="2805"/>
      <c r="FGL79" s="2805"/>
      <c r="FGM79" s="2805"/>
      <c r="FGN79" s="2805"/>
      <c r="FGO79" s="2805"/>
      <c r="FGP79" s="2805"/>
      <c r="FGQ79" s="2805"/>
      <c r="FGR79" s="2805"/>
      <c r="FGS79" s="2805"/>
      <c r="FGT79" s="2805"/>
      <c r="FGU79" s="2805"/>
      <c r="FGV79" s="2805"/>
      <c r="FGW79" s="2805"/>
      <c r="FGX79" s="2805"/>
      <c r="FGY79" s="2805"/>
      <c r="FGZ79" s="2805"/>
      <c r="FHA79" s="2805"/>
      <c r="FHB79" s="2805"/>
      <c r="FHC79" s="2805"/>
      <c r="FHD79" s="2805"/>
      <c r="FHE79" s="2805"/>
      <c r="FHF79" s="2805"/>
      <c r="FHG79" s="2805"/>
      <c r="FHH79" s="2805"/>
      <c r="FHI79" s="2805"/>
      <c r="FHJ79" s="2805"/>
      <c r="FHK79" s="2805"/>
      <c r="FHL79" s="2805"/>
      <c r="FHM79" s="2805"/>
      <c r="FHN79" s="2805"/>
      <c r="FHO79" s="2805"/>
      <c r="FHP79" s="2805"/>
      <c r="FHQ79" s="2805"/>
      <c r="FHR79" s="2805"/>
      <c r="FHS79" s="2805"/>
      <c r="FHT79" s="2805"/>
      <c r="FHU79" s="2805"/>
      <c r="FHV79" s="2805"/>
      <c r="FHW79" s="2805"/>
      <c r="FHX79" s="2805"/>
      <c r="FHY79" s="2805"/>
      <c r="FHZ79" s="2805"/>
      <c r="FIA79" s="2805"/>
      <c r="FIB79" s="2805"/>
      <c r="FIC79" s="2805"/>
      <c r="FID79" s="2805"/>
      <c r="FIE79" s="2805"/>
      <c r="FIF79" s="2805"/>
      <c r="FIG79" s="2805"/>
      <c r="FIH79" s="2805"/>
      <c r="FII79" s="2805"/>
      <c r="FIJ79" s="2805"/>
      <c r="FIK79" s="2805"/>
      <c r="FIL79" s="2805"/>
      <c r="FIM79" s="2805"/>
      <c r="FIN79" s="2805"/>
      <c r="FIO79" s="2805"/>
      <c r="FIP79" s="2805"/>
      <c r="FIQ79" s="2805"/>
      <c r="FIR79" s="2805"/>
      <c r="FIS79" s="2805"/>
      <c r="FIT79" s="2805"/>
      <c r="FIU79" s="2805"/>
      <c r="FIV79" s="2805"/>
      <c r="FIW79" s="2805"/>
      <c r="FIX79" s="2805"/>
      <c r="FIY79" s="2805"/>
      <c r="FIZ79" s="2805"/>
      <c r="FJA79" s="2805"/>
      <c r="FJB79" s="2805"/>
      <c r="FJC79" s="2805"/>
      <c r="FJD79" s="2805"/>
      <c r="FJE79" s="2805"/>
      <c r="FJF79" s="2805"/>
      <c r="FJG79" s="2805"/>
      <c r="FJH79" s="2805"/>
      <c r="FJI79" s="2805"/>
      <c r="FJJ79" s="2805"/>
      <c r="FJK79" s="2805"/>
      <c r="FJL79" s="2805"/>
      <c r="FJM79" s="2805"/>
      <c r="FJN79" s="2805"/>
      <c r="FJO79" s="2805"/>
      <c r="FJP79" s="2805"/>
      <c r="FJQ79" s="2805"/>
      <c r="FJR79" s="2805"/>
      <c r="FJS79" s="2805"/>
      <c r="FJT79" s="2805"/>
      <c r="FJU79" s="2805"/>
      <c r="FJV79" s="2805"/>
      <c r="FJW79" s="2805"/>
      <c r="FJX79" s="2805"/>
      <c r="FJY79" s="2805"/>
      <c r="FJZ79" s="2805"/>
      <c r="FKA79" s="2805"/>
      <c r="FKB79" s="2805"/>
      <c r="FKC79" s="2805"/>
      <c r="FKD79" s="2805"/>
      <c r="FKE79" s="2805"/>
      <c r="FKF79" s="2805"/>
      <c r="FKG79" s="2805"/>
      <c r="FKH79" s="2805"/>
      <c r="FKI79" s="2805"/>
      <c r="FKJ79" s="2805"/>
      <c r="FKK79" s="2805"/>
      <c r="FKL79" s="2805"/>
      <c r="FKM79" s="2805"/>
      <c r="FKN79" s="2805"/>
      <c r="FKO79" s="2805"/>
      <c r="FKP79" s="2805"/>
      <c r="FKQ79" s="2805"/>
      <c r="FKR79" s="2805"/>
      <c r="FKS79" s="2805"/>
      <c r="FKT79" s="2805"/>
      <c r="FKU79" s="2805"/>
      <c r="FKV79" s="2805"/>
      <c r="FKW79" s="2805"/>
      <c r="FKX79" s="2805"/>
      <c r="FKY79" s="2805"/>
      <c r="FKZ79" s="2805"/>
      <c r="FLA79" s="2805"/>
      <c r="FLB79" s="2805"/>
      <c r="FLC79" s="2805"/>
      <c r="FLD79" s="2805"/>
      <c r="FLE79" s="2805"/>
      <c r="FLF79" s="2805"/>
      <c r="FLG79" s="2805"/>
      <c r="FLH79" s="2805"/>
      <c r="FLI79" s="2805"/>
      <c r="FLJ79" s="2805"/>
      <c r="FLK79" s="2805"/>
      <c r="FLL79" s="2805"/>
      <c r="FLM79" s="2805"/>
      <c r="FLN79" s="2805"/>
      <c r="FLO79" s="2805"/>
      <c r="FLP79" s="2805"/>
      <c r="FLQ79" s="2805"/>
      <c r="FLR79" s="2805"/>
      <c r="FLS79" s="2805"/>
      <c r="FLT79" s="2805"/>
      <c r="FLU79" s="2805"/>
      <c r="FLV79" s="2805"/>
      <c r="FLW79" s="2805"/>
      <c r="FLX79" s="2805"/>
      <c r="FLY79" s="2805"/>
      <c r="FLZ79" s="2805"/>
      <c r="FMA79" s="2805"/>
      <c r="FMB79" s="2805"/>
      <c r="FMC79" s="2805"/>
      <c r="FMD79" s="2805"/>
      <c r="FME79" s="2805"/>
      <c r="FMF79" s="2805"/>
      <c r="FMG79" s="2805"/>
      <c r="FMH79" s="2805"/>
      <c r="FMI79" s="2805"/>
      <c r="FMJ79" s="2805"/>
      <c r="FMK79" s="2805"/>
      <c r="FML79" s="2805"/>
      <c r="FMM79" s="2805"/>
      <c r="FMN79" s="2805"/>
      <c r="FMO79" s="2805"/>
      <c r="FMP79" s="2805"/>
      <c r="FMQ79" s="2805"/>
      <c r="FMR79" s="2805"/>
      <c r="FMS79" s="2805"/>
      <c r="FMT79" s="2805"/>
      <c r="FMU79" s="2805"/>
      <c r="FMV79" s="2805"/>
      <c r="FMW79" s="2805"/>
      <c r="FMX79" s="2805"/>
      <c r="FMY79" s="2805"/>
      <c r="FMZ79" s="2805"/>
      <c r="FNA79" s="2805"/>
      <c r="FNB79" s="2805"/>
      <c r="FNC79" s="2805"/>
      <c r="FND79" s="2805"/>
      <c r="FNE79" s="2805"/>
      <c r="FNF79" s="2805"/>
      <c r="FNG79" s="2805"/>
      <c r="FNH79" s="2805"/>
      <c r="FNI79" s="2805"/>
      <c r="FNJ79" s="2805"/>
      <c r="FNK79" s="2805"/>
      <c r="FNL79" s="2805"/>
      <c r="FNM79" s="2805"/>
      <c r="FNN79" s="2805"/>
      <c r="FNO79" s="2805"/>
      <c r="FNP79" s="2805"/>
      <c r="FNQ79" s="2805"/>
      <c r="FNR79" s="2805"/>
      <c r="FNS79" s="2805"/>
      <c r="FNT79" s="2805"/>
      <c r="FNU79" s="2805"/>
      <c r="FNV79" s="2805"/>
      <c r="FNW79" s="2805"/>
      <c r="FNX79" s="2805"/>
      <c r="FNY79" s="2805"/>
      <c r="FNZ79" s="2805"/>
      <c r="FOA79" s="2805"/>
      <c r="FOB79" s="2805"/>
      <c r="FOC79" s="2805"/>
      <c r="FOD79" s="2805"/>
      <c r="FOE79" s="2805"/>
      <c r="FOF79" s="2805"/>
      <c r="FOG79" s="2805"/>
      <c r="FOH79" s="2805"/>
      <c r="FOI79" s="2805"/>
      <c r="FOJ79" s="2805"/>
      <c r="FOK79" s="2805"/>
      <c r="FOL79" s="2805"/>
      <c r="FOM79" s="2805"/>
      <c r="FON79" s="2805"/>
      <c r="FOO79" s="2805"/>
      <c r="FOP79" s="2805"/>
      <c r="FOQ79" s="2805"/>
      <c r="FOR79" s="2805"/>
      <c r="FOS79" s="2805"/>
      <c r="FOT79" s="2805"/>
      <c r="FOU79" s="2805"/>
      <c r="FOV79" s="2805"/>
      <c r="FOW79" s="2805"/>
      <c r="FOX79" s="2805"/>
      <c r="FOY79" s="2805"/>
      <c r="FOZ79" s="2805"/>
      <c r="FPA79" s="2805"/>
      <c r="FPB79" s="2805"/>
      <c r="FPC79" s="2805"/>
      <c r="FPD79" s="2805"/>
      <c r="FPE79" s="2805"/>
      <c r="FPF79" s="2805"/>
      <c r="FPG79" s="2805"/>
      <c r="FPH79" s="2805"/>
      <c r="FPI79" s="2805"/>
      <c r="FPJ79" s="2805"/>
      <c r="FPK79" s="2805"/>
      <c r="FPL79" s="2805"/>
      <c r="FPM79" s="2805"/>
      <c r="FPN79" s="2805"/>
      <c r="FPO79" s="2805"/>
      <c r="FPP79" s="2805"/>
      <c r="FPQ79" s="2805"/>
      <c r="FPR79" s="2805"/>
      <c r="FPS79" s="2805"/>
      <c r="FPT79" s="2805"/>
      <c r="FPU79" s="2805"/>
      <c r="FPV79" s="2805"/>
      <c r="FPW79" s="2805"/>
      <c r="FPX79" s="2805"/>
      <c r="FPY79" s="2805"/>
      <c r="FPZ79" s="2805"/>
      <c r="FQA79" s="2805"/>
      <c r="FQB79" s="2805"/>
      <c r="FQC79" s="2805"/>
      <c r="FQD79" s="2805"/>
      <c r="FQE79" s="2805"/>
      <c r="FQF79" s="2805"/>
      <c r="FQG79" s="2805"/>
      <c r="FQH79" s="2805"/>
      <c r="FQI79" s="2805"/>
      <c r="FQJ79" s="2805"/>
      <c r="FQK79" s="2805"/>
      <c r="FQL79" s="2805"/>
      <c r="FQM79" s="2805"/>
      <c r="FQN79" s="2805"/>
      <c r="FQO79" s="2805"/>
      <c r="FQP79" s="2805"/>
      <c r="FQQ79" s="2805"/>
      <c r="FQR79" s="2805"/>
      <c r="FQS79" s="2805"/>
      <c r="FQT79" s="2805"/>
      <c r="FQU79" s="2805"/>
      <c r="FQV79" s="2805"/>
      <c r="FQW79" s="2805"/>
      <c r="FQX79" s="2805"/>
      <c r="FQY79" s="2805"/>
      <c r="FQZ79" s="2805"/>
      <c r="FRA79" s="2805"/>
      <c r="FRB79" s="2805"/>
      <c r="FRC79" s="2805"/>
      <c r="FRD79" s="2805"/>
      <c r="FRE79" s="2805"/>
      <c r="FRF79" s="2805"/>
      <c r="FRG79" s="2805"/>
      <c r="FRH79" s="2805"/>
      <c r="FRI79" s="2805"/>
      <c r="FRJ79" s="2805"/>
      <c r="FRK79" s="2805"/>
      <c r="FRL79" s="2805"/>
      <c r="FRM79" s="2805"/>
      <c r="FRN79" s="2805"/>
      <c r="FRO79" s="2805"/>
      <c r="FRP79" s="2805"/>
      <c r="FRQ79" s="2805"/>
      <c r="FRR79" s="2805"/>
      <c r="FRS79" s="2805"/>
      <c r="FRT79" s="2805"/>
      <c r="FRU79" s="2805"/>
      <c r="FRV79" s="2805"/>
      <c r="FRW79" s="2805"/>
      <c r="FRX79" s="2805"/>
      <c r="FRY79" s="2805"/>
      <c r="FRZ79" s="2805"/>
      <c r="FSA79" s="2805"/>
      <c r="FSB79" s="2805"/>
      <c r="FSC79" s="2805"/>
      <c r="FSD79" s="2805"/>
      <c r="FSE79" s="2805"/>
      <c r="FSF79" s="2805"/>
      <c r="FSG79" s="2805"/>
      <c r="FSH79" s="2805"/>
      <c r="FSI79" s="2805"/>
      <c r="FSJ79" s="2805"/>
      <c r="FSK79" s="2805"/>
      <c r="FSL79" s="2805"/>
      <c r="FSM79" s="2805"/>
      <c r="FSN79" s="2805"/>
      <c r="FSO79" s="2805"/>
      <c r="FSP79" s="2805"/>
      <c r="FSQ79" s="2805"/>
      <c r="FSR79" s="2805"/>
      <c r="FSS79" s="2805"/>
      <c r="FST79" s="2805"/>
      <c r="FSU79" s="2805"/>
      <c r="FSV79" s="2805"/>
      <c r="FSW79" s="2805"/>
      <c r="FSX79" s="2805"/>
      <c r="FSY79" s="2805"/>
      <c r="FSZ79" s="2805"/>
      <c r="FTA79" s="2805"/>
      <c r="FTB79" s="2805"/>
      <c r="FTC79" s="2805"/>
      <c r="FTD79" s="2805"/>
      <c r="FTE79" s="2805"/>
      <c r="FTF79" s="2805"/>
      <c r="FTG79" s="2805"/>
      <c r="FTH79" s="2805"/>
      <c r="FTI79" s="2805"/>
      <c r="FTJ79" s="2805"/>
      <c r="FTK79" s="2805"/>
      <c r="FTL79" s="2805"/>
      <c r="FTM79" s="2805"/>
      <c r="FTN79" s="2805"/>
      <c r="FTO79" s="2805"/>
      <c r="FTP79" s="2805"/>
      <c r="FTQ79" s="2805"/>
      <c r="FTR79" s="2805"/>
      <c r="FTS79" s="2805"/>
      <c r="FTT79" s="2805"/>
      <c r="FTU79" s="2805"/>
      <c r="FTV79" s="2805"/>
      <c r="FTW79" s="2805"/>
      <c r="FTX79" s="2805"/>
      <c r="FTY79" s="2805"/>
      <c r="FTZ79" s="2805"/>
      <c r="FUA79" s="2805"/>
      <c r="FUB79" s="2805"/>
      <c r="FUC79" s="2805"/>
      <c r="FUD79" s="2805"/>
      <c r="FUE79" s="2805"/>
      <c r="FUF79" s="2805"/>
      <c r="FUG79" s="2805"/>
      <c r="FUH79" s="2805"/>
      <c r="FUI79" s="2805"/>
      <c r="FUJ79" s="2805"/>
      <c r="FUK79" s="2805"/>
      <c r="FUL79" s="2805"/>
      <c r="FUM79" s="2805"/>
      <c r="FUN79" s="2805"/>
      <c r="FUO79" s="2805"/>
      <c r="FUP79" s="2805"/>
      <c r="FUQ79" s="2805"/>
      <c r="FUR79" s="2805"/>
      <c r="FUS79" s="2805"/>
      <c r="FUT79" s="2805"/>
      <c r="FUU79" s="2805"/>
      <c r="FUV79" s="2805"/>
      <c r="FUW79" s="2805"/>
      <c r="FUX79" s="2805"/>
      <c r="FUY79" s="2805"/>
      <c r="FUZ79" s="2805"/>
      <c r="FVA79" s="2805"/>
      <c r="FVB79" s="2805"/>
      <c r="FVC79" s="2805"/>
      <c r="FVD79" s="2805"/>
      <c r="FVE79" s="2805"/>
      <c r="FVF79" s="2805"/>
      <c r="FVG79" s="2805"/>
      <c r="FVH79" s="2805"/>
      <c r="FVI79" s="2805"/>
      <c r="FVJ79" s="2805"/>
      <c r="FVK79" s="2805"/>
      <c r="FVL79" s="2805"/>
      <c r="FVM79" s="2805"/>
      <c r="FVN79" s="2805"/>
      <c r="FVO79" s="2805"/>
      <c r="FVP79" s="2805"/>
      <c r="FVQ79" s="2805"/>
      <c r="FVR79" s="2805"/>
      <c r="FVS79" s="2805"/>
      <c r="FVT79" s="2805"/>
      <c r="FVU79" s="2805"/>
      <c r="FVV79" s="2805"/>
      <c r="FVW79" s="2805"/>
      <c r="FVX79" s="2805"/>
      <c r="FVY79" s="2805"/>
      <c r="FVZ79" s="2805"/>
      <c r="FWA79" s="2805"/>
      <c r="FWB79" s="2805"/>
      <c r="FWC79" s="2805"/>
      <c r="FWD79" s="2805"/>
      <c r="FWE79" s="2805"/>
      <c r="FWF79" s="2805"/>
      <c r="FWG79" s="2805"/>
      <c r="FWH79" s="2805"/>
      <c r="FWI79" s="2805"/>
      <c r="FWJ79" s="2805"/>
      <c r="FWK79" s="2805"/>
      <c r="FWL79" s="2805"/>
      <c r="FWM79" s="2805"/>
      <c r="FWN79" s="2805"/>
      <c r="FWO79" s="2805"/>
      <c r="FWP79" s="2805"/>
      <c r="FWQ79" s="2805"/>
      <c r="FWR79" s="2805"/>
      <c r="FWS79" s="2805"/>
      <c r="FWT79" s="2805"/>
      <c r="FWU79" s="2805"/>
      <c r="FWV79" s="2805"/>
      <c r="FWW79" s="2805"/>
      <c r="FWX79" s="2805"/>
      <c r="FWY79" s="2805"/>
      <c r="FWZ79" s="2805"/>
      <c r="FXA79" s="2805"/>
      <c r="FXB79" s="2805"/>
      <c r="FXC79" s="2805"/>
      <c r="FXD79" s="2805"/>
      <c r="FXE79" s="2805"/>
      <c r="FXF79" s="2805"/>
      <c r="FXG79" s="2805"/>
      <c r="FXH79" s="2805"/>
      <c r="FXI79" s="2805"/>
      <c r="FXJ79" s="2805"/>
      <c r="FXK79" s="2805"/>
      <c r="FXL79" s="2805"/>
      <c r="FXM79" s="2805"/>
      <c r="FXN79" s="2805"/>
      <c r="FXO79" s="2805"/>
      <c r="FXP79" s="2805"/>
      <c r="FXQ79" s="2805"/>
      <c r="FXR79" s="2805"/>
      <c r="FXS79" s="2805"/>
      <c r="FXT79" s="2805"/>
      <c r="FXU79" s="2805"/>
      <c r="FXV79" s="2805"/>
      <c r="FXW79" s="2805"/>
      <c r="FXX79" s="2805"/>
      <c r="FXY79" s="2805"/>
      <c r="FXZ79" s="2805"/>
      <c r="FYA79" s="2805"/>
      <c r="FYB79" s="2805"/>
      <c r="FYC79" s="2805"/>
      <c r="FYD79" s="2805"/>
      <c r="FYE79" s="2805"/>
      <c r="FYF79" s="2805"/>
      <c r="FYG79" s="2805"/>
      <c r="FYH79" s="2805"/>
      <c r="FYI79" s="2805"/>
      <c r="FYJ79" s="2805"/>
      <c r="FYK79" s="2805"/>
      <c r="FYL79" s="2805"/>
      <c r="FYM79" s="2805"/>
      <c r="FYN79" s="2805"/>
      <c r="FYO79" s="2805"/>
      <c r="FYP79" s="2805"/>
      <c r="FYQ79" s="2805"/>
      <c r="FYR79" s="2805"/>
      <c r="FYS79" s="2805"/>
      <c r="FYT79" s="2805"/>
      <c r="FYU79" s="2805"/>
      <c r="FYV79" s="2805"/>
      <c r="FYW79" s="2805"/>
      <c r="FYX79" s="2805"/>
      <c r="FYY79" s="2805"/>
      <c r="FYZ79" s="2805"/>
      <c r="FZA79" s="2805"/>
      <c r="FZB79" s="2805"/>
      <c r="FZC79" s="2805"/>
      <c r="FZD79" s="2805"/>
      <c r="FZE79" s="2805"/>
      <c r="FZF79" s="2805"/>
      <c r="FZG79" s="2805"/>
      <c r="FZH79" s="2805"/>
      <c r="FZI79" s="2805"/>
      <c r="FZJ79" s="2805"/>
      <c r="FZK79" s="2805"/>
      <c r="FZL79" s="2805"/>
      <c r="FZM79" s="2805"/>
      <c r="FZN79" s="2805"/>
      <c r="FZO79" s="2805"/>
      <c r="FZP79" s="2805"/>
      <c r="FZQ79" s="2805"/>
      <c r="FZR79" s="2805"/>
      <c r="FZS79" s="2805"/>
      <c r="FZT79" s="2805"/>
      <c r="FZU79" s="2805"/>
      <c r="FZV79" s="2805"/>
      <c r="FZW79" s="2805"/>
      <c r="FZX79" s="2805"/>
      <c r="FZY79" s="2805"/>
      <c r="FZZ79" s="2805"/>
      <c r="GAA79" s="2805"/>
      <c r="GAB79" s="2805"/>
      <c r="GAC79" s="2805"/>
      <c r="GAD79" s="2805"/>
      <c r="GAE79" s="2805"/>
      <c r="GAF79" s="2805"/>
      <c r="GAG79" s="2805"/>
      <c r="GAH79" s="2805"/>
      <c r="GAI79" s="2805"/>
      <c r="GAJ79" s="2805"/>
      <c r="GAK79" s="2805"/>
      <c r="GAL79" s="2805"/>
      <c r="GAM79" s="2805"/>
      <c r="GAN79" s="2805"/>
      <c r="GAO79" s="2805"/>
      <c r="GAP79" s="2805"/>
      <c r="GAQ79" s="2805"/>
      <c r="GAR79" s="2805"/>
      <c r="GAS79" s="2805"/>
      <c r="GAT79" s="2805"/>
      <c r="GAU79" s="2805"/>
      <c r="GAV79" s="2805"/>
      <c r="GAW79" s="2805"/>
      <c r="GAX79" s="2805"/>
      <c r="GAY79" s="2805"/>
      <c r="GAZ79" s="2805"/>
      <c r="GBA79" s="2805"/>
      <c r="GBB79" s="2805"/>
      <c r="GBC79" s="2805"/>
      <c r="GBD79" s="2805"/>
      <c r="GBE79" s="2805"/>
      <c r="GBF79" s="2805"/>
      <c r="GBG79" s="2805"/>
      <c r="GBH79" s="2805"/>
      <c r="GBI79" s="2805"/>
      <c r="GBJ79" s="2805"/>
      <c r="GBK79" s="2805"/>
      <c r="GBL79" s="2805"/>
      <c r="GBM79" s="2805"/>
      <c r="GBN79" s="2805"/>
      <c r="GBO79" s="2805"/>
      <c r="GBP79" s="2805"/>
      <c r="GBQ79" s="2805"/>
      <c r="GBR79" s="2805"/>
      <c r="GBS79" s="2805"/>
      <c r="GBT79" s="2805"/>
      <c r="GBU79" s="2805"/>
      <c r="GBV79" s="2805"/>
      <c r="GBW79" s="2805"/>
      <c r="GBX79" s="2805"/>
      <c r="GBY79" s="2805"/>
      <c r="GBZ79" s="2805"/>
      <c r="GCA79" s="2805"/>
      <c r="GCB79" s="2805"/>
      <c r="GCC79" s="2805"/>
      <c r="GCD79" s="2805"/>
      <c r="GCE79" s="2805"/>
      <c r="GCF79" s="2805"/>
      <c r="GCG79" s="2805"/>
      <c r="GCH79" s="2805"/>
      <c r="GCI79" s="2805"/>
      <c r="GCJ79" s="2805"/>
      <c r="GCK79" s="2805"/>
      <c r="GCL79" s="2805"/>
      <c r="GCM79" s="2805"/>
      <c r="GCN79" s="2805"/>
      <c r="GCO79" s="2805"/>
      <c r="GCP79" s="2805"/>
      <c r="GCQ79" s="2805"/>
      <c r="GCR79" s="2805"/>
      <c r="GCS79" s="2805"/>
      <c r="GCT79" s="2805"/>
      <c r="GCU79" s="2805"/>
      <c r="GCV79" s="2805"/>
      <c r="GCW79" s="2805"/>
      <c r="GCX79" s="2805"/>
      <c r="GCY79" s="2805"/>
      <c r="GCZ79" s="2805"/>
      <c r="GDA79" s="2805"/>
      <c r="GDB79" s="2805"/>
      <c r="GDC79" s="2805"/>
      <c r="GDD79" s="2805"/>
      <c r="GDE79" s="2805"/>
      <c r="GDF79" s="2805"/>
      <c r="GDG79" s="2805"/>
      <c r="GDH79" s="2805"/>
      <c r="GDI79" s="2805"/>
      <c r="GDJ79" s="2805"/>
      <c r="GDK79" s="2805"/>
      <c r="GDL79" s="2805"/>
      <c r="GDM79" s="2805"/>
      <c r="GDN79" s="2805"/>
      <c r="GDO79" s="2805"/>
      <c r="GDP79" s="2805"/>
      <c r="GDQ79" s="2805"/>
      <c r="GDR79" s="2805"/>
      <c r="GDS79" s="2805"/>
      <c r="GDT79" s="2805"/>
      <c r="GDU79" s="2805"/>
      <c r="GDV79" s="2805"/>
      <c r="GDW79" s="2805"/>
      <c r="GDX79" s="2805"/>
      <c r="GDY79" s="2805"/>
      <c r="GDZ79" s="2805"/>
      <c r="GEA79" s="2805"/>
      <c r="GEB79" s="2805"/>
      <c r="GEC79" s="2805"/>
      <c r="GED79" s="2805"/>
      <c r="GEE79" s="2805"/>
      <c r="GEF79" s="2805"/>
      <c r="GEG79" s="2805"/>
      <c r="GEH79" s="2805"/>
      <c r="GEI79" s="2805"/>
      <c r="GEJ79" s="2805"/>
      <c r="GEK79" s="2805"/>
      <c r="GEL79" s="2805"/>
      <c r="GEM79" s="2805"/>
      <c r="GEN79" s="2805"/>
      <c r="GEO79" s="2805"/>
      <c r="GEP79" s="2805"/>
      <c r="GEQ79" s="2805"/>
      <c r="GER79" s="2805"/>
      <c r="GES79" s="2805"/>
      <c r="GET79" s="2805"/>
      <c r="GEU79" s="2805"/>
      <c r="GEV79" s="2805"/>
      <c r="GEW79" s="2805"/>
      <c r="GEX79" s="2805"/>
      <c r="GEY79" s="2805"/>
      <c r="GEZ79" s="2805"/>
      <c r="GFA79" s="2805"/>
      <c r="GFB79" s="2805"/>
      <c r="GFC79" s="2805"/>
      <c r="GFD79" s="2805"/>
      <c r="GFE79" s="2805"/>
      <c r="GFF79" s="2805"/>
      <c r="GFG79" s="2805"/>
      <c r="GFH79" s="2805"/>
      <c r="GFI79" s="2805"/>
      <c r="GFJ79" s="2805"/>
      <c r="GFK79" s="2805"/>
      <c r="GFL79" s="2805"/>
      <c r="GFM79" s="2805"/>
      <c r="GFN79" s="2805"/>
      <c r="GFO79" s="2805"/>
      <c r="GFP79" s="2805"/>
      <c r="GFQ79" s="2805"/>
      <c r="GFR79" s="2805"/>
      <c r="GFS79" s="2805"/>
      <c r="GFT79" s="2805"/>
      <c r="GFU79" s="2805"/>
      <c r="GFV79" s="2805"/>
      <c r="GFW79" s="2805"/>
      <c r="GFX79" s="2805"/>
      <c r="GFY79" s="2805"/>
      <c r="GFZ79" s="2805"/>
      <c r="GGA79" s="2805"/>
      <c r="GGB79" s="2805"/>
      <c r="GGC79" s="2805"/>
      <c r="GGD79" s="2805"/>
      <c r="GGE79" s="2805"/>
      <c r="GGF79" s="2805"/>
      <c r="GGG79" s="2805"/>
      <c r="GGH79" s="2805"/>
      <c r="GGI79" s="2805"/>
      <c r="GGJ79" s="2805"/>
      <c r="GGK79" s="2805"/>
      <c r="GGL79" s="2805"/>
      <c r="GGM79" s="2805"/>
      <c r="GGN79" s="2805"/>
      <c r="GGO79" s="2805"/>
      <c r="GGP79" s="2805"/>
      <c r="GGQ79" s="2805"/>
      <c r="GGR79" s="2805"/>
      <c r="GGS79" s="2805"/>
      <c r="GGT79" s="2805"/>
      <c r="GGU79" s="2805"/>
      <c r="GGV79" s="2805"/>
      <c r="GGW79" s="2805"/>
      <c r="GGX79" s="2805"/>
      <c r="GGY79" s="2805"/>
      <c r="GGZ79" s="2805"/>
      <c r="GHA79" s="2805"/>
      <c r="GHB79" s="2805"/>
      <c r="GHC79" s="2805"/>
      <c r="GHD79" s="2805"/>
      <c r="GHE79" s="2805"/>
      <c r="GHF79" s="2805"/>
      <c r="GHG79" s="2805"/>
      <c r="GHH79" s="2805"/>
      <c r="GHI79" s="2805"/>
      <c r="GHJ79" s="2805"/>
      <c r="GHK79" s="2805"/>
      <c r="GHL79" s="2805"/>
      <c r="GHM79" s="2805"/>
      <c r="GHN79" s="2805"/>
      <c r="GHO79" s="2805"/>
      <c r="GHP79" s="2805"/>
      <c r="GHQ79" s="2805"/>
      <c r="GHR79" s="2805"/>
      <c r="GHS79" s="2805"/>
      <c r="GHT79" s="2805"/>
      <c r="GHU79" s="2805"/>
      <c r="GHV79" s="2805"/>
      <c r="GHW79" s="2805"/>
      <c r="GHX79" s="2805"/>
      <c r="GHY79" s="2805"/>
      <c r="GHZ79" s="2805"/>
      <c r="GIA79" s="2805"/>
      <c r="GIB79" s="2805"/>
      <c r="GIC79" s="2805"/>
      <c r="GID79" s="2805"/>
      <c r="GIE79" s="2805"/>
      <c r="GIF79" s="2805"/>
      <c r="GIG79" s="2805"/>
      <c r="GIH79" s="2805"/>
      <c r="GII79" s="2805"/>
      <c r="GIJ79" s="2805"/>
      <c r="GIK79" s="2805"/>
      <c r="GIL79" s="2805"/>
      <c r="GIM79" s="2805"/>
      <c r="GIN79" s="2805"/>
      <c r="GIO79" s="2805"/>
      <c r="GIP79" s="2805"/>
      <c r="GIQ79" s="2805"/>
      <c r="GIR79" s="2805"/>
      <c r="GIS79" s="2805"/>
      <c r="GIT79" s="2805"/>
      <c r="GIU79" s="2805"/>
      <c r="GIV79" s="2805"/>
      <c r="GIW79" s="2805"/>
      <c r="GIX79" s="2805"/>
      <c r="GIY79" s="2805"/>
      <c r="GIZ79" s="2805"/>
      <c r="GJA79" s="2805"/>
      <c r="GJB79" s="2805"/>
      <c r="GJC79" s="2805"/>
      <c r="GJD79" s="2805"/>
      <c r="GJE79" s="2805"/>
      <c r="GJF79" s="2805"/>
      <c r="GJG79" s="2805"/>
      <c r="GJH79" s="2805"/>
      <c r="GJI79" s="2805"/>
      <c r="GJJ79" s="2805"/>
      <c r="GJK79" s="2805"/>
      <c r="GJL79" s="2805"/>
      <c r="GJM79" s="2805"/>
      <c r="GJN79" s="2805"/>
      <c r="GJO79" s="2805"/>
      <c r="GJP79" s="2805"/>
      <c r="GJQ79" s="2805"/>
      <c r="GJR79" s="2805"/>
      <c r="GJS79" s="2805"/>
      <c r="GJT79" s="2805"/>
      <c r="GJU79" s="2805"/>
      <c r="GJV79" s="2805"/>
      <c r="GJW79" s="2805"/>
      <c r="GJX79" s="2805"/>
      <c r="GJY79" s="2805"/>
      <c r="GJZ79" s="2805"/>
      <c r="GKA79" s="2805"/>
      <c r="GKB79" s="2805"/>
      <c r="GKC79" s="2805"/>
      <c r="GKD79" s="2805"/>
      <c r="GKE79" s="2805"/>
      <c r="GKF79" s="2805"/>
      <c r="GKG79" s="2805"/>
      <c r="GKH79" s="2805"/>
      <c r="GKI79" s="2805"/>
      <c r="GKJ79" s="2805"/>
      <c r="GKK79" s="2805"/>
      <c r="GKL79" s="2805"/>
      <c r="GKM79" s="2805"/>
      <c r="GKN79" s="2805"/>
      <c r="GKO79" s="2805"/>
      <c r="GKP79" s="2805"/>
      <c r="GKQ79" s="2805"/>
      <c r="GKR79" s="2805"/>
      <c r="GKS79" s="2805"/>
      <c r="GKT79" s="2805"/>
      <c r="GKU79" s="2805"/>
      <c r="GKV79" s="2805"/>
      <c r="GKW79" s="2805"/>
      <c r="GKX79" s="2805"/>
      <c r="GKY79" s="2805"/>
      <c r="GKZ79" s="2805"/>
      <c r="GLA79" s="2805"/>
      <c r="GLB79" s="2805"/>
      <c r="GLC79" s="2805"/>
      <c r="GLD79" s="2805"/>
      <c r="GLE79" s="2805"/>
      <c r="GLF79" s="2805"/>
      <c r="GLG79" s="2805"/>
      <c r="GLH79" s="2805"/>
      <c r="GLI79" s="2805"/>
      <c r="GLJ79" s="2805"/>
      <c r="GLK79" s="2805"/>
      <c r="GLL79" s="2805"/>
      <c r="GLM79" s="2805"/>
      <c r="GLN79" s="2805"/>
      <c r="GLO79" s="2805"/>
      <c r="GLP79" s="2805"/>
      <c r="GLQ79" s="2805"/>
      <c r="GLR79" s="2805"/>
      <c r="GLS79" s="2805"/>
      <c r="GLT79" s="2805"/>
      <c r="GLU79" s="2805"/>
      <c r="GLV79" s="2805"/>
      <c r="GLW79" s="2805"/>
      <c r="GLX79" s="2805"/>
      <c r="GLY79" s="2805"/>
      <c r="GLZ79" s="2805"/>
      <c r="GMA79" s="2805"/>
      <c r="GMB79" s="2805"/>
      <c r="GMC79" s="2805"/>
      <c r="GMD79" s="2805"/>
      <c r="GME79" s="2805"/>
      <c r="GMF79" s="2805"/>
      <c r="GMG79" s="2805"/>
      <c r="GMH79" s="2805"/>
      <c r="GMI79" s="2805"/>
      <c r="GMJ79" s="2805"/>
      <c r="GMK79" s="2805"/>
      <c r="GML79" s="2805"/>
      <c r="GMM79" s="2805"/>
      <c r="GMN79" s="2805"/>
      <c r="GMO79" s="2805"/>
      <c r="GMP79" s="2805"/>
      <c r="GMQ79" s="2805"/>
      <c r="GMR79" s="2805"/>
      <c r="GMS79" s="2805"/>
      <c r="GMT79" s="2805"/>
      <c r="GMU79" s="2805"/>
      <c r="GMV79" s="2805"/>
      <c r="GMW79" s="2805"/>
      <c r="GMX79" s="2805"/>
      <c r="GMY79" s="2805"/>
      <c r="GMZ79" s="2805"/>
      <c r="GNA79" s="2805"/>
      <c r="GNB79" s="2805"/>
      <c r="GNC79" s="2805"/>
      <c r="GND79" s="2805"/>
      <c r="GNE79" s="2805"/>
      <c r="GNF79" s="2805"/>
      <c r="GNG79" s="2805"/>
      <c r="GNH79" s="2805"/>
      <c r="GNI79" s="2805"/>
      <c r="GNJ79" s="2805"/>
      <c r="GNK79" s="2805"/>
      <c r="GNL79" s="2805"/>
      <c r="GNM79" s="2805"/>
      <c r="GNN79" s="2805"/>
      <c r="GNO79" s="2805"/>
      <c r="GNP79" s="2805"/>
      <c r="GNQ79" s="2805"/>
      <c r="GNR79" s="2805"/>
      <c r="GNS79" s="2805"/>
      <c r="GNT79" s="2805"/>
      <c r="GNU79" s="2805"/>
      <c r="GNV79" s="2805"/>
      <c r="GNW79" s="2805"/>
      <c r="GNX79" s="2805"/>
      <c r="GNY79" s="2805"/>
      <c r="GNZ79" s="2805"/>
      <c r="GOA79" s="2805"/>
      <c r="GOB79" s="2805"/>
      <c r="GOC79" s="2805"/>
      <c r="GOD79" s="2805"/>
      <c r="GOE79" s="2805"/>
      <c r="GOF79" s="2805"/>
      <c r="GOG79" s="2805"/>
      <c r="GOH79" s="2805"/>
      <c r="GOI79" s="2805"/>
      <c r="GOJ79" s="2805"/>
      <c r="GOK79" s="2805"/>
      <c r="GOL79" s="2805"/>
      <c r="GOM79" s="2805"/>
      <c r="GON79" s="2805"/>
      <c r="GOO79" s="2805"/>
      <c r="GOP79" s="2805"/>
      <c r="GOQ79" s="2805"/>
      <c r="GOR79" s="2805"/>
      <c r="GOS79" s="2805"/>
      <c r="GOT79" s="2805"/>
      <c r="GOU79" s="2805"/>
      <c r="GOV79" s="2805"/>
      <c r="GOW79" s="2805"/>
      <c r="GOX79" s="2805"/>
      <c r="GOY79" s="2805"/>
      <c r="GOZ79" s="2805"/>
      <c r="GPA79" s="2805"/>
      <c r="GPB79" s="2805"/>
      <c r="GPC79" s="2805"/>
      <c r="GPD79" s="2805"/>
      <c r="GPE79" s="2805"/>
      <c r="GPF79" s="2805"/>
      <c r="GPG79" s="2805"/>
      <c r="GPH79" s="2805"/>
      <c r="GPI79" s="2805"/>
      <c r="GPJ79" s="2805"/>
      <c r="GPK79" s="2805"/>
      <c r="GPL79" s="2805"/>
      <c r="GPM79" s="2805"/>
      <c r="GPN79" s="2805"/>
      <c r="GPO79" s="2805"/>
      <c r="GPP79" s="2805"/>
      <c r="GPQ79" s="2805"/>
      <c r="GPR79" s="2805"/>
      <c r="GPS79" s="2805"/>
      <c r="GPT79" s="2805"/>
      <c r="GPU79" s="2805"/>
      <c r="GPV79" s="2805"/>
      <c r="GPW79" s="2805"/>
      <c r="GPX79" s="2805"/>
      <c r="GPY79" s="2805"/>
      <c r="GPZ79" s="2805"/>
      <c r="GQA79" s="2805"/>
      <c r="GQB79" s="2805"/>
      <c r="GQC79" s="2805"/>
      <c r="GQD79" s="2805"/>
      <c r="GQE79" s="2805"/>
      <c r="GQF79" s="2805"/>
      <c r="GQG79" s="2805"/>
      <c r="GQH79" s="2805"/>
      <c r="GQI79" s="2805"/>
      <c r="GQJ79" s="2805"/>
      <c r="GQK79" s="2805"/>
      <c r="GQL79" s="2805"/>
      <c r="GQM79" s="2805"/>
      <c r="GQN79" s="2805"/>
      <c r="GQO79" s="2805"/>
      <c r="GQP79" s="2805"/>
      <c r="GQQ79" s="2805"/>
      <c r="GQR79" s="2805"/>
      <c r="GQS79" s="2805"/>
      <c r="GQT79" s="2805"/>
      <c r="GQU79" s="2805"/>
      <c r="GQV79" s="2805"/>
      <c r="GQW79" s="2805"/>
      <c r="GQX79" s="2805"/>
      <c r="GQY79" s="2805"/>
      <c r="GQZ79" s="2805"/>
      <c r="GRA79" s="2805"/>
      <c r="GRB79" s="2805"/>
      <c r="GRC79" s="2805"/>
      <c r="GRD79" s="2805"/>
      <c r="GRE79" s="2805"/>
      <c r="GRF79" s="2805"/>
      <c r="GRG79" s="2805"/>
      <c r="GRH79" s="2805"/>
      <c r="GRI79" s="2805"/>
      <c r="GRJ79" s="2805"/>
      <c r="GRK79" s="2805"/>
      <c r="GRL79" s="2805"/>
      <c r="GRM79" s="2805"/>
      <c r="GRN79" s="2805"/>
      <c r="GRO79" s="2805"/>
      <c r="GRP79" s="2805"/>
      <c r="GRQ79" s="2805"/>
      <c r="GRR79" s="2805"/>
      <c r="GRS79" s="2805"/>
      <c r="GRT79" s="2805"/>
      <c r="GRU79" s="2805"/>
      <c r="GRV79" s="2805"/>
      <c r="GRW79" s="2805"/>
      <c r="GRX79" s="2805"/>
      <c r="GRY79" s="2805"/>
      <c r="GRZ79" s="2805"/>
      <c r="GSA79" s="2805"/>
      <c r="GSB79" s="2805"/>
      <c r="GSC79" s="2805"/>
      <c r="GSD79" s="2805"/>
      <c r="GSE79" s="2805"/>
      <c r="GSF79" s="2805"/>
      <c r="GSG79" s="2805"/>
      <c r="GSH79" s="2805"/>
      <c r="GSI79" s="2805"/>
      <c r="GSJ79" s="2805"/>
      <c r="GSK79" s="2805"/>
      <c r="GSL79" s="2805"/>
      <c r="GSM79" s="2805"/>
      <c r="GSN79" s="2805"/>
      <c r="GSO79" s="2805"/>
      <c r="GSP79" s="2805"/>
      <c r="GSQ79" s="2805"/>
      <c r="GSR79" s="2805"/>
      <c r="GSS79" s="2805"/>
      <c r="GST79" s="2805"/>
      <c r="GSU79" s="2805"/>
      <c r="GSV79" s="2805"/>
      <c r="GSW79" s="2805"/>
      <c r="GSX79" s="2805"/>
      <c r="GSY79" s="2805"/>
      <c r="GSZ79" s="2805"/>
      <c r="GTA79" s="2805"/>
      <c r="GTB79" s="2805"/>
      <c r="GTC79" s="2805"/>
      <c r="GTD79" s="2805"/>
      <c r="GTE79" s="2805"/>
      <c r="GTF79" s="2805"/>
      <c r="GTG79" s="2805"/>
      <c r="GTH79" s="2805"/>
      <c r="GTI79" s="2805"/>
      <c r="GTJ79" s="2805"/>
      <c r="GTK79" s="2805"/>
      <c r="GTL79" s="2805"/>
      <c r="GTM79" s="2805"/>
      <c r="GTN79" s="2805"/>
      <c r="GTO79" s="2805"/>
      <c r="GTP79" s="2805"/>
      <c r="GTQ79" s="2805"/>
      <c r="GTR79" s="2805"/>
      <c r="GTS79" s="2805"/>
      <c r="GTT79" s="2805"/>
      <c r="GTU79" s="2805"/>
      <c r="GTV79" s="2805"/>
      <c r="GTW79" s="2805"/>
      <c r="GTX79" s="2805"/>
      <c r="GTY79" s="2805"/>
      <c r="GTZ79" s="2805"/>
      <c r="GUA79" s="2805"/>
      <c r="GUB79" s="2805"/>
      <c r="GUC79" s="2805"/>
      <c r="GUD79" s="2805"/>
      <c r="GUE79" s="2805"/>
      <c r="GUF79" s="2805"/>
      <c r="GUG79" s="2805"/>
      <c r="GUH79" s="2805"/>
      <c r="GUI79" s="2805"/>
      <c r="GUJ79" s="2805"/>
      <c r="GUK79" s="2805"/>
      <c r="GUL79" s="2805"/>
      <c r="GUM79" s="2805"/>
      <c r="GUN79" s="2805"/>
      <c r="GUO79" s="2805"/>
      <c r="GUP79" s="2805"/>
      <c r="GUQ79" s="2805"/>
      <c r="GUR79" s="2805"/>
      <c r="GUS79" s="2805"/>
      <c r="GUT79" s="2805"/>
      <c r="GUU79" s="2805"/>
      <c r="GUV79" s="2805"/>
      <c r="GUW79" s="2805"/>
      <c r="GUX79" s="2805"/>
      <c r="GUY79" s="2805"/>
      <c r="GUZ79" s="2805"/>
      <c r="GVA79" s="2805"/>
      <c r="GVB79" s="2805"/>
      <c r="GVC79" s="2805"/>
      <c r="GVD79" s="2805"/>
      <c r="GVE79" s="2805"/>
      <c r="GVF79" s="2805"/>
      <c r="GVG79" s="2805"/>
      <c r="GVH79" s="2805"/>
      <c r="GVI79" s="2805"/>
      <c r="GVJ79" s="2805"/>
      <c r="GVK79" s="2805"/>
      <c r="GVL79" s="2805"/>
      <c r="GVM79" s="2805"/>
      <c r="GVN79" s="2805"/>
      <c r="GVO79" s="2805"/>
      <c r="GVP79" s="2805"/>
      <c r="GVQ79" s="2805"/>
      <c r="GVR79" s="2805"/>
      <c r="GVS79" s="2805"/>
      <c r="GVT79" s="2805"/>
      <c r="GVU79" s="2805"/>
      <c r="GVV79" s="2805"/>
      <c r="GVW79" s="2805"/>
      <c r="GVX79" s="2805"/>
      <c r="GVY79" s="2805"/>
      <c r="GVZ79" s="2805"/>
      <c r="GWA79" s="2805"/>
      <c r="GWB79" s="2805"/>
      <c r="GWC79" s="2805"/>
      <c r="GWD79" s="2805"/>
      <c r="GWE79" s="2805"/>
      <c r="GWF79" s="2805"/>
      <c r="GWG79" s="2805"/>
      <c r="GWH79" s="2805"/>
      <c r="GWI79" s="2805"/>
      <c r="GWJ79" s="2805"/>
      <c r="GWK79" s="2805"/>
      <c r="GWL79" s="2805"/>
      <c r="GWM79" s="2805"/>
      <c r="GWN79" s="2805"/>
      <c r="GWO79" s="2805"/>
      <c r="GWP79" s="2805"/>
      <c r="GWQ79" s="2805"/>
      <c r="GWR79" s="2805"/>
      <c r="GWS79" s="2805"/>
      <c r="GWT79" s="2805"/>
      <c r="GWU79" s="2805"/>
      <c r="GWV79" s="2805"/>
      <c r="GWW79" s="2805"/>
      <c r="GWX79" s="2805"/>
      <c r="GWY79" s="2805"/>
      <c r="GWZ79" s="2805"/>
      <c r="GXA79" s="2805"/>
      <c r="GXB79" s="2805"/>
      <c r="GXC79" s="2805"/>
      <c r="GXD79" s="2805"/>
      <c r="GXE79" s="2805"/>
      <c r="GXF79" s="2805"/>
      <c r="GXG79" s="2805"/>
      <c r="GXH79" s="2805"/>
      <c r="GXI79" s="2805"/>
      <c r="GXJ79" s="2805"/>
      <c r="GXK79" s="2805"/>
      <c r="GXL79" s="2805"/>
      <c r="GXM79" s="2805"/>
      <c r="GXN79" s="2805"/>
      <c r="GXO79" s="2805"/>
      <c r="GXP79" s="2805"/>
      <c r="GXQ79" s="2805"/>
      <c r="GXR79" s="2805"/>
      <c r="GXS79" s="2805"/>
      <c r="GXT79" s="2805"/>
      <c r="GXU79" s="2805"/>
      <c r="GXV79" s="2805"/>
      <c r="GXW79" s="2805"/>
      <c r="GXX79" s="2805"/>
      <c r="GXY79" s="2805"/>
      <c r="GXZ79" s="2805"/>
      <c r="GYA79" s="2805"/>
      <c r="GYB79" s="2805"/>
      <c r="GYC79" s="2805"/>
      <c r="GYD79" s="2805"/>
      <c r="GYE79" s="2805"/>
      <c r="GYF79" s="2805"/>
      <c r="GYG79" s="2805"/>
      <c r="GYH79" s="2805"/>
      <c r="GYI79" s="2805"/>
      <c r="GYJ79" s="2805"/>
      <c r="GYK79" s="2805"/>
      <c r="GYL79" s="2805"/>
      <c r="GYM79" s="2805"/>
      <c r="GYN79" s="2805"/>
      <c r="GYO79" s="2805"/>
      <c r="GYP79" s="2805"/>
      <c r="GYQ79" s="2805"/>
      <c r="GYR79" s="2805"/>
      <c r="GYS79" s="2805"/>
      <c r="GYT79" s="2805"/>
      <c r="GYU79" s="2805"/>
      <c r="GYV79" s="2805"/>
      <c r="GYW79" s="2805"/>
      <c r="GYX79" s="2805"/>
      <c r="GYY79" s="2805"/>
      <c r="GYZ79" s="2805"/>
      <c r="GZA79" s="2805"/>
      <c r="GZB79" s="2805"/>
      <c r="GZC79" s="2805"/>
      <c r="GZD79" s="2805"/>
      <c r="GZE79" s="2805"/>
      <c r="GZF79" s="2805"/>
      <c r="GZG79" s="2805"/>
      <c r="GZH79" s="2805"/>
      <c r="GZI79" s="2805"/>
      <c r="GZJ79" s="2805"/>
      <c r="GZK79" s="2805"/>
      <c r="GZL79" s="2805"/>
      <c r="GZM79" s="2805"/>
      <c r="GZN79" s="2805"/>
      <c r="GZO79" s="2805"/>
      <c r="GZP79" s="2805"/>
      <c r="GZQ79" s="2805"/>
      <c r="GZR79" s="2805"/>
      <c r="GZS79" s="2805"/>
      <c r="GZT79" s="2805"/>
      <c r="GZU79" s="2805"/>
      <c r="GZV79" s="2805"/>
      <c r="GZW79" s="2805"/>
      <c r="GZX79" s="2805"/>
      <c r="GZY79" s="2805"/>
      <c r="GZZ79" s="2805"/>
      <c r="HAA79" s="2805"/>
      <c r="HAB79" s="2805"/>
      <c r="HAC79" s="2805"/>
      <c r="HAD79" s="2805"/>
      <c r="HAE79" s="2805"/>
      <c r="HAF79" s="2805"/>
      <c r="HAG79" s="2805"/>
      <c r="HAH79" s="2805"/>
      <c r="HAI79" s="2805"/>
      <c r="HAJ79" s="2805"/>
      <c r="HAK79" s="2805"/>
      <c r="HAL79" s="2805"/>
      <c r="HAM79" s="2805"/>
      <c r="HAN79" s="2805"/>
      <c r="HAO79" s="2805"/>
      <c r="HAP79" s="2805"/>
      <c r="HAQ79" s="2805"/>
      <c r="HAR79" s="2805"/>
      <c r="HAS79" s="2805"/>
      <c r="HAT79" s="2805"/>
      <c r="HAU79" s="2805"/>
      <c r="HAV79" s="2805"/>
      <c r="HAW79" s="2805"/>
      <c r="HAX79" s="2805"/>
      <c r="HAY79" s="2805"/>
      <c r="HAZ79" s="2805"/>
      <c r="HBA79" s="2805"/>
      <c r="HBB79" s="2805"/>
      <c r="HBC79" s="2805"/>
      <c r="HBD79" s="2805"/>
      <c r="HBE79" s="2805"/>
      <c r="HBF79" s="2805"/>
      <c r="HBG79" s="2805"/>
      <c r="HBH79" s="2805"/>
      <c r="HBI79" s="2805"/>
      <c r="HBJ79" s="2805"/>
      <c r="HBK79" s="2805"/>
      <c r="HBL79" s="2805"/>
      <c r="HBM79" s="2805"/>
      <c r="HBN79" s="2805"/>
      <c r="HBO79" s="2805"/>
      <c r="HBP79" s="2805"/>
      <c r="HBQ79" s="2805"/>
      <c r="HBR79" s="2805"/>
      <c r="HBS79" s="2805"/>
      <c r="HBT79" s="2805"/>
      <c r="HBU79" s="2805"/>
      <c r="HBV79" s="2805"/>
      <c r="HBW79" s="2805"/>
      <c r="HBX79" s="2805"/>
      <c r="HBY79" s="2805"/>
      <c r="HBZ79" s="2805"/>
      <c r="HCA79" s="2805"/>
      <c r="HCB79" s="2805"/>
      <c r="HCC79" s="2805"/>
      <c r="HCD79" s="2805"/>
      <c r="HCE79" s="2805"/>
      <c r="HCF79" s="2805"/>
      <c r="HCG79" s="2805"/>
      <c r="HCH79" s="2805"/>
      <c r="HCI79" s="2805"/>
      <c r="HCJ79" s="2805"/>
      <c r="HCK79" s="2805"/>
      <c r="HCL79" s="2805"/>
      <c r="HCM79" s="2805"/>
      <c r="HCN79" s="2805"/>
      <c r="HCO79" s="2805"/>
      <c r="HCP79" s="2805"/>
      <c r="HCQ79" s="2805"/>
      <c r="HCR79" s="2805"/>
      <c r="HCS79" s="2805"/>
      <c r="HCT79" s="2805"/>
      <c r="HCU79" s="2805"/>
      <c r="HCV79" s="2805"/>
      <c r="HCW79" s="2805"/>
      <c r="HCX79" s="2805"/>
      <c r="HCY79" s="2805"/>
      <c r="HCZ79" s="2805"/>
      <c r="HDA79" s="2805"/>
      <c r="HDB79" s="2805"/>
      <c r="HDC79" s="2805"/>
      <c r="HDD79" s="2805"/>
      <c r="HDE79" s="2805"/>
      <c r="HDF79" s="2805"/>
      <c r="HDG79" s="2805"/>
      <c r="HDH79" s="2805"/>
      <c r="HDI79" s="2805"/>
      <c r="HDJ79" s="2805"/>
      <c r="HDK79" s="2805"/>
      <c r="HDL79" s="2805"/>
      <c r="HDM79" s="2805"/>
      <c r="HDN79" s="2805"/>
      <c r="HDO79" s="2805"/>
      <c r="HDP79" s="2805"/>
      <c r="HDQ79" s="2805"/>
      <c r="HDR79" s="2805"/>
      <c r="HDS79" s="2805"/>
      <c r="HDT79" s="2805"/>
      <c r="HDU79" s="2805"/>
      <c r="HDV79" s="2805"/>
      <c r="HDW79" s="2805"/>
      <c r="HDX79" s="2805"/>
      <c r="HDY79" s="2805"/>
      <c r="HDZ79" s="2805"/>
      <c r="HEA79" s="2805"/>
      <c r="HEB79" s="2805"/>
      <c r="HEC79" s="2805"/>
      <c r="HED79" s="2805"/>
      <c r="HEE79" s="2805"/>
      <c r="HEF79" s="2805"/>
      <c r="HEG79" s="2805"/>
      <c r="HEH79" s="2805"/>
      <c r="HEI79" s="2805"/>
      <c r="HEJ79" s="2805"/>
      <c r="HEK79" s="2805"/>
      <c r="HEL79" s="2805"/>
      <c r="HEM79" s="2805"/>
      <c r="HEN79" s="2805"/>
      <c r="HEO79" s="2805"/>
      <c r="HEP79" s="2805"/>
      <c r="HEQ79" s="2805"/>
      <c r="HER79" s="2805"/>
      <c r="HES79" s="2805"/>
      <c r="HET79" s="2805"/>
      <c r="HEU79" s="2805"/>
      <c r="HEV79" s="2805"/>
      <c r="HEW79" s="2805"/>
      <c r="HEX79" s="2805"/>
      <c r="HEY79" s="2805"/>
      <c r="HEZ79" s="2805"/>
      <c r="HFA79" s="2805"/>
      <c r="HFB79" s="2805"/>
      <c r="HFC79" s="2805"/>
      <c r="HFD79" s="2805"/>
      <c r="HFE79" s="2805"/>
      <c r="HFF79" s="2805"/>
      <c r="HFG79" s="2805"/>
      <c r="HFH79" s="2805"/>
      <c r="HFI79" s="2805"/>
      <c r="HFJ79" s="2805"/>
      <c r="HFK79" s="2805"/>
      <c r="HFL79" s="2805"/>
      <c r="HFM79" s="2805"/>
      <c r="HFN79" s="2805"/>
      <c r="HFO79" s="2805"/>
      <c r="HFP79" s="2805"/>
      <c r="HFQ79" s="2805"/>
      <c r="HFR79" s="2805"/>
      <c r="HFS79" s="2805"/>
      <c r="HFT79" s="2805"/>
      <c r="HFU79" s="2805"/>
      <c r="HFV79" s="2805"/>
      <c r="HFW79" s="2805"/>
      <c r="HFX79" s="2805"/>
      <c r="HFY79" s="2805"/>
      <c r="HFZ79" s="2805"/>
      <c r="HGA79" s="2805"/>
      <c r="HGB79" s="2805"/>
      <c r="HGC79" s="2805"/>
      <c r="HGD79" s="2805"/>
      <c r="HGE79" s="2805"/>
      <c r="HGF79" s="2805"/>
      <c r="HGG79" s="2805"/>
      <c r="HGH79" s="2805"/>
      <c r="HGI79" s="2805"/>
      <c r="HGJ79" s="2805"/>
      <c r="HGK79" s="2805"/>
      <c r="HGL79" s="2805"/>
      <c r="HGM79" s="2805"/>
      <c r="HGN79" s="2805"/>
      <c r="HGO79" s="2805"/>
      <c r="HGP79" s="2805"/>
      <c r="HGQ79" s="2805"/>
      <c r="HGR79" s="2805"/>
      <c r="HGS79" s="2805"/>
      <c r="HGT79" s="2805"/>
      <c r="HGU79" s="2805"/>
      <c r="HGV79" s="2805"/>
      <c r="HGW79" s="2805"/>
      <c r="HGX79" s="2805"/>
      <c r="HGY79" s="2805"/>
      <c r="HGZ79" s="2805"/>
      <c r="HHA79" s="2805"/>
      <c r="HHB79" s="2805"/>
      <c r="HHC79" s="2805"/>
      <c r="HHD79" s="2805"/>
      <c r="HHE79" s="2805"/>
      <c r="HHF79" s="2805"/>
      <c r="HHG79" s="2805"/>
      <c r="HHH79" s="2805"/>
      <c r="HHI79" s="2805"/>
      <c r="HHJ79" s="2805"/>
      <c r="HHK79" s="2805"/>
      <c r="HHL79" s="2805"/>
      <c r="HHM79" s="2805"/>
      <c r="HHN79" s="2805"/>
      <c r="HHO79" s="2805"/>
      <c r="HHP79" s="2805"/>
      <c r="HHQ79" s="2805"/>
      <c r="HHR79" s="2805"/>
      <c r="HHS79" s="2805"/>
      <c r="HHT79" s="2805"/>
      <c r="HHU79" s="2805"/>
      <c r="HHV79" s="2805"/>
      <c r="HHW79" s="2805"/>
      <c r="HHX79" s="2805"/>
      <c r="HHY79" s="2805"/>
      <c r="HHZ79" s="2805"/>
      <c r="HIA79" s="2805"/>
      <c r="HIB79" s="2805"/>
      <c r="HIC79" s="2805"/>
      <c r="HID79" s="2805"/>
      <c r="HIE79" s="2805"/>
      <c r="HIF79" s="2805"/>
      <c r="HIG79" s="2805"/>
      <c r="HIH79" s="2805"/>
      <c r="HII79" s="2805"/>
      <c r="HIJ79" s="2805"/>
      <c r="HIK79" s="2805"/>
      <c r="HIL79" s="2805"/>
      <c r="HIM79" s="2805"/>
      <c r="HIN79" s="2805"/>
      <c r="HIO79" s="2805"/>
      <c r="HIP79" s="2805"/>
      <c r="HIQ79" s="2805"/>
      <c r="HIR79" s="2805"/>
      <c r="HIS79" s="2805"/>
      <c r="HIT79" s="2805"/>
      <c r="HIU79" s="2805"/>
      <c r="HIV79" s="2805"/>
      <c r="HIW79" s="2805"/>
      <c r="HIX79" s="2805"/>
      <c r="HIY79" s="2805"/>
      <c r="HIZ79" s="2805"/>
      <c r="HJA79" s="2805"/>
      <c r="HJB79" s="2805"/>
      <c r="HJC79" s="2805"/>
      <c r="HJD79" s="2805"/>
      <c r="HJE79" s="2805"/>
      <c r="HJF79" s="2805"/>
      <c r="HJG79" s="2805"/>
      <c r="HJH79" s="2805"/>
      <c r="HJI79" s="2805"/>
      <c r="HJJ79" s="2805"/>
      <c r="HJK79" s="2805"/>
      <c r="HJL79" s="2805"/>
      <c r="HJM79" s="2805"/>
      <c r="HJN79" s="2805"/>
      <c r="HJO79" s="2805"/>
      <c r="HJP79" s="2805"/>
      <c r="HJQ79" s="2805"/>
      <c r="HJR79" s="2805"/>
      <c r="HJS79" s="2805"/>
      <c r="HJT79" s="2805"/>
      <c r="HJU79" s="2805"/>
      <c r="HJV79" s="2805"/>
      <c r="HJW79" s="2805"/>
      <c r="HJX79" s="2805"/>
      <c r="HJY79" s="2805"/>
      <c r="HJZ79" s="2805"/>
      <c r="HKA79" s="2805"/>
      <c r="HKB79" s="2805"/>
      <c r="HKC79" s="2805"/>
      <c r="HKD79" s="2805"/>
      <c r="HKE79" s="2805"/>
      <c r="HKF79" s="2805"/>
      <c r="HKG79" s="2805"/>
      <c r="HKH79" s="2805"/>
      <c r="HKI79" s="2805"/>
      <c r="HKJ79" s="2805"/>
      <c r="HKK79" s="2805"/>
      <c r="HKL79" s="2805"/>
      <c r="HKM79" s="2805"/>
      <c r="HKN79" s="2805"/>
      <c r="HKO79" s="2805"/>
      <c r="HKP79" s="2805"/>
      <c r="HKQ79" s="2805"/>
      <c r="HKR79" s="2805"/>
      <c r="HKS79" s="2805"/>
      <c r="HKT79" s="2805"/>
      <c r="HKU79" s="2805"/>
      <c r="HKV79" s="2805"/>
      <c r="HKW79" s="2805"/>
      <c r="HKX79" s="2805"/>
      <c r="HKY79" s="2805"/>
      <c r="HKZ79" s="2805"/>
      <c r="HLA79" s="2805"/>
      <c r="HLB79" s="2805"/>
      <c r="HLC79" s="2805"/>
      <c r="HLD79" s="2805"/>
      <c r="HLE79" s="2805"/>
      <c r="HLF79" s="2805"/>
      <c r="HLG79" s="2805"/>
      <c r="HLH79" s="2805"/>
      <c r="HLI79" s="2805"/>
      <c r="HLJ79" s="2805"/>
      <c r="HLK79" s="2805"/>
      <c r="HLL79" s="2805"/>
      <c r="HLM79" s="2805"/>
      <c r="HLN79" s="2805"/>
      <c r="HLO79" s="2805"/>
      <c r="HLP79" s="2805"/>
      <c r="HLQ79" s="2805"/>
      <c r="HLR79" s="2805"/>
      <c r="HLS79" s="2805"/>
      <c r="HLT79" s="2805"/>
      <c r="HLU79" s="2805"/>
      <c r="HLV79" s="2805"/>
      <c r="HLW79" s="2805"/>
      <c r="HLX79" s="2805"/>
      <c r="HLY79" s="2805"/>
      <c r="HLZ79" s="2805"/>
      <c r="HMA79" s="2805"/>
      <c r="HMB79" s="2805"/>
      <c r="HMC79" s="2805"/>
      <c r="HMD79" s="2805"/>
      <c r="HME79" s="2805"/>
      <c r="HMF79" s="2805"/>
      <c r="HMG79" s="2805"/>
      <c r="HMH79" s="2805"/>
      <c r="HMI79" s="2805"/>
      <c r="HMJ79" s="2805"/>
      <c r="HMK79" s="2805"/>
      <c r="HML79" s="2805"/>
      <c r="HMM79" s="2805"/>
      <c r="HMN79" s="2805"/>
      <c r="HMO79" s="2805"/>
      <c r="HMP79" s="2805"/>
      <c r="HMQ79" s="2805"/>
      <c r="HMR79" s="2805"/>
      <c r="HMS79" s="2805"/>
      <c r="HMT79" s="2805"/>
      <c r="HMU79" s="2805"/>
      <c r="HMV79" s="2805"/>
      <c r="HMW79" s="2805"/>
      <c r="HMX79" s="2805"/>
      <c r="HMY79" s="2805"/>
      <c r="HMZ79" s="2805"/>
      <c r="HNA79" s="2805"/>
      <c r="HNB79" s="2805"/>
      <c r="HNC79" s="2805"/>
      <c r="HND79" s="2805"/>
      <c r="HNE79" s="2805"/>
      <c r="HNF79" s="2805"/>
      <c r="HNG79" s="2805"/>
      <c r="HNH79" s="2805"/>
      <c r="HNI79" s="2805"/>
      <c r="HNJ79" s="2805"/>
      <c r="HNK79" s="2805"/>
      <c r="HNL79" s="2805"/>
      <c r="HNM79" s="2805"/>
      <c r="HNN79" s="2805"/>
      <c r="HNO79" s="2805"/>
      <c r="HNP79" s="2805"/>
      <c r="HNQ79" s="2805"/>
      <c r="HNR79" s="2805"/>
      <c r="HNS79" s="2805"/>
      <c r="HNT79" s="2805"/>
      <c r="HNU79" s="2805"/>
      <c r="HNV79" s="2805"/>
      <c r="HNW79" s="2805"/>
      <c r="HNX79" s="2805"/>
      <c r="HNY79" s="2805"/>
      <c r="HNZ79" s="2805"/>
      <c r="HOA79" s="2805"/>
      <c r="HOB79" s="2805"/>
      <c r="HOC79" s="2805"/>
      <c r="HOD79" s="2805"/>
      <c r="HOE79" s="2805"/>
      <c r="HOF79" s="2805"/>
      <c r="HOG79" s="2805"/>
      <c r="HOH79" s="2805"/>
      <c r="HOI79" s="2805"/>
      <c r="HOJ79" s="2805"/>
      <c r="HOK79" s="2805"/>
      <c r="HOL79" s="2805"/>
      <c r="HOM79" s="2805"/>
      <c r="HON79" s="2805"/>
      <c r="HOO79" s="2805"/>
      <c r="HOP79" s="2805"/>
      <c r="HOQ79" s="2805"/>
      <c r="HOR79" s="2805"/>
      <c r="HOS79" s="2805"/>
      <c r="HOT79" s="2805"/>
      <c r="HOU79" s="2805"/>
      <c r="HOV79" s="2805"/>
      <c r="HOW79" s="2805"/>
      <c r="HOX79" s="2805"/>
      <c r="HOY79" s="2805"/>
      <c r="HOZ79" s="2805"/>
      <c r="HPA79" s="2805"/>
      <c r="HPB79" s="2805"/>
      <c r="HPC79" s="2805"/>
      <c r="HPD79" s="2805"/>
      <c r="HPE79" s="2805"/>
      <c r="HPF79" s="2805"/>
      <c r="HPG79" s="2805"/>
      <c r="HPH79" s="2805"/>
      <c r="HPI79" s="2805"/>
      <c r="HPJ79" s="2805"/>
      <c r="HPK79" s="2805"/>
      <c r="HPL79" s="2805"/>
      <c r="HPM79" s="2805"/>
      <c r="HPN79" s="2805"/>
      <c r="HPO79" s="2805"/>
      <c r="HPP79" s="2805"/>
      <c r="HPQ79" s="2805"/>
      <c r="HPR79" s="2805"/>
      <c r="HPS79" s="2805"/>
      <c r="HPT79" s="2805"/>
      <c r="HPU79" s="2805"/>
      <c r="HPV79" s="2805"/>
      <c r="HPW79" s="2805"/>
      <c r="HPX79" s="2805"/>
      <c r="HPY79" s="2805"/>
      <c r="HPZ79" s="2805"/>
      <c r="HQA79" s="2805"/>
      <c r="HQB79" s="2805"/>
      <c r="HQC79" s="2805"/>
      <c r="HQD79" s="2805"/>
      <c r="HQE79" s="2805"/>
      <c r="HQF79" s="2805"/>
      <c r="HQG79" s="2805"/>
      <c r="HQH79" s="2805"/>
      <c r="HQI79" s="2805"/>
      <c r="HQJ79" s="2805"/>
      <c r="HQK79" s="2805"/>
      <c r="HQL79" s="2805"/>
      <c r="HQM79" s="2805"/>
      <c r="HQN79" s="2805"/>
      <c r="HQO79" s="2805"/>
      <c r="HQP79" s="2805"/>
      <c r="HQQ79" s="2805"/>
      <c r="HQR79" s="2805"/>
      <c r="HQS79" s="2805"/>
      <c r="HQT79" s="2805"/>
      <c r="HQU79" s="2805"/>
      <c r="HQV79" s="2805"/>
      <c r="HQW79" s="2805"/>
      <c r="HQX79" s="2805"/>
      <c r="HQY79" s="2805"/>
      <c r="HQZ79" s="2805"/>
      <c r="HRA79" s="2805"/>
      <c r="HRB79" s="2805"/>
      <c r="HRC79" s="2805"/>
      <c r="HRD79" s="2805"/>
      <c r="HRE79" s="2805"/>
      <c r="HRF79" s="2805"/>
      <c r="HRG79" s="2805"/>
      <c r="HRH79" s="2805"/>
      <c r="HRI79" s="2805"/>
      <c r="HRJ79" s="2805"/>
      <c r="HRK79" s="2805"/>
      <c r="HRL79" s="2805"/>
      <c r="HRM79" s="2805"/>
      <c r="HRN79" s="2805"/>
      <c r="HRO79" s="2805"/>
      <c r="HRP79" s="2805"/>
      <c r="HRQ79" s="2805"/>
      <c r="HRR79" s="2805"/>
      <c r="HRS79" s="2805"/>
      <c r="HRT79" s="2805"/>
      <c r="HRU79" s="2805"/>
      <c r="HRV79" s="2805"/>
      <c r="HRW79" s="2805"/>
      <c r="HRX79" s="2805"/>
      <c r="HRY79" s="2805"/>
      <c r="HRZ79" s="2805"/>
      <c r="HSA79" s="2805"/>
      <c r="HSB79" s="2805"/>
      <c r="HSC79" s="2805"/>
      <c r="HSD79" s="2805"/>
      <c r="HSE79" s="2805"/>
      <c r="HSF79" s="2805"/>
      <c r="HSG79" s="2805"/>
      <c r="HSH79" s="2805"/>
      <c r="HSI79" s="2805"/>
      <c r="HSJ79" s="2805"/>
      <c r="HSK79" s="2805"/>
      <c r="HSL79" s="2805"/>
      <c r="HSM79" s="2805"/>
      <c r="HSN79" s="2805"/>
      <c r="HSO79" s="2805"/>
      <c r="HSP79" s="2805"/>
      <c r="HSQ79" s="2805"/>
      <c r="HSR79" s="2805"/>
      <c r="HSS79" s="2805"/>
      <c r="HST79" s="2805"/>
      <c r="HSU79" s="2805"/>
      <c r="HSV79" s="2805"/>
      <c r="HSW79" s="2805"/>
      <c r="HSX79" s="2805"/>
      <c r="HSY79" s="2805"/>
      <c r="HSZ79" s="2805"/>
      <c r="HTA79" s="2805"/>
      <c r="HTB79" s="2805"/>
      <c r="HTC79" s="2805"/>
      <c r="HTD79" s="2805"/>
      <c r="HTE79" s="2805"/>
      <c r="HTF79" s="2805"/>
      <c r="HTG79" s="2805"/>
      <c r="HTH79" s="2805"/>
      <c r="HTI79" s="2805"/>
      <c r="HTJ79" s="2805"/>
      <c r="HTK79" s="2805"/>
      <c r="HTL79" s="2805"/>
      <c r="HTM79" s="2805"/>
      <c r="HTN79" s="2805"/>
      <c r="HTO79" s="2805"/>
      <c r="HTP79" s="2805"/>
      <c r="HTQ79" s="2805"/>
      <c r="HTR79" s="2805"/>
      <c r="HTS79" s="2805"/>
      <c r="HTT79" s="2805"/>
      <c r="HTU79" s="2805"/>
      <c r="HTV79" s="2805"/>
      <c r="HTW79" s="2805"/>
      <c r="HTX79" s="2805"/>
      <c r="HTY79" s="2805"/>
      <c r="HTZ79" s="2805"/>
      <c r="HUA79" s="2805"/>
      <c r="HUB79" s="2805"/>
      <c r="HUC79" s="2805"/>
      <c r="HUD79" s="2805"/>
      <c r="HUE79" s="2805"/>
      <c r="HUF79" s="2805"/>
      <c r="HUG79" s="2805"/>
      <c r="HUH79" s="2805"/>
      <c r="HUI79" s="2805"/>
      <c r="HUJ79" s="2805"/>
      <c r="HUK79" s="2805"/>
      <c r="HUL79" s="2805"/>
      <c r="HUM79" s="2805"/>
      <c r="HUN79" s="2805"/>
      <c r="HUO79" s="2805"/>
      <c r="HUP79" s="2805"/>
      <c r="HUQ79" s="2805"/>
      <c r="HUR79" s="2805"/>
      <c r="HUS79" s="2805"/>
      <c r="HUT79" s="2805"/>
      <c r="HUU79" s="2805"/>
      <c r="HUV79" s="2805"/>
      <c r="HUW79" s="2805"/>
      <c r="HUX79" s="2805"/>
      <c r="HUY79" s="2805"/>
      <c r="HUZ79" s="2805"/>
      <c r="HVA79" s="2805"/>
      <c r="HVB79" s="2805"/>
      <c r="HVC79" s="2805"/>
      <c r="HVD79" s="2805"/>
      <c r="HVE79" s="2805"/>
      <c r="HVF79" s="2805"/>
      <c r="HVG79" s="2805"/>
      <c r="HVH79" s="2805"/>
      <c r="HVI79" s="2805"/>
      <c r="HVJ79" s="2805"/>
      <c r="HVK79" s="2805"/>
      <c r="HVL79" s="2805"/>
      <c r="HVM79" s="2805"/>
      <c r="HVN79" s="2805"/>
      <c r="HVO79" s="2805"/>
      <c r="HVP79" s="2805"/>
      <c r="HVQ79" s="2805"/>
      <c r="HVR79" s="2805"/>
      <c r="HVS79" s="2805"/>
      <c r="HVT79" s="2805"/>
      <c r="HVU79" s="2805"/>
      <c r="HVV79" s="2805"/>
      <c r="HVW79" s="2805"/>
      <c r="HVX79" s="2805"/>
      <c r="HVY79" s="2805"/>
      <c r="HVZ79" s="2805"/>
      <c r="HWA79" s="2805"/>
      <c r="HWB79" s="2805"/>
      <c r="HWC79" s="2805"/>
      <c r="HWD79" s="2805"/>
      <c r="HWE79" s="2805"/>
      <c r="HWF79" s="2805"/>
      <c r="HWG79" s="2805"/>
      <c r="HWH79" s="2805"/>
      <c r="HWI79" s="2805"/>
      <c r="HWJ79" s="2805"/>
      <c r="HWK79" s="2805"/>
      <c r="HWL79" s="2805"/>
      <c r="HWM79" s="2805"/>
      <c r="HWN79" s="2805"/>
      <c r="HWO79" s="2805"/>
      <c r="HWP79" s="2805"/>
      <c r="HWQ79" s="2805"/>
      <c r="HWR79" s="2805"/>
      <c r="HWS79" s="2805"/>
      <c r="HWT79" s="2805"/>
      <c r="HWU79" s="2805"/>
      <c r="HWV79" s="2805"/>
      <c r="HWW79" s="2805"/>
      <c r="HWX79" s="2805"/>
      <c r="HWY79" s="2805"/>
      <c r="HWZ79" s="2805"/>
      <c r="HXA79" s="2805"/>
      <c r="HXB79" s="2805"/>
      <c r="HXC79" s="2805"/>
      <c r="HXD79" s="2805"/>
      <c r="HXE79" s="2805"/>
      <c r="HXF79" s="2805"/>
      <c r="HXG79" s="2805"/>
      <c r="HXH79" s="2805"/>
      <c r="HXI79" s="2805"/>
      <c r="HXJ79" s="2805"/>
      <c r="HXK79" s="2805"/>
      <c r="HXL79" s="2805"/>
      <c r="HXM79" s="2805"/>
      <c r="HXN79" s="2805"/>
      <c r="HXO79" s="2805"/>
      <c r="HXP79" s="2805"/>
      <c r="HXQ79" s="2805"/>
      <c r="HXR79" s="2805"/>
      <c r="HXS79" s="2805"/>
      <c r="HXT79" s="2805"/>
      <c r="HXU79" s="2805"/>
      <c r="HXV79" s="2805"/>
      <c r="HXW79" s="2805"/>
      <c r="HXX79" s="2805"/>
      <c r="HXY79" s="2805"/>
      <c r="HXZ79" s="2805"/>
      <c r="HYA79" s="2805"/>
      <c r="HYB79" s="2805"/>
      <c r="HYC79" s="2805"/>
      <c r="HYD79" s="2805"/>
      <c r="HYE79" s="2805"/>
      <c r="HYF79" s="2805"/>
      <c r="HYG79" s="2805"/>
      <c r="HYH79" s="2805"/>
      <c r="HYI79" s="2805"/>
      <c r="HYJ79" s="2805"/>
      <c r="HYK79" s="2805"/>
      <c r="HYL79" s="2805"/>
      <c r="HYM79" s="2805"/>
      <c r="HYN79" s="2805"/>
      <c r="HYO79" s="2805"/>
      <c r="HYP79" s="2805"/>
      <c r="HYQ79" s="2805"/>
      <c r="HYR79" s="2805"/>
      <c r="HYS79" s="2805"/>
      <c r="HYT79" s="2805"/>
      <c r="HYU79" s="2805"/>
      <c r="HYV79" s="2805"/>
      <c r="HYW79" s="2805"/>
      <c r="HYX79" s="2805"/>
      <c r="HYY79" s="2805"/>
      <c r="HYZ79" s="2805"/>
      <c r="HZA79" s="2805"/>
      <c r="HZB79" s="2805"/>
      <c r="HZC79" s="2805"/>
      <c r="HZD79" s="2805"/>
      <c r="HZE79" s="2805"/>
      <c r="HZF79" s="2805"/>
      <c r="HZG79" s="2805"/>
      <c r="HZH79" s="2805"/>
      <c r="HZI79" s="2805"/>
      <c r="HZJ79" s="2805"/>
      <c r="HZK79" s="2805"/>
      <c r="HZL79" s="2805"/>
      <c r="HZM79" s="2805"/>
      <c r="HZN79" s="2805"/>
      <c r="HZO79" s="2805"/>
      <c r="HZP79" s="2805"/>
      <c r="HZQ79" s="2805"/>
      <c r="HZR79" s="2805"/>
      <c r="HZS79" s="2805"/>
      <c r="HZT79" s="2805"/>
      <c r="HZU79" s="2805"/>
      <c r="HZV79" s="2805"/>
      <c r="HZW79" s="2805"/>
      <c r="HZX79" s="2805"/>
      <c r="HZY79" s="2805"/>
      <c r="HZZ79" s="2805"/>
      <c r="IAA79" s="2805"/>
      <c r="IAB79" s="2805"/>
      <c r="IAC79" s="2805"/>
      <c r="IAD79" s="2805"/>
      <c r="IAE79" s="2805"/>
      <c r="IAF79" s="2805"/>
      <c r="IAG79" s="2805"/>
      <c r="IAH79" s="2805"/>
      <c r="IAI79" s="2805"/>
      <c r="IAJ79" s="2805"/>
      <c r="IAK79" s="2805"/>
      <c r="IAL79" s="2805"/>
      <c r="IAM79" s="2805"/>
      <c r="IAN79" s="2805"/>
      <c r="IAO79" s="2805"/>
      <c r="IAP79" s="2805"/>
      <c r="IAQ79" s="2805"/>
      <c r="IAR79" s="2805"/>
      <c r="IAS79" s="2805"/>
      <c r="IAT79" s="2805"/>
      <c r="IAU79" s="2805"/>
      <c r="IAV79" s="2805"/>
      <c r="IAW79" s="2805"/>
      <c r="IAX79" s="2805"/>
      <c r="IAY79" s="2805"/>
      <c r="IAZ79" s="2805"/>
      <c r="IBA79" s="2805"/>
      <c r="IBB79" s="2805"/>
      <c r="IBC79" s="2805"/>
      <c r="IBD79" s="2805"/>
      <c r="IBE79" s="2805"/>
      <c r="IBF79" s="2805"/>
      <c r="IBG79" s="2805"/>
      <c r="IBH79" s="2805"/>
      <c r="IBI79" s="2805"/>
      <c r="IBJ79" s="2805"/>
      <c r="IBK79" s="2805"/>
      <c r="IBL79" s="2805"/>
      <c r="IBM79" s="2805"/>
      <c r="IBN79" s="2805"/>
      <c r="IBO79" s="2805"/>
      <c r="IBP79" s="2805"/>
      <c r="IBQ79" s="2805"/>
      <c r="IBR79" s="2805"/>
      <c r="IBS79" s="2805"/>
      <c r="IBT79" s="2805"/>
      <c r="IBU79" s="2805"/>
      <c r="IBV79" s="2805"/>
      <c r="IBW79" s="2805"/>
      <c r="IBX79" s="2805"/>
      <c r="IBY79" s="2805"/>
      <c r="IBZ79" s="2805"/>
      <c r="ICA79" s="2805"/>
      <c r="ICB79" s="2805"/>
      <c r="ICC79" s="2805"/>
      <c r="ICD79" s="2805"/>
      <c r="ICE79" s="2805"/>
      <c r="ICF79" s="2805"/>
      <c r="ICG79" s="2805"/>
      <c r="ICH79" s="2805"/>
      <c r="ICI79" s="2805"/>
      <c r="ICJ79" s="2805"/>
      <c r="ICK79" s="2805"/>
      <c r="ICL79" s="2805"/>
      <c r="ICM79" s="2805"/>
      <c r="ICN79" s="2805"/>
      <c r="ICO79" s="2805"/>
      <c r="ICP79" s="2805"/>
      <c r="ICQ79" s="2805"/>
      <c r="ICR79" s="2805"/>
      <c r="ICS79" s="2805"/>
      <c r="ICT79" s="2805"/>
      <c r="ICU79" s="2805"/>
      <c r="ICV79" s="2805"/>
      <c r="ICW79" s="2805"/>
      <c r="ICX79" s="2805"/>
      <c r="ICY79" s="2805"/>
      <c r="ICZ79" s="2805"/>
      <c r="IDA79" s="2805"/>
      <c r="IDB79" s="2805"/>
      <c r="IDC79" s="2805"/>
      <c r="IDD79" s="2805"/>
      <c r="IDE79" s="2805"/>
      <c r="IDF79" s="2805"/>
      <c r="IDG79" s="2805"/>
      <c r="IDH79" s="2805"/>
      <c r="IDI79" s="2805"/>
      <c r="IDJ79" s="2805"/>
      <c r="IDK79" s="2805"/>
      <c r="IDL79" s="2805"/>
      <c r="IDM79" s="2805"/>
      <c r="IDN79" s="2805"/>
      <c r="IDO79" s="2805"/>
      <c r="IDP79" s="2805"/>
      <c r="IDQ79" s="2805"/>
      <c r="IDR79" s="2805"/>
      <c r="IDS79" s="2805"/>
      <c r="IDT79" s="2805"/>
      <c r="IDU79" s="2805"/>
      <c r="IDV79" s="2805"/>
      <c r="IDW79" s="2805"/>
      <c r="IDX79" s="2805"/>
      <c r="IDY79" s="2805"/>
      <c r="IDZ79" s="2805"/>
      <c r="IEA79" s="2805"/>
      <c r="IEB79" s="2805"/>
      <c r="IEC79" s="2805"/>
      <c r="IED79" s="2805"/>
      <c r="IEE79" s="2805"/>
      <c r="IEF79" s="2805"/>
      <c r="IEG79" s="2805"/>
      <c r="IEH79" s="2805"/>
      <c r="IEI79" s="2805"/>
      <c r="IEJ79" s="2805"/>
      <c r="IEK79" s="2805"/>
      <c r="IEL79" s="2805"/>
      <c r="IEM79" s="2805"/>
      <c r="IEN79" s="2805"/>
      <c r="IEO79" s="2805"/>
      <c r="IEP79" s="2805"/>
      <c r="IEQ79" s="2805"/>
      <c r="IER79" s="2805"/>
      <c r="IES79" s="2805"/>
      <c r="IET79" s="2805"/>
      <c r="IEU79" s="2805"/>
      <c r="IEV79" s="2805"/>
      <c r="IEW79" s="2805"/>
      <c r="IEX79" s="2805"/>
      <c r="IEY79" s="2805"/>
      <c r="IEZ79" s="2805"/>
      <c r="IFA79" s="2805"/>
      <c r="IFB79" s="2805"/>
      <c r="IFC79" s="2805"/>
      <c r="IFD79" s="2805"/>
      <c r="IFE79" s="2805"/>
      <c r="IFF79" s="2805"/>
      <c r="IFG79" s="2805"/>
      <c r="IFH79" s="2805"/>
      <c r="IFI79" s="2805"/>
      <c r="IFJ79" s="2805"/>
      <c r="IFK79" s="2805"/>
      <c r="IFL79" s="2805"/>
      <c r="IFM79" s="2805"/>
      <c r="IFN79" s="2805"/>
      <c r="IFO79" s="2805"/>
      <c r="IFP79" s="2805"/>
      <c r="IFQ79" s="2805"/>
      <c r="IFR79" s="2805"/>
      <c r="IFS79" s="2805"/>
      <c r="IFT79" s="2805"/>
      <c r="IFU79" s="2805"/>
      <c r="IFV79" s="2805"/>
      <c r="IFW79" s="2805"/>
      <c r="IFX79" s="2805"/>
      <c r="IFY79" s="2805"/>
      <c r="IFZ79" s="2805"/>
      <c r="IGA79" s="2805"/>
      <c r="IGB79" s="2805"/>
      <c r="IGC79" s="2805"/>
      <c r="IGD79" s="2805"/>
      <c r="IGE79" s="2805"/>
      <c r="IGF79" s="2805"/>
      <c r="IGG79" s="2805"/>
      <c r="IGH79" s="2805"/>
      <c r="IGI79" s="2805"/>
      <c r="IGJ79" s="2805"/>
      <c r="IGK79" s="2805"/>
      <c r="IGL79" s="2805"/>
      <c r="IGM79" s="2805"/>
      <c r="IGN79" s="2805"/>
      <c r="IGO79" s="2805"/>
      <c r="IGP79" s="2805"/>
      <c r="IGQ79" s="2805"/>
      <c r="IGR79" s="2805"/>
      <c r="IGS79" s="2805"/>
      <c r="IGT79" s="2805"/>
      <c r="IGU79" s="2805"/>
      <c r="IGV79" s="2805"/>
      <c r="IGW79" s="2805"/>
      <c r="IGX79" s="2805"/>
      <c r="IGY79" s="2805"/>
      <c r="IGZ79" s="2805"/>
      <c r="IHA79" s="2805"/>
      <c r="IHB79" s="2805"/>
      <c r="IHC79" s="2805"/>
      <c r="IHD79" s="2805"/>
      <c r="IHE79" s="2805"/>
      <c r="IHF79" s="2805"/>
      <c r="IHG79" s="2805"/>
      <c r="IHH79" s="2805"/>
      <c r="IHI79" s="2805"/>
      <c r="IHJ79" s="2805"/>
      <c r="IHK79" s="2805"/>
      <c r="IHL79" s="2805"/>
      <c r="IHM79" s="2805"/>
      <c r="IHN79" s="2805"/>
      <c r="IHO79" s="2805"/>
      <c r="IHP79" s="2805"/>
      <c r="IHQ79" s="2805"/>
      <c r="IHR79" s="2805"/>
      <c r="IHS79" s="2805"/>
      <c r="IHT79" s="2805"/>
      <c r="IHU79" s="2805"/>
      <c r="IHV79" s="2805"/>
      <c r="IHW79" s="2805"/>
      <c r="IHX79" s="2805"/>
      <c r="IHY79" s="2805"/>
      <c r="IHZ79" s="2805"/>
      <c r="IIA79" s="2805"/>
      <c r="IIB79" s="2805"/>
      <c r="IIC79" s="2805"/>
      <c r="IID79" s="2805"/>
      <c r="IIE79" s="2805"/>
      <c r="IIF79" s="2805"/>
      <c r="IIG79" s="2805"/>
      <c r="IIH79" s="2805"/>
      <c r="III79" s="2805"/>
      <c r="IIJ79" s="2805"/>
      <c r="IIK79" s="2805"/>
      <c r="IIL79" s="2805"/>
      <c r="IIM79" s="2805"/>
      <c r="IIN79" s="2805"/>
      <c r="IIO79" s="2805"/>
      <c r="IIP79" s="2805"/>
      <c r="IIQ79" s="2805"/>
      <c r="IIR79" s="2805"/>
      <c r="IIS79" s="2805"/>
      <c r="IIT79" s="2805"/>
      <c r="IIU79" s="2805"/>
      <c r="IIV79" s="2805"/>
      <c r="IIW79" s="2805"/>
      <c r="IIX79" s="2805"/>
      <c r="IIY79" s="2805"/>
      <c r="IIZ79" s="2805"/>
      <c r="IJA79" s="2805"/>
      <c r="IJB79" s="2805"/>
      <c r="IJC79" s="2805"/>
      <c r="IJD79" s="2805"/>
      <c r="IJE79" s="2805"/>
      <c r="IJF79" s="2805"/>
      <c r="IJG79" s="2805"/>
      <c r="IJH79" s="2805"/>
      <c r="IJI79" s="2805"/>
      <c r="IJJ79" s="2805"/>
      <c r="IJK79" s="2805"/>
      <c r="IJL79" s="2805"/>
      <c r="IJM79" s="2805"/>
      <c r="IJN79" s="2805"/>
      <c r="IJO79" s="2805"/>
      <c r="IJP79" s="2805"/>
      <c r="IJQ79" s="2805"/>
      <c r="IJR79" s="2805"/>
      <c r="IJS79" s="2805"/>
      <c r="IJT79" s="2805"/>
      <c r="IJU79" s="2805"/>
      <c r="IJV79" s="2805"/>
      <c r="IJW79" s="2805"/>
      <c r="IJX79" s="2805"/>
      <c r="IJY79" s="2805"/>
      <c r="IJZ79" s="2805"/>
      <c r="IKA79" s="2805"/>
      <c r="IKB79" s="2805"/>
      <c r="IKC79" s="2805"/>
      <c r="IKD79" s="2805"/>
      <c r="IKE79" s="2805"/>
      <c r="IKF79" s="2805"/>
      <c r="IKG79" s="2805"/>
      <c r="IKH79" s="2805"/>
      <c r="IKI79" s="2805"/>
      <c r="IKJ79" s="2805"/>
      <c r="IKK79" s="2805"/>
      <c r="IKL79" s="2805"/>
      <c r="IKM79" s="2805"/>
      <c r="IKN79" s="2805"/>
      <c r="IKO79" s="2805"/>
      <c r="IKP79" s="2805"/>
      <c r="IKQ79" s="2805"/>
      <c r="IKR79" s="2805"/>
      <c r="IKS79" s="2805"/>
      <c r="IKT79" s="2805"/>
      <c r="IKU79" s="2805"/>
      <c r="IKV79" s="2805"/>
      <c r="IKW79" s="2805"/>
      <c r="IKX79" s="2805"/>
      <c r="IKY79" s="2805"/>
      <c r="IKZ79" s="2805"/>
      <c r="ILA79" s="2805"/>
      <c r="ILB79" s="2805"/>
      <c r="ILC79" s="2805"/>
      <c r="ILD79" s="2805"/>
      <c r="ILE79" s="2805"/>
      <c r="ILF79" s="2805"/>
      <c r="ILG79" s="2805"/>
      <c r="ILH79" s="2805"/>
      <c r="ILI79" s="2805"/>
      <c r="ILJ79" s="2805"/>
      <c r="ILK79" s="2805"/>
      <c r="ILL79" s="2805"/>
      <c r="ILM79" s="2805"/>
      <c r="ILN79" s="2805"/>
      <c r="ILO79" s="2805"/>
      <c r="ILP79" s="2805"/>
      <c r="ILQ79" s="2805"/>
      <c r="ILR79" s="2805"/>
      <c r="ILS79" s="2805"/>
      <c r="ILT79" s="2805"/>
      <c r="ILU79" s="2805"/>
      <c r="ILV79" s="2805"/>
      <c r="ILW79" s="2805"/>
      <c r="ILX79" s="2805"/>
      <c r="ILY79" s="2805"/>
      <c r="ILZ79" s="2805"/>
      <c r="IMA79" s="2805"/>
      <c r="IMB79" s="2805"/>
      <c r="IMC79" s="2805"/>
      <c r="IMD79" s="2805"/>
      <c r="IME79" s="2805"/>
      <c r="IMF79" s="2805"/>
      <c r="IMG79" s="2805"/>
      <c r="IMH79" s="2805"/>
      <c r="IMI79" s="2805"/>
      <c r="IMJ79" s="2805"/>
      <c r="IMK79" s="2805"/>
      <c r="IML79" s="2805"/>
      <c r="IMM79" s="2805"/>
      <c r="IMN79" s="2805"/>
      <c r="IMO79" s="2805"/>
      <c r="IMP79" s="2805"/>
      <c r="IMQ79" s="2805"/>
      <c r="IMR79" s="2805"/>
      <c r="IMS79" s="2805"/>
      <c r="IMT79" s="2805"/>
      <c r="IMU79" s="2805"/>
      <c r="IMV79" s="2805"/>
      <c r="IMW79" s="2805"/>
      <c r="IMX79" s="2805"/>
      <c r="IMY79" s="2805"/>
      <c r="IMZ79" s="2805"/>
      <c r="INA79" s="2805"/>
      <c r="INB79" s="2805"/>
      <c r="INC79" s="2805"/>
      <c r="IND79" s="2805"/>
      <c r="INE79" s="2805"/>
      <c r="INF79" s="2805"/>
      <c r="ING79" s="2805"/>
      <c r="INH79" s="2805"/>
      <c r="INI79" s="2805"/>
      <c r="INJ79" s="2805"/>
      <c r="INK79" s="2805"/>
      <c r="INL79" s="2805"/>
      <c r="INM79" s="2805"/>
      <c r="INN79" s="2805"/>
      <c r="INO79" s="2805"/>
      <c r="INP79" s="2805"/>
      <c r="INQ79" s="2805"/>
      <c r="INR79" s="2805"/>
      <c r="INS79" s="2805"/>
      <c r="INT79" s="2805"/>
      <c r="INU79" s="2805"/>
      <c r="INV79" s="2805"/>
      <c r="INW79" s="2805"/>
      <c r="INX79" s="2805"/>
      <c r="INY79" s="2805"/>
      <c r="INZ79" s="2805"/>
      <c r="IOA79" s="2805"/>
      <c r="IOB79" s="2805"/>
      <c r="IOC79" s="2805"/>
      <c r="IOD79" s="2805"/>
      <c r="IOE79" s="2805"/>
      <c r="IOF79" s="2805"/>
      <c r="IOG79" s="2805"/>
      <c r="IOH79" s="2805"/>
      <c r="IOI79" s="2805"/>
      <c r="IOJ79" s="2805"/>
      <c r="IOK79" s="2805"/>
      <c r="IOL79" s="2805"/>
      <c r="IOM79" s="2805"/>
      <c r="ION79" s="2805"/>
      <c r="IOO79" s="2805"/>
      <c r="IOP79" s="2805"/>
      <c r="IOQ79" s="2805"/>
      <c r="IOR79" s="2805"/>
      <c r="IOS79" s="2805"/>
      <c r="IOT79" s="2805"/>
      <c r="IOU79" s="2805"/>
      <c r="IOV79" s="2805"/>
      <c r="IOW79" s="2805"/>
      <c r="IOX79" s="2805"/>
      <c r="IOY79" s="2805"/>
      <c r="IOZ79" s="2805"/>
      <c r="IPA79" s="2805"/>
      <c r="IPB79" s="2805"/>
      <c r="IPC79" s="2805"/>
      <c r="IPD79" s="2805"/>
      <c r="IPE79" s="2805"/>
      <c r="IPF79" s="2805"/>
      <c r="IPG79" s="2805"/>
      <c r="IPH79" s="2805"/>
      <c r="IPI79" s="2805"/>
      <c r="IPJ79" s="2805"/>
      <c r="IPK79" s="2805"/>
      <c r="IPL79" s="2805"/>
      <c r="IPM79" s="2805"/>
      <c r="IPN79" s="2805"/>
      <c r="IPO79" s="2805"/>
      <c r="IPP79" s="2805"/>
      <c r="IPQ79" s="2805"/>
      <c r="IPR79" s="2805"/>
      <c r="IPS79" s="2805"/>
      <c r="IPT79" s="2805"/>
      <c r="IPU79" s="2805"/>
      <c r="IPV79" s="2805"/>
      <c r="IPW79" s="2805"/>
      <c r="IPX79" s="2805"/>
      <c r="IPY79" s="2805"/>
      <c r="IPZ79" s="2805"/>
      <c r="IQA79" s="2805"/>
      <c r="IQB79" s="2805"/>
      <c r="IQC79" s="2805"/>
      <c r="IQD79" s="2805"/>
      <c r="IQE79" s="2805"/>
      <c r="IQF79" s="2805"/>
      <c r="IQG79" s="2805"/>
      <c r="IQH79" s="2805"/>
      <c r="IQI79" s="2805"/>
      <c r="IQJ79" s="2805"/>
      <c r="IQK79" s="2805"/>
      <c r="IQL79" s="2805"/>
      <c r="IQM79" s="2805"/>
      <c r="IQN79" s="2805"/>
      <c r="IQO79" s="2805"/>
      <c r="IQP79" s="2805"/>
      <c r="IQQ79" s="2805"/>
      <c r="IQR79" s="2805"/>
      <c r="IQS79" s="2805"/>
      <c r="IQT79" s="2805"/>
      <c r="IQU79" s="2805"/>
      <c r="IQV79" s="2805"/>
      <c r="IQW79" s="2805"/>
      <c r="IQX79" s="2805"/>
      <c r="IQY79" s="2805"/>
      <c r="IQZ79" s="2805"/>
      <c r="IRA79" s="2805"/>
      <c r="IRB79" s="2805"/>
      <c r="IRC79" s="2805"/>
      <c r="IRD79" s="2805"/>
      <c r="IRE79" s="2805"/>
      <c r="IRF79" s="2805"/>
      <c r="IRG79" s="2805"/>
      <c r="IRH79" s="2805"/>
      <c r="IRI79" s="2805"/>
      <c r="IRJ79" s="2805"/>
      <c r="IRK79" s="2805"/>
      <c r="IRL79" s="2805"/>
      <c r="IRM79" s="2805"/>
      <c r="IRN79" s="2805"/>
      <c r="IRO79" s="2805"/>
      <c r="IRP79" s="2805"/>
      <c r="IRQ79" s="2805"/>
      <c r="IRR79" s="2805"/>
      <c r="IRS79" s="2805"/>
      <c r="IRT79" s="2805"/>
      <c r="IRU79" s="2805"/>
      <c r="IRV79" s="2805"/>
      <c r="IRW79" s="2805"/>
      <c r="IRX79" s="2805"/>
      <c r="IRY79" s="2805"/>
      <c r="IRZ79" s="2805"/>
      <c r="ISA79" s="2805"/>
      <c r="ISB79" s="2805"/>
      <c r="ISC79" s="2805"/>
      <c r="ISD79" s="2805"/>
      <c r="ISE79" s="2805"/>
      <c r="ISF79" s="2805"/>
      <c r="ISG79" s="2805"/>
      <c r="ISH79" s="2805"/>
      <c r="ISI79" s="2805"/>
      <c r="ISJ79" s="2805"/>
      <c r="ISK79" s="2805"/>
      <c r="ISL79" s="2805"/>
      <c r="ISM79" s="2805"/>
      <c r="ISN79" s="2805"/>
      <c r="ISO79" s="2805"/>
      <c r="ISP79" s="2805"/>
      <c r="ISQ79" s="2805"/>
      <c r="ISR79" s="2805"/>
      <c r="ISS79" s="2805"/>
      <c r="IST79" s="2805"/>
      <c r="ISU79" s="2805"/>
      <c r="ISV79" s="2805"/>
      <c r="ISW79" s="2805"/>
      <c r="ISX79" s="2805"/>
      <c r="ISY79" s="2805"/>
      <c r="ISZ79" s="2805"/>
      <c r="ITA79" s="2805"/>
      <c r="ITB79" s="2805"/>
      <c r="ITC79" s="2805"/>
      <c r="ITD79" s="2805"/>
      <c r="ITE79" s="2805"/>
      <c r="ITF79" s="2805"/>
      <c r="ITG79" s="2805"/>
      <c r="ITH79" s="2805"/>
      <c r="ITI79" s="2805"/>
      <c r="ITJ79" s="2805"/>
      <c r="ITK79" s="2805"/>
      <c r="ITL79" s="2805"/>
      <c r="ITM79" s="2805"/>
      <c r="ITN79" s="2805"/>
      <c r="ITO79" s="2805"/>
      <c r="ITP79" s="2805"/>
      <c r="ITQ79" s="2805"/>
      <c r="ITR79" s="2805"/>
      <c r="ITS79" s="2805"/>
      <c r="ITT79" s="2805"/>
      <c r="ITU79" s="2805"/>
      <c r="ITV79" s="2805"/>
      <c r="ITW79" s="2805"/>
      <c r="ITX79" s="2805"/>
      <c r="ITY79" s="2805"/>
      <c r="ITZ79" s="2805"/>
      <c r="IUA79" s="2805"/>
      <c r="IUB79" s="2805"/>
      <c r="IUC79" s="2805"/>
      <c r="IUD79" s="2805"/>
      <c r="IUE79" s="2805"/>
      <c r="IUF79" s="2805"/>
      <c r="IUG79" s="2805"/>
      <c r="IUH79" s="2805"/>
      <c r="IUI79" s="2805"/>
      <c r="IUJ79" s="2805"/>
      <c r="IUK79" s="2805"/>
      <c r="IUL79" s="2805"/>
      <c r="IUM79" s="2805"/>
      <c r="IUN79" s="2805"/>
      <c r="IUO79" s="2805"/>
      <c r="IUP79" s="2805"/>
      <c r="IUQ79" s="2805"/>
      <c r="IUR79" s="2805"/>
      <c r="IUS79" s="2805"/>
      <c r="IUT79" s="2805"/>
      <c r="IUU79" s="2805"/>
      <c r="IUV79" s="2805"/>
      <c r="IUW79" s="2805"/>
      <c r="IUX79" s="2805"/>
      <c r="IUY79" s="2805"/>
      <c r="IUZ79" s="2805"/>
      <c r="IVA79" s="2805"/>
      <c r="IVB79" s="2805"/>
      <c r="IVC79" s="2805"/>
      <c r="IVD79" s="2805"/>
      <c r="IVE79" s="2805"/>
      <c r="IVF79" s="2805"/>
      <c r="IVG79" s="2805"/>
      <c r="IVH79" s="2805"/>
      <c r="IVI79" s="2805"/>
      <c r="IVJ79" s="2805"/>
      <c r="IVK79" s="2805"/>
      <c r="IVL79" s="2805"/>
      <c r="IVM79" s="2805"/>
      <c r="IVN79" s="2805"/>
      <c r="IVO79" s="2805"/>
      <c r="IVP79" s="2805"/>
      <c r="IVQ79" s="2805"/>
      <c r="IVR79" s="2805"/>
      <c r="IVS79" s="2805"/>
      <c r="IVT79" s="2805"/>
      <c r="IVU79" s="2805"/>
      <c r="IVV79" s="2805"/>
      <c r="IVW79" s="2805"/>
      <c r="IVX79" s="2805"/>
      <c r="IVY79" s="2805"/>
      <c r="IVZ79" s="2805"/>
      <c r="IWA79" s="2805"/>
      <c r="IWB79" s="2805"/>
      <c r="IWC79" s="2805"/>
      <c r="IWD79" s="2805"/>
      <c r="IWE79" s="2805"/>
      <c r="IWF79" s="2805"/>
      <c r="IWG79" s="2805"/>
      <c r="IWH79" s="2805"/>
      <c r="IWI79" s="2805"/>
      <c r="IWJ79" s="2805"/>
      <c r="IWK79" s="2805"/>
      <c r="IWL79" s="2805"/>
      <c r="IWM79" s="2805"/>
      <c r="IWN79" s="2805"/>
      <c r="IWO79" s="2805"/>
      <c r="IWP79" s="2805"/>
      <c r="IWQ79" s="2805"/>
      <c r="IWR79" s="2805"/>
      <c r="IWS79" s="2805"/>
      <c r="IWT79" s="2805"/>
      <c r="IWU79" s="2805"/>
      <c r="IWV79" s="2805"/>
      <c r="IWW79" s="2805"/>
      <c r="IWX79" s="2805"/>
      <c r="IWY79" s="2805"/>
      <c r="IWZ79" s="2805"/>
      <c r="IXA79" s="2805"/>
      <c r="IXB79" s="2805"/>
      <c r="IXC79" s="2805"/>
      <c r="IXD79" s="2805"/>
      <c r="IXE79" s="2805"/>
      <c r="IXF79" s="2805"/>
      <c r="IXG79" s="2805"/>
      <c r="IXH79" s="2805"/>
      <c r="IXI79" s="2805"/>
      <c r="IXJ79" s="2805"/>
      <c r="IXK79" s="2805"/>
      <c r="IXL79" s="2805"/>
      <c r="IXM79" s="2805"/>
      <c r="IXN79" s="2805"/>
      <c r="IXO79" s="2805"/>
      <c r="IXP79" s="2805"/>
      <c r="IXQ79" s="2805"/>
      <c r="IXR79" s="2805"/>
      <c r="IXS79" s="2805"/>
      <c r="IXT79" s="2805"/>
      <c r="IXU79" s="2805"/>
      <c r="IXV79" s="2805"/>
      <c r="IXW79" s="2805"/>
      <c r="IXX79" s="2805"/>
      <c r="IXY79" s="2805"/>
      <c r="IXZ79" s="2805"/>
      <c r="IYA79" s="2805"/>
      <c r="IYB79" s="2805"/>
      <c r="IYC79" s="2805"/>
      <c r="IYD79" s="2805"/>
      <c r="IYE79" s="2805"/>
      <c r="IYF79" s="2805"/>
      <c r="IYG79" s="2805"/>
      <c r="IYH79" s="2805"/>
      <c r="IYI79" s="2805"/>
      <c r="IYJ79" s="2805"/>
      <c r="IYK79" s="2805"/>
      <c r="IYL79" s="2805"/>
      <c r="IYM79" s="2805"/>
      <c r="IYN79" s="2805"/>
      <c r="IYO79" s="2805"/>
      <c r="IYP79" s="2805"/>
      <c r="IYQ79" s="2805"/>
      <c r="IYR79" s="2805"/>
      <c r="IYS79" s="2805"/>
      <c r="IYT79" s="2805"/>
      <c r="IYU79" s="2805"/>
      <c r="IYV79" s="2805"/>
      <c r="IYW79" s="2805"/>
      <c r="IYX79" s="2805"/>
      <c r="IYY79" s="2805"/>
      <c r="IYZ79" s="2805"/>
      <c r="IZA79" s="2805"/>
      <c r="IZB79" s="2805"/>
      <c r="IZC79" s="2805"/>
      <c r="IZD79" s="2805"/>
      <c r="IZE79" s="2805"/>
      <c r="IZF79" s="2805"/>
      <c r="IZG79" s="2805"/>
      <c r="IZH79" s="2805"/>
      <c r="IZI79" s="2805"/>
      <c r="IZJ79" s="2805"/>
      <c r="IZK79" s="2805"/>
      <c r="IZL79" s="2805"/>
      <c r="IZM79" s="2805"/>
      <c r="IZN79" s="2805"/>
      <c r="IZO79" s="2805"/>
      <c r="IZP79" s="2805"/>
      <c r="IZQ79" s="2805"/>
      <c r="IZR79" s="2805"/>
      <c r="IZS79" s="2805"/>
      <c r="IZT79" s="2805"/>
      <c r="IZU79" s="2805"/>
      <c r="IZV79" s="2805"/>
      <c r="IZW79" s="2805"/>
      <c r="IZX79" s="2805"/>
      <c r="IZY79" s="2805"/>
      <c r="IZZ79" s="2805"/>
      <c r="JAA79" s="2805"/>
      <c r="JAB79" s="2805"/>
      <c r="JAC79" s="2805"/>
      <c r="JAD79" s="2805"/>
      <c r="JAE79" s="2805"/>
      <c r="JAF79" s="2805"/>
      <c r="JAG79" s="2805"/>
      <c r="JAH79" s="2805"/>
      <c r="JAI79" s="2805"/>
      <c r="JAJ79" s="2805"/>
      <c r="JAK79" s="2805"/>
      <c r="JAL79" s="2805"/>
      <c r="JAM79" s="2805"/>
      <c r="JAN79" s="2805"/>
      <c r="JAO79" s="2805"/>
      <c r="JAP79" s="2805"/>
      <c r="JAQ79" s="2805"/>
      <c r="JAR79" s="2805"/>
      <c r="JAS79" s="2805"/>
      <c r="JAT79" s="2805"/>
      <c r="JAU79" s="2805"/>
      <c r="JAV79" s="2805"/>
      <c r="JAW79" s="2805"/>
      <c r="JAX79" s="2805"/>
      <c r="JAY79" s="2805"/>
      <c r="JAZ79" s="2805"/>
      <c r="JBA79" s="2805"/>
      <c r="JBB79" s="2805"/>
      <c r="JBC79" s="2805"/>
      <c r="JBD79" s="2805"/>
      <c r="JBE79" s="2805"/>
      <c r="JBF79" s="2805"/>
      <c r="JBG79" s="2805"/>
      <c r="JBH79" s="2805"/>
      <c r="JBI79" s="2805"/>
      <c r="JBJ79" s="2805"/>
      <c r="JBK79" s="2805"/>
      <c r="JBL79" s="2805"/>
      <c r="JBM79" s="2805"/>
      <c r="JBN79" s="2805"/>
      <c r="JBO79" s="2805"/>
      <c r="JBP79" s="2805"/>
      <c r="JBQ79" s="2805"/>
      <c r="JBR79" s="2805"/>
      <c r="JBS79" s="2805"/>
      <c r="JBT79" s="2805"/>
      <c r="JBU79" s="2805"/>
      <c r="JBV79" s="2805"/>
      <c r="JBW79" s="2805"/>
      <c r="JBX79" s="2805"/>
      <c r="JBY79" s="2805"/>
      <c r="JBZ79" s="2805"/>
      <c r="JCA79" s="2805"/>
      <c r="JCB79" s="2805"/>
      <c r="JCC79" s="2805"/>
      <c r="JCD79" s="2805"/>
      <c r="JCE79" s="2805"/>
      <c r="JCF79" s="2805"/>
      <c r="JCG79" s="2805"/>
      <c r="JCH79" s="2805"/>
      <c r="JCI79" s="2805"/>
      <c r="JCJ79" s="2805"/>
      <c r="JCK79" s="2805"/>
      <c r="JCL79" s="2805"/>
      <c r="JCM79" s="2805"/>
      <c r="JCN79" s="2805"/>
      <c r="JCO79" s="2805"/>
      <c r="JCP79" s="2805"/>
      <c r="JCQ79" s="2805"/>
      <c r="JCR79" s="2805"/>
      <c r="JCS79" s="2805"/>
      <c r="JCT79" s="2805"/>
      <c r="JCU79" s="2805"/>
      <c r="JCV79" s="2805"/>
      <c r="JCW79" s="2805"/>
      <c r="JCX79" s="2805"/>
      <c r="JCY79" s="2805"/>
      <c r="JCZ79" s="2805"/>
      <c r="JDA79" s="2805"/>
      <c r="JDB79" s="2805"/>
      <c r="JDC79" s="2805"/>
      <c r="JDD79" s="2805"/>
      <c r="JDE79" s="2805"/>
      <c r="JDF79" s="2805"/>
      <c r="JDG79" s="2805"/>
      <c r="JDH79" s="2805"/>
      <c r="JDI79" s="2805"/>
      <c r="JDJ79" s="2805"/>
      <c r="JDK79" s="2805"/>
      <c r="JDL79" s="2805"/>
      <c r="JDM79" s="2805"/>
      <c r="JDN79" s="2805"/>
      <c r="JDO79" s="2805"/>
      <c r="JDP79" s="2805"/>
      <c r="JDQ79" s="2805"/>
      <c r="JDR79" s="2805"/>
      <c r="JDS79" s="2805"/>
      <c r="JDT79" s="2805"/>
      <c r="JDU79" s="2805"/>
      <c r="JDV79" s="2805"/>
      <c r="JDW79" s="2805"/>
      <c r="JDX79" s="2805"/>
      <c r="JDY79" s="2805"/>
      <c r="JDZ79" s="2805"/>
      <c r="JEA79" s="2805"/>
      <c r="JEB79" s="2805"/>
      <c r="JEC79" s="2805"/>
      <c r="JED79" s="2805"/>
      <c r="JEE79" s="2805"/>
      <c r="JEF79" s="2805"/>
      <c r="JEG79" s="2805"/>
      <c r="JEH79" s="2805"/>
      <c r="JEI79" s="2805"/>
      <c r="JEJ79" s="2805"/>
      <c r="JEK79" s="2805"/>
      <c r="JEL79" s="2805"/>
      <c r="JEM79" s="2805"/>
      <c r="JEN79" s="2805"/>
      <c r="JEO79" s="2805"/>
      <c r="JEP79" s="2805"/>
      <c r="JEQ79" s="2805"/>
      <c r="JER79" s="2805"/>
      <c r="JES79" s="2805"/>
      <c r="JET79" s="2805"/>
      <c r="JEU79" s="2805"/>
      <c r="JEV79" s="2805"/>
      <c r="JEW79" s="2805"/>
      <c r="JEX79" s="2805"/>
      <c r="JEY79" s="2805"/>
      <c r="JEZ79" s="2805"/>
      <c r="JFA79" s="2805"/>
      <c r="JFB79" s="2805"/>
      <c r="JFC79" s="2805"/>
      <c r="JFD79" s="2805"/>
      <c r="JFE79" s="2805"/>
      <c r="JFF79" s="2805"/>
      <c r="JFG79" s="2805"/>
      <c r="JFH79" s="2805"/>
      <c r="JFI79" s="2805"/>
      <c r="JFJ79" s="2805"/>
      <c r="JFK79" s="2805"/>
      <c r="JFL79" s="2805"/>
      <c r="JFM79" s="2805"/>
      <c r="JFN79" s="2805"/>
      <c r="JFO79" s="2805"/>
      <c r="JFP79" s="2805"/>
      <c r="JFQ79" s="2805"/>
      <c r="JFR79" s="2805"/>
      <c r="JFS79" s="2805"/>
      <c r="JFT79" s="2805"/>
      <c r="JFU79" s="2805"/>
      <c r="JFV79" s="2805"/>
      <c r="JFW79" s="2805"/>
      <c r="JFX79" s="2805"/>
      <c r="JFY79" s="2805"/>
      <c r="JFZ79" s="2805"/>
      <c r="JGA79" s="2805"/>
      <c r="JGB79" s="2805"/>
      <c r="JGC79" s="2805"/>
      <c r="JGD79" s="2805"/>
      <c r="JGE79" s="2805"/>
      <c r="JGF79" s="2805"/>
      <c r="JGG79" s="2805"/>
      <c r="JGH79" s="2805"/>
      <c r="JGI79" s="2805"/>
      <c r="JGJ79" s="2805"/>
      <c r="JGK79" s="2805"/>
      <c r="JGL79" s="2805"/>
      <c r="JGM79" s="2805"/>
      <c r="JGN79" s="2805"/>
      <c r="JGO79" s="2805"/>
      <c r="JGP79" s="2805"/>
      <c r="JGQ79" s="2805"/>
      <c r="JGR79" s="2805"/>
      <c r="JGS79" s="2805"/>
      <c r="JGT79" s="2805"/>
      <c r="JGU79" s="2805"/>
      <c r="JGV79" s="2805"/>
      <c r="JGW79" s="2805"/>
      <c r="JGX79" s="2805"/>
      <c r="JGY79" s="2805"/>
      <c r="JGZ79" s="2805"/>
      <c r="JHA79" s="2805"/>
      <c r="JHB79" s="2805"/>
      <c r="JHC79" s="2805"/>
      <c r="JHD79" s="2805"/>
      <c r="JHE79" s="2805"/>
      <c r="JHF79" s="2805"/>
      <c r="JHG79" s="2805"/>
      <c r="JHH79" s="2805"/>
      <c r="JHI79" s="2805"/>
      <c r="JHJ79" s="2805"/>
      <c r="JHK79" s="2805"/>
      <c r="JHL79" s="2805"/>
      <c r="JHM79" s="2805"/>
      <c r="JHN79" s="2805"/>
      <c r="JHO79" s="2805"/>
      <c r="JHP79" s="2805"/>
      <c r="JHQ79" s="2805"/>
      <c r="JHR79" s="2805"/>
      <c r="JHS79" s="2805"/>
      <c r="JHT79" s="2805"/>
      <c r="JHU79" s="2805"/>
      <c r="JHV79" s="2805"/>
      <c r="JHW79" s="2805"/>
      <c r="JHX79" s="2805"/>
      <c r="JHY79" s="2805"/>
      <c r="JHZ79" s="2805"/>
      <c r="JIA79" s="2805"/>
      <c r="JIB79" s="2805"/>
      <c r="JIC79" s="2805"/>
      <c r="JID79" s="2805"/>
      <c r="JIE79" s="2805"/>
      <c r="JIF79" s="2805"/>
      <c r="JIG79" s="2805"/>
      <c r="JIH79" s="2805"/>
      <c r="JII79" s="2805"/>
      <c r="JIJ79" s="2805"/>
      <c r="JIK79" s="2805"/>
      <c r="JIL79" s="2805"/>
      <c r="JIM79" s="2805"/>
      <c r="JIN79" s="2805"/>
      <c r="JIO79" s="2805"/>
      <c r="JIP79" s="2805"/>
      <c r="JIQ79" s="2805"/>
      <c r="JIR79" s="2805"/>
      <c r="JIS79" s="2805"/>
      <c r="JIT79" s="2805"/>
      <c r="JIU79" s="2805"/>
      <c r="JIV79" s="2805"/>
      <c r="JIW79" s="2805"/>
      <c r="JIX79" s="2805"/>
      <c r="JIY79" s="2805"/>
      <c r="JIZ79" s="2805"/>
      <c r="JJA79" s="2805"/>
      <c r="JJB79" s="2805"/>
      <c r="JJC79" s="2805"/>
      <c r="JJD79" s="2805"/>
      <c r="JJE79" s="2805"/>
      <c r="JJF79" s="2805"/>
      <c r="JJG79" s="2805"/>
      <c r="JJH79" s="2805"/>
      <c r="JJI79" s="2805"/>
      <c r="JJJ79" s="2805"/>
      <c r="JJK79" s="2805"/>
      <c r="JJL79" s="2805"/>
      <c r="JJM79" s="2805"/>
      <c r="JJN79" s="2805"/>
      <c r="JJO79" s="2805"/>
      <c r="JJP79" s="2805"/>
      <c r="JJQ79" s="2805"/>
      <c r="JJR79" s="2805"/>
      <c r="JJS79" s="2805"/>
      <c r="JJT79" s="2805"/>
      <c r="JJU79" s="2805"/>
      <c r="JJV79" s="2805"/>
      <c r="JJW79" s="2805"/>
      <c r="JJX79" s="2805"/>
      <c r="JJY79" s="2805"/>
      <c r="JJZ79" s="2805"/>
      <c r="JKA79" s="2805"/>
      <c r="JKB79" s="2805"/>
      <c r="JKC79" s="2805"/>
      <c r="JKD79" s="2805"/>
      <c r="JKE79" s="2805"/>
      <c r="JKF79" s="2805"/>
      <c r="JKG79" s="2805"/>
      <c r="JKH79" s="2805"/>
      <c r="JKI79" s="2805"/>
      <c r="JKJ79" s="2805"/>
      <c r="JKK79" s="2805"/>
      <c r="JKL79" s="2805"/>
      <c r="JKM79" s="2805"/>
      <c r="JKN79" s="2805"/>
      <c r="JKO79" s="2805"/>
      <c r="JKP79" s="2805"/>
      <c r="JKQ79" s="2805"/>
      <c r="JKR79" s="2805"/>
      <c r="JKS79" s="2805"/>
      <c r="JKT79" s="2805"/>
      <c r="JKU79" s="2805"/>
      <c r="JKV79" s="2805"/>
      <c r="JKW79" s="2805"/>
      <c r="JKX79" s="2805"/>
      <c r="JKY79" s="2805"/>
      <c r="JKZ79" s="2805"/>
      <c r="JLA79" s="2805"/>
      <c r="JLB79" s="2805"/>
      <c r="JLC79" s="2805"/>
      <c r="JLD79" s="2805"/>
      <c r="JLE79" s="2805"/>
      <c r="JLF79" s="2805"/>
      <c r="JLG79" s="2805"/>
      <c r="JLH79" s="2805"/>
      <c r="JLI79" s="2805"/>
      <c r="JLJ79" s="2805"/>
      <c r="JLK79" s="2805"/>
      <c r="JLL79" s="2805"/>
      <c r="JLM79" s="2805"/>
      <c r="JLN79" s="2805"/>
      <c r="JLO79" s="2805"/>
      <c r="JLP79" s="2805"/>
      <c r="JLQ79" s="2805"/>
      <c r="JLR79" s="2805"/>
      <c r="JLS79" s="2805"/>
      <c r="JLT79" s="2805"/>
      <c r="JLU79" s="2805"/>
      <c r="JLV79" s="2805"/>
      <c r="JLW79" s="2805"/>
      <c r="JLX79" s="2805"/>
      <c r="JLY79" s="2805"/>
      <c r="JLZ79" s="2805"/>
      <c r="JMA79" s="2805"/>
      <c r="JMB79" s="2805"/>
      <c r="JMC79" s="2805"/>
      <c r="JMD79" s="2805"/>
      <c r="JME79" s="2805"/>
      <c r="JMF79" s="2805"/>
      <c r="JMG79" s="2805"/>
      <c r="JMH79" s="2805"/>
      <c r="JMI79" s="2805"/>
      <c r="JMJ79" s="2805"/>
      <c r="JMK79" s="2805"/>
      <c r="JML79" s="2805"/>
      <c r="JMM79" s="2805"/>
      <c r="JMN79" s="2805"/>
      <c r="JMO79" s="2805"/>
      <c r="JMP79" s="2805"/>
      <c r="JMQ79" s="2805"/>
      <c r="JMR79" s="2805"/>
      <c r="JMS79" s="2805"/>
      <c r="JMT79" s="2805"/>
      <c r="JMU79" s="2805"/>
      <c r="JMV79" s="2805"/>
      <c r="JMW79" s="2805"/>
      <c r="JMX79" s="2805"/>
      <c r="JMY79" s="2805"/>
      <c r="JMZ79" s="2805"/>
      <c r="JNA79" s="2805"/>
      <c r="JNB79" s="2805"/>
      <c r="JNC79" s="2805"/>
      <c r="JND79" s="2805"/>
      <c r="JNE79" s="2805"/>
      <c r="JNF79" s="2805"/>
      <c r="JNG79" s="2805"/>
      <c r="JNH79" s="2805"/>
      <c r="JNI79" s="2805"/>
      <c r="JNJ79" s="2805"/>
      <c r="JNK79" s="2805"/>
      <c r="JNL79" s="2805"/>
      <c r="JNM79" s="2805"/>
      <c r="JNN79" s="2805"/>
      <c r="JNO79" s="2805"/>
      <c r="JNP79" s="2805"/>
      <c r="JNQ79" s="2805"/>
      <c r="JNR79" s="2805"/>
      <c r="JNS79" s="2805"/>
      <c r="JNT79" s="2805"/>
      <c r="JNU79" s="2805"/>
      <c r="JNV79" s="2805"/>
      <c r="JNW79" s="2805"/>
      <c r="JNX79" s="2805"/>
      <c r="JNY79" s="2805"/>
      <c r="JNZ79" s="2805"/>
      <c r="JOA79" s="2805"/>
      <c r="JOB79" s="2805"/>
      <c r="JOC79" s="2805"/>
      <c r="JOD79" s="2805"/>
      <c r="JOE79" s="2805"/>
      <c r="JOF79" s="2805"/>
      <c r="JOG79" s="2805"/>
      <c r="JOH79" s="2805"/>
      <c r="JOI79" s="2805"/>
      <c r="JOJ79" s="2805"/>
      <c r="JOK79" s="2805"/>
      <c r="JOL79" s="2805"/>
      <c r="JOM79" s="2805"/>
      <c r="JON79" s="2805"/>
      <c r="JOO79" s="2805"/>
      <c r="JOP79" s="2805"/>
      <c r="JOQ79" s="2805"/>
      <c r="JOR79" s="2805"/>
      <c r="JOS79" s="2805"/>
      <c r="JOT79" s="2805"/>
      <c r="JOU79" s="2805"/>
      <c r="JOV79" s="2805"/>
      <c r="JOW79" s="2805"/>
      <c r="JOX79" s="2805"/>
      <c r="JOY79" s="2805"/>
      <c r="JOZ79" s="2805"/>
      <c r="JPA79" s="2805"/>
      <c r="JPB79" s="2805"/>
      <c r="JPC79" s="2805"/>
      <c r="JPD79" s="2805"/>
      <c r="JPE79" s="2805"/>
      <c r="JPF79" s="2805"/>
      <c r="JPG79" s="2805"/>
      <c r="JPH79" s="2805"/>
      <c r="JPI79" s="2805"/>
      <c r="JPJ79" s="2805"/>
      <c r="JPK79" s="2805"/>
      <c r="JPL79" s="2805"/>
      <c r="JPM79" s="2805"/>
      <c r="JPN79" s="2805"/>
      <c r="JPO79" s="2805"/>
      <c r="JPP79" s="2805"/>
      <c r="JPQ79" s="2805"/>
      <c r="JPR79" s="2805"/>
      <c r="JPS79" s="2805"/>
      <c r="JPT79" s="2805"/>
      <c r="JPU79" s="2805"/>
      <c r="JPV79" s="2805"/>
      <c r="JPW79" s="2805"/>
      <c r="JPX79" s="2805"/>
      <c r="JPY79" s="2805"/>
      <c r="JPZ79" s="2805"/>
      <c r="JQA79" s="2805"/>
      <c r="JQB79" s="2805"/>
      <c r="JQC79" s="2805"/>
      <c r="JQD79" s="2805"/>
      <c r="JQE79" s="2805"/>
      <c r="JQF79" s="2805"/>
      <c r="JQG79" s="2805"/>
      <c r="JQH79" s="2805"/>
      <c r="JQI79" s="2805"/>
      <c r="JQJ79" s="2805"/>
      <c r="JQK79" s="2805"/>
      <c r="JQL79" s="2805"/>
      <c r="JQM79" s="2805"/>
      <c r="JQN79" s="2805"/>
      <c r="JQO79" s="2805"/>
      <c r="JQP79" s="2805"/>
      <c r="JQQ79" s="2805"/>
      <c r="JQR79" s="2805"/>
      <c r="JQS79" s="2805"/>
      <c r="JQT79" s="2805"/>
      <c r="JQU79" s="2805"/>
      <c r="JQV79" s="2805"/>
      <c r="JQW79" s="2805"/>
      <c r="JQX79" s="2805"/>
      <c r="JQY79" s="2805"/>
      <c r="JQZ79" s="2805"/>
      <c r="JRA79" s="2805"/>
      <c r="JRB79" s="2805"/>
      <c r="JRC79" s="2805"/>
      <c r="JRD79" s="2805"/>
      <c r="JRE79" s="2805"/>
      <c r="JRF79" s="2805"/>
      <c r="JRG79" s="2805"/>
      <c r="JRH79" s="2805"/>
      <c r="JRI79" s="2805"/>
      <c r="JRJ79" s="2805"/>
      <c r="JRK79" s="2805"/>
      <c r="JRL79" s="2805"/>
      <c r="JRM79" s="2805"/>
      <c r="JRN79" s="2805"/>
      <c r="JRO79" s="2805"/>
      <c r="JRP79" s="2805"/>
      <c r="JRQ79" s="2805"/>
      <c r="JRR79" s="2805"/>
      <c r="JRS79" s="2805"/>
      <c r="JRT79" s="2805"/>
      <c r="JRU79" s="2805"/>
      <c r="JRV79" s="2805"/>
      <c r="JRW79" s="2805"/>
      <c r="JRX79" s="2805"/>
      <c r="JRY79" s="2805"/>
      <c r="JRZ79" s="2805"/>
      <c r="JSA79" s="2805"/>
      <c r="JSB79" s="2805"/>
      <c r="JSC79" s="2805"/>
      <c r="JSD79" s="2805"/>
      <c r="JSE79" s="2805"/>
      <c r="JSF79" s="2805"/>
      <c r="JSG79" s="2805"/>
      <c r="JSH79" s="2805"/>
      <c r="JSI79" s="2805"/>
      <c r="JSJ79" s="2805"/>
      <c r="JSK79" s="2805"/>
      <c r="JSL79" s="2805"/>
      <c r="JSM79" s="2805"/>
      <c r="JSN79" s="2805"/>
      <c r="JSO79" s="2805"/>
      <c r="JSP79" s="2805"/>
      <c r="JSQ79" s="2805"/>
      <c r="JSR79" s="2805"/>
      <c r="JSS79" s="2805"/>
      <c r="JST79" s="2805"/>
      <c r="JSU79" s="2805"/>
      <c r="JSV79" s="2805"/>
      <c r="JSW79" s="2805"/>
      <c r="JSX79" s="2805"/>
      <c r="JSY79" s="2805"/>
      <c r="JSZ79" s="2805"/>
      <c r="JTA79" s="2805"/>
      <c r="JTB79" s="2805"/>
      <c r="JTC79" s="2805"/>
      <c r="JTD79" s="2805"/>
      <c r="JTE79" s="2805"/>
      <c r="JTF79" s="2805"/>
      <c r="JTG79" s="2805"/>
      <c r="JTH79" s="2805"/>
      <c r="JTI79" s="2805"/>
      <c r="JTJ79" s="2805"/>
      <c r="JTK79" s="2805"/>
      <c r="JTL79" s="2805"/>
      <c r="JTM79" s="2805"/>
      <c r="JTN79" s="2805"/>
      <c r="JTO79" s="2805"/>
      <c r="JTP79" s="2805"/>
      <c r="JTQ79" s="2805"/>
      <c r="JTR79" s="2805"/>
      <c r="JTS79" s="2805"/>
      <c r="JTT79" s="2805"/>
      <c r="JTU79" s="2805"/>
      <c r="JTV79" s="2805"/>
      <c r="JTW79" s="2805"/>
      <c r="JTX79" s="2805"/>
      <c r="JTY79" s="2805"/>
      <c r="JTZ79" s="2805"/>
      <c r="JUA79" s="2805"/>
      <c r="JUB79" s="2805"/>
      <c r="JUC79" s="2805"/>
      <c r="JUD79" s="2805"/>
      <c r="JUE79" s="2805"/>
      <c r="JUF79" s="2805"/>
      <c r="JUG79" s="2805"/>
      <c r="JUH79" s="2805"/>
      <c r="JUI79" s="2805"/>
      <c r="JUJ79" s="2805"/>
      <c r="JUK79" s="2805"/>
      <c r="JUL79" s="2805"/>
      <c r="JUM79" s="2805"/>
      <c r="JUN79" s="2805"/>
      <c r="JUO79" s="2805"/>
      <c r="JUP79" s="2805"/>
      <c r="JUQ79" s="2805"/>
      <c r="JUR79" s="2805"/>
      <c r="JUS79" s="2805"/>
      <c r="JUT79" s="2805"/>
      <c r="JUU79" s="2805"/>
      <c r="JUV79" s="2805"/>
      <c r="JUW79" s="2805"/>
      <c r="JUX79" s="2805"/>
      <c r="JUY79" s="2805"/>
      <c r="JUZ79" s="2805"/>
      <c r="JVA79" s="2805"/>
      <c r="JVB79" s="2805"/>
      <c r="JVC79" s="2805"/>
      <c r="JVD79" s="2805"/>
      <c r="JVE79" s="2805"/>
      <c r="JVF79" s="2805"/>
      <c r="JVG79" s="2805"/>
      <c r="JVH79" s="2805"/>
      <c r="JVI79" s="2805"/>
      <c r="JVJ79" s="2805"/>
      <c r="JVK79" s="2805"/>
      <c r="JVL79" s="2805"/>
      <c r="JVM79" s="2805"/>
      <c r="JVN79" s="2805"/>
      <c r="JVO79" s="2805"/>
      <c r="JVP79" s="2805"/>
      <c r="JVQ79" s="2805"/>
      <c r="JVR79" s="2805"/>
      <c r="JVS79" s="2805"/>
      <c r="JVT79" s="2805"/>
      <c r="JVU79" s="2805"/>
      <c r="JVV79" s="2805"/>
      <c r="JVW79" s="2805"/>
      <c r="JVX79" s="2805"/>
      <c r="JVY79" s="2805"/>
      <c r="JVZ79" s="2805"/>
      <c r="JWA79" s="2805"/>
      <c r="JWB79" s="2805"/>
      <c r="JWC79" s="2805"/>
      <c r="JWD79" s="2805"/>
      <c r="JWE79" s="2805"/>
      <c r="JWF79" s="2805"/>
      <c r="JWG79" s="2805"/>
      <c r="JWH79" s="2805"/>
      <c r="JWI79" s="2805"/>
      <c r="JWJ79" s="2805"/>
      <c r="JWK79" s="2805"/>
      <c r="JWL79" s="2805"/>
      <c r="JWM79" s="2805"/>
      <c r="JWN79" s="2805"/>
      <c r="JWO79" s="2805"/>
      <c r="JWP79" s="2805"/>
      <c r="JWQ79" s="2805"/>
      <c r="JWR79" s="2805"/>
      <c r="JWS79" s="2805"/>
      <c r="JWT79" s="2805"/>
      <c r="JWU79" s="2805"/>
      <c r="JWV79" s="2805"/>
      <c r="JWW79" s="2805"/>
      <c r="JWX79" s="2805"/>
      <c r="JWY79" s="2805"/>
      <c r="JWZ79" s="2805"/>
      <c r="JXA79" s="2805"/>
      <c r="JXB79" s="2805"/>
      <c r="JXC79" s="2805"/>
      <c r="JXD79" s="2805"/>
      <c r="JXE79" s="2805"/>
      <c r="JXF79" s="2805"/>
      <c r="JXG79" s="2805"/>
      <c r="JXH79" s="2805"/>
      <c r="JXI79" s="2805"/>
      <c r="JXJ79" s="2805"/>
      <c r="JXK79" s="2805"/>
      <c r="JXL79" s="2805"/>
      <c r="JXM79" s="2805"/>
      <c r="JXN79" s="2805"/>
      <c r="JXO79" s="2805"/>
      <c r="JXP79" s="2805"/>
      <c r="JXQ79" s="2805"/>
      <c r="JXR79" s="2805"/>
      <c r="JXS79" s="2805"/>
      <c r="JXT79" s="2805"/>
      <c r="JXU79" s="2805"/>
      <c r="JXV79" s="2805"/>
      <c r="JXW79" s="2805"/>
      <c r="JXX79" s="2805"/>
      <c r="JXY79" s="2805"/>
      <c r="JXZ79" s="2805"/>
      <c r="JYA79" s="2805"/>
      <c r="JYB79" s="2805"/>
      <c r="JYC79" s="2805"/>
      <c r="JYD79" s="2805"/>
      <c r="JYE79" s="2805"/>
      <c r="JYF79" s="2805"/>
      <c r="JYG79" s="2805"/>
      <c r="JYH79" s="2805"/>
      <c r="JYI79" s="2805"/>
      <c r="JYJ79" s="2805"/>
      <c r="JYK79" s="2805"/>
      <c r="JYL79" s="2805"/>
      <c r="JYM79" s="2805"/>
      <c r="JYN79" s="2805"/>
      <c r="JYO79" s="2805"/>
      <c r="JYP79" s="2805"/>
      <c r="JYQ79" s="2805"/>
      <c r="JYR79" s="2805"/>
      <c r="JYS79" s="2805"/>
      <c r="JYT79" s="2805"/>
      <c r="JYU79" s="2805"/>
      <c r="JYV79" s="2805"/>
      <c r="JYW79" s="2805"/>
      <c r="JYX79" s="2805"/>
      <c r="JYY79" s="2805"/>
      <c r="JYZ79" s="2805"/>
      <c r="JZA79" s="2805"/>
      <c r="JZB79" s="2805"/>
      <c r="JZC79" s="2805"/>
      <c r="JZD79" s="2805"/>
      <c r="JZE79" s="2805"/>
      <c r="JZF79" s="2805"/>
      <c r="JZG79" s="2805"/>
      <c r="JZH79" s="2805"/>
      <c r="JZI79" s="2805"/>
      <c r="JZJ79" s="2805"/>
      <c r="JZK79" s="2805"/>
      <c r="JZL79" s="2805"/>
      <c r="JZM79" s="2805"/>
      <c r="JZN79" s="2805"/>
      <c r="JZO79" s="2805"/>
      <c r="JZP79" s="2805"/>
      <c r="JZQ79" s="2805"/>
      <c r="JZR79" s="2805"/>
      <c r="JZS79" s="2805"/>
      <c r="JZT79" s="2805"/>
      <c r="JZU79" s="2805"/>
      <c r="JZV79" s="2805"/>
      <c r="JZW79" s="2805"/>
      <c r="JZX79" s="2805"/>
      <c r="JZY79" s="2805"/>
      <c r="JZZ79" s="2805"/>
      <c r="KAA79" s="2805"/>
      <c r="KAB79" s="2805"/>
      <c r="KAC79" s="2805"/>
      <c r="KAD79" s="2805"/>
      <c r="KAE79" s="2805"/>
      <c r="KAF79" s="2805"/>
      <c r="KAG79" s="2805"/>
      <c r="KAH79" s="2805"/>
      <c r="KAI79" s="2805"/>
      <c r="KAJ79" s="2805"/>
      <c r="KAK79" s="2805"/>
      <c r="KAL79" s="2805"/>
      <c r="KAM79" s="2805"/>
      <c r="KAN79" s="2805"/>
      <c r="KAO79" s="2805"/>
      <c r="KAP79" s="2805"/>
      <c r="KAQ79" s="2805"/>
      <c r="KAR79" s="2805"/>
      <c r="KAS79" s="2805"/>
      <c r="KAT79" s="2805"/>
      <c r="KAU79" s="2805"/>
      <c r="KAV79" s="2805"/>
      <c r="KAW79" s="2805"/>
      <c r="KAX79" s="2805"/>
      <c r="KAY79" s="2805"/>
      <c r="KAZ79" s="2805"/>
      <c r="KBA79" s="2805"/>
      <c r="KBB79" s="2805"/>
      <c r="KBC79" s="2805"/>
      <c r="KBD79" s="2805"/>
      <c r="KBE79" s="2805"/>
      <c r="KBF79" s="2805"/>
      <c r="KBG79" s="2805"/>
      <c r="KBH79" s="2805"/>
      <c r="KBI79" s="2805"/>
      <c r="KBJ79" s="2805"/>
      <c r="KBK79" s="2805"/>
      <c r="KBL79" s="2805"/>
      <c r="KBM79" s="2805"/>
      <c r="KBN79" s="2805"/>
      <c r="KBO79" s="2805"/>
      <c r="KBP79" s="2805"/>
      <c r="KBQ79" s="2805"/>
      <c r="KBR79" s="2805"/>
      <c r="KBS79" s="2805"/>
      <c r="KBT79" s="2805"/>
      <c r="KBU79" s="2805"/>
      <c r="KBV79" s="2805"/>
      <c r="KBW79" s="2805"/>
      <c r="KBX79" s="2805"/>
      <c r="KBY79" s="2805"/>
      <c r="KBZ79" s="2805"/>
      <c r="KCA79" s="2805"/>
      <c r="KCB79" s="2805"/>
      <c r="KCC79" s="2805"/>
      <c r="KCD79" s="2805"/>
      <c r="KCE79" s="2805"/>
      <c r="KCF79" s="2805"/>
      <c r="KCG79" s="2805"/>
      <c r="KCH79" s="2805"/>
      <c r="KCI79" s="2805"/>
      <c r="KCJ79" s="2805"/>
      <c r="KCK79" s="2805"/>
      <c r="KCL79" s="2805"/>
      <c r="KCM79" s="2805"/>
      <c r="KCN79" s="2805"/>
      <c r="KCO79" s="2805"/>
      <c r="KCP79" s="2805"/>
      <c r="KCQ79" s="2805"/>
      <c r="KCR79" s="2805"/>
      <c r="KCS79" s="2805"/>
      <c r="KCT79" s="2805"/>
      <c r="KCU79" s="2805"/>
      <c r="KCV79" s="2805"/>
      <c r="KCW79" s="2805"/>
      <c r="KCX79" s="2805"/>
      <c r="KCY79" s="2805"/>
      <c r="KCZ79" s="2805"/>
      <c r="KDA79" s="2805"/>
      <c r="KDB79" s="2805"/>
      <c r="KDC79" s="2805"/>
      <c r="KDD79" s="2805"/>
      <c r="KDE79" s="2805"/>
      <c r="KDF79" s="2805"/>
      <c r="KDG79" s="2805"/>
      <c r="KDH79" s="2805"/>
      <c r="KDI79" s="2805"/>
      <c r="KDJ79" s="2805"/>
      <c r="KDK79" s="2805"/>
      <c r="KDL79" s="2805"/>
      <c r="KDM79" s="2805"/>
      <c r="KDN79" s="2805"/>
      <c r="KDO79" s="2805"/>
      <c r="KDP79" s="2805"/>
      <c r="KDQ79" s="2805"/>
      <c r="KDR79" s="2805"/>
      <c r="KDS79" s="2805"/>
      <c r="KDT79" s="2805"/>
      <c r="KDU79" s="2805"/>
      <c r="KDV79" s="2805"/>
      <c r="KDW79" s="2805"/>
      <c r="KDX79" s="2805"/>
      <c r="KDY79" s="2805"/>
      <c r="KDZ79" s="2805"/>
      <c r="KEA79" s="2805"/>
      <c r="KEB79" s="2805"/>
      <c r="KEC79" s="2805"/>
      <c r="KED79" s="2805"/>
      <c r="KEE79" s="2805"/>
      <c r="KEF79" s="2805"/>
      <c r="KEG79" s="2805"/>
      <c r="KEH79" s="2805"/>
      <c r="KEI79" s="2805"/>
      <c r="KEJ79" s="2805"/>
      <c r="KEK79" s="2805"/>
      <c r="KEL79" s="2805"/>
      <c r="KEM79" s="2805"/>
      <c r="KEN79" s="2805"/>
      <c r="KEO79" s="2805"/>
      <c r="KEP79" s="2805"/>
      <c r="KEQ79" s="2805"/>
      <c r="KER79" s="2805"/>
      <c r="KES79" s="2805"/>
      <c r="KET79" s="2805"/>
      <c r="KEU79" s="2805"/>
      <c r="KEV79" s="2805"/>
      <c r="KEW79" s="2805"/>
      <c r="KEX79" s="2805"/>
      <c r="KEY79" s="2805"/>
      <c r="KEZ79" s="2805"/>
      <c r="KFA79" s="2805"/>
      <c r="KFB79" s="2805"/>
      <c r="KFC79" s="2805"/>
      <c r="KFD79" s="2805"/>
      <c r="KFE79" s="2805"/>
      <c r="KFF79" s="2805"/>
      <c r="KFG79" s="2805"/>
      <c r="KFH79" s="2805"/>
      <c r="KFI79" s="2805"/>
      <c r="KFJ79" s="2805"/>
      <c r="KFK79" s="2805"/>
      <c r="KFL79" s="2805"/>
      <c r="KFM79" s="2805"/>
      <c r="KFN79" s="2805"/>
      <c r="KFO79" s="2805"/>
      <c r="KFP79" s="2805"/>
      <c r="KFQ79" s="2805"/>
      <c r="KFR79" s="2805"/>
      <c r="KFS79" s="2805"/>
      <c r="KFT79" s="2805"/>
      <c r="KFU79" s="2805"/>
      <c r="KFV79" s="2805"/>
      <c r="KFW79" s="2805"/>
      <c r="KFX79" s="2805"/>
      <c r="KFY79" s="2805"/>
      <c r="KFZ79" s="2805"/>
      <c r="KGA79" s="2805"/>
      <c r="KGB79" s="2805"/>
      <c r="KGC79" s="2805"/>
      <c r="KGD79" s="2805"/>
      <c r="KGE79" s="2805"/>
      <c r="KGF79" s="2805"/>
      <c r="KGG79" s="2805"/>
      <c r="KGH79" s="2805"/>
      <c r="KGI79" s="2805"/>
      <c r="KGJ79" s="2805"/>
      <c r="KGK79" s="2805"/>
      <c r="KGL79" s="2805"/>
      <c r="KGM79" s="2805"/>
      <c r="KGN79" s="2805"/>
      <c r="KGO79" s="2805"/>
      <c r="KGP79" s="2805"/>
      <c r="KGQ79" s="2805"/>
      <c r="KGR79" s="2805"/>
      <c r="KGS79" s="2805"/>
      <c r="KGT79" s="2805"/>
      <c r="KGU79" s="2805"/>
      <c r="KGV79" s="2805"/>
      <c r="KGW79" s="2805"/>
      <c r="KGX79" s="2805"/>
      <c r="KGY79" s="2805"/>
      <c r="KGZ79" s="2805"/>
      <c r="KHA79" s="2805"/>
      <c r="KHB79" s="2805"/>
      <c r="KHC79" s="2805"/>
      <c r="KHD79" s="2805"/>
      <c r="KHE79" s="2805"/>
      <c r="KHF79" s="2805"/>
      <c r="KHG79" s="2805"/>
      <c r="KHH79" s="2805"/>
      <c r="KHI79" s="2805"/>
      <c r="KHJ79" s="2805"/>
      <c r="KHK79" s="2805"/>
      <c r="KHL79" s="2805"/>
      <c r="KHM79" s="2805"/>
      <c r="KHN79" s="2805"/>
      <c r="KHO79" s="2805"/>
      <c r="KHP79" s="2805"/>
      <c r="KHQ79" s="2805"/>
      <c r="KHR79" s="2805"/>
      <c r="KHS79" s="2805"/>
      <c r="KHT79" s="2805"/>
      <c r="KHU79" s="2805"/>
      <c r="KHV79" s="2805"/>
      <c r="KHW79" s="2805"/>
      <c r="KHX79" s="2805"/>
      <c r="KHY79" s="2805"/>
      <c r="KHZ79" s="2805"/>
      <c r="KIA79" s="2805"/>
      <c r="KIB79" s="2805"/>
      <c r="KIC79" s="2805"/>
      <c r="KID79" s="2805"/>
      <c r="KIE79" s="2805"/>
      <c r="KIF79" s="2805"/>
      <c r="KIG79" s="2805"/>
      <c r="KIH79" s="2805"/>
      <c r="KII79" s="2805"/>
      <c r="KIJ79" s="2805"/>
      <c r="KIK79" s="2805"/>
      <c r="KIL79" s="2805"/>
      <c r="KIM79" s="2805"/>
      <c r="KIN79" s="2805"/>
      <c r="KIO79" s="2805"/>
      <c r="KIP79" s="2805"/>
      <c r="KIQ79" s="2805"/>
      <c r="KIR79" s="2805"/>
      <c r="KIS79" s="2805"/>
      <c r="KIT79" s="2805"/>
      <c r="KIU79" s="2805"/>
      <c r="KIV79" s="2805"/>
      <c r="KIW79" s="2805"/>
      <c r="KIX79" s="2805"/>
      <c r="KIY79" s="2805"/>
      <c r="KIZ79" s="2805"/>
      <c r="KJA79" s="2805"/>
      <c r="KJB79" s="2805"/>
      <c r="KJC79" s="2805"/>
      <c r="KJD79" s="2805"/>
      <c r="KJE79" s="2805"/>
      <c r="KJF79" s="2805"/>
      <c r="KJG79" s="2805"/>
      <c r="KJH79" s="2805"/>
      <c r="KJI79" s="2805"/>
      <c r="KJJ79" s="2805"/>
      <c r="KJK79" s="2805"/>
      <c r="KJL79" s="2805"/>
      <c r="KJM79" s="2805"/>
      <c r="KJN79" s="2805"/>
      <c r="KJO79" s="2805"/>
      <c r="KJP79" s="2805"/>
      <c r="KJQ79" s="2805"/>
      <c r="KJR79" s="2805"/>
      <c r="KJS79" s="2805"/>
      <c r="KJT79" s="2805"/>
      <c r="KJU79" s="2805"/>
      <c r="KJV79" s="2805"/>
      <c r="KJW79" s="2805"/>
      <c r="KJX79" s="2805"/>
      <c r="KJY79" s="2805"/>
      <c r="KJZ79" s="2805"/>
      <c r="KKA79" s="2805"/>
      <c r="KKB79" s="2805"/>
      <c r="KKC79" s="2805"/>
      <c r="KKD79" s="2805"/>
      <c r="KKE79" s="2805"/>
      <c r="KKF79" s="2805"/>
      <c r="KKG79" s="2805"/>
      <c r="KKH79" s="2805"/>
      <c r="KKI79" s="2805"/>
      <c r="KKJ79" s="2805"/>
      <c r="KKK79" s="2805"/>
      <c r="KKL79" s="2805"/>
      <c r="KKM79" s="2805"/>
      <c r="KKN79" s="2805"/>
      <c r="KKO79" s="2805"/>
      <c r="KKP79" s="2805"/>
      <c r="KKQ79" s="2805"/>
      <c r="KKR79" s="2805"/>
      <c r="KKS79" s="2805"/>
      <c r="KKT79" s="2805"/>
      <c r="KKU79" s="2805"/>
      <c r="KKV79" s="2805"/>
      <c r="KKW79" s="2805"/>
      <c r="KKX79" s="2805"/>
      <c r="KKY79" s="2805"/>
      <c r="KKZ79" s="2805"/>
      <c r="KLA79" s="2805"/>
      <c r="KLB79" s="2805"/>
      <c r="KLC79" s="2805"/>
      <c r="KLD79" s="2805"/>
      <c r="KLE79" s="2805"/>
      <c r="KLF79" s="2805"/>
      <c r="KLG79" s="2805"/>
      <c r="KLH79" s="2805"/>
      <c r="KLI79" s="2805"/>
      <c r="KLJ79" s="2805"/>
      <c r="KLK79" s="2805"/>
      <c r="KLL79" s="2805"/>
      <c r="KLM79" s="2805"/>
      <c r="KLN79" s="2805"/>
      <c r="KLO79" s="2805"/>
      <c r="KLP79" s="2805"/>
      <c r="KLQ79" s="2805"/>
      <c r="KLR79" s="2805"/>
      <c r="KLS79" s="2805"/>
      <c r="KLT79" s="2805"/>
      <c r="KLU79" s="2805"/>
      <c r="KLV79" s="2805"/>
      <c r="KLW79" s="2805"/>
      <c r="KLX79" s="2805"/>
      <c r="KLY79" s="2805"/>
      <c r="KLZ79" s="2805"/>
      <c r="KMA79" s="2805"/>
      <c r="KMB79" s="2805"/>
      <c r="KMC79" s="2805"/>
      <c r="KMD79" s="2805"/>
      <c r="KME79" s="2805"/>
      <c r="KMF79" s="2805"/>
      <c r="KMG79" s="2805"/>
      <c r="KMH79" s="2805"/>
      <c r="KMI79" s="2805"/>
      <c r="KMJ79" s="2805"/>
      <c r="KMK79" s="2805"/>
      <c r="KML79" s="2805"/>
      <c r="KMM79" s="2805"/>
      <c r="KMN79" s="2805"/>
      <c r="KMO79" s="2805"/>
      <c r="KMP79" s="2805"/>
      <c r="KMQ79" s="2805"/>
      <c r="KMR79" s="2805"/>
      <c r="KMS79" s="2805"/>
      <c r="KMT79" s="2805"/>
      <c r="KMU79" s="2805"/>
      <c r="KMV79" s="2805"/>
      <c r="KMW79" s="2805"/>
      <c r="KMX79" s="2805"/>
      <c r="KMY79" s="2805"/>
      <c r="KMZ79" s="2805"/>
      <c r="KNA79" s="2805"/>
      <c r="KNB79" s="2805"/>
      <c r="KNC79" s="2805"/>
      <c r="KND79" s="2805"/>
      <c r="KNE79" s="2805"/>
      <c r="KNF79" s="2805"/>
      <c r="KNG79" s="2805"/>
      <c r="KNH79" s="2805"/>
      <c r="KNI79" s="2805"/>
      <c r="KNJ79" s="2805"/>
      <c r="KNK79" s="2805"/>
      <c r="KNL79" s="2805"/>
      <c r="KNM79" s="2805"/>
      <c r="KNN79" s="2805"/>
      <c r="KNO79" s="2805"/>
      <c r="KNP79" s="2805"/>
      <c r="KNQ79" s="2805"/>
      <c r="KNR79" s="2805"/>
      <c r="KNS79" s="2805"/>
      <c r="KNT79" s="2805"/>
      <c r="KNU79" s="2805"/>
      <c r="KNV79" s="2805"/>
      <c r="KNW79" s="2805"/>
      <c r="KNX79" s="2805"/>
      <c r="KNY79" s="2805"/>
      <c r="KNZ79" s="2805"/>
      <c r="KOA79" s="2805"/>
      <c r="KOB79" s="2805"/>
      <c r="KOC79" s="2805"/>
      <c r="KOD79" s="2805"/>
      <c r="KOE79" s="2805"/>
      <c r="KOF79" s="2805"/>
      <c r="KOG79" s="2805"/>
      <c r="KOH79" s="2805"/>
      <c r="KOI79" s="2805"/>
      <c r="KOJ79" s="2805"/>
      <c r="KOK79" s="2805"/>
      <c r="KOL79" s="2805"/>
      <c r="KOM79" s="2805"/>
      <c r="KON79" s="2805"/>
      <c r="KOO79" s="2805"/>
      <c r="KOP79" s="2805"/>
      <c r="KOQ79" s="2805"/>
      <c r="KOR79" s="2805"/>
      <c r="KOS79" s="2805"/>
      <c r="KOT79" s="2805"/>
      <c r="KOU79" s="2805"/>
      <c r="KOV79" s="2805"/>
      <c r="KOW79" s="2805"/>
      <c r="KOX79" s="2805"/>
      <c r="KOY79" s="2805"/>
      <c r="KOZ79" s="2805"/>
      <c r="KPA79" s="2805"/>
      <c r="KPB79" s="2805"/>
      <c r="KPC79" s="2805"/>
      <c r="KPD79" s="2805"/>
      <c r="KPE79" s="2805"/>
      <c r="KPF79" s="2805"/>
      <c r="KPG79" s="2805"/>
      <c r="KPH79" s="2805"/>
      <c r="KPI79" s="2805"/>
      <c r="KPJ79" s="2805"/>
      <c r="KPK79" s="2805"/>
      <c r="KPL79" s="2805"/>
      <c r="KPM79" s="2805"/>
      <c r="KPN79" s="2805"/>
      <c r="KPO79" s="2805"/>
      <c r="KPP79" s="2805"/>
      <c r="KPQ79" s="2805"/>
      <c r="KPR79" s="2805"/>
      <c r="KPS79" s="2805"/>
      <c r="KPT79" s="2805"/>
      <c r="KPU79" s="2805"/>
      <c r="KPV79" s="2805"/>
      <c r="KPW79" s="2805"/>
      <c r="KPX79" s="2805"/>
      <c r="KPY79" s="2805"/>
      <c r="KPZ79" s="2805"/>
      <c r="KQA79" s="2805"/>
      <c r="KQB79" s="2805"/>
      <c r="KQC79" s="2805"/>
      <c r="KQD79" s="2805"/>
      <c r="KQE79" s="2805"/>
      <c r="KQF79" s="2805"/>
      <c r="KQG79" s="2805"/>
      <c r="KQH79" s="2805"/>
      <c r="KQI79" s="2805"/>
      <c r="KQJ79" s="2805"/>
      <c r="KQK79" s="2805"/>
      <c r="KQL79" s="2805"/>
      <c r="KQM79" s="2805"/>
      <c r="KQN79" s="2805"/>
      <c r="KQO79" s="2805"/>
      <c r="KQP79" s="2805"/>
      <c r="KQQ79" s="2805"/>
      <c r="KQR79" s="2805"/>
      <c r="KQS79" s="2805"/>
      <c r="KQT79" s="2805"/>
      <c r="KQU79" s="2805"/>
      <c r="KQV79" s="2805"/>
      <c r="KQW79" s="2805"/>
      <c r="KQX79" s="2805"/>
      <c r="KQY79" s="2805"/>
      <c r="KQZ79" s="2805"/>
      <c r="KRA79" s="2805"/>
      <c r="KRB79" s="2805"/>
      <c r="KRC79" s="2805"/>
      <c r="KRD79" s="2805"/>
      <c r="KRE79" s="2805"/>
      <c r="KRF79" s="2805"/>
      <c r="KRG79" s="2805"/>
      <c r="KRH79" s="2805"/>
      <c r="KRI79" s="2805"/>
      <c r="KRJ79" s="2805"/>
      <c r="KRK79" s="2805"/>
      <c r="KRL79" s="2805"/>
      <c r="KRM79" s="2805"/>
      <c r="KRN79" s="2805"/>
      <c r="KRO79" s="2805"/>
      <c r="KRP79" s="2805"/>
      <c r="KRQ79" s="2805"/>
      <c r="KRR79" s="2805"/>
      <c r="KRS79" s="2805"/>
      <c r="KRT79" s="2805"/>
      <c r="KRU79" s="2805"/>
      <c r="KRV79" s="2805"/>
      <c r="KRW79" s="2805"/>
      <c r="KRX79" s="2805"/>
      <c r="KRY79" s="2805"/>
      <c r="KRZ79" s="2805"/>
      <c r="KSA79" s="2805"/>
      <c r="KSB79" s="2805"/>
      <c r="KSC79" s="2805"/>
      <c r="KSD79" s="2805"/>
      <c r="KSE79" s="2805"/>
      <c r="KSF79" s="2805"/>
      <c r="KSG79" s="2805"/>
      <c r="KSH79" s="2805"/>
      <c r="KSI79" s="2805"/>
      <c r="KSJ79" s="2805"/>
      <c r="KSK79" s="2805"/>
      <c r="KSL79" s="2805"/>
      <c r="KSM79" s="2805"/>
      <c r="KSN79" s="2805"/>
      <c r="KSO79" s="2805"/>
      <c r="KSP79" s="2805"/>
      <c r="KSQ79" s="2805"/>
      <c r="KSR79" s="2805"/>
      <c r="KSS79" s="2805"/>
      <c r="KST79" s="2805"/>
      <c r="KSU79" s="2805"/>
      <c r="KSV79" s="2805"/>
      <c r="KSW79" s="2805"/>
      <c r="KSX79" s="2805"/>
      <c r="KSY79" s="2805"/>
      <c r="KSZ79" s="2805"/>
      <c r="KTA79" s="2805"/>
      <c r="KTB79" s="2805"/>
      <c r="KTC79" s="2805"/>
      <c r="KTD79" s="2805"/>
      <c r="KTE79" s="2805"/>
      <c r="KTF79" s="2805"/>
      <c r="KTG79" s="2805"/>
      <c r="KTH79" s="2805"/>
      <c r="KTI79" s="2805"/>
      <c r="KTJ79" s="2805"/>
      <c r="KTK79" s="2805"/>
      <c r="KTL79" s="2805"/>
      <c r="KTM79" s="2805"/>
      <c r="KTN79" s="2805"/>
      <c r="KTO79" s="2805"/>
      <c r="KTP79" s="2805"/>
      <c r="KTQ79" s="2805"/>
      <c r="KTR79" s="2805"/>
      <c r="KTS79" s="2805"/>
      <c r="KTT79" s="2805"/>
      <c r="KTU79" s="2805"/>
      <c r="KTV79" s="2805"/>
      <c r="KTW79" s="2805"/>
      <c r="KTX79" s="2805"/>
      <c r="KTY79" s="2805"/>
      <c r="KTZ79" s="2805"/>
      <c r="KUA79" s="2805"/>
      <c r="KUB79" s="2805"/>
      <c r="KUC79" s="2805"/>
      <c r="KUD79" s="2805"/>
      <c r="KUE79" s="2805"/>
      <c r="KUF79" s="2805"/>
      <c r="KUG79" s="2805"/>
      <c r="KUH79" s="2805"/>
      <c r="KUI79" s="2805"/>
      <c r="KUJ79" s="2805"/>
      <c r="KUK79" s="2805"/>
      <c r="KUL79" s="2805"/>
      <c r="KUM79" s="2805"/>
      <c r="KUN79" s="2805"/>
      <c r="KUO79" s="2805"/>
      <c r="KUP79" s="2805"/>
      <c r="KUQ79" s="2805"/>
      <c r="KUR79" s="2805"/>
      <c r="KUS79" s="2805"/>
      <c r="KUT79" s="2805"/>
      <c r="KUU79" s="2805"/>
      <c r="KUV79" s="2805"/>
      <c r="KUW79" s="2805"/>
      <c r="KUX79" s="2805"/>
      <c r="KUY79" s="2805"/>
      <c r="KUZ79" s="2805"/>
      <c r="KVA79" s="2805"/>
      <c r="KVB79" s="2805"/>
      <c r="KVC79" s="2805"/>
      <c r="KVD79" s="2805"/>
      <c r="KVE79" s="2805"/>
      <c r="KVF79" s="2805"/>
      <c r="KVG79" s="2805"/>
      <c r="KVH79" s="2805"/>
      <c r="KVI79" s="2805"/>
      <c r="KVJ79" s="2805"/>
      <c r="KVK79" s="2805"/>
      <c r="KVL79" s="2805"/>
      <c r="KVM79" s="2805"/>
      <c r="KVN79" s="2805"/>
      <c r="KVO79" s="2805"/>
      <c r="KVP79" s="2805"/>
      <c r="KVQ79" s="2805"/>
      <c r="KVR79" s="2805"/>
      <c r="KVS79" s="2805"/>
      <c r="KVT79" s="2805"/>
      <c r="KVU79" s="2805"/>
      <c r="KVV79" s="2805"/>
      <c r="KVW79" s="2805"/>
      <c r="KVX79" s="2805"/>
      <c r="KVY79" s="2805"/>
      <c r="KVZ79" s="2805"/>
      <c r="KWA79" s="2805"/>
      <c r="KWB79" s="2805"/>
      <c r="KWC79" s="2805"/>
      <c r="KWD79" s="2805"/>
      <c r="KWE79" s="2805"/>
      <c r="KWF79" s="2805"/>
      <c r="KWG79" s="2805"/>
      <c r="KWH79" s="2805"/>
      <c r="KWI79" s="2805"/>
      <c r="KWJ79" s="2805"/>
      <c r="KWK79" s="2805"/>
      <c r="KWL79" s="2805"/>
      <c r="KWM79" s="2805"/>
      <c r="KWN79" s="2805"/>
      <c r="KWO79" s="2805"/>
      <c r="KWP79" s="2805"/>
      <c r="KWQ79" s="2805"/>
      <c r="KWR79" s="2805"/>
      <c r="KWS79" s="2805"/>
      <c r="KWT79" s="2805"/>
      <c r="KWU79" s="2805"/>
      <c r="KWV79" s="2805"/>
      <c r="KWW79" s="2805"/>
      <c r="KWX79" s="2805"/>
      <c r="KWY79" s="2805"/>
      <c r="KWZ79" s="2805"/>
      <c r="KXA79" s="2805"/>
      <c r="KXB79" s="2805"/>
      <c r="KXC79" s="2805"/>
      <c r="KXD79" s="2805"/>
      <c r="KXE79" s="2805"/>
      <c r="KXF79" s="2805"/>
      <c r="KXG79" s="2805"/>
      <c r="KXH79" s="2805"/>
      <c r="KXI79" s="2805"/>
      <c r="KXJ79" s="2805"/>
      <c r="KXK79" s="2805"/>
      <c r="KXL79" s="2805"/>
      <c r="KXM79" s="2805"/>
      <c r="KXN79" s="2805"/>
      <c r="KXO79" s="2805"/>
      <c r="KXP79" s="2805"/>
      <c r="KXQ79" s="2805"/>
      <c r="KXR79" s="2805"/>
      <c r="KXS79" s="2805"/>
      <c r="KXT79" s="2805"/>
      <c r="KXU79" s="2805"/>
      <c r="KXV79" s="2805"/>
      <c r="KXW79" s="2805"/>
      <c r="KXX79" s="2805"/>
      <c r="KXY79" s="2805"/>
      <c r="KXZ79" s="2805"/>
      <c r="KYA79" s="2805"/>
      <c r="KYB79" s="2805"/>
      <c r="KYC79" s="2805"/>
      <c r="KYD79" s="2805"/>
      <c r="KYE79" s="2805"/>
      <c r="KYF79" s="2805"/>
      <c r="KYG79" s="2805"/>
      <c r="KYH79" s="2805"/>
      <c r="KYI79" s="2805"/>
      <c r="KYJ79" s="2805"/>
      <c r="KYK79" s="2805"/>
      <c r="KYL79" s="2805"/>
      <c r="KYM79" s="2805"/>
      <c r="KYN79" s="2805"/>
      <c r="KYO79" s="2805"/>
      <c r="KYP79" s="2805"/>
      <c r="KYQ79" s="2805"/>
      <c r="KYR79" s="2805"/>
      <c r="KYS79" s="2805"/>
      <c r="KYT79" s="2805"/>
      <c r="KYU79" s="2805"/>
      <c r="KYV79" s="2805"/>
      <c r="KYW79" s="2805"/>
      <c r="KYX79" s="2805"/>
      <c r="KYY79" s="2805"/>
      <c r="KYZ79" s="2805"/>
      <c r="KZA79" s="2805"/>
      <c r="KZB79" s="2805"/>
      <c r="KZC79" s="2805"/>
      <c r="KZD79" s="2805"/>
      <c r="KZE79" s="2805"/>
      <c r="KZF79" s="2805"/>
      <c r="KZG79" s="2805"/>
      <c r="KZH79" s="2805"/>
      <c r="KZI79" s="2805"/>
      <c r="KZJ79" s="2805"/>
      <c r="KZK79" s="2805"/>
      <c r="KZL79" s="2805"/>
      <c r="KZM79" s="2805"/>
      <c r="KZN79" s="2805"/>
      <c r="KZO79" s="2805"/>
      <c r="KZP79" s="2805"/>
      <c r="KZQ79" s="2805"/>
      <c r="KZR79" s="2805"/>
      <c r="KZS79" s="2805"/>
      <c r="KZT79" s="2805"/>
      <c r="KZU79" s="2805"/>
      <c r="KZV79" s="2805"/>
      <c r="KZW79" s="2805"/>
      <c r="KZX79" s="2805"/>
      <c r="KZY79" s="2805"/>
      <c r="KZZ79" s="2805"/>
      <c r="LAA79" s="2805"/>
      <c r="LAB79" s="2805"/>
      <c r="LAC79" s="2805"/>
      <c r="LAD79" s="2805"/>
      <c r="LAE79" s="2805"/>
      <c r="LAF79" s="2805"/>
      <c r="LAG79" s="2805"/>
      <c r="LAH79" s="2805"/>
      <c r="LAI79" s="2805"/>
      <c r="LAJ79" s="2805"/>
      <c r="LAK79" s="2805"/>
      <c r="LAL79" s="2805"/>
      <c r="LAM79" s="2805"/>
      <c r="LAN79" s="2805"/>
      <c r="LAO79" s="2805"/>
      <c r="LAP79" s="2805"/>
      <c r="LAQ79" s="2805"/>
      <c r="LAR79" s="2805"/>
      <c r="LAS79" s="2805"/>
      <c r="LAT79" s="2805"/>
      <c r="LAU79" s="2805"/>
      <c r="LAV79" s="2805"/>
      <c r="LAW79" s="2805"/>
      <c r="LAX79" s="2805"/>
      <c r="LAY79" s="2805"/>
      <c r="LAZ79" s="2805"/>
      <c r="LBA79" s="2805"/>
      <c r="LBB79" s="2805"/>
      <c r="LBC79" s="2805"/>
      <c r="LBD79" s="2805"/>
      <c r="LBE79" s="2805"/>
      <c r="LBF79" s="2805"/>
      <c r="LBG79" s="2805"/>
      <c r="LBH79" s="2805"/>
      <c r="LBI79" s="2805"/>
      <c r="LBJ79" s="2805"/>
      <c r="LBK79" s="2805"/>
      <c r="LBL79" s="2805"/>
      <c r="LBM79" s="2805"/>
      <c r="LBN79" s="2805"/>
      <c r="LBO79" s="2805"/>
      <c r="LBP79" s="2805"/>
      <c r="LBQ79" s="2805"/>
      <c r="LBR79" s="2805"/>
      <c r="LBS79" s="2805"/>
      <c r="LBT79" s="2805"/>
      <c r="LBU79" s="2805"/>
      <c r="LBV79" s="2805"/>
      <c r="LBW79" s="2805"/>
      <c r="LBX79" s="2805"/>
      <c r="LBY79" s="2805"/>
      <c r="LBZ79" s="2805"/>
      <c r="LCA79" s="2805"/>
      <c r="LCB79" s="2805"/>
      <c r="LCC79" s="2805"/>
      <c r="LCD79" s="2805"/>
      <c r="LCE79" s="2805"/>
      <c r="LCF79" s="2805"/>
      <c r="LCG79" s="2805"/>
      <c r="LCH79" s="2805"/>
      <c r="LCI79" s="2805"/>
      <c r="LCJ79" s="2805"/>
      <c r="LCK79" s="2805"/>
      <c r="LCL79" s="2805"/>
      <c r="LCM79" s="2805"/>
      <c r="LCN79" s="2805"/>
      <c r="LCO79" s="2805"/>
      <c r="LCP79" s="2805"/>
      <c r="LCQ79" s="2805"/>
      <c r="LCR79" s="2805"/>
      <c r="LCS79" s="2805"/>
      <c r="LCT79" s="2805"/>
      <c r="LCU79" s="2805"/>
      <c r="LCV79" s="2805"/>
      <c r="LCW79" s="2805"/>
      <c r="LCX79" s="2805"/>
      <c r="LCY79" s="2805"/>
      <c r="LCZ79" s="2805"/>
      <c r="LDA79" s="2805"/>
      <c r="LDB79" s="2805"/>
      <c r="LDC79" s="2805"/>
      <c r="LDD79" s="2805"/>
      <c r="LDE79" s="2805"/>
      <c r="LDF79" s="2805"/>
      <c r="LDG79" s="2805"/>
      <c r="LDH79" s="2805"/>
      <c r="LDI79" s="2805"/>
      <c r="LDJ79" s="2805"/>
      <c r="LDK79" s="2805"/>
      <c r="LDL79" s="2805"/>
      <c r="LDM79" s="2805"/>
      <c r="LDN79" s="2805"/>
      <c r="LDO79" s="2805"/>
      <c r="LDP79" s="2805"/>
      <c r="LDQ79" s="2805"/>
      <c r="LDR79" s="2805"/>
      <c r="LDS79" s="2805"/>
      <c r="LDT79" s="2805"/>
      <c r="LDU79" s="2805"/>
      <c r="LDV79" s="2805"/>
      <c r="LDW79" s="2805"/>
      <c r="LDX79" s="2805"/>
      <c r="LDY79" s="2805"/>
      <c r="LDZ79" s="2805"/>
      <c r="LEA79" s="2805"/>
      <c r="LEB79" s="2805"/>
      <c r="LEC79" s="2805"/>
      <c r="LED79" s="2805"/>
      <c r="LEE79" s="2805"/>
      <c r="LEF79" s="2805"/>
      <c r="LEG79" s="2805"/>
      <c r="LEH79" s="2805"/>
      <c r="LEI79" s="2805"/>
      <c r="LEJ79" s="2805"/>
      <c r="LEK79" s="2805"/>
      <c r="LEL79" s="2805"/>
      <c r="LEM79" s="2805"/>
      <c r="LEN79" s="2805"/>
      <c r="LEO79" s="2805"/>
      <c r="LEP79" s="2805"/>
      <c r="LEQ79" s="2805"/>
      <c r="LER79" s="2805"/>
      <c r="LES79" s="2805"/>
      <c r="LET79" s="2805"/>
      <c r="LEU79" s="2805"/>
      <c r="LEV79" s="2805"/>
      <c r="LEW79" s="2805"/>
      <c r="LEX79" s="2805"/>
      <c r="LEY79" s="2805"/>
      <c r="LEZ79" s="2805"/>
      <c r="LFA79" s="2805"/>
      <c r="LFB79" s="2805"/>
      <c r="LFC79" s="2805"/>
      <c r="LFD79" s="2805"/>
      <c r="LFE79" s="2805"/>
      <c r="LFF79" s="2805"/>
      <c r="LFG79" s="2805"/>
      <c r="LFH79" s="2805"/>
      <c r="LFI79" s="2805"/>
      <c r="LFJ79" s="2805"/>
      <c r="LFK79" s="2805"/>
      <c r="LFL79" s="2805"/>
      <c r="LFM79" s="2805"/>
      <c r="LFN79" s="2805"/>
      <c r="LFO79" s="2805"/>
      <c r="LFP79" s="2805"/>
      <c r="LFQ79" s="2805"/>
      <c r="LFR79" s="2805"/>
      <c r="LFS79" s="2805"/>
      <c r="LFT79" s="2805"/>
      <c r="LFU79" s="2805"/>
      <c r="LFV79" s="2805"/>
      <c r="LFW79" s="2805"/>
      <c r="LFX79" s="2805"/>
      <c r="LFY79" s="2805"/>
      <c r="LFZ79" s="2805"/>
      <c r="LGA79" s="2805"/>
      <c r="LGB79" s="2805"/>
      <c r="LGC79" s="2805"/>
      <c r="LGD79" s="2805"/>
      <c r="LGE79" s="2805"/>
      <c r="LGF79" s="2805"/>
      <c r="LGG79" s="2805"/>
      <c r="LGH79" s="2805"/>
      <c r="LGI79" s="2805"/>
      <c r="LGJ79" s="2805"/>
      <c r="LGK79" s="2805"/>
      <c r="LGL79" s="2805"/>
      <c r="LGM79" s="2805"/>
      <c r="LGN79" s="2805"/>
      <c r="LGO79" s="2805"/>
      <c r="LGP79" s="2805"/>
      <c r="LGQ79" s="2805"/>
      <c r="LGR79" s="2805"/>
      <c r="LGS79" s="2805"/>
      <c r="LGT79" s="2805"/>
      <c r="LGU79" s="2805"/>
      <c r="LGV79" s="2805"/>
      <c r="LGW79" s="2805"/>
      <c r="LGX79" s="2805"/>
      <c r="LGY79" s="2805"/>
      <c r="LGZ79" s="2805"/>
      <c r="LHA79" s="2805"/>
      <c r="LHB79" s="2805"/>
      <c r="LHC79" s="2805"/>
      <c r="LHD79" s="2805"/>
      <c r="LHE79" s="2805"/>
      <c r="LHF79" s="2805"/>
      <c r="LHG79" s="2805"/>
      <c r="LHH79" s="2805"/>
      <c r="LHI79" s="2805"/>
      <c r="LHJ79" s="2805"/>
      <c r="LHK79" s="2805"/>
      <c r="LHL79" s="2805"/>
      <c r="LHM79" s="2805"/>
      <c r="LHN79" s="2805"/>
      <c r="LHO79" s="2805"/>
      <c r="LHP79" s="2805"/>
      <c r="LHQ79" s="2805"/>
      <c r="LHR79" s="2805"/>
      <c r="LHS79" s="2805"/>
      <c r="LHT79" s="2805"/>
      <c r="LHU79" s="2805"/>
      <c r="LHV79" s="2805"/>
      <c r="LHW79" s="2805"/>
      <c r="LHX79" s="2805"/>
      <c r="LHY79" s="2805"/>
      <c r="LHZ79" s="2805"/>
      <c r="LIA79" s="2805"/>
      <c r="LIB79" s="2805"/>
      <c r="LIC79" s="2805"/>
      <c r="LID79" s="2805"/>
      <c r="LIE79" s="2805"/>
      <c r="LIF79" s="2805"/>
      <c r="LIG79" s="2805"/>
      <c r="LIH79" s="2805"/>
      <c r="LII79" s="2805"/>
      <c r="LIJ79" s="2805"/>
      <c r="LIK79" s="2805"/>
      <c r="LIL79" s="2805"/>
      <c r="LIM79" s="2805"/>
      <c r="LIN79" s="2805"/>
      <c r="LIO79" s="2805"/>
      <c r="LIP79" s="2805"/>
      <c r="LIQ79" s="2805"/>
      <c r="LIR79" s="2805"/>
      <c r="LIS79" s="2805"/>
      <c r="LIT79" s="2805"/>
      <c r="LIU79" s="2805"/>
      <c r="LIV79" s="2805"/>
      <c r="LIW79" s="2805"/>
      <c r="LIX79" s="2805"/>
      <c r="LIY79" s="2805"/>
      <c r="LIZ79" s="2805"/>
      <c r="LJA79" s="2805"/>
      <c r="LJB79" s="2805"/>
      <c r="LJC79" s="2805"/>
      <c r="LJD79" s="2805"/>
      <c r="LJE79" s="2805"/>
      <c r="LJF79" s="2805"/>
      <c r="LJG79" s="2805"/>
      <c r="LJH79" s="2805"/>
      <c r="LJI79" s="2805"/>
      <c r="LJJ79" s="2805"/>
      <c r="LJK79" s="2805"/>
      <c r="LJL79" s="2805"/>
      <c r="LJM79" s="2805"/>
      <c r="LJN79" s="2805"/>
      <c r="LJO79" s="2805"/>
      <c r="LJP79" s="2805"/>
      <c r="LJQ79" s="2805"/>
      <c r="LJR79" s="2805"/>
      <c r="LJS79" s="2805"/>
      <c r="LJT79" s="2805"/>
      <c r="LJU79" s="2805"/>
      <c r="LJV79" s="2805"/>
      <c r="LJW79" s="2805"/>
      <c r="LJX79" s="2805"/>
      <c r="LJY79" s="2805"/>
      <c r="LJZ79" s="2805"/>
      <c r="LKA79" s="2805"/>
      <c r="LKB79" s="2805"/>
      <c r="LKC79" s="2805"/>
      <c r="LKD79" s="2805"/>
      <c r="LKE79" s="2805"/>
      <c r="LKF79" s="2805"/>
      <c r="LKG79" s="2805"/>
      <c r="LKH79" s="2805"/>
      <c r="LKI79" s="2805"/>
      <c r="LKJ79" s="2805"/>
      <c r="LKK79" s="2805"/>
      <c r="LKL79" s="2805"/>
      <c r="LKM79" s="2805"/>
      <c r="LKN79" s="2805"/>
      <c r="LKO79" s="2805"/>
      <c r="LKP79" s="2805"/>
      <c r="LKQ79" s="2805"/>
      <c r="LKR79" s="2805"/>
      <c r="LKS79" s="2805"/>
      <c r="LKT79" s="2805"/>
      <c r="LKU79" s="2805"/>
      <c r="LKV79" s="2805"/>
      <c r="LKW79" s="2805"/>
      <c r="LKX79" s="2805"/>
      <c r="LKY79" s="2805"/>
      <c r="LKZ79" s="2805"/>
      <c r="LLA79" s="2805"/>
      <c r="LLB79" s="2805"/>
      <c r="LLC79" s="2805"/>
      <c r="LLD79" s="2805"/>
      <c r="LLE79" s="2805"/>
      <c r="LLF79" s="2805"/>
      <c r="LLG79" s="2805"/>
      <c r="LLH79" s="2805"/>
      <c r="LLI79" s="2805"/>
      <c r="LLJ79" s="2805"/>
      <c r="LLK79" s="2805"/>
      <c r="LLL79" s="2805"/>
      <c r="LLM79" s="2805"/>
      <c r="LLN79" s="2805"/>
      <c r="LLO79" s="2805"/>
      <c r="LLP79" s="2805"/>
      <c r="LLQ79" s="2805"/>
      <c r="LLR79" s="2805"/>
      <c r="LLS79" s="2805"/>
      <c r="LLT79" s="2805"/>
      <c r="LLU79" s="2805"/>
      <c r="LLV79" s="2805"/>
      <c r="LLW79" s="2805"/>
      <c r="LLX79" s="2805"/>
      <c r="LLY79" s="2805"/>
      <c r="LLZ79" s="2805"/>
      <c r="LMA79" s="2805"/>
      <c r="LMB79" s="2805"/>
      <c r="LMC79" s="2805"/>
      <c r="LMD79" s="2805"/>
      <c r="LME79" s="2805"/>
      <c r="LMF79" s="2805"/>
      <c r="LMG79" s="2805"/>
      <c r="LMH79" s="2805"/>
      <c r="LMI79" s="2805"/>
      <c r="LMJ79" s="2805"/>
      <c r="LMK79" s="2805"/>
      <c r="LML79" s="2805"/>
      <c r="LMM79" s="2805"/>
      <c r="LMN79" s="2805"/>
      <c r="LMO79" s="2805"/>
      <c r="LMP79" s="2805"/>
      <c r="LMQ79" s="2805"/>
      <c r="LMR79" s="2805"/>
      <c r="LMS79" s="2805"/>
      <c r="LMT79" s="2805"/>
      <c r="LMU79" s="2805"/>
      <c r="LMV79" s="2805"/>
      <c r="LMW79" s="2805"/>
      <c r="LMX79" s="2805"/>
      <c r="LMY79" s="2805"/>
      <c r="LMZ79" s="2805"/>
      <c r="LNA79" s="2805"/>
      <c r="LNB79" s="2805"/>
      <c r="LNC79" s="2805"/>
      <c r="LND79" s="2805"/>
      <c r="LNE79" s="2805"/>
      <c r="LNF79" s="2805"/>
      <c r="LNG79" s="2805"/>
      <c r="LNH79" s="2805"/>
      <c r="LNI79" s="2805"/>
      <c r="LNJ79" s="2805"/>
      <c r="LNK79" s="2805"/>
      <c r="LNL79" s="2805"/>
      <c r="LNM79" s="2805"/>
      <c r="LNN79" s="2805"/>
      <c r="LNO79" s="2805"/>
      <c r="LNP79" s="2805"/>
      <c r="LNQ79" s="2805"/>
      <c r="LNR79" s="2805"/>
      <c r="LNS79" s="2805"/>
      <c r="LNT79" s="2805"/>
      <c r="LNU79" s="2805"/>
      <c r="LNV79" s="2805"/>
      <c r="LNW79" s="2805"/>
      <c r="LNX79" s="2805"/>
      <c r="LNY79" s="2805"/>
      <c r="LNZ79" s="2805"/>
      <c r="LOA79" s="2805"/>
      <c r="LOB79" s="2805"/>
      <c r="LOC79" s="2805"/>
      <c r="LOD79" s="2805"/>
      <c r="LOE79" s="2805"/>
      <c r="LOF79" s="2805"/>
      <c r="LOG79" s="2805"/>
      <c r="LOH79" s="2805"/>
      <c r="LOI79" s="2805"/>
      <c r="LOJ79" s="2805"/>
      <c r="LOK79" s="2805"/>
      <c r="LOL79" s="2805"/>
      <c r="LOM79" s="2805"/>
      <c r="LON79" s="2805"/>
      <c r="LOO79" s="2805"/>
      <c r="LOP79" s="2805"/>
      <c r="LOQ79" s="2805"/>
      <c r="LOR79" s="2805"/>
      <c r="LOS79" s="2805"/>
      <c r="LOT79" s="2805"/>
      <c r="LOU79" s="2805"/>
      <c r="LOV79" s="2805"/>
      <c r="LOW79" s="2805"/>
      <c r="LOX79" s="2805"/>
      <c r="LOY79" s="2805"/>
      <c r="LOZ79" s="2805"/>
      <c r="LPA79" s="2805"/>
      <c r="LPB79" s="2805"/>
      <c r="LPC79" s="2805"/>
      <c r="LPD79" s="2805"/>
      <c r="LPE79" s="2805"/>
      <c r="LPF79" s="2805"/>
      <c r="LPG79" s="2805"/>
      <c r="LPH79" s="2805"/>
      <c r="LPI79" s="2805"/>
      <c r="LPJ79" s="2805"/>
      <c r="LPK79" s="2805"/>
      <c r="LPL79" s="2805"/>
      <c r="LPM79" s="2805"/>
      <c r="LPN79" s="2805"/>
      <c r="LPO79" s="2805"/>
      <c r="LPP79" s="2805"/>
      <c r="LPQ79" s="2805"/>
      <c r="LPR79" s="2805"/>
      <c r="LPS79" s="2805"/>
      <c r="LPT79" s="2805"/>
      <c r="LPU79" s="2805"/>
      <c r="LPV79" s="2805"/>
      <c r="LPW79" s="2805"/>
      <c r="LPX79" s="2805"/>
      <c r="LPY79" s="2805"/>
      <c r="LPZ79" s="2805"/>
      <c r="LQA79" s="2805"/>
      <c r="LQB79" s="2805"/>
      <c r="LQC79" s="2805"/>
      <c r="LQD79" s="2805"/>
      <c r="LQE79" s="2805"/>
      <c r="LQF79" s="2805"/>
      <c r="LQG79" s="2805"/>
      <c r="LQH79" s="2805"/>
      <c r="LQI79" s="2805"/>
      <c r="LQJ79" s="2805"/>
      <c r="LQK79" s="2805"/>
      <c r="LQL79" s="2805"/>
      <c r="LQM79" s="2805"/>
      <c r="LQN79" s="2805"/>
      <c r="LQO79" s="2805"/>
      <c r="LQP79" s="2805"/>
      <c r="LQQ79" s="2805"/>
      <c r="LQR79" s="2805"/>
      <c r="LQS79" s="2805"/>
      <c r="LQT79" s="2805"/>
      <c r="LQU79" s="2805"/>
      <c r="LQV79" s="2805"/>
      <c r="LQW79" s="2805"/>
      <c r="LQX79" s="2805"/>
      <c r="LQY79" s="2805"/>
      <c r="LQZ79" s="2805"/>
      <c r="LRA79" s="2805"/>
      <c r="LRB79" s="2805"/>
      <c r="LRC79" s="2805"/>
      <c r="LRD79" s="2805"/>
      <c r="LRE79" s="2805"/>
      <c r="LRF79" s="2805"/>
      <c r="LRG79" s="2805"/>
      <c r="LRH79" s="2805"/>
      <c r="LRI79" s="2805"/>
      <c r="LRJ79" s="2805"/>
      <c r="LRK79" s="2805"/>
      <c r="LRL79" s="2805"/>
      <c r="LRM79" s="2805"/>
      <c r="LRN79" s="2805"/>
      <c r="LRO79" s="2805"/>
      <c r="LRP79" s="2805"/>
      <c r="LRQ79" s="2805"/>
      <c r="LRR79" s="2805"/>
      <c r="LRS79" s="2805"/>
      <c r="LRT79" s="2805"/>
      <c r="LRU79" s="2805"/>
      <c r="LRV79" s="2805"/>
      <c r="LRW79" s="2805"/>
      <c r="LRX79" s="2805"/>
      <c r="LRY79" s="2805"/>
      <c r="LRZ79" s="2805"/>
      <c r="LSA79" s="2805"/>
      <c r="LSB79" s="2805"/>
      <c r="LSC79" s="2805"/>
      <c r="LSD79" s="2805"/>
      <c r="LSE79" s="2805"/>
      <c r="LSF79" s="2805"/>
      <c r="LSG79" s="2805"/>
      <c r="LSH79" s="2805"/>
      <c r="LSI79" s="2805"/>
      <c r="LSJ79" s="2805"/>
      <c r="LSK79" s="2805"/>
      <c r="LSL79" s="2805"/>
      <c r="LSM79" s="2805"/>
      <c r="LSN79" s="2805"/>
      <c r="LSO79" s="2805"/>
      <c r="LSP79" s="2805"/>
      <c r="LSQ79" s="2805"/>
      <c r="LSR79" s="2805"/>
      <c r="LSS79" s="2805"/>
      <c r="LST79" s="2805"/>
      <c r="LSU79" s="2805"/>
      <c r="LSV79" s="2805"/>
      <c r="LSW79" s="2805"/>
      <c r="LSX79" s="2805"/>
      <c r="LSY79" s="2805"/>
      <c r="LSZ79" s="2805"/>
      <c r="LTA79" s="2805"/>
      <c r="LTB79" s="2805"/>
      <c r="LTC79" s="2805"/>
      <c r="LTD79" s="2805"/>
      <c r="LTE79" s="2805"/>
      <c r="LTF79" s="2805"/>
      <c r="LTG79" s="2805"/>
      <c r="LTH79" s="2805"/>
      <c r="LTI79" s="2805"/>
      <c r="LTJ79" s="2805"/>
      <c r="LTK79" s="2805"/>
      <c r="LTL79" s="2805"/>
      <c r="LTM79" s="2805"/>
      <c r="LTN79" s="2805"/>
      <c r="LTO79" s="2805"/>
      <c r="LTP79" s="2805"/>
      <c r="LTQ79" s="2805"/>
      <c r="LTR79" s="2805"/>
      <c r="LTS79" s="2805"/>
      <c r="LTT79" s="2805"/>
      <c r="LTU79" s="2805"/>
      <c r="LTV79" s="2805"/>
      <c r="LTW79" s="2805"/>
      <c r="LTX79" s="2805"/>
      <c r="LTY79" s="2805"/>
      <c r="LTZ79" s="2805"/>
      <c r="LUA79" s="2805"/>
      <c r="LUB79" s="2805"/>
      <c r="LUC79" s="2805"/>
      <c r="LUD79" s="2805"/>
      <c r="LUE79" s="2805"/>
      <c r="LUF79" s="2805"/>
      <c r="LUG79" s="2805"/>
      <c r="LUH79" s="2805"/>
      <c r="LUI79" s="2805"/>
      <c r="LUJ79" s="2805"/>
      <c r="LUK79" s="2805"/>
      <c r="LUL79" s="2805"/>
      <c r="LUM79" s="2805"/>
      <c r="LUN79" s="2805"/>
      <c r="LUO79" s="2805"/>
      <c r="LUP79" s="2805"/>
      <c r="LUQ79" s="2805"/>
      <c r="LUR79" s="2805"/>
      <c r="LUS79" s="2805"/>
      <c r="LUT79" s="2805"/>
      <c r="LUU79" s="2805"/>
      <c r="LUV79" s="2805"/>
      <c r="LUW79" s="2805"/>
      <c r="LUX79" s="2805"/>
      <c r="LUY79" s="2805"/>
      <c r="LUZ79" s="2805"/>
      <c r="LVA79" s="2805"/>
      <c r="LVB79" s="2805"/>
      <c r="LVC79" s="2805"/>
      <c r="LVD79" s="2805"/>
      <c r="LVE79" s="2805"/>
      <c r="LVF79" s="2805"/>
      <c r="LVG79" s="2805"/>
      <c r="LVH79" s="2805"/>
      <c r="LVI79" s="2805"/>
      <c r="LVJ79" s="2805"/>
      <c r="LVK79" s="2805"/>
      <c r="LVL79" s="2805"/>
      <c r="LVM79" s="2805"/>
      <c r="LVN79" s="2805"/>
      <c r="LVO79" s="2805"/>
      <c r="LVP79" s="2805"/>
      <c r="LVQ79" s="2805"/>
      <c r="LVR79" s="2805"/>
      <c r="LVS79" s="2805"/>
      <c r="LVT79" s="2805"/>
      <c r="LVU79" s="2805"/>
      <c r="LVV79" s="2805"/>
      <c r="LVW79" s="2805"/>
      <c r="LVX79" s="2805"/>
      <c r="LVY79" s="2805"/>
      <c r="LVZ79" s="2805"/>
      <c r="LWA79" s="2805"/>
      <c r="LWB79" s="2805"/>
      <c r="LWC79" s="2805"/>
      <c r="LWD79" s="2805"/>
      <c r="LWE79" s="2805"/>
      <c r="LWF79" s="2805"/>
      <c r="LWG79" s="2805"/>
      <c r="LWH79" s="2805"/>
      <c r="LWI79" s="2805"/>
      <c r="LWJ79" s="2805"/>
      <c r="LWK79" s="2805"/>
      <c r="LWL79" s="2805"/>
      <c r="LWM79" s="2805"/>
      <c r="LWN79" s="2805"/>
      <c r="LWO79" s="2805"/>
      <c r="LWP79" s="2805"/>
      <c r="LWQ79" s="2805"/>
      <c r="LWR79" s="2805"/>
      <c r="LWS79" s="2805"/>
      <c r="LWT79" s="2805"/>
      <c r="LWU79" s="2805"/>
      <c r="LWV79" s="2805"/>
      <c r="LWW79" s="2805"/>
      <c r="LWX79" s="2805"/>
      <c r="LWY79" s="2805"/>
      <c r="LWZ79" s="2805"/>
      <c r="LXA79" s="2805"/>
      <c r="LXB79" s="2805"/>
      <c r="LXC79" s="2805"/>
      <c r="LXD79" s="2805"/>
      <c r="LXE79" s="2805"/>
      <c r="LXF79" s="2805"/>
      <c r="LXG79" s="2805"/>
      <c r="LXH79" s="2805"/>
      <c r="LXI79" s="2805"/>
      <c r="LXJ79" s="2805"/>
      <c r="LXK79" s="2805"/>
      <c r="LXL79" s="2805"/>
      <c r="LXM79" s="2805"/>
      <c r="LXN79" s="2805"/>
      <c r="LXO79" s="2805"/>
      <c r="LXP79" s="2805"/>
      <c r="LXQ79" s="2805"/>
      <c r="LXR79" s="2805"/>
      <c r="LXS79" s="2805"/>
      <c r="LXT79" s="2805"/>
      <c r="LXU79" s="2805"/>
      <c r="LXV79" s="2805"/>
      <c r="LXW79" s="2805"/>
      <c r="LXX79" s="2805"/>
      <c r="LXY79" s="2805"/>
      <c r="LXZ79" s="2805"/>
      <c r="LYA79" s="2805"/>
      <c r="LYB79" s="2805"/>
      <c r="LYC79" s="2805"/>
      <c r="LYD79" s="2805"/>
      <c r="LYE79" s="2805"/>
      <c r="LYF79" s="2805"/>
      <c r="LYG79" s="2805"/>
      <c r="LYH79" s="2805"/>
      <c r="LYI79" s="2805"/>
      <c r="LYJ79" s="2805"/>
      <c r="LYK79" s="2805"/>
      <c r="LYL79" s="2805"/>
      <c r="LYM79" s="2805"/>
      <c r="LYN79" s="2805"/>
      <c r="LYO79" s="2805"/>
      <c r="LYP79" s="2805"/>
      <c r="LYQ79" s="2805"/>
      <c r="LYR79" s="2805"/>
      <c r="LYS79" s="2805"/>
      <c r="LYT79" s="2805"/>
      <c r="LYU79" s="2805"/>
      <c r="LYV79" s="2805"/>
      <c r="LYW79" s="2805"/>
      <c r="LYX79" s="2805"/>
      <c r="LYY79" s="2805"/>
      <c r="LYZ79" s="2805"/>
      <c r="LZA79" s="2805"/>
      <c r="LZB79" s="2805"/>
      <c r="LZC79" s="2805"/>
      <c r="LZD79" s="2805"/>
      <c r="LZE79" s="2805"/>
      <c r="LZF79" s="2805"/>
      <c r="LZG79" s="2805"/>
      <c r="LZH79" s="2805"/>
      <c r="LZI79" s="2805"/>
      <c r="LZJ79" s="2805"/>
      <c r="LZK79" s="2805"/>
      <c r="LZL79" s="2805"/>
      <c r="LZM79" s="2805"/>
      <c r="LZN79" s="2805"/>
      <c r="LZO79" s="2805"/>
      <c r="LZP79" s="2805"/>
      <c r="LZQ79" s="2805"/>
      <c r="LZR79" s="2805"/>
      <c r="LZS79" s="2805"/>
      <c r="LZT79" s="2805"/>
      <c r="LZU79" s="2805"/>
      <c r="LZV79" s="2805"/>
      <c r="LZW79" s="2805"/>
      <c r="LZX79" s="2805"/>
      <c r="LZY79" s="2805"/>
      <c r="LZZ79" s="2805"/>
      <c r="MAA79" s="2805"/>
      <c r="MAB79" s="2805"/>
      <c r="MAC79" s="2805"/>
      <c r="MAD79" s="2805"/>
      <c r="MAE79" s="2805"/>
      <c r="MAF79" s="2805"/>
      <c r="MAG79" s="2805"/>
      <c r="MAH79" s="2805"/>
      <c r="MAI79" s="2805"/>
      <c r="MAJ79" s="2805"/>
      <c r="MAK79" s="2805"/>
      <c r="MAL79" s="2805"/>
      <c r="MAM79" s="2805"/>
      <c r="MAN79" s="2805"/>
      <c r="MAO79" s="2805"/>
      <c r="MAP79" s="2805"/>
      <c r="MAQ79" s="2805"/>
      <c r="MAR79" s="2805"/>
      <c r="MAS79" s="2805"/>
      <c r="MAT79" s="2805"/>
      <c r="MAU79" s="2805"/>
      <c r="MAV79" s="2805"/>
      <c r="MAW79" s="2805"/>
      <c r="MAX79" s="2805"/>
      <c r="MAY79" s="2805"/>
      <c r="MAZ79" s="2805"/>
      <c r="MBA79" s="2805"/>
      <c r="MBB79" s="2805"/>
      <c r="MBC79" s="2805"/>
      <c r="MBD79" s="2805"/>
      <c r="MBE79" s="2805"/>
      <c r="MBF79" s="2805"/>
      <c r="MBG79" s="2805"/>
      <c r="MBH79" s="2805"/>
      <c r="MBI79" s="2805"/>
      <c r="MBJ79" s="2805"/>
      <c r="MBK79" s="2805"/>
      <c r="MBL79" s="2805"/>
      <c r="MBM79" s="2805"/>
      <c r="MBN79" s="2805"/>
      <c r="MBO79" s="2805"/>
      <c r="MBP79" s="2805"/>
      <c r="MBQ79" s="2805"/>
      <c r="MBR79" s="2805"/>
      <c r="MBS79" s="2805"/>
      <c r="MBT79" s="2805"/>
      <c r="MBU79" s="2805"/>
      <c r="MBV79" s="2805"/>
      <c r="MBW79" s="2805"/>
      <c r="MBX79" s="2805"/>
      <c r="MBY79" s="2805"/>
      <c r="MBZ79" s="2805"/>
      <c r="MCA79" s="2805"/>
      <c r="MCB79" s="2805"/>
      <c r="MCC79" s="2805"/>
      <c r="MCD79" s="2805"/>
      <c r="MCE79" s="2805"/>
      <c r="MCF79" s="2805"/>
      <c r="MCG79" s="2805"/>
      <c r="MCH79" s="2805"/>
      <c r="MCI79" s="2805"/>
      <c r="MCJ79" s="2805"/>
      <c r="MCK79" s="2805"/>
      <c r="MCL79" s="2805"/>
      <c r="MCM79" s="2805"/>
      <c r="MCN79" s="2805"/>
      <c r="MCO79" s="2805"/>
      <c r="MCP79" s="2805"/>
      <c r="MCQ79" s="2805"/>
      <c r="MCR79" s="2805"/>
      <c r="MCS79" s="2805"/>
      <c r="MCT79" s="2805"/>
      <c r="MCU79" s="2805"/>
      <c r="MCV79" s="2805"/>
      <c r="MCW79" s="2805"/>
      <c r="MCX79" s="2805"/>
      <c r="MCY79" s="2805"/>
      <c r="MCZ79" s="2805"/>
      <c r="MDA79" s="2805"/>
      <c r="MDB79" s="2805"/>
      <c r="MDC79" s="2805"/>
      <c r="MDD79" s="2805"/>
      <c r="MDE79" s="2805"/>
      <c r="MDF79" s="2805"/>
      <c r="MDG79" s="2805"/>
      <c r="MDH79" s="2805"/>
      <c r="MDI79" s="2805"/>
      <c r="MDJ79" s="2805"/>
      <c r="MDK79" s="2805"/>
      <c r="MDL79" s="2805"/>
      <c r="MDM79" s="2805"/>
      <c r="MDN79" s="2805"/>
      <c r="MDO79" s="2805"/>
      <c r="MDP79" s="2805"/>
      <c r="MDQ79" s="2805"/>
      <c r="MDR79" s="2805"/>
      <c r="MDS79" s="2805"/>
      <c r="MDT79" s="2805"/>
      <c r="MDU79" s="2805"/>
      <c r="MDV79" s="2805"/>
      <c r="MDW79" s="2805"/>
      <c r="MDX79" s="2805"/>
      <c r="MDY79" s="2805"/>
      <c r="MDZ79" s="2805"/>
      <c r="MEA79" s="2805"/>
      <c r="MEB79" s="2805"/>
      <c r="MEC79" s="2805"/>
      <c r="MED79" s="2805"/>
      <c r="MEE79" s="2805"/>
      <c r="MEF79" s="2805"/>
      <c r="MEG79" s="2805"/>
      <c r="MEH79" s="2805"/>
      <c r="MEI79" s="2805"/>
      <c r="MEJ79" s="2805"/>
      <c r="MEK79" s="2805"/>
      <c r="MEL79" s="2805"/>
      <c r="MEM79" s="2805"/>
      <c r="MEN79" s="2805"/>
      <c r="MEO79" s="2805"/>
      <c r="MEP79" s="2805"/>
      <c r="MEQ79" s="2805"/>
      <c r="MER79" s="2805"/>
      <c r="MES79" s="2805"/>
      <c r="MET79" s="2805"/>
      <c r="MEU79" s="2805"/>
      <c r="MEV79" s="2805"/>
      <c r="MEW79" s="2805"/>
      <c r="MEX79" s="2805"/>
      <c r="MEY79" s="2805"/>
      <c r="MEZ79" s="2805"/>
      <c r="MFA79" s="2805"/>
      <c r="MFB79" s="2805"/>
      <c r="MFC79" s="2805"/>
      <c r="MFD79" s="2805"/>
      <c r="MFE79" s="2805"/>
      <c r="MFF79" s="2805"/>
      <c r="MFG79" s="2805"/>
      <c r="MFH79" s="2805"/>
      <c r="MFI79" s="2805"/>
      <c r="MFJ79" s="2805"/>
      <c r="MFK79" s="2805"/>
      <c r="MFL79" s="2805"/>
      <c r="MFM79" s="2805"/>
      <c r="MFN79" s="2805"/>
      <c r="MFO79" s="2805"/>
      <c r="MFP79" s="2805"/>
      <c r="MFQ79" s="2805"/>
      <c r="MFR79" s="2805"/>
      <c r="MFS79" s="2805"/>
      <c r="MFT79" s="2805"/>
      <c r="MFU79" s="2805"/>
      <c r="MFV79" s="2805"/>
      <c r="MFW79" s="2805"/>
      <c r="MFX79" s="2805"/>
      <c r="MFY79" s="2805"/>
      <c r="MFZ79" s="2805"/>
      <c r="MGA79" s="2805"/>
      <c r="MGB79" s="2805"/>
      <c r="MGC79" s="2805"/>
      <c r="MGD79" s="2805"/>
      <c r="MGE79" s="2805"/>
      <c r="MGF79" s="2805"/>
      <c r="MGG79" s="2805"/>
      <c r="MGH79" s="2805"/>
      <c r="MGI79" s="2805"/>
      <c r="MGJ79" s="2805"/>
      <c r="MGK79" s="2805"/>
      <c r="MGL79" s="2805"/>
      <c r="MGM79" s="2805"/>
      <c r="MGN79" s="2805"/>
      <c r="MGO79" s="2805"/>
      <c r="MGP79" s="2805"/>
      <c r="MGQ79" s="2805"/>
      <c r="MGR79" s="2805"/>
      <c r="MGS79" s="2805"/>
      <c r="MGT79" s="2805"/>
      <c r="MGU79" s="2805"/>
      <c r="MGV79" s="2805"/>
      <c r="MGW79" s="2805"/>
      <c r="MGX79" s="2805"/>
      <c r="MGY79" s="2805"/>
      <c r="MGZ79" s="2805"/>
      <c r="MHA79" s="2805"/>
      <c r="MHB79" s="2805"/>
      <c r="MHC79" s="2805"/>
      <c r="MHD79" s="2805"/>
      <c r="MHE79" s="2805"/>
      <c r="MHF79" s="2805"/>
      <c r="MHG79" s="2805"/>
      <c r="MHH79" s="2805"/>
      <c r="MHI79" s="2805"/>
      <c r="MHJ79" s="2805"/>
      <c r="MHK79" s="2805"/>
      <c r="MHL79" s="2805"/>
      <c r="MHM79" s="2805"/>
      <c r="MHN79" s="2805"/>
      <c r="MHO79" s="2805"/>
      <c r="MHP79" s="2805"/>
      <c r="MHQ79" s="2805"/>
      <c r="MHR79" s="2805"/>
      <c r="MHS79" s="2805"/>
      <c r="MHT79" s="2805"/>
      <c r="MHU79" s="2805"/>
      <c r="MHV79" s="2805"/>
      <c r="MHW79" s="2805"/>
      <c r="MHX79" s="2805"/>
      <c r="MHY79" s="2805"/>
      <c r="MHZ79" s="2805"/>
      <c r="MIA79" s="2805"/>
      <c r="MIB79" s="2805"/>
      <c r="MIC79" s="2805"/>
      <c r="MID79" s="2805"/>
      <c r="MIE79" s="2805"/>
      <c r="MIF79" s="2805"/>
      <c r="MIG79" s="2805"/>
      <c r="MIH79" s="2805"/>
      <c r="MII79" s="2805"/>
      <c r="MIJ79" s="2805"/>
      <c r="MIK79" s="2805"/>
      <c r="MIL79" s="2805"/>
      <c r="MIM79" s="2805"/>
      <c r="MIN79" s="2805"/>
      <c r="MIO79" s="2805"/>
      <c r="MIP79" s="2805"/>
      <c r="MIQ79" s="2805"/>
      <c r="MIR79" s="2805"/>
      <c r="MIS79" s="2805"/>
      <c r="MIT79" s="2805"/>
      <c r="MIU79" s="2805"/>
      <c r="MIV79" s="2805"/>
      <c r="MIW79" s="2805"/>
      <c r="MIX79" s="2805"/>
      <c r="MIY79" s="2805"/>
      <c r="MIZ79" s="2805"/>
      <c r="MJA79" s="2805"/>
      <c r="MJB79" s="2805"/>
      <c r="MJC79" s="2805"/>
      <c r="MJD79" s="2805"/>
      <c r="MJE79" s="2805"/>
      <c r="MJF79" s="2805"/>
      <c r="MJG79" s="2805"/>
      <c r="MJH79" s="2805"/>
      <c r="MJI79" s="2805"/>
      <c r="MJJ79" s="2805"/>
      <c r="MJK79" s="2805"/>
      <c r="MJL79" s="2805"/>
      <c r="MJM79" s="2805"/>
      <c r="MJN79" s="2805"/>
      <c r="MJO79" s="2805"/>
      <c r="MJP79" s="2805"/>
      <c r="MJQ79" s="2805"/>
      <c r="MJR79" s="2805"/>
      <c r="MJS79" s="2805"/>
      <c r="MJT79" s="2805"/>
      <c r="MJU79" s="2805"/>
      <c r="MJV79" s="2805"/>
      <c r="MJW79" s="2805"/>
      <c r="MJX79" s="2805"/>
      <c r="MJY79" s="2805"/>
      <c r="MJZ79" s="2805"/>
      <c r="MKA79" s="2805"/>
      <c r="MKB79" s="2805"/>
      <c r="MKC79" s="2805"/>
      <c r="MKD79" s="2805"/>
      <c r="MKE79" s="2805"/>
      <c r="MKF79" s="2805"/>
      <c r="MKG79" s="2805"/>
      <c r="MKH79" s="2805"/>
      <c r="MKI79" s="2805"/>
      <c r="MKJ79" s="2805"/>
      <c r="MKK79" s="2805"/>
      <c r="MKL79" s="2805"/>
      <c r="MKM79" s="2805"/>
      <c r="MKN79" s="2805"/>
      <c r="MKO79" s="2805"/>
      <c r="MKP79" s="2805"/>
      <c r="MKQ79" s="2805"/>
      <c r="MKR79" s="2805"/>
      <c r="MKS79" s="2805"/>
      <c r="MKT79" s="2805"/>
      <c r="MKU79" s="2805"/>
      <c r="MKV79" s="2805"/>
      <c r="MKW79" s="2805"/>
      <c r="MKX79" s="2805"/>
      <c r="MKY79" s="2805"/>
      <c r="MKZ79" s="2805"/>
      <c r="MLA79" s="2805"/>
      <c r="MLB79" s="2805"/>
      <c r="MLC79" s="2805"/>
      <c r="MLD79" s="2805"/>
      <c r="MLE79" s="2805"/>
      <c r="MLF79" s="2805"/>
      <c r="MLG79" s="2805"/>
      <c r="MLH79" s="2805"/>
      <c r="MLI79" s="2805"/>
      <c r="MLJ79" s="2805"/>
      <c r="MLK79" s="2805"/>
      <c r="MLL79" s="2805"/>
      <c r="MLM79" s="2805"/>
      <c r="MLN79" s="2805"/>
      <c r="MLO79" s="2805"/>
      <c r="MLP79" s="2805"/>
      <c r="MLQ79" s="2805"/>
      <c r="MLR79" s="2805"/>
      <c r="MLS79" s="2805"/>
      <c r="MLT79" s="2805"/>
      <c r="MLU79" s="2805"/>
      <c r="MLV79" s="2805"/>
      <c r="MLW79" s="2805"/>
      <c r="MLX79" s="2805"/>
      <c r="MLY79" s="2805"/>
      <c r="MLZ79" s="2805"/>
      <c r="MMA79" s="2805"/>
      <c r="MMB79" s="2805"/>
      <c r="MMC79" s="2805"/>
      <c r="MMD79" s="2805"/>
      <c r="MME79" s="2805"/>
      <c r="MMF79" s="2805"/>
      <c r="MMG79" s="2805"/>
      <c r="MMH79" s="2805"/>
      <c r="MMI79" s="2805"/>
      <c r="MMJ79" s="2805"/>
      <c r="MMK79" s="2805"/>
      <c r="MML79" s="2805"/>
      <c r="MMM79" s="2805"/>
      <c r="MMN79" s="2805"/>
      <c r="MMO79" s="2805"/>
      <c r="MMP79" s="2805"/>
      <c r="MMQ79" s="2805"/>
      <c r="MMR79" s="2805"/>
      <c r="MMS79" s="2805"/>
      <c r="MMT79" s="2805"/>
      <c r="MMU79" s="2805"/>
      <c r="MMV79" s="2805"/>
      <c r="MMW79" s="2805"/>
      <c r="MMX79" s="2805"/>
      <c r="MMY79" s="2805"/>
      <c r="MMZ79" s="2805"/>
      <c r="MNA79" s="2805"/>
      <c r="MNB79" s="2805"/>
      <c r="MNC79" s="2805"/>
      <c r="MND79" s="2805"/>
      <c r="MNE79" s="2805"/>
      <c r="MNF79" s="2805"/>
      <c r="MNG79" s="2805"/>
      <c r="MNH79" s="2805"/>
      <c r="MNI79" s="2805"/>
      <c r="MNJ79" s="2805"/>
      <c r="MNK79" s="2805"/>
      <c r="MNL79" s="2805"/>
      <c r="MNM79" s="2805"/>
      <c r="MNN79" s="2805"/>
      <c r="MNO79" s="2805"/>
      <c r="MNP79" s="2805"/>
      <c r="MNQ79" s="2805"/>
      <c r="MNR79" s="2805"/>
      <c r="MNS79" s="2805"/>
      <c r="MNT79" s="2805"/>
      <c r="MNU79" s="2805"/>
      <c r="MNV79" s="2805"/>
      <c r="MNW79" s="2805"/>
      <c r="MNX79" s="2805"/>
      <c r="MNY79" s="2805"/>
      <c r="MNZ79" s="2805"/>
      <c r="MOA79" s="2805"/>
      <c r="MOB79" s="2805"/>
      <c r="MOC79" s="2805"/>
      <c r="MOD79" s="2805"/>
      <c r="MOE79" s="2805"/>
      <c r="MOF79" s="2805"/>
      <c r="MOG79" s="2805"/>
      <c r="MOH79" s="2805"/>
      <c r="MOI79" s="2805"/>
      <c r="MOJ79" s="2805"/>
      <c r="MOK79" s="2805"/>
      <c r="MOL79" s="2805"/>
      <c r="MOM79" s="2805"/>
      <c r="MON79" s="2805"/>
      <c r="MOO79" s="2805"/>
      <c r="MOP79" s="2805"/>
      <c r="MOQ79" s="2805"/>
      <c r="MOR79" s="2805"/>
      <c r="MOS79" s="2805"/>
      <c r="MOT79" s="2805"/>
      <c r="MOU79" s="2805"/>
      <c r="MOV79" s="2805"/>
      <c r="MOW79" s="2805"/>
      <c r="MOX79" s="2805"/>
      <c r="MOY79" s="2805"/>
      <c r="MOZ79" s="2805"/>
      <c r="MPA79" s="2805"/>
      <c r="MPB79" s="2805"/>
      <c r="MPC79" s="2805"/>
      <c r="MPD79" s="2805"/>
      <c r="MPE79" s="2805"/>
      <c r="MPF79" s="2805"/>
      <c r="MPG79" s="2805"/>
      <c r="MPH79" s="2805"/>
      <c r="MPI79" s="2805"/>
      <c r="MPJ79" s="2805"/>
      <c r="MPK79" s="2805"/>
      <c r="MPL79" s="2805"/>
      <c r="MPM79" s="2805"/>
      <c r="MPN79" s="2805"/>
      <c r="MPO79" s="2805"/>
      <c r="MPP79" s="2805"/>
      <c r="MPQ79" s="2805"/>
      <c r="MPR79" s="2805"/>
      <c r="MPS79" s="2805"/>
      <c r="MPT79" s="2805"/>
      <c r="MPU79" s="2805"/>
      <c r="MPV79" s="2805"/>
      <c r="MPW79" s="2805"/>
      <c r="MPX79" s="2805"/>
      <c r="MPY79" s="2805"/>
      <c r="MPZ79" s="2805"/>
      <c r="MQA79" s="2805"/>
      <c r="MQB79" s="2805"/>
      <c r="MQC79" s="2805"/>
      <c r="MQD79" s="2805"/>
      <c r="MQE79" s="2805"/>
      <c r="MQF79" s="2805"/>
      <c r="MQG79" s="2805"/>
      <c r="MQH79" s="2805"/>
      <c r="MQI79" s="2805"/>
      <c r="MQJ79" s="2805"/>
      <c r="MQK79" s="2805"/>
      <c r="MQL79" s="2805"/>
      <c r="MQM79" s="2805"/>
      <c r="MQN79" s="2805"/>
      <c r="MQO79" s="2805"/>
      <c r="MQP79" s="2805"/>
      <c r="MQQ79" s="2805"/>
      <c r="MQR79" s="2805"/>
      <c r="MQS79" s="2805"/>
      <c r="MQT79" s="2805"/>
      <c r="MQU79" s="2805"/>
      <c r="MQV79" s="2805"/>
      <c r="MQW79" s="2805"/>
      <c r="MQX79" s="2805"/>
      <c r="MQY79" s="2805"/>
      <c r="MQZ79" s="2805"/>
      <c r="MRA79" s="2805"/>
      <c r="MRB79" s="2805"/>
      <c r="MRC79" s="2805"/>
      <c r="MRD79" s="2805"/>
      <c r="MRE79" s="2805"/>
      <c r="MRF79" s="2805"/>
      <c r="MRG79" s="2805"/>
      <c r="MRH79" s="2805"/>
      <c r="MRI79" s="2805"/>
      <c r="MRJ79" s="2805"/>
      <c r="MRK79" s="2805"/>
      <c r="MRL79" s="2805"/>
      <c r="MRM79" s="2805"/>
      <c r="MRN79" s="2805"/>
      <c r="MRO79" s="2805"/>
      <c r="MRP79" s="2805"/>
      <c r="MRQ79" s="2805"/>
      <c r="MRR79" s="2805"/>
      <c r="MRS79" s="2805"/>
      <c r="MRT79" s="2805"/>
      <c r="MRU79" s="2805"/>
      <c r="MRV79" s="2805"/>
      <c r="MRW79" s="2805"/>
      <c r="MRX79" s="2805"/>
      <c r="MRY79" s="2805"/>
      <c r="MRZ79" s="2805"/>
      <c r="MSA79" s="2805"/>
      <c r="MSB79" s="2805"/>
      <c r="MSC79" s="2805"/>
      <c r="MSD79" s="2805"/>
      <c r="MSE79" s="2805"/>
      <c r="MSF79" s="2805"/>
      <c r="MSG79" s="2805"/>
      <c r="MSH79" s="2805"/>
      <c r="MSI79" s="2805"/>
      <c r="MSJ79" s="2805"/>
      <c r="MSK79" s="2805"/>
      <c r="MSL79" s="2805"/>
      <c r="MSM79" s="2805"/>
      <c r="MSN79" s="2805"/>
      <c r="MSO79" s="2805"/>
      <c r="MSP79" s="2805"/>
      <c r="MSQ79" s="2805"/>
      <c r="MSR79" s="2805"/>
      <c r="MSS79" s="2805"/>
      <c r="MST79" s="2805"/>
      <c r="MSU79" s="2805"/>
      <c r="MSV79" s="2805"/>
      <c r="MSW79" s="2805"/>
      <c r="MSX79" s="2805"/>
      <c r="MSY79" s="2805"/>
      <c r="MSZ79" s="2805"/>
      <c r="MTA79" s="2805"/>
      <c r="MTB79" s="2805"/>
      <c r="MTC79" s="2805"/>
      <c r="MTD79" s="2805"/>
      <c r="MTE79" s="2805"/>
      <c r="MTF79" s="2805"/>
      <c r="MTG79" s="2805"/>
      <c r="MTH79" s="2805"/>
      <c r="MTI79" s="2805"/>
      <c r="MTJ79" s="2805"/>
      <c r="MTK79" s="2805"/>
      <c r="MTL79" s="2805"/>
      <c r="MTM79" s="2805"/>
      <c r="MTN79" s="2805"/>
      <c r="MTO79" s="2805"/>
      <c r="MTP79" s="2805"/>
      <c r="MTQ79" s="2805"/>
      <c r="MTR79" s="2805"/>
      <c r="MTS79" s="2805"/>
      <c r="MTT79" s="2805"/>
      <c r="MTU79" s="2805"/>
      <c r="MTV79" s="2805"/>
      <c r="MTW79" s="2805"/>
      <c r="MTX79" s="2805"/>
      <c r="MTY79" s="2805"/>
      <c r="MTZ79" s="2805"/>
      <c r="MUA79" s="2805"/>
      <c r="MUB79" s="2805"/>
      <c r="MUC79" s="2805"/>
      <c r="MUD79" s="2805"/>
      <c r="MUE79" s="2805"/>
      <c r="MUF79" s="2805"/>
      <c r="MUG79" s="2805"/>
      <c r="MUH79" s="2805"/>
      <c r="MUI79" s="2805"/>
      <c r="MUJ79" s="2805"/>
      <c r="MUK79" s="2805"/>
      <c r="MUL79" s="2805"/>
      <c r="MUM79" s="2805"/>
      <c r="MUN79" s="2805"/>
      <c r="MUO79" s="2805"/>
      <c r="MUP79" s="2805"/>
      <c r="MUQ79" s="2805"/>
      <c r="MUR79" s="2805"/>
      <c r="MUS79" s="2805"/>
      <c r="MUT79" s="2805"/>
      <c r="MUU79" s="2805"/>
      <c r="MUV79" s="2805"/>
      <c r="MUW79" s="2805"/>
      <c r="MUX79" s="2805"/>
      <c r="MUY79" s="2805"/>
      <c r="MUZ79" s="2805"/>
      <c r="MVA79" s="2805"/>
      <c r="MVB79" s="2805"/>
      <c r="MVC79" s="2805"/>
      <c r="MVD79" s="2805"/>
      <c r="MVE79" s="2805"/>
      <c r="MVF79" s="2805"/>
      <c r="MVG79" s="2805"/>
      <c r="MVH79" s="2805"/>
      <c r="MVI79" s="2805"/>
      <c r="MVJ79" s="2805"/>
      <c r="MVK79" s="2805"/>
      <c r="MVL79" s="2805"/>
      <c r="MVM79" s="2805"/>
      <c r="MVN79" s="2805"/>
      <c r="MVO79" s="2805"/>
      <c r="MVP79" s="2805"/>
      <c r="MVQ79" s="2805"/>
      <c r="MVR79" s="2805"/>
      <c r="MVS79" s="2805"/>
      <c r="MVT79" s="2805"/>
      <c r="MVU79" s="2805"/>
      <c r="MVV79" s="2805"/>
      <c r="MVW79" s="2805"/>
      <c r="MVX79" s="2805"/>
      <c r="MVY79" s="2805"/>
      <c r="MVZ79" s="2805"/>
      <c r="MWA79" s="2805"/>
      <c r="MWB79" s="2805"/>
      <c r="MWC79" s="2805"/>
      <c r="MWD79" s="2805"/>
      <c r="MWE79" s="2805"/>
      <c r="MWF79" s="2805"/>
      <c r="MWG79" s="2805"/>
      <c r="MWH79" s="2805"/>
      <c r="MWI79" s="2805"/>
      <c r="MWJ79" s="2805"/>
      <c r="MWK79" s="2805"/>
      <c r="MWL79" s="2805"/>
      <c r="MWM79" s="2805"/>
      <c r="MWN79" s="2805"/>
      <c r="MWO79" s="2805"/>
      <c r="MWP79" s="2805"/>
      <c r="MWQ79" s="2805"/>
      <c r="MWR79" s="2805"/>
      <c r="MWS79" s="2805"/>
      <c r="MWT79" s="2805"/>
      <c r="MWU79" s="2805"/>
      <c r="MWV79" s="2805"/>
      <c r="MWW79" s="2805"/>
      <c r="MWX79" s="2805"/>
      <c r="MWY79" s="2805"/>
      <c r="MWZ79" s="2805"/>
      <c r="MXA79" s="2805"/>
      <c r="MXB79" s="2805"/>
      <c r="MXC79" s="2805"/>
      <c r="MXD79" s="2805"/>
      <c r="MXE79" s="2805"/>
      <c r="MXF79" s="2805"/>
      <c r="MXG79" s="2805"/>
      <c r="MXH79" s="2805"/>
      <c r="MXI79" s="2805"/>
      <c r="MXJ79" s="2805"/>
      <c r="MXK79" s="2805"/>
      <c r="MXL79" s="2805"/>
      <c r="MXM79" s="2805"/>
      <c r="MXN79" s="2805"/>
      <c r="MXO79" s="2805"/>
      <c r="MXP79" s="2805"/>
      <c r="MXQ79" s="2805"/>
      <c r="MXR79" s="2805"/>
      <c r="MXS79" s="2805"/>
      <c r="MXT79" s="2805"/>
      <c r="MXU79" s="2805"/>
      <c r="MXV79" s="2805"/>
      <c r="MXW79" s="2805"/>
      <c r="MXX79" s="2805"/>
      <c r="MXY79" s="2805"/>
      <c r="MXZ79" s="2805"/>
      <c r="MYA79" s="2805"/>
      <c r="MYB79" s="2805"/>
      <c r="MYC79" s="2805"/>
      <c r="MYD79" s="2805"/>
      <c r="MYE79" s="2805"/>
      <c r="MYF79" s="2805"/>
      <c r="MYG79" s="2805"/>
      <c r="MYH79" s="2805"/>
      <c r="MYI79" s="2805"/>
      <c r="MYJ79" s="2805"/>
      <c r="MYK79" s="2805"/>
      <c r="MYL79" s="2805"/>
      <c r="MYM79" s="2805"/>
      <c r="MYN79" s="2805"/>
      <c r="MYO79" s="2805"/>
      <c r="MYP79" s="2805"/>
      <c r="MYQ79" s="2805"/>
      <c r="MYR79" s="2805"/>
      <c r="MYS79" s="2805"/>
      <c r="MYT79" s="2805"/>
      <c r="MYU79" s="2805"/>
      <c r="MYV79" s="2805"/>
      <c r="MYW79" s="2805"/>
      <c r="MYX79" s="2805"/>
      <c r="MYY79" s="2805"/>
      <c r="MYZ79" s="2805"/>
      <c r="MZA79" s="2805"/>
      <c r="MZB79" s="2805"/>
      <c r="MZC79" s="2805"/>
      <c r="MZD79" s="2805"/>
      <c r="MZE79" s="2805"/>
      <c r="MZF79" s="2805"/>
      <c r="MZG79" s="2805"/>
      <c r="MZH79" s="2805"/>
      <c r="MZI79" s="2805"/>
      <c r="MZJ79" s="2805"/>
      <c r="MZK79" s="2805"/>
      <c r="MZL79" s="2805"/>
      <c r="MZM79" s="2805"/>
      <c r="MZN79" s="2805"/>
      <c r="MZO79" s="2805"/>
      <c r="MZP79" s="2805"/>
      <c r="MZQ79" s="2805"/>
      <c r="MZR79" s="2805"/>
      <c r="MZS79" s="2805"/>
      <c r="MZT79" s="2805"/>
      <c r="MZU79" s="2805"/>
      <c r="MZV79" s="2805"/>
      <c r="MZW79" s="2805"/>
      <c r="MZX79" s="2805"/>
      <c r="MZY79" s="2805"/>
      <c r="MZZ79" s="2805"/>
      <c r="NAA79" s="2805"/>
      <c r="NAB79" s="2805"/>
      <c r="NAC79" s="2805"/>
      <c r="NAD79" s="2805"/>
      <c r="NAE79" s="2805"/>
      <c r="NAF79" s="2805"/>
      <c r="NAG79" s="2805"/>
      <c r="NAH79" s="2805"/>
      <c r="NAI79" s="2805"/>
      <c r="NAJ79" s="2805"/>
      <c r="NAK79" s="2805"/>
      <c r="NAL79" s="2805"/>
      <c r="NAM79" s="2805"/>
      <c r="NAN79" s="2805"/>
      <c r="NAO79" s="2805"/>
      <c r="NAP79" s="2805"/>
      <c r="NAQ79" s="2805"/>
      <c r="NAR79" s="2805"/>
      <c r="NAS79" s="2805"/>
      <c r="NAT79" s="2805"/>
      <c r="NAU79" s="2805"/>
      <c r="NAV79" s="2805"/>
      <c r="NAW79" s="2805"/>
      <c r="NAX79" s="2805"/>
      <c r="NAY79" s="2805"/>
      <c r="NAZ79" s="2805"/>
      <c r="NBA79" s="2805"/>
      <c r="NBB79" s="2805"/>
      <c r="NBC79" s="2805"/>
      <c r="NBD79" s="2805"/>
      <c r="NBE79" s="2805"/>
      <c r="NBF79" s="2805"/>
      <c r="NBG79" s="2805"/>
      <c r="NBH79" s="2805"/>
      <c r="NBI79" s="2805"/>
      <c r="NBJ79" s="2805"/>
      <c r="NBK79" s="2805"/>
      <c r="NBL79" s="2805"/>
      <c r="NBM79" s="2805"/>
      <c r="NBN79" s="2805"/>
      <c r="NBO79" s="2805"/>
      <c r="NBP79" s="2805"/>
      <c r="NBQ79" s="2805"/>
      <c r="NBR79" s="2805"/>
      <c r="NBS79" s="2805"/>
      <c r="NBT79" s="2805"/>
      <c r="NBU79" s="2805"/>
      <c r="NBV79" s="2805"/>
      <c r="NBW79" s="2805"/>
      <c r="NBX79" s="2805"/>
      <c r="NBY79" s="2805"/>
      <c r="NBZ79" s="2805"/>
      <c r="NCA79" s="2805"/>
      <c r="NCB79" s="2805"/>
      <c r="NCC79" s="2805"/>
      <c r="NCD79" s="2805"/>
      <c r="NCE79" s="2805"/>
      <c r="NCF79" s="2805"/>
      <c r="NCG79" s="2805"/>
      <c r="NCH79" s="2805"/>
      <c r="NCI79" s="2805"/>
      <c r="NCJ79" s="2805"/>
      <c r="NCK79" s="2805"/>
      <c r="NCL79" s="2805"/>
      <c r="NCM79" s="2805"/>
      <c r="NCN79" s="2805"/>
      <c r="NCO79" s="2805"/>
      <c r="NCP79" s="2805"/>
      <c r="NCQ79" s="2805"/>
      <c r="NCR79" s="2805"/>
      <c r="NCS79" s="2805"/>
      <c r="NCT79" s="2805"/>
      <c r="NCU79" s="2805"/>
      <c r="NCV79" s="2805"/>
      <c r="NCW79" s="2805"/>
      <c r="NCX79" s="2805"/>
      <c r="NCY79" s="2805"/>
      <c r="NCZ79" s="2805"/>
      <c r="NDA79" s="2805"/>
      <c r="NDB79" s="2805"/>
      <c r="NDC79" s="2805"/>
      <c r="NDD79" s="2805"/>
      <c r="NDE79" s="2805"/>
      <c r="NDF79" s="2805"/>
      <c r="NDG79" s="2805"/>
      <c r="NDH79" s="2805"/>
      <c r="NDI79" s="2805"/>
      <c r="NDJ79" s="2805"/>
      <c r="NDK79" s="2805"/>
      <c r="NDL79" s="2805"/>
      <c r="NDM79" s="2805"/>
      <c r="NDN79" s="2805"/>
      <c r="NDO79" s="2805"/>
      <c r="NDP79" s="2805"/>
      <c r="NDQ79" s="2805"/>
      <c r="NDR79" s="2805"/>
      <c r="NDS79" s="2805"/>
      <c r="NDT79" s="2805"/>
      <c r="NDU79" s="2805"/>
      <c r="NDV79" s="2805"/>
      <c r="NDW79" s="2805"/>
      <c r="NDX79" s="2805"/>
      <c r="NDY79" s="2805"/>
      <c r="NDZ79" s="2805"/>
      <c r="NEA79" s="2805"/>
      <c r="NEB79" s="2805"/>
      <c r="NEC79" s="2805"/>
      <c r="NED79" s="2805"/>
      <c r="NEE79" s="2805"/>
      <c r="NEF79" s="2805"/>
      <c r="NEG79" s="2805"/>
      <c r="NEH79" s="2805"/>
      <c r="NEI79" s="2805"/>
      <c r="NEJ79" s="2805"/>
      <c r="NEK79" s="2805"/>
      <c r="NEL79" s="2805"/>
      <c r="NEM79" s="2805"/>
      <c r="NEN79" s="2805"/>
      <c r="NEO79" s="2805"/>
      <c r="NEP79" s="2805"/>
      <c r="NEQ79" s="2805"/>
      <c r="NER79" s="2805"/>
      <c r="NES79" s="2805"/>
      <c r="NET79" s="2805"/>
      <c r="NEU79" s="2805"/>
      <c r="NEV79" s="2805"/>
      <c r="NEW79" s="2805"/>
      <c r="NEX79" s="2805"/>
      <c r="NEY79" s="2805"/>
      <c r="NEZ79" s="2805"/>
      <c r="NFA79" s="2805"/>
      <c r="NFB79" s="2805"/>
      <c r="NFC79" s="2805"/>
      <c r="NFD79" s="2805"/>
      <c r="NFE79" s="2805"/>
      <c r="NFF79" s="2805"/>
      <c r="NFG79" s="2805"/>
      <c r="NFH79" s="2805"/>
      <c r="NFI79" s="2805"/>
      <c r="NFJ79" s="2805"/>
      <c r="NFK79" s="2805"/>
      <c r="NFL79" s="2805"/>
      <c r="NFM79" s="2805"/>
      <c r="NFN79" s="2805"/>
      <c r="NFO79" s="2805"/>
      <c r="NFP79" s="2805"/>
      <c r="NFQ79" s="2805"/>
      <c r="NFR79" s="2805"/>
      <c r="NFS79" s="2805"/>
      <c r="NFT79" s="2805"/>
      <c r="NFU79" s="2805"/>
      <c r="NFV79" s="2805"/>
      <c r="NFW79" s="2805"/>
      <c r="NFX79" s="2805"/>
      <c r="NFY79" s="2805"/>
      <c r="NFZ79" s="2805"/>
      <c r="NGA79" s="2805"/>
      <c r="NGB79" s="2805"/>
      <c r="NGC79" s="2805"/>
      <c r="NGD79" s="2805"/>
      <c r="NGE79" s="2805"/>
      <c r="NGF79" s="2805"/>
      <c r="NGG79" s="2805"/>
      <c r="NGH79" s="2805"/>
      <c r="NGI79" s="2805"/>
      <c r="NGJ79" s="2805"/>
      <c r="NGK79" s="2805"/>
      <c r="NGL79" s="2805"/>
      <c r="NGM79" s="2805"/>
      <c r="NGN79" s="2805"/>
      <c r="NGO79" s="2805"/>
      <c r="NGP79" s="2805"/>
      <c r="NGQ79" s="2805"/>
      <c r="NGR79" s="2805"/>
      <c r="NGS79" s="2805"/>
      <c r="NGT79" s="2805"/>
      <c r="NGU79" s="2805"/>
      <c r="NGV79" s="2805"/>
      <c r="NGW79" s="2805"/>
      <c r="NGX79" s="2805"/>
      <c r="NGY79" s="2805"/>
      <c r="NGZ79" s="2805"/>
      <c r="NHA79" s="2805"/>
      <c r="NHB79" s="2805"/>
      <c r="NHC79" s="2805"/>
      <c r="NHD79" s="2805"/>
      <c r="NHE79" s="2805"/>
      <c r="NHF79" s="2805"/>
      <c r="NHG79" s="2805"/>
      <c r="NHH79" s="2805"/>
      <c r="NHI79" s="2805"/>
      <c r="NHJ79" s="2805"/>
      <c r="NHK79" s="2805"/>
      <c r="NHL79" s="2805"/>
      <c r="NHM79" s="2805"/>
      <c r="NHN79" s="2805"/>
      <c r="NHO79" s="2805"/>
      <c r="NHP79" s="2805"/>
      <c r="NHQ79" s="2805"/>
      <c r="NHR79" s="2805"/>
      <c r="NHS79" s="2805"/>
      <c r="NHT79" s="2805"/>
      <c r="NHU79" s="2805"/>
      <c r="NHV79" s="2805"/>
      <c r="NHW79" s="2805"/>
      <c r="NHX79" s="2805"/>
      <c r="NHY79" s="2805"/>
      <c r="NHZ79" s="2805"/>
      <c r="NIA79" s="2805"/>
      <c r="NIB79" s="2805"/>
      <c r="NIC79" s="2805"/>
      <c r="NID79" s="2805"/>
      <c r="NIE79" s="2805"/>
      <c r="NIF79" s="2805"/>
      <c r="NIG79" s="2805"/>
      <c r="NIH79" s="2805"/>
      <c r="NII79" s="2805"/>
      <c r="NIJ79" s="2805"/>
      <c r="NIK79" s="2805"/>
      <c r="NIL79" s="2805"/>
      <c r="NIM79" s="2805"/>
      <c r="NIN79" s="2805"/>
      <c r="NIO79" s="2805"/>
      <c r="NIP79" s="2805"/>
      <c r="NIQ79" s="2805"/>
      <c r="NIR79" s="2805"/>
      <c r="NIS79" s="2805"/>
      <c r="NIT79" s="2805"/>
      <c r="NIU79" s="2805"/>
      <c r="NIV79" s="2805"/>
      <c r="NIW79" s="2805"/>
      <c r="NIX79" s="2805"/>
      <c r="NIY79" s="2805"/>
      <c r="NIZ79" s="2805"/>
      <c r="NJA79" s="2805"/>
      <c r="NJB79" s="2805"/>
      <c r="NJC79" s="2805"/>
      <c r="NJD79" s="2805"/>
      <c r="NJE79" s="2805"/>
      <c r="NJF79" s="2805"/>
      <c r="NJG79" s="2805"/>
      <c r="NJH79" s="2805"/>
      <c r="NJI79" s="2805"/>
      <c r="NJJ79" s="2805"/>
      <c r="NJK79" s="2805"/>
      <c r="NJL79" s="2805"/>
      <c r="NJM79" s="2805"/>
      <c r="NJN79" s="2805"/>
      <c r="NJO79" s="2805"/>
      <c r="NJP79" s="2805"/>
      <c r="NJQ79" s="2805"/>
      <c r="NJR79" s="2805"/>
      <c r="NJS79" s="2805"/>
      <c r="NJT79" s="2805"/>
      <c r="NJU79" s="2805"/>
      <c r="NJV79" s="2805"/>
      <c r="NJW79" s="2805"/>
      <c r="NJX79" s="2805"/>
      <c r="NJY79" s="2805"/>
      <c r="NJZ79" s="2805"/>
      <c r="NKA79" s="2805"/>
      <c r="NKB79" s="2805"/>
      <c r="NKC79" s="2805"/>
      <c r="NKD79" s="2805"/>
      <c r="NKE79" s="2805"/>
      <c r="NKF79" s="2805"/>
      <c r="NKG79" s="2805"/>
      <c r="NKH79" s="2805"/>
      <c r="NKI79" s="2805"/>
      <c r="NKJ79" s="2805"/>
      <c r="NKK79" s="2805"/>
      <c r="NKL79" s="2805"/>
      <c r="NKM79" s="2805"/>
      <c r="NKN79" s="2805"/>
      <c r="NKO79" s="2805"/>
      <c r="NKP79" s="2805"/>
      <c r="NKQ79" s="2805"/>
      <c r="NKR79" s="2805"/>
      <c r="NKS79" s="2805"/>
      <c r="NKT79" s="2805"/>
      <c r="NKU79" s="2805"/>
      <c r="NKV79" s="2805"/>
      <c r="NKW79" s="2805"/>
      <c r="NKX79" s="2805"/>
      <c r="NKY79" s="2805"/>
      <c r="NKZ79" s="2805"/>
      <c r="NLA79" s="2805"/>
      <c r="NLB79" s="2805"/>
      <c r="NLC79" s="2805"/>
      <c r="NLD79" s="2805"/>
      <c r="NLE79" s="2805"/>
      <c r="NLF79" s="2805"/>
      <c r="NLG79" s="2805"/>
      <c r="NLH79" s="2805"/>
      <c r="NLI79" s="2805"/>
      <c r="NLJ79" s="2805"/>
      <c r="NLK79" s="2805"/>
      <c r="NLL79" s="2805"/>
      <c r="NLM79" s="2805"/>
      <c r="NLN79" s="2805"/>
      <c r="NLO79" s="2805"/>
      <c r="NLP79" s="2805"/>
      <c r="NLQ79" s="2805"/>
      <c r="NLR79" s="2805"/>
      <c r="NLS79" s="2805"/>
      <c r="NLT79" s="2805"/>
      <c r="NLU79" s="2805"/>
      <c r="NLV79" s="2805"/>
      <c r="NLW79" s="2805"/>
      <c r="NLX79" s="2805"/>
      <c r="NLY79" s="2805"/>
      <c r="NLZ79" s="2805"/>
      <c r="NMA79" s="2805"/>
      <c r="NMB79" s="2805"/>
      <c r="NMC79" s="2805"/>
      <c r="NMD79" s="2805"/>
      <c r="NME79" s="2805"/>
      <c r="NMF79" s="2805"/>
      <c r="NMG79" s="2805"/>
      <c r="NMH79" s="2805"/>
      <c r="NMI79" s="2805"/>
      <c r="NMJ79" s="2805"/>
      <c r="NMK79" s="2805"/>
      <c r="NML79" s="2805"/>
      <c r="NMM79" s="2805"/>
      <c r="NMN79" s="2805"/>
      <c r="NMO79" s="2805"/>
      <c r="NMP79" s="2805"/>
      <c r="NMQ79" s="2805"/>
      <c r="NMR79" s="2805"/>
      <c r="NMS79" s="2805"/>
      <c r="NMT79" s="2805"/>
      <c r="NMU79" s="2805"/>
      <c r="NMV79" s="2805"/>
      <c r="NMW79" s="2805"/>
      <c r="NMX79" s="2805"/>
      <c r="NMY79" s="2805"/>
      <c r="NMZ79" s="2805"/>
      <c r="NNA79" s="2805"/>
      <c r="NNB79" s="2805"/>
      <c r="NNC79" s="2805"/>
      <c r="NND79" s="2805"/>
      <c r="NNE79" s="2805"/>
      <c r="NNF79" s="2805"/>
      <c r="NNG79" s="2805"/>
      <c r="NNH79" s="2805"/>
      <c r="NNI79" s="2805"/>
      <c r="NNJ79" s="2805"/>
      <c r="NNK79" s="2805"/>
      <c r="NNL79" s="2805"/>
      <c r="NNM79" s="2805"/>
      <c r="NNN79" s="2805"/>
      <c r="NNO79" s="2805"/>
      <c r="NNP79" s="2805"/>
      <c r="NNQ79" s="2805"/>
      <c r="NNR79" s="2805"/>
      <c r="NNS79" s="2805"/>
      <c r="NNT79" s="2805"/>
      <c r="NNU79" s="2805"/>
      <c r="NNV79" s="2805"/>
      <c r="NNW79" s="2805"/>
      <c r="NNX79" s="2805"/>
      <c r="NNY79" s="2805"/>
      <c r="NNZ79" s="2805"/>
      <c r="NOA79" s="2805"/>
      <c r="NOB79" s="2805"/>
      <c r="NOC79" s="2805"/>
      <c r="NOD79" s="2805"/>
      <c r="NOE79" s="2805"/>
      <c r="NOF79" s="2805"/>
      <c r="NOG79" s="2805"/>
      <c r="NOH79" s="2805"/>
      <c r="NOI79" s="2805"/>
      <c r="NOJ79" s="2805"/>
      <c r="NOK79" s="2805"/>
      <c r="NOL79" s="2805"/>
      <c r="NOM79" s="2805"/>
      <c r="NON79" s="2805"/>
      <c r="NOO79" s="2805"/>
      <c r="NOP79" s="2805"/>
      <c r="NOQ79" s="2805"/>
      <c r="NOR79" s="2805"/>
      <c r="NOS79" s="2805"/>
      <c r="NOT79" s="2805"/>
      <c r="NOU79" s="2805"/>
      <c r="NOV79" s="2805"/>
      <c r="NOW79" s="2805"/>
      <c r="NOX79" s="2805"/>
      <c r="NOY79" s="2805"/>
      <c r="NOZ79" s="2805"/>
      <c r="NPA79" s="2805"/>
      <c r="NPB79" s="2805"/>
      <c r="NPC79" s="2805"/>
      <c r="NPD79" s="2805"/>
      <c r="NPE79" s="2805"/>
      <c r="NPF79" s="2805"/>
      <c r="NPG79" s="2805"/>
      <c r="NPH79" s="2805"/>
      <c r="NPI79" s="2805"/>
      <c r="NPJ79" s="2805"/>
      <c r="NPK79" s="2805"/>
      <c r="NPL79" s="2805"/>
      <c r="NPM79" s="2805"/>
      <c r="NPN79" s="2805"/>
      <c r="NPO79" s="2805"/>
      <c r="NPP79" s="2805"/>
      <c r="NPQ79" s="2805"/>
      <c r="NPR79" s="2805"/>
      <c r="NPS79" s="2805"/>
      <c r="NPT79" s="2805"/>
      <c r="NPU79" s="2805"/>
      <c r="NPV79" s="2805"/>
      <c r="NPW79" s="2805"/>
      <c r="NPX79" s="2805"/>
      <c r="NPY79" s="2805"/>
      <c r="NPZ79" s="2805"/>
      <c r="NQA79" s="2805"/>
      <c r="NQB79" s="2805"/>
      <c r="NQC79" s="2805"/>
      <c r="NQD79" s="2805"/>
      <c r="NQE79" s="2805"/>
      <c r="NQF79" s="2805"/>
      <c r="NQG79" s="2805"/>
      <c r="NQH79" s="2805"/>
      <c r="NQI79" s="2805"/>
      <c r="NQJ79" s="2805"/>
      <c r="NQK79" s="2805"/>
      <c r="NQL79" s="2805"/>
      <c r="NQM79" s="2805"/>
      <c r="NQN79" s="2805"/>
      <c r="NQO79" s="2805"/>
      <c r="NQP79" s="2805"/>
      <c r="NQQ79" s="2805"/>
      <c r="NQR79" s="2805"/>
      <c r="NQS79" s="2805"/>
      <c r="NQT79" s="2805"/>
      <c r="NQU79" s="2805"/>
      <c r="NQV79" s="2805"/>
      <c r="NQW79" s="2805"/>
      <c r="NQX79" s="2805"/>
      <c r="NQY79" s="2805"/>
      <c r="NQZ79" s="2805"/>
      <c r="NRA79" s="2805"/>
      <c r="NRB79" s="2805"/>
      <c r="NRC79" s="2805"/>
      <c r="NRD79" s="2805"/>
      <c r="NRE79" s="2805"/>
      <c r="NRF79" s="2805"/>
      <c r="NRG79" s="2805"/>
      <c r="NRH79" s="2805"/>
      <c r="NRI79" s="2805"/>
      <c r="NRJ79" s="2805"/>
      <c r="NRK79" s="2805"/>
      <c r="NRL79" s="2805"/>
      <c r="NRM79" s="2805"/>
      <c r="NRN79" s="2805"/>
      <c r="NRO79" s="2805"/>
      <c r="NRP79" s="2805"/>
      <c r="NRQ79" s="2805"/>
      <c r="NRR79" s="2805"/>
      <c r="NRS79" s="2805"/>
      <c r="NRT79" s="2805"/>
      <c r="NRU79" s="2805"/>
      <c r="NRV79" s="2805"/>
      <c r="NRW79" s="2805"/>
      <c r="NRX79" s="2805"/>
      <c r="NRY79" s="2805"/>
      <c r="NRZ79" s="2805"/>
      <c r="NSA79" s="2805"/>
      <c r="NSB79" s="2805"/>
      <c r="NSC79" s="2805"/>
      <c r="NSD79" s="2805"/>
      <c r="NSE79" s="2805"/>
      <c r="NSF79" s="2805"/>
      <c r="NSG79" s="2805"/>
      <c r="NSH79" s="2805"/>
      <c r="NSI79" s="2805"/>
      <c r="NSJ79" s="2805"/>
      <c r="NSK79" s="2805"/>
      <c r="NSL79" s="2805"/>
      <c r="NSM79" s="2805"/>
      <c r="NSN79" s="2805"/>
      <c r="NSO79" s="2805"/>
      <c r="NSP79" s="2805"/>
      <c r="NSQ79" s="2805"/>
      <c r="NSR79" s="2805"/>
      <c r="NSS79" s="2805"/>
      <c r="NST79" s="2805"/>
      <c r="NSU79" s="2805"/>
      <c r="NSV79" s="2805"/>
      <c r="NSW79" s="2805"/>
      <c r="NSX79" s="2805"/>
      <c r="NSY79" s="2805"/>
      <c r="NSZ79" s="2805"/>
      <c r="NTA79" s="2805"/>
      <c r="NTB79" s="2805"/>
      <c r="NTC79" s="2805"/>
      <c r="NTD79" s="2805"/>
      <c r="NTE79" s="2805"/>
      <c r="NTF79" s="2805"/>
      <c r="NTG79" s="2805"/>
      <c r="NTH79" s="2805"/>
      <c r="NTI79" s="2805"/>
      <c r="NTJ79" s="2805"/>
      <c r="NTK79" s="2805"/>
      <c r="NTL79" s="2805"/>
      <c r="NTM79" s="2805"/>
      <c r="NTN79" s="2805"/>
      <c r="NTO79" s="2805"/>
      <c r="NTP79" s="2805"/>
      <c r="NTQ79" s="2805"/>
      <c r="NTR79" s="2805"/>
      <c r="NTS79" s="2805"/>
      <c r="NTT79" s="2805"/>
      <c r="NTU79" s="2805"/>
      <c r="NTV79" s="2805"/>
      <c r="NTW79" s="2805"/>
      <c r="NTX79" s="2805"/>
      <c r="NTY79" s="2805"/>
      <c r="NTZ79" s="2805"/>
      <c r="NUA79" s="2805"/>
      <c r="NUB79" s="2805"/>
      <c r="NUC79" s="2805"/>
      <c r="NUD79" s="2805"/>
      <c r="NUE79" s="2805"/>
      <c r="NUF79" s="2805"/>
      <c r="NUG79" s="2805"/>
      <c r="NUH79" s="2805"/>
      <c r="NUI79" s="2805"/>
      <c r="NUJ79" s="2805"/>
      <c r="NUK79" s="2805"/>
      <c r="NUL79" s="2805"/>
      <c r="NUM79" s="2805"/>
      <c r="NUN79" s="2805"/>
      <c r="NUO79" s="2805"/>
      <c r="NUP79" s="2805"/>
      <c r="NUQ79" s="2805"/>
      <c r="NUR79" s="2805"/>
      <c r="NUS79" s="2805"/>
      <c r="NUT79" s="2805"/>
      <c r="NUU79" s="2805"/>
      <c r="NUV79" s="2805"/>
      <c r="NUW79" s="2805"/>
      <c r="NUX79" s="2805"/>
      <c r="NUY79" s="2805"/>
      <c r="NUZ79" s="2805"/>
      <c r="NVA79" s="2805"/>
      <c r="NVB79" s="2805"/>
      <c r="NVC79" s="2805"/>
      <c r="NVD79" s="2805"/>
      <c r="NVE79" s="2805"/>
      <c r="NVF79" s="2805"/>
      <c r="NVG79" s="2805"/>
      <c r="NVH79" s="2805"/>
      <c r="NVI79" s="2805"/>
      <c r="NVJ79" s="2805"/>
      <c r="NVK79" s="2805"/>
      <c r="NVL79" s="2805"/>
      <c r="NVM79" s="2805"/>
      <c r="NVN79" s="2805"/>
      <c r="NVO79" s="2805"/>
      <c r="NVP79" s="2805"/>
      <c r="NVQ79" s="2805"/>
      <c r="NVR79" s="2805"/>
      <c r="NVS79" s="2805"/>
      <c r="NVT79" s="2805"/>
      <c r="NVU79" s="2805"/>
      <c r="NVV79" s="2805"/>
      <c r="NVW79" s="2805"/>
      <c r="NVX79" s="2805"/>
      <c r="NVY79" s="2805"/>
      <c r="NVZ79" s="2805"/>
      <c r="NWA79" s="2805"/>
      <c r="NWB79" s="2805"/>
      <c r="NWC79" s="2805"/>
      <c r="NWD79" s="2805"/>
      <c r="NWE79" s="2805"/>
      <c r="NWF79" s="2805"/>
      <c r="NWG79" s="2805"/>
      <c r="NWH79" s="2805"/>
      <c r="NWI79" s="2805"/>
      <c r="NWJ79" s="2805"/>
      <c r="NWK79" s="2805"/>
      <c r="NWL79" s="2805"/>
      <c r="NWM79" s="2805"/>
      <c r="NWN79" s="2805"/>
      <c r="NWO79" s="2805"/>
      <c r="NWP79" s="2805"/>
      <c r="NWQ79" s="2805"/>
      <c r="NWR79" s="2805"/>
      <c r="NWS79" s="2805"/>
      <c r="NWT79" s="2805"/>
      <c r="NWU79" s="2805"/>
      <c r="NWV79" s="2805"/>
      <c r="NWW79" s="2805"/>
      <c r="NWX79" s="2805"/>
      <c r="NWY79" s="2805"/>
      <c r="NWZ79" s="2805"/>
      <c r="NXA79" s="2805"/>
      <c r="NXB79" s="2805"/>
      <c r="NXC79" s="2805"/>
      <c r="NXD79" s="2805"/>
      <c r="NXE79" s="2805"/>
      <c r="NXF79" s="2805"/>
      <c r="NXG79" s="2805"/>
      <c r="NXH79" s="2805"/>
      <c r="NXI79" s="2805"/>
      <c r="NXJ79" s="2805"/>
      <c r="NXK79" s="2805"/>
      <c r="NXL79" s="2805"/>
      <c r="NXM79" s="2805"/>
      <c r="NXN79" s="2805"/>
      <c r="NXO79" s="2805"/>
      <c r="NXP79" s="2805"/>
      <c r="NXQ79" s="2805"/>
      <c r="NXR79" s="2805"/>
      <c r="NXS79" s="2805"/>
      <c r="NXT79" s="2805"/>
      <c r="NXU79" s="2805"/>
      <c r="NXV79" s="2805"/>
      <c r="NXW79" s="2805"/>
      <c r="NXX79" s="2805"/>
      <c r="NXY79" s="2805"/>
      <c r="NXZ79" s="2805"/>
      <c r="NYA79" s="2805"/>
      <c r="NYB79" s="2805"/>
      <c r="NYC79" s="2805"/>
      <c r="NYD79" s="2805"/>
      <c r="NYE79" s="2805"/>
      <c r="NYF79" s="2805"/>
      <c r="NYG79" s="2805"/>
      <c r="NYH79" s="2805"/>
      <c r="NYI79" s="2805"/>
      <c r="NYJ79" s="2805"/>
      <c r="NYK79" s="2805"/>
      <c r="NYL79" s="2805"/>
      <c r="NYM79" s="2805"/>
      <c r="NYN79" s="2805"/>
      <c r="NYO79" s="2805"/>
      <c r="NYP79" s="2805"/>
      <c r="NYQ79" s="2805"/>
      <c r="NYR79" s="2805"/>
      <c r="NYS79" s="2805"/>
      <c r="NYT79" s="2805"/>
      <c r="NYU79" s="2805"/>
      <c r="NYV79" s="2805"/>
      <c r="NYW79" s="2805"/>
      <c r="NYX79" s="2805"/>
      <c r="NYY79" s="2805"/>
      <c r="NYZ79" s="2805"/>
      <c r="NZA79" s="2805"/>
      <c r="NZB79" s="2805"/>
      <c r="NZC79" s="2805"/>
      <c r="NZD79" s="2805"/>
      <c r="NZE79" s="2805"/>
      <c r="NZF79" s="2805"/>
      <c r="NZG79" s="2805"/>
      <c r="NZH79" s="2805"/>
      <c r="NZI79" s="2805"/>
      <c r="NZJ79" s="2805"/>
      <c r="NZK79" s="2805"/>
      <c r="NZL79" s="2805"/>
      <c r="NZM79" s="2805"/>
      <c r="NZN79" s="2805"/>
      <c r="NZO79" s="2805"/>
      <c r="NZP79" s="2805"/>
      <c r="NZQ79" s="2805"/>
      <c r="NZR79" s="2805"/>
      <c r="NZS79" s="2805"/>
      <c r="NZT79" s="2805"/>
      <c r="NZU79" s="2805"/>
      <c r="NZV79" s="2805"/>
      <c r="NZW79" s="2805"/>
      <c r="NZX79" s="2805"/>
      <c r="NZY79" s="2805"/>
      <c r="NZZ79" s="2805"/>
      <c r="OAA79" s="2805"/>
      <c r="OAB79" s="2805"/>
      <c r="OAC79" s="2805"/>
      <c r="OAD79" s="2805"/>
      <c r="OAE79" s="2805"/>
      <c r="OAF79" s="2805"/>
      <c r="OAG79" s="2805"/>
      <c r="OAH79" s="2805"/>
      <c r="OAI79" s="2805"/>
      <c r="OAJ79" s="2805"/>
      <c r="OAK79" s="2805"/>
      <c r="OAL79" s="2805"/>
      <c r="OAM79" s="2805"/>
      <c r="OAN79" s="2805"/>
      <c r="OAO79" s="2805"/>
      <c r="OAP79" s="2805"/>
      <c r="OAQ79" s="2805"/>
      <c r="OAR79" s="2805"/>
      <c r="OAS79" s="2805"/>
      <c r="OAT79" s="2805"/>
      <c r="OAU79" s="2805"/>
      <c r="OAV79" s="2805"/>
      <c r="OAW79" s="2805"/>
      <c r="OAX79" s="2805"/>
      <c r="OAY79" s="2805"/>
      <c r="OAZ79" s="2805"/>
      <c r="OBA79" s="2805"/>
      <c r="OBB79" s="2805"/>
      <c r="OBC79" s="2805"/>
      <c r="OBD79" s="2805"/>
      <c r="OBE79" s="2805"/>
      <c r="OBF79" s="2805"/>
      <c r="OBG79" s="2805"/>
      <c r="OBH79" s="2805"/>
      <c r="OBI79" s="2805"/>
      <c r="OBJ79" s="2805"/>
      <c r="OBK79" s="2805"/>
      <c r="OBL79" s="2805"/>
      <c r="OBM79" s="2805"/>
      <c r="OBN79" s="2805"/>
      <c r="OBO79" s="2805"/>
      <c r="OBP79" s="2805"/>
      <c r="OBQ79" s="2805"/>
      <c r="OBR79" s="2805"/>
      <c r="OBS79" s="2805"/>
      <c r="OBT79" s="2805"/>
      <c r="OBU79" s="2805"/>
      <c r="OBV79" s="2805"/>
      <c r="OBW79" s="2805"/>
      <c r="OBX79" s="2805"/>
      <c r="OBY79" s="2805"/>
      <c r="OBZ79" s="2805"/>
      <c r="OCA79" s="2805"/>
      <c r="OCB79" s="2805"/>
      <c r="OCC79" s="2805"/>
      <c r="OCD79" s="2805"/>
      <c r="OCE79" s="2805"/>
      <c r="OCF79" s="2805"/>
      <c r="OCG79" s="2805"/>
      <c r="OCH79" s="2805"/>
      <c r="OCI79" s="2805"/>
      <c r="OCJ79" s="2805"/>
      <c r="OCK79" s="2805"/>
      <c r="OCL79" s="2805"/>
      <c r="OCM79" s="2805"/>
      <c r="OCN79" s="2805"/>
      <c r="OCO79" s="2805"/>
      <c r="OCP79" s="2805"/>
      <c r="OCQ79" s="2805"/>
      <c r="OCR79" s="2805"/>
      <c r="OCS79" s="2805"/>
      <c r="OCT79" s="2805"/>
      <c r="OCU79" s="2805"/>
      <c r="OCV79" s="2805"/>
      <c r="OCW79" s="2805"/>
      <c r="OCX79" s="2805"/>
      <c r="OCY79" s="2805"/>
      <c r="OCZ79" s="2805"/>
      <c r="ODA79" s="2805"/>
      <c r="ODB79" s="2805"/>
      <c r="ODC79" s="2805"/>
      <c r="ODD79" s="2805"/>
      <c r="ODE79" s="2805"/>
      <c r="ODF79" s="2805"/>
      <c r="ODG79" s="2805"/>
      <c r="ODH79" s="2805"/>
      <c r="ODI79" s="2805"/>
      <c r="ODJ79" s="2805"/>
      <c r="ODK79" s="2805"/>
      <c r="ODL79" s="2805"/>
      <c r="ODM79" s="2805"/>
      <c r="ODN79" s="2805"/>
      <c r="ODO79" s="2805"/>
      <c r="ODP79" s="2805"/>
      <c r="ODQ79" s="2805"/>
      <c r="ODR79" s="2805"/>
      <c r="ODS79" s="2805"/>
      <c r="ODT79" s="2805"/>
      <c r="ODU79" s="2805"/>
      <c r="ODV79" s="2805"/>
      <c r="ODW79" s="2805"/>
      <c r="ODX79" s="2805"/>
      <c r="ODY79" s="2805"/>
      <c r="ODZ79" s="2805"/>
      <c r="OEA79" s="2805"/>
      <c r="OEB79" s="2805"/>
      <c r="OEC79" s="2805"/>
      <c r="OED79" s="2805"/>
      <c r="OEE79" s="2805"/>
      <c r="OEF79" s="2805"/>
      <c r="OEG79" s="2805"/>
      <c r="OEH79" s="2805"/>
      <c r="OEI79" s="2805"/>
      <c r="OEJ79" s="2805"/>
      <c r="OEK79" s="2805"/>
      <c r="OEL79" s="2805"/>
      <c r="OEM79" s="2805"/>
      <c r="OEN79" s="2805"/>
      <c r="OEO79" s="2805"/>
      <c r="OEP79" s="2805"/>
      <c r="OEQ79" s="2805"/>
      <c r="OER79" s="2805"/>
      <c r="OES79" s="2805"/>
      <c r="OET79" s="2805"/>
      <c r="OEU79" s="2805"/>
      <c r="OEV79" s="2805"/>
      <c r="OEW79" s="2805"/>
      <c r="OEX79" s="2805"/>
      <c r="OEY79" s="2805"/>
      <c r="OEZ79" s="2805"/>
      <c r="OFA79" s="2805"/>
      <c r="OFB79" s="2805"/>
      <c r="OFC79" s="2805"/>
      <c r="OFD79" s="2805"/>
      <c r="OFE79" s="2805"/>
      <c r="OFF79" s="2805"/>
      <c r="OFG79" s="2805"/>
      <c r="OFH79" s="2805"/>
      <c r="OFI79" s="2805"/>
      <c r="OFJ79" s="2805"/>
      <c r="OFK79" s="2805"/>
      <c r="OFL79" s="2805"/>
      <c r="OFM79" s="2805"/>
      <c r="OFN79" s="2805"/>
      <c r="OFO79" s="2805"/>
      <c r="OFP79" s="2805"/>
      <c r="OFQ79" s="2805"/>
      <c r="OFR79" s="2805"/>
      <c r="OFS79" s="2805"/>
      <c r="OFT79" s="2805"/>
      <c r="OFU79" s="2805"/>
      <c r="OFV79" s="2805"/>
      <c r="OFW79" s="2805"/>
      <c r="OFX79" s="2805"/>
      <c r="OFY79" s="2805"/>
      <c r="OFZ79" s="2805"/>
      <c r="OGA79" s="2805"/>
      <c r="OGB79" s="2805"/>
      <c r="OGC79" s="2805"/>
      <c r="OGD79" s="2805"/>
      <c r="OGE79" s="2805"/>
      <c r="OGF79" s="2805"/>
      <c r="OGG79" s="2805"/>
      <c r="OGH79" s="2805"/>
      <c r="OGI79" s="2805"/>
      <c r="OGJ79" s="2805"/>
      <c r="OGK79" s="2805"/>
      <c r="OGL79" s="2805"/>
      <c r="OGM79" s="2805"/>
      <c r="OGN79" s="2805"/>
      <c r="OGO79" s="2805"/>
      <c r="OGP79" s="2805"/>
      <c r="OGQ79" s="2805"/>
      <c r="OGR79" s="2805"/>
      <c r="OGS79" s="2805"/>
      <c r="OGT79" s="2805"/>
      <c r="OGU79" s="2805"/>
      <c r="OGV79" s="2805"/>
      <c r="OGW79" s="2805"/>
      <c r="OGX79" s="2805"/>
      <c r="OGY79" s="2805"/>
      <c r="OGZ79" s="2805"/>
      <c r="OHA79" s="2805"/>
      <c r="OHB79" s="2805"/>
      <c r="OHC79" s="2805"/>
      <c r="OHD79" s="2805"/>
      <c r="OHE79" s="2805"/>
      <c r="OHF79" s="2805"/>
      <c r="OHG79" s="2805"/>
      <c r="OHH79" s="2805"/>
      <c r="OHI79" s="2805"/>
      <c r="OHJ79" s="2805"/>
      <c r="OHK79" s="2805"/>
      <c r="OHL79" s="2805"/>
      <c r="OHM79" s="2805"/>
      <c r="OHN79" s="2805"/>
      <c r="OHO79" s="2805"/>
      <c r="OHP79" s="2805"/>
      <c r="OHQ79" s="2805"/>
      <c r="OHR79" s="2805"/>
      <c r="OHS79" s="2805"/>
      <c r="OHT79" s="2805"/>
      <c r="OHU79" s="2805"/>
      <c r="OHV79" s="2805"/>
      <c r="OHW79" s="2805"/>
      <c r="OHX79" s="2805"/>
      <c r="OHY79" s="2805"/>
      <c r="OHZ79" s="2805"/>
      <c r="OIA79" s="2805"/>
      <c r="OIB79" s="2805"/>
      <c r="OIC79" s="2805"/>
      <c r="OID79" s="2805"/>
      <c r="OIE79" s="2805"/>
      <c r="OIF79" s="2805"/>
      <c r="OIG79" s="2805"/>
      <c r="OIH79" s="2805"/>
      <c r="OII79" s="2805"/>
      <c r="OIJ79" s="2805"/>
      <c r="OIK79" s="2805"/>
      <c r="OIL79" s="2805"/>
      <c r="OIM79" s="2805"/>
      <c r="OIN79" s="2805"/>
      <c r="OIO79" s="2805"/>
      <c r="OIP79" s="2805"/>
      <c r="OIQ79" s="2805"/>
      <c r="OIR79" s="2805"/>
      <c r="OIS79" s="2805"/>
      <c r="OIT79" s="2805"/>
      <c r="OIU79" s="2805"/>
      <c r="OIV79" s="2805"/>
      <c r="OIW79" s="2805"/>
      <c r="OIX79" s="2805"/>
      <c r="OIY79" s="2805"/>
      <c r="OIZ79" s="2805"/>
      <c r="OJA79" s="2805"/>
      <c r="OJB79" s="2805"/>
      <c r="OJC79" s="2805"/>
      <c r="OJD79" s="2805"/>
      <c r="OJE79" s="2805"/>
      <c r="OJF79" s="2805"/>
      <c r="OJG79" s="2805"/>
      <c r="OJH79" s="2805"/>
      <c r="OJI79" s="2805"/>
      <c r="OJJ79" s="2805"/>
      <c r="OJK79" s="2805"/>
      <c r="OJL79" s="2805"/>
      <c r="OJM79" s="2805"/>
      <c r="OJN79" s="2805"/>
      <c r="OJO79" s="2805"/>
      <c r="OJP79" s="2805"/>
      <c r="OJQ79" s="2805"/>
      <c r="OJR79" s="2805"/>
      <c r="OJS79" s="2805"/>
      <c r="OJT79" s="2805"/>
      <c r="OJU79" s="2805"/>
      <c r="OJV79" s="2805"/>
      <c r="OJW79" s="2805"/>
      <c r="OJX79" s="2805"/>
      <c r="OJY79" s="2805"/>
      <c r="OJZ79" s="2805"/>
      <c r="OKA79" s="2805"/>
      <c r="OKB79" s="2805"/>
      <c r="OKC79" s="2805"/>
      <c r="OKD79" s="2805"/>
      <c r="OKE79" s="2805"/>
      <c r="OKF79" s="2805"/>
      <c r="OKG79" s="2805"/>
      <c r="OKH79" s="2805"/>
      <c r="OKI79" s="2805"/>
      <c r="OKJ79" s="2805"/>
      <c r="OKK79" s="2805"/>
      <c r="OKL79" s="2805"/>
      <c r="OKM79" s="2805"/>
      <c r="OKN79" s="2805"/>
      <c r="OKO79" s="2805"/>
      <c r="OKP79" s="2805"/>
      <c r="OKQ79" s="2805"/>
      <c r="OKR79" s="2805"/>
      <c r="OKS79" s="2805"/>
      <c r="OKT79" s="2805"/>
      <c r="OKU79" s="2805"/>
      <c r="OKV79" s="2805"/>
      <c r="OKW79" s="2805"/>
      <c r="OKX79" s="2805"/>
      <c r="OKY79" s="2805"/>
      <c r="OKZ79" s="2805"/>
      <c r="OLA79" s="2805"/>
      <c r="OLB79" s="2805"/>
      <c r="OLC79" s="2805"/>
      <c r="OLD79" s="2805"/>
      <c r="OLE79" s="2805"/>
      <c r="OLF79" s="2805"/>
      <c r="OLG79" s="2805"/>
      <c r="OLH79" s="2805"/>
      <c r="OLI79" s="2805"/>
      <c r="OLJ79" s="2805"/>
      <c r="OLK79" s="2805"/>
      <c r="OLL79" s="2805"/>
      <c r="OLM79" s="2805"/>
      <c r="OLN79" s="2805"/>
      <c r="OLO79" s="2805"/>
      <c r="OLP79" s="2805"/>
      <c r="OLQ79" s="2805"/>
      <c r="OLR79" s="2805"/>
      <c r="OLS79" s="2805"/>
      <c r="OLT79" s="2805"/>
      <c r="OLU79" s="2805"/>
      <c r="OLV79" s="2805"/>
      <c r="OLW79" s="2805"/>
      <c r="OLX79" s="2805"/>
      <c r="OLY79" s="2805"/>
      <c r="OLZ79" s="2805"/>
      <c r="OMA79" s="2805"/>
      <c r="OMB79" s="2805"/>
      <c r="OMC79" s="2805"/>
      <c r="OMD79" s="2805"/>
      <c r="OME79" s="2805"/>
      <c r="OMF79" s="2805"/>
      <c r="OMG79" s="2805"/>
      <c r="OMH79" s="2805"/>
      <c r="OMI79" s="2805"/>
      <c r="OMJ79" s="2805"/>
      <c r="OMK79" s="2805"/>
      <c r="OML79" s="2805"/>
      <c r="OMM79" s="2805"/>
      <c r="OMN79" s="2805"/>
      <c r="OMO79" s="2805"/>
      <c r="OMP79" s="2805"/>
      <c r="OMQ79" s="2805"/>
      <c r="OMR79" s="2805"/>
      <c r="OMS79" s="2805"/>
      <c r="OMT79" s="2805"/>
      <c r="OMU79" s="2805"/>
      <c r="OMV79" s="2805"/>
      <c r="OMW79" s="2805"/>
      <c r="OMX79" s="2805"/>
      <c r="OMY79" s="2805"/>
      <c r="OMZ79" s="2805"/>
      <c r="ONA79" s="2805"/>
      <c r="ONB79" s="2805"/>
      <c r="ONC79" s="2805"/>
      <c r="OND79" s="2805"/>
      <c r="ONE79" s="2805"/>
      <c r="ONF79" s="2805"/>
      <c r="ONG79" s="2805"/>
      <c r="ONH79" s="2805"/>
      <c r="ONI79" s="2805"/>
      <c r="ONJ79" s="2805"/>
      <c r="ONK79" s="2805"/>
      <c r="ONL79" s="2805"/>
      <c r="ONM79" s="2805"/>
      <c r="ONN79" s="2805"/>
      <c r="ONO79" s="2805"/>
      <c r="ONP79" s="2805"/>
      <c r="ONQ79" s="2805"/>
      <c r="ONR79" s="2805"/>
      <c r="ONS79" s="2805"/>
      <c r="ONT79" s="2805"/>
      <c r="ONU79" s="2805"/>
      <c r="ONV79" s="2805"/>
      <c r="ONW79" s="2805"/>
      <c r="ONX79" s="2805"/>
      <c r="ONY79" s="2805"/>
      <c r="ONZ79" s="2805"/>
      <c r="OOA79" s="2805"/>
      <c r="OOB79" s="2805"/>
      <c r="OOC79" s="2805"/>
      <c r="OOD79" s="2805"/>
      <c r="OOE79" s="2805"/>
      <c r="OOF79" s="2805"/>
      <c r="OOG79" s="2805"/>
      <c r="OOH79" s="2805"/>
      <c r="OOI79" s="2805"/>
      <c r="OOJ79" s="2805"/>
      <c r="OOK79" s="2805"/>
      <c r="OOL79" s="2805"/>
      <c r="OOM79" s="2805"/>
      <c r="OON79" s="2805"/>
      <c r="OOO79" s="2805"/>
      <c r="OOP79" s="2805"/>
      <c r="OOQ79" s="2805"/>
      <c r="OOR79" s="2805"/>
      <c r="OOS79" s="2805"/>
      <c r="OOT79" s="2805"/>
      <c r="OOU79" s="2805"/>
      <c r="OOV79" s="2805"/>
      <c r="OOW79" s="2805"/>
      <c r="OOX79" s="2805"/>
      <c r="OOY79" s="2805"/>
      <c r="OOZ79" s="2805"/>
      <c r="OPA79" s="2805"/>
      <c r="OPB79" s="2805"/>
      <c r="OPC79" s="2805"/>
      <c r="OPD79" s="2805"/>
      <c r="OPE79" s="2805"/>
      <c r="OPF79" s="2805"/>
      <c r="OPG79" s="2805"/>
      <c r="OPH79" s="2805"/>
      <c r="OPI79" s="2805"/>
      <c r="OPJ79" s="2805"/>
      <c r="OPK79" s="2805"/>
      <c r="OPL79" s="2805"/>
      <c r="OPM79" s="2805"/>
      <c r="OPN79" s="2805"/>
      <c r="OPO79" s="2805"/>
      <c r="OPP79" s="2805"/>
      <c r="OPQ79" s="2805"/>
      <c r="OPR79" s="2805"/>
      <c r="OPS79" s="2805"/>
      <c r="OPT79" s="2805"/>
      <c r="OPU79" s="2805"/>
      <c r="OPV79" s="2805"/>
      <c r="OPW79" s="2805"/>
      <c r="OPX79" s="2805"/>
      <c r="OPY79" s="2805"/>
      <c r="OPZ79" s="2805"/>
      <c r="OQA79" s="2805"/>
      <c r="OQB79" s="2805"/>
      <c r="OQC79" s="2805"/>
      <c r="OQD79" s="2805"/>
      <c r="OQE79" s="2805"/>
      <c r="OQF79" s="2805"/>
      <c r="OQG79" s="2805"/>
      <c r="OQH79" s="2805"/>
      <c r="OQI79" s="2805"/>
      <c r="OQJ79" s="2805"/>
      <c r="OQK79" s="2805"/>
      <c r="OQL79" s="2805"/>
      <c r="OQM79" s="2805"/>
      <c r="OQN79" s="2805"/>
      <c r="OQO79" s="2805"/>
      <c r="OQP79" s="2805"/>
      <c r="OQQ79" s="2805"/>
      <c r="OQR79" s="2805"/>
      <c r="OQS79" s="2805"/>
      <c r="OQT79" s="2805"/>
      <c r="OQU79" s="2805"/>
      <c r="OQV79" s="2805"/>
      <c r="OQW79" s="2805"/>
      <c r="OQX79" s="2805"/>
      <c r="OQY79" s="2805"/>
      <c r="OQZ79" s="2805"/>
      <c r="ORA79" s="2805"/>
      <c r="ORB79" s="2805"/>
      <c r="ORC79" s="2805"/>
      <c r="ORD79" s="2805"/>
      <c r="ORE79" s="2805"/>
      <c r="ORF79" s="2805"/>
      <c r="ORG79" s="2805"/>
      <c r="ORH79" s="2805"/>
      <c r="ORI79" s="2805"/>
      <c r="ORJ79" s="2805"/>
      <c r="ORK79" s="2805"/>
      <c r="ORL79" s="2805"/>
      <c r="ORM79" s="2805"/>
      <c r="ORN79" s="2805"/>
      <c r="ORO79" s="2805"/>
      <c r="ORP79" s="2805"/>
      <c r="ORQ79" s="2805"/>
      <c r="ORR79" s="2805"/>
      <c r="ORS79" s="2805"/>
      <c r="ORT79" s="2805"/>
      <c r="ORU79" s="2805"/>
      <c r="ORV79" s="2805"/>
      <c r="ORW79" s="2805"/>
      <c r="ORX79" s="2805"/>
      <c r="ORY79" s="2805"/>
      <c r="ORZ79" s="2805"/>
      <c r="OSA79" s="2805"/>
      <c r="OSB79" s="2805"/>
      <c r="OSC79" s="2805"/>
      <c r="OSD79" s="2805"/>
      <c r="OSE79" s="2805"/>
      <c r="OSF79" s="2805"/>
      <c r="OSG79" s="2805"/>
      <c r="OSH79" s="2805"/>
      <c r="OSI79" s="2805"/>
      <c r="OSJ79" s="2805"/>
      <c r="OSK79" s="2805"/>
      <c r="OSL79" s="2805"/>
      <c r="OSM79" s="2805"/>
      <c r="OSN79" s="2805"/>
      <c r="OSO79" s="2805"/>
      <c r="OSP79" s="2805"/>
      <c r="OSQ79" s="2805"/>
      <c r="OSR79" s="2805"/>
      <c r="OSS79" s="2805"/>
      <c r="OST79" s="2805"/>
      <c r="OSU79" s="2805"/>
      <c r="OSV79" s="2805"/>
      <c r="OSW79" s="2805"/>
      <c r="OSX79" s="2805"/>
      <c r="OSY79" s="2805"/>
      <c r="OSZ79" s="2805"/>
      <c r="OTA79" s="2805"/>
      <c r="OTB79" s="2805"/>
      <c r="OTC79" s="2805"/>
      <c r="OTD79" s="2805"/>
      <c r="OTE79" s="2805"/>
      <c r="OTF79" s="2805"/>
      <c r="OTG79" s="2805"/>
      <c r="OTH79" s="2805"/>
      <c r="OTI79" s="2805"/>
      <c r="OTJ79" s="2805"/>
      <c r="OTK79" s="2805"/>
      <c r="OTL79" s="2805"/>
      <c r="OTM79" s="2805"/>
      <c r="OTN79" s="2805"/>
      <c r="OTO79" s="2805"/>
      <c r="OTP79" s="2805"/>
      <c r="OTQ79" s="2805"/>
      <c r="OTR79" s="2805"/>
      <c r="OTS79" s="2805"/>
      <c r="OTT79" s="2805"/>
      <c r="OTU79" s="2805"/>
      <c r="OTV79" s="2805"/>
      <c r="OTW79" s="2805"/>
      <c r="OTX79" s="2805"/>
      <c r="OTY79" s="2805"/>
      <c r="OTZ79" s="2805"/>
      <c r="OUA79" s="2805"/>
      <c r="OUB79" s="2805"/>
      <c r="OUC79" s="2805"/>
      <c r="OUD79" s="2805"/>
      <c r="OUE79" s="2805"/>
      <c r="OUF79" s="2805"/>
      <c r="OUG79" s="2805"/>
      <c r="OUH79" s="2805"/>
      <c r="OUI79" s="2805"/>
      <c r="OUJ79" s="2805"/>
      <c r="OUK79" s="2805"/>
      <c r="OUL79" s="2805"/>
      <c r="OUM79" s="2805"/>
      <c r="OUN79" s="2805"/>
      <c r="OUO79" s="2805"/>
      <c r="OUP79" s="2805"/>
      <c r="OUQ79" s="2805"/>
      <c r="OUR79" s="2805"/>
      <c r="OUS79" s="2805"/>
      <c r="OUT79" s="2805"/>
      <c r="OUU79" s="2805"/>
      <c r="OUV79" s="2805"/>
      <c r="OUW79" s="2805"/>
      <c r="OUX79" s="2805"/>
      <c r="OUY79" s="2805"/>
      <c r="OUZ79" s="2805"/>
      <c r="OVA79" s="2805"/>
      <c r="OVB79" s="2805"/>
      <c r="OVC79" s="2805"/>
      <c r="OVD79" s="2805"/>
      <c r="OVE79" s="2805"/>
      <c r="OVF79" s="2805"/>
      <c r="OVG79" s="2805"/>
      <c r="OVH79" s="2805"/>
      <c r="OVI79" s="2805"/>
      <c r="OVJ79" s="2805"/>
      <c r="OVK79" s="2805"/>
      <c r="OVL79" s="2805"/>
      <c r="OVM79" s="2805"/>
      <c r="OVN79" s="2805"/>
      <c r="OVO79" s="2805"/>
      <c r="OVP79" s="2805"/>
      <c r="OVQ79" s="2805"/>
      <c r="OVR79" s="2805"/>
      <c r="OVS79" s="2805"/>
      <c r="OVT79" s="2805"/>
      <c r="OVU79" s="2805"/>
      <c r="OVV79" s="2805"/>
      <c r="OVW79" s="2805"/>
      <c r="OVX79" s="2805"/>
      <c r="OVY79" s="2805"/>
      <c r="OVZ79" s="2805"/>
      <c r="OWA79" s="2805"/>
      <c r="OWB79" s="2805"/>
      <c r="OWC79" s="2805"/>
      <c r="OWD79" s="2805"/>
      <c r="OWE79" s="2805"/>
      <c r="OWF79" s="2805"/>
      <c r="OWG79" s="2805"/>
      <c r="OWH79" s="2805"/>
      <c r="OWI79" s="2805"/>
      <c r="OWJ79" s="2805"/>
      <c r="OWK79" s="2805"/>
      <c r="OWL79" s="2805"/>
      <c r="OWM79" s="2805"/>
      <c r="OWN79" s="2805"/>
      <c r="OWO79" s="2805"/>
      <c r="OWP79" s="2805"/>
      <c r="OWQ79" s="2805"/>
      <c r="OWR79" s="2805"/>
      <c r="OWS79" s="2805"/>
      <c r="OWT79" s="2805"/>
      <c r="OWU79" s="2805"/>
      <c r="OWV79" s="2805"/>
      <c r="OWW79" s="2805"/>
      <c r="OWX79" s="2805"/>
      <c r="OWY79" s="2805"/>
      <c r="OWZ79" s="2805"/>
      <c r="OXA79" s="2805"/>
      <c r="OXB79" s="2805"/>
      <c r="OXC79" s="2805"/>
      <c r="OXD79" s="2805"/>
      <c r="OXE79" s="2805"/>
      <c r="OXF79" s="2805"/>
      <c r="OXG79" s="2805"/>
      <c r="OXH79" s="2805"/>
      <c r="OXI79" s="2805"/>
      <c r="OXJ79" s="2805"/>
      <c r="OXK79" s="2805"/>
      <c r="OXL79" s="2805"/>
      <c r="OXM79" s="2805"/>
      <c r="OXN79" s="2805"/>
      <c r="OXO79" s="2805"/>
      <c r="OXP79" s="2805"/>
      <c r="OXQ79" s="2805"/>
      <c r="OXR79" s="2805"/>
      <c r="OXS79" s="2805"/>
      <c r="OXT79" s="2805"/>
      <c r="OXU79" s="2805"/>
      <c r="OXV79" s="2805"/>
      <c r="OXW79" s="2805"/>
      <c r="OXX79" s="2805"/>
      <c r="OXY79" s="2805"/>
      <c r="OXZ79" s="2805"/>
      <c r="OYA79" s="2805"/>
      <c r="OYB79" s="2805"/>
      <c r="OYC79" s="2805"/>
      <c r="OYD79" s="2805"/>
      <c r="OYE79" s="2805"/>
      <c r="OYF79" s="2805"/>
      <c r="OYG79" s="2805"/>
      <c r="OYH79" s="2805"/>
      <c r="OYI79" s="2805"/>
      <c r="OYJ79" s="2805"/>
      <c r="OYK79" s="2805"/>
      <c r="OYL79" s="2805"/>
      <c r="OYM79" s="2805"/>
      <c r="OYN79" s="2805"/>
      <c r="OYO79" s="2805"/>
      <c r="OYP79" s="2805"/>
      <c r="OYQ79" s="2805"/>
      <c r="OYR79" s="2805"/>
      <c r="OYS79" s="2805"/>
      <c r="OYT79" s="2805"/>
      <c r="OYU79" s="2805"/>
      <c r="OYV79" s="2805"/>
      <c r="OYW79" s="2805"/>
      <c r="OYX79" s="2805"/>
      <c r="OYY79" s="2805"/>
      <c r="OYZ79" s="2805"/>
      <c r="OZA79" s="2805"/>
      <c r="OZB79" s="2805"/>
      <c r="OZC79" s="2805"/>
      <c r="OZD79" s="2805"/>
      <c r="OZE79" s="2805"/>
      <c r="OZF79" s="2805"/>
      <c r="OZG79" s="2805"/>
      <c r="OZH79" s="2805"/>
      <c r="OZI79" s="2805"/>
      <c r="OZJ79" s="2805"/>
      <c r="OZK79" s="2805"/>
      <c r="OZL79" s="2805"/>
      <c r="OZM79" s="2805"/>
      <c r="OZN79" s="2805"/>
      <c r="OZO79" s="2805"/>
      <c r="OZP79" s="2805"/>
      <c r="OZQ79" s="2805"/>
      <c r="OZR79" s="2805"/>
      <c r="OZS79" s="2805"/>
      <c r="OZT79" s="2805"/>
      <c r="OZU79" s="2805"/>
      <c r="OZV79" s="2805"/>
      <c r="OZW79" s="2805"/>
      <c r="OZX79" s="2805"/>
      <c r="OZY79" s="2805"/>
      <c r="OZZ79" s="2805"/>
      <c r="PAA79" s="2805"/>
      <c r="PAB79" s="2805"/>
      <c r="PAC79" s="2805"/>
      <c r="PAD79" s="2805"/>
      <c r="PAE79" s="2805"/>
      <c r="PAF79" s="2805"/>
      <c r="PAG79" s="2805"/>
      <c r="PAH79" s="2805"/>
      <c r="PAI79" s="2805"/>
      <c r="PAJ79" s="2805"/>
      <c r="PAK79" s="2805"/>
      <c r="PAL79" s="2805"/>
      <c r="PAM79" s="2805"/>
      <c r="PAN79" s="2805"/>
      <c r="PAO79" s="2805"/>
      <c r="PAP79" s="2805"/>
      <c r="PAQ79" s="2805"/>
      <c r="PAR79" s="2805"/>
      <c r="PAS79" s="2805"/>
      <c r="PAT79" s="2805"/>
      <c r="PAU79" s="2805"/>
      <c r="PAV79" s="2805"/>
      <c r="PAW79" s="2805"/>
      <c r="PAX79" s="2805"/>
      <c r="PAY79" s="2805"/>
      <c r="PAZ79" s="2805"/>
      <c r="PBA79" s="2805"/>
      <c r="PBB79" s="2805"/>
      <c r="PBC79" s="2805"/>
      <c r="PBD79" s="2805"/>
      <c r="PBE79" s="2805"/>
      <c r="PBF79" s="2805"/>
      <c r="PBG79" s="2805"/>
      <c r="PBH79" s="2805"/>
      <c r="PBI79" s="2805"/>
      <c r="PBJ79" s="2805"/>
      <c r="PBK79" s="2805"/>
      <c r="PBL79" s="2805"/>
      <c r="PBM79" s="2805"/>
      <c r="PBN79" s="2805"/>
      <c r="PBO79" s="2805"/>
      <c r="PBP79" s="2805"/>
      <c r="PBQ79" s="2805"/>
      <c r="PBR79" s="2805"/>
      <c r="PBS79" s="2805"/>
      <c r="PBT79" s="2805"/>
      <c r="PBU79" s="2805"/>
      <c r="PBV79" s="2805"/>
      <c r="PBW79" s="2805"/>
      <c r="PBX79" s="2805"/>
      <c r="PBY79" s="2805"/>
      <c r="PBZ79" s="2805"/>
      <c r="PCA79" s="2805"/>
      <c r="PCB79" s="2805"/>
      <c r="PCC79" s="2805"/>
      <c r="PCD79" s="2805"/>
      <c r="PCE79" s="2805"/>
      <c r="PCF79" s="2805"/>
      <c r="PCG79" s="2805"/>
      <c r="PCH79" s="2805"/>
      <c r="PCI79" s="2805"/>
      <c r="PCJ79" s="2805"/>
      <c r="PCK79" s="2805"/>
      <c r="PCL79" s="2805"/>
      <c r="PCM79" s="2805"/>
      <c r="PCN79" s="2805"/>
      <c r="PCO79" s="2805"/>
      <c r="PCP79" s="2805"/>
      <c r="PCQ79" s="2805"/>
      <c r="PCR79" s="2805"/>
      <c r="PCS79" s="2805"/>
      <c r="PCT79" s="2805"/>
      <c r="PCU79" s="2805"/>
      <c r="PCV79" s="2805"/>
      <c r="PCW79" s="2805"/>
      <c r="PCX79" s="2805"/>
      <c r="PCY79" s="2805"/>
      <c r="PCZ79" s="2805"/>
      <c r="PDA79" s="2805"/>
      <c r="PDB79" s="2805"/>
      <c r="PDC79" s="2805"/>
      <c r="PDD79" s="2805"/>
      <c r="PDE79" s="2805"/>
      <c r="PDF79" s="2805"/>
      <c r="PDG79" s="2805"/>
      <c r="PDH79" s="2805"/>
      <c r="PDI79" s="2805"/>
      <c r="PDJ79" s="2805"/>
      <c r="PDK79" s="2805"/>
      <c r="PDL79" s="2805"/>
      <c r="PDM79" s="2805"/>
      <c r="PDN79" s="2805"/>
      <c r="PDO79" s="2805"/>
      <c r="PDP79" s="2805"/>
      <c r="PDQ79" s="2805"/>
      <c r="PDR79" s="2805"/>
      <c r="PDS79" s="2805"/>
      <c r="PDT79" s="2805"/>
      <c r="PDU79" s="2805"/>
      <c r="PDV79" s="2805"/>
      <c r="PDW79" s="2805"/>
      <c r="PDX79" s="2805"/>
      <c r="PDY79" s="2805"/>
      <c r="PDZ79" s="2805"/>
      <c r="PEA79" s="2805"/>
      <c r="PEB79" s="2805"/>
      <c r="PEC79" s="2805"/>
      <c r="PED79" s="2805"/>
      <c r="PEE79" s="2805"/>
      <c r="PEF79" s="2805"/>
      <c r="PEG79" s="2805"/>
      <c r="PEH79" s="2805"/>
      <c r="PEI79" s="2805"/>
      <c r="PEJ79" s="2805"/>
      <c r="PEK79" s="2805"/>
      <c r="PEL79" s="2805"/>
      <c r="PEM79" s="2805"/>
      <c r="PEN79" s="2805"/>
      <c r="PEO79" s="2805"/>
      <c r="PEP79" s="2805"/>
      <c r="PEQ79" s="2805"/>
      <c r="PER79" s="2805"/>
      <c r="PES79" s="2805"/>
      <c r="PET79" s="2805"/>
      <c r="PEU79" s="2805"/>
      <c r="PEV79" s="2805"/>
      <c r="PEW79" s="2805"/>
      <c r="PEX79" s="2805"/>
      <c r="PEY79" s="2805"/>
      <c r="PEZ79" s="2805"/>
      <c r="PFA79" s="2805"/>
      <c r="PFB79" s="2805"/>
      <c r="PFC79" s="2805"/>
      <c r="PFD79" s="2805"/>
      <c r="PFE79" s="2805"/>
      <c r="PFF79" s="2805"/>
      <c r="PFG79" s="2805"/>
      <c r="PFH79" s="2805"/>
      <c r="PFI79" s="2805"/>
      <c r="PFJ79" s="2805"/>
      <c r="PFK79" s="2805"/>
      <c r="PFL79" s="2805"/>
      <c r="PFM79" s="2805"/>
      <c r="PFN79" s="2805"/>
      <c r="PFO79" s="2805"/>
      <c r="PFP79" s="2805"/>
      <c r="PFQ79" s="2805"/>
      <c r="PFR79" s="2805"/>
      <c r="PFS79" s="2805"/>
      <c r="PFT79" s="2805"/>
      <c r="PFU79" s="2805"/>
      <c r="PFV79" s="2805"/>
      <c r="PFW79" s="2805"/>
      <c r="PFX79" s="2805"/>
      <c r="PFY79" s="2805"/>
      <c r="PFZ79" s="2805"/>
      <c r="PGA79" s="2805"/>
      <c r="PGB79" s="2805"/>
      <c r="PGC79" s="2805"/>
      <c r="PGD79" s="2805"/>
      <c r="PGE79" s="2805"/>
      <c r="PGF79" s="2805"/>
      <c r="PGG79" s="2805"/>
      <c r="PGH79" s="2805"/>
      <c r="PGI79" s="2805"/>
      <c r="PGJ79" s="2805"/>
      <c r="PGK79" s="2805"/>
      <c r="PGL79" s="2805"/>
      <c r="PGM79" s="2805"/>
      <c r="PGN79" s="2805"/>
      <c r="PGO79" s="2805"/>
      <c r="PGP79" s="2805"/>
      <c r="PGQ79" s="2805"/>
      <c r="PGR79" s="2805"/>
      <c r="PGS79" s="2805"/>
      <c r="PGT79" s="2805"/>
      <c r="PGU79" s="2805"/>
      <c r="PGV79" s="2805"/>
      <c r="PGW79" s="2805"/>
      <c r="PGX79" s="2805"/>
      <c r="PGY79" s="2805"/>
      <c r="PGZ79" s="2805"/>
      <c r="PHA79" s="2805"/>
      <c r="PHB79" s="2805"/>
      <c r="PHC79" s="2805"/>
      <c r="PHD79" s="2805"/>
      <c r="PHE79" s="2805"/>
      <c r="PHF79" s="2805"/>
      <c r="PHG79" s="2805"/>
      <c r="PHH79" s="2805"/>
      <c r="PHI79" s="2805"/>
      <c r="PHJ79" s="2805"/>
      <c r="PHK79" s="2805"/>
      <c r="PHL79" s="2805"/>
      <c r="PHM79" s="2805"/>
      <c r="PHN79" s="2805"/>
      <c r="PHO79" s="2805"/>
      <c r="PHP79" s="2805"/>
      <c r="PHQ79" s="2805"/>
      <c r="PHR79" s="2805"/>
      <c r="PHS79" s="2805"/>
      <c r="PHT79" s="2805"/>
      <c r="PHU79" s="2805"/>
      <c r="PHV79" s="2805"/>
      <c r="PHW79" s="2805"/>
      <c r="PHX79" s="2805"/>
      <c r="PHY79" s="2805"/>
      <c r="PHZ79" s="2805"/>
      <c r="PIA79" s="2805"/>
      <c r="PIB79" s="2805"/>
      <c r="PIC79" s="2805"/>
      <c r="PID79" s="2805"/>
      <c r="PIE79" s="2805"/>
      <c r="PIF79" s="2805"/>
      <c r="PIG79" s="2805"/>
      <c r="PIH79" s="2805"/>
      <c r="PII79" s="2805"/>
      <c r="PIJ79" s="2805"/>
      <c r="PIK79" s="2805"/>
      <c r="PIL79" s="2805"/>
      <c r="PIM79" s="2805"/>
      <c r="PIN79" s="2805"/>
      <c r="PIO79" s="2805"/>
      <c r="PIP79" s="2805"/>
      <c r="PIQ79" s="2805"/>
      <c r="PIR79" s="2805"/>
      <c r="PIS79" s="2805"/>
      <c r="PIT79" s="2805"/>
      <c r="PIU79" s="2805"/>
      <c r="PIV79" s="2805"/>
      <c r="PIW79" s="2805"/>
      <c r="PIX79" s="2805"/>
      <c r="PIY79" s="2805"/>
      <c r="PIZ79" s="2805"/>
      <c r="PJA79" s="2805"/>
      <c r="PJB79" s="2805"/>
      <c r="PJC79" s="2805"/>
      <c r="PJD79" s="2805"/>
      <c r="PJE79" s="2805"/>
      <c r="PJF79" s="2805"/>
      <c r="PJG79" s="2805"/>
      <c r="PJH79" s="2805"/>
      <c r="PJI79" s="2805"/>
      <c r="PJJ79" s="2805"/>
      <c r="PJK79" s="2805"/>
      <c r="PJL79" s="2805"/>
      <c r="PJM79" s="2805"/>
      <c r="PJN79" s="2805"/>
      <c r="PJO79" s="2805"/>
      <c r="PJP79" s="2805"/>
      <c r="PJQ79" s="2805"/>
      <c r="PJR79" s="2805"/>
      <c r="PJS79" s="2805"/>
      <c r="PJT79" s="2805"/>
      <c r="PJU79" s="2805"/>
      <c r="PJV79" s="2805"/>
      <c r="PJW79" s="2805"/>
      <c r="PJX79" s="2805"/>
      <c r="PJY79" s="2805"/>
      <c r="PJZ79" s="2805"/>
      <c r="PKA79" s="2805"/>
      <c r="PKB79" s="2805"/>
      <c r="PKC79" s="2805"/>
      <c r="PKD79" s="2805"/>
      <c r="PKE79" s="2805"/>
      <c r="PKF79" s="2805"/>
      <c r="PKG79" s="2805"/>
      <c r="PKH79" s="2805"/>
      <c r="PKI79" s="2805"/>
      <c r="PKJ79" s="2805"/>
      <c r="PKK79" s="2805"/>
      <c r="PKL79" s="2805"/>
      <c r="PKM79" s="2805"/>
      <c r="PKN79" s="2805"/>
      <c r="PKO79" s="2805"/>
      <c r="PKP79" s="2805"/>
      <c r="PKQ79" s="2805"/>
      <c r="PKR79" s="2805"/>
      <c r="PKS79" s="2805"/>
      <c r="PKT79" s="2805"/>
      <c r="PKU79" s="2805"/>
      <c r="PKV79" s="2805"/>
      <c r="PKW79" s="2805"/>
      <c r="PKX79" s="2805"/>
      <c r="PKY79" s="2805"/>
      <c r="PKZ79" s="2805"/>
      <c r="PLA79" s="2805"/>
      <c r="PLB79" s="2805"/>
      <c r="PLC79" s="2805"/>
      <c r="PLD79" s="2805"/>
      <c r="PLE79" s="2805"/>
      <c r="PLF79" s="2805"/>
      <c r="PLG79" s="2805"/>
      <c r="PLH79" s="2805"/>
      <c r="PLI79" s="2805"/>
      <c r="PLJ79" s="2805"/>
      <c r="PLK79" s="2805"/>
      <c r="PLL79" s="2805"/>
      <c r="PLM79" s="2805"/>
      <c r="PLN79" s="2805"/>
      <c r="PLO79" s="2805"/>
      <c r="PLP79" s="2805"/>
      <c r="PLQ79" s="2805"/>
      <c r="PLR79" s="2805"/>
      <c r="PLS79" s="2805"/>
      <c r="PLT79" s="2805"/>
      <c r="PLU79" s="2805"/>
      <c r="PLV79" s="2805"/>
      <c r="PLW79" s="2805"/>
      <c r="PLX79" s="2805"/>
      <c r="PLY79" s="2805"/>
      <c r="PLZ79" s="2805"/>
      <c r="PMA79" s="2805"/>
      <c r="PMB79" s="2805"/>
      <c r="PMC79" s="2805"/>
      <c r="PMD79" s="2805"/>
      <c r="PME79" s="2805"/>
      <c r="PMF79" s="2805"/>
      <c r="PMG79" s="2805"/>
      <c r="PMH79" s="2805"/>
      <c r="PMI79" s="2805"/>
      <c r="PMJ79" s="2805"/>
      <c r="PMK79" s="2805"/>
      <c r="PML79" s="2805"/>
      <c r="PMM79" s="2805"/>
      <c r="PMN79" s="2805"/>
      <c r="PMO79" s="2805"/>
      <c r="PMP79" s="2805"/>
      <c r="PMQ79" s="2805"/>
      <c r="PMR79" s="2805"/>
      <c r="PMS79" s="2805"/>
      <c r="PMT79" s="2805"/>
      <c r="PMU79" s="2805"/>
      <c r="PMV79" s="2805"/>
      <c r="PMW79" s="2805"/>
      <c r="PMX79" s="2805"/>
      <c r="PMY79" s="2805"/>
      <c r="PMZ79" s="2805"/>
      <c r="PNA79" s="2805"/>
      <c r="PNB79" s="2805"/>
      <c r="PNC79" s="2805"/>
      <c r="PND79" s="2805"/>
      <c r="PNE79" s="2805"/>
      <c r="PNF79" s="2805"/>
      <c r="PNG79" s="2805"/>
      <c r="PNH79" s="2805"/>
      <c r="PNI79" s="2805"/>
      <c r="PNJ79" s="2805"/>
      <c r="PNK79" s="2805"/>
      <c r="PNL79" s="2805"/>
      <c r="PNM79" s="2805"/>
      <c r="PNN79" s="2805"/>
      <c r="PNO79" s="2805"/>
      <c r="PNP79" s="2805"/>
      <c r="PNQ79" s="2805"/>
      <c r="PNR79" s="2805"/>
      <c r="PNS79" s="2805"/>
      <c r="PNT79" s="2805"/>
      <c r="PNU79" s="2805"/>
      <c r="PNV79" s="2805"/>
      <c r="PNW79" s="2805"/>
      <c r="PNX79" s="2805"/>
      <c r="PNY79" s="2805"/>
      <c r="PNZ79" s="2805"/>
      <c r="POA79" s="2805"/>
      <c r="POB79" s="2805"/>
      <c r="POC79" s="2805"/>
      <c r="POD79" s="2805"/>
      <c r="POE79" s="2805"/>
      <c r="POF79" s="2805"/>
      <c r="POG79" s="2805"/>
      <c r="POH79" s="2805"/>
      <c r="POI79" s="2805"/>
      <c r="POJ79" s="2805"/>
      <c r="POK79" s="2805"/>
      <c r="POL79" s="2805"/>
      <c r="POM79" s="2805"/>
      <c r="PON79" s="2805"/>
      <c r="POO79" s="2805"/>
      <c r="POP79" s="2805"/>
      <c r="POQ79" s="2805"/>
      <c r="POR79" s="2805"/>
      <c r="POS79" s="2805"/>
      <c r="POT79" s="2805"/>
      <c r="POU79" s="2805"/>
      <c r="POV79" s="2805"/>
      <c r="POW79" s="2805"/>
      <c r="POX79" s="2805"/>
      <c r="POY79" s="2805"/>
      <c r="POZ79" s="2805"/>
      <c r="PPA79" s="2805"/>
      <c r="PPB79" s="2805"/>
      <c r="PPC79" s="2805"/>
      <c r="PPD79" s="2805"/>
      <c r="PPE79" s="2805"/>
      <c r="PPF79" s="2805"/>
      <c r="PPG79" s="2805"/>
      <c r="PPH79" s="2805"/>
      <c r="PPI79" s="2805"/>
      <c r="PPJ79" s="2805"/>
      <c r="PPK79" s="2805"/>
      <c r="PPL79" s="2805"/>
      <c r="PPM79" s="2805"/>
      <c r="PPN79" s="2805"/>
      <c r="PPO79" s="2805"/>
      <c r="PPP79" s="2805"/>
      <c r="PPQ79" s="2805"/>
      <c r="PPR79" s="2805"/>
      <c r="PPS79" s="2805"/>
      <c r="PPT79" s="2805"/>
      <c r="PPU79" s="2805"/>
      <c r="PPV79" s="2805"/>
      <c r="PPW79" s="2805"/>
      <c r="PPX79" s="2805"/>
      <c r="PPY79" s="2805"/>
      <c r="PPZ79" s="2805"/>
      <c r="PQA79" s="2805"/>
      <c r="PQB79" s="2805"/>
      <c r="PQC79" s="2805"/>
      <c r="PQD79" s="2805"/>
      <c r="PQE79" s="2805"/>
      <c r="PQF79" s="2805"/>
      <c r="PQG79" s="2805"/>
      <c r="PQH79" s="2805"/>
      <c r="PQI79" s="2805"/>
      <c r="PQJ79" s="2805"/>
      <c r="PQK79" s="2805"/>
      <c r="PQL79" s="2805"/>
      <c r="PQM79" s="2805"/>
      <c r="PQN79" s="2805"/>
      <c r="PQO79" s="2805"/>
      <c r="PQP79" s="2805"/>
      <c r="PQQ79" s="2805"/>
      <c r="PQR79" s="2805"/>
      <c r="PQS79" s="2805"/>
      <c r="PQT79" s="2805"/>
      <c r="PQU79" s="2805"/>
      <c r="PQV79" s="2805"/>
      <c r="PQW79" s="2805"/>
      <c r="PQX79" s="2805"/>
      <c r="PQY79" s="2805"/>
      <c r="PQZ79" s="2805"/>
      <c r="PRA79" s="2805"/>
      <c r="PRB79" s="2805"/>
      <c r="PRC79" s="2805"/>
      <c r="PRD79" s="2805"/>
      <c r="PRE79" s="2805"/>
      <c r="PRF79" s="2805"/>
      <c r="PRG79" s="2805"/>
      <c r="PRH79" s="2805"/>
      <c r="PRI79" s="2805"/>
      <c r="PRJ79" s="2805"/>
      <c r="PRK79" s="2805"/>
      <c r="PRL79" s="2805"/>
      <c r="PRM79" s="2805"/>
      <c r="PRN79" s="2805"/>
      <c r="PRO79" s="2805"/>
      <c r="PRP79" s="2805"/>
      <c r="PRQ79" s="2805"/>
      <c r="PRR79" s="2805"/>
      <c r="PRS79" s="2805"/>
      <c r="PRT79" s="2805"/>
      <c r="PRU79" s="2805"/>
      <c r="PRV79" s="2805"/>
      <c r="PRW79" s="2805"/>
      <c r="PRX79" s="2805"/>
      <c r="PRY79" s="2805"/>
      <c r="PRZ79" s="2805"/>
      <c r="PSA79" s="2805"/>
      <c r="PSB79" s="2805"/>
      <c r="PSC79" s="2805"/>
      <c r="PSD79" s="2805"/>
      <c r="PSE79" s="2805"/>
      <c r="PSF79" s="2805"/>
      <c r="PSG79" s="2805"/>
      <c r="PSH79" s="2805"/>
      <c r="PSI79" s="2805"/>
      <c r="PSJ79" s="2805"/>
      <c r="PSK79" s="2805"/>
      <c r="PSL79" s="2805"/>
      <c r="PSM79" s="2805"/>
      <c r="PSN79" s="2805"/>
      <c r="PSO79" s="2805"/>
      <c r="PSP79" s="2805"/>
      <c r="PSQ79" s="2805"/>
      <c r="PSR79" s="2805"/>
      <c r="PSS79" s="2805"/>
      <c r="PST79" s="2805"/>
      <c r="PSU79" s="2805"/>
      <c r="PSV79" s="2805"/>
      <c r="PSW79" s="2805"/>
      <c r="PSX79" s="2805"/>
      <c r="PSY79" s="2805"/>
      <c r="PSZ79" s="2805"/>
      <c r="PTA79" s="2805"/>
      <c r="PTB79" s="2805"/>
      <c r="PTC79" s="2805"/>
      <c r="PTD79" s="2805"/>
      <c r="PTE79" s="2805"/>
      <c r="PTF79" s="2805"/>
      <c r="PTG79" s="2805"/>
      <c r="PTH79" s="2805"/>
      <c r="PTI79" s="2805"/>
      <c r="PTJ79" s="2805"/>
      <c r="PTK79" s="2805"/>
      <c r="PTL79" s="2805"/>
      <c r="PTM79" s="2805"/>
      <c r="PTN79" s="2805"/>
      <c r="PTO79" s="2805"/>
      <c r="PTP79" s="2805"/>
      <c r="PTQ79" s="2805"/>
      <c r="PTR79" s="2805"/>
      <c r="PTS79" s="2805"/>
      <c r="PTT79" s="2805"/>
      <c r="PTU79" s="2805"/>
      <c r="PTV79" s="2805"/>
      <c r="PTW79" s="2805"/>
      <c r="PTX79" s="2805"/>
      <c r="PTY79" s="2805"/>
      <c r="PTZ79" s="2805"/>
      <c r="PUA79" s="2805"/>
      <c r="PUB79" s="2805"/>
      <c r="PUC79" s="2805"/>
      <c r="PUD79" s="2805"/>
      <c r="PUE79" s="2805"/>
      <c r="PUF79" s="2805"/>
      <c r="PUG79" s="2805"/>
      <c r="PUH79" s="2805"/>
      <c r="PUI79" s="2805"/>
      <c r="PUJ79" s="2805"/>
      <c r="PUK79" s="2805"/>
      <c r="PUL79" s="2805"/>
      <c r="PUM79" s="2805"/>
      <c r="PUN79" s="2805"/>
      <c r="PUO79" s="2805"/>
      <c r="PUP79" s="2805"/>
      <c r="PUQ79" s="2805"/>
      <c r="PUR79" s="2805"/>
      <c r="PUS79" s="2805"/>
      <c r="PUT79" s="2805"/>
      <c r="PUU79" s="2805"/>
      <c r="PUV79" s="2805"/>
      <c r="PUW79" s="2805"/>
      <c r="PUX79" s="2805"/>
      <c r="PUY79" s="2805"/>
      <c r="PUZ79" s="2805"/>
      <c r="PVA79" s="2805"/>
      <c r="PVB79" s="2805"/>
      <c r="PVC79" s="2805"/>
      <c r="PVD79" s="2805"/>
      <c r="PVE79" s="2805"/>
      <c r="PVF79" s="2805"/>
      <c r="PVG79" s="2805"/>
      <c r="PVH79" s="2805"/>
      <c r="PVI79" s="2805"/>
      <c r="PVJ79" s="2805"/>
      <c r="PVK79" s="2805"/>
      <c r="PVL79" s="2805"/>
      <c r="PVM79" s="2805"/>
      <c r="PVN79" s="2805"/>
      <c r="PVO79" s="2805"/>
      <c r="PVP79" s="2805"/>
      <c r="PVQ79" s="2805"/>
      <c r="PVR79" s="2805"/>
      <c r="PVS79" s="2805"/>
      <c r="PVT79" s="2805"/>
      <c r="PVU79" s="2805"/>
      <c r="PVV79" s="2805"/>
      <c r="PVW79" s="2805"/>
      <c r="PVX79" s="2805"/>
      <c r="PVY79" s="2805"/>
      <c r="PVZ79" s="2805"/>
      <c r="PWA79" s="2805"/>
      <c r="PWB79" s="2805"/>
      <c r="PWC79" s="2805"/>
      <c r="PWD79" s="2805"/>
      <c r="PWE79" s="2805"/>
      <c r="PWF79" s="2805"/>
      <c r="PWG79" s="2805"/>
      <c r="PWH79" s="2805"/>
      <c r="PWI79" s="2805"/>
      <c r="PWJ79" s="2805"/>
      <c r="PWK79" s="2805"/>
      <c r="PWL79" s="2805"/>
      <c r="PWM79" s="2805"/>
      <c r="PWN79" s="2805"/>
      <c r="PWO79" s="2805"/>
      <c r="PWP79" s="2805"/>
      <c r="PWQ79" s="2805"/>
      <c r="PWR79" s="2805"/>
      <c r="PWS79" s="2805"/>
      <c r="PWT79" s="2805"/>
      <c r="PWU79" s="2805"/>
      <c r="PWV79" s="2805"/>
      <c r="PWW79" s="2805"/>
      <c r="PWX79" s="2805"/>
      <c r="PWY79" s="2805"/>
      <c r="PWZ79" s="2805"/>
      <c r="PXA79" s="2805"/>
      <c r="PXB79" s="2805"/>
      <c r="PXC79" s="2805"/>
      <c r="PXD79" s="2805"/>
      <c r="PXE79" s="2805"/>
      <c r="PXF79" s="2805"/>
      <c r="PXG79" s="2805"/>
      <c r="PXH79" s="2805"/>
      <c r="PXI79" s="2805"/>
      <c r="PXJ79" s="2805"/>
      <c r="PXK79" s="2805"/>
      <c r="PXL79" s="2805"/>
      <c r="PXM79" s="2805"/>
      <c r="PXN79" s="2805"/>
      <c r="PXO79" s="2805"/>
      <c r="PXP79" s="2805"/>
      <c r="PXQ79" s="2805"/>
      <c r="PXR79" s="2805"/>
      <c r="PXS79" s="2805"/>
      <c r="PXT79" s="2805"/>
      <c r="PXU79" s="2805"/>
      <c r="PXV79" s="2805"/>
      <c r="PXW79" s="2805"/>
      <c r="PXX79" s="2805"/>
      <c r="PXY79" s="2805"/>
      <c r="PXZ79" s="2805"/>
      <c r="PYA79" s="2805"/>
      <c r="PYB79" s="2805"/>
      <c r="PYC79" s="2805"/>
      <c r="PYD79" s="2805"/>
      <c r="PYE79" s="2805"/>
      <c r="PYF79" s="2805"/>
      <c r="PYG79" s="2805"/>
      <c r="PYH79" s="2805"/>
      <c r="PYI79" s="2805"/>
      <c r="PYJ79" s="2805"/>
      <c r="PYK79" s="2805"/>
      <c r="PYL79" s="2805"/>
      <c r="PYM79" s="2805"/>
      <c r="PYN79" s="2805"/>
      <c r="PYO79" s="2805"/>
      <c r="PYP79" s="2805"/>
      <c r="PYQ79" s="2805"/>
      <c r="PYR79" s="2805"/>
      <c r="PYS79" s="2805"/>
      <c r="PYT79" s="2805"/>
      <c r="PYU79" s="2805"/>
      <c r="PYV79" s="2805"/>
      <c r="PYW79" s="2805"/>
      <c r="PYX79" s="2805"/>
      <c r="PYY79" s="2805"/>
      <c r="PYZ79" s="2805"/>
      <c r="PZA79" s="2805"/>
      <c r="PZB79" s="2805"/>
      <c r="PZC79" s="2805"/>
      <c r="PZD79" s="2805"/>
      <c r="PZE79" s="2805"/>
      <c r="PZF79" s="2805"/>
      <c r="PZG79" s="2805"/>
      <c r="PZH79" s="2805"/>
      <c r="PZI79" s="2805"/>
      <c r="PZJ79" s="2805"/>
      <c r="PZK79" s="2805"/>
      <c r="PZL79" s="2805"/>
      <c r="PZM79" s="2805"/>
      <c r="PZN79" s="2805"/>
      <c r="PZO79" s="2805"/>
      <c r="PZP79" s="2805"/>
      <c r="PZQ79" s="2805"/>
      <c r="PZR79" s="2805"/>
      <c r="PZS79" s="2805"/>
      <c r="PZT79" s="2805"/>
      <c r="PZU79" s="2805"/>
      <c r="PZV79" s="2805"/>
      <c r="PZW79" s="2805"/>
      <c r="PZX79" s="2805"/>
      <c r="PZY79" s="2805"/>
      <c r="PZZ79" s="2805"/>
      <c r="QAA79" s="2805"/>
      <c r="QAB79" s="2805"/>
      <c r="QAC79" s="2805"/>
      <c r="QAD79" s="2805"/>
      <c r="QAE79" s="2805"/>
      <c r="QAF79" s="2805"/>
      <c r="QAG79" s="2805"/>
      <c r="QAH79" s="2805"/>
      <c r="QAI79" s="2805"/>
      <c r="QAJ79" s="2805"/>
      <c r="QAK79" s="2805"/>
      <c r="QAL79" s="2805"/>
      <c r="QAM79" s="2805"/>
      <c r="QAN79" s="2805"/>
      <c r="QAO79" s="2805"/>
      <c r="QAP79" s="2805"/>
      <c r="QAQ79" s="2805"/>
      <c r="QAR79" s="2805"/>
      <c r="QAS79" s="2805"/>
      <c r="QAT79" s="2805"/>
      <c r="QAU79" s="2805"/>
      <c r="QAV79" s="2805"/>
      <c r="QAW79" s="2805"/>
      <c r="QAX79" s="2805"/>
      <c r="QAY79" s="2805"/>
      <c r="QAZ79" s="2805"/>
      <c r="QBA79" s="2805"/>
      <c r="QBB79" s="2805"/>
      <c r="QBC79" s="2805"/>
      <c r="QBD79" s="2805"/>
      <c r="QBE79" s="2805"/>
      <c r="QBF79" s="2805"/>
      <c r="QBG79" s="2805"/>
      <c r="QBH79" s="2805"/>
      <c r="QBI79" s="2805"/>
      <c r="QBJ79" s="2805"/>
      <c r="QBK79" s="2805"/>
      <c r="QBL79" s="2805"/>
      <c r="QBM79" s="2805"/>
      <c r="QBN79" s="2805"/>
      <c r="QBO79" s="2805"/>
      <c r="QBP79" s="2805"/>
      <c r="QBQ79" s="2805"/>
      <c r="QBR79" s="2805"/>
      <c r="QBS79" s="2805"/>
      <c r="QBT79" s="2805"/>
      <c r="QBU79" s="2805"/>
      <c r="QBV79" s="2805"/>
      <c r="QBW79" s="2805"/>
      <c r="QBX79" s="2805"/>
      <c r="QBY79" s="2805"/>
      <c r="QBZ79" s="2805"/>
      <c r="QCA79" s="2805"/>
      <c r="QCB79" s="2805"/>
      <c r="QCC79" s="2805"/>
      <c r="QCD79" s="2805"/>
      <c r="QCE79" s="2805"/>
      <c r="QCF79" s="2805"/>
      <c r="QCG79" s="2805"/>
      <c r="QCH79" s="2805"/>
      <c r="QCI79" s="2805"/>
      <c r="QCJ79" s="2805"/>
      <c r="QCK79" s="2805"/>
      <c r="QCL79" s="2805"/>
      <c r="QCM79" s="2805"/>
      <c r="QCN79" s="2805"/>
      <c r="QCO79" s="2805"/>
      <c r="QCP79" s="2805"/>
      <c r="QCQ79" s="2805"/>
      <c r="QCR79" s="2805"/>
      <c r="QCS79" s="2805"/>
      <c r="QCT79" s="2805"/>
      <c r="QCU79" s="2805"/>
      <c r="QCV79" s="2805"/>
      <c r="QCW79" s="2805"/>
      <c r="QCX79" s="2805"/>
      <c r="QCY79" s="2805"/>
      <c r="QCZ79" s="2805"/>
      <c r="QDA79" s="2805"/>
      <c r="QDB79" s="2805"/>
      <c r="QDC79" s="2805"/>
      <c r="QDD79" s="2805"/>
      <c r="QDE79" s="2805"/>
      <c r="QDF79" s="2805"/>
      <c r="QDG79" s="2805"/>
      <c r="QDH79" s="2805"/>
      <c r="QDI79" s="2805"/>
      <c r="QDJ79" s="2805"/>
      <c r="QDK79" s="2805"/>
      <c r="QDL79" s="2805"/>
      <c r="QDM79" s="2805"/>
      <c r="QDN79" s="2805"/>
      <c r="QDO79" s="2805"/>
      <c r="QDP79" s="2805"/>
      <c r="QDQ79" s="2805"/>
      <c r="QDR79" s="2805"/>
      <c r="QDS79" s="2805"/>
      <c r="QDT79" s="2805"/>
      <c r="QDU79" s="2805"/>
      <c r="QDV79" s="2805"/>
      <c r="QDW79" s="2805"/>
      <c r="QDX79" s="2805"/>
      <c r="QDY79" s="2805"/>
      <c r="QDZ79" s="2805"/>
      <c r="QEA79" s="2805"/>
      <c r="QEB79" s="2805"/>
      <c r="QEC79" s="2805"/>
      <c r="QED79" s="2805"/>
      <c r="QEE79" s="2805"/>
      <c r="QEF79" s="2805"/>
      <c r="QEG79" s="2805"/>
      <c r="QEH79" s="2805"/>
      <c r="QEI79" s="2805"/>
      <c r="QEJ79" s="2805"/>
      <c r="QEK79" s="2805"/>
      <c r="QEL79" s="2805"/>
      <c r="QEM79" s="2805"/>
      <c r="QEN79" s="2805"/>
      <c r="QEO79" s="2805"/>
      <c r="QEP79" s="2805"/>
      <c r="QEQ79" s="2805"/>
      <c r="QER79" s="2805"/>
      <c r="QES79" s="2805"/>
      <c r="QET79" s="2805"/>
      <c r="QEU79" s="2805"/>
      <c r="QEV79" s="2805"/>
      <c r="QEW79" s="2805"/>
      <c r="QEX79" s="2805"/>
      <c r="QEY79" s="2805"/>
      <c r="QEZ79" s="2805"/>
      <c r="QFA79" s="2805"/>
      <c r="QFB79" s="2805"/>
      <c r="QFC79" s="2805"/>
      <c r="QFD79" s="2805"/>
      <c r="QFE79" s="2805"/>
      <c r="QFF79" s="2805"/>
      <c r="QFG79" s="2805"/>
      <c r="QFH79" s="2805"/>
      <c r="QFI79" s="2805"/>
      <c r="QFJ79" s="2805"/>
      <c r="QFK79" s="2805"/>
      <c r="QFL79" s="2805"/>
      <c r="QFM79" s="2805"/>
      <c r="QFN79" s="2805"/>
      <c r="QFO79" s="2805"/>
      <c r="QFP79" s="2805"/>
      <c r="QFQ79" s="2805"/>
      <c r="QFR79" s="2805"/>
      <c r="QFS79" s="2805"/>
      <c r="QFT79" s="2805"/>
      <c r="QFU79" s="2805"/>
      <c r="QFV79" s="2805"/>
      <c r="QFW79" s="2805"/>
      <c r="QFX79" s="2805"/>
      <c r="QFY79" s="2805"/>
      <c r="QFZ79" s="2805"/>
      <c r="QGA79" s="2805"/>
      <c r="QGB79" s="2805"/>
      <c r="QGC79" s="2805"/>
      <c r="QGD79" s="2805"/>
      <c r="QGE79" s="2805"/>
      <c r="QGF79" s="2805"/>
      <c r="QGG79" s="2805"/>
      <c r="QGH79" s="2805"/>
      <c r="QGI79" s="2805"/>
      <c r="QGJ79" s="2805"/>
      <c r="QGK79" s="2805"/>
      <c r="QGL79" s="2805"/>
      <c r="QGM79" s="2805"/>
      <c r="QGN79" s="2805"/>
      <c r="QGO79" s="2805"/>
      <c r="QGP79" s="2805"/>
      <c r="QGQ79" s="2805"/>
      <c r="QGR79" s="2805"/>
      <c r="QGS79" s="2805"/>
      <c r="QGT79" s="2805"/>
      <c r="QGU79" s="2805"/>
      <c r="QGV79" s="2805"/>
      <c r="QGW79" s="2805"/>
      <c r="QGX79" s="2805"/>
      <c r="QGY79" s="2805"/>
      <c r="QGZ79" s="2805"/>
      <c r="QHA79" s="2805"/>
      <c r="QHB79" s="2805"/>
      <c r="QHC79" s="2805"/>
      <c r="QHD79" s="2805"/>
      <c r="QHE79" s="2805"/>
      <c r="QHF79" s="2805"/>
      <c r="QHG79" s="2805"/>
      <c r="QHH79" s="2805"/>
      <c r="QHI79" s="2805"/>
      <c r="QHJ79" s="2805"/>
      <c r="QHK79" s="2805"/>
      <c r="QHL79" s="2805"/>
      <c r="QHM79" s="2805"/>
      <c r="QHN79" s="2805"/>
      <c r="QHO79" s="2805"/>
      <c r="QHP79" s="2805"/>
      <c r="QHQ79" s="2805"/>
      <c r="QHR79" s="2805"/>
      <c r="QHS79" s="2805"/>
      <c r="QHT79" s="2805"/>
      <c r="QHU79" s="2805"/>
      <c r="QHV79" s="2805"/>
      <c r="QHW79" s="2805"/>
      <c r="QHX79" s="2805"/>
      <c r="QHY79" s="2805"/>
      <c r="QHZ79" s="2805"/>
      <c r="QIA79" s="2805"/>
      <c r="QIB79" s="2805"/>
      <c r="QIC79" s="2805"/>
      <c r="QID79" s="2805"/>
      <c r="QIE79" s="2805"/>
      <c r="QIF79" s="2805"/>
      <c r="QIG79" s="2805"/>
      <c r="QIH79" s="2805"/>
      <c r="QII79" s="2805"/>
      <c r="QIJ79" s="2805"/>
      <c r="QIK79" s="2805"/>
      <c r="QIL79" s="2805"/>
      <c r="QIM79" s="2805"/>
      <c r="QIN79" s="2805"/>
      <c r="QIO79" s="2805"/>
      <c r="QIP79" s="2805"/>
      <c r="QIQ79" s="2805"/>
      <c r="QIR79" s="2805"/>
      <c r="QIS79" s="2805"/>
      <c r="QIT79" s="2805"/>
      <c r="QIU79" s="2805"/>
      <c r="QIV79" s="2805"/>
      <c r="QIW79" s="2805"/>
      <c r="QIX79" s="2805"/>
      <c r="QIY79" s="2805"/>
      <c r="QIZ79" s="2805"/>
      <c r="QJA79" s="2805"/>
      <c r="QJB79" s="2805"/>
      <c r="QJC79" s="2805"/>
      <c r="QJD79" s="2805"/>
      <c r="QJE79" s="2805"/>
      <c r="QJF79" s="2805"/>
      <c r="QJG79" s="2805"/>
      <c r="QJH79" s="2805"/>
      <c r="QJI79" s="2805"/>
      <c r="QJJ79" s="2805"/>
      <c r="QJK79" s="2805"/>
      <c r="QJL79" s="2805"/>
      <c r="QJM79" s="2805"/>
      <c r="QJN79" s="2805"/>
      <c r="QJO79" s="2805"/>
      <c r="QJP79" s="2805"/>
      <c r="QJQ79" s="2805"/>
      <c r="QJR79" s="2805"/>
      <c r="QJS79" s="2805"/>
      <c r="QJT79" s="2805"/>
      <c r="QJU79" s="2805"/>
      <c r="QJV79" s="2805"/>
      <c r="QJW79" s="2805"/>
      <c r="QJX79" s="2805"/>
      <c r="QJY79" s="2805"/>
      <c r="QJZ79" s="2805"/>
      <c r="QKA79" s="2805"/>
      <c r="QKB79" s="2805"/>
      <c r="QKC79" s="2805"/>
      <c r="QKD79" s="2805"/>
      <c r="QKE79" s="2805"/>
      <c r="QKF79" s="2805"/>
      <c r="QKG79" s="2805"/>
      <c r="QKH79" s="2805"/>
      <c r="QKI79" s="2805"/>
      <c r="QKJ79" s="2805"/>
      <c r="QKK79" s="2805"/>
      <c r="QKL79" s="2805"/>
      <c r="QKM79" s="2805"/>
      <c r="QKN79" s="2805"/>
      <c r="QKO79" s="2805"/>
      <c r="QKP79" s="2805"/>
      <c r="QKQ79" s="2805"/>
      <c r="QKR79" s="2805"/>
      <c r="QKS79" s="2805"/>
      <c r="QKT79" s="2805"/>
      <c r="QKU79" s="2805"/>
      <c r="QKV79" s="2805"/>
      <c r="QKW79" s="2805"/>
      <c r="QKX79" s="2805"/>
      <c r="QKY79" s="2805"/>
      <c r="QKZ79" s="2805"/>
      <c r="QLA79" s="2805"/>
      <c r="QLB79" s="2805"/>
      <c r="QLC79" s="2805"/>
      <c r="QLD79" s="2805"/>
      <c r="QLE79" s="2805"/>
      <c r="QLF79" s="2805"/>
      <c r="QLG79" s="2805"/>
      <c r="QLH79" s="2805"/>
      <c r="QLI79" s="2805"/>
      <c r="QLJ79" s="2805"/>
      <c r="QLK79" s="2805"/>
      <c r="QLL79" s="2805"/>
      <c r="QLM79" s="2805"/>
      <c r="QLN79" s="2805"/>
      <c r="QLO79" s="2805"/>
      <c r="QLP79" s="2805"/>
      <c r="QLQ79" s="2805"/>
      <c r="QLR79" s="2805"/>
      <c r="QLS79" s="2805"/>
      <c r="QLT79" s="2805"/>
      <c r="QLU79" s="2805"/>
      <c r="QLV79" s="2805"/>
      <c r="QLW79" s="2805"/>
      <c r="QLX79" s="2805"/>
      <c r="QLY79" s="2805"/>
      <c r="QLZ79" s="2805"/>
      <c r="QMA79" s="2805"/>
      <c r="QMB79" s="2805"/>
      <c r="QMC79" s="2805"/>
      <c r="QMD79" s="2805"/>
      <c r="QME79" s="2805"/>
      <c r="QMF79" s="2805"/>
      <c r="QMG79" s="2805"/>
      <c r="QMH79" s="2805"/>
      <c r="QMI79" s="2805"/>
      <c r="QMJ79" s="2805"/>
      <c r="QMK79" s="2805"/>
      <c r="QML79" s="2805"/>
      <c r="QMM79" s="2805"/>
      <c r="QMN79" s="2805"/>
      <c r="QMO79" s="2805"/>
      <c r="QMP79" s="2805"/>
      <c r="QMQ79" s="2805"/>
      <c r="QMR79" s="2805"/>
      <c r="QMS79" s="2805"/>
      <c r="QMT79" s="2805"/>
      <c r="QMU79" s="2805"/>
      <c r="QMV79" s="2805"/>
      <c r="QMW79" s="2805"/>
      <c r="QMX79" s="2805"/>
      <c r="QMY79" s="2805"/>
      <c r="QMZ79" s="2805"/>
      <c r="QNA79" s="2805"/>
      <c r="QNB79" s="2805"/>
      <c r="QNC79" s="2805"/>
      <c r="QND79" s="2805"/>
      <c r="QNE79" s="2805"/>
      <c r="QNF79" s="2805"/>
      <c r="QNG79" s="2805"/>
      <c r="QNH79" s="2805"/>
      <c r="QNI79" s="2805"/>
      <c r="QNJ79" s="2805"/>
      <c r="QNK79" s="2805"/>
      <c r="QNL79" s="2805"/>
      <c r="QNM79" s="2805"/>
      <c r="QNN79" s="2805"/>
      <c r="QNO79" s="2805"/>
      <c r="QNP79" s="2805"/>
      <c r="QNQ79" s="2805"/>
      <c r="QNR79" s="2805"/>
      <c r="QNS79" s="2805"/>
      <c r="QNT79" s="2805"/>
      <c r="QNU79" s="2805"/>
      <c r="QNV79" s="2805"/>
      <c r="QNW79" s="2805"/>
      <c r="QNX79" s="2805"/>
      <c r="QNY79" s="2805"/>
      <c r="QNZ79" s="2805"/>
      <c r="QOA79" s="2805"/>
      <c r="QOB79" s="2805"/>
      <c r="QOC79" s="2805"/>
      <c r="QOD79" s="2805"/>
      <c r="QOE79" s="2805"/>
      <c r="QOF79" s="2805"/>
      <c r="QOG79" s="2805"/>
      <c r="QOH79" s="2805"/>
      <c r="QOI79" s="2805"/>
      <c r="QOJ79" s="2805"/>
      <c r="QOK79" s="2805"/>
      <c r="QOL79" s="2805"/>
      <c r="QOM79" s="2805"/>
      <c r="QON79" s="2805"/>
      <c r="QOO79" s="2805"/>
      <c r="QOP79" s="2805"/>
      <c r="QOQ79" s="2805"/>
      <c r="QOR79" s="2805"/>
      <c r="QOS79" s="2805"/>
      <c r="QOT79" s="2805"/>
      <c r="QOU79" s="2805"/>
      <c r="QOV79" s="2805"/>
      <c r="QOW79" s="2805"/>
      <c r="QOX79" s="2805"/>
      <c r="QOY79" s="2805"/>
      <c r="QOZ79" s="2805"/>
      <c r="QPA79" s="2805"/>
      <c r="QPB79" s="2805"/>
      <c r="QPC79" s="2805"/>
      <c r="QPD79" s="2805"/>
      <c r="QPE79" s="2805"/>
      <c r="QPF79" s="2805"/>
      <c r="QPG79" s="2805"/>
      <c r="QPH79" s="2805"/>
      <c r="QPI79" s="2805"/>
      <c r="QPJ79" s="2805"/>
      <c r="QPK79" s="2805"/>
      <c r="QPL79" s="2805"/>
      <c r="QPM79" s="2805"/>
      <c r="QPN79" s="2805"/>
      <c r="QPO79" s="2805"/>
      <c r="QPP79" s="2805"/>
      <c r="QPQ79" s="2805"/>
      <c r="QPR79" s="2805"/>
      <c r="QPS79" s="2805"/>
      <c r="QPT79" s="2805"/>
      <c r="QPU79" s="2805"/>
      <c r="QPV79" s="2805"/>
      <c r="QPW79" s="2805"/>
      <c r="QPX79" s="2805"/>
      <c r="QPY79" s="2805"/>
      <c r="QPZ79" s="2805"/>
      <c r="QQA79" s="2805"/>
      <c r="QQB79" s="2805"/>
      <c r="QQC79" s="2805"/>
      <c r="QQD79" s="2805"/>
      <c r="QQE79" s="2805"/>
      <c r="QQF79" s="2805"/>
      <c r="QQG79" s="2805"/>
      <c r="QQH79" s="2805"/>
      <c r="QQI79" s="2805"/>
      <c r="QQJ79" s="2805"/>
      <c r="QQK79" s="2805"/>
      <c r="QQL79" s="2805"/>
      <c r="QQM79" s="2805"/>
      <c r="QQN79" s="2805"/>
      <c r="QQO79" s="2805"/>
      <c r="QQP79" s="2805"/>
      <c r="QQQ79" s="2805"/>
      <c r="QQR79" s="2805"/>
      <c r="QQS79" s="2805"/>
      <c r="QQT79" s="2805"/>
      <c r="QQU79" s="2805"/>
      <c r="QQV79" s="2805"/>
      <c r="QQW79" s="2805"/>
      <c r="QQX79" s="2805"/>
      <c r="QQY79" s="2805"/>
      <c r="QQZ79" s="2805"/>
      <c r="QRA79" s="2805"/>
      <c r="QRB79" s="2805"/>
      <c r="QRC79" s="2805"/>
      <c r="QRD79" s="2805"/>
      <c r="QRE79" s="2805"/>
      <c r="QRF79" s="2805"/>
      <c r="QRG79" s="2805"/>
      <c r="QRH79" s="2805"/>
      <c r="QRI79" s="2805"/>
      <c r="QRJ79" s="2805"/>
      <c r="QRK79" s="2805"/>
      <c r="QRL79" s="2805"/>
      <c r="QRM79" s="2805"/>
      <c r="QRN79" s="2805"/>
      <c r="QRO79" s="2805"/>
      <c r="QRP79" s="2805"/>
      <c r="QRQ79" s="2805"/>
      <c r="QRR79" s="2805"/>
      <c r="QRS79" s="2805"/>
      <c r="QRT79" s="2805"/>
      <c r="QRU79" s="2805"/>
      <c r="QRV79" s="2805"/>
      <c r="QRW79" s="2805"/>
      <c r="QRX79" s="2805"/>
      <c r="QRY79" s="2805"/>
      <c r="QRZ79" s="2805"/>
      <c r="QSA79" s="2805"/>
      <c r="QSB79" s="2805"/>
      <c r="QSC79" s="2805"/>
      <c r="QSD79" s="2805"/>
      <c r="QSE79" s="2805"/>
      <c r="QSF79" s="2805"/>
      <c r="QSG79" s="2805"/>
      <c r="QSH79" s="2805"/>
      <c r="QSI79" s="2805"/>
      <c r="QSJ79" s="2805"/>
      <c r="QSK79" s="2805"/>
      <c r="QSL79" s="2805"/>
      <c r="QSM79" s="2805"/>
      <c r="QSN79" s="2805"/>
      <c r="QSO79" s="2805"/>
      <c r="QSP79" s="2805"/>
      <c r="QSQ79" s="2805"/>
      <c r="QSR79" s="2805"/>
      <c r="QSS79" s="2805"/>
      <c r="QST79" s="2805"/>
      <c r="QSU79" s="2805"/>
      <c r="QSV79" s="2805"/>
      <c r="QSW79" s="2805"/>
      <c r="QSX79" s="2805"/>
      <c r="QSY79" s="2805"/>
      <c r="QSZ79" s="2805"/>
      <c r="QTA79" s="2805"/>
      <c r="QTB79" s="2805"/>
      <c r="QTC79" s="2805"/>
      <c r="QTD79" s="2805"/>
      <c r="QTE79" s="2805"/>
      <c r="QTF79" s="2805"/>
      <c r="QTG79" s="2805"/>
      <c r="QTH79" s="2805"/>
      <c r="QTI79" s="2805"/>
      <c r="QTJ79" s="2805"/>
      <c r="QTK79" s="2805"/>
      <c r="QTL79" s="2805"/>
      <c r="QTM79" s="2805"/>
      <c r="QTN79" s="2805"/>
      <c r="QTO79" s="2805"/>
      <c r="QTP79" s="2805"/>
      <c r="QTQ79" s="2805"/>
      <c r="QTR79" s="2805"/>
      <c r="QTS79" s="2805"/>
      <c r="QTT79" s="2805"/>
      <c r="QTU79" s="2805"/>
      <c r="QTV79" s="2805"/>
      <c r="QTW79" s="2805"/>
      <c r="QTX79" s="2805"/>
      <c r="QTY79" s="2805"/>
      <c r="QTZ79" s="2805"/>
      <c r="QUA79" s="2805"/>
      <c r="QUB79" s="2805"/>
      <c r="QUC79" s="2805"/>
      <c r="QUD79" s="2805"/>
      <c r="QUE79" s="2805"/>
      <c r="QUF79" s="2805"/>
      <c r="QUG79" s="2805"/>
      <c r="QUH79" s="2805"/>
      <c r="QUI79" s="2805"/>
      <c r="QUJ79" s="2805"/>
      <c r="QUK79" s="2805"/>
      <c r="QUL79" s="2805"/>
      <c r="QUM79" s="2805"/>
      <c r="QUN79" s="2805"/>
      <c r="QUO79" s="2805"/>
      <c r="QUP79" s="2805"/>
      <c r="QUQ79" s="2805"/>
      <c r="QUR79" s="2805"/>
      <c r="QUS79" s="2805"/>
      <c r="QUT79" s="2805"/>
      <c r="QUU79" s="2805"/>
      <c r="QUV79" s="2805"/>
      <c r="QUW79" s="2805"/>
      <c r="QUX79" s="2805"/>
      <c r="QUY79" s="2805"/>
      <c r="QUZ79" s="2805"/>
      <c r="QVA79" s="2805"/>
      <c r="QVB79" s="2805"/>
      <c r="QVC79" s="2805"/>
      <c r="QVD79" s="2805"/>
      <c r="QVE79" s="2805"/>
      <c r="QVF79" s="2805"/>
      <c r="QVG79" s="2805"/>
      <c r="QVH79" s="2805"/>
      <c r="QVI79" s="2805"/>
      <c r="QVJ79" s="2805"/>
      <c r="QVK79" s="2805"/>
      <c r="QVL79" s="2805"/>
      <c r="QVM79" s="2805"/>
      <c r="QVN79" s="2805"/>
      <c r="QVO79" s="2805"/>
      <c r="QVP79" s="2805"/>
      <c r="QVQ79" s="2805"/>
      <c r="QVR79" s="2805"/>
      <c r="QVS79" s="2805"/>
      <c r="QVT79" s="2805"/>
      <c r="QVU79" s="2805"/>
      <c r="QVV79" s="2805"/>
      <c r="QVW79" s="2805"/>
      <c r="QVX79" s="2805"/>
      <c r="QVY79" s="2805"/>
      <c r="QVZ79" s="2805"/>
      <c r="QWA79" s="2805"/>
      <c r="QWB79" s="2805"/>
      <c r="QWC79" s="2805"/>
      <c r="QWD79" s="2805"/>
      <c r="QWE79" s="2805"/>
      <c r="QWF79" s="2805"/>
      <c r="QWG79" s="2805"/>
      <c r="QWH79" s="2805"/>
      <c r="QWI79" s="2805"/>
      <c r="QWJ79" s="2805"/>
      <c r="QWK79" s="2805"/>
      <c r="QWL79" s="2805"/>
      <c r="QWM79" s="2805"/>
      <c r="QWN79" s="2805"/>
      <c r="QWO79" s="2805"/>
      <c r="QWP79" s="2805"/>
      <c r="QWQ79" s="2805"/>
      <c r="QWR79" s="2805"/>
      <c r="QWS79" s="2805"/>
      <c r="QWT79" s="2805"/>
      <c r="QWU79" s="2805"/>
      <c r="QWV79" s="2805"/>
      <c r="QWW79" s="2805"/>
      <c r="QWX79" s="2805"/>
      <c r="QWY79" s="2805"/>
      <c r="QWZ79" s="2805"/>
      <c r="QXA79" s="2805"/>
      <c r="QXB79" s="2805"/>
      <c r="QXC79" s="2805"/>
      <c r="QXD79" s="2805"/>
      <c r="QXE79" s="2805"/>
      <c r="QXF79" s="2805"/>
      <c r="QXG79" s="2805"/>
      <c r="QXH79" s="2805"/>
      <c r="QXI79" s="2805"/>
      <c r="QXJ79" s="2805"/>
      <c r="QXK79" s="2805"/>
      <c r="QXL79" s="2805"/>
      <c r="QXM79" s="2805"/>
      <c r="QXN79" s="2805"/>
      <c r="QXO79" s="2805"/>
      <c r="QXP79" s="2805"/>
      <c r="QXQ79" s="2805"/>
      <c r="QXR79" s="2805"/>
      <c r="QXS79" s="2805"/>
      <c r="QXT79" s="2805"/>
      <c r="QXU79" s="2805"/>
      <c r="QXV79" s="2805"/>
      <c r="QXW79" s="2805"/>
      <c r="QXX79" s="2805"/>
      <c r="QXY79" s="2805"/>
      <c r="QXZ79" s="2805"/>
      <c r="QYA79" s="2805"/>
      <c r="QYB79" s="2805"/>
      <c r="QYC79" s="2805"/>
      <c r="QYD79" s="2805"/>
      <c r="QYE79" s="2805"/>
      <c r="QYF79" s="2805"/>
      <c r="QYG79" s="2805"/>
      <c r="QYH79" s="2805"/>
      <c r="QYI79" s="2805"/>
      <c r="QYJ79" s="2805"/>
      <c r="QYK79" s="2805"/>
      <c r="QYL79" s="2805"/>
      <c r="QYM79" s="2805"/>
      <c r="QYN79" s="2805"/>
      <c r="QYO79" s="2805"/>
      <c r="QYP79" s="2805"/>
      <c r="QYQ79" s="2805"/>
      <c r="QYR79" s="2805"/>
      <c r="QYS79" s="2805"/>
      <c r="QYT79" s="2805"/>
      <c r="QYU79" s="2805"/>
      <c r="QYV79" s="2805"/>
      <c r="QYW79" s="2805"/>
      <c r="QYX79" s="2805"/>
      <c r="QYY79" s="2805"/>
      <c r="QYZ79" s="2805"/>
      <c r="QZA79" s="2805"/>
      <c r="QZB79" s="2805"/>
      <c r="QZC79" s="2805"/>
      <c r="QZD79" s="2805"/>
      <c r="QZE79" s="2805"/>
      <c r="QZF79" s="2805"/>
      <c r="QZG79" s="2805"/>
      <c r="QZH79" s="2805"/>
      <c r="QZI79" s="2805"/>
      <c r="QZJ79" s="2805"/>
      <c r="QZK79" s="2805"/>
      <c r="QZL79" s="2805"/>
      <c r="QZM79" s="2805"/>
      <c r="QZN79" s="2805"/>
      <c r="QZO79" s="2805"/>
      <c r="QZP79" s="2805"/>
      <c r="QZQ79" s="2805"/>
      <c r="QZR79" s="2805"/>
      <c r="QZS79" s="2805"/>
      <c r="QZT79" s="2805"/>
      <c r="QZU79" s="2805"/>
      <c r="QZV79" s="2805"/>
      <c r="QZW79" s="2805"/>
      <c r="QZX79" s="2805"/>
      <c r="QZY79" s="2805"/>
      <c r="QZZ79" s="2805"/>
      <c r="RAA79" s="2805"/>
      <c r="RAB79" s="2805"/>
      <c r="RAC79" s="2805"/>
      <c r="RAD79" s="2805"/>
      <c r="RAE79" s="2805"/>
      <c r="RAF79" s="2805"/>
      <c r="RAG79" s="2805"/>
      <c r="RAH79" s="2805"/>
      <c r="RAI79" s="2805"/>
      <c r="RAJ79" s="2805"/>
      <c r="RAK79" s="2805"/>
      <c r="RAL79" s="2805"/>
      <c r="RAM79" s="2805"/>
      <c r="RAN79" s="2805"/>
      <c r="RAO79" s="2805"/>
      <c r="RAP79" s="2805"/>
      <c r="RAQ79" s="2805"/>
      <c r="RAR79" s="2805"/>
      <c r="RAS79" s="2805"/>
      <c r="RAT79" s="2805"/>
      <c r="RAU79" s="2805"/>
      <c r="RAV79" s="2805"/>
      <c r="RAW79" s="2805"/>
      <c r="RAX79" s="2805"/>
      <c r="RAY79" s="2805"/>
      <c r="RAZ79" s="2805"/>
      <c r="RBA79" s="2805"/>
      <c r="RBB79" s="2805"/>
      <c r="RBC79" s="2805"/>
      <c r="RBD79" s="2805"/>
      <c r="RBE79" s="2805"/>
      <c r="RBF79" s="2805"/>
      <c r="RBG79" s="2805"/>
      <c r="RBH79" s="2805"/>
      <c r="RBI79" s="2805"/>
      <c r="RBJ79" s="2805"/>
      <c r="RBK79" s="2805"/>
      <c r="RBL79" s="2805"/>
      <c r="RBM79" s="2805"/>
      <c r="RBN79" s="2805"/>
      <c r="RBO79" s="2805"/>
      <c r="RBP79" s="2805"/>
      <c r="RBQ79" s="2805"/>
      <c r="RBR79" s="2805"/>
      <c r="RBS79" s="2805"/>
      <c r="RBT79" s="2805"/>
      <c r="RBU79" s="2805"/>
      <c r="RBV79" s="2805"/>
      <c r="RBW79" s="2805"/>
      <c r="RBX79" s="2805"/>
      <c r="RBY79" s="2805"/>
      <c r="RBZ79" s="2805"/>
      <c r="RCA79" s="2805"/>
      <c r="RCB79" s="2805"/>
      <c r="RCC79" s="2805"/>
      <c r="RCD79" s="2805"/>
      <c r="RCE79" s="2805"/>
      <c r="RCF79" s="2805"/>
      <c r="RCG79" s="2805"/>
      <c r="RCH79" s="2805"/>
      <c r="RCI79" s="2805"/>
      <c r="RCJ79" s="2805"/>
      <c r="RCK79" s="2805"/>
      <c r="RCL79" s="2805"/>
      <c r="RCM79" s="2805"/>
      <c r="RCN79" s="2805"/>
      <c r="RCO79" s="2805"/>
      <c r="RCP79" s="2805"/>
      <c r="RCQ79" s="2805"/>
      <c r="RCR79" s="2805"/>
      <c r="RCS79" s="2805"/>
      <c r="RCT79" s="2805"/>
      <c r="RCU79" s="2805"/>
      <c r="RCV79" s="2805"/>
      <c r="RCW79" s="2805"/>
      <c r="RCX79" s="2805"/>
      <c r="RCY79" s="2805"/>
      <c r="RCZ79" s="2805"/>
      <c r="RDA79" s="2805"/>
      <c r="RDB79" s="2805"/>
      <c r="RDC79" s="2805"/>
      <c r="RDD79" s="2805"/>
      <c r="RDE79" s="2805"/>
      <c r="RDF79" s="2805"/>
      <c r="RDG79" s="2805"/>
      <c r="RDH79" s="2805"/>
      <c r="RDI79" s="2805"/>
      <c r="RDJ79" s="2805"/>
      <c r="RDK79" s="2805"/>
      <c r="RDL79" s="2805"/>
      <c r="RDM79" s="2805"/>
      <c r="RDN79" s="2805"/>
      <c r="RDO79" s="2805"/>
      <c r="RDP79" s="2805"/>
      <c r="RDQ79" s="2805"/>
      <c r="RDR79" s="2805"/>
      <c r="RDS79" s="2805"/>
      <c r="RDT79" s="2805"/>
      <c r="RDU79" s="2805"/>
      <c r="RDV79" s="2805"/>
      <c r="RDW79" s="2805"/>
      <c r="RDX79" s="2805"/>
      <c r="RDY79" s="2805"/>
      <c r="RDZ79" s="2805"/>
      <c r="REA79" s="2805"/>
      <c r="REB79" s="2805"/>
      <c r="REC79" s="2805"/>
      <c r="RED79" s="2805"/>
      <c r="REE79" s="2805"/>
      <c r="REF79" s="2805"/>
      <c r="REG79" s="2805"/>
      <c r="REH79" s="2805"/>
      <c r="REI79" s="2805"/>
      <c r="REJ79" s="2805"/>
      <c r="REK79" s="2805"/>
      <c r="REL79" s="2805"/>
      <c r="REM79" s="2805"/>
      <c r="REN79" s="2805"/>
      <c r="REO79" s="2805"/>
      <c r="REP79" s="2805"/>
      <c r="REQ79" s="2805"/>
      <c r="RER79" s="2805"/>
      <c r="RES79" s="2805"/>
      <c r="RET79" s="2805"/>
      <c r="REU79" s="2805"/>
      <c r="REV79" s="2805"/>
      <c r="REW79" s="2805"/>
      <c r="REX79" s="2805"/>
      <c r="REY79" s="2805"/>
      <c r="REZ79" s="2805"/>
      <c r="RFA79" s="2805"/>
      <c r="RFB79" s="2805"/>
      <c r="RFC79" s="2805"/>
      <c r="RFD79" s="2805"/>
      <c r="RFE79" s="2805"/>
      <c r="RFF79" s="2805"/>
      <c r="RFG79" s="2805"/>
      <c r="RFH79" s="2805"/>
      <c r="RFI79" s="2805"/>
      <c r="RFJ79" s="2805"/>
      <c r="RFK79" s="2805"/>
      <c r="RFL79" s="2805"/>
      <c r="RFM79" s="2805"/>
      <c r="RFN79" s="2805"/>
      <c r="RFO79" s="2805"/>
      <c r="RFP79" s="2805"/>
      <c r="RFQ79" s="2805"/>
      <c r="RFR79" s="2805"/>
      <c r="RFS79" s="2805"/>
      <c r="RFT79" s="2805"/>
      <c r="RFU79" s="2805"/>
      <c r="RFV79" s="2805"/>
      <c r="RFW79" s="2805"/>
      <c r="RFX79" s="2805"/>
      <c r="RFY79" s="2805"/>
      <c r="RFZ79" s="2805"/>
      <c r="RGA79" s="2805"/>
      <c r="RGB79" s="2805"/>
      <c r="RGC79" s="2805"/>
      <c r="RGD79" s="2805"/>
      <c r="RGE79" s="2805"/>
      <c r="RGF79" s="2805"/>
      <c r="RGG79" s="2805"/>
      <c r="RGH79" s="2805"/>
      <c r="RGI79" s="2805"/>
      <c r="RGJ79" s="2805"/>
      <c r="RGK79" s="2805"/>
      <c r="RGL79" s="2805"/>
      <c r="RGM79" s="2805"/>
      <c r="RGN79" s="2805"/>
      <c r="RGO79" s="2805"/>
      <c r="RGP79" s="2805"/>
      <c r="RGQ79" s="2805"/>
      <c r="RGR79" s="2805"/>
      <c r="RGS79" s="2805"/>
      <c r="RGT79" s="2805"/>
      <c r="RGU79" s="2805"/>
      <c r="RGV79" s="2805"/>
      <c r="RGW79" s="2805"/>
      <c r="RGX79" s="2805"/>
      <c r="RGY79" s="2805"/>
      <c r="RGZ79" s="2805"/>
      <c r="RHA79" s="2805"/>
      <c r="RHB79" s="2805"/>
      <c r="RHC79" s="2805"/>
      <c r="RHD79" s="2805"/>
      <c r="RHE79" s="2805"/>
      <c r="RHF79" s="2805"/>
      <c r="RHG79" s="2805"/>
      <c r="RHH79" s="2805"/>
      <c r="RHI79" s="2805"/>
      <c r="RHJ79" s="2805"/>
      <c r="RHK79" s="2805"/>
      <c r="RHL79" s="2805"/>
      <c r="RHM79" s="2805"/>
      <c r="RHN79" s="2805"/>
      <c r="RHO79" s="2805"/>
      <c r="RHP79" s="2805"/>
      <c r="RHQ79" s="2805"/>
      <c r="RHR79" s="2805"/>
      <c r="RHS79" s="2805"/>
      <c r="RHT79" s="2805"/>
      <c r="RHU79" s="2805"/>
      <c r="RHV79" s="2805"/>
      <c r="RHW79" s="2805"/>
      <c r="RHX79" s="2805"/>
      <c r="RHY79" s="2805"/>
      <c r="RHZ79" s="2805"/>
      <c r="RIA79" s="2805"/>
      <c r="RIB79" s="2805"/>
      <c r="RIC79" s="2805"/>
      <c r="RID79" s="2805"/>
      <c r="RIE79" s="2805"/>
      <c r="RIF79" s="2805"/>
      <c r="RIG79" s="2805"/>
      <c r="RIH79" s="2805"/>
      <c r="RII79" s="2805"/>
      <c r="RIJ79" s="2805"/>
      <c r="RIK79" s="2805"/>
      <c r="RIL79" s="2805"/>
      <c r="RIM79" s="2805"/>
      <c r="RIN79" s="2805"/>
      <c r="RIO79" s="2805"/>
      <c r="RIP79" s="2805"/>
      <c r="RIQ79" s="2805"/>
      <c r="RIR79" s="2805"/>
      <c r="RIS79" s="2805"/>
      <c r="RIT79" s="2805"/>
      <c r="RIU79" s="2805"/>
      <c r="RIV79" s="2805"/>
      <c r="RIW79" s="2805"/>
      <c r="RIX79" s="2805"/>
      <c r="RIY79" s="2805"/>
      <c r="RIZ79" s="2805"/>
      <c r="RJA79" s="2805"/>
      <c r="RJB79" s="2805"/>
      <c r="RJC79" s="2805"/>
      <c r="RJD79" s="2805"/>
      <c r="RJE79" s="2805"/>
      <c r="RJF79" s="2805"/>
      <c r="RJG79" s="2805"/>
      <c r="RJH79" s="2805"/>
      <c r="RJI79" s="2805"/>
      <c r="RJJ79" s="2805"/>
      <c r="RJK79" s="2805"/>
      <c r="RJL79" s="2805"/>
      <c r="RJM79" s="2805"/>
      <c r="RJN79" s="2805"/>
      <c r="RJO79" s="2805"/>
      <c r="RJP79" s="2805"/>
      <c r="RJQ79" s="2805"/>
      <c r="RJR79" s="2805"/>
      <c r="RJS79" s="2805"/>
      <c r="RJT79" s="2805"/>
      <c r="RJU79" s="2805"/>
      <c r="RJV79" s="2805"/>
      <c r="RJW79" s="2805"/>
      <c r="RJX79" s="2805"/>
      <c r="RJY79" s="2805"/>
      <c r="RJZ79" s="2805"/>
      <c r="RKA79" s="2805"/>
      <c r="RKB79" s="2805"/>
      <c r="RKC79" s="2805"/>
      <c r="RKD79" s="2805"/>
      <c r="RKE79" s="2805"/>
      <c r="RKF79" s="2805"/>
      <c r="RKG79" s="2805"/>
      <c r="RKH79" s="2805"/>
      <c r="RKI79" s="2805"/>
      <c r="RKJ79" s="2805"/>
      <c r="RKK79" s="2805"/>
      <c r="RKL79" s="2805"/>
      <c r="RKM79" s="2805"/>
      <c r="RKN79" s="2805"/>
      <c r="RKO79" s="2805"/>
      <c r="RKP79" s="2805"/>
      <c r="RKQ79" s="2805"/>
      <c r="RKR79" s="2805"/>
      <c r="RKS79" s="2805"/>
      <c r="RKT79" s="2805"/>
      <c r="RKU79" s="2805"/>
      <c r="RKV79" s="2805"/>
      <c r="RKW79" s="2805"/>
      <c r="RKX79" s="2805"/>
      <c r="RKY79" s="2805"/>
      <c r="RKZ79" s="2805"/>
      <c r="RLA79" s="2805"/>
      <c r="RLB79" s="2805"/>
      <c r="RLC79" s="2805"/>
      <c r="RLD79" s="2805"/>
      <c r="RLE79" s="2805"/>
      <c r="RLF79" s="2805"/>
      <c r="RLG79" s="2805"/>
      <c r="RLH79" s="2805"/>
      <c r="RLI79" s="2805"/>
      <c r="RLJ79" s="2805"/>
      <c r="RLK79" s="2805"/>
      <c r="RLL79" s="2805"/>
      <c r="RLM79" s="2805"/>
      <c r="RLN79" s="2805"/>
      <c r="RLO79" s="2805"/>
      <c r="RLP79" s="2805"/>
      <c r="RLQ79" s="2805"/>
      <c r="RLR79" s="2805"/>
      <c r="RLS79" s="2805"/>
      <c r="RLT79" s="2805"/>
      <c r="RLU79" s="2805"/>
      <c r="RLV79" s="2805"/>
      <c r="RLW79" s="2805"/>
      <c r="RLX79" s="2805"/>
      <c r="RLY79" s="2805"/>
      <c r="RLZ79" s="2805"/>
      <c r="RMA79" s="2805"/>
      <c r="RMB79" s="2805"/>
      <c r="RMC79" s="2805"/>
      <c r="RMD79" s="2805"/>
      <c r="RME79" s="2805"/>
      <c r="RMF79" s="2805"/>
      <c r="RMG79" s="2805"/>
      <c r="RMH79" s="2805"/>
      <c r="RMI79" s="2805"/>
      <c r="RMJ79" s="2805"/>
      <c r="RMK79" s="2805"/>
      <c r="RML79" s="2805"/>
      <c r="RMM79" s="2805"/>
      <c r="RMN79" s="2805"/>
      <c r="RMO79" s="2805"/>
      <c r="RMP79" s="2805"/>
      <c r="RMQ79" s="2805"/>
      <c r="RMR79" s="2805"/>
      <c r="RMS79" s="2805"/>
      <c r="RMT79" s="2805"/>
      <c r="RMU79" s="2805"/>
      <c r="RMV79" s="2805"/>
      <c r="RMW79" s="2805"/>
      <c r="RMX79" s="2805"/>
      <c r="RMY79" s="2805"/>
      <c r="RMZ79" s="2805"/>
      <c r="RNA79" s="2805"/>
      <c r="RNB79" s="2805"/>
      <c r="RNC79" s="2805"/>
      <c r="RND79" s="2805"/>
      <c r="RNE79" s="2805"/>
      <c r="RNF79" s="2805"/>
      <c r="RNG79" s="2805"/>
      <c r="RNH79" s="2805"/>
      <c r="RNI79" s="2805"/>
      <c r="RNJ79" s="2805"/>
      <c r="RNK79" s="2805"/>
      <c r="RNL79" s="2805"/>
      <c r="RNM79" s="2805"/>
      <c r="RNN79" s="2805"/>
      <c r="RNO79" s="2805"/>
      <c r="RNP79" s="2805"/>
      <c r="RNQ79" s="2805"/>
      <c r="RNR79" s="2805"/>
      <c r="RNS79" s="2805"/>
      <c r="RNT79" s="2805"/>
      <c r="RNU79" s="2805"/>
      <c r="RNV79" s="2805"/>
      <c r="RNW79" s="2805"/>
      <c r="RNX79" s="2805"/>
      <c r="RNY79" s="2805"/>
      <c r="RNZ79" s="2805"/>
      <c r="ROA79" s="2805"/>
      <c r="ROB79" s="2805"/>
      <c r="ROC79" s="2805"/>
      <c r="ROD79" s="2805"/>
      <c r="ROE79" s="2805"/>
      <c r="ROF79" s="2805"/>
      <c r="ROG79" s="2805"/>
      <c r="ROH79" s="2805"/>
      <c r="ROI79" s="2805"/>
      <c r="ROJ79" s="2805"/>
      <c r="ROK79" s="2805"/>
      <c r="ROL79" s="2805"/>
      <c r="ROM79" s="2805"/>
      <c r="RON79" s="2805"/>
      <c r="ROO79" s="2805"/>
      <c r="ROP79" s="2805"/>
      <c r="ROQ79" s="2805"/>
      <c r="ROR79" s="2805"/>
      <c r="ROS79" s="2805"/>
      <c r="ROT79" s="2805"/>
      <c r="ROU79" s="2805"/>
      <c r="ROV79" s="2805"/>
      <c r="ROW79" s="2805"/>
      <c r="ROX79" s="2805"/>
      <c r="ROY79" s="2805"/>
      <c r="ROZ79" s="2805"/>
      <c r="RPA79" s="2805"/>
      <c r="RPB79" s="2805"/>
      <c r="RPC79" s="2805"/>
      <c r="RPD79" s="2805"/>
      <c r="RPE79" s="2805"/>
      <c r="RPF79" s="2805"/>
      <c r="RPG79" s="2805"/>
      <c r="RPH79" s="2805"/>
      <c r="RPI79" s="2805"/>
      <c r="RPJ79" s="2805"/>
      <c r="RPK79" s="2805"/>
      <c r="RPL79" s="2805"/>
      <c r="RPM79" s="2805"/>
      <c r="RPN79" s="2805"/>
      <c r="RPO79" s="2805"/>
      <c r="RPP79" s="2805"/>
      <c r="RPQ79" s="2805"/>
      <c r="RPR79" s="2805"/>
      <c r="RPS79" s="2805"/>
      <c r="RPT79" s="2805"/>
      <c r="RPU79" s="2805"/>
      <c r="RPV79" s="2805"/>
      <c r="RPW79" s="2805"/>
      <c r="RPX79" s="2805"/>
      <c r="RPY79" s="2805"/>
      <c r="RPZ79" s="2805"/>
      <c r="RQA79" s="2805"/>
      <c r="RQB79" s="2805"/>
      <c r="RQC79" s="2805"/>
      <c r="RQD79" s="2805"/>
      <c r="RQE79" s="2805"/>
      <c r="RQF79" s="2805"/>
      <c r="RQG79" s="2805"/>
      <c r="RQH79" s="2805"/>
      <c r="RQI79" s="2805"/>
      <c r="RQJ79" s="2805"/>
      <c r="RQK79" s="2805"/>
      <c r="RQL79" s="2805"/>
      <c r="RQM79" s="2805"/>
      <c r="RQN79" s="2805"/>
      <c r="RQO79" s="2805"/>
      <c r="RQP79" s="2805"/>
      <c r="RQQ79" s="2805"/>
      <c r="RQR79" s="2805"/>
      <c r="RQS79" s="2805"/>
      <c r="RQT79" s="2805"/>
      <c r="RQU79" s="2805"/>
      <c r="RQV79" s="2805"/>
      <c r="RQW79" s="2805"/>
      <c r="RQX79" s="2805"/>
      <c r="RQY79" s="2805"/>
      <c r="RQZ79" s="2805"/>
      <c r="RRA79" s="2805"/>
      <c r="RRB79" s="2805"/>
      <c r="RRC79" s="2805"/>
      <c r="RRD79" s="2805"/>
      <c r="RRE79" s="2805"/>
      <c r="RRF79" s="2805"/>
      <c r="RRG79" s="2805"/>
      <c r="RRH79" s="2805"/>
      <c r="RRI79" s="2805"/>
      <c r="RRJ79" s="2805"/>
      <c r="RRK79" s="2805"/>
      <c r="RRL79" s="2805"/>
      <c r="RRM79" s="2805"/>
      <c r="RRN79" s="2805"/>
      <c r="RRO79" s="2805"/>
      <c r="RRP79" s="2805"/>
      <c r="RRQ79" s="2805"/>
      <c r="RRR79" s="2805"/>
      <c r="RRS79" s="2805"/>
      <c r="RRT79" s="2805"/>
      <c r="RRU79" s="2805"/>
      <c r="RRV79" s="2805"/>
      <c r="RRW79" s="2805"/>
      <c r="RRX79" s="2805"/>
      <c r="RRY79" s="2805"/>
      <c r="RRZ79" s="2805"/>
      <c r="RSA79" s="2805"/>
      <c r="RSB79" s="2805"/>
      <c r="RSC79" s="2805"/>
      <c r="RSD79" s="2805"/>
      <c r="RSE79" s="2805"/>
      <c r="RSF79" s="2805"/>
      <c r="RSG79" s="2805"/>
      <c r="RSH79" s="2805"/>
      <c r="RSI79" s="2805"/>
      <c r="RSJ79" s="2805"/>
      <c r="RSK79" s="2805"/>
      <c r="RSL79" s="2805"/>
      <c r="RSM79" s="2805"/>
      <c r="RSN79" s="2805"/>
      <c r="RSO79" s="2805"/>
      <c r="RSP79" s="2805"/>
      <c r="RSQ79" s="2805"/>
      <c r="RSR79" s="2805"/>
      <c r="RSS79" s="2805"/>
      <c r="RST79" s="2805"/>
      <c r="RSU79" s="2805"/>
      <c r="RSV79" s="2805"/>
      <c r="RSW79" s="2805"/>
      <c r="RSX79" s="2805"/>
      <c r="RSY79" s="2805"/>
      <c r="RSZ79" s="2805"/>
      <c r="RTA79" s="2805"/>
      <c r="RTB79" s="2805"/>
      <c r="RTC79" s="2805"/>
      <c r="RTD79" s="2805"/>
      <c r="RTE79" s="2805"/>
      <c r="RTF79" s="2805"/>
      <c r="RTG79" s="2805"/>
      <c r="RTH79" s="2805"/>
      <c r="RTI79" s="2805"/>
      <c r="RTJ79" s="2805"/>
      <c r="RTK79" s="2805"/>
      <c r="RTL79" s="2805"/>
      <c r="RTM79" s="2805"/>
      <c r="RTN79" s="2805"/>
      <c r="RTO79" s="2805"/>
      <c r="RTP79" s="2805"/>
      <c r="RTQ79" s="2805"/>
      <c r="RTR79" s="2805"/>
      <c r="RTS79" s="2805"/>
      <c r="RTT79" s="2805"/>
      <c r="RTU79" s="2805"/>
      <c r="RTV79" s="2805"/>
      <c r="RTW79" s="2805"/>
      <c r="RTX79" s="2805"/>
      <c r="RTY79" s="2805"/>
      <c r="RTZ79" s="2805"/>
      <c r="RUA79" s="2805"/>
      <c r="RUB79" s="2805"/>
      <c r="RUC79" s="2805"/>
      <c r="RUD79" s="2805"/>
      <c r="RUE79" s="2805"/>
      <c r="RUF79" s="2805"/>
      <c r="RUG79" s="2805"/>
      <c r="RUH79" s="2805"/>
      <c r="RUI79" s="2805"/>
      <c r="RUJ79" s="2805"/>
      <c r="RUK79" s="2805"/>
      <c r="RUL79" s="2805"/>
      <c r="RUM79" s="2805"/>
      <c r="RUN79" s="2805"/>
      <c r="RUO79" s="2805"/>
      <c r="RUP79" s="2805"/>
      <c r="RUQ79" s="2805"/>
      <c r="RUR79" s="2805"/>
      <c r="RUS79" s="2805"/>
      <c r="RUT79" s="2805"/>
      <c r="RUU79" s="2805"/>
      <c r="RUV79" s="2805"/>
      <c r="RUW79" s="2805"/>
      <c r="RUX79" s="2805"/>
      <c r="RUY79" s="2805"/>
      <c r="RUZ79" s="2805"/>
      <c r="RVA79" s="2805"/>
      <c r="RVB79" s="2805"/>
      <c r="RVC79" s="2805"/>
      <c r="RVD79" s="2805"/>
      <c r="RVE79" s="2805"/>
      <c r="RVF79" s="2805"/>
      <c r="RVG79" s="2805"/>
      <c r="RVH79" s="2805"/>
      <c r="RVI79" s="2805"/>
      <c r="RVJ79" s="2805"/>
      <c r="RVK79" s="2805"/>
      <c r="RVL79" s="2805"/>
      <c r="RVM79" s="2805"/>
      <c r="RVN79" s="2805"/>
      <c r="RVO79" s="2805"/>
      <c r="RVP79" s="2805"/>
      <c r="RVQ79" s="2805"/>
      <c r="RVR79" s="2805"/>
      <c r="RVS79" s="2805"/>
      <c r="RVT79" s="2805"/>
      <c r="RVU79" s="2805"/>
      <c r="RVV79" s="2805"/>
      <c r="RVW79" s="2805"/>
      <c r="RVX79" s="2805"/>
      <c r="RVY79" s="2805"/>
      <c r="RVZ79" s="2805"/>
      <c r="RWA79" s="2805"/>
      <c r="RWB79" s="2805"/>
      <c r="RWC79" s="2805"/>
      <c r="RWD79" s="2805"/>
      <c r="RWE79" s="2805"/>
      <c r="RWF79" s="2805"/>
      <c r="RWG79" s="2805"/>
      <c r="RWH79" s="2805"/>
      <c r="RWI79" s="2805"/>
      <c r="RWJ79" s="2805"/>
      <c r="RWK79" s="2805"/>
      <c r="RWL79" s="2805"/>
      <c r="RWM79" s="2805"/>
      <c r="RWN79" s="2805"/>
      <c r="RWO79" s="2805"/>
      <c r="RWP79" s="2805"/>
      <c r="RWQ79" s="2805"/>
      <c r="RWR79" s="2805"/>
      <c r="RWS79" s="2805"/>
      <c r="RWT79" s="2805"/>
      <c r="RWU79" s="2805"/>
      <c r="RWV79" s="2805"/>
      <c r="RWW79" s="2805"/>
      <c r="RWX79" s="2805"/>
      <c r="RWY79" s="2805"/>
      <c r="RWZ79" s="2805"/>
      <c r="RXA79" s="2805"/>
      <c r="RXB79" s="2805"/>
      <c r="RXC79" s="2805"/>
      <c r="RXD79" s="2805"/>
      <c r="RXE79" s="2805"/>
      <c r="RXF79" s="2805"/>
      <c r="RXG79" s="2805"/>
      <c r="RXH79" s="2805"/>
      <c r="RXI79" s="2805"/>
      <c r="RXJ79" s="2805"/>
      <c r="RXK79" s="2805"/>
      <c r="RXL79" s="2805"/>
      <c r="RXM79" s="2805"/>
      <c r="RXN79" s="2805"/>
      <c r="RXO79" s="2805"/>
      <c r="RXP79" s="2805"/>
      <c r="RXQ79" s="2805"/>
      <c r="RXR79" s="2805"/>
      <c r="RXS79" s="2805"/>
      <c r="RXT79" s="2805"/>
      <c r="RXU79" s="2805"/>
      <c r="RXV79" s="2805"/>
      <c r="RXW79" s="2805"/>
      <c r="RXX79" s="2805"/>
      <c r="RXY79" s="2805"/>
      <c r="RXZ79" s="2805"/>
      <c r="RYA79" s="2805"/>
      <c r="RYB79" s="2805"/>
      <c r="RYC79" s="2805"/>
      <c r="RYD79" s="2805"/>
      <c r="RYE79" s="2805"/>
      <c r="RYF79" s="2805"/>
      <c r="RYG79" s="2805"/>
      <c r="RYH79" s="2805"/>
      <c r="RYI79" s="2805"/>
      <c r="RYJ79" s="2805"/>
      <c r="RYK79" s="2805"/>
      <c r="RYL79" s="2805"/>
      <c r="RYM79" s="2805"/>
      <c r="RYN79" s="2805"/>
      <c r="RYO79" s="2805"/>
      <c r="RYP79" s="2805"/>
      <c r="RYQ79" s="2805"/>
      <c r="RYR79" s="2805"/>
      <c r="RYS79" s="2805"/>
      <c r="RYT79" s="2805"/>
      <c r="RYU79" s="2805"/>
      <c r="RYV79" s="2805"/>
      <c r="RYW79" s="2805"/>
      <c r="RYX79" s="2805"/>
      <c r="RYY79" s="2805"/>
      <c r="RYZ79" s="2805"/>
      <c r="RZA79" s="2805"/>
      <c r="RZB79" s="2805"/>
      <c r="RZC79" s="2805"/>
      <c r="RZD79" s="2805"/>
      <c r="RZE79" s="2805"/>
      <c r="RZF79" s="2805"/>
      <c r="RZG79" s="2805"/>
      <c r="RZH79" s="2805"/>
      <c r="RZI79" s="2805"/>
      <c r="RZJ79" s="2805"/>
      <c r="RZK79" s="2805"/>
      <c r="RZL79" s="2805"/>
      <c r="RZM79" s="2805"/>
      <c r="RZN79" s="2805"/>
      <c r="RZO79" s="2805"/>
      <c r="RZP79" s="2805"/>
      <c r="RZQ79" s="2805"/>
      <c r="RZR79" s="2805"/>
      <c r="RZS79" s="2805"/>
      <c r="RZT79" s="2805"/>
      <c r="RZU79" s="2805"/>
      <c r="RZV79" s="2805"/>
      <c r="RZW79" s="2805"/>
      <c r="RZX79" s="2805"/>
      <c r="RZY79" s="2805"/>
      <c r="RZZ79" s="2805"/>
      <c r="SAA79" s="2805"/>
      <c r="SAB79" s="2805"/>
      <c r="SAC79" s="2805"/>
      <c r="SAD79" s="2805"/>
      <c r="SAE79" s="2805"/>
      <c r="SAF79" s="2805"/>
      <c r="SAG79" s="2805"/>
      <c r="SAH79" s="2805"/>
      <c r="SAI79" s="2805"/>
      <c r="SAJ79" s="2805"/>
      <c r="SAK79" s="2805"/>
      <c r="SAL79" s="2805"/>
      <c r="SAM79" s="2805"/>
      <c r="SAN79" s="2805"/>
      <c r="SAO79" s="2805"/>
      <c r="SAP79" s="2805"/>
      <c r="SAQ79" s="2805"/>
      <c r="SAR79" s="2805"/>
      <c r="SAS79" s="2805"/>
      <c r="SAT79" s="2805"/>
      <c r="SAU79" s="2805"/>
      <c r="SAV79" s="2805"/>
      <c r="SAW79" s="2805"/>
      <c r="SAX79" s="2805"/>
      <c r="SAY79" s="2805"/>
      <c r="SAZ79" s="2805"/>
      <c r="SBA79" s="2805"/>
      <c r="SBB79" s="2805"/>
      <c r="SBC79" s="2805"/>
      <c r="SBD79" s="2805"/>
      <c r="SBE79" s="2805"/>
      <c r="SBF79" s="2805"/>
      <c r="SBG79" s="2805"/>
      <c r="SBH79" s="2805"/>
      <c r="SBI79" s="2805"/>
      <c r="SBJ79" s="2805"/>
      <c r="SBK79" s="2805"/>
      <c r="SBL79" s="2805"/>
      <c r="SBM79" s="2805"/>
      <c r="SBN79" s="2805"/>
      <c r="SBO79" s="2805"/>
      <c r="SBP79" s="2805"/>
      <c r="SBQ79" s="2805"/>
      <c r="SBR79" s="2805"/>
      <c r="SBS79" s="2805"/>
      <c r="SBT79" s="2805"/>
      <c r="SBU79" s="2805"/>
      <c r="SBV79" s="2805"/>
      <c r="SBW79" s="2805"/>
      <c r="SBX79" s="2805"/>
      <c r="SBY79" s="2805"/>
      <c r="SBZ79" s="2805"/>
      <c r="SCA79" s="2805"/>
      <c r="SCB79" s="2805"/>
      <c r="SCC79" s="2805"/>
      <c r="SCD79" s="2805"/>
      <c r="SCE79" s="2805"/>
      <c r="SCF79" s="2805"/>
      <c r="SCG79" s="2805"/>
      <c r="SCH79" s="2805"/>
      <c r="SCI79" s="2805"/>
      <c r="SCJ79" s="2805"/>
      <c r="SCK79" s="2805"/>
      <c r="SCL79" s="2805"/>
      <c r="SCM79" s="2805"/>
      <c r="SCN79" s="2805"/>
      <c r="SCO79" s="2805"/>
      <c r="SCP79" s="2805"/>
      <c r="SCQ79" s="2805"/>
      <c r="SCR79" s="2805"/>
      <c r="SCS79" s="2805"/>
      <c r="SCT79" s="2805"/>
      <c r="SCU79" s="2805"/>
      <c r="SCV79" s="2805"/>
      <c r="SCW79" s="2805"/>
      <c r="SCX79" s="2805"/>
      <c r="SCY79" s="2805"/>
      <c r="SCZ79" s="2805"/>
      <c r="SDA79" s="2805"/>
      <c r="SDB79" s="2805"/>
      <c r="SDC79" s="2805"/>
      <c r="SDD79" s="2805"/>
      <c r="SDE79" s="2805"/>
      <c r="SDF79" s="2805"/>
      <c r="SDG79" s="2805"/>
      <c r="SDH79" s="2805"/>
      <c r="SDI79" s="2805"/>
      <c r="SDJ79" s="2805"/>
      <c r="SDK79" s="2805"/>
      <c r="SDL79" s="2805"/>
      <c r="SDM79" s="2805"/>
      <c r="SDN79" s="2805"/>
      <c r="SDO79" s="2805"/>
      <c r="SDP79" s="2805"/>
      <c r="SDQ79" s="2805"/>
      <c r="SDR79" s="2805"/>
      <c r="SDS79" s="2805"/>
      <c r="SDT79" s="2805"/>
      <c r="SDU79" s="2805"/>
      <c r="SDV79" s="2805"/>
      <c r="SDW79" s="2805"/>
      <c r="SDX79" s="2805"/>
      <c r="SDY79" s="2805"/>
      <c r="SDZ79" s="2805"/>
      <c r="SEA79" s="2805"/>
      <c r="SEB79" s="2805"/>
      <c r="SEC79" s="2805"/>
      <c r="SED79" s="2805"/>
      <c r="SEE79" s="2805"/>
      <c r="SEF79" s="2805"/>
      <c r="SEG79" s="2805"/>
      <c r="SEH79" s="2805"/>
      <c r="SEI79" s="2805"/>
      <c r="SEJ79" s="2805"/>
      <c r="SEK79" s="2805"/>
      <c r="SEL79" s="2805"/>
      <c r="SEM79" s="2805"/>
      <c r="SEN79" s="2805"/>
      <c r="SEO79" s="2805"/>
      <c r="SEP79" s="2805"/>
      <c r="SEQ79" s="2805"/>
      <c r="SER79" s="2805"/>
      <c r="SES79" s="2805"/>
      <c r="SET79" s="2805"/>
      <c r="SEU79" s="2805"/>
      <c r="SEV79" s="2805"/>
      <c r="SEW79" s="2805"/>
      <c r="SEX79" s="2805"/>
      <c r="SEY79" s="2805"/>
      <c r="SEZ79" s="2805"/>
      <c r="SFA79" s="2805"/>
      <c r="SFB79" s="2805"/>
      <c r="SFC79" s="2805"/>
      <c r="SFD79" s="2805"/>
      <c r="SFE79" s="2805"/>
      <c r="SFF79" s="2805"/>
      <c r="SFG79" s="2805"/>
      <c r="SFH79" s="2805"/>
      <c r="SFI79" s="2805"/>
      <c r="SFJ79" s="2805"/>
      <c r="SFK79" s="2805"/>
      <c r="SFL79" s="2805"/>
      <c r="SFM79" s="2805"/>
      <c r="SFN79" s="2805"/>
      <c r="SFO79" s="2805"/>
      <c r="SFP79" s="2805"/>
      <c r="SFQ79" s="2805"/>
      <c r="SFR79" s="2805"/>
      <c r="SFS79" s="2805"/>
      <c r="SFT79" s="2805"/>
      <c r="SFU79" s="2805"/>
      <c r="SFV79" s="2805"/>
      <c r="SFW79" s="2805"/>
      <c r="SFX79" s="2805"/>
      <c r="SFY79" s="2805"/>
      <c r="SFZ79" s="2805"/>
      <c r="SGA79" s="2805"/>
      <c r="SGB79" s="2805"/>
      <c r="SGC79" s="2805"/>
      <c r="SGD79" s="2805"/>
      <c r="SGE79" s="2805"/>
      <c r="SGF79" s="2805"/>
      <c r="SGG79" s="2805"/>
      <c r="SGH79" s="2805"/>
      <c r="SGI79" s="2805"/>
      <c r="SGJ79" s="2805"/>
      <c r="SGK79" s="2805"/>
      <c r="SGL79" s="2805"/>
      <c r="SGM79" s="2805"/>
      <c r="SGN79" s="2805"/>
      <c r="SGO79" s="2805"/>
      <c r="SGP79" s="2805"/>
      <c r="SGQ79" s="2805"/>
      <c r="SGR79" s="2805"/>
      <c r="SGS79" s="2805"/>
      <c r="SGT79" s="2805"/>
      <c r="SGU79" s="2805"/>
      <c r="SGV79" s="2805"/>
      <c r="SGW79" s="2805"/>
      <c r="SGX79" s="2805"/>
      <c r="SGY79" s="2805"/>
      <c r="SGZ79" s="2805"/>
      <c r="SHA79" s="2805"/>
      <c r="SHB79" s="2805"/>
      <c r="SHC79" s="2805"/>
      <c r="SHD79" s="2805"/>
      <c r="SHE79" s="2805"/>
      <c r="SHF79" s="2805"/>
      <c r="SHG79" s="2805"/>
      <c r="SHH79" s="2805"/>
      <c r="SHI79" s="2805"/>
      <c r="SHJ79" s="2805"/>
      <c r="SHK79" s="2805"/>
      <c r="SHL79" s="2805"/>
      <c r="SHM79" s="2805"/>
      <c r="SHN79" s="2805"/>
      <c r="SHO79" s="2805"/>
      <c r="SHP79" s="2805"/>
      <c r="SHQ79" s="2805"/>
      <c r="SHR79" s="2805"/>
      <c r="SHS79" s="2805"/>
      <c r="SHT79" s="2805"/>
      <c r="SHU79" s="2805"/>
      <c r="SHV79" s="2805"/>
      <c r="SHW79" s="2805"/>
      <c r="SHX79" s="2805"/>
      <c r="SHY79" s="2805"/>
      <c r="SHZ79" s="2805"/>
      <c r="SIA79" s="2805"/>
      <c r="SIB79" s="2805"/>
      <c r="SIC79" s="2805"/>
      <c r="SID79" s="2805"/>
      <c r="SIE79" s="2805"/>
      <c r="SIF79" s="2805"/>
      <c r="SIG79" s="2805"/>
      <c r="SIH79" s="2805"/>
      <c r="SII79" s="2805"/>
      <c r="SIJ79" s="2805"/>
      <c r="SIK79" s="2805"/>
      <c r="SIL79" s="2805"/>
      <c r="SIM79" s="2805"/>
      <c r="SIN79" s="2805"/>
      <c r="SIO79" s="2805"/>
      <c r="SIP79" s="2805"/>
      <c r="SIQ79" s="2805"/>
      <c r="SIR79" s="2805"/>
      <c r="SIS79" s="2805"/>
      <c r="SIT79" s="2805"/>
      <c r="SIU79" s="2805"/>
      <c r="SIV79" s="2805"/>
      <c r="SIW79" s="2805"/>
      <c r="SIX79" s="2805"/>
      <c r="SIY79" s="2805"/>
      <c r="SIZ79" s="2805"/>
      <c r="SJA79" s="2805"/>
      <c r="SJB79" s="2805"/>
      <c r="SJC79" s="2805"/>
      <c r="SJD79" s="2805"/>
      <c r="SJE79" s="2805"/>
      <c r="SJF79" s="2805"/>
      <c r="SJG79" s="2805"/>
      <c r="SJH79" s="2805"/>
      <c r="SJI79" s="2805"/>
      <c r="SJJ79" s="2805"/>
      <c r="SJK79" s="2805"/>
      <c r="SJL79" s="2805"/>
      <c r="SJM79" s="2805"/>
      <c r="SJN79" s="2805"/>
      <c r="SJO79" s="2805"/>
      <c r="SJP79" s="2805"/>
      <c r="SJQ79" s="2805"/>
      <c r="SJR79" s="2805"/>
      <c r="SJS79" s="2805"/>
      <c r="SJT79" s="2805"/>
      <c r="SJU79" s="2805"/>
      <c r="SJV79" s="2805"/>
      <c r="SJW79" s="2805"/>
      <c r="SJX79" s="2805"/>
      <c r="SJY79" s="2805"/>
      <c r="SJZ79" s="2805"/>
      <c r="SKA79" s="2805"/>
      <c r="SKB79" s="2805"/>
      <c r="SKC79" s="2805"/>
      <c r="SKD79" s="2805"/>
      <c r="SKE79" s="2805"/>
      <c r="SKF79" s="2805"/>
      <c r="SKG79" s="2805"/>
      <c r="SKH79" s="2805"/>
      <c r="SKI79" s="2805"/>
      <c r="SKJ79" s="2805"/>
      <c r="SKK79" s="2805"/>
      <c r="SKL79" s="2805"/>
      <c r="SKM79" s="2805"/>
      <c r="SKN79" s="2805"/>
      <c r="SKO79" s="2805"/>
      <c r="SKP79" s="2805"/>
      <c r="SKQ79" s="2805"/>
      <c r="SKR79" s="2805"/>
      <c r="SKS79" s="2805"/>
      <c r="SKT79" s="2805"/>
      <c r="SKU79" s="2805"/>
      <c r="SKV79" s="2805"/>
      <c r="SKW79" s="2805"/>
      <c r="SKX79" s="2805"/>
      <c r="SKY79" s="2805"/>
      <c r="SKZ79" s="2805"/>
      <c r="SLA79" s="2805"/>
      <c r="SLB79" s="2805"/>
      <c r="SLC79" s="2805"/>
      <c r="SLD79" s="2805"/>
      <c r="SLE79" s="2805"/>
      <c r="SLF79" s="2805"/>
      <c r="SLG79" s="2805"/>
      <c r="SLH79" s="2805"/>
      <c r="SLI79" s="2805"/>
      <c r="SLJ79" s="2805"/>
      <c r="SLK79" s="2805"/>
      <c r="SLL79" s="2805"/>
      <c r="SLM79" s="2805"/>
      <c r="SLN79" s="2805"/>
      <c r="SLO79" s="2805"/>
      <c r="SLP79" s="2805"/>
      <c r="SLQ79" s="2805"/>
      <c r="SLR79" s="2805"/>
      <c r="SLS79" s="2805"/>
      <c r="SLT79" s="2805"/>
      <c r="SLU79" s="2805"/>
      <c r="SLV79" s="2805"/>
      <c r="SLW79" s="2805"/>
      <c r="SLX79" s="2805"/>
      <c r="SLY79" s="2805"/>
      <c r="SLZ79" s="2805"/>
      <c r="SMA79" s="2805"/>
      <c r="SMB79" s="2805"/>
      <c r="SMC79" s="2805"/>
      <c r="SMD79" s="2805"/>
      <c r="SME79" s="2805"/>
      <c r="SMF79" s="2805"/>
      <c r="SMG79" s="2805"/>
      <c r="SMH79" s="2805"/>
      <c r="SMI79" s="2805"/>
      <c r="SMJ79" s="2805"/>
      <c r="SMK79" s="2805"/>
      <c r="SML79" s="2805"/>
      <c r="SMM79" s="2805"/>
      <c r="SMN79" s="2805"/>
      <c r="SMO79" s="2805"/>
      <c r="SMP79" s="2805"/>
      <c r="SMQ79" s="2805"/>
      <c r="SMR79" s="2805"/>
      <c r="SMS79" s="2805"/>
      <c r="SMT79" s="2805"/>
      <c r="SMU79" s="2805"/>
      <c r="SMV79" s="2805"/>
      <c r="SMW79" s="2805"/>
      <c r="SMX79" s="2805"/>
      <c r="SMY79" s="2805"/>
      <c r="SMZ79" s="2805"/>
      <c r="SNA79" s="2805"/>
      <c r="SNB79" s="2805"/>
      <c r="SNC79" s="2805"/>
      <c r="SND79" s="2805"/>
      <c r="SNE79" s="2805"/>
      <c r="SNF79" s="2805"/>
      <c r="SNG79" s="2805"/>
      <c r="SNH79" s="2805"/>
      <c r="SNI79" s="2805"/>
      <c r="SNJ79" s="2805"/>
      <c r="SNK79" s="2805"/>
      <c r="SNL79" s="2805"/>
      <c r="SNM79" s="2805"/>
      <c r="SNN79" s="2805"/>
      <c r="SNO79" s="2805"/>
      <c r="SNP79" s="2805"/>
      <c r="SNQ79" s="2805"/>
      <c r="SNR79" s="2805"/>
      <c r="SNS79" s="2805"/>
      <c r="SNT79" s="2805"/>
      <c r="SNU79" s="2805"/>
      <c r="SNV79" s="2805"/>
      <c r="SNW79" s="2805"/>
      <c r="SNX79" s="2805"/>
      <c r="SNY79" s="2805"/>
      <c r="SNZ79" s="2805"/>
      <c r="SOA79" s="2805"/>
      <c r="SOB79" s="2805"/>
      <c r="SOC79" s="2805"/>
      <c r="SOD79" s="2805"/>
      <c r="SOE79" s="2805"/>
      <c r="SOF79" s="2805"/>
      <c r="SOG79" s="2805"/>
      <c r="SOH79" s="2805"/>
      <c r="SOI79" s="2805"/>
      <c r="SOJ79" s="2805"/>
      <c r="SOK79" s="2805"/>
      <c r="SOL79" s="2805"/>
      <c r="SOM79" s="2805"/>
      <c r="SON79" s="2805"/>
      <c r="SOO79" s="2805"/>
      <c r="SOP79" s="2805"/>
      <c r="SOQ79" s="2805"/>
      <c r="SOR79" s="2805"/>
      <c r="SOS79" s="2805"/>
      <c r="SOT79" s="2805"/>
      <c r="SOU79" s="2805"/>
      <c r="SOV79" s="2805"/>
      <c r="SOW79" s="2805"/>
      <c r="SOX79" s="2805"/>
      <c r="SOY79" s="2805"/>
      <c r="SOZ79" s="2805"/>
      <c r="SPA79" s="2805"/>
      <c r="SPB79" s="2805"/>
      <c r="SPC79" s="2805"/>
      <c r="SPD79" s="2805"/>
      <c r="SPE79" s="2805"/>
      <c r="SPF79" s="2805"/>
      <c r="SPG79" s="2805"/>
      <c r="SPH79" s="2805"/>
      <c r="SPI79" s="2805"/>
      <c r="SPJ79" s="2805"/>
      <c r="SPK79" s="2805"/>
      <c r="SPL79" s="2805"/>
      <c r="SPM79" s="2805"/>
      <c r="SPN79" s="2805"/>
      <c r="SPO79" s="2805"/>
      <c r="SPP79" s="2805"/>
      <c r="SPQ79" s="2805"/>
      <c r="SPR79" s="2805"/>
      <c r="SPS79" s="2805"/>
      <c r="SPT79" s="2805"/>
      <c r="SPU79" s="2805"/>
      <c r="SPV79" s="2805"/>
      <c r="SPW79" s="2805"/>
      <c r="SPX79" s="2805"/>
      <c r="SPY79" s="2805"/>
      <c r="SPZ79" s="2805"/>
      <c r="SQA79" s="2805"/>
      <c r="SQB79" s="2805"/>
      <c r="SQC79" s="2805"/>
      <c r="SQD79" s="2805"/>
      <c r="SQE79" s="2805"/>
      <c r="SQF79" s="2805"/>
      <c r="SQG79" s="2805"/>
      <c r="SQH79" s="2805"/>
      <c r="SQI79" s="2805"/>
      <c r="SQJ79" s="2805"/>
      <c r="SQK79" s="2805"/>
      <c r="SQL79" s="2805"/>
      <c r="SQM79" s="2805"/>
      <c r="SQN79" s="2805"/>
      <c r="SQO79" s="2805"/>
      <c r="SQP79" s="2805"/>
      <c r="SQQ79" s="2805"/>
      <c r="SQR79" s="2805"/>
      <c r="SQS79" s="2805"/>
      <c r="SQT79" s="2805"/>
      <c r="SQU79" s="2805"/>
      <c r="SQV79" s="2805"/>
      <c r="SQW79" s="2805"/>
      <c r="SQX79" s="2805"/>
      <c r="SQY79" s="2805"/>
      <c r="SQZ79" s="2805"/>
      <c r="SRA79" s="2805"/>
      <c r="SRB79" s="2805"/>
      <c r="SRC79" s="2805"/>
      <c r="SRD79" s="2805"/>
      <c r="SRE79" s="2805"/>
      <c r="SRF79" s="2805"/>
      <c r="SRG79" s="2805"/>
      <c r="SRH79" s="2805"/>
      <c r="SRI79" s="2805"/>
      <c r="SRJ79" s="2805"/>
      <c r="SRK79" s="2805"/>
      <c r="SRL79" s="2805"/>
      <c r="SRM79" s="2805"/>
      <c r="SRN79" s="2805"/>
      <c r="SRO79" s="2805"/>
      <c r="SRP79" s="2805"/>
      <c r="SRQ79" s="2805"/>
      <c r="SRR79" s="2805"/>
      <c r="SRS79" s="2805"/>
      <c r="SRT79" s="2805"/>
      <c r="SRU79" s="2805"/>
      <c r="SRV79" s="2805"/>
      <c r="SRW79" s="2805"/>
      <c r="SRX79" s="2805"/>
      <c r="SRY79" s="2805"/>
      <c r="SRZ79" s="2805"/>
      <c r="SSA79" s="2805"/>
      <c r="SSB79" s="2805"/>
      <c r="SSC79" s="2805"/>
      <c r="SSD79" s="2805"/>
      <c r="SSE79" s="2805"/>
      <c r="SSF79" s="2805"/>
      <c r="SSG79" s="2805"/>
      <c r="SSH79" s="2805"/>
      <c r="SSI79" s="2805"/>
      <c r="SSJ79" s="2805"/>
      <c r="SSK79" s="2805"/>
      <c r="SSL79" s="2805"/>
      <c r="SSM79" s="2805"/>
      <c r="SSN79" s="2805"/>
      <c r="SSO79" s="2805"/>
      <c r="SSP79" s="2805"/>
      <c r="SSQ79" s="2805"/>
      <c r="SSR79" s="2805"/>
      <c r="SSS79" s="2805"/>
      <c r="SST79" s="2805"/>
      <c r="SSU79" s="2805"/>
      <c r="SSV79" s="2805"/>
      <c r="SSW79" s="2805"/>
      <c r="SSX79" s="2805"/>
      <c r="SSY79" s="2805"/>
      <c r="SSZ79" s="2805"/>
      <c r="STA79" s="2805"/>
      <c r="STB79" s="2805"/>
      <c r="STC79" s="2805"/>
      <c r="STD79" s="2805"/>
      <c r="STE79" s="2805"/>
      <c r="STF79" s="2805"/>
      <c r="STG79" s="2805"/>
      <c r="STH79" s="2805"/>
      <c r="STI79" s="2805"/>
      <c r="STJ79" s="2805"/>
      <c r="STK79" s="2805"/>
      <c r="STL79" s="2805"/>
      <c r="STM79" s="2805"/>
      <c r="STN79" s="2805"/>
      <c r="STO79" s="2805"/>
      <c r="STP79" s="2805"/>
      <c r="STQ79" s="2805"/>
      <c r="STR79" s="2805"/>
      <c r="STS79" s="2805"/>
      <c r="STT79" s="2805"/>
      <c r="STU79" s="2805"/>
      <c r="STV79" s="2805"/>
      <c r="STW79" s="2805"/>
      <c r="STX79" s="2805"/>
      <c r="STY79" s="2805"/>
      <c r="STZ79" s="2805"/>
      <c r="SUA79" s="2805"/>
      <c r="SUB79" s="2805"/>
      <c r="SUC79" s="2805"/>
      <c r="SUD79" s="2805"/>
      <c r="SUE79" s="2805"/>
      <c r="SUF79" s="2805"/>
      <c r="SUG79" s="2805"/>
      <c r="SUH79" s="2805"/>
      <c r="SUI79" s="2805"/>
      <c r="SUJ79" s="2805"/>
      <c r="SUK79" s="2805"/>
      <c r="SUL79" s="2805"/>
      <c r="SUM79" s="2805"/>
      <c r="SUN79" s="2805"/>
      <c r="SUO79" s="2805"/>
      <c r="SUP79" s="2805"/>
      <c r="SUQ79" s="2805"/>
      <c r="SUR79" s="2805"/>
      <c r="SUS79" s="2805"/>
      <c r="SUT79" s="2805"/>
      <c r="SUU79" s="2805"/>
      <c r="SUV79" s="2805"/>
      <c r="SUW79" s="2805"/>
      <c r="SUX79" s="2805"/>
      <c r="SUY79" s="2805"/>
      <c r="SUZ79" s="2805"/>
      <c r="SVA79" s="2805"/>
      <c r="SVB79" s="2805"/>
      <c r="SVC79" s="2805"/>
      <c r="SVD79" s="2805"/>
      <c r="SVE79" s="2805"/>
      <c r="SVF79" s="2805"/>
      <c r="SVG79" s="2805"/>
      <c r="SVH79" s="2805"/>
      <c r="SVI79" s="2805"/>
      <c r="SVJ79" s="2805"/>
      <c r="SVK79" s="2805"/>
      <c r="SVL79" s="2805"/>
      <c r="SVM79" s="2805"/>
      <c r="SVN79" s="2805"/>
      <c r="SVO79" s="2805"/>
      <c r="SVP79" s="2805"/>
      <c r="SVQ79" s="2805"/>
      <c r="SVR79" s="2805"/>
      <c r="SVS79" s="2805"/>
      <c r="SVT79" s="2805"/>
      <c r="SVU79" s="2805"/>
      <c r="SVV79" s="2805"/>
      <c r="SVW79" s="2805"/>
      <c r="SVX79" s="2805"/>
      <c r="SVY79" s="2805"/>
      <c r="SVZ79" s="2805"/>
      <c r="SWA79" s="2805"/>
      <c r="SWB79" s="2805"/>
      <c r="SWC79" s="2805"/>
      <c r="SWD79" s="2805"/>
      <c r="SWE79" s="2805"/>
      <c r="SWF79" s="2805"/>
      <c r="SWG79" s="2805"/>
      <c r="SWH79" s="2805"/>
      <c r="SWI79" s="2805"/>
      <c r="SWJ79" s="2805"/>
      <c r="SWK79" s="2805"/>
      <c r="SWL79" s="2805"/>
      <c r="SWM79" s="2805"/>
      <c r="SWN79" s="2805"/>
      <c r="SWO79" s="2805"/>
      <c r="SWP79" s="2805"/>
      <c r="SWQ79" s="2805"/>
      <c r="SWR79" s="2805"/>
      <c r="SWS79" s="2805"/>
      <c r="SWT79" s="2805"/>
      <c r="SWU79" s="2805"/>
      <c r="SWV79" s="2805"/>
      <c r="SWW79" s="2805"/>
      <c r="SWX79" s="2805"/>
      <c r="SWY79" s="2805"/>
      <c r="SWZ79" s="2805"/>
      <c r="SXA79" s="2805"/>
      <c r="SXB79" s="2805"/>
      <c r="SXC79" s="2805"/>
      <c r="SXD79" s="2805"/>
      <c r="SXE79" s="2805"/>
      <c r="SXF79" s="2805"/>
      <c r="SXG79" s="2805"/>
      <c r="SXH79" s="2805"/>
      <c r="SXI79" s="2805"/>
      <c r="SXJ79" s="2805"/>
      <c r="SXK79" s="2805"/>
      <c r="SXL79" s="2805"/>
      <c r="SXM79" s="2805"/>
      <c r="SXN79" s="2805"/>
      <c r="SXO79" s="2805"/>
      <c r="SXP79" s="2805"/>
      <c r="SXQ79" s="2805"/>
      <c r="SXR79" s="2805"/>
      <c r="SXS79" s="2805"/>
      <c r="SXT79" s="2805"/>
      <c r="SXU79" s="2805"/>
      <c r="SXV79" s="2805"/>
      <c r="SXW79" s="2805"/>
      <c r="SXX79" s="2805"/>
      <c r="SXY79" s="2805"/>
      <c r="SXZ79" s="2805"/>
      <c r="SYA79" s="2805"/>
      <c r="SYB79" s="2805"/>
      <c r="SYC79" s="2805"/>
      <c r="SYD79" s="2805"/>
      <c r="SYE79" s="2805"/>
      <c r="SYF79" s="2805"/>
      <c r="SYG79" s="2805"/>
      <c r="SYH79" s="2805"/>
      <c r="SYI79" s="2805"/>
      <c r="SYJ79" s="2805"/>
      <c r="SYK79" s="2805"/>
      <c r="SYL79" s="2805"/>
      <c r="SYM79" s="2805"/>
      <c r="SYN79" s="2805"/>
      <c r="SYO79" s="2805"/>
      <c r="SYP79" s="2805"/>
      <c r="SYQ79" s="2805"/>
      <c r="SYR79" s="2805"/>
      <c r="SYS79" s="2805"/>
      <c r="SYT79" s="2805"/>
      <c r="SYU79" s="2805"/>
      <c r="SYV79" s="2805"/>
      <c r="SYW79" s="2805"/>
      <c r="SYX79" s="2805"/>
      <c r="SYY79" s="2805"/>
      <c r="SYZ79" s="2805"/>
      <c r="SZA79" s="2805"/>
      <c r="SZB79" s="2805"/>
      <c r="SZC79" s="2805"/>
      <c r="SZD79" s="2805"/>
      <c r="SZE79" s="2805"/>
      <c r="SZF79" s="2805"/>
      <c r="SZG79" s="2805"/>
      <c r="SZH79" s="2805"/>
      <c r="SZI79" s="2805"/>
      <c r="SZJ79" s="2805"/>
      <c r="SZK79" s="2805"/>
      <c r="SZL79" s="2805"/>
      <c r="SZM79" s="2805"/>
      <c r="SZN79" s="2805"/>
      <c r="SZO79" s="2805"/>
      <c r="SZP79" s="2805"/>
      <c r="SZQ79" s="2805"/>
      <c r="SZR79" s="2805"/>
      <c r="SZS79" s="2805"/>
      <c r="SZT79" s="2805"/>
      <c r="SZU79" s="2805"/>
      <c r="SZV79" s="2805"/>
      <c r="SZW79" s="2805"/>
      <c r="SZX79" s="2805"/>
      <c r="SZY79" s="2805"/>
      <c r="SZZ79" s="2805"/>
      <c r="TAA79" s="2805"/>
      <c r="TAB79" s="2805"/>
      <c r="TAC79" s="2805"/>
      <c r="TAD79" s="2805"/>
      <c r="TAE79" s="2805"/>
      <c r="TAF79" s="2805"/>
      <c r="TAG79" s="2805"/>
      <c r="TAH79" s="2805"/>
      <c r="TAI79" s="2805"/>
      <c r="TAJ79" s="2805"/>
      <c r="TAK79" s="2805"/>
      <c r="TAL79" s="2805"/>
      <c r="TAM79" s="2805"/>
      <c r="TAN79" s="2805"/>
      <c r="TAO79" s="2805"/>
      <c r="TAP79" s="2805"/>
      <c r="TAQ79" s="2805"/>
      <c r="TAR79" s="2805"/>
      <c r="TAS79" s="2805"/>
      <c r="TAT79" s="2805"/>
      <c r="TAU79" s="2805"/>
      <c r="TAV79" s="2805"/>
      <c r="TAW79" s="2805"/>
      <c r="TAX79" s="2805"/>
      <c r="TAY79" s="2805"/>
      <c r="TAZ79" s="2805"/>
      <c r="TBA79" s="2805"/>
      <c r="TBB79" s="2805"/>
      <c r="TBC79" s="2805"/>
      <c r="TBD79" s="2805"/>
      <c r="TBE79" s="2805"/>
      <c r="TBF79" s="2805"/>
      <c r="TBG79" s="2805"/>
      <c r="TBH79" s="2805"/>
      <c r="TBI79" s="2805"/>
      <c r="TBJ79" s="2805"/>
      <c r="TBK79" s="2805"/>
      <c r="TBL79" s="2805"/>
      <c r="TBM79" s="2805"/>
      <c r="TBN79" s="2805"/>
      <c r="TBO79" s="2805"/>
      <c r="TBP79" s="2805"/>
      <c r="TBQ79" s="2805"/>
      <c r="TBR79" s="2805"/>
      <c r="TBS79" s="2805"/>
      <c r="TBT79" s="2805"/>
      <c r="TBU79" s="2805"/>
      <c r="TBV79" s="2805"/>
      <c r="TBW79" s="2805"/>
      <c r="TBX79" s="2805"/>
      <c r="TBY79" s="2805"/>
      <c r="TBZ79" s="2805"/>
      <c r="TCA79" s="2805"/>
      <c r="TCB79" s="2805"/>
      <c r="TCC79" s="2805"/>
      <c r="TCD79" s="2805"/>
      <c r="TCE79" s="2805"/>
      <c r="TCF79" s="2805"/>
      <c r="TCG79" s="2805"/>
      <c r="TCH79" s="2805"/>
      <c r="TCI79" s="2805"/>
      <c r="TCJ79" s="2805"/>
      <c r="TCK79" s="2805"/>
      <c r="TCL79" s="2805"/>
      <c r="TCM79" s="2805"/>
      <c r="TCN79" s="2805"/>
      <c r="TCO79" s="2805"/>
      <c r="TCP79" s="2805"/>
      <c r="TCQ79" s="2805"/>
      <c r="TCR79" s="2805"/>
      <c r="TCS79" s="2805"/>
      <c r="TCT79" s="2805"/>
      <c r="TCU79" s="2805"/>
      <c r="TCV79" s="2805"/>
      <c r="TCW79" s="2805"/>
      <c r="TCX79" s="2805"/>
      <c r="TCY79" s="2805"/>
      <c r="TCZ79" s="2805"/>
      <c r="TDA79" s="2805"/>
      <c r="TDB79" s="2805"/>
      <c r="TDC79" s="2805"/>
      <c r="TDD79" s="2805"/>
      <c r="TDE79" s="2805"/>
      <c r="TDF79" s="2805"/>
      <c r="TDG79" s="2805"/>
      <c r="TDH79" s="2805"/>
      <c r="TDI79" s="2805"/>
      <c r="TDJ79" s="2805"/>
      <c r="TDK79" s="2805"/>
      <c r="TDL79" s="2805"/>
      <c r="TDM79" s="2805"/>
      <c r="TDN79" s="2805"/>
      <c r="TDO79" s="2805"/>
      <c r="TDP79" s="2805"/>
      <c r="TDQ79" s="2805"/>
      <c r="TDR79" s="2805"/>
      <c r="TDS79" s="2805"/>
      <c r="TDT79" s="2805"/>
      <c r="TDU79" s="2805"/>
      <c r="TDV79" s="2805"/>
      <c r="TDW79" s="2805"/>
      <c r="TDX79" s="2805"/>
      <c r="TDY79" s="2805"/>
      <c r="TDZ79" s="2805"/>
      <c r="TEA79" s="2805"/>
      <c r="TEB79" s="2805"/>
      <c r="TEC79" s="2805"/>
      <c r="TED79" s="2805"/>
      <c r="TEE79" s="2805"/>
      <c r="TEF79" s="2805"/>
      <c r="TEG79" s="2805"/>
      <c r="TEH79" s="2805"/>
      <c r="TEI79" s="2805"/>
      <c r="TEJ79" s="2805"/>
      <c r="TEK79" s="2805"/>
      <c r="TEL79" s="2805"/>
      <c r="TEM79" s="2805"/>
      <c r="TEN79" s="2805"/>
      <c r="TEO79" s="2805"/>
      <c r="TEP79" s="2805"/>
      <c r="TEQ79" s="2805"/>
      <c r="TER79" s="2805"/>
      <c r="TES79" s="2805"/>
      <c r="TET79" s="2805"/>
      <c r="TEU79" s="2805"/>
      <c r="TEV79" s="2805"/>
      <c r="TEW79" s="2805"/>
      <c r="TEX79" s="2805"/>
      <c r="TEY79" s="2805"/>
      <c r="TEZ79" s="2805"/>
      <c r="TFA79" s="2805"/>
      <c r="TFB79" s="2805"/>
      <c r="TFC79" s="2805"/>
      <c r="TFD79" s="2805"/>
      <c r="TFE79" s="2805"/>
      <c r="TFF79" s="2805"/>
      <c r="TFG79" s="2805"/>
      <c r="TFH79" s="2805"/>
      <c r="TFI79" s="2805"/>
      <c r="TFJ79" s="2805"/>
      <c r="TFK79" s="2805"/>
      <c r="TFL79" s="2805"/>
      <c r="TFM79" s="2805"/>
      <c r="TFN79" s="2805"/>
      <c r="TFO79" s="2805"/>
      <c r="TFP79" s="2805"/>
      <c r="TFQ79" s="2805"/>
      <c r="TFR79" s="2805"/>
      <c r="TFS79" s="2805"/>
      <c r="TFT79" s="2805"/>
      <c r="TFU79" s="2805"/>
      <c r="TFV79" s="2805"/>
      <c r="TFW79" s="2805"/>
      <c r="TFX79" s="2805"/>
      <c r="TFY79" s="2805"/>
      <c r="TFZ79" s="2805"/>
      <c r="TGA79" s="2805"/>
      <c r="TGB79" s="2805"/>
      <c r="TGC79" s="2805"/>
      <c r="TGD79" s="2805"/>
      <c r="TGE79" s="2805"/>
      <c r="TGF79" s="2805"/>
      <c r="TGG79" s="2805"/>
      <c r="TGH79" s="2805"/>
      <c r="TGI79" s="2805"/>
      <c r="TGJ79" s="2805"/>
      <c r="TGK79" s="2805"/>
      <c r="TGL79" s="2805"/>
      <c r="TGM79" s="2805"/>
      <c r="TGN79" s="2805"/>
      <c r="TGO79" s="2805"/>
      <c r="TGP79" s="2805"/>
      <c r="TGQ79" s="2805"/>
      <c r="TGR79" s="2805"/>
      <c r="TGS79" s="2805"/>
      <c r="TGT79" s="2805"/>
      <c r="TGU79" s="2805"/>
      <c r="TGV79" s="2805"/>
      <c r="TGW79" s="2805"/>
      <c r="TGX79" s="2805"/>
      <c r="TGY79" s="2805"/>
      <c r="TGZ79" s="2805"/>
      <c r="THA79" s="2805"/>
      <c r="THB79" s="2805"/>
      <c r="THC79" s="2805"/>
      <c r="THD79" s="2805"/>
      <c r="THE79" s="2805"/>
      <c r="THF79" s="2805"/>
      <c r="THG79" s="2805"/>
      <c r="THH79" s="2805"/>
      <c r="THI79" s="2805"/>
      <c r="THJ79" s="2805"/>
      <c r="THK79" s="2805"/>
      <c r="THL79" s="2805"/>
      <c r="THM79" s="2805"/>
      <c r="THN79" s="2805"/>
      <c r="THO79" s="2805"/>
      <c r="THP79" s="2805"/>
      <c r="THQ79" s="2805"/>
      <c r="THR79" s="2805"/>
      <c r="THS79" s="2805"/>
      <c r="THT79" s="2805"/>
      <c r="THU79" s="2805"/>
      <c r="THV79" s="2805"/>
      <c r="THW79" s="2805"/>
      <c r="THX79" s="2805"/>
      <c r="THY79" s="2805"/>
      <c r="THZ79" s="2805"/>
      <c r="TIA79" s="2805"/>
      <c r="TIB79" s="2805"/>
      <c r="TIC79" s="2805"/>
      <c r="TID79" s="2805"/>
      <c r="TIE79" s="2805"/>
      <c r="TIF79" s="2805"/>
      <c r="TIG79" s="2805"/>
      <c r="TIH79" s="2805"/>
      <c r="TII79" s="2805"/>
      <c r="TIJ79" s="2805"/>
      <c r="TIK79" s="2805"/>
      <c r="TIL79" s="2805"/>
      <c r="TIM79" s="2805"/>
      <c r="TIN79" s="2805"/>
      <c r="TIO79" s="2805"/>
      <c r="TIP79" s="2805"/>
      <c r="TIQ79" s="2805"/>
      <c r="TIR79" s="2805"/>
      <c r="TIS79" s="2805"/>
      <c r="TIT79" s="2805"/>
      <c r="TIU79" s="2805"/>
      <c r="TIV79" s="2805"/>
      <c r="TIW79" s="2805"/>
      <c r="TIX79" s="2805"/>
      <c r="TIY79" s="2805"/>
      <c r="TIZ79" s="2805"/>
      <c r="TJA79" s="2805"/>
      <c r="TJB79" s="2805"/>
      <c r="TJC79" s="2805"/>
      <c r="TJD79" s="2805"/>
      <c r="TJE79" s="2805"/>
      <c r="TJF79" s="2805"/>
      <c r="TJG79" s="2805"/>
      <c r="TJH79" s="2805"/>
      <c r="TJI79" s="2805"/>
      <c r="TJJ79" s="2805"/>
      <c r="TJK79" s="2805"/>
      <c r="TJL79" s="2805"/>
      <c r="TJM79" s="2805"/>
      <c r="TJN79" s="2805"/>
      <c r="TJO79" s="2805"/>
      <c r="TJP79" s="2805"/>
      <c r="TJQ79" s="2805"/>
      <c r="TJR79" s="2805"/>
      <c r="TJS79" s="2805"/>
      <c r="TJT79" s="2805"/>
      <c r="TJU79" s="2805"/>
      <c r="TJV79" s="2805"/>
      <c r="TJW79" s="2805"/>
      <c r="TJX79" s="2805"/>
      <c r="TJY79" s="2805"/>
      <c r="TJZ79" s="2805"/>
      <c r="TKA79" s="2805"/>
      <c r="TKB79" s="2805"/>
      <c r="TKC79" s="2805"/>
      <c r="TKD79" s="2805"/>
      <c r="TKE79" s="2805"/>
      <c r="TKF79" s="2805"/>
      <c r="TKG79" s="2805"/>
      <c r="TKH79" s="2805"/>
      <c r="TKI79" s="2805"/>
      <c r="TKJ79" s="2805"/>
      <c r="TKK79" s="2805"/>
      <c r="TKL79" s="2805"/>
      <c r="TKM79" s="2805"/>
      <c r="TKN79" s="2805"/>
      <c r="TKO79" s="2805"/>
      <c r="TKP79" s="2805"/>
      <c r="TKQ79" s="2805"/>
      <c r="TKR79" s="2805"/>
      <c r="TKS79" s="2805"/>
      <c r="TKT79" s="2805"/>
      <c r="TKU79" s="2805"/>
      <c r="TKV79" s="2805"/>
      <c r="TKW79" s="2805"/>
      <c r="TKX79" s="2805"/>
      <c r="TKY79" s="2805"/>
      <c r="TKZ79" s="2805"/>
      <c r="TLA79" s="2805"/>
      <c r="TLB79" s="2805"/>
      <c r="TLC79" s="2805"/>
      <c r="TLD79" s="2805"/>
      <c r="TLE79" s="2805"/>
      <c r="TLF79" s="2805"/>
      <c r="TLG79" s="2805"/>
      <c r="TLH79" s="2805"/>
      <c r="TLI79" s="2805"/>
      <c r="TLJ79" s="2805"/>
      <c r="TLK79" s="2805"/>
      <c r="TLL79" s="2805"/>
      <c r="TLM79" s="2805"/>
      <c r="TLN79" s="2805"/>
      <c r="TLO79" s="2805"/>
      <c r="TLP79" s="2805"/>
      <c r="TLQ79" s="2805"/>
      <c r="TLR79" s="2805"/>
      <c r="TLS79" s="2805"/>
      <c r="TLT79" s="2805"/>
      <c r="TLU79" s="2805"/>
      <c r="TLV79" s="2805"/>
      <c r="TLW79" s="2805"/>
      <c r="TLX79" s="2805"/>
      <c r="TLY79" s="2805"/>
      <c r="TLZ79" s="2805"/>
      <c r="TMA79" s="2805"/>
      <c r="TMB79" s="2805"/>
      <c r="TMC79" s="2805"/>
      <c r="TMD79" s="2805"/>
      <c r="TME79" s="2805"/>
      <c r="TMF79" s="2805"/>
      <c r="TMG79" s="2805"/>
      <c r="TMH79" s="2805"/>
      <c r="TMI79" s="2805"/>
      <c r="TMJ79" s="2805"/>
      <c r="TMK79" s="2805"/>
      <c r="TML79" s="2805"/>
      <c r="TMM79" s="2805"/>
      <c r="TMN79" s="2805"/>
      <c r="TMO79" s="2805"/>
      <c r="TMP79" s="2805"/>
      <c r="TMQ79" s="2805"/>
      <c r="TMR79" s="2805"/>
      <c r="TMS79" s="2805"/>
      <c r="TMT79" s="2805"/>
      <c r="TMU79" s="2805"/>
      <c r="TMV79" s="2805"/>
      <c r="TMW79" s="2805"/>
      <c r="TMX79" s="2805"/>
      <c r="TMY79" s="2805"/>
      <c r="TMZ79" s="2805"/>
      <c r="TNA79" s="2805"/>
      <c r="TNB79" s="2805"/>
      <c r="TNC79" s="2805"/>
      <c r="TND79" s="2805"/>
      <c r="TNE79" s="2805"/>
      <c r="TNF79" s="2805"/>
      <c r="TNG79" s="2805"/>
      <c r="TNH79" s="2805"/>
      <c r="TNI79" s="2805"/>
      <c r="TNJ79" s="2805"/>
      <c r="TNK79" s="2805"/>
      <c r="TNL79" s="2805"/>
      <c r="TNM79" s="2805"/>
      <c r="TNN79" s="2805"/>
      <c r="TNO79" s="2805"/>
      <c r="TNP79" s="2805"/>
      <c r="TNQ79" s="2805"/>
      <c r="TNR79" s="2805"/>
      <c r="TNS79" s="2805"/>
      <c r="TNT79" s="2805"/>
      <c r="TNU79" s="2805"/>
      <c r="TNV79" s="2805"/>
      <c r="TNW79" s="2805"/>
      <c r="TNX79" s="2805"/>
      <c r="TNY79" s="2805"/>
      <c r="TNZ79" s="2805"/>
      <c r="TOA79" s="2805"/>
      <c r="TOB79" s="2805"/>
      <c r="TOC79" s="2805"/>
      <c r="TOD79" s="2805"/>
      <c r="TOE79" s="2805"/>
      <c r="TOF79" s="2805"/>
      <c r="TOG79" s="2805"/>
      <c r="TOH79" s="2805"/>
      <c r="TOI79" s="2805"/>
      <c r="TOJ79" s="2805"/>
      <c r="TOK79" s="2805"/>
      <c r="TOL79" s="2805"/>
      <c r="TOM79" s="2805"/>
      <c r="TON79" s="2805"/>
      <c r="TOO79" s="2805"/>
      <c r="TOP79" s="2805"/>
      <c r="TOQ79" s="2805"/>
      <c r="TOR79" s="2805"/>
      <c r="TOS79" s="2805"/>
      <c r="TOT79" s="2805"/>
      <c r="TOU79" s="2805"/>
      <c r="TOV79" s="2805"/>
      <c r="TOW79" s="2805"/>
      <c r="TOX79" s="2805"/>
      <c r="TOY79" s="2805"/>
      <c r="TOZ79" s="2805"/>
      <c r="TPA79" s="2805"/>
      <c r="TPB79" s="2805"/>
      <c r="TPC79" s="2805"/>
      <c r="TPD79" s="2805"/>
      <c r="TPE79" s="2805"/>
      <c r="TPF79" s="2805"/>
      <c r="TPG79" s="2805"/>
      <c r="TPH79" s="2805"/>
      <c r="TPI79" s="2805"/>
      <c r="TPJ79" s="2805"/>
      <c r="TPK79" s="2805"/>
      <c r="TPL79" s="2805"/>
      <c r="TPM79" s="2805"/>
      <c r="TPN79" s="2805"/>
      <c r="TPO79" s="2805"/>
      <c r="TPP79" s="2805"/>
      <c r="TPQ79" s="2805"/>
      <c r="TPR79" s="2805"/>
      <c r="TPS79" s="2805"/>
      <c r="TPT79" s="2805"/>
      <c r="TPU79" s="2805"/>
      <c r="TPV79" s="2805"/>
      <c r="TPW79" s="2805"/>
      <c r="TPX79" s="2805"/>
      <c r="TPY79" s="2805"/>
      <c r="TPZ79" s="2805"/>
      <c r="TQA79" s="2805"/>
      <c r="TQB79" s="2805"/>
      <c r="TQC79" s="2805"/>
      <c r="TQD79" s="2805"/>
      <c r="TQE79" s="2805"/>
      <c r="TQF79" s="2805"/>
      <c r="TQG79" s="2805"/>
      <c r="TQH79" s="2805"/>
      <c r="TQI79" s="2805"/>
      <c r="TQJ79" s="2805"/>
      <c r="TQK79" s="2805"/>
      <c r="TQL79" s="2805"/>
      <c r="TQM79" s="2805"/>
      <c r="TQN79" s="2805"/>
      <c r="TQO79" s="2805"/>
      <c r="TQP79" s="2805"/>
      <c r="TQQ79" s="2805"/>
      <c r="TQR79" s="2805"/>
      <c r="TQS79" s="2805"/>
      <c r="TQT79" s="2805"/>
      <c r="TQU79" s="2805"/>
      <c r="TQV79" s="2805"/>
      <c r="TQW79" s="2805"/>
      <c r="TQX79" s="2805"/>
      <c r="TQY79" s="2805"/>
      <c r="TQZ79" s="2805"/>
      <c r="TRA79" s="2805"/>
      <c r="TRB79" s="2805"/>
      <c r="TRC79" s="2805"/>
      <c r="TRD79" s="2805"/>
      <c r="TRE79" s="2805"/>
      <c r="TRF79" s="2805"/>
      <c r="TRG79" s="2805"/>
      <c r="TRH79" s="2805"/>
      <c r="TRI79" s="2805"/>
      <c r="TRJ79" s="2805"/>
      <c r="TRK79" s="2805"/>
      <c r="TRL79" s="2805"/>
      <c r="TRM79" s="2805"/>
      <c r="TRN79" s="2805"/>
      <c r="TRO79" s="2805"/>
      <c r="TRP79" s="2805"/>
      <c r="TRQ79" s="2805"/>
      <c r="TRR79" s="2805"/>
      <c r="TRS79" s="2805"/>
      <c r="TRT79" s="2805"/>
      <c r="TRU79" s="2805"/>
      <c r="TRV79" s="2805"/>
      <c r="TRW79" s="2805"/>
      <c r="TRX79" s="2805"/>
      <c r="TRY79" s="2805"/>
      <c r="TRZ79" s="2805"/>
      <c r="TSA79" s="2805"/>
      <c r="TSB79" s="2805"/>
      <c r="TSC79" s="2805"/>
      <c r="TSD79" s="2805"/>
      <c r="TSE79" s="2805"/>
      <c r="TSF79" s="2805"/>
      <c r="TSG79" s="2805"/>
      <c r="TSH79" s="2805"/>
      <c r="TSI79" s="2805"/>
      <c r="TSJ79" s="2805"/>
      <c r="TSK79" s="2805"/>
      <c r="TSL79" s="2805"/>
      <c r="TSM79" s="2805"/>
      <c r="TSN79" s="2805"/>
      <c r="TSO79" s="2805"/>
      <c r="TSP79" s="2805"/>
      <c r="TSQ79" s="2805"/>
      <c r="TSR79" s="2805"/>
      <c r="TSS79" s="2805"/>
      <c r="TST79" s="2805"/>
      <c r="TSU79" s="2805"/>
      <c r="TSV79" s="2805"/>
      <c r="TSW79" s="2805"/>
      <c r="TSX79" s="2805"/>
      <c r="TSY79" s="2805"/>
      <c r="TSZ79" s="2805"/>
      <c r="TTA79" s="2805"/>
      <c r="TTB79" s="2805"/>
      <c r="TTC79" s="2805"/>
      <c r="TTD79" s="2805"/>
      <c r="TTE79" s="2805"/>
      <c r="TTF79" s="2805"/>
      <c r="TTG79" s="2805"/>
      <c r="TTH79" s="2805"/>
      <c r="TTI79" s="2805"/>
      <c r="TTJ79" s="2805"/>
      <c r="TTK79" s="2805"/>
      <c r="TTL79" s="2805"/>
      <c r="TTM79" s="2805"/>
      <c r="TTN79" s="2805"/>
      <c r="TTO79" s="2805"/>
      <c r="TTP79" s="2805"/>
      <c r="TTQ79" s="2805"/>
      <c r="TTR79" s="2805"/>
      <c r="TTS79" s="2805"/>
      <c r="TTT79" s="2805"/>
      <c r="TTU79" s="2805"/>
      <c r="TTV79" s="2805"/>
      <c r="TTW79" s="2805"/>
      <c r="TTX79" s="2805"/>
      <c r="TTY79" s="2805"/>
      <c r="TTZ79" s="2805"/>
      <c r="TUA79" s="2805"/>
      <c r="TUB79" s="2805"/>
      <c r="TUC79" s="2805"/>
      <c r="TUD79" s="2805"/>
      <c r="TUE79" s="2805"/>
      <c r="TUF79" s="2805"/>
      <c r="TUG79" s="2805"/>
      <c r="TUH79" s="2805"/>
      <c r="TUI79" s="2805"/>
      <c r="TUJ79" s="2805"/>
      <c r="TUK79" s="2805"/>
      <c r="TUL79" s="2805"/>
      <c r="TUM79" s="2805"/>
      <c r="TUN79" s="2805"/>
      <c r="TUO79" s="2805"/>
      <c r="TUP79" s="2805"/>
      <c r="TUQ79" s="2805"/>
      <c r="TUR79" s="2805"/>
      <c r="TUS79" s="2805"/>
      <c r="TUT79" s="2805"/>
      <c r="TUU79" s="2805"/>
      <c r="TUV79" s="2805"/>
      <c r="TUW79" s="2805"/>
      <c r="TUX79" s="2805"/>
      <c r="TUY79" s="2805"/>
      <c r="TUZ79" s="2805"/>
      <c r="TVA79" s="2805"/>
      <c r="TVB79" s="2805"/>
      <c r="TVC79" s="2805"/>
      <c r="TVD79" s="2805"/>
      <c r="TVE79" s="2805"/>
      <c r="TVF79" s="2805"/>
      <c r="TVG79" s="2805"/>
      <c r="TVH79" s="2805"/>
      <c r="TVI79" s="2805"/>
      <c r="TVJ79" s="2805"/>
      <c r="TVK79" s="2805"/>
      <c r="TVL79" s="2805"/>
      <c r="TVM79" s="2805"/>
      <c r="TVN79" s="2805"/>
      <c r="TVO79" s="2805"/>
      <c r="TVP79" s="2805"/>
      <c r="TVQ79" s="2805"/>
      <c r="TVR79" s="2805"/>
      <c r="TVS79" s="2805"/>
      <c r="TVT79" s="2805"/>
      <c r="TVU79" s="2805"/>
      <c r="TVV79" s="2805"/>
      <c r="TVW79" s="2805"/>
      <c r="TVX79" s="2805"/>
      <c r="TVY79" s="2805"/>
      <c r="TVZ79" s="2805"/>
      <c r="TWA79" s="2805"/>
      <c r="TWB79" s="2805"/>
      <c r="TWC79" s="2805"/>
      <c r="TWD79" s="2805"/>
      <c r="TWE79" s="2805"/>
      <c r="TWF79" s="2805"/>
      <c r="TWG79" s="2805"/>
      <c r="TWH79" s="2805"/>
      <c r="TWI79" s="2805"/>
      <c r="TWJ79" s="2805"/>
      <c r="TWK79" s="2805"/>
      <c r="TWL79" s="2805"/>
      <c r="TWM79" s="2805"/>
      <c r="TWN79" s="2805"/>
      <c r="TWO79" s="2805"/>
      <c r="TWP79" s="2805"/>
      <c r="TWQ79" s="2805"/>
      <c r="TWR79" s="2805"/>
      <c r="TWS79" s="2805"/>
      <c r="TWT79" s="2805"/>
      <c r="TWU79" s="2805"/>
      <c r="TWV79" s="2805"/>
      <c r="TWW79" s="2805"/>
      <c r="TWX79" s="2805"/>
      <c r="TWY79" s="2805"/>
      <c r="TWZ79" s="2805"/>
      <c r="TXA79" s="2805"/>
      <c r="TXB79" s="2805"/>
      <c r="TXC79" s="2805"/>
      <c r="TXD79" s="2805"/>
      <c r="TXE79" s="2805"/>
      <c r="TXF79" s="2805"/>
      <c r="TXG79" s="2805"/>
      <c r="TXH79" s="2805"/>
      <c r="TXI79" s="2805"/>
      <c r="TXJ79" s="2805"/>
      <c r="TXK79" s="2805"/>
      <c r="TXL79" s="2805"/>
      <c r="TXM79" s="2805"/>
      <c r="TXN79" s="2805"/>
      <c r="TXO79" s="2805"/>
      <c r="TXP79" s="2805"/>
      <c r="TXQ79" s="2805"/>
      <c r="TXR79" s="2805"/>
      <c r="TXS79" s="2805"/>
      <c r="TXT79" s="2805"/>
      <c r="TXU79" s="2805"/>
      <c r="TXV79" s="2805"/>
      <c r="TXW79" s="2805"/>
      <c r="TXX79" s="2805"/>
      <c r="TXY79" s="2805"/>
      <c r="TXZ79" s="2805"/>
      <c r="TYA79" s="2805"/>
      <c r="TYB79" s="2805"/>
      <c r="TYC79" s="2805"/>
      <c r="TYD79" s="2805"/>
      <c r="TYE79" s="2805"/>
      <c r="TYF79" s="2805"/>
      <c r="TYG79" s="2805"/>
      <c r="TYH79" s="2805"/>
      <c r="TYI79" s="2805"/>
      <c r="TYJ79" s="2805"/>
      <c r="TYK79" s="2805"/>
      <c r="TYL79" s="2805"/>
      <c r="TYM79" s="2805"/>
      <c r="TYN79" s="2805"/>
      <c r="TYO79" s="2805"/>
      <c r="TYP79" s="2805"/>
      <c r="TYQ79" s="2805"/>
      <c r="TYR79" s="2805"/>
      <c r="TYS79" s="2805"/>
      <c r="TYT79" s="2805"/>
      <c r="TYU79" s="2805"/>
      <c r="TYV79" s="2805"/>
      <c r="TYW79" s="2805"/>
      <c r="TYX79" s="2805"/>
      <c r="TYY79" s="2805"/>
      <c r="TYZ79" s="2805"/>
      <c r="TZA79" s="2805"/>
      <c r="TZB79" s="2805"/>
      <c r="TZC79" s="2805"/>
      <c r="TZD79" s="2805"/>
      <c r="TZE79" s="2805"/>
      <c r="TZF79" s="2805"/>
      <c r="TZG79" s="2805"/>
      <c r="TZH79" s="2805"/>
      <c r="TZI79" s="2805"/>
      <c r="TZJ79" s="2805"/>
      <c r="TZK79" s="2805"/>
      <c r="TZL79" s="2805"/>
      <c r="TZM79" s="2805"/>
      <c r="TZN79" s="2805"/>
      <c r="TZO79" s="2805"/>
      <c r="TZP79" s="2805"/>
      <c r="TZQ79" s="2805"/>
      <c r="TZR79" s="2805"/>
      <c r="TZS79" s="2805"/>
      <c r="TZT79" s="2805"/>
      <c r="TZU79" s="2805"/>
      <c r="TZV79" s="2805"/>
      <c r="TZW79" s="2805"/>
      <c r="TZX79" s="2805"/>
      <c r="TZY79" s="2805"/>
      <c r="TZZ79" s="2805"/>
      <c r="UAA79" s="2805"/>
      <c r="UAB79" s="2805"/>
      <c r="UAC79" s="2805"/>
      <c r="UAD79" s="2805"/>
      <c r="UAE79" s="2805"/>
      <c r="UAF79" s="2805"/>
      <c r="UAG79" s="2805"/>
      <c r="UAH79" s="2805"/>
      <c r="UAI79" s="2805"/>
      <c r="UAJ79" s="2805"/>
      <c r="UAK79" s="2805"/>
      <c r="UAL79" s="2805"/>
      <c r="UAM79" s="2805"/>
      <c r="UAN79" s="2805"/>
      <c r="UAO79" s="2805"/>
      <c r="UAP79" s="2805"/>
      <c r="UAQ79" s="2805"/>
      <c r="UAR79" s="2805"/>
      <c r="UAS79" s="2805"/>
      <c r="UAT79" s="2805"/>
      <c r="UAU79" s="2805"/>
      <c r="UAV79" s="2805"/>
      <c r="UAW79" s="2805"/>
      <c r="UAX79" s="2805"/>
      <c r="UAY79" s="2805"/>
      <c r="UAZ79" s="2805"/>
      <c r="UBA79" s="2805"/>
      <c r="UBB79" s="2805"/>
      <c r="UBC79" s="2805"/>
      <c r="UBD79" s="2805"/>
      <c r="UBE79" s="2805"/>
      <c r="UBF79" s="2805"/>
      <c r="UBG79" s="2805"/>
      <c r="UBH79" s="2805"/>
      <c r="UBI79" s="2805"/>
      <c r="UBJ79" s="2805"/>
      <c r="UBK79" s="2805"/>
      <c r="UBL79" s="2805"/>
      <c r="UBM79" s="2805"/>
      <c r="UBN79" s="2805"/>
      <c r="UBO79" s="2805"/>
      <c r="UBP79" s="2805"/>
      <c r="UBQ79" s="2805"/>
      <c r="UBR79" s="2805"/>
      <c r="UBS79" s="2805"/>
      <c r="UBT79" s="2805"/>
      <c r="UBU79" s="2805"/>
      <c r="UBV79" s="2805"/>
      <c r="UBW79" s="2805"/>
      <c r="UBX79" s="2805"/>
      <c r="UBY79" s="2805"/>
      <c r="UBZ79" s="2805"/>
      <c r="UCA79" s="2805"/>
      <c r="UCB79" s="2805"/>
      <c r="UCC79" s="2805"/>
      <c r="UCD79" s="2805"/>
      <c r="UCE79" s="2805"/>
      <c r="UCF79" s="2805"/>
      <c r="UCG79" s="2805"/>
      <c r="UCH79" s="2805"/>
      <c r="UCI79" s="2805"/>
      <c r="UCJ79" s="2805"/>
      <c r="UCK79" s="2805"/>
      <c r="UCL79" s="2805"/>
      <c r="UCM79" s="2805"/>
      <c r="UCN79" s="2805"/>
      <c r="UCO79" s="2805"/>
      <c r="UCP79" s="2805"/>
      <c r="UCQ79" s="2805"/>
      <c r="UCR79" s="2805"/>
      <c r="UCS79" s="2805"/>
      <c r="UCT79" s="2805"/>
      <c r="UCU79" s="2805"/>
      <c r="UCV79" s="2805"/>
      <c r="UCW79" s="2805"/>
      <c r="UCX79" s="2805"/>
      <c r="UCY79" s="2805"/>
      <c r="UCZ79" s="2805"/>
      <c r="UDA79" s="2805"/>
      <c r="UDB79" s="2805"/>
      <c r="UDC79" s="2805"/>
      <c r="UDD79" s="2805"/>
      <c r="UDE79" s="2805"/>
      <c r="UDF79" s="2805"/>
      <c r="UDG79" s="2805"/>
      <c r="UDH79" s="2805"/>
      <c r="UDI79" s="2805"/>
      <c r="UDJ79" s="2805"/>
      <c r="UDK79" s="2805"/>
      <c r="UDL79" s="2805"/>
      <c r="UDM79" s="2805"/>
      <c r="UDN79" s="2805"/>
      <c r="UDO79" s="2805"/>
      <c r="UDP79" s="2805"/>
      <c r="UDQ79" s="2805"/>
      <c r="UDR79" s="2805"/>
      <c r="UDS79" s="2805"/>
      <c r="UDT79" s="2805"/>
      <c r="UDU79" s="2805"/>
      <c r="UDV79" s="2805"/>
      <c r="UDW79" s="2805"/>
      <c r="UDX79" s="2805"/>
      <c r="UDY79" s="2805"/>
      <c r="UDZ79" s="2805"/>
      <c r="UEA79" s="2805"/>
      <c r="UEB79" s="2805"/>
      <c r="UEC79" s="2805"/>
      <c r="UED79" s="2805"/>
      <c r="UEE79" s="2805"/>
      <c r="UEF79" s="2805"/>
      <c r="UEG79" s="2805"/>
      <c r="UEH79" s="2805"/>
      <c r="UEI79" s="2805"/>
      <c r="UEJ79" s="2805"/>
      <c r="UEK79" s="2805"/>
      <c r="UEL79" s="2805"/>
      <c r="UEM79" s="2805"/>
      <c r="UEN79" s="2805"/>
      <c r="UEO79" s="2805"/>
      <c r="UEP79" s="2805"/>
      <c r="UEQ79" s="2805"/>
      <c r="UER79" s="2805"/>
      <c r="UES79" s="2805"/>
      <c r="UET79" s="2805"/>
      <c r="UEU79" s="2805"/>
      <c r="UEV79" s="2805"/>
      <c r="UEW79" s="2805"/>
      <c r="UEX79" s="2805"/>
      <c r="UEY79" s="2805"/>
      <c r="UEZ79" s="2805"/>
      <c r="UFA79" s="2805"/>
      <c r="UFB79" s="2805"/>
      <c r="UFC79" s="2805"/>
      <c r="UFD79" s="2805"/>
      <c r="UFE79" s="2805"/>
      <c r="UFF79" s="2805"/>
      <c r="UFG79" s="2805"/>
      <c r="UFH79" s="2805"/>
      <c r="UFI79" s="2805"/>
      <c r="UFJ79" s="2805"/>
      <c r="UFK79" s="2805"/>
      <c r="UFL79" s="2805"/>
      <c r="UFM79" s="2805"/>
      <c r="UFN79" s="2805"/>
      <c r="UFO79" s="2805"/>
      <c r="UFP79" s="2805"/>
      <c r="UFQ79" s="2805"/>
      <c r="UFR79" s="2805"/>
      <c r="UFS79" s="2805"/>
      <c r="UFT79" s="2805"/>
      <c r="UFU79" s="2805"/>
      <c r="UFV79" s="2805"/>
      <c r="UFW79" s="2805"/>
      <c r="UFX79" s="2805"/>
      <c r="UFY79" s="2805"/>
      <c r="UFZ79" s="2805"/>
      <c r="UGA79" s="2805"/>
      <c r="UGB79" s="2805"/>
      <c r="UGC79" s="2805"/>
      <c r="UGD79" s="2805"/>
      <c r="UGE79" s="2805"/>
      <c r="UGF79" s="2805"/>
      <c r="UGG79" s="2805"/>
      <c r="UGH79" s="2805"/>
      <c r="UGI79" s="2805"/>
      <c r="UGJ79" s="2805"/>
      <c r="UGK79" s="2805"/>
      <c r="UGL79" s="2805"/>
      <c r="UGM79" s="2805"/>
      <c r="UGN79" s="2805"/>
      <c r="UGO79" s="2805"/>
      <c r="UGP79" s="2805"/>
      <c r="UGQ79" s="2805"/>
      <c r="UGR79" s="2805"/>
      <c r="UGS79" s="2805"/>
      <c r="UGT79" s="2805"/>
      <c r="UGU79" s="2805"/>
      <c r="UGV79" s="2805"/>
      <c r="UGW79" s="2805"/>
      <c r="UGX79" s="2805"/>
      <c r="UGY79" s="2805"/>
      <c r="UGZ79" s="2805"/>
      <c r="UHA79" s="2805"/>
      <c r="UHB79" s="2805"/>
      <c r="UHC79" s="2805"/>
      <c r="UHD79" s="2805"/>
      <c r="UHE79" s="2805"/>
      <c r="UHF79" s="2805"/>
      <c r="UHG79" s="2805"/>
      <c r="UHH79" s="2805"/>
      <c r="UHI79" s="2805"/>
      <c r="UHJ79" s="2805"/>
      <c r="UHK79" s="2805"/>
      <c r="UHL79" s="2805"/>
      <c r="UHM79" s="2805"/>
      <c r="UHN79" s="2805"/>
      <c r="UHO79" s="2805"/>
      <c r="UHP79" s="2805"/>
      <c r="UHQ79" s="2805"/>
      <c r="UHR79" s="2805"/>
      <c r="UHS79" s="2805"/>
      <c r="UHT79" s="2805"/>
      <c r="UHU79" s="2805"/>
      <c r="UHV79" s="2805"/>
      <c r="UHW79" s="2805"/>
      <c r="UHX79" s="2805"/>
      <c r="UHY79" s="2805"/>
      <c r="UHZ79" s="2805"/>
      <c r="UIA79" s="2805"/>
      <c r="UIB79" s="2805"/>
      <c r="UIC79" s="2805"/>
      <c r="UID79" s="2805"/>
      <c r="UIE79" s="2805"/>
      <c r="UIF79" s="2805"/>
      <c r="UIG79" s="2805"/>
      <c r="UIH79" s="2805"/>
      <c r="UII79" s="2805"/>
      <c r="UIJ79" s="2805"/>
      <c r="UIK79" s="2805"/>
      <c r="UIL79" s="2805"/>
      <c r="UIM79" s="2805"/>
      <c r="UIN79" s="2805"/>
      <c r="UIO79" s="2805"/>
      <c r="UIP79" s="2805"/>
      <c r="UIQ79" s="2805"/>
      <c r="UIR79" s="2805"/>
      <c r="UIS79" s="2805"/>
      <c r="UIT79" s="2805"/>
      <c r="UIU79" s="2805"/>
      <c r="UIV79" s="2805"/>
      <c r="UIW79" s="2805"/>
      <c r="UIX79" s="2805"/>
      <c r="UIY79" s="2805"/>
      <c r="UIZ79" s="2805"/>
      <c r="UJA79" s="2805"/>
      <c r="UJB79" s="2805"/>
      <c r="UJC79" s="2805"/>
      <c r="UJD79" s="2805"/>
      <c r="UJE79" s="2805"/>
      <c r="UJF79" s="2805"/>
      <c r="UJG79" s="2805"/>
      <c r="UJH79" s="2805"/>
      <c r="UJI79" s="2805"/>
      <c r="UJJ79" s="2805"/>
      <c r="UJK79" s="2805"/>
      <c r="UJL79" s="2805"/>
      <c r="UJM79" s="2805"/>
      <c r="UJN79" s="2805"/>
      <c r="UJO79" s="2805"/>
      <c r="UJP79" s="2805"/>
      <c r="UJQ79" s="2805"/>
      <c r="UJR79" s="2805"/>
      <c r="UJS79" s="2805"/>
      <c r="UJT79" s="2805"/>
      <c r="UJU79" s="2805"/>
      <c r="UJV79" s="2805"/>
      <c r="UJW79" s="2805"/>
      <c r="UJX79" s="2805"/>
      <c r="UJY79" s="2805"/>
      <c r="UJZ79" s="2805"/>
      <c r="UKA79" s="2805"/>
      <c r="UKB79" s="2805"/>
      <c r="UKC79" s="2805"/>
      <c r="UKD79" s="2805"/>
      <c r="UKE79" s="2805"/>
      <c r="UKF79" s="2805"/>
      <c r="UKG79" s="2805"/>
      <c r="UKH79" s="2805"/>
      <c r="UKI79" s="2805"/>
      <c r="UKJ79" s="2805"/>
      <c r="UKK79" s="2805"/>
      <c r="UKL79" s="2805"/>
      <c r="UKM79" s="2805"/>
      <c r="UKN79" s="2805"/>
      <c r="UKO79" s="2805"/>
      <c r="UKP79" s="2805"/>
      <c r="UKQ79" s="2805"/>
      <c r="UKR79" s="2805"/>
      <c r="UKS79" s="2805"/>
      <c r="UKT79" s="2805"/>
      <c r="UKU79" s="2805"/>
      <c r="UKV79" s="2805"/>
      <c r="UKW79" s="2805"/>
      <c r="UKX79" s="2805"/>
      <c r="UKY79" s="2805"/>
      <c r="UKZ79" s="2805"/>
      <c r="ULA79" s="2805"/>
      <c r="ULB79" s="2805"/>
      <c r="ULC79" s="2805"/>
      <c r="ULD79" s="2805"/>
      <c r="ULE79" s="2805"/>
      <c r="ULF79" s="2805"/>
      <c r="ULG79" s="2805"/>
      <c r="ULH79" s="2805"/>
      <c r="ULI79" s="2805"/>
      <c r="ULJ79" s="2805"/>
      <c r="ULK79" s="2805"/>
      <c r="ULL79" s="2805"/>
      <c r="ULM79" s="2805"/>
      <c r="ULN79" s="2805"/>
      <c r="ULO79" s="2805"/>
      <c r="ULP79" s="2805"/>
      <c r="ULQ79" s="2805"/>
      <c r="ULR79" s="2805"/>
      <c r="ULS79" s="2805"/>
      <c r="ULT79" s="2805"/>
      <c r="ULU79" s="2805"/>
      <c r="ULV79" s="2805"/>
      <c r="ULW79" s="2805"/>
      <c r="ULX79" s="2805"/>
      <c r="ULY79" s="2805"/>
      <c r="ULZ79" s="2805"/>
      <c r="UMA79" s="2805"/>
      <c r="UMB79" s="2805"/>
      <c r="UMC79" s="2805"/>
      <c r="UMD79" s="2805"/>
      <c r="UME79" s="2805"/>
      <c r="UMF79" s="2805"/>
      <c r="UMG79" s="2805"/>
      <c r="UMH79" s="2805"/>
      <c r="UMI79" s="2805"/>
      <c r="UMJ79" s="2805"/>
      <c r="UMK79" s="2805"/>
      <c r="UML79" s="2805"/>
      <c r="UMM79" s="2805"/>
      <c r="UMN79" s="2805"/>
      <c r="UMO79" s="2805"/>
      <c r="UMP79" s="2805"/>
      <c r="UMQ79" s="2805"/>
      <c r="UMR79" s="2805"/>
      <c r="UMS79" s="2805"/>
      <c r="UMT79" s="2805"/>
      <c r="UMU79" s="2805"/>
      <c r="UMV79" s="2805"/>
      <c r="UMW79" s="2805"/>
      <c r="UMX79" s="2805"/>
      <c r="UMY79" s="2805"/>
      <c r="UMZ79" s="2805"/>
      <c r="UNA79" s="2805"/>
      <c r="UNB79" s="2805"/>
      <c r="UNC79" s="2805"/>
      <c r="UND79" s="2805"/>
      <c r="UNE79" s="2805"/>
      <c r="UNF79" s="2805"/>
      <c r="UNG79" s="2805"/>
      <c r="UNH79" s="2805"/>
      <c r="UNI79" s="2805"/>
      <c r="UNJ79" s="2805"/>
      <c r="UNK79" s="2805"/>
      <c r="UNL79" s="2805"/>
      <c r="UNM79" s="2805"/>
      <c r="UNN79" s="2805"/>
      <c r="UNO79" s="2805"/>
      <c r="UNP79" s="2805"/>
      <c r="UNQ79" s="2805"/>
      <c r="UNR79" s="2805"/>
      <c r="UNS79" s="2805"/>
      <c r="UNT79" s="2805"/>
      <c r="UNU79" s="2805"/>
      <c r="UNV79" s="2805"/>
      <c r="UNW79" s="2805"/>
      <c r="UNX79" s="2805"/>
      <c r="UNY79" s="2805"/>
      <c r="UNZ79" s="2805"/>
      <c r="UOA79" s="2805"/>
      <c r="UOB79" s="2805"/>
      <c r="UOC79" s="2805"/>
      <c r="UOD79" s="2805"/>
      <c r="UOE79" s="2805"/>
      <c r="UOF79" s="2805"/>
      <c r="UOG79" s="2805"/>
      <c r="UOH79" s="2805"/>
      <c r="UOI79" s="2805"/>
      <c r="UOJ79" s="2805"/>
      <c r="UOK79" s="2805"/>
      <c r="UOL79" s="2805"/>
      <c r="UOM79" s="2805"/>
      <c r="UON79" s="2805"/>
      <c r="UOO79" s="2805"/>
      <c r="UOP79" s="2805"/>
      <c r="UOQ79" s="2805"/>
      <c r="UOR79" s="2805"/>
      <c r="UOS79" s="2805"/>
      <c r="UOT79" s="2805"/>
      <c r="UOU79" s="2805"/>
      <c r="UOV79" s="2805"/>
      <c r="UOW79" s="2805"/>
      <c r="UOX79" s="2805"/>
      <c r="UOY79" s="2805"/>
      <c r="UOZ79" s="2805"/>
      <c r="UPA79" s="2805"/>
      <c r="UPB79" s="2805"/>
      <c r="UPC79" s="2805"/>
      <c r="UPD79" s="2805"/>
      <c r="UPE79" s="2805"/>
      <c r="UPF79" s="2805"/>
      <c r="UPG79" s="2805"/>
      <c r="UPH79" s="2805"/>
      <c r="UPI79" s="2805"/>
      <c r="UPJ79" s="2805"/>
      <c r="UPK79" s="2805"/>
      <c r="UPL79" s="2805"/>
      <c r="UPM79" s="2805"/>
      <c r="UPN79" s="2805"/>
      <c r="UPO79" s="2805"/>
      <c r="UPP79" s="2805"/>
      <c r="UPQ79" s="2805"/>
      <c r="UPR79" s="2805"/>
      <c r="UPS79" s="2805"/>
      <c r="UPT79" s="2805"/>
      <c r="UPU79" s="2805"/>
      <c r="UPV79" s="2805"/>
      <c r="UPW79" s="2805"/>
      <c r="UPX79" s="2805"/>
      <c r="UPY79" s="2805"/>
      <c r="UPZ79" s="2805"/>
      <c r="UQA79" s="2805"/>
      <c r="UQB79" s="2805"/>
      <c r="UQC79" s="2805"/>
      <c r="UQD79" s="2805"/>
      <c r="UQE79" s="2805"/>
      <c r="UQF79" s="2805"/>
      <c r="UQG79" s="2805"/>
      <c r="UQH79" s="2805"/>
      <c r="UQI79" s="2805"/>
      <c r="UQJ79" s="2805"/>
      <c r="UQK79" s="2805"/>
      <c r="UQL79" s="2805"/>
      <c r="UQM79" s="2805"/>
      <c r="UQN79" s="2805"/>
      <c r="UQO79" s="2805"/>
      <c r="UQP79" s="2805"/>
      <c r="UQQ79" s="2805"/>
      <c r="UQR79" s="2805"/>
      <c r="UQS79" s="2805"/>
      <c r="UQT79" s="2805"/>
      <c r="UQU79" s="2805"/>
      <c r="UQV79" s="2805"/>
      <c r="UQW79" s="2805"/>
      <c r="UQX79" s="2805"/>
      <c r="UQY79" s="2805"/>
      <c r="UQZ79" s="2805"/>
      <c r="URA79" s="2805"/>
      <c r="URB79" s="2805"/>
      <c r="URC79" s="2805"/>
      <c r="URD79" s="2805"/>
      <c r="URE79" s="2805"/>
      <c r="URF79" s="2805"/>
      <c r="URG79" s="2805"/>
      <c r="URH79" s="2805"/>
      <c r="URI79" s="2805"/>
      <c r="URJ79" s="2805"/>
      <c r="URK79" s="2805"/>
      <c r="URL79" s="2805"/>
      <c r="URM79" s="2805"/>
      <c r="URN79" s="2805"/>
      <c r="URO79" s="2805"/>
      <c r="URP79" s="2805"/>
      <c r="URQ79" s="2805"/>
      <c r="URR79" s="2805"/>
      <c r="URS79" s="2805"/>
      <c r="URT79" s="2805"/>
      <c r="URU79" s="2805"/>
      <c r="URV79" s="2805"/>
      <c r="URW79" s="2805"/>
      <c r="URX79" s="2805"/>
      <c r="URY79" s="2805"/>
      <c r="URZ79" s="2805"/>
      <c r="USA79" s="2805"/>
      <c r="USB79" s="2805"/>
      <c r="USC79" s="2805"/>
      <c r="USD79" s="2805"/>
      <c r="USE79" s="2805"/>
      <c r="USF79" s="2805"/>
      <c r="USG79" s="2805"/>
      <c r="USH79" s="2805"/>
      <c r="USI79" s="2805"/>
      <c r="USJ79" s="2805"/>
      <c r="USK79" s="2805"/>
      <c r="USL79" s="2805"/>
      <c r="USM79" s="2805"/>
      <c r="USN79" s="2805"/>
      <c r="USO79" s="2805"/>
      <c r="USP79" s="2805"/>
      <c r="USQ79" s="2805"/>
      <c r="USR79" s="2805"/>
      <c r="USS79" s="2805"/>
      <c r="UST79" s="2805"/>
      <c r="USU79" s="2805"/>
      <c r="USV79" s="2805"/>
      <c r="USW79" s="2805"/>
      <c r="USX79" s="2805"/>
      <c r="USY79" s="2805"/>
      <c r="USZ79" s="2805"/>
      <c r="UTA79" s="2805"/>
      <c r="UTB79" s="2805"/>
      <c r="UTC79" s="2805"/>
      <c r="UTD79" s="2805"/>
      <c r="UTE79" s="2805"/>
      <c r="UTF79" s="2805"/>
      <c r="UTG79" s="2805"/>
      <c r="UTH79" s="2805"/>
      <c r="UTI79" s="2805"/>
      <c r="UTJ79" s="2805"/>
      <c r="UTK79" s="2805"/>
      <c r="UTL79" s="2805"/>
      <c r="UTM79" s="2805"/>
      <c r="UTN79" s="2805"/>
      <c r="UTO79" s="2805"/>
      <c r="UTP79" s="2805"/>
      <c r="UTQ79" s="2805"/>
      <c r="UTR79" s="2805"/>
      <c r="UTS79" s="2805"/>
      <c r="UTT79" s="2805"/>
      <c r="UTU79" s="2805"/>
      <c r="UTV79" s="2805"/>
      <c r="UTW79" s="2805"/>
      <c r="UTX79" s="2805"/>
      <c r="UTY79" s="2805"/>
      <c r="UTZ79" s="2805"/>
      <c r="UUA79" s="2805"/>
      <c r="UUB79" s="2805"/>
      <c r="UUC79" s="2805"/>
      <c r="UUD79" s="2805"/>
      <c r="UUE79" s="2805"/>
      <c r="UUF79" s="2805"/>
      <c r="UUG79" s="2805"/>
      <c r="UUH79" s="2805"/>
      <c r="UUI79" s="2805"/>
      <c r="UUJ79" s="2805"/>
      <c r="UUK79" s="2805"/>
      <c r="UUL79" s="2805"/>
      <c r="UUM79" s="2805"/>
      <c r="UUN79" s="2805"/>
      <c r="UUO79" s="2805"/>
      <c r="UUP79" s="2805"/>
      <c r="UUQ79" s="2805"/>
      <c r="UUR79" s="2805"/>
      <c r="UUS79" s="2805"/>
      <c r="UUT79" s="2805"/>
      <c r="UUU79" s="2805"/>
      <c r="UUV79" s="2805"/>
      <c r="UUW79" s="2805"/>
      <c r="UUX79" s="2805"/>
      <c r="UUY79" s="2805"/>
      <c r="UUZ79" s="2805"/>
      <c r="UVA79" s="2805"/>
      <c r="UVB79" s="2805"/>
      <c r="UVC79" s="2805"/>
      <c r="UVD79" s="2805"/>
      <c r="UVE79" s="2805"/>
      <c r="UVF79" s="2805"/>
      <c r="UVG79" s="2805"/>
      <c r="UVH79" s="2805"/>
      <c r="UVI79" s="2805"/>
      <c r="UVJ79" s="2805"/>
      <c r="UVK79" s="2805"/>
      <c r="UVL79" s="2805"/>
      <c r="UVM79" s="2805"/>
      <c r="UVN79" s="2805"/>
      <c r="UVO79" s="2805"/>
      <c r="UVP79" s="2805"/>
      <c r="UVQ79" s="2805"/>
      <c r="UVR79" s="2805"/>
      <c r="UVS79" s="2805"/>
      <c r="UVT79" s="2805"/>
      <c r="UVU79" s="2805"/>
      <c r="UVV79" s="2805"/>
      <c r="UVW79" s="2805"/>
      <c r="UVX79" s="2805"/>
      <c r="UVY79" s="2805"/>
      <c r="UVZ79" s="2805"/>
      <c r="UWA79" s="2805"/>
      <c r="UWB79" s="2805"/>
      <c r="UWC79" s="2805"/>
      <c r="UWD79" s="2805"/>
      <c r="UWE79" s="2805"/>
      <c r="UWF79" s="2805"/>
      <c r="UWG79" s="2805"/>
      <c r="UWH79" s="2805"/>
      <c r="UWI79" s="2805"/>
      <c r="UWJ79" s="2805"/>
      <c r="UWK79" s="2805"/>
      <c r="UWL79" s="2805"/>
      <c r="UWM79" s="2805"/>
      <c r="UWN79" s="2805"/>
      <c r="UWO79" s="2805"/>
      <c r="UWP79" s="2805"/>
      <c r="UWQ79" s="2805"/>
      <c r="UWR79" s="2805"/>
      <c r="UWS79" s="2805"/>
      <c r="UWT79" s="2805"/>
      <c r="UWU79" s="2805"/>
      <c r="UWV79" s="2805"/>
      <c r="UWW79" s="2805"/>
      <c r="UWX79" s="2805"/>
      <c r="UWY79" s="2805"/>
      <c r="UWZ79" s="2805"/>
      <c r="UXA79" s="2805"/>
      <c r="UXB79" s="2805"/>
      <c r="UXC79" s="2805"/>
      <c r="UXD79" s="2805"/>
      <c r="UXE79" s="2805"/>
      <c r="UXF79" s="2805"/>
      <c r="UXG79" s="2805"/>
      <c r="UXH79" s="2805"/>
      <c r="UXI79" s="2805"/>
      <c r="UXJ79" s="2805"/>
      <c r="UXK79" s="2805"/>
      <c r="UXL79" s="2805"/>
      <c r="UXM79" s="2805"/>
      <c r="UXN79" s="2805"/>
      <c r="UXO79" s="2805"/>
      <c r="UXP79" s="2805"/>
      <c r="UXQ79" s="2805"/>
      <c r="UXR79" s="2805"/>
      <c r="UXS79" s="2805"/>
      <c r="UXT79" s="2805"/>
      <c r="UXU79" s="2805"/>
      <c r="UXV79" s="2805"/>
      <c r="UXW79" s="2805"/>
      <c r="UXX79" s="2805"/>
      <c r="UXY79" s="2805"/>
      <c r="UXZ79" s="2805"/>
      <c r="UYA79" s="2805"/>
      <c r="UYB79" s="2805"/>
      <c r="UYC79" s="2805"/>
      <c r="UYD79" s="2805"/>
      <c r="UYE79" s="2805"/>
      <c r="UYF79" s="2805"/>
      <c r="UYG79" s="2805"/>
      <c r="UYH79" s="2805"/>
      <c r="UYI79" s="2805"/>
      <c r="UYJ79" s="2805"/>
      <c r="UYK79" s="2805"/>
      <c r="UYL79" s="2805"/>
      <c r="UYM79" s="2805"/>
      <c r="UYN79" s="2805"/>
      <c r="UYO79" s="2805"/>
      <c r="UYP79" s="2805"/>
      <c r="UYQ79" s="2805"/>
      <c r="UYR79" s="2805"/>
      <c r="UYS79" s="2805"/>
      <c r="UYT79" s="2805"/>
      <c r="UYU79" s="2805"/>
      <c r="UYV79" s="2805"/>
      <c r="UYW79" s="2805"/>
      <c r="UYX79" s="2805"/>
      <c r="UYY79" s="2805"/>
      <c r="UYZ79" s="2805"/>
      <c r="UZA79" s="2805"/>
      <c r="UZB79" s="2805"/>
      <c r="UZC79" s="2805"/>
      <c r="UZD79" s="2805"/>
      <c r="UZE79" s="2805"/>
      <c r="UZF79" s="2805"/>
      <c r="UZG79" s="2805"/>
      <c r="UZH79" s="2805"/>
      <c r="UZI79" s="2805"/>
      <c r="UZJ79" s="2805"/>
      <c r="UZK79" s="2805"/>
      <c r="UZL79" s="2805"/>
      <c r="UZM79" s="2805"/>
      <c r="UZN79" s="2805"/>
      <c r="UZO79" s="2805"/>
      <c r="UZP79" s="2805"/>
      <c r="UZQ79" s="2805"/>
      <c r="UZR79" s="2805"/>
      <c r="UZS79" s="2805"/>
      <c r="UZT79" s="2805"/>
      <c r="UZU79" s="2805"/>
      <c r="UZV79" s="2805"/>
      <c r="UZW79" s="2805"/>
      <c r="UZX79" s="2805"/>
      <c r="UZY79" s="2805"/>
      <c r="UZZ79" s="2805"/>
      <c r="VAA79" s="2805"/>
      <c r="VAB79" s="2805"/>
      <c r="VAC79" s="2805"/>
      <c r="VAD79" s="2805"/>
      <c r="VAE79" s="2805"/>
      <c r="VAF79" s="2805"/>
      <c r="VAG79" s="2805"/>
      <c r="VAH79" s="2805"/>
      <c r="VAI79" s="2805"/>
      <c r="VAJ79" s="2805"/>
      <c r="VAK79" s="2805"/>
      <c r="VAL79" s="2805"/>
      <c r="VAM79" s="2805"/>
      <c r="VAN79" s="2805"/>
      <c r="VAO79" s="2805"/>
      <c r="VAP79" s="2805"/>
      <c r="VAQ79" s="2805"/>
      <c r="VAR79" s="2805"/>
      <c r="VAS79" s="2805"/>
      <c r="VAT79" s="2805"/>
      <c r="VAU79" s="2805"/>
      <c r="VAV79" s="2805"/>
      <c r="VAW79" s="2805"/>
      <c r="VAX79" s="2805"/>
      <c r="VAY79" s="2805"/>
      <c r="VAZ79" s="2805"/>
      <c r="VBA79" s="2805"/>
      <c r="VBB79" s="2805"/>
      <c r="VBC79" s="2805"/>
      <c r="VBD79" s="2805"/>
      <c r="VBE79" s="2805"/>
      <c r="VBF79" s="2805"/>
      <c r="VBG79" s="2805"/>
      <c r="VBH79" s="2805"/>
      <c r="VBI79" s="2805"/>
      <c r="VBJ79" s="2805"/>
      <c r="VBK79" s="2805"/>
      <c r="VBL79" s="2805"/>
      <c r="VBM79" s="2805"/>
      <c r="VBN79" s="2805"/>
      <c r="VBO79" s="2805"/>
      <c r="VBP79" s="2805"/>
      <c r="VBQ79" s="2805"/>
      <c r="VBR79" s="2805"/>
      <c r="VBS79" s="2805"/>
      <c r="VBT79" s="2805"/>
      <c r="VBU79" s="2805"/>
      <c r="VBV79" s="2805"/>
      <c r="VBW79" s="2805"/>
      <c r="VBX79" s="2805"/>
      <c r="VBY79" s="2805"/>
      <c r="VBZ79" s="2805"/>
      <c r="VCA79" s="2805"/>
      <c r="VCB79" s="2805"/>
      <c r="VCC79" s="2805"/>
      <c r="VCD79" s="2805"/>
      <c r="VCE79" s="2805"/>
      <c r="VCF79" s="2805"/>
      <c r="VCG79" s="2805"/>
      <c r="VCH79" s="2805"/>
      <c r="VCI79" s="2805"/>
      <c r="VCJ79" s="2805"/>
      <c r="VCK79" s="2805"/>
      <c r="VCL79" s="2805"/>
      <c r="VCM79" s="2805"/>
      <c r="VCN79" s="2805"/>
      <c r="VCO79" s="2805"/>
      <c r="VCP79" s="2805"/>
      <c r="VCQ79" s="2805"/>
      <c r="VCR79" s="2805"/>
      <c r="VCS79" s="2805"/>
      <c r="VCT79" s="2805"/>
      <c r="VCU79" s="2805"/>
      <c r="VCV79" s="2805"/>
      <c r="VCW79" s="2805"/>
      <c r="VCX79" s="2805"/>
      <c r="VCY79" s="2805"/>
      <c r="VCZ79" s="2805"/>
      <c r="VDA79" s="2805"/>
      <c r="VDB79" s="2805"/>
      <c r="VDC79" s="2805"/>
      <c r="VDD79" s="2805"/>
      <c r="VDE79" s="2805"/>
      <c r="VDF79" s="2805"/>
      <c r="VDG79" s="2805"/>
      <c r="VDH79" s="2805"/>
      <c r="VDI79" s="2805"/>
      <c r="VDJ79" s="2805"/>
      <c r="VDK79" s="2805"/>
      <c r="VDL79" s="2805"/>
      <c r="VDM79" s="2805"/>
      <c r="VDN79" s="2805"/>
      <c r="VDO79" s="2805"/>
      <c r="VDP79" s="2805"/>
      <c r="VDQ79" s="2805"/>
      <c r="VDR79" s="2805"/>
      <c r="VDS79" s="2805"/>
      <c r="VDT79" s="2805"/>
      <c r="VDU79" s="2805"/>
      <c r="VDV79" s="2805"/>
      <c r="VDW79" s="2805"/>
      <c r="VDX79" s="2805"/>
      <c r="VDY79" s="2805"/>
      <c r="VDZ79" s="2805"/>
      <c r="VEA79" s="2805"/>
      <c r="VEB79" s="2805"/>
      <c r="VEC79" s="2805"/>
      <c r="VED79" s="2805"/>
      <c r="VEE79" s="2805"/>
      <c r="VEF79" s="2805"/>
      <c r="VEG79" s="2805"/>
      <c r="VEH79" s="2805"/>
      <c r="VEI79" s="2805"/>
      <c r="VEJ79" s="2805"/>
      <c r="VEK79" s="2805"/>
      <c r="VEL79" s="2805"/>
      <c r="VEM79" s="2805"/>
      <c r="VEN79" s="2805"/>
      <c r="VEO79" s="2805"/>
      <c r="VEP79" s="2805"/>
      <c r="VEQ79" s="2805"/>
      <c r="VER79" s="2805"/>
      <c r="VES79" s="2805"/>
      <c r="VET79" s="2805"/>
      <c r="VEU79" s="2805"/>
      <c r="VEV79" s="2805"/>
      <c r="VEW79" s="2805"/>
      <c r="VEX79" s="2805"/>
      <c r="VEY79" s="2805"/>
      <c r="VEZ79" s="2805"/>
      <c r="VFA79" s="2805"/>
      <c r="VFB79" s="2805"/>
      <c r="VFC79" s="2805"/>
      <c r="VFD79" s="2805"/>
      <c r="VFE79" s="2805"/>
      <c r="VFF79" s="2805"/>
      <c r="VFG79" s="2805"/>
      <c r="VFH79" s="2805"/>
      <c r="VFI79" s="2805"/>
      <c r="VFJ79" s="2805"/>
      <c r="VFK79" s="2805"/>
      <c r="VFL79" s="2805"/>
      <c r="VFM79" s="2805"/>
      <c r="VFN79" s="2805"/>
      <c r="VFO79" s="2805"/>
      <c r="VFP79" s="2805"/>
      <c r="VFQ79" s="2805"/>
      <c r="VFR79" s="2805"/>
      <c r="VFS79" s="2805"/>
      <c r="VFT79" s="2805"/>
      <c r="VFU79" s="2805"/>
      <c r="VFV79" s="2805"/>
      <c r="VFW79" s="2805"/>
      <c r="VFX79" s="2805"/>
      <c r="VFY79" s="2805"/>
      <c r="VFZ79" s="2805"/>
      <c r="VGA79" s="2805"/>
      <c r="VGB79" s="2805"/>
      <c r="VGC79" s="2805"/>
      <c r="VGD79" s="2805"/>
      <c r="VGE79" s="2805"/>
      <c r="VGF79" s="2805"/>
      <c r="VGG79" s="2805"/>
      <c r="VGH79" s="2805"/>
      <c r="VGI79" s="2805"/>
      <c r="VGJ79" s="2805"/>
      <c r="VGK79" s="2805"/>
      <c r="VGL79" s="2805"/>
      <c r="VGM79" s="2805"/>
      <c r="VGN79" s="2805"/>
      <c r="VGO79" s="2805"/>
      <c r="VGP79" s="2805"/>
      <c r="VGQ79" s="2805"/>
      <c r="VGR79" s="2805"/>
      <c r="VGS79" s="2805"/>
      <c r="VGT79" s="2805"/>
      <c r="VGU79" s="2805"/>
      <c r="VGV79" s="2805"/>
      <c r="VGW79" s="2805"/>
      <c r="VGX79" s="2805"/>
      <c r="VGY79" s="2805"/>
      <c r="VGZ79" s="2805"/>
      <c r="VHA79" s="2805"/>
      <c r="VHB79" s="2805"/>
      <c r="VHC79" s="2805"/>
      <c r="VHD79" s="2805"/>
      <c r="VHE79" s="2805"/>
      <c r="VHF79" s="2805"/>
      <c r="VHG79" s="2805"/>
      <c r="VHH79" s="2805"/>
      <c r="VHI79" s="2805"/>
      <c r="VHJ79" s="2805"/>
      <c r="VHK79" s="2805"/>
      <c r="VHL79" s="2805"/>
      <c r="VHM79" s="2805"/>
      <c r="VHN79" s="2805"/>
      <c r="VHO79" s="2805"/>
      <c r="VHP79" s="2805"/>
      <c r="VHQ79" s="2805"/>
      <c r="VHR79" s="2805"/>
      <c r="VHS79" s="2805"/>
      <c r="VHT79" s="2805"/>
      <c r="VHU79" s="2805"/>
      <c r="VHV79" s="2805"/>
      <c r="VHW79" s="2805"/>
      <c r="VHX79" s="2805"/>
      <c r="VHY79" s="2805"/>
      <c r="VHZ79" s="2805"/>
      <c r="VIA79" s="2805"/>
      <c r="VIB79" s="2805"/>
      <c r="VIC79" s="2805"/>
      <c r="VID79" s="2805"/>
      <c r="VIE79" s="2805"/>
      <c r="VIF79" s="2805"/>
      <c r="VIG79" s="2805"/>
      <c r="VIH79" s="2805"/>
      <c r="VII79" s="2805"/>
      <c r="VIJ79" s="2805"/>
      <c r="VIK79" s="2805"/>
      <c r="VIL79" s="2805"/>
      <c r="VIM79" s="2805"/>
      <c r="VIN79" s="2805"/>
      <c r="VIO79" s="2805"/>
      <c r="VIP79" s="2805"/>
      <c r="VIQ79" s="2805"/>
      <c r="VIR79" s="2805"/>
      <c r="VIS79" s="2805"/>
      <c r="VIT79" s="2805"/>
      <c r="VIU79" s="2805"/>
      <c r="VIV79" s="2805"/>
      <c r="VIW79" s="2805"/>
      <c r="VIX79" s="2805"/>
      <c r="VIY79" s="2805"/>
      <c r="VIZ79" s="2805"/>
      <c r="VJA79" s="2805"/>
      <c r="VJB79" s="2805"/>
      <c r="VJC79" s="2805"/>
      <c r="VJD79" s="2805"/>
      <c r="VJE79" s="2805"/>
      <c r="VJF79" s="2805"/>
      <c r="VJG79" s="2805"/>
      <c r="VJH79" s="2805"/>
      <c r="VJI79" s="2805"/>
      <c r="VJJ79" s="2805"/>
      <c r="VJK79" s="2805"/>
      <c r="VJL79" s="2805"/>
      <c r="VJM79" s="2805"/>
      <c r="VJN79" s="2805"/>
      <c r="VJO79" s="2805"/>
      <c r="VJP79" s="2805"/>
      <c r="VJQ79" s="2805"/>
      <c r="VJR79" s="2805"/>
      <c r="VJS79" s="2805"/>
      <c r="VJT79" s="2805"/>
      <c r="VJU79" s="2805"/>
      <c r="VJV79" s="2805"/>
      <c r="VJW79" s="2805"/>
      <c r="VJX79" s="2805"/>
      <c r="VJY79" s="2805"/>
      <c r="VJZ79" s="2805"/>
      <c r="VKA79" s="2805"/>
      <c r="VKB79" s="2805"/>
      <c r="VKC79" s="2805"/>
      <c r="VKD79" s="2805"/>
      <c r="VKE79" s="2805"/>
      <c r="VKF79" s="2805"/>
      <c r="VKG79" s="2805"/>
      <c r="VKH79" s="2805"/>
      <c r="VKI79" s="2805"/>
      <c r="VKJ79" s="2805"/>
      <c r="VKK79" s="2805"/>
      <c r="VKL79" s="2805"/>
      <c r="VKM79" s="2805"/>
      <c r="VKN79" s="2805"/>
      <c r="VKO79" s="2805"/>
      <c r="VKP79" s="2805"/>
      <c r="VKQ79" s="2805"/>
      <c r="VKR79" s="2805"/>
      <c r="VKS79" s="2805"/>
      <c r="VKT79" s="2805"/>
      <c r="VKU79" s="2805"/>
      <c r="VKV79" s="2805"/>
      <c r="VKW79" s="2805"/>
      <c r="VKX79" s="2805"/>
      <c r="VKY79" s="2805"/>
      <c r="VKZ79" s="2805"/>
      <c r="VLA79" s="2805"/>
      <c r="VLB79" s="2805"/>
      <c r="VLC79" s="2805"/>
      <c r="VLD79" s="2805"/>
      <c r="VLE79" s="2805"/>
      <c r="VLF79" s="2805"/>
      <c r="VLG79" s="2805"/>
      <c r="VLH79" s="2805"/>
      <c r="VLI79" s="2805"/>
      <c r="VLJ79" s="2805"/>
      <c r="VLK79" s="2805"/>
      <c r="VLL79" s="2805"/>
      <c r="VLM79" s="2805"/>
      <c r="VLN79" s="2805"/>
      <c r="VLO79" s="2805"/>
      <c r="VLP79" s="2805"/>
      <c r="VLQ79" s="2805"/>
      <c r="VLR79" s="2805"/>
      <c r="VLS79" s="2805"/>
      <c r="VLT79" s="2805"/>
      <c r="VLU79" s="2805"/>
      <c r="VLV79" s="2805"/>
      <c r="VLW79" s="2805"/>
      <c r="VLX79" s="2805"/>
      <c r="VLY79" s="2805"/>
      <c r="VLZ79" s="2805"/>
      <c r="VMA79" s="2805"/>
      <c r="VMB79" s="2805"/>
      <c r="VMC79" s="2805"/>
      <c r="VMD79" s="2805"/>
      <c r="VME79" s="2805"/>
      <c r="VMF79" s="2805"/>
      <c r="VMG79" s="2805"/>
      <c r="VMH79" s="2805"/>
      <c r="VMI79" s="2805"/>
      <c r="VMJ79" s="2805"/>
      <c r="VMK79" s="2805"/>
      <c r="VML79" s="2805"/>
      <c r="VMM79" s="2805"/>
      <c r="VMN79" s="2805"/>
      <c r="VMO79" s="2805"/>
      <c r="VMP79" s="2805"/>
      <c r="VMQ79" s="2805"/>
      <c r="VMR79" s="2805"/>
      <c r="VMS79" s="2805"/>
      <c r="VMT79" s="2805"/>
      <c r="VMU79" s="2805"/>
      <c r="VMV79" s="2805"/>
      <c r="VMW79" s="2805"/>
      <c r="VMX79" s="2805"/>
      <c r="VMY79" s="2805"/>
      <c r="VMZ79" s="2805"/>
      <c r="VNA79" s="2805"/>
      <c r="VNB79" s="2805"/>
      <c r="VNC79" s="2805"/>
      <c r="VND79" s="2805"/>
      <c r="VNE79" s="2805"/>
      <c r="VNF79" s="2805"/>
      <c r="VNG79" s="2805"/>
      <c r="VNH79" s="2805"/>
      <c r="VNI79" s="2805"/>
      <c r="VNJ79" s="2805"/>
      <c r="VNK79" s="2805"/>
      <c r="VNL79" s="2805"/>
      <c r="VNM79" s="2805"/>
      <c r="VNN79" s="2805"/>
      <c r="VNO79" s="2805"/>
      <c r="VNP79" s="2805"/>
      <c r="VNQ79" s="2805"/>
      <c r="VNR79" s="2805"/>
      <c r="VNS79" s="2805"/>
      <c r="VNT79" s="2805"/>
      <c r="VNU79" s="2805"/>
      <c r="VNV79" s="2805"/>
      <c r="VNW79" s="2805"/>
      <c r="VNX79" s="2805"/>
      <c r="VNY79" s="2805"/>
      <c r="VNZ79" s="2805"/>
      <c r="VOA79" s="2805"/>
      <c r="VOB79" s="2805"/>
      <c r="VOC79" s="2805"/>
      <c r="VOD79" s="2805"/>
      <c r="VOE79" s="2805"/>
      <c r="VOF79" s="2805"/>
      <c r="VOG79" s="2805"/>
      <c r="VOH79" s="2805"/>
      <c r="VOI79" s="2805"/>
      <c r="VOJ79" s="2805"/>
      <c r="VOK79" s="2805"/>
      <c r="VOL79" s="2805"/>
      <c r="VOM79" s="2805"/>
      <c r="VON79" s="2805"/>
      <c r="VOO79" s="2805"/>
      <c r="VOP79" s="2805"/>
      <c r="VOQ79" s="2805"/>
      <c r="VOR79" s="2805"/>
      <c r="VOS79" s="2805"/>
      <c r="VOT79" s="2805"/>
      <c r="VOU79" s="2805"/>
      <c r="VOV79" s="2805"/>
      <c r="VOW79" s="2805"/>
      <c r="VOX79" s="2805"/>
      <c r="VOY79" s="2805"/>
      <c r="VOZ79" s="2805"/>
      <c r="VPA79" s="2805"/>
      <c r="VPB79" s="2805"/>
      <c r="VPC79" s="2805"/>
      <c r="VPD79" s="2805"/>
      <c r="VPE79" s="2805"/>
      <c r="VPF79" s="2805"/>
      <c r="VPG79" s="2805"/>
      <c r="VPH79" s="2805"/>
      <c r="VPI79" s="2805"/>
      <c r="VPJ79" s="2805"/>
      <c r="VPK79" s="2805"/>
      <c r="VPL79" s="2805"/>
      <c r="VPM79" s="2805"/>
      <c r="VPN79" s="2805"/>
      <c r="VPO79" s="2805"/>
      <c r="VPP79" s="2805"/>
      <c r="VPQ79" s="2805"/>
      <c r="VPR79" s="2805"/>
      <c r="VPS79" s="2805"/>
      <c r="VPT79" s="2805"/>
      <c r="VPU79" s="2805"/>
      <c r="VPV79" s="2805"/>
      <c r="VPW79" s="2805"/>
      <c r="VPX79" s="2805"/>
      <c r="VPY79" s="2805"/>
      <c r="VPZ79" s="2805"/>
      <c r="VQA79" s="2805"/>
      <c r="VQB79" s="2805"/>
      <c r="VQC79" s="2805"/>
      <c r="VQD79" s="2805"/>
      <c r="VQE79" s="2805"/>
      <c r="VQF79" s="2805"/>
      <c r="VQG79" s="2805"/>
      <c r="VQH79" s="2805"/>
      <c r="VQI79" s="2805"/>
      <c r="VQJ79" s="2805"/>
      <c r="VQK79" s="2805"/>
      <c r="VQL79" s="2805"/>
      <c r="VQM79" s="2805"/>
      <c r="VQN79" s="2805"/>
      <c r="VQO79" s="2805"/>
      <c r="VQP79" s="2805"/>
      <c r="VQQ79" s="2805"/>
      <c r="VQR79" s="2805"/>
      <c r="VQS79" s="2805"/>
      <c r="VQT79" s="2805"/>
      <c r="VQU79" s="2805"/>
      <c r="VQV79" s="2805"/>
      <c r="VQW79" s="2805"/>
      <c r="VQX79" s="2805"/>
      <c r="VQY79" s="2805"/>
      <c r="VQZ79" s="2805"/>
      <c r="VRA79" s="2805"/>
      <c r="VRB79" s="2805"/>
      <c r="VRC79" s="2805"/>
      <c r="VRD79" s="2805"/>
      <c r="VRE79" s="2805"/>
      <c r="VRF79" s="2805"/>
      <c r="VRG79" s="2805"/>
      <c r="VRH79" s="2805"/>
      <c r="VRI79" s="2805"/>
      <c r="VRJ79" s="2805"/>
      <c r="VRK79" s="2805"/>
      <c r="VRL79" s="2805"/>
      <c r="VRM79" s="2805"/>
      <c r="VRN79" s="2805"/>
      <c r="VRO79" s="2805"/>
      <c r="VRP79" s="2805"/>
      <c r="VRQ79" s="2805"/>
      <c r="VRR79" s="2805"/>
      <c r="VRS79" s="2805"/>
      <c r="VRT79" s="2805"/>
      <c r="VRU79" s="2805"/>
      <c r="VRV79" s="2805"/>
      <c r="VRW79" s="2805"/>
      <c r="VRX79" s="2805"/>
      <c r="VRY79" s="2805"/>
      <c r="VRZ79" s="2805"/>
      <c r="VSA79" s="2805"/>
      <c r="VSB79" s="2805"/>
      <c r="VSC79" s="2805"/>
      <c r="VSD79" s="2805"/>
      <c r="VSE79" s="2805"/>
      <c r="VSF79" s="2805"/>
      <c r="VSG79" s="2805"/>
      <c r="VSH79" s="2805"/>
      <c r="VSI79" s="2805"/>
      <c r="VSJ79" s="2805"/>
      <c r="VSK79" s="2805"/>
      <c r="VSL79" s="2805"/>
      <c r="VSM79" s="2805"/>
      <c r="VSN79" s="2805"/>
      <c r="VSO79" s="2805"/>
      <c r="VSP79" s="2805"/>
      <c r="VSQ79" s="2805"/>
      <c r="VSR79" s="2805"/>
      <c r="VSS79" s="2805"/>
      <c r="VST79" s="2805"/>
      <c r="VSU79" s="2805"/>
      <c r="VSV79" s="2805"/>
      <c r="VSW79" s="2805"/>
      <c r="VSX79" s="2805"/>
      <c r="VSY79" s="2805"/>
      <c r="VSZ79" s="2805"/>
      <c r="VTA79" s="2805"/>
      <c r="VTB79" s="2805"/>
      <c r="VTC79" s="2805"/>
      <c r="VTD79" s="2805"/>
      <c r="VTE79" s="2805"/>
      <c r="VTF79" s="2805"/>
      <c r="VTG79" s="2805"/>
      <c r="VTH79" s="2805"/>
      <c r="VTI79" s="2805"/>
      <c r="VTJ79" s="2805"/>
      <c r="VTK79" s="2805"/>
      <c r="VTL79" s="2805"/>
      <c r="VTM79" s="2805"/>
      <c r="VTN79" s="2805"/>
      <c r="VTO79" s="2805"/>
      <c r="VTP79" s="2805"/>
      <c r="VTQ79" s="2805"/>
      <c r="VTR79" s="2805"/>
      <c r="VTS79" s="2805"/>
      <c r="VTT79" s="2805"/>
      <c r="VTU79" s="2805"/>
      <c r="VTV79" s="2805"/>
      <c r="VTW79" s="2805"/>
      <c r="VTX79" s="2805"/>
      <c r="VTY79" s="2805"/>
      <c r="VTZ79" s="2805"/>
      <c r="VUA79" s="2805"/>
      <c r="VUB79" s="2805"/>
      <c r="VUC79" s="2805"/>
      <c r="VUD79" s="2805"/>
      <c r="VUE79" s="2805"/>
      <c r="VUF79" s="2805"/>
      <c r="VUG79" s="2805"/>
      <c r="VUH79" s="2805"/>
      <c r="VUI79" s="2805"/>
      <c r="VUJ79" s="2805"/>
      <c r="VUK79" s="2805"/>
      <c r="VUL79" s="2805"/>
      <c r="VUM79" s="2805"/>
      <c r="VUN79" s="2805"/>
      <c r="VUO79" s="2805"/>
      <c r="VUP79" s="2805"/>
      <c r="VUQ79" s="2805"/>
      <c r="VUR79" s="2805"/>
      <c r="VUS79" s="2805"/>
      <c r="VUT79" s="2805"/>
      <c r="VUU79" s="2805"/>
      <c r="VUV79" s="2805"/>
      <c r="VUW79" s="2805"/>
      <c r="VUX79" s="2805"/>
      <c r="VUY79" s="2805"/>
      <c r="VUZ79" s="2805"/>
      <c r="VVA79" s="2805"/>
      <c r="VVB79" s="2805"/>
      <c r="VVC79" s="2805"/>
      <c r="VVD79" s="2805"/>
      <c r="VVE79" s="2805"/>
      <c r="VVF79" s="2805"/>
      <c r="VVG79" s="2805"/>
      <c r="VVH79" s="2805"/>
      <c r="VVI79" s="2805"/>
      <c r="VVJ79" s="2805"/>
      <c r="VVK79" s="2805"/>
      <c r="VVL79" s="2805"/>
      <c r="VVM79" s="2805"/>
      <c r="VVN79" s="2805"/>
      <c r="VVO79" s="2805"/>
      <c r="VVP79" s="2805"/>
      <c r="VVQ79" s="2805"/>
      <c r="VVR79" s="2805"/>
      <c r="VVS79" s="2805"/>
      <c r="VVT79" s="2805"/>
      <c r="VVU79" s="2805"/>
      <c r="VVV79" s="2805"/>
      <c r="VVW79" s="2805"/>
      <c r="VVX79" s="2805"/>
      <c r="VVY79" s="2805"/>
      <c r="VVZ79" s="2805"/>
      <c r="VWA79" s="2805"/>
      <c r="VWB79" s="2805"/>
      <c r="VWC79" s="2805"/>
      <c r="VWD79" s="2805"/>
      <c r="VWE79" s="2805"/>
      <c r="VWF79" s="2805"/>
      <c r="VWG79" s="2805"/>
      <c r="VWH79" s="2805"/>
      <c r="VWI79" s="2805"/>
      <c r="VWJ79" s="2805"/>
      <c r="VWK79" s="2805"/>
      <c r="VWL79" s="2805"/>
      <c r="VWM79" s="2805"/>
      <c r="VWN79" s="2805"/>
      <c r="VWO79" s="2805"/>
      <c r="VWP79" s="2805"/>
      <c r="VWQ79" s="2805"/>
      <c r="VWR79" s="2805"/>
      <c r="VWS79" s="2805"/>
      <c r="VWT79" s="2805"/>
      <c r="VWU79" s="2805"/>
      <c r="VWV79" s="2805"/>
      <c r="VWW79" s="2805"/>
      <c r="VWX79" s="2805"/>
      <c r="VWY79" s="2805"/>
      <c r="VWZ79" s="2805"/>
      <c r="VXA79" s="2805"/>
      <c r="VXB79" s="2805"/>
      <c r="VXC79" s="2805"/>
      <c r="VXD79" s="2805"/>
      <c r="VXE79" s="2805"/>
      <c r="VXF79" s="2805"/>
      <c r="VXG79" s="2805"/>
      <c r="VXH79" s="2805"/>
      <c r="VXI79" s="2805"/>
      <c r="VXJ79" s="2805"/>
      <c r="VXK79" s="2805"/>
      <c r="VXL79" s="2805"/>
      <c r="VXM79" s="2805"/>
      <c r="VXN79" s="2805"/>
      <c r="VXO79" s="2805"/>
      <c r="VXP79" s="2805"/>
      <c r="VXQ79" s="2805"/>
      <c r="VXR79" s="2805"/>
      <c r="VXS79" s="2805"/>
      <c r="VXT79" s="2805"/>
      <c r="VXU79" s="2805"/>
      <c r="VXV79" s="2805"/>
      <c r="VXW79" s="2805"/>
      <c r="VXX79" s="2805"/>
      <c r="VXY79" s="2805"/>
      <c r="VXZ79" s="2805"/>
      <c r="VYA79" s="2805"/>
      <c r="VYB79" s="2805"/>
      <c r="VYC79" s="2805"/>
      <c r="VYD79" s="2805"/>
      <c r="VYE79" s="2805"/>
      <c r="VYF79" s="2805"/>
      <c r="VYG79" s="2805"/>
      <c r="VYH79" s="2805"/>
      <c r="VYI79" s="2805"/>
      <c r="VYJ79" s="2805"/>
      <c r="VYK79" s="2805"/>
      <c r="VYL79" s="2805"/>
      <c r="VYM79" s="2805"/>
      <c r="VYN79" s="2805"/>
      <c r="VYO79" s="2805"/>
      <c r="VYP79" s="2805"/>
      <c r="VYQ79" s="2805"/>
      <c r="VYR79" s="2805"/>
      <c r="VYS79" s="2805"/>
      <c r="VYT79" s="2805"/>
      <c r="VYU79" s="2805"/>
      <c r="VYV79" s="2805"/>
      <c r="VYW79" s="2805"/>
      <c r="VYX79" s="2805"/>
      <c r="VYY79" s="2805"/>
      <c r="VYZ79" s="2805"/>
      <c r="VZA79" s="2805"/>
      <c r="VZB79" s="2805"/>
      <c r="VZC79" s="2805"/>
      <c r="VZD79" s="2805"/>
      <c r="VZE79" s="2805"/>
      <c r="VZF79" s="2805"/>
      <c r="VZG79" s="2805"/>
      <c r="VZH79" s="2805"/>
      <c r="VZI79" s="2805"/>
      <c r="VZJ79" s="2805"/>
      <c r="VZK79" s="2805"/>
      <c r="VZL79" s="2805"/>
      <c r="VZM79" s="2805"/>
      <c r="VZN79" s="2805"/>
      <c r="VZO79" s="2805"/>
      <c r="VZP79" s="2805"/>
      <c r="VZQ79" s="2805"/>
      <c r="VZR79" s="2805"/>
      <c r="VZS79" s="2805"/>
      <c r="VZT79" s="2805"/>
      <c r="VZU79" s="2805"/>
      <c r="VZV79" s="2805"/>
      <c r="VZW79" s="2805"/>
      <c r="VZX79" s="2805"/>
      <c r="VZY79" s="2805"/>
      <c r="VZZ79" s="2805"/>
      <c r="WAA79" s="2805"/>
      <c r="WAB79" s="2805"/>
      <c r="WAC79" s="2805"/>
      <c r="WAD79" s="2805"/>
      <c r="WAE79" s="2805"/>
      <c r="WAF79" s="2805"/>
      <c r="WAG79" s="2805"/>
      <c r="WAH79" s="2805"/>
      <c r="WAI79" s="2805"/>
      <c r="WAJ79" s="2805"/>
      <c r="WAK79" s="2805"/>
      <c r="WAL79" s="2805"/>
      <c r="WAM79" s="2805"/>
      <c r="WAN79" s="2805"/>
      <c r="WAO79" s="2805"/>
      <c r="WAP79" s="2805"/>
      <c r="WAQ79" s="2805"/>
      <c r="WAR79" s="2805"/>
      <c r="WAS79" s="2805"/>
      <c r="WAT79" s="2805"/>
      <c r="WAU79" s="2805"/>
      <c r="WAV79" s="2805"/>
      <c r="WAW79" s="2805"/>
      <c r="WAX79" s="2805"/>
      <c r="WAY79" s="2805"/>
      <c r="WAZ79" s="2805"/>
      <c r="WBA79" s="2805"/>
      <c r="WBB79" s="2805"/>
      <c r="WBC79" s="2805"/>
      <c r="WBD79" s="2805"/>
      <c r="WBE79" s="2805"/>
      <c r="WBF79" s="2805"/>
      <c r="WBG79" s="2805"/>
      <c r="WBH79" s="2805"/>
      <c r="WBI79" s="2805"/>
      <c r="WBJ79" s="2805"/>
      <c r="WBK79" s="2805"/>
      <c r="WBL79" s="2805"/>
      <c r="WBM79" s="2805"/>
      <c r="WBN79" s="2805"/>
      <c r="WBO79" s="2805"/>
      <c r="WBP79" s="2805"/>
      <c r="WBQ79" s="2805"/>
      <c r="WBR79" s="2805"/>
      <c r="WBS79" s="2805"/>
      <c r="WBT79" s="2805"/>
      <c r="WBU79" s="2805"/>
      <c r="WBV79" s="2805"/>
      <c r="WBW79" s="2805"/>
      <c r="WBX79" s="2805"/>
      <c r="WBY79" s="2805"/>
      <c r="WBZ79" s="2805"/>
      <c r="WCA79" s="2805"/>
      <c r="WCB79" s="2805"/>
      <c r="WCC79" s="2805"/>
      <c r="WCD79" s="2805"/>
      <c r="WCE79" s="2805"/>
      <c r="WCF79" s="2805"/>
      <c r="WCG79" s="2805"/>
      <c r="WCH79" s="2805"/>
      <c r="WCI79" s="2805"/>
      <c r="WCJ79" s="2805"/>
      <c r="WCK79" s="2805"/>
      <c r="WCL79" s="2805"/>
      <c r="WCM79" s="2805"/>
      <c r="WCN79" s="2805"/>
      <c r="WCO79" s="2805"/>
      <c r="WCP79" s="2805"/>
      <c r="WCQ79" s="2805"/>
      <c r="WCR79" s="2805"/>
      <c r="WCS79" s="2805"/>
      <c r="WCT79" s="2805"/>
      <c r="WCU79" s="2805"/>
      <c r="WCV79" s="2805"/>
      <c r="WCW79" s="2805"/>
      <c r="WCX79" s="2805"/>
      <c r="WCY79" s="2805"/>
      <c r="WCZ79" s="2805"/>
      <c r="WDA79" s="2805"/>
      <c r="WDB79" s="2805"/>
      <c r="WDC79" s="2805"/>
      <c r="WDD79" s="2805"/>
      <c r="WDE79" s="2805"/>
      <c r="WDF79" s="2805"/>
      <c r="WDG79" s="2805"/>
      <c r="WDH79" s="2805"/>
      <c r="WDI79" s="2805"/>
      <c r="WDJ79" s="2805"/>
      <c r="WDK79" s="2805"/>
      <c r="WDL79" s="2805"/>
      <c r="WDM79" s="2805"/>
      <c r="WDN79" s="2805"/>
      <c r="WDO79" s="2805"/>
      <c r="WDP79" s="2805"/>
      <c r="WDQ79" s="2805"/>
      <c r="WDR79" s="2805"/>
      <c r="WDS79" s="2805"/>
      <c r="WDT79" s="2805"/>
      <c r="WDU79" s="2805"/>
      <c r="WDV79" s="2805"/>
      <c r="WDW79" s="2805"/>
      <c r="WDX79" s="2805"/>
      <c r="WDY79" s="2805"/>
      <c r="WDZ79" s="2805"/>
      <c r="WEA79" s="2805"/>
      <c r="WEB79" s="2805"/>
      <c r="WEC79" s="2805"/>
      <c r="WED79" s="2805"/>
      <c r="WEE79" s="2805"/>
      <c r="WEF79" s="2805"/>
      <c r="WEG79" s="2805"/>
      <c r="WEH79" s="2805"/>
      <c r="WEI79" s="2805"/>
      <c r="WEJ79" s="2805"/>
      <c r="WEK79" s="2805"/>
      <c r="WEL79" s="2805"/>
      <c r="WEM79" s="2805"/>
      <c r="WEN79" s="2805"/>
      <c r="WEO79" s="2805"/>
      <c r="WEP79" s="2805"/>
      <c r="WEQ79" s="2805"/>
      <c r="WER79" s="2805"/>
      <c r="WES79" s="2805"/>
      <c r="WET79" s="2805"/>
      <c r="WEU79" s="2805"/>
      <c r="WEV79" s="2805"/>
      <c r="WEW79" s="2805"/>
      <c r="WEX79" s="2805"/>
      <c r="WEY79" s="2805"/>
      <c r="WEZ79" s="2805"/>
      <c r="WFA79" s="2805"/>
      <c r="WFB79" s="2805"/>
      <c r="WFC79" s="2805"/>
      <c r="WFD79" s="2805"/>
      <c r="WFE79" s="2805"/>
      <c r="WFF79" s="2805"/>
      <c r="WFG79" s="2805"/>
      <c r="WFH79" s="2805"/>
      <c r="WFI79" s="2805"/>
      <c r="WFJ79" s="2805"/>
      <c r="WFK79" s="2805"/>
      <c r="WFL79" s="2805"/>
      <c r="WFM79" s="2805"/>
      <c r="WFN79" s="2805"/>
      <c r="WFO79" s="2805"/>
      <c r="WFP79" s="2805"/>
      <c r="WFQ79" s="2805"/>
      <c r="WFR79" s="2805"/>
      <c r="WFS79" s="2805"/>
      <c r="WFT79" s="2805"/>
      <c r="WFU79" s="2805"/>
      <c r="WFV79" s="2805"/>
      <c r="WFW79" s="2805"/>
      <c r="WFX79" s="2805"/>
      <c r="WFY79" s="2805"/>
      <c r="WFZ79" s="2805"/>
      <c r="WGA79" s="2805"/>
      <c r="WGB79" s="2805"/>
      <c r="WGC79" s="2805"/>
      <c r="WGD79" s="2805"/>
      <c r="WGE79" s="2805"/>
      <c r="WGF79" s="2805"/>
      <c r="WGG79" s="2805"/>
      <c r="WGH79" s="2805"/>
      <c r="WGI79" s="2805"/>
      <c r="WGJ79" s="2805"/>
      <c r="WGK79" s="2805"/>
      <c r="WGL79" s="2805"/>
      <c r="WGM79" s="2805"/>
      <c r="WGN79" s="2805"/>
      <c r="WGO79" s="2805"/>
      <c r="WGP79" s="2805"/>
      <c r="WGQ79" s="2805"/>
      <c r="WGR79" s="2805"/>
      <c r="WGS79" s="2805"/>
      <c r="WGT79" s="2805"/>
      <c r="WGU79" s="2805"/>
      <c r="WGV79" s="2805"/>
      <c r="WGW79" s="2805"/>
      <c r="WGX79" s="2805"/>
      <c r="WGY79" s="2805"/>
      <c r="WGZ79" s="2805"/>
      <c r="WHA79" s="2805"/>
      <c r="WHB79" s="2805"/>
      <c r="WHC79" s="2805"/>
      <c r="WHD79" s="2805"/>
      <c r="WHE79" s="2805"/>
      <c r="WHF79" s="2805"/>
      <c r="WHG79" s="2805"/>
      <c r="WHH79" s="2805"/>
      <c r="WHI79" s="2805"/>
      <c r="WHJ79" s="2805"/>
      <c r="WHK79" s="2805"/>
      <c r="WHL79" s="2805"/>
      <c r="WHM79" s="2805"/>
      <c r="WHN79" s="2805"/>
      <c r="WHO79" s="2805"/>
      <c r="WHP79" s="2805"/>
      <c r="WHQ79" s="2805"/>
      <c r="WHR79" s="2805"/>
      <c r="WHS79" s="2805"/>
      <c r="WHT79" s="2805"/>
      <c r="WHU79" s="2805"/>
      <c r="WHV79" s="2805"/>
      <c r="WHW79" s="2805"/>
      <c r="WHX79" s="2805"/>
      <c r="WHY79" s="2805"/>
      <c r="WHZ79" s="2805"/>
      <c r="WIA79" s="2805"/>
      <c r="WIB79" s="2805"/>
      <c r="WIC79" s="2805"/>
      <c r="WID79" s="2805"/>
      <c r="WIE79" s="2805"/>
      <c r="WIF79" s="2805"/>
      <c r="WIG79" s="2805"/>
      <c r="WIH79" s="2805"/>
      <c r="WII79" s="2805"/>
      <c r="WIJ79" s="2805"/>
      <c r="WIK79" s="2805"/>
      <c r="WIL79" s="2805"/>
      <c r="WIM79" s="2805"/>
      <c r="WIN79" s="2805"/>
      <c r="WIO79" s="2805"/>
      <c r="WIP79" s="2805"/>
      <c r="WIQ79" s="2805"/>
      <c r="WIR79" s="2805"/>
      <c r="WIS79" s="2805"/>
      <c r="WIT79" s="2805"/>
      <c r="WIU79" s="2805"/>
      <c r="WIV79" s="2805"/>
      <c r="WIW79" s="2805"/>
      <c r="WIX79" s="2805"/>
      <c r="WIY79" s="2805"/>
      <c r="WIZ79" s="2805"/>
      <c r="WJA79" s="2805"/>
      <c r="WJB79" s="2805"/>
      <c r="WJC79" s="2805"/>
      <c r="WJD79" s="2805"/>
      <c r="WJE79" s="2805"/>
      <c r="WJF79" s="2805"/>
      <c r="WJG79" s="2805"/>
      <c r="WJH79" s="2805"/>
      <c r="WJI79" s="2805"/>
      <c r="WJJ79" s="2805"/>
      <c r="WJK79" s="2805"/>
      <c r="WJL79" s="2805"/>
      <c r="WJM79" s="2805"/>
      <c r="WJN79" s="2805"/>
      <c r="WJO79" s="2805"/>
      <c r="WJP79" s="2805"/>
      <c r="WJQ79" s="2805"/>
      <c r="WJR79" s="2805"/>
      <c r="WJS79" s="2805"/>
      <c r="WJT79" s="2805"/>
      <c r="WJU79" s="2805"/>
      <c r="WJV79" s="2805"/>
      <c r="WJW79" s="2805"/>
      <c r="WJX79" s="2805"/>
      <c r="WJY79" s="2805"/>
      <c r="WJZ79" s="2805"/>
      <c r="WKA79" s="2805"/>
      <c r="WKB79" s="2805"/>
      <c r="WKC79" s="2805"/>
      <c r="WKD79" s="2805"/>
      <c r="WKE79" s="2805"/>
      <c r="WKF79" s="2805"/>
      <c r="WKG79" s="2805"/>
      <c r="WKH79" s="2805"/>
      <c r="WKI79" s="2805"/>
      <c r="WKJ79" s="2805"/>
      <c r="WKK79" s="2805"/>
      <c r="WKL79" s="2805"/>
      <c r="WKM79" s="2805"/>
      <c r="WKN79" s="2805"/>
      <c r="WKO79" s="2805"/>
      <c r="WKP79" s="2805"/>
      <c r="WKQ79" s="2805"/>
      <c r="WKR79" s="2805"/>
      <c r="WKS79" s="2805"/>
      <c r="WKT79" s="2805"/>
      <c r="WKU79" s="2805"/>
      <c r="WKV79" s="2805"/>
      <c r="WKW79" s="2805"/>
      <c r="WKX79" s="2805"/>
      <c r="WKY79" s="2805"/>
      <c r="WKZ79" s="2805"/>
      <c r="WLA79" s="2805"/>
      <c r="WLB79" s="2805"/>
      <c r="WLC79" s="2805"/>
      <c r="WLD79" s="2805"/>
      <c r="WLE79" s="2805"/>
      <c r="WLF79" s="2805"/>
      <c r="WLG79" s="2805"/>
      <c r="WLH79" s="2805"/>
      <c r="WLI79" s="2805"/>
      <c r="WLJ79" s="2805"/>
      <c r="WLK79" s="2805"/>
      <c r="WLL79" s="2805"/>
      <c r="WLM79" s="2805"/>
      <c r="WLN79" s="2805"/>
      <c r="WLO79" s="2805"/>
      <c r="WLP79" s="2805"/>
      <c r="WLQ79" s="2805"/>
      <c r="WLR79" s="2805"/>
      <c r="WLS79" s="2805"/>
      <c r="WLT79" s="2805"/>
      <c r="WLU79" s="2805"/>
      <c r="WLV79" s="2805"/>
      <c r="WLW79" s="2805"/>
      <c r="WLX79" s="2805"/>
      <c r="WLY79" s="2805"/>
      <c r="WLZ79" s="2805"/>
      <c r="WMA79" s="2805"/>
      <c r="WMB79" s="2805"/>
      <c r="WMC79" s="2805"/>
      <c r="WMD79" s="2805"/>
      <c r="WME79" s="2805"/>
      <c r="WMF79" s="2805"/>
      <c r="WMG79" s="2805"/>
      <c r="WMH79" s="2805"/>
      <c r="WMI79" s="2805"/>
      <c r="WMJ79" s="2805"/>
      <c r="WMK79" s="2805"/>
      <c r="WML79" s="2805"/>
      <c r="WMM79" s="2805"/>
      <c r="WMN79" s="2805"/>
      <c r="WMO79" s="2805"/>
      <c r="WMP79" s="2805"/>
      <c r="WMQ79" s="2805"/>
      <c r="WMR79" s="2805"/>
      <c r="WMS79" s="2805"/>
      <c r="WMT79" s="2805"/>
      <c r="WMU79" s="2805"/>
      <c r="WMV79" s="2805"/>
      <c r="WMW79" s="2805"/>
      <c r="WMX79" s="2805"/>
      <c r="WMY79" s="2805"/>
      <c r="WMZ79" s="2805"/>
      <c r="WNA79" s="2805"/>
      <c r="WNB79" s="2805"/>
      <c r="WNC79" s="2805"/>
      <c r="WND79" s="2805"/>
      <c r="WNE79" s="2805"/>
      <c r="WNF79" s="2805"/>
      <c r="WNG79" s="2805"/>
      <c r="WNH79" s="2805"/>
      <c r="WNI79" s="2805"/>
      <c r="WNJ79" s="2805"/>
      <c r="WNK79" s="2805"/>
      <c r="WNL79" s="2805"/>
      <c r="WNM79" s="2805"/>
      <c r="WNN79" s="2805"/>
      <c r="WNO79" s="2805"/>
      <c r="WNP79" s="2805"/>
      <c r="WNQ79" s="2805"/>
      <c r="WNR79" s="2805"/>
      <c r="WNS79" s="2805"/>
      <c r="WNT79" s="2805"/>
      <c r="WNU79" s="2805"/>
      <c r="WNV79" s="2805"/>
      <c r="WNW79" s="2805"/>
      <c r="WNX79" s="2805"/>
      <c r="WNY79" s="2805"/>
      <c r="WNZ79" s="2805"/>
      <c r="WOA79" s="2805"/>
      <c r="WOB79" s="2805"/>
      <c r="WOC79" s="2805"/>
      <c r="WOD79" s="2805"/>
      <c r="WOE79" s="2805"/>
      <c r="WOF79" s="2805"/>
      <c r="WOG79" s="2805"/>
      <c r="WOH79" s="2805"/>
      <c r="WOI79" s="2805"/>
      <c r="WOJ79" s="2805"/>
      <c r="WOK79" s="2805"/>
      <c r="WOL79" s="2805"/>
      <c r="WOM79" s="2805"/>
      <c r="WON79" s="2805"/>
      <c r="WOO79" s="2805"/>
      <c r="WOP79" s="2805"/>
      <c r="WOQ79" s="2805"/>
      <c r="WOR79" s="2805"/>
      <c r="WOS79" s="2805"/>
      <c r="WOT79" s="2805"/>
      <c r="WOU79" s="2805"/>
      <c r="WOV79" s="2805"/>
      <c r="WOW79" s="2805"/>
      <c r="WOX79" s="2805"/>
      <c r="WOY79" s="2805"/>
      <c r="WOZ79" s="2805"/>
      <c r="WPA79" s="2805"/>
      <c r="WPB79" s="2805"/>
      <c r="WPC79" s="2805"/>
      <c r="WPD79" s="2805"/>
      <c r="WPE79" s="2805"/>
      <c r="WPF79" s="2805"/>
      <c r="WPG79" s="2805"/>
      <c r="WPH79" s="2805"/>
      <c r="WPI79" s="2805"/>
      <c r="WPJ79" s="2805"/>
      <c r="WPK79" s="2805"/>
      <c r="WPL79" s="2805"/>
      <c r="WPM79" s="2805"/>
      <c r="WPN79" s="2805"/>
      <c r="WPO79" s="2805"/>
      <c r="WPP79" s="2805"/>
      <c r="WPQ79" s="2805"/>
      <c r="WPR79" s="2805"/>
      <c r="WPS79" s="2805"/>
      <c r="WPT79" s="2805"/>
      <c r="WPU79" s="2805"/>
      <c r="WPV79" s="2805"/>
      <c r="WPW79" s="2805"/>
      <c r="WPX79" s="2805"/>
      <c r="WPY79" s="2805"/>
      <c r="WPZ79" s="2805"/>
      <c r="WQA79" s="2805"/>
      <c r="WQB79" s="2805"/>
      <c r="WQC79" s="2805"/>
      <c r="WQD79" s="2805"/>
      <c r="WQE79" s="2805"/>
      <c r="WQF79" s="2805"/>
      <c r="WQG79" s="2805"/>
      <c r="WQH79" s="2805"/>
      <c r="WQI79" s="2805"/>
      <c r="WQJ79" s="2805"/>
      <c r="WQK79" s="2805"/>
      <c r="WQL79" s="2805"/>
      <c r="WQM79" s="2805"/>
      <c r="WQN79" s="2805"/>
      <c r="WQO79" s="2805"/>
      <c r="WQP79" s="2805"/>
      <c r="WQQ79" s="2805"/>
      <c r="WQR79" s="2805"/>
      <c r="WQS79" s="2805"/>
      <c r="WQT79" s="2805"/>
      <c r="WQU79" s="2805"/>
      <c r="WQV79" s="2805"/>
      <c r="WQW79" s="2805"/>
      <c r="WQX79" s="2805"/>
      <c r="WQY79" s="2805"/>
      <c r="WQZ79" s="2805"/>
      <c r="WRA79" s="2805"/>
      <c r="WRB79" s="2805"/>
      <c r="WRC79" s="2805"/>
      <c r="WRD79" s="2805"/>
      <c r="WRE79" s="2805"/>
      <c r="WRF79" s="2805"/>
      <c r="WRG79" s="2805"/>
      <c r="WRH79" s="2805"/>
      <c r="WRI79" s="2805"/>
      <c r="WRJ79" s="2805"/>
      <c r="WRK79" s="2805"/>
      <c r="WRL79" s="2805"/>
      <c r="WRM79" s="2805"/>
      <c r="WRN79" s="2805"/>
      <c r="WRO79" s="2805"/>
      <c r="WRP79" s="2805"/>
      <c r="WRQ79" s="2805"/>
      <c r="WRR79" s="2805"/>
      <c r="WRS79" s="2805"/>
      <c r="WRT79" s="2805"/>
      <c r="WRU79" s="2805"/>
      <c r="WRV79" s="2805"/>
      <c r="WRW79" s="2805"/>
      <c r="WRX79" s="2805"/>
      <c r="WRY79" s="2805"/>
      <c r="WRZ79" s="2805"/>
      <c r="WSA79" s="2805"/>
      <c r="WSB79" s="2805"/>
      <c r="WSC79" s="2805"/>
      <c r="WSD79" s="2805"/>
      <c r="WSE79" s="2805"/>
      <c r="WSF79" s="2805"/>
      <c r="WSG79" s="2805"/>
      <c r="WSH79" s="2805"/>
      <c r="WSI79" s="2805"/>
      <c r="WSJ79" s="2805"/>
      <c r="WSK79" s="2805"/>
      <c r="WSL79" s="2805"/>
      <c r="WSM79" s="2805"/>
      <c r="WSN79" s="2805"/>
      <c r="WSO79" s="2805"/>
      <c r="WSP79" s="2805"/>
      <c r="WSQ79" s="2805"/>
      <c r="WSR79" s="2805"/>
      <c r="WSS79" s="2805"/>
      <c r="WST79" s="2805"/>
      <c r="WSU79" s="2805"/>
      <c r="WSV79" s="2805"/>
      <c r="WSW79" s="2805"/>
      <c r="WSX79" s="2805"/>
      <c r="WSY79" s="2805"/>
      <c r="WSZ79" s="2805"/>
      <c r="WTA79" s="2805"/>
      <c r="WTB79" s="2805"/>
      <c r="WTC79" s="2805"/>
      <c r="WTD79" s="2805"/>
      <c r="WTE79" s="2805"/>
      <c r="WTF79" s="2805"/>
      <c r="WTG79" s="2805"/>
      <c r="WTH79" s="2805"/>
      <c r="WTI79" s="2805"/>
      <c r="WTJ79" s="2805"/>
      <c r="WTK79" s="2805"/>
      <c r="WTL79" s="2805"/>
      <c r="WTM79" s="2805"/>
      <c r="WTN79" s="2805"/>
      <c r="WTO79" s="2805"/>
      <c r="WTP79" s="2805"/>
      <c r="WTQ79" s="2805"/>
      <c r="WTR79" s="2805"/>
      <c r="WTS79" s="2805"/>
      <c r="WTT79" s="2805"/>
      <c r="WTU79" s="2805"/>
      <c r="WTV79" s="2805"/>
      <c r="WTW79" s="2805"/>
      <c r="WTX79" s="2805"/>
      <c r="WTY79" s="2805"/>
      <c r="WTZ79" s="2805"/>
      <c r="WUA79" s="2805"/>
      <c r="WUB79" s="2805"/>
      <c r="WUC79" s="2805"/>
      <c r="WUD79" s="2805"/>
      <c r="WUE79" s="2805"/>
      <c r="WUF79" s="2805"/>
      <c r="WUG79" s="2805"/>
      <c r="WUH79" s="2805"/>
      <c r="WUI79" s="2805"/>
      <c r="WUJ79" s="2805"/>
      <c r="WUK79" s="2805"/>
      <c r="WUL79" s="2805"/>
      <c r="WUM79" s="2805"/>
      <c r="WUN79" s="2805"/>
      <c r="WUO79" s="2805"/>
      <c r="WUP79" s="2805"/>
      <c r="WUQ79" s="2805"/>
      <c r="WUR79" s="2805"/>
      <c r="WUS79" s="2805"/>
      <c r="WUT79" s="2805"/>
      <c r="WUU79" s="2805"/>
      <c r="WUV79" s="2805"/>
      <c r="WUW79" s="2805"/>
      <c r="WUX79" s="2805"/>
      <c r="WUY79" s="2805"/>
      <c r="WUZ79" s="2805"/>
      <c r="WVA79" s="2805"/>
      <c r="WVB79" s="2805"/>
      <c r="WVC79" s="2805"/>
      <c r="WVD79" s="2805"/>
      <c r="WVE79" s="2805"/>
      <c r="WVF79" s="2805"/>
      <c r="WVG79" s="2805"/>
      <c r="WVH79" s="2805"/>
      <c r="WVI79" s="2805"/>
      <c r="WVJ79" s="2805"/>
      <c r="WVK79" s="2805"/>
      <c r="WVL79" s="2805"/>
      <c r="WVM79" s="2805"/>
      <c r="WVN79" s="2805"/>
      <c r="WVO79" s="2805"/>
      <c r="WVP79" s="2805"/>
      <c r="WVQ79" s="2805"/>
      <c r="WVR79" s="2805"/>
      <c r="WVS79" s="2805"/>
      <c r="WVT79" s="2805"/>
      <c r="WVU79" s="2805"/>
      <c r="WVV79" s="2805"/>
      <c r="WVW79" s="2805"/>
      <c r="WVX79" s="2805"/>
      <c r="WVY79" s="2805"/>
      <c r="WVZ79" s="2805"/>
      <c r="WWA79" s="2805"/>
      <c r="WWB79" s="2805"/>
      <c r="WWC79" s="2805"/>
      <c r="WWD79" s="2805"/>
      <c r="WWE79" s="2805"/>
      <c r="WWF79" s="2805"/>
      <c r="WWG79" s="2805"/>
      <c r="WWH79" s="2805"/>
      <c r="WWI79" s="2805"/>
      <c r="WWJ79" s="2805"/>
      <c r="WWK79" s="2805"/>
      <c r="WWL79" s="2805"/>
      <c r="WWM79" s="2805"/>
      <c r="WWN79" s="2805"/>
      <c r="WWO79" s="2805"/>
      <c r="WWP79" s="2805"/>
      <c r="WWQ79" s="2805"/>
      <c r="WWR79" s="2805"/>
      <c r="WWS79" s="2805"/>
      <c r="WWT79" s="2805"/>
      <c r="WWU79" s="2805"/>
      <c r="WWV79" s="2805"/>
      <c r="WWW79" s="2805"/>
      <c r="WWX79" s="2805"/>
      <c r="WWY79" s="2805"/>
      <c r="WWZ79" s="2805"/>
      <c r="WXA79" s="2805"/>
      <c r="WXB79" s="2805"/>
      <c r="WXC79" s="2805"/>
      <c r="WXD79" s="2805"/>
      <c r="WXE79" s="2805"/>
      <c r="WXF79" s="2805"/>
      <c r="WXG79" s="2805"/>
      <c r="WXH79" s="2805"/>
      <c r="WXI79" s="2805"/>
      <c r="WXJ79" s="2805"/>
      <c r="WXK79" s="2805"/>
      <c r="WXL79" s="2805"/>
      <c r="WXM79" s="2805"/>
      <c r="WXN79" s="2805"/>
      <c r="WXO79" s="2805"/>
      <c r="WXP79" s="2805"/>
      <c r="WXQ79" s="2805"/>
      <c r="WXR79" s="2805"/>
      <c r="WXS79" s="2805"/>
      <c r="WXT79" s="2805"/>
      <c r="WXU79" s="2805"/>
      <c r="WXV79" s="2805"/>
      <c r="WXW79" s="2805"/>
      <c r="WXX79" s="2805"/>
      <c r="WXY79" s="2805"/>
      <c r="WXZ79" s="2805"/>
      <c r="WYA79" s="2805"/>
      <c r="WYB79" s="2805"/>
      <c r="WYC79" s="2805"/>
      <c r="WYD79" s="2805"/>
      <c r="WYE79" s="2805"/>
      <c r="WYF79" s="2805"/>
      <c r="WYG79" s="2805"/>
      <c r="WYH79" s="2805"/>
      <c r="WYI79" s="2805"/>
      <c r="WYJ79" s="2805"/>
      <c r="WYK79" s="2805"/>
      <c r="WYL79" s="2805"/>
      <c r="WYM79" s="2805"/>
      <c r="WYN79" s="2805"/>
      <c r="WYO79" s="2805"/>
      <c r="WYP79" s="2805"/>
      <c r="WYQ79" s="2805"/>
      <c r="WYR79" s="2805"/>
      <c r="WYS79" s="2805"/>
      <c r="WYT79" s="2805"/>
      <c r="WYU79" s="2805"/>
      <c r="WYV79" s="2805"/>
      <c r="WYW79" s="2805"/>
      <c r="WYX79" s="2805"/>
      <c r="WYY79" s="2805"/>
      <c r="WYZ79" s="2805"/>
      <c r="WZA79" s="2805"/>
      <c r="WZB79" s="2805"/>
      <c r="WZC79" s="2805"/>
      <c r="WZD79" s="2805"/>
      <c r="WZE79" s="2805"/>
      <c r="WZF79" s="2805"/>
      <c r="WZG79" s="2805"/>
      <c r="WZH79" s="2805"/>
      <c r="WZI79" s="2805"/>
      <c r="WZJ79" s="2805"/>
      <c r="WZK79" s="2805"/>
      <c r="WZL79" s="2805"/>
      <c r="WZM79" s="2805"/>
      <c r="WZN79" s="2805"/>
      <c r="WZO79" s="2805"/>
      <c r="WZP79" s="2805"/>
      <c r="WZQ79" s="2805"/>
      <c r="WZR79" s="2805"/>
      <c r="WZS79" s="2805"/>
      <c r="WZT79" s="2805"/>
      <c r="WZU79" s="2805"/>
      <c r="WZV79" s="2805"/>
      <c r="WZW79" s="2805"/>
      <c r="WZX79" s="2805"/>
      <c r="WZY79" s="2805"/>
      <c r="WZZ79" s="2805"/>
      <c r="XAA79" s="2805"/>
      <c r="XAB79" s="2805"/>
      <c r="XAC79" s="2805"/>
      <c r="XAD79" s="2805"/>
      <c r="XAE79" s="2805"/>
      <c r="XAF79" s="2805"/>
      <c r="XAG79" s="2805"/>
      <c r="XAH79" s="2805"/>
      <c r="XAI79" s="2805"/>
      <c r="XAJ79" s="2805"/>
      <c r="XAK79" s="2805"/>
      <c r="XAL79" s="2805"/>
      <c r="XAM79" s="2805"/>
      <c r="XAN79" s="2805"/>
      <c r="XAO79" s="2805"/>
      <c r="XAP79" s="2805"/>
      <c r="XAQ79" s="2805"/>
      <c r="XAR79" s="2805"/>
      <c r="XAS79" s="2805"/>
      <c r="XAT79" s="2805"/>
      <c r="XAU79" s="2805"/>
      <c r="XAV79" s="2805"/>
      <c r="XAW79" s="2805"/>
      <c r="XAX79" s="2805"/>
      <c r="XAY79" s="2805"/>
      <c r="XAZ79" s="2805"/>
      <c r="XBA79" s="2805"/>
      <c r="XBB79" s="2805"/>
      <c r="XBC79" s="2805"/>
      <c r="XBD79" s="2805"/>
      <c r="XBE79" s="2805"/>
      <c r="XBF79" s="2805"/>
      <c r="XBG79" s="2805"/>
      <c r="XBH79" s="2805"/>
      <c r="XBI79" s="2805"/>
      <c r="XBJ79" s="2805"/>
      <c r="XBK79" s="2805"/>
      <c r="XBL79" s="2805"/>
      <c r="XBM79" s="2805"/>
      <c r="XBN79" s="2805"/>
      <c r="XBO79" s="2805"/>
      <c r="XBP79" s="2805"/>
      <c r="XBQ79" s="2805"/>
      <c r="XBR79" s="2805"/>
      <c r="XBS79" s="2805"/>
      <c r="XBT79" s="2805"/>
      <c r="XBU79" s="2805"/>
      <c r="XBV79" s="2805"/>
      <c r="XBW79" s="2805"/>
      <c r="XBX79" s="2805"/>
      <c r="XBY79" s="2805"/>
      <c r="XBZ79" s="2805"/>
      <c r="XCA79" s="2805"/>
      <c r="XCB79" s="2805"/>
      <c r="XCC79" s="2805"/>
      <c r="XCD79" s="2805"/>
      <c r="XCE79" s="2805"/>
      <c r="XCF79" s="2805"/>
      <c r="XCG79" s="2805"/>
      <c r="XCH79" s="2805"/>
      <c r="XCI79" s="2805"/>
      <c r="XCJ79" s="2805"/>
      <c r="XCK79" s="2805"/>
      <c r="XCL79" s="2805"/>
      <c r="XCM79" s="2805"/>
      <c r="XCN79" s="2805"/>
      <c r="XCO79" s="2805"/>
      <c r="XCP79" s="2805"/>
      <c r="XCQ79" s="2805"/>
      <c r="XCR79" s="2805"/>
      <c r="XCS79" s="2805"/>
      <c r="XCT79" s="2805"/>
      <c r="XCU79" s="2805"/>
      <c r="XCV79" s="2805"/>
      <c r="XCW79" s="2805"/>
      <c r="XCX79" s="2805"/>
      <c r="XCY79" s="2805"/>
      <c r="XCZ79" s="2805"/>
      <c r="XDA79" s="2805"/>
      <c r="XDB79" s="2805"/>
      <c r="XDC79" s="2805"/>
      <c r="XDD79" s="2805"/>
      <c r="XDE79" s="2805"/>
      <c r="XDF79" s="2805"/>
      <c r="XDG79" s="2805"/>
      <c r="XDH79" s="2805"/>
      <c r="XDI79" s="2805"/>
      <c r="XDJ79" s="2805"/>
      <c r="XDK79" s="2805"/>
      <c r="XDL79" s="2805"/>
      <c r="XDM79" s="2805"/>
      <c r="XDN79" s="2805"/>
      <c r="XDO79" s="2805"/>
      <c r="XDP79" s="2805"/>
      <c r="XDQ79" s="2805"/>
      <c r="XDR79" s="2805"/>
      <c r="XDS79" s="2805"/>
      <c r="XDT79" s="2805"/>
      <c r="XDU79" s="2805"/>
      <c r="XDV79" s="2805"/>
      <c r="XDW79" s="2805"/>
      <c r="XDX79" s="2805"/>
      <c r="XDY79" s="2805"/>
      <c r="XDZ79" s="2805"/>
      <c r="XEA79" s="2805"/>
      <c r="XEB79" s="2805"/>
      <c r="XEC79" s="2805"/>
      <c r="XED79" s="2805"/>
      <c r="XEE79" s="2805"/>
      <c r="XEF79" s="2805"/>
      <c r="XEG79" s="2805"/>
      <c r="XEH79" s="2805"/>
      <c r="XEI79" s="2805"/>
      <c r="XEJ79" s="2805"/>
      <c r="XEK79" s="2805"/>
      <c r="XEL79" s="2805"/>
      <c r="XEM79" s="2805"/>
      <c r="XEN79" s="2805"/>
      <c r="XEO79" s="2805"/>
      <c r="XEP79" s="2805"/>
      <c r="XEQ79" s="2805"/>
      <c r="XER79" s="2805"/>
      <c r="XES79" s="2805"/>
      <c r="XET79" s="2805"/>
      <c r="XEU79" s="2805"/>
      <c r="XEV79" s="2805"/>
      <c r="XEW79" s="2805"/>
      <c r="XEX79" s="2805"/>
      <c r="XEY79" s="2805"/>
      <c r="XEZ79" s="2805"/>
      <c r="XFA79" s="2805"/>
      <c r="XFB79" s="2805"/>
      <c r="XFC79" s="2805"/>
      <c r="XFD79" s="2805"/>
    </row>
    <row r="80" spans="1:16384" s="2822" customFormat="1" ht="27.75" customHeight="1">
      <c r="A80" s="2499"/>
      <c r="B80" s="2633"/>
      <c r="C80" s="2820"/>
      <c r="D80" s="2820"/>
      <c r="E80" s="2821"/>
      <c r="F80" s="725"/>
      <c r="G80" s="2516" t="s">
        <v>1669</v>
      </c>
      <c r="H80" s="2598">
        <f>IF(('Balances y Proyecciones'!Q17)&lt;&gt;360,'Balances y Proyecciones'!AV737,'Balances y Proyecciones'!AV737)</f>
        <v>0</v>
      </c>
      <c r="I80" s="2598"/>
      <c r="J80" s="2598">
        <f>IF(('Balances y Proyecciones'!Q17)&lt;&gt;360,'Balances y Proyecciones'!BB737,'Balances y Proyecciones'!BB737)</f>
        <v>0</v>
      </c>
      <c r="K80" s="2499"/>
      <c r="L80" s="2499"/>
      <c r="M80" s="2499"/>
      <c r="N80" s="4109" t="s">
        <v>219</v>
      </c>
      <c r="O80" s="4110"/>
      <c r="P80" s="2499"/>
      <c r="Q80" s="4109" t="s">
        <v>230</v>
      </c>
      <c r="R80" s="4111"/>
      <c r="S80" s="4111"/>
      <c r="T80" s="4110"/>
      <c r="U80" s="2499"/>
      <c r="V80" s="2499"/>
      <c r="W80" s="2499"/>
      <c r="X80" s="2499"/>
      <c r="Y80" s="2499"/>
      <c r="Z80" s="2499"/>
      <c r="AA80" s="2499"/>
      <c r="AB80" s="2499"/>
      <c r="AC80" s="2499"/>
      <c r="AD80" s="2499"/>
      <c r="AE80" s="2499"/>
      <c r="AF80" s="2567"/>
      <c r="AG80" s="2567"/>
      <c r="AH80" s="2567"/>
      <c r="AI80" s="2567"/>
      <c r="AJ80" s="2567"/>
      <c r="AK80" s="2567"/>
      <c r="AL80" s="2567"/>
      <c r="AM80" s="2567"/>
      <c r="AN80" s="2567"/>
      <c r="AO80" s="2567"/>
      <c r="AP80" s="2567"/>
      <c r="AQ80" s="2567"/>
      <c r="AR80" s="2567"/>
      <c r="AS80" s="2567"/>
      <c r="AT80" s="2567"/>
      <c r="AU80" s="2567"/>
      <c r="AV80" s="2567"/>
      <c r="AW80" s="2567"/>
      <c r="AX80" s="2567"/>
      <c r="AY80" s="2567"/>
      <c r="AZ80" s="2567"/>
      <c r="BA80" s="2567"/>
      <c r="BB80" s="2567"/>
      <c r="BC80" s="2567"/>
      <c r="BD80" s="2567"/>
      <c r="BE80" s="2567"/>
      <c r="BF80" s="2567"/>
      <c r="BG80" s="2567"/>
      <c r="BH80" s="2567"/>
      <c r="BI80" s="2567"/>
      <c r="BJ80" s="2567"/>
      <c r="BK80" s="2567"/>
      <c r="BL80" s="2567"/>
      <c r="BM80" s="2567"/>
      <c r="BN80" s="2567"/>
      <c r="BO80" s="2567"/>
      <c r="BP80" s="2567"/>
      <c r="BQ80" s="2567"/>
      <c r="BR80" s="2567"/>
      <c r="BS80" s="2567"/>
      <c r="BT80" s="2567"/>
      <c r="BU80" s="2567"/>
      <c r="BV80" s="2567"/>
      <c r="BW80" s="2567"/>
      <c r="BX80" s="2567"/>
      <c r="BY80" s="2567"/>
      <c r="BZ80" s="2567"/>
      <c r="CA80" s="2567"/>
      <c r="CB80" s="2567"/>
      <c r="CC80" s="2567"/>
      <c r="CD80" s="2567"/>
      <c r="CE80" s="2567"/>
      <c r="CF80" s="2567"/>
      <c r="CG80" s="2567"/>
      <c r="CH80" s="2567"/>
      <c r="CI80" s="2567"/>
      <c r="CJ80" s="2567"/>
      <c r="CK80" s="2567"/>
      <c r="CL80" s="2567"/>
      <c r="CM80" s="2567"/>
      <c r="CN80" s="2567"/>
      <c r="CO80" s="2567"/>
      <c r="CP80" s="2567"/>
      <c r="CQ80" s="2567"/>
      <c r="CR80" s="2567"/>
      <c r="CS80" s="2567"/>
      <c r="CT80" s="2567"/>
      <c r="CU80" s="2567"/>
      <c r="CV80" s="2567"/>
      <c r="CW80" s="2567"/>
      <c r="CX80" s="2567"/>
      <c r="CY80" s="2567"/>
      <c r="CZ80" s="2567"/>
      <c r="DA80" s="2567"/>
      <c r="DB80" s="2567"/>
      <c r="DC80" s="2567"/>
      <c r="DD80" s="2567"/>
      <c r="DE80" s="2567"/>
      <c r="DF80" s="2567"/>
      <c r="DG80" s="2567"/>
      <c r="DH80" s="2567"/>
      <c r="DI80" s="2567"/>
      <c r="DJ80" s="2567"/>
      <c r="DK80" s="2567"/>
      <c r="DL80" s="2567"/>
      <c r="DM80" s="2567"/>
      <c r="DN80" s="2567"/>
      <c r="DO80" s="2567"/>
      <c r="DP80" s="2567"/>
      <c r="DQ80" s="2567"/>
      <c r="DR80" s="2567"/>
      <c r="DS80" s="2567"/>
      <c r="DT80" s="2567"/>
      <c r="DU80" s="2567"/>
      <c r="DV80" s="2567"/>
      <c r="DW80" s="2567"/>
      <c r="DX80" s="2567"/>
      <c r="DY80" s="2567"/>
      <c r="DZ80" s="2567"/>
      <c r="EA80" s="2567"/>
      <c r="EB80" s="2567"/>
      <c r="EC80" s="2567"/>
      <c r="ED80" s="2567"/>
      <c r="EE80" s="2567"/>
      <c r="EF80" s="2567"/>
      <c r="EG80" s="2567"/>
      <c r="EH80" s="2567"/>
      <c r="EI80" s="2567"/>
      <c r="EJ80" s="2567"/>
      <c r="EK80" s="2567"/>
      <c r="EL80" s="2567"/>
      <c r="EM80" s="2567"/>
      <c r="EN80" s="2567"/>
      <c r="EO80" s="2567"/>
      <c r="EP80" s="2567"/>
      <c r="EQ80" s="2567"/>
      <c r="ER80" s="2567"/>
      <c r="ES80" s="2567"/>
      <c r="ET80" s="2567"/>
      <c r="EU80" s="2567"/>
      <c r="EV80" s="2567"/>
      <c r="EW80" s="2567"/>
      <c r="EX80" s="2567"/>
      <c r="EY80" s="2567"/>
      <c r="EZ80" s="2567"/>
      <c r="FA80" s="2567"/>
      <c r="FB80" s="2567"/>
      <c r="FC80" s="2567"/>
      <c r="FD80" s="2567"/>
      <c r="FE80" s="2567"/>
      <c r="FF80" s="2567"/>
      <c r="FG80" s="2567"/>
      <c r="FH80" s="2567"/>
      <c r="FI80" s="2567"/>
      <c r="FJ80" s="2567"/>
      <c r="FK80" s="2567"/>
      <c r="FL80" s="2567"/>
      <c r="FM80" s="2567"/>
      <c r="FN80" s="2567"/>
      <c r="FO80" s="2567"/>
      <c r="FP80" s="2567"/>
      <c r="FQ80" s="2567"/>
      <c r="FR80" s="2567"/>
      <c r="FS80" s="2567"/>
      <c r="FT80" s="2567"/>
      <c r="FU80" s="2567"/>
      <c r="FV80" s="2567"/>
      <c r="FW80" s="2567"/>
      <c r="FX80" s="2567"/>
      <c r="FY80" s="2567"/>
      <c r="FZ80" s="2567"/>
      <c r="GA80" s="2567"/>
      <c r="GB80" s="2567"/>
      <c r="GC80" s="2567"/>
      <c r="GD80" s="2567"/>
      <c r="GE80" s="2567"/>
      <c r="GF80" s="2567"/>
      <c r="GG80" s="2567"/>
      <c r="GH80" s="2567"/>
      <c r="GI80" s="2567"/>
      <c r="GJ80" s="2567"/>
      <c r="GK80" s="2567"/>
      <c r="GL80" s="2567"/>
      <c r="GM80" s="2567"/>
      <c r="GN80" s="2567"/>
      <c r="GO80" s="2567"/>
      <c r="GP80" s="2567"/>
      <c r="GQ80" s="2567"/>
      <c r="GR80" s="2567"/>
      <c r="GS80" s="2567"/>
      <c r="GT80" s="2567"/>
      <c r="GU80" s="2567"/>
      <c r="GV80" s="2567"/>
      <c r="GW80" s="2567"/>
      <c r="GX80" s="2567"/>
      <c r="GY80" s="2567"/>
      <c r="GZ80" s="2567"/>
      <c r="HA80" s="2567"/>
      <c r="HB80" s="2567"/>
      <c r="HC80" s="2567"/>
      <c r="HD80" s="2567"/>
      <c r="HE80" s="2567"/>
      <c r="HF80" s="2567"/>
      <c r="HG80" s="2567"/>
      <c r="HH80" s="2567"/>
      <c r="HI80" s="2567"/>
      <c r="HJ80" s="2567"/>
      <c r="HK80" s="2567"/>
      <c r="HL80" s="2567"/>
      <c r="HM80" s="2567"/>
      <c r="HN80" s="2567"/>
      <c r="HO80" s="2567"/>
      <c r="HP80" s="2567"/>
      <c r="HQ80" s="2567"/>
      <c r="HR80" s="2567"/>
      <c r="HS80" s="2567"/>
      <c r="HT80" s="2567"/>
      <c r="HU80" s="2567"/>
      <c r="HV80" s="2567"/>
      <c r="HW80" s="2567"/>
      <c r="HX80" s="2567"/>
      <c r="HY80" s="2567"/>
      <c r="HZ80" s="2567"/>
      <c r="IA80" s="2567"/>
      <c r="IB80" s="2567"/>
      <c r="IC80" s="2567"/>
      <c r="ID80" s="2567"/>
      <c r="IE80" s="2567"/>
      <c r="IF80" s="2567"/>
      <c r="IG80" s="2567"/>
      <c r="IH80" s="2567"/>
      <c r="II80" s="2567"/>
      <c r="IJ80" s="2567"/>
      <c r="IK80" s="2567"/>
      <c r="IL80" s="2567"/>
      <c r="IM80" s="2567"/>
      <c r="IN80" s="2567"/>
      <c r="IO80" s="2567"/>
      <c r="IP80" s="2567"/>
      <c r="IQ80" s="2567"/>
      <c r="IR80" s="2567"/>
      <c r="IS80" s="2567"/>
      <c r="IT80" s="2567"/>
      <c r="IU80" s="2567"/>
      <c r="IV80" s="2567"/>
      <c r="IW80" s="2567"/>
      <c r="IX80" s="2567"/>
      <c r="IY80" s="2567"/>
      <c r="IZ80" s="2567"/>
      <c r="JA80" s="2567"/>
      <c r="JB80" s="2567"/>
      <c r="JC80" s="2567"/>
      <c r="JD80" s="2567"/>
      <c r="JE80" s="2567"/>
      <c r="JF80" s="2567"/>
      <c r="JG80" s="2567"/>
      <c r="JH80" s="2567"/>
      <c r="JI80" s="2567"/>
      <c r="JJ80" s="2567"/>
      <c r="JK80" s="2567"/>
      <c r="JL80" s="2567"/>
      <c r="JM80" s="2567"/>
      <c r="JN80" s="2567"/>
      <c r="JO80" s="2567"/>
      <c r="JP80" s="2567"/>
      <c r="JQ80" s="2567"/>
      <c r="JR80" s="2567"/>
      <c r="JS80" s="2567"/>
      <c r="JT80" s="2567"/>
      <c r="JU80" s="2567"/>
      <c r="JV80" s="2567"/>
      <c r="JW80" s="2567"/>
      <c r="JX80" s="2567"/>
      <c r="JY80" s="2567"/>
      <c r="JZ80" s="2567"/>
      <c r="KA80" s="2567"/>
      <c r="KB80" s="2567"/>
      <c r="KC80" s="2567"/>
      <c r="KD80" s="2567"/>
      <c r="KE80" s="2567"/>
      <c r="KF80" s="2567"/>
      <c r="KG80" s="2567"/>
      <c r="KH80" s="2567"/>
      <c r="KI80" s="2567"/>
      <c r="KJ80" s="2567"/>
      <c r="KK80" s="2567"/>
      <c r="KL80" s="2567"/>
      <c r="KM80" s="2567"/>
      <c r="KN80" s="2567"/>
      <c r="KO80" s="2567"/>
      <c r="KP80" s="2567"/>
      <c r="KQ80" s="2567"/>
      <c r="KR80" s="2567"/>
      <c r="KS80" s="2567"/>
      <c r="KT80" s="2567"/>
      <c r="KU80" s="2567"/>
      <c r="KV80" s="2567"/>
      <c r="KW80" s="2567"/>
      <c r="KX80" s="2567"/>
      <c r="KY80" s="2567"/>
      <c r="KZ80" s="2567"/>
      <c r="LA80" s="2567"/>
      <c r="LB80" s="2567"/>
      <c r="LC80" s="2567"/>
      <c r="LD80" s="2567"/>
      <c r="LE80" s="2567"/>
      <c r="LF80" s="2567"/>
      <c r="LG80" s="2567"/>
      <c r="LH80" s="2567"/>
      <c r="LI80" s="2567"/>
      <c r="LJ80" s="2567"/>
      <c r="LK80" s="2567"/>
      <c r="LL80" s="2567"/>
      <c r="LM80" s="2567"/>
      <c r="LN80" s="2567"/>
      <c r="LO80" s="2567"/>
      <c r="LP80" s="2567"/>
      <c r="LQ80" s="2567"/>
      <c r="LR80" s="2567"/>
      <c r="LS80" s="2567"/>
      <c r="LT80" s="2567"/>
      <c r="LU80" s="2567"/>
      <c r="LV80" s="2567"/>
      <c r="LW80" s="2567"/>
      <c r="LX80" s="2567"/>
      <c r="LY80" s="2567"/>
      <c r="LZ80" s="2567"/>
      <c r="MA80" s="2567"/>
      <c r="MB80" s="2567"/>
      <c r="MC80" s="2567"/>
      <c r="MD80" s="2567"/>
      <c r="ME80" s="2567"/>
      <c r="MF80" s="2567"/>
      <c r="MG80" s="2567"/>
      <c r="MH80" s="2567"/>
      <c r="MI80" s="2567"/>
      <c r="MJ80" s="2567"/>
      <c r="MK80" s="2567"/>
      <c r="ML80" s="2567"/>
      <c r="MM80" s="2567"/>
      <c r="MN80" s="2567"/>
      <c r="MO80" s="2567"/>
      <c r="MP80" s="2567"/>
      <c r="MQ80" s="2567"/>
      <c r="MR80" s="2567"/>
      <c r="MS80" s="2567"/>
      <c r="MT80" s="2567"/>
      <c r="MU80" s="2567"/>
      <c r="MV80" s="2567"/>
      <c r="MW80" s="2567"/>
      <c r="MX80" s="2567"/>
      <c r="MY80" s="2567"/>
      <c r="MZ80" s="2567"/>
      <c r="NA80" s="2567"/>
      <c r="NB80" s="2567"/>
      <c r="NC80" s="2567"/>
      <c r="ND80" s="2567"/>
      <c r="NE80" s="2567"/>
      <c r="NF80" s="2567"/>
      <c r="NG80" s="2567"/>
      <c r="NH80" s="2567"/>
      <c r="NI80" s="2567"/>
      <c r="NJ80" s="2567"/>
      <c r="NK80" s="2567"/>
      <c r="NL80" s="2567"/>
      <c r="NM80" s="2567"/>
      <c r="NN80" s="2567"/>
      <c r="NO80" s="2567"/>
      <c r="NP80" s="2567"/>
      <c r="NQ80" s="2567"/>
      <c r="NR80" s="2567"/>
      <c r="NS80" s="2567"/>
      <c r="NT80" s="2567"/>
      <c r="NU80" s="2567"/>
      <c r="NV80" s="2567"/>
      <c r="NW80" s="2567"/>
      <c r="NX80" s="2567"/>
      <c r="NY80" s="2567"/>
      <c r="NZ80" s="2567"/>
      <c r="OA80" s="2567"/>
      <c r="OB80" s="2567"/>
      <c r="OC80" s="2567"/>
      <c r="OD80" s="2567"/>
      <c r="OE80" s="2567"/>
      <c r="OF80" s="2567"/>
      <c r="OG80" s="2567"/>
      <c r="OH80" s="2567"/>
      <c r="OI80" s="2567"/>
      <c r="OJ80" s="2567"/>
      <c r="OK80" s="2567"/>
      <c r="OL80" s="2567"/>
      <c r="OM80" s="2567"/>
      <c r="ON80" s="2567"/>
      <c r="OO80" s="2567"/>
      <c r="OP80" s="2567"/>
      <c r="OQ80" s="2567"/>
      <c r="OR80" s="2567"/>
      <c r="OS80" s="2567"/>
      <c r="OT80" s="2567"/>
      <c r="OU80" s="2567"/>
      <c r="OV80" s="2567"/>
      <c r="OW80" s="2567"/>
      <c r="OX80" s="2567"/>
      <c r="OY80" s="2567"/>
      <c r="OZ80" s="2567"/>
      <c r="PA80" s="2567"/>
      <c r="PB80" s="2567"/>
      <c r="PC80" s="2567"/>
      <c r="PD80" s="2567"/>
      <c r="PE80" s="2567"/>
      <c r="PF80" s="2567"/>
      <c r="PG80" s="2567"/>
      <c r="PH80" s="2567"/>
      <c r="PI80" s="2567"/>
      <c r="PJ80" s="2567"/>
      <c r="PK80" s="2567"/>
      <c r="PL80" s="2567"/>
      <c r="PM80" s="2567"/>
      <c r="PN80" s="2567"/>
      <c r="PO80" s="2567"/>
      <c r="PP80" s="2567"/>
      <c r="PQ80" s="2567"/>
      <c r="PR80" s="2567"/>
      <c r="PS80" s="2567"/>
      <c r="PT80" s="2567"/>
      <c r="PU80" s="2567"/>
      <c r="PV80" s="2567"/>
      <c r="PW80" s="2567"/>
      <c r="PX80" s="2567"/>
      <c r="PY80" s="2567"/>
      <c r="PZ80" s="2567"/>
      <c r="QA80" s="2567"/>
      <c r="QB80" s="2567"/>
      <c r="QC80" s="2567"/>
      <c r="QD80" s="2567"/>
      <c r="QE80" s="2567"/>
      <c r="QF80" s="2567"/>
      <c r="QG80" s="2567"/>
      <c r="QH80" s="2567"/>
      <c r="QI80" s="2567"/>
      <c r="QJ80" s="2567"/>
      <c r="QK80" s="2567"/>
      <c r="QL80" s="2567"/>
      <c r="QM80" s="2567"/>
      <c r="QN80" s="2567"/>
      <c r="QO80" s="2567"/>
      <c r="QP80" s="2567"/>
      <c r="QQ80" s="2567"/>
      <c r="QR80" s="2567"/>
      <c r="QS80" s="2567"/>
      <c r="QT80" s="2567"/>
      <c r="QU80" s="2567"/>
      <c r="QV80" s="2567"/>
      <c r="QW80" s="2567"/>
      <c r="QX80" s="2567"/>
      <c r="QY80" s="2567"/>
      <c r="QZ80" s="2567"/>
      <c r="RA80" s="2567"/>
      <c r="RB80" s="2567"/>
      <c r="RC80" s="2567"/>
      <c r="RD80" s="2567"/>
      <c r="RE80" s="2567"/>
      <c r="RF80" s="2567"/>
      <c r="RG80" s="2567"/>
      <c r="RH80" s="2567"/>
      <c r="RI80" s="2567"/>
      <c r="RJ80" s="2567"/>
      <c r="RK80" s="2567"/>
      <c r="RL80" s="2567"/>
      <c r="RM80" s="2567"/>
      <c r="RN80" s="2567"/>
      <c r="RO80" s="2567"/>
      <c r="RP80" s="2567"/>
      <c r="RQ80" s="2567"/>
      <c r="RR80" s="2567"/>
      <c r="RS80" s="2567"/>
      <c r="RT80" s="2567"/>
      <c r="RU80" s="2567"/>
      <c r="RV80" s="2567"/>
      <c r="RW80" s="2567"/>
      <c r="RX80" s="2567"/>
      <c r="RY80" s="2567"/>
      <c r="RZ80" s="2567"/>
      <c r="SA80" s="2567"/>
      <c r="SB80" s="2567"/>
      <c r="SC80" s="2567"/>
      <c r="SD80" s="2567"/>
      <c r="SE80" s="2567"/>
      <c r="SF80" s="2567"/>
      <c r="SG80" s="2567"/>
      <c r="SH80" s="2567"/>
      <c r="SI80" s="2567"/>
      <c r="SJ80" s="2567"/>
      <c r="SK80" s="2567"/>
      <c r="SL80" s="2567"/>
      <c r="SM80" s="2567"/>
      <c r="SN80" s="2567"/>
      <c r="SO80" s="2567"/>
      <c r="SP80" s="2567"/>
      <c r="SQ80" s="2567"/>
      <c r="SR80" s="2567"/>
      <c r="SS80" s="2567"/>
      <c r="ST80" s="2567"/>
      <c r="SU80" s="2567"/>
      <c r="SV80" s="2567"/>
      <c r="SW80" s="2567"/>
      <c r="SX80" s="2567"/>
      <c r="SY80" s="2567"/>
      <c r="SZ80" s="2567"/>
      <c r="TA80" s="2567"/>
      <c r="TB80" s="2567"/>
      <c r="TC80" s="2567"/>
      <c r="TD80" s="2567"/>
      <c r="TE80" s="2567"/>
      <c r="TF80" s="2567"/>
      <c r="TG80" s="2567"/>
      <c r="TH80" s="2567"/>
      <c r="TI80" s="2567"/>
      <c r="TJ80" s="2567"/>
      <c r="TK80" s="2567"/>
      <c r="TL80" s="2567"/>
      <c r="TM80" s="2567"/>
      <c r="TN80" s="2567"/>
      <c r="TO80" s="2567"/>
      <c r="TP80" s="2567"/>
      <c r="TQ80" s="2567"/>
      <c r="TR80" s="2567"/>
      <c r="TS80" s="2567"/>
      <c r="TT80" s="2567"/>
      <c r="TU80" s="2567"/>
      <c r="TV80" s="2567"/>
      <c r="TW80" s="2567"/>
      <c r="TX80" s="2567"/>
      <c r="TY80" s="2567"/>
      <c r="TZ80" s="2567"/>
      <c r="UA80" s="2567"/>
      <c r="UB80" s="2567"/>
      <c r="UC80" s="2567"/>
      <c r="UD80" s="2567"/>
      <c r="UE80" s="2567"/>
      <c r="UF80" s="2567"/>
      <c r="UG80" s="2567"/>
      <c r="UH80" s="2567"/>
      <c r="UI80" s="2567"/>
      <c r="UJ80" s="2567"/>
      <c r="UK80" s="2567"/>
      <c r="UL80" s="2567"/>
      <c r="UM80" s="2567"/>
      <c r="UN80" s="2567"/>
      <c r="UO80" s="2567"/>
      <c r="UP80" s="2567"/>
      <c r="UQ80" s="2567"/>
      <c r="UR80" s="2567"/>
      <c r="US80" s="2567"/>
      <c r="UT80" s="2567"/>
      <c r="UU80" s="2567"/>
      <c r="UV80" s="2567"/>
      <c r="UW80" s="2567"/>
      <c r="UX80" s="2567"/>
      <c r="UY80" s="2567"/>
      <c r="UZ80" s="2567"/>
      <c r="VA80" s="2567"/>
      <c r="VB80" s="2567"/>
      <c r="VC80" s="2567"/>
      <c r="VD80" s="2567"/>
      <c r="VE80" s="2567"/>
      <c r="VF80" s="2567"/>
      <c r="VG80" s="2567"/>
      <c r="VH80" s="2567"/>
      <c r="VI80" s="2567"/>
      <c r="VJ80" s="2567"/>
      <c r="VK80" s="2567"/>
      <c r="VL80" s="2567"/>
      <c r="VM80" s="2567"/>
      <c r="VN80" s="2567"/>
      <c r="VO80" s="2567"/>
      <c r="VP80" s="2567"/>
      <c r="VQ80" s="2567"/>
      <c r="VR80" s="2567"/>
      <c r="VS80" s="2567"/>
      <c r="VT80" s="2567"/>
      <c r="VU80" s="2567"/>
      <c r="VV80" s="2567"/>
      <c r="VW80" s="2567"/>
      <c r="VX80" s="2567"/>
      <c r="VY80" s="2567"/>
      <c r="VZ80" s="2567"/>
      <c r="WA80" s="2567"/>
      <c r="WB80" s="2567"/>
      <c r="WC80" s="2567"/>
      <c r="WD80" s="2567"/>
      <c r="WE80" s="2567"/>
      <c r="WF80" s="2567"/>
      <c r="WG80" s="2567"/>
      <c r="WH80" s="2567"/>
      <c r="WI80" s="2567"/>
      <c r="WJ80" s="2567"/>
      <c r="WK80" s="2567"/>
      <c r="WL80" s="2567"/>
      <c r="WM80" s="2567"/>
      <c r="WN80" s="2567"/>
      <c r="WO80" s="2567"/>
      <c r="WP80" s="2567"/>
      <c r="WQ80" s="2567"/>
      <c r="WR80" s="2567"/>
      <c r="WS80" s="2567"/>
      <c r="WT80" s="2567"/>
      <c r="WU80" s="2567"/>
      <c r="WV80" s="2567"/>
      <c r="WW80" s="2567"/>
      <c r="WX80" s="2567"/>
      <c r="WY80" s="2567"/>
      <c r="WZ80" s="2567"/>
      <c r="XA80" s="2567"/>
      <c r="XB80" s="2567"/>
      <c r="XC80" s="2567"/>
      <c r="XD80" s="2567"/>
      <c r="XE80" s="2567"/>
      <c r="XF80" s="2567"/>
      <c r="XG80" s="2567"/>
      <c r="XH80" s="2567"/>
      <c r="XI80" s="2567"/>
      <c r="XJ80" s="2567"/>
      <c r="XK80" s="2567"/>
      <c r="XL80" s="2567"/>
      <c r="XM80" s="2567"/>
      <c r="XN80" s="2567"/>
      <c r="XO80" s="2567"/>
      <c r="XP80" s="2567"/>
      <c r="XQ80" s="2567"/>
      <c r="XR80" s="2567"/>
      <c r="XS80" s="2567"/>
      <c r="XT80" s="2567"/>
      <c r="XU80" s="2567"/>
      <c r="XV80" s="2567"/>
      <c r="XW80" s="2567"/>
      <c r="XX80" s="2567"/>
      <c r="XY80" s="2567"/>
      <c r="XZ80" s="2567"/>
      <c r="YA80" s="2567"/>
      <c r="YB80" s="2567"/>
      <c r="YC80" s="2567"/>
      <c r="YD80" s="2567"/>
      <c r="YE80" s="2567"/>
      <c r="YF80" s="2567"/>
      <c r="YG80" s="2567"/>
      <c r="YH80" s="2567"/>
      <c r="YI80" s="2567"/>
      <c r="YJ80" s="2567"/>
      <c r="YK80" s="2567"/>
      <c r="YL80" s="2567"/>
      <c r="YM80" s="2567"/>
      <c r="YN80" s="2567"/>
      <c r="YO80" s="2567"/>
      <c r="YP80" s="2567"/>
      <c r="YQ80" s="2567"/>
      <c r="YR80" s="2567"/>
      <c r="YS80" s="2567"/>
      <c r="YT80" s="2567"/>
      <c r="YU80" s="2567"/>
      <c r="YV80" s="2567"/>
      <c r="YW80" s="2567"/>
      <c r="YX80" s="2567"/>
      <c r="YY80" s="2567"/>
      <c r="YZ80" s="2567"/>
      <c r="ZA80" s="2567"/>
      <c r="ZB80" s="2567"/>
      <c r="ZC80" s="2567"/>
      <c r="ZD80" s="2567"/>
      <c r="ZE80" s="2567"/>
      <c r="ZF80" s="2567"/>
      <c r="ZG80" s="2567"/>
      <c r="ZH80" s="2567"/>
      <c r="ZI80" s="2567"/>
      <c r="ZJ80" s="2567"/>
      <c r="ZK80" s="2567"/>
      <c r="ZL80" s="2567"/>
      <c r="ZM80" s="2567"/>
      <c r="ZN80" s="2567"/>
      <c r="ZO80" s="2567"/>
      <c r="ZP80" s="2567"/>
      <c r="ZQ80" s="2567"/>
      <c r="ZR80" s="2567"/>
      <c r="ZS80" s="2567"/>
      <c r="ZT80" s="2567"/>
      <c r="ZU80" s="2567"/>
      <c r="ZV80" s="2567"/>
      <c r="ZW80" s="2567"/>
      <c r="ZX80" s="2567"/>
      <c r="ZY80" s="2567"/>
      <c r="ZZ80" s="2567"/>
      <c r="AAA80" s="2567"/>
      <c r="AAB80" s="2567"/>
      <c r="AAC80" s="2567"/>
      <c r="AAD80" s="2567"/>
      <c r="AAE80" s="2567"/>
      <c r="AAF80" s="2567"/>
      <c r="AAG80" s="2567"/>
      <c r="AAH80" s="2567"/>
      <c r="AAI80" s="2567"/>
      <c r="AAJ80" s="2567"/>
      <c r="AAK80" s="2567"/>
      <c r="AAL80" s="2567"/>
      <c r="AAM80" s="2567"/>
      <c r="AAN80" s="2567"/>
      <c r="AAO80" s="2567"/>
      <c r="AAP80" s="2567"/>
      <c r="AAQ80" s="2567"/>
      <c r="AAR80" s="2567"/>
      <c r="AAS80" s="2567"/>
      <c r="AAT80" s="2567"/>
      <c r="AAU80" s="2567"/>
      <c r="AAV80" s="2567"/>
      <c r="AAW80" s="2567"/>
      <c r="AAX80" s="2567"/>
      <c r="AAY80" s="2567"/>
      <c r="AAZ80" s="2567"/>
      <c r="ABA80" s="2567"/>
      <c r="ABB80" s="2567"/>
      <c r="ABC80" s="2567"/>
      <c r="ABD80" s="2567"/>
      <c r="ABE80" s="2567"/>
      <c r="ABF80" s="2567"/>
      <c r="ABG80" s="2567"/>
      <c r="ABH80" s="2567"/>
      <c r="ABI80" s="2567"/>
      <c r="ABJ80" s="2567"/>
      <c r="ABK80" s="2567"/>
      <c r="ABL80" s="2567"/>
      <c r="ABM80" s="2567"/>
      <c r="ABN80" s="2567"/>
      <c r="ABO80" s="2567"/>
      <c r="ABP80" s="2567"/>
      <c r="ABQ80" s="2567"/>
      <c r="ABR80" s="2567"/>
      <c r="ABS80" s="2567"/>
      <c r="ABT80" s="2567"/>
      <c r="ABU80" s="2567"/>
      <c r="ABV80" s="2567"/>
      <c r="ABW80" s="2567"/>
      <c r="ABX80" s="2567"/>
      <c r="ABY80" s="2567"/>
      <c r="ABZ80" s="2567"/>
      <c r="ACA80" s="2567"/>
      <c r="ACB80" s="2567"/>
      <c r="ACC80" s="2567"/>
      <c r="ACD80" s="2567"/>
      <c r="ACE80" s="2567"/>
      <c r="ACF80" s="2567"/>
      <c r="ACG80" s="2567"/>
      <c r="ACH80" s="2567"/>
      <c r="ACI80" s="2567"/>
      <c r="ACJ80" s="2567"/>
      <c r="ACK80" s="2567"/>
      <c r="ACL80" s="2567"/>
      <c r="ACM80" s="2567"/>
      <c r="ACN80" s="2567"/>
      <c r="ACO80" s="2567"/>
      <c r="ACP80" s="2567"/>
      <c r="ACQ80" s="2567"/>
      <c r="ACR80" s="2567"/>
      <c r="ACS80" s="2567"/>
      <c r="ACT80" s="2567"/>
      <c r="ACU80" s="2567"/>
      <c r="ACV80" s="2567"/>
      <c r="ACW80" s="2567"/>
      <c r="ACX80" s="2567"/>
      <c r="ACY80" s="2567"/>
      <c r="ACZ80" s="2567"/>
      <c r="ADA80" s="2567"/>
      <c r="ADB80" s="2567"/>
      <c r="ADC80" s="2567"/>
      <c r="ADD80" s="2567"/>
      <c r="ADE80" s="2567"/>
      <c r="ADF80" s="2567"/>
      <c r="ADG80" s="2567"/>
      <c r="ADH80" s="2567"/>
      <c r="ADI80" s="2567"/>
      <c r="ADJ80" s="2567"/>
      <c r="ADK80" s="2567"/>
      <c r="ADL80" s="2567"/>
      <c r="ADM80" s="2567"/>
      <c r="ADN80" s="2567"/>
      <c r="ADO80" s="2567"/>
      <c r="ADP80" s="2567"/>
      <c r="ADQ80" s="2567"/>
      <c r="ADR80" s="2567"/>
      <c r="ADS80" s="2567"/>
      <c r="ADT80" s="2567"/>
      <c r="ADU80" s="2567"/>
      <c r="ADV80" s="2567"/>
      <c r="ADW80" s="2567"/>
      <c r="ADX80" s="2567"/>
      <c r="ADY80" s="2567"/>
      <c r="ADZ80" s="2567"/>
      <c r="AEA80" s="2567"/>
      <c r="AEB80" s="2567"/>
      <c r="AEC80" s="2567"/>
      <c r="AED80" s="2567"/>
      <c r="AEE80" s="2567"/>
      <c r="AEF80" s="2567"/>
      <c r="AEG80" s="2567"/>
      <c r="AEH80" s="2567"/>
      <c r="AEI80" s="2567"/>
      <c r="AEJ80" s="2567"/>
      <c r="AEK80" s="2567"/>
      <c r="AEL80" s="2567"/>
      <c r="AEM80" s="2567"/>
      <c r="AEN80" s="2567"/>
      <c r="AEO80" s="2567"/>
      <c r="AEP80" s="2567"/>
      <c r="AEQ80" s="2567"/>
      <c r="AER80" s="2567"/>
      <c r="AES80" s="2567"/>
      <c r="AET80" s="2567"/>
      <c r="AEU80" s="2567"/>
      <c r="AEV80" s="2567"/>
      <c r="AEW80" s="2567"/>
      <c r="AEX80" s="2567"/>
      <c r="AEY80" s="2567"/>
      <c r="AEZ80" s="2567"/>
      <c r="AFA80" s="2567"/>
      <c r="AFB80" s="2567"/>
      <c r="AFC80" s="2567"/>
      <c r="AFD80" s="2567"/>
      <c r="AFE80" s="2567"/>
      <c r="AFF80" s="2567"/>
      <c r="AFG80" s="2567"/>
      <c r="AFH80" s="2567"/>
      <c r="AFI80" s="2567"/>
      <c r="AFJ80" s="2567"/>
      <c r="AFK80" s="2567"/>
      <c r="AFL80" s="2567"/>
      <c r="AFM80" s="2567"/>
      <c r="AFN80" s="2567"/>
      <c r="AFO80" s="2567"/>
      <c r="AFP80" s="2567"/>
      <c r="AFQ80" s="2567"/>
      <c r="AFR80" s="2567"/>
      <c r="AFS80" s="2567"/>
      <c r="AFT80" s="2567"/>
      <c r="AFU80" s="2567"/>
      <c r="AFV80" s="2567"/>
      <c r="AFW80" s="2567"/>
      <c r="AFX80" s="2567"/>
      <c r="AFY80" s="2567"/>
      <c r="AFZ80" s="2567"/>
      <c r="AGA80" s="2567"/>
      <c r="AGB80" s="2567"/>
      <c r="AGC80" s="2567"/>
      <c r="AGD80" s="2567"/>
      <c r="AGE80" s="2567"/>
      <c r="AGF80" s="2567"/>
      <c r="AGG80" s="2567"/>
      <c r="AGH80" s="2567"/>
      <c r="AGI80" s="2567"/>
      <c r="AGJ80" s="2567"/>
      <c r="AGK80" s="2567"/>
      <c r="AGL80" s="2567"/>
      <c r="AGM80" s="2567"/>
      <c r="AGN80" s="2567"/>
      <c r="AGO80" s="2567"/>
      <c r="AGP80" s="2567"/>
      <c r="AGQ80" s="2567"/>
      <c r="AGR80" s="2567"/>
      <c r="AGS80" s="2567"/>
      <c r="AGT80" s="2567"/>
      <c r="AGU80" s="2567"/>
      <c r="AGV80" s="2567"/>
      <c r="AGW80" s="2567"/>
      <c r="AGX80" s="2567"/>
      <c r="AGY80" s="2567"/>
      <c r="AGZ80" s="2567"/>
      <c r="AHA80" s="2567"/>
      <c r="AHB80" s="2567"/>
      <c r="AHC80" s="2567"/>
      <c r="AHD80" s="2567"/>
      <c r="AHE80" s="2567"/>
      <c r="AHF80" s="2567"/>
      <c r="AHG80" s="2567"/>
      <c r="AHH80" s="2567"/>
      <c r="AHI80" s="2567"/>
      <c r="AHJ80" s="2567"/>
      <c r="AHK80" s="2567"/>
      <c r="AHL80" s="2567"/>
      <c r="AHM80" s="2567"/>
      <c r="AHN80" s="2567"/>
      <c r="AHO80" s="2567"/>
      <c r="AHP80" s="2567"/>
      <c r="AHQ80" s="2567"/>
      <c r="AHR80" s="2567"/>
      <c r="AHS80" s="2567"/>
      <c r="AHT80" s="2567"/>
      <c r="AHU80" s="2567"/>
      <c r="AHV80" s="2567"/>
      <c r="AHW80" s="2567"/>
      <c r="AHX80" s="2567"/>
      <c r="AHY80" s="2567"/>
      <c r="AHZ80" s="2567"/>
      <c r="AIA80" s="2567"/>
      <c r="AIB80" s="2567"/>
      <c r="AIC80" s="2567"/>
      <c r="AID80" s="2567"/>
      <c r="AIE80" s="2567"/>
      <c r="AIF80" s="2567"/>
      <c r="AIG80" s="2567"/>
      <c r="AIH80" s="2567"/>
      <c r="AII80" s="2567"/>
      <c r="AIJ80" s="2567"/>
      <c r="AIK80" s="2567"/>
      <c r="AIL80" s="2567"/>
      <c r="AIM80" s="2567"/>
      <c r="AIN80" s="2567"/>
      <c r="AIO80" s="2567"/>
      <c r="AIP80" s="2567"/>
      <c r="AIQ80" s="2567"/>
      <c r="AIR80" s="2567"/>
      <c r="AIS80" s="2567"/>
      <c r="AIT80" s="2567"/>
      <c r="AIU80" s="2567"/>
      <c r="AIV80" s="2567"/>
      <c r="AIW80" s="2567"/>
      <c r="AIX80" s="2567"/>
      <c r="AIY80" s="2567"/>
      <c r="AIZ80" s="2567"/>
      <c r="AJA80" s="2567"/>
      <c r="AJB80" s="2567"/>
      <c r="AJC80" s="2567"/>
      <c r="AJD80" s="2567"/>
      <c r="AJE80" s="2567"/>
      <c r="AJF80" s="2567"/>
      <c r="AJG80" s="2567"/>
      <c r="AJH80" s="2567"/>
      <c r="AJI80" s="2567"/>
      <c r="AJJ80" s="2567"/>
      <c r="AJK80" s="2567"/>
      <c r="AJL80" s="2567"/>
      <c r="AJM80" s="2567"/>
      <c r="AJN80" s="2567"/>
      <c r="AJO80" s="2567"/>
      <c r="AJP80" s="2567"/>
      <c r="AJQ80" s="2567"/>
      <c r="AJR80" s="2567"/>
      <c r="AJS80" s="2567"/>
      <c r="AJT80" s="2567"/>
      <c r="AJU80" s="2567"/>
      <c r="AJV80" s="2567"/>
      <c r="AJW80" s="2567"/>
      <c r="AJX80" s="2567"/>
      <c r="AJY80" s="2567"/>
      <c r="AJZ80" s="2567"/>
      <c r="AKA80" s="2567"/>
      <c r="AKB80" s="2567"/>
      <c r="AKC80" s="2567"/>
      <c r="AKD80" s="2567"/>
      <c r="AKE80" s="2567"/>
      <c r="AKF80" s="2567"/>
      <c r="AKG80" s="2567"/>
      <c r="AKH80" s="2567"/>
      <c r="AKI80" s="2567"/>
      <c r="AKJ80" s="2567"/>
      <c r="AKK80" s="2567"/>
      <c r="AKL80" s="2567"/>
      <c r="AKM80" s="2567"/>
      <c r="AKN80" s="2567"/>
      <c r="AKO80" s="2567"/>
      <c r="AKP80" s="2567"/>
      <c r="AKQ80" s="2567"/>
      <c r="AKR80" s="2567"/>
      <c r="AKS80" s="2567"/>
      <c r="AKT80" s="2567"/>
      <c r="AKU80" s="2567"/>
      <c r="AKV80" s="2567"/>
      <c r="AKW80" s="2567"/>
      <c r="AKX80" s="2567"/>
      <c r="AKY80" s="2567"/>
      <c r="AKZ80" s="2567"/>
      <c r="ALA80" s="2567"/>
      <c r="ALB80" s="2567"/>
      <c r="ALC80" s="2567"/>
      <c r="ALD80" s="2567"/>
      <c r="ALE80" s="2567"/>
      <c r="ALF80" s="2567"/>
      <c r="ALG80" s="2567"/>
      <c r="ALH80" s="2567"/>
      <c r="ALI80" s="2567"/>
      <c r="ALJ80" s="2567"/>
      <c r="ALK80" s="2567"/>
      <c r="ALL80" s="2567"/>
      <c r="ALM80" s="2567"/>
      <c r="ALN80" s="2567"/>
      <c r="ALO80" s="2567"/>
      <c r="ALP80" s="2567"/>
      <c r="ALQ80" s="2567"/>
      <c r="ALR80" s="2567"/>
      <c r="ALS80" s="2567"/>
      <c r="ALT80" s="2567"/>
      <c r="ALU80" s="2567"/>
      <c r="ALV80" s="2567"/>
      <c r="ALW80" s="2567"/>
      <c r="ALX80" s="2567"/>
      <c r="ALY80" s="2567"/>
      <c r="ALZ80" s="2567"/>
      <c r="AMA80" s="2567"/>
      <c r="AMB80" s="2567"/>
      <c r="AMC80" s="2567"/>
      <c r="AMD80" s="2567"/>
      <c r="AME80" s="2567"/>
      <c r="AMF80" s="2567"/>
      <c r="AMG80" s="2567"/>
      <c r="AMH80" s="2567"/>
      <c r="AMI80" s="2567"/>
      <c r="AMJ80" s="2567"/>
      <c r="AMK80" s="2567"/>
      <c r="AML80" s="2567"/>
      <c r="AMM80" s="2567"/>
      <c r="AMN80" s="2567"/>
      <c r="AMO80" s="2567"/>
      <c r="AMP80" s="2567"/>
      <c r="AMQ80" s="2567"/>
      <c r="AMR80" s="2567"/>
      <c r="AMS80" s="2567"/>
      <c r="AMT80" s="2567"/>
      <c r="AMU80" s="2567"/>
      <c r="AMV80" s="2567"/>
      <c r="AMW80" s="2567"/>
      <c r="AMX80" s="2567"/>
      <c r="AMY80" s="2567"/>
      <c r="AMZ80" s="2567"/>
      <c r="ANA80" s="2567"/>
      <c r="ANB80" s="2567"/>
      <c r="ANC80" s="2567"/>
      <c r="AND80" s="2567"/>
      <c r="ANE80" s="2567"/>
      <c r="ANF80" s="2567"/>
      <c r="ANG80" s="2567"/>
      <c r="ANH80" s="2567"/>
      <c r="ANI80" s="2567"/>
      <c r="ANJ80" s="2567"/>
      <c r="ANK80" s="2567"/>
      <c r="ANL80" s="2567"/>
      <c r="ANM80" s="2567"/>
      <c r="ANN80" s="2567"/>
      <c r="ANO80" s="2567"/>
      <c r="ANP80" s="2567"/>
      <c r="ANQ80" s="2567"/>
      <c r="ANR80" s="2567"/>
      <c r="ANS80" s="2567"/>
      <c r="ANT80" s="2567"/>
      <c r="ANU80" s="2567"/>
      <c r="ANV80" s="2567"/>
      <c r="ANW80" s="2567"/>
      <c r="ANX80" s="2567"/>
      <c r="ANY80" s="2567"/>
      <c r="ANZ80" s="2567"/>
      <c r="AOA80" s="2567"/>
      <c r="AOB80" s="2567"/>
      <c r="AOC80" s="2567"/>
      <c r="AOD80" s="2567"/>
      <c r="AOE80" s="2567"/>
      <c r="AOF80" s="2567"/>
      <c r="AOG80" s="2567"/>
      <c r="AOH80" s="2567"/>
      <c r="AOI80" s="2567"/>
      <c r="AOJ80" s="2567"/>
      <c r="AOK80" s="2567"/>
      <c r="AOL80" s="2567"/>
      <c r="AOM80" s="2567"/>
      <c r="AON80" s="2567"/>
      <c r="AOO80" s="2567"/>
      <c r="AOP80" s="2567"/>
      <c r="AOQ80" s="2567"/>
      <c r="AOR80" s="2567"/>
      <c r="AOS80" s="2567"/>
      <c r="AOT80" s="2567"/>
      <c r="AOU80" s="2567"/>
      <c r="AOV80" s="2567"/>
      <c r="AOW80" s="2567"/>
      <c r="AOX80" s="2567"/>
      <c r="AOY80" s="2567"/>
      <c r="AOZ80" s="2567"/>
      <c r="APA80" s="2567"/>
      <c r="APB80" s="2567"/>
      <c r="APC80" s="2567"/>
      <c r="APD80" s="2567"/>
      <c r="APE80" s="2567"/>
      <c r="APF80" s="2567"/>
      <c r="APG80" s="2567"/>
      <c r="APH80" s="2567"/>
      <c r="API80" s="2567"/>
      <c r="APJ80" s="2567"/>
      <c r="APK80" s="2567"/>
      <c r="APL80" s="2567"/>
      <c r="APM80" s="2567"/>
      <c r="APN80" s="2567"/>
      <c r="APO80" s="2567"/>
      <c r="APP80" s="2567"/>
      <c r="APQ80" s="2567"/>
      <c r="APR80" s="2567"/>
      <c r="APS80" s="2567"/>
      <c r="APT80" s="2567"/>
      <c r="APU80" s="2567"/>
      <c r="APV80" s="2567"/>
      <c r="APW80" s="2567"/>
      <c r="APX80" s="2567"/>
      <c r="APY80" s="2567"/>
      <c r="APZ80" s="2567"/>
      <c r="AQA80" s="2567"/>
      <c r="AQB80" s="2567"/>
      <c r="AQC80" s="2567"/>
      <c r="AQD80" s="2567"/>
      <c r="AQE80" s="2567"/>
      <c r="AQF80" s="2567"/>
      <c r="AQG80" s="2567"/>
      <c r="AQH80" s="2567"/>
      <c r="AQI80" s="2567"/>
      <c r="AQJ80" s="2567"/>
      <c r="AQK80" s="2567"/>
      <c r="AQL80" s="2567"/>
      <c r="AQM80" s="2567"/>
      <c r="AQN80" s="2567"/>
      <c r="AQO80" s="2567"/>
      <c r="AQP80" s="2567"/>
      <c r="AQQ80" s="2567"/>
      <c r="AQR80" s="2567"/>
      <c r="AQS80" s="2567"/>
      <c r="AQT80" s="2567"/>
      <c r="AQU80" s="2567"/>
      <c r="AQV80" s="2567"/>
      <c r="AQW80" s="2567"/>
      <c r="AQX80" s="2567"/>
      <c r="AQY80" s="2567"/>
      <c r="AQZ80" s="2567"/>
      <c r="ARA80" s="2567"/>
      <c r="ARB80" s="2567"/>
      <c r="ARC80" s="2567"/>
      <c r="ARD80" s="2567"/>
      <c r="ARE80" s="2567"/>
      <c r="ARF80" s="2567"/>
      <c r="ARG80" s="2567"/>
      <c r="ARH80" s="2567"/>
      <c r="ARI80" s="2567"/>
      <c r="ARJ80" s="2567"/>
      <c r="ARK80" s="2567"/>
      <c r="ARL80" s="2567"/>
      <c r="ARM80" s="2567"/>
      <c r="ARN80" s="2567"/>
      <c r="ARO80" s="2567"/>
      <c r="ARP80" s="2567"/>
      <c r="ARQ80" s="2567"/>
      <c r="ARR80" s="2567"/>
      <c r="ARS80" s="2567"/>
      <c r="ART80" s="2567"/>
      <c r="ARU80" s="2567"/>
      <c r="ARV80" s="2567"/>
      <c r="ARW80" s="2567"/>
      <c r="ARX80" s="2567"/>
      <c r="ARY80" s="2567"/>
      <c r="ARZ80" s="2567"/>
      <c r="ASA80" s="2567"/>
      <c r="ASB80" s="2567"/>
      <c r="ASC80" s="2567"/>
      <c r="ASD80" s="2567"/>
      <c r="ASE80" s="2567"/>
      <c r="ASF80" s="2567"/>
      <c r="ASG80" s="2567"/>
      <c r="ASH80" s="2567"/>
      <c r="ASI80" s="2567"/>
      <c r="ASJ80" s="2567"/>
      <c r="ASK80" s="2567"/>
      <c r="ASL80" s="2567"/>
      <c r="ASM80" s="2567"/>
      <c r="ASN80" s="2567"/>
      <c r="ASO80" s="2567"/>
      <c r="ASP80" s="2567"/>
      <c r="ASQ80" s="2567"/>
      <c r="ASR80" s="2567"/>
      <c r="ASS80" s="2567"/>
      <c r="AST80" s="2567"/>
      <c r="ASU80" s="2567"/>
      <c r="ASV80" s="2567"/>
      <c r="ASW80" s="2567"/>
      <c r="ASX80" s="2567"/>
      <c r="ASY80" s="2567"/>
      <c r="ASZ80" s="2567"/>
      <c r="ATA80" s="2567"/>
      <c r="ATB80" s="2567"/>
      <c r="ATC80" s="2567"/>
      <c r="ATD80" s="2567"/>
      <c r="ATE80" s="2567"/>
      <c r="ATF80" s="2567"/>
      <c r="ATG80" s="2567"/>
      <c r="ATH80" s="2567"/>
      <c r="ATI80" s="2567"/>
      <c r="ATJ80" s="2567"/>
      <c r="ATK80" s="2567"/>
      <c r="ATL80" s="2567"/>
      <c r="ATM80" s="2567"/>
      <c r="ATN80" s="2567"/>
      <c r="ATO80" s="2567"/>
      <c r="ATP80" s="2567"/>
      <c r="ATQ80" s="2567"/>
      <c r="ATR80" s="2567"/>
      <c r="ATS80" s="2567"/>
      <c r="ATT80" s="2567"/>
      <c r="ATU80" s="2567"/>
      <c r="ATV80" s="2567"/>
      <c r="ATW80" s="2567"/>
      <c r="ATX80" s="2567"/>
      <c r="ATY80" s="2567"/>
      <c r="ATZ80" s="2567"/>
      <c r="AUA80" s="2567"/>
      <c r="AUB80" s="2567"/>
      <c r="AUC80" s="2567"/>
      <c r="AUD80" s="2567"/>
      <c r="AUE80" s="2567"/>
      <c r="AUF80" s="2567"/>
      <c r="AUG80" s="2567"/>
      <c r="AUH80" s="2567"/>
      <c r="AUI80" s="2567"/>
      <c r="AUJ80" s="2567"/>
      <c r="AUK80" s="2567"/>
      <c r="AUL80" s="2567"/>
      <c r="AUM80" s="2567"/>
      <c r="AUN80" s="2567"/>
      <c r="AUO80" s="2567"/>
      <c r="AUP80" s="2567"/>
      <c r="AUQ80" s="2567"/>
      <c r="AUR80" s="2567"/>
      <c r="AUS80" s="2567"/>
      <c r="AUT80" s="2567"/>
      <c r="AUU80" s="2567"/>
      <c r="AUV80" s="2567"/>
      <c r="AUW80" s="2567"/>
      <c r="AUX80" s="2567"/>
      <c r="AUY80" s="2567"/>
      <c r="AUZ80" s="2567"/>
      <c r="AVA80" s="2567"/>
      <c r="AVB80" s="2567"/>
      <c r="AVC80" s="2567"/>
      <c r="AVD80" s="2567"/>
      <c r="AVE80" s="2567"/>
      <c r="AVF80" s="2567"/>
      <c r="AVG80" s="2567"/>
      <c r="AVH80" s="2567"/>
      <c r="AVI80" s="2567"/>
      <c r="AVJ80" s="2567"/>
      <c r="AVK80" s="2567"/>
      <c r="AVL80" s="2567"/>
      <c r="AVM80" s="2567"/>
      <c r="AVN80" s="2567"/>
      <c r="AVO80" s="2567"/>
      <c r="AVP80" s="2567"/>
      <c r="AVQ80" s="2567"/>
      <c r="AVR80" s="2567"/>
      <c r="AVS80" s="2567"/>
      <c r="AVT80" s="2567"/>
      <c r="AVU80" s="2567"/>
      <c r="AVV80" s="2567"/>
      <c r="AVW80" s="2567"/>
      <c r="AVX80" s="2567"/>
      <c r="AVY80" s="2567"/>
      <c r="AVZ80" s="2567"/>
      <c r="AWA80" s="2567"/>
      <c r="AWB80" s="2567"/>
      <c r="AWC80" s="2567"/>
      <c r="AWD80" s="2567"/>
      <c r="AWE80" s="2567"/>
      <c r="AWF80" s="2567"/>
      <c r="AWG80" s="2567"/>
      <c r="AWH80" s="2567"/>
      <c r="AWI80" s="2567"/>
      <c r="AWJ80" s="2567"/>
      <c r="AWK80" s="2567"/>
      <c r="AWL80" s="2567"/>
      <c r="AWM80" s="2567"/>
      <c r="AWN80" s="2567"/>
      <c r="AWO80" s="2567"/>
      <c r="AWP80" s="2567"/>
      <c r="AWQ80" s="2567"/>
      <c r="AWR80" s="2567"/>
      <c r="AWS80" s="2567"/>
      <c r="AWT80" s="2567"/>
      <c r="AWU80" s="2567"/>
      <c r="AWV80" s="2567"/>
      <c r="AWW80" s="2567"/>
      <c r="AWX80" s="2567"/>
      <c r="AWY80" s="2567"/>
      <c r="AWZ80" s="2567"/>
      <c r="AXA80" s="2567"/>
      <c r="AXB80" s="2567"/>
      <c r="AXC80" s="2567"/>
      <c r="AXD80" s="2567"/>
      <c r="AXE80" s="2567"/>
      <c r="AXF80" s="2567"/>
      <c r="AXG80" s="2567"/>
      <c r="AXH80" s="2567"/>
      <c r="AXI80" s="2567"/>
      <c r="AXJ80" s="2567"/>
      <c r="AXK80" s="2567"/>
      <c r="AXL80" s="2567"/>
      <c r="AXM80" s="2567"/>
      <c r="AXN80" s="2567"/>
      <c r="AXO80" s="2567"/>
      <c r="AXP80" s="2567"/>
      <c r="AXQ80" s="2567"/>
      <c r="AXR80" s="2567"/>
      <c r="AXS80" s="2567"/>
      <c r="AXT80" s="2567"/>
      <c r="AXU80" s="2567"/>
      <c r="AXV80" s="2567"/>
      <c r="AXW80" s="2567"/>
      <c r="AXX80" s="2567"/>
      <c r="AXY80" s="2567"/>
      <c r="AXZ80" s="2567"/>
      <c r="AYA80" s="2567"/>
      <c r="AYB80" s="2567"/>
      <c r="AYC80" s="2567"/>
      <c r="AYD80" s="2567"/>
      <c r="AYE80" s="2567"/>
      <c r="AYF80" s="2567"/>
      <c r="AYG80" s="2567"/>
      <c r="AYH80" s="2567"/>
      <c r="AYI80" s="2567"/>
      <c r="AYJ80" s="2567"/>
      <c r="AYK80" s="2567"/>
      <c r="AYL80" s="2567"/>
      <c r="AYM80" s="2567"/>
      <c r="AYN80" s="2567"/>
      <c r="AYO80" s="2567"/>
      <c r="AYP80" s="2567"/>
      <c r="AYQ80" s="2567"/>
      <c r="AYR80" s="2567"/>
      <c r="AYS80" s="2567"/>
      <c r="AYT80" s="2567"/>
      <c r="AYU80" s="2567"/>
      <c r="AYV80" s="2567"/>
      <c r="AYW80" s="2567"/>
      <c r="AYX80" s="2567"/>
      <c r="AYY80" s="2567"/>
      <c r="AYZ80" s="2567"/>
      <c r="AZA80" s="2567"/>
      <c r="AZB80" s="2567"/>
      <c r="AZC80" s="2567"/>
      <c r="AZD80" s="2567"/>
      <c r="AZE80" s="2567"/>
      <c r="AZF80" s="2567"/>
      <c r="AZG80" s="2567"/>
      <c r="AZH80" s="2567"/>
      <c r="AZI80" s="2567"/>
      <c r="AZJ80" s="2567"/>
      <c r="AZK80" s="2567"/>
      <c r="AZL80" s="2567"/>
      <c r="AZM80" s="2567"/>
      <c r="AZN80" s="2567"/>
      <c r="AZO80" s="2567"/>
      <c r="AZP80" s="2567"/>
      <c r="AZQ80" s="2567"/>
      <c r="AZR80" s="2567"/>
      <c r="AZS80" s="2567"/>
      <c r="AZT80" s="2567"/>
      <c r="AZU80" s="2567"/>
      <c r="AZV80" s="2567"/>
      <c r="AZW80" s="2567"/>
      <c r="AZX80" s="2567"/>
      <c r="AZY80" s="2567"/>
      <c r="AZZ80" s="2567"/>
      <c r="BAA80" s="2567"/>
      <c r="BAB80" s="2567"/>
      <c r="BAC80" s="2567"/>
      <c r="BAD80" s="2567"/>
      <c r="BAE80" s="2567"/>
      <c r="BAF80" s="2567"/>
      <c r="BAG80" s="2567"/>
      <c r="BAH80" s="2567"/>
      <c r="BAI80" s="2567"/>
      <c r="BAJ80" s="2567"/>
      <c r="BAK80" s="2567"/>
      <c r="BAL80" s="2567"/>
      <c r="BAM80" s="2567"/>
      <c r="BAN80" s="2567"/>
      <c r="BAO80" s="2567"/>
      <c r="BAP80" s="2567"/>
      <c r="BAQ80" s="2567"/>
      <c r="BAR80" s="2567"/>
      <c r="BAS80" s="2567"/>
      <c r="BAT80" s="2567"/>
      <c r="BAU80" s="2567"/>
      <c r="BAV80" s="2567"/>
      <c r="BAW80" s="2567"/>
      <c r="BAX80" s="2567"/>
      <c r="BAY80" s="2567"/>
      <c r="BAZ80" s="2567"/>
      <c r="BBA80" s="2567"/>
      <c r="BBB80" s="2567"/>
      <c r="BBC80" s="2567"/>
      <c r="BBD80" s="2567"/>
      <c r="BBE80" s="2567"/>
      <c r="BBF80" s="2567"/>
      <c r="BBG80" s="2567"/>
      <c r="BBH80" s="2567"/>
      <c r="BBI80" s="2567"/>
      <c r="BBJ80" s="2567"/>
      <c r="BBK80" s="2567"/>
      <c r="BBL80" s="2567"/>
      <c r="BBM80" s="2567"/>
      <c r="BBN80" s="2567"/>
      <c r="BBO80" s="2567"/>
      <c r="BBP80" s="2567"/>
      <c r="BBQ80" s="2567"/>
      <c r="BBR80" s="2567"/>
      <c r="BBS80" s="2567"/>
      <c r="BBT80" s="2567"/>
      <c r="BBU80" s="2567"/>
      <c r="BBV80" s="2567"/>
      <c r="BBW80" s="2567"/>
      <c r="BBX80" s="2567"/>
      <c r="BBY80" s="2567"/>
      <c r="BBZ80" s="2567"/>
      <c r="BCA80" s="2567"/>
      <c r="BCB80" s="2567"/>
      <c r="BCC80" s="2567"/>
      <c r="BCD80" s="2567"/>
      <c r="BCE80" s="2567"/>
      <c r="BCF80" s="2567"/>
      <c r="BCG80" s="2567"/>
      <c r="BCH80" s="2567"/>
      <c r="BCI80" s="2567"/>
      <c r="BCJ80" s="2567"/>
      <c r="BCK80" s="2567"/>
      <c r="BCL80" s="2567"/>
      <c r="BCM80" s="2567"/>
      <c r="BCN80" s="2567"/>
      <c r="BCO80" s="2567"/>
      <c r="BCP80" s="2567"/>
      <c r="BCQ80" s="2567"/>
      <c r="BCR80" s="2567"/>
      <c r="BCS80" s="2567"/>
      <c r="BCT80" s="2567"/>
      <c r="BCU80" s="2567"/>
      <c r="BCV80" s="2567"/>
      <c r="BCW80" s="2567"/>
      <c r="BCX80" s="2567"/>
      <c r="BCY80" s="2567"/>
      <c r="BCZ80" s="2567"/>
      <c r="BDA80" s="2567"/>
      <c r="BDB80" s="2567"/>
      <c r="BDC80" s="2567"/>
      <c r="BDD80" s="2567"/>
      <c r="BDE80" s="2567"/>
      <c r="BDF80" s="2567"/>
      <c r="BDG80" s="2567"/>
      <c r="BDH80" s="2567"/>
      <c r="BDI80" s="2567"/>
      <c r="BDJ80" s="2567"/>
      <c r="BDK80" s="2567"/>
      <c r="BDL80" s="2567"/>
      <c r="BDM80" s="2567"/>
      <c r="BDN80" s="2567"/>
      <c r="BDO80" s="2567"/>
      <c r="BDP80" s="2567"/>
      <c r="BDQ80" s="2567"/>
      <c r="BDR80" s="2567"/>
      <c r="BDS80" s="2567"/>
      <c r="BDT80" s="2567"/>
      <c r="BDU80" s="2567"/>
      <c r="BDV80" s="2567"/>
      <c r="BDW80" s="2567"/>
      <c r="BDX80" s="2567"/>
      <c r="BDY80" s="2567"/>
      <c r="BDZ80" s="2567"/>
      <c r="BEA80" s="2567"/>
      <c r="BEB80" s="2567"/>
      <c r="BEC80" s="2567"/>
      <c r="BED80" s="2567"/>
      <c r="BEE80" s="2567"/>
      <c r="BEF80" s="2567"/>
      <c r="BEG80" s="2567"/>
      <c r="BEH80" s="2567"/>
      <c r="BEI80" s="2567"/>
      <c r="BEJ80" s="2567"/>
      <c r="BEK80" s="2567"/>
      <c r="BEL80" s="2567"/>
      <c r="BEM80" s="2567"/>
      <c r="BEN80" s="2567"/>
      <c r="BEO80" s="2567"/>
      <c r="BEP80" s="2567"/>
      <c r="BEQ80" s="2567"/>
      <c r="BER80" s="2567"/>
      <c r="BES80" s="2567"/>
      <c r="BET80" s="2567"/>
      <c r="BEU80" s="2567"/>
      <c r="BEV80" s="2567"/>
      <c r="BEW80" s="2567"/>
      <c r="BEX80" s="2567"/>
      <c r="BEY80" s="2567"/>
      <c r="BEZ80" s="2567"/>
      <c r="BFA80" s="2567"/>
      <c r="BFB80" s="2567"/>
      <c r="BFC80" s="2567"/>
      <c r="BFD80" s="2567"/>
      <c r="BFE80" s="2567"/>
      <c r="BFF80" s="2567"/>
      <c r="BFG80" s="2567"/>
      <c r="BFH80" s="2567"/>
      <c r="BFI80" s="2567"/>
      <c r="BFJ80" s="2567"/>
      <c r="BFK80" s="2567"/>
      <c r="BFL80" s="2567"/>
      <c r="BFM80" s="2567"/>
      <c r="BFN80" s="2567"/>
      <c r="BFO80" s="2567"/>
      <c r="BFP80" s="2567"/>
      <c r="BFQ80" s="2567"/>
      <c r="BFR80" s="2567"/>
      <c r="BFS80" s="2567"/>
      <c r="BFT80" s="2567"/>
      <c r="BFU80" s="2567"/>
      <c r="BFV80" s="2567"/>
      <c r="BFW80" s="2567"/>
      <c r="BFX80" s="2567"/>
      <c r="BFY80" s="2567"/>
      <c r="BFZ80" s="2567"/>
      <c r="BGA80" s="2567"/>
      <c r="BGB80" s="2567"/>
      <c r="BGC80" s="2567"/>
      <c r="BGD80" s="2567"/>
      <c r="BGE80" s="2567"/>
      <c r="BGF80" s="2567"/>
      <c r="BGG80" s="2567"/>
      <c r="BGH80" s="2567"/>
      <c r="BGI80" s="2567"/>
      <c r="BGJ80" s="2567"/>
      <c r="BGK80" s="2567"/>
      <c r="BGL80" s="2567"/>
      <c r="BGM80" s="2567"/>
      <c r="BGN80" s="2567"/>
      <c r="BGO80" s="2567"/>
      <c r="BGP80" s="2567"/>
      <c r="BGQ80" s="2567"/>
      <c r="BGR80" s="2567"/>
      <c r="BGS80" s="2567"/>
      <c r="BGT80" s="2567"/>
      <c r="BGU80" s="2567"/>
      <c r="BGV80" s="2567"/>
      <c r="BGW80" s="2567"/>
      <c r="BGX80" s="2567"/>
      <c r="BGY80" s="2567"/>
      <c r="BGZ80" s="2567"/>
      <c r="BHA80" s="2567"/>
      <c r="BHB80" s="2567"/>
      <c r="BHC80" s="2567"/>
      <c r="BHD80" s="2567"/>
      <c r="BHE80" s="2567"/>
      <c r="BHF80" s="2567"/>
      <c r="BHG80" s="2567"/>
      <c r="BHH80" s="2567"/>
      <c r="BHI80" s="2567"/>
      <c r="BHJ80" s="2567"/>
      <c r="BHK80" s="2567"/>
      <c r="BHL80" s="2567"/>
      <c r="BHM80" s="2567"/>
      <c r="BHN80" s="2567"/>
      <c r="BHO80" s="2567"/>
      <c r="BHP80" s="2567"/>
      <c r="BHQ80" s="2567"/>
      <c r="BHR80" s="2567"/>
      <c r="BHS80" s="2567"/>
      <c r="BHT80" s="2567"/>
      <c r="BHU80" s="2567"/>
      <c r="BHV80" s="2567"/>
      <c r="BHW80" s="2567"/>
      <c r="BHX80" s="2567"/>
      <c r="BHY80" s="2567"/>
      <c r="BHZ80" s="2567"/>
      <c r="BIA80" s="2567"/>
      <c r="BIB80" s="2567"/>
      <c r="BIC80" s="2567"/>
      <c r="BID80" s="2567"/>
      <c r="BIE80" s="2567"/>
      <c r="BIF80" s="2567"/>
      <c r="BIG80" s="2567"/>
      <c r="BIH80" s="2567"/>
      <c r="BII80" s="2567"/>
      <c r="BIJ80" s="2567"/>
      <c r="BIK80" s="2567"/>
      <c r="BIL80" s="2567"/>
      <c r="BIM80" s="2567"/>
      <c r="BIN80" s="2567"/>
      <c r="BIO80" s="2567"/>
      <c r="BIP80" s="2567"/>
      <c r="BIQ80" s="2567"/>
      <c r="BIR80" s="2567"/>
      <c r="BIS80" s="2567"/>
      <c r="BIT80" s="2567"/>
      <c r="BIU80" s="2567"/>
      <c r="BIV80" s="2567"/>
      <c r="BIW80" s="2567"/>
      <c r="BIX80" s="2567"/>
      <c r="BIY80" s="2567"/>
      <c r="BIZ80" s="2567"/>
      <c r="BJA80" s="2567"/>
      <c r="BJB80" s="2567"/>
      <c r="BJC80" s="2567"/>
      <c r="BJD80" s="2567"/>
      <c r="BJE80" s="2567"/>
      <c r="BJF80" s="2567"/>
      <c r="BJG80" s="2567"/>
      <c r="BJH80" s="2567"/>
      <c r="BJI80" s="2567"/>
      <c r="BJJ80" s="2567"/>
      <c r="BJK80" s="2567"/>
      <c r="BJL80" s="2567"/>
      <c r="BJM80" s="2567"/>
      <c r="BJN80" s="2567"/>
      <c r="BJO80" s="2567"/>
      <c r="BJP80" s="2567"/>
      <c r="BJQ80" s="2567"/>
      <c r="BJR80" s="2567"/>
      <c r="BJS80" s="2567"/>
      <c r="BJT80" s="2567"/>
      <c r="BJU80" s="2567"/>
      <c r="BJV80" s="2567"/>
      <c r="BJW80" s="2567"/>
      <c r="BJX80" s="2567"/>
      <c r="BJY80" s="2567"/>
      <c r="BJZ80" s="2567"/>
      <c r="BKA80" s="2567"/>
      <c r="BKB80" s="2567"/>
      <c r="BKC80" s="2567"/>
      <c r="BKD80" s="2567"/>
      <c r="BKE80" s="2567"/>
      <c r="BKF80" s="2567"/>
      <c r="BKG80" s="2567"/>
      <c r="BKH80" s="2567"/>
      <c r="BKI80" s="2567"/>
      <c r="BKJ80" s="2567"/>
      <c r="BKK80" s="2567"/>
      <c r="BKL80" s="2567"/>
      <c r="BKM80" s="2567"/>
      <c r="BKN80" s="2567"/>
      <c r="BKO80" s="2567"/>
      <c r="BKP80" s="2567"/>
      <c r="BKQ80" s="2567"/>
      <c r="BKR80" s="2567"/>
      <c r="BKS80" s="2567"/>
      <c r="BKT80" s="2567"/>
      <c r="BKU80" s="2567"/>
      <c r="BKV80" s="2567"/>
      <c r="BKW80" s="2567"/>
      <c r="BKX80" s="2567"/>
      <c r="BKY80" s="2567"/>
      <c r="BKZ80" s="2567"/>
      <c r="BLA80" s="2567"/>
      <c r="BLB80" s="2567"/>
      <c r="BLC80" s="2567"/>
      <c r="BLD80" s="2567"/>
      <c r="BLE80" s="2567"/>
      <c r="BLF80" s="2567"/>
      <c r="BLG80" s="2567"/>
      <c r="BLH80" s="2567"/>
      <c r="BLI80" s="2567"/>
      <c r="BLJ80" s="2567"/>
      <c r="BLK80" s="2567"/>
      <c r="BLL80" s="2567"/>
      <c r="BLM80" s="2567"/>
      <c r="BLN80" s="2567"/>
      <c r="BLO80" s="2567"/>
      <c r="BLP80" s="2567"/>
      <c r="BLQ80" s="2567"/>
      <c r="BLR80" s="2567"/>
      <c r="BLS80" s="2567"/>
      <c r="BLT80" s="2567"/>
      <c r="BLU80" s="2567"/>
      <c r="BLV80" s="2567"/>
      <c r="BLW80" s="2567"/>
      <c r="BLX80" s="2567"/>
      <c r="BLY80" s="2567"/>
      <c r="BLZ80" s="2567"/>
      <c r="BMA80" s="2567"/>
      <c r="BMB80" s="2567"/>
      <c r="BMC80" s="2567"/>
      <c r="BMD80" s="2567"/>
      <c r="BME80" s="2567"/>
      <c r="BMF80" s="2567"/>
      <c r="BMG80" s="2567"/>
      <c r="BMH80" s="2567"/>
      <c r="BMI80" s="2567"/>
      <c r="BMJ80" s="2567"/>
      <c r="BMK80" s="2567"/>
      <c r="BML80" s="2567"/>
      <c r="BMM80" s="2567"/>
      <c r="BMN80" s="2567"/>
      <c r="BMO80" s="2567"/>
      <c r="BMP80" s="2567"/>
      <c r="BMQ80" s="2567"/>
      <c r="BMR80" s="2567"/>
      <c r="BMS80" s="2567"/>
      <c r="BMT80" s="2567"/>
      <c r="BMU80" s="2567"/>
      <c r="BMV80" s="2567"/>
      <c r="BMW80" s="2567"/>
      <c r="BMX80" s="2567"/>
      <c r="BMY80" s="2567"/>
      <c r="BMZ80" s="2567"/>
      <c r="BNA80" s="2567"/>
      <c r="BNB80" s="2567"/>
      <c r="BNC80" s="2567"/>
      <c r="BND80" s="2567"/>
      <c r="BNE80" s="2567"/>
      <c r="BNF80" s="2567"/>
      <c r="BNG80" s="2567"/>
      <c r="BNH80" s="2567"/>
      <c r="BNI80" s="2567"/>
      <c r="BNJ80" s="2567"/>
      <c r="BNK80" s="2567"/>
      <c r="BNL80" s="2567"/>
      <c r="BNM80" s="2567"/>
      <c r="BNN80" s="2567"/>
      <c r="BNO80" s="2567"/>
      <c r="BNP80" s="2567"/>
      <c r="BNQ80" s="2567"/>
      <c r="BNR80" s="2567"/>
      <c r="BNS80" s="2567"/>
      <c r="BNT80" s="2567"/>
      <c r="BNU80" s="2567"/>
      <c r="BNV80" s="2567"/>
      <c r="BNW80" s="2567"/>
      <c r="BNX80" s="2567"/>
      <c r="BNY80" s="2567"/>
      <c r="BNZ80" s="2567"/>
      <c r="BOA80" s="2567"/>
      <c r="BOB80" s="2567"/>
      <c r="BOC80" s="2567"/>
      <c r="BOD80" s="2567"/>
      <c r="BOE80" s="2567"/>
      <c r="BOF80" s="2567"/>
      <c r="BOG80" s="2567"/>
      <c r="BOH80" s="2567"/>
      <c r="BOI80" s="2567"/>
      <c r="BOJ80" s="2567"/>
      <c r="BOK80" s="2567"/>
      <c r="BOL80" s="2567"/>
      <c r="BOM80" s="2567"/>
      <c r="BON80" s="2567"/>
      <c r="BOO80" s="2567"/>
      <c r="BOP80" s="2567"/>
      <c r="BOQ80" s="2567"/>
      <c r="BOR80" s="2567"/>
      <c r="BOS80" s="2567"/>
      <c r="BOT80" s="2567"/>
      <c r="BOU80" s="2567"/>
      <c r="BOV80" s="2567"/>
      <c r="BOW80" s="2567"/>
      <c r="BOX80" s="2567"/>
      <c r="BOY80" s="2567"/>
      <c r="BOZ80" s="2567"/>
      <c r="BPA80" s="2567"/>
      <c r="BPB80" s="2567"/>
      <c r="BPC80" s="2567"/>
      <c r="BPD80" s="2567"/>
      <c r="BPE80" s="2567"/>
      <c r="BPF80" s="2567"/>
      <c r="BPG80" s="2567"/>
      <c r="BPH80" s="2567"/>
      <c r="BPI80" s="2567"/>
      <c r="BPJ80" s="2567"/>
      <c r="BPK80" s="2567"/>
      <c r="BPL80" s="2567"/>
      <c r="BPM80" s="2567"/>
      <c r="BPN80" s="2567"/>
      <c r="BPO80" s="2567"/>
      <c r="BPP80" s="2567"/>
      <c r="BPQ80" s="2567"/>
      <c r="BPR80" s="2567"/>
      <c r="BPS80" s="2567"/>
      <c r="BPT80" s="2567"/>
      <c r="BPU80" s="2567"/>
      <c r="BPV80" s="2567"/>
      <c r="BPW80" s="2567"/>
      <c r="BPX80" s="2567"/>
      <c r="BPY80" s="2567"/>
      <c r="BPZ80" s="2567"/>
      <c r="BQA80" s="2567"/>
      <c r="BQB80" s="2567"/>
      <c r="BQC80" s="2567"/>
      <c r="BQD80" s="2567"/>
      <c r="BQE80" s="2567"/>
      <c r="BQF80" s="2567"/>
      <c r="BQG80" s="2567"/>
      <c r="BQH80" s="2567"/>
      <c r="BQI80" s="2567"/>
      <c r="BQJ80" s="2567"/>
      <c r="BQK80" s="2567"/>
      <c r="BQL80" s="2567"/>
      <c r="BQM80" s="2567"/>
      <c r="BQN80" s="2567"/>
      <c r="BQO80" s="2567"/>
      <c r="BQP80" s="2567"/>
      <c r="BQQ80" s="2567"/>
      <c r="BQR80" s="2567"/>
      <c r="BQS80" s="2567"/>
      <c r="BQT80" s="2567"/>
      <c r="BQU80" s="2567"/>
      <c r="BQV80" s="2567"/>
      <c r="BQW80" s="2567"/>
      <c r="BQX80" s="2567"/>
      <c r="BQY80" s="2567"/>
      <c r="BQZ80" s="2567"/>
      <c r="BRA80" s="2567"/>
      <c r="BRB80" s="2567"/>
      <c r="BRC80" s="2567"/>
      <c r="BRD80" s="2567"/>
      <c r="BRE80" s="2567"/>
      <c r="BRF80" s="2567"/>
      <c r="BRG80" s="2567"/>
      <c r="BRH80" s="2567"/>
      <c r="BRI80" s="2567"/>
      <c r="BRJ80" s="2567"/>
      <c r="BRK80" s="2567"/>
      <c r="BRL80" s="2567"/>
      <c r="BRM80" s="2567"/>
      <c r="BRN80" s="2567"/>
      <c r="BRO80" s="2567"/>
      <c r="BRP80" s="2567"/>
      <c r="BRQ80" s="2567"/>
      <c r="BRR80" s="2567"/>
      <c r="BRS80" s="2567"/>
      <c r="BRT80" s="2567"/>
      <c r="BRU80" s="2567"/>
      <c r="BRV80" s="2567"/>
      <c r="BRW80" s="2567"/>
      <c r="BRX80" s="2567"/>
      <c r="BRY80" s="2567"/>
      <c r="BRZ80" s="2567"/>
      <c r="BSA80" s="2567"/>
      <c r="BSB80" s="2567"/>
      <c r="BSC80" s="2567"/>
      <c r="BSD80" s="2567"/>
      <c r="BSE80" s="2567"/>
      <c r="BSF80" s="2567"/>
      <c r="BSG80" s="2567"/>
      <c r="BSH80" s="2567"/>
      <c r="BSI80" s="2567"/>
      <c r="BSJ80" s="2567"/>
      <c r="BSK80" s="2567"/>
      <c r="BSL80" s="2567"/>
      <c r="BSM80" s="2567"/>
      <c r="BSN80" s="2567"/>
      <c r="BSO80" s="2567"/>
      <c r="BSP80" s="2567"/>
      <c r="BSQ80" s="2567"/>
      <c r="BSR80" s="2567"/>
      <c r="BSS80" s="2567"/>
      <c r="BST80" s="2567"/>
      <c r="BSU80" s="2567"/>
      <c r="BSV80" s="2567"/>
      <c r="BSW80" s="2567"/>
      <c r="BSX80" s="2567"/>
      <c r="BSY80" s="2567"/>
      <c r="BSZ80" s="2567"/>
      <c r="BTA80" s="2567"/>
      <c r="BTB80" s="2567"/>
      <c r="BTC80" s="2567"/>
      <c r="BTD80" s="2567"/>
      <c r="BTE80" s="2567"/>
      <c r="BTF80" s="2567"/>
      <c r="BTG80" s="2567"/>
      <c r="BTH80" s="2567"/>
      <c r="BTI80" s="2567"/>
      <c r="BTJ80" s="2567"/>
      <c r="BTK80" s="2567"/>
      <c r="BTL80" s="2567"/>
      <c r="BTM80" s="2567"/>
      <c r="BTN80" s="2567"/>
      <c r="BTO80" s="2567"/>
      <c r="BTP80" s="2567"/>
      <c r="BTQ80" s="2567"/>
      <c r="BTR80" s="2567"/>
      <c r="BTS80" s="2567"/>
      <c r="BTT80" s="2567"/>
      <c r="BTU80" s="2567"/>
      <c r="BTV80" s="2567"/>
      <c r="BTW80" s="2567"/>
      <c r="BTX80" s="2567"/>
      <c r="BTY80" s="2567"/>
      <c r="BTZ80" s="2567"/>
      <c r="BUA80" s="2567"/>
      <c r="BUB80" s="2567"/>
      <c r="BUC80" s="2567"/>
      <c r="BUD80" s="2567"/>
      <c r="BUE80" s="2567"/>
      <c r="BUF80" s="2567"/>
      <c r="BUG80" s="2567"/>
      <c r="BUH80" s="2567"/>
      <c r="BUI80" s="2567"/>
      <c r="BUJ80" s="2567"/>
      <c r="BUK80" s="2567"/>
      <c r="BUL80" s="2567"/>
      <c r="BUM80" s="2567"/>
      <c r="BUN80" s="2567"/>
      <c r="BUO80" s="2567"/>
      <c r="BUP80" s="2567"/>
      <c r="BUQ80" s="2567"/>
      <c r="BUR80" s="2567"/>
      <c r="BUS80" s="2567"/>
      <c r="BUT80" s="2567"/>
      <c r="BUU80" s="2567"/>
      <c r="BUV80" s="2567"/>
      <c r="BUW80" s="2567"/>
      <c r="BUX80" s="2567"/>
      <c r="BUY80" s="2567"/>
      <c r="BUZ80" s="2567"/>
      <c r="BVA80" s="2567"/>
      <c r="BVB80" s="2567"/>
      <c r="BVC80" s="2567"/>
      <c r="BVD80" s="2567"/>
      <c r="BVE80" s="2567"/>
      <c r="BVF80" s="2567"/>
      <c r="BVG80" s="2567"/>
      <c r="BVH80" s="2567"/>
      <c r="BVI80" s="2567"/>
      <c r="BVJ80" s="2567"/>
      <c r="BVK80" s="2567"/>
      <c r="BVL80" s="2567"/>
      <c r="BVM80" s="2567"/>
      <c r="BVN80" s="2567"/>
      <c r="BVO80" s="2567"/>
      <c r="BVP80" s="2567"/>
      <c r="BVQ80" s="2567"/>
      <c r="BVR80" s="2567"/>
      <c r="BVS80" s="2567"/>
      <c r="BVT80" s="2567"/>
      <c r="BVU80" s="2567"/>
      <c r="BVV80" s="2567"/>
      <c r="BVW80" s="2567"/>
      <c r="BVX80" s="2567"/>
      <c r="BVY80" s="2567"/>
      <c r="BVZ80" s="2567"/>
      <c r="BWA80" s="2567"/>
      <c r="BWB80" s="2567"/>
      <c r="BWC80" s="2567"/>
      <c r="BWD80" s="2567"/>
      <c r="BWE80" s="2567"/>
      <c r="BWF80" s="2567"/>
      <c r="BWG80" s="2567"/>
      <c r="BWH80" s="2567"/>
      <c r="BWI80" s="2567"/>
      <c r="BWJ80" s="2567"/>
      <c r="BWK80" s="2567"/>
      <c r="BWL80" s="2567"/>
      <c r="BWM80" s="2567"/>
      <c r="BWN80" s="2567"/>
      <c r="BWO80" s="2567"/>
      <c r="BWP80" s="2567"/>
      <c r="BWQ80" s="2567"/>
      <c r="BWR80" s="2567"/>
      <c r="BWS80" s="2567"/>
      <c r="BWT80" s="2567"/>
      <c r="BWU80" s="2567"/>
      <c r="BWV80" s="2567"/>
      <c r="BWW80" s="2567"/>
      <c r="BWX80" s="2567"/>
      <c r="BWY80" s="2567"/>
      <c r="BWZ80" s="2567"/>
      <c r="BXA80" s="2567"/>
      <c r="BXB80" s="2567"/>
      <c r="BXC80" s="2567"/>
      <c r="BXD80" s="2567"/>
      <c r="BXE80" s="2567"/>
      <c r="BXF80" s="2567"/>
      <c r="BXG80" s="2567"/>
      <c r="BXH80" s="2567"/>
      <c r="BXI80" s="2567"/>
      <c r="BXJ80" s="2567"/>
      <c r="BXK80" s="2567"/>
      <c r="BXL80" s="2567"/>
      <c r="BXM80" s="2567"/>
      <c r="BXN80" s="2567"/>
      <c r="BXO80" s="2567"/>
      <c r="BXP80" s="2567"/>
      <c r="BXQ80" s="2567"/>
      <c r="BXR80" s="2567"/>
      <c r="BXS80" s="2567"/>
      <c r="BXT80" s="2567"/>
      <c r="BXU80" s="2567"/>
      <c r="BXV80" s="2567"/>
      <c r="BXW80" s="2567"/>
      <c r="BXX80" s="2567"/>
      <c r="BXY80" s="2567"/>
      <c r="BXZ80" s="2567"/>
      <c r="BYA80" s="2567"/>
      <c r="BYB80" s="2567"/>
      <c r="BYC80" s="2567"/>
      <c r="BYD80" s="2567"/>
      <c r="BYE80" s="2567"/>
      <c r="BYF80" s="2567"/>
      <c r="BYG80" s="2567"/>
      <c r="BYH80" s="2567"/>
      <c r="BYI80" s="2567"/>
      <c r="BYJ80" s="2567"/>
      <c r="BYK80" s="2567"/>
      <c r="BYL80" s="2567"/>
      <c r="BYM80" s="2567"/>
      <c r="BYN80" s="2567"/>
      <c r="BYO80" s="2567"/>
      <c r="BYP80" s="2567"/>
      <c r="BYQ80" s="2567"/>
      <c r="BYR80" s="2567"/>
      <c r="BYS80" s="2567"/>
      <c r="BYT80" s="2567"/>
      <c r="BYU80" s="2567"/>
      <c r="BYV80" s="2567"/>
      <c r="BYW80" s="2567"/>
      <c r="BYX80" s="2567"/>
      <c r="BYY80" s="2567"/>
      <c r="BYZ80" s="2567"/>
      <c r="BZA80" s="2567"/>
      <c r="BZB80" s="2567"/>
      <c r="BZC80" s="2567"/>
      <c r="BZD80" s="2567"/>
      <c r="BZE80" s="2567"/>
      <c r="BZF80" s="2567"/>
      <c r="BZG80" s="2567"/>
      <c r="BZH80" s="2567"/>
      <c r="BZI80" s="2567"/>
      <c r="BZJ80" s="2567"/>
      <c r="BZK80" s="2567"/>
      <c r="BZL80" s="2567"/>
      <c r="BZM80" s="2567"/>
      <c r="BZN80" s="2567"/>
      <c r="BZO80" s="2567"/>
      <c r="BZP80" s="2567"/>
      <c r="BZQ80" s="2567"/>
      <c r="BZR80" s="2567"/>
      <c r="BZS80" s="2567"/>
      <c r="BZT80" s="2567"/>
      <c r="BZU80" s="2567"/>
      <c r="BZV80" s="2567"/>
      <c r="BZW80" s="2567"/>
      <c r="BZX80" s="2567"/>
      <c r="BZY80" s="2567"/>
      <c r="BZZ80" s="2567"/>
      <c r="CAA80" s="2567"/>
      <c r="CAB80" s="2567"/>
      <c r="CAC80" s="2567"/>
      <c r="CAD80" s="2567"/>
      <c r="CAE80" s="2567"/>
      <c r="CAF80" s="2567"/>
      <c r="CAG80" s="2567"/>
      <c r="CAH80" s="2567"/>
      <c r="CAI80" s="2567"/>
      <c r="CAJ80" s="2567"/>
      <c r="CAK80" s="2567"/>
      <c r="CAL80" s="2567"/>
      <c r="CAM80" s="2567"/>
      <c r="CAN80" s="2567"/>
      <c r="CAO80" s="2567"/>
      <c r="CAP80" s="2567"/>
      <c r="CAQ80" s="2567"/>
      <c r="CAR80" s="2567"/>
      <c r="CAS80" s="2567"/>
      <c r="CAT80" s="2567"/>
      <c r="CAU80" s="2567"/>
      <c r="CAV80" s="2567"/>
      <c r="CAW80" s="2567"/>
      <c r="CAX80" s="2567"/>
      <c r="CAY80" s="2567"/>
      <c r="CAZ80" s="2567"/>
      <c r="CBA80" s="2567"/>
      <c r="CBB80" s="2567"/>
      <c r="CBC80" s="2567"/>
      <c r="CBD80" s="2567"/>
      <c r="CBE80" s="2567"/>
      <c r="CBF80" s="2567"/>
      <c r="CBG80" s="2567"/>
      <c r="CBH80" s="2567"/>
      <c r="CBI80" s="2567"/>
      <c r="CBJ80" s="2567"/>
      <c r="CBK80" s="2567"/>
      <c r="CBL80" s="2567"/>
      <c r="CBM80" s="2567"/>
      <c r="CBN80" s="2567"/>
      <c r="CBO80" s="2567"/>
      <c r="CBP80" s="2567"/>
      <c r="CBQ80" s="2567"/>
      <c r="CBR80" s="2567"/>
      <c r="CBS80" s="2567"/>
      <c r="CBT80" s="2567"/>
      <c r="CBU80" s="2567"/>
      <c r="CBV80" s="2567"/>
      <c r="CBW80" s="2567"/>
      <c r="CBX80" s="2567"/>
      <c r="CBY80" s="2567"/>
      <c r="CBZ80" s="2567"/>
      <c r="CCA80" s="2567"/>
      <c r="CCB80" s="2567"/>
      <c r="CCC80" s="2567"/>
      <c r="CCD80" s="2567"/>
      <c r="CCE80" s="2567"/>
      <c r="CCF80" s="2567"/>
      <c r="CCG80" s="2567"/>
      <c r="CCH80" s="2567"/>
      <c r="CCI80" s="2567"/>
      <c r="CCJ80" s="2567"/>
      <c r="CCK80" s="2567"/>
      <c r="CCL80" s="2567"/>
      <c r="CCM80" s="2567"/>
      <c r="CCN80" s="2567"/>
      <c r="CCO80" s="2567"/>
      <c r="CCP80" s="2567"/>
      <c r="CCQ80" s="2567"/>
      <c r="CCR80" s="2567"/>
      <c r="CCS80" s="2567"/>
      <c r="CCT80" s="2567"/>
      <c r="CCU80" s="2567"/>
      <c r="CCV80" s="2567"/>
      <c r="CCW80" s="2567"/>
      <c r="CCX80" s="2567"/>
      <c r="CCY80" s="2567"/>
      <c r="CCZ80" s="2567"/>
      <c r="CDA80" s="2567"/>
      <c r="CDB80" s="2567"/>
      <c r="CDC80" s="2567"/>
      <c r="CDD80" s="2567"/>
      <c r="CDE80" s="2567"/>
      <c r="CDF80" s="2567"/>
      <c r="CDG80" s="2567"/>
      <c r="CDH80" s="2567"/>
      <c r="CDI80" s="2567"/>
      <c r="CDJ80" s="2567"/>
      <c r="CDK80" s="2567"/>
      <c r="CDL80" s="2567"/>
      <c r="CDM80" s="2567"/>
      <c r="CDN80" s="2567"/>
      <c r="CDO80" s="2567"/>
      <c r="CDP80" s="2567"/>
      <c r="CDQ80" s="2567"/>
      <c r="CDR80" s="2567"/>
      <c r="CDS80" s="2567"/>
      <c r="CDT80" s="2567"/>
      <c r="CDU80" s="2567"/>
      <c r="CDV80" s="2567"/>
      <c r="CDW80" s="2567"/>
      <c r="CDX80" s="2567"/>
      <c r="CDY80" s="2567"/>
      <c r="CDZ80" s="2567"/>
      <c r="CEA80" s="2567"/>
      <c r="CEB80" s="2567"/>
      <c r="CEC80" s="2567"/>
      <c r="CED80" s="2567"/>
      <c r="CEE80" s="2567"/>
      <c r="CEF80" s="2567"/>
      <c r="CEG80" s="2567"/>
      <c r="CEH80" s="2567"/>
      <c r="CEI80" s="2567"/>
      <c r="CEJ80" s="2567"/>
      <c r="CEK80" s="2567"/>
      <c r="CEL80" s="2567"/>
      <c r="CEM80" s="2567"/>
      <c r="CEN80" s="2567"/>
      <c r="CEO80" s="2567"/>
      <c r="CEP80" s="2567"/>
      <c r="CEQ80" s="2567"/>
      <c r="CER80" s="2567"/>
      <c r="CES80" s="2567"/>
      <c r="CET80" s="2567"/>
      <c r="CEU80" s="2567"/>
      <c r="CEV80" s="2567"/>
      <c r="CEW80" s="2567"/>
      <c r="CEX80" s="2567"/>
      <c r="CEY80" s="2567"/>
      <c r="CEZ80" s="2567"/>
      <c r="CFA80" s="2567"/>
      <c r="CFB80" s="2567"/>
      <c r="CFC80" s="2567"/>
      <c r="CFD80" s="2567"/>
      <c r="CFE80" s="2567"/>
      <c r="CFF80" s="2567"/>
      <c r="CFG80" s="2567"/>
      <c r="CFH80" s="2567"/>
      <c r="CFI80" s="2567"/>
      <c r="CFJ80" s="2567"/>
      <c r="CFK80" s="2567"/>
      <c r="CFL80" s="2567"/>
      <c r="CFM80" s="2567"/>
      <c r="CFN80" s="2567"/>
      <c r="CFO80" s="2567"/>
      <c r="CFP80" s="2567"/>
      <c r="CFQ80" s="2567"/>
      <c r="CFR80" s="2567"/>
      <c r="CFS80" s="2567"/>
      <c r="CFT80" s="2567"/>
      <c r="CFU80" s="2567"/>
      <c r="CFV80" s="2567"/>
      <c r="CFW80" s="2567"/>
      <c r="CFX80" s="2567"/>
      <c r="CFY80" s="2567"/>
      <c r="CFZ80" s="2567"/>
      <c r="CGA80" s="2567"/>
      <c r="CGB80" s="2567"/>
      <c r="CGC80" s="2567"/>
      <c r="CGD80" s="2567"/>
      <c r="CGE80" s="2567"/>
      <c r="CGF80" s="2567"/>
      <c r="CGG80" s="2567"/>
      <c r="CGH80" s="2567"/>
      <c r="CGI80" s="2567"/>
      <c r="CGJ80" s="2567"/>
      <c r="CGK80" s="2567"/>
      <c r="CGL80" s="2567"/>
      <c r="CGM80" s="2567"/>
      <c r="CGN80" s="2567"/>
      <c r="CGO80" s="2567"/>
      <c r="CGP80" s="2567"/>
      <c r="CGQ80" s="2567"/>
      <c r="CGR80" s="2567"/>
      <c r="CGS80" s="2567"/>
      <c r="CGT80" s="2567"/>
      <c r="CGU80" s="2567"/>
      <c r="CGV80" s="2567"/>
      <c r="CGW80" s="2567"/>
      <c r="CGX80" s="2567"/>
      <c r="CGY80" s="2567"/>
      <c r="CGZ80" s="2567"/>
      <c r="CHA80" s="2567"/>
      <c r="CHB80" s="2567"/>
      <c r="CHC80" s="2567"/>
      <c r="CHD80" s="2567"/>
      <c r="CHE80" s="2567"/>
      <c r="CHF80" s="2567"/>
      <c r="CHG80" s="2567"/>
      <c r="CHH80" s="2567"/>
      <c r="CHI80" s="2567"/>
      <c r="CHJ80" s="2567"/>
      <c r="CHK80" s="2567"/>
      <c r="CHL80" s="2567"/>
      <c r="CHM80" s="2567"/>
      <c r="CHN80" s="2567"/>
      <c r="CHO80" s="2567"/>
      <c r="CHP80" s="2567"/>
      <c r="CHQ80" s="2567"/>
      <c r="CHR80" s="2567"/>
      <c r="CHS80" s="2567"/>
      <c r="CHT80" s="2567"/>
      <c r="CHU80" s="2567"/>
      <c r="CHV80" s="2567"/>
      <c r="CHW80" s="2567"/>
      <c r="CHX80" s="2567"/>
      <c r="CHY80" s="2567"/>
      <c r="CHZ80" s="2567"/>
      <c r="CIA80" s="2567"/>
      <c r="CIB80" s="2567"/>
      <c r="CIC80" s="2567"/>
      <c r="CID80" s="2567"/>
      <c r="CIE80" s="2567"/>
      <c r="CIF80" s="2567"/>
      <c r="CIG80" s="2567"/>
      <c r="CIH80" s="2567"/>
      <c r="CII80" s="2567"/>
      <c r="CIJ80" s="2567"/>
      <c r="CIK80" s="2567"/>
      <c r="CIL80" s="2567"/>
      <c r="CIM80" s="2567"/>
      <c r="CIN80" s="2567"/>
      <c r="CIO80" s="2567"/>
      <c r="CIP80" s="2567"/>
      <c r="CIQ80" s="2567"/>
      <c r="CIR80" s="2567"/>
      <c r="CIS80" s="2567"/>
      <c r="CIT80" s="2567"/>
      <c r="CIU80" s="2567"/>
      <c r="CIV80" s="2567"/>
      <c r="CIW80" s="2567"/>
      <c r="CIX80" s="2567"/>
      <c r="CIY80" s="2567"/>
      <c r="CIZ80" s="2567"/>
      <c r="CJA80" s="2567"/>
      <c r="CJB80" s="2567"/>
      <c r="CJC80" s="2567"/>
      <c r="CJD80" s="2567"/>
      <c r="CJE80" s="2567"/>
      <c r="CJF80" s="2567"/>
      <c r="CJG80" s="2567"/>
      <c r="CJH80" s="2567"/>
      <c r="CJI80" s="2567"/>
      <c r="CJJ80" s="2567"/>
      <c r="CJK80" s="2567"/>
      <c r="CJL80" s="2567"/>
      <c r="CJM80" s="2567"/>
      <c r="CJN80" s="2567"/>
      <c r="CJO80" s="2567"/>
      <c r="CJP80" s="2567"/>
      <c r="CJQ80" s="2567"/>
      <c r="CJR80" s="2567"/>
      <c r="CJS80" s="2567"/>
      <c r="CJT80" s="2567"/>
      <c r="CJU80" s="2567"/>
      <c r="CJV80" s="2567"/>
      <c r="CJW80" s="2567"/>
      <c r="CJX80" s="2567"/>
      <c r="CJY80" s="2567"/>
      <c r="CJZ80" s="2567"/>
      <c r="CKA80" s="2567"/>
      <c r="CKB80" s="2567"/>
      <c r="CKC80" s="2567"/>
      <c r="CKD80" s="2567"/>
      <c r="CKE80" s="2567"/>
      <c r="CKF80" s="2567"/>
      <c r="CKG80" s="2567"/>
      <c r="CKH80" s="2567"/>
      <c r="CKI80" s="2567"/>
      <c r="CKJ80" s="2567"/>
      <c r="CKK80" s="2567"/>
      <c r="CKL80" s="2567"/>
      <c r="CKM80" s="2567"/>
      <c r="CKN80" s="2567"/>
      <c r="CKO80" s="2567"/>
      <c r="CKP80" s="2567"/>
      <c r="CKQ80" s="2567"/>
      <c r="CKR80" s="2567"/>
      <c r="CKS80" s="2567"/>
      <c r="CKT80" s="2567"/>
      <c r="CKU80" s="2567"/>
      <c r="CKV80" s="2567"/>
      <c r="CKW80" s="2567"/>
      <c r="CKX80" s="2567"/>
      <c r="CKY80" s="2567"/>
      <c r="CKZ80" s="2567"/>
      <c r="CLA80" s="2567"/>
      <c r="CLB80" s="2567"/>
      <c r="CLC80" s="2567"/>
      <c r="CLD80" s="2567"/>
      <c r="CLE80" s="2567"/>
      <c r="CLF80" s="2567"/>
      <c r="CLG80" s="2567"/>
      <c r="CLH80" s="2567"/>
      <c r="CLI80" s="2567"/>
      <c r="CLJ80" s="2567"/>
      <c r="CLK80" s="2567"/>
      <c r="CLL80" s="2567"/>
      <c r="CLM80" s="2567"/>
      <c r="CLN80" s="2567"/>
      <c r="CLO80" s="2567"/>
      <c r="CLP80" s="2567"/>
      <c r="CLQ80" s="2567"/>
      <c r="CLR80" s="2567"/>
      <c r="CLS80" s="2567"/>
      <c r="CLT80" s="2567"/>
      <c r="CLU80" s="2567"/>
      <c r="CLV80" s="2567"/>
      <c r="CLW80" s="2567"/>
      <c r="CLX80" s="2567"/>
      <c r="CLY80" s="2567"/>
      <c r="CLZ80" s="2567"/>
      <c r="CMA80" s="2567"/>
      <c r="CMB80" s="2567"/>
      <c r="CMC80" s="2567"/>
      <c r="CMD80" s="2567"/>
      <c r="CME80" s="2567"/>
      <c r="CMF80" s="2567"/>
      <c r="CMG80" s="2567"/>
      <c r="CMH80" s="2567"/>
      <c r="CMI80" s="2567"/>
      <c r="CMJ80" s="2567"/>
      <c r="CMK80" s="2567"/>
      <c r="CML80" s="2567"/>
      <c r="CMM80" s="2567"/>
      <c r="CMN80" s="2567"/>
      <c r="CMO80" s="2567"/>
      <c r="CMP80" s="2567"/>
      <c r="CMQ80" s="2567"/>
      <c r="CMR80" s="2567"/>
      <c r="CMS80" s="2567"/>
      <c r="CMT80" s="2567"/>
      <c r="CMU80" s="2567"/>
      <c r="CMV80" s="2567"/>
      <c r="CMW80" s="2567"/>
      <c r="CMX80" s="2567"/>
      <c r="CMY80" s="2567"/>
      <c r="CMZ80" s="2567"/>
      <c r="CNA80" s="2567"/>
      <c r="CNB80" s="2567"/>
      <c r="CNC80" s="2567"/>
      <c r="CND80" s="2567"/>
      <c r="CNE80" s="2567"/>
      <c r="CNF80" s="2567"/>
      <c r="CNG80" s="2567"/>
      <c r="CNH80" s="2567"/>
      <c r="CNI80" s="2567"/>
      <c r="CNJ80" s="2567"/>
      <c r="CNK80" s="2567"/>
      <c r="CNL80" s="2567"/>
      <c r="CNM80" s="2567"/>
      <c r="CNN80" s="2567"/>
      <c r="CNO80" s="2567"/>
      <c r="CNP80" s="2567"/>
      <c r="CNQ80" s="2567"/>
      <c r="CNR80" s="2567"/>
      <c r="CNS80" s="2567"/>
      <c r="CNT80" s="2567"/>
      <c r="CNU80" s="2567"/>
      <c r="CNV80" s="2567"/>
      <c r="CNW80" s="2567"/>
      <c r="CNX80" s="2567"/>
      <c r="CNY80" s="2567"/>
      <c r="CNZ80" s="2567"/>
      <c r="COA80" s="2567"/>
      <c r="COB80" s="2567"/>
      <c r="COC80" s="2567"/>
      <c r="COD80" s="2567"/>
      <c r="COE80" s="2567"/>
      <c r="COF80" s="2567"/>
      <c r="COG80" s="2567"/>
      <c r="COH80" s="2567"/>
      <c r="COI80" s="2567"/>
      <c r="COJ80" s="2567"/>
      <c r="COK80" s="2567"/>
      <c r="COL80" s="2567"/>
      <c r="COM80" s="2567"/>
      <c r="CON80" s="2567"/>
      <c r="COO80" s="2567"/>
      <c r="COP80" s="2567"/>
      <c r="COQ80" s="2567"/>
      <c r="COR80" s="2567"/>
      <c r="COS80" s="2567"/>
      <c r="COT80" s="2567"/>
      <c r="COU80" s="2567"/>
      <c r="COV80" s="2567"/>
      <c r="COW80" s="2567"/>
      <c r="COX80" s="2567"/>
      <c r="COY80" s="2567"/>
      <c r="COZ80" s="2567"/>
      <c r="CPA80" s="2567"/>
      <c r="CPB80" s="2567"/>
      <c r="CPC80" s="2567"/>
      <c r="CPD80" s="2567"/>
      <c r="CPE80" s="2567"/>
      <c r="CPF80" s="2567"/>
      <c r="CPG80" s="2567"/>
      <c r="CPH80" s="2567"/>
      <c r="CPI80" s="2567"/>
      <c r="CPJ80" s="2567"/>
      <c r="CPK80" s="2567"/>
      <c r="CPL80" s="2567"/>
      <c r="CPM80" s="2567"/>
      <c r="CPN80" s="2567"/>
      <c r="CPO80" s="2567"/>
      <c r="CPP80" s="2567"/>
      <c r="CPQ80" s="2567"/>
      <c r="CPR80" s="2567"/>
      <c r="CPS80" s="2567"/>
      <c r="CPT80" s="2567"/>
      <c r="CPU80" s="2567"/>
      <c r="CPV80" s="2567"/>
      <c r="CPW80" s="2567"/>
      <c r="CPX80" s="2567"/>
      <c r="CPY80" s="2567"/>
      <c r="CPZ80" s="2567"/>
      <c r="CQA80" s="2567"/>
      <c r="CQB80" s="2567"/>
      <c r="CQC80" s="2567"/>
      <c r="CQD80" s="2567"/>
      <c r="CQE80" s="2567"/>
      <c r="CQF80" s="2567"/>
      <c r="CQG80" s="2567"/>
      <c r="CQH80" s="2567"/>
      <c r="CQI80" s="2567"/>
      <c r="CQJ80" s="2567"/>
      <c r="CQK80" s="2567"/>
      <c r="CQL80" s="2567"/>
      <c r="CQM80" s="2567"/>
      <c r="CQN80" s="2567"/>
      <c r="CQO80" s="2567"/>
      <c r="CQP80" s="2567"/>
      <c r="CQQ80" s="2567"/>
      <c r="CQR80" s="2567"/>
      <c r="CQS80" s="2567"/>
      <c r="CQT80" s="2567"/>
      <c r="CQU80" s="2567"/>
      <c r="CQV80" s="2567"/>
      <c r="CQW80" s="2567"/>
      <c r="CQX80" s="2567"/>
      <c r="CQY80" s="2567"/>
      <c r="CQZ80" s="2567"/>
      <c r="CRA80" s="2567"/>
      <c r="CRB80" s="2567"/>
      <c r="CRC80" s="2567"/>
      <c r="CRD80" s="2567"/>
      <c r="CRE80" s="2567"/>
      <c r="CRF80" s="2567"/>
      <c r="CRG80" s="2567"/>
      <c r="CRH80" s="2567"/>
      <c r="CRI80" s="2567"/>
      <c r="CRJ80" s="2567"/>
      <c r="CRK80" s="2567"/>
      <c r="CRL80" s="2567"/>
      <c r="CRM80" s="2567"/>
      <c r="CRN80" s="2567"/>
      <c r="CRO80" s="2567"/>
      <c r="CRP80" s="2567"/>
      <c r="CRQ80" s="2567"/>
      <c r="CRR80" s="2567"/>
      <c r="CRS80" s="2567"/>
      <c r="CRT80" s="2567"/>
      <c r="CRU80" s="2567"/>
      <c r="CRV80" s="2567"/>
      <c r="CRW80" s="2567"/>
      <c r="CRX80" s="2567"/>
      <c r="CRY80" s="2567"/>
      <c r="CRZ80" s="2567"/>
      <c r="CSA80" s="2567"/>
      <c r="CSB80" s="2567"/>
      <c r="CSC80" s="2567"/>
      <c r="CSD80" s="2567"/>
      <c r="CSE80" s="2567"/>
      <c r="CSF80" s="2567"/>
      <c r="CSG80" s="2567"/>
      <c r="CSH80" s="2567"/>
      <c r="CSI80" s="2567"/>
      <c r="CSJ80" s="2567"/>
      <c r="CSK80" s="2567"/>
      <c r="CSL80" s="2567"/>
      <c r="CSM80" s="2567"/>
      <c r="CSN80" s="2567"/>
      <c r="CSO80" s="2567"/>
      <c r="CSP80" s="2567"/>
      <c r="CSQ80" s="2567"/>
      <c r="CSR80" s="2567"/>
      <c r="CSS80" s="2567"/>
      <c r="CST80" s="2567"/>
      <c r="CSU80" s="2567"/>
      <c r="CSV80" s="2567"/>
      <c r="CSW80" s="2567"/>
      <c r="CSX80" s="2567"/>
      <c r="CSY80" s="2567"/>
      <c r="CSZ80" s="2567"/>
      <c r="CTA80" s="2567"/>
      <c r="CTB80" s="2567"/>
      <c r="CTC80" s="2567"/>
      <c r="CTD80" s="2567"/>
      <c r="CTE80" s="2567"/>
      <c r="CTF80" s="2567"/>
      <c r="CTG80" s="2567"/>
      <c r="CTH80" s="2567"/>
      <c r="CTI80" s="2567"/>
      <c r="CTJ80" s="2567"/>
      <c r="CTK80" s="2567"/>
      <c r="CTL80" s="2567"/>
      <c r="CTM80" s="2567"/>
      <c r="CTN80" s="2567"/>
      <c r="CTO80" s="2567"/>
      <c r="CTP80" s="2567"/>
      <c r="CTQ80" s="2567"/>
      <c r="CTR80" s="2567"/>
      <c r="CTS80" s="2567"/>
      <c r="CTT80" s="2567"/>
      <c r="CTU80" s="2567"/>
      <c r="CTV80" s="2567"/>
      <c r="CTW80" s="2567"/>
      <c r="CTX80" s="2567"/>
      <c r="CTY80" s="2567"/>
      <c r="CTZ80" s="2567"/>
      <c r="CUA80" s="2567"/>
      <c r="CUB80" s="2567"/>
      <c r="CUC80" s="2567"/>
      <c r="CUD80" s="2567"/>
      <c r="CUE80" s="2567"/>
      <c r="CUF80" s="2567"/>
      <c r="CUG80" s="2567"/>
      <c r="CUH80" s="2567"/>
      <c r="CUI80" s="2567"/>
      <c r="CUJ80" s="2567"/>
      <c r="CUK80" s="2567"/>
      <c r="CUL80" s="2567"/>
      <c r="CUM80" s="2567"/>
      <c r="CUN80" s="2567"/>
      <c r="CUO80" s="2567"/>
      <c r="CUP80" s="2567"/>
      <c r="CUQ80" s="2567"/>
      <c r="CUR80" s="2567"/>
      <c r="CUS80" s="2567"/>
      <c r="CUT80" s="2567"/>
      <c r="CUU80" s="2567"/>
      <c r="CUV80" s="2567"/>
      <c r="CUW80" s="2567"/>
      <c r="CUX80" s="2567"/>
      <c r="CUY80" s="2567"/>
      <c r="CUZ80" s="2567"/>
      <c r="CVA80" s="2567"/>
      <c r="CVB80" s="2567"/>
      <c r="CVC80" s="2567"/>
      <c r="CVD80" s="2567"/>
      <c r="CVE80" s="2567"/>
      <c r="CVF80" s="2567"/>
      <c r="CVG80" s="2567"/>
      <c r="CVH80" s="2567"/>
      <c r="CVI80" s="2567"/>
      <c r="CVJ80" s="2567"/>
      <c r="CVK80" s="2567"/>
      <c r="CVL80" s="2567"/>
      <c r="CVM80" s="2567"/>
      <c r="CVN80" s="2567"/>
      <c r="CVO80" s="2567"/>
      <c r="CVP80" s="2567"/>
      <c r="CVQ80" s="2567"/>
      <c r="CVR80" s="2567"/>
      <c r="CVS80" s="2567"/>
      <c r="CVT80" s="2567"/>
      <c r="CVU80" s="2567"/>
      <c r="CVV80" s="2567"/>
      <c r="CVW80" s="2567"/>
      <c r="CVX80" s="2567"/>
      <c r="CVY80" s="2567"/>
      <c r="CVZ80" s="2567"/>
      <c r="CWA80" s="2567"/>
      <c r="CWB80" s="2567"/>
      <c r="CWC80" s="2567"/>
      <c r="CWD80" s="2567"/>
      <c r="CWE80" s="2567"/>
      <c r="CWF80" s="2567"/>
      <c r="CWG80" s="2567"/>
      <c r="CWH80" s="2567"/>
      <c r="CWI80" s="2567"/>
      <c r="CWJ80" s="2567"/>
      <c r="CWK80" s="2567"/>
      <c r="CWL80" s="2567"/>
      <c r="CWM80" s="2567"/>
      <c r="CWN80" s="2567"/>
      <c r="CWO80" s="2567"/>
      <c r="CWP80" s="2567"/>
      <c r="CWQ80" s="2567"/>
      <c r="CWR80" s="2567"/>
      <c r="CWS80" s="2567"/>
      <c r="CWT80" s="2567"/>
      <c r="CWU80" s="2567"/>
      <c r="CWV80" s="2567"/>
      <c r="CWW80" s="2567"/>
      <c r="CWX80" s="2567"/>
      <c r="CWY80" s="2567"/>
      <c r="CWZ80" s="2567"/>
      <c r="CXA80" s="2567"/>
      <c r="CXB80" s="2567"/>
      <c r="CXC80" s="2567"/>
      <c r="CXD80" s="2567"/>
      <c r="CXE80" s="2567"/>
      <c r="CXF80" s="2567"/>
      <c r="CXG80" s="2567"/>
      <c r="CXH80" s="2567"/>
      <c r="CXI80" s="2567"/>
      <c r="CXJ80" s="2567"/>
      <c r="CXK80" s="2567"/>
      <c r="CXL80" s="2567"/>
      <c r="CXM80" s="2567"/>
      <c r="CXN80" s="2567"/>
      <c r="CXO80" s="2567"/>
      <c r="CXP80" s="2567"/>
      <c r="CXQ80" s="2567"/>
      <c r="CXR80" s="2567"/>
      <c r="CXS80" s="2567"/>
      <c r="CXT80" s="2567"/>
      <c r="CXU80" s="2567"/>
      <c r="CXV80" s="2567"/>
      <c r="CXW80" s="2567"/>
      <c r="CXX80" s="2567"/>
      <c r="CXY80" s="2567"/>
      <c r="CXZ80" s="2567"/>
      <c r="CYA80" s="2567"/>
      <c r="CYB80" s="2567"/>
      <c r="CYC80" s="2567"/>
      <c r="CYD80" s="2567"/>
      <c r="CYE80" s="2567"/>
      <c r="CYF80" s="2567"/>
      <c r="CYG80" s="2567"/>
      <c r="CYH80" s="2567"/>
      <c r="CYI80" s="2567"/>
      <c r="CYJ80" s="2567"/>
      <c r="CYK80" s="2567"/>
      <c r="CYL80" s="2567"/>
      <c r="CYM80" s="2567"/>
      <c r="CYN80" s="2567"/>
      <c r="CYO80" s="2567"/>
      <c r="CYP80" s="2567"/>
      <c r="CYQ80" s="2567"/>
      <c r="CYR80" s="2567"/>
      <c r="CYS80" s="2567"/>
      <c r="CYT80" s="2567"/>
      <c r="CYU80" s="2567"/>
      <c r="CYV80" s="2567"/>
      <c r="CYW80" s="2567"/>
      <c r="CYX80" s="2567"/>
      <c r="CYY80" s="2567"/>
      <c r="CYZ80" s="2567"/>
      <c r="CZA80" s="2567"/>
      <c r="CZB80" s="2567"/>
      <c r="CZC80" s="2567"/>
      <c r="CZD80" s="2567"/>
      <c r="CZE80" s="2567"/>
      <c r="CZF80" s="2567"/>
      <c r="CZG80" s="2567"/>
      <c r="CZH80" s="2567"/>
      <c r="CZI80" s="2567"/>
      <c r="CZJ80" s="2567"/>
      <c r="CZK80" s="2567"/>
      <c r="CZL80" s="2567"/>
      <c r="CZM80" s="2567"/>
      <c r="CZN80" s="2567"/>
      <c r="CZO80" s="2567"/>
      <c r="CZP80" s="2567"/>
      <c r="CZQ80" s="2567"/>
      <c r="CZR80" s="2567"/>
      <c r="CZS80" s="2567"/>
      <c r="CZT80" s="2567"/>
      <c r="CZU80" s="2567"/>
      <c r="CZV80" s="2567"/>
      <c r="CZW80" s="2567"/>
      <c r="CZX80" s="2567"/>
      <c r="CZY80" s="2567"/>
      <c r="CZZ80" s="2567"/>
      <c r="DAA80" s="2567"/>
      <c r="DAB80" s="2567"/>
      <c r="DAC80" s="2567"/>
      <c r="DAD80" s="2567"/>
      <c r="DAE80" s="2567"/>
      <c r="DAF80" s="2567"/>
      <c r="DAG80" s="2567"/>
      <c r="DAH80" s="2567"/>
      <c r="DAI80" s="2567"/>
      <c r="DAJ80" s="2567"/>
      <c r="DAK80" s="2567"/>
      <c r="DAL80" s="2567"/>
      <c r="DAM80" s="2567"/>
      <c r="DAN80" s="2567"/>
      <c r="DAO80" s="2567"/>
      <c r="DAP80" s="2567"/>
      <c r="DAQ80" s="2567"/>
      <c r="DAR80" s="2567"/>
      <c r="DAS80" s="2567"/>
      <c r="DAT80" s="2567"/>
      <c r="DAU80" s="2567"/>
      <c r="DAV80" s="2567"/>
      <c r="DAW80" s="2567"/>
      <c r="DAX80" s="2567"/>
      <c r="DAY80" s="2567"/>
      <c r="DAZ80" s="2567"/>
      <c r="DBA80" s="2567"/>
      <c r="DBB80" s="2567"/>
      <c r="DBC80" s="2567"/>
      <c r="DBD80" s="2567"/>
      <c r="DBE80" s="2567"/>
      <c r="DBF80" s="2567"/>
      <c r="DBG80" s="2567"/>
      <c r="DBH80" s="2567"/>
      <c r="DBI80" s="2567"/>
      <c r="DBJ80" s="2567"/>
      <c r="DBK80" s="2567"/>
      <c r="DBL80" s="2567"/>
      <c r="DBM80" s="2567"/>
      <c r="DBN80" s="2567"/>
      <c r="DBO80" s="2567"/>
      <c r="DBP80" s="2567"/>
      <c r="DBQ80" s="2567"/>
      <c r="DBR80" s="2567"/>
      <c r="DBS80" s="2567"/>
      <c r="DBT80" s="2567"/>
      <c r="DBU80" s="2567"/>
      <c r="DBV80" s="2567"/>
      <c r="DBW80" s="2567"/>
      <c r="DBX80" s="2567"/>
      <c r="DBY80" s="2567"/>
      <c r="DBZ80" s="2567"/>
      <c r="DCA80" s="2567"/>
      <c r="DCB80" s="2567"/>
      <c r="DCC80" s="2567"/>
      <c r="DCD80" s="2567"/>
      <c r="DCE80" s="2567"/>
      <c r="DCF80" s="2567"/>
      <c r="DCG80" s="2567"/>
      <c r="DCH80" s="2567"/>
      <c r="DCI80" s="2567"/>
      <c r="DCJ80" s="2567"/>
      <c r="DCK80" s="2567"/>
      <c r="DCL80" s="2567"/>
      <c r="DCM80" s="2567"/>
      <c r="DCN80" s="2567"/>
      <c r="DCO80" s="2567"/>
      <c r="DCP80" s="2567"/>
      <c r="DCQ80" s="2567"/>
      <c r="DCR80" s="2567"/>
      <c r="DCS80" s="2567"/>
      <c r="DCT80" s="2567"/>
      <c r="DCU80" s="2567"/>
      <c r="DCV80" s="2567"/>
      <c r="DCW80" s="2567"/>
      <c r="DCX80" s="2567"/>
      <c r="DCY80" s="2567"/>
      <c r="DCZ80" s="2567"/>
      <c r="DDA80" s="2567"/>
      <c r="DDB80" s="2567"/>
      <c r="DDC80" s="2567"/>
      <c r="DDD80" s="2567"/>
      <c r="DDE80" s="2567"/>
      <c r="DDF80" s="2567"/>
      <c r="DDG80" s="2567"/>
      <c r="DDH80" s="2567"/>
      <c r="DDI80" s="2567"/>
      <c r="DDJ80" s="2567"/>
      <c r="DDK80" s="2567"/>
      <c r="DDL80" s="2567"/>
      <c r="DDM80" s="2567"/>
      <c r="DDN80" s="2567"/>
      <c r="DDO80" s="2567"/>
      <c r="DDP80" s="2567"/>
      <c r="DDQ80" s="2567"/>
      <c r="DDR80" s="2567"/>
      <c r="DDS80" s="2567"/>
      <c r="DDT80" s="2567"/>
      <c r="DDU80" s="2567"/>
      <c r="DDV80" s="2567"/>
      <c r="DDW80" s="2567"/>
      <c r="DDX80" s="2567"/>
      <c r="DDY80" s="2567"/>
      <c r="DDZ80" s="2567"/>
      <c r="DEA80" s="2567"/>
      <c r="DEB80" s="2567"/>
      <c r="DEC80" s="2567"/>
      <c r="DED80" s="2567"/>
      <c r="DEE80" s="2567"/>
      <c r="DEF80" s="2567"/>
      <c r="DEG80" s="2567"/>
      <c r="DEH80" s="2567"/>
      <c r="DEI80" s="2567"/>
      <c r="DEJ80" s="2567"/>
      <c r="DEK80" s="2567"/>
      <c r="DEL80" s="2567"/>
      <c r="DEM80" s="2567"/>
      <c r="DEN80" s="2567"/>
      <c r="DEO80" s="2567"/>
      <c r="DEP80" s="2567"/>
      <c r="DEQ80" s="2567"/>
      <c r="DER80" s="2567"/>
      <c r="DES80" s="2567"/>
      <c r="DET80" s="2567"/>
      <c r="DEU80" s="2567"/>
      <c r="DEV80" s="2567"/>
      <c r="DEW80" s="2567"/>
      <c r="DEX80" s="2567"/>
      <c r="DEY80" s="2567"/>
      <c r="DEZ80" s="2567"/>
      <c r="DFA80" s="2567"/>
      <c r="DFB80" s="2567"/>
      <c r="DFC80" s="2567"/>
      <c r="DFD80" s="2567"/>
      <c r="DFE80" s="2567"/>
      <c r="DFF80" s="2567"/>
      <c r="DFG80" s="2567"/>
      <c r="DFH80" s="2567"/>
      <c r="DFI80" s="2567"/>
      <c r="DFJ80" s="2567"/>
      <c r="DFK80" s="2567"/>
      <c r="DFL80" s="2567"/>
      <c r="DFM80" s="2567"/>
      <c r="DFN80" s="2567"/>
      <c r="DFO80" s="2567"/>
      <c r="DFP80" s="2567"/>
      <c r="DFQ80" s="2567"/>
      <c r="DFR80" s="2567"/>
      <c r="DFS80" s="2567"/>
      <c r="DFT80" s="2567"/>
      <c r="DFU80" s="2567"/>
      <c r="DFV80" s="2567"/>
      <c r="DFW80" s="2567"/>
      <c r="DFX80" s="2567"/>
      <c r="DFY80" s="2567"/>
      <c r="DFZ80" s="2567"/>
      <c r="DGA80" s="2567"/>
      <c r="DGB80" s="2567"/>
      <c r="DGC80" s="2567"/>
      <c r="DGD80" s="2567"/>
      <c r="DGE80" s="2567"/>
      <c r="DGF80" s="2567"/>
      <c r="DGG80" s="2567"/>
      <c r="DGH80" s="2567"/>
      <c r="DGI80" s="2567"/>
      <c r="DGJ80" s="2567"/>
      <c r="DGK80" s="2567"/>
      <c r="DGL80" s="2567"/>
      <c r="DGM80" s="2567"/>
      <c r="DGN80" s="2567"/>
      <c r="DGO80" s="2567"/>
      <c r="DGP80" s="2567"/>
      <c r="DGQ80" s="2567"/>
      <c r="DGR80" s="2567"/>
      <c r="DGS80" s="2567"/>
      <c r="DGT80" s="2567"/>
      <c r="DGU80" s="2567"/>
      <c r="DGV80" s="2567"/>
      <c r="DGW80" s="2567"/>
      <c r="DGX80" s="2567"/>
      <c r="DGY80" s="2567"/>
      <c r="DGZ80" s="2567"/>
      <c r="DHA80" s="2567"/>
      <c r="DHB80" s="2567"/>
      <c r="DHC80" s="2567"/>
      <c r="DHD80" s="2567"/>
      <c r="DHE80" s="2567"/>
      <c r="DHF80" s="2567"/>
      <c r="DHG80" s="2567"/>
      <c r="DHH80" s="2567"/>
      <c r="DHI80" s="2567"/>
      <c r="DHJ80" s="2567"/>
      <c r="DHK80" s="2567"/>
      <c r="DHL80" s="2567"/>
      <c r="DHM80" s="2567"/>
      <c r="DHN80" s="2567"/>
      <c r="DHO80" s="2567"/>
      <c r="DHP80" s="2567"/>
      <c r="DHQ80" s="2567"/>
      <c r="DHR80" s="2567"/>
      <c r="DHS80" s="2567"/>
      <c r="DHT80" s="2567"/>
      <c r="DHU80" s="2567"/>
      <c r="DHV80" s="2567"/>
      <c r="DHW80" s="2567"/>
      <c r="DHX80" s="2567"/>
      <c r="DHY80" s="2567"/>
      <c r="DHZ80" s="2567"/>
      <c r="DIA80" s="2567"/>
      <c r="DIB80" s="2567"/>
      <c r="DIC80" s="2567"/>
      <c r="DID80" s="2567"/>
      <c r="DIE80" s="2567"/>
      <c r="DIF80" s="2567"/>
      <c r="DIG80" s="2567"/>
      <c r="DIH80" s="2567"/>
      <c r="DII80" s="2567"/>
      <c r="DIJ80" s="2567"/>
      <c r="DIK80" s="2567"/>
      <c r="DIL80" s="2567"/>
      <c r="DIM80" s="2567"/>
      <c r="DIN80" s="2567"/>
      <c r="DIO80" s="2567"/>
      <c r="DIP80" s="2567"/>
      <c r="DIQ80" s="2567"/>
      <c r="DIR80" s="2567"/>
      <c r="DIS80" s="2567"/>
      <c r="DIT80" s="2567"/>
      <c r="DIU80" s="2567"/>
      <c r="DIV80" s="2567"/>
      <c r="DIW80" s="2567"/>
      <c r="DIX80" s="2567"/>
      <c r="DIY80" s="2567"/>
      <c r="DIZ80" s="2567"/>
      <c r="DJA80" s="2567"/>
      <c r="DJB80" s="2567"/>
      <c r="DJC80" s="2567"/>
      <c r="DJD80" s="2567"/>
      <c r="DJE80" s="2567"/>
      <c r="DJF80" s="2567"/>
      <c r="DJG80" s="2567"/>
      <c r="DJH80" s="2567"/>
      <c r="DJI80" s="2567"/>
      <c r="DJJ80" s="2567"/>
      <c r="DJK80" s="2567"/>
      <c r="DJL80" s="2567"/>
      <c r="DJM80" s="2567"/>
      <c r="DJN80" s="2567"/>
      <c r="DJO80" s="2567"/>
      <c r="DJP80" s="2567"/>
      <c r="DJQ80" s="2567"/>
      <c r="DJR80" s="2567"/>
      <c r="DJS80" s="2567"/>
      <c r="DJT80" s="2567"/>
      <c r="DJU80" s="2567"/>
      <c r="DJV80" s="2567"/>
      <c r="DJW80" s="2567"/>
      <c r="DJX80" s="2567"/>
      <c r="DJY80" s="2567"/>
      <c r="DJZ80" s="2567"/>
      <c r="DKA80" s="2567"/>
      <c r="DKB80" s="2567"/>
      <c r="DKC80" s="2567"/>
      <c r="DKD80" s="2567"/>
      <c r="DKE80" s="2567"/>
      <c r="DKF80" s="2567"/>
      <c r="DKG80" s="2567"/>
      <c r="DKH80" s="2567"/>
      <c r="DKI80" s="2567"/>
      <c r="DKJ80" s="2567"/>
      <c r="DKK80" s="2567"/>
      <c r="DKL80" s="2567"/>
      <c r="DKM80" s="2567"/>
      <c r="DKN80" s="2567"/>
      <c r="DKO80" s="2567"/>
      <c r="DKP80" s="2567"/>
      <c r="DKQ80" s="2567"/>
      <c r="DKR80" s="2567"/>
      <c r="DKS80" s="2567"/>
      <c r="DKT80" s="2567"/>
      <c r="DKU80" s="2567"/>
      <c r="DKV80" s="2567"/>
      <c r="DKW80" s="2567"/>
      <c r="DKX80" s="2567"/>
      <c r="DKY80" s="2567"/>
      <c r="DKZ80" s="2567"/>
      <c r="DLA80" s="2567"/>
      <c r="DLB80" s="2567"/>
      <c r="DLC80" s="2567"/>
      <c r="DLD80" s="2567"/>
      <c r="DLE80" s="2567"/>
      <c r="DLF80" s="2567"/>
      <c r="DLG80" s="2567"/>
      <c r="DLH80" s="2567"/>
      <c r="DLI80" s="2567"/>
      <c r="DLJ80" s="2567"/>
      <c r="DLK80" s="2567"/>
      <c r="DLL80" s="2567"/>
      <c r="DLM80" s="2567"/>
      <c r="DLN80" s="2567"/>
      <c r="DLO80" s="2567"/>
      <c r="DLP80" s="2567"/>
      <c r="DLQ80" s="2567"/>
      <c r="DLR80" s="2567"/>
      <c r="DLS80" s="2567"/>
      <c r="DLT80" s="2567"/>
      <c r="DLU80" s="2567"/>
      <c r="DLV80" s="2567"/>
      <c r="DLW80" s="2567"/>
      <c r="DLX80" s="2567"/>
      <c r="DLY80" s="2567"/>
      <c r="DLZ80" s="2567"/>
      <c r="DMA80" s="2567"/>
      <c r="DMB80" s="2567"/>
      <c r="DMC80" s="2567"/>
      <c r="DMD80" s="2567"/>
      <c r="DME80" s="2567"/>
      <c r="DMF80" s="2567"/>
      <c r="DMG80" s="2567"/>
      <c r="DMH80" s="2567"/>
      <c r="DMI80" s="2567"/>
      <c r="DMJ80" s="2567"/>
      <c r="DMK80" s="2567"/>
      <c r="DML80" s="2567"/>
      <c r="DMM80" s="2567"/>
      <c r="DMN80" s="2567"/>
      <c r="DMO80" s="2567"/>
      <c r="DMP80" s="2567"/>
      <c r="DMQ80" s="2567"/>
      <c r="DMR80" s="2567"/>
      <c r="DMS80" s="2567"/>
      <c r="DMT80" s="2567"/>
      <c r="DMU80" s="2567"/>
      <c r="DMV80" s="2567"/>
      <c r="DMW80" s="2567"/>
      <c r="DMX80" s="2567"/>
      <c r="DMY80" s="2567"/>
      <c r="DMZ80" s="2567"/>
      <c r="DNA80" s="2567"/>
      <c r="DNB80" s="2567"/>
      <c r="DNC80" s="2567"/>
      <c r="DND80" s="2567"/>
      <c r="DNE80" s="2567"/>
      <c r="DNF80" s="2567"/>
      <c r="DNG80" s="2567"/>
      <c r="DNH80" s="2567"/>
      <c r="DNI80" s="2567"/>
      <c r="DNJ80" s="2567"/>
      <c r="DNK80" s="2567"/>
      <c r="DNL80" s="2567"/>
      <c r="DNM80" s="2567"/>
      <c r="DNN80" s="2567"/>
      <c r="DNO80" s="2567"/>
      <c r="DNP80" s="2567"/>
      <c r="DNQ80" s="2567"/>
      <c r="DNR80" s="2567"/>
      <c r="DNS80" s="2567"/>
      <c r="DNT80" s="2567"/>
      <c r="DNU80" s="2567"/>
      <c r="DNV80" s="2567"/>
      <c r="DNW80" s="2567"/>
      <c r="DNX80" s="2567"/>
      <c r="DNY80" s="2567"/>
      <c r="DNZ80" s="2567"/>
      <c r="DOA80" s="2567"/>
      <c r="DOB80" s="2567"/>
      <c r="DOC80" s="2567"/>
      <c r="DOD80" s="2567"/>
      <c r="DOE80" s="2567"/>
      <c r="DOF80" s="2567"/>
      <c r="DOG80" s="2567"/>
      <c r="DOH80" s="2567"/>
      <c r="DOI80" s="2567"/>
      <c r="DOJ80" s="2567"/>
      <c r="DOK80" s="2567"/>
      <c r="DOL80" s="2567"/>
      <c r="DOM80" s="2567"/>
      <c r="DON80" s="2567"/>
      <c r="DOO80" s="2567"/>
      <c r="DOP80" s="2567"/>
      <c r="DOQ80" s="2567"/>
      <c r="DOR80" s="2567"/>
      <c r="DOS80" s="2567"/>
      <c r="DOT80" s="2567"/>
      <c r="DOU80" s="2567"/>
      <c r="DOV80" s="2567"/>
      <c r="DOW80" s="2567"/>
      <c r="DOX80" s="2567"/>
      <c r="DOY80" s="2567"/>
      <c r="DOZ80" s="2567"/>
      <c r="DPA80" s="2567"/>
      <c r="DPB80" s="2567"/>
      <c r="DPC80" s="2567"/>
      <c r="DPD80" s="2567"/>
      <c r="DPE80" s="2567"/>
      <c r="DPF80" s="2567"/>
      <c r="DPG80" s="2567"/>
      <c r="DPH80" s="2567"/>
      <c r="DPI80" s="2567"/>
      <c r="DPJ80" s="2567"/>
      <c r="DPK80" s="2567"/>
      <c r="DPL80" s="2567"/>
      <c r="DPM80" s="2567"/>
      <c r="DPN80" s="2567"/>
      <c r="DPO80" s="2567"/>
      <c r="DPP80" s="2567"/>
      <c r="DPQ80" s="2567"/>
      <c r="DPR80" s="2567"/>
      <c r="DPS80" s="2567"/>
      <c r="DPT80" s="2567"/>
      <c r="DPU80" s="2567"/>
      <c r="DPV80" s="2567"/>
      <c r="DPW80" s="2567"/>
      <c r="DPX80" s="2567"/>
      <c r="DPY80" s="2567"/>
      <c r="DPZ80" s="2567"/>
      <c r="DQA80" s="2567"/>
      <c r="DQB80" s="2567"/>
      <c r="DQC80" s="2567"/>
      <c r="DQD80" s="2567"/>
      <c r="DQE80" s="2567"/>
      <c r="DQF80" s="2567"/>
      <c r="DQG80" s="2567"/>
      <c r="DQH80" s="2567"/>
      <c r="DQI80" s="2567"/>
      <c r="DQJ80" s="2567"/>
      <c r="DQK80" s="2567"/>
      <c r="DQL80" s="2567"/>
      <c r="DQM80" s="2567"/>
      <c r="DQN80" s="2567"/>
      <c r="DQO80" s="2567"/>
      <c r="DQP80" s="2567"/>
      <c r="DQQ80" s="2567"/>
      <c r="DQR80" s="2567"/>
      <c r="DQS80" s="2567"/>
      <c r="DQT80" s="2567"/>
      <c r="DQU80" s="2567"/>
      <c r="DQV80" s="2567"/>
      <c r="DQW80" s="2567"/>
      <c r="DQX80" s="2567"/>
      <c r="DQY80" s="2567"/>
      <c r="DQZ80" s="2567"/>
      <c r="DRA80" s="2567"/>
      <c r="DRB80" s="2567"/>
      <c r="DRC80" s="2567"/>
      <c r="DRD80" s="2567"/>
      <c r="DRE80" s="2567"/>
      <c r="DRF80" s="2567"/>
      <c r="DRG80" s="2567"/>
      <c r="DRH80" s="2567"/>
      <c r="DRI80" s="2567"/>
      <c r="DRJ80" s="2567"/>
      <c r="DRK80" s="2567"/>
      <c r="DRL80" s="2567"/>
      <c r="DRM80" s="2567"/>
      <c r="DRN80" s="2567"/>
      <c r="DRO80" s="2567"/>
      <c r="DRP80" s="2567"/>
      <c r="DRQ80" s="2567"/>
      <c r="DRR80" s="2567"/>
      <c r="DRS80" s="2567"/>
      <c r="DRT80" s="2567"/>
      <c r="DRU80" s="2567"/>
      <c r="DRV80" s="2567"/>
      <c r="DRW80" s="2567"/>
      <c r="DRX80" s="2567"/>
      <c r="DRY80" s="2567"/>
      <c r="DRZ80" s="2567"/>
      <c r="DSA80" s="2567"/>
      <c r="DSB80" s="2567"/>
      <c r="DSC80" s="2567"/>
      <c r="DSD80" s="2567"/>
      <c r="DSE80" s="2567"/>
      <c r="DSF80" s="2567"/>
      <c r="DSG80" s="2567"/>
      <c r="DSH80" s="2567"/>
      <c r="DSI80" s="2567"/>
      <c r="DSJ80" s="2567"/>
      <c r="DSK80" s="2567"/>
      <c r="DSL80" s="2567"/>
      <c r="DSM80" s="2567"/>
      <c r="DSN80" s="2567"/>
      <c r="DSO80" s="2567"/>
      <c r="DSP80" s="2567"/>
      <c r="DSQ80" s="2567"/>
      <c r="DSR80" s="2567"/>
      <c r="DSS80" s="2567"/>
      <c r="DST80" s="2567"/>
      <c r="DSU80" s="2567"/>
      <c r="DSV80" s="2567"/>
      <c r="DSW80" s="2567"/>
      <c r="DSX80" s="2567"/>
      <c r="DSY80" s="2567"/>
      <c r="DSZ80" s="2567"/>
      <c r="DTA80" s="2567"/>
      <c r="DTB80" s="2567"/>
      <c r="DTC80" s="2567"/>
      <c r="DTD80" s="2567"/>
      <c r="DTE80" s="2567"/>
      <c r="DTF80" s="2567"/>
      <c r="DTG80" s="2567"/>
      <c r="DTH80" s="2567"/>
      <c r="DTI80" s="2567"/>
      <c r="DTJ80" s="2567"/>
      <c r="DTK80" s="2567"/>
      <c r="DTL80" s="2567"/>
      <c r="DTM80" s="2567"/>
      <c r="DTN80" s="2567"/>
      <c r="DTO80" s="2567"/>
      <c r="DTP80" s="2567"/>
      <c r="DTQ80" s="2567"/>
      <c r="DTR80" s="2567"/>
      <c r="DTS80" s="2567"/>
      <c r="DTT80" s="2567"/>
      <c r="DTU80" s="2567"/>
      <c r="DTV80" s="2567"/>
      <c r="DTW80" s="2567"/>
      <c r="DTX80" s="2567"/>
      <c r="DTY80" s="2567"/>
      <c r="DTZ80" s="2567"/>
      <c r="DUA80" s="2567"/>
      <c r="DUB80" s="2567"/>
      <c r="DUC80" s="2567"/>
      <c r="DUD80" s="2567"/>
      <c r="DUE80" s="2567"/>
      <c r="DUF80" s="2567"/>
      <c r="DUG80" s="2567"/>
      <c r="DUH80" s="2567"/>
      <c r="DUI80" s="2567"/>
      <c r="DUJ80" s="2567"/>
      <c r="DUK80" s="2567"/>
      <c r="DUL80" s="2567"/>
      <c r="DUM80" s="2567"/>
      <c r="DUN80" s="2567"/>
      <c r="DUO80" s="2567"/>
      <c r="DUP80" s="2567"/>
      <c r="DUQ80" s="2567"/>
      <c r="DUR80" s="2567"/>
      <c r="DUS80" s="2567"/>
      <c r="DUT80" s="2567"/>
      <c r="DUU80" s="2567"/>
      <c r="DUV80" s="2567"/>
      <c r="DUW80" s="2567"/>
      <c r="DUX80" s="2567"/>
      <c r="DUY80" s="2567"/>
      <c r="DUZ80" s="2567"/>
      <c r="DVA80" s="2567"/>
      <c r="DVB80" s="2567"/>
      <c r="DVC80" s="2567"/>
      <c r="DVD80" s="2567"/>
      <c r="DVE80" s="2567"/>
      <c r="DVF80" s="2567"/>
      <c r="DVG80" s="2567"/>
      <c r="DVH80" s="2567"/>
      <c r="DVI80" s="2567"/>
      <c r="DVJ80" s="2567"/>
      <c r="DVK80" s="2567"/>
      <c r="DVL80" s="2567"/>
      <c r="DVM80" s="2567"/>
      <c r="DVN80" s="2567"/>
      <c r="DVO80" s="2567"/>
      <c r="DVP80" s="2567"/>
      <c r="DVQ80" s="2567"/>
      <c r="DVR80" s="2567"/>
      <c r="DVS80" s="2567"/>
      <c r="DVT80" s="2567"/>
      <c r="DVU80" s="2567"/>
      <c r="DVV80" s="2567"/>
      <c r="DVW80" s="2567"/>
      <c r="DVX80" s="2567"/>
      <c r="DVY80" s="2567"/>
      <c r="DVZ80" s="2567"/>
      <c r="DWA80" s="2567"/>
      <c r="DWB80" s="2567"/>
      <c r="DWC80" s="2567"/>
      <c r="DWD80" s="2567"/>
      <c r="DWE80" s="2567"/>
      <c r="DWF80" s="2567"/>
      <c r="DWG80" s="2567"/>
      <c r="DWH80" s="2567"/>
      <c r="DWI80" s="2567"/>
      <c r="DWJ80" s="2567"/>
      <c r="DWK80" s="2567"/>
      <c r="DWL80" s="2567"/>
      <c r="DWM80" s="2567"/>
      <c r="DWN80" s="2567"/>
      <c r="DWO80" s="2567"/>
      <c r="DWP80" s="2567"/>
      <c r="DWQ80" s="2567"/>
      <c r="DWR80" s="2567"/>
      <c r="DWS80" s="2567"/>
      <c r="DWT80" s="2567"/>
      <c r="DWU80" s="2567"/>
      <c r="DWV80" s="2567"/>
      <c r="DWW80" s="2567"/>
      <c r="DWX80" s="2567"/>
      <c r="DWY80" s="2567"/>
      <c r="DWZ80" s="2567"/>
      <c r="DXA80" s="2567"/>
      <c r="DXB80" s="2567"/>
      <c r="DXC80" s="2567"/>
      <c r="DXD80" s="2567"/>
      <c r="DXE80" s="2567"/>
      <c r="DXF80" s="2567"/>
      <c r="DXG80" s="2567"/>
      <c r="DXH80" s="2567"/>
      <c r="DXI80" s="2567"/>
      <c r="DXJ80" s="2567"/>
      <c r="DXK80" s="2567"/>
      <c r="DXL80" s="2567"/>
      <c r="DXM80" s="2567"/>
      <c r="DXN80" s="2567"/>
      <c r="DXO80" s="2567"/>
      <c r="DXP80" s="2567"/>
      <c r="DXQ80" s="2567"/>
      <c r="DXR80" s="2567"/>
      <c r="DXS80" s="2567"/>
      <c r="DXT80" s="2567"/>
      <c r="DXU80" s="2567"/>
      <c r="DXV80" s="2567"/>
      <c r="DXW80" s="2567"/>
      <c r="DXX80" s="2567"/>
      <c r="DXY80" s="2567"/>
      <c r="DXZ80" s="2567"/>
      <c r="DYA80" s="2567"/>
      <c r="DYB80" s="2567"/>
      <c r="DYC80" s="2567"/>
      <c r="DYD80" s="2567"/>
      <c r="DYE80" s="2567"/>
      <c r="DYF80" s="2567"/>
      <c r="DYG80" s="2567"/>
      <c r="DYH80" s="2567"/>
      <c r="DYI80" s="2567"/>
      <c r="DYJ80" s="2567"/>
      <c r="DYK80" s="2567"/>
      <c r="DYL80" s="2567"/>
      <c r="DYM80" s="2567"/>
      <c r="DYN80" s="2567"/>
      <c r="DYO80" s="2567"/>
      <c r="DYP80" s="2567"/>
      <c r="DYQ80" s="2567"/>
      <c r="DYR80" s="2567"/>
      <c r="DYS80" s="2567"/>
      <c r="DYT80" s="2567"/>
      <c r="DYU80" s="2567"/>
      <c r="DYV80" s="2567"/>
      <c r="DYW80" s="2567"/>
      <c r="DYX80" s="2567"/>
      <c r="DYY80" s="2567"/>
      <c r="DYZ80" s="2567"/>
      <c r="DZA80" s="2567"/>
      <c r="DZB80" s="2567"/>
      <c r="DZC80" s="2567"/>
      <c r="DZD80" s="2567"/>
      <c r="DZE80" s="2567"/>
      <c r="DZF80" s="2567"/>
      <c r="DZG80" s="2567"/>
      <c r="DZH80" s="2567"/>
      <c r="DZI80" s="2567"/>
      <c r="DZJ80" s="2567"/>
      <c r="DZK80" s="2567"/>
      <c r="DZL80" s="2567"/>
      <c r="DZM80" s="2567"/>
      <c r="DZN80" s="2567"/>
      <c r="DZO80" s="2567"/>
      <c r="DZP80" s="2567"/>
      <c r="DZQ80" s="2567"/>
      <c r="DZR80" s="2567"/>
      <c r="DZS80" s="2567"/>
      <c r="DZT80" s="2567"/>
      <c r="DZU80" s="2567"/>
      <c r="DZV80" s="2567"/>
      <c r="DZW80" s="2567"/>
      <c r="DZX80" s="2567"/>
      <c r="DZY80" s="2567"/>
      <c r="DZZ80" s="2567"/>
      <c r="EAA80" s="2567"/>
      <c r="EAB80" s="2567"/>
      <c r="EAC80" s="2567"/>
      <c r="EAD80" s="2567"/>
      <c r="EAE80" s="2567"/>
      <c r="EAF80" s="2567"/>
      <c r="EAG80" s="2567"/>
      <c r="EAH80" s="2567"/>
      <c r="EAI80" s="2567"/>
      <c r="EAJ80" s="2567"/>
      <c r="EAK80" s="2567"/>
      <c r="EAL80" s="2567"/>
      <c r="EAM80" s="2567"/>
      <c r="EAN80" s="2567"/>
      <c r="EAO80" s="2567"/>
      <c r="EAP80" s="2567"/>
      <c r="EAQ80" s="2567"/>
      <c r="EAR80" s="2567"/>
      <c r="EAS80" s="2567"/>
      <c r="EAT80" s="2567"/>
      <c r="EAU80" s="2567"/>
      <c r="EAV80" s="2567"/>
      <c r="EAW80" s="2567"/>
      <c r="EAX80" s="2567"/>
      <c r="EAY80" s="2567"/>
      <c r="EAZ80" s="2567"/>
      <c r="EBA80" s="2567"/>
      <c r="EBB80" s="2567"/>
      <c r="EBC80" s="2567"/>
      <c r="EBD80" s="2567"/>
      <c r="EBE80" s="2567"/>
      <c r="EBF80" s="2567"/>
      <c r="EBG80" s="2567"/>
      <c r="EBH80" s="2567"/>
      <c r="EBI80" s="2567"/>
      <c r="EBJ80" s="2567"/>
      <c r="EBK80" s="2567"/>
      <c r="EBL80" s="2567"/>
      <c r="EBM80" s="2567"/>
      <c r="EBN80" s="2567"/>
      <c r="EBO80" s="2567"/>
      <c r="EBP80" s="2567"/>
      <c r="EBQ80" s="2567"/>
      <c r="EBR80" s="2567"/>
      <c r="EBS80" s="2567"/>
      <c r="EBT80" s="2567"/>
      <c r="EBU80" s="2567"/>
      <c r="EBV80" s="2567"/>
      <c r="EBW80" s="2567"/>
      <c r="EBX80" s="2567"/>
      <c r="EBY80" s="2567"/>
      <c r="EBZ80" s="2567"/>
      <c r="ECA80" s="2567"/>
      <c r="ECB80" s="2567"/>
      <c r="ECC80" s="2567"/>
      <c r="ECD80" s="2567"/>
      <c r="ECE80" s="2567"/>
      <c r="ECF80" s="2567"/>
      <c r="ECG80" s="2567"/>
      <c r="ECH80" s="2567"/>
      <c r="ECI80" s="2567"/>
      <c r="ECJ80" s="2567"/>
      <c r="ECK80" s="2567"/>
      <c r="ECL80" s="2567"/>
      <c r="ECM80" s="2567"/>
      <c r="ECN80" s="2567"/>
      <c r="ECO80" s="2567"/>
      <c r="ECP80" s="2567"/>
      <c r="ECQ80" s="2567"/>
      <c r="ECR80" s="2567"/>
      <c r="ECS80" s="2567"/>
      <c r="ECT80" s="2567"/>
      <c r="ECU80" s="2567"/>
      <c r="ECV80" s="2567"/>
      <c r="ECW80" s="2567"/>
      <c r="ECX80" s="2567"/>
      <c r="ECY80" s="2567"/>
      <c r="ECZ80" s="2567"/>
      <c r="EDA80" s="2567"/>
      <c r="EDB80" s="2567"/>
      <c r="EDC80" s="2567"/>
      <c r="EDD80" s="2567"/>
      <c r="EDE80" s="2567"/>
      <c r="EDF80" s="2567"/>
      <c r="EDG80" s="2567"/>
      <c r="EDH80" s="2567"/>
      <c r="EDI80" s="2567"/>
      <c r="EDJ80" s="2567"/>
      <c r="EDK80" s="2567"/>
      <c r="EDL80" s="2567"/>
      <c r="EDM80" s="2567"/>
      <c r="EDN80" s="2567"/>
      <c r="EDO80" s="2567"/>
      <c r="EDP80" s="2567"/>
      <c r="EDQ80" s="2567"/>
      <c r="EDR80" s="2567"/>
      <c r="EDS80" s="2567"/>
      <c r="EDT80" s="2567"/>
      <c r="EDU80" s="2567"/>
      <c r="EDV80" s="2567"/>
      <c r="EDW80" s="2567"/>
      <c r="EDX80" s="2567"/>
      <c r="EDY80" s="2567"/>
      <c r="EDZ80" s="2567"/>
      <c r="EEA80" s="2567"/>
      <c r="EEB80" s="2567"/>
      <c r="EEC80" s="2567"/>
      <c r="EED80" s="2567"/>
      <c r="EEE80" s="2567"/>
      <c r="EEF80" s="2567"/>
      <c r="EEG80" s="2567"/>
      <c r="EEH80" s="2567"/>
      <c r="EEI80" s="2567"/>
      <c r="EEJ80" s="2567"/>
      <c r="EEK80" s="2567"/>
      <c r="EEL80" s="2567"/>
      <c r="EEM80" s="2567"/>
      <c r="EEN80" s="2567"/>
      <c r="EEO80" s="2567"/>
      <c r="EEP80" s="2567"/>
      <c r="EEQ80" s="2567"/>
      <c r="EER80" s="2567"/>
      <c r="EES80" s="2567"/>
      <c r="EET80" s="2567"/>
      <c r="EEU80" s="2567"/>
      <c r="EEV80" s="2567"/>
      <c r="EEW80" s="2567"/>
      <c r="EEX80" s="2567"/>
      <c r="EEY80" s="2567"/>
      <c r="EEZ80" s="2567"/>
      <c r="EFA80" s="2567"/>
      <c r="EFB80" s="2567"/>
      <c r="EFC80" s="2567"/>
      <c r="EFD80" s="2567"/>
      <c r="EFE80" s="2567"/>
      <c r="EFF80" s="2567"/>
      <c r="EFG80" s="2567"/>
      <c r="EFH80" s="2567"/>
      <c r="EFI80" s="2567"/>
      <c r="EFJ80" s="2567"/>
      <c r="EFK80" s="2567"/>
      <c r="EFL80" s="2567"/>
      <c r="EFM80" s="2567"/>
      <c r="EFN80" s="2567"/>
      <c r="EFO80" s="2567"/>
      <c r="EFP80" s="2567"/>
      <c r="EFQ80" s="2567"/>
      <c r="EFR80" s="2567"/>
      <c r="EFS80" s="2567"/>
      <c r="EFT80" s="2567"/>
      <c r="EFU80" s="2567"/>
      <c r="EFV80" s="2567"/>
      <c r="EFW80" s="2567"/>
      <c r="EFX80" s="2567"/>
      <c r="EFY80" s="2567"/>
      <c r="EFZ80" s="2567"/>
      <c r="EGA80" s="2567"/>
      <c r="EGB80" s="2567"/>
      <c r="EGC80" s="2567"/>
      <c r="EGD80" s="2567"/>
      <c r="EGE80" s="2567"/>
      <c r="EGF80" s="2567"/>
      <c r="EGG80" s="2567"/>
      <c r="EGH80" s="2567"/>
      <c r="EGI80" s="2567"/>
      <c r="EGJ80" s="2567"/>
      <c r="EGK80" s="2567"/>
      <c r="EGL80" s="2567"/>
      <c r="EGM80" s="2567"/>
      <c r="EGN80" s="2567"/>
      <c r="EGO80" s="2567"/>
      <c r="EGP80" s="2567"/>
      <c r="EGQ80" s="2567"/>
      <c r="EGR80" s="2567"/>
      <c r="EGS80" s="2567"/>
      <c r="EGT80" s="2567"/>
      <c r="EGU80" s="2567"/>
      <c r="EGV80" s="2567"/>
      <c r="EGW80" s="2567"/>
      <c r="EGX80" s="2567"/>
      <c r="EGY80" s="2567"/>
      <c r="EGZ80" s="2567"/>
      <c r="EHA80" s="2567"/>
      <c r="EHB80" s="2567"/>
      <c r="EHC80" s="2567"/>
      <c r="EHD80" s="2567"/>
      <c r="EHE80" s="2567"/>
      <c r="EHF80" s="2567"/>
      <c r="EHG80" s="2567"/>
      <c r="EHH80" s="2567"/>
      <c r="EHI80" s="2567"/>
      <c r="EHJ80" s="2567"/>
      <c r="EHK80" s="2567"/>
      <c r="EHL80" s="2567"/>
      <c r="EHM80" s="2567"/>
      <c r="EHN80" s="2567"/>
      <c r="EHO80" s="2567"/>
      <c r="EHP80" s="2567"/>
      <c r="EHQ80" s="2567"/>
      <c r="EHR80" s="2567"/>
      <c r="EHS80" s="2567"/>
      <c r="EHT80" s="2567"/>
      <c r="EHU80" s="2567"/>
      <c r="EHV80" s="2567"/>
      <c r="EHW80" s="2567"/>
      <c r="EHX80" s="2567"/>
      <c r="EHY80" s="2567"/>
      <c r="EHZ80" s="2567"/>
      <c r="EIA80" s="2567"/>
      <c r="EIB80" s="2567"/>
      <c r="EIC80" s="2567"/>
      <c r="EID80" s="2567"/>
      <c r="EIE80" s="2567"/>
      <c r="EIF80" s="2567"/>
      <c r="EIG80" s="2567"/>
      <c r="EIH80" s="2567"/>
      <c r="EII80" s="2567"/>
      <c r="EIJ80" s="2567"/>
      <c r="EIK80" s="2567"/>
      <c r="EIL80" s="2567"/>
      <c r="EIM80" s="2567"/>
      <c r="EIN80" s="2567"/>
      <c r="EIO80" s="2567"/>
      <c r="EIP80" s="2567"/>
      <c r="EIQ80" s="2567"/>
      <c r="EIR80" s="2567"/>
      <c r="EIS80" s="2567"/>
      <c r="EIT80" s="2567"/>
      <c r="EIU80" s="2567"/>
      <c r="EIV80" s="2567"/>
      <c r="EIW80" s="2567"/>
      <c r="EIX80" s="2567"/>
      <c r="EIY80" s="2567"/>
      <c r="EIZ80" s="2567"/>
      <c r="EJA80" s="2567"/>
      <c r="EJB80" s="2567"/>
      <c r="EJC80" s="2567"/>
      <c r="EJD80" s="2567"/>
      <c r="EJE80" s="2567"/>
      <c r="EJF80" s="2567"/>
      <c r="EJG80" s="2567"/>
      <c r="EJH80" s="2567"/>
      <c r="EJI80" s="2567"/>
      <c r="EJJ80" s="2567"/>
      <c r="EJK80" s="2567"/>
      <c r="EJL80" s="2567"/>
      <c r="EJM80" s="2567"/>
      <c r="EJN80" s="2567"/>
      <c r="EJO80" s="2567"/>
      <c r="EJP80" s="2567"/>
      <c r="EJQ80" s="2567"/>
      <c r="EJR80" s="2567"/>
      <c r="EJS80" s="2567"/>
      <c r="EJT80" s="2567"/>
      <c r="EJU80" s="2567"/>
      <c r="EJV80" s="2567"/>
      <c r="EJW80" s="2567"/>
      <c r="EJX80" s="2567"/>
      <c r="EJY80" s="2567"/>
      <c r="EJZ80" s="2567"/>
      <c r="EKA80" s="2567"/>
      <c r="EKB80" s="2567"/>
      <c r="EKC80" s="2567"/>
      <c r="EKD80" s="2567"/>
      <c r="EKE80" s="2567"/>
      <c r="EKF80" s="2567"/>
      <c r="EKG80" s="2567"/>
      <c r="EKH80" s="2567"/>
      <c r="EKI80" s="2567"/>
      <c r="EKJ80" s="2567"/>
      <c r="EKK80" s="2567"/>
      <c r="EKL80" s="2567"/>
      <c r="EKM80" s="2567"/>
      <c r="EKN80" s="2567"/>
      <c r="EKO80" s="2567"/>
      <c r="EKP80" s="2567"/>
      <c r="EKQ80" s="2567"/>
      <c r="EKR80" s="2567"/>
      <c r="EKS80" s="2567"/>
      <c r="EKT80" s="2567"/>
      <c r="EKU80" s="2567"/>
      <c r="EKV80" s="2567"/>
      <c r="EKW80" s="2567"/>
      <c r="EKX80" s="2567"/>
      <c r="EKY80" s="2567"/>
      <c r="EKZ80" s="2567"/>
      <c r="ELA80" s="2567"/>
      <c r="ELB80" s="2567"/>
      <c r="ELC80" s="2567"/>
      <c r="ELD80" s="2567"/>
      <c r="ELE80" s="2567"/>
      <c r="ELF80" s="2567"/>
      <c r="ELG80" s="2567"/>
      <c r="ELH80" s="2567"/>
      <c r="ELI80" s="2567"/>
      <c r="ELJ80" s="2567"/>
      <c r="ELK80" s="2567"/>
      <c r="ELL80" s="2567"/>
      <c r="ELM80" s="2567"/>
      <c r="ELN80" s="2567"/>
      <c r="ELO80" s="2567"/>
      <c r="ELP80" s="2567"/>
      <c r="ELQ80" s="2567"/>
      <c r="ELR80" s="2567"/>
      <c r="ELS80" s="2567"/>
      <c r="ELT80" s="2567"/>
      <c r="ELU80" s="2567"/>
      <c r="ELV80" s="2567"/>
      <c r="ELW80" s="2567"/>
      <c r="ELX80" s="2567"/>
      <c r="ELY80" s="2567"/>
      <c r="ELZ80" s="2567"/>
      <c r="EMA80" s="2567"/>
      <c r="EMB80" s="2567"/>
      <c r="EMC80" s="2567"/>
      <c r="EMD80" s="2567"/>
      <c r="EME80" s="2567"/>
      <c r="EMF80" s="2567"/>
      <c r="EMG80" s="2567"/>
      <c r="EMH80" s="2567"/>
      <c r="EMI80" s="2567"/>
      <c r="EMJ80" s="2567"/>
      <c r="EMK80" s="2567"/>
      <c r="EML80" s="2567"/>
      <c r="EMM80" s="2567"/>
      <c r="EMN80" s="2567"/>
      <c r="EMO80" s="2567"/>
      <c r="EMP80" s="2567"/>
      <c r="EMQ80" s="2567"/>
      <c r="EMR80" s="2567"/>
      <c r="EMS80" s="2567"/>
      <c r="EMT80" s="2567"/>
      <c r="EMU80" s="2567"/>
      <c r="EMV80" s="2567"/>
      <c r="EMW80" s="2567"/>
      <c r="EMX80" s="2567"/>
      <c r="EMY80" s="2567"/>
      <c r="EMZ80" s="2567"/>
      <c r="ENA80" s="2567"/>
      <c r="ENB80" s="2567"/>
      <c r="ENC80" s="2567"/>
      <c r="END80" s="2567"/>
      <c r="ENE80" s="2567"/>
      <c r="ENF80" s="2567"/>
      <c r="ENG80" s="2567"/>
      <c r="ENH80" s="2567"/>
      <c r="ENI80" s="2567"/>
      <c r="ENJ80" s="2567"/>
      <c r="ENK80" s="2567"/>
      <c r="ENL80" s="2567"/>
      <c r="ENM80" s="2567"/>
      <c r="ENN80" s="2567"/>
      <c r="ENO80" s="2567"/>
      <c r="ENP80" s="2567"/>
      <c r="ENQ80" s="2567"/>
      <c r="ENR80" s="2567"/>
      <c r="ENS80" s="2567"/>
      <c r="ENT80" s="2567"/>
      <c r="ENU80" s="2567"/>
      <c r="ENV80" s="2567"/>
      <c r="ENW80" s="2567"/>
      <c r="ENX80" s="2567"/>
      <c r="ENY80" s="2567"/>
      <c r="ENZ80" s="2567"/>
      <c r="EOA80" s="2567"/>
      <c r="EOB80" s="2567"/>
      <c r="EOC80" s="2567"/>
      <c r="EOD80" s="2567"/>
      <c r="EOE80" s="2567"/>
      <c r="EOF80" s="2567"/>
      <c r="EOG80" s="2567"/>
      <c r="EOH80" s="2567"/>
      <c r="EOI80" s="2567"/>
      <c r="EOJ80" s="2567"/>
      <c r="EOK80" s="2567"/>
      <c r="EOL80" s="2567"/>
      <c r="EOM80" s="2567"/>
      <c r="EON80" s="2567"/>
      <c r="EOO80" s="2567"/>
      <c r="EOP80" s="2567"/>
      <c r="EOQ80" s="2567"/>
      <c r="EOR80" s="2567"/>
      <c r="EOS80" s="2567"/>
      <c r="EOT80" s="2567"/>
      <c r="EOU80" s="2567"/>
      <c r="EOV80" s="2567"/>
      <c r="EOW80" s="2567"/>
      <c r="EOX80" s="2567"/>
      <c r="EOY80" s="2567"/>
      <c r="EOZ80" s="2567"/>
      <c r="EPA80" s="2567"/>
      <c r="EPB80" s="2567"/>
      <c r="EPC80" s="2567"/>
      <c r="EPD80" s="2567"/>
      <c r="EPE80" s="2567"/>
      <c r="EPF80" s="2567"/>
      <c r="EPG80" s="2567"/>
      <c r="EPH80" s="2567"/>
      <c r="EPI80" s="2567"/>
      <c r="EPJ80" s="2567"/>
      <c r="EPK80" s="2567"/>
      <c r="EPL80" s="2567"/>
      <c r="EPM80" s="2567"/>
      <c r="EPN80" s="2567"/>
      <c r="EPO80" s="2567"/>
      <c r="EPP80" s="2567"/>
      <c r="EPQ80" s="2567"/>
      <c r="EPR80" s="2567"/>
      <c r="EPS80" s="2567"/>
      <c r="EPT80" s="2567"/>
      <c r="EPU80" s="2567"/>
      <c r="EPV80" s="2567"/>
      <c r="EPW80" s="2567"/>
      <c r="EPX80" s="2567"/>
      <c r="EPY80" s="2567"/>
      <c r="EPZ80" s="2567"/>
      <c r="EQA80" s="2567"/>
      <c r="EQB80" s="2567"/>
      <c r="EQC80" s="2567"/>
      <c r="EQD80" s="2567"/>
      <c r="EQE80" s="2567"/>
      <c r="EQF80" s="2567"/>
      <c r="EQG80" s="2567"/>
      <c r="EQH80" s="2567"/>
      <c r="EQI80" s="2567"/>
      <c r="EQJ80" s="2567"/>
      <c r="EQK80" s="2567"/>
      <c r="EQL80" s="2567"/>
      <c r="EQM80" s="2567"/>
      <c r="EQN80" s="2567"/>
      <c r="EQO80" s="2567"/>
      <c r="EQP80" s="2567"/>
      <c r="EQQ80" s="2567"/>
      <c r="EQR80" s="2567"/>
      <c r="EQS80" s="2567"/>
      <c r="EQT80" s="2567"/>
      <c r="EQU80" s="2567"/>
      <c r="EQV80" s="2567"/>
      <c r="EQW80" s="2567"/>
      <c r="EQX80" s="2567"/>
      <c r="EQY80" s="2567"/>
      <c r="EQZ80" s="2567"/>
      <c r="ERA80" s="2567"/>
      <c r="ERB80" s="2567"/>
      <c r="ERC80" s="2567"/>
      <c r="ERD80" s="2567"/>
      <c r="ERE80" s="2567"/>
      <c r="ERF80" s="2567"/>
      <c r="ERG80" s="2567"/>
      <c r="ERH80" s="2567"/>
      <c r="ERI80" s="2567"/>
      <c r="ERJ80" s="2567"/>
      <c r="ERK80" s="2567"/>
      <c r="ERL80" s="2567"/>
      <c r="ERM80" s="2567"/>
      <c r="ERN80" s="2567"/>
      <c r="ERO80" s="2567"/>
      <c r="ERP80" s="2567"/>
      <c r="ERQ80" s="2567"/>
      <c r="ERR80" s="2567"/>
      <c r="ERS80" s="2567"/>
      <c r="ERT80" s="2567"/>
      <c r="ERU80" s="2567"/>
      <c r="ERV80" s="2567"/>
      <c r="ERW80" s="2567"/>
      <c r="ERX80" s="2567"/>
      <c r="ERY80" s="2567"/>
      <c r="ERZ80" s="2567"/>
      <c r="ESA80" s="2567"/>
      <c r="ESB80" s="2567"/>
      <c r="ESC80" s="2567"/>
      <c r="ESD80" s="2567"/>
      <c r="ESE80" s="2567"/>
      <c r="ESF80" s="2567"/>
      <c r="ESG80" s="2567"/>
      <c r="ESH80" s="2567"/>
      <c r="ESI80" s="2567"/>
      <c r="ESJ80" s="2567"/>
      <c r="ESK80" s="2567"/>
      <c r="ESL80" s="2567"/>
      <c r="ESM80" s="2567"/>
      <c r="ESN80" s="2567"/>
      <c r="ESO80" s="2567"/>
      <c r="ESP80" s="2567"/>
      <c r="ESQ80" s="2567"/>
      <c r="ESR80" s="2567"/>
      <c r="ESS80" s="2567"/>
      <c r="EST80" s="2567"/>
      <c r="ESU80" s="2567"/>
      <c r="ESV80" s="2567"/>
      <c r="ESW80" s="2567"/>
      <c r="ESX80" s="2567"/>
      <c r="ESY80" s="2567"/>
      <c r="ESZ80" s="2567"/>
      <c r="ETA80" s="2567"/>
      <c r="ETB80" s="2567"/>
      <c r="ETC80" s="2567"/>
      <c r="ETD80" s="2567"/>
      <c r="ETE80" s="2567"/>
      <c r="ETF80" s="2567"/>
      <c r="ETG80" s="2567"/>
      <c r="ETH80" s="2567"/>
      <c r="ETI80" s="2567"/>
      <c r="ETJ80" s="2567"/>
      <c r="ETK80" s="2567"/>
      <c r="ETL80" s="2567"/>
      <c r="ETM80" s="2567"/>
      <c r="ETN80" s="2567"/>
      <c r="ETO80" s="2567"/>
      <c r="ETP80" s="2567"/>
      <c r="ETQ80" s="2567"/>
      <c r="ETR80" s="2567"/>
      <c r="ETS80" s="2567"/>
      <c r="ETT80" s="2567"/>
      <c r="ETU80" s="2567"/>
      <c r="ETV80" s="2567"/>
      <c r="ETW80" s="2567"/>
      <c r="ETX80" s="2567"/>
      <c r="ETY80" s="2567"/>
      <c r="ETZ80" s="2567"/>
      <c r="EUA80" s="2567"/>
      <c r="EUB80" s="2567"/>
      <c r="EUC80" s="2567"/>
      <c r="EUD80" s="2567"/>
      <c r="EUE80" s="2567"/>
      <c r="EUF80" s="2567"/>
      <c r="EUG80" s="2567"/>
      <c r="EUH80" s="2567"/>
      <c r="EUI80" s="2567"/>
      <c r="EUJ80" s="2567"/>
      <c r="EUK80" s="2567"/>
      <c r="EUL80" s="2567"/>
      <c r="EUM80" s="2567"/>
      <c r="EUN80" s="2567"/>
      <c r="EUO80" s="2567"/>
      <c r="EUP80" s="2567"/>
      <c r="EUQ80" s="2567"/>
      <c r="EUR80" s="2567"/>
      <c r="EUS80" s="2567"/>
      <c r="EUT80" s="2567"/>
      <c r="EUU80" s="2567"/>
      <c r="EUV80" s="2567"/>
      <c r="EUW80" s="2567"/>
      <c r="EUX80" s="2567"/>
      <c r="EUY80" s="2567"/>
      <c r="EUZ80" s="2567"/>
      <c r="EVA80" s="2567"/>
      <c r="EVB80" s="2567"/>
      <c r="EVC80" s="2567"/>
      <c r="EVD80" s="2567"/>
      <c r="EVE80" s="2567"/>
      <c r="EVF80" s="2567"/>
      <c r="EVG80" s="2567"/>
      <c r="EVH80" s="2567"/>
      <c r="EVI80" s="2567"/>
      <c r="EVJ80" s="2567"/>
      <c r="EVK80" s="2567"/>
      <c r="EVL80" s="2567"/>
      <c r="EVM80" s="2567"/>
      <c r="EVN80" s="2567"/>
      <c r="EVO80" s="2567"/>
      <c r="EVP80" s="2567"/>
      <c r="EVQ80" s="2567"/>
      <c r="EVR80" s="2567"/>
      <c r="EVS80" s="2567"/>
      <c r="EVT80" s="2567"/>
      <c r="EVU80" s="2567"/>
      <c r="EVV80" s="2567"/>
      <c r="EVW80" s="2567"/>
      <c r="EVX80" s="2567"/>
      <c r="EVY80" s="2567"/>
      <c r="EVZ80" s="2567"/>
      <c r="EWA80" s="2567"/>
      <c r="EWB80" s="2567"/>
      <c r="EWC80" s="2567"/>
      <c r="EWD80" s="2567"/>
      <c r="EWE80" s="2567"/>
      <c r="EWF80" s="2567"/>
      <c r="EWG80" s="2567"/>
      <c r="EWH80" s="2567"/>
      <c r="EWI80" s="2567"/>
      <c r="EWJ80" s="2567"/>
      <c r="EWK80" s="2567"/>
      <c r="EWL80" s="2567"/>
      <c r="EWM80" s="2567"/>
      <c r="EWN80" s="2567"/>
      <c r="EWO80" s="2567"/>
      <c r="EWP80" s="2567"/>
      <c r="EWQ80" s="2567"/>
      <c r="EWR80" s="2567"/>
      <c r="EWS80" s="2567"/>
      <c r="EWT80" s="2567"/>
      <c r="EWU80" s="2567"/>
      <c r="EWV80" s="2567"/>
      <c r="EWW80" s="2567"/>
      <c r="EWX80" s="2567"/>
      <c r="EWY80" s="2567"/>
      <c r="EWZ80" s="2567"/>
      <c r="EXA80" s="2567"/>
      <c r="EXB80" s="2567"/>
      <c r="EXC80" s="2567"/>
      <c r="EXD80" s="2567"/>
      <c r="EXE80" s="2567"/>
      <c r="EXF80" s="2567"/>
      <c r="EXG80" s="2567"/>
      <c r="EXH80" s="2567"/>
      <c r="EXI80" s="2567"/>
      <c r="EXJ80" s="2567"/>
      <c r="EXK80" s="2567"/>
      <c r="EXL80" s="2567"/>
      <c r="EXM80" s="2567"/>
      <c r="EXN80" s="2567"/>
      <c r="EXO80" s="2567"/>
      <c r="EXP80" s="2567"/>
      <c r="EXQ80" s="2567"/>
      <c r="EXR80" s="2567"/>
      <c r="EXS80" s="2567"/>
      <c r="EXT80" s="2567"/>
      <c r="EXU80" s="2567"/>
      <c r="EXV80" s="2567"/>
      <c r="EXW80" s="2567"/>
      <c r="EXX80" s="2567"/>
      <c r="EXY80" s="2567"/>
      <c r="EXZ80" s="2567"/>
      <c r="EYA80" s="2567"/>
      <c r="EYB80" s="2567"/>
      <c r="EYC80" s="2567"/>
      <c r="EYD80" s="2567"/>
      <c r="EYE80" s="2567"/>
      <c r="EYF80" s="2567"/>
      <c r="EYG80" s="2567"/>
      <c r="EYH80" s="2567"/>
      <c r="EYI80" s="2567"/>
      <c r="EYJ80" s="2567"/>
      <c r="EYK80" s="2567"/>
      <c r="EYL80" s="2567"/>
      <c r="EYM80" s="2567"/>
      <c r="EYN80" s="2567"/>
      <c r="EYO80" s="2567"/>
      <c r="EYP80" s="2567"/>
      <c r="EYQ80" s="2567"/>
      <c r="EYR80" s="2567"/>
      <c r="EYS80" s="2567"/>
      <c r="EYT80" s="2567"/>
      <c r="EYU80" s="2567"/>
      <c r="EYV80" s="2567"/>
      <c r="EYW80" s="2567"/>
      <c r="EYX80" s="2567"/>
      <c r="EYY80" s="2567"/>
      <c r="EYZ80" s="2567"/>
      <c r="EZA80" s="2567"/>
      <c r="EZB80" s="2567"/>
      <c r="EZC80" s="2567"/>
      <c r="EZD80" s="2567"/>
      <c r="EZE80" s="2567"/>
      <c r="EZF80" s="2567"/>
      <c r="EZG80" s="2567"/>
      <c r="EZH80" s="2567"/>
      <c r="EZI80" s="2567"/>
      <c r="EZJ80" s="2567"/>
      <c r="EZK80" s="2567"/>
      <c r="EZL80" s="2567"/>
      <c r="EZM80" s="2567"/>
      <c r="EZN80" s="2567"/>
      <c r="EZO80" s="2567"/>
      <c r="EZP80" s="2567"/>
      <c r="EZQ80" s="2567"/>
      <c r="EZR80" s="2567"/>
      <c r="EZS80" s="2567"/>
      <c r="EZT80" s="2567"/>
      <c r="EZU80" s="2567"/>
      <c r="EZV80" s="2567"/>
      <c r="EZW80" s="2567"/>
      <c r="EZX80" s="2567"/>
      <c r="EZY80" s="2567"/>
      <c r="EZZ80" s="2567"/>
      <c r="FAA80" s="2567"/>
      <c r="FAB80" s="2567"/>
      <c r="FAC80" s="2567"/>
      <c r="FAD80" s="2567"/>
      <c r="FAE80" s="2567"/>
      <c r="FAF80" s="2567"/>
      <c r="FAG80" s="2567"/>
      <c r="FAH80" s="2567"/>
      <c r="FAI80" s="2567"/>
      <c r="FAJ80" s="2567"/>
      <c r="FAK80" s="2567"/>
      <c r="FAL80" s="2567"/>
      <c r="FAM80" s="2567"/>
      <c r="FAN80" s="2567"/>
      <c r="FAO80" s="2567"/>
      <c r="FAP80" s="2567"/>
      <c r="FAQ80" s="2567"/>
      <c r="FAR80" s="2567"/>
      <c r="FAS80" s="2567"/>
      <c r="FAT80" s="2567"/>
      <c r="FAU80" s="2567"/>
      <c r="FAV80" s="2567"/>
      <c r="FAW80" s="2567"/>
      <c r="FAX80" s="2567"/>
      <c r="FAY80" s="2567"/>
      <c r="FAZ80" s="2567"/>
      <c r="FBA80" s="2567"/>
      <c r="FBB80" s="2567"/>
      <c r="FBC80" s="2567"/>
      <c r="FBD80" s="2567"/>
      <c r="FBE80" s="2567"/>
      <c r="FBF80" s="2567"/>
      <c r="FBG80" s="2567"/>
      <c r="FBH80" s="2567"/>
      <c r="FBI80" s="2567"/>
      <c r="FBJ80" s="2567"/>
      <c r="FBK80" s="2567"/>
      <c r="FBL80" s="2567"/>
      <c r="FBM80" s="2567"/>
      <c r="FBN80" s="2567"/>
      <c r="FBO80" s="2567"/>
      <c r="FBP80" s="2567"/>
      <c r="FBQ80" s="2567"/>
      <c r="FBR80" s="2567"/>
      <c r="FBS80" s="2567"/>
      <c r="FBT80" s="2567"/>
      <c r="FBU80" s="2567"/>
      <c r="FBV80" s="2567"/>
      <c r="FBW80" s="2567"/>
      <c r="FBX80" s="2567"/>
      <c r="FBY80" s="2567"/>
      <c r="FBZ80" s="2567"/>
      <c r="FCA80" s="2567"/>
      <c r="FCB80" s="2567"/>
      <c r="FCC80" s="2567"/>
      <c r="FCD80" s="2567"/>
      <c r="FCE80" s="2567"/>
      <c r="FCF80" s="2567"/>
      <c r="FCG80" s="2567"/>
      <c r="FCH80" s="2567"/>
      <c r="FCI80" s="2567"/>
      <c r="FCJ80" s="2567"/>
      <c r="FCK80" s="2567"/>
      <c r="FCL80" s="2567"/>
      <c r="FCM80" s="2567"/>
      <c r="FCN80" s="2567"/>
      <c r="FCO80" s="2567"/>
      <c r="FCP80" s="2567"/>
      <c r="FCQ80" s="2567"/>
      <c r="FCR80" s="2567"/>
      <c r="FCS80" s="2567"/>
      <c r="FCT80" s="2567"/>
      <c r="FCU80" s="2567"/>
      <c r="FCV80" s="2567"/>
      <c r="FCW80" s="2567"/>
      <c r="FCX80" s="2567"/>
      <c r="FCY80" s="2567"/>
      <c r="FCZ80" s="2567"/>
      <c r="FDA80" s="2567"/>
      <c r="FDB80" s="2567"/>
      <c r="FDC80" s="2567"/>
      <c r="FDD80" s="2567"/>
      <c r="FDE80" s="2567"/>
      <c r="FDF80" s="2567"/>
      <c r="FDG80" s="2567"/>
      <c r="FDH80" s="2567"/>
      <c r="FDI80" s="2567"/>
      <c r="FDJ80" s="2567"/>
      <c r="FDK80" s="2567"/>
      <c r="FDL80" s="2567"/>
      <c r="FDM80" s="2567"/>
      <c r="FDN80" s="2567"/>
      <c r="FDO80" s="2567"/>
      <c r="FDP80" s="2567"/>
      <c r="FDQ80" s="2567"/>
      <c r="FDR80" s="2567"/>
      <c r="FDS80" s="2567"/>
      <c r="FDT80" s="2567"/>
      <c r="FDU80" s="2567"/>
      <c r="FDV80" s="2567"/>
      <c r="FDW80" s="2567"/>
      <c r="FDX80" s="2567"/>
      <c r="FDY80" s="2567"/>
      <c r="FDZ80" s="2567"/>
      <c r="FEA80" s="2567"/>
      <c r="FEB80" s="2567"/>
      <c r="FEC80" s="2567"/>
      <c r="FED80" s="2567"/>
      <c r="FEE80" s="2567"/>
      <c r="FEF80" s="2567"/>
      <c r="FEG80" s="2567"/>
      <c r="FEH80" s="2567"/>
      <c r="FEI80" s="2567"/>
      <c r="FEJ80" s="2567"/>
      <c r="FEK80" s="2567"/>
      <c r="FEL80" s="2567"/>
      <c r="FEM80" s="2567"/>
      <c r="FEN80" s="2567"/>
      <c r="FEO80" s="2567"/>
      <c r="FEP80" s="2567"/>
      <c r="FEQ80" s="2567"/>
      <c r="FER80" s="2567"/>
      <c r="FES80" s="2567"/>
      <c r="FET80" s="2567"/>
      <c r="FEU80" s="2567"/>
      <c r="FEV80" s="2567"/>
      <c r="FEW80" s="2567"/>
      <c r="FEX80" s="2567"/>
      <c r="FEY80" s="2567"/>
      <c r="FEZ80" s="2567"/>
      <c r="FFA80" s="2567"/>
      <c r="FFB80" s="2567"/>
      <c r="FFC80" s="2567"/>
      <c r="FFD80" s="2567"/>
      <c r="FFE80" s="2567"/>
      <c r="FFF80" s="2567"/>
      <c r="FFG80" s="2567"/>
      <c r="FFH80" s="2567"/>
      <c r="FFI80" s="2567"/>
      <c r="FFJ80" s="2567"/>
      <c r="FFK80" s="2567"/>
      <c r="FFL80" s="2567"/>
      <c r="FFM80" s="2567"/>
      <c r="FFN80" s="2567"/>
      <c r="FFO80" s="2567"/>
      <c r="FFP80" s="2567"/>
      <c r="FFQ80" s="2567"/>
      <c r="FFR80" s="2567"/>
      <c r="FFS80" s="2567"/>
      <c r="FFT80" s="2567"/>
      <c r="FFU80" s="2567"/>
      <c r="FFV80" s="2567"/>
      <c r="FFW80" s="2567"/>
      <c r="FFX80" s="2567"/>
      <c r="FFY80" s="2567"/>
      <c r="FFZ80" s="2567"/>
      <c r="FGA80" s="2567"/>
      <c r="FGB80" s="2567"/>
      <c r="FGC80" s="2567"/>
      <c r="FGD80" s="2567"/>
      <c r="FGE80" s="2567"/>
      <c r="FGF80" s="2567"/>
      <c r="FGG80" s="2567"/>
      <c r="FGH80" s="2567"/>
      <c r="FGI80" s="2567"/>
      <c r="FGJ80" s="2567"/>
      <c r="FGK80" s="2567"/>
      <c r="FGL80" s="2567"/>
      <c r="FGM80" s="2567"/>
      <c r="FGN80" s="2567"/>
      <c r="FGO80" s="2567"/>
      <c r="FGP80" s="2567"/>
      <c r="FGQ80" s="2567"/>
      <c r="FGR80" s="2567"/>
      <c r="FGS80" s="2567"/>
      <c r="FGT80" s="2567"/>
      <c r="FGU80" s="2567"/>
      <c r="FGV80" s="2567"/>
      <c r="FGW80" s="2567"/>
      <c r="FGX80" s="2567"/>
      <c r="FGY80" s="2567"/>
      <c r="FGZ80" s="2567"/>
      <c r="FHA80" s="2567"/>
      <c r="FHB80" s="2567"/>
      <c r="FHC80" s="2567"/>
      <c r="FHD80" s="2567"/>
      <c r="FHE80" s="2567"/>
      <c r="FHF80" s="2567"/>
      <c r="FHG80" s="2567"/>
      <c r="FHH80" s="2567"/>
      <c r="FHI80" s="2567"/>
      <c r="FHJ80" s="2567"/>
      <c r="FHK80" s="2567"/>
      <c r="FHL80" s="2567"/>
      <c r="FHM80" s="2567"/>
      <c r="FHN80" s="2567"/>
      <c r="FHO80" s="2567"/>
      <c r="FHP80" s="2567"/>
      <c r="FHQ80" s="2567"/>
      <c r="FHR80" s="2567"/>
      <c r="FHS80" s="2567"/>
      <c r="FHT80" s="2567"/>
      <c r="FHU80" s="2567"/>
      <c r="FHV80" s="2567"/>
      <c r="FHW80" s="2567"/>
      <c r="FHX80" s="2567"/>
      <c r="FHY80" s="2567"/>
      <c r="FHZ80" s="2567"/>
      <c r="FIA80" s="2567"/>
      <c r="FIB80" s="2567"/>
      <c r="FIC80" s="2567"/>
      <c r="FID80" s="2567"/>
      <c r="FIE80" s="2567"/>
      <c r="FIF80" s="2567"/>
      <c r="FIG80" s="2567"/>
      <c r="FIH80" s="2567"/>
      <c r="FII80" s="2567"/>
      <c r="FIJ80" s="2567"/>
      <c r="FIK80" s="2567"/>
      <c r="FIL80" s="2567"/>
      <c r="FIM80" s="2567"/>
      <c r="FIN80" s="2567"/>
      <c r="FIO80" s="2567"/>
      <c r="FIP80" s="2567"/>
      <c r="FIQ80" s="2567"/>
      <c r="FIR80" s="2567"/>
      <c r="FIS80" s="2567"/>
      <c r="FIT80" s="2567"/>
      <c r="FIU80" s="2567"/>
      <c r="FIV80" s="2567"/>
      <c r="FIW80" s="2567"/>
      <c r="FIX80" s="2567"/>
      <c r="FIY80" s="2567"/>
      <c r="FIZ80" s="2567"/>
      <c r="FJA80" s="2567"/>
      <c r="FJB80" s="2567"/>
      <c r="FJC80" s="2567"/>
      <c r="FJD80" s="2567"/>
      <c r="FJE80" s="2567"/>
      <c r="FJF80" s="2567"/>
      <c r="FJG80" s="2567"/>
      <c r="FJH80" s="2567"/>
      <c r="FJI80" s="2567"/>
      <c r="FJJ80" s="2567"/>
      <c r="FJK80" s="2567"/>
      <c r="FJL80" s="2567"/>
      <c r="FJM80" s="2567"/>
      <c r="FJN80" s="2567"/>
      <c r="FJO80" s="2567"/>
      <c r="FJP80" s="2567"/>
      <c r="FJQ80" s="2567"/>
      <c r="FJR80" s="2567"/>
      <c r="FJS80" s="2567"/>
      <c r="FJT80" s="2567"/>
      <c r="FJU80" s="2567"/>
      <c r="FJV80" s="2567"/>
      <c r="FJW80" s="2567"/>
      <c r="FJX80" s="2567"/>
      <c r="FJY80" s="2567"/>
      <c r="FJZ80" s="2567"/>
      <c r="FKA80" s="2567"/>
      <c r="FKB80" s="2567"/>
      <c r="FKC80" s="2567"/>
      <c r="FKD80" s="2567"/>
      <c r="FKE80" s="2567"/>
      <c r="FKF80" s="2567"/>
      <c r="FKG80" s="2567"/>
      <c r="FKH80" s="2567"/>
      <c r="FKI80" s="2567"/>
      <c r="FKJ80" s="2567"/>
      <c r="FKK80" s="2567"/>
      <c r="FKL80" s="2567"/>
      <c r="FKM80" s="2567"/>
      <c r="FKN80" s="2567"/>
      <c r="FKO80" s="2567"/>
      <c r="FKP80" s="2567"/>
      <c r="FKQ80" s="2567"/>
      <c r="FKR80" s="2567"/>
      <c r="FKS80" s="2567"/>
      <c r="FKT80" s="2567"/>
      <c r="FKU80" s="2567"/>
      <c r="FKV80" s="2567"/>
      <c r="FKW80" s="2567"/>
      <c r="FKX80" s="2567"/>
      <c r="FKY80" s="2567"/>
      <c r="FKZ80" s="2567"/>
      <c r="FLA80" s="2567"/>
      <c r="FLB80" s="2567"/>
      <c r="FLC80" s="2567"/>
      <c r="FLD80" s="2567"/>
      <c r="FLE80" s="2567"/>
      <c r="FLF80" s="2567"/>
      <c r="FLG80" s="2567"/>
      <c r="FLH80" s="2567"/>
      <c r="FLI80" s="2567"/>
      <c r="FLJ80" s="2567"/>
      <c r="FLK80" s="2567"/>
      <c r="FLL80" s="2567"/>
      <c r="FLM80" s="2567"/>
      <c r="FLN80" s="2567"/>
      <c r="FLO80" s="2567"/>
      <c r="FLP80" s="2567"/>
      <c r="FLQ80" s="2567"/>
      <c r="FLR80" s="2567"/>
      <c r="FLS80" s="2567"/>
      <c r="FLT80" s="2567"/>
      <c r="FLU80" s="2567"/>
      <c r="FLV80" s="2567"/>
      <c r="FLW80" s="2567"/>
      <c r="FLX80" s="2567"/>
      <c r="FLY80" s="2567"/>
      <c r="FLZ80" s="2567"/>
      <c r="FMA80" s="2567"/>
      <c r="FMB80" s="2567"/>
      <c r="FMC80" s="2567"/>
      <c r="FMD80" s="2567"/>
      <c r="FME80" s="2567"/>
      <c r="FMF80" s="2567"/>
      <c r="FMG80" s="2567"/>
      <c r="FMH80" s="2567"/>
      <c r="FMI80" s="2567"/>
      <c r="FMJ80" s="2567"/>
      <c r="FMK80" s="2567"/>
      <c r="FML80" s="2567"/>
      <c r="FMM80" s="2567"/>
      <c r="FMN80" s="2567"/>
      <c r="FMO80" s="2567"/>
      <c r="FMP80" s="2567"/>
      <c r="FMQ80" s="2567"/>
      <c r="FMR80" s="2567"/>
      <c r="FMS80" s="2567"/>
      <c r="FMT80" s="2567"/>
      <c r="FMU80" s="2567"/>
      <c r="FMV80" s="2567"/>
      <c r="FMW80" s="2567"/>
      <c r="FMX80" s="2567"/>
      <c r="FMY80" s="2567"/>
      <c r="FMZ80" s="2567"/>
      <c r="FNA80" s="2567"/>
      <c r="FNB80" s="2567"/>
      <c r="FNC80" s="2567"/>
      <c r="FND80" s="2567"/>
      <c r="FNE80" s="2567"/>
      <c r="FNF80" s="2567"/>
      <c r="FNG80" s="2567"/>
      <c r="FNH80" s="2567"/>
      <c r="FNI80" s="2567"/>
      <c r="FNJ80" s="2567"/>
      <c r="FNK80" s="2567"/>
      <c r="FNL80" s="2567"/>
      <c r="FNM80" s="2567"/>
      <c r="FNN80" s="2567"/>
      <c r="FNO80" s="2567"/>
      <c r="FNP80" s="2567"/>
      <c r="FNQ80" s="2567"/>
      <c r="FNR80" s="2567"/>
      <c r="FNS80" s="2567"/>
      <c r="FNT80" s="2567"/>
      <c r="FNU80" s="2567"/>
      <c r="FNV80" s="2567"/>
      <c r="FNW80" s="2567"/>
      <c r="FNX80" s="2567"/>
      <c r="FNY80" s="2567"/>
      <c r="FNZ80" s="2567"/>
      <c r="FOA80" s="2567"/>
      <c r="FOB80" s="2567"/>
      <c r="FOC80" s="2567"/>
      <c r="FOD80" s="2567"/>
      <c r="FOE80" s="2567"/>
      <c r="FOF80" s="2567"/>
      <c r="FOG80" s="2567"/>
      <c r="FOH80" s="2567"/>
      <c r="FOI80" s="2567"/>
      <c r="FOJ80" s="2567"/>
      <c r="FOK80" s="2567"/>
      <c r="FOL80" s="2567"/>
      <c r="FOM80" s="2567"/>
      <c r="FON80" s="2567"/>
      <c r="FOO80" s="2567"/>
      <c r="FOP80" s="2567"/>
      <c r="FOQ80" s="2567"/>
      <c r="FOR80" s="2567"/>
      <c r="FOS80" s="2567"/>
      <c r="FOT80" s="2567"/>
      <c r="FOU80" s="2567"/>
      <c r="FOV80" s="2567"/>
      <c r="FOW80" s="2567"/>
      <c r="FOX80" s="2567"/>
      <c r="FOY80" s="2567"/>
      <c r="FOZ80" s="2567"/>
      <c r="FPA80" s="2567"/>
      <c r="FPB80" s="2567"/>
      <c r="FPC80" s="2567"/>
      <c r="FPD80" s="2567"/>
      <c r="FPE80" s="2567"/>
      <c r="FPF80" s="2567"/>
      <c r="FPG80" s="2567"/>
      <c r="FPH80" s="2567"/>
      <c r="FPI80" s="2567"/>
      <c r="FPJ80" s="2567"/>
      <c r="FPK80" s="2567"/>
      <c r="FPL80" s="2567"/>
      <c r="FPM80" s="2567"/>
      <c r="FPN80" s="2567"/>
      <c r="FPO80" s="2567"/>
      <c r="FPP80" s="2567"/>
      <c r="FPQ80" s="2567"/>
      <c r="FPR80" s="2567"/>
      <c r="FPS80" s="2567"/>
      <c r="FPT80" s="2567"/>
      <c r="FPU80" s="2567"/>
      <c r="FPV80" s="2567"/>
      <c r="FPW80" s="2567"/>
      <c r="FPX80" s="2567"/>
      <c r="FPY80" s="2567"/>
      <c r="FPZ80" s="2567"/>
      <c r="FQA80" s="2567"/>
      <c r="FQB80" s="2567"/>
      <c r="FQC80" s="2567"/>
      <c r="FQD80" s="2567"/>
      <c r="FQE80" s="2567"/>
      <c r="FQF80" s="2567"/>
      <c r="FQG80" s="2567"/>
      <c r="FQH80" s="2567"/>
      <c r="FQI80" s="2567"/>
      <c r="FQJ80" s="2567"/>
      <c r="FQK80" s="2567"/>
      <c r="FQL80" s="2567"/>
      <c r="FQM80" s="2567"/>
      <c r="FQN80" s="2567"/>
      <c r="FQO80" s="2567"/>
      <c r="FQP80" s="2567"/>
      <c r="FQQ80" s="2567"/>
      <c r="FQR80" s="2567"/>
      <c r="FQS80" s="2567"/>
      <c r="FQT80" s="2567"/>
      <c r="FQU80" s="2567"/>
      <c r="FQV80" s="2567"/>
      <c r="FQW80" s="2567"/>
      <c r="FQX80" s="2567"/>
      <c r="FQY80" s="2567"/>
      <c r="FQZ80" s="2567"/>
      <c r="FRA80" s="2567"/>
      <c r="FRB80" s="2567"/>
      <c r="FRC80" s="2567"/>
      <c r="FRD80" s="2567"/>
      <c r="FRE80" s="2567"/>
      <c r="FRF80" s="2567"/>
      <c r="FRG80" s="2567"/>
      <c r="FRH80" s="2567"/>
      <c r="FRI80" s="2567"/>
      <c r="FRJ80" s="2567"/>
      <c r="FRK80" s="2567"/>
      <c r="FRL80" s="2567"/>
      <c r="FRM80" s="2567"/>
      <c r="FRN80" s="2567"/>
      <c r="FRO80" s="2567"/>
      <c r="FRP80" s="2567"/>
      <c r="FRQ80" s="2567"/>
      <c r="FRR80" s="2567"/>
      <c r="FRS80" s="2567"/>
      <c r="FRT80" s="2567"/>
      <c r="FRU80" s="2567"/>
      <c r="FRV80" s="2567"/>
      <c r="FRW80" s="2567"/>
      <c r="FRX80" s="2567"/>
      <c r="FRY80" s="2567"/>
      <c r="FRZ80" s="2567"/>
      <c r="FSA80" s="2567"/>
      <c r="FSB80" s="2567"/>
      <c r="FSC80" s="2567"/>
      <c r="FSD80" s="2567"/>
      <c r="FSE80" s="2567"/>
      <c r="FSF80" s="2567"/>
      <c r="FSG80" s="2567"/>
      <c r="FSH80" s="2567"/>
      <c r="FSI80" s="2567"/>
      <c r="FSJ80" s="2567"/>
      <c r="FSK80" s="2567"/>
      <c r="FSL80" s="2567"/>
      <c r="FSM80" s="2567"/>
      <c r="FSN80" s="2567"/>
      <c r="FSO80" s="2567"/>
      <c r="FSP80" s="2567"/>
      <c r="FSQ80" s="2567"/>
      <c r="FSR80" s="2567"/>
      <c r="FSS80" s="2567"/>
      <c r="FST80" s="2567"/>
      <c r="FSU80" s="2567"/>
      <c r="FSV80" s="2567"/>
      <c r="FSW80" s="2567"/>
      <c r="FSX80" s="2567"/>
      <c r="FSY80" s="2567"/>
      <c r="FSZ80" s="2567"/>
      <c r="FTA80" s="2567"/>
      <c r="FTB80" s="2567"/>
      <c r="FTC80" s="2567"/>
      <c r="FTD80" s="2567"/>
      <c r="FTE80" s="2567"/>
      <c r="FTF80" s="2567"/>
      <c r="FTG80" s="2567"/>
      <c r="FTH80" s="2567"/>
      <c r="FTI80" s="2567"/>
      <c r="FTJ80" s="2567"/>
      <c r="FTK80" s="2567"/>
      <c r="FTL80" s="2567"/>
      <c r="FTM80" s="2567"/>
      <c r="FTN80" s="2567"/>
      <c r="FTO80" s="2567"/>
      <c r="FTP80" s="2567"/>
      <c r="FTQ80" s="2567"/>
      <c r="FTR80" s="2567"/>
      <c r="FTS80" s="2567"/>
      <c r="FTT80" s="2567"/>
      <c r="FTU80" s="2567"/>
      <c r="FTV80" s="2567"/>
      <c r="FTW80" s="2567"/>
      <c r="FTX80" s="2567"/>
      <c r="FTY80" s="2567"/>
      <c r="FTZ80" s="2567"/>
      <c r="FUA80" s="2567"/>
      <c r="FUB80" s="2567"/>
      <c r="FUC80" s="2567"/>
      <c r="FUD80" s="2567"/>
      <c r="FUE80" s="2567"/>
      <c r="FUF80" s="2567"/>
      <c r="FUG80" s="2567"/>
      <c r="FUH80" s="2567"/>
      <c r="FUI80" s="2567"/>
      <c r="FUJ80" s="2567"/>
      <c r="FUK80" s="2567"/>
      <c r="FUL80" s="2567"/>
      <c r="FUM80" s="2567"/>
      <c r="FUN80" s="2567"/>
      <c r="FUO80" s="2567"/>
      <c r="FUP80" s="2567"/>
      <c r="FUQ80" s="2567"/>
      <c r="FUR80" s="2567"/>
      <c r="FUS80" s="2567"/>
      <c r="FUT80" s="2567"/>
      <c r="FUU80" s="2567"/>
      <c r="FUV80" s="2567"/>
      <c r="FUW80" s="2567"/>
      <c r="FUX80" s="2567"/>
      <c r="FUY80" s="2567"/>
      <c r="FUZ80" s="2567"/>
      <c r="FVA80" s="2567"/>
      <c r="FVB80" s="2567"/>
      <c r="FVC80" s="2567"/>
      <c r="FVD80" s="2567"/>
      <c r="FVE80" s="2567"/>
      <c r="FVF80" s="2567"/>
      <c r="FVG80" s="2567"/>
      <c r="FVH80" s="2567"/>
      <c r="FVI80" s="2567"/>
      <c r="FVJ80" s="2567"/>
      <c r="FVK80" s="2567"/>
      <c r="FVL80" s="2567"/>
      <c r="FVM80" s="2567"/>
      <c r="FVN80" s="2567"/>
      <c r="FVO80" s="2567"/>
      <c r="FVP80" s="2567"/>
      <c r="FVQ80" s="2567"/>
      <c r="FVR80" s="2567"/>
      <c r="FVS80" s="2567"/>
      <c r="FVT80" s="2567"/>
      <c r="FVU80" s="2567"/>
      <c r="FVV80" s="2567"/>
      <c r="FVW80" s="2567"/>
      <c r="FVX80" s="2567"/>
      <c r="FVY80" s="2567"/>
      <c r="FVZ80" s="2567"/>
      <c r="FWA80" s="2567"/>
      <c r="FWB80" s="2567"/>
      <c r="FWC80" s="2567"/>
      <c r="FWD80" s="2567"/>
      <c r="FWE80" s="2567"/>
      <c r="FWF80" s="2567"/>
      <c r="FWG80" s="2567"/>
      <c r="FWH80" s="2567"/>
      <c r="FWI80" s="2567"/>
      <c r="FWJ80" s="2567"/>
      <c r="FWK80" s="2567"/>
      <c r="FWL80" s="2567"/>
      <c r="FWM80" s="2567"/>
      <c r="FWN80" s="2567"/>
      <c r="FWO80" s="2567"/>
      <c r="FWP80" s="2567"/>
      <c r="FWQ80" s="2567"/>
      <c r="FWR80" s="2567"/>
      <c r="FWS80" s="2567"/>
      <c r="FWT80" s="2567"/>
      <c r="FWU80" s="2567"/>
      <c r="FWV80" s="2567"/>
      <c r="FWW80" s="2567"/>
      <c r="FWX80" s="2567"/>
      <c r="FWY80" s="2567"/>
      <c r="FWZ80" s="2567"/>
      <c r="FXA80" s="2567"/>
      <c r="FXB80" s="2567"/>
      <c r="FXC80" s="2567"/>
      <c r="FXD80" s="2567"/>
      <c r="FXE80" s="2567"/>
      <c r="FXF80" s="2567"/>
      <c r="FXG80" s="2567"/>
      <c r="FXH80" s="2567"/>
      <c r="FXI80" s="2567"/>
      <c r="FXJ80" s="2567"/>
      <c r="FXK80" s="2567"/>
      <c r="FXL80" s="2567"/>
      <c r="FXM80" s="2567"/>
      <c r="FXN80" s="2567"/>
      <c r="FXO80" s="2567"/>
      <c r="FXP80" s="2567"/>
      <c r="FXQ80" s="2567"/>
      <c r="FXR80" s="2567"/>
      <c r="FXS80" s="2567"/>
      <c r="FXT80" s="2567"/>
      <c r="FXU80" s="2567"/>
      <c r="FXV80" s="2567"/>
      <c r="FXW80" s="2567"/>
      <c r="FXX80" s="2567"/>
      <c r="FXY80" s="2567"/>
      <c r="FXZ80" s="2567"/>
      <c r="FYA80" s="2567"/>
      <c r="FYB80" s="2567"/>
      <c r="FYC80" s="2567"/>
      <c r="FYD80" s="2567"/>
      <c r="FYE80" s="2567"/>
      <c r="FYF80" s="2567"/>
      <c r="FYG80" s="2567"/>
      <c r="FYH80" s="2567"/>
      <c r="FYI80" s="2567"/>
      <c r="FYJ80" s="2567"/>
      <c r="FYK80" s="2567"/>
      <c r="FYL80" s="2567"/>
      <c r="FYM80" s="2567"/>
      <c r="FYN80" s="2567"/>
      <c r="FYO80" s="2567"/>
      <c r="FYP80" s="2567"/>
      <c r="FYQ80" s="2567"/>
      <c r="FYR80" s="2567"/>
      <c r="FYS80" s="2567"/>
      <c r="FYT80" s="2567"/>
      <c r="FYU80" s="2567"/>
      <c r="FYV80" s="2567"/>
      <c r="FYW80" s="2567"/>
      <c r="FYX80" s="2567"/>
      <c r="FYY80" s="2567"/>
      <c r="FYZ80" s="2567"/>
      <c r="FZA80" s="2567"/>
      <c r="FZB80" s="2567"/>
      <c r="FZC80" s="2567"/>
      <c r="FZD80" s="2567"/>
      <c r="FZE80" s="2567"/>
      <c r="FZF80" s="2567"/>
      <c r="FZG80" s="2567"/>
      <c r="FZH80" s="2567"/>
      <c r="FZI80" s="2567"/>
      <c r="FZJ80" s="2567"/>
      <c r="FZK80" s="2567"/>
      <c r="FZL80" s="2567"/>
      <c r="FZM80" s="2567"/>
      <c r="FZN80" s="2567"/>
      <c r="FZO80" s="2567"/>
      <c r="FZP80" s="2567"/>
      <c r="FZQ80" s="2567"/>
      <c r="FZR80" s="2567"/>
      <c r="FZS80" s="2567"/>
      <c r="FZT80" s="2567"/>
      <c r="FZU80" s="2567"/>
      <c r="FZV80" s="2567"/>
      <c r="FZW80" s="2567"/>
      <c r="FZX80" s="2567"/>
      <c r="FZY80" s="2567"/>
      <c r="FZZ80" s="2567"/>
      <c r="GAA80" s="2567"/>
      <c r="GAB80" s="2567"/>
      <c r="GAC80" s="2567"/>
      <c r="GAD80" s="2567"/>
      <c r="GAE80" s="2567"/>
      <c r="GAF80" s="2567"/>
      <c r="GAG80" s="2567"/>
      <c r="GAH80" s="2567"/>
      <c r="GAI80" s="2567"/>
      <c r="GAJ80" s="2567"/>
      <c r="GAK80" s="2567"/>
      <c r="GAL80" s="2567"/>
      <c r="GAM80" s="2567"/>
      <c r="GAN80" s="2567"/>
      <c r="GAO80" s="2567"/>
      <c r="GAP80" s="2567"/>
      <c r="GAQ80" s="2567"/>
      <c r="GAR80" s="2567"/>
      <c r="GAS80" s="2567"/>
      <c r="GAT80" s="2567"/>
      <c r="GAU80" s="2567"/>
      <c r="GAV80" s="2567"/>
      <c r="GAW80" s="2567"/>
      <c r="GAX80" s="2567"/>
      <c r="GAY80" s="2567"/>
      <c r="GAZ80" s="2567"/>
      <c r="GBA80" s="2567"/>
      <c r="GBB80" s="2567"/>
      <c r="GBC80" s="2567"/>
      <c r="GBD80" s="2567"/>
      <c r="GBE80" s="2567"/>
      <c r="GBF80" s="2567"/>
      <c r="GBG80" s="2567"/>
      <c r="GBH80" s="2567"/>
      <c r="GBI80" s="2567"/>
      <c r="GBJ80" s="2567"/>
      <c r="GBK80" s="2567"/>
      <c r="GBL80" s="2567"/>
      <c r="GBM80" s="2567"/>
      <c r="GBN80" s="2567"/>
      <c r="GBO80" s="2567"/>
      <c r="GBP80" s="2567"/>
      <c r="GBQ80" s="2567"/>
      <c r="GBR80" s="2567"/>
      <c r="GBS80" s="2567"/>
      <c r="GBT80" s="2567"/>
      <c r="GBU80" s="2567"/>
      <c r="GBV80" s="2567"/>
      <c r="GBW80" s="2567"/>
      <c r="GBX80" s="2567"/>
      <c r="GBY80" s="2567"/>
      <c r="GBZ80" s="2567"/>
      <c r="GCA80" s="2567"/>
      <c r="GCB80" s="2567"/>
      <c r="GCC80" s="2567"/>
      <c r="GCD80" s="2567"/>
      <c r="GCE80" s="2567"/>
      <c r="GCF80" s="2567"/>
      <c r="GCG80" s="2567"/>
      <c r="GCH80" s="2567"/>
      <c r="GCI80" s="2567"/>
      <c r="GCJ80" s="2567"/>
      <c r="GCK80" s="2567"/>
      <c r="GCL80" s="2567"/>
      <c r="GCM80" s="2567"/>
      <c r="GCN80" s="2567"/>
      <c r="GCO80" s="2567"/>
      <c r="GCP80" s="2567"/>
      <c r="GCQ80" s="2567"/>
      <c r="GCR80" s="2567"/>
      <c r="GCS80" s="2567"/>
      <c r="GCT80" s="2567"/>
      <c r="GCU80" s="2567"/>
      <c r="GCV80" s="2567"/>
      <c r="GCW80" s="2567"/>
      <c r="GCX80" s="2567"/>
      <c r="GCY80" s="2567"/>
      <c r="GCZ80" s="2567"/>
      <c r="GDA80" s="2567"/>
      <c r="GDB80" s="2567"/>
      <c r="GDC80" s="2567"/>
      <c r="GDD80" s="2567"/>
      <c r="GDE80" s="2567"/>
      <c r="GDF80" s="2567"/>
      <c r="GDG80" s="2567"/>
      <c r="GDH80" s="2567"/>
      <c r="GDI80" s="2567"/>
      <c r="GDJ80" s="2567"/>
      <c r="GDK80" s="2567"/>
      <c r="GDL80" s="2567"/>
      <c r="GDM80" s="2567"/>
      <c r="GDN80" s="2567"/>
      <c r="GDO80" s="2567"/>
      <c r="GDP80" s="2567"/>
      <c r="GDQ80" s="2567"/>
      <c r="GDR80" s="2567"/>
      <c r="GDS80" s="2567"/>
      <c r="GDT80" s="2567"/>
      <c r="GDU80" s="2567"/>
      <c r="GDV80" s="2567"/>
      <c r="GDW80" s="2567"/>
      <c r="GDX80" s="2567"/>
      <c r="GDY80" s="2567"/>
      <c r="GDZ80" s="2567"/>
      <c r="GEA80" s="2567"/>
      <c r="GEB80" s="2567"/>
      <c r="GEC80" s="2567"/>
      <c r="GED80" s="2567"/>
      <c r="GEE80" s="2567"/>
      <c r="GEF80" s="2567"/>
      <c r="GEG80" s="2567"/>
      <c r="GEH80" s="2567"/>
      <c r="GEI80" s="2567"/>
      <c r="GEJ80" s="2567"/>
      <c r="GEK80" s="2567"/>
      <c r="GEL80" s="2567"/>
      <c r="GEM80" s="2567"/>
      <c r="GEN80" s="2567"/>
      <c r="GEO80" s="2567"/>
      <c r="GEP80" s="2567"/>
      <c r="GEQ80" s="2567"/>
      <c r="GER80" s="2567"/>
      <c r="GES80" s="2567"/>
      <c r="GET80" s="2567"/>
      <c r="GEU80" s="2567"/>
      <c r="GEV80" s="2567"/>
      <c r="GEW80" s="2567"/>
      <c r="GEX80" s="2567"/>
      <c r="GEY80" s="2567"/>
      <c r="GEZ80" s="2567"/>
      <c r="GFA80" s="2567"/>
      <c r="GFB80" s="2567"/>
      <c r="GFC80" s="2567"/>
      <c r="GFD80" s="2567"/>
      <c r="GFE80" s="2567"/>
      <c r="GFF80" s="2567"/>
      <c r="GFG80" s="2567"/>
      <c r="GFH80" s="2567"/>
      <c r="GFI80" s="2567"/>
      <c r="GFJ80" s="2567"/>
      <c r="GFK80" s="2567"/>
      <c r="GFL80" s="2567"/>
      <c r="GFM80" s="2567"/>
      <c r="GFN80" s="2567"/>
      <c r="GFO80" s="2567"/>
      <c r="GFP80" s="2567"/>
      <c r="GFQ80" s="2567"/>
      <c r="GFR80" s="2567"/>
      <c r="GFS80" s="2567"/>
      <c r="GFT80" s="2567"/>
      <c r="GFU80" s="2567"/>
      <c r="GFV80" s="2567"/>
      <c r="GFW80" s="2567"/>
      <c r="GFX80" s="2567"/>
      <c r="GFY80" s="2567"/>
      <c r="GFZ80" s="2567"/>
      <c r="GGA80" s="2567"/>
      <c r="GGB80" s="2567"/>
      <c r="GGC80" s="2567"/>
      <c r="GGD80" s="2567"/>
      <c r="GGE80" s="2567"/>
      <c r="GGF80" s="2567"/>
      <c r="GGG80" s="2567"/>
      <c r="GGH80" s="2567"/>
      <c r="GGI80" s="2567"/>
      <c r="GGJ80" s="2567"/>
      <c r="GGK80" s="2567"/>
      <c r="GGL80" s="2567"/>
      <c r="GGM80" s="2567"/>
      <c r="GGN80" s="2567"/>
      <c r="GGO80" s="2567"/>
      <c r="GGP80" s="2567"/>
      <c r="GGQ80" s="2567"/>
      <c r="GGR80" s="2567"/>
      <c r="GGS80" s="2567"/>
      <c r="GGT80" s="2567"/>
      <c r="GGU80" s="2567"/>
      <c r="GGV80" s="2567"/>
      <c r="GGW80" s="2567"/>
      <c r="GGX80" s="2567"/>
      <c r="GGY80" s="2567"/>
      <c r="GGZ80" s="2567"/>
      <c r="GHA80" s="2567"/>
      <c r="GHB80" s="2567"/>
      <c r="GHC80" s="2567"/>
      <c r="GHD80" s="2567"/>
      <c r="GHE80" s="2567"/>
      <c r="GHF80" s="2567"/>
      <c r="GHG80" s="2567"/>
      <c r="GHH80" s="2567"/>
      <c r="GHI80" s="2567"/>
      <c r="GHJ80" s="2567"/>
      <c r="GHK80" s="2567"/>
      <c r="GHL80" s="2567"/>
      <c r="GHM80" s="2567"/>
      <c r="GHN80" s="2567"/>
      <c r="GHO80" s="2567"/>
      <c r="GHP80" s="2567"/>
      <c r="GHQ80" s="2567"/>
      <c r="GHR80" s="2567"/>
      <c r="GHS80" s="2567"/>
      <c r="GHT80" s="2567"/>
      <c r="GHU80" s="2567"/>
      <c r="GHV80" s="2567"/>
      <c r="GHW80" s="2567"/>
      <c r="GHX80" s="2567"/>
      <c r="GHY80" s="2567"/>
      <c r="GHZ80" s="2567"/>
      <c r="GIA80" s="2567"/>
      <c r="GIB80" s="2567"/>
      <c r="GIC80" s="2567"/>
      <c r="GID80" s="2567"/>
      <c r="GIE80" s="2567"/>
      <c r="GIF80" s="2567"/>
      <c r="GIG80" s="2567"/>
      <c r="GIH80" s="2567"/>
      <c r="GII80" s="2567"/>
      <c r="GIJ80" s="2567"/>
      <c r="GIK80" s="2567"/>
      <c r="GIL80" s="2567"/>
      <c r="GIM80" s="2567"/>
      <c r="GIN80" s="2567"/>
      <c r="GIO80" s="2567"/>
      <c r="GIP80" s="2567"/>
      <c r="GIQ80" s="2567"/>
      <c r="GIR80" s="2567"/>
      <c r="GIS80" s="2567"/>
      <c r="GIT80" s="2567"/>
      <c r="GIU80" s="2567"/>
      <c r="GIV80" s="2567"/>
      <c r="GIW80" s="2567"/>
      <c r="GIX80" s="2567"/>
      <c r="GIY80" s="2567"/>
      <c r="GIZ80" s="2567"/>
      <c r="GJA80" s="2567"/>
      <c r="GJB80" s="2567"/>
      <c r="GJC80" s="2567"/>
      <c r="GJD80" s="2567"/>
      <c r="GJE80" s="2567"/>
      <c r="GJF80" s="2567"/>
      <c r="GJG80" s="2567"/>
      <c r="GJH80" s="2567"/>
      <c r="GJI80" s="2567"/>
      <c r="GJJ80" s="2567"/>
      <c r="GJK80" s="2567"/>
      <c r="GJL80" s="2567"/>
      <c r="GJM80" s="2567"/>
      <c r="GJN80" s="2567"/>
      <c r="GJO80" s="2567"/>
      <c r="GJP80" s="2567"/>
      <c r="GJQ80" s="2567"/>
      <c r="GJR80" s="2567"/>
      <c r="GJS80" s="2567"/>
      <c r="GJT80" s="2567"/>
      <c r="GJU80" s="2567"/>
      <c r="GJV80" s="2567"/>
      <c r="GJW80" s="2567"/>
      <c r="GJX80" s="2567"/>
      <c r="GJY80" s="2567"/>
      <c r="GJZ80" s="2567"/>
      <c r="GKA80" s="2567"/>
      <c r="GKB80" s="2567"/>
      <c r="GKC80" s="2567"/>
      <c r="GKD80" s="2567"/>
      <c r="GKE80" s="2567"/>
      <c r="GKF80" s="2567"/>
      <c r="GKG80" s="2567"/>
      <c r="GKH80" s="2567"/>
      <c r="GKI80" s="2567"/>
      <c r="GKJ80" s="2567"/>
      <c r="GKK80" s="2567"/>
      <c r="GKL80" s="2567"/>
      <c r="GKM80" s="2567"/>
      <c r="GKN80" s="2567"/>
      <c r="GKO80" s="2567"/>
      <c r="GKP80" s="2567"/>
      <c r="GKQ80" s="2567"/>
      <c r="GKR80" s="2567"/>
      <c r="GKS80" s="2567"/>
      <c r="GKT80" s="2567"/>
      <c r="GKU80" s="2567"/>
      <c r="GKV80" s="2567"/>
      <c r="GKW80" s="2567"/>
      <c r="GKX80" s="2567"/>
      <c r="GKY80" s="2567"/>
      <c r="GKZ80" s="2567"/>
      <c r="GLA80" s="2567"/>
      <c r="GLB80" s="2567"/>
      <c r="GLC80" s="2567"/>
      <c r="GLD80" s="2567"/>
      <c r="GLE80" s="2567"/>
      <c r="GLF80" s="2567"/>
      <c r="GLG80" s="2567"/>
      <c r="GLH80" s="2567"/>
      <c r="GLI80" s="2567"/>
      <c r="GLJ80" s="2567"/>
      <c r="GLK80" s="2567"/>
      <c r="GLL80" s="2567"/>
      <c r="GLM80" s="2567"/>
      <c r="GLN80" s="2567"/>
      <c r="GLO80" s="2567"/>
      <c r="GLP80" s="2567"/>
      <c r="GLQ80" s="2567"/>
      <c r="GLR80" s="2567"/>
      <c r="GLS80" s="2567"/>
      <c r="GLT80" s="2567"/>
      <c r="GLU80" s="2567"/>
      <c r="GLV80" s="2567"/>
      <c r="GLW80" s="2567"/>
      <c r="GLX80" s="2567"/>
      <c r="GLY80" s="2567"/>
      <c r="GLZ80" s="2567"/>
      <c r="GMA80" s="2567"/>
      <c r="GMB80" s="2567"/>
      <c r="GMC80" s="2567"/>
      <c r="GMD80" s="2567"/>
      <c r="GME80" s="2567"/>
      <c r="GMF80" s="2567"/>
      <c r="GMG80" s="2567"/>
      <c r="GMH80" s="2567"/>
      <c r="GMI80" s="2567"/>
      <c r="GMJ80" s="2567"/>
      <c r="GMK80" s="2567"/>
      <c r="GML80" s="2567"/>
      <c r="GMM80" s="2567"/>
      <c r="GMN80" s="2567"/>
      <c r="GMO80" s="2567"/>
      <c r="GMP80" s="2567"/>
      <c r="GMQ80" s="2567"/>
      <c r="GMR80" s="2567"/>
      <c r="GMS80" s="2567"/>
      <c r="GMT80" s="2567"/>
      <c r="GMU80" s="2567"/>
      <c r="GMV80" s="2567"/>
      <c r="GMW80" s="2567"/>
      <c r="GMX80" s="2567"/>
      <c r="GMY80" s="2567"/>
      <c r="GMZ80" s="2567"/>
      <c r="GNA80" s="2567"/>
      <c r="GNB80" s="2567"/>
      <c r="GNC80" s="2567"/>
      <c r="GND80" s="2567"/>
      <c r="GNE80" s="2567"/>
      <c r="GNF80" s="2567"/>
      <c r="GNG80" s="2567"/>
      <c r="GNH80" s="2567"/>
      <c r="GNI80" s="2567"/>
      <c r="GNJ80" s="2567"/>
      <c r="GNK80" s="2567"/>
      <c r="GNL80" s="2567"/>
      <c r="GNM80" s="2567"/>
      <c r="GNN80" s="2567"/>
      <c r="GNO80" s="2567"/>
      <c r="GNP80" s="2567"/>
      <c r="GNQ80" s="2567"/>
      <c r="GNR80" s="2567"/>
      <c r="GNS80" s="2567"/>
      <c r="GNT80" s="2567"/>
      <c r="GNU80" s="2567"/>
      <c r="GNV80" s="2567"/>
      <c r="GNW80" s="2567"/>
      <c r="GNX80" s="2567"/>
      <c r="GNY80" s="2567"/>
      <c r="GNZ80" s="2567"/>
      <c r="GOA80" s="2567"/>
      <c r="GOB80" s="2567"/>
      <c r="GOC80" s="2567"/>
      <c r="GOD80" s="2567"/>
      <c r="GOE80" s="2567"/>
      <c r="GOF80" s="2567"/>
      <c r="GOG80" s="2567"/>
      <c r="GOH80" s="2567"/>
      <c r="GOI80" s="2567"/>
      <c r="GOJ80" s="2567"/>
      <c r="GOK80" s="2567"/>
      <c r="GOL80" s="2567"/>
      <c r="GOM80" s="2567"/>
      <c r="GON80" s="2567"/>
      <c r="GOO80" s="2567"/>
      <c r="GOP80" s="2567"/>
      <c r="GOQ80" s="2567"/>
      <c r="GOR80" s="2567"/>
      <c r="GOS80" s="2567"/>
      <c r="GOT80" s="2567"/>
      <c r="GOU80" s="2567"/>
      <c r="GOV80" s="2567"/>
      <c r="GOW80" s="2567"/>
      <c r="GOX80" s="2567"/>
      <c r="GOY80" s="2567"/>
      <c r="GOZ80" s="2567"/>
      <c r="GPA80" s="2567"/>
      <c r="GPB80" s="2567"/>
      <c r="GPC80" s="2567"/>
      <c r="GPD80" s="2567"/>
      <c r="GPE80" s="2567"/>
      <c r="GPF80" s="2567"/>
      <c r="GPG80" s="2567"/>
      <c r="GPH80" s="2567"/>
      <c r="GPI80" s="2567"/>
      <c r="GPJ80" s="2567"/>
      <c r="GPK80" s="2567"/>
      <c r="GPL80" s="2567"/>
      <c r="GPM80" s="2567"/>
      <c r="GPN80" s="2567"/>
      <c r="GPO80" s="2567"/>
      <c r="GPP80" s="2567"/>
      <c r="GPQ80" s="2567"/>
      <c r="GPR80" s="2567"/>
      <c r="GPS80" s="2567"/>
      <c r="GPT80" s="2567"/>
      <c r="GPU80" s="2567"/>
      <c r="GPV80" s="2567"/>
      <c r="GPW80" s="2567"/>
      <c r="GPX80" s="2567"/>
      <c r="GPY80" s="2567"/>
      <c r="GPZ80" s="2567"/>
      <c r="GQA80" s="2567"/>
      <c r="GQB80" s="2567"/>
      <c r="GQC80" s="2567"/>
      <c r="GQD80" s="2567"/>
      <c r="GQE80" s="2567"/>
      <c r="GQF80" s="2567"/>
      <c r="GQG80" s="2567"/>
      <c r="GQH80" s="2567"/>
      <c r="GQI80" s="2567"/>
      <c r="GQJ80" s="2567"/>
      <c r="GQK80" s="2567"/>
      <c r="GQL80" s="2567"/>
      <c r="GQM80" s="2567"/>
      <c r="GQN80" s="2567"/>
      <c r="GQO80" s="2567"/>
      <c r="GQP80" s="2567"/>
      <c r="GQQ80" s="2567"/>
      <c r="GQR80" s="2567"/>
      <c r="GQS80" s="2567"/>
      <c r="GQT80" s="2567"/>
      <c r="GQU80" s="2567"/>
      <c r="GQV80" s="2567"/>
      <c r="GQW80" s="2567"/>
      <c r="GQX80" s="2567"/>
      <c r="GQY80" s="2567"/>
      <c r="GQZ80" s="2567"/>
      <c r="GRA80" s="2567"/>
      <c r="GRB80" s="2567"/>
      <c r="GRC80" s="2567"/>
      <c r="GRD80" s="2567"/>
      <c r="GRE80" s="2567"/>
      <c r="GRF80" s="2567"/>
      <c r="GRG80" s="2567"/>
      <c r="GRH80" s="2567"/>
      <c r="GRI80" s="2567"/>
      <c r="GRJ80" s="2567"/>
      <c r="GRK80" s="2567"/>
      <c r="GRL80" s="2567"/>
      <c r="GRM80" s="2567"/>
      <c r="GRN80" s="2567"/>
      <c r="GRO80" s="2567"/>
      <c r="GRP80" s="2567"/>
      <c r="GRQ80" s="2567"/>
      <c r="GRR80" s="2567"/>
      <c r="GRS80" s="2567"/>
      <c r="GRT80" s="2567"/>
      <c r="GRU80" s="2567"/>
      <c r="GRV80" s="2567"/>
      <c r="GRW80" s="2567"/>
      <c r="GRX80" s="2567"/>
      <c r="GRY80" s="2567"/>
      <c r="GRZ80" s="2567"/>
      <c r="GSA80" s="2567"/>
      <c r="GSB80" s="2567"/>
      <c r="GSC80" s="2567"/>
      <c r="GSD80" s="2567"/>
      <c r="GSE80" s="2567"/>
      <c r="GSF80" s="2567"/>
      <c r="GSG80" s="2567"/>
      <c r="GSH80" s="2567"/>
      <c r="GSI80" s="2567"/>
      <c r="GSJ80" s="2567"/>
      <c r="GSK80" s="2567"/>
      <c r="GSL80" s="2567"/>
      <c r="GSM80" s="2567"/>
      <c r="GSN80" s="2567"/>
      <c r="GSO80" s="2567"/>
      <c r="GSP80" s="2567"/>
      <c r="GSQ80" s="2567"/>
      <c r="GSR80" s="2567"/>
      <c r="GSS80" s="2567"/>
      <c r="GST80" s="2567"/>
      <c r="GSU80" s="2567"/>
      <c r="GSV80" s="2567"/>
      <c r="GSW80" s="2567"/>
      <c r="GSX80" s="2567"/>
      <c r="GSY80" s="2567"/>
      <c r="GSZ80" s="2567"/>
      <c r="GTA80" s="2567"/>
      <c r="GTB80" s="2567"/>
      <c r="GTC80" s="2567"/>
      <c r="GTD80" s="2567"/>
      <c r="GTE80" s="2567"/>
      <c r="GTF80" s="2567"/>
      <c r="GTG80" s="2567"/>
      <c r="GTH80" s="2567"/>
      <c r="GTI80" s="2567"/>
      <c r="GTJ80" s="2567"/>
      <c r="GTK80" s="2567"/>
      <c r="GTL80" s="2567"/>
      <c r="GTM80" s="2567"/>
      <c r="GTN80" s="2567"/>
      <c r="GTO80" s="2567"/>
      <c r="GTP80" s="2567"/>
      <c r="GTQ80" s="2567"/>
      <c r="GTR80" s="2567"/>
      <c r="GTS80" s="2567"/>
      <c r="GTT80" s="2567"/>
      <c r="GTU80" s="2567"/>
      <c r="GTV80" s="2567"/>
      <c r="GTW80" s="2567"/>
      <c r="GTX80" s="2567"/>
      <c r="GTY80" s="2567"/>
      <c r="GTZ80" s="2567"/>
      <c r="GUA80" s="2567"/>
      <c r="GUB80" s="2567"/>
      <c r="GUC80" s="2567"/>
      <c r="GUD80" s="2567"/>
      <c r="GUE80" s="2567"/>
      <c r="GUF80" s="2567"/>
      <c r="GUG80" s="2567"/>
      <c r="GUH80" s="2567"/>
      <c r="GUI80" s="2567"/>
      <c r="GUJ80" s="2567"/>
      <c r="GUK80" s="2567"/>
      <c r="GUL80" s="2567"/>
      <c r="GUM80" s="2567"/>
      <c r="GUN80" s="2567"/>
      <c r="GUO80" s="2567"/>
      <c r="GUP80" s="2567"/>
      <c r="GUQ80" s="2567"/>
      <c r="GUR80" s="2567"/>
      <c r="GUS80" s="2567"/>
      <c r="GUT80" s="2567"/>
      <c r="GUU80" s="2567"/>
      <c r="GUV80" s="2567"/>
      <c r="GUW80" s="2567"/>
      <c r="GUX80" s="2567"/>
      <c r="GUY80" s="2567"/>
      <c r="GUZ80" s="2567"/>
      <c r="GVA80" s="2567"/>
      <c r="GVB80" s="2567"/>
      <c r="GVC80" s="2567"/>
      <c r="GVD80" s="2567"/>
      <c r="GVE80" s="2567"/>
      <c r="GVF80" s="2567"/>
      <c r="GVG80" s="2567"/>
      <c r="GVH80" s="2567"/>
      <c r="GVI80" s="2567"/>
      <c r="GVJ80" s="2567"/>
      <c r="GVK80" s="2567"/>
      <c r="GVL80" s="2567"/>
      <c r="GVM80" s="2567"/>
      <c r="GVN80" s="2567"/>
      <c r="GVO80" s="2567"/>
      <c r="GVP80" s="2567"/>
      <c r="GVQ80" s="2567"/>
      <c r="GVR80" s="2567"/>
      <c r="GVS80" s="2567"/>
      <c r="GVT80" s="2567"/>
      <c r="GVU80" s="2567"/>
      <c r="GVV80" s="2567"/>
      <c r="GVW80" s="2567"/>
      <c r="GVX80" s="2567"/>
      <c r="GVY80" s="2567"/>
      <c r="GVZ80" s="2567"/>
      <c r="GWA80" s="2567"/>
      <c r="GWB80" s="2567"/>
      <c r="GWC80" s="2567"/>
      <c r="GWD80" s="2567"/>
      <c r="GWE80" s="2567"/>
      <c r="GWF80" s="2567"/>
      <c r="GWG80" s="2567"/>
      <c r="GWH80" s="2567"/>
      <c r="GWI80" s="2567"/>
      <c r="GWJ80" s="2567"/>
      <c r="GWK80" s="2567"/>
      <c r="GWL80" s="2567"/>
      <c r="GWM80" s="2567"/>
      <c r="GWN80" s="2567"/>
      <c r="GWO80" s="2567"/>
      <c r="GWP80" s="2567"/>
      <c r="GWQ80" s="2567"/>
      <c r="GWR80" s="2567"/>
      <c r="GWS80" s="2567"/>
      <c r="GWT80" s="2567"/>
      <c r="GWU80" s="2567"/>
      <c r="GWV80" s="2567"/>
      <c r="GWW80" s="2567"/>
      <c r="GWX80" s="2567"/>
      <c r="GWY80" s="2567"/>
      <c r="GWZ80" s="2567"/>
      <c r="GXA80" s="2567"/>
      <c r="GXB80" s="2567"/>
      <c r="GXC80" s="2567"/>
      <c r="GXD80" s="2567"/>
      <c r="GXE80" s="2567"/>
      <c r="GXF80" s="2567"/>
      <c r="GXG80" s="2567"/>
      <c r="GXH80" s="2567"/>
      <c r="GXI80" s="2567"/>
      <c r="GXJ80" s="2567"/>
      <c r="GXK80" s="2567"/>
      <c r="GXL80" s="2567"/>
      <c r="GXM80" s="2567"/>
      <c r="GXN80" s="2567"/>
      <c r="GXO80" s="2567"/>
      <c r="GXP80" s="2567"/>
      <c r="GXQ80" s="2567"/>
      <c r="GXR80" s="2567"/>
      <c r="GXS80" s="2567"/>
      <c r="GXT80" s="2567"/>
      <c r="GXU80" s="2567"/>
      <c r="GXV80" s="2567"/>
      <c r="GXW80" s="2567"/>
      <c r="GXX80" s="2567"/>
      <c r="GXY80" s="2567"/>
      <c r="GXZ80" s="2567"/>
      <c r="GYA80" s="2567"/>
      <c r="GYB80" s="2567"/>
      <c r="GYC80" s="2567"/>
      <c r="GYD80" s="2567"/>
      <c r="GYE80" s="2567"/>
      <c r="GYF80" s="2567"/>
      <c r="GYG80" s="2567"/>
      <c r="GYH80" s="2567"/>
      <c r="GYI80" s="2567"/>
      <c r="GYJ80" s="2567"/>
      <c r="GYK80" s="2567"/>
      <c r="GYL80" s="2567"/>
      <c r="GYM80" s="2567"/>
      <c r="GYN80" s="2567"/>
      <c r="GYO80" s="2567"/>
      <c r="GYP80" s="2567"/>
      <c r="GYQ80" s="2567"/>
      <c r="GYR80" s="2567"/>
      <c r="GYS80" s="2567"/>
      <c r="GYT80" s="2567"/>
      <c r="GYU80" s="2567"/>
      <c r="GYV80" s="2567"/>
      <c r="GYW80" s="2567"/>
      <c r="GYX80" s="2567"/>
      <c r="GYY80" s="2567"/>
      <c r="GYZ80" s="2567"/>
      <c r="GZA80" s="2567"/>
      <c r="GZB80" s="2567"/>
      <c r="GZC80" s="2567"/>
      <c r="GZD80" s="2567"/>
      <c r="GZE80" s="2567"/>
      <c r="GZF80" s="2567"/>
      <c r="GZG80" s="2567"/>
      <c r="GZH80" s="2567"/>
      <c r="GZI80" s="2567"/>
      <c r="GZJ80" s="2567"/>
      <c r="GZK80" s="2567"/>
      <c r="GZL80" s="2567"/>
      <c r="GZM80" s="2567"/>
      <c r="GZN80" s="2567"/>
      <c r="GZO80" s="2567"/>
      <c r="GZP80" s="2567"/>
      <c r="GZQ80" s="2567"/>
      <c r="GZR80" s="2567"/>
      <c r="GZS80" s="2567"/>
      <c r="GZT80" s="2567"/>
      <c r="GZU80" s="2567"/>
      <c r="GZV80" s="2567"/>
      <c r="GZW80" s="2567"/>
      <c r="GZX80" s="2567"/>
      <c r="GZY80" s="2567"/>
      <c r="GZZ80" s="2567"/>
      <c r="HAA80" s="2567"/>
      <c r="HAB80" s="2567"/>
      <c r="HAC80" s="2567"/>
      <c r="HAD80" s="2567"/>
      <c r="HAE80" s="2567"/>
      <c r="HAF80" s="2567"/>
      <c r="HAG80" s="2567"/>
      <c r="HAH80" s="2567"/>
      <c r="HAI80" s="2567"/>
      <c r="HAJ80" s="2567"/>
      <c r="HAK80" s="2567"/>
      <c r="HAL80" s="2567"/>
      <c r="HAM80" s="2567"/>
      <c r="HAN80" s="2567"/>
      <c r="HAO80" s="2567"/>
      <c r="HAP80" s="2567"/>
      <c r="HAQ80" s="2567"/>
      <c r="HAR80" s="2567"/>
      <c r="HAS80" s="2567"/>
      <c r="HAT80" s="2567"/>
      <c r="HAU80" s="2567"/>
      <c r="HAV80" s="2567"/>
      <c r="HAW80" s="2567"/>
      <c r="HAX80" s="2567"/>
      <c r="HAY80" s="2567"/>
      <c r="HAZ80" s="2567"/>
      <c r="HBA80" s="2567"/>
      <c r="HBB80" s="2567"/>
      <c r="HBC80" s="2567"/>
      <c r="HBD80" s="2567"/>
      <c r="HBE80" s="2567"/>
      <c r="HBF80" s="2567"/>
      <c r="HBG80" s="2567"/>
      <c r="HBH80" s="2567"/>
      <c r="HBI80" s="2567"/>
      <c r="HBJ80" s="2567"/>
      <c r="HBK80" s="2567"/>
      <c r="HBL80" s="2567"/>
      <c r="HBM80" s="2567"/>
      <c r="HBN80" s="2567"/>
      <c r="HBO80" s="2567"/>
      <c r="HBP80" s="2567"/>
      <c r="HBQ80" s="2567"/>
      <c r="HBR80" s="2567"/>
      <c r="HBS80" s="2567"/>
      <c r="HBT80" s="2567"/>
      <c r="HBU80" s="2567"/>
      <c r="HBV80" s="2567"/>
      <c r="HBW80" s="2567"/>
      <c r="HBX80" s="2567"/>
      <c r="HBY80" s="2567"/>
      <c r="HBZ80" s="2567"/>
      <c r="HCA80" s="2567"/>
      <c r="HCB80" s="2567"/>
      <c r="HCC80" s="2567"/>
      <c r="HCD80" s="2567"/>
      <c r="HCE80" s="2567"/>
      <c r="HCF80" s="2567"/>
      <c r="HCG80" s="2567"/>
      <c r="HCH80" s="2567"/>
      <c r="HCI80" s="2567"/>
      <c r="HCJ80" s="2567"/>
      <c r="HCK80" s="2567"/>
      <c r="HCL80" s="2567"/>
      <c r="HCM80" s="2567"/>
      <c r="HCN80" s="2567"/>
      <c r="HCO80" s="2567"/>
      <c r="HCP80" s="2567"/>
      <c r="HCQ80" s="2567"/>
      <c r="HCR80" s="2567"/>
      <c r="HCS80" s="2567"/>
      <c r="HCT80" s="2567"/>
      <c r="HCU80" s="2567"/>
      <c r="HCV80" s="2567"/>
      <c r="HCW80" s="2567"/>
      <c r="HCX80" s="2567"/>
      <c r="HCY80" s="2567"/>
      <c r="HCZ80" s="2567"/>
      <c r="HDA80" s="2567"/>
      <c r="HDB80" s="2567"/>
      <c r="HDC80" s="2567"/>
      <c r="HDD80" s="2567"/>
      <c r="HDE80" s="2567"/>
      <c r="HDF80" s="2567"/>
      <c r="HDG80" s="2567"/>
      <c r="HDH80" s="2567"/>
      <c r="HDI80" s="2567"/>
      <c r="HDJ80" s="2567"/>
      <c r="HDK80" s="2567"/>
      <c r="HDL80" s="2567"/>
      <c r="HDM80" s="2567"/>
      <c r="HDN80" s="2567"/>
      <c r="HDO80" s="2567"/>
      <c r="HDP80" s="2567"/>
      <c r="HDQ80" s="2567"/>
      <c r="HDR80" s="2567"/>
      <c r="HDS80" s="2567"/>
      <c r="HDT80" s="2567"/>
      <c r="HDU80" s="2567"/>
      <c r="HDV80" s="2567"/>
      <c r="HDW80" s="2567"/>
      <c r="HDX80" s="2567"/>
      <c r="HDY80" s="2567"/>
      <c r="HDZ80" s="2567"/>
      <c r="HEA80" s="2567"/>
      <c r="HEB80" s="2567"/>
      <c r="HEC80" s="2567"/>
      <c r="HED80" s="2567"/>
      <c r="HEE80" s="2567"/>
      <c r="HEF80" s="2567"/>
      <c r="HEG80" s="2567"/>
      <c r="HEH80" s="2567"/>
      <c r="HEI80" s="2567"/>
      <c r="HEJ80" s="2567"/>
      <c r="HEK80" s="2567"/>
      <c r="HEL80" s="2567"/>
      <c r="HEM80" s="2567"/>
      <c r="HEN80" s="2567"/>
      <c r="HEO80" s="2567"/>
      <c r="HEP80" s="2567"/>
      <c r="HEQ80" s="2567"/>
      <c r="HER80" s="2567"/>
      <c r="HES80" s="2567"/>
      <c r="HET80" s="2567"/>
      <c r="HEU80" s="2567"/>
      <c r="HEV80" s="2567"/>
      <c r="HEW80" s="2567"/>
      <c r="HEX80" s="2567"/>
      <c r="HEY80" s="2567"/>
      <c r="HEZ80" s="2567"/>
      <c r="HFA80" s="2567"/>
      <c r="HFB80" s="2567"/>
      <c r="HFC80" s="2567"/>
      <c r="HFD80" s="2567"/>
      <c r="HFE80" s="2567"/>
      <c r="HFF80" s="2567"/>
      <c r="HFG80" s="2567"/>
      <c r="HFH80" s="2567"/>
      <c r="HFI80" s="2567"/>
      <c r="HFJ80" s="2567"/>
      <c r="HFK80" s="2567"/>
      <c r="HFL80" s="2567"/>
      <c r="HFM80" s="2567"/>
      <c r="HFN80" s="2567"/>
      <c r="HFO80" s="2567"/>
      <c r="HFP80" s="2567"/>
      <c r="HFQ80" s="2567"/>
      <c r="HFR80" s="2567"/>
      <c r="HFS80" s="2567"/>
      <c r="HFT80" s="2567"/>
      <c r="HFU80" s="2567"/>
      <c r="HFV80" s="2567"/>
      <c r="HFW80" s="2567"/>
      <c r="HFX80" s="2567"/>
      <c r="HFY80" s="2567"/>
      <c r="HFZ80" s="2567"/>
      <c r="HGA80" s="2567"/>
      <c r="HGB80" s="2567"/>
      <c r="HGC80" s="2567"/>
      <c r="HGD80" s="2567"/>
      <c r="HGE80" s="2567"/>
      <c r="HGF80" s="2567"/>
      <c r="HGG80" s="2567"/>
      <c r="HGH80" s="2567"/>
      <c r="HGI80" s="2567"/>
      <c r="HGJ80" s="2567"/>
      <c r="HGK80" s="2567"/>
      <c r="HGL80" s="2567"/>
      <c r="HGM80" s="2567"/>
      <c r="HGN80" s="2567"/>
      <c r="HGO80" s="2567"/>
      <c r="HGP80" s="2567"/>
      <c r="HGQ80" s="2567"/>
      <c r="HGR80" s="2567"/>
      <c r="HGS80" s="2567"/>
      <c r="HGT80" s="2567"/>
      <c r="HGU80" s="2567"/>
      <c r="HGV80" s="2567"/>
      <c r="HGW80" s="2567"/>
      <c r="HGX80" s="2567"/>
      <c r="HGY80" s="2567"/>
      <c r="HGZ80" s="2567"/>
      <c r="HHA80" s="2567"/>
      <c r="HHB80" s="2567"/>
      <c r="HHC80" s="2567"/>
      <c r="HHD80" s="2567"/>
      <c r="HHE80" s="2567"/>
      <c r="HHF80" s="2567"/>
      <c r="HHG80" s="2567"/>
      <c r="HHH80" s="2567"/>
      <c r="HHI80" s="2567"/>
      <c r="HHJ80" s="2567"/>
      <c r="HHK80" s="2567"/>
      <c r="HHL80" s="2567"/>
      <c r="HHM80" s="2567"/>
      <c r="HHN80" s="2567"/>
      <c r="HHO80" s="2567"/>
      <c r="HHP80" s="2567"/>
      <c r="HHQ80" s="2567"/>
      <c r="HHR80" s="2567"/>
      <c r="HHS80" s="2567"/>
      <c r="HHT80" s="2567"/>
      <c r="HHU80" s="2567"/>
      <c r="HHV80" s="2567"/>
      <c r="HHW80" s="2567"/>
      <c r="HHX80" s="2567"/>
      <c r="HHY80" s="2567"/>
      <c r="HHZ80" s="2567"/>
      <c r="HIA80" s="2567"/>
      <c r="HIB80" s="2567"/>
      <c r="HIC80" s="2567"/>
      <c r="HID80" s="2567"/>
      <c r="HIE80" s="2567"/>
      <c r="HIF80" s="2567"/>
      <c r="HIG80" s="2567"/>
      <c r="HIH80" s="2567"/>
      <c r="HII80" s="2567"/>
      <c r="HIJ80" s="2567"/>
      <c r="HIK80" s="2567"/>
      <c r="HIL80" s="2567"/>
      <c r="HIM80" s="2567"/>
      <c r="HIN80" s="2567"/>
      <c r="HIO80" s="2567"/>
      <c r="HIP80" s="2567"/>
      <c r="HIQ80" s="2567"/>
      <c r="HIR80" s="2567"/>
      <c r="HIS80" s="2567"/>
      <c r="HIT80" s="2567"/>
      <c r="HIU80" s="2567"/>
      <c r="HIV80" s="2567"/>
      <c r="HIW80" s="2567"/>
      <c r="HIX80" s="2567"/>
      <c r="HIY80" s="2567"/>
      <c r="HIZ80" s="2567"/>
      <c r="HJA80" s="2567"/>
      <c r="HJB80" s="2567"/>
      <c r="HJC80" s="2567"/>
      <c r="HJD80" s="2567"/>
      <c r="HJE80" s="2567"/>
      <c r="HJF80" s="2567"/>
      <c r="HJG80" s="2567"/>
      <c r="HJH80" s="2567"/>
      <c r="HJI80" s="2567"/>
      <c r="HJJ80" s="2567"/>
      <c r="HJK80" s="2567"/>
      <c r="HJL80" s="2567"/>
      <c r="HJM80" s="2567"/>
      <c r="HJN80" s="2567"/>
      <c r="HJO80" s="2567"/>
      <c r="HJP80" s="2567"/>
      <c r="HJQ80" s="2567"/>
      <c r="HJR80" s="2567"/>
      <c r="HJS80" s="2567"/>
      <c r="HJT80" s="2567"/>
      <c r="HJU80" s="2567"/>
      <c r="HJV80" s="2567"/>
      <c r="HJW80" s="2567"/>
      <c r="HJX80" s="2567"/>
      <c r="HJY80" s="2567"/>
      <c r="HJZ80" s="2567"/>
      <c r="HKA80" s="2567"/>
      <c r="HKB80" s="2567"/>
      <c r="HKC80" s="2567"/>
      <c r="HKD80" s="2567"/>
      <c r="HKE80" s="2567"/>
      <c r="HKF80" s="2567"/>
      <c r="HKG80" s="2567"/>
      <c r="HKH80" s="2567"/>
      <c r="HKI80" s="2567"/>
      <c r="HKJ80" s="2567"/>
      <c r="HKK80" s="2567"/>
      <c r="HKL80" s="2567"/>
      <c r="HKM80" s="2567"/>
      <c r="HKN80" s="2567"/>
      <c r="HKO80" s="2567"/>
      <c r="HKP80" s="2567"/>
      <c r="HKQ80" s="2567"/>
      <c r="HKR80" s="2567"/>
      <c r="HKS80" s="2567"/>
      <c r="HKT80" s="2567"/>
      <c r="HKU80" s="2567"/>
      <c r="HKV80" s="2567"/>
      <c r="HKW80" s="2567"/>
      <c r="HKX80" s="2567"/>
      <c r="HKY80" s="2567"/>
      <c r="HKZ80" s="2567"/>
      <c r="HLA80" s="2567"/>
      <c r="HLB80" s="2567"/>
      <c r="HLC80" s="2567"/>
      <c r="HLD80" s="2567"/>
      <c r="HLE80" s="2567"/>
      <c r="HLF80" s="2567"/>
      <c r="HLG80" s="2567"/>
      <c r="HLH80" s="2567"/>
      <c r="HLI80" s="2567"/>
      <c r="HLJ80" s="2567"/>
      <c r="HLK80" s="2567"/>
      <c r="HLL80" s="2567"/>
      <c r="HLM80" s="2567"/>
      <c r="HLN80" s="2567"/>
      <c r="HLO80" s="2567"/>
      <c r="HLP80" s="2567"/>
      <c r="HLQ80" s="2567"/>
      <c r="HLR80" s="2567"/>
      <c r="HLS80" s="2567"/>
      <c r="HLT80" s="2567"/>
      <c r="HLU80" s="2567"/>
      <c r="HLV80" s="2567"/>
      <c r="HLW80" s="2567"/>
      <c r="HLX80" s="2567"/>
      <c r="HLY80" s="2567"/>
      <c r="HLZ80" s="2567"/>
      <c r="HMA80" s="2567"/>
      <c r="HMB80" s="2567"/>
      <c r="HMC80" s="2567"/>
      <c r="HMD80" s="2567"/>
      <c r="HME80" s="2567"/>
      <c r="HMF80" s="2567"/>
      <c r="HMG80" s="2567"/>
      <c r="HMH80" s="2567"/>
      <c r="HMI80" s="2567"/>
      <c r="HMJ80" s="2567"/>
      <c r="HMK80" s="2567"/>
      <c r="HML80" s="2567"/>
      <c r="HMM80" s="2567"/>
      <c r="HMN80" s="2567"/>
      <c r="HMO80" s="2567"/>
      <c r="HMP80" s="2567"/>
      <c r="HMQ80" s="2567"/>
      <c r="HMR80" s="2567"/>
      <c r="HMS80" s="2567"/>
      <c r="HMT80" s="2567"/>
      <c r="HMU80" s="2567"/>
      <c r="HMV80" s="2567"/>
      <c r="HMW80" s="2567"/>
      <c r="HMX80" s="2567"/>
      <c r="HMY80" s="2567"/>
      <c r="HMZ80" s="2567"/>
      <c r="HNA80" s="2567"/>
      <c r="HNB80" s="2567"/>
      <c r="HNC80" s="2567"/>
      <c r="HND80" s="2567"/>
      <c r="HNE80" s="2567"/>
      <c r="HNF80" s="2567"/>
      <c r="HNG80" s="2567"/>
      <c r="HNH80" s="2567"/>
      <c r="HNI80" s="2567"/>
      <c r="HNJ80" s="2567"/>
      <c r="HNK80" s="2567"/>
      <c r="HNL80" s="2567"/>
      <c r="HNM80" s="2567"/>
      <c r="HNN80" s="2567"/>
      <c r="HNO80" s="2567"/>
      <c r="HNP80" s="2567"/>
      <c r="HNQ80" s="2567"/>
      <c r="HNR80" s="2567"/>
      <c r="HNS80" s="2567"/>
      <c r="HNT80" s="2567"/>
      <c r="HNU80" s="2567"/>
      <c r="HNV80" s="2567"/>
      <c r="HNW80" s="2567"/>
      <c r="HNX80" s="2567"/>
      <c r="HNY80" s="2567"/>
      <c r="HNZ80" s="2567"/>
      <c r="HOA80" s="2567"/>
      <c r="HOB80" s="2567"/>
      <c r="HOC80" s="2567"/>
      <c r="HOD80" s="2567"/>
      <c r="HOE80" s="2567"/>
      <c r="HOF80" s="2567"/>
      <c r="HOG80" s="2567"/>
      <c r="HOH80" s="2567"/>
      <c r="HOI80" s="2567"/>
      <c r="HOJ80" s="2567"/>
      <c r="HOK80" s="2567"/>
      <c r="HOL80" s="2567"/>
      <c r="HOM80" s="2567"/>
      <c r="HON80" s="2567"/>
      <c r="HOO80" s="2567"/>
      <c r="HOP80" s="2567"/>
      <c r="HOQ80" s="2567"/>
      <c r="HOR80" s="2567"/>
      <c r="HOS80" s="2567"/>
      <c r="HOT80" s="2567"/>
      <c r="HOU80" s="2567"/>
      <c r="HOV80" s="2567"/>
      <c r="HOW80" s="2567"/>
      <c r="HOX80" s="2567"/>
      <c r="HOY80" s="2567"/>
      <c r="HOZ80" s="2567"/>
      <c r="HPA80" s="2567"/>
      <c r="HPB80" s="2567"/>
      <c r="HPC80" s="2567"/>
      <c r="HPD80" s="2567"/>
      <c r="HPE80" s="2567"/>
      <c r="HPF80" s="2567"/>
      <c r="HPG80" s="2567"/>
      <c r="HPH80" s="2567"/>
      <c r="HPI80" s="2567"/>
      <c r="HPJ80" s="2567"/>
      <c r="HPK80" s="2567"/>
      <c r="HPL80" s="2567"/>
      <c r="HPM80" s="2567"/>
      <c r="HPN80" s="2567"/>
      <c r="HPO80" s="2567"/>
      <c r="HPP80" s="2567"/>
      <c r="HPQ80" s="2567"/>
      <c r="HPR80" s="2567"/>
      <c r="HPS80" s="2567"/>
      <c r="HPT80" s="2567"/>
      <c r="HPU80" s="2567"/>
      <c r="HPV80" s="2567"/>
      <c r="HPW80" s="2567"/>
      <c r="HPX80" s="2567"/>
      <c r="HPY80" s="2567"/>
      <c r="HPZ80" s="2567"/>
      <c r="HQA80" s="2567"/>
      <c r="HQB80" s="2567"/>
      <c r="HQC80" s="2567"/>
      <c r="HQD80" s="2567"/>
      <c r="HQE80" s="2567"/>
      <c r="HQF80" s="2567"/>
      <c r="HQG80" s="2567"/>
      <c r="HQH80" s="2567"/>
      <c r="HQI80" s="2567"/>
      <c r="HQJ80" s="2567"/>
      <c r="HQK80" s="2567"/>
      <c r="HQL80" s="2567"/>
      <c r="HQM80" s="2567"/>
      <c r="HQN80" s="2567"/>
      <c r="HQO80" s="2567"/>
      <c r="HQP80" s="2567"/>
      <c r="HQQ80" s="2567"/>
      <c r="HQR80" s="2567"/>
      <c r="HQS80" s="2567"/>
      <c r="HQT80" s="2567"/>
      <c r="HQU80" s="2567"/>
      <c r="HQV80" s="2567"/>
      <c r="HQW80" s="2567"/>
      <c r="HQX80" s="2567"/>
      <c r="HQY80" s="2567"/>
      <c r="HQZ80" s="2567"/>
      <c r="HRA80" s="2567"/>
      <c r="HRB80" s="2567"/>
      <c r="HRC80" s="2567"/>
      <c r="HRD80" s="2567"/>
      <c r="HRE80" s="2567"/>
      <c r="HRF80" s="2567"/>
      <c r="HRG80" s="2567"/>
      <c r="HRH80" s="2567"/>
      <c r="HRI80" s="2567"/>
      <c r="HRJ80" s="2567"/>
      <c r="HRK80" s="2567"/>
      <c r="HRL80" s="2567"/>
      <c r="HRM80" s="2567"/>
      <c r="HRN80" s="2567"/>
      <c r="HRO80" s="2567"/>
      <c r="HRP80" s="2567"/>
      <c r="HRQ80" s="2567"/>
      <c r="HRR80" s="2567"/>
      <c r="HRS80" s="2567"/>
      <c r="HRT80" s="2567"/>
      <c r="HRU80" s="2567"/>
      <c r="HRV80" s="2567"/>
      <c r="HRW80" s="2567"/>
      <c r="HRX80" s="2567"/>
      <c r="HRY80" s="2567"/>
      <c r="HRZ80" s="2567"/>
      <c r="HSA80" s="2567"/>
      <c r="HSB80" s="2567"/>
      <c r="HSC80" s="2567"/>
      <c r="HSD80" s="2567"/>
      <c r="HSE80" s="2567"/>
      <c r="HSF80" s="2567"/>
      <c r="HSG80" s="2567"/>
      <c r="HSH80" s="2567"/>
      <c r="HSI80" s="2567"/>
      <c r="HSJ80" s="2567"/>
      <c r="HSK80" s="2567"/>
      <c r="HSL80" s="2567"/>
      <c r="HSM80" s="2567"/>
      <c r="HSN80" s="2567"/>
      <c r="HSO80" s="2567"/>
      <c r="HSP80" s="2567"/>
      <c r="HSQ80" s="2567"/>
      <c r="HSR80" s="2567"/>
      <c r="HSS80" s="2567"/>
      <c r="HST80" s="2567"/>
      <c r="HSU80" s="2567"/>
      <c r="HSV80" s="2567"/>
      <c r="HSW80" s="2567"/>
      <c r="HSX80" s="2567"/>
      <c r="HSY80" s="2567"/>
      <c r="HSZ80" s="2567"/>
      <c r="HTA80" s="2567"/>
      <c r="HTB80" s="2567"/>
      <c r="HTC80" s="2567"/>
      <c r="HTD80" s="2567"/>
      <c r="HTE80" s="2567"/>
      <c r="HTF80" s="2567"/>
      <c r="HTG80" s="2567"/>
      <c r="HTH80" s="2567"/>
      <c r="HTI80" s="2567"/>
      <c r="HTJ80" s="2567"/>
      <c r="HTK80" s="2567"/>
      <c r="HTL80" s="2567"/>
      <c r="HTM80" s="2567"/>
      <c r="HTN80" s="2567"/>
      <c r="HTO80" s="2567"/>
      <c r="HTP80" s="2567"/>
      <c r="HTQ80" s="2567"/>
      <c r="HTR80" s="2567"/>
      <c r="HTS80" s="2567"/>
      <c r="HTT80" s="2567"/>
      <c r="HTU80" s="2567"/>
      <c r="HTV80" s="2567"/>
      <c r="HTW80" s="2567"/>
      <c r="HTX80" s="2567"/>
      <c r="HTY80" s="2567"/>
      <c r="HTZ80" s="2567"/>
      <c r="HUA80" s="2567"/>
      <c r="HUB80" s="2567"/>
      <c r="HUC80" s="2567"/>
      <c r="HUD80" s="2567"/>
      <c r="HUE80" s="2567"/>
      <c r="HUF80" s="2567"/>
      <c r="HUG80" s="2567"/>
      <c r="HUH80" s="2567"/>
      <c r="HUI80" s="2567"/>
      <c r="HUJ80" s="2567"/>
      <c r="HUK80" s="2567"/>
      <c r="HUL80" s="2567"/>
      <c r="HUM80" s="2567"/>
      <c r="HUN80" s="2567"/>
      <c r="HUO80" s="2567"/>
      <c r="HUP80" s="2567"/>
      <c r="HUQ80" s="2567"/>
      <c r="HUR80" s="2567"/>
      <c r="HUS80" s="2567"/>
      <c r="HUT80" s="2567"/>
      <c r="HUU80" s="2567"/>
      <c r="HUV80" s="2567"/>
      <c r="HUW80" s="2567"/>
      <c r="HUX80" s="2567"/>
      <c r="HUY80" s="2567"/>
      <c r="HUZ80" s="2567"/>
      <c r="HVA80" s="2567"/>
      <c r="HVB80" s="2567"/>
      <c r="HVC80" s="2567"/>
      <c r="HVD80" s="2567"/>
      <c r="HVE80" s="2567"/>
      <c r="HVF80" s="2567"/>
      <c r="HVG80" s="2567"/>
      <c r="HVH80" s="2567"/>
      <c r="HVI80" s="2567"/>
      <c r="HVJ80" s="2567"/>
      <c r="HVK80" s="2567"/>
      <c r="HVL80" s="2567"/>
      <c r="HVM80" s="2567"/>
      <c r="HVN80" s="2567"/>
      <c r="HVO80" s="2567"/>
      <c r="HVP80" s="2567"/>
      <c r="HVQ80" s="2567"/>
      <c r="HVR80" s="2567"/>
      <c r="HVS80" s="2567"/>
      <c r="HVT80" s="2567"/>
      <c r="HVU80" s="2567"/>
      <c r="HVV80" s="2567"/>
      <c r="HVW80" s="2567"/>
      <c r="HVX80" s="2567"/>
      <c r="HVY80" s="2567"/>
      <c r="HVZ80" s="2567"/>
      <c r="HWA80" s="2567"/>
      <c r="HWB80" s="2567"/>
      <c r="HWC80" s="2567"/>
      <c r="HWD80" s="2567"/>
      <c r="HWE80" s="2567"/>
      <c r="HWF80" s="2567"/>
      <c r="HWG80" s="2567"/>
      <c r="HWH80" s="2567"/>
      <c r="HWI80" s="2567"/>
      <c r="HWJ80" s="2567"/>
      <c r="HWK80" s="2567"/>
      <c r="HWL80" s="2567"/>
      <c r="HWM80" s="2567"/>
      <c r="HWN80" s="2567"/>
      <c r="HWO80" s="2567"/>
      <c r="HWP80" s="2567"/>
      <c r="HWQ80" s="2567"/>
      <c r="HWR80" s="2567"/>
      <c r="HWS80" s="2567"/>
      <c r="HWT80" s="2567"/>
      <c r="HWU80" s="2567"/>
      <c r="HWV80" s="2567"/>
      <c r="HWW80" s="2567"/>
      <c r="HWX80" s="2567"/>
      <c r="HWY80" s="2567"/>
      <c r="HWZ80" s="2567"/>
      <c r="HXA80" s="2567"/>
      <c r="HXB80" s="2567"/>
      <c r="HXC80" s="2567"/>
      <c r="HXD80" s="2567"/>
      <c r="HXE80" s="2567"/>
      <c r="HXF80" s="2567"/>
      <c r="HXG80" s="2567"/>
      <c r="HXH80" s="2567"/>
      <c r="HXI80" s="2567"/>
      <c r="HXJ80" s="2567"/>
      <c r="HXK80" s="2567"/>
      <c r="HXL80" s="2567"/>
      <c r="HXM80" s="2567"/>
      <c r="HXN80" s="2567"/>
      <c r="HXO80" s="2567"/>
      <c r="HXP80" s="2567"/>
      <c r="HXQ80" s="2567"/>
      <c r="HXR80" s="2567"/>
      <c r="HXS80" s="2567"/>
      <c r="HXT80" s="2567"/>
      <c r="HXU80" s="2567"/>
      <c r="HXV80" s="2567"/>
      <c r="HXW80" s="2567"/>
      <c r="HXX80" s="2567"/>
      <c r="HXY80" s="2567"/>
      <c r="HXZ80" s="2567"/>
      <c r="HYA80" s="2567"/>
      <c r="HYB80" s="2567"/>
      <c r="HYC80" s="2567"/>
      <c r="HYD80" s="2567"/>
      <c r="HYE80" s="2567"/>
      <c r="HYF80" s="2567"/>
      <c r="HYG80" s="2567"/>
      <c r="HYH80" s="2567"/>
      <c r="HYI80" s="2567"/>
      <c r="HYJ80" s="2567"/>
      <c r="HYK80" s="2567"/>
      <c r="HYL80" s="2567"/>
      <c r="HYM80" s="2567"/>
      <c r="HYN80" s="2567"/>
      <c r="HYO80" s="2567"/>
      <c r="HYP80" s="2567"/>
      <c r="HYQ80" s="2567"/>
      <c r="HYR80" s="2567"/>
      <c r="HYS80" s="2567"/>
      <c r="HYT80" s="2567"/>
      <c r="HYU80" s="2567"/>
      <c r="HYV80" s="2567"/>
      <c r="HYW80" s="2567"/>
      <c r="HYX80" s="2567"/>
      <c r="HYY80" s="2567"/>
      <c r="HYZ80" s="2567"/>
      <c r="HZA80" s="2567"/>
      <c r="HZB80" s="2567"/>
      <c r="HZC80" s="2567"/>
      <c r="HZD80" s="2567"/>
      <c r="HZE80" s="2567"/>
      <c r="HZF80" s="2567"/>
      <c r="HZG80" s="2567"/>
      <c r="HZH80" s="2567"/>
      <c r="HZI80" s="2567"/>
      <c r="HZJ80" s="2567"/>
      <c r="HZK80" s="2567"/>
      <c r="HZL80" s="2567"/>
      <c r="HZM80" s="2567"/>
      <c r="HZN80" s="2567"/>
      <c r="HZO80" s="2567"/>
      <c r="HZP80" s="2567"/>
      <c r="HZQ80" s="2567"/>
      <c r="HZR80" s="2567"/>
      <c r="HZS80" s="2567"/>
      <c r="HZT80" s="2567"/>
      <c r="HZU80" s="2567"/>
      <c r="HZV80" s="2567"/>
      <c r="HZW80" s="2567"/>
      <c r="HZX80" s="2567"/>
      <c r="HZY80" s="2567"/>
      <c r="HZZ80" s="2567"/>
      <c r="IAA80" s="2567"/>
      <c r="IAB80" s="2567"/>
      <c r="IAC80" s="2567"/>
      <c r="IAD80" s="2567"/>
      <c r="IAE80" s="2567"/>
      <c r="IAF80" s="2567"/>
      <c r="IAG80" s="2567"/>
      <c r="IAH80" s="2567"/>
      <c r="IAI80" s="2567"/>
      <c r="IAJ80" s="2567"/>
      <c r="IAK80" s="2567"/>
      <c r="IAL80" s="2567"/>
      <c r="IAM80" s="2567"/>
      <c r="IAN80" s="2567"/>
      <c r="IAO80" s="2567"/>
      <c r="IAP80" s="2567"/>
      <c r="IAQ80" s="2567"/>
      <c r="IAR80" s="2567"/>
      <c r="IAS80" s="2567"/>
      <c r="IAT80" s="2567"/>
      <c r="IAU80" s="2567"/>
      <c r="IAV80" s="2567"/>
      <c r="IAW80" s="2567"/>
      <c r="IAX80" s="2567"/>
      <c r="IAY80" s="2567"/>
      <c r="IAZ80" s="2567"/>
      <c r="IBA80" s="2567"/>
      <c r="IBB80" s="2567"/>
      <c r="IBC80" s="2567"/>
      <c r="IBD80" s="2567"/>
      <c r="IBE80" s="2567"/>
      <c r="IBF80" s="2567"/>
      <c r="IBG80" s="2567"/>
      <c r="IBH80" s="2567"/>
      <c r="IBI80" s="2567"/>
      <c r="IBJ80" s="2567"/>
      <c r="IBK80" s="2567"/>
      <c r="IBL80" s="2567"/>
      <c r="IBM80" s="2567"/>
      <c r="IBN80" s="2567"/>
      <c r="IBO80" s="2567"/>
      <c r="IBP80" s="2567"/>
      <c r="IBQ80" s="2567"/>
      <c r="IBR80" s="2567"/>
      <c r="IBS80" s="2567"/>
      <c r="IBT80" s="2567"/>
      <c r="IBU80" s="2567"/>
      <c r="IBV80" s="2567"/>
      <c r="IBW80" s="2567"/>
      <c r="IBX80" s="2567"/>
      <c r="IBY80" s="2567"/>
      <c r="IBZ80" s="2567"/>
      <c r="ICA80" s="2567"/>
      <c r="ICB80" s="2567"/>
      <c r="ICC80" s="2567"/>
      <c r="ICD80" s="2567"/>
      <c r="ICE80" s="2567"/>
      <c r="ICF80" s="2567"/>
      <c r="ICG80" s="2567"/>
      <c r="ICH80" s="2567"/>
      <c r="ICI80" s="2567"/>
      <c r="ICJ80" s="2567"/>
      <c r="ICK80" s="2567"/>
      <c r="ICL80" s="2567"/>
      <c r="ICM80" s="2567"/>
      <c r="ICN80" s="2567"/>
      <c r="ICO80" s="2567"/>
      <c r="ICP80" s="2567"/>
      <c r="ICQ80" s="2567"/>
      <c r="ICR80" s="2567"/>
      <c r="ICS80" s="2567"/>
      <c r="ICT80" s="2567"/>
      <c r="ICU80" s="2567"/>
      <c r="ICV80" s="2567"/>
      <c r="ICW80" s="2567"/>
      <c r="ICX80" s="2567"/>
      <c r="ICY80" s="2567"/>
      <c r="ICZ80" s="2567"/>
      <c r="IDA80" s="2567"/>
      <c r="IDB80" s="2567"/>
      <c r="IDC80" s="2567"/>
      <c r="IDD80" s="2567"/>
      <c r="IDE80" s="2567"/>
      <c r="IDF80" s="2567"/>
      <c r="IDG80" s="2567"/>
      <c r="IDH80" s="2567"/>
      <c r="IDI80" s="2567"/>
      <c r="IDJ80" s="2567"/>
      <c r="IDK80" s="2567"/>
      <c r="IDL80" s="2567"/>
      <c r="IDM80" s="2567"/>
      <c r="IDN80" s="2567"/>
      <c r="IDO80" s="2567"/>
      <c r="IDP80" s="2567"/>
      <c r="IDQ80" s="2567"/>
      <c r="IDR80" s="2567"/>
      <c r="IDS80" s="2567"/>
      <c r="IDT80" s="2567"/>
      <c r="IDU80" s="2567"/>
      <c r="IDV80" s="2567"/>
      <c r="IDW80" s="2567"/>
      <c r="IDX80" s="2567"/>
      <c r="IDY80" s="2567"/>
      <c r="IDZ80" s="2567"/>
      <c r="IEA80" s="2567"/>
      <c r="IEB80" s="2567"/>
      <c r="IEC80" s="2567"/>
      <c r="IED80" s="2567"/>
      <c r="IEE80" s="2567"/>
      <c r="IEF80" s="2567"/>
      <c r="IEG80" s="2567"/>
      <c r="IEH80" s="2567"/>
      <c r="IEI80" s="2567"/>
      <c r="IEJ80" s="2567"/>
      <c r="IEK80" s="2567"/>
      <c r="IEL80" s="2567"/>
      <c r="IEM80" s="2567"/>
      <c r="IEN80" s="2567"/>
      <c r="IEO80" s="2567"/>
      <c r="IEP80" s="2567"/>
      <c r="IEQ80" s="2567"/>
      <c r="IER80" s="2567"/>
      <c r="IES80" s="2567"/>
      <c r="IET80" s="2567"/>
      <c r="IEU80" s="2567"/>
      <c r="IEV80" s="2567"/>
      <c r="IEW80" s="2567"/>
      <c r="IEX80" s="2567"/>
      <c r="IEY80" s="2567"/>
      <c r="IEZ80" s="2567"/>
      <c r="IFA80" s="2567"/>
      <c r="IFB80" s="2567"/>
      <c r="IFC80" s="2567"/>
      <c r="IFD80" s="2567"/>
      <c r="IFE80" s="2567"/>
      <c r="IFF80" s="2567"/>
      <c r="IFG80" s="2567"/>
      <c r="IFH80" s="2567"/>
      <c r="IFI80" s="2567"/>
      <c r="IFJ80" s="2567"/>
      <c r="IFK80" s="2567"/>
      <c r="IFL80" s="2567"/>
      <c r="IFM80" s="2567"/>
      <c r="IFN80" s="2567"/>
      <c r="IFO80" s="2567"/>
      <c r="IFP80" s="2567"/>
      <c r="IFQ80" s="2567"/>
      <c r="IFR80" s="2567"/>
      <c r="IFS80" s="2567"/>
      <c r="IFT80" s="2567"/>
      <c r="IFU80" s="2567"/>
      <c r="IFV80" s="2567"/>
      <c r="IFW80" s="2567"/>
      <c r="IFX80" s="2567"/>
      <c r="IFY80" s="2567"/>
      <c r="IFZ80" s="2567"/>
      <c r="IGA80" s="2567"/>
      <c r="IGB80" s="2567"/>
      <c r="IGC80" s="2567"/>
      <c r="IGD80" s="2567"/>
      <c r="IGE80" s="2567"/>
      <c r="IGF80" s="2567"/>
      <c r="IGG80" s="2567"/>
      <c r="IGH80" s="2567"/>
      <c r="IGI80" s="2567"/>
      <c r="IGJ80" s="2567"/>
      <c r="IGK80" s="2567"/>
      <c r="IGL80" s="2567"/>
      <c r="IGM80" s="2567"/>
      <c r="IGN80" s="2567"/>
      <c r="IGO80" s="2567"/>
      <c r="IGP80" s="2567"/>
      <c r="IGQ80" s="2567"/>
      <c r="IGR80" s="2567"/>
      <c r="IGS80" s="2567"/>
      <c r="IGT80" s="2567"/>
      <c r="IGU80" s="2567"/>
      <c r="IGV80" s="2567"/>
      <c r="IGW80" s="2567"/>
      <c r="IGX80" s="2567"/>
      <c r="IGY80" s="2567"/>
      <c r="IGZ80" s="2567"/>
      <c r="IHA80" s="2567"/>
      <c r="IHB80" s="2567"/>
      <c r="IHC80" s="2567"/>
      <c r="IHD80" s="2567"/>
      <c r="IHE80" s="2567"/>
      <c r="IHF80" s="2567"/>
      <c r="IHG80" s="2567"/>
      <c r="IHH80" s="2567"/>
      <c r="IHI80" s="2567"/>
      <c r="IHJ80" s="2567"/>
      <c r="IHK80" s="2567"/>
      <c r="IHL80" s="2567"/>
      <c r="IHM80" s="2567"/>
      <c r="IHN80" s="2567"/>
      <c r="IHO80" s="2567"/>
      <c r="IHP80" s="2567"/>
      <c r="IHQ80" s="2567"/>
      <c r="IHR80" s="2567"/>
      <c r="IHS80" s="2567"/>
      <c r="IHT80" s="2567"/>
      <c r="IHU80" s="2567"/>
      <c r="IHV80" s="2567"/>
      <c r="IHW80" s="2567"/>
      <c r="IHX80" s="2567"/>
      <c r="IHY80" s="2567"/>
      <c r="IHZ80" s="2567"/>
      <c r="IIA80" s="2567"/>
      <c r="IIB80" s="2567"/>
      <c r="IIC80" s="2567"/>
      <c r="IID80" s="2567"/>
      <c r="IIE80" s="2567"/>
      <c r="IIF80" s="2567"/>
      <c r="IIG80" s="2567"/>
      <c r="IIH80" s="2567"/>
      <c r="III80" s="2567"/>
      <c r="IIJ80" s="2567"/>
      <c r="IIK80" s="2567"/>
      <c r="IIL80" s="2567"/>
      <c r="IIM80" s="2567"/>
      <c r="IIN80" s="2567"/>
      <c r="IIO80" s="2567"/>
      <c r="IIP80" s="2567"/>
      <c r="IIQ80" s="2567"/>
      <c r="IIR80" s="2567"/>
      <c r="IIS80" s="2567"/>
      <c r="IIT80" s="2567"/>
      <c r="IIU80" s="2567"/>
      <c r="IIV80" s="2567"/>
      <c r="IIW80" s="2567"/>
      <c r="IIX80" s="2567"/>
      <c r="IIY80" s="2567"/>
      <c r="IIZ80" s="2567"/>
      <c r="IJA80" s="2567"/>
      <c r="IJB80" s="2567"/>
      <c r="IJC80" s="2567"/>
      <c r="IJD80" s="2567"/>
      <c r="IJE80" s="2567"/>
      <c r="IJF80" s="2567"/>
      <c r="IJG80" s="2567"/>
      <c r="IJH80" s="2567"/>
      <c r="IJI80" s="2567"/>
      <c r="IJJ80" s="2567"/>
      <c r="IJK80" s="2567"/>
      <c r="IJL80" s="2567"/>
      <c r="IJM80" s="2567"/>
      <c r="IJN80" s="2567"/>
      <c r="IJO80" s="2567"/>
      <c r="IJP80" s="2567"/>
      <c r="IJQ80" s="2567"/>
      <c r="IJR80" s="2567"/>
      <c r="IJS80" s="2567"/>
      <c r="IJT80" s="2567"/>
      <c r="IJU80" s="2567"/>
      <c r="IJV80" s="2567"/>
      <c r="IJW80" s="2567"/>
      <c r="IJX80" s="2567"/>
      <c r="IJY80" s="2567"/>
      <c r="IJZ80" s="2567"/>
      <c r="IKA80" s="2567"/>
      <c r="IKB80" s="2567"/>
      <c r="IKC80" s="2567"/>
      <c r="IKD80" s="2567"/>
      <c r="IKE80" s="2567"/>
      <c r="IKF80" s="2567"/>
      <c r="IKG80" s="2567"/>
      <c r="IKH80" s="2567"/>
      <c r="IKI80" s="2567"/>
      <c r="IKJ80" s="2567"/>
      <c r="IKK80" s="2567"/>
      <c r="IKL80" s="2567"/>
      <c r="IKM80" s="2567"/>
      <c r="IKN80" s="2567"/>
      <c r="IKO80" s="2567"/>
      <c r="IKP80" s="2567"/>
      <c r="IKQ80" s="2567"/>
      <c r="IKR80" s="2567"/>
      <c r="IKS80" s="2567"/>
      <c r="IKT80" s="2567"/>
      <c r="IKU80" s="2567"/>
      <c r="IKV80" s="2567"/>
      <c r="IKW80" s="2567"/>
      <c r="IKX80" s="2567"/>
      <c r="IKY80" s="2567"/>
      <c r="IKZ80" s="2567"/>
      <c r="ILA80" s="2567"/>
      <c r="ILB80" s="2567"/>
      <c r="ILC80" s="2567"/>
      <c r="ILD80" s="2567"/>
      <c r="ILE80" s="2567"/>
      <c r="ILF80" s="2567"/>
      <c r="ILG80" s="2567"/>
      <c r="ILH80" s="2567"/>
      <c r="ILI80" s="2567"/>
      <c r="ILJ80" s="2567"/>
      <c r="ILK80" s="2567"/>
      <c r="ILL80" s="2567"/>
      <c r="ILM80" s="2567"/>
      <c r="ILN80" s="2567"/>
      <c r="ILO80" s="2567"/>
      <c r="ILP80" s="2567"/>
      <c r="ILQ80" s="2567"/>
      <c r="ILR80" s="2567"/>
      <c r="ILS80" s="2567"/>
      <c r="ILT80" s="2567"/>
      <c r="ILU80" s="2567"/>
      <c r="ILV80" s="2567"/>
      <c r="ILW80" s="2567"/>
      <c r="ILX80" s="2567"/>
      <c r="ILY80" s="2567"/>
      <c r="ILZ80" s="2567"/>
      <c r="IMA80" s="2567"/>
      <c r="IMB80" s="2567"/>
      <c r="IMC80" s="2567"/>
      <c r="IMD80" s="2567"/>
      <c r="IME80" s="2567"/>
      <c r="IMF80" s="2567"/>
      <c r="IMG80" s="2567"/>
      <c r="IMH80" s="2567"/>
      <c r="IMI80" s="2567"/>
      <c r="IMJ80" s="2567"/>
      <c r="IMK80" s="2567"/>
      <c r="IML80" s="2567"/>
      <c r="IMM80" s="2567"/>
      <c r="IMN80" s="2567"/>
      <c r="IMO80" s="2567"/>
      <c r="IMP80" s="2567"/>
      <c r="IMQ80" s="2567"/>
      <c r="IMR80" s="2567"/>
      <c r="IMS80" s="2567"/>
      <c r="IMT80" s="2567"/>
      <c r="IMU80" s="2567"/>
      <c r="IMV80" s="2567"/>
      <c r="IMW80" s="2567"/>
      <c r="IMX80" s="2567"/>
      <c r="IMY80" s="2567"/>
      <c r="IMZ80" s="2567"/>
      <c r="INA80" s="2567"/>
      <c r="INB80" s="2567"/>
      <c r="INC80" s="2567"/>
      <c r="IND80" s="2567"/>
      <c r="INE80" s="2567"/>
      <c r="INF80" s="2567"/>
      <c r="ING80" s="2567"/>
      <c r="INH80" s="2567"/>
      <c r="INI80" s="2567"/>
      <c r="INJ80" s="2567"/>
      <c r="INK80" s="2567"/>
      <c r="INL80" s="2567"/>
      <c r="INM80" s="2567"/>
      <c r="INN80" s="2567"/>
      <c r="INO80" s="2567"/>
      <c r="INP80" s="2567"/>
      <c r="INQ80" s="2567"/>
      <c r="INR80" s="2567"/>
      <c r="INS80" s="2567"/>
      <c r="INT80" s="2567"/>
      <c r="INU80" s="2567"/>
      <c r="INV80" s="2567"/>
      <c r="INW80" s="2567"/>
      <c r="INX80" s="2567"/>
      <c r="INY80" s="2567"/>
      <c r="INZ80" s="2567"/>
      <c r="IOA80" s="2567"/>
      <c r="IOB80" s="2567"/>
      <c r="IOC80" s="2567"/>
      <c r="IOD80" s="2567"/>
      <c r="IOE80" s="2567"/>
      <c r="IOF80" s="2567"/>
      <c r="IOG80" s="2567"/>
      <c r="IOH80" s="2567"/>
      <c r="IOI80" s="2567"/>
      <c r="IOJ80" s="2567"/>
      <c r="IOK80" s="2567"/>
      <c r="IOL80" s="2567"/>
      <c r="IOM80" s="2567"/>
      <c r="ION80" s="2567"/>
      <c r="IOO80" s="2567"/>
      <c r="IOP80" s="2567"/>
      <c r="IOQ80" s="2567"/>
      <c r="IOR80" s="2567"/>
      <c r="IOS80" s="2567"/>
      <c r="IOT80" s="2567"/>
      <c r="IOU80" s="2567"/>
      <c r="IOV80" s="2567"/>
      <c r="IOW80" s="2567"/>
      <c r="IOX80" s="2567"/>
      <c r="IOY80" s="2567"/>
      <c r="IOZ80" s="2567"/>
      <c r="IPA80" s="2567"/>
      <c r="IPB80" s="2567"/>
      <c r="IPC80" s="2567"/>
      <c r="IPD80" s="2567"/>
      <c r="IPE80" s="2567"/>
      <c r="IPF80" s="2567"/>
      <c r="IPG80" s="2567"/>
      <c r="IPH80" s="2567"/>
      <c r="IPI80" s="2567"/>
      <c r="IPJ80" s="2567"/>
      <c r="IPK80" s="2567"/>
      <c r="IPL80" s="2567"/>
      <c r="IPM80" s="2567"/>
      <c r="IPN80" s="2567"/>
      <c r="IPO80" s="2567"/>
      <c r="IPP80" s="2567"/>
      <c r="IPQ80" s="2567"/>
      <c r="IPR80" s="2567"/>
      <c r="IPS80" s="2567"/>
      <c r="IPT80" s="2567"/>
      <c r="IPU80" s="2567"/>
      <c r="IPV80" s="2567"/>
      <c r="IPW80" s="2567"/>
      <c r="IPX80" s="2567"/>
      <c r="IPY80" s="2567"/>
      <c r="IPZ80" s="2567"/>
      <c r="IQA80" s="2567"/>
      <c r="IQB80" s="2567"/>
      <c r="IQC80" s="2567"/>
      <c r="IQD80" s="2567"/>
      <c r="IQE80" s="2567"/>
      <c r="IQF80" s="2567"/>
      <c r="IQG80" s="2567"/>
      <c r="IQH80" s="2567"/>
      <c r="IQI80" s="2567"/>
      <c r="IQJ80" s="2567"/>
      <c r="IQK80" s="2567"/>
      <c r="IQL80" s="2567"/>
      <c r="IQM80" s="2567"/>
      <c r="IQN80" s="2567"/>
      <c r="IQO80" s="2567"/>
      <c r="IQP80" s="2567"/>
      <c r="IQQ80" s="2567"/>
      <c r="IQR80" s="2567"/>
      <c r="IQS80" s="2567"/>
      <c r="IQT80" s="2567"/>
      <c r="IQU80" s="2567"/>
      <c r="IQV80" s="2567"/>
      <c r="IQW80" s="2567"/>
      <c r="IQX80" s="2567"/>
      <c r="IQY80" s="2567"/>
      <c r="IQZ80" s="2567"/>
      <c r="IRA80" s="2567"/>
      <c r="IRB80" s="2567"/>
      <c r="IRC80" s="2567"/>
      <c r="IRD80" s="2567"/>
      <c r="IRE80" s="2567"/>
      <c r="IRF80" s="2567"/>
      <c r="IRG80" s="2567"/>
      <c r="IRH80" s="2567"/>
      <c r="IRI80" s="2567"/>
      <c r="IRJ80" s="2567"/>
      <c r="IRK80" s="2567"/>
      <c r="IRL80" s="2567"/>
      <c r="IRM80" s="2567"/>
      <c r="IRN80" s="2567"/>
      <c r="IRO80" s="2567"/>
      <c r="IRP80" s="2567"/>
      <c r="IRQ80" s="2567"/>
      <c r="IRR80" s="2567"/>
      <c r="IRS80" s="2567"/>
      <c r="IRT80" s="2567"/>
      <c r="IRU80" s="2567"/>
      <c r="IRV80" s="2567"/>
      <c r="IRW80" s="2567"/>
      <c r="IRX80" s="2567"/>
      <c r="IRY80" s="2567"/>
      <c r="IRZ80" s="2567"/>
      <c r="ISA80" s="2567"/>
      <c r="ISB80" s="2567"/>
      <c r="ISC80" s="2567"/>
      <c r="ISD80" s="2567"/>
      <c r="ISE80" s="2567"/>
      <c r="ISF80" s="2567"/>
      <c r="ISG80" s="2567"/>
      <c r="ISH80" s="2567"/>
      <c r="ISI80" s="2567"/>
      <c r="ISJ80" s="2567"/>
      <c r="ISK80" s="2567"/>
      <c r="ISL80" s="2567"/>
      <c r="ISM80" s="2567"/>
      <c r="ISN80" s="2567"/>
      <c r="ISO80" s="2567"/>
      <c r="ISP80" s="2567"/>
      <c r="ISQ80" s="2567"/>
      <c r="ISR80" s="2567"/>
      <c r="ISS80" s="2567"/>
      <c r="IST80" s="2567"/>
      <c r="ISU80" s="2567"/>
      <c r="ISV80" s="2567"/>
      <c r="ISW80" s="2567"/>
      <c r="ISX80" s="2567"/>
      <c r="ISY80" s="2567"/>
      <c r="ISZ80" s="2567"/>
      <c r="ITA80" s="2567"/>
      <c r="ITB80" s="2567"/>
      <c r="ITC80" s="2567"/>
      <c r="ITD80" s="2567"/>
      <c r="ITE80" s="2567"/>
      <c r="ITF80" s="2567"/>
      <c r="ITG80" s="2567"/>
      <c r="ITH80" s="2567"/>
      <c r="ITI80" s="2567"/>
      <c r="ITJ80" s="2567"/>
      <c r="ITK80" s="2567"/>
      <c r="ITL80" s="2567"/>
      <c r="ITM80" s="2567"/>
      <c r="ITN80" s="2567"/>
      <c r="ITO80" s="2567"/>
      <c r="ITP80" s="2567"/>
      <c r="ITQ80" s="2567"/>
      <c r="ITR80" s="2567"/>
      <c r="ITS80" s="2567"/>
      <c r="ITT80" s="2567"/>
      <c r="ITU80" s="2567"/>
      <c r="ITV80" s="2567"/>
      <c r="ITW80" s="2567"/>
      <c r="ITX80" s="2567"/>
      <c r="ITY80" s="2567"/>
      <c r="ITZ80" s="2567"/>
      <c r="IUA80" s="2567"/>
      <c r="IUB80" s="2567"/>
      <c r="IUC80" s="2567"/>
      <c r="IUD80" s="2567"/>
      <c r="IUE80" s="2567"/>
      <c r="IUF80" s="2567"/>
      <c r="IUG80" s="2567"/>
      <c r="IUH80" s="2567"/>
      <c r="IUI80" s="2567"/>
      <c r="IUJ80" s="2567"/>
      <c r="IUK80" s="2567"/>
      <c r="IUL80" s="2567"/>
      <c r="IUM80" s="2567"/>
      <c r="IUN80" s="2567"/>
      <c r="IUO80" s="2567"/>
      <c r="IUP80" s="2567"/>
      <c r="IUQ80" s="2567"/>
      <c r="IUR80" s="2567"/>
      <c r="IUS80" s="2567"/>
      <c r="IUT80" s="2567"/>
      <c r="IUU80" s="2567"/>
      <c r="IUV80" s="2567"/>
      <c r="IUW80" s="2567"/>
      <c r="IUX80" s="2567"/>
      <c r="IUY80" s="2567"/>
      <c r="IUZ80" s="2567"/>
      <c r="IVA80" s="2567"/>
      <c r="IVB80" s="2567"/>
      <c r="IVC80" s="2567"/>
      <c r="IVD80" s="2567"/>
      <c r="IVE80" s="2567"/>
      <c r="IVF80" s="2567"/>
      <c r="IVG80" s="2567"/>
      <c r="IVH80" s="2567"/>
      <c r="IVI80" s="2567"/>
      <c r="IVJ80" s="2567"/>
      <c r="IVK80" s="2567"/>
      <c r="IVL80" s="2567"/>
      <c r="IVM80" s="2567"/>
      <c r="IVN80" s="2567"/>
      <c r="IVO80" s="2567"/>
      <c r="IVP80" s="2567"/>
      <c r="IVQ80" s="2567"/>
      <c r="IVR80" s="2567"/>
      <c r="IVS80" s="2567"/>
      <c r="IVT80" s="2567"/>
      <c r="IVU80" s="2567"/>
      <c r="IVV80" s="2567"/>
      <c r="IVW80" s="2567"/>
      <c r="IVX80" s="2567"/>
      <c r="IVY80" s="2567"/>
      <c r="IVZ80" s="2567"/>
      <c r="IWA80" s="2567"/>
      <c r="IWB80" s="2567"/>
      <c r="IWC80" s="2567"/>
      <c r="IWD80" s="2567"/>
      <c r="IWE80" s="2567"/>
      <c r="IWF80" s="2567"/>
      <c r="IWG80" s="2567"/>
      <c r="IWH80" s="2567"/>
      <c r="IWI80" s="2567"/>
      <c r="IWJ80" s="2567"/>
      <c r="IWK80" s="2567"/>
      <c r="IWL80" s="2567"/>
      <c r="IWM80" s="2567"/>
      <c r="IWN80" s="2567"/>
      <c r="IWO80" s="2567"/>
      <c r="IWP80" s="2567"/>
      <c r="IWQ80" s="2567"/>
      <c r="IWR80" s="2567"/>
      <c r="IWS80" s="2567"/>
      <c r="IWT80" s="2567"/>
      <c r="IWU80" s="2567"/>
      <c r="IWV80" s="2567"/>
      <c r="IWW80" s="2567"/>
      <c r="IWX80" s="2567"/>
      <c r="IWY80" s="2567"/>
      <c r="IWZ80" s="2567"/>
      <c r="IXA80" s="2567"/>
      <c r="IXB80" s="2567"/>
      <c r="IXC80" s="2567"/>
      <c r="IXD80" s="2567"/>
      <c r="IXE80" s="2567"/>
      <c r="IXF80" s="2567"/>
      <c r="IXG80" s="2567"/>
      <c r="IXH80" s="2567"/>
      <c r="IXI80" s="2567"/>
      <c r="IXJ80" s="2567"/>
      <c r="IXK80" s="2567"/>
      <c r="IXL80" s="2567"/>
      <c r="IXM80" s="2567"/>
      <c r="IXN80" s="2567"/>
      <c r="IXO80" s="2567"/>
      <c r="IXP80" s="2567"/>
      <c r="IXQ80" s="2567"/>
      <c r="IXR80" s="2567"/>
      <c r="IXS80" s="2567"/>
      <c r="IXT80" s="2567"/>
      <c r="IXU80" s="2567"/>
      <c r="IXV80" s="2567"/>
      <c r="IXW80" s="2567"/>
      <c r="IXX80" s="2567"/>
      <c r="IXY80" s="2567"/>
      <c r="IXZ80" s="2567"/>
      <c r="IYA80" s="2567"/>
      <c r="IYB80" s="2567"/>
      <c r="IYC80" s="2567"/>
      <c r="IYD80" s="2567"/>
      <c r="IYE80" s="2567"/>
      <c r="IYF80" s="2567"/>
      <c r="IYG80" s="2567"/>
      <c r="IYH80" s="2567"/>
      <c r="IYI80" s="2567"/>
      <c r="IYJ80" s="2567"/>
      <c r="IYK80" s="2567"/>
      <c r="IYL80" s="2567"/>
      <c r="IYM80" s="2567"/>
      <c r="IYN80" s="2567"/>
      <c r="IYO80" s="2567"/>
      <c r="IYP80" s="2567"/>
      <c r="IYQ80" s="2567"/>
      <c r="IYR80" s="2567"/>
      <c r="IYS80" s="2567"/>
      <c r="IYT80" s="2567"/>
      <c r="IYU80" s="2567"/>
      <c r="IYV80" s="2567"/>
      <c r="IYW80" s="2567"/>
      <c r="IYX80" s="2567"/>
      <c r="IYY80" s="2567"/>
      <c r="IYZ80" s="2567"/>
      <c r="IZA80" s="2567"/>
      <c r="IZB80" s="2567"/>
      <c r="IZC80" s="2567"/>
      <c r="IZD80" s="2567"/>
      <c r="IZE80" s="2567"/>
      <c r="IZF80" s="2567"/>
      <c r="IZG80" s="2567"/>
      <c r="IZH80" s="2567"/>
      <c r="IZI80" s="2567"/>
      <c r="IZJ80" s="2567"/>
      <c r="IZK80" s="2567"/>
      <c r="IZL80" s="2567"/>
      <c r="IZM80" s="2567"/>
      <c r="IZN80" s="2567"/>
      <c r="IZO80" s="2567"/>
      <c r="IZP80" s="2567"/>
      <c r="IZQ80" s="2567"/>
      <c r="IZR80" s="2567"/>
      <c r="IZS80" s="2567"/>
      <c r="IZT80" s="2567"/>
      <c r="IZU80" s="2567"/>
      <c r="IZV80" s="2567"/>
      <c r="IZW80" s="2567"/>
      <c r="IZX80" s="2567"/>
      <c r="IZY80" s="2567"/>
      <c r="IZZ80" s="2567"/>
      <c r="JAA80" s="2567"/>
      <c r="JAB80" s="2567"/>
      <c r="JAC80" s="2567"/>
      <c r="JAD80" s="2567"/>
      <c r="JAE80" s="2567"/>
      <c r="JAF80" s="2567"/>
      <c r="JAG80" s="2567"/>
      <c r="JAH80" s="2567"/>
      <c r="JAI80" s="2567"/>
      <c r="JAJ80" s="2567"/>
      <c r="JAK80" s="2567"/>
      <c r="JAL80" s="2567"/>
      <c r="JAM80" s="2567"/>
      <c r="JAN80" s="2567"/>
      <c r="JAO80" s="2567"/>
      <c r="JAP80" s="2567"/>
      <c r="JAQ80" s="2567"/>
      <c r="JAR80" s="2567"/>
      <c r="JAS80" s="2567"/>
      <c r="JAT80" s="2567"/>
      <c r="JAU80" s="2567"/>
      <c r="JAV80" s="2567"/>
      <c r="JAW80" s="2567"/>
      <c r="JAX80" s="2567"/>
      <c r="JAY80" s="2567"/>
      <c r="JAZ80" s="2567"/>
      <c r="JBA80" s="2567"/>
      <c r="JBB80" s="2567"/>
      <c r="JBC80" s="2567"/>
      <c r="JBD80" s="2567"/>
      <c r="JBE80" s="2567"/>
      <c r="JBF80" s="2567"/>
      <c r="JBG80" s="2567"/>
      <c r="JBH80" s="2567"/>
      <c r="JBI80" s="2567"/>
      <c r="JBJ80" s="2567"/>
      <c r="JBK80" s="2567"/>
      <c r="JBL80" s="2567"/>
      <c r="JBM80" s="2567"/>
      <c r="JBN80" s="2567"/>
      <c r="JBO80" s="2567"/>
      <c r="JBP80" s="2567"/>
      <c r="JBQ80" s="2567"/>
      <c r="JBR80" s="2567"/>
      <c r="JBS80" s="2567"/>
      <c r="JBT80" s="2567"/>
      <c r="JBU80" s="2567"/>
      <c r="JBV80" s="2567"/>
      <c r="JBW80" s="2567"/>
      <c r="JBX80" s="2567"/>
      <c r="JBY80" s="2567"/>
      <c r="JBZ80" s="2567"/>
      <c r="JCA80" s="2567"/>
      <c r="JCB80" s="2567"/>
      <c r="JCC80" s="2567"/>
      <c r="JCD80" s="2567"/>
      <c r="JCE80" s="2567"/>
      <c r="JCF80" s="2567"/>
      <c r="JCG80" s="2567"/>
      <c r="JCH80" s="2567"/>
      <c r="JCI80" s="2567"/>
      <c r="JCJ80" s="2567"/>
      <c r="JCK80" s="2567"/>
      <c r="JCL80" s="2567"/>
      <c r="JCM80" s="2567"/>
      <c r="JCN80" s="2567"/>
      <c r="JCO80" s="2567"/>
      <c r="JCP80" s="2567"/>
      <c r="JCQ80" s="2567"/>
      <c r="JCR80" s="2567"/>
      <c r="JCS80" s="2567"/>
      <c r="JCT80" s="2567"/>
      <c r="JCU80" s="2567"/>
      <c r="JCV80" s="2567"/>
      <c r="JCW80" s="2567"/>
      <c r="JCX80" s="2567"/>
      <c r="JCY80" s="2567"/>
      <c r="JCZ80" s="2567"/>
      <c r="JDA80" s="2567"/>
      <c r="JDB80" s="2567"/>
      <c r="JDC80" s="2567"/>
      <c r="JDD80" s="2567"/>
      <c r="JDE80" s="2567"/>
      <c r="JDF80" s="2567"/>
      <c r="JDG80" s="2567"/>
      <c r="JDH80" s="2567"/>
      <c r="JDI80" s="2567"/>
      <c r="JDJ80" s="2567"/>
      <c r="JDK80" s="2567"/>
      <c r="JDL80" s="2567"/>
      <c r="JDM80" s="2567"/>
      <c r="JDN80" s="2567"/>
      <c r="JDO80" s="2567"/>
      <c r="JDP80" s="2567"/>
      <c r="JDQ80" s="2567"/>
      <c r="JDR80" s="2567"/>
      <c r="JDS80" s="2567"/>
      <c r="JDT80" s="2567"/>
      <c r="JDU80" s="2567"/>
      <c r="JDV80" s="2567"/>
      <c r="JDW80" s="2567"/>
      <c r="JDX80" s="2567"/>
      <c r="JDY80" s="2567"/>
      <c r="JDZ80" s="2567"/>
      <c r="JEA80" s="2567"/>
      <c r="JEB80" s="2567"/>
      <c r="JEC80" s="2567"/>
      <c r="JED80" s="2567"/>
      <c r="JEE80" s="2567"/>
      <c r="JEF80" s="2567"/>
      <c r="JEG80" s="2567"/>
      <c r="JEH80" s="2567"/>
      <c r="JEI80" s="2567"/>
      <c r="JEJ80" s="2567"/>
      <c r="JEK80" s="2567"/>
      <c r="JEL80" s="2567"/>
      <c r="JEM80" s="2567"/>
      <c r="JEN80" s="2567"/>
      <c r="JEO80" s="2567"/>
      <c r="JEP80" s="2567"/>
      <c r="JEQ80" s="2567"/>
      <c r="JER80" s="2567"/>
      <c r="JES80" s="2567"/>
      <c r="JET80" s="2567"/>
      <c r="JEU80" s="2567"/>
      <c r="JEV80" s="2567"/>
      <c r="JEW80" s="2567"/>
      <c r="JEX80" s="2567"/>
      <c r="JEY80" s="2567"/>
      <c r="JEZ80" s="2567"/>
      <c r="JFA80" s="2567"/>
      <c r="JFB80" s="2567"/>
      <c r="JFC80" s="2567"/>
      <c r="JFD80" s="2567"/>
      <c r="JFE80" s="2567"/>
      <c r="JFF80" s="2567"/>
      <c r="JFG80" s="2567"/>
      <c r="JFH80" s="2567"/>
      <c r="JFI80" s="2567"/>
      <c r="JFJ80" s="2567"/>
      <c r="JFK80" s="2567"/>
      <c r="JFL80" s="2567"/>
      <c r="JFM80" s="2567"/>
      <c r="JFN80" s="2567"/>
      <c r="JFO80" s="2567"/>
      <c r="JFP80" s="2567"/>
      <c r="JFQ80" s="2567"/>
      <c r="JFR80" s="2567"/>
      <c r="JFS80" s="2567"/>
      <c r="JFT80" s="2567"/>
      <c r="JFU80" s="2567"/>
      <c r="JFV80" s="2567"/>
      <c r="JFW80" s="2567"/>
      <c r="JFX80" s="2567"/>
      <c r="JFY80" s="2567"/>
      <c r="JFZ80" s="2567"/>
      <c r="JGA80" s="2567"/>
      <c r="JGB80" s="2567"/>
      <c r="JGC80" s="2567"/>
      <c r="JGD80" s="2567"/>
      <c r="JGE80" s="2567"/>
      <c r="JGF80" s="2567"/>
      <c r="JGG80" s="2567"/>
      <c r="JGH80" s="2567"/>
      <c r="JGI80" s="2567"/>
      <c r="JGJ80" s="2567"/>
      <c r="JGK80" s="2567"/>
      <c r="JGL80" s="2567"/>
      <c r="JGM80" s="2567"/>
      <c r="JGN80" s="2567"/>
      <c r="JGO80" s="2567"/>
      <c r="JGP80" s="2567"/>
      <c r="JGQ80" s="2567"/>
      <c r="JGR80" s="2567"/>
      <c r="JGS80" s="2567"/>
      <c r="JGT80" s="2567"/>
      <c r="JGU80" s="2567"/>
      <c r="JGV80" s="2567"/>
      <c r="JGW80" s="2567"/>
      <c r="JGX80" s="2567"/>
      <c r="JGY80" s="2567"/>
      <c r="JGZ80" s="2567"/>
      <c r="JHA80" s="2567"/>
      <c r="JHB80" s="2567"/>
      <c r="JHC80" s="2567"/>
      <c r="JHD80" s="2567"/>
      <c r="JHE80" s="2567"/>
      <c r="JHF80" s="2567"/>
      <c r="JHG80" s="2567"/>
      <c r="JHH80" s="2567"/>
      <c r="JHI80" s="2567"/>
      <c r="JHJ80" s="2567"/>
      <c r="JHK80" s="2567"/>
      <c r="JHL80" s="2567"/>
      <c r="JHM80" s="2567"/>
      <c r="JHN80" s="2567"/>
      <c r="JHO80" s="2567"/>
      <c r="JHP80" s="2567"/>
      <c r="JHQ80" s="2567"/>
      <c r="JHR80" s="2567"/>
      <c r="JHS80" s="2567"/>
      <c r="JHT80" s="2567"/>
      <c r="JHU80" s="2567"/>
      <c r="JHV80" s="2567"/>
      <c r="JHW80" s="2567"/>
      <c r="JHX80" s="2567"/>
      <c r="JHY80" s="2567"/>
      <c r="JHZ80" s="2567"/>
      <c r="JIA80" s="2567"/>
      <c r="JIB80" s="2567"/>
      <c r="JIC80" s="2567"/>
      <c r="JID80" s="2567"/>
      <c r="JIE80" s="2567"/>
      <c r="JIF80" s="2567"/>
      <c r="JIG80" s="2567"/>
      <c r="JIH80" s="2567"/>
      <c r="JII80" s="2567"/>
      <c r="JIJ80" s="2567"/>
      <c r="JIK80" s="2567"/>
      <c r="JIL80" s="2567"/>
      <c r="JIM80" s="2567"/>
      <c r="JIN80" s="2567"/>
      <c r="JIO80" s="2567"/>
      <c r="JIP80" s="2567"/>
      <c r="JIQ80" s="2567"/>
      <c r="JIR80" s="2567"/>
      <c r="JIS80" s="2567"/>
      <c r="JIT80" s="2567"/>
      <c r="JIU80" s="2567"/>
      <c r="JIV80" s="2567"/>
      <c r="JIW80" s="2567"/>
      <c r="JIX80" s="2567"/>
      <c r="JIY80" s="2567"/>
      <c r="JIZ80" s="2567"/>
      <c r="JJA80" s="2567"/>
      <c r="JJB80" s="2567"/>
      <c r="JJC80" s="2567"/>
      <c r="JJD80" s="2567"/>
      <c r="JJE80" s="2567"/>
      <c r="JJF80" s="2567"/>
      <c r="JJG80" s="2567"/>
      <c r="JJH80" s="2567"/>
      <c r="JJI80" s="2567"/>
      <c r="JJJ80" s="2567"/>
      <c r="JJK80" s="2567"/>
      <c r="JJL80" s="2567"/>
      <c r="JJM80" s="2567"/>
      <c r="JJN80" s="2567"/>
      <c r="JJO80" s="2567"/>
      <c r="JJP80" s="2567"/>
      <c r="JJQ80" s="2567"/>
      <c r="JJR80" s="2567"/>
      <c r="JJS80" s="2567"/>
      <c r="JJT80" s="2567"/>
      <c r="JJU80" s="2567"/>
      <c r="JJV80" s="2567"/>
      <c r="JJW80" s="2567"/>
      <c r="JJX80" s="2567"/>
      <c r="JJY80" s="2567"/>
      <c r="JJZ80" s="2567"/>
      <c r="JKA80" s="2567"/>
      <c r="JKB80" s="2567"/>
      <c r="JKC80" s="2567"/>
      <c r="JKD80" s="2567"/>
      <c r="JKE80" s="2567"/>
      <c r="JKF80" s="2567"/>
      <c r="JKG80" s="2567"/>
      <c r="JKH80" s="2567"/>
      <c r="JKI80" s="2567"/>
      <c r="JKJ80" s="2567"/>
      <c r="JKK80" s="2567"/>
      <c r="JKL80" s="2567"/>
      <c r="JKM80" s="2567"/>
      <c r="JKN80" s="2567"/>
      <c r="JKO80" s="2567"/>
      <c r="JKP80" s="2567"/>
      <c r="JKQ80" s="2567"/>
      <c r="JKR80" s="2567"/>
      <c r="JKS80" s="2567"/>
      <c r="JKT80" s="2567"/>
      <c r="JKU80" s="2567"/>
      <c r="JKV80" s="2567"/>
      <c r="JKW80" s="2567"/>
      <c r="JKX80" s="2567"/>
      <c r="JKY80" s="2567"/>
      <c r="JKZ80" s="2567"/>
      <c r="JLA80" s="2567"/>
      <c r="JLB80" s="2567"/>
      <c r="JLC80" s="2567"/>
      <c r="JLD80" s="2567"/>
      <c r="JLE80" s="2567"/>
      <c r="JLF80" s="2567"/>
      <c r="JLG80" s="2567"/>
      <c r="JLH80" s="2567"/>
      <c r="JLI80" s="2567"/>
      <c r="JLJ80" s="2567"/>
      <c r="JLK80" s="2567"/>
      <c r="JLL80" s="2567"/>
      <c r="JLM80" s="2567"/>
      <c r="JLN80" s="2567"/>
      <c r="JLO80" s="2567"/>
      <c r="JLP80" s="2567"/>
      <c r="JLQ80" s="2567"/>
      <c r="JLR80" s="2567"/>
      <c r="JLS80" s="2567"/>
      <c r="JLT80" s="2567"/>
      <c r="JLU80" s="2567"/>
      <c r="JLV80" s="2567"/>
      <c r="JLW80" s="2567"/>
      <c r="JLX80" s="2567"/>
      <c r="JLY80" s="2567"/>
      <c r="JLZ80" s="2567"/>
      <c r="JMA80" s="2567"/>
      <c r="JMB80" s="2567"/>
      <c r="JMC80" s="2567"/>
      <c r="JMD80" s="2567"/>
      <c r="JME80" s="2567"/>
      <c r="JMF80" s="2567"/>
      <c r="JMG80" s="2567"/>
      <c r="JMH80" s="2567"/>
      <c r="JMI80" s="2567"/>
      <c r="JMJ80" s="2567"/>
      <c r="JMK80" s="2567"/>
      <c r="JML80" s="2567"/>
      <c r="JMM80" s="2567"/>
      <c r="JMN80" s="2567"/>
      <c r="JMO80" s="2567"/>
      <c r="JMP80" s="2567"/>
      <c r="JMQ80" s="2567"/>
      <c r="JMR80" s="2567"/>
      <c r="JMS80" s="2567"/>
      <c r="JMT80" s="2567"/>
      <c r="JMU80" s="2567"/>
      <c r="JMV80" s="2567"/>
      <c r="JMW80" s="2567"/>
      <c r="JMX80" s="2567"/>
      <c r="JMY80" s="2567"/>
      <c r="JMZ80" s="2567"/>
      <c r="JNA80" s="2567"/>
      <c r="JNB80" s="2567"/>
      <c r="JNC80" s="2567"/>
      <c r="JND80" s="2567"/>
      <c r="JNE80" s="2567"/>
      <c r="JNF80" s="2567"/>
      <c r="JNG80" s="2567"/>
      <c r="JNH80" s="2567"/>
      <c r="JNI80" s="2567"/>
      <c r="JNJ80" s="2567"/>
      <c r="JNK80" s="2567"/>
      <c r="JNL80" s="2567"/>
      <c r="JNM80" s="2567"/>
      <c r="JNN80" s="2567"/>
      <c r="JNO80" s="2567"/>
      <c r="JNP80" s="2567"/>
      <c r="JNQ80" s="2567"/>
      <c r="JNR80" s="2567"/>
      <c r="JNS80" s="2567"/>
      <c r="JNT80" s="2567"/>
      <c r="JNU80" s="2567"/>
      <c r="JNV80" s="2567"/>
      <c r="JNW80" s="2567"/>
      <c r="JNX80" s="2567"/>
      <c r="JNY80" s="2567"/>
      <c r="JNZ80" s="2567"/>
      <c r="JOA80" s="2567"/>
      <c r="JOB80" s="2567"/>
      <c r="JOC80" s="2567"/>
      <c r="JOD80" s="2567"/>
      <c r="JOE80" s="2567"/>
      <c r="JOF80" s="2567"/>
      <c r="JOG80" s="2567"/>
      <c r="JOH80" s="2567"/>
      <c r="JOI80" s="2567"/>
      <c r="JOJ80" s="2567"/>
      <c r="JOK80" s="2567"/>
      <c r="JOL80" s="2567"/>
      <c r="JOM80" s="2567"/>
      <c r="JON80" s="2567"/>
      <c r="JOO80" s="2567"/>
      <c r="JOP80" s="2567"/>
      <c r="JOQ80" s="2567"/>
      <c r="JOR80" s="2567"/>
      <c r="JOS80" s="2567"/>
      <c r="JOT80" s="2567"/>
      <c r="JOU80" s="2567"/>
      <c r="JOV80" s="2567"/>
      <c r="JOW80" s="2567"/>
      <c r="JOX80" s="2567"/>
      <c r="JOY80" s="2567"/>
      <c r="JOZ80" s="2567"/>
      <c r="JPA80" s="2567"/>
      <c r="JPB80" s="2567"/>
      <c r="JPC80" s="2567"/>
      <c r="JPD80" s="2567"/>
      <c r="JPE80" s="2567"/>
      <c r="JPF80" s="2567"/>
      <c r="JPG80" s="2567"/>
      <c r="JPH80" s="2567"/>
      <c r="JPI80" s="2567"/>
      <c r="JPJ80" s="2567"/>
      <c r="JPK80" s="2567"/>
      <c r="JPL80" s="2567"/>
      <c r="JPM80" s="2567"/>
      <c r="JPN80" s="2567"/>
      <c r="JPO80" s="2567"/>
      <c r="JPP80" s="2567"/>
      <c r="JPQ80" s="2567"/>
      <c r="JPR80" s="2567"/>
      <c r="JPS80" s="2567"/>
      <c r="JPT80" s="2567"/>
      <c r="JPU80" s="2567"/>
      <c r="JPV80" s="2567"/>
      <c r="JPW80" s="2567"/>
      <c r="JPX80" s="2567"/>
      <c r="JPY80" s="2567"/>
      <c r="JPZ80" s="2567"/>
      <c r="JQA80" s="2567"/>
      <c r="JQB80" s="2567"/>
      <c r="JQC80" s="2567"/>
      <c r="JQD80" s="2567"/>
      <c r="JQE80" s="2567"/>
      <c r="JQF80" s="2567"/>
      <c r="JQG80" s="2567"/>
      <c r="JQH80" s="2567"/>
      <c r="JQI80" s="2567"/>
      <c r="JQJ80" s="2567"/>
      <c r="JQK80" s="2567"/>
      <c r="JQL80" s="2567"/>
      <c r="JQM80" s="2567"/>
      <c r="JQN80" s="2567"/>
      <c r="JQO80" s="2567"/>
      <c r="JQP80" s="2567"/>
      <c r="JQQ80" s="2567"/>
      <c r="JQR80" s="2567"/>
      <c r="JQS80" s="2567"/>
      <c r="JQT80" s="2567"/>
      <c r="JQU80" s="2567"/>
      <c r="JQV80" s="2567"/>
      <c r="JQW80" s="2567"/>
      <c r="JQX80" s="2567"/>
      <c r="JQY80" s="2567"/>
      <c r="JQZ80" s="2567"/>
      <c r="JRA80" s="2567"/>
      <c r="JRB80" s="2567"/>
      <c r="JRC80" s="2567"/>
      <c r="JRD80" s="2567"/>
      <c r="JRE80" s="2567"/>
      <c r="JRF80" s="2567"/>
      <c r="JRG80" s="2567"/>
      <c r="JRH80" s="2567"/>
      <c r="JRI80" s="2567"/>
      <c r="JRJ80" s="2567"/>
      <c r="JRK80" s="2567"/>
      <c r="JRL80" s="2567"/>
      <c r="JRM80" s="2567"/>
      <c r="JRN80" s="2567"/>
      <c r="JRO80" s="2567"/>
      <c r="JRP80" s="2567"/>
      <c r="JRQ80" s="2567"/>
      <c r="JRR80" s="2567"/>
      <c r="JRS80" s="2567"/>
      <c r="JRT80" s="2567"/>
      <c r="JRU80" s="2567"/>
      <c r="JRV80" s="2567"/>
      <c r="JRW80" s="2567"/>
      <c r="JRX80" s="2567"/>
      <c r="JRY80" s="2567"/>
      <c r="JRZ80" s="2567"/>
      <c r="JSA80" s="2567"/>
      <c r="JSB80" s="2567"/>
      <c r="JSC80" s="2567"/>
      <c r="JSD80" s="2567"/>
      <c r="JSE80" s="2567"/>
      <c r="JSF80" s="2567"/>
      <c r="JSG80" s="2567"/>
      <c r="JSH80" s="2567"/>
      <c r="JSI80" s="2567"/>
      <c r="JSJ80" s="2567"/>
      <c r="JSK80" s="2567"/>
      <c r="JSL80" s="2567"/>
      <c r="JSM80" s="2567"/>
      <c r="JSN80" s="2567"/>
      <c r="JSO80" s="2567"/>
      <c r="JSP80" s="2567"/>
      <c r="JSQ80" s="2567"/>
      <c r="JSR80" s="2567"/>
      <c r="JSS80" s="2567"/>
      <c r="JST80" s="2567"/>
      <c r="JSU80" s="2567"/>
      <c r="JSV80" s="2567"/>
      <c r="JSW80" s="2567"/>
      <c r="JSX80" s="2567"/>
      <c r="JSY80" s="2567"/>
      <c r="JSZ80" s="2567"/>
      <c r="JTA80" s="2567"/>
      <c r="JTB80" s="2567"/>
      <c r="JTC80" s="2567"/>
      <c r="JTD80" s="2567"/>
      <c r="JTE80" s="2567"/>
      <c r="JTF80" s="2567"/>
      <c r="JTG80" s="2567"/>
      <c r="JTH80" s="2567"/>
      <c r="JTI80" s="2567"/>
      <c r="JTJ80" s="2567"/>
      <c r="JTK80" s="2567"/>
      <c r="JTL80" s="2567"/>
      <c r="JTM80" s="2567"/>
      <c r="JTN80" s="2567"/>
      <c r="JTO80" s="2567"/>
      <c r="JTP80" s="2567"/>
      <c r="JTQ80" s="2567"/>
      <c r="JTR80" s="2567"/>
      <c r="JTS80" s="2567"/>
      <c r="JTT80" s="2567"/>
      <c r="JTU80" s="2567"/>
      <c r="JTV80" s="2567"/>
      <c r="JTW80" s="2567"/>
      <c r="JTX80" s="2567"/>
      <c r="JTY80" s="2567"/>
      <c r="JTZ80" s="2567"/>
      <c r="JUA80" s="2567"/>
      <c r="JUB80" s="2567"/>
      <c r="JUC80" s="2567"/>
      <c r="JUD80" s="2567"/>
      <c r="JUE80" s="2567"/>
      <c r="JUF80" s="2567"/>
      <c r="JUG80" s="2567"/>
      <c r="JUH80" s="2567"/>
      <c r="JUI80" s="2567"/>
      <c r="JUJ80" s="2567"/>
      <c r="JUK80" s="2567"/>
      <c r="JUL80" s="2567"/>
      <c r="JUM80" s="2567"/>
      <c r="JUN80" s="2567"/>
      <c r="JUO80" s="2567"/>
      <c r="JUP80" s="2567"/>
      <c r="JUQ80" s="2567"/>
      <c r="JUR80" s="2567"/>
      <c r="JUS80" s="2567"/>
      <c r="JUT80" s="2567"/>
      <c r="JUU80" s="2567"/>
      <c r="JUV80" s="2567"/>
      <c r="JUW80" s="2567"/>
      <c r="JUX80" s="2567"/>
      <c r="JUY80" s="2567"/>
      <c r="JUZ80" s="2567"/>
      <c r="JVA80" s="2567"/>
      <c r="JVB80" s="2567"/>
      <c r="JVC80" s="2567"/>
      <c r="JVD80" s="2567"/>
      <c r="JVE80" s="2567"/>
      <c r="JVF80" s="2567"/>
      <c r="JVG80" s="2567"/>
      <c r="JVH80" s="2567"/>
      <c r="JVI80" s="2567"/>
      <c r="JVJ80" s="2567"/>
      <c r="JVK80" s="2567"/>
      <c r="JVL80" s="2567"/>
      <c r="JVM80" s="2567"/>
      <c r="JVN80" s="2567"/>
      <c r="JVO80" s="2567"/>
      <c r="JVP80" s="2567"/>
      <c r="JVQ80" s="2567"/>
      <c r="JVR80" s="2567"/>
      <c r="JVS80" s="2567"/>
      <c r="JVT80" s="2567"/>
      <c r="JVU80" s="2567"/>
      <c r="JVV80" s="2567"/>
      <c r="JVW80" s="2567"/>
      <c r="JVX80" s="2567"/>
      <c r="JVY80" s="2567"/>
      <c r="JVZ80" s="2567"/>
      <c r="JWA80" s="2567"/>
      <c r="JWB80" s="2567"/>
      <c r="JWC80" s="2567"/>
      <c r="JWD80" s="2567"/>
      <c r="JWE80" s="2567"/>
      <c r="JWF80" s="2567"/>
      <c r="JWG80" s="2567"/>
      <c r="JWH80" s="2567"/>
      <c r="JWI80" s="2567"/>
      <c r="JWJ80" s="2567"/>
      <c r="JWK80" s="2567"/>
      <c r="JWL80" s="2567"/>
      <c r="JWM80" s="2567"/>
      <c r="JWN80" s="2567"/>
      <c r="JWO80" s="2567"/>
      <c r="JWP80" s="2567"/>
      <c r="JWQ80" s="2567"/>
      <c r="JWR80" s="2567"/>
      <c r="JWS80" s="2567"/>
      <c r="JWT80" s="2567"/>
      <c r="JWU80" s="2567"/>
      <c r="JWV80" s="2567"/>
      <c r="JWW80" s="2567"/>
      <c r="JWX80" s="2567"/>
      <c r="JWY80" s="2567"/>
      <c r="JWZ80" s="2567"/>
      <c r="JXA80" s="2567"/>
      <c r="JXB80" s="2567"/>
      <c r="JXC80" s="2567"/>
      <c r="JXD80" s="2567"/>
      <c r="JXE80" s="2567"/>
      <c r="JXF80" s="2567"/>
      <c r="JXG80" s="2567"/>
      <c r="JXH80" s="2567"/>
      <c r="JXI80" s="2567"/>
      <c r="JXJ80" s="2567"/>
      <c r="JXK80" s="2567"/>
      <c r="JXL80" s="2567"/>
      <c r="JXM80" s="2567"/>
      <c r="JXN80" s="2567"/>
      <c r="JXO80" s="2567"/>
      <c r="JXP80" s="2567"/>
      <c r="JXQ80" s="2567"/>
      <c r="JXR80" s="2567"/>
      <c r="JXS80" s="2567"/>
      <c r="JXT80" s="2567"/>
      <c r="JXU80" s="2567"/>
      <c r="JXV80" s="2567"/>
      <c r="JXW80" s="2567"/>
      <c r="JXX80" s="2567"/>
      <c r="JXY80" s="2567"/>
      <c r="JXZ80" s="2567"/>
      <c r="JYA80" s="2567"/>
      <c r="JYB80" s="2567"/>
      <c r="JYC80" s="2567"/>
      <c r="JYD80" s="2567"/>
      <c r="JYE80" s="2567"/>
      <c r="JYF80" s="2567"/>
      <c r="JYG80" s="2567"/>
      <c r="JYH80" s="2567"/>
      <c r="JYI80" s="2567"/>
      <c r="JYJ80" s="2567"/>
      <c r="JYK80" s="2567"/>
      <c r="JYL80" s="2567"/>
      <c r="JYM80" s="2567"/>
      <c r="JYN80" s="2567"/>
      <c r="JYO80" s="2567"/>
      <c r="JYP80" s="2567"/>
      <c r="JYQ80" s="2567"/>
      <c r="JYR80" s="2567"/>
      <c r="JYS80" s="2567"/>
      <c r="JYT80" s="2567"/>
      <c r="JYU80" s="2567"/>
      <c r="JYV80" s="2567"/>
      <c r="JYW80" s="2567"/>
      <c r="JYX80" s="2567"/>
      <c r="JYY80" s="2567"/>
      <c r="JYZ80" s="2567"/>
      <c r="JZA80" s="2567"/>
      <c r="JZB80" s="2567"/>
      <c r="JZC80" s="2567"/>
      <c r="JZD80" s="2567"/>
      <c r="JZE80" s="2567"/>
      <c r="JZF80" s="2567"/>
      <c r="JZG80" s="2567"/>
      <c r="JZH80" s="2567"/>
      <c r="JZI80" s="2567"/>
      <c r="JZJ80" s="2567"/>
      <c r="JZK80" s="2567"/>
      <c r="JZL80" s="2567"/>
      <c r="JZM80" s="2567"/>
      <c r="JZN80" s="2567"/>
      <c r="JZO80" s="2567"/>
      <c r="JZP80" s="2567"/>
      <c r="JZQ80" s="2567"/>
      <c r="JZR80" s="2567"/>
      <c r="JZS80" s="2567"/>
      <c r="JZT80" s="2567"/>
      <c r="JZU80" s="2567"/>
      <c r="JZV80" s="2567"/>
      <c r="JZW80" s="2567"/>
      <c r="JZX80" s="2567"/>
      <c r="JZY80" s="2567"/>
      <c r="JZZ80" s="2567"/>
      <c r="KAA80" s="2567"/>
      <c r="KAB80" s="2567"/>
      <c r="KAC80" s="2567"/>
      <c r="KAD80" s="2567"/>
      <c r="KAE80" s="2567"/>
      <c r="KAF80" s="2567"/>
      <c r="KAG80" s="2567"/>
      <c r="KAH80" s="2567"/>
      <c r="KAI80" s="2567"/>
      <c r="KAJ80" s="2567"/>
      <c r="KAK80" s="2567"/>
      <c r="KAL80" s="2567"/>
      <c r="KAM80" s="2567"/>
      <c r="KAN80" s="2567"/>
      <c r="KAO80" s="2567"/>
      <c r="KAP80" s="2567"/>
      <c r="KAQ80" s="2567"/>
      <c r="KAR80" s="2567"/>
      <c r="KAS80" s="2567"/>
      <c r="KAT80" s="2567"/>
      <c r="KAU80" s="2567"/>
      <c r="KAV80" s="2567"/>
      <c r="KAW80" s="2567"/>
      <c r="KAX80" s="2567"/>
      <c r="KAY80" s="2567"/>
      <c r="KAZ80" s="2567"/>
      <c r="KBA80" s="2567"/>
      <c r="KBB80" s="2567"/>
      <c r="KBC80" s="2567"/>
      <c r="KBD80" s="2567"/>
      <c r="KBE80" s="2567"/>
      <c r="KBF80" s="2567"/>
      <c r="KBG80" s="2567"/>
      <c r="KBH80" s="2567"/>
      <c r="KBI80" s="2567"/>
      <c r="KBJ80" s="2567"/>
      <c r="KBK80" s="2567"/>
      <c r="KBL80" s="2567"/>
      <c r="KBM80" s="2567"/>
      <c r="KBN80" s="2567"/>
      <c r="KBO80" s="2567"/>
      <c r="KBP80" s="2567"/>
      <c r="KBQ80" s="2567"/>
      <c r="KBR80" s="2567"/>
      <c r="KBS80" s="2567"/>
      <c r="KBT80" s="2567"/>
      <c r="KBU80" s="2567"/>
      <c r="KBV80" s="2567"/>
      <c r="KBW80" s="2567"/>
      <c r="KBX80" s="2567"/>
      <c r="KBY80" s="2567"/>
      <c r="KBZ80" s="2567"/>
      <c r="KCA80" s="2567"/>
      <c r="KCB80" s="2567"/>
      <c r="KCC80" s="2567"/>
      <c r="KCD80" s="2567"/>
      <c r="KCE80" s="2567"/>
      <c r="KCF80" s="2567"/>
      <c r="KCG80" s="2567"/>
      <c r="KCH80" s="2567"/>
      <c r="KCI80" s="2567"/>
      <c r="KCJ80" s="2567"/>
      <c r="KCK80" s="2567"/>
      <c r="KCL80" s="2567"/>
      <c r="KCM80" s="2567"/>
      <c r="KCN80" s="2567"/>
      <c r="KCO80" s="2567"/>
      <c r="KCP80" s="2567"/>
      <c r="KCQ80" s="2567"/>
      <c r="KCR80" s="2567"/>
      <c r="KCS80" s="2567"/>
      <c r="KCT80" s="2567"/>
      <c r="KCU80" s="2567"/>
      <c r="KCV80" s="2567"/>
      <c r="KCW80" s="2567"/>
      <c r="KCX80" s="2567"/>
      <c r="KCY80" s="2567"/>
      <c r="KCZ80" s="2567"/>
      <c r="KDA80" s="2567"/>
      <c r="KDB80" s="2567"/>
      <c r="KDC80" s="2567"/>
      <c r="KDD80" s="2567"/>
      <c r="KDE80" s="2567"/>
      <c r="KDF80" s="2567"/>
      <c r="KDG80" s="2567"/>
      <c r="KDH80" s="2567"/>
      <c r="KDI80" s="2567"/>
      <c r="KDJ80" s="2567"/>
      <c r="KDK80" s="2567"/>
      <c r="KDL80" s="2567"/>
      <c r="KDM80" s="2567"/>
      <c r="KDN80" s="2567"/>
      <c r="KDO80" s="2567"/>
      <c r="KDP80" s="2567"/>
      <c r="KDQ80" s="2567"/>
      <c r="KDR80" s="2567"/>
      <c r="KDS80" s="2567"/>
      <c r="KDT80" s="2567"/>
      <c r="KDU80" s="2567"/>
      <c r="KDV80" s="2567"/>
      <c r="KDW80" s="2567"/>
      <c r="KDX80" s="2567"/>
      <c r="KDY80" s="2567"/>
      <c r="KDZ80" s="2567"/>
      <c r="KEA80" s="2567"/>
      <c r="KEB80" s="2567"/>
      <c r="KEC80" s="2567"/>
      <c r="KED80" s="2567"/>
      <c r="KEE80" s="2567"/>
      <c r="KEF80" s="2567"/>
      <c r="KEG80" s="2567"/>
      <c r="KEH80" s="2567"/>
      <c r="KEI80" s="2567"/>
      <c r="KEJ80" s="2567"/>
      <c r="KEK80" s="2567"/>
      <c r="KEL80" s="2567"/>
      <c r="KEM80" s="2567"/>
      <c r="KEN80" s="2567"/>
      <c r="KEO80" s="2567"/>
      <c r="KEP80" s="2567"/>
      <c r="KEQ80" s="2567"/>
      <c r="KER80" s="2567"/>
      <c r="KES80" s="2567"/>
      <c r="KET80" s="2567"/>
      <c r="KEU80" s="2567"/>
      <c r="KEV80" s="2567"/>
      <c r="KEW80" s="2567"/>
      <c r="KEX80" s="2567"/>
      <c r="KEY80" s="2567"/>
      <c r="KEZ80" s="2567"/>
      <c r="KFA80" s="2567"/>
      <c r="KFB80" s="2567"/>
      <c r="KFC80" s="2567"/>
      <c r="KFD80" s="2567"/>
      <c r="KFE80" s="2567"/>
      <c r="KFF80" s="2567"/>
      <c r="KFG80" s="2567"/>
      <c r="KFH80" s="2567"/>
      <c r="KFI80" s="2567"/>
      <c r="KFJ80" s="2567"/>
      <c r="KFK80" s="2567"/>
      <c r="KFL80" s="2567"/>
      <c r="KFM80" s="2567"/>
      <c r="KFN80" s="2567"/>
      <c r="KFO80" s="2567"/>
      <c r="KFP80" s="2567"/>
      <c r="KFQ80" s="2567"/>
      <c r="KFR80" s="2567"/>
      <c r="KFS80" s="2567"/>
      <c r="KFT80" s="2567"/>
      <c r="KFU80" s="2567"/>
      <c r="KFV80" s="2567"/>
      <c r="KFW80" s="2567"/>
      <c r="KFX80" s="2567"/>
      <c r="KFY80" s="2567"/>
      <c r="KFZ80" s="2567"/>
      <c r="KGA80" s="2567"/>
      <c r="KGB80" s="2567"/>
      <c r="KGC80" s="2567"/>
      <c r="KGD80" s="2567"/>
      <c r="KGE80" s="2567"/>
      <c r="KGF80" s="2567"/>
      <c r="KGG80" s="2567"/>
      <c r="KGH80" s="2567"/>
      <c r="KGI80" s="2567"/>
      <c r="KGJ80" s="2567"/>
      <c r="KGK80" s="2567"/>
      <c r="KGL80" s="2567"/>
      <c r="KGM80" s="2567"/>
      <c r="KGN80" s="2567"/>
      <c r="KGO80" s="2567"/>
      <c r="KGP80" s="2567"/>
      <c r="KGQ80" s="2567"/>
      <c r="KGR80" s="2567"/>
      <c r="KGS80" s="2567"/>
      <c r="KGT80" s="2567"/>
      <c r="KGU80" s="2567"/>
      <c r="KGV80" s="2567"/>
      <c r="KGW80" s="2567"/>
      <c r="KGX80" s="2567"/>
      <c r="KGY80" s="2567"/>
      <c r="KGZ80" s="2567"/>
      <c r="KHA80" s="2567"/>
      <c r="KHB80" s="2567"/>
      <c r="KHC80" s="2567"/>
      <c r="KHD80" s="2567"/>
      <c r="KHE80" s="2567"/>
      <c r="KHF80" s="2567"/>
      <c r="KHG80" s="2567"/>
      <c r="KHH80" s="2567"/>
      <c r="KHI80" s="2567"/>
      <c r="KHJ80" s="2567"/>
      <c r="KHK80" s="2567"/>
      <c r="KHL80" s="2567"/>
      <c r="KHM80" s="2567"/>
      <c r="KHN80" s="2567"/>
      <c r="KHO80" s="2567"/>
      <c r="KHP80" s="2567"/>
      <c r="KHQ80" s="2567"/>
      <c r="KHR80" s="2567"/>
      <c r="KHS80" s="2567"/>
      <c r="KHT80" s="2567"/>
      <c r="KHU80" s="2567"/>
      <c r="KHV80" s="2567"/>
      <c r="KHW80" s="2567"/>
      <c r="KHX80" s="2567"/>
      <c r="KHY80" s="2567"/>
      <c r="KHZ80" s="2567"/>
      <c r="KIA80" s="2567"/>
      <c r="KIB80" s="2567"/>
      <c r="KIC80" s="2567"/>
      <c r="KID80" s="2567"/>
      <c r="KIE80" s="2567"/>
      <c r="KIF80" s="2567"/>
      <c r="KIG80" s="2567"/>
      <c r="KIH80" s="2567"/>
      <c r="KII80" s="2567"/>
      <c r="KIJ80" s="2567"/>
      <c r="KIK80" s="2567"/>
      <c r="KIL80" s="2567"/>
      <c r="KIM80" s="2567"/>
      <c r="KIN80" s="2567"/>
      <c r="KIO80" s="2567"/>
      <c r="KIP80" s="2567"/>
      <c r="KIQ80" s="2567"/>
      <c r="KIR80" s="2567"/>
      <c r="KIS80" s="2567"/>
      <c r="KIT80" s="2567"/>
      <c r="KIU80" s="2567"/>
      <c r="KIV80" s="2567"/>
      <c r="KIW80" s="2567"/>
      <c r="KIX80" s="2567"/>
      <c r="KIY80" s="2567"/>
      <c r="KIZ80" s="2567"/>
      <c r="KJA80" s="2567"/>
      <c r="KJB80" s="2567"/>
      <c r="KJC80" s="2567"/>
      <c r="KJD80" s="2567"/>
      <c r="KJE80" s="2567"/>
      <c r="KJF80" s="2567"/>
      <c r="KJG80" s="2567"/>
      <c r="KJH80" s="2567"/>
      <c r="KJI80" s="2567"/>
      <c r="KJJ80" s="2567"/>
      <c r="KJK80" s="2567"/>
      <c r="KJL80" s="2567"/>
      <c r="KJM80" s="2567"/>
      <c r="KJN80" s="2567"/>
      <c r="KJO80" s="2567"/>
      <c r="KJP80" s="2567"/>
      <c r="KJQ80" s="2567"/>
      <c r="KJR80" s="2567"/>
      <c r="KJS80" s="2567"/>
      <c r="KJT80" s="2567"/>
      <c r="KJU80" s="2567"/>
      <c r="KJV80" s="2567"/>
      <c r="KJW80" s="2567"/>
      <c r="KJX80" s="2567"/>
      <c r="KJY80" s="2567"/>
      <c r="KJZ80" s="2567"/>
      <c r="KKA80" s="2567"/>
      <c r="KKB80" s="2567"/>
      <c r="KKC80" s="2567"/>
      <c r="KKD80" s="2567"/>
      <c r="KKE80" s="2567"/>
      <c r="KKF80" s="2567"/>
      <c r="KKG80" s="2567"/>
      <c r="KKH80" s="2567"/>
      <c r="KKI80" s="2567"/>
      <c r="KKJ80" s="2567"/>
      <c r="KKK80" s="2567"/>
      <c r="KKL80" s="2567"/>
      <c r="KKM80" s="2567"/>
      <c r="KKN80" s="2567"/>
      <c r="KKO80" s="2567"/>
      <c r="KKP80" s="2567"/>
      <c r="KKQ80" s="2567"/>
      <c r="KKR80" s="2567"/>
      <c r="KKS80" s="2567"/>
      <c r="KKT80" s="2567"/>
      <c r="KKU80" s="2567"/>
      <c r="KKV80" s="2567"/>
      <c r="KKW80" s="2567"/>
      <c r="KKX80" s="2567"/>
      <c r="KKY80" s="2567"/>
      <c r="KKZ80" s="2567"/>
      <c r="KLA80" s="2567"/>
      <c r="KLB80" s="2567"/>
      <c r="KLC80" s="2567"/>
      <c r="KLD80" s="2567"/>
      <c r="KLE80" s="2567"/>
      <c r="KLF80" s="2567"/>
      <c r="KLG80" s="2567"/>
      <c r="KLH80" s="2567"/>
      <c r="KLI80" s="2567"/>
      <c r="KLJ80" s="2567"/>
      <c r="KLK80" s="2567"/>
      <c r="KLL80" s="2567"/>
      <c r="KLM80" s="2567"/>
      <c r="KLN80" s="2567"/>
      <c r="KLO80" s="2567"/>
      <c r="KLP80" s="2567"/>
      <c r="KLQ80" s="2567"/>
      <c r="KLR80" s="2567"/>
      <c r="KLS80" s="2567"/>
      <c r="KLT80" s="2567"/>
      <c r="KLU80" s="2567"/>
      <c r="KLV80" s="2567"/>
      <c r="KLW80" s="2567"/>
      <c r="KLX80" s="2567"/>
      <c r="KLY80" s="2567"/>
      <c r="KLZ80" s="2567"/>
      <c r="KMA80" s="2567"/>
      <c r="KMB80" s="2567"/>
      <c r="KMC80" s="2567"/>
      <c r="KMD80" s="2567"/>
      <c r="KME80" s="2567"/>
      <c r="KMF80" s="2567"/>
      <c r="KMG80" s="2567"/>
      <c r="KMH80" s="2567"/>
      <c r="KMI80" s="2567"/>
      <c r="KMJ80" s="2567"/>
      <c r="KMK80" s="2567"/>
      <c r="KML80" s="2567"/>
      <c r="KMM80" s="2567"/>
      <c r="KMN80" s="2567"/>
      <c r="KMO80" s="2567"/>
      <c r="KMP80" s="2567"/>
      <c r="KMQ80" s="2567"/>
      <c r="KMR80" s="2567"/>
      <c r="KMS80" s="2567"/>
      <c r="KMT80" s="2567"/>
      <c r="KMU80" s="2567"/>
      <c r="KMV80" s="2567"/>
      <c r="KMW80" s="2567"/>
      <c r="KMX80" s="2567"/>
      <c r="KMY80" s="2567"/>
      <c r="KMZ80" s="2567"/>
      <c r="KNA80" s="2567"/>
      <c r="KNB80" s="2567"/>
      <c r="KNC80" s="2567"/>
      <c r="KND80" s="2567"/>
      <c r="KNE80" s="2567"/>
      <c r="KNF80" s="2567"/>
      <c r="KNG80" s="2567"/>
      <c r="KNH80" s="2567"/>
      <c r="KNI80" s="2567"/>
      <c r="KNJ80" s="2567"/>
      <c r="KNK80" s="2567"/>
      <c r="KNL80" s="2567"/>
      <c r="KNM80" s="2567"/>
      <c r="KNN80" s="2567"/>
      <c r="KNO80" s="2567"/>
      <c r="KNP80" s="2567"/>
      <c r="KNQ80" s="2567"/>
      <c r="KNR80" s="2567"/>
      <c r="KNS80" s="2567"/>
      <c r="KNT80" s="2567"/>
      <c r="KNU80" s="2567"/>
      <c r="KNV80" s="2567"/>
      <c r="KNW80" s="2567"/>
      <c r="KNX80" s="2567"/>
      <c r="KNY80" s="2567"/>
      <c r="KNZ80" s="2567"/>
      <c r="KOA80" s="2567"/>
      <c r="KOB80" s="2567"/>
      <c r="KOC80" s="2567"/>
      <c r="KOD80" s="2567"/>
      <c r="KOE80" s="2567"/>
      <c r="KOF80" s="2567"/>
      <c r="KOG80" s="2567"/>
      <c r="KOH80" s="2567"/>
      <c r="KOI80" s="2567"/>
      <c r="KOJ80" s="2567"/>
      <c r="KOK80" s="2567"/>
      <c r="KOL80" s="2567"/>
      <c r="KOM80" s="2567"/>
      <c r="KON80" s="2567"/>
      <c r="KOO80" s="2567"/>
      <c r="KOP80" s="2567"/>
      <c r="KOQ80" s="2567"/>
      <c r="KOR80" s="2567"/>
      <c r="KOS80" s="2567"/>
      <c r="KOT80" s="2567"/>
      <c r="KOU80" s="2567"/>
      <c r="KOV80" s="2567"/>
      <c r="KOW80" s="2567"/>
      <c r="KOX80" s="2567"/>
      <c r="KOY80" s="2567"/>
      <c r="KOZ80" s="2567"/>
      <c r="KPA80" s="2567"/>
      <c r="KPB80" s="2567"/>
      <c r="KPC80" s="2567"/>
      <c r="KPD80" s="2567"/>
      <c r="KPE80" s="2567"/>
      <c r="KPF80" s="2567"/>
      <c r="KPG80" s="2567"/>
      <c r="KPH80" s="2567"/>
      <c r="KPI80" s="2567"/>
      <c r="KPJ80" s="2567"/>
      <c r="KPK80" s="2567"/>
      <c r="KPL80" s="2567"/>
      <c r="KPM80" s="2567"/>
      <c r="KPN80" s="2567"/>
      <c r="KPO80" s="2567"/>
      <c r="KPP80" s="2567"/>
      <c r="KPQ80" s="2567"/>
      <c r="KPR80" s="2567"/>
      <c r="KPS80" s="2567"/>
      <c r="KPT80" s="2567"/>
      <c r="KPU80" s="2567"/>
      <c r="KPV80" s="2567"/>
      <c r="KPW80" s="2567"/>
      <c r="KPX80" s="2567"/>
      <c r="KPY80" s="2567"/>
      <c r="KPZ80" s="2567"/>
      <c r="KQA80" s="2567"/>
      <c r="KQB80" s="2567"/>
      <c r="KQC80" s="2567"/>
      <c r="KQD80" s="2567"/>
      <c r="KQE80" s="2567"/>
      <c r="KQF80" s="2567"/>
      <c r="KQG80" s="2567"/>
      <c r="KQH80" s="2567"/>
      <c r="KQI80" s="2567"/>
      <c r="KQJ80" s="2567"/>
      <c r="KQK80" s="2567"/>
      <c r="KQL80" s="2567"/>
      <c r="KQM80" s="2567"/>
      <c r="KQN80" s="2567"/>
      <c r="KQO80" s="2567"/>
      <c r="KQP80" s="2567"/>
      <c r="KQQ80" s="2567"/>
      <c r="KQR80" s="2567"/>
      <c r="KQS80" s="2567"/>
      <c r="KQT80" s="2567"/>
      <c r="KQU80" s="2567"/>
      <c r="KQV80" s="2567"/>
      <c r="KQW80" s="2567"/>
      <c r="KQX80" s="2567"/>
      <c r="KQY80" s="2567"/>
      <c r="KQZ80" s="2567"/>
      <c r="KRA80" s="2567"/>
      <c r="KRB80" s="2567"/>
      <c r="KRC80" s="2567"/>
      <c r="KRD80" s="2567"/>
      <c r="KRE80" s="2567"/>
      <c r="KRF80" s="2567"/>
      <c r="KRG80" s="2567"/>
      <c r="KRH80" s="2567"/>
      <c r="KRI80" s="2567"/>
      <c r="KRJ80" s="2567"/>
      <c r="KRK80" s="2567"/>
      <c r="KRL80" s="2567"/>
      <c r="KRM80" s="2567"/>
      <c r="KRN80" s="2567"/>
      <c r="KRO80" s="2567"/>
      <c r="KRP80" s="2567"/>
      <c r="KRQ80" s="2567"/>
      <c r="KRR80" s="2567"/>
      <c r="KRS80" s="2567"/>
      <c r="KRT80" s="2567"/>
      <c r="KRU80" s="2567"/>
      <c r="KRV80" s="2567"/>
      <c r="KRW80" s="2567"/>
      <c r="KRX80" s="2567"/>
      <c r="KRY80" s="2567"/>
      <c r="KRZ80" s="2567"/>
      <c r="KSA80" s="2567"/>
      <c r="KSB80" s="2567"/>
      <c r="KSC80" s="2567"/>
      <c r="KSD80" s="2567"/>
      <c r="KSE80" s="2567"/>
      <c r="KSF80" s="2567"/>
      <c r="KSG80" s="2567"/>
      <c r="KSH80" s="2567"/>
      <c r="KSI80" s="2567"/>
      <c r="KSJ80" s="2567"/>
      <c r="KSK80" s="2567"/>
      <c r="KSL80" s="2567"/>
      <c r="KSM80" s="2567"/>
      <c r="KSN80" s="2567"/>
      <c r="KSO80" s="2567"/>
      <c r="KSP80" s="2567"/>
      <c r="KSQ80" s="2567"/>
      <c r="KSR80" s="2567"/>
      <c r="KSS80" s="2567"/>
      <c r="KST80" s="2567"/>
      <c r="KSU80" s="2567"/>
      <c r="KSV80" s="2567"/>
      <c r="KSW80" s="2567"/>
      <c r="KSX80" s="2567"/>
      <c r="KSY80" s="2567"/>
      <c r="KSZ80" s="2567"/>
      <c r="KTA80" s="2567"/>
      <c r="KTB80" s="2567"/>
      <c r="KTC80" s="2567"/>
      <c r="KTD80" s="2567"/>
      <c r="KTE80" s="2567"/>
      <c r="KTF80" s="2567"/>
      <c r="KTG80" s="2567"/>
      <c r="KTH80" s="2567"/>
      <c r="KTI80" s="2567"/>
      <c r="KTJ80" s="2567"/>
      <c r="KTK80" s="2567"/>
      <c r="KTL80" s="2567"/>
      <c r="KTM80" s="2567"/>
      <c r="KTN80" s="2567"/>
      <c r="KTO80" s="2567"/>
      <c r="KTP80" s="2567"/>
      <c r="KTQ80" s="2567"/>
      <c r="KTR80" s="2567"/>
      <c r="KTS80" s="2567"/>
      <c r="KTT80" s="2567"/>
      <c r="KTU80" s="2567"/>
      <c r="KTV80" s="2567"/>
      <c r="KTW80" s="2567"/>
      <c r="KTX80" s="2567"/>
      <c r="KTY80" s="2567"/>
      <c r="KTZ80" s="2567"/>
      <c r="KUA80" s="2567"/>
      <c r="KUB80" s="2567"/>
      <c r="KUC80" s="2567"/>
      <c r="KUD80" s="2567"/>
      <c r="KUE80" s="2567"/>
      <c r="KUF80" s="2567"/>
      <c r="KUG80" s="2567"/>
      <c r="KUH80" s="2567"/>
      <c r="KUI80" s="2567"/>
      <c r="KUJ80" s="2567"/>
      <c r="KUK80" s="2567"/>
      <c r="KUL80" s="2567"/>
      <c r="KUM80" s="2567"/>
      <c r="KUN80" s="2567"/>
      <c r="KUO80" s="2567"/>
      <c r="KUP80" s="2567"/>
      <c r="KUQ80" s="2567"/>
      <c r="KUR80" s="2567"/>
      <c r="KUS80" s="2567"/>
      <c r="KUT80" s="2567"/>
      <c r="KUU80" s="2567"/>
      <c r="KUV80" s="2567"/>
      <c r="KUW80" s="2567"/>
      <c r="KUX80" s="2567"/>
      <c r="KUY80" s="2567"/>
      <c r="KUZ80" s="2567"/>
      <c r="KVA80" s="2567"/>
      <c r="KVB80" s="2567"/>
      <c r="KVC80" s="2567"/>
      <c r="KVD80" s="2567"/>
      <c r="KVE80" s="2567"/>
      <c r="KVF80" s="2567"/>
      <c r="KVG80" s="2567"/>
      <c r="KVH80" s="2567"/>
      <c r="KVI80" s="2567"/>
      <c r="KVJ80" s="2567"/>
      <c r="KVK80" s="2567"/>
      <c r="KVL80" s="2567"/>
      <c r="KVM80" s="2567"/>
      <c r="KVN80" s="2567"/>
      <c r="KVO80" s="2567"/>
      <c r="KVP80" s="2567"/>
      <c r="KVQ80" s="2567"/>
      <c r="KVR80" s="2567"/>
      <c r="KVS80" s="2567"/>
      <c r="KVT80" s="2567"/>
      <c r="KVU80" s="2567"/>
      <c r="KVV80" s="2567"/>
      <c r="KVW80" s="2567"/>
      <c r="KVX80" s="2567"/>
      <c r="KVY80" s="2567"/>
      <c r="KVZ80" s="2567"/>
      <c r="KWA80" s="2567"/>
      <c r="KWB80" s="2567"/>
      <c r="KWC80" s="2567"/>
      <c r="KWD80" s="2567"/>
      <c r="KWE80" s="2567"/>
      <c r="KWF80" s="2567"/>
      <c r="KWG80" s="2567"/>
      <c r="KWH80" s="2567"/>
      <c r="KWI80" s="2567"/>
      <c r="KWJ80" s="2567"/>
      <c r="KWK80" s="2567"/>
      <c r="KWL80" s="2567"/>
      <c r="KWM80" s="2567"/>
      <c r="KWN80" s="2567"/>
      <c r="KWO80" s="2567"/>
      <c r="KWP80" s="2567"/>
      <c r="KWQ80" s="2567"/>
      <c r="KWR80" s="2567"/>
      <c r="KWS80" s="2567"/>
      <c r="KWT80" s="2567"/>
      <c r="KWU80" s="2567"/>
      <c r="KWV80" s="2567"/>
      <c r="KWW80" s="2567"/>
      <c r="KWX80" s="2567"/>
      <c r="KWY80" s="2567"/>
      <c r="KWZ80" s="2567"/>
      <c r="KXA80" s="2567"/>
      <c r="KXB80" s="2567"/>
      <c r="KXC80" s="2567"/>
      <c r="KXD80" s="2567"/>
      <c r="KXE80" s="2567"/>
      <c r="KXF80" s="2567"/>
      <c r="KXG80" s="2567"/>
      <c r="KXH80" s="2567"/>
      <c r="KXI80" s="2567"/>
      <c r="KXJ80" s="2567"/>
      <c r="KXK80" s="2567"/>
      <c r="KXL80" s="2567"/>
      <c r="KXM80" s="2567"/>
      <c r="KXN80" s="2567"/>
      <c r="KXO80" s="2567"/>
      <c r="KXP80" s="2567"/>
      <c r="KXQ80" s="2567"/>
      <c r="KXR80" s="2567"/>
      <c r="KXS80" s="2567"/>
      <c r="KXT80" s="2567"/>
      <c r="KXU80" s="2567"/>
      <c r="KXV80" s="2567"/>
      <c r="KXW80" s="2567"/>
      <c r="KXX80" s="2567"/>
      <c r="KXY80" s="2567"/>
      <c r="KXZ80" s="2567"/>
      <c r="KYA80" s="2567"/>
      <c r="KYB80" s="2567"/>
      <c r="KYC80" s="2567"/>
      <c r="KYD80" s="2567"/>
      <c r="KYE80" s="2567"/>
      <c r="KYF80" s="2567"/>
      <c r="KYG80" s="2567"/>
      <c r="KYH80" s="2567"/>
      <c r="KYI80" s="2567"/>
      <c r="KYJ80" s="2567"/>
      <c r="KYK80" s="2567"/>
      <c r="KYL80" s="2567"/>
      <c r="KYM80" s="2567"/>
      <c r="KYN80" s="2567"/>
      <c r="KYO80" s="2567"/>
      <c r="KYP80" s="2567"/>
      <c r="KYQ80" s="2567"/>
      <c r="KYR80" s="2567"/>
      <c r="KYS80" s="2567"/>
      <c r="KYT80" s="2567"/>
      <c r="KYU80" s="2567"/>
      <c r="KYV80" s="2567"/>
      <c r="KYW80" s="2567"/>
      <c r="KYX80" s="2567"/>
      <c r="KYY80" s="2567"/>
      <c r="KYZ80" s="2567"/>
      <c r="KZA80" s="2567"/>
      <c r="KZB80" s="2567"/>
      <c r="KZC80" s="2567"/>
      <c r="KZD80" s="2567"/>
      <c r="KZE80" s="2567"/>
      <c r="KZF80" s="2567"/>
      <c r="KZG80" s="2567"/>
      <c r="KZH80" s="2567"/>
      <c r="KZI80" s="2567"/>
      <c r="KZJ80" s="2567"/>
      <c r="KZK80" s="2567"/>
      <c r="KZL80" s="2567"/>
      <c r="KZM80" s="2567"/>
      <c r="KZN80" s="2567"/>
      <c r="KZO80" s="2567"/>
      <c r="KZP80" s="2567"/>
      <c r="KZQ80" s="2567"/>
      <c r="KZR80" s="2567"/>
      <c r="KZS80" s="2567"/>
      <c r="KZT80" s="2567"/>
      <c r="KZU80" s="2567"/>
      <c r="KZV80" s="2567"/>
      <c r="KZW80" s="2567"/>
      <c r="KZX80" s="2567"/>
      <c r="KZY80" s="2567"/>
      <c r="KZZ80" s="2567"/>
      <c r="LAA80" s="2567"/>
      <c r="LAB80" s="2567"/>
      <c r="LAC80" s="2567"/>
      <c r="LAD80" s="2567"/>
      <c r="LAE80" s="2567"/>
      <c r="LAF80" s="2567"/>
      <c r="LAG80" s="2567"/>
      <c r="LAH80" s="2567"/>
      <c r="LAI80" s="2567"/>
      <c r="LAJ80" s="2567"/>
      <c r="LAK80" s="2567"/>
      <c r="LAL80" s="2567"/>
      <c r="LAM80" s="2567"/>
      <c r="LAN80" s="2567"/>
      <c r="LAO80" s="2567"/>
      <c r="LAP80" s="2567"/>
      <c r="LAQ80" s="2567"/>
      <c r="LAR80" s="2567"/>
      <c r="LAS80" s="2567"/>
      <c r="LAT80" s="2567"/>
      <c r="LAU80" s="2567"/>
      <c r="LAV80" s="2567"/>
      <c r="LAW80" s="2567"/>
      <c r="LAX80" s="2567"/>
      <c r="LAY80" s="2567"/>
      <c r="LAZ80" s="2567"/>
      <c r="LBA80" s="2567"/>
      <c r="LBB80" s="2567"/>
      <c r="LBC80" s="2567"/>
      <c r="LBD80" s="2567"/>
      <c r="LBE80" s="2567"/>
      <c r="LBF80" s="2567"/>
      <c r="LBG80" s="2567"/>
      <c r="LBH80" s="2567"/>
      <c r="LBI80" s="2567"/>
      <c r="LBJ80" s="2567"/>
      <c r="LBK80" s="2567"/>
      <c r="LBL80" s="2567"/>
      <c r="LBM80" s="2567"/>
      <c r="LBN80" s="2567"/>
      <c r="LBO80" s="2567"/>
      <c r="LBP80" s="2567"/>
      <c r="LBQ80" s="2567"/>
      <c r="LBR80" s="2567"/>
      <c r="LBS80" s="2567"/>
      <c r="LBT80" s="2567"/>
      <c r="LBU80" s="2567"/>
      <c r="LBV80" s="2567"/>
      <c r="LBW80" s="2567"/>
      <c r="LBX80" s="2567"/>
      <c r="LBY80" s="2567"/>
      <c r="LBZ80" s="2567"/>
      <c r="LCA80" s="2567"/>
      <c r="LCB80" s="2567"/>
      <c r="LCC80" s="2567"/>
      <c r="LCD80" s="2567"/>
      <c r="LCE80" s="2567"/>
      <c r="LCF80" s="2567"/>
      <c r="LCG80" s="2567"/>
      <c r="LCH80" s="2567"/>
      <c r="LCI80" s="2567"/>
      <c r="LCJ80" s="2567"/>
      <c r="LCK80" s="2567"/>
      <c r="LCL80" s="2567"/>
      <c r="LCM80" s="2567"/>
      <c r="LCN80" s="2567"/>
      <c r="LCO80" s="2567"/>
      <c r="LCP80" s="2567"/>
      <c r="LCQ80" s="2567"/>
      <c r="LCR80" s="2567"/>
      <c r="LCS80" s="2567"/>
      <c r="LCT80" s="2567"/>
      <c r="LCU80" s="2567"/>
      <c r="LCV80" s="2567"/>
      <c r="LCW80" s="2567"/>
      <c r="LCX80" s="2567"/>
      <c r="LCY80" s="2567"/>
      <c r="LCZ80" s="2567"/>
      <c r="LDA80" s="2567"/>
      <c r="LDB80" s="2567"/>
      <c r="LDC80" s="2567"/>
      <c r="LDD80" s="2567"/>
      <c r="LDE80" s="2567"/>
      <c r="LDF80" s="2567"/>
      <c r="LDG80" s="2567"/>
      <c r="LDH80" s="2567"/>
      <c r="LDI80" s="2567"/>
      <c r="LDJ80" s="2567"/>
      <c r="LDK80" s="2567"/>
      <c r="LDL80" s="2567"/>
      <c r="LDM80" s="2567"/>
      <c r="LDN80" s="2567"/>
      <c r="LDO80" s="2567"/>
      <c r="LDP80" s="2567"/>
      <c r="LDQ80" s="2567"/>
      <c r="LDR80" s="2567"/>
      <c r="LDS80" s="2567"/>
      <c r="LDT80" s="2567"/>
      <c r="LDU80" s="2567"/>
      <c r="LDV80" s="2567"/>
      <c r="LDW80" s="2567"/>
      <c r="LDX80" s="2567"/>
      <c r="LDY80" s="2567"/>
      <c r="LDZ80" s="2567"/>
      <c r="LEA80" s="2567"/>
      <c r="LEB80" s="2567"/>
      <c r="LEC80" s="2567"/>
      <c r="LED80" s="2567"/>
      <c r="LEE80" s="2567"/>
      <c r="LEF80" s="2567"/>
      <c r="LEG80" s="2567"/>
      <c r="LEH80" s="2567"/>
      <c r="LEI80" s="2567"/>
      <c r="LEJ80" s="2567"/>
      <c r="LEK80" s="2567"/>
      <c r="LEL80" s="2567"/>
      <c r="LEM80" s="2567"/>
      <c r="LEN80" s="2567"/>
      <c r="LEO80" s="2567"/>
      <c r="LEP80" s="2567"/>
      <c r="LEQ80" s="2567"/>
      <c r="LER80" s="2567"/>
      <c r="LES80" s="2567"/>
      <c r="LET80" s="2567"/>
      <c r="LEU80" s="2567"/>
      <c r="LEV80" s="2567"/>
      <c r="LEW80" s="2567"/>
      <c r="LEX80" s="2567"/>
      <c r="LEY80" s="2567"/>
      <c r="LEZ80" s="2567"/>
      <c r="LFA80" s="2567"/>
      <c r="LFB80" s="2567"/>
      <c r="LFC80" s="2567"/>
      <c r="LFD80" s="2567"/>
      <c r="LFE80" s="2567"/>
      <c r="LFF80" s="2567"/>
      <c r="LFG80" s="2567"/>
      <c r="LFH80" s="2567"/>
      <c r="LFI80" s="2567"/>
      <c r="LFJ80" s="2567"/>
      <c r="LFK80" s="2567"/>
      <c r="LFL80" s="2567"/>
      <c r="LFM80" s="2567"/>
      <c r="LFN80" s="2567"/>
      <c r="LFO80" s="2567"/>
      <c r="LFP80" s="2567"/>
      <c r="LFQ80" s="2567"/>
      <c r="LFR80" s="2567"/>
      <c r="LFS80" s="2567"/>
      <c r="LFT80" s="2567"/>
      <c r="LFU80" s="2567"/>
      <c r="LFV80" s="2567"/>
      <c r="LFW80" s="2567"/>
      <c r="LFX80" s="2567"/>
      <c r="LFY80" s="2567"/>
      <c r="LFZ80" s="2567"/>
      <c r="LGA80" s="2567"/>
      <c r="LGB80" s="2567"/>
      <c r="LGC80" s="2567"/>
      <c r="LGD80" s="2567"/>
      <c r="LGE80" s="2567"/>
      <c r="LGF80" s="2567"/>
      <c r="LGG80" s="2567"/>
      <c r="LGH80" s="2567"/>
      <c r="LGI80" s="2567"/>
      <c r="LGJ80" s="2567"/>
      <c r="LGK80" s="2567"/>
      <c r="LGL80" s="2567"/>
      <c r="LGM80" s="2567"/>
      <c r="LGN80" s="2567"/>
      <c r="LGO80" s="2567"/>
      <c r="LGP80" s="2567"/>
      <c r="LGQ80" s="2567"/>
      <c r="LGR80" s="2567"/>
      <c r="LGS80" s="2567"/>
      <c r="LGT80" s="2567"/>
      <c r="LGU80" s="2567"/>
      <c r="LGV80" s="2567"/>
      <c r="LGW80" s="2567"/>
      <c r="LGX80" s="2567"/>
      <c r="LGY80" s="2567"/>
      <c r="LGZ80" s="2567"/>
      <c r="LHA80" s="2567"/>
      <c r="LHB80" s="2567"/>
      <c r="LHC80" s="2567"/>
      <c r="LHD80" s="2567"/>
      <c r="LHE80" s="2567"/>
      <c r="LHF80" s="2567"/>
      <c r="LHG80" s="2567"/>
      <c r="LHH80" s="2567"/>
      <c r="LHI80" s="2567"/>
      <c r="LHJ80" s="2567"/>
      <c r="LHK80" s="2567"/>
      <c r="LHL80" s="2567"/>
      <c r="LHM80" s="2567"/>
      <c r="LHN80" s="2567"/>
      <c r="LHO80" s="2567"/>
      <c r="LHP80" s="2567"/>
      <c r="LHQ80" s="2567"/>
      <c r="LHR80" s="2567"/>
      <c r="LHS80" s="2567"/>
      <c r="LHT80" s="2567"/>
      <c r="LHU80" s="2567"/>
      <c r="LHV80" s="2567"/>
      <c r="LHW80" s="2567"/>
      <c r="LHX80" s="2567"/>
      <c r="LHY80" s="2567"/>
      <c r="LHZ80" s="2567"/>
      <c r="LIA80" s="2567"/>
      <c r="LIB80" s="2567"/>
      <c r="LIC80" s="2567"/>
      <c r="LID80" s="2567"/>
      <c r="LIE80" s="2567"/>
      <c r="LIF80" s="2567"/>
      <c r="LIG80" s="2567"/>
      <c r="LIH80" s="2567"/>
      <c r="LII80" s="2567"/>
      <c r="LIJ80" s="2567"/>
      <c r="LIK80" s="2567"/>
      <c r="LIL80" s="2567"/>
      <c r="LIM80" s="2567"/>
      <c r="LIN80" s="2567"/>
      <c r="LIO80" s="2567"/>
      <c r="LIP80" s="2567"/>
      <c r="LIQ80" s="2567"/>
      <c r="LIR80" s="2567"/>
      <c r="LIS80" s="2567"/>
      <c r="LIT80" s="2567"/>
      <c r="LIU80" s="2567"/>
      <c r="LIV80" s="2567"/>
      <c r="LIW80" s="2567"/>
      <c r="LIX80" s="2567"/>
      <c r="LIY80" s="2567"/>
      <c r="LIZ80" s="2567"/>
      <c r="LJA80" s="2567"/>
      <c r="LJB80" s="2567"/>
      <c r="LJC80" s="2567"/>
      <c r="LJD80" s="2567"/>
      <c r="LJE80" s="2567"/>
      <c r="LJF80" s="2567"/>
      <c r="LJG80" s="2567"/>
      <c r="LJH80" s="2567"/>
      <c r="LJI80" s="2567"/>
      <c r="LJJ80" s="2567"/>
      <c r="LJK80" s="2567"/>
      <c r="LJL80" s="2567"/>
      <c r="LJM80" s="2567"/>
      <c r="LJN80" s="2567"/>
      <c r="LJO80" s="2567"/>
      <c r="LJP80" s="2567"/>
      <c r="LJQ80" s="2567"/>
      <c r="LJR80" s="2567"/>
      <c r="LJS80" s="2567"/>
      <c r="LJT80" s="2567"/>
      <c r="LJU80" s="2567"/>
      <c r="LJV80" s="2567"/>
      <c r="LJW80" s="2567"/>
      <c r="LJX80" s="2567"/>
      <c r="LJY80" s="2567"/>
      <c r="LJZ80" s="2567"/>
      <c r="LKA80" s="2567"/>
      <c r="LKB80" s="2567"/>
      <c r="LKC80" s="2567"/>
      <c r="LKD80" s="2567"/>
      <c r="LKE80" s="2567"/>
      <c r="LKF80" s="2567"/>
      <c r="LKG80" s="2567"/>
      <c r="LKH80" s="2567"/>
      <c r="LKI80" s="2567"/>
      <c r="LKJ80" s="2567"/>
      <c r="LKK80" s="2567"/>
      <c r="LKL80" s="2567"/>
      <c r="LKM80" s="2567"/>
      <c r="LKN80" s="2567"/>
      <c r="LKO80" s="2567"/>
      <c r="LKP80" s="2567"/>
      <c r="LKQ80" s="2567"/>
      <c r="LKR80" s="2567"/>
      <c r="LKS80" s="2567"/>
      <c r="LKT80" s="2567"/>
      <c r="LKU80" s="2567"/>
      <c r="LKV80" s="2567"/>
      <c r="LKW80" s="2567"/>
      <c r="LKX80" s="2567"/>
      <c r="LKY80" s="2567"/>
      <c r="LKZ80" s="2567"/>
      <c r="LLA80" s="2567"/>
      <c r="LLB80" s="2567"/>
      <c r="LLC80" s="2567"/>
      <c r="LLD80" s="2567"/>
      <c r="LLE80" s="2567"/>
      <c r="LLF80" s="2567"/>
      <c r="LLG80" s="2567"/>
      <c r="LLH80" s="2567"/>
      <c r="LLI80" s="2567"/>
      <c r="LLJ80" s="2567"/>
      <c r="LLK80" s="2567"/>
      <c r="LLL80" s="2567"/>
      <c r="LLM80" s="2567"/>
      <c r="LLN80" s="2567"/>
      <c r="LLO80" s="2567"/>
      <c r="LLP80" s="2567"/>
      <c r="LLQ80" s="2567"/>
      <c r="LLR80" s="2567"/>
      <c r="LLS80" s="2567"/>
      <c r="LLT80" s="2567"/>
      <c r="LLU80" s="2567"/>
      <c r="LLV80" s="2567"/>
      <c r="LLW80" s="2567"/>
      <c r="LLX80" s="2567"/>
      <c r="LLY80" s="2567"/>
      <c r="LLZ80" s="2567"/>
      <c r="LMA80" s="2567"/>
      <c r="LMB80" s="2567"/>
      <c r="LMC80" s="2567"/>
      <c r="LMD80" s="2567"/>
      <c r="LME80" s="2567"/>
      <c r="LMF80" s="2567"/>
      <c r="LMG80" s="2567"/>
      <c r="LMH80" s="2567"/>
      <c r="LMI80" s="2567"/>
      <c r="LMJ80" s="2567"/>
      <c r="LMK80" s="2567"/>
      <c r="LML80" s="2567"/>
      <c r="LMM80" s="2567"/>
      <c r="LMN80" s="2567"/>
      <c r="LMO80" s="2567"/>
      <c r="LMP80" s="2567"/>
      <c r="LMQ80" s="2567"/>
      <c r="LMR80" s="2567"/>
      <c r="LMS80" s="2567"/>
      <c r="LMT80" s="2567"/>
      <c r="LMU80" s="2567"/>
      <c r="LMV80" s="2567"/>
      <c r="LMW80" s="2567"/>
      <c r="LMX80" s="2567"/>
      <c r="LMY80" s="2567"/>
      <c r="LMZ80" s="2567"/>
      <c r="LNA80" s="2567"/>
      <c r="LNB80" s="2567"/>
      <c r="LNC80" s="2567"/>
      <c r="LND80" s="2567"/>
      <c r="LNE80" s="2567"/>
      <c r="LNF80" s="2567"/>
      <c r="LNG80" s="2567"/>
      <c r="LNH80" s="2567"/>
      <c r="LNI80" s="2567"/>
      <c r="LNJ80" s="2567"/>
      <c r="LNK80" s="2567"/>
      <c r="LNL80" s="2567"/>
      <c r="LNM80" s="2567"/>
      <c r="LNN80" s="2567"/>
      <c r="LNO80" s="2567"/>
      <c r="LNP80" s="2567"/>
      <c r="LNQ80" s="2567"/>
      <c r="LNR80" s="2567"/>
      <c r="LNS80" s="2567"/>
      <c r="LNT80" s="2567"/>
      <c r="LNU80" s="2567"/>
      <c r="LNV80" s="2567"/>
      <c r="LNW80" s="2567"/>
      <c r="LNX80" s="2567"/>
      <c r="LNY80" s="2567"/>
      <c r="LNZ80" s="2567"/>
      <c r="LOA80" s="2567"/>
      <c r="LOB80" s="2567"/>
      <c r="LOC80" s="2567"/>
      <c r="LOD80" s="2567"/>
      <c r="LOE80" s="2567"/>
      <c r="LOF80" s="2567"/>
      <c r="LOG80" s="2567"/>
      <c r="LOH80" s="2567"/>
      <c r="LOI80" s="2567"/>
      <c r="LOJ80" s="2567"/>
      <c r="LOK80" s="2567"/>
      <c r="LOL80" s="2567"/>
      <c r="LOM80" s="2567"/>
      <c r="LON80" s="2567"/>
      <c r="LOO80" s="2567"/>
      <c r="LOP80" s="2567"/>
      <c r="LOQ80" s="2567"/>
      <c r="LOR80" s="2567"/>
      <c r="LOS80" s="2567"/>
      <c r="LOT80" s="2567"/>
      <c r="LOU80" s="2567"/>
      <c r="LOV80" s="2567"/>
      <c r="LOW80" s="2567"/>
      <c r="LOX80" s="2567"/>
      <c r="LOY80" s="2567"/>
      <c r="LOZ80" s="2567"/>
      <c r="LPA80" s="2567"/>
      <c r="LPB80" s="2567"/>
      <c r="LPC80" s="2567"/>
      <c r="LPD80" s="2567"/>
      <c r="LPE80" s="2567"/>
      <c r="LPF80" s="2567"/>
      <c r="LPG80" s="2567"/>
      <c r="LPH80" s="2567"/>
      <c r="LPI80" s="2567"/>
      <c r="LPJ80" s="2567"/>
      <c r="LPK80" s="2567"/>
      <c r="LPL80" s="2567"/>
      <c r="LPM80" s="2567"/>
      <c r="LPN80" s="2567"/>
      <c r="LPO80" s="2567"/>
      <c r="LPP80" s="2567"/>
      <c r="LPQ80" s="2567"/>
      <c r="LPR80" s="2567"/>
      <c r="LPS80" s="2567"/>
      <c r="LPT80" s="2567"/>
      <c r="LPU80" s="2567"/>
      <c r="LPV80" s="2567"/>
      <c r="LPW80" s="2567"/>
      <c r="LPX80" s="2567"/>
      <c r="LPY80" s="2567"/>
      <c r="LPZ80" s="2567"/>
      <c r="LQA80" s="2567"/>
      <c r="LQB80" s="2567"/>
      <c r="LQC80" s="2567"/>
      <c r="LQD80" s="2567"/>
      <c r="LQE80" s="2567"/>
      <c r="LQF80" s="2567"/>
      <c r="LQG80" s="2567"/>
      <c r="LQH80" s="2567"/>
      <c r="LQI80" s="2567"/>
      <c r="LQJ80" s="2567"/>
      <c r="LQK80" s="2567"/>
      <c r="LQL80" s="2567"/>
      <c r="LQM80" s="2567"/>
      <c r="LQN80" s="2567"/>
      <c r="LQO80" s="2567"/>
      <c r="LQP80" s="2567"/>
      <c r="LQQ80" s="2567"/>
      <c r="LQR80" s="2567"/>
      <c r="LQS80" s="2567"/>
      <c r="LQT80" s="2567"/>
      <c r="LQU80" s="2567"/>
      <c r="LQV80" s="2567"/>
      <c r="LQW80" s="2567"/>
      <c r="LQX80" s="2567"/>
      <c r="LQY80" s="2567"/>
      <c r="LQZ80" s="2567"/>
      <c r="LRA80" s="2567"/>
      <c r="LRB80" s="2567"/>
      <c r="LRC80" s="2567"/>
      <c r="LRD80" s="2567"/>
      <c r="LRE80" s="2567"/>
      <c r="LRF80" s="2567"/>
      <c r="LRG80" s="2567"/>
      <c r="LRH80" s="2567"/>
      <c r="LRI80" s="2567"/>
      <c r="LRJ80" s="2567"/>
      <c r="LRK80" s="2567"/>
      <c r="LRL80" s="2567"/>
      <c r="LRM80" s="2567"/>
      <c r="LRN80" s="2567"/>
      <c r="LRO80" s="2567"/>
      <c r="LRP80" s="2567"/>
      <c r="LRQ80" s="2567"/>
      <c r="LRR80" s="2567"/>
      <c r="LRS80" s="2567"/>
      <c r="LRT80" s="2567"/>
      <c r="LRU80" s="2567"/>
      <c r="LRV80" s="2567"/>
      <c r="LRW80" s="2567"/>
      <c r="LRX80" s="2567"/>
      <c r="LRY80" s="2567"/>
      <c r="LRZ80" s="2567"/>
      <c r="LSA80" s="2567"/>
      <c r="LSB80" s="2567"/>
      <c r="LSC80" s="2567"/>
      <c r="LSD80" s="2567"/>
      <c r="LSE80" s="2567"/>
      <c r="LSF80" s="2567"/>
      <c r="LSG80" s="2567"/>
      <c r="LSH80" s="2567"/>
      <c r="LSI80" s="2567"/>
      <c r="LSJ80" s="2567"/>
      <c r="LSK80" s="2567"/>
      <c r="LSL80" s="2567"/>
      <c r="LSM80" s="2567"/>
      <c r="LSN80" s="2567"/>
      <c r="LSO80" s="2567"/>
      <c r="LSP80" s="2567"/>
      <c r="LSQ80" s="2567"/>
      <c r="LSR80" s="2567"/>
      <c r="LSS80" s="2567"/>
      <c r="LST80" s="2567"/>
      <c r="LSU80" s="2567"/>
      <c r="LSV80" s="2567"/>
      <c r="LSW80" s="2567"/>
      <c r="LSX80" s="2567"/>
      <c r="LSY80" s="2567"/>
      <c r="LSZ80" s="2567"/>
      <c r="LTA80" s="2567"/>
      <c r="LTB80" s="2567"/>
      <c r="LTC80" s="2567"/>
      <c r="LTD80" s="2567"/>
      <c r="LTE80" s="2567"/>
      <c r="LTF80" s="2567"/>
      <c r="LTG80" s="2567"/>
      <c r="LTH80" s="2567"/>
      <c r="LTI80" s="2567"/>
      <c r="LTJ80" s="2567"/>
      <c r="LTK80" s="2567"/>
      <c r="LTL80" s="2567"/>
      <c r="LTM80" s="2567"/>
      <c r="LTN80" s="2567"/>
      <c r="LTO80" s="2567"/>
      <c r="LTP80" s="2567"/>
      <c r="LTQ80" s="2567"/>
      <c r="LTR80" s="2567"/>
      <c r="LTS80" s="2567"/>
      <c r="LTT80" s="2567"/>
      <c r="LTU80" s="2567"/>
      <c r="LTV80" s="2567"/>
      <c r="LTW80" s="2567"/>
      <c r="LTX80" s="2567"/>
      <c r="LTY80" s="2567"/>
      <c r="LTZ80" s="2567"/>
      <c r="LUA80" s="2567"/>
      <c r="LUB80" s="2567"/>
      <c r="LUC80" s="2567"/>
      <c r="LUD80" s="2567"/>
      <c r="LUE80" s="2567"/>
      <c r="LUF80" s="2567"/>
      <c r="LUG80" s="2567"/>
      <c r="LUH80" s="2567"/>
      <c r="LUI80" s="2567"/>
      <c r="LUJ80" s="2567"/>
      <c r="LUK80" s="2567"/>
      <c r="LUL80" s="2567"/>
      <c r="LUM80" s="2567"/>
      <c r="LUN80" s="2567"/>
      <c r="LUO80" s="2567"/>
      <c r="LUP80" s="2567"/>
      <c r="LUQ80" s="2567"/>
      <c r="LUR80" s="2567"/>
      <c r="LUS80" s="2567"/>
      <c r="LUT80" s="2567"/>
      <c r="LUU80" s="2567"/>
      <c r="LUV80" s="2567"/>
      <c r="LUW80" s="2567"/>
      <c r="LUX80" s="2567"/>
      <c r="LUY80" s="2567"/>
      <c r="LUZ80" s="2567"/>
      <c r="LVA80" s="2567"/>
      <c r="LVB80" s="2567"/>
      <c r="LVC80" s="2567"/>
      <c r="LVD80" s="2567"/>
      <c r="LVE80" s="2567"/>
      <c r="LVF80" s="2567"/>
      <c r="LVG80" s="2567"/>
      <c r="LVH80" s="2567"/>
      <c r="LVI80" s="2567"/>
      <c r="LVJ80" s="2567"/>
      <c r="LVK80" s="2567"/>
      <c r="LVL80" s="2567"/>
      <c r="LVM80" s="2567"/>
      <c r="LVN80" s="2567"/>
      <c r="LVO80" s="2567"/>
      <c r="LVP80" s="2567"/>
      <c r="LVQ80" s="2567"/>
      <c r="LVR80" s="2567"/>
      <c r="LVS80" s="2567"/>
      <c r="LVT80" s="2567"/>
      <c r="LVU80" s="2567"/>
      <c r="LVV80" s="2567"/>
      <c r="LVW80" s="2567"/>
      <c r="LVX80" s="2567"/>
      <c r="LVY80" s="2567"/>
      <c r="LVZ80" s="2567"/>
      <c r="LWA80" s="2567"/>
      <c r="LWB80" s="2567"/>
      <c r="LWC80" s="2567"/>
      <c r="LWD80" s="2567"/>
      <c r="LWE80" s="2567"/>
      <c r="LWF80" s="2567"/>
      <c r="LWG80" s="2567"/>
      <c r="LWH80" s="2567"/>
      <c r="LWI80" s="2567"/>
      <c r="LWJ80" s="2567"/>
      <c r="LWK80" s="2567"/>
      <c r="LWL80" s="2567"/>
      <c r="LWM80" s="2567"/>
      <c r="LWN80" s="2567"/>
      <c r="LWO80" s="2567"/>
      <c r="LWP80" s="2567"/>
      <c r="LWQ80" s="2567"/>
      <c r="LWR80" s="2567"/>
      <c r="LWS80" s="2567"/>
      <c r="LWT80" s="2567"/>
      <c r="LWU80" s="2567"/>
      <c r="LWV80" s="2567"/>
      <c r="LWW80" s="2567"/>
      <c r="LWX80" s="2567"/>
      <c r="LWY80" s="2567"/>
      <c r="LWZ80" s="2567"/>
      <c r="LXA80" s="2567"/>
      <c r="LXB80" s="2567"/>
      <c r="LXC80" s="2567"/>
      <c r="LXD80" s="2567"/>
      <c r="LXE80" s="2567"/>
      <c r="LXF80" s="2567"/>
      <c r="LXG80" s="2567"/>
      <c r="LXH80" s="2567"/>
      <c r="LXI80" s="2567"/>
      <c r="LXJ80" s="2567"/>
      <c r="LXK80" s="2567"/>
      <c r="LXL80" s="2567"/>
      <c r="LXM80" s="2567"/>
      <c r="LXN80" s="2567"/>
      <c r="LXO80" s="2567"/>
      <c r="LXP80" s="2567"/>
      <c r="LXQ80" s="2567"/>
      <c r="LXR80" s="2567"/>
      <c r="LXS80" s="2567"/>
      <c r="LXT80" s="2567"/>
      <c r="LXU80" s="2567"/>
      <c r="LXV80" s="2567"/>
      <c r="LXW80" s="2567"/>
      <c r="LXX80" s="2567"/>
      <c r="LXY80" s="2567"/>
      <c r="LXZ80" s="2567"/>
      <c r="LYA80" s="2567"/>
      <c r="LYB80" s="2567"/>
      <c r="LYC80" s="2567"/>
      <c r="LYD80" s="2567"/>
      <c r="LYE80" s="2567"/>
      <c r="LYF80" s="2567"/>
      <c r="LYG80" s="2567"/>
      <c r="LYH80" s="2567"/>
      <c r="LYI80" s="2567"/>
      <c r="LYJ80" s="2567"/>
      <c r="LYK80" s="2567"/>
      <c r="LYL80" s="2567"/>
      <c r="LYM80" s="2567"/>
      <c r="LYN80" s="2567"/>
      <c r="LYO80" s="2567"/>
      <c r="LYP80" s="2567"/>
      <c r="LYQ80" s="2567"/>
      <c r="LYR80" s="2567"/>
      <c r="LYS80" s="2567"/>
      <c r="LYT80" s="2567"/>
      <c r="LYU80" s="2567"/>
      <c r="LYV80" s="2567"/>
      <c r="LYW80" s="2567"/>
      <c r="LYX80" s="2567"/>
      <c r="LYY80" s="2567"/>
      <c r="LYZ80" s="2567"/>
      <c r="LZA80" s="2567"/>
      <c r="LZB80" s="2567"/>
      <c r="LZC80" s="2567"/>
      <c r="LZD80" s="2567"/>
      <c r="LZE80" s="2567"/>
      <c r="LZF80" s="2567"/>
      <c r="LZG80" s="2567"/>
      <c r="LZH80" s="2567"/>
      <c r="LZI80" s="2567"/>
      <c r="LZJ80" s="2567"/>
      <c r="LZK80" s="2567"/>
      <c r="LZL80" s="2567"/>
      <c r="LZM80" s="2567"/>
      <c r="LZN80" s="2567"/>
      <c r="LZO80" s="2567"/>
      <c r="LZP80" s="2567"/>
      <c r="LZQ80" s="2567"/>
      <c r="LZR80" s="2567"/>
      <c r="LZS80" s="2567"/>
      <c r="LZT80" s="2567"/>
      <c r="LZU80" s="2567"/>
      <c r="LZV80" s="2567"/>
      <c r="LZW80" s="2567"/>
      <c r="LZX80" s="2567"/>
      <c r="LZY80" s="2567"/>
      <c r="LZZ80" s="2567"/>
      <c r="MAA80" s="2567"/>
      <c r="MAB80" s="2567"/>
      <c r="MAC80" s="2567"/>
      <c r="MAD80" s="2567"/>
      <c r="MAE80" s="2567"/>
      <c r="MAF80" s="2567"/>
      <c r="MAG80" s="2567"/>
      <c r="MAH80" s="2567"/>
      <c r="MAI80" s="2567"/>
      <c r="MAJ80" s="2567"/>
      <c r="MAK80" s="2567"/>
      <c r="MAL80" s="2567"/>
      <c r="MAM80" s="2567"/>
      <c r="MAN80" s="2567"/>
      <c r="MAO80" s="2567"/>
      <c r="MAP80" s="2567"/>
      <c r="MAQ80" s="2567"/>
      <c r="MAR80" s="2567"/>
      <c r="MAS80" s="2567"/>
      <c r="MAT80" s="2567"/>
      <c r="MAU80" s="2567"/>
      <c r="MAV80" s="2567"/>
      <c r="MAW80" s="2567"/>
      <c r="MAX80" s="2567"/>
      <c r="MAY80" s="2567"/>
      <c r="MAZ80" s="2567"/>
      <c r="MBA80" s="2567"/>
      <c r="MBB80" s="2567"/>
      <c r="MBC80" s="2567"/>
      <c r="MBD80" s="2567"/>
      <c r="MBE80" s="2567"/>
      <c r="MBF80" s="2567"/>
      <c r="MBG80" s="2567"/>
      <c r="MBH80" s="2567"/>
      <c r="MBI80" s="2567"/>
      <c r="MBJ80" s="2567"/>
      <c r="MBK80" s="2567"/>
      <c r="MBL80" s="2567"/>
      <c r="MBM80" s="2567"/>
      <c r="MBN80" s="2567"/>
      <c r="MBO80" s="2567"/>
      <c r="MBP80" s="2567"/>
      <c r="MBQ80" s="2567"/>
      <c r="MBR80" s="2567"/>
      <c r="MBS80" s="2567"/>
      <c r="MBT80" s="2567"/>
      <c r="MBU80" s="2567"/>
      <c r="MBV80" s="2567"/>
      <c r="MBW80" s="2567"/>
      <c r="MBX80" s="2567"/>
      <c r="MBY80" s="2567"/>
      <c r="MBZ80" s="2567"/>
      <c r="MCA80" s="2567"/>
      <c r="MCB80" s="2567"/>
      <c r="MCC80" s="2567"/>
      <c r="MCD80" s="2567"/>
      <c r="MCE80" s="2567"/>
      <c r="MCF80" s="2567"/>
      <c r="MCG80" s="2567"/>
      <c r="MCH80" s="2567"/>
      <c r="MCI80" s="2567"/>
      <c r="MCJ80" s="2567"/>
      <c r="MCK80" s="2567"/>
      <c r="MCL80" s="2567"/>
      <c r="MCM80" s="2567"/>
      <c r="MCN80" s="2567"/>
      <c r="MCO80" s="2567"/>
      <c r="MCP80" s="2567"/>
      <c r="MCQ80" s="2567"/>
      <c r="MCR80" s="2567"/>
      <c r="MCS80" s="2567"/>
      <c r="MCT80" s="2567"/>
      <c r="MCU80" s="2567"/>
      <c r="MCV80" s="2567"/>
      <c r="MCW80" s="2567"/>
      <c r="MCX80" s="2567"/>
      <c r="MCY80" s="2567"/>
      <c r="MCZ80" s="2567"/>
      <c r="MDA80" s="2567"/>
      <c r="MDB80" s="2567"/>
      <c r="MDC80" s="2567"/>
      <c r="MDD80" s="2567"/>
      <c r="MDE80" s="2567"/>
      <c r="MDF80" s="2567"/>
      <c r="MDG80" s="2567"/>
      <c r="MDH80" s="2567"/>
      <c r="MDI80" s="2567"/>
      <c r="MDJ80" s="2567"/>
      <c r="MDK80" s="2567"/>
      <c r="MDL80" s="2567"/>
      <c r="MDM80" s="2567"/>
      <c r="MDN80" s="2567"/>
      <c r="MDO80" s="2567"/>
      <c r="MDP80" s="2567"/>
      <c r="MDQ80" s="2567"/>
      <c r="MDR80" s="2567"/>
      <c r="MDS80" s="2567"/>
      <c r="MDT80" s="2567"/>
      <c r="MDU80" s="2567"/>
      <c r="MDV80" s="2567"/>
      <c r="MDW80" s="2567"/>
      <c r="MDX80" s="2567"/>
      <c r="MDY80" s="2567"/>
      <c r="MDZ80" s="2567"/>
      <c r="MEA80" s="2567"/>
      <c r="MEB80" s="2567"/>
      <c r="MEC80" s="2567"/>
      <c r="MED80" s="2567"/>
      <c r="MEE80" s="2567"/>
      <c r="MEF80" s="2567"/>
      <c r="MEG80" s="2567"/>
      <c r="MEH80" s="2567"/>
      <c r="MEI80" s="2567"/>
      <c r="MEJ80" s="2567"/>
      <c r="MEK80" s="2567"/>
      <c r="MEL80" s="2567"/>
      <c r="MEM80" s="2567"/>
      <c r="MEN80" s="2567"/>
      <c r="MEO80" s="2567"/>
      <c r="MEP80" s="2567"/>
      <c r="MEQ80" s="2567"/>
      <c r="MER80" s="2567"/>
      <c r="MES80" s="2567"/>
      <c r="MET80" s="2567"/>
      <c r="MEU80" s="2567"/>
      <c r="MEV80" s="2567"/>
      <c r="MEW80" s="2567"/>
      <c r="MEX80" s="2567"/>
      <c r="MEY80" s="2567"/>
      <c r="MEZ80" s="2567"/>
      <c r="MFA80" s="2567"/>
      <c r="MFB80" s="2567"/>
      <c r="MFC80" s="2567"/>
      <c r="MFD80" s="2567"/>
      <c r="MFE80" s="2567"/>
      <c r="MFF80" s="2567"/>
      <c r="MFG80" s="2567"/>
      <c r="MFH80" s="2567"/>
      <c r="MFI80" s="2567"/>
      <c r="MFJ80" s="2567"/>
      <c r="MFK80" s="2567"/>
      <c r="MFL80" s="2567"/>
      <c r="MFM80" s="2567"/>
      <c r="MFN80" s="2567"/>
      <c r="MFO80" s="2567"/>
      <c r="MFP80" s="2567"/>
      <c r="MFQ80" s="2567"/>
      <c r="MFR80" s="2567"/>
      <c r="MFS80" s="2567"/>
      <c r="MFT80" s="2567"/>
      <c r="MFU80" s="2567"/>
      <c r="MFV80" s="2567"/>
      <c r="MFW80" s="2567"/>
      <c r="MFX80" s="2567"/>
      <c r="MFY80" s="2567"/>
      <c r="MFZ80" s="2567"/>
      <c r="MGA80" s="2567"/>
      <c r="MGB80" s="2567"/>
      <c r="MGC80" s="2567"/>
      <c r="MGD80" s="2567"/>
      <c r="MGE80" s="2567"/>
      <c r="MGF80" s="2567"/>
      <c r="MGG80" s="2567"/>
      <c r="MGH80" s="2567"/>
      <c r="MGI80" s="2567"/>
      <c r="MGJ80" s="2567"/>
      <c r="MGK80" s="2567"/>
      <c r="MGL80" s="2567"/>
      <c r="MGM80" s="2567"/>
      <c r="MGN80" s="2567"/>
      <c r="MGO80" s="2567"/>
      <c r="MGP80" s="2567"/>
      <c r="MGQ80" s="2567"/>
      <c r="MGR80" s="2567"/>
      <c r="MGS80" s="2567"/>
      <c r="MGT80" s="2567"/>
      <c r="MGU80" s="2567"/>
      <c r="MGV80" s="2567"/>
      <c r="MGW80" s="2567"/>
      <c r="MGX80" s="2567"/>
      <c r="MGY80" s="2567"/>
      <c r="MGZ80" s="2567"/>
      <c r="MHA80" s="2567"/>
      <c r="MHB80" s="2567"/>
      <c r="MHC80" s="2567"/>
      <c r="MHD80" s="2567"/>
      <c r="MHE80" s="2567"/>
      <c r="MHF80" s="2567"/>
      <c r="MHG80" s="2567"/>
      <c r="MHH80" s="2567"/>
      <c r="MHI80" s="2567"/>
      <c r="MHJ80" s="2567"/>
      <c r="MHK80" s="2567"/>
      <c r="MHL80" s="2567"/>
      <c r="MHM80" s="2567"/>
      <c r="MHN80" s="2567"/>
      <c r="MHO80" s="2567"/>
      <c r="MHP80" s="2567"/>
      <c r="MHQ80" s="2567"/>
      <c r="MHR80" s="2567"/>
      <c r="MHS80" s="2567"/>
      <c r="MHT80" s="2567"/>
      <c r="MHU80" s="2567"/>
      <c r="MHV80" s="2567"/>
      <c r="MHW80" s="2567"/>
      <c r="MHX80" s="2567"/>
      <c r="MHY80" s="2567"/>
      <c r="MHZ80" s="2567"/>
      <c r="MIA80" s="2567"/>
      <c r="MIB80" s="2567"/>
      <c r="MIC80" s="2567"/>
      <c r="MID80" s="2567"/>
      <c r="MIE80" s="2567"/>
      <c r="MIF80" s="2567"/>
      <c r="MIG80" s="2567"/>
      <c r="MIH80" s="2567"/>
      <c r="MII80" s="2567"/>
      <c r="MIJ80" s="2567"/>
      <c r="MIK80" s="2567"/>
      <c r="MIL80" s="2567"/>
      <c r="MIM80" s="2567"/>
      <c r="MIN80" s="2567"/>
      <c r="MIO80" s="2567"/>
      <c r="MIP80" s="2567"/>
      <c r="MIQ80" s="2567"/>
      <c r="MIR80" s="2567"/>
      <c r="MIS80" s="2567"/>
      <c r="MIT80" s="2567"/>
      <c r="MIU80" s="2567"/>
      <c r="MIV80" s="2567"/>
      <c r="MIW80" s="2567"/>
      <c r="MIX80" s="2567"/>
      <c r="MIY80" s="2567"/>
      <c r="MIZ80" s="2567"/>
      <c r="MJA80" s="2567"/>
      <c r="MJB80" s="2567"/>
      <c r="MJC80" s="2567"/>
      <c r="MJD80" s="2567"/>
      <c r="MJE80" s="2567"/>
      <c r="MJF80" s="2567"/>
      <c r="MJG80" s="2567"/>
      <c r="MJH80" s="2567"/>
      <c r="MJI80" s="2567"/>
      <c r="MJJ80" s="2567"/>
      <c r="MJK80" s="2567"/>
      <c r="MJL80" s="2567"/>
      <c r="MJM80" s="2567"/>
      <c r="MJN80" s="2567"/>
      <c r="MJO80" s="2567"/>
      <c r="MJP80" s="2567"/>
      <c r="MJQ80" s="2567"/>
      <c r="MJR80" s="2567"/>
      <c r="MJS80" s="2567"/>
      <c r="MJT80" s="2567"/>
      <c r="MJU80" s="2567"/>
      <c r="MJV80" s="2567"/>
      <c r="MJW80" s="2567"/>
      <c r="MJX80" s="2567"/>
      <c r="MJY80" s="2567"/>
      <c r="MJZ80" s="2567"/>
      <c r="MKA80" s="2567"/>
      <c r="MKB80" s="2567"/>
      <c r="MKC80" s="2567"/>
      <c r="MKD80" s="2567"/>
      <c r="MKE80" s="2567"/>
      <c r="MKF80" s="2567"/>
      <c r="MKG80" s="2567"/>
      <c r="MKH80" s="2567"/>
      <c r="MKI80" s="2567"/>
      <c r="MKJ80" s="2567"/>
      <c r="MKK80" s="2567"/>
      <c r="MKL80" s="2567"/>
      <c r="MKM80" s="2567"/>
      <c r="MKN80" s="2567"/>
      <c r="MKO80" s="2567"/>
      <c r="MKP80" s="2567"/>
      <c r="MKQ80" s="2567"/>
      <c r="MKR80" s="2567"/>
      <c r="MKS80" s="2567"/>
      <c r="MKT80" s="2567"/>
      <c r="MKU80" s="2567"/>
      <c r="MKV80" s="2567"/>
      <c r="MKW80" s="2567"/>
      <c r="MKX80" s="2567"/>
      <c r="MKY80" s="2567"/>
      <c r="MKZ80" s="2567"/>
      <c r="MLA80" s="2567"/>
      <c r="MLB80" s="2567"/>
      <c r="MLC80" s="2567"/>
      <c r="MLD80" s="2567"/>
      <c r="MLE80" s="2567"/>
      <c r="MLF80" s="2567"/>
      <c r="MLG80" s="2567"/>
      <c r="MLH80" s="2567"/>
      <c r="MLI80" s="2567"/>
      <c r="MLJ80" s="2567"/>
      <c r="MLK80" s="2567"/>
      <c r="MLL80" s="2567"/>
      <c r="MLM80" s="2567"/>
      <c r="MLN80" s="2567"/>
      <c r="MLO80" s="2567"/>
      <c r="MLP80" s="2567"/>
      <c r="MLQ80" s="2567"/>
      <c r="MLR80" s="2567"/>
      <c r="MLS80" s="2567"/>
      <c r="MLT80" s="2567"/>
      <c r="MLU80" s="2567"/>
      <c r="MLV80" s="2567"/>
      <c r="MLW80" s="2567"/>
      <c r="MLX80" s="2567"/>
      <c r="MLY80" s="2567"/>
      <c r="MLZ80" s="2567"/>
      <c r="MMA80" s="2567"/>
      <c r="MMB80" s="2567"/>
      <c r="MMC80" s="2567"/>
      <c r="MMD80" s="2567"/>
      <c r="MME80" s="2567"/>
      <c r="MMF80" s="2567"/>
      <c r="MMG80" s="2567"/>
      <c r="MMH80" s="2567"/>
      <c r="MMI80" s="2567"/>
      <c r="MMJ80" s="2567"/>
      <c r="MMK80" s="2567"/>
      <c r="MML80" s="2567"/>
      <c r="MMM80" s="2567"/>
      <c r="MMN80" s="2567"/>
      <c r="MMO80" s="2567"/>
      <c r="MMP80" s="2567"/>
      <c r="MMQ80" s="2567"/>
      <c r="MMR80" s="2567"/>
      <c r="MMS80" s="2567"/>
      <c r="MMT80" s="2567"/>
      <c r="MMU80" s="2567"/>
      <c r="MMV80" s="2567"/>
      <c r="MMW80" s="2567"/>
      <c r="MMX80" s="2567"/>
      <c r="MMY80" s="2567"/>
      <c r="MMZ80" s="2567"/>
      <c r="MNA80" s="2567"/>
      <c r="MNB80" s="2567"/>
      <c r="MNC80" s="2567"/>
      <c r="MND80" s="2567"/>
      <c r="MNE80" s="2567"/>
      <c r="MNF80" s="2567"/>
      <c r="MNG80" s="2567"/>
      <c r="MNH80" s="2567"/>
      <c r="MNI80" s="2567"/>
      <c r="MNJ80" s="2567"/>
      <c r="MNK80" s="2567"/>
      <c r="MNL80" s="2567"/>
      <c r="MNM80" s="2567"/>
      <c r="MNN80" s="2567"/>
      <c r="MNO80" s="2567"/>
      <c r="MNP80" s="2567"/>
      <c r="MNQ80" s="2567"/>
      <c r="MNR80" s="2567"/>
      <c r="MNS80" s="2567"/>
      <c r="MNT80" s="2567"/>
      <c r="MNU80" s="2567"/>
      <c r="MNV80" s="2567"/>
      <c r="MNW80" s="2567"/>
      <c r="MNX80" s="2567"/>
      <c r="MNY80" s="2567"/>
      <c r="MNZ80" s="2567"/>
      <c r="MOA80" s="2567"/>
      <c r="MOB80" s="2567"/>
      <c r="MOC80" s="2567"/>
      <c r="MOD80" s="2567"/>
      <c r="MOE80" s="2567"/>
      <c r="MOF80" s="2567"/>
      <c r="MOG80" s="2567"/>
      <c r="MOH80" s="2567"/>
      <c r="MOI80" s="2567"/>
      <c r="MOJ80" s="2567"/>
      <c r="MOK80" s="2567"/>
      <c r="MOL80" s="2567"/>
      <c r="MOM80" s="2567"/>
      <c r="MON80" s="2567"/>
      <c r="MOO80" s="2567"/>
      <c r="MOP80" s="2567"/>
      <c r="MOQ80" s="2567"/>
      <c r="MOR80" s="2567"/>
      <c r="MOS80" s="2567"/>
      <c r="MOT80" s="2567"/>
      <c r="MOU80" s="2567"/>
      <c r="MOV80" s="2567"/>
      <c r="MOW80" s="2567"/>
      <c r="MOX80" s="2567"/>
      <c r="MOY80" s="2567"/>
      <c r="MOZ80" s="2567"/>
      <c r="MPA80" s="2567"/>
      <c r="MPB80" s="2567"/>
      <c r="MPC80" s="2567"/>
      <c r="MPD80" s="2567"/>
      <c r="MPE80" s="2567"/>
      <c r="MPF80" s="2567"/>
      <c r="MPG80" s="2567"/>
      <c r="MPH80" s="2567"/>
      <c r="MPI80" s="2567"/>
      <c r="MPJ80" s="2567"/>
      <c r="MPK80" s="2567"/>
      <c r="MPL80" s="2567"/>
      <c r="MPM80" s="2567"/>
      <c r="MPN80" s="2567"/>
      <c r="MPO80" s="2567"/>
      <c r="MPP80" s="2567"/>
      <c r="MPQ80" s="2567"/>
      <c r="MPR80" s="2567"/>
      <c r="MPS80" s="2567"/>
      <c r="MPT80" s="2567"/>
      <c r="MPU80" s="2567"/>
      <c r="MPV80" s="2567"/>
      <c r="MPW80" s="2567"/>
      <c r="MPX80" s="2567"/>
      <c r="MPY80" s="2567"/>
      <c r="MPZ80" s="2567"/>
      <c r="MQA80" s="2567"/>
      <c r="MQB80" s="2567"/>
      <c r="MQC80" s="2567"/>
      <c r="MQD80" s="2567"/>
      <c r="MQE80" s="2567"/>
      <c r="MQF80" s="2567"/>
      <c r="MQG80" s="2567"/>
      <c r="MQH80" s="2567"/>
      <c r="MQI80" s="2567"/>
      <c r="MQJ80" s="2567"/>
      <c r="MQK80" s="2567"/>
      <c r="MQL80" s="2567"/>
      <c r="MQM80" s="2567"/>
      <c r="MQN80" s="2567"/>
      <c r="MQO80" s="2567"/>
      <c r="MQP80" s="2567"/>
      <c r="MQQ80" s="2567"/>
      <c r="MQR80" s="2567"/>
      <c r="MQS80" s="2567"/>
      <c r="MQT80" s="2567"/>
      <c r="MQU80" s="2567"/>
      <c r="MQV80" s="2567"/>
      <c r="MQW80" s="2567"/>
      <c r="MQX80" s="2567"/>
      <c r="MQY80" s="2567"/>
      <c r="MQZ80" s="2567"/>
      <c r="MRA80" s="2567"/>
      <c r="MRB80" s="2567"/>
      <c r="MRC80" s="2567"/>
      <c r="MRD80" s="2567"/>
      <c r="MRE80" s="2567"/>
      <c r="MRF80" s="2567"/>
      <c r="MRG80" s="2567"/>
      <c r="MRH80" s="2567"/>
      <c r="MRI80" s="2567"/>
      <c r="MRJ80" s="2567"/>
      <c r="MRK80" s="2567"/>
      <c r="MRL80" s="2567"/>
      <c r="MRM80" s="2567"/>
      <c r="MRN80" s="2567"/>
      <c r="MRO80" s="2567"/>
      <c r="MRP80" s="2567"/>
      <c r="MRQ80" s="2567"/>
      <c r="MRR80" s="2567"/>
      <c r="MRS80" s="2567"/>
      <c r="MRT80" s="2567"/>
      <c r="MRU80" s="2567"/>
      <c r="MRV80" s="2567"/>
      <c r="MRW80" s="2567"/>
      <c r="MRX80" s="2567"/>
      <c r="MRY80" s="2567"/>
      <c r="MRZ80" s="2567"/>
      <c r="MSA80" s="2567"/>
      <c r="MSB80" s="2567"/>
      <c r="MSC80" s="2567"/>
      <c r="MSD80" s="2567"/>
      <c r="MSE80" s="2567"/>
      <c r="MSF80" s="2567"/>
      <c r="MSG80" s="2567"/>
      <c r="MSH80" s="2567"/>
      <c r="MSI80" s="2567"/>
      <c r="MSJ80" s="2567"/>
      <c r="MSK80" s="2567"/>
      <c r="MSL80" s="2567"/>
      <c r="MSM80" s="2567"/>
      <c r="MSN80" s="2567"/>
      <c r="MSO80" s="2567"/>
      <c r="MSP80" s="2567"/>
      <c r="MSQ80" s="2567"/>
      <c r="MSR80" s="2567"/>
      <c r="MSS80" s="2567"/>
      <c r="MST80" s="2567"/>
      <c r="MSU80" s="2567"/>
      <c r="MSV80" s="2567"/>
      <c r="MSW80" s="2567"/>
      <c r="MSX80" s="2567"/>
      <c r="MSY80" s="2567"/>
      <c r="MSZ80" s="2567"/>
      <c r="MTA80" s="2567"/>
      <c r="MTB80" s="2567"/>
      <c r="MTC80" s="2567"/>
      <c r="MTD80" s="2567"/>
      <c r="MTE80" s="2567"/>
      <c r="MTF80" s="2567"/>
      <c r="MTG80" s="2567"/>
      <c r="MTH80" s="2567"/>
      <c r="MTI80" s="2567"/>
      <c r="MTJ80" s="2567"/>
      <c r="MTK80" s="2567"/>
      <c r="MTL80" s="2567"/>
      <c r="MTM80" s="2567"/>
      <c r="MTN80" s="2567"/>
      <c r="MTO80" s="2567"/>
      <c r="MTP80" s="2567"/>
      <c r="MTQ80" s="2567"/>
      <c r="MTR80" s="2567"/>
      <c r="MTS80" s="2567"/>
      <c r="MTT80" s="2567"/>
      <c r="MTU80" s="2567"/>
      <c r="MTV80" s="2567"/>
      <c r="MTW80" s="2567"/>
      <c r="MTX80" s="2567"/>
      <c r="MTY80" s="2567"/>
      <c r="MTZ80" s="2567"/>
      <c r="MUA80" s="2567"/>
      <c r="MUB80" s="2567"/>
      <c r="MUC80" s="2567"/>
      <c r="MUD80" s="2567"/>
      <c r="MUE80" s="2567"/>
      <c r="MUF80" s="2567"/>
      <c r="MUG80" s="2567"/>
      <c r="MUH80" s="2567"/>
      <c r="MUI80" s="2567"/>
      <c r="MUJ80" s="2567"/>
      <c r="MUK80" s="2567"/>
      <c r="MUL80" s="2567"/>
      <c r="MUM80" s="2567"/>
      <c r="MUN80" s="2567"/>
      <c r="MUO80" s="2567"/>
      <c r="MUP80" s="2567"/>
      <c r="MUQ80" s="2567"/>
      <c r="MUR80" s="2567"/>
      <c r="MUS80" s="2567"/>
      <c r="MUT80" s="2567"/>
      <c r="MUU80" s="2567"/>
      <c r="MUV80" s="2567"/>
      <c r="MUW80" s="2567"/>
      <c r="MUX80" s="2567"/>
      <c r="MUY80" s="2567"/>
      <c r="MUZ80" s="2567"/>
      <c r="MVA80" s="2567"/>
      <c r="MVB80" s="2567"/>
      <c r="MVC80" s="2567"/>
      <c r="MVD80" s="2567"/>
      <c r="MVE80" s="2567"/>
      <c r="MVF80" s="2567"/>
      <c r="MVG80" s="2567"/>
      <c r="MVH80" s="2567"/>
      <c r="MVI80" s="2567"/>
      <c r="MVJ80" s="2567"/>
      <c r="MVK80" s="2567"/>
      <c r="MVL80" s="2567"/>
      <c r="MVM80" s="2567"/>
      <c r="MVN80" s="2567"/>
      <c r="MVO80" s="2567"/>
      <c r="MVP80" s="2567"/>
      <c r="MVQ80" s="2567"/>
      <c r="MVR80" s="2567"/>
      <c r="MVS80" s="2567"/>
      <c r="MVT80" s="2567"/>
      <c r="MVU80" s="2567"/>
      <c r="MVV80" s="2567"/>
      <c r="MVW80" s="2567"/>
      <c r="MVX80" s="2567"/>
      <c r="MVY80" s="2567"/>
      <c r="MVZ80" s="2567"/>
      <c r="MWA80" s="2567"/>
      <c r="MWB80" s="2567"/>
      <c r="MWC80" s="2567"/>
      <c r="MWD80" s="2567"/>
      <c r="MWE80" s="2567"/>
      <c r="MWF80" s="2567"/>
      <c r="MWG80" s="2567"/>
      <c r="MWH80" s="2567"/>
      <c r="MWI80" s="2567"/>
      <c r="MWJ80" s="2567"/>
      <c r="MWK80" s="2567"/>
      <c r="MWL80" s="2567"/>
      <c r="MWM80" s="2567"/>
      <c r="MWN80" s="2567"/>
      <c r="MWO80" s="2567"/>
      <c r="MWP80" s="2567"/>
      <c r="MWQ80" s="2567"/>
      <c r="MWR80" s="2567"/>
      <c r="MWS80" s="2567"/>
      <c r="MWT80" s="2567"/>
      <c r="MWU80" s="2567"/>
      <c r="MWV80" s="2567"/>
      <c r="MWW80" s="2567"/>
      <c r="MWX80" s="2567"/>
      <c r="MWY80" s="2567"/>
      <c r="MWZ80" s="2567"/>
      <c r="MXA80" s="2567"/>
      <c r="MXB80" s="2567"/>
      <c r="MXC80" s="2567"/>
      <c r="MXD80" s="2567"/>
      <c r="MXE80" s="2567"/>
      <c r="MXF80" s="2567"/>
      <c r="MXG80" s="2567"/>
      <c r="MXH80" s="2567"/>
      <c r="MXI80" s="2567"/>
      <c r="MXJ80" s="2567"/>
      <c r="MXK80" s="2567"/>
      <c r="MXL80" s="2567"/>
      <c r="MXM80" s="2567"/>
      <c r="MXN80" s="2567"/>
      <c r="MXO80" s="2567"/>
      <c r="MXP80" s="2567"/>
      <c r="MXQ80" s="2567"/>
      <c r="MXR80" s="2567"/>
      <c r="MXS80" s="2567"/>
      <c r="MXT80" s="2567"/>
      <c r="MXU80" s="2567"/>
      <c r="MXV80" s="2567"/>
      <c r="MXW80" s="2567"/>
      <c r="MXX80" s="2567"/>
      <c r="MXY80" s="2567"/>
      <c r="MXZ80" s="2567"/>
      <c r="MYA80" s="2567"/>
      <c r="MYB80" s="2567"/>
      <c r="MYC80" s="2567"/>
      <c r="MYD80" s="2567"/>
      <c r="MYE80" s="2567"/>
      <c r="MYF80" s="2567"/>
      <c r="MYG80" s="2567"/>
      <c r="MYH80" s="2567"/>
      <c r="MYI80" s="2567"/>
      <c r="MYJ80" s="2567"/>
      <c r="MYK80" s="2567"/>
      <c r="MYL80" s="2567"/>
      <c r="MYM80" s="2567"/>
      <c r="MYN80" s="2567"/>
      <c r="MYO80" s="2567"/>
      <c r="MYP80" s="2567"/>
      <c r="MYQ80" s="2567"/>
      <c r="MYR80" s="2567"/>
      <c r="MYS80" s="2567"/>
      <c r="MYT80" s="2567"/>
      <c r="MYU80" s="2567"/>
      <c r="MYV80" s="2567"/>
      <c r="MYW80" s="2567"/>
      <c r="MYX80" s="2567"/>
      <c r="MYY80" s="2567"/>
      <c r="MYZ80" s="2567"/>
      <c r="MZA80" s="2567"/>
      <c r="MZB80" s="2567"/>
      <c r="MZC80" s="2567"/>
      <c r="MZD80" s="2567"/>
      <c r="MZE80" s="2567"/>
      <c r="MZF80" s="2567"/>
      <c r="MZG80" s="2567"/>
      <c r="MZH80" s="2567"/>
      <c r="MZI80" s="2567"/>
      <c r="MZJ80" s="2567"/>
      <c r="MZK80" s="2567"/>
      <c r="MZL80" s="2567"/>
      <c r="MZM80" s="2567"/>
      <c r="MZN80" s="2567"/>
      <c r="MZO80" s="2567"/>
      <c r="MZP80" s="2567"/>
      <c r="MZQ80" s="2567"/>
      <c r="MZR80" s="2567"/>
      <c r="MZS80" s="2567"/>
      <c r="MZT80" s="2567"/>
      <c r="MZU80" s="2567"/>
      <c r="MZV80" s="2567"/>
      <c r="MZW80" s="2567"/>
      <c r="MZX80" s="2567"/>
      <c r="MZY80" s="2567"/>
      <c r="MZZ80" s="2567"/>
      <c r="NAA80" s="2567"/>
      <c r="NAB80" s="2567"/>
      <c r="NAC80" s="2567"/>
      <c r="NAD80" s="2567"/>
      <c r="NAE80" s="2567"/>
      <c r="NAF80" s="2567"/>
      <c r="NAG80" s="2567"/>
      <c r="NAH80" s="2567"/>
      <c r="NAI80" s="2567"/>
      <c r="NAJ80" s="2567"/>
      <c r="NAK80" s="2567"/>
      <c r="NAL80" s="2567"/>
      <c r="NAM80" s="2567"/>
      <c r="NAN80" s="2567"/>
      <c r="NAO80" s="2567"/>
      <c r="NAP80" s="2567"/>
      <c r="NAQ80" s="2567"/>
      <c r="NAR80" s="2567"/>
      <c r="NAS80" s="2567"/>
      <c r="NAT80" s="2567"/>
      <c r="NAU80" s="2567"/>
      <c r="NAV80" s="2567"/>
      <c r="NAW80" s="2567"/>
      <c r="NAX80" s="2567"/>
      <c r="NAY80" s="2567"/>
      <c r="NAZ80" s="2567"/>
      <c r="NBA80" s="2567"/>
      <c r="NBB80" s="2567"/>
      <c r="NBC80" s="2567"/>
      <c r="NBD80" s="2567"/>
      <c r="NBE80" s="2567"/>
      <c r="NBF80" s="2567"/>
      <c r="NBG80" s="2567"/>
      <c r="NBH80" s="2567"/>
      <c r="NBI80" s="2567"/>
      <c r="NBJ80" s="2567"/>
      <c r="NBK80" s="2567"/>
      <c r="NBL80" s="2567"/>
      <c r="NBM80" s="2567"/>
      <c r="NBN80" s="2567"/>
      <c r="NBO80" s="2567"/>
      <c r="NBP80" s="2567"/>
      <c r="NBQ80" s="2567"/>
      <c r="NBR80" s="2567"/>
      <c r="NBS80" s="2567"/>
      <c r="NBT80" s="2567"/>
      <c r="NBU80" s="2567"/>
      <c r="NBV80" s="2567"/>
      <c r="NBW80" s="2567"/>
      <c r="NBX80" s="2567"/>
      <c r="NBY80" s="2567"/>
      <c r="NBZ80" s="2567"/>
      <c r="NCA80" s="2567"/>
      <c r="NCB80" s="2567"/>
      <c r="NCC80" s="2567"/>
      <c r="NCD80" s="2567"/>
      <c r="NCE80" s="2567"/>
      <c r="NCF80" s="2567"/>
      <c r="NCG80" s="2567"/>
      <c r="NCH80" s="2567"/>
      <c r="NCI80" s="2567"/>
      <c r="NCJ80" s="2567"/>
      <c r="NCK80" s="2567"/>
      <c r="NCL80" s="2567"/>
      <c r="NCM80" s="2567"/>
      <c r="NCN80" s="2567"/>
      <c r="NCO80" s="2567"/>
      <c r="NCP80" s="2567"/>
      <c r="NCQ80" s="2567"/>
      <c r="NCR80" s="2567"/>
      <c r="NCS80" s="2567"/>
      <c r="NCT80" s="2567"/>
      <c r="NCU80" s="2567"/>
      <c r="NCV80" s="2567"/>
      <c r="NCW80" s="2567"/>
      <c r="NCX80" s="2567"/>
      <c r="NCY80" s="2567"/>
      <c r="NCZ80" s="2567"/>
      <c r="NDA80" s="2567"/>
      <c r="NDB80" s="2567"/>
      <c r="NDC80" s="2567"/>
      <c r="NDD80" s="2567"/>
      <c r="NDE80" s="2567"/>
      <c r="NDF80" s="2567"/>
      <c r="NDG80" s="2567"/>
      <c r="NDH80" s="2567"/>
      <c r="NDI80" s="2567"/>
      <c r="NDJ80" s="2567"/>
      <c r="NDK80" s="2567"/>
      <c r="NDL80" s="2567"/>
      <c r="NDM80" s="2567"/>
      <c r="NDN80" s="2567"/>
      <c r="NDO80" s="2567"/>
      <c r="NDP80" s="2567"/>
      <c r="NDQ80" s="2567"/>
      <c r="NDR80" s="2567"/>
      <c r="NDS80" s="2567"/>
      <c r="NDT80" s="2567"/>
      <c r="NDU80" s="2567"/>
      <c r="NDV80" s="2567"/>
      <c r="NDW80" s="2567"/>
      <c r="NDX80" s="2567"/>
      <c r="NDY80" s="2567"/>
      <c r="NDZ80" s="2567"/>
      <c r="NEA80" s="2567"/>
      <c r="NEB80" s="2567"/>
      <c r="NEC80" s="2567"/>
      <c r="NED80" s="2567"/>
      <c r="NEE80" s="2567"/>
      <c r="NEF80" s="2567"/>
      <c r="NEG80" s="2567"/>
      <c r="NEH80" s="2567"/>
      <c r="NEI80" s="2567"/>
      <c r="NEJ80" s="2567"/>
      <c r="NEK80" s="2567"/>
      <c r="NEL80" s="2567"/>
      <c r="NEM80" s="2567"/>
      <c r="NEN80" s="2567"/>
      <c r="NEO80" s="2567"/>
      <c r="NEP80" s="2567"/>
      <c r="NEQ80" s="2567"/>
      <c r="NER80" s="2567"/>
      <c r="NES80" s="2567"/>
      <c r="NET80" s="2567"/>
      <c r="NEU80" s="2567"/>
      <c r="NEV80" s="2567"/>
      <c r="NEW80" s="2567"/>
      <c r="NEX80" s="2567"/>
      <c r="NEY80" s="2567"/>
      <c r="NEZ80" s="2567"/>
      <c r="NFA80" s="2567"/>
      <c r="NFB80" s="2567"/>
      <c r="NFC80" s="2567"/>
      <c r="NFD80" s="2567"/>
      <c r="NFE80" s="2567"/>
      <c r="NFF80" s="2567"/>
      <c r="NFG80" s="2567"/>
      <c r="NFH80" s="2567"/>
      <c r="NFI80" s="2567"/>
      <c r="NFJ80" s="2567"/>
      <c r="NFK80" s="2567"/>
      <c r="NFL80" s="2567"/>
      <c r="NFM80" s="2567"/>
      <c r="NFN80" s="2567"/>
      <c r="NFO80" s="2567"/>
      <c r="NFP80" s="2567"/>
      <c r="NFQ80" s="2567"/>
      <c r="NFR80" s="2567"/>
      <c r="NFS80" s="2567"/>
      <c r="NFT80" s="2567"/>
      <c r="NFU80" s="2567"/>
      <c r="NFV80" s="2567"/>
      <c r="NFW80" s="2567"/>
      <c r="NFX80" s="2567"/>
      <c r="NFY80" s="2567"/>
      <c r="NFZ80" s="2567"/>
      <c r="NGA80" s="2567"/>
      <c r="NGB80" s="2567"/>
      <c r="NGC80" s="2567"/>
      <c r="NGD80" s="2567"/>
      <c r="NGE80" s="2567"/>
      <c r="NGF80" s="2567"/>
      <c r="NGG80" s="2567"/>
      <c r="NGH80" s="2567"/>
      <c r="NGI80" s="2567"/>
      <c r="NGJ80" s="2567"/>
      <c r="NGK80" s="2567"/>
      <c r="NGL80" s="2567"/>
      <c r="NGM80" s="2567"/>
      <c r="NGN80" s="2567"/>
      <c r="NGO80" s="2567"/>
      <c r="NGP80" s="2567"/>
      <c r="NGQ80" s="2567"/>
      <c r="NGR80" s="2567"/>
      <c r="NGS80" s="2567"/>
      <c r="NGT80" s="2567"/>
      <c r="NGU80" s="2567"/>
      <c r="NGV80" s="2567"/>
      <c r="NGW80" s="2567"/>
      <c r="NGX80" s="2567"/>
      <c r="NGY80" s="2567"/>
      <c r="NGZ80" s="2567"/>
      <c r="NHA80" s="2567"/>
      <c r="NHB80" s="2567"/>
      <c r="NHC80" s="2567"/>
      <c r="NHD80" s="2567"/>
      <c r="NHE80" s="2567"/>
      <c r="NHF80" s="2567"/>
      <c r="NHG80" s="2567"/>
      <c r="NHH80" s="2567"/>
      <c r="NHI80" s="2567"/>
      <c r="NHJ80" s="2567"/>
      <c r="NHK80" s="2567"/>
      <c r="NHL80" s="2567"/>
      <c r="NHM80" s="2567"/>
      <c r="NHN80" s="2567"/>
      <c r="NHO80" s="2567"/>
      <c r="NHP80" s="2567"/>
      <c r="NHQ80" s="2567"/>
      <c r="NHR80" s="2567"/>
      <c r="NHS80" s="2567"/>
      <c r="NHT80" s="2567"/>
      <c r="NHU80" s="2567"/>
      <c r="NHV80" s="2567"/>
      <c r="NHW80" s="2567"/>
      <c r="NHX80" s="2567"/>
      <c r="NHY80" s="2567"/>
      <c r="NHZ80" s="2567"/>
      <c r="NIA80" s="2567"/>
      <c r="NIB80" s="2567"/>
      <c r="NIC80" s="2567"/>
      <c r="NID80" s="2567"/>
      <c r="NIE80" s="2567"/>
      <c r="NIF80" s="2567"/>
      <c r="NIG80" s="2567"/>
      <c r="NIH80" s="2567"/>
      <c r="NII80" s="2567"/>
      <c r="NIJ80" s="2567"/>
      <c r="NIK80" s="2567"/>
      <c r="NIL80" s="2567"/>
      <c r="NIM80" s="2567"/>
      <c r="NIN80" s="2567"/>
      <c r="NIO80" s="2567"/>
      <c r="NIP80" s="2567"/>
      <c r="NIQ80" s="2567"/>
      <c r="NIR80" s="2567"/>
      <c r="NIS80" s="2567"/>
      <c r="NIT80" s="2567"/>
      <c r="NIU80" s="2567"/>
      <c r="NIV80" s="2567"/>
      <c r="NIW80" s="2567"/>
      <c r="NIX80" s="2567"/>
      <c r="NIY80" s="2567"/>
      <c r="NIZ80" s="2567"/>
      <c r="NJA80" s="2567"/>
      <c r="NJB80" s="2567"/>
      <c r="NJC80" s="2567"/>
      <c r="NJD80" s="2567"/>
      <c r="NJE80" s="2567"/>
      <c r="NJF80" s="2567"/>
      <c r="NJG80" s="2567"/>
      <c r="NJH80" s="2567"/>
      <c r="NJI80" s="2567"/>
      <c r="NJJ80" s="2567"/>
      <c r="NJK80" s="2567"/>
      <c r="NJL80" s="2567"/>
      <c r="NJM80" s="2567"/>
      <c r="NJN80" s="2567"/>
      <c r="NJO80" s="2567"/>
      <c r="NJP80" s="2567"/>
      <c r="NJQ80" s="2567"/>
      <c r="NJR80" s="2567"/>
      <c r="NJS80" s="2567"/>
      <c r="NJT80" s="2567"/>
      <c r="NJU80" s="2567"/>
      <c r="NJV80" s="2567"/>
      <c r="NJW80" s="2567"/>
      <c r="NJX80" s="2567"/>
      <c r="NJY80" s="2567"/>
      <c r="NJZ80" s="2567"/>
      <c r="NKA80" s="2567"/>
      <c r="NKB80" s="2567"/>
      <c r="NKC80" s="2567"/>
      <c r="NKD80" s="2567"/>
      <c r="NKE80" s="2567"/>
      <c r="NKF80" s="2567"/>
      <c r="NKG80" s="2567"/>
      <c r="NKH80" s="2567"/>
      <c r="NKI80" s="2567"/>
      <c r="NKJ80" s="2567"/>
      <c r="NKK80" s="2567"/>
      <c r="NKL80" s="2567"/>
      <c r="NKM80" s="2567"/>
      <c r="NKN80" s="2567"/>
      <c r="NKO80" s="2567"/>
      <c r="NKP80" s="2567"/>
      <c r="NKQ80" s="2567"/>
      <c r="NKR80" s="2567"/>
      <c r="NKS80" s="2567"/>
      <c r="NKT80" s="2567"/>
      <c r="NKU80" s="2567"/>
      <c r="NKV80" s="2567"/>
      <c r="NKW80" s="2567"/>
      <c r="NKX80" s="2567"/>
      <c r="NKY80" s="2567"/>
      <c r="NKZ80" s="2567"/>
      <c r="NLA80" s="2567"/>
      <c r="NLB80" s="2567"/>
      <c r="NLC80" s="2567"/>
      <c r="NLD80" s="2567"/>
      <c r="NLE80" s="2567"/>
      <c r="NLF80" s="2567"/>
      <c r="NLG80" s="2567"/>
      <c r="NLH80" s="2567"/>
      <c r="NLI80" s="2567"/>
      <c r="NLJ80" s="2567"/>
      <c r="NLK80" s="2567"/>
      <c r="NLL80" s="2567"/>
      <c r="NLM80" s="2567"/>
      <c r="NLN80" s="2567"/>
      <c r="NLO80" s="2567"/>
      <c r="NLP80" s="2567"/>
      <c r="NLQ80" s="2567"/>
      <c r="NLR80" s="2567"/>
      <c r="NLS80" s="2567"/>
      <c r="NLT80" s="2567"/>
      <c r="NLU80" s="2567"/>
      <c r="NLV80" s="2567"/>
      <c r="NLW80" s="2567"/>
      <c r="NLX80" s="2567"/>
      <c r="NLY80" s="2567"/>
      <c r="NLZ80" s="2567"/>
      <c r="NMA80" s="2567"/>
      <c r="NMB80" s="2567"/>
      <c r="NMC80" s="2567"/>
      <c r="NMD80" s="2567"/>
      <c r="NME80" s="2567"/>
      <c r="NMF80" s="2567"/>
      <c r="NMG80" s="2567"/>
      <c r="NMH80" s="2567"/>
      <c r="NMI80" s="2567"/>
      <c r="NMJ80" s="2567"/>
      <c r="NMK80" s="2567"/>
      <c r="NML80" s="2567"/>
      <c r="NMM80" s="2567"/>
      <c r="NMN80" s="2567"/>
      <c r="NMO80" s="2567"/>
      <c r="NMP80" s="2567"/>
      <c r="NMQ80" s="2567"/>
      <c r="NMR80" s="2567"/>
      <c r="NMS80" s="2567"/>
      <c r="NMT80" s="2567"/>
      <c r="NMU80" s="2567"/>
      <c r="NMV80" s="2567"/>
      <c r="NMW80" s="2567"/>
      <c r="NMX80" s="2567"/>
      <c r="NMY80" s="2567"/>
      <c r="NMZ80" s="2567"/>
      <c r="NNA80" s="2567"/>
      <c r="NNB80" s="2567"/>
      <c r="NNC80" s="2567"/>
      <c r="NND80" s="2567"/>
      <c r="NNE80" s="2567"/>
      <c r="NNF80" s="2567"/>
      <c r="NNG80" s="2567"/>
      <c r="NNH80" s="2567"/>
      <c r="NNI80" s="2567"/>
      <c r="NNJ80" s="2567"/>
      <c r="NNK80" s="2567"/>
      <c r="NNL80" s="2567"/>
      <c r="NNM80" s="2567"/>
      <c r="NNN80" s="2567"/>
      <c r="NNO80" s="2567"/>
      <c r="NNP80" s="2567"/>
      <c r="NNQ80" s="2567"/>
      <c r="NNR80" s="2567"/>
      <c r="NNS80" s="2567"/>
      <c r="NNT80" s="2567"/>
      <c r="NNU80" s="2567"/>
      <c r="NNV80" s="2567"/>
      <c r="NNW80" s="2567"/>
      <c r="NNX80" s="2567"/>
      <c r="NNY80" s="2567"/>
      <c r="NNZ80" s="2567"/>
      <c r="NOA80" s="2567"/>
      <c r="NOB80" s="2567"/>
      <c r="NOC80" s="2567"/>
      <c r="NOD80" s="2567"/>
      <c r="NOE80" s="2567"/>
      <c r="NOF80" s="2567"/>
      <c r="NOG80" s="2567"/>
      <c r="NOH80" s="2567"/>
      <c r="NOI80" s="2567"/>
      <c r="NOJ80" s="2567"/>
      <c r="NOK80" s="2567"/>
      <c r="NOL80" s="2567"/>
      <c r="NOM80" s="2567"/>
      <c r="NON80" s="2567"/>
      <c r="NOO80" s="2567"/>
      <c r="NOP80" s="2567"/>
      <c r="NOQ80" s="2567"/>
      <c r="NOR80" s="2567"/>
      <c r="NOS80" s="2567"/>
      <c r="NOT80" s="2567"/>
      <c r="NOU80" s="2567"/>
      <c r="NOV80" s="2567"/>
      <c r="NOW80" s="2567"/>
      <c r="NOX80" s="2567"/>
      <c r="NOY80" s="2567"/>
      <c r="NOZ80" s="2567"/>
      <c r="NPA80" s="2567"/>
      <c r="NPB80" s="2567"/>
      <c r="NPC80" s="2567"/>
      <c r="NPD80" s="2567"/>
      <c r="NPE80" s="2567"/>
      <c r="NPF80" s="2567"/>
      <c r="NPG80" s="2567"/>
      <c r="NPH80" s="2567"/>
      <c r="NPI80" s="2567"/>
      <c r="NPJ80" s="2567"/>
      <c r="NPK80" s="2567"/>
      <c r="NPL80" s="2567"/>
      <c r="NPM80" s="2567"/>
      <c r="NPN80" s="2567"/>
      <c r="NPO80" s="2567"/>
      <c r="NPP80" s="2567"/>
      <c r="NPQ80" s="2567"/>
      <c r="NPR80" s="2567"/>
      <c r="NPS80" s="2567"/>
      <c r="NPT80" s="2567"/>
      <c r="NPU80" s="2567"/>
      <c r="NPV80" s="2567"/>
      <c r="NPW80" s="2567"/>
      <c r="NPX80" s="2567"/>
      <c r="NPY80" s="2567"/>
      <c r="NPZ80" s="2567"/>
      <c r="NQA80" s="2567"/>
      <c r="NQB80" s="2567"/>
      <c r="NQC80" s="2567"/>
      <c r="NQD80" s="2567"/>
      <c r="NQE80" s="2567"/>
      <c r="NQF80" s="2567"/>
      <c r="NQG80" s="2567"/>
      <c r="NQH80" s="2567"/>
      <c r="NQI80" s="2567"/>
      <c r="NQJ80" s="2567"/>
      <c r="NQK80" s="2567"/>
      <c r="NQL80" s="2567"/>
      <c r="NQM80" s="2567"/>
      <c r="NQN80" s="2567"/>
      <c r="NQO80" s="2567"/>
      <c r="NQP80" s="2567"/>
      <c r="NQQ80" s="2567"/>
      <c r="NQR80" s="2567"/>
      <c r="NQS80" s="2567"/>
      <c r="NQT80" s="2567"/>
      <c r="NQU80" s="2567"/>
      <c r="NQV80" s="2567"/>
      <c r="NQW80" s="2567"/>
      <c r="NQX80" s="2567"/>
      <c r="NQY80" s="2567"/>
      <c r="NQZ80" s="2567"/>
      <c r="NRA80" s="2567"/>
      <c r="NRB80" s="2567"/>
      <c r="NRC80" s="2567"/>
      <c r="NRD80" s="2567"/>
      <c r="NRE80" s="2567"/>
      <c r="NRF80" s="2567"/>
      <c r="NRG80" s="2567"/>
      <c r="NRH80" s="2567"/>
      <c r="NRI80" s="2567"/>
      <c r="NRJ80" s="2567"/>
      <c r="NRK80" s="2567"/>
      <c r="NRL80" s="2567"/>
      <c r="NRM80" s="2567"/>
      <c r="NRN80" s="2567"/>
      <c r="NRO80" s="2567"/>
      <c r="NRP80" s="2567"/>
      <c r="NRQ80" s="2567"/>
      <c r="NRR80" s="2567"/>
      <c r="NRS80" s="2567"/>
      <c r="NRT80" s="2567"/>
      <c r="NRU80" s="2567"/>
      <c r="NRV80" s="2567"/>
      <c r="NRW80" s="2567"/>
      <c r="NRX80" s="2567"/>
      <c r="NRY80" s="2567"/>
      <c r="NRZ80" s="2567"/>
      <c r="NSA80" s="2567"/>
      <c r="NSB80" s="2567"/>
      <c r="NSC80" s="2567"/>
      <c r="NSD80" s="2567"/>
      <c r="NSE80" s="2567"/>
      <c r="NSF80" s="2567"/>
      <c r="NSG80" s="2567"/>
      <c r="NSH80" s="2567"/>
      <c r="NSI80" s="2567"/>
      <c r="NSJ80" s="2567"/>
      <c r="NSK80" s="2567"/>
      <c r="NSL80" s="2567"/>
      <c r="NSM80" s="2567"/>
      <c r="NSN80" s="2567"/>
      <c r="NSO80" s="2567"/>
      <c r="NSP80" s="2567"/>
      <c r="NSQ80" s="2567"/>
      <c r="NSR80" s="2567"/>
      <c r="NSS80" s="2567"/>
      <c r="NST80" s="2567"/>
      <c r="NSU80" s="2567"/>
      <c r="NSV80" s="2567"/>
      <c r="NSW80" s="2567"/>
      <c r="NSX80" s="2567"/>
      <c r="NSY80" s="2567"/>
      <c r="NSZ80" s="2567"/>
      <c r="NTA80" s="2567"/>
      <c r="NTB80" s="2567"/>
      <c r="NTC80" s="2567"/>
      <c r="NTD80" s="2567"/>
      <c r="NTE80" s="2567"/>
      <c r="NTF80" s="2567"/>
      <c r="NTG80" s="2567"/>
      <c r="NTH80" s="2567"/>
      <c r="NTI80" s="2567"/>
      <c r="NTJ80" s="2567"/>
      <c r="NTK80" s="2567"/>
      <c r="NTL80" s="2567"/>
      <c r="NTM80" s="2567"/>
      <c r="NTN80" s="2567"/>
      <c r="NTO80" s="2567"/>
      <c r="NTP80" s="2567"/>
      <c r="NTQ80" s="2567"/>
      <c r="NTR80" s="2567"/>
      <c r="NTS80" s="2567"/>
      <c r="NTT80" s="2567"/>
      <c r="NTU80" s="2567"/>
      <c r="NTV80" s="2567"/>
      <c r="NTW80" s="2567"/>
      <c r="NTX80" s="2567"/>
      <c r="NTY80" s="2567"/>
      <c r="NTZ80" s="2567"/>
      <c r="NUA80" s="2567"/>
      <c r="NUB80" s="2567"/>
      <c r="NUC80" s="2567"/>
      <c r="NUD80" s="2567"/>
      <c r="NUE80" s="2567"/>
      <c r="NUF80" s="2567"/>
      <c r="NUG80" s="2567"/>
      <c r="NUH80" s="2567"/>
      <c r="NUI80" s="2567"/>
      <c r="NUJ80" s="2567"/>
      <c r="NUK80" s="2567"/>
      <c r="NUL80" s="2567"/>
      <c r="NUM80" s="2567"/>
      <c r="NUN80" s="2567"/>
      <c r="NUO80" s="2567"/>
      <c r="NUP80" s="2567"/>
      <c r="NUQ80" s="2567"/>
      <c r="NUR80" s="2567"/>
      <c r="NUS80" s="2567"/>
      <c r="NUT80" s="2567"/>
      <c r="NUU80" s="2567"/>
      <c r="NUV80" s="2567"/>
      <c r="NUW80" s="2567"/>
      <c r="NUX80" s="2567"/>
      <c r="NUY80" s="2567"/>
      <c r="NUZ80" s="2567"/>
      <c r="NVA80" s="2567"/>
      <c r="NVB80" s="2567"/>
      <c r="NVC80" s="2567"/>
      <c r="NVD80" s="2567"/>
      <c r="NVE80" s="2567"/>
      <c r="NVF80" s="2567"/>
      <c r="NVG80" s="2567"/>
      <c r="NVH80" s="2567"/>
      <c r="NVI80" s="2567"/>
      <c r="NVJ80" s="2567"/>
      <c r="NVK80" s="2567"/>
      <c r="NVL80" s="2567"/>
      <c r="NVM80" s="2567"/>
      <c r="NVN80" s="2567"/>
      <c r="NVO80" s="2567"/>
      <c r="NVP80" s="2567"/>
      <c r="NVQ80" s="2567"/>
      <c r="NVR80" s="2567"/>
      <c r="NVS80" s="2567"/>
      <c r="NVT80" s="2567"/>
      <c r="NVU80" s="2567"/>
      <c r="NVV80" s="2567"/>
      <c r="NVW80" s="2567"/>
      <c r="NVX80" s="2567"/>
      <c r="NVY80" s="2567"/>
      <c r="NVZ80" s="2567"/>
      <c r="NWA80" s="2567"/>
      <c r="NWB80" s="2567"/>
      <c r="NWC80" s="2567"/>
      <c r="NWD80" s="2567"/>
      <c r="NWE80" s="2567"/>
      <c r="NWF80" s="2567"/>
      <c r="NWG80" s="2567"/>
      <c r="NWH80" s="2567"/>
      <c r="NWI80" s="2567"/>
      <c r="NWJ80" s="2567"/>
      <c r="NWK80" s="2567"/>
      <c r="NWL80" s="2567"/>
      <c r="NWM80" s="2567"/>
      <c r="NWN80" s="2567"/>
      <c r="NWO80" s="2567"/>
      <c r="NWP80" s="2567"/>
      <c r="NWQ80" s="2567"/>
      <c r="NWR80" s="2567"/>
      <c r="NWS80" s="2567"/>
      <c r="NWT80" s="2567"/>
      <c r="NWU80" s="2567"/>
      <c r="NWV80" s="2567"/>
      <c r="NWW80" s="2567"/>
      <c r="NWX80" s="2567"/>
      <c r="NWY80" s="2567"/>
      <c r="NWZ80" s="2567"/>
      <c r="NXA80" s="2567"/>
      <c r="NXB80" s="2567"/>
      <c r="NXC80" s="2567"/>
      <c r="NXD80" s="2567"/>
      <c r="NXE80" s="2567"/>
      <c r="NXF80" s="2567"/>
      <c r="NXG80" s="2567"/>
      <c r="NXH80" s="2567"/>
      <c r="NXI80" s="2567"/>
      <c r="NXJ80" s="2567"/>
      <c r="NXK80" s="2567"/>
      <c r="NXL80" s="2567"/>
      <c r="NXM80" s="2567"/>
      <c r="NXN80" s="2567"/>
      <c r="NXO80" s="2567"/>
      <c r="NXP80" s="2567"/>
      <c r="NXQ80" s="2567"/>
      <c r="NXR80" s="2567"/>
      <c r="NXS80" s="2567"/>
      <c r="NXT80" s="2567"/>
      <c r="NXU80" s="2567"/>
      <c r="NXV80" s="2567"/>
      <c r="NXW80" s="2567"/>
      <c r="NXX80" s="2567"/>
      <c r="NXY80" s="2567"/>
      <c r="NXZ80" s="2567"/>
      <c r="NYA80" s="2567"/>
      <c r="NYB80" s="2567"/>
      <c r="NYC80" s="2567"/>
      <c r="NYD80" s="2567"/>
      <c r="NYE80" s="2567"/>
      <c r="NYF80" s="2567"/>
      <c r="NYG80" s="2567"/>
      <c r="NYH80" s="2567"/>
      <c r="NYI80" s="2567"/>
      <c r="NYJ80" s="2567"/>
      <c r="NYK80" s="2567"/>
      <c r="NYL80" s="2567"/>
      <c r="NYM80" s="2567"/>
      <c r="NYN80" s="2567"/>
      <c r="NYO80" s="2567"/>
      <c r="NYP80" s="2567"/>
      <c r="NYQ80" s="2567"/>
      <c r="NYR80" s="2567"/>
      <c r="NYS80" s="2567"/>
      <c r="NYT80" s="2567"/>
      <c r="NYU80" s="2567"/>
      <c r="NYV80" s="2567"/>
      <c r="NYW80" s="2567"/>
      <c r="NYX80" s="2567"/>
      <c r="NYY80" s="2567"/>
      <c r="NYZ80" s="2567"/>
      <c r="NZA80" s="2567"/>
      <c r="NZB80" s="2567"/>
      <c r="NZC80" s="2567"/>
      <c r="NZD80" s="2567"/>
      <c r="NZE80" s="2567"/>
      <c r="NZF80" s="2567"/>
      <c r="NZG80" s="2567"/>
      <c r="NZH80" s="2567"/>
      <c r="NZI80" s="2567"/>
      <c r="NZJ80" s="2567"/>
      <c r="NZK80" s="2567"/>
      <c r="NZL80" s="2567"/>
      <c r="NZM80" s="2567"/>
      <c r="NZN80" s="2567"/>
      <c r="NZO80" s="2567"/>
      <c r="NZP80" s="2567"/>
      <c r="NZQ80" s="2567"/>
      <c r="NZR80" s="2567"/>
      <c r="NZS80" s="2567"/>
      <c r="NZT80" s="2567"/>
      <c r="NZU80" s="2567"/>
      <c r="NZV80" s="2567"/>
      <c r="NZW80" s="2567"/>
      <c r="NZX80" s="2567"/>
      <c r="NZY80" s="2567"/>
      <c r="NZZ80" s="2567"/>
      <c r="OAA80" s="2567"/>
      <c r="OAB80" s="2567"/>
      <c r="OAC80" s="2567"/>
      <c r="OAD80" s="2567"/>
      <c r="OAE80" s="2567"/>
      <c r="OAF80" s="2567"/>
      <c r="OAG80" s="2567"/>
      <c r="OAH80" s="2567"/>
      <c r="OAI80" s="2567"/>
      <c r="OAJ80" s="2567"/>
      <c r="OAK80" s="2567"/>
      <c r="OAL80" s="2567"/>
      <c r="OAM80" s="2567"/>
      <c r="OAN80" s="2567"/>
      <c r="OAO80" s="2567"/>
      <c r="OAP80" s="2567"/>
      <c r="OAQ80" s="2567"/>
      <c r="OAR80" s="2567"/>
      <c r="OAS80" s="2567"/>
      <c r="OAT80" s="2567"/>
      <c r="OAU80" s="2567"/>
      <c r="OAV80" s="2567"/>
      <c r="OAW80" s="2567"/>
      <c r="OAX80" s="2567"/>
      <c r="OAY80" s="2567"/>
      <c r="OAZ80" s="2567"/>
      <c r="OBA80" s="2567"/>
      <c r="OBB80" s="2567"/>
      <c r="OBC80" s="2567"/>
      <c r="OBD80" s="2567"/>
      <c r="OBE80" s="2567"/>
      <c r="OBF80" s="2567"/>
      <c r="OBG80" s="2567"/>
      <c r="OBH80" s="2567"/>
      <c r="OBI80" s="2567"/>
      <c r="OBJ80" s="2567"/>
      <c r="OBK80" s="2567"/>
      <c r="OBL80" s="2567"/>
      <c r="OBM80" s="2567"/>
      <c r="OBN80" s="2567"/>
      <c r="OBO80" s="2567"/>
      <c r="OBP80" s="2567"/>
      <c r="OBQ80" s="2567"/>
      <c r="OBR80" s="2567"/>
      <c r="OBS80" s="2567"/>
      <c r="OBT80" s="2567"/>
      <c r="OBU80" s="2567"/>
      <c r="OBV80" s="2567"/>
      <c r="OBW80" s="2567"/>
      <c r="OBX80" s="2567"/>
      <c r="OBY80" s="2567"/>
      <c r="OBZ80" s="2567"/>
      <c r="OCA80" s="2567"/>
      <c r="OCB80" s="2567"/>
      <c r="OCC80" s="2567"/>
      <c r="OCD80" s="2567"/>
      <c r="OCE80" s="2567"/>
      <c r="OCF80" s="2567"/>
      <c r="OCG80" s="2567"/>
      <c r="OCH80" s="2567"/>
      <c r="OCI80" s="2567"/>
      <c r="OCJ80" s="2567"/>
      <c r="OCK80" s="2567"/>
      <c r="OCL80" s="2567"/>
      <c r="OCM80" s="2567"/>
      <c r="OCN80" s="2567"/>
      <c r="OCO80" s="2567"/>
      <c r="OCP80" s="2567"/>
      <c r="OCQ80" s="2567"/>
      <c r="OCR80" s="2567"/>
      <c r="OCS80" s="2567"/>
      <c r="OCT80" s="2567"/>
      <c r="OCU80" s="2567"/>
      <c r="OCV80" s="2567"/>
      <c r="OCW80" s="2567"/>
      <c r="OCX80" s="2567"/>
      <c r="OCY80" s="2567"/>
      <c r="OCZ80" s="2567"/>
      <c r="ODA80" s="2567"/>
      <c r="ODB80" s="2567"/>
      <c r="ODC80" s="2567"/>
      <c r="ODD80" s="2567"/>
      <c r="ODE80" s="2567"/>
      <c r="ODF80" s="2567"/>
      <c r="ODG80" s="2567"/>
      <c r="ODH80" s="2567"/>
      <c r="ODI80" s="2567"/>
      <c r="ODJ80" s="2567"/>
      <c r="ODK80" s="2567"/>
      <c r="ODL80" s="2567"/>
      <c r="ODM80" s="2567"/>
      <c r="ODN80" s="2567"/>
      <c r="ODO80" s="2567"/>
      <c r="ODP80" s="2567"/>
      <c r="ODQ80" s="2567"/>
      <c r="ODR80" s="2567"/>
      <c r="ODS80" s="2567"/>
      <c r="ODT80" s="2567"/>
      <c r="ODU80" s="2567"/>
      <c r="ODV80" s="2567"/>
      <c r="ODW80" s="2567"/>
      <c r="ODX80" s="2567"/>
      <c r="ODY80" s="2567"/>
      <c r="ODZ80" s="2567"/>
      <c r="OEA80" s="2567"/>
      <c r="OEB80" s="2567"/>
      <c r="OEC80" s="2567"/>
      <c r="OED80" s="2567"/>
      <c r="OEE80" s="2567"/>
      <c r="OEF80" s="2567"/>
      <c r="OEG80" s="2567"/>
      <c r="OEH80" s="2567"/>
      <c r="OEI80" s="2567"/>
      <c r="OEJ80" s="2567"/>
      <c r="OEK80" s="2567"/>
      <c r="OEL80" s="2567"/>
      <c r="OEM80" s="2567"/>
      <c r="OEN80" s="2567"/>
      <c r="OEO80" s="2567"/>
      <c r="OEP80" s="2567"/>
      <c r="OEQ80" s="2567"/>
      <c r="OER80" s="2567"/>
      <c r="OES80" s="2567"/>
      <c r="OET80" s="2567"/>
      <c r="OEU80" s="2567"/>
      <c r="OEV80" s="2567"/>
      <c r="OEW80" s="2567"/>
      <c r="OEX80" s="2567"/>
      <c r="OEY80" s="2567"/>
      <c r="OEZ80" s="2567"/>
      <c r="OFA80" s="2567"/>
      <c r="OFB80" s="2567"/>
      <c r="OFC80" s="2567"/>
      <c r="OFD80" s="2567"/>
      <c r="OFE80" s="2567"/>
      <c r="OFF80" s="2567"/>
      <c r="OFG80" s="2567"/>
      <c r="OFH80" s="2567"/>
      <c r="OFI80" s="2567"/>
      <c r="OFJ80" s="2567"/>
      <c r="OFK80" s="2567"/>
      <c r="OFL80" s="2567"/>
      <c r="OFM80" s="2567"/>
      <c r="OFN80" s="2567"/>
      <c r="OFO80" s="2567"/>
      <c r="OFP80" s="2567"/>
      <c r="OFQ80" s="2567"/>
      <c r="OFR80" s="2567"/>
      <c r="OFS80" s="2567"/>
      <c r="OFT80" s="2567"/>
      <c r="OFU80" s="2567"/>
      <c r="OFV80" s="2567"/>
      <c r="OFW80" s="2567"/>
      <c r="OFX80" s="2567"/>
      <c r="OFY80" s="2567"/>
      <c r="OFZ80" s="2567"/>
      <c r="OGA80" s="2567"/>
      <c r="OGB80" s="2567"/>
      <c r="OGC80" s="2567"/>
      <c r="OGD80" s="2567"/>
      <c r="OGE80" s="2567"/>
      <c r="OGF80" s="2567"/>
      <c r="OGG80" s="2567"/>
      <c r="OGH80" s="2567"/>
      <c r="OGI80" s="2567"/>
      <c r="OGJ80" s="2567"/>
      <c r="OGK80" s="2567"/>
      <c r="OGL80" s="2567"/>
      <c r="OGM80" s="2567"/>
      <c r="OGN80" s="2567"/>
      <c r="OGO80" s="2567"/>
      <c r="OGP80" s="2567"/>
      <c r="OGQ80" s="2567"/>
      <c r="OGR80" s="2567"/>
      <c r="OGS80" s="2567"/>
      <c r="OGT80" s="2567"/>
      <c r="OGU80" s="2567"/>
      <c r="OGV80" s="2567"/>
      <c r="OGW80" s="2567"/>
      <c r="OGX80" s="2567"/>
      <c r="OGY80" s="2567"/>
      <c r="OGZ80" s="2567"/>
      <c r="OHA80" s="2567"/>
      <c r="OHB80" s="2567"/>
      <c r="OHC80" s="2567"/>
      <c r="OHD80" s="2567"/>
      <c r="OHE80" s="2567"/>
      <c r="OHF80" s="2567"/>
      <c r="OHG80" s="2567"/>
      <c r="OHH80" s="2567"/>
      <c r="OHI80" s="2567"/>
      <c r="OHJ80" s="2567"/>
      <c r="OHK80" s="2567"/>
      <c r="OHL80" s="2567"/>
      <c r="OHM80" s="2567"/>
      <c r="OHN80" s="2567"/>
      <c r="OHO80" s="2567"/>
      <c r="OHP80" s="2567"/>
      <c r="OHQ80" s="2567"/>
      <c r="OHR80" s="2567"/>
      <c r="OHS80" s="2567"/>
      <c r="OHT80" s="2567"/>
      <c r="OHU80" s="2567"/>
      <c r="OHV80" s="2567"/>
      <c r="OHW80" s="2567"/>
      <c r="OHX80" s="2567"/>
      <c r="OHY80" s="2567"/>
      <c r="OHZ80" s="2567"/>
      <c r="OIA80" s="2567"/>
      <c r="OIB80" s="2567"/>
      <c r="OIC80" s="2567"/>
      <c r="OID80" s="2567"/>
      <c r="OIE80" s="2567"/>
      <c r="OIF80" s="2567"/>
      <c r="OIG80" s="2567"/>
      <c r="OIH80" s="2567"/>
      <c r="OII80" s="2567"/>
      <c r="OIJ80" s="2567"/>
      <c r="OIK80" s="2567"/>
      <c r="OIL80" s="2567"/>
      <c r="OIM80" s="2567"/>
      <c r="OIN80" s="2567"/>
      <c r="OIO80" s="2567"/>
      <c r="OIP80" s="2567"/>
      <c r="OIQ80" s="2567"/>
      <c r="OIR80" s="2567"/>
      <c r="OIS80" s="2567"/>
      <c r="OIT80" s="2567"/>
      <c r="OIU80" s="2567"/>
      <c r="OIV80" s="2567"/>
      <c r="OIW80" s="2567"/>
      <c r="OIX80" s="2567"/>
      <c r="OIY80" s="2567"/>
      <c r="OIZ80" s="2567"/>
      <c r="OJA80" s="2567"/>
      <c r="OJB80" s="2567"/>
      <c r="OJC80" s="2567"/>
      <c r="OJD80" s="2567"/>
      <c r="OJE80" s="2567"/>
      <c r="OJF80" s="2567"/>
      <c r="OJG80" s="2567"/>
      <c r="OJH80" s="2567"/>
      <c r="OJI80" s="2567"/>
      <c r="OJJ80" s="2567"/>
      <c r="OJK80" s="2567"/>
      <c r="OJL80" s="2567"/>
      <c r="OJM80" s="2567"/>
      <c r="OJN80" s="2567"/>
      <c r="OJO80" s="2567"/>
      <c r="OJP80" s="2567"/>
      <c r="OJQ80" s="2567"/>
      <c r="OJR80" s="2567"/>
      <c r="OJS80" s="2567"/>
      <c r="OJT80" s="2567"/>
      <c r="OJU80" s="2567"/>
      <c r="OJV80" s="2567"/>
      <c r="OJW80" s="2567"/>
      <c r="OJX80" s="2567"/>
      <c r="OJY80" s="2567"/>
      <c r="OJZ80" s="2567"/>
      <c r="OKA80" s="2567"/>
      <c r="OKB80" s="2567"/>
      <c r="OKC80" s="2567"/>
      <c r="OKD80" s="2567"/>
      <c r="OKE80" s="2567"/>
      <c r="OKF80" s="2567"/>
      <c r="OKG80" s="2567"/>
      <c r="OKH80" s="2567"/>
      <c r="OKI80" s="2567"/>
      <c r="OKJ80" s="2567"/>
      <c r="OKK80" s="2567"/>
      <c r="OKL80" s="2567"/>
      <c r="OKM80" s="2567"/>
      <c r="OKN80" s="2567"/>
      <c r="OKO80" s="2567"/>
      <c r="OKP80" s="2567"/>
      <c r="OKQ80" s="2567"/>
      <c r="OKR80" s="2567"/>
      <c r="OKS80" s="2567"/>
      <c r="OKT80" s="2567"/>
      <c r="OKU80" s="2567"/>
      <c r="OKV80" s="2567"/>
      <c r="OKW80" s="2567"/>
      <c r="OKX80" s="2567"/>
      <c r="OKY80" s="2567"/>
      <c r="OKZ80" s="2567"/>
      <c r="OLA80" s="2567"/>
      <c r="OLB80" s="2567"/>
      <c r="OLC80" s="2567"/>
      <c r="OLD80" s="2567"/>
      <c r="OLE80" s="2567"/>
      <c r="OLF80" s="2567"/>
      <c r="OLG80" s="2567"/>
      <c r="OLH80" s="2567"/>
      <c r="OLI80" s="2567"/>
      <c r="OLJ80" s="2567"/>
      <c r="OLK80" s="2567"/>
      <c r="OLL80" s="2567"/>
      <c r="OLM80" s="2567"/>
      <c r="OLN80" s="2567"/>
      <c r="OLO80" s="2567"/>
      <c r="OLP80" s="2567"/>
      <c r="OLQ80" s="2567"/>
      <c r="OLR80" s="2567"/>
      <c r="OLS80" s="2567"/>
      <c r="OLT80" s="2567"/>
      <c r="OLU80" s="2567"/>
      <c r="OLV80" s="2567"/>
      <c r="OLW80" s="2567"/>
      <c r="OLX80" s="2567"/>
      <c r="OLY80" s="2567"/>
      <c r="OLZ80" s="2567"/>
      <c r="OMA80" s="2567"/>
      <c r="OMB80" s="2567"/>
      <c r="OMC80" s="2567"/>
      <c r="OMD80" s="2567"/>
      <c r="OME80" s="2567"/>
      <c r="OMF80" s="2567"/>
      <c r="OMG80" s="2567"/>
      <c r="OMH80" s="2567"/>
      <c r="OMI80" s="2567"/>
      <c r="OMJ80" s="2567"/>
      <c r="OMK80" s="2567"/>
      <c r="OML80" s="2567"/>
      <c r="OMM80" s="2567"/>
      <c r="OMN80" s="2567"/>
      <c r="OMO80" s="2567"/>
      <c r="OMP80" s="2567"/>
      <c r="OMQ80" s="2567"/>
      <c r="OMR80" s="2567"/>
      <c r="OMS80" s="2567"/>
      <c r="OMT80" s="2567"/>
      <c r="OMU80" s="2567"/>
      <c r="OMV80" s="2567"/>
      <c r="OMW80" s="2567"/>
      <c r="OMX80" s="2567"/>
      <c r="OMY80" s="2567"/>
      <c r="OMZ80" s="2567"/>
      <c r="ONA80" s="2567"/>
      <c r="ONB80" s="2567"/>
      <c r="ONC80" s="2567"/>
      <c r="OND80" s="2567"/>
      <c r="ONE80" s="2567"/>
      <c r="ONF80" s="2567"/>
      <c r="ONG80" s="2567"/>
      <c r="ONH80" s="2567"/>
      <c r="ONI80" s="2567"/>
      <c r="ONJ80" s="2567"/>
      <c r="ONK80" s="2567"/>
      <c r="ONL80" s="2567"/>
      <c r="ONM80" s="2567"/>
      <c r="ONN80" s="2567"/>
      <c r="ONO80" s="2567"/>
      <c r="ONP80" s="2567"/>
      <c r="ONQ80" s="2567"/>
      <c r="ONR80" s="2567"/>
      <c r="ONS80" s="2567"/>
      <c r="ONT80" s="2567"/>
      <c r="ONU80" s="2567"/>
      <c r="ONV80" s="2567"/>
      <c r="ONW80" s="2567"/>
      <c r="ONX80" s="2567"/>
      <c r="ONY80" s="2567"/>
      <c r="ONZ80" s="2567"/>
      <c r="OOA80" s="2567"/>
      <c r="OOB80" s="2567"/>
      <c r="OOC80" s="2567"/>
      <c r="OOD80" s="2567"/>
      <c r="OOE80" s="2567"/>
      <c r="OOF80" s="2567"/>
      <c r="OOG80" s="2567"/>
      <c r="OOH80" s="2567"/>
      <c r="OOI80" s="2567"/>
      <c r="OOJ80" s="2567"/>
      <c r="OOK80" s="2567"/>
      <c r="OOL80" s="2567"/>
      <c r="OOM80" s="2567"/>
      <c r="OON80" s="2567"/>
      <c r="OOO80" s="2567"/>
      <c r="OOP80" s="2567"/>
      <c r="OOQ80" s="2567"/>
      <c r="OOR80" s="2567"/>
      <c r="OOS80" s="2567"/>
      <c r="OOT80" s="2567"/>
      <c r="OOU80" s="2567"/>
      <c r="OOV80" s="2567"/>
      <c r="OOW80" s="2567"/>
      <c r="OOX80" s="2567"/>
      <c r="OOY80" s="2567"/>
      <c r="OOZ80" s="2567"/>
      <c r="OPA80" s="2567"/>
      <c r="OPB80" s="2567"/>
      <c r="OPC80" s="2567"/>
      <c r="OPD80" s="2567"/>
      <c r="OPE80" s="2567"/>
      <c r="OPF80" s="2567"/>
      <c r="OPG80" s="2567"/>
      <c r="OPH80" s="2567"/>
      <c r="OPI80" s="2567"/>
      <c r="OPJ80" s="2567"/>
      <c r="OPK80" s="2567"/>
      <c r="OPL80" s="2567"/>
      <c r="OPM80" s="2567"/>
      <c r="OPN80" s="2567"/>
      <c r="OPO80" s="2567"/>
      <c r="OPP80" s="2567"/>
      <c r="OPQ80" s="2567"/>
      <c r="OPR80" s="2567"/>
      <c r="OPS80" s="2567"/>
      <c r="OPT80" s="2567"/>
      <c r="OPU80" s="2567"/>
      <c r="OPV80" s="2567"/>
      <c r="OPW80" s="2567"/>
      <c r="OPX80" s="2567"/>
      <c r="OPY80" s="2567"/>
      <c r="OPZ80" s="2567"/>
      <c r="OQA80" s="2567"/>
      <c r="OQB80" s="2567"/>
      <c r="OQC80" s="2567"/>
      <c r="OQD80" s="2567"/>
      <c r="OQE80" s="2567"/>
      <c r="OQF80" s="2567"/>
      <c r="OQG80" s="2567"/>
      <c r="OQH80" s="2567"/>
      <c r="OQI80" s="2567"/>
      <c r="OQJ80" s="2567"/>
      <c r="OQK80" s="2567"/>
      <c r="OQL80" s="2567"/>
      <c r="OQM80" s="2567"/>
      <c r="OQN80" s="2567"/>
      <c r="OQO80" s="2567"/>
      <c r="OQP80" s="2567"/>
      <c r="OQQ80" s="2567"/>
      <c r="OQR80" s="2567"/>
      <c r="OQS80" s="2567"/>
      <c r="OQT80" s="2567"/>
      <c r="OQU80" s="2567"/>
      <c r="OQV80" s="2567"/>
      <c r="OQW80" s="2567"/>
      <c r="OQX80" s="2567"/>
      <c r="OQY80" s="2567"/>
      <c r="OQZ80" s="2567"/>
      <c r="ORA80" s="2567"/>
      <c r="ORB80" s="2567"/>
      <c r="ORC80" s="2567"/>
      <c r="ORD80" s="2567"/>
      <c r="ORE80" s="2567"/>
      <c r="ORF80" s="2567"/>
      <c r="ORG80" s="2567"/>
      <c r="ORH80" s="2567"/>
      <c r="ORI80" s="2567"/>
      <c r="ORJ80" s="2567"/>
      <c r="ORK80" s="2567"/>
      <c r="ORL80" s="2567"/>
      <c r="ORM80" s="2567"/>
      <c r="ORN80" s="2567"/>
      <c r="ORO80" s="2567"/>
      <c r="ORP80" s="2567"/>
      <c r="ORQ80" s="2567"/>
      <c r="ORR80" s="2567"/>
      <c r="ORS80" s="2567"/>
      <c r="ORT80" s="2567"/>
      <c r="ORU80" s="2567"/>
      <c r="ORV80" s="2567"/>
      <c r="ORW80" s="2567"/>
      <c r="ORX80" s="2567"/>
      <c r="ORY80" s="2567"/>
      <c r="ORZ80" s="2567"/>
      <c r="OSA80" s="2567"/>
      <c r="OSB80" s="2567"/>
      <c r="OSC80" s="2567"/>
      <c r="OSD80" s="2567"/>
      <c r="OSE80" s="2567"/>
      <c r="OSF80" s="2567"/>
      <c r="OSG80" s="2567"/>
      <c r="OSH80" s="2567"/>
      <c r="OSI80" s="2567"/>
      <c r="OSJ80" s="2567"/>
      <c r="OSK80" s="2567"/>
      <c r="OSL80" s="2567"/>
      <c r="OSM80" s="2567"/>
      <c r="OSN80" s="2567"/>
      <c r="OSO80" s="2567"/>
      <c r="OSP80" s="2567"/>
      <c r="OSQ80" s="2567"/>
      <c r="OSR80" s="2567"/>
      <c r="OSS80" s="2567"/>
      <c r="OST80" s="2567"/>
      <c r="OSU80" s="2567"/>
      <c r="OSV80" s="2567"/>
      <c r="OSW80" s="2567"/>
      <c r="OSX80" s="2567"/>
      <c r="OSY80" s="2567"/>
      <c r="OSZ80" s="2567"/>
      <c r="OTA80" s="2567"/>
      <c r="OTB80" s="2567"/>
      <c r="OTC80" s="2567"/>
      <c r="OTD80" s="2567"/>
      <c r="OTE80" s="2567"/>
      <c r="OTF80" s="2567"/>
      <c r="OTG80" s="2567"/>
      <c r="OTH80" s="2567"/>
      <c r="OTI80" s="2567"/>
      <c r="OTJ80" s="2567"/>
      <c r="OTK80" s="2567"/>
      <c r="OTL80" s="2567"/>
      <c r="OTM80" s="2567"/>
      <c r="OTN80" s="2567"/>
      <c r="OTO80" s="2567"/>
      <c r="OTP80" s="2567"/>
      <c r="OTQ80" s="2567"/>
      <c r="OTR80" s="2567"/>
      <c r="OTS80" s="2567"/>
      <c r="OTT80" s="2567"/>
      <c r="OTU80" s="2567"/>
      <c r="OTV80" s="2567"/>
      <c r="OTW80" s="2567"/>
      <c r="OTX80" s="2567"/>
      <c r="OTY80" s="2567"/>
      <c r="OTZ80" s="2567"/>
      <c r="OUA80" s="2567"/>
      <c r="OUB80" s="2567"/>
      <c r="OUC80" s="2567"/>
      <c r="OUD80" s="2567"/>
      <c r="OUE80" s="2567"/>
      <c r="OUF80" s="2567"/>
      <c r="OUG80" s="2567"/>
      <c r="OUH80" s="2567"/>
      <c r="OUI80" s="2567"/>
      <c r="OUJ80" s="2567"/>
      <c r="OUK80" s="2567"/>
      <c r="OUL80" s="2567"/>
      <c r="OUM80" s="2567"/>
      <c r="OUN80" s="2567"/>
      <c r="OUO80" s="2567"/>
      <c r="OUP80" s="2567"/>
      <c r="OUQ80" s="2567"/>
      <c r="OUR80" s="2567"/>
      <c r="OUS80" s="2567"/>
      <c r="OUT80" s="2567"/>
      <c r="OUU80" s="2567"/>
      <c r="OUV80" s="2567"/>
      <c r="OUW80" s="2567"/>
      <c r="OUX80" s="2567"/>
      <c r="OUY80" s="2567"/>
      <c r="OUZ80" s="2567"/>
      <c r="OVA80" s="2567"/>
      <c r="OVB80" s="2567"/>
      <c r="OVC80" s="2567"/>
      <c r="OVD80" s="2567"/>
      <c r="OVE80" s="2567"/>
      <c r="OVF80" s="2567"/>
      <c r="OVG80" s="2567"/>
      <c r="OVH80" s="2567"/>
      <c r="OVI80" s="2567"/>
      <c r="OVJ80" s="2567"/>
      <c r="OVK80" s="2567"/>
      <c r="OVL80" s="2567"/>
      <c r="OVM80" s="2567"/>
      <c r="OVN80" s="2567"/>
      <c r="OVO80" s="2567"/>
      <c r="OVP80" s="2567"/>
      <c r="OVQ80" s="2567"/>
      <c r="OVR80" s="2567"/>
      <c r="OVS80" s="2567"/>
      <c r="OVT80" s="2567"/>
      <c r="OVU80" s="2567"/>
      <c r="OVV80" s="2567"/>
      <c r="OVW80" s="2567"/>
      <c r="OVX80" s="2567"/>
      <c r="OVY80" s="2567"/>
      <c r="OVZ80" s="2567"/>
      <c r="OWA80" s="2567"/>
      <c r="OWB80" s="2567"/>
      <c r="OWC80" s="2567"/>
      <c r="OWD80" s="2567"/>
      <c r="OWE80" s="2567"/>
      <c r="OWF80" s="2567"/>
      <c r="OWG80" s="2567"/>
      <c r="OWH80" s="2567"/>
      <c r="OWI80" s="2567"/>
      <c r="OWJ80" s="2567"/>
      <c r="OWK80" s="2567"/>
      <c r="OWL80" s="2567"/>
      <c r="OWM80" s="2567"/>
      <c r="OWN80" s="2567"/>
      <c r="OWO80" s="2567"/>
      <c r="OWP80" s="2567"/>
      <c r="OWQ80" s="2567"/>
      <c r="OWR80" s="2567"/>
      <c r="OWS80" s="2567"/>
      <c r="OWT80" s="2567"/>
      <c r="OWU80" s="2567"/>
      <c r="OWV80" s="2567"/>
      <c r="OWW80" s="2567"/>
      <c r="OWX80" s="2567"/>
      <c r="OWY80" s="2567"/>
      <c r="OWZ80" s="2567"/>
      <c r="OXA80" s="2567"/>
      <c r="OXB80" s="2567"/>
      <c r="OXC80" s="2567"/>
      <c r="OXD80" s="2567"/>
      <c r="OXE80" s="2567"/>
      <c r="OXF80" s="2567"/>
      <c r="OXG80" s="2567"/>
      <c r="OXH80" s="2567"/>
      <c r="OXI80" s="2567"/>
      <c r="OXJ80" s="2567"/>
      <c r="OXK80" s="2567"/>
      <c r="OXL80" s="2567"/>
      <c r="OXM80" s="2567"/>
      <c r="OXN80" s="2567"/>
      <c r="OXO80" s="2567"/>
      <c r="OXP80" s="2567"/>
      <c r="OXQ80" s="2567"/>
      <c r="OXR80" s="2567"/>
      <c r="OXS80" s="2567"/>
      <c r="OXT80" s="2567"/>
      <c r="OXU80" s="2567"/>
      <c r="OXV80" s="2567"/>
      <c r="OXW80" s="2567"/>
      <c r="OXX80" s="2567"/>
      <c r="OXY80" s="2567"/>
      <c r="OXZ80" s="2567"/>
      <c r="OYA80" s="2567"/>
      <c r="OYB80" s="2567"/>
      <c r="OYC80" s="2567"/>
      <c r="OYD80" s="2567"/>
      <c r="OYE80" s="2567"/>
      <c r="OYF80" s="2567"/>
      <c r="OYG80" s="2567"/>
      <c r="OYH80" s="2567"/>
      <c r="OYI80" s="2567"/>
      <c r="OYJ80" s="2567"/>
      <c r="OYK80" s="2567"/>
      <c r="OYL80" s="2567"/>
      <c r="OYM80" s="2567"/>
      <c r="OYN80" s="2567"/>
      <c r="OYO80" s="2567"/>
      <c r="OYP80" s="2567"/>
      <c r="OYQ80" s="2567"/>
      <c r="OYR80" s="2567"/>
      <c r="OYS80" s="2567"/>
      <c r="OYT80" s="2567"/>
      <c r="OYU80" s="2567"/>
      <c r="OYV80" s="2567"/>
      <c r="OYW80" s="2567"/>
      <c r="OYX80" s="2567"/>
      <c r="OYY80" s="2567"/>
      <c r="OYZ80" s="2567"/>
      <c r="OZA80" s="2567"/>
      <c r="OZB80" s="2567"/>
      <c r="OZC80" s="2567"/>
      <c r="OZD80" s="2567"/>
      <c r="OZE80" s="2567"/>
      <c r="OZF80" s="2567"/>
      <c r="OZG80" s="2567"/>
      <c r="OZH80" s="2567"/>
      <c r="OZI80" s="2567"/>
      <c r="OZJ80" s="2567"/>
      <c r="OZK80" s="2567"/>
      <c r="OZL80" s="2567"/>
      <c r="OZM80" s="2567"/>
      <c r="OZN80" s="2567"/>
      <c r="OZO80" s="2567"/>
      <c r="OZP80" s="2567"/>
      <c r="OZQ80" s="2567"/>
      <c r="OZR80" s="2567"/>
      <c r="OZS80" s="2567"/>
      <c r="OZT80" s="2567"/>
      <c r="OZU80" s="2567"/>
      <c r="OZV80" s="2567"/>
      <c r="OZW80" s="2567"/>
      <c r="OZX80" s="2567"/>
      <c r="OZY80" s="2567"/>
      <c r="OZZ80" s="2567"/>
      <c r="PAA80" s="2567"/>
      <c r="PAB80" s="2567"/>
      <c r="PAC80" s="2567"/>
      <c r="PAD80" s="2567"/>
      <c r="PAE80" s="2567"/>
      <c r="PAF80" s="2567"/>
      <c r="PAG80" s="2567"/>
      <c r="PAH80" s="2567"/>
      <c r="PAI80" s="2567"/>
      <c r="PAJ80" s="2567"/>
      <c r="PAK80" s="2567"/>
      <c r="PAL80" s="2567"/>
      <c r="PAM80" s="2567"/>
      <c r="PAN80" s="2567"/>
      <c r="PAO80" s="2567"/>
      <c r="PAP80" s="2567"/>
      <c r="PAQ80" s="2567"/>
      <c r="PAR80" s="2567"/>
      <c r="PAS80" s="2567"/>
      <c r="PAT80" s="2567"/>
      <c r="PAU80" s="2567"/>
      <c r="PAV80" s="2567"/>
      <c r="PAW80" s="2567"/>
      <c r="PAX80" s="2567"/>
      <c r="PAY80" s="2567"/>
      <c r="PAZ80" s="2567"/>
      <c r="PBA80" s="2567"/>
      <c r="PBB80" s="2567"/>
      <c r="PBC80" s="2567"/>
      <c r="PBD80" s="2567"/>
      <c r="PBE80" s="2567"/>
      <c r="PBF80" s="2567"/>
      <c r="PBG80" s="2567"/>
      <c r="PBH80" s="2567"/>
      <c r="PBI80" s="2567"/>
      <c r="PBJ80" s="2567"/>
      <c r="PBK80" s="2567"/>
      <c r="PBL80" s="2567"/>
      <c r="PBM80" s="2567"/>
      <c r="PBN80" s="2567"/>
      <c r="PBO80" s="2567"/>
      <c r="PBP80" s="2567"/>
      <c r="PBQ80" s="2567"/>
      <c r="PBR80" s="2567"/>
      <c r="PBS80" s="2567"/>
      <c r="PBT80" s="2567"/>
      <c r="PBU80" s="2567"/>
      <c r="PBV80" s="2567"/>
      <c r="PBW80" s="2567"/>
      <c r="PBX80" s="2567"/>
      <c r="PBY80" s="2567"/>
      <c r="PBZ80" s="2567"/>
      <c r="PCA80" s="2567"/>
      <c r="PCB80" s="2567"/>
      <c r="PCC80" s="2567"/>
      <c r="PCD80" s="2567"/>
      <c r="PCE80" s="2567"/>
      <c r="PCF80" s="2567"/>
      <c r="PCG80" s="2567"/>
      <c r="PCH80" s="2567"/>
      <c r="PCI80" s="2567"/>
      <c r="PCJ80" s="2567"/>
      <c r="PCK80" s="2567"/>
      <c r="PCL80" s="2567"/>
      <c r="PCM80" s="2567"/>
      <c r="PCN80" s="2567"/>
      <c r="PCO80" s="2567"/>
      <c r="PCP80" s="2567"/>
      <c r="PCQ80" s="2567"/>
      <c r="PCR80" s="2567"/>
      <c r="PCS80" s="2567"/>
      <c r="PCT80" s="2567"/>
      <c r="PCU80" s="2567"/>
      <c r="PCV80" s="2567"/>
      <c r="PCW80" s="2567"/>
      <c r="PCX80" s="2567"/>
      <c r="PCY80" s="2567"/>
      <c r="PCZ80" s="2567"/>
      <c r="PDA80" s="2567"/>
      <c r="PDB80" s="2567"/>
      <c r="PDC80" s="2567"/>
      <c r="PDD80" s="2567"/>
      <c r="PDE80" s="2567"/>
      <c r="PDF80" s="2567"/>
      <c r="PDG80" s="2567"/>
      <c r="PDH80" s="2567"/>
      <c r="PDI80" s="2567"/>
      <c r="PDJ80" s="2567"/>
      <c r="PDK80" s="2567"/>
      <c r="PDL80" s="2567"/>
      <c r="PDM80" s="2567"/>
      <c r="PDN80" s="2567"/>
      <c r="PDO80" s="2567"/>
      <c r="PDP80" s="2567"/>
      <c r="PDQ80" s="2567"/>
      <c r="PDR80" s="2567"/>
      <c r="PDS80" s="2567"/>
      <c r="PDT80" s="2567"/>
      <c r="PDU80" s="2567"/>
      <c r="PDV80" s="2567"/>
      <c r="PDW80" s="2567"/>
      <c r="PDX80" s="2567"/>
      <c r="PDY80" s="2567"/>
      <c r="PDZ80" s="2567"/>
      <c r="PEA80" s="2567"/>
      <c r="PEB80" s="2567"/>
      <c r="PEC80" s="2567"/>
      <c r="PED80" s="2567"/>
      <c r="PEE80" s="2567"/>
      <c r="PEF80" s="2567"/>
      <c r="PEG80" s="2567"/>
      <c r="PEH80" s="2567"/>
      <c r="PEI80" s="2567"/>
      <c r="PEJ80" s="2567"/>
      <c r="PEK80" s="2567"/>
      <c r="PEL80" s="2567"/>
      <c r="PEM80" s="2567"/>
      <c r="PEN80" s="2567"/>
      <c r="PEO80" s="2567"/>
      <c r="PEP80" s="2567"/>
      <c r="PEQ80" s="2567"/>
      <c r="PER80" s="2567"/>
      <c r="PES80" s="2567"/>
      <c r="PET80" s="2567"/>
      <c r="PEU80" s="2567"/>
      <c r="PEV80" s="2567"/>
      <c r="PEW80" s="2567"/>
      <c r="PEX80" s="2567"/>
      <c r="PEY80" s="2567"/>
      <c r="PEZ80" s="2567"/>
      <c r="PFA80" s="2567"/>
      <c r="PFB80" s="2567"/>
      <c r="PFC80" s="2567"/>
      <c r="PFD80" s="2567"/>
      <c r="PFE80" s="2567"/>
      <c r="PFF80" s="2567"/>
      <c r="PFG80" s="2567"/>
      <c r="PFH80" s="2567"/>
      <c r="PFI80" s="2567"/>
      <c r="PFJ80" s="2567"/>
      <c r="PFK80" s="2567"/>
      <c r="PFL80" s="2567"/>
      <c r="PFM80" s="2567"/>
      <c r="PFN80" s="2567"/>
      <c r="PFO80" s="2567"/>
      <c r="PFP80" s="2567"/>
      <c r="PFQ80" s="2567"/>
      <c r="PFR80" s="2567"/>
      <c r="PFS80" s="2567"/>
      <c r="PFT80" s="2567"/>
      <c r="PFU80" s="2567"/>
      <c r="PFV80" s="2567"/>
      <c r="PFW80" s="2567"/>
      <c r="PFX80" s="2567"/>
      <c r="PFY80" s="2567"/>
      <c r="PFZ80" s="2567"/>
      <c r="PGA80" s="2567"/>
      <c r="PGB80" s="2567"/>
      <c r="PGC80" s="2567"/>
      <c r="PGD80" s="2567"/>
      <c r="PGE80" s="2567"/>
      <c r="PGF80" s="2567"/>
      <c r="PGG80" s="2567"/>
      <c r="PGH80" s="2567"/>
      <c r="PGI80" s="2567"/>
      <c r="PGJ80" s="2567"/>
      <c r="PGK80" s="2567"/>
      <c r="PGL80" s="2567"/>
      <c r="PGM80" s="2567"/>
      <c r="PGN80" s="2567"/>
      <c r="PGO80" s="2567"/>
      <c r="PGP80" s="2567"/>
      <c r="PGQ80" s="2567"/>
      <c r="PGR80" s="2567"/>
      <c r="PGS80" s="2567"/>
      <c r="PGT80" s="2567"/>
      <c r="PGU80" s="2567"/>
      <c r="PGV80" s="2567"/>
      <c r="PGW80" s="2567"/>
      <c r="PGX80" s="2567"/>
      <c r="PGY80" s="2567"/>
      <c r="PGZ80" s="2567"/>
      <c r="PHA80" s="2567"/>
      <c r="PHB80" s="2567"/>
      <c r="PHC80" s="2567"/>
      <c r="PHD80" s="2567"/>
      <c r="PHE80" s="2567"/>
      <c r="PHF80" s="2567"/>
      <c r="PHG80" s="2567"/>
      <c r="PHH80" s="2567"/>
      <c r="PHI80" s="2567"/>
      <c r="PHJ80" s="2567"/>
      <c r="PHK80" s="2567"/>
      <c r="PHL80" s="2567"/>
      <c r="PHM80" s="2567"/>
      <c r="PHN80" s="2567"/>
      <c r="PHO80" s="2567"/>
      <c r="PHP80" s="2567"/>
      <c r="PHQ80" s="2567"/>
      <c r="PHR80" s="2567"/>
      <c r="PHS80" s="2567"/>
      <c r="PHT80" s="2567"/>
      <c r="PHU80" s="2567"/>
      <c r="PHV80" s="2567"/>
      <c r="PHW80" s="2567"/>
      <c r="PHX80" s="2567"/>
      <c r="PHY80" s="2567"/>
      <c r="PHZ80" s="2567"/>
      <c r="PIA80" s="2567"/>
      <c r="PIB80" s="2567"/>
      <c r="PIC80" s="2567"/>
      <c r="PID80" s="2567"/>
      <c r="PIE80" s="2567"/>
      <c r="PIF80" s="2567"/>
      <c r="PIG80" s="2567"/>
      <c r="PIH80" s="2567"/>
      <c r="PII80" s="2567"/>
      <c r="PIJ80" s="2567"/>
      <c r="PIK80" s="2567"/>
      <c r="PIL80" s="2567"/>
      <c r="PIM80" s="2567"/>
      <c r="PIN80" s="2567"/>
      <c r="PIO80" s="2567"/>
      <c r="PIP80" s="2567"/>
      <c r="PIQ80" s="2567"/>
      <c r="PIR80" s="2567"/>
      <c r="PIS80" s="2567"/>
      <c r="PIT80" s="2567"/>
      <c r="PIU80" s="2567"/>
      <c r="PIV80" s="2567"/>
      <c r="PIW80" s="2567"/>
      <c r="PIX80" s="2567"/>
      <c r="PIY80" s="2567"/>
      <c r="PIZ80" s="2567"/>
      <c r="PJA80" s="2567"/>
      <c r="PJB80" s="2567"/>
      <c r="PJC80" s="2567"/>
      <c r="PJD80" s="2567"/>
      <c r="PJE80" s="2567"/>
      <c r="PJF80" s="2567"/>
      <c r="PJG80" s="2567"/>
      <c r="PJH80" s="2567"/>
      <c r="PJI80" s="2567"/>
      <c r="PJJ80" s="2567"/>
      <c r="PJK80" s="2567"/>
      <c r="PJL80" s="2567"/>
      <c r="PJM80" s="2567"/>
      <c r="PJN80" s="2567"/>
      <c r="PJO80" s="2567"/>
      <c r="PJP80" s="2567"/>
      <c r="PJQ80" s="2567"/>
      <c r="PJR80" s="2567"/>
      <c r="PJS80" s="2567"/>
      <c r="PJT80" s="2567"/>
      <c r="PJU80" s="2567"/>
      <c r="PJV80" s="2567"/>
      <c r="PJW80" s="2567"/>
      <c r="PJX80" s="2567"/>
      <c r="PJY80" s="2567"/>
      <c r="PJZ80" s="2567"/>
      <c r="PKA80" s="2567"/>
      <c r="PKB80" s="2567"/>
      <c r="PKC80" s="2567"/>
      <c r="PKD80" s="2567"/>
      <c r="PKE80" s="2567"/>
      <c r="PKF80" s="2567"/>
      <c r="PKG80" s="2567"/>
      <c r="PKH80" s="2567"/>
      <c r="PKI80" s="2567"/>
      <c r="PKJ80" s="2567"/>
      <c r="PKK80" s="2567"/>
      <c r="PKL80" s="2567"/>
      <c r="PKM80" s="2567"/>
      <c r="PKN80" s="2567"/>
      <c r="PKO80" s="2567"/>
      <c r="PKP80" s="2567"/>
      <c r="PKQ80" s="2567"/>
      <c r="PKR80" s="2567"/>
      <c r="PKS80" s="2567"/>
      <c r="PKT80" s="2567"/>
      <c r="PKU80" s="2567"/>
      <c r="PKV80" s="2567"/>
      <c r="PKW80" s="2567"/>
      <c r="PKX80" s="2567"/>
      <c r="PKY80" s="2567"/>
      <c r="PKZ80" s="2567"/>
      <c r="PLA80" s="2567"/>
      <c r="PLB80" s="2567"/>
      <c r="PLC80" s="2567"/>
      <c r="PLD80" s="2567"/>
      <c r="PLE80" s="2567"/>
      <c r="PLF80" s="2567"/>
      <c r="PLG80" s="2567"/>
      <c r="PLH80" s="2567"/>
      <c r="PLI80" s="2567"/>
      <c r="PLJ80" s="2567"/>
      <c r="PLK80" s="2567"/>
      <c r="PLL80" s="2567"/>
      <c r="PLM80" s="2567"/>
      <c r="PLN80" s="2567"/>
      <c r="PLO80" s="2567"/>
      <c r="PLP80" s="2567"/>
      <c r="PLQ80" s="2567"/>
      <c r="PLR80" s="2567"/>
      <c r="PLS80" s="2567"/>
      <c r="PLT80" s="2567"/>
      <c r="PLU80" s="2567"/>
      <c r="PLV80" s="2567"/>
      <c r="PLW80" s="2567"/>
      <c r="PLX80" s="2567"/>
      <c r="PLY80" s="2567"/>
      <c r="PLZ80" s="2567"/>
      <c r="PMA80" s="2567"/>
      <c r="PMB80" s="2567"/>
      <c r="PMC80" s="2567"/>
      <c r="PMD80" s="2567"/>
      <c r="PME80" s="2567"/>
      <c r="PMF80" s="2567"/>
      <c r="PMG80" s="2567"/>
      <c r="PMH80" s="2567"/>
      <c r="PMI80" s="2567"/>
      <c r="PMJ80" s="2567"/>
      <c r="PMK80" s="2567"/>
      <c r="PML80" s="2567"/>
      <c r="PMM80" s="2567"/>
      <c r="PMN80" s="2567"/>
      <c r="PMO80" s="2567"/>
      <c r="PMP80" s="2567"/>
      <c r="PMQ80" s="2567"/>
      <c r="PMR80" s="2567"/>
      <c r="PMS80" s="2567"/>
      <c r="PMT80" s="2567"/>
      <c r="PMU80" s="2567"/>
      <c r="PMV80" s="2567"/>
      <c r="PMW80" s="2567"/>
      <c r="PMX80" s="2567"/>
      <c r="PMY80" s="2567"/>
      <c r="PMZ80" s="2567"/>
      <c r="PNA80" s="2567"/>
      <c r="PNB80" s="2567"/>
      <c r="PNC80" s="2567"/>
      <c r="PND80" s="2567"/>
      <c r="PNE80" s="2567"/>
      <c r="PNF80" s="2567"/>
      <c r="PNG80" s="2567"/>
      <c r="PNH80" s="2567"/>
      <c r="PNI80" s="2567"/>
      <c r="PNJ80" s="2567"/>
      <c r="PNK80" s="2567"/>
      <c r="PNL80" s="2567"/>
      <c r="PNM80" s="2567"/>
      <c r="PNN80" s="2567"/>
      <c r="PNO80" s="2567"/>
      <c r="PNP80" s="2567"/>
      <c r="PNQ80" s="2567"/>
      <c r="PNR80" s="2567"/>
      <c r="PNS80" s="2567"/>
      <c r="PNT80" s="2567"/>
      <c r="PNU80" s="2567"/>
      <c r="PNV80" s="2567"/>
      <c r="PNW80" s="2567"/>
      <c r="PNX80" s="2567"/>
      <c r="PNY80" s="2567"/>
      <c r="PNZ80" s="2567"/>
      <c r="POA80" s="2567"/>
      <c r="POB80" s="2567"/>
      <c r="POC80" s="2567"/>
      <c r="POD80" s="2567"/>
      <c r="POE80" s="2567"/>
      <c r="POF80" s="2567"/>
      <c r="POG80" s="2567"/>
      <c r="POH80" s="2567"/>
      <c r="POI80" s="2567"/>
      <c r="POJ80" s="2567"/>
      <c r="POK80" s="2567"/>
      <c r="POL80" s="2567"/>
      <c r="POM80" s="2567"/>
      <c r="PON80" s="2567"/>
      <c r="POO80" s="2567"/>
      <c r="POP80" s="2567"/>
      <c r="POQ80" s="2567"/>
      <c r="POR80" s="2567"/>
      <c r="POS80" s="2567"/>
      <c r="POT80" s="2567"/>
      <c r="POU80" s="2567"/>
      <c r="POV80" s="2567"/>
      <c r="POW80" s="2567"/>
      <c r="POX80" s="2567"/>
      <c r="POY80" s="2567"/>
      <c r="POZ80" s="2567"/>
      <c r="PPA80" s="2567"/>
      <c r="PPB80" s="2567"/>
      <c r="PPC80" s="2567"/>
      <c r="PPD80" s="2567"/>
      <c r="PPE80" s="2567"/>
      <c r="PPF80" s="2567"/>
      <c r="PPG80" s="2567"/>
      <c r="PPH80" s="2567"/>
      <c r="PPI80" s="2567"/>
      <c r="PPJ80" s="2567"/>
      <c r="PPK80" s="2567"/>
      <c r="PPL80" s="2567"/>
      <c r="PPM80" s="2567"/>
      <c r="PPN80" s="2567"/>
      <c r="PPO80" s="2567"/>
      <c r="PPP80" s="2567"/>
      <c r="PPQ80" s="2567"/>
      <c r="PPR80" s="2567"/>
      <c r="PPS80" s="2567"/>
      <c r="PPT80" s="2567"/>
      <c r="PPU80" s="2567"/>
      <c r="PPV80" s="2567"/>
      <c r="PPW80" s="2567"/>
      <c r="PPX80" s="2567"/>
      <c r="PPY80" s="2567"/>
      <c r="PPZ80" s="2567"/>
      <c r="PQA80" s="2567"/>
      <c r="PQB80" s="2567"/>
      <c r="PQC80" s="2567"/>
      <c r="PQD80" s="2567"/>
      <c r="PQE80" s="2567"/>
      <c r="PQF80" s="2567"/>
      <c r="PQG80" s="2567"/>
      <c r="PQH80" s="2567"/>
      <c r="PQI80" s="2567"/>
      <c r="PQJ80" s="2567"/>
      <c r="PQK80" s="2567"/>
      <c r="PQL80" s="2567"/>
      <c r="PQM80" s="2567"/>
      <c r="PQN80" s="2567"/>
      <c r="PQO80" s="2567"/>
      <c r="PQP80" s="2567"/>
      <c r="PQQ80" s="2567"/>
      <c r="PQR80" s="2567"/>
      <c r="PQS80" s="2567"/>
      <c r="PQT80" s="2567"/>
      <c r="PQU80" s="2567"/>
      <c r="PQV80" s="2567"/>
      <c r="PQW80" s="2567"/>
      <c r="PQX80" s="2567"/>
      <c r="PQY80" s="2567"/>
      <c r="PQZ80" s="2567"/>
      <c r="PRA80" s="2567"/>
      <c r="PRB80" s="2567"/>
      <c r="PRC80" s="2567"/>
      <c r="PRD80" s="2567"/>
      <c r="PRE80" s="2567"/>
      <c r="PRF80" s="2567"/>
      <c r="PRG80" s="2567"/>
      <c r="PRH80" s="2567"/>
      <c r="PRI80" s="2567"/>
      <c r="PRJ80" s="2567"/>
      <c r="PRK80" s="2567"/>
      <c r="PRL80" s="2567"/>
      <c r="PRM80" s="2567"/>
      <c r="PRN80" s="2567"/>
      <c r="PRO80" s="2567"/>
      <c r="PRP80" s="2567"/>
      <c r="PRQ80" s="2567"/>
      <c r="PRR80" s="2567"/>
      <c r="PRS80" s="2567"/>
      <c r="PRT80" s="2567"/>
      <c r="PRU80" s="2567"/>
      <c r="PRV80" s="2567"/>
      <c r="PRW80" s="2567"/>
      <c r="PRX80" s="2567"/>
      <c r="PRY80" s="2567"/>
      <c r="PRZ80" s="2567"/>
      <c r="PSA80" s="2567"/>
      <c r="PSB80" s="2567"/>
      <c r="PSC80" s="2567"/>
      <c r="PSD80" s="2567"/>
      <c r="PSE80" s="2567"/>
      <c r="PSF80" s="2567"/>
      <c r="PSG80" s="2567"/>
      <c r="PSH80" s="2567"/>
      <c r="PSI80" s="2567"/>
      <c r="PSJ80" s="2567"/>
      <c r="PSK80" s="2567"/>
      <c r="PSL80" s="2567"/>
      <c r="PSM80" s="2567"/>
      <c r="PSN80" s="2567"/>
      <c r="PSO80" s="2567"/>
      <c r="PSP80" s="2567"/>
      <c r="PSQ80" s="2567"/>
      <c r="PSR80" s="2567"/>
      <c r="PSS80" s="2567"/>
      <c r="PST80" s="2567"/>
      <c r="PSU80" s="2567"/>
      <c r="PSV80" s="2567"/>
      <c r="PSW80" s="2567"/>
      <c r="PSX80" s="2567"/>
      <c r="PSY80" s="2567"/>
      <c r="PSZ80" s="2567"/>
      <c r="PTA80" s="2567"/>
      <c r="PTB80" s="2567"/>
      <c r="PTC80" s="2567"/>
      <c r="PTD80" s="2567"/>
      <c r="PTE80" s="2567"/>
      <c r="PTF80" s="2567"/>
      <c r="PTG80" s="2567"/>
      <c r="PTH80" s="2567"/>
      <c r="PTI80" s="2567"/>
      <c r="PTJ80" s="2567"/>
      <c r="PTK80" s="2567"/>
      <c r="PTL80" s="2567"/>
      <c r="PTM80" s="2567"/>
      <c r="PTN80" s="2567"/>
      <c r="PTO80" s="2567"/>
      <c r="PTP80" s="2567"/>
      <c r="PTQ80" s="2567"/>
      <c r="PTR80" s="2567"/>
      <c r="PTS80" s="2567"/>
      <c r="PTT80" s="2567"/>
      <c r="PTU80" s="2567"/>
      <c r="PTV80" s="2567"/>
      <c r="PTW80" s="2567"/>
      <c r="PTX80" s="2567"/>
      <c r="PTY80" s="2567"/>
      <c r="PTZ80" s="2567"/>
      <c r="PUA80" s="2567"/>
      <c r="PUB80" s="2567"/>
      <c r="PUC80" s="2567"/>
      <c r="PUD80" s="2567"/>
      <c r="PUE80" s="2567"/>
      <c r="PUF80" s="2567"/>
      <c r="PUG80" s="2567"/>
      <c r="PUH80" s="2567"/>
      <c r="PUI80" s="2567"/>
      <c r="PUJ80" s="2567"/>
      <c r="PUK80" s="2567"/>
      <c r="PUL80" s="2567"/>
      <c r="PUM80" s="2567"/>
      <c r="PUN80" s="2567"/>
      <c r="PUO80" s="2567"/>
      <c r="PUP80" s="2567"/>
      <c r="PUQ80" s="2567"/>
      <c r="PUR80" s="2567"/>
      <c r="PUS80" s="2567"/>
      <c r="PUT80" s="2567"/>
      <c r="PUU80" s="2567"/>
      <c r="PUV80" s="2567"/>
      <c r="PUW80" s="2567"/>
      <c r="PUX80" s="2567"/>
      <c r="PUY80" s="2567"/>
      <c r="PUZ80" s="2567"/>
      <c r="PVA80" s="2567"/>
      <c r="PVB80" s="2567"/>
      <c r="PVC80" s="2567"/>
      <c r="PVD80" s="2567"/>
      <c r="PVE80" s="2567"/>
      <c r="PVF80" s="2567"/>
      <c r="PVG80" s="2567"/>
      <c r="PVH80" s="2567"/>
      <c r="PVI80" s="2567"/>
      <c r="PVJ80" s="2567"/>
      <c r="PVK80" s="2567"/>
      <c r="PVL80" s="2567"/>
      <c r="PVM80" s="2567"/>
      <c r="PVN80" s="2567"/>
      <c r="PVO80" s="2567"/>
      <c r="PVP80" s="2567"/>
      <c r="PVQ80" s="2567"/>
      <c r="PVR80" s="2567"/>
      <c r="PVS80" s="2567"/>
      <c r="PVT80" s="2567"/>
      <c r="PVU80" s="2567"/>
      <c r="PVV80" s="2567"/>
      <c r="PVW80" s="2567"/>
      <c r="PVX80" s="2567"/>
      <c r="PVY80" s="2567"/>
      <c r="PVZ80" s="2567"/>
      <c r="PWA80" s="2567"/>
      <c r="PWB80" s="2567"/>
      <c r="PWC80" s="2567"/>
      <c r="PWD80" s="2567"/>
      <c r="PWE80" s="2567"/>
      <c r="PWF80" s="2567"/>
      <c r="PWG80" s="2567"/>
      <c r="PWH80" s="2567"/>
      <c r="PWI80" s="2567"/>
      <c r="PWJ80" s="2567"/>
      <c r="PWK80" s="2567"/>
      <c r="PWL80" s="2567"/>
      <c r="PWM80" s="2567"/>
      <c r="PWN80" s="2567"/>
      <c r="PWO80" s="2567"/>
      <c r="PWP80" s="2567"/>
      <c r="PWQ80" s="2567"/>
      <c r="PWR80" s="2567"/>
      <c r="PWS80" s="2567"/>
      <c r="PWT80" s="2567"/>
      <c r="PWU80" s="2567"/>
      <c r="PWV80" s="2567"/>
      <c r="PWW80" s="2567"/>
      <c r="PWX80" s="2567"/>
      <c r="PWY80" s="2567"/>
      <c r="PWZ80" s="2567"/>
      <c r="PXA80" s="2567"/>
      <c r="PXB80" s="2567"/>
      <c r="PXC80" s="2567"/>
      <c r="PXD80" s="2567"/>
      <c r="PXE80" s="2567"/>
      <c r="PXF80" s="2567"/>
      <c r="PXG80" s="2567"/>
      <c r="PXH80" s="2567"/>
      <c r="PXI80" s="2567"/>
      <c r="PXJ80" s="2567"/>
      <c r="PXK80" s="2567"/>
      <c r="PXL80" s="2567"/>
      <c r="PXM80" s="2567"/>
      <c r="PXN80" s="2567"/>
      <c r="PXO80" s="2567"/>
      <c r="PXP80" s="2567"/>
      <c r="PXQ80" s="2567"/>
      <c r="PXR80" s="2567"/>
      <c r="PXS80" s="2567"/>
      <c r="PXT80" s="2567"/>
      <c r="PXU80" s="2567"/>
      <c r="PXV80" s="2567"/>
      <c r="PXW80" s="2567"/>
      <c r="PXX80" s="2567"/>
      <c r="PXY80" s="2567"/>
      <c r="PXZ80" s="2567"/>
      <c r="PYA80" s="2567"/>
      <c r="PYB80" s="2567"/>
      <c r="PYC80" s="2567"/>
      <c r="PYD80" s="2567"/>
      <c r="PYE80" s="2567"/>
      <c r="PYF80" s="2567"/>
      <c r="PYG80" s="2567"/>
      <c r="PYH80" s="2567"/>
      <c r="PYI80" s="2567"/>
      <c r="PYJ80" s="2567"/>
      <c r="PYK80" s="2567"/>
      <c r="PYL80" s="2567"/>
      <c r="PYM80" s="2567"/>
      <c r="PYN80" s="2567"/>
      <c r="PYO80" s="2567"/>
      <c r="PYP80" s="2567"/>
      <c r="PYQ80" s="2567"/>
      <c r="PYR80" s="2567"/>
      <c r="PYS80" s="2567"/>
      <c r="PYT80" s="2567"/>
      <c r="PYU80" s="2567"/>
      <c r="PYV80" s="2567"/>
      <c r="PYW80" s="2567"/>
      <c r="PYX80" s="2567"/>
      <c r="PYY80" s="2567"/>
      <c r="PYZ80" s="2567"/>
      <c r="PZA80" s="2567"/>
      <c r="PZB80" s="2567"/>
      <c r="PZC80" s="2567"/>
      <c r="PZD80" s="2567"/>
      <c r="PZE80" s="2567"/>
      <c r="PZF80" s="2567"/>
      <c r="PZG80" s="2567"/>
      <c r="PZH80" s="2567"/>
      <c r="PZI80" s="2567"/>
      <c r="PZJ80" s="2567"/>
      <c r="PZK80" s="2567"/>
      <c r="PZL80" s="2567"/>
      <c r="PZM80" s="2567"/>
      <c r="PZN80" s="2567"/>
      <c r="PZO80" s="2567"/>
      <c r="PZP80" s="2567"/>
      <c r="PZQ80" s="2567"/>
      <c r="PZR80" s="2567"/>
      <c r="PZS80" s="2567"/>
      <c r="PZT80" s="2567"/>
      <c r="PZU80" s="2567"/>
      <c r="PZV80" s="2567"/>
      <c r="PZW80" s="2567"/>
      <c r="PZX80" s="2567"/>
      <c r="PZY80" s="2567"/>
      <c r="PZZ80" s="2567"/>
      <c r="QAA80" s="2567"/>
      <c r="QAB80" s="2567"/>
      <c r="QAC80" s="2567"/>
      <c r="QAD80" s="2567"/>
      <c r="QAE80" s="2567"/>
      <c r="QAF80" s="2567"/>
      <c r="QAG80" s="2567"/>
      <c r="QAH80" s="2567"/>
      <c r="QAI80" s="2567"/>
      <c r="QAJ80" s="2567"/>
      <c r="QAK80" s="2567"/>
      <c r="QAL80" s="2567"/>
      <c r="QAM80" s="2567"/>
      <c r="QAN80" s="2567"/>
      <c r="QAO80" s="2567"/>
      <c r="QAP80" s="2567"/>
      <c r="QAQ80" s="2567"/>
      <c r="QAR80" s="2567"/>
      <c r="QAS80" s="2567"/>
      <c r="QAT80" s="2567"/>
      <c r="QAU80" s="2567"/>
      <c r="QAV80" s="2567"/>
      <c r="QAW80" s="2567"/>
      <c r="QAX80" s="2567"/>
      <c r="QAY80" s="2567"/>
      <c r="QAZ80" s="2567"/>
      <c r="QBA80" s="2567"/>
      <c r="QBB80" s="2567"/>
      <c r="QBC80" s="2567"/>
      <c r="QBD80" s="2567"/>
      <c r="QBE80" s="2567"/>
      <c r="QBF80" s="2567"/>
      <c r="QBG80" s="2567"/>
      <c r="QBH80" s="2567"/>
      <c r="QBI80" s="2567"/>
      <c r="QBJ80" s="2567"/>
      <c r="QBK80" s="2567"/>
      <c r="QBL80" s="2567"/>
      <c r="QBM80" s="2567"/>
      <c r="QBN80" s="2567"/>
      <c r="QBO80" s="2567"/>
      <c r="QBP80" s="2567"/>
      <c r="QBQ80" s="2567"/>
      <c r="QBR80" s="2567"/>
      <c r="QBS80" s="2567"/>
      <c r="QBT80" s="2567"/>
      <c r="QBU80" s="2567"/>
      <c r="QBV80" s="2567"/>
      <c r="QBW80" s="2567"/>
      <c r="QBX80" s="2567"/>
      <c r="QBY80" s="2567"/>
      <c r="QBZ80" s="2567"/>
      <c r="QCA80" s="2567"/>
      <c r="QCB80" s="2567"/>
      <c r="QCC80" s="2567"/>
      <c r="QCD80" s="2567"/>
      <c r="QCE80" s="2567"/>
      <c r="QCF80" s="2567"/>
      <c r="QCG80" s="2567"/>
      <c r="QCH80" s="2567"/>
      <c r="QCI80" s="2567"/>
      <c r="QCJ80" s="2567"/>
      <c r="QCK80" s="2567"/>
      <c r="QCL80" s="2567"/>
      <c r="QCM80" s="2567"/>
      <c r="QCN80" s="2567"/>
      <c r="QCO80" s="2567"/>
      <c r="QCP80" s="2567"/>
      <c r="QCQ80" s="2567"/>
      <c r="QCR80" s="2567"/>
      <c r="QCS80" s="2567"/>
      <c r="QCT80" s="2567"/>
      <c r="QCU80" s="2567"/>
      <c r="QCV80" s="2567"/>
      <c r="QCW80" s="2567"/>
      <c r="QCX80" s="2567"/>
      <c r="QCY80" s="2567"/>
      <c r="QCZ80" s="2567"/>
      <c r="QDA80" s="2567"/>
      <c r="QDB80" s="2567"/>
      <c r="QDC80" s="2567"/>
      <c r="QDD80" s="2567"/>
      <c r="QDE80" s="2567"/>
      <c r="QDF80" s="2567"/>
      <c r="QDG80" s="2567"/>
      <c r="QDH80" s="2567"/>
      <c r="QDI80" s="2567"/>
      <c r="QDJ80" s="2567"/>
      <c r="QDK80" s="2567"/>
      <c r="QDL80" s="2567"/>
      <c r="QDM80" s="2567"/>
      <c r="QDN80" s="2567"/>
      <c r="QDO80" s="2567"/>
      <c r="QDP80" s="2567"/>
      <c r="QDQ80" s="2567"/>
      <c r="QDR80" s="2567"/>
      <c r="QDS80" s="2567"/>
      <c r="QDT80" s="2567"/>
      <c r="QDU80" s="2567"/>
      <c r="QDV80" s="2567"/>
      <c r="QDW80" s="2567"/>
      <c r="QDX80" s="2567"/>
      <c r="QDY80" s="2567"/>
      <c r="QDZ80" s="2567"/>
      <c r="QEA80" s="2567"/>
      <c r="QEB80" s="2567"/>
      <c r="QEC80" s="2567"/>
      <c r="QED80" s="2567"/>
      <c r="QEE80" s="2567"/>
      <c r="QEF80" s="2567"/>
      <c r="QEG80" s="2567"/>
      <c r="QEH80" s="2567"/>
      <c r="QEI80" s="2567"/>
      <c r="QEJ80" s="2567"/>
      <c r="QEK80" s="2567"/>
      <c r="QEL80" s="2567"/>
      <c r="QEM80" s="2567"/>
      <c r="QEN80" s="2567"/>
      <c r="QEO80" s="2567"/>
      <c r="QEP80" s="2567"/>
      <c r="QEQ80" s="2567"/>
      <c r="QER80" s="2567"/>
      <c r="QES80" s="2567"/>
      <c r="QET80" s="2567"/>
      <c r="QEU80" s="2567"/>
      <c r="QEV80" s="2567"/>
      <c r="QEW80" s="2567"/>
      <c r="QEX80" s="2567"/>
      <c r="QEY80" s="2567"/>
      <c r="QEZ80" s="2567"/>
      <c r="QFA80" s="2567"/>
      <c r="QFB80" s="2567"/>
      <c r="QFC80" s="2567"/>
      <c r="QFD80" s="2567"/>
      <c r="QFE80" s="2567"/>
      <c r="QFF80" s="2567"/>
      <c r="QFG80" s="2567"/>
      <c r="QFH80" s="2567"/>
      <c r="QFI80" s="2567"/>
      <c r="QFJ80" s="2567"/>
      <c r="QFK80" s="2567"/>
      <c r="QFL80" s="2567"/>
      <c r="QFM80" s="2567"/>
      <c r="QFN80" s="2567"/>
      <c r="QFO80" s="2567"/>
      <c r="QFP80" s="2567"/>
      <c r="QFQ80" s="2567"/>
      <c r="QFR80" s="2567"/>
      <c r="QFS80" s="2567"/>
      <c r="QFT80" s="2567"/>
      <c r="QFU80" s="2567"/>
      <c r="QFV80" s="2567"/>
      <c r="QFW80" s="2567"/>
      <c r="QFX80" s="2567"/>
      <c r="QFY80" s="2567"/>
      <c r="QFZ80" s="2567"/>
      <c r="QGA80" s="2567"/>
      <c r="QGB80" s="2567"/>
      <c r="QGC80" s="2567"/>
      <c r="QGD80" s="2567"/>
      <c r="QGE80" s="2567"/>
      <c r="QGF80" s="2567"/>
      <c r="QGG80" s="2567"/>
      <c r="QGH80" s="2567"/>
      <c r="QGI80" s="2567"/>
      <c r="QGJ80" s="2567"/>
      <c r="QGK80" s="2567"/>
      <c r="QGL80" s="2567"/>
      <c r="QGM80" s="2567"/>
      <c r="QGN80" s="2567"/>
      <c r="QGO80" s="2567"/>
      <c r="QGP80" s="2567"/>
      <c r="QGQ80" s="2567"/>
      <c r="QGR80" s="2567"/>
      <c r="QGS80" s="2567"/>
      <c r="QGT80" s="2567"/>
      <c r="QGU80" s="2567"/>
      <c r="QGV80" s="2567"/>
      <c r="QGW80" s="2567"/>
      <c r="QGX80" s="2567"/>
      <c r="QGY80" s="2567"/>
      <c r="QGZ80" s="2567"/>
      <c r="QHA80" s="2567"/>
      <c r="QHB80" s="2567"/>
      <c r="QHC80" s="2567"/>
      <c r="QHD80" s="2567"/>
      <c r="QHE80" s="2567"/>
      <c r="QHF80" s="2567"/>
      <c r="QHG80" s="2567"/>
      <c r="QHH80" s="2567"/>
      <c r="QHI80" s="2567"/>
      <c r="QHJ80" s="2567"/>
      <c r="QHK80" s="2567"/>
      <c r="QHL80" s="2567"/>
      <c r="QHM80" s="2567"/>
      <c r="QHN80" s="2567"/>
      <c r="QHO80" s="2567"/>
      <c r="QHP80" s="2567"/>
      <c r="QHQ80" s="2567"/>
      <c r="QHR80" s="2567"/>
      <c r="QHS80" s="2567"/>
      <c r="QHT80" s="2567"/>
      <c r="QHU80" s="2567"/>
      <c r="QHV80" s="2567"/>
      <c r="QHW80" s="2567"/>
      <c r="QHX80" s="2567"/>
      <c r="QHY80" s="2567"/>
      <c r="QHZ80" s="2567"/>
      <c r="QIA80" s="2567"/>
      <c r="QIB80" s="2567"/>
      <c r="QIC80" s="2567"/>
      <c r="QID80" s="2567"/>
      <c r="QIE80" s="2567"/>
      <c r="QIF80" s="2567"/>
      <c r="QIG80" s="2567"/>
      <c r="QIH80" s="2567"/>
      <c r="QII80" s="2567"/>
      <c r="QIJ80" s="2567"/>
      <c r="QIK80" s="2567"/>
      <c r="QIL80" s="2567"/>
      <c r="QIM80" s="2567"/>
      <c r="QIN80" s="2567"/>
      <c r="QIO80" s="2567"/>
      <c r="QIP80" s="2567"/>
      <c r="QIQ80" s="2567"/>
      <c r="QIR80" s="2567"/>
      <c r="QIS80" s="2567"/>
      <c r="QIT80" s="2567"/>
      <c r="QIU80" s="2567"/>
      <c r="QIV80" s="2567"/>
      <c r="QIW80" s="2567"/>
      <c r="QIX80" s="2567"/>
      <c r="QIY80" s="2567"/>
      <c r="QIZ80" s="2567"/>
      <c r="QJA80" s="2567"/>
      <c r="QJB80" s="2567"/>
      <c r="QJC80" s="2567"/>
      <c r="QJD80" s="2567"/>
      <c r="QJE80" s="2567"/>
      <c r="QJF80" s="2567"/>
      <c r="QJG80" s="2567"/>
      <c r="QJH80" s="2567"/>
      <c r="QJI80" s="2567"/>
      <c r="QJJ80" s="2567"/>
      <c r="QJK80" s="2567"/>
      <c r="QJL80" s="2567"/>
      <c r="QJM80" s="2567"/>
      <c r="QJN80" s="2567"/>
      <c r="QJO80" s="2567"/>
      <c r="QJP80" s="2567"/>
      <c r="QJQ80" s="2567"/>
      <c r="QJR80" s="2567"/>
      <c r="QJS80" s="2567"/>
      <c r="QJT80" s="2567"/>
      <c r="QJU80" s="2567"/>
      <c r="QJV80" s="2567"/>
      <c r="QJW80" s="2567"/>
      <c r="QJX80" s="2567"/>
      <c r="QJY80" s="2567"/>
      <c r="QJZ80" s="2567"/>
      <c r="QKA80" s="2567"/>
      <c r="QKB80" s="2567"/>
      <c r="QKC80" s="2567"/>
      <c r="QKD80" s="2567"/>
      <c r="QKE80" s="2567"/>
      <c r="QKF80" s="2567"/>
      <c r="QKG80" s="2567"/>
      <c r="QKH80" s="2567"/>
      <c r="QKI80" s="2567"/>
      <c r="QKJ80" s="2567"/>
      <c r="QKK80" s="2567"/>
      <c r="QKL80" s="2567"/>
      <c r="QKM80" s="2567"/>
      <c r="QKN80" s="2567"/>
      <c r="QKO80" s="2567"/>
      <c r="QKP80" s="2567"/>
      <c r="QKQ80" s="2567"/>
      <c r="QKR80" s="2567"/>
      <c r="QKS80" s="2567"/>
      <c r="QKT80" s="2567"/>
      <c r="QKU80" s="2567"/>
      <c r="QKV80" s="2567"/>
      <c r="QKW80" s="2567"/>
      <c r="QKX80" s="2567"/>
      <c r="QKY80" s="2567"/>
      <c r="QKZ80" s="2567"/>
      <c r="QLA80" s="2567"/>
      <c r="QLB80" s="2567"/>
      <c r="QLC80" s="2567"/>
      <c r="QLD80" s="2567"/>
      <c r="QLE80" s="2567"/>
      <c r="QLF80" s="2567"/>
      <c r="QLG80" s="2567"/>
      <c r="QLH80" s="2567"/>
      <c r="QLI80" s="2567"/>
      <c r="QLJ80" s="2567"/>
      <c r="QLK80" s="2567"/>
      <c r="QLL80" s="2567"/>
      <c r="QLM80" s="2567"/>
      <c r="QLN80" s="2567"/>
      <c r="QLO80" s="2567"/>
      <c r="QLP80" s="2567"/>
      <c r="QLQ80" s="2567"/>
      <c r="QLR80" s="2567"/>
      <c r="QLS80" s="2567"/>
      <c r="QLT80" s="2567"/>
      <c r="QLU80" s="2567"/>
      <c r="QLV80" s="2567"/>
      <c r="QLW80" s="2567"/>
      <c r="QLX80" s="2567"/>
      <c r="QLY80" s="2567"/>
      <c r="QLZ80" s="2567"/>
      <c r="QMA80" s="2567"/>
      <c r="QMB80" s="2567"/>
      <c r="QMC80" s="2567"/>
      <c r="QMD80" s="2567"/>
      <c r="QME80" s="2567"/>
      <c r="QMF80" s="2567"/>
      <c r="QMG80" s="2567"/>
      <c r="QMH80" s="2567"/>
      <c r="QMI80" s="2567"/>
      <c r="QMJ80" s="2567"/>
      <c r="QMK80" s="2567"/>
      <c r="QML80" s="2567"/>
      <c r="QMM80" s="2567"/>
      <c r="QMN80" s="2567"/>
      <c r="QMO80" s="2567"/>
      <c r="QMP80" s="2567"/>
      <c r="QMQ80" s="2567"/>
      <c r="QMR80" s="2567"/>
      <c r="QMS80" s="2567"/>
      <c r="QMT80" s="2567"/>
      <c r="QMU80" s="2567"/>
      <c r="QMV80" s="2567"/>
      <c r="QMW80" s="2567"/>
      <c r="QMX80" s="2567"/>
      <c r="QMY80" s="2567"/>
      <c r="QMZ80" s="2567"/>
      <c r="QNA80" s="2567"/>
      <c r="QNB80" s="2567"/>
      <c r="QNC80" s="2567"/>
      <c r="QND80" s="2567"/>
      <c r="QNE80" s="2567"/>
      <c r="QNF80" s="2567"/>
      <c r="QNG80" s="2567"/>
      <c r="QNH80" s="2567"/>
      <c r="QNI80" s="2567"/>
      <c r="QNJ80" s="2567"/>
      <c r="QNK80" s="2567"/>
      <c r="QNL80" s="2567"/>
      <c r="QNM80" s="2567"/>
      <c r="QNN80" s="2567"/>
      <c r="QNO80" s="2567"/>
      <c r="QNP80" s="2567"/>
      <c r="QNQ80" s="2567"/>
      <c r="QNR80" s="2567"/>
      <c r="QNS80" s="2567"/>
      <c r="QNT80" s="2567"/>
      <c r="QNU80" s="2567"/>
      <c r="QNV80" s="2567"/>
      <c r="QNW80" s="2567"/>
      <c r="QNX80" s="2567"/>
      <c r="QNY80" s="2567"/>
      <c r="QNZ80" s="2567"/>
      <c r="QOA80" s="2567"/>
      <c r="QOB80" s="2567"/>
      <c r="QOC80" s="2567"/>
      <c r="QOD80" s="2567"/>
      <c r="QOE80" s="2567"/>
      <c r="QOF80" s="2567"/>
      <c r="QOG80" s="2567"/>
      <c r="QOH80" s="2567"/>
      <c r="QOI80" s="2567"/>
      <c r="QOJ80" s="2567"/>
      <c r="QOK80" s="2567"/>
      <c r="QOL80" s="2567"/>
      <c r="QOM80" s="2567"/>
      <c r="QON80" s="2567"/>
      <c r="QOO80" s="2567"/>
      <c r="QOP80" s="2567"/>
      <c r="QOQ80" s="2567"/>
      <c r="QOR80" s="2567"/>
      <c r="QOS80" s="2567"/>
      <c r="QOT80" s="2567"/>
      <c r="QOU80" s="2567"/>
      <c r="QOV80" s="2567"/>
      <c r="QOW80" s="2567"/>
      <c r="QOX80" s="2567"/>
      <c r="QOY80" s="2567"/>
      <c r="QOZ80" s="2567"/>
      <c r="QPA80" s="2567"/>
      <c r="QPB80" s="2567"/>
      <c r="QPC80" s="2567"/>
      <c r="QPD80" s="2567"/>
      <c r="QPE80" s="2567"/>
      <c r="QPF80" s="2567"/>
      <c r="QPG80" s="2567"/>
      <c r="QPH80" s="2567"/>
      <c r="QPI80" s="2567"/>
      <c r="QPJ80" s="2567"/>
      <c r="QPK80" s="2567"/>
      <c r="QPL80" s="2567"/>
      <c r="QPM80" s="2567"/>
      <c r="QPN80" s="2567"/>
      <c r="QPO80" s="2567"/>
      <c r="QPP80" s="2567"/>
      <c r="QPQ80" s="2567"/>
      <c r="QPR80" s="2567"/>
      <c r="QPS80" s="2567"/>
      <c r="QPT80" s="2567"/>
      <c r="QPU80" s="2567"/>
      <c r="QPV80" s="2567"/>
      <c r="QPW80" s="2567"/>
      <c r="QPX80" s="2567"/>
      <c r="QPY80" s="2567"/>
      <c r="QPZ80" s="2567"/>
      <c r="QQA80" s="2567"/>
      <c r="QQB80" s="2567"/>
      <c r="QQC80" s="2567"/>
      <c r="QQD80" s="2567"/>
      <c r="QQE80" s="2567"/>
      <c r="QQF80" s="2567"/>
      <c r="QQG80" s="2567"/>
      <c r="QQH80" s="2567"/>
      <c r="QQI80" s="2567"/>
      <c r="QQJ80" s="2567"/>
      <c r="QQK80" s="2567"/>
      <c r="QQL80" s="2567"/>
      <c r="QQM80" s="2567"/>
      <c r="QQN80" s="2567"/>
      <c r="QQO80" s="2567"/>
      <c r="QQP80" s="2567"/>
      <c r="QQQ80" s="2567"/>
      <c r="QQR80" s="2567"/>
      <c r="QQS80" s="2567"/>
      <c r="QQT80" s="2567"/>
      <c r="QQU80" s="2567"/>
      <c r="QQV80" s="2567"/>
      <c r="QQW80" s="2567"/>
      <c r="QQX80" s="2567"/>
      <c r="QQY80" s="2567"/>
      <c r="QQZ80" s="2567"/>
      <c r="QRA80" s="2567"/>
      <c r="QRB80" s="2567"/>
      <c r="QRC80" s="2567"/>
      <c r="QRD80" s="2567"/>
      <c r="QRE80" s="2567"/>
      <c r="QRF80" s="2567"/>
      <c r="QRG80" s="2567"/>
      <c r="QRH80" s="2567"/>
      <c r="QRI80" s="2567"/>
      <c r="QRJ80" s="2567"/>
      <c r="QRK80" s="2567"/>
      <c r="QRL80" s="2567"/>
      <c r="QRM80" s="2567"/>
      <c r="QRN80" s="2567"/>
      <c r="QRO80" s="2567"/>
      <c r="QRP80" s="2567"/>
      <c r="QRQ80" s="2567"/>
      <c r="QRR80" s="2567"/>
      <c r="QRS80" s="2567"/>
      <c r="QRT80" s="2567"/>
      <c r="QRU80" s="2567"/>
      <c r="QRV80" s="2567"/>
      <c r="QRW80" s="2567"/>
      <c r="QRX80" s="2567"/>
      <c r="QRY80" s="2567"/>
      <c r="QRZ80" s="2567"/>
      <c r="QSA80" s="2567"/>
      <c r="QSB80" s="2567"/>
      <c r="QSC80" s="2567"/>
      <c r="QSD80" s="2567"/>
      <c r="QSE80" s="2567"/>
      <c r="QSF80" s="2567"/>
      <c r="QSG80" s="2567"/>
      <c r="QSH80" s="2567"/>
      <c r="QSI80" s="2567"/>
      <c r="QSJ80" s="2567"/>
      <c r="QSK80" s="2567"/>
      <c r="QSL80" s="2567"/>
      <c r="QSM80" s="2567"/>
      <c r="QSN80" s="2567"/>
      <c r="QSO80" s="2567"/>
      <c r="QSP80" s="2567"/>
      <c r="QSQ80" s="2567"/>
      <c r="QSR80" s="2567"/>
      <c r="QSS80" s="2567"/>
      <c r="QST80" s="2567"/>
      <c r="QSU80" s="2567"/>
      <c r="QSV80" s="2567"/>
      <c r="QSW80" s="2567"/>
      <c r="QSX80" s="2567"/>
      <c r="QSY80" s="2567"/>
      <c r="QSZ80" s="2567"/>
      <c r="QTA80" s="2567"/>
      <c r="QTB80" s="2567"/>
      <c r="QTC80" s="2567"/>
      <c r="QTD80" s="2567"/>
      <c r="QTE80" s="2567"/>
      <c r="QTF80" s="2567"/>
      <c r="QTG80" s="2567"/>
      <c r="QTH80" s="2567"/>
      <c r="QTI80" s="2567"/>
      <c r="QTJ80" s="2567"/>
      <c r="QTK80" s="2567"/>
      <c r="QTL80" s="2567"/>
      <c r="QTM80" s="2567"/>
      <c r="QTN80" s="2567"/>
      <c r="QTO80" s="2567"/>
      <c r="QTP80" s="2567"/>
      <c r="QTQ80" s="2567"/>
      <c r="QTR80" s="2567"/>
      <c r="QTS80" s="2567"/>
      <c r="QTT80" s="2567"/>
      <c r="QTU80" s="2567"/>
      <c r="QTV80" s="2567"/>
      <c r="QTW80" s="2567"/>
      <c r="QTX80" s="2567"/>
      <c r="QTY80" s="2567"/>
      <c r="QTZ80" s="2567"/>
      <c r="QUA80" s="2567"/>
      <c r="QUB80" s="2567"/>
      <c r="QUC80" s="2567"/>
      <c r="QUD80" s="2567"/>
      <c r="QUE80" s="2567"/>
      <c r="QUF80" s="2567"/>
      <c r="QUG80" s="2567"/>
      <c r="QUH80" s="2567"/>
      <c r="QUI80" s="2567"/>
      <c r="QUJ80" s="2567"/>
      <c r="QUK80" s="2567"/>
      <c r="QUL80" s="2567"/>
      <c r="QUM80" s="2567"/>
      <c r="QUN80" s="2567"/>
      <c r="QUO80" s="2567"/>
      <c r="QUP80" s="2567"/>
      <c r="QUQ80" s="2567"/>
      <c r="QUR80" s="2567"/>
      <c r="QUS80" s="2567"/>
      <c r="QUT80" s="2567"/>
      <c r="QUU80" s="2567"/>
      <c r="QUV80" s="2567"/>
      <c r="QUW80" s="2567"/>
      <c r="QUX80" s="2567"/>
      <c r="QUY80" s="2567"/>
      <c r="QUZ80" s="2567"/>
      <c r="QVA80" s="2567"/>
      <c r="QVB80" s="2567"/>
      <c r="QVC80" s="2567"/>
      <c r="QVD80" s="2567"/>
      <c r="QVE80" s="2567"/>
      <c r="QVF80" s="2567"/>
      <c r="QVG80" s="2567"/>
      <c r="QVH80" s="2567"/>
      <c r="QVI80" s="2567"/>
      <c r="QVJ80" s="2567"/>
      <c r="QVK80" s="2567"/>
      <c r="QVL80" s="2567"/>
      <c r="QVM80" s="2567"/>
      <c r="QVN80" s="2567"/>
      <c r="QVO80" s="2567"/>
      <c r="QVP80" s="2567"/>
      <c r="QVQ80" s="2567"/>
      <c r="QVR80" s="2567"/>
      <c r="QVS80" s="2567"/>
      <c r="QVT80" s="2567"/>
      <c r="QVU80" s="2567"/>
      <c r="QVV80" s="2567"/>
      <c r="QVW80" s="2567"/>
      <c r="QVX80" s="2567"/>
      <c r="QVY80" s="2567"/>
      <c r="QVZ80" s="2567"/>
      <c r="QWA80" s="2567"/>
      <c r="QWB80" s="2567"/>
      <c r="QWC80" s="2567"/>
      <c r="QWD80" s="2567"/>
      <c r="QWE80" s="2567"/>
      <c r="QWF80" s="2567"/>
      <c r="QWG80" s="2567"/>
      <c r="QWH80" s="2567"/>
      <c r="QWI80" s="2567"/>
      <c r="QWJ80" s="2567"/>
      <c r="QWK80" s="2567"/>
      <c r="QWL80" s="2567"/>
      <c r="QWM80" s="2567"/>
      <c r="QWN80" s="2567"/>
      <c r="QWO80" s="2567"/>
      <c r="QWP80" s="2567"/>
      <c r="QWQ80" s="2567"/>
      <c r="QWR80" s="2567"/>
      <c r="QWS80" s="2567"/>
      <c r="QWT80" s="2567"/>
      <c r="QWU80" s="2567"/>
      <c r="QWV80" s="2567"/>
      <c r="QWW80" s="2567"/>
      <c r="QWX80" s="2567"/>
      <c r="QWY80" s="2567"/>
      <c r="QWZ80" s="2567"/>
      <c r="QXA80" s="2567"/>
      <c r="QXB80" s="2567"/>
      <c r="QXC80" s="2567"/>
      <c r="QXD80" s="2567"/>
      <c r="QXE80" s="2567"/>
      <c r="QXF80" s="2567"/>
      <c r="QXG80" s="2567"/>
      <c r="QXH80" s="2567"/>
      <c r="QXI80" s="2567"/>
      <c r="QXJ80" s="2567"/>
      <c r="QXK80" s="2567"/>
      <c r="QXL80" s="2567"/>
      <c r="QXM80" s="2567"/>
      <c r="QXN80" s="2567"/>
      <c r="QXO80" s="2567"/>
      <c r="QXP80" s="2567"/>
      <c r="QXQ80" s="2567"/>
      <c r="QXR80" s="2567"/>
      <c r="QXS80" s="2567"/>
      <c r="QXT80" s="2567"/>
      <c r="QXU80" s="2567"/>
      <c r="QXV80" s="2567"/>
      <c r="QXW80" s="2567"/>
      <c r="QXX80" s="2567"/>
      <c r="QXY80" s="2567"/>
      <c r="QXZ80" s="2567"/>
      <c r="QYA80" s="2567"/>
      <c r="QYB80" s="2567"/>
      <c r="QYC80" s="2567"/>
      <c r="QYD80" s="2567"/>
      <c r="QYE80" s="2567"/>
      <c r="QYF80" s="2567"/>
      <c r="QYG80" s="2567"/>
      <c r="QYH80" s="2567"/>
      <c r="QYI80" s="2567"/>
      <c r="QYJ80" s="2567"/>
      <c r="QYK80" s="2567"/>
      <c r="QYL80" s="2567"/>
      <c r="QYM80" s="2567"/>
      <c r="QYN80" s="2567"/>
      <c r="QYO80" s="2567"/>
      <c r="QYP80" s="2567"/>
      <c r="QYQ80" s="2567"/>
      <c r="QYR80" s="2567"/>
      <c r="QYS80" s="2567"/>
      <c r="QYT80" s="2567"/>
      <c r="QYU80" s="2567"/>
      <c r="QYV80" s="2567"/>
      <c r="QYW80" s="2567"/>
      <c r="QYX80" s="2567"/>
      <c r="QYY80" s="2567"/>
      <c r="QYZ80" s="2567"/>
      <c r="QZA80" s="2567"/>
      <c r="QZB80" s="2567"/>
      <c r="QZC80" s="2567"/>
      <c r="QZD80" s="2567"/>
      <c r="QZE80" s="2567"/>
      <c r="QZF80" s="2567"/>
      <c r="QZG80" s="2567"/>
      <c r="QZH80" s="2567"/>
      <c r="QZI80" s="2567"/>
      <c r="QZJ80" s="2567"/>
      <c r="QZK80" s="2567"/>
      <c r="QZL80" s="2567"/>
      <c r="QZM80" s="2567"/>
      <c r="QZN80" s="2567"/>
      <c r="QZO80" s="2567"/>
      <c r="QZP80" s="2567"/>
      <c r="QZQ80" s="2567"/>
      <c r="QZR80" s="2567"/>
      <c r="QZS80" s="2567"/>
      <c r="QZT80" s="2567"/>
      <c r="QZU80" s="2567"/>
      <c r="QZV80" s="2567"/>
      <c r="QZW80" s="2567"/>
      <c r="QZX80" s="2567"/>
      <c r="QZY80" s="2567"/>
      <c r="QZZ80" s="2567"/>
      <c r="RAA80" s="2567"/>
      <c r="RAB80" s="2567"/>
      <c r="RAC80" s="2567"/>
      <c r="RAD80" s="2567"/>
      <c r="RAE80" s="2567"/>
      <c r="RAF80" s="2567"/>
      <c r="RAG80" s="2567"/>
      <c r="RAH80" s="2567"/>
      <c r="RAI80" s="2567"/>
      <c r="RAJ80" s="2567"/>
      <c r="RAK80" s="2567"/>
      <c r="RAL80" s="2567"/>
      <c r="RAM80" s="2567"/>
      <c r="RAN80" s="2567"/>
      <c r="RAO80" s="2567"/>
      <c r="RAP80" s="2567"/>
      <c r="RAQ80" s="2567"/>
      <c r="RAR80" s="2567"/>
      <c r="RAS80" s="2567"/>
      <c r="RAT80" s="2567"/>
      <c r="RAU80" s="2567"/>
      <c r="RAV80" s="2567"/>
      <c r="RAW80" s="2567"/>
      <c r="RAX80" s="2567"/>
      <c r="RAY80" s="2567"/>
      <c r="RAZ80" s="2567"/>
      <c r="RBA80" s="2567"/>
      <c r="RBB80" s="2567"/>
      <c r="RBC80" s="2567"/>
      <c r="RBD80" s="2567"/>
      <c r="RBE80" s="2567"/>
      <c r="RBF80" s="2567"/>
      <c r="RBG80" s="2567"/>
      <c r="RBH80" s="2567"/>
      <c r="RBI80" s="2567"/>
      <c r="RBJ80" s="2567"/>
      <c r="RBK80" s="2567"/>
      <c r="RBL80" s="2567"/>
      <c r="RBM80" s="2567"/>
      <c r="RBN80" s="2567"/>
      <c r="RBO80" s="2567"/>
      <c r="RBP80" s="2567"/>
      <c r="RBQ80" s="2567"/>
      <c r="RBR80" s="2567"/>
      <c r="RBS80" s="2567"/>
      <c r="RBT80" s="2567"/>
      <c r="RBU80" s="2567"/>
      <c r="RBV80" s="2567"/>
      <c r="RBW80" s="2567"/>
      <c r="RBX80" s="2567"/>
      <c r="RBY80" s="2567"/>
      <c r="RBZ80" s="2567"/>
      <c r="RCA80" s="2567"/>
      <c r="RCB80" s="2567"/>
      <c r="RCC80" s="2567"/>
      <c r="RCD80" s="2567"/>
      <c r="RCE80" s="2567"/>
      <c r="RCF80" s="2567"/>
      <c r="RCG80" s="2567"/>
      <c r="RCH80" s="2567"/>
      <c r="RCI80" s="2567"/>
      <c r="RCJ80" s="2567"/>
      <c r="RCK80" s="2567"/>
      <c r="RCL80" s="2567"/>
      <c r="RCM80" s="2567"/>
      <c r="RCN80" s="2567"/>
      <c r="RCO80" s="2567"/>
      <c r="RCP80" s="2567"/>
      <c r="RCQ80" s="2567"/>
      <c r="RCR80" s="2567"/>
      <c r="RCS80" s="2567"/>
      <c r="RCT80" s="2567"/>
      <c r="RCU80" s="2567"/>
      <c r="RCV80" s="2567"/>
      <c r="RCW80" s="2567"/>
      <c r="RCX80" s="2567"/>
      <c r="RCY80" s="2567"/>
      <c r="RCZ80" s="2567"/>
      <c r="RDA80" s="2567"/>
      <c r="RDB80" s="2567"/>
      <c r="RDC80" s="2567"/>
      <c r="RDD80" s="2567"/>
      <c r="RDE80" s="2567"/>
      <c r="RDF80" s="2567"/>
      <c r="RDG80" s="2567"/>
      <c r="RDH80" s="2567"/>
      <c r="RDI80" s="2567"/>
      <c r="RDJ80" s="2567"/>
      <c r="RDK80" s="2567"/>
      <c r="RDL80" s="2567"/>
      <c r="RDM80" s="2567"/>
      <c r="RDN80" s="2567"/>
      <c r="RDO80" s="2567"/>
      <c r="RDP80" s="2567"/>
      <c r="RDQ80" s="2567"/>
      <c r="RDR80" s="2567"/>
      <c r="RDS80" s="2567"/>
      <c r="RDT80" s="2567"/>
      <c r="RDU80" s="2567"/>
      <c r="RDV80" s="2567"/>
      <c r="RDW80" s="2567"/>
      <c r="RDX80" s="2567"/>
      <c r="RDY80" s="2567"/>
      <c r="RDZ80" s="2567"/>
      <c r="REA80" s="2567"/>
      <c r="REB80" s="2567"/>
      <c r="REC80" s="2567"/>
      <c r="RED80" s="2567"/>
      <c r="REE80" s="2567"/>
      <c r="REF80" s="2567"/>
      <c r="REG80" s="2567"/>
      <c r="REH80" s="2567"/>
      <c r="REI80" s="2567"/>
      <c r="REJ80" s="2567"/>
      <c r="REK80" s="2567"/>
      <c r="REL80" s="2567"/>
      <c r="REM80" s="2567"/>
      <c r="REN80" s="2567"/>
      <c r="REO80" s="2567"/>
      <c r="REP80" s="2567"/>
      <c r="REQ80" s="2567"/>
      <c r="RER80" s="2567"/>
      <c r="RES80" s="2567"/>
      <c r="RET80" s="2567"/>
      <c r="REU80" s="2567"/>
      <c r="REV80" s="2567"/>
      <c r="REW80" s="2567"/>
      <c r="REX80" s="2567"/>
      <c r="REY80" s="2567"/>
      <c r="REZ80" s="2567"/>
      <c r="RFA80" s="2567"/>
      <c r="RFB80" s="2567"/>
      <c r="RFC80" s="2567"/>
      <c r="RFD80" s="2567"/>
      <c r="RFE80" s="2567"/>
      <c r="RFF80" s="2567"/>
      <c r="RFG80" s="2567"/>
      <c r="RFH80" s="2567"/>
      <c r="RFI80" s="2567"/>
      <c r="RFJ80" s="2567"/>
      <c r="RFK80" s="2567"/>
      <c r="RFL80" s="2567"/>
      <c r="RFM80" s="2567"/>
      <c r="RFN80" s="2567"/>
      <c r="RFO80" s="2567"/>
      <c r="RFP80" s="2567"/>
      <c r="RFQ80" s="2567"/>
      <c r="RFR80" s="2567"/>
      <c r="RFS80" s="2567"/>
      <c r="RFT80" s="2567"/>
      <c r="RFU80" s="2567"/>
      <c r="RFV80" s="2567"/>
      <c r="RFW80" s="2567"/>
      <c r="RFX80" s="2567"/>
      <c r="RFY80" s="2567"/>
      <c r="RFZ80" s="2567"/>
      <c r="RGA80" s="2567"/>
      <c r="RGB80" s="2567"/>
      <c r="RGC80" s="2567"/>
      <c r="RGD80" s="2567"/>
      <c r="RGE80" s="2567"/>
      <c r="RGF80" s="2567"/>
      <c r="RGG80" s="2567"/>
      <c r="RGH80" s="2567"/>
      <c r="RGI80" s="2567"/>
      <c r="RGJ80" s="2567"/>
      <c r="RGK80" s="2567"/>
      <c r="RGL80" s="2567"/>
      <c r="RGM80" s="2567"/>
      <c r="RGN80" s="2567"/>
      <c r="RGO80" s="2567"/>
      <c r="RGP80" s="2567"/>
      <c r="RGQ80" s="2567"/>
      <c r="RGR80" s="2567"/>
      <c r="RGS80" s="2567"/>
      <c r="RGT80" s="2567"/>
      <c r="RGU80" s="2567"/>
      <c r="RGV80" s="2567"/>
      <c r="RGW80" s="2567"/>
      <c r="RGX80" s="2567"/>
      <c r="RGY80" s="2567"/>
      <c r="RGZ80" s="2567"/>
      <c r="RHA80" s="2567"/>
      <c r="RHB80" s="2567"/>
      <c r="RHC80" s="2567"/>
      <c r="RHD80" s="2567"/>
      <c r="RHE80" s="2567"/>
      <c r="RHF80" s="2567"/>
      <c r="RHG80" s="2567"/>
      <c r="RHH80" s="2567"/>
      <c r="RHI80" s="2567"/>
      <c r="RHJ80" s="2567"/>
      <c r="RHK80" s="2567"/>
      <c r="RHL80" s="2567"/>
      <c r="RHM80" s="2567"/>
      <c r="RHN80" s="2567"/>
      <c r="RHO80" s="2567"/>
      <c r="RHP80" s="2567"/>
      <c r="RHQ80" s="2567"/>
      <c r="RHR80" s="2567"/>
      <c r="RHS80" s="2567"/>
      <c r="RHT80" s="2567"/>
      <c r="RHU80" s="2567"/>
      <c r="RHV80" s="2567"/>
      <c r="RHW80" s="2567"/>
      <c r="RHX80" s="2567"/>
      <c r="RHY80" s="2567"/>
      <c r="RHZ80" s="2567"/>
      <c r="RIA80" s="2567"/>
      <c r="RIB80" s="2567"/>
      <c r="RIC80" s="2567"/>
      <c r="RID80" s="2567"/>
      <c r="RIE80" s="2567"/>
      <c r="RIF80" s="2567"/>
      <c r="RIG80" s="2567"/>
      <c r="RIH80" s="2567"/>
      <c r="RII80" s="2567"/>
      <c r="RIJ80" s="2567"/>
      <c r="RIK80" s="2567"/>
      <c r="RIL80" s="2567"/>
      <c r="RIM80" s="2567"/>
      <c r="RIN80" s="2567"/>
      <c r="RIO80" s="2567"/>
      <c r="RIP80" s="2567"/>
      <c r="RIQ80" s="2567"/>
      <c r="RIR80" s="2567"/>
      <c r="RIS80" s="2567"/>
      <c r="RIT80" s="2567"/>
      <c r="RIU80" s="2567"/>
      <c r="RIV80" s="2567"/>
      <c r="RIW80" s="2567"/>
      <c r="RIX80" s="2567"/>
      <c r="RIY80" s="2567"/>
      <c r="RIZ80" s="2567"/>
      <c r="RJA80" s="2567"/>
      <c r="RJB80" s="2567"/>
      <c r="RJC80" s="2567"/>
      <c r="RJD80" s="2567"/>
      <c r="RJE80" s="2567"/>
      <c r="RJF80" s="2567"/>
      <c r="RJG80" s="2567"/>
      <c r="RJH80" s="2567"/>
      <c r="RJI80" s="2567"/>
      <c r="RJJ80" s="2567"/>
      <c r="RJK80" s="2567"/>
      <c r="RJL80" s="2567"/>
      <c r="RJM80" s="2567"/>
      <c r="RJN80" s="2567"/>
      <c r="RJO80" s="2567"/>
      <c r="RJP80" s="2567"/>
      <c r="RJQ80" s="2567"/>
      <c r="RJR80" s="2567"/>
      <c r="RJS80" s="2567"/>
      <c r="RJT80" s="2567"/>
      <c r="RJU80" s="2567"/>
      <c r="RJV80" s="2567"/>
      <c r="RJW80" s="2567"/>
      <c r="RJX80" s="2567"/>
      <c r="RJY80" s="2567"/>
      <c r="RJZ80" s="2567"/>
      <c r="RKA80" s="2567"/>
      <c r="RKB80" s="2567"/>
      <c r="RKC80" s="2567"/>
      <c r="RKD80" s="2567"/>
      <c r="RKE80" s="2567"/>
      <c r="RKF80" s="2567"/>
      <c r="RKG80" s="2567"/>
      <c r="RKH80" s="2567"/>
      <c r="RKI80" s="2567"/>
      <c r="RKJ80" s="2567"/>
      <c r="RKK80" s="2567"/>
      <c r="RKL80" s="2567"/>
      <c r="RKM80" s="2567"/>
      <c r="RKN80" s="2567"/>
      <c r="RKO80" s="2567"/>
      <c r="RKP80" s="2567"/>
      <c r="RKQ80" s="2567"/>
      <c r="RKR80" s="2567"/>
      <c r="RKS80" s="2567"/>
      <c r="RKT80" s="2567"/>
      <c r="RKU80" s="2567"/>
      <c r="RKV80" s="2567"/>
      <c r="RKW80" s="2567"/>
      <c r="RKX80" s="2567"/>
      <c r="RKY80" s="2567"/>
      <c r="RKZ80" s="2567"/>
      <c r="RLA80" s="2567"/>
      <c r="RLB80" s="2567"/>
      <c r="RLC80" s="2567"/>
      <c r="RLD80" s="2567"/>
      <c r="RLE80" s="2567"/>
      <c r="RLF80" s="2567"/>
      <c r="RLG80" s="2567"/>
      <c r="RLH80" s="2567"/>
      <c r="RLI80" s="2567"/>
      <c r="RLJ80" s="2567"/>
      <c r="RLK80" s="2567"/>
      <c r="RLL80" s="2567"/>
      <c r="RLM80" s="2567"/>
      <c r="RLN80" s="2567"/>
      <c r="RLO80" s="2567"/>
      <c r="RLP80" s="2567"/>
      <c r="RLQ80" s="2567"/>
      <c r="RLR80" s="2567"/>
      <c r="RLS80" s="2567"/>
      <c r="RLT80" s="2567"/>
      <c r="RLU80" s="2567"/>
      <c r="RLV80" s="2567"/>
      <c r="RLW80" s="2567"/>
      <c r="RLX80" s="2567"/>
      <c r="RLY80" s="2567"/>
      <c r="RLZ80" s="2567"/>
      <c r="RMA80" s="2567"/>
      <c r="RMB80" s="2567"/>
      <c r="RMC80" s="2567"/>
      <c r="RMD80" s="2567"/>
      <c r="RME80" s="2567"/>
      <c r="RMF80" s="2567"/>
      <c r="RMG80" s="2567"/>
      <c r="RMH80" s="2567"/>
      <c r="RMI80" s="2567"/>
      <c r="RMJ80" s="2567"/>
      <c r="RMK80" s="2567"/>
      <c r="RML80" s="2567"/>
      <c r="RMM80" s="2567"/>
      <c r="RMN80" s="2567"/>
      <c r="RMO80" s="2567"/>
      <c r="RMP80" s="2567"/>
      <c r="RMQ80" s="2567"/>
      <c r="RMR80" s="2567"/>
      <c r="RMS80" s="2567"/>
      <c r="RMT80" s="2567"/>
      <c r="RMU80" s="2567"/>
      <c r="RMV80" s="2567"/>
      <c r="RMW80" s="2567"/>
      <c r="RMX80" s="2567"/>
      <c r="RMY80" s="2567"/>
      <c r="RMZ80" s="2567"/>
      <c r="RNA80" s="2567"/>
      <c r="RNB80" s="2567"/>
      <c r="RNC80" s="2567"/>
      <c r="RND80" s="2567"/>
      <c r="RNE80" s="2567"/>
      <c r="RNF80" s="2567"/>
      <c r="RNG80" s="2567"/>
      <c r="RNH80" s="2567"/>
      <c r="RNI80" s="2567"/>
      <c r="RNJ80" s="2567"/>
      <c r="RNK80" s="2567"/>
      <c r="RNL80" s="2567"/>
      <c r="RNM80" s="2567"/>
      <c r="RNN80" s="2567"/>
      <c r="RNO80" s="2567"/>
      <c r="RNP80" s="2567"/>
      <c r="RNQ80" s="2567"/>
      <c r="RNR80" s="2567"/>
      <c r="RNS80" s="2567"/>
      <c r="RNT80" s="2567"/>
      <c r="RNU80" s="2567"/>
      <c r="RNV80" s="2567"/>
      <c r="RNW80" s="2567"/>
      <c r="RNX80" s="2567"/>
      <c r="RNY80" s="2567"/>
      <c r="RNZ80" s="2567"/>
      <c r="ROA80" s="2567"/>
      <c r="ROB80" s="2567"/>
      <c r="ROC80" s="2567"/>
      <c r="ROD80" s="2567"/>
      <c r="ROE80" s="2567"/>
      <c r="ROF80" s="2567"/>
      <c r="ROG80" s="2567"/>
      <c r="ROH80" s="2567"/>
      <c r="ROI80" s="2567"/>
      <c r="ROJ80" s="2567"/>
      <c r="ROK80" s="2567"/>
      <c r="ROL80" s="2567"/>
      <c r="ROM80" s="2567"/>
      <c r="RON80" s="2567"/>
      <c r="ROO80" s="2567"/>
      <c r="ROP80" s="2567"/>
      <c r="ROQ80" s="2567"/>
      <c r="ROR80" s="2567"/>
      <c r="ROS80" s="2567"/>
      <c r="ROT80" s="2567"/>
      <c r="ROU80" s="2567"/>
      <c r="ROV80" s="2567"/>
      <c r="ROW80" s="2567"/>
      <c r="ROX80" s="2567"/>
      <c r="ROY80" s="2567"/>
      <c r="ROZ80" s="2567"/>
      <c r="RPA80" s="2567"/>
      <c r="RPB80" s="2567"/>
      <c r="RPC80" s="2567"/>
      <c r="RPD80" s="2567"/>
      <c r="RPE80" s="2567"/>
      <c r="RPF80" s="2567"/>
      <c r="RPG80" s="2567"/>
      <c r="RPH80" s="2567"/>
      <c r="RPI80" s="2567"/>
      <c r="RPJ80" s="2567"/>
      <c r="RPK80" s="2567"/>
      <c r="RPL80" s="2567"/>
      <c r="RPM80" s="2567"/>
      <c r="RPN80" s="2567"/>
      <c r="RPO80" s="2567"/>
      <c r="RPP80" s="2567"/>
      <c r="RPQ80" s="2567"/>
      <c r="RPR80" s="2567"/>
      <c r="RPS80" s="2567"/>
      <c r="RPT80" s="2567"/>
      <c r="RPU80" s="2567"/>
      <c r="RPV80" s="2567"/>
      <c r="RPW80" s="2567"/>
      <c r="RPX80" s="2567"/>
      <c r="RPY80" s="2567"/>
      <c r="RPZ80" s="2567"/>
      <c r="RQA80" s="2567"/>
      <c r="RQB80" s="2567"/>
      <c r="RQC80" s="2567"/>
      <c r="RQD80" s="2567"/>
      <c r="RQE80" s="2567"/>
      <c r="RQF80" s="2567"/>
      <c r="RQG80" s="2567"/>
      <c r="RQH80" s="2567"/>
      <c r="RQI80" s="2567"/>
      <c r="RQJ80" s="2567"/>
      <c r="RQK80" s="2567"/>
      <c r="RQL80" s="2567"/>
      <c r="RQM80" s="2567"/>
      <c r="RQN80" s="2567"/>
      <c r="RQO80" s="2567"/>
      <c r="RQP80" s="2567"/>
      <c r="RQQ80" s="2567"/>
      <c r="RQR80" s="2567"/>
      <c r="RQS80" s="2567"/>
      <c r="RQT80" s="2567"/>
      <c r="RQU80" s="2567"/>
      <c r="RQV80" s="2567"/>
      <c r="RQW80" s="2567"/>
      <c r="RQX80" s="2567"/>
      <c r="RQY80" s="2567"/>
      <c r="RQZ80" s="2567"/>
      <c r="RRA80" s="2567"/>
      <c r="RRB80" s="2567"/>
      <c r="RRC80" s="2567"/>
      <c r="RRD80" s="2567"/>
      <c r="RRE80" s="2567"/>
      <c r="RRF80" s="2567"/>
      <c r="RRG80" s="2567"/>
      <c r="RRH80" s="2567"/>
      <c r="RRI80" s="2567"/>
      <c r="RRJ80" s="2567"/>
      <c r="RRK80" s="2567"/>
      <c r="RRL80" s="2567"/>
      <c r="RRM80" s="2567"/>
      <c r="RRN80" s="2567"/>
      <c r="RRO80" s="2567"/>
      <c r="RRP80" s="2567"/>
      <c r="RRQ80" s="2567"/>
      <c r="RRR80" s="2567"/>
      <c r="RRS80" s="2567"/>
      <c r="RRT80" s="2567"/>
      <c r="RRU80" s="2567"/>
      <c r="RRV80" s="2567"/>
      <c r="RRW80" s="2567"/>
      <c r="RRX80" s="2567"/>
      <c r="RRY80" s="2567"/>
      <c r="RRZ80" s="2567"/>
      <c r="RSA80" s="2567"/>
      <c r="RSB80" s="2567"/>
      <c r="RSC80" s="2567"/>
      <c r="RSD80" s="2567"/>
      <c r="RSE80" s="2567"/>
      <c r="RSF80" s="2567"/>
      <c r="RSG80" s="2567"/>
      <c r="RSH80" s="2567"/>
      <c r="RSI80" s="2567"/>
      <c r="RSJ80" s="2567"/>
      <c r="RSK80" s="2567"/>
      <c r="RSL80" s="2567"/>
      <c r="RSM80" s="2567"/>
      <c r="RSN80" s="2567"/>
      <c r="RSO80" s="2567"/>
      <c r="RSP80" s="2567"/>
      <c r="RSQ80" s="2567"/>
      <c r="RSR80" s="2567"/>
      <c r="RSS80" s="2567"/>
      <c r="RST80" s="2567"/>
      <c r="RSU80" s="2567"/>
      <c r="RSV80" s="2567"/>
      <c r="RSW80" s="2567"/>
      <c r="RSX80" s="2567"/>
      <c r="RSY80" s="2567"/>
      <c r="RSZ80" s="2567"/>
      <c r="RTA80" s="2567"/>
      <c r="RTB80" s="2567"/>
      <c r="RTC80" s="2567"/>
      <c r="RTD80" s="2567"/>
      <c r="RTE80" s="2567"/>
      <c r="RTF80" s="2567"/>
      <c r="RTG80" s="2567"/>
      <c r="RTH80" s="2567"/>
      <c r="RTI80" s="2567"/>
      <c r="RTJ80" s="2567"/>
      <c r="RTK80" s="2567"/>
      <c r="RTL80" s="2567"/>
      <c r="RTM80" s="2567"/>
      <c r="RTN80" s="2567"/>
      <c r="RTO80" s="2567"/>
      <c r="RTP80" s="2567"/>
      <c r="RTQ80" s="2567"/>
      <c r="RTR80" s="2567"/>
      <c r="RTS80" s="2567"/>
      <c r="RTT80" s="2567"/>
      <c r="RTU80" s="2567"/>
      <c r="RTV80" s="2567"/>
      <c r="RTW80" s="2567"/>
      <c r="RTX80" s="2567"/>
      <c r="RTY80" s="2567"/>
      <c r="RTZ80" s="2567"/>
      <c r="RUA80" s="2567"/>
      <c r="RUB80" s="2567"/>
      <c r="RUC80" s="2567"/>
      <c r="RUD80" s="2567"/>
      <c r="RUE80" s="2567"/>
      <c r="RUF80" s="2567"/>
      <c r="RUG80" s="2567"/>
      <c r="RUH80" s="2567"/>
      <c r="RUI80" s="2567"/>
      <c r="RUJ80" s="2567"/>
      <c r="RUK80" s="2567"/>
      <c r="RUL80" s="2567"/>
      <c r="RUM80" s="2567"/>
      <c r="RUN80" s="2567"/>
      <c r="RUO80" s="2567"/>
      <c r="RUP80" s="2567"/>
      <c r="RUQ80" s="2567"/>
      <c r="RUR80" s="2567"/>
      <c r="RUS80" s="2567"/>
      <c r="RUT80" s="2567"/>
      <c r="RUU80" s="2567"/>
      <c r="RUV80" s="2567"/>
      <c r="RUW80" s="2567"/>
      <c r="RUX80" s="2567"/>
      <c r="RUY80" s="2567"/>
      <c r="RUZ80" s="2567"/>
      <c r="RVA80" s="2567"/>
      <c r="RVB80" s="2567"/>
      <c r="RVC80" s="2567"/>
      <c r="RVD80" s="2567"/>
      <c r="RVE80" s="2567"/>
      <c r="RVF80" s="2567"/>
      <c r="RVG80" s="2567"/>
      <c r="RVH80" s="2567"/>
      <c r="RVI80" s="2567"/>
      <c r="RVJ80" s="2567"/>
      <c r="RVK80" s="2567"/>
      <c r="RVL80" s="2567"/>
      <c r="RVM80" s="2567"/>
      <c r="RVN80" s="2567"/>
      <c r="RVO80" s="2567"/>
      <c r="RVP80" s="2567"/>
      <c r="RVQ80" s="2567"/>
      <c r="RVR80" s="2567"/>
      <c r="RVS80" s="2567"/>
      <c r="RVT80" s="2567"/>
      <c r="RVU80" s="2567"/>
      <c r="RVV80" s="2567"/>
      <c r="RVW80" s="2567"/>
      <c r="RVX80" s="2567"/>
      <c r="RVY80" s="2567"/>
      <c r="RVZ80" s="2567"/>
      <c r="RWA80" s="2567"/>
      <c r="RWB80" s="2567"/>
      <c r="RWC80" s="2567"/>
      <c r="RWD80" s="2567"/>
      <c r="RWE80" s="2567"/>
      <c r="RWF80" s="2567"/>
      <c r="RWG80" s="2567"/>
      <c r="RWH80" s="2567"/>
      <c r="RWI80" s="2567"/>
      <c r="RWJ80" s="2567"/>
      <c r="RWK80" s="2567"/>
      <c r="RWL80" s="2567"/>
      <c r="RWM80" s="2567"/>
      <c r="RWN80" s="2567"/>
      <c r="RWO80" s="2567"/>
      <c r="RWP80" s="2567"/>
      <c r="RWQ80" s="2567"/>
      <c r="RWR80" s="2567"/>
      <c r="RWS80" s="2567"/>
      <c r="RWT80" s="2567"/>
      <c r="RWU80" s="2567"/>
      <c r="RWV80" s="2567"/>
      <c r="RWW80" s="2567"/>
      <c r="RWX80" s="2567"/>
      <c r="RWY80" s="2567"/>
      <c r="RWZ80" s="2567"/>
      <c r="RXA80" s="2567"/>
      <c r="RXB80" s="2567"/>
      <c r="RXC80" s="2567"/>
      <c r="RXD80" s="2567"/>
      <c r="RXE80" s="2567"/>
      <c r="RXF80" s="2567"/>
      <c r="RXG80" s="2567"/>
      <c r="RXH80" s="2567"/>
      <c r="RXI80" s="2567"/>
      <c r="RXJ80" s="2567"/>
      <c r="RXK80" s="2567"/>
      <c r="RXL80" s="2567"/>
      <c r="RXM80" s="2567"/>
      <c r="RXN80" s="2567"/>
      <c r="RXO80" s="2567"/>
      <c r="RXP80" s="2567"/>
      <c r="RXQ80" s="2567"/>
      <c r="RXR80" s="2567"/>
      <c r="RXS80" s="2567"/>
      <c r="RXT80" s="2567"/>
      <c r="RXU80" s="2567"/>
      <c r="RXV80" s="2567"/>
      <c r="RXW80" s="2567"/>
      <c r="RXX80" s="2567"/>
      <c r="RXY80" s="2567"/>
      <c r="RXZ80" s="2567"/>
      <c r="RYA80" s="2567"/>
      <c r="RYB80" s="2567"/>
      <c r="RYC80" s="2567"/>
      <c r="RYD80" s="2567"/>
      <c r="RYE80" s="2567"/>
      <c r="RYF80" s="2567"/>
      <c r="RYG80" s="2567"/>
      <c r="RYH80" s="2567"/>
      <c r="RYI80" s="2567"/>
      <c r="RYJ80" s="2567"/>
      <c r="RYK80" s="2567"/>
      <c r="RYL80" s="2567"/>
      <c r="RYM80" s="2567"/>
      <c r="RYN80" s="2567"/>
      <c r="RYO80" s="2567"/>
      <c r="RYP80" s="2567"/>
      <c r="RYQ80" s="2567"/>
      <c r="RYR80" s="2567"/>
      <c r="RYS80" s="2567"/>
      <c r="RYT80" s="2567"/>
      <c r="RYU80" s="2567"/>
      <c r="RYV80" s="2567"/>
      <c r="RYW80" s="2567"/>
      <c r="RYX80" s="2567"/>
      <c r="RYY80" s="2567"/>
      <c r="RYZ80" s="2567"/>
      <c r="RZA80" s="2567"/>
      <c r="RZB80" s="2567"/>
      <c r="RZC80" s="2567"/>
      <c r="RZD80" s="2567"/>
      <c r="RZE80" s="2567"/>
      <c r="RZF80" s="2567"/>
      <c r="RZG80" s="2567"/>
      <c r="RZH80" s="2567"/>
      <c r="RZI80" s="2567"/>
      <c r="RZJ80" s="2567"/>
      <c r="RZK80" s="2567"/>
      <c r="RZL80" s="2567"/>
      <c r="RZM80" s="2567"/>
      <c r="RZN80" s="2567"/>
      <c r="RZO80" s="2567"/>
      <c r="RZP80" s="2567"/>
      <c r="RZQ80" s="2567"/>
      <c r="RZR80" s="2567"/>
      <c r="RZS80" s="2567"/>
      <c r="RZT80" s="2567"/>
      <c r="RZU80" s="2567"/>
      <c r="RZV80" s="2567"/>
      <c r="RZW80" s="2567"/>
      <c r="RZX80" s="2567"/>
      <c r="RZY80" s="2567"/>
      <c r="RZZ80" s="2567"/>
      <c r="SAA80" s="2567"/>
      <c r="SAB80" s="2567"/>
      <c r="SAC80" s="2567"/>
      <c r="SAD80" s="2567"/>
      <c r="SAE80" s="2567"/>
      <c r="SAF80" s="2567"/>
      <c r="SAG80" s="2567"/>
      <c r="SAH80" s="2567"/>
      <c r="SAI80" s="2567"/>
      <c r="SAJ80" s="2567"/>
      <c r="SAK80" s="2567"/>
      <c r="SAL80" s="2567"/>
      <c r="SAM80" s="2567"/>
      <c r="SAN80" s="2567"/>
      <c r="SAO80" s="2567"/>
      <c r="SAP80" s="2567"/>
      <c r="SAQ80" s="2567"/>
      <c r="SAR80" s="2567"/>
      <c r="SAS80" s="2567"/>
      <c r="SAT80" s="2567"/>
      <c r="SAU80" s="2567"/>
      <c r="SAV80" s="2567"/>
      <c r="SAW80" s="2567"/>
      <c r="SAX80" s="2567"/>
      <c r="SAY80" s="2567"/>
      <c r="SAZ80" s="2567"/>
      <c r="SBA80" s="2567"/>
      <c r="SBB80" s="2567"/>
      <c r="SBC80" s="2567"/>
      <c r="SBD80" s="2567"/>
      <c r="SBE80" s="2567"/>
      <c r="SBF80" s="2567"/>
      <c r="SBG80" s="2567"/>
      <c r="SBH80" s="2567"/>
      <c r="SBI80" s="2567"/>
      <c r="SBJ80" s="2567"/>
      <c r="SBK80" s="2567"/>
      <c r="SBL80" s="2567"/>
      <c r="SBM80" s="2567"/>
      <c r="SBN80" s="2567"/>
      <c r="SBO80" s="2567"/>
      <c r="SBP80" s="2567"/>
      <c r="SBQ80" s="2567"/>
      <c r="SBR80" s="2567"/>
      <c r="SBS80" s="2567"/>
      <c r="SBT80" s="2567"/>
      <c r="SBU80" s="2567"/>
      <c r="SBV80" s="2567"/>
      <c r="SBW80" s="2567"/>
      <c r="SBX80" s="2567"/>
      <c r="SBY80" s="2567"/>
      <c r="SBZ80" s="2567"/>
      <c r="SCA80" s="2567"/>
      <c r="SCB80" s="2567"/>
      <c r="SCC80" s="2567"/>
      <c r="SCD80" s="2567"/>
      <c r="SCE80" s="2567"/>
      <c r="SCF80" s="2567"/>
      <c r="SCG80" s="2567"/>
      <c r="SCH80" s="2567"/>
      <c r="SCI80" s="2567"/>
      <c r="SCJ80" s="2567"/>
      <c r="SCK80" s="2567"/>
      <c r="SCL80" s="2567"/>
      <c r="SCM80" s="2567"/>
      <c r="SCN80" s="2567"/>
      <c r="SCO80" s="2567"/>
      <c r="SCP80" s="2567"/>
      <c r="SCQ80" s="2567"/>
      <c r="SCR80" s="2567"/>
      <c r="SCS80" s="2567"/>
      <c r="SCT80" s="2567"/>
      <c r="SCU80" s="2567"/>
      <c r="SCV80" s="2567"/>
      <c r="SCW80" s="2567"/>
      <c r="SCX80" s="2567"/>
      <c r="SCY80" s="2567"/>
      <c r="SCZ80" s="2567"/>
      <c r="SDA80" s="2567"/>
      <c r="SDB80" s="2567"/>
      <c r="SDC80" s="2567"/>
      <c r="SDD80" s="2567"/>
      <c r="SDE80" s="2567"/>
      <c r="SDF80" s="2567"/>
      <c r="SDG80" s="2567"/>
      <c r="SDH80" s="2567"/>
      <c r="SDI80" s="2567"/>
      <c r="SDJ80" s="2567"/>
      <c r="SDK80" s="2567"/>
      <c r="SDL80" s="2567"/>
      <c r="SDM80" s="2567"/>
      <c r="SDN80" s="2567"/>
      <c r="SDO80" s="2567"/>
      <c r="SDP80" s="2567"/>
      <c r="SDQ80" s="2567"/>
      <c r="SDR80" s="2567"/>
      <c r="SDS80" s="2567"/>
      <c r="SDT80" s="2567"/>
      <c r="SDU80" s="2567"/>
      <c r="SDV80" s="2567"/>
      <c r="SDW80" s="2567"/>
      <c r="SDX80" s="2567"/>
      <c r="SDY80" s="2567"/>
      <c r="SDZ80" s="2567"/>
      <c r="SEA80" s="2567"/>
      <c r="SEB80" s="2567"/>
      <c r="SEC80" s="2567"/>
      <c r="SED80" s="2567"/>
      <c r="SEE80" s="2567"/>
      <c r="SEF80" s="2567"/>
      <c r="SEG80" s="2567"/>
      <c r="SEH80" s="2567"/>
      <c r="SEI80" s="2567"/>
      <c r="SEJ80" s="2567"/>
      <c r="SEK80" s="2567"/>
      <c r="SEL80" s="2567"/>
      <c r="SEM80" s="2567"/>
      <c r="SEN80" s="2567"/>
      <c r="SEO80" s="2567"/>
      <c r="SEP80" s="2567"/>
      <c r="SEQ80" s="2567"/>
      <c r="SER80" s="2567"/>
      <c r="SES80" s="2567"/>
      <c r="SET80" s="2567"/>
      <c r="SEU80" s="2567"/>
      <c r="SEV80" s="2567"/>
      <c r="SEW80" s="2567"/>
      <c r="SEX80" s="2567"/>
      <c r="SEY80" s="2567"/>
      <c r="SEZ80" s="2567"/>
      <c r="SFA80" s="2567"/>
      <c r="SFB80" s="2567"/>
      <c r="SFC80" s="2567"/>
      <c r="SFD80" s="2567"/>
      <c r="SFE80" s="2567"/>
      <c r="SFF80" s="2567"/>
      <c r="SFG80" s="2567"/>
      <c r="SFH80" s="2567"/>
      <c r="SFI80" s="2567"/>
      <c r="SFJ80" s="2567"/>
      <c r="SFK80" s="2567"/>
      <c r="SFL80" s="2567"/>
      <c r="SFM80" s="2567"/>
      <c r="SFN80" s="2567"/>
      <c r="SFO80" s="2567"/>
      <c r="SFP80" s="2567"/>
      <c r="SFQ80" s="2567"/>
      <c r="SFR80" s="2567"/>
      <c r="SFS80" s="2567"/>
      <c r="SFT80" s="2567"/>
      <c r="SFU80" s="2567"/>
      <c r="SFV80" s="2567"/>
      <c r="SFW80" s="2567"/>
      <c r="SFX80" s="2567"/>
      <c r="SFY80" s="2567"/>
      <c r="SFZ80" s="2567"/>
      <c r="SGA80" s="2567"/>
      <c r="SGB80" s="2567"/>
      <c r="SGC80" s="2567"/>
      <c r="SGD80" s="2567"/>
      <c r="SGE80" s="2567"/>
      <c r="SGF80" s="2567"/>
      <c r="SGG80" s="2567"/>
      <c r="SGH80" s="2567"/>
      <c r="SGI80" s="2567"/>
      <c r="SGJ80" s="2567"/>
      <c r="SGK80" s="2567"/>
      <c r="SGL80" s="2567"/>
      <c r="SGM80" s="2567"/>
      <c r="SGN80" s="2567"/>
      <c r="SGO80" s="2567"/>
      <c r="SGP80" s="2567"/>
      <c r="SGQ80" s="2567"/>
      <c r="SGR80" s="2567"/>
      <c r="SGS80" s="2567"/>
      <c r="SGT80" s="2567"/>
      <c r="SGU80" s="2567"/>
      <c r="SGV80" s="2567"/>
      <c r="SGW80" s="2567"/>
      <c r="SGX80" s="2567"/>
      <c r="SGY80" s="2567"/>
      <c r="SGZ80" s="2567"/>
      <c r="SHA80" s="2567"/>
      <c r="SHB80" s="2567"/>
      <c r="SHC80" s="2567"/>
      <c r="SHD80" s="2567"/>
      <c r="SHE80" s="2567"/>
      <c r="SHF80" s="2567"/>
      <c r="SHG80" s="2567"/>
      <c r="SHH80" s="2567"/>
      <c r="SHI80" s="2567"/>
      <c r="SHJ80" s="2567"/>
      <c r="SHK80" s="2567"/>
      <c r="SHL80" s="2567"/>
      <c r="SHM80" s="2567"/>
      <c r="SHN80" s="2567"/>
      <c r="SHO80" s="2567"/>
      <c r="SHP80" s="2567"/>
      <c r="SHQ80" s="2567"/>
      <c r="SHR80" s="2567"/>
      <c r="SHS80" s="2567"/>
      <c r="SHT80" s="2567"/>
      <c r="SHU80" s="2567"/>
      <c r="SHV80" s="2567"/>
      <c r="SHW80" s="2567"/>
      <c r="SHX80" s="2567"/>
      <c r="SHY80" s="2567"/>
      <c r="SHZ80" s="2567"/>
      <c r="SIA80" s="2567"/>
      <c r="SIB80" s="2567"/>
      <c r="SIC80" s="2567"/>
      <c r="SID80" s="2567"/>
      <c r="SIE80" s="2567"/>
      <c r="SIF80" s="2567"/>
      <c r="SIG80" s="2567"/>
      <c r="SIH80" s="2567"/>
      <c r="SII80" s="2567"/>
      <c r="SIJ80" s="2567"/>
      <c r="SIK80" s="2567"/>
      <c r="SIL80" s="2567"/>
      <c r="SIM80" s="2567"/>
      <c r="SIN80" s="2567"/>
      <c r="SIO80" s="2567"/>
      <c r="SIP80" s="2567"/>
      <c r="SIQ80" s="2567"/>
      <c r="SIR80" s="2567"/>
      <c r="SIS80" s="2567"/>
      <c r="SIT80" s="2567"/>
      <c r="SIU80" s="2567"/>
      <c r="SIV80" s="2567"/>
      <c r="SIW80" s="2567"/>
      <c r="SIX80" s="2567"/>
      <c r="SIY80" s="2567"/>
      <c r="SIZ80" s="2567"/>
      <c r="SJA80" s="2567"/>
      <c r="SJB80" s="2567"/>
      <c r="SJC80" s="2567"/>
      <c r="SJD80" s="2567"/>
      <c r="SJE80" s="2567"/>
      <c r="SJF80" s="2567"/>
      <c r="SJG80" s="2567"/>
      <c r="SJH80" s="2567"/>
      <c r="SJI80" s="2567"/>
      <c r="SJJ80" s="2567"/>
      <c r="SJK80" s="2567"/>
      <c r="SJL80" s="2567"/>
      <c r="SJM80" s="2567"/>
      <c r="SJN80" s="2567"/>
      <c r="SJO80" s="2567"/>
      <c r="SJP80" s="2567"/>
      <c r="SJQ80" s="2567"/>
      <c r="SJR80" s="2567"/>
      <c r="SJS80" s="2567"/>
      <c r="SJT80" s="2567"/>
      <c r="SJU80" s="2567"/>
      <c r="SJV80" s="2567"/>
      <c r="SJW80" s="2567"/>
      <c r="SJX80" s="2567"/>
      <c r="SJY80" s="2567"/>
      <c r="SJZ80" s="2567"/>
      <c r="SKA80" s="2567"/>
      <c r="SKB80" s="2567"/>
      <c r="SKC80" s="2567"/>
      <c r="SKD80" s="2567"/>
      <c r="SKE80" s="2567"/>
      <c r="SKF80" s="2567"/>
      <c r="SKG80" s="2567"/>
      <c r="SKH80" s="2567"/>
      <c r="SKI80" s="2567"/>
      <c r="SKJ80" s="2567"/>
      <c r="SKK80" s="2567"/>
      <c r="SKL80" s="2567"/>
      <c r="SKM80" s="2567"/>
      <c r="SKN80" s="2567"/>
      <c r="SKO80" s="2567"/>
      <c r="SKP80" s="2567"/>
      <c r="SKQ80" s="2567"/>
      <c r="SKR80" s="2567"/>
      <c r="SKS80" s="2567"/>
      <c r="SKT80" s="2567"/>
      <c r="SKU80" s="2567"/>
      <c r="SKV80" s="2567"/>
      <c r="SKW80" s="2567"/>
      <c r="SKX80" s="2567"/>
      <c r="SKY80" s="2567"/>
      <c r="SKZ80" s="2567"/>
      <c r="SLA80" s="2567"/>
      <c r="SLB80" s="2567"/>
      <c r="SLC80" s="2567"/>
      <c r="SLD80" s="2567"/>
      <c r="SLE80" s="2567"/>
      <c r="SLF80" s="2567"/>
      <c r="SLG80" s="2567"/>
      <c r="SLH80" s="2567"/>
      <c r="SLI80" s="2567"/>
      <c r="SLJ80" s="2567"/>
      <c r="SLK80" s="2567"/>
      <c r="SLL80" s="2567"/>
      <c r="SLM80" s="2567"/>
      <c r="SLN80" s="2567"/>
      <c r="SLO80" s="2567"/>
      <c r="SLP80" s="2567"/>
      <c r="SLQ80" s="2567"/>
      <c r="SLR80" s="2567"/>
      <c r="SLS80" s="2567"/>
      <c r="SLT80" s="2567"/>
      <c r="SLU80" s="2567"/>
      <c r="SLV80" s="2567"/>
      <c r="SLW80" s="2567"/>
      <c r="SLX80" s="2567"/>
      <c r="SLY80" s="2567"/>
      <c r="SLZ80" s="2567"/>
      <c r="SMA80" s="2567"/>
      <c r="SMB80" s="2567"/>
      <c r="SMC80" s="2567"/>
      <c r="SMD80" s="2567"/>
      <c r="SME80" s="2567"/>
      <c r="SMF80" s="2567"/>
      <c r="SMG80" s="2567"/>
      <c r="SMH80" s="2567"/>
      <c r="SMI80" s="2567"/>
      <c r="SMJ80" s="2567"/>
      <c r="SMK80" s="2567"/>
      <c r="SML80" s="2567"/>
      <c r="SMM80" s="2567"/>
      <c r="SMN80" s="2567"/>
      <c r="SMO80" s="2567"/>
      <c r="SMP80" s="2567"/>
      <c r="SMQ80" s="2567"/>
      <c r="SMR80" s="2567"/>
      <c r="SMS80" s="2567"/>
      <c r="SMT80" s="2567"/>
      <c r="SMU80" s="2567"/>
      <c r="SMV80" s="2567"/>
      <c r="SMW80" s="2567"/>
      <c r="SMX80" s="2567"/>
      <c r="SMY80" s="2567"/>
      <c r="SMZ80" s="2567"/>
      <c r="SNA80" s="2567"/>
      <c r="SNB80" s="2567"/>
      <c r="SNC80" s="2567"/>
      <c r="SND80" s="2567"/>
      <c r="SNE80" s="2567"/>
      <c r="SNF80" s="2567"/>
      <c r="SNG80" s="2567"/>
      <c r="SNH80" s="2567"/>
      <c r="SNI80" s="2567"/>
      <c r="SNJ80" s="2567"/>
      <c r="SNK80" s="2567"/>
      <c r="SNL80" s="2567"/>
      <c r="SNM80" s="2567"/>
      <c r="SNN80" s="2567"/>
      <c r="SNO80" s="2567"/>
      <c r="SNP80" s="2567"/>
      <c r="SNQ80" s="2567"/>
      <c r="SNR80" s="2567"/>
      <c r="SNS80" s="2567"/>
      <c r="SNT80" s="2567"/>
      <c r="SNU80" s="2567"/>
      <c r="SNV80" s="2567"/>
      <c r="SNW80" s="2567"/>
      <c r="SNX80" s="2567"/>
      <c r="SNY80" s="2567"/>
      <c r="SNZ80" s="2567"/>
      <c r="SOA80" s="2567"/>
      <c r="SOB80" s="2567"/>
      <c r="SOC80" s="2567"/>
      <c r="SOD80" s="2567"/>
      <c r="SOE80" s="2567"/>
      <c r="SOF80" s="2567"/>
      <c r="SOG80" s="2567"/>
      <c r="SOH80" s="2567"/>
      <c r="SOI80" s="2567"/>
      <c r="SOJ80" s="2567"/>
      <c r="SOK80" s="2567"/>
      <c r="SOL80" s="2567"/>
      <c r="SOM80" s="2567"/>
      <c r="SON80" s="2567"/>
      <c r="SOO80" s="2567"/>
      <c r="SOP80" s="2567"/>
      <c r="SOQ80" s="2567"/>
      <c r="SOR80" s="2567"/>
      <c r="SOS80" s="2567"/>
      <c r="SOT80" s="2567"/>
      <c r="SOU80" s="2567"/>
      <c r="SOV80" s="2567"/>
      <c r="SOW80" s="2567"/>
      <c r="SOX80" s="2567"/>
      <c r="SOY80" s="2567"/>
      <c r="SOZ80" s="2567"/>
      <c r="SPA80" s="2567"/>
      <c r="SPB80" s="2567"/>
      <c r="SPC80" s="2567"/>
      <c r="SPD80" s="2567"/>
      <c r="SPE80" s="2567"/>
      <c r="SPF80" s="2567"/>
      <c r="SPG80" s="2567"/>
      <c r="SPH80" s="2567"/>
      <c r="SPI80" s="2567"/>
      <c r="SPJ80" s="2567"/>
      <c r="SPK80" s="2567"/>
      <c r="SPL80" s="2567"/>
      <c r="SPM80" s="2567"/>
      <c r="SPN80" s="2567"/>
      <c r="SPO80" s="2567"/>
      <c r="SPP80" s="2567"/>
      <c r="SPQ80" s="2567"/>
      <c r="SPR80" s="2567"/>
      <c r="SPS80" s="2567"/>
      <c r="SPT80" s="2567"/>
      <c r="SPU80" s="2567"/>
      <c r="SPV80" s="2567"/>
      <c r="SPW80" s="2567"/>
      <c r="SPX80" s="2567"/>
      <c r="SPY80" s="2567"/>
      <c r="SPZ80" s="2567"/>
      <c r="SQA80" s="2567"/>
      <c r="SQB80" s="2567"/>
      <c r="SQC80" s="2567"/>
      <c r="SQD80" s="2567"/>
      <c r="SQE80" s="2567"/>
      <c r="SQF80" s="2567"/>
      <c r="SQG80" s="2567"/>
      <c r="SQH80" s="2567"/>
      <c r="SQI80" s="2567"/>
      <c r="SQJ80" s="2567"/>
      <c r="SQK80" s="2567"/>
      <c r="SQL80" s="2567"/>
      <c r="SQM80" s="2567"/>
      <c r="SQN80" s="2567"/>
      <c r="SQO80" s="2567"/>
      <c r="SQP80" s="2567"/>
      <c r="SQQ80" s="2567"/>
      <c r="SQR80" s="2567"/>
      <c r="SQS80" s="2567"/>
      <c r="SQT80" s="2567"/>
      <c r="SQU80" s="2567"/>
      <c r="SQV80" s="2567"/>
      <c r="SQW80" s="2567"/>
      <c r="SQX80" s="2567"/>
      <c r="SQY80" s="2567"/>
      <c r="SQZ80" s="2567"/>
      <c r="SRA80" s="2567"/>
      <c r="SRB80" s="2567"/>
      <c r="SRC80" s="2567"/>
      <c r="SRD80" s="2567"/>
      <c r="SRE80" s="2567"/>
      <c r="SRF80" s="2567"/>
      <c r="SRG80" s="2567"/>
      <c r="SRH80" s="2567"/>
      <c r="SRI80" s="2567"/>
      <c r="SRJ80" s="2567"/>
      <c r="SRK80" s="2567"/>
      <c r="SRL80" s="2567"/>
      <c r="SRM80" s="2567"/>
      <c r="SRN80" s="2567"/>
      <c r="SRO80" s="2567"/>
      <c r="SRP80" s="2567"/>
      <c r="SRQ80" s="2567"/>
      <c r="SRR80" s="2567"/>
      <c r="SRS80" s="2567"/>
      <c r="SRT80" s="2567"/>
      <c r="SRU80" s="2567"/>
      <c r="SRV80" s="2567"/>
      <c r="SRW80" s="2567"/>
      <c r="SRX80" s="2567"/>
      <c r="SRY80" s="2567"/>
      <c r="SRZ80" s="2567"/>
      <c r="SSA80" s="2567"/>
      <c r="SSB80" s="2567"/>
      <c r="SSC80" s="2567"/>
      <c r="SSD80" s="2567"/>
      <c r="SSE80" s="2567"/>
      <c r="SSF80" s="2567"/>
      <c r="SSG80" s="2567"/>
      <c r="SSH80" s="2567"/>
      <c r="SSI80" s="2567"/>
      <c r="SSJ80" s="2567"/>
      <c r="SSK80" s="2567"/>
      <c r="SSL80" s="2567"/>
      <c r="SSM80" s="2567"/>
      <c r="SSN80" s="2567"/>
      <c r="SSO80" s="2567"/>
      <c r="SSP80" s="2567"/>
      <c r="SSQ80" s="2567"/>
      <c r="SSR80" s="2567"/>
      <c r="SSS80" s="2567"/>
      <c r="SST80" s="2567"/>
      <c r="SSU80" s="2567"/>
      <c r="SSV80" s="2567"/>
      <c r="SSW80" s="2567"/>
      <c r="SSX80" s="2567"/>
      <c r="SSY80" s="2567"/>
      <c r="SSZ80" s="2567"/>
      <c r="STA80" s="2567"/>
      <c r="STB80" s="2567"/>
      <c r="STC80" s="2567"/>
      <c r="STD80" s="2567"/>
      <c r="STE80" s="2567"/>
      <c r="STF80" s="2567"/>
      <c r="STG80" s="2567"/>
      <c r="STH80" s="2567"/>
      <c r="STI80" s="2567"/>
      <c r="STJ80" s="2567"/>
      <c r="STK80" s="2567"/>
      <c r="STL80" s="2567"/>
      <c r="STM80" s="2567"/>
      <c r="STN80" s="2567"/>
      <c r="STO80" s="2567"/>
      <c r="STP80" s="2567"/>
      <c r="STQ80" s="2567"/>
      <c r="STR80" s="2567"/>
      <c r="STS80" s="2567"/>
      <c r="STT80" s="2567"/>
      <c r="STU80" s="2567"/>
      <c r="STV80" s="2567"/>
      <c r="STW80" s="2567"/>
      <c r="STX80" s="2567"/>
      <c r="STY80" s="2567"/>
      <c r="STZ80" s="2567"/>
      <c r="SUA80" s="2567"/>
      <c r="SUB80" s="2567"/>
      <c r="SUC80" s="2567"/>
      <c r="SUD80" s="2567"/>
      <c r="SUE80" s="2567"/>
      <c r="SUF80" s="2567"/>
      <c r="SUG80" s="2567"/>
      <c r="SUH80" s="2567"/>
      <c r="SUI80" s="2567"/>
      <c r="SUJ80" s="2567"/>
      <c r="SUK80" s="2567"/>
      <c r="SUL80" s="2567"/>
      <c r="SUM80" s="2567"/>
      <c r="SUN80" s="2567"/>
      <c r="SUO80" s="2567"/>
      <c r="SUP80" s="2567"/>
      <c r="SUQ80" s="2567"/>
      <c r="SUR80" s="2567"/>
      <c r="SUS80" s="2567"/>
      <c r="SUT80" s="2567"/>
      <c r="SUU80" s="2567"/>
      <c r="SUV80" s="2567"/>
      <c r="SUW80" s="2567"/>
      <c r="SUX80" s="2567"/>
      <c r="SUY80" s="2567"/>
      <c r="SUZ80" s="2567"/>
      <c r="SVA80" s="2567"/>
      <c r="SVB80" s="2567"/>
      <c r="SVC80" s="2567"/>
      <c r="SVD80" s="2567"/>
      <c r="SVE80" s="2567"/>
      <c r="SVF80" s="2567"/>
      <c r="SVG80" s="2567"/>
      <c r="SVH80" s="2567"/>
      <c r="SVI80" s="2567"/>
      <c r="SVJ80" s="2567"/>
      <c r="SVK80" s="2567"/>
      <c r="SVL80" s="2567"/>
      <c r="SVM80" s="2567"/>
      <c r="SVN80" s="2567"/>
      <c r="SVO80" s="2567"/>
      <c r="SVP80" s="2567"/>
      <c r="SVQ80" s="2567"/>
      <c r="SVR80" s="2567"/>
      <c r="SVS80" s="2567"/>
      <c r="SVT80" s="2567"/>
      <c r="SVU80" s="2567"/>
      <c r="SVV80" s="2567"/>
      <c r="SVW80" s="2567"/>
      <c r="SVX80" s="2567"/>
      <c r="SVY80" s="2567"/>
      <c r="SVZ80" s="2567"/>
      <c r="SWA80" s="2567"/>
      <c r="SWB80" s="2567"/>
      <c r="SWC80" s="2567"/>
      <c r="SWD80" s="2567"/>
      <c r="SWE80" s="2567"/>
      <c r="SWF80" s="2567"/>
      <c r="SWG80" s="2567"/>
      <c r="SWH80" s="2567"/>
      <c r="SWI80" s="2567"/>
      <c r="SWJ80" s="2567"/>
      <c r="SWK80" s="2567"/>
      <c r="SWL80" s="2567"/>
      <c r="SWM80" s="2567"/>
      <c r="SWN80" s="2567"/>
      <c r="SWO80" s="2567"/>
      <c r="SWP80" s="2567"/>
      <c r="SWQ80" s="2567"/>
      <c r="SWR80" s="2567"/>
      <c r="SWS80" s="2567"/>
      <c r="SWT80" s="2567"/>
      <c r="SWU80" s="2567"/>
      <c r="SWV80" s="2567"/>
      <c r="SWW80" s="2567"/>
      <c r="SWX80" s="2567"/>
      <c r="SWY80" s="2567"/>
      <c r="SWZ80" s="2567"/>
      <c r="SXA80" s="2567"/>
      <c r="SXB80" s="2567"/>
      <c r="SXC80" s="2567"/>
      <c r="SXD80" s="2567"/>
      <c r="SXE80" s="2567"/>
      <c r="SXF80" s="2567"/>
      <c r="SXG80" s="2567"/>
      <c r="SXH80" s="2567"/>
      <c r="SXI80" s="2567"/>
      <c r="SXJ80" s="2567"/>
      <c r="SXK80" s="2567"/>
      <c r="SXL80" s="2567"/>
      <c r="SXM80" s="2567"/>
      <c r="SXN80" s="2567"/>
      <c r="SXO80" s="2567"/>
      <c r="SXP80" s="2567"/>
      <c r="SXQ80" s="2567"/>
      <c r="SXR80" s="2567"/>
      <c r="SXS80" s="2567"/>
      <c r="SXT80" s="2567"/>
      <c r="SXU80" s="2567"/>
      <c r="SXV80" s="2567"/>
      <c r="SXW80" s="2567"/>
      <c r="SXX80" s="2567"/>
      <c r="SXY80" s="2567"/>
      <c r="SXZ80" s="2567"/>
      <c r="SYA80" s="2567"/>
      <c r="SYB80" s="2567"/>
      <c r="SYC80" s="2567"/>
      <c r="SYD80" s="2567"/>
      <c r="SYE80" s="2567"/>
      <c r="SYF80" s="2567"/>
      <c r="SYG80" s="2567"/>
      <c r="SYH80" s="2567"/>
      <c r="SYI80" s="2567"/>
      <c r="SYJ80" s="2567"/>
      <c r="SYK80" s="2567"/>
      <c r="SYL80" s="2567"/>
      <c r="SYM80" s="2567"/>
      <c r="SYN80" s="2567"/>
      <c r="SYO80" s="2567"/>
      <c r="SYP80" s="2567"/>
      <c r="SYQ80" s="2567"/>
      <c r="SYR80" s="2567"/>
      <c r="SYS80" s="2567"/>
      <c r="SYT80" s="2567"/>
      <c r="SYU80" s="2567"/>
      <c r="SYV80" s="2567"/>
      <c r="SYW80" s="2567"/>
      <c r="SYX80" s="2567"/>
      <c r="SYY80" s="2567"/>
      <c r="SYZ80" s="2567"/>
      <c r="SZA80" s="2567"/>
      <c r="SZB80" s="2567"/>
      <c r="SZC80" s="2567"/>
      <c r="SZD80" s="2567"/>
      <c r="SZE80" s="2567"/>
      <c r="SZF80" s="2567"/>
      <c r="SZG80" s="2567"/>
      <c r="SZH80" s="2567"/>
      <c r="SZI80" s="2567"/>
      <c r="SZJ80" s="2567"/>
      <c r="SZK80" s="2567"/>
      <c r="SZL80" s="2567"/>
      <c r="SZM80" s="2567"/>
      <c r="SZN80" s="2567"/>
      <c r="SZO80" s="2567"/>
      <c r="SZP80" s="2567"/>
      <c r="SZQ80" s="2567"/>
      <c r="SZR80" s="2567"/>
      <c r="SZS80" s="2567"/>
      <c r="SZT80" s="2567"/>
      <c r="SZU80" s="2567"/>
      <c r="SZV80" s="2567"/>
      <c r="SZW80" s="2567"/>
      <c r="SZX80" s="2567"/>
      <c r="SZY80" s="2567"/>
      <c r="SZZ80" s="2567"/>
      <c r="TAA80" s="2567"/>
      <c r="TAB80" s="2567"/>
      <c r="TAC80" s="2567"/>
      <c r="TAD80" s="2567"/>
      <c r="TAE80" s="2567"/>
      <c r="TAF80" s="2567"/>
      <c r="TAG80" s="2567"/>
      <c r="TAH80" s="2567"/>
      <c r="TAI80" s="2567"/>
      <c r="TAJ80" s="2567"/>
      <c r="TAK80" s="2567"/>
      <c r="TAL80" s="2567"/>
      <c r="TAM80" s="2567"/>
      <c r="TAN80" s="2567"/>
      <c r="TAO80" s="2567"/>
      <c r="TAP80" s="2567"/>
      <c r="TAQ80" s="2567"/>
      <c r="TAR80" s="2567"/>
      <c r="TAS80" s="2567"/>
      <c r="TAT80" s="2567"/>
      <c r="TAU80" s="2567"/>
      <c r="TAV80" s="2567"/>
      <c r="TAW80" s="2567"/>
      <c r="TAX80" s="2567"/>
      <c r="TAY80" s="2567"/>
      <c r="TAZ80" s="2567"/>
      <c r="TBA80" s="2567"/>
      <c r="TBB80" s="2567"/>
      <c r="TBC80" s="2567"/>
      <c r="TBD80" s="2567"/>
      <c r="TBE80" s="2567"/>
      <c r="TBF80" s="2567"/>
      <c r="TBG80" s="2567"/>
      <c r="TBH80" s="2567"/>
      <c r="TBI80" s="2567"/>
      <c r="TBJ80" s="2567"/>
      <c r="TBK80" s="2567"/>
      <c r="TBL80" s="2567"/>
      <c r="TBM80" s="2567"/>
      <c r="TBN80" s="2567"/>
      <c r="TBO80" s="2567"/>
      <c r="TBP80" s="2567"/>
      <c r="TBQ80" s="2567"/>
      <c r="TBR80" s="2567"/>
      <c r="TBS80" s="2567"/>
      <c r="TBT80" s="2567"/>
      <c r="TBU80" s="2567"/>
      <c r="TBV80" s="2567"/>
      <c r="TBW80" s="2567"/>
      <c r="TBX80" s="2567"/>
      <c r="TBY80" s="2567"/>
      <c r="TBZ80" s="2567"/>
      <c r="TCA80" s="2567"/>
      <c r="TCB80" s="2567"/>
      <c r="TCC80" s="2567"/>
      <c r="TCD80" s="2567"/>
      <c r="TCE80" s="2567"/>
      <c r="TCF80" s="2567"/>
      <c r="TCG80" s="2567"/>
      <c r="TCH80" s="2567"/>
      <c r="TCI80" s="2567"/>
      <c r="TCJ80" s="2567"/>
      <c r="TCK80" s="2567"/>
      <c r="TCL80" s="2567"/>
      <c r="TCM80" s="2567"/>
      <c r="TCN80" s="2567"/>
      <c r="TCO80" s="2567"/>
      <c r="TCP80" s="2567"/>
      <c r="TCQ80" s="2567"/>
      <c r="TCR80" s="2567"/>
      <c r="TCS80" s="2567"/>
      <c r="TCT80" s="2567"/>
      <c r="TCU80" s="2567"/>
      <c r="TCV80" s="2567"/>
      <c r="TCW80" s="2567"/>
      <c r="TCX80" s="2567"/>
      <c r="TCY80" s="2567"/>
      <c r="TCZ80" s="2567"/>
      <c r="TDA80" s="2567"/>
      <c r="TDB80" s="2567"/>
      <c r="TDC80" s="2567"/>
      <c r="TDD80" s="2567"/>
      <c r="TDE80" s="2567"/>
      <c r="TDF80" s="2567"/>
      <c r="TDG80" s="2567"/>
      <c r="TDH80" s="2567"/>
      <c r="TDI80" s="2567"/>
      <c r="TDJ80" s="2567"/>
      <c r="TDK80" s="2567"/>
      <c r="TDL80" s="2567"/>
      <c r="TDM80" s="2567"/>
      <c r="TDN80" s="2567"/>
      <c r="TDO80" s="2567"/>
      <c r="TDP80" s="2567"/>
      <c r="TDQ80" s="2567"/>
      <c r="TDR80" s="2567"/>
      <c r="TDS80" s="2567"/>
      <c r="TDT80" s="2567"/>
      <c r="TDU80" s="2567"/>
      <c r="TDV80" s="2567"/>
      <c r="TDW80" s="2567"/>
      <c r="TDX80" s="2567"/>
      <c r="TDY80" s="2567"/>
      <c r="TDZ80" s="2567"/>
      <c r="TEA80" s="2567"/>
      <c r="TEB80" s="2567"/>
      <c r="TEC80" s="2567"/>
      <c r="TED80" s="2567"/>
      <c r="TEE80" s="2567"/>
      <c r="TEF80" s="2567"/>
      <c r="TEG80" s="2567"/>
      <c r="TEH80" s="2567"/>
      <c r="TEI80" s="2567"/>
      <c r="TEJ80" s="2567"/>
      <c r="TEK80" s="2567"/>
      <c r="TEL80" s="2567"/>
      <c r="TEM80" s="2567"/>
      <c r="TEN80" s="2567"/>
      <c r="TEO80" s="2567"/>
      <c r="TEP80" s="2567"/>
      <c r="TEQ80" s="2567"/>
      <c r="TER80" s="2567"/>
      <c r="TES80" s="2567"/>
      <c r="TET80" s="2567"/>
      <c r="TEU80" s="2567"/>
      <c r="TEV80" s="2567"/>
      <c r="TEW80" s="2567"/>
      <c r="TEX80" s="2567"/>
      <c r="TEY80" s="2567"/>
      <c r="TEZ80" s="2567"/>
      <c r="TFA80" s="2567"/>
      <c r="TFB80" s="2567"/>
      <c r="TFC80" s="2567"/>
      <c r="TFD80" s="2567"/>
      <c r="TFE80" s="2567"/>
      <c r="TFF80" s="2567"/>
      <c r="TFG80" s="2567"/>
      <c r="TFH80" s="2567"/>
      <c r="TFI80" s="2567"/>
      <c r="TFJ80" s="2567"/>
      <c r="TFK80" s="2567"/>
      <c r="TFL80" s="2567"/>
      <c r="TFM80" s="2567"/>
      <c r="TFN80" s="2567"/>
      <c r="TFO80" s="2567"/>
      <c r="TFP80" s="2567"/>
      <c r="TFQ80" s="2567"/>
      <c r="TFR80" s="2567"/>
      <c r="TFS80" s="2567"/>
      <c r="TFT80" s="2567"/>
      <c r="TFU80" s="2567"/>
      <c r="TFV80" s="2567"/>
      <c r="TFW80" s="2567"/>
      <c r="TFX80" s="2567"/>
      <c r="TFY80" s="2567"/>
      <c r="TFZ80" s="2567"/>
      <c r="TGA80" s="2567"/>
      <c r="TGB80" s="2567"/>
      <c r="TGC80" s="2567"/>
      <c r="TGD80" s="2567"/>
      <c r="TGE80" s="2567"/>
      <c r="TGF80" s="2567"/>
      <c r="TGG80" s="2567"/>
      <c r="TGH80" s="2567"/>
      <c r="TGI80" s="2567"/>
      <c r="TGJ80" s="2567"/>
      <c r="TGK80" s="2567"/>
      <c r="TGL80" s="2567"/>
      <c r="TGM80" s="2567"/>
      <c r="TGN80" s="2567"/>
      <c r="TGO80" s="2567"/>
      <c r="TGP80" s="2567"/>
      <c r="TGQ80" s="2567"/>
      <c r="TGR80" s="2567"/>
      <c r="TGS80" s="2567"/>
      <c r="TGT80" s="2567"/>
      <c r="TGU80" s="2567"/>
      <c r="TGV80" s="2567"/>
      <c r="TGW80" s="2567"/>
      <c r="TGX80" s="2567"/>
      <c r="TGY80" s="2567"/>
      <c r="TGZ80" s="2567"/>
      <c r="THA80" s="2567"/>
      <c r="THB80" s="2567"/>
      <c r="THC80" s="2567"/>
      <c r="THD80" s="2567"/>
      <c r="THE80" s="2567"/>
      <c r="THF80" s="2567"/>
      <c r="THG80" s="2567"/>
      <c r="THH80" s="2567"/>
      <c r="THI80" s="2567"/>
      <c r="THJ80" s="2567"/>
      <c r="THK80" s="2567"/>
      <c r="THL80" s="2567"/>
      <c r="THM80" s="2567"/>
      <c r="THN80" s="2567"/>
      <c r="THO80" s="2567"/>
      <c r="THP80" s="2567"/>
      <c r="THQ80" s="2567"/>
      <c r="THR80" s="2567"/>
      <c r="THS80" s="2567"/>
      <c r="THT80" s="2567"/>
      <c r="THU80" s="2567"/>
      <c r="THV80" s="2567"/>
      <c r="THW80" s="2567"/>
      <c r="THX80" s="2567"/>
      <c r="THY80" s="2567"/>
      <c r="THZ80" s="2567"/>
      <c r="TIA80" s="2567"/>
      <c r="TIB80" s="2567"/>
      <c r="TIC80" s="2567"/>
      <c r="TID80" s="2567"/>
      <c r="TIE80" s="2567"/>
      <c r="TIF80" s="2567"/>
      <c r="TIG80" s="2567"/>
      <c r="TIH80" s="2567"/>
      <c r="TII80" s="2567"/>
      <c r="TIJ80" s="2567"/>
      <c r="TIK80" s="2567"/>
      <c r="TIL80" s="2567"/>
      <c r="TIM80" s="2567"/>
      <c r="TIN80" s="2567"/>
      <c r="TIO80" s="2567"/>
      <c r="TIP80" s="2567"/>
      <c r="TIQ80" s="2567"/>
      <c r="TIR80" s="2567"/>
      <c r="TIS80" s="2567"/>
      <c r="TIT80" s="2567"/>
      <c r="TIU80" s="2567"/>
      <c r="TIV80" s="2567"/>
      <c r="TIW80" s="2567"/>
      <c r="TIX80" s="2567"/>
      <c r="TIY80" s="2567"/>
      <c r="TIZ80" s="2567"/>
      <c r="TJA80" s="2567"/>
      <c r="TJB80" s="2567"/>
      <c r="TJC80" s="2567"/>
      <c r="TJD80" s="2567"/>
      <c r="TJE80" s="2567"/>
      <c r="TJF80" s="2567"/>
      <c r="TJG80" s="2567"/>
      <c r="TJH80" s="2567"/>
      <c r="TJI80" s="2567"/>
      <c r="TJJ80" s="2567"/>
      <c r="TJK80" s="2567"/>
      <c r="TJL80" s="2567"/>
      <c r="TJM80" s="2567"/>
      <c r="TJN80" s="2567"/>
      <c r="TJO80" s="2567"/>
      <c r="TJP80" s="2567"/>
      <c r="TJQ80" s="2567"/>
      <c r="TJR80" s="2567"/>
      <c r="TJS80" s="2567"/>
      <c r="TJT80" s="2567"/>
      <c r="TJU80" s="2567"/>
      <c r="TJV80" s="2567"/>
      <c r="TJW80" s="2567"/>
      <c r="TJX80" s="2567"/>
      <c r="TJY80" s="2567"/>
      <c r="TJZ80" s="2567"/>
      <c r="TKA80" s="2567"/>
      <c r="TKB80" s="2567"/>
      <c r="TKC80" s="2567"/>
      <c r="TKD80" s="2567"/>
      <c r="TKE80" s="2567"/>
      <c r="TKF80" s="2567"/>
      <c r="TKG80" s="2567"/>
      <c r="TKH80" s="2567"/>
      <c r="TKI80" s="2567"/>
      <c r="TKJ80" s="2567"/>
      <c r="TKK80" s="2567"/>
      <c r="TKL80" s="2567"/>
      <c r="TKM80" s="2567"/>
      <c r="TKN80" s="2567"/>
      <c r="TKO80" s="2567"/>
      <c r="TKP80" s="2567"/>
      <c r="TKQ80" s="2567"/>
      <c r="TKR80" s="2567"/>
      <c r="TKS80" s="2567"/>
      <c r="TKT80" s="2567"/>
      <c r="TKU80" s="2567"/>
      <c r="TKV80" s="2567"/>
      <c r="TKW80" s="2567"/>
      <c r="TKX80" s="2567"/>
      <c r="TKY80" s="2567"/>
      <c r="TKZ80" s="2567"/>
      <c r="TLA80" s="2567"/>
      <c r="TLB80" s="2567"/>
      <c r="TLC80" s="2567"/>
      <c r="TLD80" s="2567"/>
      <c r="TLE80" s="2567"/>
      <c r="TLF80" s="2567"/>
      <c r="TLG80" s="2567"/>
      <c r="TLH80" s="2567"/>
      <c r="TLI80" s="2567"/>
      <c r="TLJ80" s="2567"/>
      <c r="TLK80" s="2567"/>
      <c r="TLL80" s="2567"/>
      <c r="TLM80" s="2567"/>
      <c r="TLN80" s="2567"/>
      <c r="TLO80" s="2567"/>
      <c r="TLP80" s="2567"/>
      <c r="TLQ80" s="2567"/>
      <c r="TLR80" s="2567"/>
      <c r="TLS80" s="2567"/>
      <c r="TLT80" s="2567"/>
      <c r="TLU80" s="2567"/>
      <c r="TLV80" s="2567"/>
      <c r="TLW80" s="2567"/>
      <c r="TLX80" s="2567"/>
      <c r="TLY80" s="2567"/>
      <c r="TLZ80" s="2567"/>
      <c r="TMA80" s="2567"/>
      <c r="TMB80" s="2567"/>
      <c r="TMC80" s="2567"/>
      <c r="TMD80" s="2567"/>
      <c r="TME80" s="2567"/>
      <c r="TMF80" s="2567"/>
      <c r="TMG80" s="2567"/>
      <c r="TMH80" s="2567"/>
      <c r="TMI80" s="2567"/>
      <c r="TMJ80" s="2567"/>
      <c r="TMK80" s="2567"/>
      <c r="TML80" s="2567"/>
      <c r="TMM80" s="2567"/>
      <c r="TMN80" s="2567"/>
      <c r="TMO80" s="2567"/>
      <c r="TMP80" s="2567"/>
      <c r="TMQ80" s="2567"/>
      <c r="TMR80" s="2567"/>
      <c r="TMS80" s="2567"/>
      <c r="TMT80" s="2567"/>
      <c r="TMU80" s="2567"/>
      <c r="TMV80" s="2567"/>
      <c r="TMW80" s="2567"/>
      <c r="TMX80" s="2567"/>
      <c r="TMY80" s="2567"/>
      <c r="TMZ80" s="2567"/>
      <c r="TNA80" s="2567"/>
      <c r="TNB80" s="2567"/>
      <c r="TNC80" s="2567"/>
      <c r="TND80" s="2567"/>
      <c r="TNE80" s="2567"/>
      <c r="TNF80" s="2567"/>
      <c r="TNG80" s="2567"/>
      <c r="TNH80" s="2567"/>
      <c r="TNI80" s="2567"/>
      <c r="TNJ80" s="2567"/>
      <c r="TNK80" s="2567"/>
      <c r="TNL80" s="2567"/>
      <c r="TNM80" s="2567"/>
      <c r="TNN80" s="2567"/>
      <c r="TNO80" s="2567"/>
      <c r="TNP80" s="2567"/>
      <c r="TNQ80" s="2567"/>
      <c r="TNR80" s="2567"/>
      <c r="TNS80" s="2567"/>
      <c r="TNT80" s="2567"/>
      <c r="TNU80" s="2567"/>
      <c r="TNV80" s="2567"/>
      <c r="TNW80" s="2567"/>
      <c r="TNX80" s="2567"/>
      <c r="TNY80" s="2567"/>
      <c r="TNZ80" s="2567"/>
      <c r="TOA80" s="2567"/>
      <c r="TOB80" s="2567"/>
      <c r="TOC80" s="2567"/>
      <c r="TOD80" s="2567"/>
      <c r="TOE80" s="2567"/>
      <c r="TOF80" s="2567"/>
      <c r="TOG80" s="2567"/>
      <c r="TOH80" s="2567"/>
      <c r="TOI80" s="2567"/>
      <c r="TOJ80" s="2567"/>
      <c r="TOK80" s="2567"/>
      <c r="TOL80" s="2567"/>
      <c r="TOM80" s="2567"/>
      <c r="TON80" s="2567"/>
      <c r="TOO80" s="2567"/>
      <c r="TOP80" s="2567"/>
      <c r="TOQ80" s="2567"/>
      <c r="TOR80" s="2567"/>
      <c r="TOS80" s="2567"/>
      <c r="TOT80" s="2567"/>
      <c r="TOU80" s="2567"/>
      <c r="TOV80" s="2567"/>
      <c r="TOW80" s="2567"/>
      <c r="TOX80" s="2567"/>
      <c r="TOY80" s="2567"/>
      <c r="TOZ80" s="2567"/>
      <c r="TPA80" s="2567"/>
      <c r="TPB80" s="2567"/>
      <c r="TPC80" s="2567"/>
      <c r="TPD80" s="2567"/>
      <c r="TPE80" s="2567"/>
      <c r="TPF80" s="2567"/>
      <c r="TPG80" s="2567"/>
      <c r="TPH80" s="2567"/>
      <c r="TPI80" s="2567"/>
      <c r="TPJ80" s="2567"/>
      <c r="TPK80" s="2567"/>
      <c r="TPL80" s="2567"/>
      <c r="TPM80" s="2567"/>
      <c r="TPN80" s="2567"/>
      <c r="TPO80" s="2567"/>
      <c r="TPP80" s="2567"/>
      <c r="TPQ80" s="2567"/>
      <c r="TPR80" s="2567"/>
      <c r="TPS80" s="2567"/>
      <c r="TPT80" s="2567"/>
      <c r="TPU80" s="2567"/>
      <c r="TPV80" s="2567"/>
      <c r="TPW80" s="2567"/>
      <c r="TPX80" s="2567"/>
      <c r="TPY80" s="2567"/>
      <c r="TPZ80" s="2567"/>
      <c r="TQA80" s="2567"/>
      <c r="TQB80" s="2567"/>
      <c r="TQC80" s="2567"/>
      <c r="TQD80" s="2567"/>
      <c r="TQE80" s="2567"/>
      <c r="TQF80" s="2567"/>
      <c r="TQG80" s="2567"/>
      <c r="TQH80" s="2567"/>
      <c r="TQI80" s="2567"/>
      <c r="TQJ80" s="2567"/>
      <c r="TQK80" s="2567"/>
      <c r="TQL80" s="2567"/>
      <c r="TQM80" s="2567"/>
      <c r="TQN80" s="2567"/>
      <c r="TQO80" s="2567"/>
      <c r="TQP80" s="2567"/>
      <c r="TQQ80" s="2567"/>
      <c r="TQR80" s="2567"/>
      <c r="TQS80" s="2567"/>
      <c r="TQT80" s="2567"/>
      <c r="TQU80" s="2567"/>
      <c r="TQV80" s="2567"/>
      <c r="TQW80" s="2567"/>
      <c r="TQX80" s="2567"/>
      <c r="TQY80" s="2567"/>
      <c r="TQZ80" s="2567"/>
      <c r="TRA80" s="2567"/>
      <c r="TRB80" s="2567"/>
      <c r="TRC80" s="2567"/>
      <c r="TRD80" s="2567"/>
      <c r="TRE80" s="2567"/>
      <c r="TRF80" s="2567"/>
      <c r="TRG80" s="2567"/>
      <c r="TRH80" s="2567"/>
      <c r="TRI80" s="2567"/>
      <c r="TRJ80" s="2567"/>
      <c r="TRK80" s="2567"/>
      <c r="TRL80" s="2567"/>
      <c r="TRM80" s="2567"/>
      <c r="TRN80" s="2567"/>
      <c r="TRO80" s="2567"/>
      <c r="TRP80" s="2567"/>
      <c r="TRQ80" s="2567"/>
      <c r="TRR80" s="2567"/>
      <c r="TRS80" s="2567"/>
      <c r="TRT80" s="2567"/>
      <c r="TRU80" s="2567"/>
      <c r="TRV80" s="2567"/>
      <c r="TRW80" s="2567"/>
      <c r="TRX80" s="2567"/>
      <c r="TRY80" s="2567"/>
      <c r="TRZ80" s="2567"/>
      <c r="TSA80" s="2567"/>
      <c r="TSB80" s="2567"/>
      <c r="TSC80" s="2567"/>
      <c r="TSD80" s="2567"/>
      <c r="TSE80" s="2567"/>
      <c r="TSF80" s="2567"/>
      <c r="TSG80" s="2567"/>
      <c r="TSH80" s="2567"/>
      <c r="TSI80" s="2567"/>
      <c r="TSJ80" s="2567"/>
      <c r="TSK80" s="2567"/>
      <c r="TSL80" s="2567"/>
      <c r="TSM80" s="2567"/>
      <c r="TSN80" s="2567"/>
      <c r="TSO80" s="2567"/>
      <c r="TSP80" s="2567"/>
      <c r="TSQ80" s="2567"/>
      <c r="TSR80" s="2567"/>
      <c r="TSS80" s="2567"/>
      <c r="TST80" s="2567"/>
      <c r="TSU80" s="2567"/>
      <c r="TSV80" s="2567"/>
      <c r="TSW80" s="2567"/>
      <c r="TSX80" s="2567"/>
      <c r="TSY80" s="2567"/>
      <c r="TSZ80" s="2567"/>
      <c r="TTA80" s="2567"/>
      <c r="TTB80" s="2567"/>
      <c r="TTC80" s="2567"/>
      <c r="TTD80" s="2567"/>
      <c r="TTE80" s="2567"/>
      <c r="TTF80" s="2567"/>
      <c r="TTG80" s="2567"/>
      <c r="TTH80" s="2567"/>
      <c r="TTI80" s="2567"/>
      <c r="TTJ80" s="2567"/>
      <c r="TTK80" s="2567"/>
      <c r="TTL80" s="2567"/>
      <c r="TTM80" s="2567"/>
      <c r="TTN80" s="2567"/>
      <c r="TTO80" s="2567"/>
      <c r="TTP80" s="2567"/>
      <c r="TTQ80" s="2567"/>
      <c r="TTR80" s="2567"/>
      <c r="TTS80" s="2567"/>
      <c r="TTT80" s="2567"/>
      <c r="TTU80" s="2567"/>
      <c r="TTV80" s="2567"/>
      <c r="TTW80" s="2567"/>
      <c r="TTX80" s="2567"/>
      <c r="TTY80" s="2567"/>
      <c r="TTZ80" s="2567"/>
      <c r="TUA80" s="2567"/>
      <c r="TUB80" s="2567"/>
      <c r="TUC80" s="2567"/>
      <c r="TUD80" s="2567"/>
      <c r="TUE80" s="2567"/>
      <c r="TUF80" s="2567"/>
      <c r="TUG80" s="2567"/>
      <c r="TUH80" s="2567"/>
      <c r="TUI80" s="2567"/>
      <c r="TUJ80" s="2567"/>
      <c r="TUK80" s="2567"/>
      <c r="TUL80" s="2567"/>
      <c r="TUM80" s="2567"/>
      <c r="TUN80" s="2567"/>
      <c r="TUO80" s="2567"/>
      <c r="TUP80" s="2567"/>
      <c r="TUQ80" s="2567"/>
      <c r="TUR80" s="2567"/>
      <c r="TUS80" s="2567"/>
      <c r="TUT80" s="2567"/>
      <c r="TUU80" s="2567"/>
      <c r="TUV80" s="2567"/>
      <c r="TUW80" s="2567"/>
      <c r="TUX80" s="2567"/>
      <c r="TUY80" s="2567"/>
      <c r="TUZ80" s="2567"/>
      <c r="TVA80" s="2567"/>
      <c r="TVB80" s="2567"/>
      <c r="TVC80" s="2567"/>
      <c r="TVD80" s="2567"/>
      <c r="TVE80" s="2567"/>
      <c r="TVF80" s="2567"/>
      <c r="TVG80" s="2567"/>
      <c r="TVH80" s="2567"/>
      <c r="TVI80" s="2567"/>
      <c r="TVJ80" s="2567"/>
      <c r="TVK80" s="2567"/>
      <c r="TVL80" s="2567"/>
      <c r="TVM80" s="2567"/>
      <c r="TVN80" s="2567"/>
      <c r="TVO80" s="2567"/>
      <c r="TVP80" s="2567"/>
      <c r="TVQ80" s="2567"/>
      <c r="TVR80" s="2567"/>
      <c r="TVS80" s="2567"/>
      <c r="TVT80" s="2567"/>
      <c r="TVU80" s="2567"/>
      <c r="TVV80" s="2567"/>
      <c r="TVW80" s="2567"/>
      <c r="TVX80" s="2567"/>
      <c r="TVY80" s="2567"/>
      <c r="TVZ80" s="2567"/>
      <c r="TWA80" s="2567"/>
      <c r="TWB80" s="2567"/>
      <c r="TWC80" s="2567"/>
      <c r="TWD80" s="2567"/>
      <c r="TWE80" s="2567"/>
      <c r="TWF80" s="2567"/>
      <c r="TWG80" s="2567"/>
      <c r="TWH80" s="2567"/>
      <c r="TWI80" s="2567"/>
      <c r="TWJ80" s="2567"/>
      <c r="TWK80" s="2567"/>
      <c r="TWL80" s="2567"/>
      <c r="TWM80" s="2567"/>
      <c r="TWN80" s="2567"/>
      <c r="TWO80" s="2567"/>
      <c r="TWP80" s="2567"/>
      <c r="TWQ80" s="2567"/>
      <c r="TWR80" s="2567"/>
      <c r="TWS80" s="2567"/>
      <c r="TWT80" s="2567"/>
      <c r="TWU80" s="2567"/>
      <c r="TWV80" s="2567"/>
      <c r="TWW80" s="2567"/>
      <c r="TWX80" s="2567"/>
      <c r="TWY80" s="2567"/>
      <c r="TWZ80" s="2567"/>
      <c r="TXA80" s="2567"/>
      <c r="TXB80" s="2567"/>
      <c r="TXC80" s="2567"/>
      <c r="TXD80" s="2567"/>
      <c r="TXE80" s="2567"/>
      <c r="TXF80" s="2567"/>
      <c r="TXG80" s="2567"/>
      <c r="TXH80" s="2567"/>
      <c r="TXI80" s="2567"/>
      <c r="TXJ80" s="2567"/>
      <c r="TXK80" s="2567"/>
      <c r="TXL80" s="2567"/>
      <c r="TXM80" s="2567"/>
      <c r="TXN80" s="2567"/>
      <c r="TXO80" s="2567"/>
      <c r="TXP80" s="2567"/>
      <c r="TXQ80" s="2567"/>
      <c r="TXR80" s="2567"/>
      <c r="TXS80" s="2567"/>
      <c r="TXT80" s="2567"/>
      <c r="TXU80" s="2567"/>
      <c r="TXV80" s="2567"/>
      <c r="TXW80" s="2567"/>
      <c r="TXX80" s="2567"/>
      <c r="TXY80" s="2567"/>
      <c r="TXZ80" s="2567"/>
      <c r="TYA80" s="2567"/>
      <c r="TYB80" s="2567"/>
      <c r="TYC80" s="2567"/>
      <c r="TYD80" s="2567"/>
      <c r="TYE80" s="2567"/>
      <c r="TYF80" s="2567"/>
      <c r="TYG80" s="2567"/>
      <c r="TYH80" s="2567"/>
      <c r="TYI80" s="2567"/>
      <c r="TYJ80" s="2567"/>
      <c r="TYK80" s="2567"/>
      <c r="TYL80" s="2567"/>
      <c r="TYM80" s="2567"/>
      <c r="TYN80" s="2567"/>
      <c r="TYO80" s="2567"/>
      <c r="TYP80" s="2567"/>
      <c r="TYQ80" s="2567"/>
      <c r="TYR80" s="2567"/>
      <c r="TYS80" s="2567"/>
      <c r="TYT80" s="2567"/>
      <c r="TYU80" s="2567"/>
      <c r="TYV80" s="2567"/>
      <c r="TYW80" s="2567"/>
      <c r="TYX80" s="2567"/>
      <c r="TYY80" s="2567"/>
      <c r="TYZ80" s="2567"/>
      <c r="TZA80" s="2567"/>
      <c r="TZB80" s="2567"/>
      <c r="TZC80" s="2567"/>
      <c r="TZD80" s="2567"/>
      <c r="TZE80" s="2567"/>
      <c r="TZF80" s="2567"/>
      <c r="TZG80" s="2567"/>
      <c r="TZH80" s="2567"/>
      <c r="TZI80" s="2567"/>
      <c r="TZJ80" s="2567"/>
      <c r="TZK80" s="2567"/>
      <c r="TZL80" s="2567"/>
      <c r="TZM80" s="2567"/>
      <c r="TZN80" s="2567"/>
      <c r="TZO80" s="2567"/>
      <c r="TZP80" s="2567"/>
      <c r="TZQ80" s="2567"/>
      <c r="TZR80" s="2567"/>
      <c r="TZS80" s="2567"/>
      <c r="TZT80" s="2567"/>
      <c r="TZU80" s="2567"/>
      <c r="TZV80" s="2567"/>
      <c r="TZW80" s="2567"/>
      <c r="TZX80" s="2567"/>
      <c r="TZY80" s="2567"/>
      <c r="TZZ80" s="2567"/>
      <c r="UAA80" s="2567"/>
      <c r="UAB80" s="2567"/>
      <c r="UAC80" s="2567"/>
      <c r="UAD80" s="2567"/>
      <c r="UAE80" s="2567"/>
      <c r="UAF80" s="2567"/>
      <c r="UAG80" s="2567"/>
      <c r="UAH80" s="2567"/>
      <c r="UAI80" s="2567"/>
      <c r="UAJ80" s="2567"/>
      <c r="UAK80" s="2567"/>
      <c r="UAL80" s="2567"/>
      <c r="UAM80" s="2567"/>
      <c r="UAN80" s="2567"/>
      <c r="UAO80" s="2567"/>
      <c r="UAP80" s="2567"/>
      <c r="UAQ80" s="2567"/>
      <c r="UAR80" s="2567"/>
      <c r="UAS80" s="2567"/>
      <c r="UAT80" s="2567"/>
      <c r="UAU80" s="2567"/>
      <c r="UAV80" s="2567"/>
      <c r="UAW80" s="2567"/>
      <c r="UAX80" s="2567"/>
      <c r="UAY80" s="2567"/>
      <c r="UAZ80" s="2567"/>
      <c r="UBA80" s="2567"/>
      <c r="UBB80" s="2567"/>
      <c r="UBC80" s="2567"/>
      <c r="UBD80" s="2567"/>
      <c r="UBE80" s="2567"/>
      <c r="UBF80" s="2567"/>
      <c r="UBG80" s="2567"/>
      <c r="UBH80" s="2567"/>
      <c r="UBI80" s="2567"/>
      <c r="UBJ80" s="2567"/>
      <c r="UBK80" s="2567"/>
      <c r="UBL80" s="2567"/>
      <c r="UBM80" s="2567"/>
      <c r="UBN80" s="2567"/>
      <c r="UBO80" s="2567"/>
      <c r="UBP80" s="2567"/>
      <c r="UBQ80" s="2567"/>
      <c r="UBR80" s="2567"/>
      <c r="UBS80" s="2567"/>
      <c r="UBT80" s="2567"/>
      <c r="UBU80" s="2567"/>
      <c r="UBV80" s="2567"/>
      <c r="UBW80" s="2567"/>
      <c r="UBX80" s="2567"/>
      <c r="UBY80" s="2567"/>
      <c r="UBZ80" s="2567"/>
      <c r="UCA80" s="2567"/>
      <c r="UCB80" s="2567"/>
      <c r="UCC80" s="2567"/>
      <c r="UCD80" s="2567"/>
      <c r="UCE80" s="2567"/>
      <c r="UCF80" s="2567"/>
      <c r="UCG80" s="2567"/>
      <c r="UCH80" s="2567"/>
      <c r="UCI80" s="2567"/>
      <c r="UCJ80" s="2567"/>
      <c r="UCK80" s="2567"/>
      <c r="UCL80" s="2567"/>
      <c r="UCM80" s="2567"/>
      <c r="UCN80" s="2567"/>
      <c r="UCO80" s="2567"/>
      <c r="UCP80" s="2567"/>
      <c r="UCQ80" s="2567"/>
      <c r="UCR80" s="2567"/>
      <c r="UCS80" s="2567"/>
      <c r="UCT80" s="2567"/>
      <c r="UCU80" s="2567"/>
      <c r="UCV80" s="2567"/>
      <c r="UCW80" s="2567"/>
      <c r="UCX80" s="2567"/>
      <c r="UCY80" s="2567"/>
      <c r="UCZ80" s="2567"/>
      <c r="UDA80" s="2567"/>
      <c r="UDB80" s="2567"/>
      <c r="UDC80" s="2567"/>
      <c r="UDD80" s="2567"/>
      <c r="UDE80" s="2567"/>
      <c r="UDF80" s="2567"/>
      <c r="UDG80" s="2567"/>
      <c r="UDH80" s="2567"/>
      <c r="UDI80" s="2567"/>
      <c r="UDJ80" s="2567"/>
      <c r="UDK80" s="2567"/>
      <c r="UDL80" s="2567"/>
      <c r="UDM80" s="2567"/>
      <c r="UDN80" s="2567"/>
      <c r="UDO80" s="2567"/>
      <c r="UDP80" s="2567"/>
      <c r="UDQ80" s="2567"/>
      <c r="UDR80" s="2567"/>
      <c r="UDS80" s="2567"/>
      <c r="UDT80" s="2567"/>
      <c r="UDU80" s="2567"/>
      <c r="UDV80" s="2567"/>
      <c r="UDW80" s="2567"/>
      <c r="UDX80" s="2567"/>
      <c r="UDY80" s="2567"/>
      <c r="UDZ80" s="2567"/>
      <c r="UEA80" s="2567"/>
      <c r="UEB80" s="2567"/>
      <c r="UEC80" s="2567"/>
      <c r="UED80" s="2567"/>
      <c r="UEE80" s="2567"/>
      <c r="UEF80" s="2567"/>
      <c r="UEG80" s="2567"/>
      <c r="UEH80" s="2567"/>
      <c r="UEI80" s="2567"/>
      <c r="UEJ80" s="2567"/>
      <c r="UEK80" s="2567"/>
      <c r="UEL80" s="2567"/>
      <c r="UEM80" s="2567"/>
      <c r="UEN80" s="2567"/>
      <c r="UEO80" s="2567"/>
      <c r="UEP80" s="2567"/>
      <c r="UEQ80" s="2567"/>
      <c r="UER80" s="2567"/>
      <c r="UES80" s="2567"/>
      <c r="UET80" s="2567"/>
      <c r="UEU80" s="2567"/>
      <c r="UEV80" s="2567"/>
      <c r="UEW80" s="2567"/>
      <c r="UEX80" s="2567"/>
      <c r="UEY80" s="2567"/>
      <c r="UEZ80" s="2567"/>
      <c r="UFA80" s="2567"/>
      <c r="UFB80" s="2567"/>
      <c r="UFC80" s="2567"/>
      <c r="UFD80" s="2567"/>
      <c r="UFE80" s="2567"/>
      <c r="UFF80" s="2567"/>
      <c r="UFG80" s="2567"/>
      <c r="UFH80" s="2567"/>
      <c r="UFI80" s="2567"/>
      <c r="UFJ80" s="2567"/>
      <c r="UFK80" s="2567"/>
      <c r="UFL80" s="2567"/>
      <c r="UFM80" s="2567"/>
      <c r="UFN80" s="2567"/>
      <c r="UFO80" s="2567"/>
      <c r="UFP80" s="2567"/>
      <c r="UFQ80" s="2567"/>
      <c r="UFR80" s="2567"/>
      <c r="UFS80" s="2567"/>
      <c r="UFT80" s="2567"/>
      <c r="UFU80" s="2567"/>
      <c r="UFV80" s="2567"/>
      <c r="UFW80" s="2567"/>
      <c r="UFX80" s="2567"/>
      <c r="UFY80" s="2567"/>
      <c r="UFZ80" s="2567"/>
      <c r="UGA80" s="2567"/>
      <c r="UGB80" s="2567"/>
      <c r="UGC80" s="2567"/>
      <c r="UGD80" s="2567"/>
      <c r="UGE80" s="2567"/>
      <c r="UGF80" s="2567"/>
      <c r="UGG80" s="2567"/>
      <c r="UGH80" s="2567"/>
      <c r="UGI80" s="2567"/>
      <c r="UGJ80" s="2567"/>
      <c r="UGK80" s="2567"/>
      <c r="UGL80" s="2567"/>
      <c r="UGM80" s="2567"/>
      <c r="UGN80" s="2567"/>
      <c r="UGO80" s="2567"/>
      <c r="UGP80" s="2567"/>
      <c r="UGQ80" s="2567"/>
      <c r="UGR80" s="2567"/>
      <c r="UGS80" s="2567"/>
      <c r="UGT80" s="2567"/>
      <c r="UGU80" s="2567"/>
      <c r="UGV80" s="2567"/>
      <c r="UGW80" s="2567"/>
      <c r="UGX80" s="2567"/>
      <c r="UGY80" s="2567"/>
      <c r="UGZ80" s="2567"/>
      <c r="UHA80" s="2567"/>
      <c r="UHB80" s="2567"/>
      <c r="UHC80" s="2567"/>
      <c r="UHD80" s="2567"/>
      <c r="UHE80" s="2567"/>
      <c r="UHF80" s="2567"/>
      <c r="UHG80" s="2567"/>
      <c r="UHH80" s="2567"/>
      <c r="UHI80" s="2567"/>
      <c r="UHJ80" s="2567"/>
      <c r="UHK80" s="2567"/>
      <c r="UHL80" s="2567"/>
      <c r="UHM80" s="2567"/>
      <c r="UHN80" s="2567"/>
      <c r="UHO80" s="2567"/>
      <c r="UHP80" s="2567"/>
      <c r="UHQ80" s="2567"/>
      <c r="UHR80" s="2567"/>
      <c r="UHS80" s="2567"/>
      <c r="UHT80" s="2567"/>
      <c r="UHU80" s="2567"/>
      <c r="UHV80" s="2567"/>
      <c r="UHW80" s="2567"/>
      <c r="UHX80" s="2567"/>
      <c r="UHY80" s="2567"/>
      <c r="UHZ80" s="2567"/>
      <c r="UIA80" s="2567"/>
      <c r="UIB80" s="2567"/>
      <c r="UIC80" s="2567"/>
      <c r="UID80" s="2567"/>
      <c r="UIE80" s="2567"/>
      <c r="UIF80" s="2567"/>
      <c r="UIG80" s="2567"/>
      <c r="UIH80" s="2567"/>
      <c r="UII80" s="2567"/>
      <c r="UIJ80" s="2567"/>
      <c r="UIK80" s="2567"/>
      <c r="UIL80" s="2567"/>
      <c r="UIM80" s="2567"/>
      <c r="UIN80" s="2567"/>
      <c r="UIO80" s="2567"/>
      <c r="UIP80" s="2567"/>
      <c r="UIQ80" s="2567"/>
      <c r="UIR80" s="2567"/>
      <c r="UIS80" s="2567"/>
      <c r="UIT80" s="2567"/>
      <c r="UIU80" s="2567"/>
      <c r="UIV80" s="2567"/>
      <c r="UIW80" s="2567"/>
      <c r="UIX80" s="2567"/>
      <c r="UIY80" s="2567"/>
      <c r="UIZ80" s="2567"/>
      <c r="UJA80" s="2567"/>
      <c r="UJB80" s="2567"/>
      <c r="UJC80" s="2567"/>
      <c r="UJD80" s="2567"/>
      <c r="UJE80" s="2567"/>
      <c r="UJF80" s="2567"/>
      <c r="UJG80" s="2567"/>
      <c r="UJH80" s="2567"/>
      <c r="UJI80" s="2567"/>
      <c r="UJJ80" s="2567"/>
      <c r="UJK80" s="2567"/>
      <c r="UJL80" s="2567"/>
      <c r="UJM80" s="2567"/>
      <c r="UJN80" s="2567"/>
      <c r="UJO80" s="2567"/>
      <c r="UJP80" s="2567"/>
      <c r="UJQ80" s="2567"/>
      <c r="UJR80" s="2567"/>
      <c r="UJS80" s="2567"/>
      <c r="UJT80" s="2567"/>
      <c r="UJU80" s="2567"/>
      <c r="UJV80" s="2567"/>
      <c r="UJW80" s="2567"/>
      <c r="UJX80" s="2567"/>
      <c r="UJY80" s="2567"/>
      <c r="UJZ80" s="2567"/>
      <c r="UKA80" s="2567"/>
      <c r="UKB80" s="2567"/>
      <c r="UKC80" s="2567"/>
      <c r="UKD80" s="2567"/>
      <c r="UKE80" s="2567"/>
      <c r="UKF80" s="2567"/>
      <c r="UKG80" s="2567"/>
      <c r="UKH80" s="2567"/>
      <c r="UKI80" s="2567"/>
      <c r="UKJ80" s="2567"/>
      <c r="UKK80" s="2567"/>
      <c r="UKL80" s="2567"/>
      <c r="UKM80" s="2567"/>
      <c r="UKN80" s="2567"/>
      <c r="UKO80" s="2567"/>
      <c r="UKP80" s="2567"/>
      <c r="UKQ80" s="2567"/>
      <c r="UKR80" s="2567"/>
      <c r="UKS80" s="2567"/>
      <c r="UKT80" s="2567"/>
      <c r="UKU80" s="2567"/>
      <c r="UKV80" s="2567"/>
      <c r="UKW80" s="2567"/>
      <c r="UKX80" s="2567"/>
      <c r="UKY80" s="2567"/>
      <c r="UKZ80" s="2567"/>
      <c r="ULA80" s="2567"/>
      <c r="ULB80" s="2567"/>
      <c r="ULC80" s="2567"/>
      <c r="ULD80" s="2567"/>
      <c r="ULE80" s="2567"/>
      <c r="ULF80" s="2567"/>
      <c r="ULG80" s="2567"/>
      <c r="ULH80" s="2567"/>
      <c r="ULI80" s="2567"/>
      <c r="ULJ80" s="2567"/>
      <c r="ULK80" s="2567"/>
      <c r="ULL80" s="2567"/>
      <c r="ULM80" s="2567"/>
      <c r="ULN80" s="2567"/>
      <c r="ULO80" s="2567"/>
      <c r="ULP80" s="2567"/>
      <c r="ULQ80" s="2567"/>
      <c r="ULR80" s="2567"/>
      <c r="ULS80" s="2567"/>
      <c r="ULT80" s="2567"/>
      <c r="ULU80" s="2567"/>
      <c r="ULV80" s="2567"/>
      <c r="ULW80" s="2567"/>
      <c r="ULX80" s="2567"/>
      <c r="ULY80" s="2567"/>
      <c r="ULZ80" s="2567"/>
      <c r="UMA80" s="2567"/>
      <c r="UMB80" s="2567"/>
      <c r="UMC80" s="2567"/>
      <c r="UMD80" s="2567"/>
      <c r="UME80" s="2567"/>
      <c r="UMF80" s="2567"/>
      <c r="UMG80" s="2567"/>
      <c r="UMH80" s="2567"/>
      <c r="UMI80" s="2567"/>
      <c r="UMJ80" s="2567"/>
      <c r="UMK80" s="2567"/>
      <c r="UML80" s="2567"/>
      <c r="UMM80" s="2567"/>
      <c r="UMN80" s="2567"/>
      <c r="UMO80" s="2567"/>
      <c r="UMP80" s="2567"/>
      <c r="UMQ80" s="2567"/>
      <c r="UMR80" s="2567"/>
      <c r="UMS80" s="2567"/>
      <c r="UMT80" s="2567"/>
      <c r="UMU80" s="2567"/>
      <c r="UMV80" s="2567"/>
      <c r="UMW80" s="2567"/>
      <c r="UMX80" s="2567"/>
      <c r="UMY80" s="2567"/>
      <c r="UMZ80" s="2567"/>
      <c r="UNA80" s="2567"/>
      <c r="UNB80" s="2567"/>
      <c r="UNC80" s="2567"/>
      <c r="UND80" s="2567"/>
      <c r="UNE80" s="2567"/>
      <c r="UNF80" s="2567"/>
      <c r="UNG80" s="2567"/>
      <c r="UNH80" s="2567"/>
      <c r="UNI80" s="2567"/>
      <c r="UNJ80" s="2567"/>
      <c r="UNK80" s="2567"/>
      <c r="UNL80" s="2567"/>
      <c r="UNM80" s="2567"/>
      <c r="UNN80" s="2567"/>
      <c r="UNO80" s="2567"/>
      <c r="UNP80" s="2567"/>
      <c r="UNQ80" s="2567"/>
      <c r="UNR80" s="2567"/>
      <c r="UNS80" s="2567"/>
      <c r="UNT80" s="2567"/>
      <c r="UNU80" s="2567"/>
      <c r="UNV80" s="2567"/>
      <c r="UNW80" s="2567"/>
      <c r="UNX80" s="2567"/>
      <c r="UNY80" s="2567"/>
      <c r="UNZ80" s="2567"/>
      <c r="UOA80" s="2567"/>
      <c r="UOB80" s="2567"/>
      <c r="UOC80" s="2567"/>
      <c r="UOD80" s="2567"/>
      <c r="UOE80" s="2567"/>
      <c r="UOF80" s="2567"/>
      <c r="UOG80" s="2567"/>
      <c r="UOH80" s="2567"/>
      <c r="UOI80" s="2567"/>
      <c r="UOJ80" s="2567"/>
      <c r="UOK80" s="2567"/>
      <c r="UOL80" s="2567"/>
      <c r="UOM80" s="2567"/>
      <c r="UON80" s="2567"/>
      <c r="UOO80" s="2567"/>
      <c r="UOP80" s="2567"/>
      <c r="UOQ80" s="2567"/>
      <c r="UOR80" s="2567"/>
      <c r="UOS80" s="2567"/>
      <c r="UOT80" s="2567"/>
      <c r="UOU80" s="2567"/>
      <c r="UOV80" s="2567"/>
      <c r="UOW80" s="2567"/>
      <c r="UOX80" s="2567"/>
      <c r="UOY80" s="2567"/>
      <c r="UOZ80" s="2567"/>
      <c r="UPA80" s="2567"/>
      <c r="UPB80" s="2567"/>
      <c r="UPC80" s="2567"/>
      <c r="UPD80" s="2567"/>
      <c r="UPE80" s="2567"/>
      <c r="UPF80" s="2567"/>
      <c r="UPG80" s="2567"/>
      <c r="UPH80" s="2567"/>
      <c r="UPI80" s="2567"/>
      <c r="UPJ80" s="2567"/>
      <c r="UPK80" s="2567"/>
      <c r="UPL80" s="2567"/>
      <c r="UPM80" s="2567"/>
      <c r="UPN80" s="2567"/>
      <c r="UPO80" s="2567"/>
      <c r="UPP80" s="2567"/>
      <c r="UPQ80" s="2567"/>
      <c r="UPR80" s="2567"/>
      <c r="UPS80" s="2567"/>
      <c r="UPT80" s="2567"/>
      <c r="UPU80" s="2567"/>
      <c r="UPV80" s="2567"/>
      <c r="UPW80" s="2567"/>
      <c r="UPX80" s="2567"/>
      <c r="UPY80" s="2567"/>
      <c r="UPZ80" s="2567"/>
      <c r="UQA80" s="2567"/>
      <c r="UQB80" s="2567"/>
      <c r="UQC80" s="2567"/>
      <c r="UQD80" s="2567"/>
      <c r="UQE80" s="2567"/>
      <c r="UQF80" s="2567"/>
      <c r="UQG80" s="2567"/>
      <c r="UQH80" s="2567"/>
      <c r="UQI80" s="2567"/>
      <c r="UQJ80" s="2567"/>
      <c r="UQK80" s="2567"/>
      <c r="UQL80" s="2567"/>
      <c r="UQM80" s="2567"/>
      <c r="UQN80" s="2567"/>
      <c r="UQO80" s="2567"/>
      <c r="UQP80" s="2567"/>
      <c r="UQQ80" s="2567"/>
      <c r="UQR80" s="2567"/>
      <c r="UQS80" s="2567"/>
      <c r="UQT80" s="2567"/>
      <c r="UQU80" s="2567"/>
      <c r="UQV80" s="2567"/>
      <c r="UQW80" s="2567"/>
      <c r="UQX80" s="2567"/>
      <c r="UQY80" s="2567"/>
      <c r="UQZ80" s="2567"/>
      <c r="URA80" s="2567"/>
      <c r="URB80" s="2567"/>
      <c r="URC80" s="2567"/>
      <c r="URD80" s="2567"/>
      <c r="URE80" s="2567"/>
      <c r="URF80" s="2567"/>
      <c r="URG80" s="2567"/>
      <c r="URH80" s="2567"/>
      <c r="URI80" s="2567"/>
      <c r="URJ80" s="2567"/>
      <c r="URK80" s="2567"/>
      <c r="URL80" s="2567"/>
      <c r="URM80" s="2567"/>
      <c r="URN80" s="2567"/>
      <c r="URO80" s="2567"/>
      <c r="URP80" s="2567"/>
      <c r="URQ80" s="2567"/>
      <c r="URR80" s="2567"/>
      <c r="URS80" s="2567"/>
      <c r="URT80" s="2567"/>
      <c r="URU80" s="2567"/>
      <c r="URV80" s="2567"/>
      <c r="URW80" s="2567"/>
      <c r="URX80" s="2567"/>
      <c r="URY80" s="2567"/>
      <c r="URZ80" s="2567"/>
      <c r="USA80" s="2567"/>
      <c r="USB80" s="2567"/>
      <c r="USC80" s="2567"/>
      <c r="USD80" s="2567"/>
      <c r="USE80" s="2567"/>
      <c r="USF80" s="2567"/>
      <c r="USG80" s="2567"/>
      <c r="USH80" s="2567"/>
      <c r="USI80" s="2567"/>
      <c r="USJ80" s="2567"/>
      <c r="USK80" s="2567"/>
      <c r="USL80" s="2567"/>
      <c r="USM80" s="2567"/>
      <c r="USN80" s="2567"/>
      <c r="USO80" s="2567"/>
      <c r="USP80" s="2567"/>
      <c r="USQ80" s="2567"/>
      <c r="USR80" s="2567"/>
      <c r="USS80" s="2567"/>
      <c r="UST80" s="2567"/>
      <c r="USU80" s="2567"/>
      <c r="USV80" s="2567"/>
      <c r="USW80" s="2567"/>
      <c r="USX80" s="2567"/>
      <c r="USY80" s="2567"/>
      <c r="USZ80" s="2567"/>
      <c r="UTA80" s="2567"/>
      <c r="UTB80" s="2567"/>
      <c r="UTC80" s="2567"/>
      <c r="UTD80" s="2567"/>
      <c r="UTE80" s="2567"/>
      <c r="UTF80" s="2567"/>
      <c r="UTG80" s="2567"/>
      <c r="UTH80" s="2567"/>
      <c r="UTI80" s="2567"/>
      <c r="UTJ80" s="2567"/>
      <c r="UTK80" s="2567"/>
      <c r="UTL80" s="2567"/>
      <c r="UTM80" s="2567"/>
      <c r="UTN80" s="2567"/>
      <c r="UTO80" s="2567"/>
      <c r="UTP80" s="2567"/>
      <c r="UTQ80" s="2567"/>
      <c r="UTR80" s="2567"/>
      <c r="UTS80" s="2567"/>
      <c r="UTT80" s="2567"/>
      <c r="UTU80" s="2567"/>
      <c r="UTV80" s="2567"/>
      <c r="UTW80" s="2567"/>
      <c r="UTX80" s="2567"/>
      <c r="UTY80" s="2567"/>
      <c r="UTZ80" s="2567"/>
      <c r="UUA80" s="2567"/>
      <c r="UUB80" s="2567"/>
      <c r="UUC80" s="2567"/>
      <c r="UUD80" s="2567"/>
      <c r="UUE80" s="2567"/>
      <c r="UUF80" s="2567"/>
      <c r="UUG80" s="2567"/>
      <c r="UUH80" s="2567"/>
      <c r="UUI80" s="2567"/>
      <c r="UUJ80" s="2567"/>
      <c r="UUK80" s="2567"/>
      <c r="UUL80" s="2567"/>
      <c r="UUM80" s="2567"/>
      <c r="UUN80" s="2567"/>
      <c r="UUO80" s="2567"/>
      <c r="UUP80" s="2567"/>
      <c r="UUQ80" s="2567"/>
      <c r="UUR80" s="2567"/>
      <c r="UUS80" s="2567"/>
      <c r="UUT80" s="2567"/>
      <c r="UUU80" s="2567"/>
      <c r="UUV80" s="2567"/>
      <c r="UUW80" s="2567"/>
      <c r="UUX80" s="2567"/>
      <c r="UUY80" s="2567"/>
      <c r="UUZ80" s="2567"/>
      <c r="UVA80" s="2567"/>
      <c r="UVB80" s="2567"/>
      <c r="UVC80" s="2567"/>
      <c r="UVD80" s="2567"/>
      <c r="UVE80" s="2567"/>
      <c r="UVF80" s="2567"/>
      <c r="UVG80" s="2567"/>
      <c r="UVH80" s="2567"/>
      <c r="UVI80" s="2567"/>
      <c r="UVJ80" s="2567"/>
      <c r="UVK80" s="2567"/>
      <c r="UVL80" s="2567"/>
      <c r="UVM80" s="2567"/>
      <c r="UVN80" s="2567"/>
      <c r="UVO80" s="2567"/>
      <c r="UVP80" s="2567"/>
      <c r="UVQ80" s="2567"/>
      <c r="UVR80" s="2567"/>
      <c r="UVS80" s="2567"/>
      <c r="UVT80" s="2567"/>
      <c r="UVU80" s="2567"/>
      <c r="UVV80" s="2567"/>
      <c r="UVW80" s="2567"/>
      <c r="UVX80" s="2567"/>
      <c r="UVY80" s="2567"/>
      <c r="UVZ80" s="2567"/>
      <c r="UWA80" s="2567"/>
      <c r="UWB80" s="2567"/>
      <c r="UWC80" s="2567"/>
      <c r="UWD80" s="2567"/>
      <c r="UWE80" s="2567"/>
      <c r="UWF80" s="2567"/>
      <c r="UWG80" s="2567"/>
      <c r="UWH80" s="2567"/>
      <c r="UWI80" s="2567"/>
      <c r="UWJ80" s="2567"/>
      <c r="UWK80" s="2567"/>
      <c r="UWL80" s="2567"/>
      <c r="UWM80" s="2567"/>
      <c r="UWN80" s="2567"/>
      <c r="UWO80" s="2567"/>
      <c r="UWP80" s="2567"/>
      <c r="UWQ80" s="2567"/>
      <c r="UWR80" s="2567"/>
      <c r="UWS80" s="2567"/>
      <c r="UWT80" s="2567"/>
      <c r="UWU80" s="2567"/>
      <c r="UWV80" s="2567"/>
      <c r="UWW80" s="2567"/>
      <c r="UWX80" s="2567"/>
      <c r="UWY80" s="2567"/>
      <c r="UWZ80" s="2567"/>
      <c r="UXA80" s="2567"/>
      <c r="UXB80" s="2567"/>
      <c r="UXC80" s="2567"/>
      <c r="UXD80" s="2567"/>
      <c r="UXE80" s="2567"/>
      <c r="UXF80" s="2567"/>
      <c r="UXG80" s="2567"/>
      <c r="UXH80" s="2567"/>
      <c r="UXI80" s="2567"/>
      <c r="UXJ80" s="2567"/>
      <c r="UXK80" s="2567"/>
      <c r="UXL80" s="2567"/>
      <c r="UXM80" s="2567"/>
      <c r="UXN80" s="2567"/>
      <c r="UXO80" s="2567"/>
      <c r="UXP80" s="2567"/>
      <c r="UXQ80" s="2567"/>
      <c r="UXR80" s="2567"/>
      <c r="UXS80" s="2567"/>
      <c r="UXT80" s="2567"/>
      <c r="UXU80" s="2567"/>
      <c r="UXV80" s="2567"/>
      <c r="UXW80" s="2567"/>
      <c r="UXX80" s="2567"/>
      <c r="UXY80" s="2567"/>
      <c r="UXZ80" s="2567"/>
      <c r="UYA80" s="2567"/>
      <c r="UYB80" s="2567"/>
      <c r="UYC80" s="2567"/>
      <c r="UYD80" s="2567"/>
      <c r="UYE80" s="2567"/>
      <c r="UYF80" s="2567"/>
      <c r="UYG80" s="2567"/>
      <c r="UYH80" s="2567"/>
      <c r="UYI80" s="2567"/>
      <c r="UYJ80" s="2567"/>
      <c r="UYK80" s="2567"/>
      <c r="UYL80" s="2567"/>
      <c r="UYM80" s="2567"/>
      <c r="UYN80" s="2567"/>
      <c r="UYO80" s="2567"/>
      <c r="UYP80" s="2567"/>
      <c r="UYQ80" s="2567"/>
      <c r="UYR80" s="2567"/>
      <c r="UYS80" s="2567"/>
      <c r="UYT80" s="2567"/>
      <c r="UYU80" s="2567"/>
      <c r="UYV80" s="2567"/>
      <c r="UYW80" s="2567"/>
      <c r="UYX80" s="2567"/>
      <c r="UYY80" s="2567"/>
      <c r="UYZ80" s="2567"/>
      <c r="UZA80" s="2567"/>
      <c r="UZB80" s="2567"/>
      <c r="UZC80" s="2567"/>
      <c r="UZD80" s="2567"/>
      <c r="UZE80" s="2567"/>
      <c r="UZF80" s="2567"/>
      <c r="UZG80" s="2567"/>
      <c r="UZH80" s="2567"/>
      <c r="UZI80" s="2567"/>
      <c r="UZJ80" s="2567"/>
      <c r="UZK80" s="2567"/>
      <c r="UZL80" s="2567"/>
      <c r="UZM80" s="2567"/>
      <c r="UZN80" s="2567"/>
      <c r="UZO80" s="2567"/>
      <c r="UZP80" s="2567"/>
      <c r="UZQ80" s="2567"/>
      <c r="UZR80" s="2567"/>
      <c r="UZS80" s="2567"/>
      <c r="UZT80" s="2567"/>
      <c r="UZU80" s="2567"/>
      <c r="UZV80" s="2567"/>
      <c r="UZW80" s="2567"/>
      <c r="UZX80" s="2567"/>
      <c r="UZY80" s="2567"/>
      <c r="UZZ80" s="2567"/>
      <c r="VAA80" s="2567"/>
      <c r="VAB80" s="2567"/>
      <c r="VAC80" s="2567"/>
      <c r="VAD80" s="2567"/>
      <c r="VAE80" s="2567"/>
      <c r="VAF80" s="2567"/>
      <c r="VAG80" s="2567"/>
      <c r="VAH80" s="2567"/>
      <c r="VAI80" s="2567"/>
      <c r="VAJ80" s="2567"/>
      <c r="VAK80" s="2567"/>
      <c r="VAL80" s="2567"/>
      <c r="VAM80" s="2567"/>
      <c r="VAN80" s="2567"/>
      <c r="VAO80" s="2567"/>
      <c r="VAP80" s="2567"/>
      <c r="VAQ80" s="2567"/>
      <c r="VAR80" s="2567"/>
      <c r="VAS80" s="2567"/>
      <c r="VAT80" s="2567"/>
      <c r="VAU80" s="2567"/>
      <c r="VAV80" s="2567"/>
      <c r="VAW80" s="2567"/>
      <c r="VAX80" s="2567"/>
      <c r="VAY80" s="2567"/>
      <c r="VAZ80" s="2567"/>
      <c r="VBA80" s="2567"/>
      <c r="VBB80" s="2567"/>
      <c r="VBC80" s="2567"/>
      <c r="VBD80" s="2567"/>
      <c r="VBE80" s="2567"/>
      <c r="VBF80" s="2567"/>
      <c r="VBG80" s="2567"/>
      <c r="VBH80" s="2567"/>
      <c r="VBI80" s="2567"/>
      <c r="VBJ80" s="2567"/>
      <c r="VBK80" s="2567"/>
      <c r="VBL80" s="2567"/>
      <c r="VBM80" s="2567"/>
      <c r="VBN80" s="2567"/>
      <c r="VBO80" s="2567"/>
      <c r="VBP80" s="2567"/>
      <c r="VBQ80" s="2567"/>
      <c r="VBR80" s="2567"/>
      <c r="VBS80" s="2567"/>
      <c r="VBT80" s="2567"/>
      <c r="VBU80" s="2567"/>
      <c r="VBV80" s="2567"/>
      <c r="VBW80" s="2567"/>
      <c r="VBX80" s="2567"/>
      <c r="VBY80" s="2567"/>
      <c r="VBZ80" s="2567"/>
      <c r="VCA80" s="2567"/>
      <c r="VCB80" s="2567"/>
      <c r="VCC80" s="2567"/>
      <c r="VCD80" s="2567"/>
      <c r="VCE80" s="2567"/>
      <c r="VCF80" s="2567"/>
      <c r="VCG80" s="2567"/>
      <c r="VCH80" s="2567"/>
      <c r="VCI80" s="2567"/>
      <c r="VCJ80" s="2567"/>
      <c r="VCK80" s="2567"/>
      <c r="VCL80" s="2567"/>
      <c r="VCM80" s="2567"/>
      <c r="VCN80" s="2567"/>
      <c r="VCO80" s="2567"/>
      <c r="VCP80" s="2567"/>
      <c r="VCQ80" s="2567"/>
      <c r="VCR80" s="2567"/>
      <c r="VCS80" s="2567"/>
      <c r="VCT80" s="2567"/>
      <c r="VCU80" s="2567"/>
      <c r="VCV80" s="2567"/>
      <c r="VCW80" s="2567"/>
      <c r="VCX80" s="2567"/>
      <c r="VCY80" s="2567"/>
      <c r="VCZ80" s="2567"/>
      <c r="VDA80" s="2567"/>
      <c r="VDB80" s="2567"/>
      <c r="VDC80" s="2567"/>
      <c r="VDD80" s="2567"/>
      <c r="VDE80" s="2567"/>
      <c r="VDF80" s="2567"/>
      <c r="VDG80" s="2567"/>
      <c r="VDH80" s="2567"/>
      <c r="VDI80" s="2567"/>
      <c r="VDJ80" s="2567"/>
      <c r="VDK80" s="2567"/>
      <c r="VDL80" s="2567"/>
      <c r="VDM80" s="2567"/>
      <c r="VDN80" s="2567"/>
      <c r="VDO80" s="2567"/>
      <c r="VDP80" s="2567"/>
      <c r="VDQ80" s="2567"/>
      <c r="VDR80" s="2567"/>
      <c r="VDS80" s="2567"/>
      <c r="VDT80" s="2567"/>
      <c r="VDU80" s="2567"/>
      <c r="VDV80" s="2567"/>
      <c r="VDW80" s="2567"/>
      <c r="VDX80" s="2567"/>
      <c r="VDY80" s="2567"/>
      <c r="VDZ80" s="2567"/>
      <c r="VEA80" s="2567"/>
      <c r="VEB80" s="2567"/>
      <c r="VEC80" s="2567"/>
      <c r="VED80" s="2567"/>
      <c r="VEE80" s="2567"/>
      <c r="VEF80" s="2567"/>
      <c r="VEG80" s="2567"/>
      <c r="VEH80" s="2567"/>
      <c r="VEI80" s="2567"/>
      <c r="VEJ80" s="2567"/>
      <c r="VEK80" s="2567"/>
      <c r="VEL80" s="2567"/>
      <c r="VEM80" s="2567"/>
      <c r="VEN80" s="2567"/>
      <c r="VEO80" s="2567"/>
      <c r="VEP80" s="2567"/>
      <c r="VEQ80" s="2567"/>
      <c r="VER80" s="2567"/>
      <c r="VES80" s="2567"/>
      <c r="VET80" s="2567"/>
      <c r="VEU80" s="2567"/>
      <c r="VEV80" s="2567"/>
      <c r="VEW80" s="2567"/>
      <c r="VEX80" s="2567"/>
      <c r="VEY80" s="2567"/>
      <c r="VEZ80" s="2567"/>
      <c r="VFA80" s="2567"/>
      <c r="VFB80" s="2567"/>
      <c r="VFC80" s="2567"/>
      <c r="VFD80" s="2567"/>
      <c r="VFE80" s="2567"/>
      <c r="VFF80" s="2567"/>
      <c r="VFG80" s="2567"/>
      <c r="VFH80" s="2567"/>
      <c r="VFI80" s="2567"/>
      <c r="VFJ80" s="2567"/>
      <c r="VFK80" s="2567"/>
      <c r="VFL80" s="2567"/>
      <c r="VFM80" s="2567"/>
      <c r="VFN80" s="2567"/>
      <c r="VFO80" s="2567"/>
      <c r="VFP80" s="2567"/>
      <c r="VFQ80" s="2567"/>
      <c r="VFR80" s="2567"/>
      <c r="VFS80" s="2567"/>
      <c r="VFT80" s="2567"/>
      <c r="VFU80" s="2567"/>
      <c r="VFV80" s="2567"/>
      <c r="VFW80" s="2567"/>
      <c r="VFX80" s="2567"/>
      <c r="VFY80" s="2567"/>
      <c r="VFZ80" s="2567"/>
      <c r="VGA80" s="2567"/>
      <c r="VGB80" s="2567"/>
      <c r="VGC80" s="2567"/>
      <c r="VGD80" s="2567"/>
      <c r="VGE80" s="2567"/>
      <c r="VGF80" s="2567"/>
      <c r="VGG80" s="2567"/>
      <c r="VGH80" s="2567"/>
      <c r="VGI80" s="2567"/>
      <c r="VGJ80" s="2567"/>
      <c r="VGK80" s="2567"/>
      <c r="VGL80" s="2567"/>
      <c r="VGM80" s="2567"/>
      <c r="VGN80" s="2567"/>
      <c r="VGO80" s="2567"/>
      <c r="VGP80" s="2567"/>
      <c r="VGQ80" s="2567"/>
      <c r="VGR80" s="2567"/>
      <c r="VGS80" s="2567"/>
      <c r="VGT80" s="2567"/>
      <c r="VGU80" s="2567"/>
      <c r="VGV80" s="2567"/>
      <c r="VGW80" s="2567"/>
      <c r="VGX80" s="2567"/>
      <c r="VGY80" s="2567"/>
      <c r="VGZ80" s="2567"/>
      <c r="VHA80" s="2567"/>
      <c r="VHB80" s="2567"/>
      <c r="VHC80" s="2567"/>
      <c r="VHD80" s="2567"/>
      <c r="VHE80" s="2567"/>
      <c r="VHF80" s="2567"/>
      <c r="VHG80" s="2567"/>
      <c r="VHH80" s="2567"/>
      <c r="VHI80" s="2567"/>
      <c r="VHJ80" s="2567"/>
      <c r="VHK80" s="2567"/>
      <c r="VHL80" s="2567"/>
      <c r="VHM80" s="2567"/>
      <c r="VHN80" s="2567"/>
      <c r="VHO80" s="2567"/>
      <c r="VHP80" s="2567"/>
      <c r="VHQ80" s="2567"/>
      <c r="VHR80" s="2567"/>
      <c r="VHS80" s="2567"/>
      <c r="VHT80" s="2567"/>
      <c r="VHU80" s="2567"/>
      <c r="VHV80" s="2567"/>
      <c r="VHW80" s="2567"/>
      <c r="VHX80" s="2567"/>
      <c r="VHY80" s="2567"/>
      <c r="VHZ80" s="2567"/>
      <c r="VIA80" s="2567"/>
      <c r="VIB80" s="2567"/>
      <c r="VIC80" s="2567"/>
      <c r="VID80" s="2567"/>
      <c r="VIE80" s="2567"/>
      <c r="VIF80" s="2567"/>
      <c r="VIG80" s="2567"/>
      <c r="VIH80" s="2567"/>
      <c r="VII80" s="2567"/>
      <c r="VIJ80" s="2567"/>
      <c r="VIK80" s="2567"/>
      <c r="VIL80" s="2567"/>
      <c r="VIM80" s="2567"/>
      <c r="VIN80" s="2567"/>
      <c r="VIO80" s="2567"/>
      <c r="VIP80" s="2567"/>
      <c r="VIQ80" s="2567"/>
      <c r="VIR80" s="2567"/>
      <c r="VIS80" s="2567"/>
      <c r="VIT80" s="2567"/>
      <c r="VIU80" s="2567"/>
      <c r="VIV80" s="2567"/>
      <c r="VIW80" s="2567"/>
      <c r="VIX80" s="2567"/>
      <c r="VIY80" s="2567"/>
      <c r="VIZ80" s="2567"/>
      <c r="VJA80" s="2567"/>
      <c r="VJB80" s="2567"/>
      <c r="VJC80" s="2567"/>
      <c r="VJD80" s="2567"/>
      <c r="VJE80" s="2567"/>
      <c r="VJF80" s="2567"/>
      <c r="VJG80" s="2567"/>
      <c r="VJH80" s="2567"/>
      <c r="VJI80" s="2567"/>
      <c r="VJJ80" s="2567"/>
      <c r="VJK80" s="2567"/>
      <c r="VJL80" s="2567"/>
      <c r="VJM80" s="2567"/>
      <c r="VJN80" s="2567"/>
      <c r="VJO80" s="2567"/>
      <c r="VJP80" s="2567"/>
      <c r="VJQ80" s="2567"/>
      <c r="VJR80" s="2567"/>
      <c r="VJS80" s="2567"/>
      <c r="VJT80" s="2567"/>
      <c r="VJU80" s="2567"/>
      <c r="VJV80" s="2567"/>
      <c r="VJW80" s="2567"/>
      <c r="VJX80" s="2567"/>
      <c r="VJY80" s="2567"/>
      <c r="VJZ80" s="2567"/>
      <c r="VKA80" s="2567"/>
      <c r="VKB80" s="2567"/>
      <c r="VKC80" s="2567"/>
      <c r="VKD80" s="2567"/>
      <c r="VKE80" s="2567"/>
      <c r="VKF80" s="2567"/>
      <c r="VKG80" s="2567"/>
      <c r="VKH80" s="2567"/>
      <c r="VKI80" s="2567"/>
      <c r="VKJ80" s="2567"/>
      <c r="VKK80" s="2567"/>
      <c r="VKL80" s="2567"/>
      <c r="VKM80" s="2567"/>
      <c r="VKN80" s="2567"/>
      <c r="VKO80" s="2567"/>
      <c r="VKP80" s="2567"/>
      <c r="VKQ80" s="2567"/>
      <c r="VKR80" s="2567"/>
      <c r="VKS80" s="2567"/>
      <c r="VKT80" s="2567"/>
      <c r="VKU80" s="2567"/>
      <c r="VKV80" s="2567"/>
      <c r="VKW80" s="2567"/>
      <c r="VKX80" s="2567"/>
      <c r="VKY80" s="2567"/>
      <c r="VKZ80" s="2567"/>
      <c r="VLA80" s="2567"/>
      <c r="VLB80" s="2567"/>
      <c r="VLC80" s="2567"/>
      <c r="VLD80" s="2567"/>
      <c r="VLE80" s="2567"/>
      <c r="VLF80" s="2567"/>
      <c r="VLG80" s="2567"/>
      <c r="VLH80" s="2567"/>
      <c r="VLI80" s="2567"/>
      <c r="VLJ80" s="2567"/>
      <c r="VLK80" s="2567"/>
      <c r="VLL80" s="2567"/>
      <c r="VLM80" s="2567"/>
      <c r="VLN80" s="2567"/>
      <c r="VLO80" s="2567"/>
      <c r="VLP80" s="2567"/>
      <c r="VLQ80" s="2567"/>
      <c r="VLR80" s="2567"/>
      <c r="VLS80" s="2567"/>
      <c r="VLT80" s="2567"/>
      <c r="VLU80" s="2567"/>
      <c r="VLV80" s="2567"/>
      <c r="VLW80" s="2567"/>
      <c r="VLX80" s="2567"/>
      <c r="VLY80" s="2567"/>
      <c r="VLZ80" s="2567"/>
      <c r="VMA80" s="2567"/>
      <c r="VMB80" s="2567"/>
      <c r="VMC80" s="2567"/>
      <c r="VMD80" s="2567"/>
      <c r="VME80" s="2567"/>
      <c r="VMF80" s="2567"/>
      <c r="VMG80" s="2567"/>
      <c r="VMH80" s="2567"/>
      <c r="VMI80" s="2567"/>
      <c r="VMJ80" s="2567"/>
      <c r="VMK80" s="2567"/>
      <c r="VML80" s="2567"/>
      <c r="VMM80" s="2567"/>
      <c r="VMN80" s="2567"/>
      <c r="VMO80" s="2567"/>
      <c r="VMP80" s="2567"/>
      <c r="VMQ80" s="2567"/>
      <c r="VMR80" s="2567"/>
      <c r="VMS80" s="2567"/>
      <c r="VMT80" s="2567"/>
      <c r="VMU80" s="2567"/>
      <c r="VMV80" s="2567"/>
      <c r="VMW80" s="2567"/>
      <c r="VMX80" s="2567"/>
      <c r="VMY80" s="2567"/>
      <c r="VMZ80" s="2567"/>
      <c r="VNA80" s="2567"/>
      <c r="VNB80" s="2567"/>
      <c r="VNC80" s="2567"/>
      <c r="VND80" s="2567"/>
      <c r="VNE80" s="2567"/>
      <c r="VNF80" s="2567"/>
      <c r="VNG80" s="2567"/>
      <c r="VNH80" s="2567"/>
      <c r="VNI80" s="2567"/>
      <c r="VNJ80" s="2567"/>
      <c r="VNK80" s="2567"/>
      <c r="VNL80" s="2567"/>
      <c r="VNM80" s="2567"/>
      <c r="VNN80" s="2567"/>
      <c r="VNO80" s="2567"/>
      <c r="VNP80" s="2567"/>
      <c r="VNQ80" s="2567"/>
      <c r="VNR80" s="2567"/>
      <c r="VNS80" s="2567"/>
      <c r="VNT80" s="2567"/>
      <c r="VNU80" s="2567"/>
      <c r="VNV80" s="2567"/>
      <c r="VNW80" s="2567"/>
      <c r="VNX80" s="2567"/>
      <c r="VNY80" s="2567"/>
      <c r="VNZ80" s="2567"/>
      <c r="VOA80" s="2567"/>
      <c r="VOB80" s="2567"/>
      <c r="VOC80" s="2567"/>
      <c r="VOD80" s="2567"/>
      <c r="VOE80" s="2567"/>
      <c r="VOF80" s="2567"/>
      <c r="VOG80" s="2567"/>
      <c r="VOH80" s="2567"/>
      <c r="VOI80" s="2567"/>
      <c r="VOJ80" s="2567"/>
      <c r="VOK80" s="2567"/>
      <c r="VOL80" s="2567"/>
      <c r="VOM80" s="2567"/>
      <c r="VON80" s="2567"/>
      <c r="VOO80" s="2567"/>
      <c r="VOP80" s="2567"/>
      <c r="VOQ80" s="2567"/>
      <c r="VOR80" s="2567"/>
      <c r="VOS80" s="2567"/>
      <c r="VOT80" s="2567"/>
      <c r="VOU80" s="2567"/>
      <c r="VOV80" s="2567"/>
      <c r="VOW80" s="2567"/>
      <c r="VOX80" s="2567"/>
      <c r="VOY80" s="2567"/>
      <c r="VOZ80" s="2567"/>
      <c r="VPA80" s="2567"/>
      <c r="VPB80" s="2567"/>
      <c r="VPC80" s="2567"/>
      <c r="VPD80" s="2567"/>
      <c r="VPE80" s="2567"/>
      <c r="VPF80" s="2567"/>
      <c r="VPG80" s="2567"/>
      <c r="VPH80" s="2567"/>
      <c r="VPI80" s="2567"/>
      <c r="VPJ80" s="2567"/>
      <c r="VPK80" s="2567"/>
      <c r="VPL80" s="2567"/>
      <c r="VPM80" s="2567"/>
      <c r="VPN80" s="2567"/>
      <c r="VPO80" s="2567"/>
      <c r="VPP80" s="2567"/>
      <c r="VPQ80" s="2567"/>
      <c r="VPR80" s="2567"/>
      <c r="VPS80" s="2567"/>
      <c r="VPT80" s="2567"/>
      <c r="VPU80" s="2567"/>
      <c r="VPV80" s="2567"/>
      <c r="VPW80" s="2567"/>
      <c r="VPX80" s="2567"/>
      <c r="VPY80" s="2567"/>
      <c r="VPZ80" s="2567"/>
      <c r="VQA80" s="2567"/>
      <c r="VQB80" s="2567"/>
      <c r="VQC80" s="2567"/>
      <c r="VQD80" s="2567"/>
      <c r="VQE80" s="2567"/>
      <c r="VQF80" s="2567"/>
      <c r="VQG80" s="2567"/>
      <c r="VQH80" s="2567"/>
      <c r="VQI80" s="2567"/>
      <c r="VQJ80" s="2567"/>
      <c r="VQK80" s="2567"/>
      <c r="VQL80" s="2567"/>
      <c r="VQM80" s="2567"/>
      <c r="VQN80" s="2567"/>
      <c r="VQO80" s="2567"/>
      <c r="VQP80" s="2567"/>
      <c r="VQQ80" s="2567"/>
      <c r="VQR80" s="2567"/>
      <c r="VQS80" s="2567"/>
      <c r="VQT80" s="2567"/>
      <c r="VQU80" s="2567"/>
      <c r="VQV80" s="2567"/>
      <c r="VQW80" s="2567"/>
      <c r="VQX80" s="2567"/>
      <c r="VQY80" s="2567"/>
      <c r="VQZ80" s="2567"/>
      <c r="VRA80" s="2567"/>
      <c r="VRB80" s="2567"/>
      <c r="VRC80" s="2567"/>
      <c r="VRD80" s="2567"/>
      <c r="VRE80" s="2567"/>
      <c r="VRF80" s="2567"/>
      <c r="VRG80" s="2567"/>
      <c r="VRH80" s="2567"/>
      <c r="VRI80" s="2567"/>
      <c r="VRJ80" s="2567"/>
      <c r="VRK80" s="2567"/>
      <c r="VRL80" s="2567"/>
      <c r="VRM80" s="2567"/>
      <c r="VRN80" s="2567"/>
      <c r="VRO80" s="2567"/>
      <c r="VRP80" s="2567"/>
      <c r="VRQ80" s="2567"/>
      <c r="VRR80" s="2567"/>
      <c r="VRS80" s="2567"/>
      <c r="VRT80" s="2567"/>
      <c r="VRU80" s="2567"/>
      <c r="VRV80" s="2567"/>
      <c r="VRW80" s="2567"/>
      <c r="VRX80" s="2567"/>
      <c r="VRY80" s="2567"/>
      <c r="VRZ80" s="2567"/>
      <c r="VSA80" s="2567"/>
      <c r="VSB80" s="2567"/>
      <c r="VSC80" s="2567"/>
      <c r="VSD80" s="2567"/>
      <c r="VSE80" s="2567"/>
      <c r="VSF80" s="2567"/>
      <c r="VSG80" s="2567"/>
      <c r="VSH80" s="2567"/>
      <c r="VSI80" s="2567"/>
      <c r="VSJ80" s="2567"/>
      <c r="VSK80" s="2567"/>
      <c r="VSL80" s="2567"/>
      <c r="VSM80" s="2567"/>
      <c r="VSN80" s="2567"/>
      <c r="VSO80" s="2567"/>
      <c r="VSP80" s="2567"/>
      <c r="VSQ80" s="2567"/>
      <c r="VSR80" s="2567"/>
      <c r="VSS80" s="2567"/>
      <c r="VST80" s="2567"/>
      <c r="VSU80" s="2567"/>
      <c r="VSV80" s="2567"/>
      <c r="VSW80" s="2567"/>
      <c r="VSX80" s="2567"/>
      <c r="VSY80" s="2567"/>
      <c r="VSZ80" s="2567"/>
      <c r="VTA80" s="2567"/>
      <c r="VTB80" s="2567"/>
      <c r="VTC80" s="2567"/>
      <c r="VTD80" s="2567"/>
      <c r="VTE80" s="2567"/>
      <c r="VTF80" s="2567"/>
      <c r="VTG80" s="2567"/>
      <c r="VTH80" s="2567"/>
      <c r="VTI80" s="2567"/>
      <c r="VTJ80" s="2567"/>
      <c r="VTK80" s="2567"/>
      <c r="VTL80" s="2567"/>
      <c r="VTM80" s="2567"/>
      <c r="VTN80" s="2567"/>
      <c r="VTO80" s="2567"/>
      <c r="VTP80" s="2567"/>
      <c r="VTQ80" s="2567"/>
      <c r="VTR80" s="2567"/>
      <c r="VTS80" s="2567"/>
      <c r="VTT80" s="2567"/>
      <c r="VTU80" s="2567"/>
      <c r="VTV80" s="2567"/>
      <c r="VTW80" s="2567"/>
      <c r="VTX80" s="2567"/>
      <c r="VTY80" s="2567"/>
      <c r="VTZ80" s="2567"/>
      <c r="VUA80" s="2567"/>
      <c r="VUB80" s="2567"/>
      <c r="VUC80" s="2567"/>
      <c r="VUD80" s="2567"/>
      <c r="VUE80" s="2567"/>
      <c r="VUF80" s="2567"/>
      <c r="VUG80" s="2567"/>
      <c r="VUH80" s="2567"/>
      <c r="VUI80" s="2567"/>
      <c r="VUJ80" s="2567"/>
      <c r="VUK80" s="2567"/>
      <c r="VUL80" s="2567"/>
      <c r="VUM80" s="2567"/>
      <c r="VUN80" s="2567"/>
      <c r="VUO80" s="2567"/>
      <c r="VUP80" s="2567"/>
      <c r="VUQ80" s="2567"/>
      <c r="VUR80" s="2567"/>
      <c r="VUS80" s="2567"/>
      <c r="VUT80" s="2567"/>
      <c r="VUU80" s="2567"/>
      <c r="VUV80" s="2567"/>
      <c r="VUW80" s="2567"/>
      <c r="VUX80" s="2567"/>
      <c r="VUY80" s="2567"/>
      <c r="VUZ80" s="2567"/>
      <c r="VVA80" s="2567"/>
      <c r="VVB80" s="2567"/>
      <c r="VVC80" s="2567"/>
      <c r="VVD80" s="2567"/>
      <c r="VVE80" s="2567"/>
      <c r="VVF80" s="2567"/>
      <c r="VVG80" s="2567"/>
      <c r="VVH80" s="2567"/>
      <c r="VVI80" s="2567"/>
      <c r="VVJ80" s="2567"/>
      <c r="VVK80" s="2567"/>
      <c r="VVL80" s="2567"/>
      <c r="VVM80" s="2567"/>
      <c r="VVN80" s="2567"/>
      <c r="VVO80" s="2567"/>
      <c r="VVP80" s="2567"/>
      <c r="VVQ80" s="2567"/>
      <c r="VVR80" s="2567"/>
      <c r="VVS80" s="2567"/>
      <c r="VVT80" s="2567"/>
      <c r="VVU80" s="2567"/>
      <c r="VVV80" s="2567"/>
      <c r="VVW80" s="2567"/>
      <c r="VVX80" s="2567"/>
      <c r="VVY80" s="2567"/>
      <c r="VVZ80" s="2567"/>
      <c r="VWA80" s="2567"/>
      <c r="VWB80" s="2567"/>
      <c r="VWC80" s="2567"/>
      <c r="VWD80" s="2567"/>
      <c r="VWE80" s="2567"/>
      <c r="VWF80" s="2567"/>
      <c r="VWG80" s="2567"/>
      <c r="VWH80" s="2567"/>
      <c r="VWI80" s="2567"/>
      <c r="VWJ80" s="2567"/>
      <c r="VWK80" s="2567"/>
      <c r="VWL80" s="2567"/>
      <c r="VWM80" s="2567"/>
      <c r="VWN80" s="2567"/>
      <c r="VWO80" s="2567"/>
      <c r="VWP80" s="2567"/>
      <c r="VWQ80" s="2567"/>
      <c r="VWR80" s="2567"/>
      <c r="VWS80" s="2567"/>
      <c r="VWT80" s="2567"/>
      <c r="VWU80" s="2567"/>
      <c r="VWV80" s="2567"/>
      <c r="VWW80" s="2567"/>
      <c r="VWX80" s="2567"/>
      <c r="VWY80" s="2567"/>
      <c r="VWZ80" s="2567"/>
      <c r="VXA80" s="2567"/>
      <c r="VXB80" s="2567"/>
      <c r="VXC80" s="2567"/>
      <c r="VXD80" s="2567"/>
      <c r="VXE80" s="2567"/>
      <c r="VXF80" s="2567"/>
      <c r="VXG80" s="2567"/>
      <c r="VXH80" s="2567"/>
      <c r="VXI80" s="2567"/>
      <c r="VXJ80" s="2567"/>
      <c r="VXK80" s="2567"/>
      <c r="VXL80" s="2567"/>
      <c r="VXM80" s="2567"/>
      <c r="VXN80" s="2567"/>
      <c r="VXO80" s="2567"/>
      <c r="VXP80" s="2567"/>
      <c r="VXQ80" s="2567"/>
      <c r="VXR80" s="2567"/>
      <c r="VXS80" s="2567"/>
      <c r="VXT80" s="2567"/>
      <c r="VXU80" s="2567"/>
      <c r="VXV80" s="2567"/>
      <c r="VXW80" s="2567"/>
      <c r="VXX80" s="2567"/>
      <c r="VXY80" s="2567"/>
      <c r="VXZ80" s="2567"/>
      <c r="VYA80" s="2567"/>
      <c r="VYB80" s="2567"/>
      <c r="VYC80" s="2567"/>
      <c r="VYD80" s="2567"/>
      <c r="VYE80" s="2567"/>
      <c r="VYF80" s="2567"/>
      <c r="VYG80" s="2567"/>
      <c r="VYH80" s="2567"/>
      <c r="VYI80" s="2567"/>
      <c r="VYJ80" s="2567"/>
      <c r="VYK80" s="2567"/>
      <c r="VYL80" s="2567"/>
      <c r="VYM80" s="2567"/>
      <c r="VYN80" s="2567"/>
      <c r="VYO80" s="2567"/>
      <c r="VYP80" s="2567"/>
      <c r="VYQ80" s="2567"/>
      <c r="VYR80" s="2567"/>
      <c r="VYS80" s="2567"/>
      <c r="VYT80" s="2567"/>
      <c r="VYU80" s="2567"/>
      <c r="VYV80" s="2567"/>
      <c r="VYW80" s="2567"/>
      <c r="VYX80" s="2567"/>
      <c r="VYY80" s="2567"/>
      <c r="VYZ80" s="2567"/>
      <c r="VZA80" s="2567"/>
      <c r="VZB80" s="2567"/>
      <c r="VZC80" s="2567"/>
      <c r="VZD80" s="2567"/>
      <c r="VZE80" s="2567"/>
      <c r="VZF80" s="2567"/>
      <c r="VZG80" s="2567"/>
      <c r="VZH80" s="2567"/>
      <c r="VZI80" s="2567"/>
      <c r="VZJ80" s="2567"/>
      <c r="VZK80" s="2567"/>
      <c r="VZL80" s="2567"/>
      <c r="VZM80" s="2567"/>
      <c r="VZN80" s="2567"/>
      <c r="VZO80" s="2567"/>
      <c r="VZP80" s="2567"/>
      <c r="VZQ80" s="2567"/>
      <c r="VZR80" s="2567"/>
      <c r="VZS80" s="2567"/>
      <c r="VZT80" s="2567"/>
      <c r="VZU80" s="2567"/>
      <c r="VZV80" s="2567"/>
      <c r="VZW80" s="2567"/>
      <c r="VZX80" s="2567"/>
      <c r="VZY80" s="2567"/>
      <c r="VZZ80" s="2567"/>
      <c r="WAA80" s="2567"/>
      <c r="WAB80" s="2567"/>
      <c r="WAC80" s="2567"/>
      <c r="WAD80" s="2567"/>
      <c r="WAE80" s="2567"/>
      <c r="WAF80" s="2567"/>
      <c r="WAG80" s="2567"/>
      <c r="WAH80" s="2567"/>
      <c r="WAI80" s="2567"/>
      <c r="WAJ80" s="2567"/>
      <c r="WAK80" s="2567"/>
      <c r="WAL80" s="2567"/>
      <c r="WAM80" s="2567"/>
      <c r="WAN80" s="2567"/>
      <c r="WAO80" s="2567"/>
      <c r="WAP80" s="2567"/>
      <c r="WAQ80" s="2567"/>
      <c r="WAR80" s="2567"/>
      <c r="WAS80" s="2567"/>
      <c r="WAT80" s="2567"/>
      <c r="WAU80" s="2567"/>
      <c r="WAV80" s="2567"/>
      <c r="WAW80" s="2567"/>
      <c r="WAX80" s="2567"/>
      <c r="WAY80" s="2567"/>
      <c r="WAZ80" s="2567"/>
      <c r="WBA80" s="2567"/>
      <c r="WBB80" s="2567"/>
      <c r="WBC80" s="2567"/>
      <c r="WBD80" s="2567"/>
      <c r="WBE80" s="2567"/>
      <c r="WBF80" s="2567"/>
      <c r="WBG80" s="2567"/>
      <c r="WBH80" s="2567"/>
      <c r="WBI80" s="2567"/>
      <c r="WBJ80" s="2567"/>
      <c r="WBK80" s="2567"/>
      <c r="WBL80" s="2567"/>
      <c r="WBM80" s="2567"/>
      <c r="WBN80" s="2567"/>
      <c r="WBO80" s="2567"/>
      <c r="WBP80" s="2567"/>
      <c r="WBQ80" s="2567"/>
      <c r="WBR80" s="2567"/>
      <c r="WBS80" s="2567"/>
      <c r="WBT80" s="2567"/>
      <c r="WBU80" s="2567"/>
      <c r="WBV80" s="2567"/>
      <c r="WBW80" s="2567"/>
      <c r="WBX80" s="2567"/>
      <c r="WBY80" s="2567"/>
      <c r="WBZ80" s="2567"/>
      <c r="WCA80" s="2567"/>
      <c r="WCB80" s="2567"/>
      <c r="WCC80" s="2567"/>
      <c r="WCD80" s="2567"/>
      <c r="WCE80" s="2567"/>
      <c r="WCF80" s="2567"/>
      <c r="WCG80" s="2567"/>
      <c r="WCH80" s="2567"/>
      <c r="WCI80" s="2567"/>
      <c r="WCJ80" s="2567"/>
      <c r="WCK80" s="2567"/>
      <c r="WCL80" s="2567"/>
      <c r="WCM80" s="2567"/>
      <c r="WCN80" s="2567"/>
      <c r="WCO80" s="2567"/>
      <c r="WCP80" s="2567"/>
      <c r="WCQ80" s="2567"/>
      <c r="WCR80" s="2567"/>
      <c r="WCS80" s="2567"/>
      <c r="WCT80" s="2567"/>
      <c r="WCU80" s="2567"/>
      <c r="WCV80" s="2567"/>
      <c r="WCW80" s="2567"/>
      <c r="WCX80" s="2567"/>
      <c r="WCY80" s="2567"/>
      <c r="WCZ80" s="2567"/>
      <c r="WDA80" s="2567"/>
      <c r="WDB80" s="2567"/>
      <c r="WDC80" s="2567"/>
      <c r="WDD80" s="2567"/>
      <c r="WDE80" s="2567"/>
      <c r="WDF80" s="2567"/>
      <c r="WDG80" s="2567"/>
      <c r="WDH80" s="2567"/>
      <c r="WDI80" s="2567"/>
      <c r="WDJ80" s="2567"/>
      <c r="WDK80" s="2567"/>
      <c r="WDL80" s="2567"/>
      <c r="WDM80" s="2567"/>
      <c r="WDN80" s="2567"/>
      <c r="WDO80" s="2567"/>
      <c r="WDP80" s="2567"/>
      <c r="WDQ80" s="2567"/>
      <c r="WDR80" s="2567"/>
      <c r="WDS80" s="2567"/>
      <c r="WDT80" s="2567"/>
      <c r="WDU80" s="2567"/>
      <c r="WDV80" s="2567"/>
      <c r="WDW80" s="2567"/>
      <c r="WDX80" s="2567"/>
      <c r="WDY80" s="2567"/>
      <c r="WDZ80" s="2567"/>
      <c r="WEA80" s="2567"/>
      <c r="WEB80" s="2567"/>
      <c r="WEC80" s="2567"/>
      <c r="WED80" s="2567"/>
      <c r="WEE80" s="2567"/>
      <c r="WEF80" s="2567"/>
      <c r="WEG80" s="2567"/>
      <c r="WEH80" s="2567"/>
      <c r="WEI80" s="2567"/>
      <c r="WEJ80" s="2567"/>
      <c r="WEK80" s="2567"/>
      <c r="WEL80" s="2567"/>
      <c r="WEM80" s="2567"/>
      <c r="WEN80" s="2567"/>
      <c r="WEO80" s="2567"/>
      <c r="WEP80" s="2567"/>
      <c r="WEQ80" s="2567"/>
      <c r="WER80" s="2567"/>
      <c r="WES80" s="2567"/>
      <c r="WET80" s="2567"/>
      <c r="WEU80" s="2567"/>
      <c r="WEV80" s="2567"/>
      <c r="WEW80" s="2567"/>
      <c r="WEX80" s="2567"/>
      <c r="WEY80" s="2567"/>
      <c r="WEZ80" s="2567"/>
      <c r="WFA80" s="2567"/>
      <c r="WFB80" s="2567"/>
      <c r="WFC80" s="2567"/>
      <c r="WFD80" s="2567"/>
      <c r="WFE80" s="2567"/>
      <c r="WFF80" s="2567"/>
      <c r="WFG80" s="2567"/>
      <c r="WFH80" s="2567"/>
      <c r="WFI80" s="2567"/>
      <c r="WFJ80" s="2567"/>
      <c r="WFK80" s="2567"/>
      <c r="WFL80" s="2567"/>
      <c r="WFM80" s="2567"/>
      <c r="WFN80" s="2567"/>
      <c r="WFO80" s="2567"/>
      <c r="WFP80" s="2567"/>
      <c r="WFQ80" s="2567"/>
      <c r="WFR80" s="2567"/>
      <c r="WFS80" s="2567"/>
      <c r="WFT80" s="2567"/>
      <c r="WFU80" s="2567"/>
      <c r="WFV80" s="2567"/>
      <c r="WFW80" s="2567"/>
      <c r="WFX80" s="2567"/>
      <c r="WFY80" s="2567"/>
      <c r="WFZ80" s="2567"/>
      <c r="WGA80" s="2567"/>
      <c r="WGB80" s="2567"/>
      <c r="WGC80" s="2567"/>
      <c r="WGD80" s="2567"/>
      <c r="WGE80" s="2567"/>
      <c r="WGF80" s="2567"/>
      <c r="WGG80" s="2567"/>
      <c r="WGH80" s="2567"/>
      <c r="WGI80" s="2567"/>
      <c r="WGJ80" s="2567"/>
      <c r="WGK80" s="2567"/>
      <c r="WGL80" s="2567"/>
      <c r="WGM80" s="2567"/>
      <c r="WGN80" s="2567"/>
      <c r="WGO80" s="2567"/>
      <c r="WGP80" s="2567"/>
      <c r="WGQ80" s="2567"/>
      <c r="WGR80" s="2567"/>
      <c r="WGS80" s="2567"/>
      <c r="WGT80" s="2567"/>
      <c r="WGU80" s="2567"/>
      <c r="WGV80" s="2567"/>
      <c r="WGW80" s="2567"/>
      <c r="WGX80" s="2567"/>
      <c r="WGY80" s="2567"/>
      <c r="WGZ80" s="2567"/>
      <c r="WHA80" s="2567"/>
      <c r="WHB80" s="2567"/>
      <c r="WHC80" s="2567"/>
      <c r="WHD80" s="2567"/>
      <c r="WHE80" s="2567"/>
      <c r="WHF80" s="2567"/>
      <c r="WHG80" s="2567"/>
      <c r="WHH80" s="2567"/>
      <c r="WHI80" s="2567"/>
      <c r="WHJ80" s="2567"/>
      <c r="WHK80" s="2567"/>
      <c r="WHL80" s="2567"/>
      <c r="WHM80" s="2567"/>
      <c r="WHN80" s="2567"/>
      <c r="WHO80" s="2567"/>
      <c r="WHP80" s="2567"/>
      <c r="WHQ80" s="2567"/>
      <c r="WHR80" s="2567"/>
      <c r="WHS80" s="2567"/>
      <c r="WHT80" s="2567"/>
      <c r="WHU80" s="2567"/>
      <c r="WHV80" s="2567"/>
      <c r="WHW80" s="2567"/>
      <c r="WHX80" s="2567"/>
      <c r="WHY80" s="2567"/>
      <c r="WHZ80" s="2567"/>
      <c r="WIA80" s="2567"/>
      <c r="WIB80" s="2567"/>
      <c r="WIC80" s="2567"/>
      <c r="WID80" s="2567"/>
      <c r="WIE80" s="2567"/>
      <c r="WIF80" s="2567"/>
      <c r="WIG80" s="2567"/>
      <c r="WIH80" s="2567"/>
      <c r="WII80" s="2567"/>
      <c r="WIJ80" s="2567"/>
      <c r="WIK80" s="2567"/>
      <c r="WIL80" s="2567"/>
      <c r="WIM80" s="2567"/>
      <c r="WIN80" s="2567"/>
      <c r="WIO80" s="2567"/>
      <c r="WIP80" s="2567"/>
      <c r="WIQ80" s="2567"/>
      <c r="WIR80" s="2567"/>
      <c r="WIS80" s="2567"/>
      <c r="WIT80" s="2567"/>
      <c r="WIU80" s="2567"/>
      <c r="WIV80" s="2567"/>
      <c r="WIW80" s="2567"/>
      <c r="WIX80" s="2567"/>
      <c r="WIY80" s="2567"/>
      <c r="WIZ80" s="2567"/>
      <c r="WJA80" s="2567"/>
      <c r="WJB80" s="2567"/>
      <c r="WJC80" s="2567"/>
      <c r="WJD80" s="2567"/>
      <c r="WJE80" s="2567"/>
      <c r="WJF80" s="2567"/>
      <c r="WJG80" s="2567"/>
      <c r="WJH80" s="2567"/>
      <c r="WJI80" s="2567"/>
      <c r="WJJ80" s="2567"/>
      <c r="WJK80" s="2567"/>
      <c r="WJL80" s="2567"/>
      <c r="WJM80" s="2567"/>
      <c r="WJN80" s="2567"/>
      <c r="WJO80" s="2567"/>
      <c r="WJP80" s="2567"/>
      <c r="WJQ80" s="2567"/>
      <c r="WJR80" s="2567"/>
      <c r="WJS80" s="2567"/>
      <c r="WJT80" s="2567"/>
      <c r="WJU80" s="2567"/>
      <c r="WJV80" s="2567"/>
      <c r="WJW80" s="2567"/>
      <c r="WJX80" s="2567"/>
      <c r="WJY80" s="2567"/>
      <c r="WJZ80" s="2567"/>
      <c r="WKA80" s="2567"/>
      <c r="WKB80" s="2567"/>
      <c r="WKC80" s="2567"/>
      <c r="WKD80" s="2567"/>
      <c r="WKE80" s="2567"/>
      <c r="WKF80" s="2567"/>
      <c r="WKG80" s="2567"/>
      <c r="WKH80" s="2567"/>
      <c r="WKI80" s="2567"/>
      <c r="WKJ80" s="2567"/>
      <c r="WKK80" s="2567"/>
      <c r="WKL80" s="2567"/>
      <c r="WKM80" s="2567"/>
      <c r="WKN80" s="2567"/>
      <c r="WKO80" s="2567"/>
      <c r="WKP80" s="2567"/>
      <c r="WKQ80" s="2567"/>
      <c r="WKR80" s="2567"/>
      <c r="WKS80" s="2567"/>
      <c r="WKT80" s="2567"/>
      <c r="WKU80" s="2567"/>
      <c r="WKV80" s="2567"/>
      <c r="WKW80" s="2567"/>
      <c r="WKX80" s="2567"/>
      <c r="WKY80" s="2567"/>
      <c r="WKZ80" s="2567"/>
      <c r="WLA80" s="2567"/>
      <c r="WLB80" s="2567"/>
      <c r="WLC80" s="2567"/>
      <c r="WLD80" s="2567"/>
      <c r="WLE80" s="2567"/>
      <c r="WLF80" s="2567"/>
      <c r="WLG80" s="2567"/>
      <c r="WLH80" s="2567"/>
      <c r="WLI80" s="2567"/>
      <c r="WLJ80" s="2567"/>
      <c r="WLK80" s="2567"/>
      <c r="WLL80" s="2567"/>
      <c r="WLM80" s="2567"/>
      <c r="WLN80" s="2567"/>
      <c r="WLO80" s="2567"/>
      <c r="WLP80" s="2567"/>
      <c r="WLQ80" s="2567"/>
      <c r="WLR80" s="2567"/>
      <c r="WLS80" s="2567"/>
      <c r="WLT80" s="2567"/>
      <c r="WLU80" s="2567"/>
      <c r="WLV80" s="2567"/>
      <c r="WLW80" s="2567"/>
      <c r="WLX80" s="2567"/>
      <c r="WLY80" s="2567"/>
      <c r="WLZ80" s="2567"/>
      <c r="WMA80" s="2567"/>
      <c r="WMB80" s="2567"/>
      <c r="WMC80" s="2567"/>
      <c r="WMD80" s="2567"/>
      <c r="WME80" s="2567"/>
      <c r="WMF80" s="2567"/>
      <c r="WMG80" s="2567"/>
      <c r="WMH80" s="2567"/>
      <c r="WMI80" s="2567"/>
      <c r="WMJ80" s="2567"/>
      <c r="WMK80" s="2567"/>
      <c r="WML80" s="2567"/>
      <c r="WMM80" s="2567"/>
      <c r="WMN80" s="2567"/>
      <c r="WMO80" s="2567"/>
      <c r="WMP80" s="2567"/>
      <c r="WMQ80" s="2567"/>
      <c r="WMR80" s="2567"/>
      <c r="WMS80" s="2567"/>
      <c r="WMT80" s="2567"/>
      <c r="WMU80" s="2567"/>
      <c r="WMV80" s="2567"/>
      <c r="WMW80" s="2567"/>
      <c r="WMX80" s="2567"/>
      <c r="WMY80" s="2567"/>
      <c r="WMZ80" s="2567"/>
      <c r="WNA80" s="2567"/>
      <c r="WNB80" s="2567"/>
      <c r="WNC80" s="2567"/>
      <c r="WND80" s="2567"/>
      <c r="WNE80" s="2567"/>
      <c r="WNF80" s="2567"/>
      <c r="WNG80" s="2567"/>
      <c r="WNH80" s="2567"/>
      <c r="WNI80" s="2567"/>
      <c r="WNJ80" s="2567"/>
      <c r="WNK80" s="2567"/>
      <c r="WNL80" s="2567"/>
      <c r="WNM80" s="2567"/>
      <c r="WNN80" s="2567"/>
      <c r="WNO80" s="2567"/>
      <c r="WNP80" s="2567"/>
      <c r="WNQ80" s="2567"/>
      <c r="WNR80" s="2567"/>
      <c r="WNS80" s="2567"/>
      <c r="WNT80" s="2567"/>
      <c r="WNU80" s="2567"/>
      <c r="WNV80" s="2567"/>
      <c r="WNW80" s="2567"/>
      <c r="WNX80" s="2567"/>
      <c r="WNY80" s="2567"/>
      <c r="WNZ80" s="2567"/>
      <c r="WOA80" s="2567"/>
      <c r="WOB80" s="2567"/>
      <c r="WOC80" s="2567"/>
      <c r="WOD80" s="2567"/>
      <c r="WOE80" s="2567"/>
      <c r="WOF80" s="2567"/>
      <c r="WOG80" s="2567"/>
      <c r="WOH80" s="2567"/>
      <c r="WOI80" s="2567"/>
      <c r="WOJ80" s="2567"/>
      <c r="WOK80" s="2567"/>
      <c r="WOL80" s="2567"/>
      <c r="WOM80" s="2567"/>
      <c r="WON80" s="2567"/>
      <c r="WOO80" s="2567"/>
      <c r="WOP80" s="2567"/>
      <c r="WOQ80" s="2567"/>
      <c r="WOR80" s="2567"/>
      <c r="WOS80" s="2567"/>
      <c r="WOT80" s="2567"/>
      <c r="WOU80" s="2567"/>
      <c r="WOV80" s="2567"/>
      <c r="WOW80" s="2567"/>
      <c r="WOX80" s="2567"/>
      <c r="WOY80" s="2567"/>
      <c r="WOZ80" s="2567"/>
      <c r="WPA80" s="2567"/>
      <c r="WPB80" s="2567"/>
      <c r="WPC80" s="2567"/>
      <c r="WPD80" s="2567"/>
      <c r="WPE80" s="2567"/>
      <c r="WPF80" s="2567"/>
      <c r="WPG80" s="2567"/>
      <c r="WPH80" s="2567"/>
      <c r="WPI80" s="2567"/>
      <c r="WPJ80" s="2567"/>
      <c r="WPK80" s="2567"/>
      <c r="WPL80" s="2567"/>
      <c r="WPM80" s="2567"/>
      <c r="WPN80" s="2567"/>
      <c r="WPO80" s="2567"/>
      <c r="WPP80" s="2567"/>
      <c r="WPQ80" s="2567"/>
      <c r="WPR80" s="2567"/>
      <c r="WPS80" s="2567"/>
      <c r="WPT80" s="2567"/>
      <c r="WPU80" s="2567"/>
      <c r="WPV80" s="2567"/>
      <c r="WPW80" s="2567"/>
      <c r="WPX80" s="2567"/>
      <c r="WPY80" s="2567"/>
      <c r="WPZ80" s="2567"/>
      <c r="WQA80" s="2567"/>
      <c r="WQB80" s="2567"/>
      <c r="WQC80" s="2567"/>
      <c r="WQD80" s="2567"/>
      <c r="WQE80" s="2567"/>
      <c r="WQF80" s="2567"/>
      <c r="WQG80" s="2567"/>
      <c r="WQH80" s="2567"/>
      <c r="WQI80" s="2567"/>
      <c r="WQJ80" s="2567"/>
      <c r="WQK80" s="2567"/>
      <c r="WQL80" s="2567"/>
      <c r="WQM80" s="2567"/>
      <c r="WQN80" s="2567"/>
      <c r="WQO80" s="2567"/>
      <c r="WQP80" s="2567"/>
      <c r="WQQ80" s="2567"/>
      <c r="WQR80" s="2567"/>
      <c r="WQS80" s="2567"/>
      <c r="WQT80" s="2567"/>
      <c r="WQU80" s="2567"/>
      <c r="WQV80" s="2567"/>
      <c r="WQW80" s="2567"/>
      <c r="WQX80" s="2567"/>
      <c r="WQY80" s="2567"/>
      <c r="WQZ80" s="2567"/>
      <c r="WRA80" s="2567"/>
      <c r="WRB80" s="2567"/>
      <c r="WRC80" s="2567"/>
      <c r="WRD80" s="2567"/>
      <c r="WRE80" s="2567"/>
      <c r="WRF80" s="2567"/>
      <c r="WRG80" s="2567"/>
      <c r="WRH80" s="2567"/>
      <c r="WRI80" s="2567"/>
      <c r="WRJ80" s="2567"/>
      <c r="WRK80" s="2567"/>
      <c r="WRL80" s="2567"/>
      <c r="WRM80" s="2567"/>
      <c r="WRN80" s="2567"/>
      <c r="WRO80" s="2567"/>
      <c r="WRP80" s="2567"/>
      <c r="WRQ80" s="2567"/>
      <c r="WRR80" s="2567"/>
      <c r="WRS80" s="2567"/>
      <c r="WRT80" s="2567"/>
      <c r="WRU80" s="2567"/>
      <c r="WRV80" s="2567"/>
      <c r="WRW80" s="2567"/>
      <c r="WRX80" s="2567"/>
      <c r="WRY80" s="2567"/>
      <c r="WRZ80" s="2567"/>
      <c r="WSA80" s="2567"/>
      <c r="WSB80" s="2567"/>
      <c r="WSC80" s="2567"/>
      <c r="WSD80" s="2567"/>
      <c r="WSE80" s="2567"/>
      <c r="WSF80" s="2567"/>
      <c r="WSG80" s="2567"/>
      <c r="WSH80" s="2567"/>
      <c r="WSI80" s="2567"/>
      <c r="WSJ80" s="2567"/>
      <c r="WSK80" s="2567"/>
      <c r="WSL80" s="2567"/>
      <c r="WSM80" s="2567"/>
      <c r="WSN80" s="2567"/>
      <c r="WSO80" s="2567"/>
      <c r="WSP80" s="2567"/>
      <c r="WSQ80" s="2567"/>
      <c r="WSR80" s="2567"/>
      <c r="WSS80" s="2567"/>
      <c r="WST80" s="2567"/>
      <c r="WSU80" s="2567"/>
      <c r="WSV80" s="2567"/>
      <c r="WSW80" s="2567"/>
      <c r="WSX80" s="2567"/>
      <c r="WSY80" s="2567"/>
      <c r="WSZ80" s="2567"/>
      <c r="WTA80" s="2567"/>
      <c r="WTB80" s="2567"/>
      <c r="WTC80" s="2567"/>
      <c r="WTD80" s="2567"/>
      <c r="WTE80" s="2567"/>
      <c r="WTF80" s="2567"/>
      <c r="WTG80" s="2567"/>
      <c r="WTH80" s="2567"/>
      <c r="WTI80" s="2567"/>
      <c r="WTJ80" s="2567"/>
      <c r="WTK80" s="2567"/>
      <c r="WTL80" s="2567"/>
      <c r="WTM80" s="2567"/>
      <c r="WTN80" s="2567"/>
      <c r="WTO80" s="2567"/>
      <c r="WTP80" s="2567"/>
      <c r="WTQ80" s="2567"/>
      <c r="WTR80" s="2567"/>
      <c r="WTS80" s="2567"/>
      <c r="WTT80" s="2567"/>
      <c r="WTU80" s="2567"/>
      <c r="WTV80" s="2567"/>
      <c r="WTW80" s="2567"/>
      <c r="WTX80" s="2567"/>
      <c r="WTY80" s="2567"/>
      <c r="WTZ80" s="2567"/>
      <c r="WUA80" s="2567"/>
      <c r="WUB80" s="2567"/>
      <c r="WUC80" s="2567"/>
      <c r="WUD80" s="2567"/>
      <c r="WUE80" s="2567"/>
      <c r="WUF80" s="2567"/>
      <c r="WUG80" s="2567"/>
      <c r="WUH80" s="2567"/>
      <c r="WUI80" s="2567"/>
      <c r="WUJ80" s="2567"/>
      <c r="WUK80" s="2567"/>
      <c r="WUL80" s="2567"/>
      <c r="WUM80" s="2567"/>
      <c r="WUN80" s="2567"/>
      <c r="WUO80" s="2567"/>
      <c r="WUP80" s="2567"/>
      <c r="WUQ80" s="2567"/>
      <c r="WUR80" s="2567"/>
      <c r="WUS80" s="2567"/>
      <c r="WUT80" s="2567"/>
      <c r="WUU80" s="2567"/>
      <c r="WUV80" s="2567"/>
      <c r="WUW80" s="2567"/>
      <c r="WUX80" s="2567"/>
      <c r="WUY80" s="2567"/>
      <c r="WUZ80" s="2567"/>
      <c r="WVA80" s="2567"/>
      <c r="WVB80" s="2567"/>
      <c r="WVC80" s="2567"/>
      <c r="WVD80" s="2567"/>
      <c r="WVE80" s="2567"/>
      <c r="WVF80" s="2567"/>
      <c r="WVG80" s="2567"/>
      <c r="WVH80" s="2567"/>
      <c r="WVI80" s="2567"/>
      <c r="WVJ80" s="2567"/>
      <c r="WVK80" s="2567"/>
      <c r="WVL80" s="2567"/>
      <c r="WVM80" s="2567"/>
      <c r="WVN80" s="2567"/>
      <c r="WVO80" s="2567"/>
      <c r="WVP80" s="2567"/>
      <c r="WVQ80" s="2567"/>
      <c r="WVR80" s="2567"/>
      <c r="WVS80" s="2567"/>
      <c r="WVT80" s="2567"/>
      <c r="WVU80" s="2567"/>
      <c r="WVV80" s="2567"/>
      <c r="WVW80" s="2567"/>
      <c r="WVX80" s="2567"/>
      <c r="WVY80" s="2567"/>
      <c r="WVZ80" s="2567"/>
      <c r="WWA80" s="2567"/>
      <c r="WWB80" s="2567"/>
      <c r="WWC80" s="2567"/>
      <c r="WWD80" s="2567"/>
      <c r="WWE80" s="2567"/>
      <c r="WWF80" s="2567"/>
      <c r="WWG80" s="2567"/>
      <c r="WWH80" s="2567"/>
      <c r="WWI80" s="2567"/>
      <c r="WWJ80" s="2567"/>
      <c r="WWK80" s="2567"/>
      <c r="WWL80" s="2567"/>
      <c r="WWM80" s="2567"/>
      <c r="WWN80" s="2567"/>
      <c r="WWO80" s="2567"/>
      <c r="WWP80" s="2567"/>
      <c r="WWQ80" s="2567"/>
      <c r="WWR80" s="2567"/>
      <c r="WWS80" s="2567"/>
      <c r="WWT80" s="2567"/>
      <c r="WWU80" s="2567"/>
      <c r="WWV80" s="2567"/>
      <c r="WWW80" s="2567"/>
      <c r="WWX80" s="2567"/>
      <c r="WWY80" s="2567"/>
      <c r="WWZ80" s="2567"/>
      <c r="WXA80" s="2567"/>
      <c r="WXB80" s="2567"/>
      <c r="WXC80" s="2567"/>
      <c r="WXD80" s="2567"/>
      <c r="WXE80" s="2567"/>
      <c r="WXF80" s="2567"/>
      <c r="WXG80" s="2567"/>
      <c r="WXH80" s="2567"/>
      <c r="WXI80" s="2567"/>
      <c r="WXJ80" s="2567"/>
      <c r="WXK80" s="2567"/>
      <c r="WXL80" s="2567"/>
      <c r="WXM80" s="2567"/>
      <c r="WXN80" s="2567"/>
      <c r="WXO80" s="2567"/>
      <c r="WXP80" s="2567"/>
      <c r="WXQ80" s="2567"/>
      <c r="WXR80" s="2567"/>
      <c r="WXS80" s="2567"/>
      <c r="WXT80" s="2567"/>
      <c r="WXU80" s="2567"/>
      <c r="WXV80" s="2567"/>
      <c r="WXW80" s="2567"/>
      <c r="WXX80" s="2567"/>
      <c r="WXY80" s="2567"/>
      <c r="WXZ80" s="2567"/>
      <c r="WYA80" s="2567"/>
      <c r="WYB80" s="2567"/>
      <c r="WYC80" s="2567"/>
      <c r="WYD80" s="2567"/>
      <c r="WYE80" s="2567"/>
      <c r="WYF80" s="2567"/>
      <c r="WYG80" s="2567"/>
      <c r="WYH80" s="2567"/>
      <c r="WYI80" s="2567"/>
      <c r="WYJ80" s="2567"/>
      <c r="WYK80" s="2567"/>
      <c r="WYL80" s="2567"/>
      <c r="WYM80" s="2567"/>
      <c r="WYN80" s="2567"/>
      <c r="WYO80" s="2567"/>
      <c r="WYP80" s="2567"/>
      <c r="WYQ80" s="2567"/>
      <c r="WYR80" s="2567"/>
      <c r="WYS80" s="2567"/>
      <c r="WYT80" s="2567"/>
      <c r="WYU80" s="2567"/>
      <c r="WYV80" s="2567"/>
      <c r="WYW80" s="2567"/>
      <c r="WYX80" s="2567"/>
      <c r="WYY80" s="2567"/>
      <c r="WYZ80" s="2567"/>
      <c r="WZA80" s="2567"/>
      <c r="WZB80" s="2567"/>
      <c r="WZC80" s="2567"/>
      <c r="WZD80" s="2567"/>
      <c r="WZE80" s="2567"/>
      <c r="WZF80" s="2567"/>
      <c r="WZG80" s="2567"/>
      <c r="WZH80" s="2567"/>
      <c r="WZI80" s="2567"/>
      <c r="WZJ80" s="2567"/>
      <c r="WZK80" s="2567"/>
      <c r="WZL80" s="2567"/>
      <c r="WZM80" s="2567"/>
      <c r="WZN80" s="2567"/>
      <c r="WZO80" s="2567"/>
      <c r="WZP80" s="2567"/>
      <c r="WZQ80" s="2567"/>
      <c r="WZR80" s="2567"/>
      <c r="WZS80" s="2567"/>
      <c r="WZT80" s="2567"/>
      <c r="WZU80" s="2567"/>
      <c r="WZV80" s="2567"/>
      <c r="WZW80" s="2567"/>
      <c r="WZX80" s="2567"/>
      <c r="WZY80" s="2567"/>
      <c r="WZZ80" s="2567"/>
      <c r="XAA80" s="2567"/>
      <c r="XAB80" s="2567"/>
      <c r="XAC80" s="2567"/>
      <c r="XAD80" s="2567"/>
      <c r="XAE80" s="2567"/>
      <c r="XAF80" s="2567"/>
      <c r="XAG80" s="2567"/>
      <c r="XAH80" s="2567"/>
      <c r="XAI80" s="2567"/>
      <c r="XAJ80" s="2567"/>
      <c r="XAK80" s="2567"/>
      <c r="XAL80" s="2567"/>
      <c r="XAM80" s="2567"/>
      <c r="XAN80" s="2567"/>
      <c r="XAO80" s="2567"/>
      <c r="XAP80" s="2567"/>
      <c r="XAQ80" s="2567"/>
      <c r="XAR80" s="2567"/>
      <c r="XAS80" s="2567"/>
      <c r="XAT80" s="2567"/>
      <c r="XAU80" s="2567"/>
      <c r="XAV80" s="2567"/>
      <c r="XAW80" s="2567"/>
      <c r="XAX80" s="2567"/>
      <c r="XAY80" s="2567"/>
      <c r="XAZ80" s="2567"/>
      <c r="XBA80" s="2567"/>
      <c r="XBB80" s="2567"/>
      <c r="XBC80" s="2567"/>
      <c r="XBD80" s="2567"/>
      <c r="XBE80" s="2567"/>
      <c r="XBF80" s="2567"/>
      <c r="XBG80" s="2567"/>
      <c r="XBH80" s="2567"/>
      <c r="XBI80" s="2567"/>
      <c r="XBJ80" s="2567"/>
      <c r="XBK80" s="2567"/>
      <c r="XBL80" s="2567"/>
      <c r="XBM80" s="2567"/>
      <c r="XBN80" s="2567"/>
      <c r="XBO80" s="2567"/>
      <c r="XBP80" s="2567"/>
      <c r="XBQ80" s="2567"/>
      <c r="XBR80" s="2567"/>
      <c r="XBS80" s="2567"/>
      <c r="XBT80" s="2567"/>
      <c r="XBU80" s="2567"/>
      <c r="XBV80" s="2567"/>
      <c r="XBW80" s="2567"/>
      <c r="XBX80" s="2567"/>
      <c r="XBY80" s="2567"/>
      <c r="XBZ80" s="2567"/>
      <c r="XCA80" s="2567"/>
      <c r="XCB80" s="2567"/>
      <c r="XCC80" s="2567"/>
      <c r="XCD80" s="2567"/>
      <c r="XCE80" s="2567"/>
      <c r="XCF80" s="2567"/>
      <c r="XCG80" s="2567"/>
      <c r="XCH80" s="2567"/>
      <c r="XCI80" s="2567"/>
      <c r="XCJ80" s="2567"/>
      <c r="XCK80" s="2567"/>
      <c r="XCL80" s="2567"/>
      <c r="XCM80" s="2567"/>
      <c r="XCN80" s="2567"/>
      <c r="XCO80" s="2567"/>
      <c r="XCP80" s="2567"/>
      <c r="XCQ80" s="2567"/>
      <c r="XCR80" s="2567"/>
      <c r="XCS80" s="2567"/>
      <c r="XCT80" s="2567"/>
      <c r="XCU80" s="2567"/>
      <c r="XCV80" s="2567"/>
      <c r="XCW80" s="2567"/>
      <c r="XCX80" s="2567"/>
      <c r="XCY80" s="2567"/>
      <c r="XCZ80" s="2567"/>
      <c r="XDA80" s="2567"/>
      <c r="XDB80" s="2567"/>
      <c r="XDC80" s="2567"/>
      <c r="XDD80" s="2567"/>
      <c r="XDE80" s="2567"/>
      <c r="XDF80" s="2567"/>
      <c r="XDG80" s="2567"/>
      <c r="XDH80" s="2567"/>
      <c r="XDI80" s="2567"/>
      <c r="XDJ80" s="2567"/>
      <c r="XDK80" s="2567"/>
      <c r="XDL80" s="2567"/>
      <c r="XDM80" s="2567"/>
      <c r="XDN80" s="2567"/>
      <c r="XDO80" s="2567"/>
      <c r="XDP80" s="2567"/>
      <c r="XDQ80" s="2567"/>
      <c r="XDR80" s="2567"/>
      <c r="XDS80" s="2567"/>
      <c r="XDT80" s="2567"/>
      <c r="XDU80" s="2567"/>
      <c r="XDV80" s="2567"/>
      <c r="XDW80" s="2567"/>
      <c r="XDX80" s="2567"/>
      <c r="XDY80" s="2567"/>
      <c r="XDZ80" s="2567"/>
      <c r="XEA80" s="2567"/>
      <c r="XEB80" s="2567"/>
      <c r="XEC80" s="2567"/>
      <c r="XED80" s="2567"/>
      <c r="XEE80" s="2567"/>
      <c r="XEF80" s="2567"/>
      <c r="XEG80" s="2567"/>
      <c r="XEH80" s="2567"/>
      <c r="XEI80" s="2567"/>
      <c r="XEJ80" s="2567"/>
      <c r="XEK80" s="2567"/>
      <c r="XEL80" s="2567"/>
      <c r="XEM80" s="2567"/>
      <c r="XEN80" s="2567"/>
      <c r="XEO80" s="2567"/>
      <c r="XEP80" s="2567"/>
      <c r="XEQ80" s="2567"/>
      <c r="XER80" s="2567"/>
      <c r="XES80" s="2567"/>
      <c r="XET80" s="2567"/>
      <c r="XEU80" s="2567"/>
      <c r="XEV80" s="2567"/>
      <c r="XEW80" s="2567"/>
      <c r="XEX80" s="2567"/>
      <c r="XEY80" s="2567"/>
      <c r="XEZ80" s="2567"/>
      <c r="XFA80" s="2567"/>
      <c r="XFB80" s="2567"/>
      <c r="XFC80" s="2567"/>
      <c r="XFD80" s="2567"/>
    </row>
    <row r="81" spans="1:16384" s="2822" customFormat="1" ht="27.75" customHeight="1">
      <c r="A81" s="2499"/>
      <c r="B81" s="2642" t="s">
        <v>793</v>
      </c>
      <c r="C81" s="2823">
        <f>SUM(C75:C79)</f>
        <v>0</v>
      </c>
      <c r="D81" s="2823"/>
      <c r="E81" s="2824">
        <f>SUM(E75:E79)</f>
        <v>0</v>
      </c>
      <c r="F81" s="725"/>
      <c r="G81" s="2644" t="str">
        <f>G42</f>
        <v>Ebitda / Servicio de la Deuda Año Anterior</v>
      </c>
      <c r="H81" s="2645">
        <f>IF(('Balances y Proyecciones'!Q17)&lt;&gt;360,'Balances y Proyecciones'!AV741,'Balances y Proyecciones'!AV741)</f>
        <v>0</v>
      </c>
      <c r="I81" s="2645"/>
      <c r="J81" s="2646">
        <f>IF(('Balances y Proyecciones'!Q17)&lt;&gt;360,'Balances y Proyecciones'!BB741,'Balances y Proyecciones'!BB741)</f>
        <v>0</v>
      </c>
      <c r="K81" s="2499"/>
      <c r="L81" s="2499"/>
      <c r="M81" s="2499"/>
      <c r="N81" s="2825" t="s">
        <v>138</v>
      </c>
      <c r="O81" s="2826" t="s">
        <v>1757</v>
      </c>
      <c r="P81" s="2499"/>
      <c r="Q81" s="4099" t="s">
        <v>1758</v>
      </c>
      <c r="R81" s="4100"/>
      <c r="S81" s="4100" t="s">
        <v>1759</v>
      </c>
      <c r="T81" s="4101"/>
      <c r="U81" s="2499"/>
      <c r="V81" s="2499"/>
      <c r="W81" s="2499"/>
      <c r="X81" s="2499"/>
      <c r="Y81" s="2499"/>
      <c r="Z81" s="2499"/>
      <c r="AA81" s="2499"/>
      <c r="AB81" s="2499"/>
      <c r="AC81" s="2499"/>
      <c r="AD81" s="2499"/>
      <c r="AE81" s="2499"/>
      <c r="AF81" s="2567"/>
      <c r="AG81" s="2567"/>
      <c r="AH81" s="2567"/>
      <c r="AI81" s="2567"/>
      <c r="AJ81" s="2567"/>
      <c r="AK81" s="2567"/>
      <c r="AL81" s="2567"/>
      <c r="AM81" s="2567"/>
      <c r="AN81" s="2567"/>
      <c r="AO81" s="2567"/>
      <c r="AP81" s="2567"/>
      <c r="AQ81" s="2567"/>
      <c r="AR81" s="2567"/>
      <c r="AS81" s="2567"/>
      <c r="AT81" s="2567"/>
      <c r="AU81" s="2567"/>
      <c r="AV81" s="2567"/>
      <c r="AW81" s="2499"/>
      <c r="AX81" s="2499"/>
      <c r="AY81" s="2499"/>
      <c r="AZ81" s="2499"/>
      <c r="BA81" s="2499"/>
      <c r="BB81" s="2499"/>
      <c r="BC81" s="2499"/>
      <c r="BD81" s="2499"/>
      <c r="BE81" s="2499"/>
      <c r="BF81" s="2499"/>
      <c r="BG81" s="2499"/>
      <c r="BH81" s="2499"/>
      <c r="BI81" s="2499"/>
      <c r="BJ81" s="2499"/>
      <c r="BK81" s="2499"/>
      <c r="BL81" s="2499"/>
      <c r="BM81" s="2499"/>
      <c r="BN81" s="2499"/>
      <c r="BO81" s="2499"/>
      <c r="BP81" s="2567"/>
      <c r="BQ81" s="2567"/>
      <c r="BR81" s="2567"/>
      <c r="BS81" s="2567"/>
      <c r="BT81" s="2567"/>
      <c r="BU81" s="2567"/>
      <c r="BV81" s="2567"/>
      <c r="BW81" s="2567"/>
      <c r="BX81" s="2567"/>
      <c r="BY81" s="2567"/>
      <c r="BZ81" s="2567"/>
      <c r="CA81" s="2567"/>
      <c r="CB81" s="2567"/>
      <c r="CC81" s="2567"/>
      <c r="CD81" s="2567"/>
      <c r="CE81" s="2567"/>
      <c r="CF81" s="2567"/>
      <c r="CG81" s="2567"/>
      <c r="CH81" s="2567"/>
      <c r="CI81" s="2567"/>
      <c r="CJ81" s="2567"/>
      <c r="CK81" s="2567"/>
      <c r="CL81" s="2567"/>
      <c r="CM81" s="2567"/>
      <c r="CN81" s="2567"/>
      <c r="CO81" s="2567"/>
      <c r="CP81" s="2567"/>
      <c r="CQ81" s="2567"/>
      <c r="CR81" s="2567"/>
      <c r="CS81" s="2567"/>
      <c r="CT81" s="2567"/>
      <c r="CU81" s="2567"/>
      <c r="CV81" s="2567"/>
      <c r="CW81" s="2567"/>
      <c r="CX81" s="2567"/>
      <c r="CY81" s="2567"/>
      <c r="CZ81" s="2567"/>
      <c r="DA81" s="2567"/>
      <c r="DB81" s="2567"/>
      <c r="DC81" s="2567"/>
      <c r="DD81" s="2567"/>
      <c r="DE81" s="2567"/>
      <c r="DF81" s="2567"/>
      <c r="DG81" s="2567"/>
      <c r="DH81" s="2567"/>
      <c r="DI81" s="2567"/>
      <c r="DJ81" s="2567"/>
      <c r="DK81" s="2567"/>
      <c r="DL81" s="2567"/>
      <c r="DM81" s="2567"/>
      <c r="DN81" s="2567"/>
      <c r="DO81" s="2567"/>
      <c r="DP81" s="2567"/>
      <c r="DQ81" s="2567"/>
      <c r="DR81" s="2567"/>
      <c r="DS81" s="2567"/>
      <c r="DT81" s="2567"/>
      <c r="DU81" s="2567"/>
      <c r="DV81" s="2567"/>
      <c r="DW81" s="2567"/>
      <c r="DX81" s="2567"/>
      <c r="DY81" s="2567"/>
      <c r="DZ81" s="2567"/>
      <c r="EA81" s="2567"/>
      <c r="EB81" s="2567"/>
      <c r="EC81" s="2567"/>
      <c r="ED81" s="2567"/>
      <c r="EE81" s="2567"/>
      <c r="EF81" s="2567"/>
      <c r="EG81" s="2567"/>
      <c r="EH81" s="2567"/>
      <c r="EI81" s="2567"/>
      <c r="EJ81" s="2567"/>
      <c r="EK81" s="2567"/>
      <c r="EL81" s="2567"/>
      <c r="EM81" s="2567"/>
      <c r="EN81" s="2567"/>
      <c r="EO81" s="2567"/>
      <c r="EP81" s="2567"/>
      <c r="EQ81" s="2567"/>
      <c r="ER81" s="2567"/>
      <c r="ES81" s="2567"/>
      <c r="ET81" s="2567"/>
      <c r="EU81" s="2567"/>
      <c r="EV81" s="2567"/>
      <c r="EW81" s="2567"/>
      <c r="EX81" s="2567"/>
      <c r="EY81" s="2567"/>
      <c r="EZ81" s="2567"/>
      <c r="FA81" s="2567"/>
      <c r="FB81" s="2567"/>
      <c r="FC81" s="2567"/>
      <c r="FD81" s="2567"/>
      <c r="FE81" s="2567"/>
      <c r="FF81" s="2567"/>
      <c r="FG81" s="2567"/>
      <c r="FH81" s="2567"/>
      <c r="FI81" s="2567"/>
      <c r="FJ81" s="2567"/>
      <c r="FK81" s="2567"/>
      <c r="FL81" s="2567"/>
      <c r="FM81" s="2567"/>
      <c r="FN81" s="2567"/>
      <c r="FO81" s="2567"/>
      <c r="FP81" s="2567"/>
      <c r="FQ81" s="2567"/>
      <c r="FR81" s="2567"/>
      <c r="FS81" s="2567"/>
      <c r="FT81" s="2567"/>
      <c r="FU81" s="2567"/>
      <c r="FV81" s="2567"/>
      <c r="FW81" s="2567"/>
      <c r="FX81" s="2567"/>
      <c r="FY81" s="2567"/>
      <c r="FZ81" s="2567"/>
      <c r="GA81" s="2567"/>
      <c r="GB81" s="2567"/>
      <c r="GC81" s="2567"/>
      <c r="GD81" s="2567"/>
      <c r="GE81" s="2567"/>
      <c r="GF81" s="2567"/>
      <c r="GG81" s="2567"/>
      <c r="GH81" s="2567"/>
      <c r="GI81" s="2567"/>
      <c r="GJ81" s="2567"/>
      <c r="GK81" s="2567"/>
      <c r="GL81" s="2567"/>
      <c r="GM81" s="2567"/>
      <c r="GN81" s="2567"/>
      <c r="GO81" s="2567"/>
      <c r="GP81" s="2567"/>
      <c r="GQ81" s="2567"/>
      <c r="GR81" s="2567"/>
      <c r="GS81" s="2567"/>
      <c r="GT81" s="2567"/>
      <c r="GU81" s="2567"/>
      <c r="GV81" s="2567"/>
      <c r="GW81" s="2567"/>
      <c r="GX81" s="2567"/>
      <c r="GY81" s="2567"/>
      <c r="GZ81" s="2567"/>
      <c r="HA81" s="2567"/>
      <c r="HB81" s="2567"/>
      <c r="HC81" s="2567"/>
      <c r="HD81" s="2567"/>
      <c r="HE81" s="2567"/>
      <c r="HF81" s="2567"/>
      <c r="HG81" s="2567"/>
      <c r="HH81" s="2567"/>
      <c r="HI81" s="2567"/>
      <c r="HJ81" s="2567"/>
      <c r="HK81" s="2567"/>
      <c r="HL81" s="2567"/>
      <c r="HM81" s="2567"/>
      <c r="HN81" s="2567"/>
      <c r="HO81" s="2567"/>
      <c r="HP81" s="2567"/>
      <c r="HQ81" s="2567"/>
      <c r="HR81" s="2567"/>
      <c r="HS81" s="2567"/>
      <c r="HT81" s="2567"/>
      <c r="HU81" s="2567"/>
      <c r="HV81" s="2567"/>
      <c r="HW81" s="2567"/>
      <c r="HX81" s="2567"/>
      <c r="HY81" s="2567"/>
      <c r="HZ81" s="2567"/>
      <c r="IA81" s="2567"/>
      <c r="IB81" s="2567"/>
      <c r="IC81" s="2567"/>
      <c r="ID81" s="2567"/>
      <c r="IE81" s="2567"/>
      <c r="IF81" s="2567"/>
      <c r="IG81" s="2567"/>
      <c r="IH81" s="2567"/>
      <c r="II81" s="2567"/>
      <c r="IJ81" s="2567"/>
      <c r="IK81" s="2567"/>
      <c r="IL81" s="2567"/>
      <c r="IM81" s="2567"/>
      <c r="IN81" s="2567"/>
      <c r="IO81" s="2567"/>
      <c r="IP81" s="2567"/>
      <c r="IQ81" s="2567"/>
      <c r="IR81" s="2567"/>
      <c r="IS81" s="2567"/>
      <c r="IT81" s="2567"/>
      <c r="IU81" s="2567"/>
      <c r="IV81" s="2567"/>
      <c r="IW81" s="2567"/>
      <c r="IX81" s="2567"/>
      <c r="IY81" s="2567"/>
      <c r="IZ81" s="2567"/>
      <c r="JA81" s="2567"/>
      <c r="JB81" s="2567"/>
      <c r="JC81" s="2567"/>
      <c r="JD81" s="2567"/>
      <c r="JE81" s="2567"/>
      <c r="JF81" s="2567"/>
      <c r="JG81" s="2567"/>
      <c r="JH81" s="2567"/>
      <c r="JI81" s="2567"/>
      <c r="JJ81" s="2567"/>
      <c r="JK81" s="2567"/>
      <c r="JL81" s="2567"/>
      <c r="JM81" s="2567"/>
      <c r="JN81" s="2567"/>
      <c r="JO81" s="2567"/>
      <c r="JP81" s="2567"/>
      <c r="JQ81" s="2567"/>
      <c r="JR81" s="2567"/>
      <c r="JS81" s="2567"/>
      <c r="JT81" s="2567"/>
      <c r="JU81" s="2567"/>
      <c r="JV81" s="2567"/>
      <c r="JW81" s="2567"/>
      <c r="JX81" s="2567"/>
      <c r="JY81" s="2567"/>
      <c r="JZ81" s="2567"/>
      <c r="KA81" s="2567"/>
      <c r="KB81" s="2567"/>
      <c r="KC81" s="2567"/>
      <c r="KD81" s="2567"/>
      <c r="KE81" s="2567"/>
      <c r="KF81" s="2567"/>
      <c r="KG81" s="2567"/>
      <c r="KH81" s="2567"/>
      <c r="KI81" s="2567"/>
      <c r="KJ81" s="2567"/>
      <c r="KK81" s="2567"/>
      <c r="KL81" s="2567"/>
      <c r="KM81" s="2567"/>
      <c r="KN81" s="2567"/>
      <c r="KO81" s="2567"/>
      <c r="KP81" s="2567"/>
      <c r="KQ81" s="2567"/>
      <c r="KR81" s="2567"/>
      <c r="KS81" s="2567"/>
      <c r="KT81" s="2567"/>
      <c r="KU81" s="2567"/>
      <c r="KV81" s="2567"/>
      <c r="KW81" s="2567"/>
      <c r="KX81" s="2567"/>
      <c r="KY81" s="2567"/>
      <c r="KZ81" s="2567"/>
      <c r="LA81" s="2567"/>
      <c r="LB81" s="2567"/>
      <c r="LC81" s="2567"/>
      <c r="LD81" s="2567"/>
      <c r="LE81" s="2567"/>
      <c r="LF81" s="2567"/>
      <c r="LG81" s="2567"/>
      <c r="LH81" s="2567"/>
      <c r="LI81" s="2567"/>
      <c r="LJ81" s="2567"/>
      <c r="LK81" s="2567"/>
      <c r="LL81" s="2567"/>
      <c r="LM81" s="2567"/>
      <c r="LN81" s="2567"/>
      <c r="LO81" s="2567"/>
      <c r="LP81" s="2567"/>
      <c r="LQ81" s="2567"/>
      <c r="LR81" s="2567"/>
      <c r="LS81" s="2567"/>
      <c r="LT81" s="2567"/>
      <c r="LU81" s="2567"/>
      <c r="LV81" s="2567"/>
      <c r="LW81" s="2567"/>
      <c r="LX81" s="2567"/>
      <c r="LY81" s="2567"/>
      <c r="LZ81" s="2567"/>
      <c r="MA81" s="2567"/>
      <c r="MB81" s="2567"/>
      <c r="MC81" s="2567"/>
      <c r="MD81" s="2567"/>
      <c r="ME81" s="2567"/>
      <c r="MF81" s="2567"/>
      <c r="MG81" s="2567"/>
      <c r="MH81" s="2567"/>
      <c r="MI81" s="2567"/>
      <c r="MJ81" s="2567"/>
      <c r="MK81" s="2567"/>
      <c r="ML81" s="2567"/>
      <c r="MM81" s="2567"/>
      <c r="MN81" s="2567"/>
      <c r="MO81" s="2567"/>
      <c r="MP81" s="2567"/>
      <c r="MQ81" s="2567"/>
      <c r="MR81" s="2567"/>
      <c r="MS81" s="2567"/>
      <c r="MT81" s="2567"/>
      <c r="MU81" s="2567"/>
      <c r="MV81" s="2567"/>
      <c r="MW81" s="2567"/>
      <c r="MX81" s="2567"/>
      <c r="MY81" s="2567"/>
      <c r="MZ81" s="2567"/>
      <c r="NA81" s="2567"/>
      <c r="NB81" s="2567"/>
      <c r="NC81" s="2567"/>
      <c r="ND81" s="2567"/>
      <c r="NE81" s="2567"/>
      <c r="NF81" s="2567"/>
      <c r="NG81" s="2567"/>
      <c r="NH81" s="2567"/>
      <c r="NI81" s="2567"/>
      <c r="NJ81" s="2567"/>
      <c r="NK81" s="2567"/>
      <c r="NL81" s="2567"/>
      <c r="NM81" s="2567"/>
      <c r="NN81" s="2567"/>
      <c r="NO81" s="2567"/>
      <c r="NP81" s="2567"/>
      <c r="NQ81" s="2567"/>
      <c r="NR81" s="2567"/>
      <c r="NS81" s="2567"/>
      <c r="NT81" s="2567"/>
      <c r="NU81" s="2567"/>
      <c r="NV81" s="2567"/>
      <c r="NW81" s="2567"/>
      <c r="NX81" s="2567"/>
      <c r="NY81" s="2567"/>
      <c r="NZ81" s="2567"/>
      <c r="OA81" s="2567"/>
      <c r="OB81" s="2567"/>
      <c r="OC81" s="2567"/>
      <c r="OD81" s="2567"/>
      <c r="OE81" s="2567"/>
      <c r="OF81" s="2567"/>
      <c r="OG81" s="2567"/>
      <c r="OH81" s="2567"/>
      <c r="OI81" s="2567"/>
      <c r="OJ81" s="2567"/>
      <c r="OK81" s="2567"/>
      <c r="OL81" s="2567"/>
      <c r="OM81" s="2567"/>
      <c r="ON81" s="2567"/>
      <c r="OO81" s="2567"/>
      <c r="OP81" s="2567"/>
      <c r="OQ81" s="2567"/>
      <c r="OR81" s="2567"/>
      <c r="OS81" s="2567"/>
      <c r="OT81" s="2567"/>
      <c r="OU81" s="2567"/>
      <c r="OV81" s="2567"/>
      <c r="OW81" s="2567"/>
      <c r="OX81" s="2567"/>
      <c r="OY81" s="2567"/>
      <c r="OZ81" s="2567"/>
      <c r="PA81" s="2567"/>
      <c r="PB81" s="2567"/>
      <c r="PC81" s="2567"/>
      <c r="PD81" s="2567"/>
      <c r="PE81" s="2567"/>
      <c r="PF81" s="2567"/>
      <c r="PG81" s="2567"/>
      <c r="PH81" s="2567"/>
      <c r="PI81" s="2567"/>
      <c r="PJ81" s="2567"/>
      <c r="PK81" s="2567"/>
      <c r="PL81" s="2567"/>
      <c r="PM81" s="2567"/>
      <c r="PN81" s="2567"/>
      <c r="PO81" s="2567"/>
      <c r="PP81" s="2567"/>
      <c r="PQ81" s="2567"/>
      <c r="PR81" s="2567"/>
      <c r="PS81" s="2567"/>
      <c r="PT81" s="2567"/>
      <c r="PU81" s="2567"/>
      <c r="PV81" s="2567"/>
      <c r="PW81" s="2567"/>
      <c r="PX81" s="2567"/>
      <c r="PY81" s="2567"/>
      <c r="PZ81" s="2567"/>
      <c r="QA81" s="2567"/>
      <c r="QB81" s="2567"/>
      <c r="QC81" s="2567"/>
      <c r="QD81" s="2567"/>
      <c r="QE81" s="2567"/>
      <c r="QF81" s="2567"/>
      <c r="QG81" s="2567"/>
      <c r="QH81" s="2567"/>
      <c r="QI81" s="2567"/>
      <c r="QJ81" s="2567"/>
      <c r="QK81" s="2567"/>
      <c r="QL81" s="2567"/>
      <c r="QM81" s="2567"/>
      <c r="QN81" s="2567"/>
      <c r="QO81" s="2567"/>
      <c r="QP81" s="2567"/>
      <c r="QQ81" s="2567"/>
      <c r="QR81" s="2567"/>
      <c r="QS81" s="2567"/>
      <c r="QT81" s="2567"/>
      <c r="QU81" s="2567"/>
      <c r="QV81" s="2567"/>
      <c r="QW81" s="2567"/>
      <c r="QX81" s="2567"/>
      <c r="QY81" s="2567"/>
      <c r="QZ81" s="2567"/>
      <c r="RA81" s="2567"/>
      <c r="RB81" s="2567"/>
      <c r="RC81" s="2567"/>
      <c r="RD81" s="2567"/>
      <c r="RE81" s="2567"/>
      <c r="RF81" s="2567"/>
      <c r="RG81" s="2567"/>
      <c r="RH81" s="2567"/>
      <c r="RI81" s="2567"/>
      <c r="RJ81" s="2567"/>
      <c r="RK81" s="2567"/>
      <c r="RL81" s="2567"/>
      <c r="RM81" s="2567"/>
      <c r="RN81" s="2567"/>
      <c r="RO81" s="2567"/>
      <c r="RP81" s="2567"/>
      <c r="RQ81" s="2567"/>
      <c r="RR81" s="2567"/>
      <c r="RS81" s="2567"/>
      <c r="RT81" s="2567"/>
      <c r="RU81" s="2567"/>
      <c r="RV81" s="2567"/>
      <c r="RW81" s="2567"/>
      <c r="RX81" s="2567"/>
      <c r="RY81" s="2567"/>
      <c r="RZ81" s="2567"/>
      <c r="SA81" s="2567"/>
      <c r="SB81" s="2567"/>
      <c r="SC81" s="2567"/>
      <c r="SD81" s="2567"/>
      <c r="SE81" s="2567"/>
      <c r="SF81" s="2567"/>
      <c r="SG81" s="2567"/>
      <c r="SH81" s="2567"/>
      <c r="SI81" s="2567"/>
      <c r="SJ81" s="2567"/>
      <c r="SK81" s="2567"/>
      <c r="SL81" s="2567"/>
      <c r="SM81" s="2567"/>
      <c r="SN81" s="2567"/>
      <c r="SO81" s="2567"/>
      <c r="SP81" s="2567"/>
      <c r="SQ81" s="2567"/>
      <c r="SR81" s="2567"/>
      <c r="SS81" s="2567"/>
      <c r="ST81" s="2567"/>
      <c r="SU81" s="2567"/>
      <c r="SV81" s="2567"/>
      <c r="SW81" s="2567"/>
      <c r="SX81" s="2567"/>
      <c r="SY81" s="2567"/>
      <c r="SZ81" s="2567"/>
      <c r="TA81" s="2567"/>
      <c r="TB81" s="2567"/>
      <c r="TC81" s="2567"/>
      <c r="TD81" s="2567"/>
      <c r="TE81" s="2567"/>
      <c r="TF81" s="2567"/>
      <c r="TG81" s="2567"/>
      <c r="TH81" s="2567"/>
      <c r="TI81" s="2567"/>
      <c r="TJ81" s="2567"/>
      <c r="TK81" s="2567"/>
      <c r="TL81" s="2567"/>
      <c r="TM81" s="2567"/>
      <c r="TN81" s="2567"/>
      <c r="TO81" s="2567"/>
      <c r="TP81" s="2567"/>
      <c r="TQ81" s="2567"/>
      <c r="TR81" s="2567"/>
      <c r="TS81" s="2567"/>
      <c r="TT81" s="2567"/>
      <c r="TU81" s="2567"/>
      <c r="TV81" s="2567"/>
      <c r="TW81" s="2567"/>
      <c r="TX81" s="2567"/>
      <c r="TY81" s="2567"/>
      <c r="TZ81" s="2567"/>
      <c r="UA81" s="2567"/>
      <c r="UB81" s="2567"/>
      <c r="UC81" s="2567"/>
      <c r="UD81" s="2567"/>
      <c r="UE81" s="2567"/>
      <c r="UF81" s="2567"/>
      <c r="UG81" s="2567"/>
      <c r="UH81" s="2567"/>
      <c r="UI81" s="2567"/>
      <c r="UJ81" s="2567"/>
      <c r="UK81" s="2567"/>
      <c r="UL81" s="2567"/>
      <c r="UM81" s="2567"/>
      <c r="UN81" s="2567"/>
      <c r="UO81" s="2567"/>
      <c r="UP81" s="2567"/>
      <c r="UQ81" s="2567"/>
      <c r="UR81" s="2567"/>
      <c r="US81" s="2567"/>
      <c r="UT81" s="2567"/>
      <c r="UU81" s="2567"/>
      <c r="UV81" s="2567"/>
      <c r="UW81" s="2567"/>
      <c r="UX81" s="2567"/>
      <c r="UY81" s="2567"/>
      <c r="UZ81" s="2567"/>
      <c r="VA81" s="2567"/>
      <c r="VB81" s="2567"/>
      <c r="VC81" s="2567"/>
      <c r="VD81" s="2567"/>
      <c r="VE81" s="2567"/>
      <c r="VF81" s="2567"/>
      <c r="VG81" s="2567"/>
      <c r="VH81" s="2567"/>
      <c r="VI81" s="2567"/>
      <c r="VJ81" s="2567"/>
      <c r="VK81" s="2567"/>
      <c r="VL81" s="2567"/>
      <c r="VM81" s="2567"/>
      <c r="VN81" s="2567"/>
      <c r="VO81" s="2567"/>
      <c r="VP81" s="2567"/>
      <c r="VQ81" s="2567"/>
      <c r="VR81" s="2567"/>
      <c r="VS81" s="2567"/>
      <c r="VT81" s="2567"/>
      <c r="VU81" s="2567"/>
      <c r="VV81" s="2567"/>
      <c r="VW81" s="2567"/>
      <c r="VX81" s="2567"/>
      <c r="VY81" s="2567"/>
      <c r="VZ81" s="2567"/>
      <c r="WA81" s="2567"/>
      <c r="WB81" s="2567"/>
      <c r="WC81" s="2567"/>
      <c r="WD81" s="2567"/>
      <c r="WE81" s="2567"/>
      <c r="WF81" s="2567"/>
      <c r="WG81" s="2567"/>
      <c r="WH81" s="2567"/>
      <c r="WI81" s="2567"/>
      <c r="WJ81" s="2567"/>
      <c r="WK81" s="2567"/>
      <c r="WL81" s="2567"/>
      <c r="WM81" s="2567"/>
      <c r="WN81" s="2567"/>
      <c r="WO81" s="2567"/>
      <c r="WP81" s="2567"/>
      <c r="WQ81" s="2567"/>
      <c r="WR81" s="2567"/>
      <c r="WS81" s="2567"/>
      <c r="WT81" s="2567"/>
      <c r="WU81" s="2567"/>
      <c r="WV81" s="2567"/>
      <c r="WW81" s="2567"/>
      <c r="WX81" s="2567"/>
      <c r="WY81" s="2567"/>
      <c r="WZ81" s="2567"/>
      <c r="XA81" s="2567"/>
      <c r="XB81" s="2567"/>
      <c r="XC81" s="2567"/>
      <c r="XD81" s="2567"/>
      <c r="XE81" s="2567"/>
      <c r="XF81" s="2567"/>
      <c r="XG81" s="2567"/>
      <c r="XH81" s="2567"/>
      <c r="XI81" s="2567"/>
      <c r="XJ81" s="2567"/>
      <c r="XK81" s="2567"/>
      <c r="XL81" s="2567"/>
      <c r="XM81" s="2567"/>
      <c r="XN81" s="2567"/>
      <c r="XO81" s="2567"/>
      <c r="XP81" s="2567"/>
      <c r="XQ81" s="2567"/>
      <c r="XR81" s="2567"/>
      <c r="XS81" s="2567"/>
      <c r="XT81" s="2567"/>
      <c r="XU81" s="2567"/>
      <c r="XV81" s="2567"/>
      <c r="XW81" s="2567"/>
      <c r="XX81" s="2567"/>
      <c r="XY81" s="2567"/>
      <c r="XZ81" s="2567"/>
      <c r="YA81" s="2567"/>
      <c r="YB81" s="2567"/>
      <c r="YC81" s="2567"/>
      <c r="YD81" s="2567"/>
      <c r="YE81" s="2567"/>
      <c r="YF81" s="2567"/>
      <c r="YG81" s="2567"/>
      <c r="YH81" s="2567"/>
      <c r="YI81" s="2567"/>
      <c r="YJ81" s="2567"/>
      <c r="YK81" s="2567"/>
      <c r="YL81" s="2567"/>
      <c r="YM81" s="2567"/>
      <c r="YN81" s="2567"/>
      <c r="YO81" s="2567"/>
      <c r="YP81" s="2567"/>
      <c r="YQ81" s="2567"/>
      <c r="YR81" s="2567"/>
      <c r="YS81" s="2567"/>
      <c r="YT81" s="2567"/>
      <c r="YU81" s="2567"/>
      <c r="YV81" s="2567"/>
      <c r="YW81" s="2567"/>
      <c r="YX81" s="2567"/>
      <c r="YY81" s="2567"/>
      <c r="YZ81" s="2567"/>
      <c r="ZA81" s="2567"/>
      <c r="ZB81" s="2567"/>
      <c r="ZC81" s="2567"/>
      <c r="ZD81" s="2567"/>
      <c r="ZE81" s="2567"/>
      <c r="ZF81" s="2567"/>
      <c r="ZG81" s="2567"/>
      <c r="ZH81" s="2567"/>
      <c r="ZI81" s="2567"/>
      <c r="ZJ81" s="2567"/>
      <c r="ZK81" s="2567"/>
      <c r="ZL81" s="2567"/>
      <c r="ZM81" s="2567"/>
      <c r="ZN81" s="2567"/>
      <c r="ZO81" s="2567"/>
      <c r="ZP81" s="2567"/>
      <c r="ZQ81" s="2567"/>
      <c r="ZR81" s="2567"/>
      <c r="ZS81" s="2567"/>
      <c r="ZT81" s="2567"/>
      <c r="ZU81" s="2567"/>
      <c r="ZV81" s="2567"/>
      <c r="ZW81" s="2567"/>
      <c r="ZX81" s="2567"/>
      <c r="ZY81" s="2567"/>
      <c r="ZZ81" s="2567"/>
      <c r="AAA81" s="2567"/>
      <c r="AAB81" s="2567"/>
      <c r="AAC81" s="2567"/>
      <c r="AAD81" s="2567"/>
      <c r="AAE81" s="2567"/>
      <c r="AAF81" s="2567"/>
      <c r="AAG81" s="2567"/>
      <c r="AAH81" s="2567"/>
      <c r="AAI81" s="2567"/>
      <c r="AAJ81" s="2567"/>
      <c r="AAK81" s="2567"/>
      <c r="AAL81" s="2567"/>
      <c r="AAM81" s="2567"/>
      <c r="AAN81" s="2567"/>
      <c r="AAO81" s="2567"/>
      <c r="AAP81" s="2567"/>
      <c r="AAQ81" s="2567"/>
      <c r="AAR81" s="2567"/>
      <c r="AAS81" s="2567"/>
      <c r="AAT81" s="2567"/>
      <c r="AAU81" s="2567"/>
      <c r="AAV81" s="2567"/>
      <c r="AAW81" s="2567"/>
      <c r="AAX81" s="2567"/>
      <c r="AAY81" s="2567"/>
      <c r="AAZ81" s="2567"/>
      <c r="ABA81" s="2567"/>
      <c r="ABB81" s="2567"/>
      <c r="ABC81" s="2567"/>
      <c r="ABD81" s="2567"/>
      <c r="ABE81" s="2567"/>
      <c r="ABF81" s="2567"/>
      <c r="ABG81" s="2567"/>
      <c r="ABH81" s="2567"/>
      <c r="ABI81" s="2567"/>
      <c r="ABJ81" s="2567"/>
      <c r="ABK81" s="2567"/>
      <c r="ABL81" s="2567"/>
      <c r="ABM81" s="2567"/>
      <c r="ABN81" s="2567"/>
      <c r="ABO81" s="2567"/>
      <c r="ABP81" s="2567"/>
      <c r="ABQ81" s="2567"/>
      <c r="ABR81" s="2567"/>
      <c r="ABS81" s="2567"/>
      <c r="ABT81" s="2567"/>
      <c r="ABU81" s="2567"/>
      <c r="ABV81" s="2567"/>
      <c r="ABW81" s="2567"/>
      <c r="ABX81" s="2567"/>
      <c r="ABY81" s="2567"/>
      <c r="ABZ81" s="2567"/>
      <c r="ACA81" s="2567"/>
      <c r="ACB81" s="2567"/>
      <c r="ACC81" s="2567"/>
      <c r="ACD81" s="2567"/>
      <c r="ACE81" s="2567"/>
      <c r="ACF81" s="2567"/>
      <c r="ACG81" s="2567"/>
      <c r="ACH81" s="2567"/>
      <c r="ACI81" s="2567"/>
      <c r="ACJ81" s="2567"/>
      <c r="ACK81" s="2567"/>
      <c r="ACL81" s="2567"/>
      <c r="ACM81" s="2567"/>
      <c r="ACN81" s="2567"/>
      <c r="ACO81" s="2567"/>
      <c r="ACP81" s="2567"/>
      <c r="ACQ81" s="2567"/>
      <c r="ACR81" s="2567"/>
      <c r="ACS81" s="2567"/>
      <c r="ACT81" s="2567"/>
      <c r="ACU81" s="2567"/>
      <c r="ACV81" s="2567"/>
      <c r="ACW81" s="2567"/>
      <c r="ACX81" s="2567"/>
      <c r="ACY81" s="2567"/>
      <c r="ACZ81" s="2567"/>
      <c r="ADA81" s="2567"/>
      <c r="ADB81" s="2567"/>
      <c r="ADC81" s="2567"/>
      <c r="ADD81" s="2567"/>
      <c r="ADE81" s="2567"/>
      <c r="ADF81" s="2567"/>
      <c r="ADG81" s="2567"/>
      <c r="ADH81" s="2567"/>
      <c r="ADI81" s="2567"/>
      <c r="ADJ81" s="2567"/>
      <c r="ADK81" s="2567"/>
      <c r="ADL81" s="2567"/>
      <c r="ADM81" s="2567"/>
      <c r="ADN81" s="2567"/>
      <c r="ADO81" s="2567"/>
      <c r="ADP81" s="2567"/>
      <c r="ADQ81" s="2567"/>
      <c r="ADR81" s="2567"/>
      <c r="ADS81" s="2567"/>
      <c r="ADT81" s="2567"/>
      <c r="ADU81" s="2567"/>
      <c r="ADV81" s="2567"/>
      <c r="ADW81" s="2567"/>
      <c r="ADX81" s="2567"/>
      <c r="ADY81" s="2567"/>
      <c r="ADZ81" s="2567"/>
      <c r="AEA81" s="2567"/>
      <c r="AEB81" s="2567"/>
      <c r="AEC81" s="2567"/>
      <c r="AED81" s="2567"/>
      <c r="AEE81" s="2567"/>
      <c r="AEF81" s="2567"/>
      <c r="AEG81" s="2567"/>
      <c r="AEH81" s="2567"/>
      <c r="AEI81" s="2567"/>
      <c r="AEJ81" s="2567"/>
      <c r="AEK81" s="2567"/>
      <c r="AEL81" s="2567"/>
      <c r="AEM81" s="2567"/>
      <c r="AEN81" s="2567"/>
      <c r="AEO81" s="2567"/>
      <c r="AEP81" s="2567"/>
      <c r="AEQ81" s="2567"/>
      <c r="AER81" s="2567"/>
      <c r="AES81" s="2567"/>
      <c r="AET81" s="2567"/>
      <c r="AEU81" s="2567"/>
      <c r="AEV81" s="2567"/>
      <c r="AEW81" s="2567"/>
      <c r="AEX81" s="2567"/>
      <c r="AEY81" s="2567"/>
      <c r="AEZ81" s="2567"/>
      <c r="AFA81" s="2567"/>
      <c r="AFB81" s="2567"/>
      <c r="AFC81" s="2567"/>
      <c r="AFD81" s="2567"/>
      <c r="AFE81" s="2567"/>
      <c r="AFF81" s="2567"/>
      <c r="AFG81" s="2567"/>
      <c r="AFH81" s="2567"/>
      <c r="AFI81" s="2567"/>
      <c r="AFJ81" s="2567"/>
      <c r="AFK81" s="2567"/>
      <c r="AFL81" s="2567"/>
      <c r="AFM81" s="2567"/>
      <c r="AFN81" s="2567"/>
      <c r="AFO81" s="2567"/>
      <c r="AFP81" s="2567"/>
      <c r="AFQ81" s="2567"/>
      <c r="AFR81" s="2567"/>
      <c r="AFS81" s="2567"/>
      <c r="AFT81" s="2567"/>
      <c r="AFU81" s="2567"/>
      <c r="AFV81" s="2567"/>
      <c r="AFW81" s="2567"/>
      <c r="AFX81" s="2567"/>
      <c r="AFY81" s="2567"/>
      <c r="AFZ81" s="2567"/>
      <c r="AGA81" s="2567"/>
      <c r="AGB81" s="2567"/>
      <c r="AGC81" s="2567"/>
      <c r="AGD81" s="2567"/>
      <c r="AGE81" s="2567"/>
      <c r="AGF81" s="2567"/>
      <c r="AGG81" s="2567"/>
      <c r="AGH81" s="2567"/>
      <c r="AGI81" s="2567"/>
      <c r="AGJ81" s="2567"/>
      <c r="AGK81" s="2567"/>
      <c r="AGL81" s="2567"/>
      <c r="AGM81" s="2567"/>
      <c r="AGN81" s="2567"/>
      <c r="AGO81" s="2567"/>
      <c r="AGP81" s="2567"/>
      <c r="AGQ81" s="2567"/>
      <c r="AGR81" s="2567"/>
      <c r="AGS81" s="2567"/>
      <c r="AGT81" s="2567"/>
      <c r="AGU81" s="2567"/>
      <c r="AGV81" s="2567"/>
      <c r="AGW81" s="2567"/>
      <c r="AGX81" s="2567"/>
      <c r="AGY81" s="2567"/>
      <c r="AGZ81" s="2567"/>
      <c r="AHA81" s="2567"/>
      <c r="AHB81" s="2567"/>
      <c r="AHC81" s="2567"/>
      <c r="AHD81" s="2567"/>
      <c r="AHE81" s="2567"/>
      <c r="AHF81" s="2567"/>
      <c r="AHG81" s="2567"/>
      <c r="AHH81" s="2567"/>
      <c r="AHI81" s="2567"/>
      <c r="AHJ81" s="2567"/>
      <c r="AHK81" s="2567"/>
      <c r="AHL81" s="2567"/>
      <c r="AHM81" s="2567"/>
      <c r="AHN81" s="2567"/>
      <c r="AHO81" s="2567"/>
      <c r="AHP81" s="2567"/>
      <c r="AHQ81" s="2567"/>
      <c r="AHR81" s="2567"/>
      <c r="AHS81" s="2567"/>
      <c r="AHT81" s="2567"/>
      <c r="AHU81" s="2567"/>
      <c r="AHV81" s="2567"/>
      <c r="AHW81" s="2567"/>
      <c r="AHX81" s="2567"/>
      <c r="AHY81" s="2567"/>
      <c r="AHZ81" s="2567"/>
      <c r="AIA81" s="2567"/>
      <c r="AIB81" s="2567"/>
      <c r="AIC81" s="2567"/>
      <c r="AID81" s="2567"/>
      <c r="AIE81" s="2567"/>
      <c r="AIF81" s="2567"/>
      <c r="AIG81" s="2567"/>
      <c r="AIH81" s="2567"/>
      <c r="AII81" s="2567"/>
      <c r="AIJ81" s="2567"/>
      <c r="AIK81" s="2567"/>
      <c r="AIL81" s="2567"/>
      <c r="AIM81" s="2567"/>
      <c r="AIN81" s="2567"/>
      <c r="AIO81" s="2567"/>
      <c r="AIP81" s="2567"/>
      <c r="AIQ81" s="2567"/>
      <c r="AIR81" s="2567"/>
      <c r="AIS81" s="2567"/>
      <c r="AIT81" s="2567"/>
      <c r="AIU81" s="2567"/>
      <c r="AIV81" s="2567"/>
      <c r="AIW81" s="2567"/>
      <c r="AIX81" s="2567"/>
      <c r="AIY81" s="2567"/>
      <c r="AIZ81" s="2567"/>
      <c r="AJA81" s="2567"/>
      <c r="AJB81" s="2567"/>
      <c r="AJC81" s="2567"/>
      <c r="AJD81" s="2567"/>
      <c r="AJE81" s="2567"/>
      <c r="AJF81" s="2567"/>
      <c r="AJG81" s="2567"/>
      <c r="AJH81" s="2567"/>
      <c r="AJI81" s="2567"/>
      <c r="AJJ81" s="2567"/>
      <c r="AJK81" s="2567"/>
      <c r="AJL81" s="2567"/>
      <c r="AJM81" s="2567"/>
      <c r="AJN81" s="2567"/>
      <c r="AJO81" s="2567"/>
      <c r="AJP81" s="2567"/>
      <c r="AJQ81" s="2567"/>
      <c r="AJR81" s="2567"/>
      <c r="AJS81" s="2567"/>
      <c r="AJT81" s="2567"/>
      <c r="AJU81" s="2567"/>
      <c r="AJV81" s="2567"/>
      <c r="AJW81" s="2567"/>
      <c r="AJX81" s="2567"/>
      <c r="AJY81" s="2567"/>
      <c r="AJZ81" s="2567"/>
      <c r="AKA81" s="2567"/>
      <c r="AKB81" s="2567"/>
      <c r="AKC81" s="2567"/>
      <c r="AKD81" s="2567"/>
      <c r="AKE81" s="2567"/>
      <c r="AKF81" s="2567"/>
      <c r="AKG81" s="2567"/>
      <c r="AKH81" s="2567"/>
      <c r="AKI81" s="2567"/>
      <c r="AKJ81" s="2567"/>
      <c r="AKK81" s="2567"/>
      <c r="AKL81" s="2567"/>
      <c r="AKM81" s="2567"/>
      <c r="AKN81" s="2567"/>
      <c r="AKO81" s="2567"/>
      <c r="AKP81" s="2567"/>
      <c r="AKQ81" s="2567"/>
      <c r="AKR81" s="2567"/>
      <c r="AKS81" s="2567"/>
      <c r="AKT81" s="2567"/>
      <c r="AKU81" s="2567"/>
      <c r="AKV81" s="2567"/>
      <c r="AKW81" s="2567"/>
      <c r="AKX81" s="2567"/>
      <c r="AKY81" s="2567"/>
      <c r="AKZ81" s="2567"/>
      <c r="ALA81" s="2567"/>
      <c r="ALB81" s="2567"/>
      <c r="ALC81" s="2567"/>
      <c r="ALD81" s="2567"/>
      <c r="ALE81" s="2567"/>
      <c r="ALF81" s="2567"/>
      <c r="ALG81" s="2567"/>
      <c r="ALH81" s="2567"/>
      <c r="ALI81" s="2567"/>
      <c r="ALJ81" s="2567"/>
      <c r="ALK81" s="2567"/>
      <c r="ALL81" s="2567"/>
      <c r="ALM81" s="2567"/>
      <c r="ALN81" s="2567"/>
      <c r="ALO81" s="2567"/>
      <c r="ALP81" s="2567"/>
      <c r="ALQ81" s="2567"/>
      <c r="ALR81" s="2567"/>
      <c r="ALS81" s="2567"/>
      <c r="ALT81" s="2567"/>
      <c r="ALU81" s="2567"/>
      <c r="ALV81" s="2567"/>
      <c r="ALW81" s="2567"/>
      <c r="ALX81" s="2567"/>
      <c r="ALY81" s="2567"/>
      <c r="ALZ81" s="2567"/>
      <c r="AMA81" s="2567"/>
      <c r="AMB81" s="2567"/>
      <c r="AMC81" s="2567"/>
      <c r="AMD81" s="2567"/>
      <c r="AME81" s="2567"/>
      <c r="AMF81" s="2567"/>
      <c r="AMG81" s="2567"/>
      <c r="AMH81" s="2567"/>
      <c r="AMI81" s="2567"/>
      <c r="AMJ81" s="2567"/>
      <c r="AMK81" s="2567"/>
      <c r="AML81" s="2567"/>
      <c r="AMM81" s="2567"/>
      <c r="AMN81" s="2567"/>
      <c r="AMO81" s="2567"/>
      <c r="AMP81" s="2567"/>
      <c r="AMQ81" s="2567"/>
      <c r="AMR81" s="2567"/>
      <c r="AMS81" s="2567"/>
      <c r="AMT81" s="2567"/>
      <c r="AMU81" s="2567"/>
      <c r="AMV81" s="2567"/>
      <c r="AMW81" s="2567"/>
      <c r="AMX81" s="2567"/>
      <c r="AMY81" s="2567"/>
      <c r="AMZ81" s="2567"/>
      <c r="ANA81" s="2567"/>
      <c r="ANB81" s="2567"/>
      <c r="ANC81" s="2567"/>
      <c r="AND81" s="2567"/>
      <c r="ANE81" s="2567"/>
      <c r="ANF81" s="2567"/>
      <c r="ANG81" s="2567"/>
      <c r="ANH81" s="2567"/>
      <c r="ANI81" s="2567"/>
      <c r="ANJ81" s="2567"/>
      <c r="ANK81" s="2567"/>
      <c r="ANL81" s="2567"/>
      <c r="ANM81" s="2567"/>
      <c r="ANN81" s="2567"/>
      <c r="ANO81" s="2567"/>
      <c r="ANP81" s="2567"/>
      <c r="ANQ81" s="2567"/>
      <c r="ANR81" s="2567"/>
      <c r="ANS81" s="2567"/>
      <c r="ANT81" s="2567"/>
      <c r="ANU81" s="2567"/>
      <c r="ANV81" s="2567"/>
      <c r="ANW81" s="2567"/>
      <c r="ANX81" s="2567"/>
      <c r="ANY81" s="2567"/>
      <c r="ANZ81" s="2567"/>
      <c r="AOA81" s="2567"/>
      <c r="AOB81" s="2567"/>
      <c r="AOC81" s="2567"/>
      <c r="AOD81" s="2567"/>
      <c r="AOE81" s="2567"/>
      <c r="AOF81" s="2567"/>
      <c r="AOG81" s="2567"/>
      <c r="AOH81" s="2567"/>
      <c r="AOI81" s="2567"/>
      <c r="AOJ81" s="2567"/>
      <c r="AOK81" s="2567"/>
      <c r="AOL81" s="2567"/>
      <c r="AOM81" s="2567"/>
      <c r="AON81" s="2567"/>
      <c r="AOO81" s="2567"/>
      <c r="AOP81" s="2567"/>
      <c r="AOQ81" s="2567"/>
      <c r="AOR81" s="2567"/>
      <c r="AOS81" s="2567"/>
      <c r="AOT81" s="2567"/>
      <c r="AOU81" s="2567"/>
      <c r="AOV81" s="2567"/>
      <c r="AOW81" s="2567"/>
      <c r="AOX81" s="2567"/>
      <c r="AOY81" s="2567"/>
      <c r="AOZ81" s="2567"/>
      <c r="APA81" s="2567"/>
      <c r="APB81" s="2567"/>
      <c r="APC81" s="2567"/>
      <c r="APD81" s="2567"/>
      <c r="APE81" s="2567"/>
      <c r="APF81" s="2567"/>
      <c r="APG81" s="2567"/>
      <c r="APH81" s="2567"/>
      <c r="API81" s="2567"/>
      <c r="APJ81" s="2567"/>
      <c r="APK81" s="2567"/>
      <c r="APL81" s="2567"/>
      <c r="APM81" s="2567"/>
      <c r="APN81" s="2567"/>
      <c r="APO81" s="2567"/>
      <c r="APP81" s="2567"/>
      <c r="APQ81" s="2567"/>
      <c r="APR81" s="2567"/>
      <c r="APS81" s="2567"/>
      <c r="APT81" s="2567"/>
      <c r="APU81" s="2567"/>
      <c r="APV81" s="2567"/>
      <c r="APW81" s="2567"/>
      <c r="APX81" s="2567"/>
      <c r="APY81" s="2567"/>
      <c r="APZ81" s="2567"/>
      <c r="AQA81" s="2567"/>
      <c r="AQB81" s="2567"/>
      <c r="AQC81" s="2567"/>
      <c r="AQD81" s="2567"/>
      <c r="AQE81" s="2567"/>
      <c r="AQF81" s="2567"/>
      <c r="AQG81" s="2567"/>
      <c r="AQH81" s="2567"/>
      <c r="AQI81" s="2567"/>
      <c r="AQJ81" s="2567"/>
      <c r="AQK81" s="2567"/>
      <c r="AQL81" s="2567"/>
      <c r="AQM81" s="2567"/>
      <c r="AQN81" s="2567"/>
      <c r="AQO81" s="2567"/>
      <c r="AQP81" s="2567"/>
      <c r="AQQ81" s="2567"/>
      <c r="AQR81" s="2567"/>
      <c r="AQS81" s="2567"/>
      <c r="AQT81" s="2567"/>
      <c r="AQU81" s="2567"/>
      <c r="AQV81" s="2567"/>
      <c r="AQW81" s="2567"/>
      <c r="AQX81" s="2567"/>
      <c r="AQY81" s="2567"/>
      <c r="AQZ81" s="2567"/>
      <c r="ARA81" s="2567"/>
      <c r="ARB81" s="2567"/>
      <c r="ARC81" s="2567"/>
      <c r="ARD81" s="2567"/>
      <c r="ARE81" s="2567"/>
      <c r="ARF81" s="2567"/>
      <c r="ARG81" s="2567"/>
      <c r="ARH81" s="2567"/>
      <c r="ARI81" s="2567"/>
      <c r="ARJ81" s="2567"/>
      <c r="ARK81" s="2567"/>
      <c r="ARL81" s="2567"/>
      <c r="ARM81" s="2567"/>
      <c r="ARN81" s="2567"/>
      <c r="ARO81" s="2567"/>
      <c r="ARP81" s="2567"/>
      <c r="ARQ81" s="2567"/>
      <c r="ARR81" s="2567"/>
      <c r="ARS81" s="2567"/>
      <c r="ART81" s="2567"/>
      <c r="ARU81" s="2567"/>
      <c r="ARV81" s="2567"/>
      <c r="ARW81" s="2567"/>
      <c r="ARX81" s="2567"/>
      <c r="ARY81" s="2567"/>
      <c r="ARZ81" s="2567"/>
      <c r="ASA81" s="2567"/>
      <c r="ASB81" s="2567"/>
      <c r="ASC81" s="2567"/>
      <c r="ASD81" s="2567"/>
      <c r="ASE81" s="2567"/>
      <c r="ASF81" s="2567"/>
      <c r="ASG81" s="2567"/>
      <c r="ASH81" s="2567"/>
      <c r="ASI81" s="2567"/>
      <c r="ASJ81" s="2567"/>
      <c r="ASK81" s="2567"/>
      <c r="ASL81" s="2567"/>
      <c r="ASM81" s="2567"/>
      <c r="ASN81" s="2567"/>
      <c r="ASO81" s="2567"/>
      <c r="ASP81" s="2567"/>
      <c r="ASQ81" s="2567"/>
      <c r="ASR81" s="2567"/>
      <c r="ASS81" s="2567"/>
      <c r="AST81" s="2567"/>
      <c r="ASU81" s="2567"/>
      <c r="ASV81" s="2567"/>
      <c r="ASW81" s="2567"/>
      <c r="ASX81" s="2567"/>
      <c r="ASY81" s="2567"/>
      <c r="ASZ81" s="2567"/>
      <c r="ATA81" s="2567"/>
      <c r="ATB81" s="2567"/>
      <c r="ATC81" s="2567"/>
      <c r="ATD81" s="2567"/>
      <c r="ATE81" s="2567"/>
      <c r="ATF81" s="2567"/>
      <c r="ATG81" s="2567"/>
      <c r="ATH81" s="2567"/>
      <c r="ATI81" s="2567"/>
      <c r="ATJ81" s="2567"/>
      <c r="ATK81" s="2567"/>
      <c r="ATL81" s="2567"/>
      <c r="ATM81" s="2567"/>
      <c r="ATN81" s="2567"/>
      <c r="ATO81" s="2567"/>
      <c r="ATP81" s="2567"/>
      <c r="ATQ81" s="2567"/>
      <c r="ATR81" s="2567"/>
      <c r="ATS81" s="2567"/>
      <c r="ATT81" s="2567"/>
      <c r="ATU81" s="2567"/>
      <c r="ATV81" s="2567"/>
      <c r="ATW81" s="2567"/>
      <c r="ATX81" s="2567"/>
      <c r="ATY81" s="2567"/>
      <c r="ATZ81" s="2567"/>
      <c r="AUA81" s="2567"/>
      <c r="AUB81" s="2567"/>
      <c r="AUC81" s="2567"/>
      <c r="AUD81" s="2567"/>
      <c r="AUE81" s="2567"/>
      <c r="AUF81" s="2567"/>
      <c r="AUG81" s="2567"/>
      <c r="AUH81" s="2567"/>
      <c r="AUI81" s="2567"/>
      <c r="AUJ81" s="2567"/>
      <c r="AUK81" s="2567"/>
      <c r="AUL81" s="2567"/>
      <c r="AUM81" s="2567"/>
      <c r="AUN81" s="2567"/>
      <c r="AUO81" s="2567"/>
      <c r="AUP81" s="2567"/>
      <c r="AUQ81" s="2567"/>
      <c r="AUR81" s="2567"/>
      <c r="AUS81" s="2567"/>
      <c r="AUT81" s="2567"/>
      <c r="AUU81" s="2567"/>
      <c r="AUV81" s="2567"/>
      <c r="AUW81" s="2567"/>
      <c r="AUX81" s="2567"/>
      <c r="AUY81" s="2567"/>
      <c r="AUZ81" s="2567"/>
      <c r="AVA81" s="2567"/>
      <c r="AVB81" s="2567"/>
      <c r="AVC81" s="2567"/>
      <c r="AVD81" s="2567"/>
      <c r="AVE81" s="2567"/>
      <c r="AVF81" s="2567"/>
      <c r="AVG81" s="2567"/>
      <c r="AVH81" s="2567"/>
      <c r="AVI81" s="2567"/>
      <c r="AVJ81" s="2567"/>
      <c r="AVK81" s="2567"/>
      <c r="AVL81" s="2567"/>
      <c r="AVM81" s="2567"/>
      <c r="AVN81" s="2567"/>
      <c r="AVO81" s="2567"/>
      <c r="AVP81" s="2567"/>
      <c r="AVQ81" s="2567"/>
      <c r="AVR81" s="2567"/>
      <c r="AVS81" s="2567"/>
      <c r="AVT81" s="2567"/>
      <c r="AVU81" s="2567"/>
      <c r="AVV81" s="2567"/>
      <c r="AVW81" s="2567"/>
      <c r="AVX81" s="2567"/>
      <c r="AVY81" s="2567"/>
      <c r="AVZ81" s="2567"/>
      <c r="AWA81" s="2567"/>
      <c r="AWB81" s="2567"/>
      <c r="AWC81" s="2567"/>
      <c r="AWD81" s="2567"/>
      <c r="AWE81" s="2567"/>
      <c r="AWF81" s="2567"/>
      <c r="AWG81" s="2567"/>
      <c r="AWH81" s="2567"/>
      <c r="AWI81" s="2567"/>
      <c r="AWJ81" s="2567"/>
      <c r="AWK81" s="2567"/>
      <c r="AWL81" s="2567"/>
      <c r="AWM81" s="2567"/>
      <c r="AWN81" s="2567"/>
      <c r="AWO81" s="2567"/>
      <c r="AWP81" s="2567"/>
      <c r="AWQ81" s="2567"/>
      <c r="AWR81" s="2567"/>
      <c r="AWS81" s="2567"/>
      <c r="AWT81" s="2567"/>
      <c r="AWU81" s="2567"/>
      <c r="AWV81" s="2567"/>
      <c r="AWW81" s="2567"/>
      <c r="AWX81" s="2567"/>
      <c r="AWY81" s="2567"/>
      <c r="AWZ81" s="2567"/>
      <c r="AXA81" s="2567"/>
      <c r="AXB81" s="2567"/>
      <c r="AXC81" s="2567"/>
      <c r="AXD81" s="2567"/>
      <c r="AXE81" s="2567"/>
      <c r="AXF81" s="2567"/>
      <c r="AXG81" s="2567"/>
      <c r="AXH81" s="2567"/>
      <c r="AXI81" s="2567"/>
      <c r="AXJ81" s="2567"/>
      <c r="AXK81" s="2567"/>
      <c r="AXL81" s="2567"/>
      <c r="AXM81" s="2567"/>
      <c r="AXN81" s="2567"/>
      <c r="AXO81" s="2567"/>
      <c r="AXP81" s="2567"/>
      <c r="AXQ81" s="2567"/>
      <c r="AXR81" s="2567"/>
      <c r="AXS81" s="2567"/>
      <c r="AXT81" s="2567"/>
      <c r="AXU81" s="2567"/>
      <c r="AXV81" s="2567"/>
      <c r="AXW81" s="2567"/>
      <c r="AXX81" s="2567"/>
      <c r="AXY81" s="2567"/>
      <c r="AXZ81" s="2567"/>
      <c r="AYA81" s="2567"/>
      <c r="AYB81" s="2567"/>
      <c r="AYC81" s="2567"/>
      <c r="AYD81" s="2567"/>
      <c r="AYE81" s="2567"/>
      <c r="AYF81" s="2567"/>
      <c r="AYG81" s="2567"/>
      <c r="AYH81" s="2567"/>
      <c r="AYI81" s="2567"/>
      <c r="AYJ81" s="2567"/>
      <c r="AYK81" s="2567"/>
      <c r="AYL81" s="2567"/>
      <c r="AYM81" s="2567"/>
      <c r="AYN81" s="2567"/>
      <c r="AYO81" s="2567"/>
      <c r="AYP81" s="2567"/>
      <c r="AYQ81" s="2567"/>
      <c r="AYR81" s="2567"/>
      <c r="AYS81" s="2567"/>
      <c r="AYT81" s="2567"/>
      <c r="AYU81" s="2567"/>
      <c r="AYV81" s="2567"/>
      <c r="AYW81" s="2567"/>
      <c r="AYX81" s="2567"/>
      <c r="AYY81" s="2567"/>
      <c r="AYZ81" s="2567"/>
      <c r="AZA81" s="2567"/>
      <c r="AZB81" s="2567"/>
      <c r="AZC81" s="2567"/>
      <c r="AZD81" s="2567"/>
      <c r="AZE81" s="2567"/>
      <c r="AZF81" s="2567"/>
      <c r="AZG81" s="2567"/>
      <c r="AZH81" s="2567"/>
      <c r="AZI81" s="2567"/>
      <c r="AZJ81" s="2567"/>
      <c r="AZK81" s="2567"/>
      <c r="AZL81" s="2567"/>
      <c r="AZM81" s="2567"/>
      <c r="AZN81" s="2567"/>
      <c r="AZO81" s="2567"/>
      <c r="AZP81" s="2567"/>
      <c r="AZQ81" s="2567"/>
      <c r="AZR81" s="2567"/>
      <c r="AZS81" s="2567"/>
      <c r="AZT81" s="2567"/>
      <c r="AZU81" s="2567"/>
      <c r="AZV81" s="2567"/>
      <c r="AZW81" s="2567"/>
      <c r="AZX81" s="2567"/>
      <c r="AZY81" s="2567"/>
      <c r="AZZ81" s="2567"/>
      <c r="BAA81" s="2567"/>
      <c r="BAB81" s="2567"/>
      <c r="BAC81" s="2567"/>
      <c r="BAD81" s="2567"/>
      <c r="BAE81" s="2567"/>
      <c r="BAF81" s="2567"/>
      <c r="BAG81" s="2567"/>
      <c r="BAH81" s="2567"/>
      <c r="BAI81" s="2567"/>
      <c r="BAJ81" s="2567"/>
      <c r="BAK81" s="2567"/>
      <c r="BAL81" s="2567"/>
      <c r="BAM81" s="2567"/>
      <c r="BAN81" s="2567"/>
      <c r="BAO81" s="2567"/>
      <c r="BAP81" s="2567"/>
      <c r="BAQ81" s="2567"/>
      <c r="BAR81" s="2567"/>
      <c r="BAS81" s="2567"/>
      <c r="BAT81" s="2567"/>
      <c r="BAU81" s="2567"/>
      <c r="BAV81" s="2567"/>
      <c r="BAW81" s="2567"/>
      <c r="BAX81" s="2567"/>
      <c r="BAY81" s="2567"/>
      <c r="BAZ81" s="2567"/>
      <c r="BBA81" s="2567"/>
      <c r="BBB81" s="2567"/>
      <c r="BBC81" s="2567"/>
      <c r="BBD81" s="2567"/>
      <c r="BBE81" s="2567"/>
      <c r="BBF81" s="2567"/>
      <c r="BBG81" s="2567"/>
      <c r="BBH81" s="2567"/>
      <c r="BBI81" s="2567"/>
      <c r="BBJ81" s="2567"/>
      <c r="BBK81" s="2567"/>
      <c r="BBL81" s="2567"/>
      <c r="BBM81" s="2567"/>
      <c r="BBN81" s="2567"/>
      <c r="BBO81" s="2567"/>
      <c r="BBP81" s="2567"/>
      <c r="BBQ81" s="2567"/>
      <c r="BBR81" s="2567"/>
      <c r="BBS81" s="2567"/>
      <c r="BBT81" s="2567"/>
      <c r="BBU81" s="2567"/>
      <c r="BBV81" s="2567"/>
      <c r="BBW81" s="2567"/>
      <c r="BBX81" s="2567"/>
      <c r="BBY81" s="2567"/>
      <c r="BBZ81" s="2567"/>
      <c r="BCA81" s="2567"/>
      <c r="BCB81" s="2567"/>
      <c r="BCC81" s="2567"/>
      <c r="BCD81" s="2567"/>
      <c r="BCE81" s="2567"/>
      <c r="BCF81" s="2567"/>
      <c r="BCG81" s="2567"/>
      <c r="BCH81" s="2567"/>
      <c r="BCI81" s="2567"/>
      <c r="BCJ81" s="2567"/>
      <c r="BCK81" s="2567"/>
      <c r="BCL81" s="2567"/>
      <c r="BCM81" s="2567"/>
      <c r="BCN81" s="2567"/>
      <c r="BCO81" s="2567"/>
      <c r="BCP81" s="2567"/>
      <c r="BCQ81" s="2567"/>
      <c r="BCR81" s="2567"/>
      <c r="BCS81" s="2567"/>
      <c r="BCT81" s="2567"/>
      <c r="BCU81" s="2567"/>
      <c r="BCV81" s="2567"/>
      <c r="BCW81" s="2567"/>
      <c r="BCX81" s="2567"/>
      <c r="BCY81" s="2567"/>
      <c r="BCZ81" s="2567"/>
      <c r="BDA81" s="2567"/>
      <c r="BDB81" s="2567"/>
      <c r="BDC81" s="2567"/>
      <c r="BDD81" s="2567"/>
      <c r="BDE81" s="2567"/>
      <c r="BDF81" s="2567"/>
      <c r="BDG81" s="2567"/>
      <c r="BDH81" s="2567"/>
      <c r="BDI81" s="2567"/>
      <c r="BDJ81" s="2567"/>
      <c r="BDK81" s="2567"/>
      <c r="BDL81" s="2567"/>
      <c r="BDM81" s="2567"/>
      <c r="BDN81" s="2567"/>
      <c r="BDO81" s="2567"/>
      <c r="BDP81" s="2567"/>
      <c r="BDQ81" s="2567"/>
      <c r="BDR81" s="2567"/>
      <c r="BDS81" s="2567"/>
      <c r="BDT81" s="2567"/>
      <c r="BDU81" s="2567"/>
      <c r="BDV81" s="2567"/>
      <c r="BDW81" s="2567"/>
      <c r="BDX81" s="2567"/>
      <c r="BDY81" s="2567"/>
      <c r="BDZ81" s="2567"/>
      <c r="BEA81" s="2567"/>
      <c r="BEB81" s="2567"/>
      <c r="BEC81" s="2567"/>
      <c r="BED81" s="2567"/>
      <c r="BEE81" s="2567"/>
      <c r="BEF81" s="2567"/>
      <c r="BEG81" s="2567"/>
      <c r="BEH81" s="2567"/>
      <c r="BEI81" s="2567"/>
      <c r="BEJ81" s="2567"/>
      <c r="BEK81" s="2567"/>
      <c r="BEL81" s="2567"/>
      <c r="BEM81" s="2567"/>
      <c r="BEN81" s="2567"/>
      <c r="BEO81" s="2567"/>
      <c r="BEP81" s="2567"/>
      <c r="BEQ81" s="2567"/>
      <c r="BER81" s="2567"/>
      <c r="BES81" s="2567"/>
      <c r="BET81" s="2567"/>
      <c r="BEU81" s="2567"/>
      <c r="BEV81" s="2567"/>
      <c r="BEW81" s="2567"/>
      <c r="BEX81" s="2567"/>
      <c r="BEY81" s="2567"/>
      <c r="BEZ81" s="2567"/>
      <c r="BFA81" s="2567"/>
      <c r="BFB81" s="2567"/>
      <c r="BFC81" s="2567"/>
      <c r="BFD81" s="2567"/>
      <c r="BFE81" s="2567"/>
      <c r="BFF81" s="2567"/>
      <c r="BFG81" s="2567"/>
      <c r="BFH81" s="2567"/>
      <c r="BFI81" s="2567"/>
      <c r="BFJ81" s="2567"/>
      <c r="BFK81" s="2567"/>
      <c r="BFL81" s="2567"/>
      <c r="BFM81" s="2567"/>
      <c r="BFN81" s="2567"/>
      <c r="BFO81" s="2567"/>
      <c r="BFP81" s="2567"/>
      <c r="BFQ81" s="2567"/>
      <c r="BFR81" s="2567"/>
      <c r="BFS81" s="2567"/>
      <c r="BFT81" s="2567"/>
      <c r="BFU81" s="2567"/>
      <c r="BFV81" s="2567"/>
      <c r="BFW81" s="2567"/>
      <c r="BFX81" s="2567"/>
      <c r="BFY81" s="2567"/>
      <c r="BFZ81" s="2567"/>
      <c r="BGA81" s="2567"/>
      <c r="BGB81" s="2567"/>
      <c r="BGC81" s="2567"/>
      <c r="BGD81" s="2567"/>
      <c r="BGE81" s="2567"/>
      <c r="BGF81" s="2567"/>
      <c r="BGG81" s="2567"/>
      <c r="BGH81" s="2567"/>
      <c r="BGI81" s="2567"/>
      <c r="BGJ81" s="2567"/>
      <c r="BGK81" s="2567"/>
      <c r="BGL81" s="2567"/>
      <c r="BGM81" s="2567"/>
      <c r="BGN81" s="2567"/>
      <c r="BGO81" s="2567"/>
      <c r="BGP81" s="2567"/>
      <c r="BGQ81" s="2567"/>
      <c r="BGR81" s="2567"/>
      <c r="BGS81" s="2567"/>
      <c r="BGT81" s="2567"/>
      <c r="BGU81" s="2567"/>
      <c r="BGV81" s="2567"/>
      <c r="BGW81" s="2567"/>
      <c r="BGX81" s="2567"/>
      <c r="BGY81" s="2567"/>
      <c r="BGZ81" s="2567"/>
      <c r="BHA81" s="2567"/>
      <c r="BHB81" s="2567"/>
      <c r="BHC81" s="2567"/>
      <c r="BHD81" s="2567"/>
      <c r="BHE81" s="2567"/>
      <c r="BHF81" s="2567"/>
      <c r="BHG81" s="2567"/>
      <c r="BHH81" s="2567"/>
      <c r="BHI81" s="2567"/>
      <c r="BHJ81" s="2567"/>
      <c r="BHK81" s="2567"/>
      <c r="BHL81" s="2567"/>
      <c r="BHM81" s="2567"/>
      <c r="BHN81" s="2567"/>
      <c r="BHO81" s="2567"/>
      <c r="BHP81" s="2567"/>
      <c r="BHQ81" s="2567"/>
      <c r="BHR81" s="2567"/>
      <c r="BHS81" s="2567"/>
      <c r="BHT81" s="2567"/>
      <c r="BHU81" s="2567"/>
      <c r="BHV81" s="2567"/>
      <c r="BHW81" s="2567"/>
      <c r="BHX81" s="2567"/>
      <c r="BHY81" s="2567"/>
      <c r="BHZ81" s="2567"/>
      <c r="BIA81" s="2567"/>
      <c r="BIB81" s="2567"/>
      <c r="BIC81" s="2567"/>
      <c r="BID81" s="2567"/>
      <c r="BIE81" s="2567"/>
      <c r="BIF81" s="2567"/>
      <c r="BIG81" s="2567"/>
      <c r="BIH81" s="2567"/>
      <c r="BII81" s="2567"/>
      <c r="BIJ81" s="2567"/>
      <c r="BIK81" s="2567"/>
      <c r="BIL81" s="2567"/>
      <c r="BIM81" s="2567"/>
      <c r="BIN81" s="2567"/>
      <c r="BIO81" s="2567"/>
      <c r="BIP81" s="2567"/>
      <c r="BIQ81" s="2567"/>
      <c r="BIR81" s="2567"/>
      <c r="BIS81" s="2567"/>
      <c r="BIT81" s="2567"/>
      <c r="BIU81" s="2567"/>
      <c r="BIV81" s="2567"/>
      <c r="BIW81" s="2567"/>
      <c r="BIX81" s="2567"/>
      <c r="BIY81" s="2567"/>
      <c r="BIZ81" s="2567"/>
      <c r="BJA81" s="2567"/>
      <c r="BJB81" s="2567"/>
      <c r="BJC81" s="2567"/>
      <c r="BJD81" s="2567"/>
      <c r="BJE81" s="2567"/>
      <c r="BJF81" s="2567"/>
      <c r="BJG81" s="2567"/>
      <c r="BJH81" s="2567"/>
      <c r="BJI81" s="2567"/>
      <c r="BJJ81" s="2567"/>
      <c r="BJK81" s="2567"/>
      <c r="BJL81" s="2567"/>
      <c r="BJM81" s="2567"/>
      <c r="BJN81" s="2567"/>
      <c r="BJO81" s="2567"/>
      <c r="BJP81" s="2567"/>
      <c r="BJQ81" s="2567"/>
      <c r="BJR81" s="2567"/>
      <c r="BJS81" s="2567"/>
      <c r="BJT81" s="2567"/>
      <c r="BJU81" s="2567"/>
      <c r="BJV81" s="2567"/>
      <c r="BJW81" s="2567"/>
      <c r="BJX81" s="2567"/>
      <c r="BJY81" s="2567"/>
      <c r="BJZ81" s="2567"/>
      <c r="BKA81" s="2567"/>
      <c r="BKB81" s="2567"/>
      <c r="BKC81" s="2567"/>
      <c r="BKD81" s="2567"/>
      <c r="BKE81" s="2567"/>
      <c r="BKF81" s="2567"/>
      <c r="BKG81" s="2567"/>
      <c r="BKH81" s="2567"/>
      <c r="BKI81" s="2567"/>
      <c r="BKJ81" s="2567"/>
      <c r="BKK81" s="2567"/>
      <c r="BKL81" s="2567"/>
      <c r="BKM81" s="2567"/>
      <c r="BKN81" s="2567"/>
      <c r="BKO81" s="2567"/>
      <c r="BKP81" s="2567"/>
      <c r="BKQ81" s="2567"/>
      <c r="BKR81" s="2567"/>
      <c r="BKS81" s="2567"/>
      <c r="BKT81" s="2567"/>
      <c r="BKU81" s="2567"/>
      <c r="BKV81" s="2567"/>
      <c r="BKW81" s="2567"/>
      <c r="BKX81" s="2567"/>
      <c r="BKY81" s="2567"/>
      <c r="BKZ81" s="2567"/>
      <c r="BLA81" s="2567"/>
      <c r="BLB81" s="2567"/>
      <c r="BLC81" s="2567"/>
      <c r="BLD81" s="2567"/>
      <c r="BLE81" s="2567"/>
      <c r="BLF81" s="2567"/>
      <c r="BLG81" s="2567"/>
      <c r="BLH81" s="2567"/>
      <c r="BLI81" s="2567"/>
      <c r="BLJ81" s="2567"/>
      <c r="BLK81" s="2567"/>
      <c r="BLL81" s="2567"/>
      <c r="BLM81" s="2567"/>
      <c r="BLN81" s="2567"/>
      <c r="BLO81" s="2567"/>
      <c r="BLP81" s="2567"/>
      <c r="BLQ81" s="2567"/>
      <c r="BLR81" s="2567"/>
      <c r="BLS81" s="2567"/>
      <c r="BLT81" s="2567"/>
      <c r="BLU81" s="2567"/>
      <c r="BLV81" s="2567"/>
      <c r="BLW81" s="2567"/>
      <c r="BLX81" s="2567"/>
      <c r="BLY81" s="2567"/>
      <c r="BLZ81" s="2567"/>
      <c r="BMA81" s="2567"/>
      <c r="BMB81" s="2567"/>
      <c r="BMC81" s="2567"/>
      <c r="BMD81" s="2567"/>
      <c r="BME81" s="2567"/>
      <c r="BMF81" s="2567"/>
      <c r="BMG81" s="2567"/>
      <c r="BMH81" s="2567"/>
      <c r="BMI81" s="2567"/>
      <c r="BMJ81" s="2567"/>
      <c r="BMK81" s="2567"/>
      <c r="BML81" s="2567"/>
      <c r="BMM81" s="2567"/>
      <c r="BMN81" s="2567"/>
      <c r="BMO81" s="2567"/>
      <c r="BMP81" s="2567"/>
      <c r="BMQ81" s="2567"/>
      <c r="BMR81" s="2567"/>
      <c r="BMS81" s="2567"/>
      <c r="BMT81" s="2567"/>
      <c r="BMU81" s="2567"/>
      <c r="BMV81" s="2567"/>
      <c r="BMW81" s="2567"/>
      <c r="BMX81" s="2567"/>
      <c r="BMY81" s="2567"/>
      <c r="BMZ81" s="2567"/>
      <c r="BNA81" s="2567"/>
      <c r="BNB81" s="2567"/>
      <c r="BNC81" s="2567"/>
      <c r="BND81" s="2567"/>
      <c r="BNE81" s="2567"/>
      <c r="BNF81" s="2567"/>
      <c r="BNG81" s="2567"/>
      <c r="BNH81" s="2567"/>
      <c r="BNI81" s="2567"/>
      <c r="BNJ81" s="2567"/>
      <c r="BNK81" s="2567"/>
      <c r="BNL81" s="2567"/>
      <c r="BNM81" s="2567"/>
      <c r="BNN81" s="2567"/>
      <c r="BNO81" s="2567"/>
      <c r="BNP81" s="2567"/>
      <c r="BNQ81" s="2567"/>
      <c r="BNR81" s="2567"/>
      <c r="BNS81" s="2567"/>
      <c r="BNT81" s="2567"/>
      <c r="BNU81" s="2567"/>
      <c r="BNV81" s="2567"/>
      <c r="BNW81" s="2567"/>
      <c r="BNX81" s="2567"/>
      <c r="BNY81" s="2567"/>
      <c r="BNZ81" s="2567"/>
      <c r="BOA81" s="2567"/>
      <c r="BOB81" s="2567"/>
      <c r="BOC81" s="2567"/>
      <c r="BOD81" s="2567"/>
      <c r="BOE81" s="2567"/>
      <c r="BOF81" s="2567"/>
      <c r="BOG81" s="2567"/>
      <c r="BOH81" s="2567"/>
      <c r="BOI81" s="2567"/>
      <c r="BOJ81" s="2567"/>
      <c r="BOK81" s="2567"/>
      <c r="BOL81" s="2567"/>
      <c r="BOM81" s="2567"/>
      <c r="BON81" s="2567"/>
      <c r="BOO81" s="2567"/>
      <c r="BOP81" s="2567"/>
      <c r="BOQ81" s="2567"/>
      <c r="BOR81" s="2567"/>
      <c r="BOS81" s="2567"/>
      <c r="BOT81" s="2567"/>
      <c r="BOU81" s="2567"/>
      <c r="BOV81" s="2567"/>
      <c r="BOW81" s="2567"/>
      <c r="BOX81" s="2567"/>
      <c r="BOY81" s="2567"/>
      <c r="BOZ81" s="2567"/>
      <c r="BPA81" s="2567"/>
      <c r="BPB81" s="2567"/>
      <c r="BPC81" s="2567"/>
      <c r="BPD81" s="2567"/>
      <c r="BPE81" s="2567"/>
      <c r="BPF81" s="2567"/>
      <c r="BPG81" s="2567"/>
      <c r="BPH81" s="2567"/>
      <c r="BPI81" s="2567"/>
      <c r="BPJ81" s="2567"/>
      <c r="BPK81" s="2567"/>
      <c r="BPL81" s="2567"/>
      <c r="BPM81" s="2567"/>
      <c r="BPN81" s="2567"/>
      <c r="BPO81" s="2567"/>
      <c r="BPP81" s="2567"/>
      <c r="BPQ81" s="2567"/>
      <c r="BPR81" s="2567"/>
      <c r="BPS81" s="2567"/>
      <c r="BPT81" s="2567"/>
      <c r="BPU81" s="2567"/>
      <c r="BPV81" s="2567"/>
      <c r="BPW81" s="2567"/>
      <c r="BPX81" s="2567"/>
      <c r="BPY81" s="2567"/>
      <c r="BPZ81" s="2567"/>
      <c r="BQA81" s="2567"/>
      <c r="BQB81" s="2567"/>
      <c r="BQC81" s="2567"/>
      <c r="BQD81" s="2567"/>
      <c r="BQE81" s="2567"/>
      <c r="BQF81" s="2567"/>
      <c r="BQG81" s="2567"/>
      <c r="BQH81" s="2567"/>
      <c r="BQI81" s="2567"/>
      <c r="BQJ81" s="2567"/>
      <c r="BQK81" s="2567"/>
      <c r="BQL81" s="2567"/>
      <c r="BQM81" s="2567"/>
      <c r="BQN81" s="2567"/>
      <c r="BQO81" s="2567"/>
      <c r="BQP81" s="2567"/>
      <c r="BQQ81" s="2567"/>
      <c r="BQR81" s="2567"/>
      <c r="BQS81" s="2567"/>
      <c r="BQT81" s="2567"/>
      <c r="BQU81" s="2567"/>
      <c r="BQV81" s="2567"/>
      <c r="BQW81" s="2567"/>
      <c r="BQX81" s="2567"/>
      <c r="BQY81" s="2567"/>
      <c r="BQZ81" s="2567"/>
      <c r="BRA81" s="2567"/>
      <c r="BRB81" s="2567"/>
      <c r="BRC81" s="2567"/>
      <c r="BRD81" s="2567"/>
      <c r="BRE81" s="2567"/>
      <c r="BRF81" s="2567"/>
      <c r="BRG81" s="2567"/>
      <c r="BRH81" s="2567"/>
      <c r="BRI81" s="2567"/>
      <c r="BRJ81" s="2567"/>
      <c r="BRK81" s="2567"/>
      <c r="BRL81" s="2567"/>
      <c r="BRM81" s="2567"/>
      <c r="BRN81" s="2567"/>
      <c r="BRO81" s="2567"/>
      <c r="BRP81" s="2567"/>
      <c r="BRQ81" s="2567"/>
      <c r="BRR81" s="2567"/>
      <c r="BRS81" s="2567"/>
      <c r="BRT81" s="2567"/>
      <c r="BRU81" s="2567"/>
      <c r="BRV81" s="2567"/>
      <c r="BRW81" s="2567"/>
      <c r="BRX81" s="2567"/>
      <c r="BRY81" s="2567"/>
      <c r="BRZ81" s="2567"/>
      <c r="BSA81" s="2567"/>
      <c r="BSB81" s="2567"/>
      <c r="BSC81" s="2567"/>
      <c r="BSD81" s="2567"/>
      <c r="BSE81" s="2567"/>
      <c r="BSF81" s="2567"/>
      <c r="BSG81" s="2567"/>
      <c r="BSH81" s="2567"/>
      <c r="BSI81" s="2567"/>
      <c r="BSJ81" s="2567"/>
      <c r="BSK81" s="2567"/>
      <c r="BSL81" s="2567"/>
      <c r="BSM81" s="2567"/>
      <c r="BSN81" s="2567"/>
      <c r="BSO81" s="2567"/>
      <c r="BSP81" s="2567"/>
      <c r="BSQ81" s="2567"/>
      <c r="BSR81" s="2567"/>
      <c r="BSS81" s="2567"/>
      <c r="BST81" s="2567"/>
      <c r="BSU81" s="2567"/>
      <c r="BSV81" s="2567"/>
      <c r="BSW81" s="2567"/>
      <c r="BSX81" s="2567"/>
      <c r="BSY81" s="2567"/>
      <c r="BSZ81" s="2567"/>
      <c r="BTA81" s="2567"/>
      <c r="BTB81" s="2567"/>
      <c r="BTC81" s="2567"/>
      <c r="BTD81" s="2567"/>
      <c r="BTE81" s="2567"/>
      <c r="BTF81" s="2567"/>
      <c r="BTG81" s="2567"/>
      <c r="BTH81" s="2567"/>
      <c r="BTI81" s="2567"/>
      <c r="BTJ81" s="2567"/>
      <c r="BTK81" s="2567"/>
      <c r="BTL81" s="2567"/>
      <c r="BTM81" s="2567"/>
      <c r="BTN81" s="2567"/>
      <c r="BTO81" s="2567"/>
      <c r="BTP81" s="2567"/>
      <c r="BTQ81" s="2567"/>
      <c r="BTR81" s="2567"/>
      <c r="BTS81" s="2567"/>
      <c r="BTT81" s="2567"/>
      <c r="BTU81" s="2567"/>
      <c r="BTV81" s="2567"/>
      <c r="BTW81" s="2567"/>
      <c r="BTX81" s="2567"/>
      <c r="BTY81" s="2567"/>
      <c r="BTZ81" s="2567"/>
      <c r="BUA81" s="2567"/>
      <c r="BUB81" s="2567"/>
      <c r="BUC81" s="2567"/>
      <c r="BUD81" s="2567"/>
      <c r="BUE81" s="2567"/>
      <c r="BUF81" s="2567"/>
      <c r="BUG81" s="2567"/>
      <c r="BUH81" s="2567"/>
      <c r="BUI81" s="2567"/>
      <c r="BUJ81" s="2567"/>
      <c r="BUK81" s="2567"/>
      <c r="BUL81" s="2567"/>
      <c r="BUM81" s="2567"/>
      <c r="BUN81" s="2567"/>
      <c r="BUO81" s="2567"/>
      <c r="BUP81" s="2567"/>
      <c r="BUQ81" s="2567"/>
      <c r="BUR81" s="2567"/>
      <c r="BUS81" s="2567"/>
      <c r="BUT81" s="2567"/>
      <c r="BUU81" s="2567"/>
      <c r="BUV81" s="2567"/>
      <c r="BUW81" s="2567"/>
      <c r="BUX81" s="2567"/>
      <c r="BUY81" s="2567"/>
      <c r="BUZ81" s="2567"/>
      <c r="BVA81" s="2567"/>
      <c r="BVB81" s="2567"/>
      <c r="BVC81" s="2567"/>
      <c r="BVD81" s="2567"/>
      <c r="BVE81" s="2567"/>
      <c r="BVF81" s="2567"/>
      <c r="BVG81" s="2567"/>
      <c r="BVH81" s="2567"/>
      <c r="BVI81" s="2567"/>
      <c r="BVJ81" s="2567"/>
      <c r="BVK81" s="2567"/>
      <c r="BVL81" s="2567"/>
      <c r="BVM81" s="2567"/>
      <c r="BVN81" s="2567"/>
      <c r="BVO81" s="2567"/>
      <c r="BVP81" s="2567"/>
      <c r="BVQ81" s="2567"/>
      <c r="BVR81" s="2567"/>
      <c r="BVS81" s="2567"/>
      <c r="BVT81" s="2567"/>
      <c r="BVU81" s="2567"/>
      <c r="BVV81" s="2567"/>
      <c r="BVW81" s="2567"/>
      <c r="BVX81" s="2567"/>
      <c r="BVY81" s="2567"/>
      <c r="BVZ81" s="2567"/>
      <c r="BWA81" s="2567"/>
      <c r="BWB81" s="2567"/>
      <c r="BWC81" s="2567"/>
      <c r="BWD81" s="2567"/>
      <c r="BWE81" s="2567"/>
      <c r="BWF81" s="2567"/>
      <c r="BWG81" s="2567"/>
      <c r="BWH81" s="2567"/>
      <c r="BWI81" s="2567"/>
      <c r="BWJ81" s="2567"/>
      <c r="BWK81" s="2567"/>
      <c r="BWL81" s="2567"/>
      <c r="BWM81" s="2567"/>
      <c r="BWN81" s="2567"/>
      <c r="BWO81" s="2567"/>
      <c r="BWP81" s="2567"/>
      <c r="BWQ81" s="2567"/>
      <c r="BWR81" s="2567"/>
      <c r="BWS81" s="2567"/>
      <c r="BWT81" s="2567"/>
      <c r="BWU81" s="2567"/>
      <c r="BWV81" s="2567"/>
      <c r="BWW81" s="2567"/>
      <c r="BWX81" s="2567"/>
      <c r="BWY81" s="2567"/>
      <c r="BWZ81" s="2567"/>
      <c r="BXA81" s="2567"/>
      <c r="BXB81" s="2567"/>
      <c r="BXC81" s="2567"/>
      <c r="BXD81" s="2567"/>
      <c r="BXE81" s="2567"/>
      <c r="BXF81" s="2567"/>
      <c r="BXG81" s="2567"/>
      <c r="BXH81" s="2567"/>
      <c r="BXI81" s="2567"/>
      <c r="BXJ81" s="2567"/>
      <c r="BXK81" s="2567"/>
      <c r="BXL81" s="2567"/>
      <c r="BXM81" s="2567"/>
      <c r="BXN81" s="2567"/>
      <c r="BXO81" s="2567"/>
      <c r="BXP81" s="2567"/>
      <c r="BXQ81" s="2567"/>
      <c r="BXR81" s="2567"/>
      <c r="BXS81" s="2567"/>
      <c r="BXT81" s="2567"/>
      <c r="BXU81" s="2567"/>
      <c r="BXV81" s="2567"/>
      <c r="BXW81" s="2567"/>
      <c r="BXX81" s="2567"/>
      <c r="BXY81" s="2567"/>
      <c r="BXZ81" s="2567"/>
      <c r="BYA81" s="2567"/>
      <c r="BYB81" s="2567"/>
      <c r="BYC81" s="2567"/>
      <c r="BYD81" s="2567"/>
      <c r="BYE81" s="2567"/>
      <c r="BYF81" s="2567"/>
      <c r="BYG81" s="2567"/>
      <c r="BYH81" s="2567"/>
      <c r="BYI81" s="2567"/>
      <c r="BYJ81" s="2567"/>
      <c r="BYK81" s="2567"/>
      <c r="BYL81" s="2567"/>
      <c r="BYM81" s="2567"/>
      <c r="BYN81" s="2567"/>
      <c r="BYO81" s="2567"/>
      <c r="BYP81" s="2567"/>
      <c r="BYQ81" s="2567"/>
      <c r="BYR81" s="2567"/>
      <c r="BYS81" s="2567"/>
      <c r="BYT81" s="2567"/>
      <c r="BYU81" s="2567"/>
      <c r="BYV81" s="2567"/>
      <c r="BYW81" s="2567"/>
      <c r="BYX81" s="2567"/>
      <c r="BYY81" s="2567"/>
      <c r="BYZ81" s="2567"/>
      <c r="BZA81" s="2567"/>
      <c r="BZB81" s="2567"/>
      <c r="BZC81" s="2567"/>
      <c r="BZD81" s="2567"/>
      <c r="BZE81" s="2567"/>
      <c r="BZF81" s="2567"/>
      <c r="BZG81" s="2567"/>
      <c r="BZH81" s="2567"/>
      <c r="BZI81" s="2567"/>
      <c r="BZJ81" s="2567"/>
      <c r="BZK81" s="2567"/>
      <c r="BZL81" s="2567"/>
      <c r="BZM81" s="2567"/>
      <c r="BZN81" s="2567"/>
      <c r="BZO81" s="2567"/>
      <c r="BZP81" s="2567"/>
      <c r="BZQ81" s="2567"/>
      <c r="BZR81" s="2567"/>
      <c r="BZS81" s="2567"/>
      <c r="BZT81" s="2567"/>
      <c r="BZU81" s="2567"/>
      <c r="BZV81" s="2567"/>
      <c r="BZW81" s="2567"/>
      <c r="BZX81" s="2567"/>
      <c r="BZY81" s="2567"/>
      <c r="BZZ81" s="2567"/>
      <c r="CAA81" s="2567"/>
      <c r="CAB81" s="2567"/>
      <c r="CAC81" s="2567"/>
      <c r="CAD81" s="2567"/>
      <c r="CAE81" s="2567"/>
      <c r="CAF81" s="2567"/>
      <c r="CAG81" s="2567"/>
      <c r="CAH81" s="2567"/>
      <c r="CAI81" s="2567"/>
      <c r="CAJ81" s="2567"/>
      <c r="CAK81" s="2567"/>
      <c r="CAL81" s="2567"/>
      <c r="CAM81" s="2567"/>
      <c r="CAN81" s="2567"/>
      <c r="CAO81" s="2567"/>
      <c r="CAP81" s="2567"/>
      <c r="CAQ81" s="2567"/>
      <c r="CAR81" s="2567"/>
      <c r="CAS81" s="2567"/>
      <c r="CAT81" s="2567"/>
      <c r="CAU81" s="2567"/>
      <c r="CAV81" s="2567"/>
      <c r="CAW81" s="2567"/>
      <c r="CAX81" s="2567"/>
      <c r="CAY81" s="2567"/>
      <c r="CAZ81" s="2567"/>
      <c r="CBA81" s="2567"/>
      <c r="CBB81" s="2567"/>
      <c r="CBC81" s="2567"/>
      <c r="CBD81" s="2567"/>
      <c r="CBE81" s="2567"/>
      <c r="CBF81" s="2567"/>
      <c r="CBG81" s="2567"/>
      <c r="CBH81" s="2567"/>
      <c r="CBI81" s="2567"/>
      <c r="CBJ81" s="2567"/>
      <c r="CBK81" s="2567"/>
      <c r="CBL81" s="2567"/>
      <c r="CBM81" s="2567"/>
      <c r="CBN81" s="2567"/>
      <c r="CBO81" s="2567"/>
      <c r="CBP81" s="2567"/>
      <c r="CBQ81" s="2567"/>
      <c r="CBR81" s="2567"/>
      <c r="CBS81" s="2567"/>
      <c r="CBT81" s="2567"/>
      <c r="CBU81" s="2567"/>
      <c r="CBV81" s="2567"/>
      <c r="CBW81" s="2567"/>
      <c r="CBX81" s="2567"/>
      <c r="CBY81" s="2567"/>
      <c r="CBZ81" s="2567"/>
      <c r="CCA81" s="2567"/>
      <c r="CCB81" s="2567"/>
      <c r="CCC81" s="2567"/>
      <c r="CCD81" s="2567"/>
      <c r="CCE81" s="2567"/>
      <c r="CCF81" s="2567"/>
      <c r="CCG81" s="2567"/>
      <c r="CCH81" s="2567"/>
      <c r="CCI81" s="2567"/>
      <c r="CCJ81" s="2567"/>
      <c r="CCK81" s="2567"/>
      <c r="CCL81" s="2567"/>
      <c r="CCM81" s="2567"/>
      <c r="CCN81" s="2567"/>
      <c r="CCO81" s="2567"/>
      <c r="CCP81" s="2567"/>
      <c r="CCQ81" s="2567"/>
      <c r="CCR81" s="2567"/>
      <c r="CCS81" s="2567"/>
      <c r="CCT81" s="2567"/>
      <c r="CCU81" s="2567"/>
      <c r="CCV81" s="2567"/>
      <c r="CCW81" s="2567"/>
      <c r="CCX81" s="2567"/>
      <c r="CCY81" s="2567"/>
      <c r="CCZ81" s="2567"/>
      <c r="CDA81" s="2567"/>
      <c r="CDB81" s="2567"/>
      <c r="CDC81" s="2567"/>
      <c r="CDD81" s="2567"/>
      <c r="CDE81" s="2567"/>
      <c r="CDF81" s="2567"/>
      <c r="CDG81" s="2567"/>
      <c r="CDH81" s="2567"/>
      <c r="CDI81" s="2567"/>
      <c r="CDJ81" s="2567"/>
      <c r="CDK81" s="2567"/>
      <c r="CDL81" s="2567"/>
      <c r="CDM81" s="2567"/>
      <c r="CDN81" s="2567"/>
      <c r="CDO81" s="2567"/>
      <c r="CDP81" s="2567"/>
      <c r="CDQ81" s="2567"/>
      <c r="CDR81" s="2567"/>
      <c r="CDS81" s="2567"/>
      <c r="CDT81" s="2567"/>
      <c r="CDU81" s="2567"/>
      <c r="CDV81" s="2567"/>
      <c r="CDW81" s="2567"/>
      <c r="CDX81" s="2567"/>
      <c r="CDY81" s="2567"/>
      <c r="CDZ81" s="2567"/>
      <c r="CEA81" s="2567"/>
      <c r="CEB81" s="2567"/>
      <c r="CEC81" s="2567"/>
      <c r="CED81" s="2567"/>
      <c r="CEE81" s="2567"/>
      <c r="CEF81" s="2567"/>
      <c r="CEG81" s="2567"/>
      <c r="CEH81" s="2567"/>
      <c r="CEI81" s="2567"/>
      <c r="CEJ81" s="2567"/>
      <c r="CEK81" s="2567"/>
      <c r="CEL81" s="2567"/>
      <c r="CEM81" s="2567"/>
      <c r="CEN81" s="2567"/>
      <c r="CEO81" s="2567"/>
      <c r="CEP81" s="2567"/>
      <c r="CEQ81" s="2567"/>
      <c r="CER81" s="2567"/>
      <c r="CES81" s="2567"/>
      <c r="CET81" s="2567"/>
      <c r="CEU81" s="2567"/>
      <c r="CEV81" s="2567"/>
      <c r="CEW81" s="2567"/>
      <c r="CEX81" s="2567"/>
      <c r="CEY81" s="2567"/>
      <c r="CEZ81" s="2567"/>
      <c r="CFA81" s="2567"/>
      <c r="CFB81" s="2567"/>
      <c r="CFC81" s="2567"/>
      <c r="CFD81" s="2567"/>
      <c r="CFE81" s="2567"/>
      <c r="CFF81" s="2567"/>
      <c r="CFG81" s="2567"/>
      <c r="CFH81" s="2567"/>
      <c r="CFI81" s="2567"/>
      <c r="CFJ81" s="2567"/>
      <c r="CFK81" s="2567"/>
      <c r="CFL81" s="2567"/>
      <c r="CFM81" s="2567"/>
      <c r="CFN81" s="2567"/>
      <c r="CFO81" s="2567"/>
      <c r="CFP81" s="2567"/>
      <c r="CFQ81" s="2567"/>
      <c r="CFR81" s="2567"/>
      <c r="CFS81" s="2567"/>
      <c r="CFT81" s="2567"/>
      <c r="CFU81" s="2567"/>
      <c r="CFV81" s="2567"/>
      <c r="CFW81" s="2567"/>
      <c r="CFX81" s="2567"/>
      <c r="CFY81" s="2567"/>
      <c r="CFZ81" s="2567"/>
      <c r="CGA81" s="2567"/>
      <c r="CGB81" s="2567"/>
      <c r="CGC81" s="2567"/>
      <c r="CGD81" s="2567"/>
      <c r="CGE81" s="2567"/>
      <c r="CGF81" s="2567"/>
      <c r="CGG81" s="2567"/>
      <c r="CGH81" s="2567"/>
      <c r="CGI81" s="2567"/>
      <c r="CGJ81" s="2567"/>
      <c r="CGK81" s="2567"/>
      <c r="CGL81" s="2567"/>
      <c r="CGM81" s="2567"/>
      <c r="CGN81" s="2567"/>
      <c r="CGO81" s="2567"/>
      <c r="CGP81" s="2567"/>
      <c r="CGQ81" s="2567"/>
      <c r="CGR81" s="2567"/>
      <c r="CGS81" s="2567"/>
      <c r="CGT81" s="2567"/>
      <c r="CGU81" s="2567"/>
      <c r="CGV81" s="2567"/>
      <c r="CGW81" s="2567"/>
      <c r="CGX81" s="2567"/>
      <c r="CGY81" s="2567"/>
      <c r="CGZ81" s="2567"/>
      <c r="CHA81" s="2567"/>
      <c r="CHB81" s="2567"/>
      <c r="CHC81" s="2567"/>
      <c r="CHD81" s="2567"/>
      <c r="CHE81" s="2567"/>
      <c r="CHF81" s="2567"/>
      <c r="CHG81" s="2567"/>
      <c r="CHH81" s="2567"/>
      <c r="CHI81" s="2567"/>
      <c r="CHJ81" s="2567"/>
      <c r="CHK81" s="2567"/>
      <c r="CHL81" s="2567"/>
      <c r="CHM81" s="2567"/>
      <c r="CHN81" s="2567"/>
      <c r="CHO81" s="2567"/>
      <c r="CHP81" s="2567"/>
      <c r="CHQ81" s="2567"/>
      <c r="CHR81" s="2567"/>
      <c r="CHS81" s="2567"/>
      <c r="CHT81" s="2567"/>
      <c r="CHU81" s="2567"/>
      <c r="CHV81" s="2567"/>
      <c r="CHW81" s="2567"/>
      <c r="CHX81" s="2567"/>
      <c r="CHY81" s="2567"/>
      <c r="CHZ81" s="2567"/>
      <c r="CIA81" s="2567"/>
      <c r="CIB81" s="2567"/>
      <c r="CIC81" s="2567"/>
      <c r="CID81" s="2567"/>
      <c r="CIE81" s="2567"/>
      <c r="CIF81" s="2567"/>
      <c r="CIG81" s="2567"/>
      <c r="CIH81" s="2567"/>
      <c r="CII81" s="2567"/>
      <c r="CIJ81" s="2567"/>
      <c r="CIK81" s="2567"/>
      <c r="CIL81" s="2567"/>
      <c r="CIM81" s="2567"/>
      <c r="CIN81" s="2567"/>
      <c r="CIO81" s="2567"/>
      <c r="CIP81" s="2567"/>
      <c r="CIQ81" s="2567"/>
      <c r="CIR81" s="2567"/>
      <c r="CIS81" s="2567"/>
      <c r="CIT81" s="2567"/>
      <c r="CIU81" s="2567"/>
      <c r="CIV81" s="2567"/>
      <c r="CIW81" s="2567"/>
      <c r="CIX81" s="2567"/>
      <c r="CIY81" s="2567"/>
      <c r="CIZ81" s="2567"/>
      <c r="CJA81" s="2567"/>
      <c r="CJB81" s="2567"/>
      <c r="CJC81" s="2567"/>
      <c r="CJD81" s="2567"/>
      <c r="CJE81" s="2567"/>
      <c r="CJF81" s="2567"/>
      <c r="CJG81" s="2567"/>
      <c r="CJH81" s="2567"/>
      <c r="CJI81" s="2567"/>
      <c r="CJJ81" s="2567"/>
      <c r="CJK81" s="2567"/>
      <c r="CJL81" s="2567"/>
      <c r="CJM81" s="2567"/>
      <c r="CJN81" s="2567"/>
      <c r="CJO81" s="2567"/>
      <c r="CJP81" s="2567"/>
      <c r="CJQ81" s="2567"/>
      <c r="CJR81" s="2567"/>
      <c r="CJS81" s="2567"/>
      <c r="CJT81" s="2567"/>
      <c r="CJU81" s="2567"/>
      <c r="CJV81" s="2567"/>
      <c r="CJW81" s="2567"/>
      <c r="CJX81" s="2567"/>
      <c r="CJY81" s="2567"/>
      <c r="CJZ81" s="2567"/>
      <c r="CKA81" s="2567"/>
      <c r="CKB81" s="2567"/>
      <c r="CKC81" s="2567"/>
      <c r="CKD81" s="2567"/>
      <c r="CKE81" s="2567"/>
      <c r="CKF81" s="2567"/>
      <c r="CKG81" s="2567"/>
      <c r="CKH81" s="2567"/>
      <c r="CKI81" s="2567"/>
      <c r="CKJ81" s="2567"/>
      <c r="CKK81" s="2567"/>
      <c r="CKL81" s="2567"/>
      <c r="CKM81" s="2567"/>
      <c r="CKN81" s="2567"/>
      <c r="CKO81" s="2567"/>
      <c r="CKP81" s="2567"/>
      <c r="CKQ81" s="2567"/>
      <c r="CKR81" s="2567"/>
      <c r="CKS81" s="2567"/>
      <c r="CKT81" s="2567"/>
      <c r="CKU81" s="2567"/>
      <c r="CKV81" s="2567"/>
      <c r="CKW81" s="2567"/>
      <c r="CKX81" s="2567"/>
      <c r="CKY81" s="2567"/>
      <c r="CKZ81" s="2567"/>
      <c r="CLA81" s="2567"/>
      <c r="CLB81" s="2567"/>
      <c r="CLC81" s="2567"/>
      <c r="CLD81" s="2567"/>
      <c r="CLE81" s="2567"/>
      <c r="CLF81" s="2567"/>
      <c r="CLG81" s="2567"/>
      <c r="CLH81" s="2567"/>
      <c r="CLI81" s="2567"/>
      <c r="CLJ81" s="2567"/>
      <c r="CLK81" s="2567"/>
      <c r="CLL81" s="2567"/>
      <c r="CLM81" s="2567"/>
      <c r="CLN81" s="2567"/>
      <c r="CLO81" s="2567"/>
      <c r="CLP81" s="2567"/>
      <c r="CLQ81" s="2567"/>
      <c r="CLR81" s="2567"/>
      <c r="CLS81" s="2567"/>
      <c r="CLT81" s="2567"/>
      <c r="CLU81" s="2567"/>
      <c r="CLV81" s="2567"/>
      <c r="CLW81" s="2567"/>
      <c r="CLX81" s="2567"/>
      <c r="CLY81" s="2567"/>
      <c r="CLZ81" s="2567"/>
      <c r="CMA81" s="2567"/>
      <c r="CMB81" s="2567"/>
      <c r="CMC81" s="2567"/>
      <c r="CMD81" s="2567"/>
      <c r="CME81" s="2567"/>
      <c r="CMF81" s="2567"/>
      <c r="CMG81" s="2567"/>
      <c r="CMH81" s="2567"/>
      <c r="CMI81" s="2567"/>
      <c r="CMJ81" s="2567"/>
      <c r="CMK81" s="2567"/>
      <c r="CML81" s="2567"/>
      <c r="CMM81" s="2567"/>
      <c r="CMN81" s="2567"/>
      <c r="CMO81" s="2567"/>
      <c r="CMP81" s="2567"/>
      <c r="CMQ81" s="2567"/>
      <c r="CMR81" s="2567"/>
      <c r="CMS81" s="2567"/>
      <c r="CMT81" s="2567"/>
      <c r="CMU81" s="2567"/>
      <c r="CMV81" s="2567"/>
      <c r="CMW81" s="2567"/>
      <c r="CMX81" s="2567"/>
      <c r="CMY81" s="2567"/>
      <c r="CMZ81" s="2567"/>
      <c r="CNA81" s="2567"/>
      <c r="CNB81" s="2567"/>
      <c r="CNC81" s="2567"/>
      <c r="CND81" s="2567"/>
      <c r="CNE81" s="2567"/>
      <c r="CNF81" s="2567"/>
      <c r="CNG81" s="2567"/>
      <c r="CNH81" s="2567"/>
      <c r="CNI81" s="2567"/>
      <c r="CNJ81" s="2567"/>
      <c r="CNK81" s="2567"/>
      <c r="CNL81" s="2567"/>
      <c r="CNM81" s="2567"/>
      <c r="CNN81" s="2567"/>
      <c r="CNO81" s="2567"/>
      <c r="CNP81" s="2567"/>
      <c r="CNQ81" s="2567"/>
      <c r="CNR81" s="2567"/>
      <c r="CNS81" s="2567"/>
      <c r="CNT81" s="2567"/>
      <c r="CNU81" s="2567"/>
      <c r="CNV81" s="2567"/>
      <c r="CNW81" s="2567"/>
      <c r="CNX81" s="2567"/>
      <c r="CNY81" s="2567"/>
      <c r="CNZ81" s="2567"/>
      <c r="COA81" s="2567"/>
      <c r="COB81" s="2567"/>
      <c r="COC81" s="2567"/>
      <c r="COD81" s="2567"/>
      <c r="COE81" s="2567"/>
      <c r="COF81" s="2567"/>
      <c r="COG81" s="2567"/>
      <c r="COH81" s="2567"/>
      <c r="COI81" s="2567"/>
      <c r="COJ81" s="2567"/>
      <c r="COK81" s="2567"/>
      <c r="COL81" s="2567"/>
      <c r="COM81" s="2567"/>
      <c r="CON81" s="2567"/>
      <c r="COO81" s="2567"/>
      <c r="COP81" s="2567"/>
      <c r="COQ81" s="2567"/>
      <c r="COR81" s="2567"/>
      <c r="COS81" s="2567"/>
      <c r="COT81" s="2567"/>
      <c r="COU81" s="2567"/>
      <c r="COV81" s="2567"/>
      <c r="COW81" s="2567"/>
      <c r="COX81" s="2567"/>
      <c r="COY81" s="2567"/>
      <c r="COZ81" s="2567"/>
      <c r="CPA81" s="2567"/>
      <c r="CPB81" s="2567"/>
      <c r="CPC81" s="2567"/>
      <c r="CPD81" s="2567"/>
      <c r="CPE81" s="2567"/>
      <c r="CPF81" s="2567"/>
      <c r="CPG81" s="2567"/>
      <c r="CPH81" s="2567"/>
      <c r="CPI81" s="2567"/>
      <c r="CPJ81" s="2567"/>
      <c r="CPK81" s="2567"/>
      <c r="CPL81" s="2567"/>
      <c r="CPM81" s="2567"/>
      <c r="CPN81" s="2567"/>
      <c r="CPO81" s="2567"/>
      <c r="CPP81" s="2567"/>
      <c r="CPQ81" s="2567"/>
      <c r="CPR81" s="2567"/>
      <c r="CPS81" s="2567"/>
      <c r="CPT81" s="2567"/>
      <c r="CPU81" s="2567"/>
      <c r="CPV81" s="2567"/>
      <c r="CPW81" s="2567"/>
      <c r="CPX81" s="2567"/>
      <c r="CPY81" s="2567"/>
      <c r="CPZ81" s="2567"/>
      <c r="CQA81" s="2567"/>
      <c r="CQB81" s="2567"/>
      <c r="CQC81" s="2567"/>
      <c r="CQD81" s="2567"/>
      <c r="CQE81" s="2567"/>
      <c r="CQF81" s="2567"/>
      <c r="CQG81" s="2567"/>
      <c r="CQH81" s="2567"/>
      <c r="CQI81" s="2567"/>
      <c r="CQJ81" s="2567"/>
      <c r="CQK81" s="2567"/>
      <c r="CQL81" s="2567"/>
      <c r="CQM81" s="2567"/>
      <c r="CQN81" s="2567"/>
      <c r="CQO81" s="2567"/>
      <c r="CQP81" s="2567"/>
      <c r="CQQ81" s="2567"/>
      <c r="CQR81" s="2567"/>
      <c r="CQS81" s="2567"/>
      <c r="CQT81" s="2567"/>
      <c r="CQU81" s="2567"/>
      <c r="CQV81" s="2567"/>
      <c r="CQW81" s="2567"/>
      <c r="CQX81" s="2567"/>
      <c r="CQY81" s="2567"/>
      <c r="CQZ81" s="2567"/>
      <c r="CRA81" s="2567"/>
      <c r="CRB81" s="2567"/>
      <c r="CRC81" s="2567"/>
      <c r="CRD81" s="2567"/>
      <c r="CRE81" s="2567"/>
      <c r="CRF81" s="2567"/>
      <c r="CRG81" s="2567"/>
      <c r="CRH81" s="2567"/>
      <c r="CRI81" s="2567"/>
      <c r="CRJ81" s="2567"/>
      <c r="CRK81" s="2567"/>
      <c r="CRL81" s="2567"/>
      <c r="CRM81" s="2567"/>
      <c r="CRN81" s="2567"/>
      <c r="CRO81" s="2567"/>
      <c r="CRP81" s="2567"/>
      <c r="CRQ81" s="2567"/>
      <c r="CRR81" s="2567"/>
      <c r="CRS81" s="2567"/>
      <c r="CRT81" s="2567"/>
      <c r="CRU81" s="2567"/>
      <c r="CRV81" s="2567"/>
      <c r="CRW81" s="2567"/>
      <c r="CRX81" s="2567"/>
      <c r="CRY81" s="2567"/>
      <c r="CRZ81" s="2567"/>
      <c r="CSA81" s="2567"/>
      <c r="CSB81" s="2567"/>
      <c r="CSC81" s="2567"/>
      <c r="CSD81" s="2567"/>
      <c r="CSE81" s="2567"/>
      <c r="CSF81" s="2567"/>
      <c r="CSG81" s="2567"/>
      <c r="CSH81" s="2567"/>
      <c r="CSI81" s="2567"/>
      <c r="CSJ81" s="2567"/>
      <c r="CSK81" s="2567"/>
      <c r="CSL81" s="2567"/>
      <c r="CSM81" s="2567"/>
      <c r="CSN81" s="2567"/>
      <c r="CSO81" s="2567"/>
      <c r="CSP81" s="2567"/>
      <c r="CSQ81" s="2567"/>
      <c r="CSR81" s="2567"/>
      <c r="CSS81" s="2567"/>
      <c r="CST81" s="2567"/>
      <c r="CSU81" s="2567"/>
      <c r="CSV81" s="2567"/>
      <c r="CSW81" s="2567"/>
      <c r="CSX81" s="2567"/>
      <c r="CSY81" s="2567"/>
      <c r="CSZ81" s="2567"/>
      <c r="CTA81" s="2567"/>
      <c r="CTB81" s="2567"/>
      <c r="CTC81" s="2567"/>
      <c r="CTD81" s="2567"/>
      <c r="CTE81" s="2567"/>
      <c r="CTF81" s="2567"/>
      <c r="CTG81" s="2567"/>
      <c r="CTH81" s="2567"/>
      <c r="CTI81" s="2567"/>
      <c r="CTJ81" s="2567"/>
      <c r="CTK81" s="2567"/>
      <c r="CTL81" s="2567"/>
      <c r="CTM81" s="2567"/>
      <c r="CTN81" s="2567"/>
      <c r="CTO81" s="2567"/>
      <c r="CTP81" s="2567"/>
      <c r="CTQ81" s="2567"/>
      <c r="CTR81" s="2567"/>
      <c r="CTS81" s="2567"/>
      <c r="CTT81" s="2567"/>
      <c r="CTU81" s="2567"/>
      <c r="CTV81" s="2567"/>
      <c r="CTW81" s="2567"/>
      <c r="CTX81" s="2567"/>
      <c r="CTY81" s="2567"/>
      <c r="CTZ81" s="2567"/>
      <c r="CUA81" s="2567"/>
      <c r="CUB81" s="2567"/>
      <c r="CUC81" s="2567"/>
      <c r="CUD81" s="2567"/>
      <c r="CUE81" s="2567"/>
      <c r="CUF81" s="2567"/>
      <c r="CUG81" s="2567"/>
      <c r="CUH81" s="2567"/>
      <c r="CUI81" s="2567"/>
      <c r="CUJ81" s="2567"/>
      <c r="CUK81" s="2567"/>
      <c r="CUL81" s="2567"/>
      <c r="CUM81" s="2567"/>
      <c r="CUN81" s="2567"/>
      <c r="CUO81" s="2567"/>
      <c r="CUP81" s="2567"/>
      <c r="CUQ81" s="2567"/>
      <c r="CUR81" s="2567"/>
      <c r="CUS81" s="2567"/>
      <c r="CUT81" s="2567"/>
      <c r="CUU81" s="2567"/>
      <c r="CUV81" s="2567"/>
      <c r="CUW81" s="2567"/>
      <c r="CUX81" s="2567"/>
      <c r="CUY81" s="2567"/>
      <c r="CUZ81" s="2567"/>
      <c r="CVA81" s="2567"/>
      <c r="CVB81" s="2567"/>
      <c r="CVC81" s="2567"/>
      <c r="CVD81" s="2567"/>
      <c r="CVE81" s="2567"/>
      <c r="CVF81" s="2567"/>
      <c r="CVG81" s="2567"/>
      <c r="CVH81" s="2567"/>
      <c r="CVI81" s="2567"/>
      <c r="CVJ81" s="2567"/>
      <c r="CVK81" s="2567"/>
      <c r="CVL81" s="2567"/>
      <c r="CVM81" s="2567"/>
      <c r="CVN81" s="2567"/>
      <c r="CVO81" s="2567"/>
      <c r="CVP81" s="2567"/>
      <c r="CVQ81" s="2567"/>
      <c r="CVR81" s="2567"/>
      <c r="CVS81" s="2567"/>
      <c r="CVT81" s="2567"/>
      <c r="CVU81" s="2567"/>
      <c r="CVV81" s="2567"/>
      <c r="CVW81" s="2567"/>
      <c r="CVX81" s="2567"/>
      <c r="CVY81" s="2567"/>
      <c r="CVZ81" s="2567"/>
      <c r="CWA81" s="2567"/>
      <c r="CWB81" s="2567"/>
      <c r="CWC81" s="2567"/>
      <c r="CWD81" s="2567"/>
      <c r="CWE81" s="2567"/>
      <c r="CWF81" s="2567"/>
      <c r="CWG81" s="2567"/>
      <c r="CWH81" s="2567"/>
      <c r="CWI81" s="2567"/>
      <c r="CWJ81" s="2567"/>
      <c r="CWK81" s="2567"/>
      <c r="CWL81" s="2567"/>
      <c r="CWM81" s="2567"/>
      <c r="CWN81" s="2567"/>
      <c r="CWO81" s="2567"/>
      <c r="CWP81" s="2567"/>
      <c r="CWQ81" s="2567"/>
      <c r="CWR81" s="2567"/>
      <c r="CWS81" s="2567"/>
      <c r="CWT81" s="2567"/>
      <c r="CWU81" s="2567"/>
      <c r="CWV81" s="2567"/>
      <c r="CWW81" s="2567"/>
      <c r="CWX81" s="2567"/>
      <c r="CWY81" s="2567"/>
      <c r="CWZ81" s="2567"/>
      <c r="CXA81" s="2567"/>
      <c r="CXB81" s="2567"/>
      <c r="CXC81" s="2567"/>
      <c r="CXD81" s="2567"/>
      <c r="CXE81" s="2567"/>
      <c r="CXF81" s="2567"/>
      <c r="CXG81" s="2567"/>
      <c r="CXH81" s="2567"/>
      <c r="CXI81" s="2567"/>
      <c r="CXJ81" s="2567"/>
      <c r="CXK81" s="2567"/>
      <c r="CXL81" s="2567"/>
      <c r="CXM81" s="2567"/>
      <c r="CXN81" s="2567"/>
      <c r="CXO81" s="2567"/>
      <c r="CXP81" s="2567"/>
      <c r="CXQ81" s="2567"/>
      <c r="CXR81" s="2567"/>
      <c r="CXS81" s="2567"/>
      <c r="CXT81" s="2567"/>
      <c r="CXU81" s="2567"/>
      <c r="CXV81" s="2567"/>
      <c r="CXW81" s="2567"/>
      <c r="CXX81" s="2567"/>
      <c r="CXY81" s="2567"/>
      <c r="CXZ81" s="2567"/>
      <c r="CYA81" s="2567"/>
      <c r="CYB81" s="2567"/>
      <c r="CYC81" s="2567"/>
      <c r="CYD81" s="2567"/>
      <c r="CYE81" s="2567"/>
      <c r="CYF81" s="2567"/>
      <c r="CYG81" s="2567"/>
      <c r="CYH81" s="2567"/>
      <c r="CYI81" s="2567"/>
      <c r="CYJ81" s="2567"/>
      <c r="CYK81" s="2567"/>
      <c r="CYL81" s="2567"/>
      <c r="CYM81" s="2567"/>
      <c r="CYN81" s="2567"/>
      <c r="CYO81" s="2567"/>
      <c r="CYP81" s="2567"/>
      <c r="CYQ81" s="2567"/>
      <c r="CYR81" s="2567"/>
      <c r="CYS81" s="2567"/>
      <c r="CYT81" s="2567"/>
      <c r="CYU81" s="2567"/>
      <c r="CYV81" s="2567"/>
      <c r="CYW81" s="2567"/>
      <c r="CYX81" s="2567"/>
      <c r="CYY81" s="2567"/>
      <c r="CYZ81" s="2567"/>
      <c r="CZA81" s="2567"/>
      <c r="CZB81" s="2567"/>
      <c r="CZC81" s="2567"/>
      <c r="CZD81" s="2567"/>
      <c r="CZE81" s="2567"/>
      <c r="CZF81" s="2567"/>
      <c r="CZG81" s="2567"/>
      <c r="CZH81" s="2567"/>
      <c r="CZI81" s="2567"/>
      <c r="CZJ81" s="2567"/>
      <c r="CZK81" s="2567"/>
      <c r="CZL81" s="2567"/>
      <c r="CZM81" s="2567"/>
      <c r="CZN81" s="2567"/>
      <c r="CZO81" s="2567"/>
      <c r="CZP81" s="2567"/>
      <c r="CZQ81" s="2567"/>
      <c r="CZR81" s="2567"/>
      <c r="CZS81" s="2567"/>
      <c r="CZT81" s="2567"/>
      <c r="CZU81" s="2567"/>
      <c r="CZV81" s="2567"/>
      <c r="CZW81" s="2567"/>
      <c r="CZX81" s="2567"/>
      <c r="CZY81" s="2567"/>
      <c r="CZZ81" s="2567"/>
      <c r="DAA81" s="2567"/>
      <c r="DAB81" s="2567"/>
      <c r="DAC81" s="2567"/>
      <c r="DAD81" s="2567"/>
      <c r="DAE81" s="2567"/>
      <c r="DAF81" s="2567"/>
      <c r="DAG81" s="2567"/>
      <c r="DAH81" s="2567"/>
      <c r="DAI81" s="2567"/>
      <c r="DAJ81" s="2567"/>
      <c r="DAK81" s="2567"/>
      <c r="DAL81" s="2567"/>
      <c r="DAM81" s="2567"/>
      <c r="DAN81" s="2567"/>
      <c r="DAO81" s="2567"/>
      <c r="DAP81" s="2567"/>
      <c r="DAQ81" s="2567"/>
      <c r="DAR81" s="2567"/>
      <c r="DAS81" s="2567"/>
      <c r="DAT81" s="2567"/>
      <c r="DAU81" s="2567"/>
      <c r="DAV81" s="2567"/>
      <c r="DAW81" s="2567"/>
      <c r="DAX81" s="2567"/>
      <c r="DAY81" s="2567"/>
      <c r="DAZ81" s="2567"/>
      <c r="DBA81" s="2567"/>
      <c r="DBB81" s="2567"/>
      <c r="DBC81" s="2567"/>
      <c r="DBD81" s="2567"/>
      <c r="DBE81" s="2567"/>
      <c r="DBF81" s="2567"/>
      <c r="DBG81" s="2567"/>
      <c r="DBH81" s="2567"/>
      <c r="DBI81" s="2567"/>
      <c r="DBJ81" s="2567"/>
      <c r="DBK81" s="2567"/>
      <c r="DBL81" s="2567"/>
      <c r="DBM81" s="2567"/>
      <c r="DBN81" s="2567"/>
      <c r="DBO81" s="2567"/>
      <c r="DBP81" s="2567"/>
      <c r="DBQ81" s="2567"/>
      <c r="DBR81" s="2567"/>
      <c r="DBS81" s="2567"/>
      <c r="DBT81" s="2567"/>
      <c r="DBU81" s="2567"/>
      <c r="DBV81" s="2567"/>
      <c r="DBW81" s="2567"/>
      <c r="DBX81" s="2567"/>
      <c r="DBY81" s="2567"/>
      <c r="DBZ81" s="2567"/>
      <c r="DCA81" s="2567"/>
      <c r="DCB81" s="2567"/>
      <c r="DCC81" s="2567"/>
      <c r="DCD81" s="2567"/>
      <c r="DCE81" s="2567"/>
      <c r="DCF81" s="2567"/>
      <c r="DCG81" s="2567"/>
      <c r="DCH81" s="2567"/>
      <c r="DCI81" s="2567"/>
      <c r="DCJ81" s="2567"/>
      <c r="DCK81" s="2567"/>
      <c r="DCL81" s="2567"/>
      <c r="DCM81" s="2567"/>
      <c r="DCN81" s="2567"/>
      <c r="DCO81" s="2567"/>
      <c r="DCP81" s="2567"/>
      <c r="DCQ81" s="2567"/>
      <c r="DCR81" s="2567"/>
      <c r="DCS81" s="2567"/>
      <c r="DCT81" s="2567"/>
      <c r="DCU81" s="2567"/>
      <c r="DCV81" s="2567"/>
      <c r="DCW81" s="2567"/>
      <c r="DCX81" s="2567"/>
      <c r="DCY81" s="2567"/>
      <c r="DCZ81" s="2567"/>
      <c r="DDA81" s="2567"/>
      <c r="DDB81" s="2567"/>
      <c r="DDC81" s="2567"/>
      <c r="DDD81" s="2567"/>
      <c r="DDE81" s="2567"/>
      <c r="DDF81" s="2567"/>
      <c r="DDG81" s="2567"/>
      <c r="DDH81" s="2567"/>
      <c r="DDI81" s="2567"/>
      <c r="DDJ81" s="2567"/>
      <c r="DDK81" s="2567"/>
      <c r="DDL81" s="2567"/>
      <c r="DDM81" s="2567"/>
      <c r="DDN81" s="2567"/>
      <c r="DDO81" s="2567"/>
      <c r="DDP81" s="2567"/>
      <c r="DDQ81" s="2567"/>
      <c r="DDR81" s="2567"/>
      <c r="DDS81" s="2567"/>
      <c r="DDT81" s="2567"/>
      <c r="DDU81" s="2567"/>
      <c r="DDV81" s="2567"/>
      <c r="DDW81" s="2567"/>
      <c r="DDX81" s="2567"/>
      <c r="DDY81" s="2567"/>
      <c r="DDZ81" s="2567"/>
      <c r="DEA81" s="2567"/>
      <c r="DEB81" s="2567"/>
      <c r="DEC81" s="2567"/>
      <c r="DED81" s="2567"/>
      <c r="DEE81" s="2567"/>
      <c r="DEF81" s="2567"/>
      <c r="DEG81" s="2567"/>
      <c r="DEH81" s="2567"/>
      <c r="DEI81" s="2567"/>
      <c r="DEJ81" s="2567"/>
      <c r="DEK81" s="2567"/>
      <c r="DEL81" s="2567"/>
      <c r="DEM81" s="2567"/>
      <c r="DEN81" s="2567"/>
      <c r="DEO81" s="2567"/>
      <c r="DEP81" s="2567"/>
      <c r="DEQ81" s="2567"/>
      <c r="DER81" s="2567"/>
      <c r="DES81" s="2567"/>
      <c r="DET81" s="2567"/>
      <c r="DEU81" s="2567"/>
      <c r="DEV81" s="2567"/>
      <c r="DEW81" s="2567"/>
      <c r="DEX81" s="2567"/>
      <c r="DEY81" s="2567"/>
      <c r="DEZ81" s="2567"/>
      <c r="DFA81" s="2567"/>
      <c r="DFB81" s="2567"/>
      <c r="DFC81" s="2567"/>
      <c r="DFD81" s="2567"/>
      <c r="DFE81" s="2567"/>
      <c r="DFF81" s="2567"/>
      <c r="DFG81" s="2567"/>
      <c r="DFH81" s="2567"/>
      <c r="DFI81" s="2567"/>
      <c r="DFJ81" s="2567"/>
      <c r="DFK81" s="2567"/>
      <c r="DFL81" s="2567"/>
      <c r="DFM81" s="2567"/>
      <c r="DFN81" s="2567"/>
      <c r="DFO81" s="2567"/>
      <c r="DFP81" s="2567"/>
      <c r="DFQ81" s="2567"/>
      <c r="DFR81" s="2567"/>
      <c r="DFS81" s="2567"/>
      <c r="DFT81" s="2567"/>
      <c r="DFU81" s="2567"/>
      <c r="DFV81" s="2567"/>
      <c r="DFW81" s="2567"/>
      <c r="DFX81" s="2567"/>
      <c r="DFY81" s="2567"/>
      <c r="DFZ81" s="2567"/>
      <c r="DGA81" s="2567"/>
      <c r="DGB81" s="2567"/>
      <c r="DGC81" s="2567"/>
      <c r="DGD81" s="2567"/>
      <c r="DGE81" s="2567"/>
      <c r="DGF81" s="2567"/>
      <c r="DGG81" s="2567"/>
      <c r="DGH81" s="2567"/>
      <c r="DGI81" s="2567"/>
      <c r="DGJ81" s="2567"/>
      <c r="DGK81" s="2567"/>
      <c r="DGL81" s="2567"/>
      <c r="DGM81" s="2567"/>
      <c r="DGN81" s="2567"/>
      <c r="DGO81" s="2567"/>
      <c r="DGP81" s="2567"/>
      <c r="DGQ81" s="2567"/>
      <c r="DGR81" s="2567"/>
      <c r="DGS81" s="2567"/>
      <c r="DGT81" s="2567"/>
      <c r="DGU81" s="2567"/>
      <c r="DGV81" s="2567"/>
      <c r="DGW81" s="2567"/>
      <c r="DGX81" s="2567"/>
      <c r="DGY81" s="2567"/>
      <c r="DGZ81" s="2567"/>
      <c r="DHA81" s="2567"/>
      <c r="DHB81" s="2567"/>
      <c r="DHC81" s="2567"/>
      <c r="DHD81" s="2567"/>
      <c r="DHE81" s="2567"/>
      <c r="DHF81" s="2567"/>
      <c r="DHG81" s="2567"/>
      <c r="DHH81" s="2567"/>
      <c r="DHI81" s="2567"/>
      <c r="DHJ81" s="2567"/>
      <c r="DHK81" s="2567"/>
      <c r="DHL81" s="2567"/>
      <c r="DHM81" s="2567"/>
      <c r="DHN81" s="2567"/>
      <c r="DHO81" s="2567"/>
      <c r="DHP81" s="2567"/>
      <c r="DHQ81" s="2567"/>
      <c r="DHR81" s="2567"/>
      <c r="DHS81" s="2567"/>
      <c r="DHT81" s="2567"/>
      <c r="DHU81" s="2567"/>
      <c r="DHV81" s="2567"/>
      <c r="DHW81" s="2567"/>
      <c r="DHX81" s="2567"/>
      <c r="DHY81" s="2567"/>
      <c r="DHZ81" s="2567"/>
      <c r="DIA81" s="2567"/>
      <c r="DIB81" s="2567"/>
      <c r="DIC81" s="2567"/>
      <c r="DID81" s="2567"/>
      <c r="DIE81" s="2567"/>
      <c r="DIF81" s="2567"/>
      <c r="DIG81" s="2567"/>
      <c r="DIH81" s="2567"/>
      <c r="DII81" s="2567"/>
      <c r="DIJ81" s="2567"/>
      <c r="DIK81" s="2567"/>
      <c r="DIL81" s="2567"/>
      <c r="DIM81" s="2567"/>
      <c r="DIN81" s="2567"/>
      <c r="DIO81" s="2567"/>
      <c r="DIP81" s="2567"/>
      <c r="DIQ81" s="2567"/>
      <c r="DIR81" s="2567"/>
      <c r="DIS81" s="2567"/>
      <c r="DIT81" s="2567"/>
      <c r="DIU81" s="2567"/>
      <c r="DIV81" s="2567"/>
      <c r="DIW81" s="2567"/>
      <c r="DIX81" s="2567"/>
      <c r="DIY81" s="2567"/>
      <c r="DIZ81" s="2567"/>
      <c r="DJA81" s="2567"/>
      <c r="DJB81" s="2567"/>
      <c r="DJC81" s="2567"/>
      <c r="DJD81" s="2567"/>
      <c r="DJE81" s="2567"/>
      <c r="DJF81" s="2567"/>
      <c r="DJG81" s="2567"/>
      <c r="DJH81" s="2567"/>
      <c r="DJI81" s="2567"/>
      <c r="DJJ81" s="2567"/>
      <c r="DJK81" s="2567"/>
      <c r="DJL81" s="2567"/>
      <c r="DJM81" s="2567"/>
      <c r="DJN81" s="2567"/>
      <c r="DJO81" s="2567"/>
      <c r="DJP81" s="2567"/>
      <c r="DJQ81" s="2567"/>
      <c r="DJR81" s="2567"/>
      <c r="DJS81" s="2567"/>
      <c r="DJT81" s="2567"/>
      <c r="DJU81" s="2567"/>
      <c r="DJV81" s="2567"/>
      <c r="DJW81" s="2567"/>
      <c r="DJX81" s="2567"/>
      <c r="DJY81" s="2567"/>
      <c r="DJZ81" s="2567"/>
      <c r="DKA81" s="2567"/>
      <c r="DKB81" s="2567"/>
      <c r="DKC81" s="2567"/>
      <c r="DKD81" s="2567"/>
      <c r="DKE81" s="2567"/>
      <c r="DKF81" s="2567"/>
      <c r="DKG81" s="2567"/>
      <c r="DKH81" s="2567"/>
      <c r="DKI81" s="2567"/>
      <c r="DKJ81" s="2567"/>
      <c r="DKK81" s="2567"/>
      <c r="DKL81" s="2567"/>
      <c r="DKM81" s="2567"/>
      <c r="DKN81" s="2567"/>
      <c r="DKO81" s="2567"/>
      <c r="DKP81" s="2567"/>
      <c r="DKQ81" s="2567"/>
      <c r="DKR81" s="2567"/>
      <c r="DKS81" s="2567"/>
      <c r="DKT81" s="2567"/>
      <c r="DKU81" s="2567"/>
      <c r="DKV81" s="2567"/>
      <c r="DKW81" s="2567"/>
      <c r="DKX81" s="2567"/>
      <c r="DKY81" s="2567"/>
      <c r="DKZ81" s="2567"/>
      <c r="DLA81" s="2567"/>
      <c r="DLB81" s="2567"/>
      <c r="DLC81" s="2567"/>
      <c r="DLD81" s="2567"/>
      <c r="DLE81" s="2567"/>
      <c r="DLF81" s="2567"/>
      <c r="DLG81" s="2567"/>
      <c r="DLH81" s="2567"/>
      <c r="DLI81" s="2567"/>
      <c r="DLJ81" s="2567"/>
      <c r="DLK81" s="2567"/>
      <c r="DLL81" s="2567"/>
      <c r="DLM81" s="2567"/>
      <c r="DLN81" s="2567"/>
      <c r="DLO81" s="2567"/>
      <c r="DLP81" s="2567"/>
      <c r="DLQ81" s="2567"/>
      <c r="DLR81" s="2567"/>
      <c r="DLS81" s="2567"/>
      <c r="DLT81" s="2567"/>
      <c r="DLU81" s="2567"/>
      <c r="DLV81" s="2567"/>
      <c r="DLW81" s="2567"/>
      <c r="DLX81" s="2567"/>
      <c r="DLY81" s="2567"/>
      <c r="DLZ81" s="2567"/>
      <c r="DMA81" s="2567"/>
      <c r="DMB81" s="2567"/>
      <c r="DMC81" s="2567"/>
      <c r="DMD81" s="2567"/>
      <c r="DME81" s="2567"/>
      <c r="DMF81" s="2567"/>
      <c r="DMG81" s="2567"/>
      <c r="DMH81" s="2567"/>
      <c r="DMI81" s="2567"/>
      <c r="DMJ81" s="2567"/>
      <c r="DMK81" s="2567"/>
      <c r="DML81" s="2567"/>
      <c r="DMM81" s="2567"/>
      <c r="DMN81" s="2567"/>
      <c r="DMO81" s="2567"/>
      <c r="DMP81" s="2567"/>
      <c r="DMQ81" s="2567"/>
      <c r="DMR81" s="2567"/>
      <c r="DMS81" s="2567"/>
      <c r="DMT81" s="2567"/>
      <c r="DMU81" s="2567"/>
      <c r="DMV81" s="2567"/>
      <c r="DMW81" s="2567"/>
      <c r="DMX81" s="2567"/>
      <c r="DMY81" s="2567"/>
      <c r="DMZ81" s="2567"/>
      <c r="DNA81" s="2567"/>
      <c r="DNB81" s="2567"/>
      <c r="DNC81" s="2567"/>
      <c r="DND81" s="2567"/>
      <c r="DNE81" s="2567"/>
      <c r="DNF81" s="2567"/>
      <c r="DNG81" s="2567"/>
      <c r="DNH81" s="2567"/>
      <c r="DNI81" s="2567"/>
      <c r="DNJ81" s="2567"/>
      <c r="DNK81" s="2567"/>
      <c r="DNL81" s="2567"/>
      <c r="DNM81" s="2567"/>
      <c r="DNN81" s="2567"/>
      <c r="DNO81" s="2567"/>
      <c r="DNP81" s="2567"/>
      <c r="DNQ81" s="2567"/>
      <c r="DNR81" s="2567"/>
      <c r="DNS81" s="2567"/>
      <c r="DNT81" s="2567"/>
      <c r="DNU81" s="2567"/>
      <c r="DNV81" s="2567"/>
      <c r="DNW81" s="2567"/>
      <c r="DNX81" s="2567"/>
      <c r="DNY81" s="2567"/>
      <c r="DNZ81" s="2567"/>
      <c r="DOA81" s="2567"/>
      <c r="DOB81" s="2567"/>
      <c r="DOC81" s="2567"/>
      <c r="DOD81" s="2567"/>
      <c r="DOE81" s="2567"/>
      <c r="DOF81" s="2567"/>
      <c r="DOG81" s="2567"/>
      <c r="DOH81" s="2567"/>
      <c r="DOI81" s="2567"/>
      <c r="DOJ81" s="2567"/>
      <c r="DOK81" s="2567"/>
      <c r="DOL81" s="2567"/>
      <c r="DOM81" s="2567"/>
      <c r="DON81" s="2567"/>
      <c r="DOO81" s="2567"/>
      <c r="DOP81" s="2567"/>
      <c r="DOQ81" s="2567"/>
      <c r="DOR81" s="2567"/>
      <c r="DOS81" s="2567"/>
      <c r="DOT81" s="2567"/>
      <c r="DOU81" s="2567"/>
      <c r="DOV81" s="2567"/>
      <c r="DOW81" s="2567"/>
      <c r="DOX81" s="2567"/>
      <c r="DOY81" s="2567"/>
      <c r="DOZ81" s="2567"/>
      <c r="DPA81" s="2567"/>
      <c r="DPB81" s="2567"/>
      <c r="DPC81" s="2567"/>
      <c r="DPD81" s="2567"/>
      <c r="DPE81" s="2567"/>
      <c r="DPF81" s="2567"/>
      <c r="DPG81" s="2567"/>
      <c r="DPH81" s="2567"/>
      <c r="DPI81" s="2567"/>
      <c r="DPJ81" s="2567"/>
      <c r="DPK81" s="2567"/>
      <c r="DPL81" s="2567"/>
      <c r="DPM81" s="2567"/>
      <c r="DPN81" s="2567"/>
      <c r="DPO81" s="2567"/>
      <c r="DPP81" s="2567"/>
      <c r="DPQ81" s="2567"/>
      <c r="DPR81" s="2567"/>
      <c r="DPS81" s="2567"/>
      <c r="DPT81" s="2567"/>
      <c r="DPU81" s="2567"/>
      <c r="DPV81" s="2567"/>
      <c r="DPW81" s="2567"/>
      <c r="DPX81" s="2567"/>
      <c r="DPY81" s="2567"/>
      <c r="DPZ81" s="2567"/>
      <c r="DQA81" s="2567"/>
      <c r="DQB81" s="2567"/>
      <c r="DQC81" s="2567"/>
      <c r="DQD81" s="2567"/>
      <c r="DQE81" s="2567"/>
      <c r="DQF81" s="2567"/>
      <c r="DQG81" s="2567"/>
      <c r="DQH81" s="2567"/>
      <c r="DQI81" s="2567"/>
      <c r="DQJ81" s="2567"/>
      <c r="DQK81" s="2567"/>
      <c r="DQL81" s="2567"/>
      <c r="DQM81" s="2567"/>
      <c r="DQN81" s="2567"/>
      <c r="DQO81" s="2567"/>
      <c r="DQP81" s="2567"/>
      <c r="DQQ81" s="2567"/>
      <c r="DQR81" s="2567"/>
      <c r="DQS81" s="2567"/>
      <c r="DQT81" s="2567"/>
      <c r="DQU81" s="2567"/>
      <c r="DQV81" s="2567"/>
      <c r="DQW81" s="2567"/>
      <c r="DQX81" s="2567"/>
      <c r="DQY81" s="2567"/>
      <c r="DQZ81" s="2567"/>
      <c r="DRA81" s="2567"/>
      <c r="DRB81" s="2567"/>
      <c r="DRC81" s="2567"/>
      <c r="DRD81" s="2567"/>
      <c r="DRE81" s="2567"/>
      <c r="DRF81" s="2567"/>
      <c r="DRG81" s="2567"/>
      <c r="DRH81" s="2567"/>
      <c r="DRI81" s="2567"/>
      <c r="DRJ81" s="2567"/>
      <c r="DRK81" s="2567"/>
      <c r="DRL81" s="2567"/>
      <c r="DRM81" s="2567"/>
      <c r="DRN81" s="2567"/>
      <c r="DRO81" s="2567"/>
      <c r="DRP81" s="2567"/>
      <c r="DRQ81" s="2567"/>
      <c r="DRR81" s="2567"/>
      <c r="DRS81" s="2567"/>
      <c r="DRT81" s="2567"/>
      <c r="DRU81" s="2567"/>
      <c r="DRV81" s="2567"/>
      <c r="DRW81" s="2567"/>
      <c r="DRX81" s="2567"/>
      <c r="DRY81" s="2567"/>
      <c r="DRZ81" s="2567"/>
      <c r="DSA81" s="2567"/>
      <c r="DSB81" s="2567"/>
      <c r="DSC81" s="2567"/>
      <c r="DSD81" s="2567"/>
      <c r="DSE81" s="2567"/>
      <c r="DSF81" s="2567"/>
      <c r="DSG81" s="2567"/>
      <c r="DSH81" s="2567"/>
      <c r="DSI81" s="2567"/>
      <c r="DSJ81" s="2567"/>
      <c r="DSK81" s="2567"/>
      <c r="DSL81" s="2567"/>
      <c r="DSM81" s="2567"/>
      <c r="DSN81" s="2567"/>
      <c r="DSO81" s="2567"/>
      <c r="DSP81" s="2567"/>
      <c r="DSQ81" s="2567"/>
      <c r="DSR81" s="2567"/>
      <c r="DSS81" s="2567"/>
      <c r="DST81" s="2567"/>
      <c r="DSU81" s="2567"/>
      <c r="DSV81" s="2567"/>
      <c r="DSW81" s="2567"/>
      <c r="DSX81" s="2567"/>
      <c r="DSY81" s="2567"/>
      <c r="DSZ81" s="2567"/>
      <c r="DTA81" s="2567"/>
      <c r="DTB81" s="2567"/>
      <c r="DTC81" s="2567"/>
      <c r="DTD81" s="2567"/>
      <c r="DTE81" s="2567"/>
      <c r="DTF81" s="2567"/>
      <c r="DTG81" s="2567"/>
      <c r="DTH81" s="2567"/>
      <c r="DTI81" s="2567"/>
      <c r="DTJ81" s="2567"/>
      <c r="DTK81" s="2567"/>
      <c r="DTL81" s="2567"/>
      <c r="DTM81" s="2567"/>
      <c r="DTN81" s="2567"/>
      <c r="DTO81" s="2567"/>
      <c r="DTP81" s="2567"/>
      <c r="DTQ81" s="2567"/>
      <c r="DTR81" s="2567"/>
      <c r="DTS81" s="2567"/>
      <c r="DTT81" s="2567"/>
      <c r="DTU81" s="2567"/>
      <c r="DTV81" s="2567"/>
      <c r="DTW81" s="2567"/>
      <c r="DTX81" s="2567"/>
      <c r="DTY81" s="2567"/>
      <c r="DTZ81" s="2567"/>
      <c r="DUA81" s="2567"/>
      <c r="DUB81" s="2567"/>
      <c r="DUC81" s="2567"/>
      <c r="DUD81" s="2567"/>
      <c r="DUE81" s="2567"/>
      <c r="DUF81" s="2567"/>
      <c r="DUG81" s="2567"/>
      <c r="DUH81" s="2567"/>
      <c r="DUI81" s="2567"/>
      <c r="DUJ81" s="2567"/>
      <c r="DUK81" s="2567"/>
      <c r="DUL81" s="2567"/>
      <c r="DUM81" s="2567"/>
      <c r="DUN81" s="2567"/>
      <c r="DUO81" s="2567"/>
      <c r="DUP81" s="2567"/>
      <c r="DUQ81" s="2567"/>
      <c r="DUR81" s="2567"/>
      <c r="DUS81" s="2567"/>
      <c r="DUT81" s="2567"/>
      <c r="DUU81" s="2567"/>
      <c r="DUV81" s="2567"/>
      <c r="DUW81" s="2567"/>
      <c r="DUX81" s="2567"/>
      <c r="DUY81" s="2567"/>
      <c r="DUZ81" s="2567"/>
      <c r="DVA81" s="2567"/>
      <c r="DVB81" s="2567"/>
      <c r="DVC81" s="2567"/>
      <c r="DVD81" s="2567"/>
      <c r="DVE81" s="2567"/>
      <c r="DVF81" s="2567"/>
      <c r="DVG81" s="2567"/>
      <c r="DVH81" s="2567"/>
      <c r="DVI81" s="2567"/>
      <c r="DVJ81" s="2567"/>
      <c r="DVK81" s="2567"/>
      <c r="DVL81" s="2567"/>
      <c r="DVM81" s="2567"/>
      <c r="DVN81" s="2567"/>
      <c r="DVO81" s="2567"/>
      <c r="DVP81" s="2567"/>
      <c r="DVQ81" s="2567"/>
      <c r="DVR81" s="2567"/>
      <c r="DVS81" s="2567"/>
      <c r="DVT81" s="2567"/>
      <c r="DVU81" s="2567"/>
      <c r="DVV81" s="2567"/>
      <c r="DVW81" s="2567"/>
      <c r="DVX81" s="2567"/>
      <c r="DVY81" s="2567"/>
      <c r="DVZ81" s="2567"/>
      <c r="DWA81" s="2567"/>
      <c r="DWB81" s="2567"/>
      <c r="DWC81" s="2567"/>
      <c r="DWD81" s="2567"/>
      <c r="DWE81" s="2567"/>
      <c r="DWF81" s="2567"/>
      <c r="DWG81" s="2567"/>
      <c r="DWH81" s="2567"/>
      <c r="DWI81" s="2567"/>
      <c r="DWJ81" s="2567"/>
      <c r="DWK81" s="2567"/>
      <c r="DWL81" s="2567"/>
      <c r="DWM81" s="2567"/>
      <c r="DWN81" s="2567"/>
      <c r="DWO81" s="2567"/>
      <c r="DWP81" s="2567"/>
      <c r="DWQ81" s="2567"/>
      <c r="DWR81" s="2567"/>
      <c r="DWS81" s="2567"/>
      <c r="DWT81" s="2567"/>
      <c r="DWU81" s="2567"/>
      <c r="DWV81" s="2567"/>
      <c r="DWW81" s="2567"/>
      <c r="DWX81" s="2567"/>
      <c r="DWY81" s="2567"/>
      <c r="DWZ81" s="2567"/>
      <c r="DXA81" s="2567"/>
      <c r="DXB81" s="2567"/>
      <c r="DXC81" s="2567"/>
      <c r="DXD81" s="2567"/>
      <c r="DXE81" s="2567"/>
      <c r="DXF81" s="2567"/>
      <c r="DXG81" s="2567"/>
      <c r="DXH81" s="2567"/>
      <c r="DXI81" s="2567"/>
      <c r="DXJ81" s="2567"/>
      <c r="DXK81" s="2567"/>
      <c r="DXL81" s="2567"/>
      <c r="DXM81" s="2567"/>
      <c r="DXN81" s="2567"/>
      <c r="DXO81" s="2567"/>
      <c r="DXP81" s="2567"/>
      <c r="DXQ81" s="2567"/>
      <c r="DXR81" s="2567"/>
      <c r="DXS81" s="2567"/>
      <c r="DXT81" s="2567"/>
      <c r="DXU81" s="2567"/>
      <c r="DXV81" s="2567"/>
      <c r="DXW81" s="2567"/>
      <c r="DXX81" s="2567"/>
      <c r="DXY81" s="2567"/>
      <c r="DXZ81" s="2567"/>
      <c r="DYA81" s="2567"/>
      <c r="DYB81" s="2567"/>
      <c r="DYC81" s="2567"/>
      <c r="DYD81" s="2567"/>
      <c r="DYE81" s="2567"/>
      <c r="DYF81" s="2567"/>
      <c r="DYG81" s="2567"/>
      <c r="DYH81" s="2567"/>
      <c r="DYI81" s="2567"/>
      <c r="DYJ81" s="2567"/>
      <c r="DYK81" s="2567"/>
      <c r="DYL81" s="2567"/>
      <c r="DYM81" s="2567"/>
      <c r="DYN81" s="2567"/>
      <c r="DYO81" s="2567"/>
      <c r="DYP81" s="2567"/>
      <c r="DYQ81" s="2567"/>
      <c r="DYR81" s="2567"/>
      <c r="DYS81" s="2567"/>
      <c r="DYT81" s="2567"/>
      <c r="DYU81" s="2567"/>
      <c r="DYV81" s="2567"/>
      <c r="DYW81" s="2567"/>
      <c r="DYX81" s="2567"/>
      <c r="DYY81" s="2567"/>
      <c r="DYZ81" s="2567"/>
      <c r="DZA81" s="2567"/>
      <c r="DZB81" s="2567"/>
      <c r="DZC81" s="2567"/>
      <c r="DZD81" s="2567"/>
      <c r="DZE81" s="2567"/>
      <c r="DZF81" s="2567"/>
      <c r="DZG81" s="2567"/>
      <c r="DZH81" s="2567"/>
      <c r="DZI81" s="2567"/>
      <c r="DZJ81" s="2567"/>
      <c r="DZK81" s="2567"/>
      <c r="DZL81" s="2567"/>
      <c r="DZM81" s="2567"/>
      <c r="DZN81" s="2567"/>
      <c r="DZO81" s="2567"/>
      <c r="DZP81" s="2567"/>
      <c r="DZQ81" s="2567"/>
      <c r="DZR81" s="2567"/>
      <c r="DZS81" s="2567"/>
      <c r="DZT81" s="2567"/>
      <c r="DZU81" s="2567"/>
      <c r="DZV81" s="2567"/>
      <c r="DZW81" s="2567"/>
      <c r="DZX81" s="2567"/>
      <c r="DZY81" s="2567"/>
      <c r="DZZ81" s="2567"/>
      <c r="EAA81" s="2567"/>
      <c r="EAB81" s="2567"/>
      <c r="EAC81" s="2567"/>
      <c r="EAD81" s="2567"/>
      <c r="EAE81" s="2567"/>
      <c r="EAF81" s="2567"/>
      <c r="EAG81" s="2567"/>
      <c r="EAH81" s="2567"/>
      <c r="EAI81" s="2567"/>
      <c r="EAJ81" s="2567"/>
      <c r="EAK81" s="2567"/>
      <c r="EAL81" s="2567"/>
      <c r="EAM81" s="2567"/>
      <c r="EAN81" s="2567"/>
      <c r="EAO81" s="2567"/>
      <c r="EAP81" s="2567"/>
      <c r="EAQ81" s="2567"/>
      <c r="EAR81" s="2567"/>
      <c r="EAS81" s="2567"/>
      <c r="EAT81" s="2567"/>
      <c r="EAU81" s="2567"/>
      <c r="EAV81" s="2567"/>
      <c r="EAW81" s="2567"/>
      <c r="EAX81" s="2567"/>
      <c r="EAY81" s="2567"/>
      <c r="EAZ81" s="2567"/>
      <c r="EBA81" s="2567"/>
      <c r="EBB81" s="2567"/>
      <c r="EBC81" s="2567"/>
      <c r="EBD81" s="2567"/>
      <c r="EBE81" s="2567"/>
      <c r="EBF81" s="2567"/>
      <c r="EBG81" s="2567"/>
      <c r="EBH81" s="2567"/>
      <c r="EBI81" s="2567"/>
      <c r="EBJ81" s="2567"/>
      <c r="EBK81" s="2567"/>
      <c r="EBL81" s="2567"/>
      <c r="EBM81" s="2567"/>
      <c r="EBN81" s="2567"/>
      <c r="EBO81" s="2567"/>
      <c r="EBP81" s="2567"/>
      <c r="EBQ81" s="2567"/>
      <c r="EBR81" s="2567"/>
      <c r="EBS81" s="2567"/>
      <c r="EBT81" s="2567"/>
      <c r="EBU81" s="2567"/>
      <c r="EBV81" s="2567"/>
      <c r="EBW81" s="2567"/>
      <c r="EBX81" s="2567"/>
      <c r="EBY81" s="2567"/>
      <c r="EBZ81" s="2567"/>
      <c r="ECA81" s="2567"/>
      <c r="ECB81" s="2567"/>
      <c r="ECC81" s="2567"/>
      <c r="ECD81" s="2567"/>
      <c r="ECE81" s="2567"/>
      <c r="ECF81" s="2567"/>
      <c r="ECG81" s="2567"/>
      <c r="ECH81" s="2567"/>
      <c r="ECI81" s="2567"/>
      <c r="ECJ81" s="2567"/>
      <c r="ECK81" s="2567"/>
      <c r="ECL81" s="2567"/>
      <c r="ECM81" s="2567"/>
      <c r="ECN81" s="2567"/>
      <c r="ECO81" s="2567"/>
      <c r="ECP81" s="2567"/>
      <c r="ECQ81" s="2567"/>
      <c r="ECR81" s="2567"/>
      <c r="ECS81" s="2567"/>
      <c r="ECT81" s="2567"/>
      <c r="ECU81" s="2567"/>
      <c r="ECV81" s="2567"/>
      <c r="ECW81" s="2567"/>
      <c r="ECX81" s="2567"/>
      <c r="ECY81" s="2567"/>
      <c r="ECZ81" s="2567"/>
      <c r="EDA81" s="2567"/>
      <c r="EDB81" s="2567"/>
      <c r="EDC81" s="2567"/>
      <c r="EDD81" s="2567"/>
      <c r="EDE81" s="2567"/>
      <c r="EDF81" s="2567"/>
      <c r="EDG81" s="2567"/>
      <c r="EDH81" s="2567"/>
      <c r="EDI81" s="2567"/>
      <c r="EDJ81" s="2567"/>
      <c r="EDK81" s="2567"/>
      <c r="EDL81" s="2567"/>
      <c r="EDM81" s="2567"/>
      <c r="EDN81" s="2567"/>
      <c r="EDO81" s="2567"/>
      <c r="EDP81" s="2567"/>
      <c r="EDQ81" s="2567"/>
      <c r="EDR81" s="2567"/>
      <c r="EDS81" s="2567"/>
      <c r="EDT81" s="2567"/>
      <c r="EDU81" s="2567"/>
      <c r="EDV81" s="2567"/>
      <c r="EDW81" s="2567"/>
      <c r="EDX81" s="2567"/>
      <c r="EDY81" s="2567"/>
      <c r="EDZ81" s="2567"/>
      <c r="EEA81" s="2567"/>
      <c r="EEB81" s="2567"/>
      <c r="EEC81" s="2567"/>
      <c r="EED81" s="2567"/>
      <c r="EEE81" s="2567"/>
      <c r="EEF81" s="2567"/>
      <c r="EEG81" s="2567"/>
      <c r="EEH81" s="2567"/>
      <c r="EEI81" s="2567"/>
      <c r="EEJ81" s="2567"/>
      <c r="EEK81" s="2567"/>
      <c r="EEL81" s="2567"/>
      <c r="EEM81" s="2567"/>
      <c r="EEN81" s="2567"/>
      <c r="EEO81" s="2567"/>
      <c r="EEP81" s="2567"/>
      <c r="EEQ81" s="2567"/>
      <c r="EER81" s="2567"/>
      <c r="EES81" s="2567"/>
      <c r="EET81" s="2567"/>
      <c r="EEU81" s="2567"/>
      <c r="EEV81" s="2567"/>
      <c r="EEW81" s="2567"/>
      <c r="EEX81" s="2567"/>
      <c r="EEY81" s="2567"/>
      <c r="EEZ81" s="2567"/>
      <c r="EFA81" s="2567"/>
      <c r="EFB81" s="2567"/>
      <c r="EFC81" s="2567"/>
      <c r="EFD81" s="2567"/>
      <c r="EFE81" s="2567"/>
      <c r="EFF81" s="2567"/>
      <c r="EFG81" s="2567"/>
      <c r="EFH81" s="2567"/>
      <c r="EFI81" s="2567"/>
      <c r="EFJ81" s="2567"/>
      <c r="EFK81" s="2567"/>
      <c r="EFL81" s="2567"/>
      <c r="EFM81" s="2567"/>
      <c r="EFN81" s="2567"/>
      <c r="EFO81" s="2567"/>
      <c r="EFP81" s="2567"/>
      <c r="EFQ81" s="2567"/>
      <c r="EFR81" s="2567"/>
      <c r="EFS81" s="2567"/>
      <c r="EFT81" s="2567"/>
      <c r="EFU81" s="2567"/>
      <c r="EFV81" s="2567"/>
      <c r="EFW81" s="2567"/>
      <c r="EFX81" s="2567"/>
      <c r="EFY81" s="2567"/>
      <c r="EFZ81" s="2567"/>
      <c r="EGA81" s="2567"/>
      <c r="EGB81" s="2567"/>
      <c r="EGC81" s="2567"/>
      <c r="EGD81" s="2567"/>
      <c r="EGE81" s="2567"/>
      <c r="EGF81" s="2567"/>
      <c r="EGG81" s="2567"/>
      <c r="EGH81" s="2567"/>
      <c r="EGI81" s="2567"/>
      <c r="EGJ81" s="2567"/>
      <c r="EGK81" s="2567"/>
      <c r="EGL81" s="2567"/>
      <c r="EGM81" s="2567"/>
      <c r="EGN81" s="2567"/>
      <c r="EGO81" s="2567"/>
      <c r="EGP81" s="2567"/>
      <c r="EGQ81" s="2567"/>
      <c r="EGR81" s="2567"/>
      <c r="EGS81" s="2567"/>
      <c r="EGT81" s="2567"/>
      <c r="EGU81" s="2567"/>
      <c r="EGV81" s="2567"/>
      <c r="EGW81" s="2567"/>
      <c r="EGX81" s="2567"/>
      <c r="EGY81" s="2567"/>
      <c r="EGZ81" s="2567"/>
      <c r="EHA81" s="2567"/>
      <c r="EHB81" s="2567"/>
      <c r="EHC81" s="2567"/>
      <c r="EHD81" s="2567"/>
      <c r="EHE81" s="2567"/>
      <c r="EHF81" s="2567"/>
      <c r="EHG81" s="2567"/>
      <c r="EHH81" s="2567"/>
      <c r="EHI81" s="2567"/>
      <c r="EHJ81" s="2567"/>
      <c r="EHK81" s="2567"/>
      <c r="EHL81" s="2567"/>
      <c r="EHM81" s="2567"/>
      <c r="EHN81" s="2567"/>
      <c r="EHO81" s="2567"/>
      <c r="EHP81" s="2567"/>
      <c r="EHQ81" s="2567"/>
      <c r="EHR81" s="2567"/>
      <c r="EHS81" s="2567"/>
      <c r="EHT81" s="2567"/>
      <c r="EHU81" s="2567"/>
      <c r="EHV81" s="2567"/>
      <c r="EHW81" s="2567"/>
      <c r="EHX81" s="2567"/>
      <c r="EHY81" s="2567"/>
      <c r="EHZ81" s="2567"/>
      <c r="EIA81" s="2567"/>
      <c r="EIB81" s="2567"/>
      <c r="EIC81" s="2567"/>
      <c r="EID81" s="2567"/>
      <c r="EIE81" s="2567"/>
      <c r="EIF81" s="2567"/>
      <c r="EIG81" s="2567"/>
      <c r="EIH81" s="2567"/>
      <c r="EII81" s="2567"/>
      <c r="EIJ81" s="2567"/>
      <c r="EIK81" s="2567"/>
      <c r="EIL81" s="2567"/>
      <c r="EIM81" s="2567"/>
      <c r="EIN81" s="2567"/>
      <c r="EIO81" s="2567"/>
      <c r="EIP81" s="2567"/>
      <c r="EIQ81" s="2567"/>
      <c r="EIR81" s="2567"/>
      <c r="EIS81" s="2567"/>
      <c r="EIT81" s="2567"/>
      <c r="EIU81" s="2567"/>
      <c r="EIV81" s="2567"/>
      <c r="EIW81" s="2567"/>
      <c r="EIX81" s="2567"/>
      <c r="EIY81" s="2567"/>
      <c r="EIZ81" s="2567"/>
      <c r="EJA81" s="2567"/>
      <c r="EJB81" s="2567"/>
      <c r="EJC81" s="2567"/>
      <c r="EJD81" s="2567"/>
      <c r="EJE81" s="2567"/>
      <c r="EJF81" s="2567"/>
      <c r="EJG81" s="2567"/>
      <c r="EJH81" s="2567"/>
      <c r="EJI81" s="2567"/>
      <c r="EJJ81" s="2567"/>
      <c r="EJK81" s="2567"/>
      <c r="EJL81" s="2567"/>
      <c r="EJM81" s="2567"/>
      <c r="EJN81" s="2567"/>
      <c r="EJO81" s="2567"/>
      <c r="EJP81" s="2567"/>
      <c r="EJQ81" s="2567"/>
      <c r="EJR81" s="2567"/>
      <c r="EJS81" s="2567"/>
      <c r="EJT81" s="2567"/>
      <c r="EJU81" s="2567"/>
      <c r="EJV81" s="2567"/>
      <c r="EJW81" s="2567"/>
      <c r="EJX81" s="2567"/>
      <c r="EJY81" s="2567"/>
      <c r="EJZ81" s="2567"/>
      <c r="EKA81" s="2567"/>
      <c r="EKB81" s="2567"/>
      <c r="EKC81" s="2567"/>
      <c r="EKD81" s="2567"/>
      <c r="EKE81" s="2567"/>
      <c r="EKF81" s="2567"/>
      <c r="EKG81" s="2567"/>
      <c r="EKH81" s="2567"/>
      <c r="EKI81" s="2567"/>
      <c r="EKJ81" s="2567"/>
      <c r="EKK81" s="2567"/>
      <c r="EKL81" s="2567"/>
      <c r="EKM81" s="2567"/>
      <c r="EKN81" s="2567"/>
      <c r="EKO81" s="2567"/>
      <c r="EKP81" s="2567"/>
      <c r="EKQ81" s="2567"/>
      <c r="EKR81" s="2567"/>
      <c r="EKS81" s="2567"/>
      <c r="EKT81" s="2567"/>
      <c r="EKU81" s="2567"/>
      <c r="EKV81" s="2567"/>
      <c r="EKW81" s="2567"/>
      <c r="EKX81" s="2567"/>
      <c r="EKY81" s="2567"/>
      <c r="EKZ81" s="2567"/>
      <c r="ELA81" s="2567"/>
      <c r="ELB81" s="2567"/>
      <c r="ELC81" s="2567"/>
      <c r="ELD81" s="2567"/>
      <c r="ELE81" s="2567"/>
      <c r="ELF81" s="2567"/>
      <c r="ELG81" s="2567"/>
      <c r="ELH81" s="2567"/>
      <c r="ELI81" s="2567"/>
      <c r="ELJ81" s="2567"/>
      <c r="ELK81" s="2567"/>
      <c r="ELL81" s="2567"/>
      <c r="ELM81" s="2567"/>
      <c r="ELN81" s="2567"/>
      <c r="ELO81" s="2567"/>
      <c r="ELP81" s="2567"/>
      <c r="ELQ81" s="2567"/>
      <c r="ELR81" s="2567"/>
      <c r="ELS81" s="2567"/>
      <c r="ELT81" s="2567"/>
      <c r="ELU81" s="2567"/>
      <c r="ELV81" s="2567"/>
      <c r="ELW81" s="2567"/>
      <c r="ELX81" s="2567"/>
      <c r="ELY81" s="2567"/>
      <c r="ELZ81" s="2567"/>
      <c r="EMA81" s="2567"/>
      <c r="EMB81" s="2567"/>
      <c r="EMC81" s="2567"/>
      <c r="EMD81" s="2567"/>
      <c r="EME81" s="2567"/>
      <c r="EMF81" s="2567"/>
      <c r="EMG81" s="2567"/>
      <c r="EMH81" s="2567"/>
      <c r="EMI81" s="2567"/>
      <c r="EMJ81" s="2567"/>
      <c r="EMK81" s="2567"/>
      <c r="EML81" s="2567"/>
      <c r="EMM81" s="2567"/>
      <c r="EMN81" s="2567"/>
      <c r="EMO81" s="2567"/>
      <c r="EMP81" s="2567"/>
      <c r="EMQ81" s="2567"/>
      <c r="EMR81" s="2567"/>
      <c r="EMS81" s="2567"/>
      <c r="EMT81" s="2567"/>
      <c r="EMU81" s="2567"/>
      <c r="EMV81" s="2567"/>
      <c r="EMW81" s="2567"/>
      <c r="EMX81" s="2567"/>
      <c r="EMY81" s="2567"/>
      <c r="EMZ81" s="2567"/>
      <c r="ENA81" s="2567"/>
      <c r="ENB81" s="2567"/>
      <c r="ENC81" s="2567"/>
      <c r="END81" s="2567"/>
      <c r="ENE81" s="2567"/>
      <c r="ENF81" s="2567"/>
      <c r="ENG81" s="2567"/>
      <c r="ENH81" s="2567"/>
      <c r="ENI81" s="2567"/>
      <c r="ENJ81" s="2567"/>
      <c r="ENK81" s="2567"/>
      <c r="ENL81" s="2567"/>
      <c r="ENM81" s="2567"/>
      <c r="ENN81" s="2567"/>
      <c r="ENO81" s="2567"/>
      <c r="ENP81" s="2567"/>
      <c r="ENQ81" s="2567"/>
      <c r="ENR81" s="2567"/>
      <c r="ENS81" s="2567"/>
      <c r="ENT81" s="2567"/>
      <c r="ENU81" s="2567"/>
      <c r="ENV81" s="2567"/>
      <c r="ENW81" s="2567"/>
      <c r="ENX81" s="2567"/>
      <c r="ENY81" s="2567"/>
      <c r="ENZ81" s="2567"/>
      <c r="EOA81" s="2567"/>
      <c r="EOB81" s="2567"/>
      <c r="EOC81" s="2567"/>
      <c r="EOD81" s="2567"/>
      <c r="EOE81" s="2567"/>
      <c r="EOF81" s="2567"/>
      <c r="EOG81" s="2567"/>
      <c r="EOH81" s="2567"/>
      <c r="EOI81" s="2567"/>
      <c r="EOJ81" s="2567"/>
      <c r="EOK81" s="2567"/>
      <c r="EOL81" s="2567"/>
      <c r="EOM81" s="2567"/>
      <c r="EON81" s="2567"/>
      <c r="EOO81" s="2567"/>
      <c r="EOP81" s="2567"/>
      <c r="EOQ81" s="2567"/>
      <c r="EOR81" s="2567"/>
      <c r="EOS81" s="2567"/>
      <c r="EOT81" s="2567"/>
      <c r="EOU81" s="2567"/>
      <c r="EOV81" s="2567"/>
      <c r="EOW81" s="2567"/>
      <c r="EOX81" s="2567"/>
      <c r="EOY81" s="2567"/>
      <c r="EOZ81" s="2567"/>
      <c r="EPA81" s="2567"/>
      <c r="EPB81" s="2567"/>
      <c r="EPC81" s="2567"/>
      <c r="EPD81" s="2567"/>
      <c r="EPE81" s="2567"/>
      <c r="EPF81" s="2567"/>
      <c r="EPG81" s="2567"/>
      <c r="EPH81" s="2567"/>
      <c r="EPI81" s="2567"/>
      <c r="EPJ81" s="2567"/>
      <c r="EPK81" s="2567"/>
      <c r="EPL81" s="2567"/>
      <c r="EPM81" s="2567"/>
      <c r="EPN81" s="2567"/>
      <c r="EPO81" s="2567"/>
      <c r="EPP81" s="2567"/>
      <c r="EPQ81" s="2567"/>
      <c r="EPR81" s="2567"/>
      <c r="EPS81" s="2567"/>
      <c r="EPT81" s="2567"/>
      <c r="EPU81" s="2567"/>
      <c r="EPV81" s="2567"/>
      <c r="EPW81" s="2567"/>
      <c r="EPX81" s="2567"/>
      <c r="EPY81" s="2567"/>
      <c r="EPZ81" s="2567"/>
      <c r="EQA81" s="2567"/>
      <c r="EQB81" s="2567"/>
      <c r="EQC81" s="2567"/>
      <c r="EQD81" s="2567"/>
      <c r="EQE81" s="2567"/>
      <c r="EQF81" s="2567"/>
      <c r="EQG81" s="2567"/>
      <c r="EQH81" s="2567"/>
      <c r="EQI81" s="2567"/>
      <c r="EQJ81" s="2567"/>
      <c r="EQK81" s="2567"/>
      <c r="EQL81" s="2567"/>
      <c r="EQM81" s="2567"/>
      <c r="EQN81" s="2567"/>
      <c r="EQO81" s="2567"/>
      <c r="EQP81" s="2567"/>
      <c r="EQQ81" s="2567"/>
      <c r="EQR81" s="2567"/>
      <c r="EQS81" s="2567"/>
      <c r="EQT81" s="2567"/>
      <c r="EQU81" s="2567"/>
      <c r="EQV81" s="2567"/>
      <c r="EQW81" s="2567"/>
      <c r="EQX81" s="2567"/>
      <c r="EQY81" s="2567"/>
      <c r="EQZ81" s="2567"/>
      <c r="ERA81" s="2567"/>
      <c r="ERB81" s="2567"/>
      <c r="ERC81" s="2567"/>
      <c r="ERD81" s="2567"/>
      <c r="ERE81" s="2567"/>
      <c r="ERF81" s="2567"/>
      <c r="ERG81" s="2567"/>
      <c r="ERH81" s="2567"/>
      <c r="ERI81" s="2567"/>
      <c r="ERJ81" s="2567"/>
      <c r="ERK81" s="2567"/>
      <c r="ERL81" s="2567"/>
      <c r="ERM81" s="2567"/>
      <c r="ERN81" s="2567"/>
      <c r="ERO81" s="2567"/>
      <c r="ERP81" s="2567"/>
      <c r="ERQ81" s="2567"/>
      <c r="ERR81" s="2567"/>
      <c r="ERS81" s="2567"/>
      <c r="ERT81" s="2567"/>
      <c r="ERU81" s="2567"/>
      <c r="ERV81" s="2567"/>
      <c r="ERW81" s="2567"/>
      <c r="ERX81" s="2567"/>
      <c r="ERY81" s="2567"/>
      <c r="ERZ81" s="2567"/>
      <c r="ESA81" s="2567"/>
      <c r="ESB81" s="2567"/>
      <c r="ESC81" s="2567"/>
      <c r="ESD81" s="2567"/>
      <c r="ESE81" s="2567"/>
      <c r="ESF81" s="2567"/>
      <c r="ESG81" s="2567"/>
      <c r="ESH81" s="2567"/>
      <c r="ESI81" s="2567"/>
      <c r="ESJ81" s="2567"/>
      <c r="ESK81" s="2567"/>
      <c r="ESL81" s="2567"/>
      <c r="ESM81" s="2567"/>
      <c r="ESN81" s="2567"/>
      <c r="ESO81" s="2567"/>
      <c r="ESP81" s="2567"/>
      <c r="ESQ81" s="2567"/>
      <c r="ESR81" s="2567"/>
      <c r="ESS81" s="2567"/>
      <c r="EST81" s="2567"/>
      <c r="ESU81" s="2567"/>
      <c r="ESV81" s="2567"/>
      <c r="ESW81" s="2567"/>
      <c r="ESX81" s="2567"/>
      <c r="ESY81" s="2567"/>
      <c r="ESZ81" s="2567"/>
      <c r="ETA81" s="2567"/>
      <c r="ETB81" s="2567"/>
      <c r="ETC81" s="2567"/>
      <c r="ETD81" s="2567"/>
      <c r="ETE81" s="2567"/>
      <c r="ETF81" s="2567"/>
      <c r="ETG81" s="2567"/>
      <c r="ETH81" s="2567"/>
      <c r="ETI81" s="2567"/>
      <c r="ETJ81" s="2567"/>
      <c r="ETK81" s="2567"/>
      <c r="ETL81" s="2567"/>
      <c r="ETM81" s="2567"/>
      <c r="ETN81" s="2567"/>
      <c r="ETO81" s="2567"/>
      <c r="ETP81" s="2567"/>
      <c r="ETQ81" s="2567"/>
      <c r="ETR81" s="2567"/>
      <c r="ETS81" s="2567"/>
      <c r="ETT81" s="2567"/>
      <c r="ETU81" s="2567"/>
      <c r="ETV81" s="2567"/>
      <c r="ETW81" s="2567"/>
      <c r="ETX81" s="2567"/>
      <c r="ETY81" s="2567"/>
      <c r="ETZ81" s="2567"/>
      <c r="EUA81" s="2567"/>
      <c r="EUB81" s="2567"/>
      <c r="EUC81" s="2567"/>
      <c r="EUD81" s="2567"/>
      <c r="EUE81" s="2567"/>
      <c r="EUF81" s="2567"/>
      <c r="EUG81" s="2567"/>
      <c r="EUH81" s="2567"/>
      <c r="EUI81" s="2567"/>
      <c r="EUJ81" s="2567"/>
      <c r="EUK81" s="2567"/>
      <c r="EUL81" s="2567"/>
      <c r="EUM81" s="2567"/>
      <c r="EUN81" s="2567"/>
      <c r="EUO81" s="2567"/>
      <c r="EUP81" s="2567"/>
      <c r="EUQ81" s="2567"/>
      <c r="EUR81" s="2567"/>
      <c r="EUS81" s="2567"/>
      <c r="EUT81" s="2567"/>
      <c r="EUU81" s="2567"/>
      <c r="EUV81" s="2567"/>
      <c r="EUW81" s="2567"/>
      <c r="EUX81" s="2567"/>
      <c r="EUY81" s="2567"/>
      <c r="EUZ81" s="2567"/>
      <c r="EVA81" s="2567"/>
      <c r="EVB81" s="2567"/>
      <c r="EVC81" s="2567"/>
      <c r="EVD81" s="2567"/>
      <c r="EVE81" s="2567"/>
      <c r="EVF81" s="2567"/>
      <c r="EVG81" s="2567"/>
      <c r="EVH81" s="2567"/>
      <c r="EVI81" s="2567"/>
      <c r="EVJ81" s="2567"/>
      <c r="EVK81" s="2567"/>
      <c r="EVL81" s="2567"/>
      <c r="EVM81" s="2567"/>
      <c r="EVN81" s="2567"/>
      <c r="EVO81" s="2567"/>
      <c r="EVP81" s="2567"/>
      <c r="EVQ81" s="2567"/>
      <c r="EVR81" s="2567"/>
      <c r="EVS81" s="2567"/>
      <c r="EVT81" s="2567"/>
      <c r="EVU81" s="2567"/>
      <c r="EVV81" s="2567"/>
      <c r="EVW81" s="2567"/>
      <c r="EVX81" s="2567"/>
      <c r="EVY81" s="2567"/>
      <c r="EVZ81" s="2567"/>
      <c r="EWA81" s="2567"/>
      <c r="EWB81" s="2567"/>
      <c r="EWC81" s="2567"/>
      <c r="EWD81" s="2567"/>
      <c r="EWE81" s="2567"/>
      <c r="EWF81" s="2567"/>
      <c r="EWG81" s="2567"/>
      <c r="EWH81" s="2567"/>
      <c r="EWI81" s="2567"/>
      <c r="EWJ81" s="2567"/>
      <c r="EWK81" s="2567"/>
      <c r="EWL81" s="2567"/>
      <c r="EWM81" s="2567"/>
      <c r="EWN81" s="2567"/>
      <c r="EWO81" s="2567"/>
      <c r="EWP81" s="2567"/>
      <c r="EWQ81" s="2567"/>
      <c r="EWR81" s="2567"/>
      <c r="EWS81" s="2567"/>
      <c r="EWT81" s="2567"/>
      <c r="EWU81" s="2567"/>
      <c r="EWV81" s="2567"/>
      <c r="EWW81" s="2567"/>
      <c r="EWX81" s="2567"/>
      <c r="EWY81" s="2567"/>
      <c r="EWZ81" s="2567"/>
      <c r="EXA81" s="2567"/>
      <c r="EXB81" s="2567"/>
      <c r="EXC81" s="2567"/>
      <c r="EXD81" s="2567"/>
      <c r="EXE81" s="2567"/>
      <c r="EXF81" s="2567"/>
      <c r="EXG81" s="2567"/>
      <c r="EXH81" s="2567"/>
      <c r="EXI81" s="2567"/>
      <c r="EXJ81" s="2567"/>
      <c r="EXK81" s="2567"/>
      <c r="EXL81" s="2567"/>
      <c r="EXM81" s="2567"/>
      <c r="EXN81" s="2567"/>
      <c r="EXO81" s="2567"/>
      <c r="EXP81" s="2567"/>
      <c r="EXQ81" s="2567"/>
      <c r="EXR81" s="2567"/>
      <c r="EXS81" s="2567"/>
      <c r="EXT81" s="2567"/>
      <c r="EXU81" s="2567"/>
      <c r="EXV81" s="2567"/>
      <c r="EXW81" s="2567"/>
      <c r="EXX81" s="2567"/>
      <c r="EXY81" s="2567"/>
      <c r="EXZ81" s="2567"/>
      <c r="EYA81" s="2567"/>
      <c r="EYB81" s="2567"/>
      <c r="EYC81" s="2567"/>
      <c r="EYD81" s="2567"/>
      <c r="EYE81" s="2567"/>
      <c r="EYF81" s="2567"/>
      <c r="EYG81" s="2567"/>
      <c r="EYH81" s="2567"/>
      <c r="EYI81" s="2567"/>
      <c r="EYJ81" s="2567"/>
      <c r="EYK81" s="2567"/>
      <c r="EYL81" s="2567"/>
      <c r="EYM81" s="2567"/>
      <c r="EYN81" s="2567"/>
      <c r="EYO81" s="2567"/>
      <c r="EYP81" s="2567"/>
      <c r="EYQ81" s="2567"/>
      <c r="EYR81" s="2567"/>
      <c r="EYS81" s="2567"/>
      <c r="EYT81" s="2567"/>
      <c r="EYU81" s="2567"/>
      <c r="EYV81" s="2567"/>
      <c r="EYW81" s="2567"/>
      <c r="EYX81" s="2567"/>
      <c r="EYY81" s="2567"/>
      <c r="EYZ81" s="2567"/>
      <c r="EZA81" s="2567"/>
      <c r="EZB81" s="2567"/>
      <c r="EZC81" s="2567"/>
      <c r="EZD81" s="2567"/>
      <c r="EZE81" s="2567"/>
      <c r="EZF81" s="2567"/>
      <c r="EZG81" s="2567"/>
      <c r="EZH81" s="2567"/>
      <c r="EZI81" s="2567"/>
      <c r="EZJ81" s="2567"/>
      <c r="EZK81" s="2567"/>
      <c r="EZL81" s="2567"/>
      <c r="EZM81" s="2567"/>
      <c r="EZN81" s="2567"/>
      <c r="EZO81" s="2567"/>
      <c r="EZP81" s="2567"/>
      <c r="EZQ81" s="2567"/>
      <c r="EZR81" s="2567"/>
      <c r="EZS81" s="2567"/>
      <c r="EZT81" s="2567"/>
      <c r="EZU81" s="2567"/>
      <c r="EZV81" s="2567"/>
      <c r="EZW81" s="2567"/>
      <c r="EZX81" s="2567"/>
      <c r="EZY81" s="2567"/>
      <c r="EZZ81" s="2567"/>
      <c r="FAA81" s="2567"/>
      <c r="FAB81" s="2567"/>
      <c r="FAC81" s="2567"/>
      <c r="FAD81" s="2567"/>
      <c r="FAE81" s="2567"/>
      <c r="FAF81" s="2567"/>
      <c r="FAG81" s="2567"/>
      <c r="FAH81" s="2567"/>
      <c r="FAI81" s="2567"/>
      <c r="FAJ81" s="2567"/>
      <c r="FAK81" s="2567"/>
      <c r="FAL81" s="2567"/>
      <c r="FAM81" s="2567"/>
      <c r="FAN81" s="2567"/>
      <c r="FAO81" s="2567"/>
      <c r="FAP81" s="2567"/>
      <c r="FAQ81" s="2567"/>
      <c r="FAR81" s="2567"/>
      <c r="FAS81" s="2567"/>
      <c r="FAT81" s="2567"/>
      <c r="FAU81" s="2567"/>
      <c r="FAV81" s="2567"/>
      <c r="FAW81" s="2567"/>
      <c r="FAX81" s="2567"/>
      <c r="FAY81" s="2567"/>
      <c r="FAZ81" s="2567"/>
      <c r="FBA81" s="2567"/>
      <c r="FBB81" s="2567"/>
      <c r="FBC81" s="2567"/>
      <c r="FBD81" s="2567"/>
      <c r="FBE81" s="2567"/>
      <c r="FBF81" s="2567"/>
      <c r="FBG81" s="2567"/>
      <c r="FBH81" s="2567"/>
      <c r="FBI81" s="2567"/>
      <c r="FBJ81" s="2567"/>
      <c r="FBK81" s="2567"/>
      <c r="FBL81" s="2567"/>
      <c r="FBM81" s="2567"/>
      <c r="FBN81" s="2567"/>
      <c r="FBO81" s="2567"/>
      <c r="FBP81" s="2567"/>
      <c r="FBQ81" s="2567"/>
      <c r="FBR81" s="2567"/>
      <c r="FBS81" s="2567"/>
      <c r="FBT81" s="2567"/>
      <c r="FBU81" s="2567"/>
      <c r="FBV81" s="2567"/>
      <c r="FBW81" s="2567"/>
      <c r="FBX81" s="2567"/>
      <c r="FBY81" s="2567"/>
      <c r="FBZ81" s="2567"/>
      <c r="FCA81" s="2567"/>
      <c r="FCB81" s="2567"/>
      <c r="FCC81" s="2567"/>
      <c r="FCD81" s="2567"/>
      <c r="FCE81" s="2567"/>
      <c r="FCF81" s="2567"/>
      <c r="FCG81" s="2567"/>
      <c r="FCH81" s="2567"/>
      <c r="FCI81" s="2567"/>
      <c r="FCJ81" s="2567"/>
      <c r="FCK81" s="2567"/>
      <c r="FCL81" s="2567"/>
      <c r="FCM81" s="2567"/>
      <c r="FCN81" s="2567"/>
      <c r="FCO81" s="2567"/>
      <c r="FCP81" s="2567"/>
      <c r="FCQ81" s="2567"/>
      <c r="FCR81" s="2567"/>
      <c r="FCS81" s="2567"/>
      <c r="FCT81" s="2567"/>
      <c r="FCU81" s="2567"/>
      <c r="FCV81" s="2567"/>
      <c r="FCW81" s="2567"/>
      <c r="FCX81" s="2567"/>
      <c r="FCY81" s="2567"/>
      <c r="FCZ81" s="2567"/>
      <c r="FDA81" s="2567"/>
      <c r="FDB81" s="2567"/>
      <c r="FDC81" s="2567"/>
      <c r="FDD81" s="2567"/>
      <c r="FDE81" s="2567"/>
      <c r="FDF81" s="2567"/>
      <c r="FDG81" s="2567"/>
      <c r="FDH81" s="2567"/>
      <c r="FDI81" s="2567"/>
      <c r="FDJ81" s="2567"/>
      <c r="FDK81" s="2567"/>
      <c r="FDL81" s="2567"/>
      <c r="FDM81" s="2567"/>
      <c r="FDN81" s="2567"/>
      <c r="FDO81" s="2567"/>
      <c r="FDP81" s="2567"/>
      <c r="FDQ81" s="2567"/>
      <c r="FDR81" s="2567"/>
      <c r="FDS81" s="2567"/>
      <c r="FDT81" s="2567"/>
      <c r="FDU81" s="2567"/>
      <c r="FDV81" s="2567"/>
      <c r="FDW81" s="2567"/>
      <c r="FDX81" s="2567"/>
      <c r="FDY81" s="2567"/>
      <c r="FDZ81" s="2567"/>
      <c r="FEA81" s="2567"/>
      <c r="FEB81" s="2567"/>
      <c r="FEC81" s="2567"/>
      <c r="FED81" s="2567"/>
      <c r="FEE81" s="2567"/>
      <c r="FEF81" s="2567"/>
      <c r="FEG81" s="2567"/>
      <c r="FEH81" s="2567"/>
      <c r="FEI81" s="2567"/>
      <c r="FEJ81" s="2567"/>
      <c r="FEK81" s="2567"/>
      <c r="FEL81" s="2567"/>
      <c r="FEM81" s="2567"/>
      <c r="FEN81" s="2567"/>
      <c r="FEO81" s="2567"/>
      <c r="FEP81" s="2567"/>
      <c r="FEQ81" s="2567"/>
      <c r="FER81" s="2567"/>
      <c r="FES81" s="2567"/>
      <c r="FET81" s="2567"/>
      <c r="FEU81" s="2567"/>
      <c r="FEV81" s="2567"/>
      <c r="FEW81" s="2567"/>
      <c r="FEX81" s="2567"/>
      <c r="FEY81" s="2567"/>
      <c r="FEZ81" s="2567"/>
      <c r="FFA81" s="2567"/>
      <c r="FFB81" s="2567"/>
      <c r="FFC81" s="2567"/>
      <c r="FFD81" s="2567"/>
      <c r="FFE81" s="2567"/>
      <c r="FFF81" s="2567"/>
      <c r="FFG81" s="2567"/>
      <c r="FFH81" s="2567"/>
      <c r="FFI81" s="2567"/>
      <c r="FFJ81" s="2567"/>
      <c r="FFK81" s="2567"/>
      <c r="FFL81" s="2567"/>
      <c r="FFM81" s="2567"/>
      <c r="FFN81" s="2567"/>
      <c r="FFO81" s="2567"/>
      <c r="FFP81" s="2567"/>
      <c r="FFQ81" s="2567"/>
      <c r="FFR81" s="2567"/>
      <c r="FFS81" s="2567"/>
      <c r="FFT81" s="2567"/>
      <c r="FFU81" s="2567"/>
      <c r="FFV81" s="2567"/>
      <c r="FFW81" s="2567"/>
      <c r="FFX81" s="2567"/>
      <c r="FFY81" s="2567"/>
      <c r="FFZ81" s="2567"/>
      <c r="FGA81" s="2567"/>
      <c r="FGB81" s="2567"/>
      <c r="FGC81" s="2567"/>
      <c r="FGD81" s="2567"/>
      <c r="FGE81" s="2567"/>
      <c r="FGF81" s="2567"/>
      <c r="FGG81" s="2567"/>
      <c r="FGH81" s="2567"/>
      <c r="FGI81" s="2567"/>
      <c r="FGJ81" s="2567"/>
      <c r="FGK81" s="2567"/>
      <c r="FGL81" s="2567"/>
      <c r="FGM81" s="2567"/>
      <c r="FGN81" s="2567"/>
      <c r="FGO81" s="2567"/>
      <c r="FGP81" s="2567"/>
      <c r="FGQ81" s="2567"/>
      <c r="FGR81" s="2567"/>
      <c r="FGS81" s="2567"/>
      <c r="FGT81" s="2567"/>
      <c r="FGU81" s="2567"/>
      <c r="FGV81" s="2567"/>
      <c r="FGW81" s="2567"/>
      <c r="FGX81" s="2567"/>
      <c r="FGY81" s="2567"/>
      <c r="FGZ81" s="2567"/>
      <c r="FHA81" s="2567"/>
      <c r="FHB81" s="2567"/>
      <c r="FHC81" s="2567"/>
      <c r="FHD81" s="2567"/>
      <c r="FHE81" s="2567"/>
      <c r="FHF81" s="2567"/>
      <c r="FHG81" s="2567"/>
      <c r="FHH81" s="2567"/>
      <c r="FHI81" s="2567"/>
      <c r="FHJ81" s="2567"/>
      <c r="FHK81" s="2567"/>
      <c r="FHL81" s="2567"/>
      <c r="FHM81" s="2567"/>
      <c r="FHN81" s="2567"/>
      <c r="FHO81" s="2567"/>
      <c r="FHP81" s="2567"/>
      <c r="FHQ81" s="2567"/>
      <c r="FHR81" s="2567"/>
      <c r="FHS81" s="2567"/>
      <c r="FHT81" s="2567"/>
      <c r="FHU81" s="2567"/>
      <c r="FHV81" s="2567"/>
      <c r="FHW81" s="2567"/>
      <c r="FHX81" s="2567"/>
      <c r="FHY81" s="2567"/>
      <c r="FHZ81" s="2567"/>
      <c r="FIA81" s="2567"/>
      <c r="FIB81" s="2567"/>
      <c r="FIC81" s="2567"/>
      <c r="FID81" s="2567"/>
      <c r="FIE81" s="2567"/>
      <c r="FIF81" s="2567"/>
      <c r="FIG81" s="2567"/>
      <c r="FIH81" s="2567"/>
      <c r="FII81" s="2567"/>
      <c r="FIJ81" s="2567"/>
      <c r="FIK81" s="2567"/>
      <c r="FIL81" s="2567"/>
      <c r="FIM81" s="2567"/>
      <c r="FIN81" s="2567"/>
      <c r="FIO81" s="2567"/>
      <c r="FIP81" s="2567"/>
      <c r="FIQ81" s="2567"/>
      <c r="FIR81" s="2567"/>
      <c r="FIS81" s="2567"/>
      <c r="FIT81" s="2567"/>
      <c r="FIU81" s="2567"/>
      <c r="FIV81" s="2567"/>
      <c r="FIW81" s="2567"/>
      <c r="FIX81" s="2567"/>
      <c r="FIY81" s="2567"/>
      <c r="FIZ81" s="2567"/>
      <c r="FJA81" s="2567"/>
      <c r="FJB81" s="2567"/>
      <c r="FJC81" s="2567"/>
      <c r="FJD81" s="2567"/>
      <c r="FJE81" s="2567"/>
      <c r="FJF81" s="2567"/>
      <c r="FJG81" s="2567"/>
      <c r="FJH81" s="2567"/>
      <c r="FJI81" s="2567"/>
      <c r="FJJ81" s="2567"/>
      <c r="FJK81" s="2567"/>
      <c r="FJL81" s="2567"/>
      <c r="FJM81" s="2567"/>
      <c r="FJN81" s="2567"/>
      <c r="FJO81" s="2567"/>
      <c r="FJP81" s="2567"/>
      <c r="FJQ81" s="2567"/>
      <c r="FJR81" s="2567"/>
      <c r="FJS81" s="2567"/>
      <c r="FJT81" s="2567"/>
      <c r="FJU81" s="2567"/>
      <c r="FJV81" s="2567"/>
      <c r="FJW81" s="2567"/>
      <c r="FJX81" s="2567"/>
      <c r="FJY81" s="2567"/>
      <c r="FJZ81" s="2567"/>
      <c r="FKA81" s="2567"/>
      <c r="FKB81" s="2567"/>
      <c r="FKC81" s="2567"/>
      <c r="FKD81" s="2567"/>
      <c r="FKE81" s="2567"/>
      <c r="FKF81" s="2567"/>
      <c r="FKG81" s="2567"/>
      <c r="FKH81" s="2567"/>
      <c r="FKI81" s="2567"/>
      <c r="FKJ81" s="2567"/>
      <c r="FKK81" s="2567"/>
      <c r="FKL81" s="2567"/>
      <c r="FKM81" s="2567"/>
      <c r="FKN81" s="2567"/>
      <c r="FKO81" s="2567"/>
      <c r="FKP81" s="2567"/>
      <c r="FKQ81" s="2567"/>
      <c r="FKR81" s="2567"/>
      <c r="FKS81" s="2567"/>
      <c r="FKT81" s="2567"/>
      <c r="FKU81" s="2567"/>
      <c r="FKV81" s="2567"/>
      <c r="FKW81" s="2567"/>
      <c r="FKX81" s="2567"/>
      <c r="FKY81" s="2567"/>
      <c r="FKZ81" s="2567"/>
      <c r="FLA81" s="2567"/>
      <c r="FLB81" s="2567"/>
      <c r="FLC81" s="2567"/>
      <c r="FLD81" s="2567"/>
      <c r="FLE81" s="2567"/>
      <c r="FLF81" s="2567"/>
      <c r="FLG81" s="2567"/>
      <c r="FLH81" s="2567"/>
      <c r="FLI81" s="2567"/>
      <c r="FLJ81" s="2567"/>
      <c r="FLK81" s="2567"/>
      <c r="FLL81" s="2567"/>
      <c r="FLM81" s="2567"/>
      <c r="FLN81" s="2567"/>
      <c r="FLO81" s="2567"/>
      <c r="FLP81" s="2567"/>
      <c r="FLQ81" s="2567"/>
      <c r="FLR81" s="2567"/>
      <c r="FLS81" s="2567"/>
      <c r="FLT81" s="2567"/>
      <c r="FLU81" s="2567"/>
      <c r="FLV81" s="2567"/>
      <c r="FLW81" s="2567"/>
      <c r="FLX81" s="2567"/>
      <c r="FLY81" s="2567"/>
      <c r="FLZ81" s="2567"/>
      <c r="FMA81" s="2567"/>
      <c r="FMB81" s="2567"/>
      <c r="FMC81" s="2567"/>
      <c r="FMD81" s="2567"/>
      <c r="FME81" s="2567"/>
      <c r="FMF81" s="2567"/>
      <c r="FMG81" s="2567"/>
      <c r="FMH81" s="2567"/>
      <c r="FMI81" s="2567"/>
      <c r="FMJ81" s="2567"/>
      <c r="FMK81" s="2567"/>
      <c r="FML81" s="2567"/>
      <c r="FMM81" s="2567"/>
      <c r="FMN81" s="2567"/>
      <c r="FMO81" s="2567"/>
      <c r="FMP81" s="2567"/>
      <c r="FMQ81" s="2567"/>
      <c r="FMR81" s="2567"/>
      <c r="FMS81" s="2567"/>
      <c r="FMT81" s="2567"/>
      <c r="FMU81" s="2567"/>
      <c r="FMV81" s="2567"/>
      <c r="FMW81" s="2567"/>
      <c r="FMX81" s="2567"/>
      <c r="FMY81" s="2567"/>
      <c r="FMZ81" s="2567"/>
      <c r="FNA81" s="2567"/>
      <c r="FNB81" s="2567"/>
      <c r="FNC81" s="2567"/>
      <c r="FND81" s="2567"/>
      <c r="FNE81" s="2567"/>
      <c r="FNF81" s="2567"/>
      <c r="FNG81" s="2567"/>
      <c r="FNH81" s="2567"/>
      <c r="FNI81" s="2567"/>
      <c r="FNJ81" s="2567"/>
      <c r="FNK81" s="2567"/>
      <c r="FNL81" s="2567"/>
      <c r="FNM81" s="2567"/>
      <c r="FNN81" s="2567"/>
      <c r="FNO81" s="2567"/>
      <c r="FNP81" s="2567"/>
      <c r="FNQ81" s="2567"/>
      <c r="FNR81" s="2567"/>
      <c r="FNS81" s="2567"/>
      <c r="FNT81" s="2567"/>
      <c r="FNU81" s="2567"/>
      <c r="FNV81" s="2567"/>
      <c r="FNW81" s="2567"/>
      <c r="FNX81" s="2567"/>
      <c r="FNY81" s="2567"/>
      <c r="FNZ81" s="2567"/>
      <c r="FOA81" s="2567"/>
      <c r="FOB81" s="2567"/>
      <c r="FOC81" s="2567"/>
      <c r="FOD81" s="2567"/>
      <c r="FOE81" s="2567"/>
      <c r="FOF81" s="2567"/>
      <c r="FOG81" s="2567"/>
      <c r="FOH81" s="2567"/>
      <c r="FOI81" s="2567"/>
      <c r="FOJ81" s="2567"/>
      <c r="FOK81" s="2567"/>
      <c r="FOL81" s="2567"/>
      <c r="FOM81" s="2567"/>
      <c r="FON81" s="2567"/>
      <c r="FOO81" s="2567"/>
      <c r="FOP81" s="2567"/>
      <c r="FOQ81" s="2567"/>
      <c r="FOR81" s="2567"/>
      <c r="FOS81" s="2567"/>
      <c r="FOT81" s="2567"/>
      <c r="FOU81" s="2567"/>
      <c r="FOV81" s="2567"/>
      <c r="FOW81" s="2567"/>
      <c r="FOX81" s="2567"/>
      <c r="FOY81" s="2567"/>
      <c r="FOZ81" s="2567"/>
      <c r="FPA81" s="2567"/>
      <c r="FPB81" s="2567"/>
      <c r="FPC81" s="2567"/>
      <c r="FPD81" s="2567"/>
      <c r="FPE81" s="2567"/>
      <c r="FPF81" s="2567"/>
      <c r="FPG81" s="2567"/>
      <c r="FPH81" s="2567"/>
      <c r="FPI81" s="2567"/>
      <c r="FPJ81" s="2567"/>
      <c r="FPK81" s="2567"/>
      <c r="FPL81" s="2567"/>
      <c r="FPM81" s="2567"/>
      <c r="FPN81" s="2567"/>
      <c r="FPO81" s="2567"/>
      <c r="FPP81" s="2567"/>
      <c r="FPQ81" s="2567"/>
      <c r="FPR81" s="2567"/>
      <c r="FPS81" s="2567"/>
      <c r="FPT81" s="2567"/>
      <c r="FPU81" s="2567"/>
      <c r="FPV81" s="2567"/>
      <c r="FPW81" s="2567"/>
      <c r="FPX81" s="2567"/>
      <c r="FPY81" s="2567"/>
      <c r="FPZ81" s="2567"/>
      <c r="FQA81" s="2567"/>
      <c r="FQB81" s="2567"/>
      <c r="FQC81" s="2567"/>
      <c r="FQD81" s="2567"/>
      <c r="FQE81" s="2567"/>
      <c r="FQF81" s="2567"/>
      <c r="FQG81" s="2567"/>
      <c r="FQH81" s="2567"/>
      <c r="FQI81" s="2567"/>
      <c r="FQJ81" s="2567"/>
      <c r="FQK81" s="2567"/>
      <c r="FQL81" s="2567"/>
      <c r="FQM81" s="2567"/>
      <c r="FQN81" s="2567"/>
      <c r="FQO81" s="2567"/>
      <c r="FQP81" s="2567"/>
      <c r="FQQ81" s="2567"/>
      <c r="FQR81" s="2567"/>
      <c r="FQS81" s="2567"/>
      <c r="FQT81" s="2567"/>
      <c r="FQU81" s="2567"/>
      <c r="FQV81" s="2567"/>
      <c r="FQW81" s="2567"/>
      <c r="FQX81" s="2567"/>
      <c r="FQY81" s="2567"/>
      <c r="FQZ81" s="2567"/>
      <c r="FRA81" s="2567"/>
      <c r="FRB81" s="2567"/>
      <c r="FRC81" s="2567"/>
      <c r="FRD81" s="2567"/>
      <c r="FRE81" s="2567"/>
      <c r="FRF81" s="2567"/>
      <c r="FRG81" s="2567"/>
      <c r="FRH81" s="2567"/>
      <c r="FRI81" s="2567"/>
      <c r="FRJ81" s="2567"/>
      <c r="FRK81" s="2567"/>
      <c r="FRL81" s="2567"/>
      <c r="FRM81" s="2567"/>
      <c r="FRN81" s="2567"/>
      <c r="FRO81" s="2567"/>
      <c r="FRP81" s="2567"/>
      <c r="FRQ81" s="2567"/>
      <c r="FRR81" s="2567"/>
      <c r="FRS81" s="2567"/>
      <c r="FRT81" s="2567"/>
      <c r="FRU81" s="2567"/>
      <c r="FRV81" s="2567"/>
      <c r="FRW81" s="2567"/>
      <c r="FRX81" s="2567"/>
      <c r="FRY81" s="2567"/>
      <c r="FRZ81" s="2567"/>
      <c r="FSA81" s="2567"/>
      <c r="FSB81" s="2567"/>
      <c r="FSC81" s="2567"/>
      <c r="FSD81" s="2567"/>
      <c r="FSE81" s="2567"/>
      <c r="FSF81" s="2567"/>
      <c r="FSG81" s="2567"/>
      <c r="FSH81" s="2567"/>
      <c r="FSI81" s="2567"/>
      <c r="FSJ81" s="2567"/>
      <c r="FSK81" s="2567"/>
      <c r="FSL81" s="2567"/>
      <c r="FSM81" s="2567"/>
      <c r="FSN81" s="2567"/>
      <c r="FSO81" s="2567"/>
      <c r="FSP81" s="2567"/>
      <c r="FSQ81" s="2567"/>
      <c r="FSR81" s="2567"/>
      <c r="FSS81" s="2567"/>
      <c r="FST81" s="2567"/>
      <c r="FSU81" s="2567"/>
      <c r="FSV81" s="2567"/>
      <c r="FSW81" s="2567"/>
      <c r="FSX81" s="2567"/>
      <c r="FSY81" s="2567"/>
      <c r="FSZ81" s="2567"/>
      <c r="FTA81" s="2567"/>
      <c r="FTB81" s="2567"/>
      <c r="FTC81" s="2567"/>
      <c r="FTD81" s="2567"/>
      <c r="FTE81" s="2567"/>
      <c r="FTF81" s="2567"/>
      <c r="FTG81" s="2567"/>
      <c r="FTH81" s="2567"/>
      <c r="FTI81" s="2567"/>
      <c r="FTJ81" s="2567"/>
      <c r="FTK81" s="2567"/>
      <c r="FTL81" s="2567"/>
      <c r="FTM81" s="2567"/>
      <c r="FTN81" s="2567"/>
      <c r="FTO81" s="2567"/>
      <c r="FTP81" s="2567"/>
      <c r="FTQ81" s="2567"/>
      <c r="FTR81" s="2567"/>
      <c r="FTS81" s="2567"/>
      <c r="FTT81" s="2567"/>
      <c r="FTU81" s="2567"/>
      <c r="FTV81" s="2567"/>
      <c r="FTW81" s="2567"/>
      <c r="FTX81" s="2567"/>
      <c r="FTY81" s="2567"/>
      <c r="FTZ81" s="2567"/>
      <c r="FUA81" s="2567"/>
      <c r="FUB81" s="2567"/>
      <c r="FUC81" s="2567"/>
      <c r="FUD81" s="2567"/>
      <c r="FUE81" s="2567"/>
      <c r="FUF81" s="2567"/>
      <c r="FUG81" s="2567"/>
      <c r="FUH81" s="2567"/>
      <c r="FUI81" s="2567"/>
      <c r="FUJ81" s="2567"/>
      <c r="FUK81" s="2567"/>
      <c r="FUL81" s="2567"/>
      <c r="FUM81" s="2567"/>
      <c r="FUN81" s="2567"/>
      <c r="FUO81" s="2567"/>
      <c r="FUP81" s="2567"/>
      <c r="FUQ81" s="2567"/>
      <c r="FUR81" s="2567"/>
      <c r="FUS81" s="2567"/>
      <c r="FUT81" s="2567"/>
      <c r="FUU81" s="2567"/>
      <c r="FUV81" s="2567"/>
      <c r="FUW81" s="2567"/>
      <c r="FUX81" s="2567"/>
      <c r="FUY81" s="2567"/>
      <c r="FUZ81" s="2567"/>
      <c r="FVA81" s="2567"/>
      <c r="FVB81" s="2567"/>
      <c r="FVC81" s="2567"/>
      <c r="FVD81" s="2567"/>
      <c r="FVE81" s="2567"/>
      <c r="FVF81" s="2567"/>
      <c r="FVG81" s="2567"/>
      <c r="FVH81" s="2567"/>
      <c r="FVI81" s="2567"/>
      <c r="FVJ81" s="2567"/>
      <c r="FVK81" s="2567"/>
      <c r="FVL81" s="2567"/>
      <c r="FVM81" s="2567"/>
      <c r="FVN81" s="2567"/>
      <c r="FVO81" s="2567"/>
      <c r="FVP81" s="2567"/>
      <c r="FVQ81" s="2567"/>
      <c r="FVR81" s="2567"/>
      <c r="FVS81" s="2567"/>
      <c r="FVT81" s="2567"/>
      <c r="FVU81" s="2567"/>
      <c r="FVV81" s="2567"/>
      <c r="FVW81" s="2567"/>
      <c r="FVX81" s="2567"/>
      <c r="FVY81" s="2567"/>
      <c r="FVZ81" s="2567"/>
      <c r="FWA81" s="2567"/>
      <c r="FWB81" s="2567"/>
      <c r="FWC81" s="2567"/>
      <c r="FWD81" s="2567"/>
      <c r="FWE81" s="2567"/>
      <c r="FWF81" s="2567"/>
      <c r="FWG81" s="2567"/>
      <c r="FWH81" s="2567"/>
      <c r="FWI81" s="2567"/>
      <c r="FWJ81" s="2567"/>
      <c r="FWK81" s="2567"/>
      <c r="FWL81" s="2567"/>
      <c r="FWM81" s="2567"/>
      <c r="FWN81" s="2567"/>
      <c r="FWO81" s="2567"/>
      <c r="FWP81" s="2567"/>
      <c r="FWQ81" s="2567"/>
      <c r="FWR81" s="2567"/>
      <c r="FWS81" s="2567"/>
      <c r="FWT81" s="2567"/>
      <c r="FWU81" s="2567"/>
      <c r="FWV81" s="2567"/>
      <c r="FWW81" s="2567"/>
      <c r="FWX81" s="2567"/>
      <c r="FWY81" s="2567"/>
      <c r="FWZ81" s="2567"/>
      <c r="FXA81" s="2567"/>
      <c r="FXB81" s="2567"/>
      <c r="FXC81" s="2567"/>
      <c r="FXD81" s="2567"/>
      <c r="FXE81" s="2567"/>
      <c r="FXF81" s="2567"/>
      <c r="FXG81" s="2567"/>
      <c r="FXH81" s="2567"/>
      <c r="FXI81" s="2567"/>
      <c r="FXJ81" s="2567"/>
      <c r="FXK81" s="2567"/>
      <c r="FXL81" s="2567"/>
      <c r="FXM81" s="2567"/>
      <c r="FXN81" s="2567"/>
      <c r="FXO81" s="2567"/>
      <c r="FXP81" s="2567"/>
      <c r="FXQ81" s="2567"/>
      <c r="FXR81" s="2567"/>
      <c r="FXS81" s="2567"/>
      <c r="FXT81" s="2567"/>
      <c r="FXU81" s="2567"/>
      <c r="FXV81" s="2567"/>
      <c r="FXW81" s="2567"/>
      <c r="FXX81" s="2567"/>
      <c r="FXY81" s="2567"/>
      <c r="FXZ81" s="2567"/>
      <c r="FYA81" s="2567"/>
      <c r="FYB81" s="2567"/>
      <c r="FYC81" s="2567"/>
      <c r="FYD81" s="2567"/>
      <c r="FYE81" s="2567"/>
      <c r="FYF81" s="2567"/>
      <c r="FYG81" s="2567"/>
      <c r="FYH81" s="2567"/>
      <c r="FYI81" s="2567"/>
      <c r="FYJ81" s="2567"/>
      <c r="FYK81" s="2567"/>
      <c r="FYL81" s="2567"/>
      <c r="FYM81" s="2567"/>
      <c r="FYN81" s="2567"/>
      <c r="FYO81" s="2567"/>
      <c r="FYP81" s="2567"/>
      <c r="FYQ81" s="2567"/>
      <c r="FYR81" s="2567"/>
      <c r="FYS81" s="2567"/>
      <c r="FYT81" s="2567"/>
      <c r="FYU81" s="2567"/>
      <c r="FYV81" s="2567"/>
      <c r="FYW81" s="2567"/>
      <c r="FYX81" s="2567"/>
      <c r="FYY81" s="2567"/>
      <c r="FYZ81" s="2567"/>
      <c r="FZA81" s="2567"/>
      <c r="FZB81" s="2567"/>
      <c r="FZC81" s="2567"/>
      <c r="FZD81" s="2567"/>
      <c r="FZE81" s="2567"/>
      <c r="FZF81" s="2567"/>
      <c r="FZG81" s="2567"/>
      <c r="FZH81" s="2567"/>
      <c r="FZI81" s="2567"/>
      <c r="FZJ81" s="2567"/>
      <c r="FZK81" s="2567"/>
      <c r="FZL81" s="2567"/>
      <c r="FZM81" s="2567"/>
      <c r="FZN81" s="2567"/>
      <c r="FZO81" s="2567"/>
      <c r="FZP81" s="2567"/>
      <c r="FZQ81" s="2567"/>
      <c r="FZR81" s="2567"/>
      <c r="FZS81" s="2567"/>
      <c r="FZT81" s="2567"/>
      <c r="FZU81" s="2567"/>
      <c r="FZV81" s="2567"/>
      <c r="FZW81" s="2567"/>
      <c r="FZX81" s="2567"/>
      <c r="FZY81" s="2567"/>
      <c r="FZZ81" s="2567"/>
      <c r="GAA81" s="2567"/>
      <c r="GAB81" s="2567"/>
      <c r="GAC81" s="2567"/>
      <c r="GAD81" s="2567"/>
      <c r="GAE81" s="2567"/>
      <c r="GAF81" s="2567"/>
      <c r="GAG81" s="2567"/>
      <c r="GAH81" s="2567"/>
      <c r="GAI81" s="2567"/>
      <c r="GAJ81" s="2567"/>
      <c r="GAK81" s="2567"/>
      <c r="GAL81" s="2567"/>
      <c r="GAM81" s="2567"/>
      <c r="GAN81" s="2567"/>
      <c r="GAO81" s="2567"/>
      <c r="GAP81" s="2567"/>
      <c r="GAQ81" s="2567"/>
      <c r="GAR81" s="2567"/>
      <c r="GAS81" s="2567"/>
      <c r="GAT81" s="2567"/>
      <c r="GAU81" s="2567"/>
      <c r="GAV81" s="2567"/>
      <c r="GAW81" s="2567"/>
      <c r="GAX81" s="2567"/>
      <c r="GAY81" s="2567"/>
      <c r="GAZ81" s="2567"/>
      <c r="GBA81" s="2567"/>
      <c r="GBB81" s="2567"/>
      <c r="GBC81" s="2567"/>
      <c r="GBD81" s="2567"/>
      <c r="GBE81" s="2567"/>
      <c r="GBF81" s="2567"/>
      <c r="GBG81" s="2567"/>
      <c r="GBH81" s="2567"/>
      <c r="GBI81" s="2567"/>
      <c r="GBJ81" s="2567"/>
      <c r="GBK81" s="2567"/>
      <c r="GBL81" s="2567"/>
      <c r="GBM81" s="2567"/>
      <c r="GBN81" s="2567"/>
      <c r="GBO81" s="2567"/>
      <c r="GBP81" s="2567"/>
      <c r="GBQ81" s="2567"/>
      <c r="GBR81" s="2567"/>
      <c r="GBS81" s="2567"/>
      <c r="GBT81" s="2567"/>
      <c r="GBU81" s="2567"/>
      <c r="GBV81" s="2567"/>
      <c r="GBW81" s="2567"/>
      <c r="GBX81" s="2567"/>
      <c r="GBY81" s="2567"/>
      <c r="GBZ81" s="2567"/>
      <c r="GCA81" s="2567"/>
      <c r="GCB81" s="2567"/>
      <c r="GCC81" s="2567"/>
      <c r="GCD81" s="2567"/>
      <c r="GCE81" s="2567"/>
      <c r="GCF81" s="2567"/>
      <c r="GCG81" s="2567"/>
      <c r="GCH81" s="2567"/>
      <c r="GCI81" s="2567"/>
      <c r="GCJ81" s="2567"/>
      <c r="GCK81" s="2567"/>
      <c r="GCL81" s="2567"/>
      <c r="GCM81" s="2567"/>
      <c r="GCN81" s="2567"/>
      <c r="GCO81" s="2567"/>
      <c r="GCP81" s="2567"/>
      <c r="GCQ81" s="2567"/>
      <c r="GCR81" s="2567"/>
      <c r="GCS81" s="2567"/>
      <c r="GCT81" s="2567"/>
      <c r="GCU81" s="2567"/>
      <c r="GCV81" s="2567"/>
      <c r="GCW81" s="2567"/>
      <c r="GCX81" s="2567"/>
      <c r="GCY81" s="2567"/>
      <c r="GCZ81" s="2567"/>
      <c r="GDA81" s="2567"/>
      <c r="GDB81" s="2567"/>
      <c r="GDC81" s="2567"/>
      <c r="GDD81" s="2567"/>
      <c r="GDE81" s="2567"/>
      <c r="GDF81" s="2567"/>
      <c r="GDG81" s="2567"/>
      <c r="GDH81" s="2567"/>
      <c r="GDI81" s="2567"/>
      <c r="GDJ81" s="2567"/>
      <c r="GDK81" s="2567"/>
      <c r="GDL81" s="2567"/>
      <c r="GDM81" s="2567"/>
      <c r="GDN81" s="2567"/>
      <c r="GDO81" s="2567"/>
      <c r="GDP81" s="2567"/>
      <c r="GDQ81" s="2567"/>
      <c r="GDR81" s="2567"/>
      <c r="GDS81" s="2567"/>
      <c r="GDT81" s="2567"/>
      <c r="GDU81" s="2567"/>
      <c r="GDV81" s="2567"/>
      <c r="GDW81" s="2567"/>
      <c r="GDX81" s="2567"/>
      <c r="GDY81" s="2567"/>
      <c r="GDZ81" s="2567"/>
      <c r="GEA81" s="2567"/>
      <c r="GEB81" s="2567"/>
      <c r="GEC81" s="2567"/>
      <c r="GED81" s="2567"/>
      <c r="GEE81" s="2567"/>
      <c r="GEF81" s="2567"/>
      <c r="GEG81" s="2567"/>
      <c r="GEH81" s="2567"/>
      <c r="GEI81" s="2567"/>
      <c r="GEJ81" s="2567"/>
      <c r="GEK81" s="2567"/>
      <c r="GEL81" s="2567"/>
      <c r="GEM81" s="2567"/>
      <c r="GEN81" s="2567"/>
      <c r="GEO81" s="2567"/>
      <c r="GEP81" s="2567"/>
      <c r="GEQ81" s="2567"/>
      <c r="GER81" s="2567"/>
      <c r="GES81" s="2567"/>
      <c r="GET81" s="2567"/>
      <c r="GEU81" s="2567"/>
      <c r="GEV81" s="2567"/>
      <c r="GEW81" s="2567"/>
      <c r="GEX81" s="2567"/>
      <c r="GEY81" s="2567"/>
      <c r="GEZ81" s="2567"/>
      <c r="GFA81" s="2567"/>
      <c r="GFB81" s="2567"/>
      <c r="GFC81" s="2567"/>
      <c r="GFD81" s="2567"/>
      <c r="GFE81" s="2567"/>
      <c r="GFF81" s="2567"/>
      <c r="GFG81" s="2567"/>
      <c r="GFH81" s="2567"/>
      <c r="GFI81" s="2567"/>
      <c r="GFJ81" s="2567"/>
      <c r="GFK81" s="2567"/>
      <c r="GFL81" s="2567"/>
      <c r="GFM81" s="2567"/>
      <c r="GFN81" s="2567"/>
      <c r="GFO81" s="2567"/>
      <c r="GFP81" s="2567"/>
      <c r="GFQ81" s="2567"/>
      <c r="GFR81" s="2567"/>
      <c r="GFS81" s="2567"/>
      <c r="GFT81" s="2567"/>
      <c r="GFU81" s="2567"/>
      <c r="GFV81" s="2567"/>
      <c r="GFW81" s="2567"/>
      <c r="GFX81" s="2567"/>
      <c r="GFY81" s="2567"/>
      <c r="GFZ81" s="2567"/>
      <c r="GGA81" s="2567"/>
      <c r="GGB81" s="2567"/>
      <c r="GGC81" s="2567"/>
      <c r="GGD81" s="2567"/>
      <c r="GGE81" s="2567"/>
      <c r="GGF81" s="2567"/>
      <c r="GGG81" s="2567"/>
      <c r="GGH81" s="2567"/>
      <c r="GGI81" s="2567"/>
      <c r="GGJ81" s="2567"/>
      <c r="GGK81" s="2567"/>
      <c r="GGL81" s="2567"/>
      <c r="GGM81" s="2567"/>
      <c r="GGN81" s="2567"/>
      <c r="GGO81" s="2567"/>
      <c r="GGP81" s="2567"/>
      <c r="GGQ81" s="2567"/>
      <c r="GGR81" s="2567"/>
      <c r="GGS81" s="2567"/>
      <c r="GGT81" s="2567"/>
      <c r="GGU81" s="2567"/>
      <c r="GGV81" s="2567"/>
      <c r="GGW81" s="2567"/>
      <c r="GGX81" s="2567"/>
      <c r="GGY81" s="2567"/>
      <c r="GGZ81" s="2567"/>
      <c r="GHA81" s="2567"/>
      <c r="GHB81" s="2567"/>
      <c r="GHC81" s="2567"/>
      <c r="GHD81" s="2567"/>
      <c r="GHE81" s="2567"/>
      <c r="GHF81" s="2567"/>
      <c r="GHG81" s="2567"/>
      <c r="GHH81" s="2567"/>
      <c r="GHI81" s="2567"/>
      <c r="GHJ81" s="2567"/>
      <c r="GHK81" s="2567"/>
      <c r="GHL81" s="2567"/>
      <c r="GHM81" s="2567"/>
      <c r="GHN81" s="2567"/>
      <c r="GHO81" s="2567"/>
      <c r="GHP81" s="2567"/>
      <c r="GHQ81" s="2567"/>
      <c r="GHR81" s="2567"/>
      <c r="GHS81" s="2567"/>
      <c r="GHT81" s="2567"/>
      <c r="GHU81" s="2567"/>
      <c r="GHV81" s="2567"/>
      <c r="GHW81" s="2567"/>
      <c r="GHX81" s="2567"/>
      <c r="GHY81" s="2567"/>
      <c r="GHZ81" s="2567"/>
      <c r="GIA81" s="2567"/>
      <c r="GIB81" s="2567"/>
      <c r="GIC81" s="2567"/>
      <c r="GID81" s="2567"/>
      <c r="GIE81" s="2567"/>
      <c r="GIF81" s="2567"/>
      <c r="GIG81" s="2567"/>
      <c r="GIH81" s="2567"/>
      <c r="GII81" s="2567"/>
      <c r="GIJ81" s="2567"/>
      <c r="GIK81" s="2567"/>
      <c r="GIL81" s="2567"/>
      <c r="GIM81" s="2567"/>
      <c r="GIN81" s="2567"/>
      <c r="GIO81" s="2567"/>
      <c r="GIP81" s="2567"/>
      <c r="GIQ81" s="2567"/>
      <c r="GIR81" s="2567"/>
      <c r="GIS81" s="2567"/>
      <c r="GIT81" s="2567"/>
      <c r="GIU81" s="2567"/>
      <c r="GIV81" s="2567"/>
      <c r="GIW81" s="2567"/>
      <c r="GIX81" s="2567"/>
      <c r="GIY81" s="2567"/>
      <c r="GIZ81" s="2567"/>
      <c r="GJA81" s="2567"/>
      <c r="GJB81" s="2567"/>
      <c r="GJC81" s="2567"/>
      <c r="GJD81" s="2567"/>
      <c r="GJE81" s="2567"/>
      <c r="GJF81" s="2567"/>
      <c r="GJG81" s="2567"/>
      <c r="GJH81" s="2567"/>
      <c r="GJI81" s="2567"/>
      <c r="GJJ81" s="2567"/>
      <c r="GJK81" s="2567"/>
      <c r="GJL81" s="2567"/>
      <c r="GJM81" s="2567"/>
      <c r="GJN81" s="2567"/>
      <c r="GJO81" s="2567"/>
      <c r="GJP81" s="2567"/>
      <c r="GJQ81" s="2567"/>
      <c r="GJR81" s="2567"/>
      <c r="GJS81" s="2567"/>
      <c r="GJT81" s="2567"/>
      <c r="GJU81" s="2567"/>
      <c r="GJV81" s="2567"/>
      <c r="GJW81" s="2567"/>
      <c r="GJX81" s="2567"/>
      <c r="GJY81" s="2567"/>
      <c r="GJZ81" s="2567"/>
      <c r="GKA81" s="2567"/>
      <c r="GKB81" s="2567"/>
      <c r="GKC81" s="2567"/>
      <c r="GKD81" s="2567"/>
      <c r="GKE81" s="2567"/>
      <c r="GKF81" s="2567"/>
      <c r="GKG81" s="2567"/>
      <c r="GKH81" s="2567"/>
      <c r="GKI81" s="2567"/>
      <c r="GKJ81" s="2567"/>
      <c r="GKK81" s="2567"/>
      <c r="GKL81" s="2567"/>
      <c r="GKM81" s="2567"/>
      <c r="GKN81" s="2567"/>
      <c r="GKO81" s="2567"/>
      <c r="GKP81" s="2567"/>
      <c r="GKQ81" s="2567"/>
      <c r="GKR81" s="2567"/>
      <c r="GKS81" s="2567"/>
      <c r="GKT81" s="2567"/>
      <c r="GKU81" s="2567"/>
      <c r="GKV81" s="2567"/>
      <c r="GKW81" s="2567"/>
      <c r="GKX81" s="2567"/>
      <c r="GKY81" s="2567"/>
      <c r="GKZ81" s="2567"/>
      <c r="GLA81" s="2567"/>
      <c r="GLB81" s="2567"/>
      <c r="GLC81" s="2567"/>
      <c r="GLD81" s="2567"/>
      <c r="GLE81" s="2567"/>
      <c r="GLF81" s="2567"/>
      <c r="GLG81" s="2567"/>
      <c r="GLH81" s="2567"/>
      <c r="GLI81" s="2567"/>
      <c r="GLJ81" s="2567"/>
      <c r="GLK81" s="2567"/>
      <c r="GLL81" s="2567"/>
      <c r="GLM81" s="2567"/>
      <c r="GLN81" s="2567"/>
      <c r="GLO81" s="2567"/>
      <c r="GLP81" s="2567"/>
      <c r="GLQ81" s="2567"/>
      <c r="GLR81" s="2567"/>
      <c r="GLS81" s="2567"/>
      <c r="GLT81" s="2567"/>
      <c r="GLU81" s="2567"/>
      <c r="GLV81" s="2567"/>
      <c r="GLW81" s="2567"/>
      <c r="GLX81" s="2567"/>
      <c r="GLY81" s="2567"/>
      <c r="GLZ81" s="2567"/>
      <c r="GMA81" s="2567"/>
      <c r="GMB81" s="2567"/>
      <c r="GMC81" s="2567"/>
      <c r="GMD81" s="2567"/>
      <c r="GME81" s="2567"/>
      <c r="GMF81" s="2567"/>
      <c r="GMG81" s="2567"/>
      <c r="GMH81" s="2567"/>
      <c r="GMI81" s="2567"/>
      <c r="GMJ81" s="2567"/>
      <c r="GMK81" s="2567"/>
      <c r="GML81" s="2567"/>
      <c r="GMM81" s="2567"/>
      <c r="GMN81" s="2567"/>
      <c r="GMO81" s="2567"/>
      <c r="GMP81" s="2567"/>
      <c r="GMQ81" s="2567"/>
      <c r="GMR81" s="2567"/>
      <c r="GMS81" s="2567"/>
      <c r="GMT81" s="2567"/>
      <c r="GMU81" s="2567"/>
      <c r="GMV81" s="2567"/>
      <c r="GMW81" s="2567"/>
      <c r="GMX81" s="2567"/>
      <c r="GMY81" s="2567"/>
      <c r="GMZ81" s="2567"/>
      <c r="GNA81" s="2567"/>
      <c r="GNB81" s="2567"/>
      <c r="GNC81" s="2567"/>
      <c r="GND81" s="2567"/>
      <c r="GNE81" s="2567"/>
      <c r="GNF81" s="2567"/>
      <c r="GNG81" s="2567"/>
      <c r="GNH81" s="2567"/>
      <c r="GNI81" s="2567"/>
      <c r="GNJ81" s="2567"/>
      <c r="GNK81" s="2567"/>
      <c r="GNL81" s="2567"/>
      <c r="GNM81" s="2567"/>
      <c r="GNN81" s="2567"/>
      <c r="GNO81" s="2567"/>
      <c r="GNP81" s="2567"/>
      <c r="GNQ81" s="2567"/>
      <c r="GNR81" s="2567"/>
      <c r="GNS81" s="2567"/>
      <c r="GNT81" s="2567"/>
      <c r="GNU81" s="2567"/>
      <c r="GNV81" s="2567"/>
      <c r="GNW81" s="2567"/>
      <c r="GNX81" s="2567"/>
      <c r="GNY81" s="2567"/>
      <c r="GNZ81" s="2567"/>
      <c r="GOA81" s="2567"/>
      <c r="GOB81" s="2567"/>
      <c r="GOC81" s="2567"/>
      <c r="GOD81" s="2567"/>
      <c r="GOE81" s="2567"/>
      <c r="GOF81" s="2567"/>
      <c r="GOG81" s="2567"/>
      <c r="GOH81" s="2567"/>
      <c r="GOI81" s="2567"/>
      <c r="GOJ81" s="2567"/>
      <c r="GOK81" s="2567"/>
      <c r="GOL81" s="2567"/>
      <c r="GOM81" s="2567"/>
      <c r="GON81" s="2567"/>
      <c r="GOO81" s="2567"/>
      <c r="GOP81" s="2567"/>
      <c r="GOQ81" s="2567"/>
      <c r="GOR81" s="2567"/>
      <c r="GOS81" s="2567"/>
      <c r="GOT81" s="2567"/>
      <c r="GOU81" s="2567"/>
      <c r="GOV81" s="2567"/>
      <c r="GOW81" s="2567"/>
      <c r="GOX81" s="2567"/>
      <c r="GOY81" s="2567"/>
      <c r="GOZ81" s="2567"/>
      <c r="GPA81" s="2567"/>
      <c r="GPB81" s="2567"/>
      <c r="GPC81" s="2567"/>
      <c r="GPD81" s="2567"/>
      <c r="GPE81" s="2567"/>
      <c r="GPF81" s="2567"/>
      <c r="GPG81" s="2567"/>
      <c r="GPH81" s="2567"/>
      <c r="GPI81" s="2567"/>
      <c r="GPJ81" s="2567"/>
      <c r="GPK81" s="2567"/>
      <c r="GPL81" s="2567"/>
      <c r="GPM81" s="2567"/>
      <c r="GPN81" s="2567"/>
      <c r="GPO81" s="2567"/>
      <c r="GPP81" s="2567"/>
      <c r="GPQ81" s="2567"/>
      <c r="GPR81" s="2567"/>
      <c r="GPS81" s="2567"/>
      <c r="GPT81" s="2567"/>
      <c r="GPU81" s="2567"/>
      <c r="GPV81" s="2567"/>
      <c r="GPW81" s="2567"/>
      <c r="GPX81" s="2567"/>
      <c r="GPY81" s="2567"/>
      <c r="GPZ81" s="2567"/>
      <c r="GQA81" s="2567"/>
      <c r="GQB81" s="2567"/>
      <c r="GQC81" s="2567"/>
      <c r="GQD81" s="2567"/>
      <c r="GQE81" s="2567"/>
      <c r="GQF81" s="2567"/>
      <c r="GQG81" s="2567"/>
      <c r="GQH81" s="2567"/>
      <c r="GQI81" s="2567"/>
      <c r="GQJ81" s="2567"/>
      <c r="GQK81" s="2567"/>
      <c r="GQL81" s="2567"/>
      <c r="GQM81" s="2567"/>
      <c r="GQN81" s="2567"/>
      <c r="GQO81" s="2567"/>
      <c r="GQP81" s="2567"/>
      <c r="GQQ81" s="2567"/>
      <c r="GQR81" s="2567"/>
      <c r="GQS81" s="2567"/>
      <c r="GQT81" s="2567"/>
      <c r="GQU81" s="2567"/>
      <c r="GQV81" s="2567"/>
      <c r="GQW81" s="2567"/>
      <c r="GQX81" s="2567"/>
      <c r="GQY81" s="2567"/>
      <c r="GQZ81" s="2567"/>
      <c r="GRA81" s="2567"/>
      <c r="GRB81" s="2567"/>
      <c r="GRC81" s="2567"/>
      <c r="GRD81" s="2567"/>
      <c r="GRE81" s="2567"/>
      <c r="GRF81" s="2567"/>
      <c r="GRG81" s="2567"/>
      <c r="GRH81" s="2567"/>
      <c r="GRI81" s="2567"/>
      <c r="GRJ81" s="2567"/>
      <c r="GRK81" s="2567"/>
      <c r="GRL81" s="2567"/>
      <c r="GRM81" s="2567"/>
      <c r="GRN81" s="2567"/>
      <c r="GRO81" s="2567"/>
      <c r="GRP81" s="2567"/>
      <c r="GRQ81" s="2567"/>
      <c r="GRR81" s="2567"/>
      <c r="GRS81" s="2567"/>
      <c r="GRT81" s="2567"/>
      <c r="GRU81" s="2567"/>
      <c r="GRV81" s="2567"/>
      <c r="GRW81" s="2567"/>
      <c r="GRX81" s="2567"/>
      <c r="GRY81" s="2567"/>
      <c r="GRZ81" s="2567"/>
      <c r="GSA81" s="2567"/>
      <c r="GSB81" s="2567"/>
      <c r="GSC81" s="2567"/>
      <c r="GSD81" s="2567"/>
      <c r="GSE81" s="2567"/>
      <c r="GSF81" s="2567"/>
      <c r="GSG81" s="2567"/>
      <c r="GSH81" s="2567"/>
      <c r="GSI81" s="2567"/>
      <c r="GSJ81" s="2567"/>
      <c r="GSK81" s="2567"/>
      <c r="GSL81" s="2567"/>
      <c r="GSM81" s="2567"/>
      <c r="GSN81" s="2567"/>
      <c r="GSO81" s="2567"/>
      <c r="GSP81" s="2567"/>
      <c r="GSQ81" s="2567"/>
      <c r="GSR81" s="2567"/>
      <c r="GSS81" s="2567"/>
      <c r="GST81" s="2567"/>
      <c r="GSU81" s="2567"/>
      <c r="GSV81" s="2567"/>
      <c r="GSW81" s="2567"/>
      <c r="GSX81" s="2567"/>
      <c r="GSY81" s="2567"/>
      <c r="GSZ81" s="2567"/>
      <c r="GTA81" s="2567"/>
      <c r="GTB81" s="2567"/>
      <c r="GTC81" s="2567"/>
      <c r="GTD81" s="2567"/>
      <c r="GTE81" s="2567"/>
      <c r="GTF81" s="2567"/>
      <c r="GTG81" s="2567"/>
      <c r="GTH81" s="2567"/>
      <c r="GTI81" s="2567"/>
      <c r="GTJ81" s="2567"/>
      <c r="GTK81" s="2567"/>
      <c r="GTL81" s="2567"/>
      <c r="GTM81" s="2567"/>
      <c r="GTN81" s="2567"/>
      <c r="GTO81" s="2567"/>
      <c r="GTP81" s="2567"/>
      <c r="GTQ81" s="2567"/>
      <c r="GTR81" s="2567"/>
      <c r="GTS81" s="2567"/>
      <c r="GTT81" s="2567"/>
      <c r="GTU81" s="2567"/>
      <c r="GTV81" s="2567"/>
      <c r="GTW81" s="2567"/>
      <c r="GTX81" s="2567"/>
      <c r="GTY81" s="2567"/>
      <c r="GTZ81" s="2567"/>
      <c r="GUA81" s="2567"/>
      <c r="GUB81" s="2567"/>
      <c r="GUC81" s="2567"/>
      <c r="GUD81" s="2567"/>
      <c r="GUE81" s="2567"/>
      <c r="GUF81" s="2567"/>
      <c r="GUG81" s="2567"/>
      <c r="GUH81" s="2567"/>
      <c r="GUI81" s="2567"/>
      <c r="GUJ81" s="2567"/>
      <c r="GUK81" s="2567"/>
      <c r="GUL81" s="2567"/>
      <c r="GUM81" s="2567"/>
      <c r="GUN81" s="2567"/>
      <c r="GUO81" s="2567"/>
      <c r="GUP81" s="2567"/>
      <c r="GUQ81" s="2567"/>
      <c r="GUR81" s="2567"/>
      <c r="GUS81" s="2567"/>
      <c r="GUT81" s="2567"/>
      <c r="GUU81" s="2567"/>
      <c r="GUV81" s="2567"/>
      <c r="GUW81" s="2567"/>
      <c r="GUX81" s="2567"/>
      <c r="GUY81" s="2567"/>
      <c r="GUZ81" s="2567"/>
      <c r="GVA81" s="2567"/>
      <c r="GVB81" s="2567"/>
      <c r="GVC81" s="2567"/>
      <c r="GVD81" s="2567"/>
      <c r="GVE81" s="2567"/>
      <c r="GVF81" s="2567"/>
      <c r="GVG81" s="2567"/>
      <c r="GVH81" s="2567"/>
      <c r="GVI81" s="2567"/>
      <c r="GVJ81" s="2567"/>
      <c r="GVK81" s="2567"/>
      <c r="GVL81" s="2567"/>
      <c r="GVM81" s="2567"/>
      <c r="GVN81" s="2567"/>
      <c r="GVO81" s="2567"/>
      <c r="GVP81" s="2567"/>
      <c r="GVQ81" s="2567"/>
      <c r="GVR81" s="2567"/>
      <c r="GVS81" s="2567"/>
      <c r="GVT81" s="2567"/>
      <c r="GVU81" s="2567"/>
      <c r="GVV81" s="2567"/>
      <c r="GVW81" s="2567"/>
      <c r="GVX81" s="2567"/>
      <c r="GVY81" s="2567"/>
      <c r="GVZ81" s="2567"/>
      <c r="GWA81" s="2567"/>
      <c r="GWB81" s="2567"/>
      <c r="GWC81" s="2567"/>
      <c r="GWD81" s="2567"/>
      <c r="GWE81" s="2567"/>
      <c r="GWF81" s="2567"/>
      <c r="GWG81" s="2567"/>
      <c r="GWH81" s="2567"/>
      <c r="GWI81" s="2567"/>
      <c r="GWJ81" s="2567"/>
      <c r="GWK81" s="2567"/>
      <c r="GWL81" s="2567"/>
      <c r="GWM81" s="2567"/>
      <c r="GWN81" s="2567"/>
      <c r="GWO81" s="2567"/>
      <c r="GWP81" s="2567"/>
      <c r="GWQ81" s="2567"/>
      <c r="GWR81" s="2567"/>
      <c r="GWS81" s="2567"/>
      <c r="GWT81" s="2567"/>
      <c r="GWU81" s="2567"/>
      <c r="GWV81" s="2567"/>
      <c r="GWW81" s="2567"/>
      <c r="GWX81" s="2567"/>
      <c r="GWY81" s="2567"/>
      <c r="GWZ81" s="2567"/>
      <c r="GXA81" s="2567"/>
      <c r="GXB81" s="2567"/>
      <c r="GXC81" s="2567"/>
      <c r="GXD81" s="2567"/>
      <c r="GXE81" s="2567"/>
      <c r="GXF81" s="2567"/>
      <c r="GXG81" s="2567"/>
      <c r="GXH81" s="2567"/>
      <c r="GXI81" s="2567"/>
      <c r="GXJ81" s="2567"/>
      <c r="GXK81" s="2567"/>
      <c r="GXL81" s="2567"/>
      <c r="GXM81" s="2567"/>
      <c r="GXN81" s="2567"/>
      <c r="GXO81" s="2567"/>
      <c r="GXP81" s="2567"/>
      <c r="GXQ81" s="2567"/>
      <c r="GXR81" s="2567"/>
      <c r="GXS81" s="2567"/>
      <c r="GXT81" s="2567"/>
      <c r="GXU81" s="2567"/>
      <c r="GXV81" s="2567"/>
      <c r="GXW81" s="2567"/>
      <c r="GXX81" s="2567"/>
      <c r="GXY81" s="2567"/>
      <c r="GXZ81" s="2567"/>
      <c r="GYA81" s="2567"/>
      <c r="GYB81" s="2567"/>
      <c r="GYC81" s="2567"/>
      <c r="GYD81" s="2567"/>
      <c r="GYE81" s="2567"/>
      <c r="GYF81" s="2567"/>
      <c r="GYG81" s="2567"/>
      <c r="GYH81" s="2567"/>
      <c r="GYI81" s="2567"/>
      <c r="GYJ81" s="2567"/>
      <c r="GYK81" s="2567"/>
      <c r="GYL81" s="2567"/>
      <c r="GYM81" s="2567"/>
      <c r="GYN81" s="2567"/>
      <c r="GYO81" s="2567"/>
      <c r="GYP81" s="2567"/>
      <c r="GYQ81" s="2567"/>
      <c r="GYR81" s="2567"/>
      <c r="GYS81" s="2567"/>
      <c r="GYT81" s="2567"/>
      <c r="GYU81" s="2567"/>
      <c r="GYV81" s="2567"/>
      <c r="GYW81" s="2567"/>
      <c r="GYX81" s="2567"/>
      <c r="GYY81" s="2567"/>
      <c r="GYZ81" s="2567"/>
      <c r="GZA81" s="2567"/>
      <c r="GZB81" s="2567"/>
      <c r="GZC81" s="2567"/>
      <c r="GZD81" s="2567"/>
      <c r="GZE81" s="2567"/>
      <c r="GZF81" s="2567"/>
      <c r="GZG81" s="2567"/>
      <c r="GZH81" s="2567"/>
      <c r="GZI81" s="2567"/>
      <c r="GZJ81" s="2567"/>
      <c r="GZK81" s="2567"/>
      <c r="GZL81" s="2567"/>
      <c r="GZM81" s="2567"/>
      <c r="GZN81" s="2567"/>
      <c r="GZO81" s="2567"/>
      <c r="GZP81" s="2567"/>
      <c r="GZQ81" s="2567"/>
      <c r="GZR81" s="2567"/>
      <c r="GZS81" s="2567"/>
      <c r="GZT81" s="2567"/>
      <c r="GZU81" s="2567"/>
      <c r="GZV81" s="2567"/>
      <c r="GZW81" s="2567"/>
      <c r="GZX81" s="2567"/>
      <c r="GZY81" s="2567"/>
      <c r="GZZ81" s="2567"/>
      <c r="HAA81" s="2567"/>
      <c r="HAB81" s="2567"/>
      <c r="HAC81" s="2567"/>
      <c r="HAD81" s="2567"/>
      <c r="HAE81" s="2567"/>
      <c r="HAF81" s="2567"/>
      <c r="HAG81" s="2567"/>
      <c r="HAH81" s="2567"/>
      <c r="HAI81" s="2567"/>
      <c r="HAJ81" s="2567"/>
      <c r="HAK81" s="2567"/>
      <c r="HAL81" s="2567"/>
      <c r="HAM81" s="2567"/>
      <c r="HAN81" s="2567"/>
      <c r="HAO81" s="2567"/>
      <c r="HAP81" s="2567"/>
      <c r="HAQ81" s="2567"/>
      <c r="HAR81" s="2567"/>
      <c r="HAS81" s="2567"/>
      <c r="HAT81" s="2567"/>
      <c r="HAU81" s="2567"/>
      <c r="HAV81" s="2567"/>
      <c r="HAW81" s="2567"/>
      <c r="HAX81" s="2567"/>
      <c r="HAY81" s="2567"/>
      <c r="HAZ81" s="2567"/>
      <c r="HBA81" s="2567"/>
      <c r="HBB81" s="2567"/>
      <c r="HBC81" s="2567"/>
      <c r="HBD81" s="2567"/>
      <c r="HBE81" s="2567"/>
      <c r="HBF81" s="2567"/>
      <c r="HBG81" s="2567"/>
      <c r="HBH81" s="2567"/>
      <c r="HBI81" s="2567"/>
      <c r="HBJ81" s="2567"/>
      <c r="HBK81" s="2567"/>
      <c r="HBL81" s="2567"/>
      <c r="HBM81" s="2567"/>
      <c r="HBN81" s="2567"/>
      <c r="HBO81" s="2567"/>
      <c r="HBP81" s="2567"/>
      <c r="HBQ81" s="2567"/>
      <c r="HBR81" s="2567"/>
      <c r="HBS81" s="2567"/>
      <c r="HBT81" s="2567"/>
      <c r="HBU81" s="2567"/>
      <c r="HBV81" s="2567"/>
      <c r="HBW81" s="2567"/>
      <c r="HBX81" s="2567"/>
      <c r="HBY81" s="2567"/>
      <c r="HBZ81" s="2567"/>
      <c r="HCA81" s="2567"/>
      <c r="HCB81" s="2567"/>
      <c r="HCC81" s="2567"/>
      <c r="HCD81" s="2567"/>
      <c r="HCE81" s="2567"/>
      <c r="HCF81" s="2567"/>
      <c r="HCG81" s="2567"/>
      <c r="HCH81" s="2567"/>
      <c r="HCI81" s="2567"/>
      <c r="HCJ81" s="2567"/>
      <c r="HCK81" s="2567"/>
      <c r="HCL81" s="2567"/>
      <c r="HCM81" s="2567"/>
      <c r="HCN81" s="2567"/>
      <c r="HCO81" s="2567"/>
      <c r="HCP81" s="2567"/>
      <c r="HCQ81" s="2567"/>
      <c r="HCR81" s="2567"/>
      <c r="HCS81" s="2567"/>
      <c r="HCT81" s="2567"/>
      <c r="HCU81" s="2567"/>
      <c r="HCV81" s="2567"/>
      <c r="HCW81" s="2567"/>
      <c r="HCX81" s="2567"/>
      <c r="HCY81" s="2567"/>
      <c r="HCZ81" s="2567"/>
      <c r="HDA81" s="2567"/>
      <c r="HDB81" s="2567"/>
      <c r="HDC81" s="2567"/>
      <c r="HDD81" s="2567"/>
      <c r="HDE81" s="2567"/>
      <c r="HDF81" s="2567"/>
      <c r="HDG81" s="2567"/>
      <c r="HDH81" s="2567"/>
      <c r="HDI81" s="2567"/>
      <c r="HDJ81" s="2567"/>
      <c r="HDK81" s="2567"/>
      <c r="HDL81" s="2567"/>
      <c r="HDM81" s="2567"/>
      <c r="HDN81" s="2567"/>
      <c r="HDO81" s="2567"/>
      <c r="HDP81" s="2567"/>
      <c r="HDQ81" s="2567"/>
      <c r="HDR81" s="2567"/>
      <c r="HDS81" s="2567"/>
      <c r="HDT81" s="2567"/>
      <c r="HDU81" s="2567"/>
      <c r="HDV81" s="2567"/>
      <c r="HDW81" s="2567"/>
      <c r="HDX81" s="2567"/>
      <c r="HDY81" s="2567"/>
      <c r="HDZ81" s="2567"/>
      <c r="HEA81" s="2567"/>
      <c r="HEB81" s="2567"/>
      <c r="HEC81" s="2567"/>
      <c r="HED81" s="2567"/>
      <c r="HEE81" s="2567"/>
      <c r="HEF81" s="2567"/>
      <c r="HEG81" s="2567"/>
      <c r="HEH81" s="2567"/>
      <c r="HEI81" s="2567"/>
      <c r="HEJ81" s="2567"/>
      <c r="HEK81" s="2567"/>
      <c r="HEL81" s="2567"/>
      <c r="HEM81" s="2567"/>
      <c r="HEN81" s="2567"/>
      <c r="HEO81" s="2567"/>
      <c r="HEP81" s="2567"/>
      <c r="HEQ81" s="2567"/>
      <c r="HER81" s="2567"/>
      <c r="HES81" s="2567"/>
      <c r="HET81" s="2567"/>
      <c r="HEU81" s="2567"/>
      <c r="HEV81" s="2567"/>
      <c r="HEW81" s="2567"/>
      <c r="HEX81" s="2567"/>
      <c r="HEY81" s="2567"/>
      <c r="HEZ81" s="2567"/>
      <c r="HFA81" s="2567"/>
      <c r="HFB81" s="2567"/>
      <c r="HFC81" s="2567"/>
      <c r="HFD81" s="2567"/>
      <c r="HFE81" s="2567"/>
      <c r="HFF81" s="2567"/>
      <c r="HFG81" s="2567"/>
      <c r="HFH81" s="2567"/>
      <c r="HFI81" s="2567"/>
      <c r="HFJ81" s="2567"/>
      <c r="HFK81" s="2567"/>
      <c r="HFL81" s="2567"/>
      <c r="HFM81" s="2567"/>
      <c r="HFN81" s="2567"/>
      <c r="HFO81" s="2567"/>
      <c r="HFP81" s="2567"/>
      <c r="HFQ81" s="2567"/>
      <c r="HFR81" s="2567"/>
      <c r="HFS81" s="2567"/>
      <c r="HFT81" s="2567"/>
      <c r="HFU81" s="2567"/>
      <c r="HFV81" s="2567"/>
      <c r="HFW81" s="2567"/>
      <c r="HFX81" s="2567"/>
      <c r="HFY81" s="2567"/>
      <c r="HFZ81" s="2567"/>
      <c r="HGA81" s="2567"/>
      <c r="HGB81" s="2567"/>
      <c r="HGC81" s="2567"/>
      <c r="HGD81" s="2567"/>
      <c r="HGE81" s="2567"/>
      <c r="HGF81" s="2567"/>
      <c r="HGG81" s="2567"/>
      <c r="HGH81" s="2567"/>
      <c r="HGI81" s="2567"/>
      <c r="HGJ81" s="2567"/>
      <c r="HGK81" s="2567"/>
      <c r="HGL81" s="2567"/>
      <c r="HGM81" s="2567"/>
      <c r="HGN81" s="2567"/>
      <c r="HGO81" s="2567"/>
      <c r="HGP81" s="2567"/>
      <c r="HGQ81" s="2567"/>
      <c r="HGR81" s="2567"/>
      <c r="HGS81" s="2567"/>
      <c r="HGT81" s="2567"/>
      <c r="HGU81" s="2567"/>
      <c r="HGV81" s="2567"/>
      <c r="HGW81" s="2567"/>
      <c r="HGX81" s="2567"/>
      <c r="HGY81" s="2567"/>
      <c r="HGZ81" s="2567"/>
      <c r="HHA81" s="2567"/>
      <c r="HHB81" s="2567"/>
      <c r="HHC81" s="2567"/>
      <c r="HHD81" s="2567"/>
      <c r="HHE81" s="2567"/>
      <c r="HHF81" s="2567"/>
      <c r="HHG81" s="2567"/>
      <c r="HHH81" s="2567"/>
      <c r="HHI81" s="2567"/>
      <c r="HHJ81" s="2567"/>
      <c r="HHK81" s="2567"/>
      <c r="HHL81" s="2567"/>
      <c r="HHM81" s="2567"/>
      <c r="HHN81" s="2567"/>
      <c r="HHO81" s="2567"/>
      <c r="HHP81" s="2567"/>
      <c r="HHQ81" s="2567"/>
      <c r="HHR81" s="2567"/>
      <c r="HHS81" s="2567"/>
      <c r="HHT81" s="2567"/>
      <c r="HHU81" s="2567"/>
      <c r="HHV81" s="2567"/>
      <c r="HHW81" s="2567"/>
      <c r="HHX81" s="2567"/>
      <c r="HHY81" s="2567"/>
      <c r="HHZ81" s="2567"/>
      <c r="HIA81" s="2567"/>
      <c r="HIB81" s="2567"/>
      <c r="HIC81" s="2567"/>
      <c r="HID81" s="2567"/>
      <c r="HIE81" s="2567"/>
      <c r="HIF81" s="2567"/>
      <c r="HIG81" s="2567"/>
      <c r="HIH81" s="2567"/>
      <c r="HII81" s="2567"/>
      <c r="HIJ81" s="2567"/>
      <c r="HIK81" s="2567"/>
      <c r="HIL81" s="2567"/>
      <c r="HIM81" s="2567"/>
      <c r="HIN81" s="2567"/>
      <c r="HIO81" s="2567"/>
      <c r="HIP81" s="2567"/>
      <c r="HIQ81" s="2567"/>
      <c r="HIR81" s="2567"/>
      <c r="HIS81" s="2567"/>
      <c r="HIT81" s="2567"/>
      <c r="HIU81" s="2567"/>
      <c r="HIV81" s="2567"/>
      <c r="HIW81" s="2567"/>
      <c r="HIX81" s="2567"/>
      <c r="HIY81" s="2567"/>
      <c r="HIZ81" s="2567"/>
      <c r="HJA81" s="2567"/>
      <c r="HJB81" s="2567"/>
      <c r="HJC81" s="2567"/>
      <c r="HJD81" s="2567"/>
      <c r="HJE81" s="2567"/>
      <c r="HJF81" s="2567"/>
      <c r="HJG81" s="2567"/>
      <c r="HJH81" s="2567"/>
      <c r="HJI81" s="2567"/>
      <c r="HJJ81" s="2567"/>
      <c r="HJK81" s="2567"/>
      <c r="HJL81" s="2567"/>
      <c r="HJM81" s="2567"/>
      <c r="HJN81" s="2567"/>
      <c r="HJO81" s="2567"/>
      <c r="HJP81" s="2567"/>
      <c r="HJQ81" s="2567"/>
      <c r="HJR81" s="2567"/>
      <c r="HJS81" s="2567"/>
      <c r="HJT81" s="2567"/>
      <c r="HJU81" s="2567"/>
      <c r="HJV81" s="2567"/>
      <c r="HJW81" s="2567"/>
      <c r="HJX81" s="2567"/>
      <c r="HJY81" s="2567"/>
      <c r="HJZ81" s="2567"/>
      <c r="HKA81" s="2567"/>
      <c r="HKB81" s="2567"/>
      <c r="HKC81" s="2567"/>
      <c r="HKD81" s="2567"/>
      <c r="HKE81" s="2567"/>
      <c r="HKF81" s="2567"/>
      <c r="HKG81" s="2567"/>
      <c r="HKH81" s="2567"/>
      <c r="HKI81" s="2567"/>
      <c r="HKJ81" s="2567"/>
      <c r="HKK81" s="2567"/>
      <c r="HKL81" s="2567"/>
      <c r="HKM81" s="2567"/>
      <c r="HKN81" s="2567"/>
      <c r="HKO81" s="2567"/>
      <c r="HKP81" s="2567"/>
      <c r="HKQ81" s="2567"/>
      <c r="HKR81" s="2567"/>
      <c r="HKS81" s="2567"/>
      <c r="HKT81" s="2567"/>
      <c r="HKU81" s="2567"/>
      <c r="HKV81" s="2567"/>
      <c r="HKW81" s="2567"/>
      <c r="HKX81" s="2567"/>
      <c r="HKY81" s="2567"/>
      <c r="HKZ81" s="2567"/>
      <c r="HLA81" s="2567"/>
      <c r="HLB81" s="2567"/>
      <c r="HLC81" s="2567"/>
      <c r="HLD81" s="2567"/>
      <c r="HLE81" s="2567"/>
      <c r="HLF81" s="2567"/>
      <c r="HLG81" s="2567"/>
      <c r="HLH81" s="2567"/>
      <c r="HLI81" s="2567"/>
      <c r="HLJ81" s="2567"/>
      <c r="HLK81" s="2567"/>
      <c r="HLL81" s="2567"/>
      <c r="HLM81" s="2567"/>
      <c r="HLN81" s="2567"/>
      <c r="HLO81" s="2567"/>
      <c r="HLP81" s="2567"/>
      <c r="HLQ81" s="2567"/>
      <c r="HLR81" s="2567"/>
      <c r="HLS81" s="2567"/>
      <c r="HLT81" s="2567"/>
      <c r="HLU81" s="2567"/>
      <c r="HLV81" s="2567"/>
      <c r="HLW81" s="2567"/>
      <c r="HLX81" s="2567"/>
      <c r="HLY81" s="2567"/>
      <c r="HLZ81" s="2567"/>
      <c r="HMA81" s="2567"/>
      <c r="HMB81" s="2567"/>
      <c r="HMC81" s="2567"/>
      <c r="HMD81" s="2567"/>
      <c r="HME81" s="2567"/>
      <c r="HMF81" s="2567"/>
      <c r="HMG81" s="2567"/>
      <c r="HMH81" s="2567"/>
      <c r="HMI81" s="2567"/>
      <c r="HMJ81" s="2567"/>
      <c r="HMK81" s="2567"/>
      <c r="HML81" s="2567"/>
      <c r="HMM81" s="2567"/>
      <c r="HMN81" s="2567"/>
      <c r="HMO81" s="2567"/>
      <c r="HMP81" s="2567"/>
      <c r="HMQ81" s="2567"/>
      <c r="HMR81" s="2567"/>
      <c r="HMS81" s="2567"/>
      <c r="HMT81" s="2567"/>
      <c r="HMU81" s="2567"/>
      <c r="HMV81" s="2567"/>
      <c r="HMW81" s="2567"/>
      <c r="HMX81" s="2567"/>
      <c r="HMY81" s="2567"/>
      <c r="HMZ81" s="2567"/>
      <c r="HNA81" s="2567"/>
      <c r="HNB81" s="2567"/>
      <c r="HNC81" s="2567"/>
      <c r="HND81" s="2567"/>
      <c r="HNE81" s="2567"/>
      <c r="HNF81" s="2567"/>
      <c r="HNG81" s="2567"/>
      <c r="HNH81" s="2567"/>
      <c r="HNI81" s="2567"/>
      <c r="HNJ81" s="2567"/>
      <c r="HNK81" s="2567"/>
      <c r="HNL81" s="2567"/>
      <c r="HNM81" s="2567"/>
      <c r="HNN81" s="2567"/>
      <c r="HNO81" s="2567"/>
      <c r="HNP81" s="2567"/>
      <c r="HNQ81" s="2567"/>
      <c r="HNR81" s="2567"/>
      <c r="HNS81" s="2567"/>
      <c r="HNT81" s="2567"/>
      <c r="HNU81" s="2567"/>
      <c r="HNV81" s="2567"/>
      <c r="HNW81" s="2567"/>
      <c r="HNX81" s="2567"/>
      <c r="HNY81" s="2567"/>
      <c r="HNZ81" s="2567"/>
      <c r="HOA81" s="2567"/>
      <c r="HOB81" s="2567"/>
      <c r="HOC81" s="2567"/>
      <c r="HOD81" s="2567"/>
      <c r="HOE81" s="2567"/>
      <c r="HOF81" s="2567"/>
      <c r="HOG81" s="2567"/>
      <c r="HOH81" s="2567"/>
      <c r="HOI81" s="2567"/>
      <c r="HOJ81" s="2567"/>
      <c r="HOK81" s="2567"/>
      <c r="HOL81" s="2567"/>
      <c r="HOM81" s="2567"/>
      <c r="HON81" s="2567"/>
      <c r="HOO81" s="2567"/>
      <c r="HOP81" s="2567"/>
      <c r="HOQ81" s="2567"/>
      <c r="HOR81" s="2567"/>
      <c r="HOS81" s="2567"/>
      <c r="HOT81" s="2567"/>
      <c r="HOU81" s="2567"/>
      <c r="HOV81" s="2567"/>
      <c r="HOW81" s="2567"/>
      <c r="HOX81" s="2567"/>
      <c r="HOY81" s="2567"/>
      <c r="HOZ81" s="2567"/>
      <c r="HPA81" s="2567"/>
      <c r="HPB81" s="2567"/>
      <c r="HPC81" s="2567"/>
      <c r="HPD81" s="2567"/>
      <c r="HPE81" s="2567"/>
      <c r="HPF81" s="2567"/>
      <c r="HPG81" s="2567"/>
      <c r="HPH81" s="2567"/>
      <c r="HPI81" s="2567"/>
      <c r="HPJ81" s="2567"/>
      <c r="HPK81" s="2567"/>
      <c r="HPL81" s="2567"/>
      <c r="HPM81" s="2567"/>
      <c r="HPN81" s="2567"/>
      <c r="HPO81" s="2567"/>
      <c r="HPP81" s="2567"/>
      <c r="HPQ81" s="2567"/>
      <c r="HPR81" s="2567"/>
      <c r="HPS81" s="2567"/>
      <c r="HPT81" s="2567"/>
      <c r="HPU81" s="2567"/>
      <c r="HPV81" s="2567"/>
      <c r="HPW81" s="2567"/>
      <c r="HPX81" s="2567"/>
      <c r="HPY81" s="2567"/>
      <c r="HPZ81" s="2567"/>
      <c r="HQA81" s="2567"/>
      <c r="HQB81" s="2567"/>
      <c r="HQC81" s="2567"/>
      <c r="HQD81" s="2567"/>
      <c r="HQE81" s="2567"/>
      <c r="HQF81" s="2567"/>
      <c r="HQG81" s="2567"/>
      <c r="HQH81" s="2567"/>
      <c r="HQI81" s="2567"/>
      <c r="HQJ81" s="2567"/>
      <c r="HQK81" s="2567"/>
      <c r="HQL81" s="2567"/>
      <c r="HQM81" s="2567"/>
      <c r="HQN81" s="2567"/>
      <c r="HQO81" s="2567"/>
      <c r="HQP81" s="2567"/>
      <c r="HQQ81" s="2567"/>
      <c r="HQR81" s="2567"/>
      <c r="HQS81" s="2567"/>
      <c r="HQT81" s="2567"/>
      <c r="HQU81" s="2567"/>
      <c r="HQV81" s="2567"/>
      <c r="HQW81" s="2567"/>
      <c r="HQX81" s="2567"/>
      <c r="HQY81" s="2567"/>
      <c r="HQZ81" s="2567"/>
      <c r="HRA81" s="2567"/>
      <c r="HRB81" s="2567"/>
      <c r="HRC81" s="2567"/>
      <c r="HRD81" s="2567"/>
      <c r="HRE81" s="2567"/>
      <c r="HRF81" s="2567"/>
      <c r="HRG81" s="2567"/>
      <c r="HRH81" s="2567"/>
      <c r="HRI81" s="2567"/>
      <c r="HRJ81" s="2567"/>
      <c r="HRK81" s="2567"/>
      <c r="HRL81" s="2567"/>
      <c r="HRM81" s="2567"/>
      <c r="HRN81" s="2567"/>
      <c r="HRO81" s="2567"/>
      <c r="HRP81" s="2567"/>
      <c r="HRQ81" s="2567"/>
      <c r="HRR81" s="2567"/>
      <c r="HRS81" s="2567"/>
      <c r="HRT81" s="2567"/>
      <c r="HRU81" s="2567"/>
      <c r="HRV81" s="2567"/>
      <c r="HRW81" s="2567"/>
      <c r="HRX81" s="2567"/>
      <c r="HRY81" s="2567"/>
      <c r="HRZ81" s="2567"/>
      <c r="HSA81" s="2567"/>
      <c r="HSB81" s="2567"/>
      <c r="HSC81" s="2567"/>
      <c r="HSD81" s="2567"/>
      <c r="HSE81" s="2567"/>
      <c r="HSF81" s="2567"/>
      <c r="HSG81" s="2567"/>
      <c r="HSH81" s="2567"/>
      <c r="HSI81" s="2567"/>
      <c r="HSJ81" s="2567"/>
      <c r="HSK81" s="2567"/>
      <c r="HSL81" s="2567"/>
      <c r="HSM81" s="2567"/>
      <c r="HSN81" s="2567"/>
      <c r="HSO81" s="2567"/>
      <c r="HSP81" s="2567"/>
      <c r="HSQ81" s="2567"/>
      <c r="HSR81" s="2567"/>
      <c r="HSS81" s="2567"/>
      <c r="HST81" s="2567"/>
      <c r="HSU81" s="2567"/>
      <c r="HSV81" s="2567"/>
      <c r="HSW81" s="2567"/>
      <c r="HSX81" s="2567"/>
      <c r="HSY81" s="2567"/>
      <c r="HSZ81" s="2567"/>
      <c r="HTA81" s="2567"/>
      <c r="HTB81" s="2567"/>
      <c r="HTC81" s="2567"/>
      <c r="HTD81" s="2567"/>
      <c r="HTE81" s="2567"/>
      <c r="HTF81" s="2567"/>
      <c r="HTG81" s="2567"/>
      <c r="HTH81" s="2567"/>
      <c r="HTI81" s="2567"/>
      <c r="HTJ81" s="2567"/>
      <c r="HTK81" s="2567"/>
      <c r="HTL81" s="2567"/>
      <c r="HTM81" s="2567"/>
      <c r="HTN81" s="2567"/>
      <c r="HTO81" s="2567"/>
      <c r="HTP81" s="2567"/>
      <c r="HTQ81" s="2567"/>
      <c r="HTR81" s="2567"/>
      <c r="HTS81" s="2567"/>
      <c r="HTT81" s="2567"/>
      <c r="HTU81" s="2567"/>
      <c r="HTV81" s="2567"/>
      <c r="HTW81" s="2567"/>
      <c r="HTX81" s="2567"/>
      <c r="HTY81" s="2567"/>
      <c r="HTZ81" s="2567"/>
      <c r="HUA81" s="2567"/>
      <c r="HUB81" s="2567"/>
      <c r="HUC81" s="2567"/>
      <c r="HUD81" s="2567"/>
      <c r="HUE81" s="2567"/>
      <c r="HUF81" s="2567"/>
      <c r="HUG81" s="2567"/>
      <c r="HUH81" s="2567"/>
      <c r="HUI81" s="2567"/>
      <c r="HUJ81" s="2567"/>
      <c r="HUK81" s="2567"/>
      <c r="HUL81" s="2567"/>
      <c r="HUM81" s="2567"/>
      <c r="HUN81" s="2567"/>
      <c r="HUO81" s="2567"/>
      <c r="HUP81" s="2567"/>
      <c r="HUQ81" s="2567"/>
      <c r="HUR81" s="2567"/>
      <c r="HUS81" s="2567"/>
      <c r="HUT81" s="2567"/>
      <c r="HUU81" s="2567"/>
      <c r="HUV81" s="2567"/>
      <c r="HUW81" s="2567"/>
      <c r="HUX81" s="2567"/>
      <c r="HUY81" s="2567"/>
      <c r="HUZ81" s="2567"/>
      <c r="HVA81" s="2567"/>
      <c r="HVB81" s="2567"/>
      <c r="HVC81" s="2567"/>
      <c r="HVD81" s="2567"/>
      <c r="HVE81" s="2567"/>
      <c r="HVF81" s="2567"/>
      <c r="HVG81" s="2567"/>
      <c r="HVH81" s="2567"/>
      <c r="HVI81" s="2567"/>
      <c r="HVJ81" s="2567"/>
      <c r="HVK81" s="2567"/>
      <c r="HVL81" s="2567"/>
      <c r="HVM81" s="2567"/>
      <c r="HVN81" s="2567"/>
      <c r="HVO81" s="2567"/>
      <c r="HVP81" s="2567"/>
      <c r="HVQ81" s="2567"/>
      <c r="HVR81" s="2567"/>
      <c r="HVS81" s="2567"/>
      <c r="HVT81" s="2567"/>
      <c r="HVU81" s="2567"/>
      <c r="HVV81" s="2567"/>
      <c r="HVW81" s="2567"/>
      <c r="HVX81" s="2567"/>
      <c r="HVY81" s="2567"/>
      <c r="HVZ81" s="2567"/>
      <c r="HWA81" s="2567"/>
      <c r="HWB81" s="2567"/>
      <c r="HWC81" s="2567"/>
      <c r="HWD81" s="2567"/>
      <c r="HWE81" s="2567"/>
      <c r="HWF81" s="2567"/>
      <c r="HWG81" s="2567"/>
      <c r="HWH81" s="2567"/>
      <c r="HWI81" s="2567"/>
      <c r="HWJ81" s="2567"/>
      <c r="HWK81" s="2567"/>
      <c r="HWL81" s="2567"/>
      <c r="HWM81" s="2567"/>
      <c r="HWN81" s="2567"/>
      <c r="HWO81" s="2567"/>
      <c r="HWP81" s="2567"/>
      <c r="HWQ81" s="2567"/>
      <c r="HWR81" s="2567"/>
      <c r="HWS81" s="2567"/>
      <c r="HWT81" s="2567"/>
      <c r="HWU81" s="2567"/>
      <c r="HWV81" s="2567"/>
      <c r="HWW81" s="2567"/>
      <c r="HWX81" s="2567"/>
      <c r="HWY81" s="2567"/>
      <c r="HWZ81" s="2567"/>
      <c r="HXA81" s="2567"/>
      <c r="HXB81" s="2567"/>
      <c r="HXC81" s="2567"/>
      <c r="HXD81" s="2567"/>
      <c r="HXE81" s="2567"/>
      <c r="HXF81" s="2567"/>
      <c r="HXG81" s="2567"/>
      <c r="HXH81" s="2567"/>
      <c r="HXI81" s="2567"/>
      <c r="HXJ81" s="2567"/>
      <c r="HXK81" s="2567"/>
      <c r="HXL81" s="2567"/>
      <c r="HXM81" s="2567"/>
      <c r="HXN81" s="2567"/>
      <c r="HXO81" s="2567"/>
      <c r="HXP81" s="2567"/>
      <c r="HXQ81" s="2567"/>
      <c r="HXR81" s="2567"/>
      <c r="HXS81" s="2567"/>
      <c r="HXT81" s="2567"/>
      <c r="HXU81" s="2567"/>
      <c r="HXV81" s="2567"/>
      <c r="HXW81" s="2567"/>
      <c r="HXX81" s="2567"/>
      <c r="HXY81" s="2567"/>
      <c r="HXZ81" s="2567"/>
      <c r="HYA81" s="2567"/>
      <c r="HYB81" s="2567"/>
      <c r="HYC81" s="2567"/>
      <c r="HYD81" s="2567"/>
      <c r="HYE81" s="2567"/>
      <c r="HYF81" s="2567"/>
      <c r="HYG81" s="2567"/>
      <c r="HYH81" s="2567"/>
      <c r="HYI81" s="2567"/>
      <c r="HYJ81" s="2567"/>
      <c r="HYK81" s="2567"/>
      <c r="HYL81" s="2567"/>
      <c r="HYM81" s="2567"/>
      <c r="HYN81" s="2567"/>
      <c r="HYO81" s="2567"/>
      <c r="HYP81" s="2567"/>
      <c r="HYQ81" s="2567"/>
      <c r="HYR81" s="2567"/>
      <c r="HYS81" s="2567"/>
      <c r="HYT81" s="2567"/>
      <c r="HYU81" s="2567"/>
      <c r="HYV81" s="2567"/>
      <c r="HYW81" s="2567"/>
      <c r="HYX81" s="2567"/>
      <c r="HYY81" s="2567"/>
      <c r="HYZ81" s="2567"/>
      <c r="HZA81" s="2567"/>
      <c r="HZB81" s="2567"/>
      <c r="HZC81" s="2567"/>
      <c r="HZD81" s="2567"/>
      <c r="HZE81" s="2567"/>
      <c r="HZF81" s="2567"/>
      <c r="HZG81" s="2567"/>
      <c r="HZH81" s="2567"/>
      <c r="HZI81" s="2567"/>
      <c r="HZJ81" s="2567"/>
      <c r="HZK81" s="2567"/>
      <c r="HZL81" s="2567"/>
      <c r="HZM81" s="2567"/>
      <c r="HZN81" s="2567"/>
      <c r="HZO81" s="2567"/>
      <c r="HZP81" s="2567"/>
      <c r="HZQ81" s="2567"/>
      <c r="HZR81" s="2567"/>
      <c r="HZS81" s="2567"/>
      <c r="HZT81" s="2567"/>
      <c r="HZU81" s="2567"/>
      <c r="HZV81" s="2567"/>
      <c r="HZW81" s="2567"/>
      <c r="HZX81" s="2567"/>
      <c r="HZY81" s="2567"/>
      <c r="HZZ81" s="2567"/>
      <c r="IAA81" s="2567"/>
      <c r="IAB81" s="2567"/>
      <c r="IAC81" s="2567"/>
      <c r="IAD81" s="2567"/>
      <c r="IAE81" s="2567"/>
      <c r="IAF81" s="2567"/>
      <c r="IAG81" s="2567"/>
      <c r="IAH81" s="2567"/>
      <c r="IAI81" s="2567"/>
      <c r="IAJ81" s="2567"/>
      <c r="IAK81" s="2567"/>
      <c r="IAL81" s="2567"/>
      <c r="IAM81" s="2567"/>
      <c r="IAN81" s="2567"/>
      <c r="IAO81" s="2567"/>
      <c r="IAP81" s="2567"/>
      <c r="IAQ81" s="2567"/>
      <c r="IAR81" s="2567"/>
      <c r="IAS81" s="2567"/>
      <c r="IAT81" s="2567"/>
      <c r="IAU81" s="2567"/>
      <c r="IAV81" s="2567"/>
      <c r="IAW81" s="2567"/>
      <c r="IAX81" s="2567"/>
      <c r="IAY81" s="2567"/>
      <c r="IAZ81" s="2567"/>
      <c r="IBA81" s="2567"/>
      <c r="IBB81" s="2567"/>
      <c r="IBC81" s="2567"/>
      <c r="IBD81" s="2567"/>
      <c r="IBE81" s="2567"/>
      <c r="IBF81" s="2567"/>
      <c r="IBG81" s="2567"/>
      <c r="IBH81" s="2567"/>
      <c r="IBI81" s="2567"/>
      <c r="IBJ81" s="2567"/>
      <c r="IBK81" s="2567"/>
      <c r="IBL81" s="2567"/>
      <c r="IBM81" s="2567"/>
      <c r="IBN81" s="2567"/>
      <c r="IBO81" s="2567"/>
      <c r="IBP81" s="2567"/>
      <c r="IBQ81" s="2567"/>
      <c r="IBR81" s="2567"/>
      <c r="IBS81" s="2567"/>
      <c r="IBT81" s="2567"/>
      <c r="IBU81" s="2567"/>
      <c r="IBV81" s="2567"/>
      <c r="IBW81" s="2567"/>
      <c r="IBX81" s="2567"/>
      <c r="IBY81" s="2567"/>
      <c r="IBZ81" s="2567"/>
      <c r="ICA81" s="2567"/>
      <c r="ICB81" s="2567"/>
      <c r="ICC81" s="2567"/>
      <c r="ICD81" s="2567"/>
      <c r="ICE81" s="2567"/>
      <c r="ICF81" s="2567"/>
      <c r="ICG81" s="2567"/>
      <c r="ICH81" s="2567"/>
      <c r="ICI81" s="2567"/>
      <c r="ICJ81" s="2567"/>
      <c r="ICK81" s="2567"/>
      <c r="ICL81" s="2567"/>
      <c r="ICM81" s="2567"/>
      <c r="ICN81" s="2567"/>
      <c r="ICO81" s="2567"/>
      <c r="ICP81" s="2567"/>
      <c r="ICQ81" s="2567"/>
      <c r="ICR81" s="2567"/>
      <c r="ICS81" s="2567"/>
      <c r="ICT81" s="2567"/>
      <c r="ICU81" s="2567"/>
      <c r="ICV81" s="2567"/>
      <c r="ICW81" s="2567"/>
      <c r="ICX81" s="2567"/>
      <c r="ICY81" s="2567"/>
      <c r="ICZ81" s="2567"/>
      <c r="IDA81" s="2567"/>
      <c r="IDB81" s="2567"/>
      <c r="IDC81" s="2567"/>
      <c r="IDD81" s="2567"/>
      <c r="IDE81" s="2567"/>
      <c r="IDF81" s="2567"/>
      <c r="IDG81" s="2567"/>
      <c r="IDH81" s="2567"/>
      <c r="IDI81" s="2567"/>
      <c r="IDJ81" s="2567"/>
      <c r="IDK81" s="2567"/>
      <c r="IDL81" s="2567"/>
      <c r="IDM81" s="2567"/>
      <c r="IDN81" s="2567"/>
      <c r="IDO81" s="2567"/>
      <c r="IDP81" s="2567"/>
      <c r="IDQ81" s="2567"/>
      <c r="IDR81" s="2567"/>
      <c r="IDS81" s="2567"/>
      <c r="IDT81" s="2567"/>
      <c r="IDU81" s="2567"/>
      <c r="IDV81" s="2567"/>
      <c r="IDW81" s="2567"/>
      <c r="IDX81" s="2567"/>
      <c r="IDY81" s="2567"/>
      <c r="IDZ81" s="2567"/>
      <c r="IEA81" s="2567"/>
      <c r="IEB81" s="2567"/>
      <c r="IEC81" s="2567"/>
      <c r="IED81" s="2567"/>
      <c r="IEE81" s="2567"/>
      <c r="IEF81" s="2567"/>
      <c r="IEG81" s="2567"/>
      <c r="IEH81" s="2567"/>
      <c r="IEI81" s="2567"/>
      <c r="IEJ81" s="2567"/>
      <c r="IEK81" s="2567"/>
      <c r="IEL81" s="2567"/>
      <c r="IEM81" s="2567"/>
      <c r="IEN81" s="2567"/>
      <c r="IEO81" s="2567"/>
      <c r="IEP81" s="2567"/>
      <c r="IEQ81" s="2567"/>
      <c r="IER81" s="2567"/>
      <c r="IES81" s="2567"/>
      <c r="IET81" s="2567"/>
      <c r="IEU81" s="2567"/>
      <c r="IEV81" s="2567"/>
      <c r="IEW81" s="2567"/>
      <c r="IEX81" s="2567"/>
      <c r="IEY81" s="2567"/>
      <c r="IEZ81" s="2567"/>
      <c r="IFA81" s="2567"/>
      <c r="IFB81" s="2567"/>
      <c r="IFC81" s="2567"/>
      <c r="IFD81" s="2567"/>
      <c r="IFE81" s="2567"/>
      <c r="IFF81" s="2567"/>
      <c r="IFG81" s="2567"/>
      <c r="IFH81" s="2567"/>
      <c r="IFI81" s="2567"/>
      <c r="IFJ81" s="2567"/>
      <c r="IFK81" s="2567"/>
      <c r="IFL81" s="2567"/>
      <c r="IFM81" s="2567"/>
      <c r="IFN81" s="2567"/>
      <c r="IFO81" s="2567"/>
      <c r="IFP81" s="2567"/>
      <c r="IFQ81" s="2567"/>
      <c r="IFR81" s="2567"/>
      <c r="IFS81" s="2567"/>
      <c r="IFT81" s="2567"/>
      <c r="IFU81" s="2567"/>
      <c r="IFV81" s="2567"/>
      <c r="IFW81" s="2567"/>
      <c r="IFX81" s="2567"/>
      <c r="IFY81" s="2567"/>
      <c r="IFZ81" s="2567"/>
      <c r="IGA81" s="2567"/>
      <c r="IGB81" s="2567"/>
      <c r="IGC81" s="2567"/>
      <c r="IGD81" s="2567"/>
      <c r="IGE81" s="2567"/>
      <c r="IGF81" s="2567"/>
      <c r="IGG81" s="2567"/>
      <c r="IGH81" s="2567"/>
      <c r="IGI81" s="2567"/>
      <c r="IGJ81" s="2567"/>
      <c r="IGK81" s="2567"/>
      <c r="IGL81" s="2567"/>
      <c r="IGM81" s="2567"/>
      <c r="IGN81" s="2567"/>
      <c r="IGO81" s="2567"/>
      <c r="IGP81" s="2567"/>
      <c r="IGQ81" s="2567"/>
      <c r="IGR81" s="2567"/>
      <c r="IGS81" s="2567"/>
      <c r="IGT81" s="2567"/>
      <c r="IGU81" s="2567"/>
      <c r="IGV81" s="2567"/>
      <c r="IGW81" s="2567"/>
      <c r="IGX81" s="2567"/>
      <c r="IGY81" s="2567"/>
      <c r="IGZ81" s="2567"/>
      <c r="IHA81" s="2567"/>
      <c r="IHB81" s="2567"/>
      <c r="IHC81" s="2567"/>
      <c r="IHD81" s="2567"/>
      <c r="IHE81" s="2567"/>
      <c r="IHF81" s="2567"/>
      <c r="IHG81" s="2567"/>
      <c r="IHH81" s="2567"/>
      <c r="IHI81" s="2567"/>
      <c r="IHJ81" s="2567"/>
      <c r="IHK81" s="2567"/>
      <c r="IHL81" s="2567"/>
      <c r="IHM81" s="2567"/>
      <c r="IHN81" s="2567"/>
      <c r="IHO81" s="2567"/>
      <c r="IHP81" s="2567"/>
      <c r="IHQ81" s="2567"/>
      <c r="IHR81" s="2567"/>
      <c r="IHS81" s="2567"/>
      <c r="IHT81" s="2567"/>
      <c r="IHU81" s="2567"/>
      <c r="IHV81" s="2567"/>
      <c r="IHW81" s="2567"/>
      <c r="IHX81" s="2567"/>
      <c r="IHY81" s="2567"/>
      <c r="IHZ81" s="2567"/>
      <c r="IIA81" s="2567"/>
      <c r="IIB81" s="2567"/>
      <c r="IIC81" s="2567"/>
      <c r="IID81" s="2567"/>
      <c r="IIE81" s="2567"/>
      <c r="IIF81" s="2567"/>
      <c r="IIG81" s="2567"/>
      <c r="IIH81" s="2567"/>
      <c r="III81" s="2567"/>
      <c r="IIJ81" s="2567"/>
      <c r="IIK81" s="2567"/>
      <c r="IIL81" s="2567"/>
      <c r="IIM81" s="2567"/>
      <c r="IIN81" s="2567"/>
      <c r="IIO81" s="2567"/>
      <c r="IIP81" s="2567"/>
      <c r="IIQ81" s="2567"/>
      <c r="IIR81" s="2567"/>
      <c r="IIS81" s="2567"/>
      <c r="IIT81" s="2567"/>
      <c r="IIU81" s="2567"/>
      <c r="IIV81" s="2567"/>
      <c r="IIW81" s="2567"/>
      <c r="IIX81" s="2567"/>
      <c r="IIY81" s="2567"/>
      <c r="IIZ81" s="2567"/>
      <c r="IJA81" s="2567"/>
      <c r="IJB81" s="2567"/>
      <c r="IJC81" s="2567"/>
      <c r="IJD81" s="2567"/>
      <c r="IJE81" s="2567"/>
      <c r="IJF81" s="2567"/>
      <c r="IJG81" s="2567"/>
      <c r="IJH81" s="2567"/>
      <c r="IJI81" s="2567"/>
      <c r="IJJ81" s="2567"/>
      <c r="IJK81" s="2567"/>
      <c r="IJL81" s="2567"/>
      <c r="IJM81" s="2567"/>
      <c r="IJN81" s="2567"/>
      <c r="IJO81" s="2567"/>
      <c r="IJP81" s="2567"/>
      <c r="IJQ81" s="2567"/>
      <c r="IJR81" s="2567"/>
      <c r="IJS81" s="2567"/>
      <c r="IJT81" s="2567"/>
      <c r="IJU81" s="2567"/>
      <c r="IJV81" s="2567"/>
      <c r="IJW81" s="2567"/>
      <c r="IJX81" s="2567"/>
      <c r="IJY81" s="2567"/>
      <c r="IJZ81" s="2567"/>
      <c r="IKA81" s="2567"/>
      <c r="IKB81" s="2567"/>
      <c r="IKC81" s="2567"/>
      <c r="IKD81" s="2567"/>
      <c r="IKE81" s="2567"/>
      <c r="IKF81" s="2567"/>
      <c r="IKG81" s="2567"/>
      <c r="IKH81" s="2567"/>
      <c r="IKI81" s="2567"/>
      <c r="IKJ81" s="2567"/>
      <c r="IKK81" s="2567"/>
      <c r="IKL81" s="2567"/>
      <c r="IKM81" s="2567"/>
      <c r="IKN81" s="2567"/>
      <c r="IKO81" s="2567"/>
      <c r="IKP81" s="2567"/>
      <c r="IKQ81" s="2567"/>
      <c r="IKR81" s="2567"/>
      <c r="IKS81" s="2567"/>
      <c r="IKT81" s="2567"/>
      <c r="IKU81" s="2567"/>
      <c r="IKV81" s="2567"/>
      <c r="IKW81" s="2567"/>
      <c r="IKX81" s="2567"/>
      <c r="IKY81" s="2567"/>
      <c r="IKZ81" s="2567"/>
      <c r="ILA81" s="2567"/>
      <c r="ILB81" s="2567"/>
      <c r="ILC81" s="2567"/>
      <c r="ILD81" s="2567"/>
      <c r="ILE81" s="2567"/>
      <c r="ILF81" s="2567"/>
      <c r="ILG81" s="2567"/>
      <c r="ILH81" s="2567"/>
      <c r="ILI81" s="2567"/>
      <c r="ILJ81" s="2567"/>
      <c r="ILK81" s="2567"/>
      <c r="ILL81" s="2567"/>
      <c r="ILM81" s="2567"/>
      <c r="ILN81" s="2567"/>
      <c r="ILO81" s="2567"/>
      <c r="ILP81" s="2567"/>
      <c r="ILQ81" s="2567"/>
      <c r="ILR81" s="2567"/>
      <c r="ILS81" s="2567"/>
      <c r="ILT81" s="2567"/>
      <c r="ILU81" s="2567"/>
      <c r="ILV81" s="2567"/>
      <c r="ILW81" s="2567"/>
      <c r="ILX81" s="2567"/>
      <c r="ILY81" s="2567"/>
      <c r="ILZ81" s="2567"/>
      <c r="IMA81" s="2567"/>
      <c r="IMB81" s="2567"/>
      <c r="IMC81" s="2567"/>
      <c r="IMD81" s="2567"/>
      <c r="IME81" s="2567"/>
      <c r="IMF81" s="2567"/>
      <c r="IMG81" s="2567"/>
      <c r="IMH81" s="2567"/>
      <c r="IMI81" s="2567"/>
      <c r="IMJ81" s="2567"/>
      <c r="IMK81" s="2567"/>
      <c r="IML81" s="2567"/>
      <c r="IMM81" s="2567"/>
      <c r="IMN81" s="2567"/>
      <c r="IMO81" s="2567"/>
      <c r="IMP81" s="2567"/>
      <c r="IMQ81" s="2567"/>
      <c r="IMR81" s="2567"/>
      <c r="IMS81" s="2567"/>
      <c r="IMT81" s="2567"/>
      <c r="IMU81" s="2567"/>
      <c r="IMV81" s="2567"/>
      <c r="IMW81" s="2567"/>
      <c r="IMX81" s="2567"/>
      <c r="IMY81" s="2567"/>
      <c r="IMZ81" s="2567"/>
      <c r="INA81" s="2567"/>
      <c r="INB81" s="2567"/>
      <c r="INC81" s="2567"/>
      <c r="IND81" s="2567"/>
      <c r="INE81" s="2567"/>
      <c r="INF81" s="2567"/>
      <c r="ING81" s="2567"/>
      <c r="INH81" s="2567"/>
      <c r="INI81" s="2567"/>
      <c r="INJ81" s="2567"/>
      <c r="INK81" s="2567"/>
      <c r="INL81" s="2567"/>
      <c r="INM81" s="2567"/>
      <c r="INN81" s="2567"/>
      <c r="INO81" s="2567"/>
      <c r="INP81" s="2567"/>
      <c r="INQ81" s="2567"/>
      <c r="INR81" s="2567"/>
      <c r="INS81" s="2567"/>
      <c r="INT81" s="2567"/>
      <c r="INU81" s="2567"/>
      <c r="INV81" s="2567"/>
      <c r="INW81" s="2567"/>
      <c r="INX81" s="2567"/>
      <c r="INY81" s="2567"/>
      <c r="INZ81" s="2567"/>
      <c r="IOA81" s="2567"/>
      <c r="IOB81" s="2567"/>
      <c r="IOC81" s="2567"/>
      <c r="IOD81" s="2567"/>
      <c r="IOE81" s="2567"/>
      <c r="IOF81" s="2567"/>
      <c r="IOG81" s="2567"/>
      <c r="IOH81" s="2567"/>
      <c r="IOI81" s="2567"/>
      <c r="IOJ81" s="2567"/>
      <c r="IOK81" s="2567"/>
      <c r="IOL81" s="2567"/>
      <c r="IOM81" s="2567"/>
      <c r="ION81" s="2567"/>
      <c r="IOO81" s="2567"/>
      <c r="IOP81" s="2567"/>
      <c r="IOQ81" s="2567"/>
      <c r="IOR81" s="2567"/>
      <c r="IOS81" s="2567"/>
      <c r="IOT81" s="2567"/>
      <c r="IOU81" s="2567"/>
      <c r="IOV81" s="2567"/>
      <c r="IOW81" s="2567"/>
      <c r="IOX81" s="2567"/>
      <c r="IOY81" s="2567"/>
      <c r="IOZ81" s="2567"/>
      <c r="IPA81" s="2567"/>
      <c r="IPB81" s="2567"/>
      <c r="IPC81" s="2567"/>
      <c r="IPD81" s="2567"/>
      <c r="IPE81" s="2567"/>
      <c r="IPF81" s="2567"/>
      <c r="IPG81" s="2567"/>
      <c r="IPH81" s="2567"/>
      <c r="IPI81" s="2567"/>
      <c r="IPJ81" s="2567"/>
      <c r="IPK81" s="2567"/>
      <c r="IPL81" s="2567"/>
      <c r="IPM81" s="2567"/>
      <c r="IPN81" s="2567"/>
      <c r="IPO81" s="2567"/>
      <c r="IPP81" s="2567"/>
      <c r="IPQ81" s="2567"/>
      <c r="IPR81" s="2567"/>
      <c r="IPS81" s="2567"/>
      <c r="IPT81" s="2567"/>
      <c r="IPU81" s="2567"/>
      <c r="IPV81" s="2567"/>
      <c r="IPW81" s="2567"/>
      <c r="IPX81" s="2567"/>
      <c r="IPY81" s="2567"/>
      <c r="IPZ81" s="2567"/>
      <c r="IQA81" s="2567"/>
      <c r="IQB81" s="2567"/>
      <c r="IQC81" s="2567"/>
      <c r="IQD81" s="2567"/>
      <c r="IQE81" s="2567"/>
      <c r="IQF81" s="2567"/>
      <c r="IQG81" s="2567"/>
      <c r="IQH81" s="2567"/>
      <c r="IQI81" s="2567"/>
      <c r="IQJ81" s="2567"/>
      <c r="IQK81" s="2567"/>
      <c r="IQL81" s="2567"/>
      <c r="IQM81" s="2567"/>
      <c r="IQN81" s="2567"/>
      <c r="IQO81" s="2567"/>
      <c r="IQP81" s="2567"/>
      <c r="IQQ81" s="2567"/>
      <c r="IQR81" s="2567"/>
      <c r="IQS81" s="2567"/>
      <c r="IQT81" s="2567"/>
      <c r="IQU81" s="2567"/>
      <c r="IQV81" s="2567"/>
      <c r="IQW81" s="2567"/>
      <c r="IQX81" s="2567"/>
      <c r="IQY81" s="2567"/>
      <c r="IQZ81" s="2567"/>
      <c r="IRA81" s="2567"/>
      <c r="IRB81" s="2567"/>
      <c r="IRC81" s="2567"/>
      <c r="IRD81" s="2567"/>
      <c r="IRE81" s="2567"/>
      <c r="IRF81" s="2567"/>
      <c r="IRG81" s="2567"/>
      <c r="IRH81" s="2567"/>
      <c r="IRI81" s="2567"/>
      <c r="IRJ81" s="2567"/>
      <c r="IRK81" s="2567"/>
      <c r="IRL81" s="2567"/>
      <c r="IRM81" s="2567"/>
      <c r="IRN81" s="2567"/>
      <c r="IRO81" s="2567"/>
      <c r="IRP81" s="2567"/>
      <c r="IRQ81" s="2567"/>
      <c r="IRR81" s="2567"/>
      <c r="IRS81" s="2567"/>
      <c r="IRT81" s="2567"/>
      <c r="IRU81" s="2567"/>
      <c r="IRV81" s="2567"/>
      <c r="IRW81" s="2567"/>
      <c r="IRX81" s="2567"/>
      <c r="IRY81" s="2567"/>
      <c r="IRZ81" s="2567"/>
      <c r="ISA81" s="2567"/>
      <c r="ISB81" s="2567"/>
      <c r="ISC81" s="2567"/>
      <c r="ISD81" s="2567"/>
      <c r="ISE81" s="2567"/>
      <c r="ISF81" s="2567"/>
      <c r="ISG81" s="2567"/>
      <c r="ISH81" s="2567"/>
      <c r="ISI81" s="2567"/>
      <c r="ISJ81" s="2567"/>
      <c r="ISK81" s="2567"/>
      <c r="ISL81" s="2567"/>
      <c r="ISM81" s="2567"/>
      <c r="ISN81" s="2567"/>
      <c r="ISO81" s="2567"/>
      <c r="ISP81" s="2567"/>
      <c r="ISQ81" s="2567"/>
      <c r="ISR81" s="2567"/>
      <c r="ISS81" s="2567"/>
      <c r="IST81" s="2567"/>
      <c r="ISU81" s="2567"/>
      <c r="ISV81" s="2567"/>
      <c r="ISW81" s="2567"/>
      <c r="ISX81" s="2567"/>
      <c r="ISY81" s="2567"/>
      <c r="ISZ81" s="2567"/>
      <c r="ITA81" s="2567"/>
      <c r="ITB81" s="2567"/>
      <c r="ITC81" s="2567"/>
      <c r="ITD81" s="2567"/>
      <c r="ITE81" s="2567"/>
      <c r="ITF81" s="2567"/>
      <c r="ITG81" s="2567"/>
      <c r="ITH81" s="2567"/>
      <c r="ITI81" s="2567"/>
      <c r="ITJ81" s="2567"/>
      <c r="ITK81" s="2567"/>
      <c r="ITL81" s="2567"/>
      <c r="ITM81" s="2567"/>
      <c r="ITN81" s="2567"/>
      <c r="ITO81" s="2567"/>
      <c r="ITP81" s="2567"/>
      <c r="ITQ81" s="2567"/>
      <c r="ITR81" s="2567"/>
      <c r="ITS81" s="2567"/>
      <c r="ITT81" s="2567"/>
      <c r="ITU81" s="2567"/>
      <c r="ITV81" s="2567"/>
      <c r="ITW81" s="2567"/>
      <c r="ITX81" s="2567"/>
      <c r="ITY81" s="2567"/>
      <c r="ITZ81" s="2567"/>
      <c r="IUA81" s="2567"/>
      <c r="IUB81" s="2567"/>
      <c r="IUC81" s="2567"/>
      <c r="IUD81" s="2567"/>
      <c r="IUE81" s="2567"/>
      <c r="IUF81" s="2567"/>
      <c r="IUG81" s="2567"/>
      <c r="IUH81" s="2567"/>
      <c r="IUI81" s="2567"/>
      <c r="IUJ81" s="2567"/>
      <c r="IUK81" s="2567"/>
      <c r="IUL81" s="2567"/>
      <c r="IUM81" s="2567"/>
      <c r="IUN81" s="2567"/>
      <c r="IUO81" s="2567"/>
      <c r="IUP81" s="2567"/>
      <c r="IUQ81" s="2567"/>
      <c r="IUR81" s="2567"/>
      <c r="IUS81" s="2567"/>
      <c r="IUT81" s="2567"/>
      <c r="IUU81" s="2567"/>
      <c r="IUV81" s="2567"/>
      <c r="IUW81" s="2567"/>
      <c r="IUX81" s="2567"/>
      <c r="IUY81" s="2567"/>
      <c r="IUZ81" s="2567"/>
      <c r="IVA81" s="2567"/>
      <c r="IVB81" s="2567"/>
      <c r="IVC81" s="2567"/>
      <c r="IVD81" s="2567"/>
      <c r="IVE81" s="2567"/>
      <c r="IVF81" s="2567"/>
      <c r="IVG81" s="2567"/>
      <c r="IVH81" s="2567"/>
      <c r="IVI81" s="2567"/>
      <c r="IVJ81" s="2567"/>
      <c r="IVK81" s="2567"/>
      <c r="IVL81" s="2567"/>
      <c r="IVM81" s="2567"/>
      <c r="IVN81" s="2567"/>
      <c r="IVO81" s="2567"/>
      <c r="IVP81" s="2567"/>
      <c r="IVQ81" s="2567"/>
      <c r="IVR81" s="2567"/>
      <c r="IVS81" s="2567"/>
      <c r="IVT81" s="2567"/>
      <c r="IVU81" s="2567"/>
      <c r="IVV81" s="2567"/>
      <c r="IVW81" s="2567"/>
      <c r="IVX81" s="2567"/>
      <c r="IVY81" s="2567"/>
      <c r="IVZ81" s="2567"/>
      <c r="IWA81" s="2567"/>
      <c r="IWB81" s="2567"/>
      <c r="IWC81" s="2567"/>
      <c r="IWD81" s="2567"/>
      <c r="IWE81" s="2567"/>
      <c r="IWF81" s="2567"/>
      <c r="IWG81" s="2567"/>
      <c r="IWH81" s="2567"/>
      <c r="IWI81" s="2567"/>
      <c r="IWJ81" s="2567"/>
      <c r="IWK81" s="2567"/>
      <c r="IWL81" s="2567"/>
      <c r="IWM81" s="2567"/>
      <c r="IWN81" s="2567"/>
      <c r="IWO81" s="2567"/>
      <c r="IWP81" s="2567"/>
      <c r="IWQ81" s="2567"/>
      <c r="IWR81" s="2567"/>
      <c r="IWS81" s="2567"/>
      <c r="IWT81" s="2567"/>
      <c r="IWU81" s="2567"/>
      <c r="IWV81" s="2567"/>
      <c r="IWW81" s="2567"/>
      <c r="IWX81" s="2567"/>
      <c r="IWY81" s="2567"/>
      <c r="IWZ81" s="2567"/>
      <c r="IXA81" s="2567"/>
      <c r="IXB81" s="2567"/>
      <c r="IXC81" s="2567"/>
      <c r="IXD81" s="2567"/>
      <c r="IXE81" s="2567"/>
      <c r="IXF81" s="2567"/>
      <c r="IXG81" s="2567"/>
      <c r="IXH81" s="2567"/>
      <c r="IXI81" s="2567"/>
      <c r="IXJ81" s="2567"/>
      <c r="IXK81" s="2567"/>
      <c r="IXL81" s="2567"/>
      <c r="IXM81" s="2567"/>
      <c r="IXN81" s="2567"/>
      <c r="IXO81" s="2567"/>
      <c r="IXP81" s="2567"/>
      <c r="IXQ81" s="2567"/>
      <c r="IXR81" s="2567"/>
      <c r="IXS81" s="2567"/>
      <c r="IXT81" s="2567"/>
      <c r="IXU81" s="2567"/>
      <c r="IXV81" s="2567"/>
      <c r="IXW81" s="2567"/>
      <c r="IXX81" s="2567"/>
      <c r="IXY81" s="2567"/>
      <c r="IXZ81" s="2567"/>
      <c r="IYA81" s="2567"/>
      <c r="IYB81" s="2567"/>
      <c r="IYC81" s="2567"/>
      <c r="IYD81" s="2567"/>
      <c r="IYE81" s="2567"/>
      <c r="IYF81" s="2567"/>
      <c r="IYG81" s="2567"/>
      <c r="IYH81" s="2567"/>
      <c r="IYI81" s="2567"/>
      <c r="IYJ81" s="2567"/>
      <c r="IYK81" s="2567"/>
      <c r="IYL81" s="2567"/>
      <c r="IYM81" s="2567"/>
      <c r="IYN81" s="2567"/>
      <c r="IYO81" s="2567"/>
      <c r="IYP81" s="2567"/>
      <c r="IYQ81" s="2567"/>
      <c r="IYR81" s="2567"/>
      <c r="IYS81" s="2567"/>
      <c r="IYT81" s="2567"/>
      <c r="IYU81" s="2567"/>
      <c r="IYV81" s="2567"/>
      <c r="IYW81" s="2567"/>
      <c r="IYX81" s="2567"/>
      <c r="IYY81" s="2567"/>
      <c r="IYZ81" s="2567"/>
      <c r="IZA81" s="2567"/>
      <c r="IZB81" s="2567"/>
      <c r="IZC81" s="2567"/>
      <c r="IZD81" s="2567"/>
      <c r="IZE81" s="2567"/>
      <c r="IZF81" s="2567"/>
      <c r="IZG81" s="2567"/>
      <c r="IZH81" s="2567"/>
      <c r="IZI81" s="2567"/>
      <c r="IZJ81" s="2567"/>
      <c r="IZK81" s="2567"/>
      <c r="IZL81" s="2567"/>
      <c r="IZM81" s="2567"/>
      <c r="IZN81" s="2567"/>
      <c r="IZO81" s="2567"/>
      <c r="IZP81" s="2567"/>
      <c r="IZQ81" s="2567"/>
      <c r="IZR81" s="2567"/>
      <c r="IZS81" s="2567"/>
      <c r="IZT81" s="2567"/>
      <c r="IZU81" s="2567"/>
      <c r="IZV81" s="2567"/>
      <c r="IZW81" s="2567"/>
      <c r="IZX81" s="2567"/>
      <c r="IZY81" s="2567"/>
      <c r="IZZ81" s="2567"/>
      <c r="JAA81" s="2567"/>
      <c r="JAB81" s="2567"/>
      <c r="JAC81" s="2567"/>
      <c r="JAD81" s="2567"/>
      <c r="JAE81" s="2567"/>
      <c r="JAF81" s="2567"/>
      <c r="JAG81" s="2567"/>
      <c r="JAH81" s="2567"/>
      <c r="JAI81" s="2567"/>
      <c r="JAJ81" s="2567"/>
      <c r="JAK81" s="2567"/>
      <c r="JAL81" s="2567"/>
      <c r="JAM81" s="2567"/>
      <c r="JAN81" s="2567"/>
      <c r="JAO81" s="2567"/>
      <c r="JAP81" s="2567"/>
      <c r="JAQ81" s="2567"/>
      <c r="JAR81" s="2567"/>
      <c r="JAS81" s="2567"/>
      <c r="JAT81" s="2567"/>
      <c r="JAU81" s="2567"/>
      <c r="JAV81" s="2567"/>
      <c r="JAW81" s="2567"/>
      <c r="JAX81" s="2567"/>
      <c r="JAY81" s="2567"/>
      <c r="JAZ81" s="2567"/>
      <c r="JBA81" s="2567"/>
      <c r="JBB81" s="2567"/>
      <c r="JBC81" s="2567"/>
      <c r="JBD81" s="2567"/>
      <c r="JBE81" s="2567"/>
      <c r="JBF81" s="2567"/>
      <c r="JBG81" s="2567"/>
      <c r="JBH81" s="2567"/>
      <c r="JBI81" s="2567"/>
      <c r="JBJ81" s="2567"/>
      <c r="JBK81" s="2567"/>
      <c r="JBL81" s="2567"/>
      <c r="JBM81" s="2567"/>
      <c r="JBN81" s="2567"/>
      <c r="JBO81" s="2567"/>
      <c r="JBP81" s="2567"/>
      <c r="JBQ81" s="2567"/>
      <c r="JBR81" s="2567"/>
      <c r="JBS81" s="2567"/>
      <c r="JBT81" s="2567"/>
      <c r="JBU81" s="2567"/>
      <c r="JBV81" s="2567"/>
      <c r="JBW81" s="2567"/>
      <c r="JBX81" s="2567"/>
      <c r="JBY81" s="2567"/>
      <c r="JBZ81" s="2567"/>
      <c r="JCA81" s="2567"/>
      <c r="JCB81" s="2567"/>
      <c r="JCC81" s="2567"/>
      <c r="JCD81" s="2567"/>
      <c r="JCE81" s="2567"/>
      <c r="JCF81" s="2567"/>
      <c r="JCG81" s="2567"/>
      <c r="JCH81" s="2567"/>
      <c r="JCI81" s="2567"/>
      <c r="JCJ81" s="2567"/>
      <c r="JCK81" s="2567"/>
      <c r="JCL81" s="2567"/>
      <c r="JCM81" s="2567"/>
      <c r="JCN81" s="2567"/>
      <c r="JCO81" s="2567"/>
      <c r="JCP81" s="2567"/>
      <c r="JCQ81" s="2567"/>
      <c r="JCR81" s="2567"/>
      <c r="JCS81" s="2567"/>
      <c r="JCT81" s="2567"/>
      <c r="JCU81" s="2567"/>
      <c r="JCV81" s="2567"/>
      <c r="JCW81" s="2567"/>
      <c r="JCX81" s="2567"/>
      <c r="JCY81" s="2567"/>
      <c r="JCZ81" s="2567"/>
      <c r="JDA81" s="2567"/>
      <c r="JDB81" s="2567"/>
      <c r="JDC81" s="2567"/>
      <c r="JDD81" s="2567"/>
      <c r="JDE81" s="2567"/>
      <c r="JDF81" s="2567"/>
      <c r="JDG81" s="2567"/>
      <c r="JDH81" s="2567"/>
      <c r="JDI81" s="2567"/>
      <c r="JDJ81" s="2567"/>
      <c r="JDK81" s="2567"/>
      <c r="JDL81" s="2567"/>
      <c r="JDM81" s="2567"/>
      <c r="JDN81" s="2567"/>
      <c r="JDO81" s="2567"/>
      <c r="JDP81" s="2567"/>
      <c r="JDQ81" s="2567"/>
      <c r="JDR81" s="2567"/>
      <c r="JDS81" s="2567"/>
      <c r="JDT81" s="2567"/>
      <c r="JDU81" s="2567"/>
      <c r="JDV81" s="2567"/>
      <c r="JDW81" s="2567"/>
      <c r="JDX81" s="2567"/>
      <c r="JDY81" s="2567"/>
      <c r="JDZ81" s="2567"/>
      <c r="JEA81" s="2567"/>
      <c r="JEB81" s="2567"/>
      <c r="JEC81" s="2567"/>
      <c r="JED81" s="2567"/>
      <c r="JEE81" s="2567"/>
      <c r="JEF81" s="2567"/>
      <c r="JEG81" s="2567"/>
      <c r="JEH81" s="2567"/>
      <c r="JEI81" s="2567"/>
      <c r="JEJ81" s="2567"/>
      <c r="JEK81" s="2567"/>
      <c r="JEL81" s="2567"/>
      <c r="JEM81" s="2567"/>
      <c r="JEN81" s="2567"/>
      <c r="JEO81" s="2567"/>
      <c r="JEP81" s="2567"/>
      <c r="JEQ81" s="2567"/>
      <c r="JER81" s="2567"/>
      <c r="JES81" s="2567"/>
      <c r="JET81" s="2567"/>
      <c r="JEU81" s="2567"/>
      <c r="JEV81" s="2567"/>
      <c r="JEW81" s="2567"/>
      <c r="JEX81" s="2567"/>
      <c r="JEY81" s="2567"/>
      <c r="JEZ81" s="2567"/>
      <c r="JFA81" s="2567"/>
      <c r="JFB81" s="2567"/>
      <c r="JFC81" s="2567"/>
      <c r="JFD81" s="2567"/>
      <c r="JFE81" s="2567"/>
      <c r="JFF81" s="2567"/>
      <c r="JFG81" s="2567"/>
      <c r="JFH81" s="2567"/>
      <c r="JFI81" s="2567"/>
      <c r="JFJ81" s="2567"/>
      <c r="JFK81" s="2567"/>
      <c r="JFL81" s="2567"/>
      <c r="JFM81" s="2567"/>
      <c r="JFN81" s="2567"/>
      <c r="JFO81" s="2567"/>
      <c r="JFP81" s="2567"/>
      <c r="JFQ81" s="2567"/>
      <c r="JFR81" s="2567"/>
      <c r="JFS81" s="2567"/>
      <c r="JFT81" s="2567"/>
      <c r="JFU81" s="2567"/>
      <c r="JFV81" s="2567"/>
      <c r="JFW81" s="2567"/>
      <c r="JFX81" s="2567"/>
      <c r="JFY81" s="2567"/>
      <c r="JFZ81" s="2567"/>
      <c r="JGA81" s="2567"/>
      <c r="JGB81" s="2567"/>
      <c r="JGC81" s="2567"/>
      <c r="JGD81" s="2567"/>
      <c r="JGE81" s="2567"/>
      <c r="JGF81" s="2567"/>
      <c r="JGG81" s="2567"/>
      <c r="JGH81" s="2567"/>
      <c r="JGI81" s="2567"/>
      <c r="JGJ81" s="2567"/>
      <c r="JGK81" s="2567"/>
      <c r="JGL81" s="2567"/>
      <c r="JGM81" s="2567"/>
      <c r="JGN81" s="2567"/>
      <c r="JGO81" s="2567"/>
      <c r="JGP81" s="2567"/>
      <c r="JGQ81" s="2567"/>
      <c r="JGR81" s="2567"/>
      <c r="JGS81" s="2567"/>
      <c r="JGT81" s="2567"/>
      <c r="JGU81" s="2567"/>
      <c r="JGV81" s="2567"/>
      <c r="JGW81" s="2567"/>
      <c r="JGX81" s="2567"/>
      <c r="JGY81" s="2567"/>
      <c r="JGZ81" s="2567"/>
      <c r="JHA81" s="2567"/>
      <c r="JHB81" s="2567"/>
      <c r="JHC81" s="2567"/>
      <c r="JHD81" s="2567"/>
      <c r="JHE81" s="2567"/>
      <c r="JHF81" s="2567"/>
      <c r="JHG81" s="2567"/>
      <c r="JHH81" s="2567"/>
      <c r="JHI81" s="2567"/>
      <c r="JHJ81" s="2567"/>
      <c r="JHK81" s="2567"/>
      <c r="JHL81" s="2567"/>
      <c r="JHM81" s="2567"/>
      <c r="JHN81" s="2567"/>
      <c r="JHO81" s="2567"/>
      <c r="JHP81" s="2567"/>
      <c r="JHQ81" s="2567"/>
      <c r="JHR81" s="2567"/>
      <c r="JHS81" s="2567"/>
      <c r="JHT81" s="2567"/>
      <c r="JHU81" s="2567"/>
      <c r="JHV81" s="2567"/>
      <c r="JHW81" s="2567"/>
      <c r="JHX81" s="2567"/>
      <c r="JHY81" s="2567"/>
      <c r="JHZ81" s="2567"/>
      <c r="JIA81" s="2567"/>
      <c r="JIB81" s="2567"/>
      <c r="JIC81" s="2567"/>
      <c r="JID81" s="2567"/>
      <c r="JIE81" s="2567"/>
      <c r="JIF81" s="2567"/>
      <c r="JIG81" s="2567"/>
      <c r="JIH81" s="2567"/>
      <c r="JII81" s="2567"/>
      <c r="JIJ81" s="2567"/>
      <c r="JIK81" s="2567"/>
      <c r="JIL81" s="2567"/>
      <c r="JIM81" s="2567"/>
      <c r="JIN81" s="2567"/>
      <c r="JIO81" s="2567"/>
      <c r="JIP81" s="2567"/>
      <c r="JIQ81" s="2567"/>
      <c r="JIR81" s="2567"/>
      <c r="JIS81" s="2567"/>
      <c r="JIT81" s="2567"/>
      <c r="JIU81" s="2567"/>
      <c r="JIV81" s="2567"/>
      <c r="JIW81" s="2567"/>
      <c r="JIX81" s="2567"/>
      <c r="JIY81" s="2567"/>
      <c r="JIZ81" s="2567"/>
      <c r="JJA81" s="2567"/>
      <c r="JJB81" s="2567"/>
      <c r="JJC81" s="2567"/>
      <c r="JJD81" s="2567"/>
      <c r="JJE81" s="2567"/>
      <c r="JJF81" s="2567"/>
      <c r="JJG81" s="2567"/>
      <c r="JJH81" s="2567"/>
      <c r="JJI81" s="2567"/>
      <c r="JJJ81" s="2567"/>
      <c r="JJK81" s="2567"/>
      <c r="JJL81" s="2567"/>
      <c r="JJM81" s="2567"/>
      <c r="JJN81" s="2567"/>
      <c r="JJO81" s="2567"/>
      <c r="JJP81" s="2567"/>
      <c r="JJQ81" s="2567"/>
      <c r="JJR81" s="2567"/>
      <c r="JJS81" s="2567"/>
      <c r="JJT81" s="2567"/>
      <c r="JJU81" s="2567"/>
      <c r="JJV81" s="2567"/>
      <c r="JJW81" s="2567"/>
      <c r="JJX81" s="2567"/>
      <c r="JJY81" s="2567"/>
      <c r="JJZ81" s="2567"/>
      <c r="JKA81" s="2567"/>
      <c r="JKB81" s="2567"/>
      <c r="JKC81" s="2567"/>
      <c r="JKD81" s="2567"/>
      <c r="JKE81" s="2567"/>
      <c r="JKF81" s="2567"/>
      <c r="JKG81" s="2567"/>
      <c r="JKH81" s="2567"/>
      <c r="JKI81" s="2567"/>
      <c r="JKJ81" s="2567"/>
      <c r="JKK81" s="2567"/>
      <c r="JKL81" s="2567"/>
      <c r="JKM81" s="2567"/>
      <c r="JKN81" s="2567"/>
      <c r="JKO81" s="2567"/>
      <c r="JKP81" s="2567"/>
      <c r="JKQ81" s="2567"/>
      <c r="JKR81" s="2567"/>
      <c r="JKS81" s="2567"/>
      <c r="JKT81" s="2567"/>
      <c r="JKU81" s="2567"/>
      <c r="JKV81" s="2567"/>
      <c r="JKW81" s="2567"/>
      <c r="JKX81" s="2567"/>
      <c r="JKY81" s="2567"/>
      <c r="JKZ81" s="2567"/>
      <c r="JLA81" s="2567"/>
      <c r="JLB81" s="2567"/>
      <c r="JLC81" s="2567"/>
      <c r="JLD81" s="2567"/>
      <c r="JLE81" s="2567"/>
      <c r="JLF81" s="2567"/>
      <c r="JLG81" s="2567"/>
      <c r="JLH81" s="2567"/>
      <c r="JLI81" s="2567"/>
      <c r="JLJ81" s="2567"/>
      <c r="JLK81" s="2567"/>
      <c r="JLL81" s="2567"/>
      <c r="JLM81" s="2567"/>
      <c r="JLN81" s="2567"/>
      <c r="JLO81" s="2567"/>
      <c r="JLP81" s="2567"/>
      <c r="JLQ81" s="2567"/>
      <c r="JLR81" s="2567"/>
      <c r="JLS81" s="2567"/>
      <c r="JLT81" s="2567"/>
      <c r="JLU81" s="2567"/>
      <c r="JLV81" s="2567"/>
      <c r="JLW81" s="2567"/>
      <c r="JLX81" s="2567"/>
      <c r="JLY81" s="2567"/>
      <c r="JLZ81" s="2567"/>
      <c r="JMA81" s="2567"/>
      <c r="JMB81" s="2567"/>
      <c r="JMC81" s="2567"/>
      <c r="JMD81" s="2567"/>
      <c r="JME81" s="2567"/>
      <c r="JMF81" s="2567"/>
      <c r="JMG81" s="2567"/>
      <c r="JMH81" s="2567"/>
      <c r="JMI81" s="2567"/>
      <c r="JMJ81" s="2567"/>
      <c r="JMK81" s="2567"/>
      <c r="JML81" s="2567"/>
      <c r="JMM81" s="2567"/>
      <c r="JMN81" s="2567"/>
      <c r="JMO81" s="2567"/>
      <c r="JMP81" s="2567"/>
      <c r="JMQ81" s="2567"/>
      <c r="JMR81" s="2567"/>
      <c r="JMS81" s="2567"/>
      <c r="JMT81" s="2567"/>
      <c r="JMU81" s="2567"/>
      <c r="JMV81" s="2567"/>
      <c r="JMW81" s="2567"/>
      <c r="JMX81" s="2567"/>
      <c r="JMY81" s="2567"/>
      <c r="JMZ81" s="2567"/>
      <c r="JNA81" s="2567"/>
      <c r="JNB81" s="2567"/>
      <c r="JNC81" s="2567"/>
      <c r="JND81" s="2567"/>
      <c r="JNE81" s="2567"/>
      <c r="JNF81" s="2567"/>
      <c r="JNG81" s="2567"/>
      <c r="JNH81" s="2567"/>
      <c r="JNI81" s="2567"/>
      <c r="JNJ81" s="2567"/>
      <c r="JNK81" s="2567"/>
      <c r="JNL81" s="2567"/>
      <c r="JNM81" s="2567"/>
      <c r="JNN81" s="2567"/>
      <c r="JNO81" s="2567"/>
      <c r="JNP81" s="2567"/>
      <c r="JNQ81" s="2567"/>
      <c r="JNR81" s="2567"/>
      <c r="JNS81" s="2567"/>
      <c r="JNT81" s="2567"/>
      <c r="JNU81" s="2567"/>
      <c r="JNV81" s="2567"/>
      <c r="JNW81" s="2567"/>
      <c r="JNX81" s="2567"/>
      <c r="JNY81" s="2567"/>
      <c r="JNZ81" s="2567"/>
      <c r="JOA81" s="2567"/>
      <c r="JOB81" s="2567"/>
      <c r="JOC81" s="2567"/>
      <c r="JOD81" s="2567"/>
      <c r="JOE81" s="2567"/>
      <c r="JOF81" s="2567"/>
      <c r="JOG81" s="2567"/>
      <c r="JOH81" s="2567"/>
      <c r="JOI81" s="2567"/>
      <c r="JOJ81" s="2567"/>
      <c r="JOK81" s="2567"/>
      <c r="JOL81" s="2567"/>
      <c r="JOM81" s="2567"/>
      <c r="JON81" s="2567"/>
      <c r="JOO81" s="2567"/>
      <c r="JOP81" s="2567"/>
      <c r="JOQ81" s="2567"/>
      <c r="JOR81" s="2567"/>
      <c r="JOS81" s="2567"/>
      <c r="JOT81" s="2567"/>
      <c r="JOU81" s="2567"/>
      <c r="JOV81" s="2567"/>
      <c r="JOW81" s="2567"/>
      <c r="JOX81" s="2567"/>
      <c r="JOY81" s="2567"/>
      <c r="JOZ81" s="2567"/>
      <c r="JPA81" s="2567"/>
      <c r="JPB81" s="2567"/>
      <c r="JPC81" s="2567"/>
      <c r="JPD81" s="2567"/>
      <c r="JPE81" s="2567"/>
      <c r="JPF81" s="2567"/>
      <c r="JPG81" s="2567"/>
      <c r="JPH81" s="2567"/>
      <c r="JPI81" s="2567"/>
      <c r="JPJ81" s="2567"/>
      <c r="JPK81" s="2567"/>
      <c r="JPL81" s="2567"/>
      <c r="JPM81" s="2567"/>
      <c r="JPN81" s="2567"/>
      <c r="JPO81" s="2567"/>
      <c r="JPP81" s="2567"/>
      <c r="JPQ81" s="2567"/>
      <c r="JPR81" s="2567"/>
      <c r="JPS81" s="2567"/>
      <c r="JPT81" s="2567"/>
      <c r="JPU81" s="2567"/>
      <c r="JPV81" s="2567"/>
      <c r="JPW81" s="2567"/>
      <c r="JPX81" s="2567"/>
      <c r="JPY81" s="2567"/>
      <c r="JPZ81" s="2567"/>
      <c r="JQA81" s="2567"/>
      <c r="JQB81" s="2567"/>
      <c r="JQC81" s="2567"/>
      <c r="JQD81" s="2567"/>
      <c r="JQE81" s="2567"/>
      <c r="JQF81" s="2567"/>
      <c r="JQG81" s="2567"/>
      <c r="JQH81" s="2567"/>
      <c r="JQI81" s="2567"/>
      <c r="JQJ81" s="2567"/>
      <c r="JQK81" s="2567"/>
      <c r="JQL81" s="2567"/>
      <c r="JQM81" s="2567"/>
      <c r="JQN81" s="2567"/>
      <c r="JQO81" s="2567"/>
      <c r="JQP81" s="2567"/>
      <c r="JQQ81" s="2567"/>
      <c r="JQR81" s="2567"/>
      <c r="JQS81" s="2567"/>
      <c r="JQT81" s="2567"/>
      <c r="JQU81" s="2567"/>
      <c r="JQV81" s="2567"/>
      <c r="JQW81" s="2567"/>
      <c r="JQX81" s="2567"/>
      <c r="JQY81" s="2567"/>
      <c r="JQZ81" s="2567"/>
      <c r="JRA81" s="2567"/>
      <c r="JRB81" s="2567"/>
      <c r="JRC81" s="2567"/>
      <c r="JRD81" s="2567"/>
      <c r="JRE81" s="2567"/>
      <c r="JRF81" s="2567"/>
      <c r="JRG81" s="2567"/>
      <c r="JRH81" s="2567"/>
      <c r="JRI81" s="2567"/>
      <c r="JRJ81" s="2567"/>
      <c r="JRK81" s="2567"/>
      <c r="JRL81" s="2567"/>
      <c r="JRM81" s="2567"/>
      <c r="JRN81" s="2567"/>
      <c r="JRO81" s="2567"/>
      <c r="JRP81" s="2567"/>
      <c r="JRQ81" s="2567"/>
      <c r="JRR81" s="2567"/>
      <c r="JRS81" s="2567"/>
      <c r="JRT81" s="2567"/>
      <c r="JRU81" s="2567"/>
      <c r="JRV81" s="2567"/>
      <c r="JRW81" s="2567"/>
      <c r="JRX81" s="2567"/>
      <c r="JRY81" s="2567"/>
      <c r="JRZ81" s="2567"/>
      <c r="JSA81" s="2567"/>
      <c r="JSB81" s="2567"/>
      <c r="JSC81" s="2567"/>
      <c r="JSD81" s="2567"/>
      <c r="JSE81" s="2567"/>
      <c r="JSF81" s="2567"/>
      <c r="JSG81" s="2567"/>
      <c r="JSH81" s="2567"/>
      <c r="JSI81" s="2567"/>
      <c r="JSJ81" s="2567"/>
      <c r="JSK81" s="2567"/>
      <c r="JSL81" s="2567"/>
      <c r="JSM81" s="2567"/>
      <c r="JSN81" s="2567"/>
      <c r="JSO81" s="2567"/>
      <c r="JSP81" s="2567"/>
      <c r="JSQ81" s="2567"/>
      <c r="JSR81" s="2567"/>
      <c r="JSS81" s="2567"/>
      <c r="JST81" s="2567"/>
      <c r="JSU81" s="2567"/>
      <c r="JSV81" s="2567"/>
      <c r="JSW81" s="2567"/>
      <c r="JSX81" s="2567"/>
      <c r="JSY81" s="2567"/>
      <c r="JSZ81" s="2567"/>
      <c r="JTA81" s="2567"/>
      <c r="JTB81" s="2567"/>
      <c r="JTC81" s="2567"/>
      <c r="JTD81" s="2567"/>
      <c r="JTE81" s="2567"/>
      <c r="JTF81" s="2567"/>
      <c r="JTG81" s="2567"/>
      <c r="JTH81" s="2567"/>
      <c r="JTI81" s="2567"/>
      <c r="JTJ81" s="2567"/>
      <c r="JTK81" s="2567"/>
      <c r="JTL81" s="2567"/>
      <c r="JTM81" s="2567"/>
      <c r="JTN81" s="2567"/>
      <c r="JTO81" s="2567"/>
      <c r="JTP81" s="2567"/>
      <c r="JTQ81" s="2567"/>
      <c r="JTR81" s="2567"/>
      <c r="JTS81" s="2567"/>
      <c r="JTT81" s="2567"/>
      <c r="JTU81" s="2567"/>
      <c r="JTV81" s="2567"/>
      <c r="JTW81" s="2567"/>
      <c r="JTX81" s="2567"/>
      <c r="JTY81" s="2567"/>
      <c r="JTZ81" s="2567"/>
      <c r="JUA81" s="2567"/>
      <c r="JUB81" s="2567"/>
      <c r="JUC81" s="2567"/>
      <c r="JUD81" s="2567"/>
      <c r="JUE81" s="2567"/>
      <c r="JUF81" s="2567"/>
      <c r="JUG81" s="2567"/>
      <c r="JUH81" s="2567"/>
      <c r="JUI81" s="2567"/>
      <c r="JUJ81" s="2567"/>
      <c r="JUK81" s="2567"/>
      <c r="JUL81" s="2567"/>
      <c r="JUM81" s="2567"/>
      <c r="JUN81" s="2567"/>
      <c r="JUO81" s="2567"/>
      <c r="JUP81" s="2567"/>
      <c r="JUQ81" s="2567"/>
      <c r="JUR81" s="2567"/>
      <c r="JUS81" s="2567"/>
      <c r="JUT81" s="2567"/>
      <c r="JUU81" s="2567"/>
      <c r="JUV81" s="2567"/>
      <c r="JUW81" s="2567"/>
      <c r="JUX81" s="2567"/>
      <c r="JUY81" s="2567"/>
      <c r="JUZ81" s="2567"/>
      <c r="JVA81" s="2567"/>
      <c r="JVB81" s="2567"/>
      <c r="JVC81" s="2567"/>
      <c r="JVD81" s="2567"/>
      <c r="JVE81" s="2567"/>
      <c r="JVF81" s="2567"/>
      <c r="JVG81" s="2567"/>
      <c r="JVH81" s="2567"/>
      <c r="JVI81" s="2567"/>
      <c r="JVJ81" s="2567"/>
      <c r="JVK81" s="2567"/>
      <c r="JVL81" s="2567"/>
      <c r="JVM81" s="2567"/>
      <c r="JVN81" s="2567"/>
      <c r="JVO81" s="2567"/>
      <c r="JVP81" s="2567"/>
      <c r="JVQ81" s="2567"/>
      <c r="JVR81" s="2567"/>
      <c r="JVS81" s="2567"/>
      <c r="JVT81" s="2567"/>
      <c r="JVU81" s="2567"/>
      <c r="JVV81" s="2567"/>
      <c r="JVW81" s="2567"/>
      <c r="JVX81" s="2567"/>
      <c r="JVY81" s="2567"/>
      <c r="JVZ81" s="2567"/>
      <c r="JWA81" s="2567"/>
      <c r="JWB81" s="2567"/>
      <c r="JWC81" s="2567"/>
      <c r="JWD81" s="2567"/>
      <c r="JWE81" s="2567"/>
      <c r="JWF81" s="2567"/>
      <c r="JWG81" s="2567"/>
      <c r="JWH81" s="2567"/>
      <c r="JWI81" s="2567"/>
      <c r="JWJ81" s="2567"/>
      <c r="JWK81" s="2567"/>
      <c r="JWL81" s="2567"/>
      <c r="JWM81" s="2567"/>
      <c r="JWN81" s="2567"/>
      <c r="JWO81" s="2567"/>
      <c r="JWP81" s="2567"/>
      <c r="JWQ81" s="2567"/>
      <c r="JWR81" s="2567"/>
      <c r="JWS81" s="2567"/>
      <c r="JWT81" s="2567"/>
      <c r="JWU81" s="2567"/>
      <c r="JWV81" s="2567"/>
      <c r="JWW81" s="2567"/>
      <c r="JWX81" s="2567"/>
      <c r="JWY81" s="2567"/>
      <c r="JWZ81" s="2567"/>
      <c r="JXA81" s="2567"/>
      <c r="JXB81" s="2567"/>
      <c r="JXC81" s="2567"/>
      <c r="JXD81" s="2567"/>
      <c r="JXE81" s="2567"/>
      <c r="JXF81" s="2567"/>
      <c r="JXG81" s="2567"/>
      <c r="JXH81" s="2567"/>
      <c r="JXI81" s="2567"/>
      <c r="JXJ81" s="2567"/>
      <c r="JXK81" s="2567"/>
      <c r="JXL81" s="2567"/>
      <c r="JXM81" s="2567"/>
      <c r="JXN81" s="2567"/>
      <c r="JXO81" s="2567"/>
      <c r="JXP81" s="2567"/>
      <c r="JXQ81" s="2567"/>
      <c r="JXR81" s="2567"/>
      <c r="JXS81" s="2567"/>
      <c r="JXT81" s="2567"/>
      <c r="JXU81" s="2567"/>
      <c r="JXV81" s="2567"/>
      <c r="JXW81" s="2567"/>
      <c r="JXX81" s="2567"/>
      <c r="JXY81" s="2567"/>
      <c r="JXZ81" s="2567"/>
      <c r="JYA81" s="2567"/>
      <c r="JYB81" s="2567"/>
      <c r="JYC81" s="2567"/>
      <c r="JYD81" s="2567"/>
      <c r="JYE81" s="2567"/>
      <c r="JYF81" s="2567"/>
      <c r="JYG81" s="2567"/>
      <c r="JYH81" s="2567"/>
      <c r="JYI81" s="2567"/>
      <c r="JYJ81" s="2567"/>
      <c r="JYK81" s="2567"/>
      <c r="JYL81" s="2567"/>
      <c r="JYM81" s="2567"/>
      <c r="JYN81" s="2567"/>
      <c r="JYO81" s="2567"/>
      <c r="JYP81" s="2567"/>
      <c r="JYQ81" s="2567"/>
      <c r="JYR81" s="2567"/>
      <c r="JYS81" s="2567"/>
      <c r="JYT81" s="2567"/>
      <c r="JYU81" s="2567"/>
      <c r="JYV81" s="2567"/>
      <c r="JYW81" s="2567"/>
      <c r="JYX81" s="2567"/>
      <c r="JYY81" s="2567"/>
      <c r="JYZ81" s="2567"/>
      <c r="JZA81" s="2567"/>
      <c r="JZB81" s="2567"/>
      <c r="JZC81" s="2567"/>
      <c r="JZD81" s="2567"/>
      <c r="JZE81" s="2567"/>
      <c r="JZF81" s="2567"/>
      <c r="JZG81" s="2567"/>
      <c r="JZH81" s="2567"/>
      <c r="JZI81" s="2567"/>
      <c r="JZJ81" s="2567"/>
      <c r="JZK81" s="2567"/>
      <c r="JZL81" s="2567"/>
      <c r="JZM81" s="2567"/>
      <c r="JZN81" s="2567"/>
      <c r="JZO81" s="2567"/>
      <c r="JZP81" s="2567"/>
      <c r="JZQ81" s="2567"/>
      <c r="JZR81" s="2567"/>
      <c r="JZS81" s="2567"/>
      <c r="JZT81" s="2567"/>
      <c r="JZU81" s="2567"/>
      <c r="JZV81" s="2567"/>
      <c r="JZW81" s="2567"/>
      <c r="JZX81" s="2567"/>
      <c r="JZY81" s="2567"/>
      <c r="JZZ81" s="2567"/>
      <c r="KAA81" s="2567"/>
      <c r="KAB81" s="2567"/>
      <c r="KAC81" s="2567"/>
      <c r="KAD81" s="2567"/>
      <c r="KAE81" s="2567"/>
      <c r="KAF81" s="2567"/>
      <c r="KAG81" s="2567"/>
      <c r="KAH81" s="2567"/>
      <c r="KAI81" s="2567"/>
      <c r="KAJ81" s="2567"/>
      <c r="KAK81" s="2567"/>
      <c r="KAL81" s="2567"/>
      <c r="KAM81" s="2567"/>
      <c r="KAN81" s="2567"/>
      <c r="KAO81" s="2567"/>
      <c r="KAP81" s="2567"/>
      <c r="KAQ81" s="2567"/>
      <c r="KAR81" s="2567"/>
      <c r="KAS81" s="2567"/>
      <c r="KAT81" s="2567"/>
      <c r="KAU81" s="2567"/>
      <c r="KAV81" s="2567"/>
      <c r="KAW81" s="2567"/>
      <c r="KAX81" s="2567"/>
      <c r="KAY81" s="2567"/>
      <c r="KAZ81" s="2567"/>
      <c r="KBA81" s="2567"/>
      <c r="KBB81" s="2567"/>
      <c r="KBC81" s="2567"/>
      <c r="KBD81" s="2567"/>
      <c r="KBE81" s="2567"/>
      <c r="KBF81" s="2567"/>
      <c r="KBG81" s="2567"/>
      <c r="KBH81" s="2567"/>
      <c r="KBI81" s="2567"/>
      <c r="KBJ81" s="2567"/>
      <c r="KBK81" s="2567"/>
      <c r="KBL81" s="2567"/>
      <c r="KBM81" s="2567"/>
      <c r="KBN81" s="2567"/>
      <c r="KBO81" s="2567"/>
      <c r="KBP81" s="2567"/>
      <c r="KBQ81" s="2567"/>
      <c r="KBR81" s="2567"/>
      <c r="KBS81" s="2567"/>
      <c r="KBT81" s="2567"/>
      <c r="KBU81" s="2567"/>
      <c r="KBV81" s="2567"/>
      <c r="KBW81" s="2567"/>
      <c r="KBX81" s="2567"/>
      <c r="KBY81" s="2567"/>
      <c r="KBZ81" s="2567"/>
      <c r="KCA81" s="2567"/>
      <c r="KCB81" s="2567"/>
      <c r="KCC81" s="2567"/>
      <c r="KCD81" s="2567"/>
      <c r="KCE81" s="2567"/>
      <c r="KCF81" s="2567"/>
      <c r="KCG81" s="2567"/>
      <c r="KCH81" s="2567"/>
      <c r="KCI81" s="2567"/>
      <c r="KCJ81" s="2567"/>
      <c r="KCK81" s="2567"/>
      <c r="KCL81" s="2567"/>
      <c r="KCM81" s="2567"/>
      <c r="KCN81" s="2567"/>
      <c r="KCO81" s="2567"/>
      <c r="KCP81" s="2567"/>
      <c r="KCQ81" s="2567"/>
      <c r="KCR81" s="2567"/>
      <c r="KCS81" s="2567"/>
      <c r="KCT81" s="2567"/>
      <c r="KCU81" s="2567"/>
      <c r="KCV81" s="2567"/>
      <c r="KCW81" s="2567"/>
      <c r="KCX81" s="2567"/>
      <c r="KCY81" s="2567"/>
      <c r="KCZ81" s="2567"/>
      <c r="KDA81" s="2567"/>
      <c r="KDB81" s="2567"/>
      <c r="KDC81" s="2567"/>
      <c r="KDD81" s="2567"/>
      <c r="KDE81" s="2567"/>
      <c r="KDF81" s="2567"/>
      <c r="KDG81" s="2567"/>
      <c r="KDH81" s="2567"/>
      <c r="KDI81" s="2567"/>
      <c r="KDJ81" s="2567"/>
      <c r="KDK81" s="2567"/>
      <c r="KDL81" s="2567"/>
      <c r="KDM81" s="2567"/>
      <c r="KDN81" s="2567"/>
      <c r="KDO81" s="2567"/>
      <c r="KDP81" s="2567"/>
      <c r="KDQ81" s="2567"/>
      <c r="KDR81" s="2567"/>
      <c r="KDS81" s="2567"/>
      <c r="KDT81" s="2567"/>
      <c r="KDU81" s="2567"/>
      <c r="KDV81" s="2567"/>
      <c r="KDW81" s="2567"/>
      <c r="KDX81" s="2567"/>
      <c r="KDY81" s="2567"/>
      <c r="KDZ81" s="2567"/>
      <c r="KEA81" s="2567"/>
      <c r="KEB81" s="2567"/>
      <c r="KEC81" s="2567"/>
      <c r="KED81" s="2567"/>
      <c r="KEE81" s="2567"/>
      <c r="KEF81" s="2567"/>
      <c r="KEG81" s="2567"/>
      <c r="KEH81" s="2567"/>
      <c r="KEI81" s="2567"/>
      <c r="KEJ81" s="2567"/>
      <c r="KEK81" s="2567"/>
      <c r="KEL81" s="2567"/>
      <c r="KEM81" s="2567"/>
      <c r="KEN81" s="2567"/>
      <c r="KEO81" s="2567"/>
      <c r="KEP81" s="2567"/>
      <c r="KEQ81" s="2567"/>
      <c r="KER81" s="2567"/>
      <c r="KES81" s="2567"/>
      <c r="KET81" s="2567"/>
      <c r="KEU81" s="2567"/>
      <c r="KEV81" s="2567"/>
      <c r="KEW81" s="2567"/>
      <c r="KEX81" s="2567"/>
      <c r="KEY81" s="2567"/>
      <c r="KEZ81" s="2567"/>
      <c r="KFA81" s="2567"/>
      <c r="KFB81" s="2567"/>
      <c r="KFC81" s="2567"/>
      <c r="KFD81" s="2567"/>
      <c r="KFE81" s="2567"/>
      <c r="KFF81" s="2567"/>
      <c r="KFG81" s="2567"/>
      <c r="KFH81" s="2567"/>
      <c r="KFI81" s="2567"/>
      <c r="KFJ81" s="2567"/>
      <c r="KFK81" s="2567"/>
      <c r="KFL81" s="2567"/>
      <c r="KFM81" s="2567"/>
      <c r="KFN81" s="2567"/>
      <c r="KFO81" s="2567"/>
      <c r="KFP81" s="2567"/>
      <c r="KFQ81" s="2567"/>
      <c r="KFR81" s="2567"/>
      <c r="KFS81" s="2567"/>
      <c r="KFT81" s="2567"/>
      <c r="KFU81" s="2567"/>
      <c r="KFV81" s="2567"/>
      <c r="KFW81" s="2567"/>
      <c r="KFX81" s="2567"/>
      <c r="KFY81" s="2567"/>
      <c r="KFZ81" s="2567"/>
      <c r="KGA81" s="2567"/>
      <c r="KGB81" s="2567"/>
      <c r="KGC81" s="2567"/>
      <c r="KGD81" s="2567"/>
      <c r="KGE81" s="2567"/>
      <c r="KGF81" s="2567"/>
      <c r="KGG81" s="2567"/>
      <c r="KGH81" s="2567"/>
      <c r="KGI81" s="2567"/>
      <c r="KGJ81" s="2567"/>
      <c r="KGK81" s="2567"/>
      <c r="KGL81" s="2567"/>
      <c r="KGM81" s="2567"/>
      <c r="KGN81" s="2567"/>
      <c r="KGO81" s="2567"/>
      <c r="KGP81" s="2567"/>
      <c r="KGQ81" s="2567"/>
      <c r="KGR81" s="2567"/>
      <c r="KGS81" s="2567"/>
      <c r="KGT81" s="2567"/>
      <c r="KGU81" s="2567"/>
      <c r="KGV81" s="2567"/>
      <c r="KGW81" s="2567"/>
      <c r="KGX81" s="2567"/>
      <c r="KGY81" s="2567"/>
      <c r="KGZ81" s="2567"/>
      <c r="KHA81" s="2567"/>
      <c r="KHB81" s="2567"/>
      <c r="KHC81" s="2567"/>
      <c r="KHD81" s="2567"/>
      <c r="KHE81" s="2567"/>
      <c r="KHF81" s="2567"/>
      <c r="KHG81" s="2567"/>
      <c r="KHH81" s="2567"/>
      <c r="KHI81" s="2567"/>
      <c r="KHJ81" s="2567"/>
      <c r="KHK81" s="2567"/>
      <c r="KHL81" s="2567"/>
      <c r="KHM81" s="2567"/>
      <c r="KHN81" s="2567"/>
      <c r="KHO81" s="2567"/>
      <c r="KHP81" s="2567"/>
      <c r="KHQ81" s="2567"/>
      <c r="KHR81" s="2567"/>
      <c r="KHS81" s="2567"/>
      <c r="KHT81" s="2567"/>
      <c r="KHU81" s="2567"/>
      <c r="KHV81" s="2567"/>
      <c r="KHW81" s="2567"/>
      <c r="KHX81" s="2567"/>
      <c r="KHY81" s="2567"/>
      <c r="KHZ81" s="2567"/>
      <c r="KIA81" s="2567"/>
      <c r="KIB81" s="2567"/>
      <c r="KIC81" s="2567"/>
      <c r="KID81" s="2567"/>
      <c r="KIE81" s="2567"/>
      <c r="KIF81" s="2567"/>
      <c r="KIG81" s="2567"/>
      <c r="KIH81" s="2567"/>
      <c r="KII81" s="2567"/>
      <c r="KIJ81" s="2567"/>
      <c r="KIK81" s="2567"/>
      <c r="KIL81" s="2567"/>
      <c r="KIM81" s="2567"/>
      <c r="KIN81" s="2567"/>
      <c r="KIO81" s="2567"/>
      <c r="KIP81" s="2567"/>
      <c r="KIQ81" s="2567"/>
      <c r="KIR81" s="2567"/>
      <c r="KIS81" s="2567"/>
      <c r="KIT81" s="2567"/>
      <c r="KIU81" s="2567"/>
      <c r="KIV81" s="2567"/>
      <c r="KIW81" s="2567"/>
      <c r="KIX81" s="2567"/>
      <c r="KIY81" s="2567"/>
      <c r="KIZ81" s="2567"/>
      <c r="KJA81" s="2567"/>
      <c r="KJB81" s="2567"/>
      <c r="KJC81" s="2567"/>
      <c r="KJD81" s="2567"/>
      <c r="KJE81" s="2567"/>
      <c r="KJF81" s="2567"/>
      <c r="KJG81" s="2567"/>
      <c r="KJH81" s="2567"/>
      <c r="KJI81" s="2567"/>
      <c r="KJJ81" s="2567"/>
      <c r="KJK81" s="2567"/>
      <c r="KJL81" s="2567"/>
      <c r="KJM81" s="2567"/>
      <c r="KJN81" s="2567"/>
      <c r="KJO81" s="2567"/>
      <c r="KJP81" s="2567"/>
      <c r="KJQ81" s="2567"/>
      <c r="KJR81" s="2567"/>
      <c r="KJS81" s="2567"/>
      <c r="KJT81" s="2567"/>
      <c r="KJU81" s="2567"/>
      <c r="KJV81" s="2567"/>
      <c r="KJW81" s="2567"/>
      <c r="KJX81" s="2567"/>
      <c r="KJY81" s="2567"/>
      <c r="KJZ81" s="2567"/>
      <c r="KKA81" s="2567"/>
      <c r="KKB81" s="2567"/>
      <c r="KKC81" s="2567"/>
      <c r="KKD81" s="2567"/>
      <c r="KKE81" s="2567"/>
      <c r="KKF81" s="2567"/>
      <c r="KKG81" s="2567"/>
      <c r="KKH81" s="2567"/>
      <c r="KKI81" s="2567"/>
      <c r="KKJ81" s="2567"/>
      <c r="KKK81" s="2567"/>
      <c r="KKL81" s="2567"/>
      <c r="KKM81" s="2567"/>
      <c r="KKN81" s="2567"/>
      <c r="KKO81" s="2567"/>
      <c r="KKP81" s="2567"/>
      <c r="KKQ81" s="2567"/>
      <c r="KKR81" s="2567"/>
      <c r="KKS81" s="2567"/>
      <c r="KKT81" s="2567"/>
      <c r="KKU81" s="2567"/>
      <c r="KKV81" s="2567"/>
      <c r="KKW81" s="2567"/>
      <c r="KKX81" s="2567"/>
      <c r="KKY81" s="2567"/>
      <c r="KKZ81" s="2567"/>
      <c r="KLA81" s="2567"/>
      <c r="KLB81" s="2567"/>
      <c r="KLC81" s="2567"/>
      <c r="KLD81" s="2567"/>
      <c r="KLE81" s="2567"/>
      <c r="KLF81" s="2567"/>
      <c r="KLG81" s="2567"/>
      <c r="KLH81" s="2567"/>
      <c r="KLI81" s="2567"/>
      <c r="KLJ81" s="2567"/>
      <c r="KLK81" s="2567"/>
      <c r="KLL81" s="2567"/>
      <c r="KLM81" s="2567"/>
      <c r="KLN81" s="2567"/>
      <c r="KLO81" s="2567"/>
      <c r="KLP81" s="2567"/>
      <c r="KLQ81" s="2567"/>
      <c r="KLR81" s="2567"/>
      <c r="KLS81" s="2567"/>
      <c r="KLT81" s="2567"/>
      <c r="KLU81" s="2567"/>
      <c r="KLV81" s="2567"/>
      <c r="KLW81" s="2567"/>
      <c r="KLX81" s="2567"/>
      <c r="KLY81" s="2567"/>
      <c r="KLZ81" s="2567"/>
      <c r="KMA81" s="2567"/>
      <c r="KMB81" s="2567"/>
      <c r="KMC81" s="2567"/>
      <c r="KMD81" s="2567"/>
      <c r="KME81" s="2567"/>
      <c r="KMF81" s="2567"/>
      <c r="KMG81" s="2567"/>
      <c r="KMH81" s="2567"/>
      <c r="KMI81" s="2567"/>
      <c r="KMJ81" s="2567"/>
      <c r="KMK81" s="2567"/>
      <c r="KML81" s="2567"/>
      <c r="KMM81" s="2567"/>
      <c r="KMN81" s="2567"/>
      <c r="KMO81" s="2567"/>
      <c r="KMP81" s="2567"/>
      <c r="KMQ81" s="2567"/>
      <c r="KMR81" s="2567"/>
      <c r="KMS81" s="2567"/>
      <c r="KMT81" s="2567"/>
      <c r="KMU81" s="2567"/>
      <c r="KMV81" s="2567"/>
      <c r="KMW81" s="2567"/>
      <c r="KMX81" s="2567"/>
      <c r="KMY81" s="2567"/>
      <c r="KMZ81" s="2567"/>
      <c r="KNA81" s="2567"/>
      <c r="KNB81" s="2567"/>
      <c r="KNC81" s="2567"/>
      <c r="KND81" s="2567"/>
      <c r="KNE81" s="2567"/>
      <c r="KNF81" s="2567"/>
      <c r="KNG81" s="2567"/>
      <c r="KNH81" s="2567"/>
      <c r="KNI81" s="2567"/>
      <c r="KNJ81" s="2567"/>
      <c r="KNK81" s="2567"/>
      <c r="KNL81" s="2567"/>
      <c r="KNM81" s="2567"/>
      <c r="KNN81" s="2567"/>
      <c r="KNO81" s="2567"/>
      <c r="KNP81" s="2567"/>
      <c r="KNQ81" s="2567"/>
      <c r="KNR81" s="2567"/>
      <c r="KNS81" s="2567"/>
      <c r="KNT81" s="2567"/>
      <c r="KNU81" s="2567"/>
      <c r="KNV81" s="2567"/>
      <c r="KNW81" s="2567"/>
      <c r="KNX81" s="2567"/>
      <c r="KNY81" s="2567"/>
      <c r="KNZ81" s="2567"/>
      <c r="KOA81" s="2567"/>
      <c r="KOB81" s="2567"/>
      <c r="KOC81" s="2567"/>
      <c r="KOD81" s="2567"/>
      <c r="KOE81" s="2567"/>
      <c r="KOF81" s="2567"/>
      <c r="KOG81" s="2567"/>
      <c r="KOH81" s="2567"/>
      <c r="KOI81" s="2567"/>
      <c r="KOJ81" s="2567"/>
      <c r="KOK81" s="2567"/>
      <c r="KOL81" s="2567"/>
      <c r="KOM81" s="2567"/>
      <c r="KON81" s="2567"/>
      <c r="KOO81" s="2567"/>
      <c r="KOP81" s="2567"/>
      <c r="KOQ81" s="2567"/>
      <c r="KOR81" s="2567"/>
      <c r="KOS81" s="2567"/>
      <c r="KOT81" s="2567"/>
      <c r="KOU81" s="2567"/>
      <c r="KOV81" s="2567"/>
      <c r="KOW81" s="2567"/>
      <c r="KOX81" s="2567"/>
      <c r="KOY81" s="2567"/>
      <c r="KOZ81" s="2567"/>
      <c r="KPA81" s="2567"/>
      <c r="KPB81" s="2567"/>
      <c r="KPC81" s="2567"/>
      <c r="KPD81" s="2567"/>
      <c r="KPE81" s="2567"/>
      <c r="KPF81" s="2567"/>
      <c r="KPG81" s="2567"/>
      <c r="KPH81" s="2567"/>
      <c r="KPI81" s="2567"/>
      <c r="KPJ81" s="2567"/>
      <c r="KPK81" s="2567"/>
      <c r="KPL81" s="2567"/>
      <c r="KPM81" s="2567"/>
      <c r="KPN81" s="2567"/>
      <c r="KPO81" s="2567"/>
      <c r="KPP81" s="2567"/>
      <c r="KPQ81" s="2567"/>
      <c r="KPR81" s="2567"/>
      <c r="KPS81" s="2567"/>
      <c r="KPT81" s="2567"/>
      <c r="KPU81" s="2567"/>
      <c r="KPV81" s="2567"/>
      <c r="KPW81" s="2567"/>
      <c r="KPX81" s="2567"/>
      <c r="KPY81" s="2567"/>
      <c r="KPZ81" s="2567"/>
      <c r="KQA81" s="2567"/>
      <c r="KQB81" s="2567"/>
      <c r="KQC81" s="2567"/>
      <c r="KQD81" s="2567"/>
      <c r="KQE81" s="2567"/>
      <c r="KQF81" s="2567"/>
      <c r="KQG81" s="2567"/>
      <c r="KQH81" s="2567"/>
      <c r="KQI81" s="2567"/>
      <c r="KQJ81" s="2567"/>
      <c r="KQK81" s="2567"/>
      <c r="KQL81" s="2567"/>
      <c r="KQM81" s="2567"/>
      <c r="KQN81" s="2567"/>
      <c r="KQO81" s="2567"/>
      <c r="KQP81" s="2567"/>
      <c r="KQQ81" s="2567"/>
      <c r="KQR81" s="2567"/>
      <c r="KQS81" s="2567"/>
      <c r="KQT81" s="2567"/>
      <c r="KQU81" s="2567"/>
      <c r="KQV81" s="2567"/>
      <c r="KQW81" s="2567"/>
      <c r="KQX81" s="2567"/>
      <c r="KQY81" s="2567"/>
      <c r="KQZ81" s="2567"/>
      <c r="KRA81" s="2567"/>
      <c r="KRB81" s="2567"/>
      <c r="KRC81" s="2567"/>
      <c r="KRD81" s="2567"/>
      <c r="KRE81" s="2567"/>
      <c r="KRF81" s="2567"/>
      <c r="KRG81" s="2567"/>
      <c r="KRH81" s="2567"/>
      <c r="KRI81" s="2567"/>
      <c r="KRJ81" s="2567"/>
      <c r="KRK81" s="2567"/>
      <c r="KRL81" s="2567"/>
      <c r="KRM81" s="2567"/>
      <c r="KRN81" s="2567"/>
      <c r="KRO81" s="2567"/>
      <c r="KRP81" s="2567"/>
      <c r="KRQ81" s="2567"/>
      <c r="KRR81" s="2567"/>
      <c r="KRS81" s="2567"/>
      <c r="KRT81" s="2567"/>
      <c r="KRU81" s="2567"/>
      <c r="KRV81" s="2567"/>
      <c r="KRW81" s="2567"/>
      <c r="KRX81" s="2567"/>
      <c r="KRY81" s="2567"/>
      <c r="KRZ81" s="2567"/>
      <c r="KSA81" s="2567"/>
      <c r="KSB81" s="2567"/>
      <c r="KSC81" s="2567"/>
      <c r="KSD81" s="2567"/>
      <c r="KSE81" s="2567"/>
      <c r="KSF81" s="2567"/>
      <c r="KSG81" s="2567"/>
      <c r="KSH81" s="2567"/>
      <c r="KSI81" s="2567"/>
      <c r="KSJ81" s="2567"/>
      <c r="KSK81" s="2567"/>
      <c r="KSL81" s="2567"/>
      <c r="KSM81" s="2567"/>
      <c r="KSN81" s="2567"/>
      <c r="KSO81" s="2567"/>
      <c r="KSP81" s="2567"/>
      <c r="KSQ81" s="2567"/>
      <c r="KSR81" s="2567"/>
      <c r="KSS81" s="2567"/>
      <c r="KST81" s="2567"/>
      <c r="KSU81" s="2567"/>
      <c r="KSV81" s="2567"/>
      <c r="KSW81" s="2567"/>
      <c r="KSX81" s="2567"/>
      <c r="KSY81" s="2567"/>
      <c r="KSZ81" s="2567"/>
      <c r="KTA81" s="2567"/>
      <c r="KTB81" s="2567"/>
      <c r="KTC81" s="2567"/>
      <c r="KTD81" s="2567"/>
      <c r="KTE81" s="2567"/>
      <c r="KTF81" s="2567"/>
      <c r="KTG81" s="2567"/>
      <c r="KTH81" s="2567"/>
      <c r="KTI81" s="2567"/>
      <c r="KTJ81" s="2567"/>
      <c r="KTK81" s="2567"/>
      <c r="KTL81" s="2567"/>
      <c r="KTM81" s="2567"/>
      <c r="KTN81" s="2567"/>
      <c r="KTO81" s="2567"/>
      <c r="KTP81" s="2567"/>
      <c r="KTQ81" s="2567"/>
      <c r="KTR81" s="2567"/>
      <c r="KTS81" s="2567"/>
      <c r="KTT81" s="2567"/>
      <c r="KTU81" s="2567"/>
      <c r="KTV81" s="2567"/>
      <c r="KTW81" s="2567"/>
      <c r="KTX81" s="2567"/>
      <c r="KTY81" s="2567"/>
      <c r="KTZ81" s="2567"/>
      <c r="KUA81" s="2567"/>
      <c r="KUB81" s="2567"/>
      <c r="KUC81" s="2567"/>
      <c r="KUD81" s="2567"/>
      <c r="KUE81" s="2567"/>
      <c r="KUF81" s="2567"/>
      <c r="KUG81" s="2567"/>
      <c r="KUH81" s="2567"/>
      <c r="KUI81" s="2567"/>
      <c r="KUJ81" s="2567"/>
      <c r="KUK81" s="2567"/>
      <c r="KUL81" s="2567"/>
      <c r="KUM81" s="2567"/>
      <c r="KUN81" s="2567"/>
      <c r="KUO81" s="2567"/>
      <c r="KUP81" s="2567"/>
      <c r="KUQ81" s="2567"/>
      <c r="KUR81" s="2567"/>
      <c r="KUS81" s="2567"/>
      <c r="KUT81" s="2567"/>
      <c r="KUU81" s="2567"/>
      <c r="KUV81" s="2567"/>
      <c r="KUW81" s="2567"/>
      <c r="KUX81" s="2567"/>
      <c r="KUY81" s="2567"/>
      <c r="KUZ81" s="2567"/>
      <c r="KVA81" s="2567"/>
      <c r="KVB81" s="2567"/>
      <c r="KVC81" s="2567"/>
      <c r="KVD81" s="2567"/>
      <c r="KVE81" s="2567"/>
      <c r="KVF81" s="2567"/>
      <c r="KVG81" s="2567"/>
      <c r="KVH81" s="2567"/>
      <c r="KVI81" s="2567"/>
      <c r="KVJ81" s="2567"/>
      <c r="KVK81" s="2567"/>
      <c r="KVL81" s="2567"/>
      <c r="KVM81" s="2567"/>
      <c r="KVN81" s="2567"/>
      <c r="KVO81" s="2567"/>
      <c r="KVP81" s="2567"/>
      <c r="KVQ81" s="2567"/>
      <c r="KVR81" s="2567"/>
      <c r="KVS81" s="2567"/>
      <c r="KVT81" s="2567"/>
      <c r="KVU81" s="2567"/>
      <c r="KVV81" s="2567"/>
      <c r="KVW81" s="2567"/>
      <c r="KVX81" s="2567"/>
      <c r="KVY81" s="2567"/>
      <c r="KVZ81" s="2567"/>
      <c r="KWA81" s="2567"/>
      <c r="KWB81" s="2567"/>
      <c r="KWC81" s="2567"/>
      <c r="KWD81" s="2567"/>
      <c r="KWE81" s="2567"/>
      <c r="KWF81" s="2567"/>
      <c r="KWG81" s="2567"/>
      <c r="KWH81" s="2567"/>
      <c r="KWI81" s="2567"/>
      <c r="KWJ81" s="2567"/>
      <c r="KWK81" s="2567"/>
      <c r="KWL81" s="2567"/>
      <c r="KWM81" s="2567"/>
      <c r="KWN81" s="2567"/>
      <c r="KWO81" s="2567"/>
      <c r="KWP81" s="2567"/>
      <c r="KWQ81" s="2567"/>
      <c r="KWR81" s="2567"/>
      <c r="KWS81" s="2567"/>
      <c r="KWT81" s="2567"/>
      <c r="KWU81" s="2567"/>
      <c r="KWV81" s="2567"/>
      <c r="KWW81" s="2567"/>
      <c r="KWX81" s="2567"/>
      <c r="KWY81" s="2567"/>
      <c r="KWZ81" s="2567"/>
      <c r="KXA81" s="2567"/>
      <c r="KXB81" s="2567"/>
      <c r="KXC81" s="2567"/>
      <c r="KXD81" s="2567"/>
      <c r="KXE81" s="2567"/>
      <c r="KXF81" s="2567"/>
      <c r="KXG81" s="2567"/>
      <c r="KXH81" s="2567"/>
      <c r="KXI81" s="2567"/>
      <c r="KXJ81" s="2567"/>
      <c r="KXK81" s="2567"/>
      <c r="KXL81" s="2567"/>
      <c r="KXM81" s="2567"/>
      <c r="KXN81" s="2567"/>
      <c r="KXO81" s="2567"/>
      <c r="KXP81" s="2567"/>
      <c r="KXQ81" s="2567"/>
      <c r="KXR81" s="2567"/>
      <c r="KXS81" s="2567"/>
      <c r="KXT81" s="2567"/>
      <c r="KXU81" s="2567"/>
      <c r="KXV81" s="2567"/>
      <c r="KXW81" s="2567"/>
      <c r="KXX81" s="2567"/>
      <c r="KXY81" s="2567"/>
      <c r="KXZ81" s="2567"/>
      <c r="KYA81" s="2567"/>
      <c r="KYB81" s="2567"/>
      <c r="KYC81" s="2567"/>
      <c r="KYD81" s="2567"/>
      <c r="KYE81" s="2567"/>
      <c r="KYF81" s="2567"/>
      <c r="KYG81" s="2567"/>
      <c r="KYH81" s="2567"/>
      <c r="KYI81" s="2567"/>
      <c r="KYJ81" s="2567"/>
      <c r="KYK81" s="2567"/>
      <c r="KYL81" s="2567"/>
      <c r="KYM81" s="2567"/>
      <c r="KYN81" s="2567"/>
      <c r="KYO81" s="2567"/>
      <c r="KYP81" s="2567"/>
      <c r="KYQ81" s="2567"/>
      <c r="KYR81" s="2567"/>
      <c r="KYS81" s="2567"/>
      <c r="KYT81" s="2567"/>
      <c r="KYU81" s="2567"/>
      <c r="KYV81" s="2567"/>
      <c r="KYW81" s="2567"/>
      <c r="KYX81" s="2567"/>
      <c r="KYY81" s="2567"/>
      <c r="KYZ81" s="2567"/>
      <c r="KZA81" s="2567"/>
      <c r="KZB81" s="2567"/>
      <c r="KZC81" s="2567"/>
      <c r="KZD81" s="2567"/>
      <c r="KZE81" s="2567"/>
      <c r="KZF81" s="2567"/>
      <c r="KZG81" s="2567"/>
      <c r="KZH81" s="2567"/>
      <c r="KZI81" s="2567"/>
      <c r="KZJ81" s="2567"/>
      <c r="KZK81" s="2567"/>
      <c r="KZL81" s="2567"/>
      <c r="KZM81" s="2567"/>
      <c r="KZN81" s="2567"/>
      <c r="KZO81" s="2567"/>
      <c r="KZP81" s="2567"/>
      <c r="KZQ81" s="2567"/>
      <c r="KZR81" s="2567"/>
      <c r="KZS81" s="2567"/>
      <c r="KZT81" s="2567"/>
      <c r="KZU81" s="2567"/>
      <c r="KZV81" s="2567"/>
      <c r="KZW81" s="2567"/>
      <c r="KZX81" s="2567"/>
      <c r="KZY81" s="2567"/>
      <c r="KZZ81" s="2567"/>
      <c r="LAA81" s="2567"/>
      <c r="LAB81" s="2567"/>
      <c r="LAC81" s="2567"/>
      <c r="LAD81" s="2567"/>
      <c r="LAE81" s="2567"/>
      <c r="LAF81" s="2567"/>
      <c r="LAG81" s="2567"/>
      <c r="LAH81" s="2567"/>
      <c r="LAI81" s="2567"/>
      <c r="LAJ81" s="2567"/>
      <c r="LAK81" s="2567"/>
      <c r="LAL81" s="2567"/>
      <c r="LAM81" s="2567"/>
      <c r="LAN81" s="2567"/>
      <c r="LAO81" s="2567"/>
      <c r="LAP81" s="2567"/>
      <c r="LAQ81" s="2567"/>
      <c r="LAR81" s="2567"/>
      <c r="LAS81" s="2567"/>
      <c r="LAT81" s="2567"/>
      <c r="LAU81" s="2567"/>
      <c r="LAV81" s="2567"/>
      <c r="LAW81" s="2567"/>
      <c r="LAX81" s="2567"/>
      <c r="LAY81" s="2567"/>
      <c r="LAZ81" s="2567"/>
      <c r="LBA81" s="2567"/>
      <c r="LBB81" s="2567"/>
      <c r="LBC81" s="2567"/>
      <c r="LBD81" s="2567"/>
      <c r="LBE81" s="2567"/>
      <c r="LBF81" s="2567"/>
      <c r="LBG81" s="2567"/>
      <c r="LBH81" s="2567"/>
      <c r="LBI81" s="2567"/>
      <c r="LBJ81" s="2567"/>
      <c r="LBK81" s="2567"/>
      <c r="LBL81" s="2567"/>
      <c r="LBM81" s="2567"/>
      <c r="LBN81" s="2567"/>
      <c r="LBO81" s="2567"/>
      <c r="LBP81" s="2567"/>
      <c r="LBQ81" s="2567"/>
      <c r="LBR81" s="2567"/>
      <c r="LBS81" s="2567"/>
      <c r="LBT81" s="2567"/>
      <c r="LBU81" s="2567"/>
      <c r="LBV81" s="2567"/>
      <c r="LBW81" s="2567"/>
      <c r="LBX81" s="2567"/>
      <c r="LBY81" s="2567"/>
      <c r="LBZ81" s="2567"/>
      <c r="LCA81" s="2567"/>
      <c r="LCB81" s="2567"/>
      <c r="LCC81" s="2567"/>
      <c r="LCD81" s="2567"/>
      <c r="LCE81" s="2567"/>
      <c r="LCF81" s="2567"/>
      <c r="LCG81" s="2567"/>
      <c r="LCH81" s="2567"/>
      <c r="LCI81" s="2567"/>
      <c r="LCJ81" s="2567"/>
      <c r="LCK81" s="2567"/>
      <c r="LCL81" s="2567"/>
      <c r="LCM81" s="2567"/>
      <c r="LCN81" s="2567"/>
      <c r="LCO81" s="2567"/>
      <c r="LCP81" s="2567"/>
      <c r="LCQ81" s="2567"/>
      <c r="LCR81" s="2567"/>
      <c r="LCS81" s="2567"/>
      <c r="LCT81" s="2567"/>
      <c r="LCU81" s="2567"/>
      <c r="LCV81" s="2567"/>
      <c r="LCW81" s="2567"/>
      <c r="LCX81" s="2567"/>
      <c r="LCY81" s="2567"/>
      <c r="LCZ81" s="2567"/>
      <c r="LDA81" s="2567"/>
      <c r="LDB81" s="2567"/>
      <c r="LDC81" s="2567"/>
      <c r="LDD81" s="2567"/>
      <c r="LDE81" s="2567"/>
      <c r="LDF81" s="2567"/>
      <c r="LDG81" s="2567"/>
      <c r="LDH81" s="2567"/>
      <c r="LDI81" s="2567"/>
      <c r="LDJ81" s="2567"/>
      <c r="LDK81" s="2567"/>
      <c r="LDL81" s="2567"/>
      <c r="LDM81" s="2567"/>
      <c r="LDN81" s="2567"/>
      <c r="LDO81" s="2567"/>
      <c r="LDP81" s="2567"/>
      <c r="LDQ81" s="2567"/>
      <c r="LDR81" s="2567"/>
      <c r="LDS81" s="2567"/>
      <c r="LDT81" s="2567"/>
      <c r="LDU81" s="2567"/>
      <c r="LDV81" s="2567"/>
      <c r="LDW81" s="2567"/>
      <c r="LDX81" s="2567"/>
      <c r="LDY81" s="2567"/>
      <c r="LDZ81" s="2567"/>
      <c r="LEA81" s="2567"/>
      <c r="LEB81" s="2567"/>
      <c r="LEC81" s="2567"/>
      <c r="LED81" s="2567"/>
      <c r="LEE81" s="2567"/>
      <c r="LEF81" s="2567"/>
      <c r="LEG81" s="2567"/>
      <c r="LEH81" s="2567"/>
      <c r="LEI81" s="2567"/>
      <c r="LEJ81" s="2567"/>
      <c r="LEK81" s="2567"/>
      <c r="LEL81" s="2567"/>
      <c r="LEM81" s="2567"/>
      <c r="LEN81" s="2567"/>
      <c r="LEO81" s="2567"/>
      <c r="LEP81" s="2567"/>
      <c r="LEQ81" s="2567"/>
      <c r="LER81" s="2567"/>
      <c r="LES81" s="2567"/>
      <c r="LET81" s="2567"/>
      <c r="LEU81" s="2567"/>
      <c r="LEV81" s="2567"/>
      <c r="LEW81" s="2567"/>
      <c r="LEX81" s="2567"/>
      <c r="LEY81" s="2567"/>
      <c r="LEZ81" s="2567"/>
      <c r="LFA81" s="2567"/>
      <c r="LFB81" s="2567"/>
      <c r="LFC81" s="2567"/>
      <c r="LFD81" s="2567"/>
      <c r="LFE81" s="2567"/>
      <c r="LFF81" s="2567"/>
      <c r="LFG81" s="2567"/>
      <c r="LFH81" s="2567"/>
      <c r="LFI81" s="2567"/>
      <c r="LFJ81" s="2567"/>
      <c r="LFK81" s="2567"/>
      <c r="LFL81" s="2567"/>
      <c r="LFM81" s="2567"/>
      <c r="LFN81" s="2567"/>
      <c r="LFO81" s="2567"/>
      <c r="LFP81" s="2567"/>
      <c r="LFQ81" s="2567"/>
      <c r="LFR81" s="2567"/>
      <c r="LFS81" s="2567"/>
      <c r="LFT81" s="2567"/>
      <c r="LFU81" s="2567"/>
      <c r="LFV81" s="2567"/>
      <c r="LFW81" s="2567"/>
      <c r="LFX81" s="2567"/>
      <c r="LFY81" s="2567"/>
      <c r="LFZ81" s="2567"/>
      <c r="LGA81" s="2567"/>
      <c r="LGB81" s="2567"/>
      <c r="LGC81" s="2567"/>
      <c r="LGD81" s="2567"/>
      <c r="LGE81" s="2567"/>
      <c r="LGF81" s="2567"/>
      <c r="LGG81" s="2567"/>
      <c r="LGH81" s="2567"/>
      <c r="LGI81" s="2567"/>
      <c r="LGJ81" s="2567"/>
      <c r="LGK81" s="2567"/>
      <c r="LGL81" s="2567"/>
      <c r="LGM81" s="2567"/>
      <c r="LGN81" s="2567"/>
      <c r="LGO81" s="2567"/>
      <c r="LGP81" s="2567"/>
      <c r="LGQ81" s="2567"/>
      <c r="LGR81" s="2567"/>
      <c r="LGS81" s="2567"/>
      <c r="LGT81" s="2567"/>
      <c r="LGU81" s="2567"/>
      <c r="LGV81" s="2567"/>
      <c r="LGW81" s="2567"/>
      <c r="LGX81" s="2567"/>
      <c r="LGY81" s="2567"/>
      <c r="LGZ81" s="2567"/>
      <c r="LHA81" s="2567"/>
      <c r="LHB81" s="2567"/>
      <c r="LHC81" s="2567"/>
      <c r="LHD81" s="2567"/>
      <c r="LHE81" s="2567"/>
      <c r="LHF81" s="2567"/>
      <c r="LHG81" s="2567"/>
      <c r="LHH81" s="2567"/>
      <c r="LHI81" s="2567"/>
      <c r="LHJ81" s="2567"/>
      <c r="LHK81" s="2567"/>
      <c r="LHL81" s="2567"/>
      <c r="LHM81" s="2567"/>
      <c r="LHN81" s="2567"/>
      <c r="LHO81" s="2567"/>
      <c r="LHP81" s="2567"/>
      <c r="LHQ81" s="2567"/>
      <c r="LHR81" s="2567"/>
      <c r="LHS81" s="2567"/>
      <c r="LHT81" s="2567"/>
      <c r="LHU81" s="2567"/>
      <c r="LHV81" s="2567"/>
      <c r="LHW81" s="2567"/>
      <c r="LHX81" s="2567"/>
      <c r="LHY81" s="2567"/>
      <c r="LHZ81" s="2567"/>
      <c r="LIA81" s="2567"/>
      <c r="LIB81" s="2567"/>
      <c r="LIC81" s="2567"/>
      <c r="LID81" s="2567"/>
      <c r="LIE81" s="2567"/>
      <c r="LIF81" s="2567"/>
      <c r="LIG81" s="2567"/>
      <c r="LIH81" s="2567"/>
      <c r="LII81" s="2567"/>
      <c r="LIJ81" s="2567"/>
      <c r="LIK81" s="2567"/>
      <c r="LIL81" s="2567"/>
      <c r="LIM81" s="2567"/>
      <c r="LIN81" s="2567"/>
      <c r="LIO81" s="2567"/>
      <c r="LIP81" s="2567"/>
      <c r="LIQ81" s="2567"/>
      <c r="LIR81" s="2567"/>
      <c r="LIS81" s="2567"/>
      <c r="LIT81" s="2567"/>
      <c r="LIU81" s="2567"/>
      <c r="LIV81" s="2567"/>
      <c r="LIW81" s="2567"/>
      <c r="LIX81" s="2567"/>
      <c r="LIY81" s="2567"/>
      <c r="LIZ81" s="2567"/>
      <c r="LJA81" s="2567"/>
      <c r="LJB81" s="2567"/>
      <c r="LJC81" s="2567"/>
      <c r="LJD81" s="2567"/>
      <c r="LJE81" s="2567"/>
      <c r="LJF81" s="2567"/>
      <c r="LJG81" s="2567"/>
      <c r="LJH81" s="2567"/>
      <c r="LJI81" s="2567"/>
      <c r="LJJ81" s="2567"/>
      <c r="LJK81" s="2567"/>
      <c r="LJL81" s="2567"/>
      <c r="LJM81" s="2567"/>
      <c r="LJN81" s="2567"/>
      <c r="LJO81" s="2567"/>
      <c r="LJP81" s="2567"/>
      <c r="LJQ81" s="2567"/>
      <c r="LJR81" s="2567"/>
      <c r="LJS81" s="2567"/>
      <c r="LJT81" s="2567"/>
      <c r="LJU81" s="2567"/>
      <c r="LJV81" s="2567"/>
      <c r="LJW81" s="2567"/>
      <c r="LJX81" s="2567"/>
      <c r="LJY81" s="2567"/>
      <c r="LJZ81" s="2567"/>
      <c r="LKA81" s="2567"/>
      <c r="LKB81" s="2567"/>
      <c r="LKC81" s="2567"/>
      <c r="LKD81" s="2567"/>
      <c r="LKE81" s="2567"/>
      <c r="LKF81" s="2567"/>
      <c r="LKG81" s="2567"/>
      <c r="LKH81" s="2567"/>
      <c r="LKI81" s="2567"/>
      <c r="LKJ81" s="2567"/>
      <c r="LKK81" s="2567"/>
      <c r="LKL81" s="2567"/>
      <c r="LKM81" s="2567"/>
      <c r="LKN81" s="2567"/>
      <c r="LKO81" s="2567"/>
      <c r="LKP81" s="2567"/>
      <c r="LKQ81" s="2567"/>
      <c r="LKR81" s="2567"/>
      <c r="LKS81" s="2567"/>
      <c r="LKT81" s="2567"/>
      <c r="LKU81" s="2567"/>
      <c r="LKV81" s="2567"/>
      <c r="LKW81" s="2567"/>
      <c r="LKX81" s="2567"/>
      <c r="LKY81" s="2567"/>
      <c r="LKZ81" s="2567"/>
      <c r="LLA81" s="2567"/>
      <c r="LLB81" s="2567"/>
      <c r="LLC81" s="2567"/>
      <c r="LLD81" s="2567"/>
      <c r="LLE81" s="2567"/>
      <c r="LLF81" s="2567"/>
      <c r="LLG81" s="2567"/>
      <c r="LLH81" s="2567"/>
      <c r="LLI81" s="2567"/>
      <c r="LLJ81" s="2567"/>
      <c r="LLK81" s="2567"/>
      <c r="LLL81" s="2567"/>
      <c r="LLM81" s="2567"/>
      <c r="LLN81" s="2567"/>
      <c r="LLO81" s="2567"/>
      <c r="LLP81" s="2567"/>
      <c r="LLQ81" s="2567"/>
      <c r="LLR81" s="2567"/>
      <c r="LLS81" s="2567"/>
      <c r="LLT81" s="2567"/>
      <c r="LLU81" s="2567"/>
      <c r="LLV81" s="2567"/>
      <c r="LLW81" s="2567"/>
      <c r="LLX81" s="2567"/>
      <c r="LLY81" s="2567"/>
      <c r="LLZ81" s="2567"/>
      <c r="LMA81" s="2567"/>
      <c r="LMB81" s="2567"/>
      <c r="LMC81" s="2567"/>
      <c r="LMD81" s="2567"/>
      <c r="LME81" s="2567"/>
      <c r="LMF81" s="2567"/>
      <c r="LMG81" s="2567"/>
      <c r="LMH81" s="2567"/>
      <c r="LMI81" s="2567"/>
      <c r="LMJ81" s="2567"/>
      <c r="LMK81" s="2567"/>
      <c r="LML81" s="2567"/>
      <c r="LMM81" s="2567"/>
      <c r="LMN81" s="2567"/>
      <c r="LMO81" s="2567"/>
      <c r="LMP81" s="2567"/>
      <c r="LMQ81" s="2567"/>
      <c r="LMR81" s="2567"/>
      <c r="LMS81" s="2567"/>
      <c r="LMT81" s="2567"/>
      <c r="LMU81" s="2567"/>
      <c r="LMV81" s="2567"/>
      <c r="LMW81" s="2567"/>
      <c r="LMX81" s="2567"/>
      <c r="LMY81" s="2567"/>
      <c r="LMZ81" s="2567"/>
      <c r="LNA81" s="2567"/>
      <c r="LNB81" s="2567"/>
      <c r="LNC81" s="2567"/>
      <c r="LND81" s="2567"/>
      <c r="LNE81" s="2567"/>
      <c r="LNF81" s="2567"/>
      <c r="LNG81" s="2567"/>
      <c r="LNH81" s="2567"/>
      <c r="LNI81" s="2567"/>
      <c r="LNJ81" s="2567"/>
      <c r="LNK81" s="2567"/>
      <c r="LNL81" s="2567"/>
      <c r="LNM81" s="2567"/>
      <c r="LNN81" s="2567"/>
      <c r="LNO81" s="2567"/>
      <c r="LNP81" s="2567"/>
      <c r="LNQ81" s="2567"/>
      <c r="LNR81" s="2567"/>
      <c r="LNS81" s="2567"/>
      <c r="LNT81" s="2567"/>
      <c r="LNU81" s="2567"/>
      <c r="LNV81" s="2567"/>
      <c r="LNW81" s="2567"/>
      <c r="LNX81" s="2567"/>
      <c r="LNY81" s="2567"/>
      <c r="LNZ81" s="2567"/>
      <c r="LOA81" s="2567"/>
      <c r="LOB81" s="2567"/>
      <c r="LOC81" s="2567"/>
      <c r="LOD81" s="2567"/>
      <c r="LOE81" s="2567"/>
      <c r="LOF81" s="2567"/>
      <c r="LOG81" s="2567"/>
      <c r="LOH81" s="2567"/>
      <c r="LOI81" s="2567"/>
      <c r="LOJ81" s="2567"/>
      <c r="LOK81" s="2567"/>
      <c r="LOL81" s="2567"/>
      <c r="LOM81" s="2567"/>
      <c r="LON81" s="2567"/>
      <c r="LOO81" s="2567"/>
      <c r="LOP81" s="2567"/>
      <c r="LOQ81" s="2567"/>
      <c r="LOR81" s="2567"/>
      <c r="LOS81" s="2567"/>
      <c r="LOT81" s="2567"/>
      <c r="LOU81" s="2567"/>
      <c r="LOV81" s="2567"/>
      <c r="LOW81" s="2567"/>
      <c r="LOX81" s="2567"/>
      <c r="LOY81" s="2567"/>
      <c r="LOZ81" s="2567"/>
      <c r="LPA81" s="2567"/>
      <c r="LPB81" s="2567"/>
      <c r="LPC81" s="2567"/>
      <c r="LPD81" s="2567"/>
      <c r="LPE81" s="2567"/>
      <c r="LPF81" s="2567"/>
      <c r="LPG81" s="2567"/>
      <c r="LPH81" s="2567"/>
      <c r="LPI81" s="2567"/>
      <c r="LPJ81" s="2567"/>
      <c r="LPK81" s="2567"/>
      <c r="LPL81" s="2567"/>
      <c r="LPM81" s="2567"/>
      <c r="LPN81" s="2567"/>
      <c r="LPO81" s="2567"/>
      <c r="LPP81" s="2567"/>
      <c r="LPQ81" s="2567"/>
      <c r="LPR81" s="2567"/>
      <c r="LPS81" s="2567"/>
      <c r="LPT81" s="2567"/>
      <c r="LPU81" s="2567"/>
      <c r="LPV81" s="2567"/>
      <c r="LPW81" s="2567"/>
      <c r="LPX81" s="2567"/>
      <c r="LPY81" s="2567"/>
      <c r="LPZ81" s="2567"/>
      <c r="LQA81" s="2567"/>
      <c r="LQB81" s="2567"/>
      <c r="LQC81" s="2567"/>
      <c r="LQD81" s="2567"/>
      <c r="LQE81" s="2567"/>
      <c r="LQF81" s="2567"/>
      <c r="LQG81" s="2567"/>
      <c r="LQH81" s="2567"/>
      <c r="LQI81" s="2567"/>
      <c r="LQJ81" s="2567"/>
      <c r="LQK81" s="2567"/>
      <c r="LQL81" s="2567"/>
      <c r="LQM81" s="2567"/>
      <c r="LQN81" s="2567"/>
      <c r="LQO81" s="2567"/>
      <c r="LQP81" s="2567"/>
      <c r="LQQ81" s="2567"/>
      <c r="LQR81" s="2567"/>
      <c r="LQS81" s="2567"/>
      <c r="LQT81" s="2567"/>
      <c r="LQU81" s="2567"/>
      <c r="LQV81" s="2567"/>
      <c r="LQW81" s="2567"/>
      <c r="LQX81" s="2567"/>
      <c r="LQY81" s="2567"/>
      <c r="LQZ81" s="2567"/>
      <c r="LRA81" s="2567"/>
      <c r="LRB81" s="2567"/>
      <c r="LRC81" s="2567"/>
      <c r="LRD81" s="2567"/>
      <c r="LRE81" s="2567"/>
      <c r="LRF81" s="2567"/>
      <c r="LRG81" s="2567"/>
      <c r="LRH81" s="2567"/>
      <c r="LRI81" s="2567"/>
      <c r="LRJ81" s="2567"/>
      <c r="LRK81" s="2567"/>
      <c r="LRL81" s="2567"/>
      <c r="LRM81" s="2567"/>
      <c r="LRN81" s="2567"/>
      <c r="LRO81" s="2567"/>
      <c r="LRP81" s="2567"/>
      <c r="LRQ81" s="2567"/>
      <c r="LRR81" s="2567"/>
      <c r="LRS81" s="2567"/>
      <c r="LRT81" s="2567"/>
      <c r="LRU81" s="2567"/>
      <c r="LRV81" s="2567"/>
      <c r="LRW81" s="2567"/>
      <c r="LRX81" s="2567"/>
      <c r="LRY81" s="2567"/>
      <c r="LRZ81" s="2567"/>
      <c r="LSA81" s="2567"/>
      <c r="LSB81" s="2567"/>
      <c r="LSC81" s="2567"/>
      <c r="LSD81" s="2567"/>
      <c r="LSE81" s="2567"/>
      <c r="LSF81" s="2567"/>
      <c r="LSG81" s="2567"/>
      <c r="LSH81" s="2567"/>
      <c r="LSI81" s="2567"/>
      <c r="LSJ81" s="2567"/>
      <c r="LSK81" s="2567"/>
      <c r="LSL81" s="2567"/>
      <c r="LSM81" s="2567"/>
      <c r="LSN81" s="2567"/>
      <c r="LSO81" s="2567"/>
      <c r="LSP81" s="2567"/>
      <c r="LSQ81" s="2567"/>
      <c r="LSR81" s="2567"/>
      <c r="LSS81" s="2567"/>
      <c r="LST81" s="2567"/>
      <c r="LSU81" s="2567"/>
      <c r="LSV81" s="2567"/>
      <c r="LSW81" s="2567"/>
      <c r="LSX81" s="2567"/>
      <c r="LSY81" s="2567"/>
      <c r="LSZ81" s="2567"/>
      <c r="LTA81" s="2567"/>
      <c r="LTB81" s="2567"/>
      <c r="LTC81" s="2567"/>
      <c r="LTD81" s="2567"/>
      <c r="LTE81" s="2567"/>
      <c r="LTF81" s="2567"/>
      <c r="LTG81" s="2567"/>
      <c r="LTH81" s="2567"/>
      <c r="LTI81" s="2567"/>
      <c r="LTJ81" s="2567"/>
      <c r="LTK81" s="2567"/>
      <c r="LTL81" s="2567"/>
      <c r="LTM81" s="2567"/>
      <c r="LTN81" s="2567"/>
      <c r="LTO81" s="2567"/>
      <c r="LTP81" s="2567"/>
      <c r="LTQ81" s="2567"/>
      <c r="LTR81" s="2567"/>
      <c r="LTS81" s="2567"/>
      <c r="LTT81" s="2567"/>
      <c r="LTU81" s="2567"/>
      <c r="LTV81" s="2567"/>
      <c r="LTW81" s="2567"/>
      <c r="LTX81" s="2567"/>
      <c r="LTY81" s="2567"/>
      <c r="LTZ81" s="2567"/>
      <c r="LUA81" s="2567"/>
      <c r="LUB81" s="2567"/>
      <c r="LUC81" s="2567"/>
      <c r="LUD81" s="2567"/>
      <c r="LUE81" s="2567"/>
      <c r="LUF81" s="2567"/>
      <c r="LUG81" s="2567"/>
      <c r="LUH81" s="2567"/>
      <c r="LUI81" s="2567"/>
      <c r="LUJ81" s="2567"/>
      <c r="LUK81" s="2567"/>
      <c r="LUL81" s="2567"/>
      <c r="LUM81" s="2567"/>
      <c r="LUN81" s="2567"/>
      <c r="LUO81" s="2567"/>
      <c r="LUP81" s="2567"/>
      <c r="LUQ81" s="2567"/>
      <c r="LUR81" s="2567"/>
      <c r="LUS81" s="2567"/>
      <c r="LUT81" s="2567"/>
      <c r="LUU81" s="2567"/>
      <c r="LUV81" s="2567"/>
      <c r="LUW81" s="2567"/>
      <c r="LUX81" s="2567"/>
      <c r="LUY81" s="2567"/>
      <c r="LUZ81" s="2567"/>
      <c r="LVA81" s="2567"/>
      <c r="LVB81" s="2567"/>
      <c r="LVC81" s="2567"/>
      <c r="LVD81" s="2567"/>
      <c r="LVE81" s="2567"/>
      <c r="LVF81" s="2567"/>
      <c r="LVG81" s="2567"/>
      <c r="LVH81" s="2567"/>
      <c r="LVI81" s="2567"/>
      <c r="LVJ81" s="2567"/>
      <c r="LVK81" s="2567"/>
      <c r="LVL81" s="2567"/>
      <c r="LVM81" s="2567"/>
      <c r="LVN81" s="2567"/>
      <c r="LVO81" s="2567"/>
      <c r="LVP81" s="2567"/>
      <c r="LVQ81" s="2567"/>
      <c r="LVR81" s="2567"/>
      <c r="LVS81" s="2567"/>
      <c r="LVT81" s="2567"/>
      <c r="LVU81" s="2567"/>
      <c r="LVV81" s="2567"/>
      <c r="LVW81" s="2567"/>
      <c r="LVX81" s="2567"/>
      <c r="LVY81" s="2567"/>
      <c r="LVZ81" s="2567"/>
      <c r="LWA81" s="2567"/>
      <c r="LWB81" s="2567"/>
      <c r="LWC81" s="2567"/>
      <c r="LWD81" s="2567"/>
      <c r="LWE81" s="2567"/>
      <c r="LWF81" s="2567"/>
      <c r="LWG81" s="2567"/>
      <c r="LWH81" s="2567"/>
      <c r="LWI81" s="2567"/>
      <c r="LWJ81" s="2567"/>
      <c r="LWK81" s="2567"/>
      <c r="LWL81" s="2567"/>
      <c r="LWM81" s="2567"/>
      <c r="LWN81" s="2567"/>
      <c r="LWO81" s="2567"/>
      <c r="LWP81" s="2567"/>
      <c r="LWQ81" s="2567"/>
      <c r="LWR81" s="2567"/>
      <c r="LWS81" s="2567"/>
      <c r="LWT81" s="2567"/>
      <c r="LWU81" s="2567"/>
      <c r="LWV81" s="2567"/>
      <c r="LWW81" s="2567"/>
      <c r="LWX81" s="2567"/>
      <c r="LWY81" s="2567"/>
      <c r="LWZ81" s="2567"/>
      <c r="LXA81" s="2567"/>
      <c r="LXB81" s="2567"/>
      <c r="LXC81" s="2567"/>
      <c r="LXD81" s="2567"/>
      <c r="LXE81" s="2567"/>
      <c r="LXF81" s="2567"/>
      <c r="LXG81" s="2567"/>
      <c r="LXH81" s="2567"/>
      <c r="LXI81" s="2567"/>
      <c r="LXJ81" s="2567"/>
      <c r="LXK81" s="2567"/>
      <c r="LXL81" s="2567"/>
      <c r="LXM81" s="2567"/>
      <c r="LXN81" s="2567"/>
      <c r="LXO81" s="2567"/>
      <c r="LXP81" s="2567"/>
      <c r="LXQ81" s="2567"/>
      <c r="LXR81" s="2567"/>
      <c r="LXS81" s="2567"/>
      <c r="LXT81" s="2567"/>
      <c r="LXU81" s="2567"/>
      <c r="LXV81" s="2567"/>
      <c r="LXW81" s="2567"/>
      <c r="LXX81" s="2567"/>
      <c r="LXY81" s="2567"/>
      <c r="LXZ81" s="2567"/>
      <c r="LYA81" s="2567"/>
      <c r="LYB81" s="2567"/>
      <c r="LYC81" s="2567"/>
      <c r="LYD81" s="2567"/>
      <c r="LYE81" s="2567"/>
      <c r="LYF81" s="2567"/>
      <c r="LYG81" s="2567"/>
      <c r="LYH81" s="2567"/>
      <c r="LYI81" s="2567"/>
      <c r="LYJ81" s="2567"/>
      <c r="LYK81" s="2567"/>
      <c r="LYL81" s="2567"/>
      <c r="LYM81" s="2567"/>
      <c r="LYN81" s="2567"/>
      <c r="LYO81" s="2567"/>
      <c r="LYP81" s="2567"/>
      <c r="LYQ81" s="2567"/>
      <c r="LYR81" s="2567"/>
      <c r="LYS81" s="2567"/>
      <c r="LYT81" s="2567"/>
      <c r="LYU81" s="2567"/>
      <c r="LYV81" s="2567"/>
      <c r="LYW81" s="2567"/>
      <c r="LYX81" s="2567"/>
      <c r="LYY81" s="2567"/>
      <c r="LYZ81" s="2567"/>
      <c r="LZA81" s="2567"/>
      <c r="LZB81" s="2567"/>
      <c r="LZC81" s="2567"/>
      <c r="LZD81" s="2567"/>
      <c r="LZE81" s="2567"/>
      <c r="LZF81" s="2567"/>
      <c r="LZG81" s="2567"/>
      <c r="LZH81" s="2567"/>
      <c r="LZI81" s="2567"/>
      <c r="LZJ81" s="2567"/>
      <c r="LZK81" s="2567"/>
      <c r="LZL81" s="2567"/>
      <c r="LZM81" s="2567"/>
      <c r="LZN81" s="2567"/>
      <c r="LZO81" s="2567"/>
      <c r="LZP81" s="2567"/>
      <c r="LZQ81" s="2567"/>
      <c r="LZR81" s="2567"/>
      <c r="LZS81" s="2567"/>
      <c r="LZT81" s="2567"/>
      <c r="LZU81" s="2567"/>
      <c r="LZV81" s="2567"/>
      <c r="LZW81" s="2567"/>
      <c r="LZX81" s="2567"/>
      <c r="LZY81" s="2567"/>
      <c r="LZZ81" s="2567"/>
      <c r="MAA81" s="2567"/>
      <c r="MAB81" s="2567"/>
      <c r="MAC81" s="2567"/>
      <c r="MAD81" s="2567"/>
      <c r="MAE81" s="2567"/>
      <c r="MAF81" s="2567"/>
      <c r="MAG81" s="2567"/>
      <c r="MAH81" s="2567"/>
      <c r="MAI81" s="2567"/>
      <c r="MAJ81" s="2567"/>
      <c r="MAK81" s="2567"/>
      <c r="MAL81" s="2567"/>
      <c r="MAM81" s="2567"/>
      <c r="MAN81" s="2567"/>
      <c r="MAO81" s="2567"/>
      <c r="MAP81" s="2567"/>
      <c r="MAQ81" s="2567"/>
      <c r="MAR81" s="2567"/>
      <c r="MAS81" s="2567"/>
      <c r="MAT81" s="2567"/>
      <c r="MAU81" s="2567"/>
      <c r="MAV81" s="2567"/>
      <c r="MAW81" s="2567"/>
      <c r="MAX81" s="2567"/>
      <c r="MAY81" s="2567"/>
      <c r="MAZ81" s="2567"/>
      <c r="MBA81" s="2567"/>
      <c r="MBB81" s="2567"/>
      <c r="MBC81" s="2567"/>
      <c r="MBD81" s="2567"/>
      <c r="MBE81" s="2567"/>
      <c r="MBF81" s="2567"/>
      <c r="MBG81" s="2567"/>
      <c r="MBH81" s="2567"/>
      <c r="MBI81" s="2567"/>
      <c r="MBJ81" s="2567"/>
      <c r="MBK81" s="2567"/>
      <c r="MBL81" s="2567"/>
      <c r="MBM81" s="2567"/>
      <c r="MBN81" s="2567"/>
      <c r="MBO81" s="2567"/>
      <c r="MBP81" s="2567"/>
      <c r="MBQ81" s="2567"/>
      <c r="MBR81" s="2567"/>
      <c r="MBS81" s="2567"/>
      <c r="MBT81" s="2567"/>
      <c r="MBU81" s="2567"/>
      <c r="MBV81" s="2567"/>
      <c r="MBW81" s="2567"/>
      <c r="MBX81" s="2567"/>
      <c r="MBY81" s="2567"/>
      <c r="MBZ81" s="2567"/>
      <c r="MCA81" s="2567"/>
      <c r="MCB81" s="2567"/>
      <c r="MCC81" s="2567"/>
      <c r="MCD81" s="2567"/>
      <c r="MCE81" s="2567"/>
      <c r="MCF81" s="2567"/>
      <c r="MCG81" s="2567"/>
      <c r="MCH81" s="2567"/>
      <c r="MCI81" s="2567"/>
      <c r="MCJ81" s="2567"/>
      <c r="MCK81" s="2567"/>
      <c r="MCL81" s="2567"/>
      <c r="MCM81" s="2567"/>
      <c r="MCN81" s="2567"/>
      <c r="MCO81" s="2567"/>
      <c r="MCP81" s="2567"/>
      <c r="MCQ81" s="2567"/>
      <c r="MCR81" s="2567"/>
      <c r="MCS81" s="2567"/>
      <c r="MCT81" s="2567"/>
      <c r="MCU81" s="2567"/>
      <c r="MCV81" s="2567"/>
      <c r="MCW81" s="2567"/>
      <c r="MCX81" s="2567"/>
      <c r="MCY81" s="2567"/>
      <c r="MCZ81" s="2567"/>
      <c r="MDA81" s="2567"/>
      <c r="MDB81" s="2567"/>
      <c r="MDC81" s="2567"/>
      <c r="MDD81" s="2567"/>
      <c r="MDE81" s="2567"/>
      <c r="MDF81" s="2567"/>
      <c r="MDG81" s="2567"/>
      <c r="MDH81" s="2567"/>
      <c r="MDI81" s="2567"/>
      <c r="MDJ81" s="2567"/>
      <c r="MDK81" s="2567"/>
      <c r="MDL81" s="2567"/>
      <c r="MDM81" s="2567"/>
      <c r="MDN81" s="2567"/>
      <c r="MDO81" s="2567"/>
      <c r="MDP81" s="2567"/>
      <c r="MDQ81" s="2567"/>
      <c r="MDR81" s="2567"/>
      <c r="MDS81" s="2567"/>
      <c r="MDT81" s="2567"/>
      <c r="MDU81" s="2567"/>
      <c r="MDV81" s="2567"/>
      <c r="MDW81" s="2567"/>
      <c r="MDX81" s="2567"/>
      <c r="MDY81" s="2567"/>
      <c r="MDZ81" s="2567"/>
      <c r="MEA81" s="2567"/>
      <c r="MEB81" s="2567"/>
      <c r="MEC81" s="2567"/>
      <c r="MED81" s="2567"/>
      <c r="MEE81" s="2567"/>
      <c r="MEF81" s="2567"/>
      <c r="MEG81" s="2567"/>
      <c r="MEH81" s="2567"/>
      <c r="MEI81" s="2567"/>
      <c r="MEJ81" s="2567"/>
      <c r="MEK81" s="2567"/>
      <c r="MEL81" s="2567"/>
      <c r="MEM81" s="2567"/>
      <c r="MEN81" s="2567"/>
      <c r="MEO81" s="2567"/>
      <c r="MEP81" s="2567"/>
      <c r="MEQ81" s="2567"/>
      <c r="MER81" s="2567"/>
      <c r="MES81" s="2567"/>
      <c r="MET81" s="2567"/>
      <c r="MEU81" s="2567"/>
      <c r="MEV81" s="2567"/>
      <c r="MEW81" s="2567"/>
      <c r="MEX81" s="2567"/>
      <c r="MEY81" s="2567"/>
      <c r="MEZ81" s="2567"/>
      <c r="MFA81" s="2567"/>
      <c r="MFB81" s="2567"/>
      <c r="MFC81" s="2567"/>
      <c r="MFD81" s="2567"/>
      <c r="MFE81" s="2567"/>
      <c r="MFF81" s="2567"/>
      <c r="MFG81" s="2567"/>
      <c r="MFH81" s="2567"/>
      <c r="MFI81" s="2567"/>
      <c r="MFJ81" s="2567"/>
      <c r="MFK81" s="2567"/>
      <c r="MFL81" s="2567"/>
      <c r="MFM81" s="2567"/>
      <c r="MFN81" s="2567"/>
      <c r="MFO81" s="2567"/>
      <c r="MFP81" s="2567"/>
      <c r="MFQ81" s="2567"/>
      <c r="MFR81" s="2567"/>
      <c r="MFS81" s="2567"/>
      <c r="MFT81" s="2567"/>
      <c r="MFU81" s="2567"/>
      <c r="MFV81" s="2567"/>
      <c r="MFW81" s="2567"/>
      <c r="MFX81" s="2567"/>
      <c r="MFY81" s="2567"/>
      <c r="MFZ81" s="2567"/>
      <c r="MGA81" s="2567"/>
      <c r="MGB81" s="2567"/>
      <c r="MGC81" s="2567"/>
      <c r="MGD81" s="2567"/>
      <c r="MGE81" s="2567"/>
      <c r="MGF81" s="2567"/>
      <c r="MGG81" s="2567"/>
      <c r="MGH81" s="2567"/>
      <c r="MGI81" s="2567"/>
      <c r="MGJ81" s="2567"/>
      <c r="MGK81" s="2567"/>
      <c r="MGL81" s="2567"/>
      <c r="MGM81" s="2567"/>
      <c r="MGN81" s="2567"/>
      <c r="MGO81" s="2567"/>
      <c r="MGP81" s="2567"/>
      <c r="MGQ81" s="2567"/>
      <c r="MGR81" s="2567"/>
      <c r="MGS81" s="2567"/>
      <c r="MGT81" s="2567"/>
      <c r="MGU81" s="2567"/>
      <c r="MGV81" s="2567"/>
      <c r="MGW81" s="2567"/>
      <c r="MGX81" s="2567"/>
      <c r="MGY81" s="2567"/>
      <c r="MGZ81" s="2567"/>
      <c r="MHA81" s="2567"/>
      <c r="MHB81" s="2567"/>
      <c r="MHC81" s="2567"/>
      <c r="MHD81" s="2567"/>
      <c r="MHE81" s="2567"/>
      <c r="MHF81" s="2567"/>
      <c r="MHG81" s="2567"/>
      <c r="MHH81" s="2567"/>
      <c r="MHI81" s="2567"/>
      <c r="MHJ81" s="2567"/>
      <c r="MHK81" s="2567"/>
      <c r="MHL81" s="2567"/>
      <c r="MHM81" s="2567"/>
      <c r="MHN81" s="2567"/>
      <c r="MHO81" s="2567"/>
      <c r="MHP81" s="2567"/>
      <c r="MHQ81" s="2567"/>
      <c r="MHR81" s="2567"/>
      <c r="MHS81" s="2567"/>
      <c r="MHT81" s="2567"/>
      <c r="MHU81" s="2567"/>
      <c r="MHV81" s="2567"/>
      <c r="MHW81" s="2567"/>
      <c r="MHX81" s="2567"/>
      <c r="MHY81" s="2567"/>
      <c r="MHZ81" s="2567"/>
      <c r="MIA81" s="2567"/>
      <c r="MIB81" s="2567"/>
      <c r="MIC81" s="2567"/>
      <c r="MID81" s="2567"/>
      <c r="MIE81" s="2567"/>
      <c r="MIF81" s="2567"/>
      <c r="MIG81" s="2567"/>
      <c r="MIH81" s="2567"/>
      <c r="MII81" s="2567"/>
      <c r="MIJ81" s="2567"/>
      <c r="MIK81" s="2567"/>
      <c r="MIL81" s="2567"/>
      <c r="MIM81" s="2567"/>
      <c r="MIN81" s="2567"/>
      <c r="MIO81" s="2567"/>
      <c r="MIP81" s="2567"/>
      <c r="MIQ81" s="2567"/>
      <c r="MIR81" s="2567"/>
      <c r="MIS81" s="2567"/>
      <c r="MIT81" s="2567"/>
      <c r="MIU81" s="2567"/>
      <c r="MIV81" s="2567"/>
      <c r="MIW81" s="2567"/>
      <c r="MIX81" s="2567"/>
      <c r="MIY81" s="2567"/>
      <c r="MIZ81" s="2567"/>
      <c r="MJA81" s="2567"/>
      <c r="MJB81" s="2567"/>
      <c r="MJC81" s="2567"/>
      <c r="MJD81" s="2567"/>
      <c r="MJE81" s="2567"/>
      <c r="MJF81" s="2567"/>
      <c r="MJG81" s="2567"/>
      <c r="MJH81" s="2567"/>
      <c r="MJI81" s="2567"/>
      <c r="MJJ81" s="2567"/>
      <c r="MJK81" s="2567"/>
      <c r="MJL81" s="2567"/>
      <c r="MJM81" s="2567"/>
      <c r="MJN81" s="2567"/>
      <c r="MJO81" s="2567"/>
      <c r="MJP81" s="2567"/>
      <c r="MJQ81" s="2567"/>
      <c r="MJR81" s="2567"/>
      <c r="MJS81" s="2567"/>
      <c r="MJT81" s="2567"/>
      <c r="MJU81" s="2567"/>
      <c r="MJV81" s="2567"/>
      <c r="MJW81" s="2567"/>
      <c r="MJX81" s="2567"/>
      <c r="MJY81" s="2567"/>
      <c r="MJZ81" s="2567"/>
      <c r="MKA81" s="2567"/>
      <c r="MKB81" s="2567"/>
      <c r="MKC81" s="2567"/>
      <c r="MKD81" s="2567"/>
      <c r="MKE81" s="2567"/>
      <c r="MKF81" s="2567"/>
      <c r="MKG81" s="2567"/>
      <c r="MKH81" s="2567"/>
      <c r="MKI81" s="2567"/>
      <c r="MKJ81" s="2567"/>
      <c r="MKK81" s="2567"/>
      <c r="MKL81" s="2567"/>
      <c r="MKM81" s="2567"/>
      <c r="MKN81" s="2567"/>
      <c r="MKO81" s="2567"/>
      <c r="MKP81" s="2567"/>
      <c r="MKQ81" s="2567"/>
      <c r="MKR81" s="2567"/>
      <c r="MKS81" s="2567"/>
      <c r="MKT81" s="2567"/>
      <c r="MKU81" s="2567"/>
      <c r="MKV81" s="2567"/>
      <c r="MKW81" s="2567"/>
      <c r="MKX81" s="2567"/>
      <c r="MKY81" s="2567"/>
      <c r="MKZ81" s="2567"/>
      <c r="MLA81" s="2567"/>
      <c r="MLB81" s="2567"/>
      <c r="MLC81" s="2567"/>
      <c r="MLD81" s="2567"/>
      <c r="MLE81" s="2567"/>
      <c r="MLF81" s="2567"/>
      <c r="MLG81" s="2567"/>
      <c r="MLH81" s="2567"/>
      <c r="MLI81" s="2567"/>
      <c r="MLJ81" s="2567"/>
      <c r="MLK81" s="2567"/>
      <c r="MLL81" s="2567"/>
      <c r="MLM81" s="2567"/>
      <c r="MLN81" s="2567"/>
      <c r="MLO81" s="2567"/>
      <c r="MLP81" s="2567"/>
      <c r="MLQ81" s="2567"/>
      <c r="MLR81" s="2567"/>
      <c r="MLS81" s="2567"/>
      <c r="MLT81" s="2567"/>
      <c r="MLU81" s="2567"/>
      <c r="MLV81" s="2567"/>
      <c r="MLW81" s="2567"/>
      <c r="MLX81" s="2567"/>
      <c r="MLY81" s="2567"/>
      <c r="MLZ81" s="2567"/>
      <c r="MMA81" s="2567"/>
      <c r="MMB81" s="2567"/>
      <c r="MMC81" s="2567"/>
      <c r="MMD81" s="2567"/>
      <c r="MME81" s="2567"/>
      <c r="MMF81" s="2567"/>
      <c r="MMG81" s="2567"/>
      <c r="MMH81" s="2567"/>
      <c r="MMI81" s="2567"/>
      <c r="MMJ81" s="2567"/>
      <c r="MMK81" s="2567"/>
      <c r="MML81" s="2567"/>
      <c r="MMM81" s="2567"/>
      <c r="MMN81" s="2567"/>
      <c r="MMO81" s="2567"/>
      <c r="MMP81" s="2567"/>
      <c r="MMQ81" s="2567"/>
      <c r="MMR81" s="2567"/>
      <c r="MMS81" s="2567"/>
      <c r="MMT81" s="2567"/>
      <c r="MMU81" s="2567"/>
      <c r="MMV81" s="2567"/>
      <c r="MMW81" s="2567"/>
      <c r="MMX81" s="2567"/>
      <c r="MMY81" s="2567"/>
      <c r="MMZ81" s="2567"/>
      <c r="MNA81" s="2567"/>
      <c r="MNB81" s="2567"/>
      <c r="MNC81" s="2567"/>
      <c r="MND81" s="2567"/>
      <c r="MNE81" s="2567"/>
      <c r="MNF81" s="2567"/>
      <c r="MNG81" s="2567"/>
      <c r="MNH81" s="2567"/>
      <c r="MNI81" s="2567"/>
      <c r="MNJ81" s="2567"/>
      <c r="MNK81" s="2567"/>
      <c r="MNL81" s="2567"/>
      <c r="MNM81" s="2567"/>
      <c r="MNN81" s="2567"/>
      <c r="MNO81" s="2567"/>
      <c r="MNP81" s="2567"/>
      <c r="MNQ81" s="2567"/>
      <c r="MNR81" s="2567"/>
      <c r="MNS81" s="2567"/>
      <c r="MNT81" s="2567"/>
      <c r="MNU81" s="2567"/>
      <c r="MNV81" s="2567"/>
      <c r="MNW81" s="2567"/>
      <c r="MNX81" s="2567"/>
      <c r="MNY81" s="2567"/>
      <c r="MNZ81" s="2567"/>
      <c r="MOA81" s="2567"/>
      <c r="MOB81" s="2567"/>
      <c r="MOC81" s="2567"/>
      <c r="MOD81" s="2567"/>
      <c r="MOE81" s="2567"/>
      <c r="MOF81" s="2567"/>
      <c r="MOG81" s="2567"/>
      <c r="MOH81" s="2567"/>
      <c r="MOI81" s="2567"/>
      <c r="MOJ81" s="2567"/>
      <c r="MOK81" s="2567"/>
      <c r="MOL81" s="2567"/>
      <c r="MOM81" s="2567"/>
      <c r="MON81" s="2567"/>
      <c r="MOO81" s="2567"/>
      <c r="MOP81" s="2567"/>
      <c r="MOQ81" s="2567"/>
      <c r="MOR81" s="2567"/>
      <c r="MOS81" s="2567"/>
      <c r="MOT81" s="2567"/>
      <c r="MOU81" s="2567"/>
      <c r="MOV81" s="2567"/>
      <c r="MOW81" s="2567"/>
      <c r="MOX81" s="2567"/>
      <c r="MOY81" s="2567"/>
      <c r="MOZ81" s="2567"/>
      <c r="MPA81" s="2567"/>
      <c r="MPB81" s="2567"/>
      <c r="MPC81" s="2567"/>
      <c r="MPD81" s="2567"/>
      <c r="MPE81" s="2567"/>
      <c r="MPF81" s="2567"/>
      <c r="MPG81" s="2567"/>
      <c r="MPH81" s="2567"/>
      <c r="MPI81" s="2567"/>
      <c r="MPJ81" s="2567"/>
      <c r="MPK81" s="2567"/>
      <c r="MPL81" s="2567"/>
      <c r="MPM81" s="2567"/>
      <c r="MPN81" s="2567"/>
      <c r="MPO81" s="2567"/>
      <c r="MPP81" s="2567"/>
      <c r="MPQ81" s="2567"/>
      <c r="MPR81" s="2567"/>
      <c r="MPS81" s="2567"/>
      <c r="MPT81" s="2567"/>
      <c r="MPU81" s="2567"/>
      <c r="MPV81" s="2567"/>
      <c r="MPW81" s="2567"/>
      <c r="MPX81" s="2567"/>
      <c r="MPY81" s="2567"/>
      <c r="MPZ81" s="2567"/>
      <c r="MQA81" s="2567"/>
      <c r="MQB81" s="2567"/>
      <c r="MQC81" s="2567"/>
      <c r="MQD81" s="2567"/>
      <c r="MQE81" s="2567"/>
      <c r="MQF81" s="2567"/>
      <c r="MQG81" s="2567"/>
      <c r="MQH81" s="2567"/>
      <c r="MQI81" s="2567"/>
      <c r="MQJ81" s="2567"/>
      <c r="MQK81" s="2567"/>
      <c r="MQL81" s="2567"/>
      <c r="MQM81" s="2567"/>
      <c r="MQN81" s="2567"/>
      <c r="MQO81" s="2567"/>
      <c r="MQP81" s="2567"/>
      <c r="MQQ81" s="2567"/>
      <c r="MQR81" s="2567"/>
      <c r="MQS81" s="2567"/>
      <c r="MQT81" s="2567"/>
      <c r="MQU81" s="2567"/>
      <c r="MQV81" s="2567"/>
      <c r="MQW81" s="2567"/>
      <c r="MQX81" s="2567"/>
      <c r="MQY81" s="2567"/>
      <c r="MQZ81" s="2567"/>
      <c r="MRA81" s="2567"/>
      <c r="MRB81" s="2567"/>
      <c r="MRC81" s="2567"/>
      <c r="MRD81" s="2567"/>
      <c r="MRE81" s="2567"/>
      <c r="MRF81" s="2567"/>
      <c r="MRG81" s="2567"/>
      <c r="MRH81" s="2567"/>
      <c r="MRI81" s="2567"/>
      <c r="MRJ81" s="2567"/>
      <c r="MRK81" s="2567"/>
      <c r="MRL81" s="2567"/>
      <c r="MRM81" s="2567"/>
      <c r="MRN81" s="2567"/>
      <c r="MRO81" s="2567"/>
      <c r="MRP81" s="2567"/>
      <c r="MRQ81" s="2567"/>
      <c r="MRR81" s="2567"/>
      <c r="MRS81" s="2567"/>
      <c r="MRT81" s="2567"/>
      <c r="MRU81" s="2567"/>
      <c r="MRV81" s="2567"/>
      <c r="MRW81" s="2567"/>
      <c r="MRX81" s="2567"/>
      <c r="MRY81" s="2567"/>
      <c r="MRZ81" s="2567"/>
      <c r="MSA81" s="2567"/>
      <c r="MSB81" s="2567"/>
      <c r="MSC81" s="2567"/>
      <c r="MSD81" s="2567"/>
      <c r="MSE81" s="2567"/>
      <c r="MSF81" s="2567"/>
      <c r="MSG81" s="2567"/>
      <c r="MSH81" s="2567"/>
      <c r="MSI81" s="2567"/>
      <c r="MSJ81" s="2567"/>
      <c r="MSK81" s="2567"/>
      <c r="MSL81" s="2567"/>
      <c r="MSM81" s="2567"/>
      <c r="MSN81" s="2567"/>
      <c r="MSO81" s="2567"/>
      <c r="MSP81" s="2567"/>
      <c r="MSQ81" s="2567"/>
      <c r="MSR81" s="2567"/>
      <c r="MSS81" s="2567"/>
      <c r="MST81" s="2567"/>
      <c r="MSU81" s="2567"/>
      <c r="MSV81" s="2567"/>
      <c r="MSW81" s="2567"/>
      <c r="MSX81" s="2567"/>
      <c r="MSY81" s="2567"/>
      <c r="MSZ81" s="2567"/>
      <c r="MTA81" s="2567"/>
      <c r="MTB81" s="2567"/>
      <c r="MTC81" s="2567"/>
      <c r="MTD81" s="2567"/>
      <c r="MTE81" s="2567"/>
      <c r="MTF81" s="2567"/>
      <c r="MTG81" s="2567"/>
      <c r="MTH81" s="2567"/>
      <c r="MTI81" s="2567"/>
      <c r="MTJ81" s="2567"/>
      <c r="MTK81" s="2567"/>
      <c r="MTL81" s="2567"/>
      <c r="MTM81" s="2567"/>
      <c r="MTN81" s="2567"/>
      <c r="MTO81" s="2567"/>
      <c r="MTP81" s="2567"/>
      <c r="MTQ81" s="2567"/>
      <c r="MTR81" s="2567"/>
      <c r="MTS81" s="2567"/>
      <c r="MTT81" s="2567"/>
      <c r="MTU81" s="2567"/>
      <c r="MTV81" s="2567"/>
      <c r="MTW81" s="2567"/>
      <c r="MTX81" s="2567"/>
      <c r="MTY81" s="2567"/>
      <c r="MTZ81" s="2567"/>
      <c r="MUA81" s="2567"/>
      <c r="MUB81" s="2567"/>
      <c r="MUC81" s="2567"/>
      <c r="MUD81" s="2567"/>
      <c r="MUE81" s="2567"/>
      <c r="MUF81" s="2567"/>
      <c r="MUG81" s="2567"/>
      <c r="MUH81" s="2567"/>
      <c r="MUI81" s="2567"/>
      <c r="MUJ81" s="2567"/>
      <c r="MUK81" s="2567"/>
      <c r="MUL81" s="2567"/>
      <c r="MUM81" s="2567"/>
      <c r="MUN81" s="2567"/>
      <c r="MUO81" s="2567"/>
      <c r="MUP81" s="2567"/>
      <c r="MUQ81" s="2567"/>
      <c r="MUR81" s="2567"/>
      <c r="MUS81" s="2567"/>
      <c r="MUT81" s="2567"/>
      <c r="MUU81" s="2567"/>
      <c r="MUV81" s="2567"/>
      <c r="MUW81" s="2567"/>
      <c r="MUX81" s="2567"/>
      <c r="MUY81" s="2567"/>
      <c r="MUZ81" s="2567"/>
      <c r="MVA81" s="2567"/>
      <c r="MVB81" s="2567"/>
      <c r="MVC81" s="2567"/>
      <c r="MVD81" s="2567"/>
      <c r="MVE81" s="2567"/>
      <c r="MVF81" s="2567"/>
      <c r="MVG81" s="2567"/>
      <c r="MVH81" s="2567"/>
      <c r="MVI81" s="2567"/>
      <c r="MVJ81" s="2567"/>
      <c r="MVK81" s="2567"/>
      <c r="MVL81" s="2567"/>
      <c r="MVM81" s="2567"/>
      <c r="MVN81" s="2567"/>
      <c r="MVO81" s="2567"/>
      <c r="MVP81" s="2567"/>
      <c r="MVQ81" s="2567"/>
      <c r="MVR81" s="2567"/>
      <c r="MVS81" s="2567"/>
      <c r="MVT81" s="2567"/>
      <c r="MVU81" s="2567"/>
      <c r="MVV81" s="2567"/>
      <c r="MVW81" s="2567"/>
      <c r="MVX81" s="2567"/>
      <c r="MVY81" s="2567"/>
      <c r="MVZ81" s="2567"/>
      <c r="MWA81" s="2567"/>
      <c r="MWB81" s="2567"/>
      <c r="MWC81" s="2567"/>
      <c r="MWD81" s="2567"/>
      <c r="MWE81" s="2567"/>
      <c r="MWF81" s="2567"/>
      <c r="MWG81" s="2567"/>
      <c r="MWH81" s="2567"/>
      <c r="MWI81" s="2567"/>
      <c r="MWJ81" s="2567"/>
      <c r="MWK81" s="2567"/>
      <c r="MWL81" s="2567"/>
      <c r="MWM81" s="2567"/>
      <c r="MWN81" s="2567"/>
      <c r="MWO81" s="2567"/>
      <c r="MWP81" s="2567"/>
      <c r="MWQ81" s="2567"/>
      <c r="MWR81" s="2567"/>
      <c r="MWS81" s="2567"/>
      <c r="MWT81" s="2567"/>
      <c r="MWU81" s="2567"/>
      <c r="MWV81" s="2567"/>
      <c r="MWW81" s="2567"/>
      <c r="MWX81" s="2567"/>
      <c r="MWY81" s="2567"/>
      <c r="MWZ81" s="2567"/>
      <c r="MXA81" s="2567"/>
      <c r="MXB81" s="2567"/>
      <c r="MXC81" s="2567"/>
      <c r="MXD81" s="2567"/>
      <c r="MXE81" s="2567"/>
      <c r="MXF81" s="2567"/>
      <c r="MXG81" s="2567"/>
      <c r="MXH81" s="2567"/>
      <c r="MXI81" s="2567"/>
      <c r="MXJ81" s="2567"/>
      <c r="MXK81" s="2567"/>
      <c r="MXL81" s="2567"/>
      <c r="MXM81" s="2567"/>
      <c r="MXN81" s="2567"/>
      <c r="MXO81" s="2567"/>
      <c r="MXP81" s="2567"/>
      <c r="MXQ81" s="2567"/>
      <c r="MXR81" s="2567"/>
      <c r="MXS81" s="2567"/>
      <c r="MXT81" s="2567"/>
      <c r="MXU81" s="2567"/>
      <c r="MXV81" s="2567"/>
      <c r="MXW81" s="2567"/>
      <c r="MXX81" s="2567"/>
      <c r="MXY81" s="2567"/>
      <c r="MXZ81" s="2567"/>
      <c r="MYA81" s="2567"/>
      <c r="MYB81" s="2567"/>
      <c r="MYC81" s="2567"/>
      <c r="MYD81" s="2567"/>
      <c r="MYE81" s="2567"/>
      <c r="MYF81" s="2567"/>
      <c r="MYG81" s="2567"/>
      <c r="MYH81" s="2567"/>
      <c r="MYI81" s="2567"/>
      <c r="MYJ81" s="2567"/>
      <c r="MYK81" s="2567"/>
      <c r="MYL81" s="2567"/>
      <c r="MYM81" s="2567"/>
      <c r="MYN81" s="2567"/>
      <c r="MYO81" s="2567"/>
      <c r="MYP81" s="2567"/>
      <c r="MYQ81" s="2567"/>
      <c r="MYR81" s="2567"/>
      <c r="MYS81" s="2567"/>
      <c r="MYT81" s="2567"/>
      <c r="MYU81" s="2567"/>
      <c r="MYV81" s="2567"/>
      <c r="MYW81" s="2567"/>
      <c r="MYX81" s="2567"/>
      <c r="MYY81" s="2567"/>
      <c r="MYZ81" s="2567"/>
      <c r="MZA81" s="2567"/>
      <c r="MZB81" s="2567"/>
      <c r="MZC81" s="2567"/>
      <c r="MZD81" s="2567"/>
      <c r="MZE81" s="2567"/>
      <c r="MZF81" s="2567"/>
      <c r="MZG81" s="2567"/>
      <c r="MZH81" s="2567"/>
      <c r="MZI81" s="2567"/>
      <c r="MZJ81" s="2567"/>
      <c r="MZK81" s="2567"/>
      <c r="MZL81" s="2567"/>
      <c r="MZM81" s="2567"/>
      <c r="MZN81" s="2567"/>
      <c r="MZO81" s="2567"/>
      <c r="MZP81" s="2567"/>
      <c r="MZQ81" s="2567"/>
      <c r="MZR81" s="2567"/>
      <c r="MZS81" s="2567"/>
      <c r="MZT81" s="2567"/>
      <c r="MZU81" s="2567"/>
      <c r="MZV81" s="2567"/>
      <c r="MZW81" s="2567"/>
      <c r="MZX81" s="2567"/>
      <c r="MZY81" s="2567"/>
      <c r="MZZ81" s="2567"/>
      <c r="NAA81" s="2567"/>
      <c r="NAB81" s="2567"/>
      <c r="NAC81" s="2567"/>
      <c r="NAD81" s="2567"/>
      <c r="NAE81" s="2567"/>
      <c r="NAF81" s="2567"/>
      <c r="NAG81" s="2567"/>
      <c r="NAH81" s="2567"/>
      <c r="NAI81" s="2567"/>
      <c r="NAJ81" s="2567"/>
      <c r="NAK81" s="2567"/>
      <c r="NAL81" s="2567"/>
      <c r="NAM81" s="2567"/>
      <c r="NAN81" s="2567"/>
      <c r="NAO81" s="2567"/>
      <c r="NAP81" s="2567"/>
      <c r="NAQ81" s="2567"/>
      <c r="NAR81" s="2567"/>
      <c r="NAS81" s="2567"/>
      <c r="NAT81" s="2567"/>
      <c r="NAU81" s="2567"/>
      <c r="NAV81" s="2567"/>
      <c r="NAW81" s="2567"/>
      <c r="NAX81" s="2567"/>
      <c r="NAY81" s="2567"/>
      <c r="NAZ81" s="2567"/>
      <c r="NBA81" s="2567"/>
      <c r="NBB81" s="2567"/>
      <c r="NBC81" s="2567"/>
      <c r="NBD81" s="2567"/>
      <c r="NBE81" s="2567"/>
      <c r="NBF81" s="2567"/>
      <c r="NBG81" s="2567"/>
      <c r="NBH81" s="2567"/>
      <c r="NBI81" s="2567"/>
      <c r="NBJ81" s="2567"/>
      <c r="NBK81" s="2567"/>
      <c r="NBL81" s="2567"/>
      <c r="NBM81" s="2567"/>
      <c r="NBN81" s="2567"/>
      <c r="NBO81" s="2567"/>
      <c r="NBP81" s="2567"/>
      <c r="NBQ81" s="2567"/>
      <c r="NBR81" s="2567"/>
      <c r="NBS81" s="2567"/>
      <c r="NBT81" s="2567"/>
      <c r="NBU81" s="2567"/>
      <c r="NBV81" s="2567"/>
      <c r="NBW81" s="2567"/>
      <c r="NBX81" s="2567"/>
      <c r="NBY81" s="2567"/>
      <c r="NBZ81" s="2567"/>
      <c r="NCA81" s="2567"/>
      <c r="NCB81" s="2567"/>
      <c r="NCC81" s="2567"/>
      <c r="NCD81" s="2567"/>
      <c r="NCE81" s="2567"/>
      <c r="NCF81" s="2567"/>
      <c r="NCG81" s="2567"/>
      <c r="NCH81" s="2567"/>
      <c r="NCI81" s="2567"/>
      <c r="NCJ81" s="2567"/>
      <c r="NCK81" s="2567"/>
      <c r="NCL81" s="2567"/>
      <c r="NCM81" s="2567"/>
      <c r="NCN81" s="2567"/>
      <c r="NCO81" s="2567"/>
      <c r="NCP81" s="2567"/>
      <c r="NCQ81" s="2567"/>
      <c r="NCR81" s="2567"/>
      <c r="NCS81" s="2567"/>
      <c r="NCT81" s="2567"/>
      <c r="NCU81" s="2567"/>
      <c r="NCV81" s="2567"/>
      <c r="NCW81" s="2567"/>
      <c r="NCX81" s="2567"/>
      <c r="NCY81" s="2567"/>
      <c r="NCZ81" s="2567"/>
      <c r="NDA81" s="2567"/>
      <c r="NDB81" s="2567"/>
      <c r="NDC81" s="2567"/>
      <c r="NDD81" s="2567"/>
      <c r="NDE81" s="2567"/>
      <c r="NDF81" s="2567"/>
      <c r="NDG81" s="2567"/>
      <c r="NDH81" s="2567"/>
      <c r="NDI81" s="2567"/>
      <c r="NDJ81" s="2567"/>
      <c r="NDK81" s="2567"/>
      <c r="NDL81" s="2567"/>
      <c r="NDM81" s="2567"/>
      <c r="NDN81" s="2567"/>
      <c r="NDO81" s="2567"/>
      <c r="NDP81" s="2567"/>
      <c r="NDQ81" s="2567"/>
      <c r="NDR81" s="2567"/>
      <c r="NDS81" s="2567"/>
      <c r="NDT81" s="2567"/>
      <c r="NDU81" s="2567"/>
      <c r="NDV81" s="2567"/>
      <c r="NDW81" s="2567"/>
      <c r="NDX81" s="2567"/>
      <c r="NDY81" s="2567"/>
      <c r="NDZ81" s="2567"/>
      <c r="NEA81" s="2567"/>
      <c r="NEB81" s="2567"/>
      <c r="NEC81" s="2567"/>
      <c r="NED81" s="2567"/>
      <c r="NEE81" s="2567"/>
      <c r="NEF81" s="2567"/>
      <c r="NEG81" s="2567"/>
      <c r="NEH81" s="2567"/>
      <c r="NEI81" s="2567"/>
      <c r="NEJ81" s="2567"/>
      <c r="NEK81" s="2567"/>
      <c r="NEL81" s="2567"/>
      <c r="NEM81" s="2567"/>
      <c r="NEN81" s="2567"/>
      <c r="NEO81" s="2567"/>
      <c r="NEP81" s="2567"/>
      <c r="NEQ81" s="2567"/>
      <c r="NER81" s="2567"/>
      <c r="NES81" s="2567"/>
      <c r="NET81" s="2567"/>
      <c r="NEU81" s="2567"/>
      <c r="NEV81" s="2567"/>
      <c r="NEW81" s="2567"/>
      <c r="NEX81" s="2567"/>
      <c r="NEY81" s="2567"/>
      <c r="NEZ81" s="2567"/>
      <c r="NFA81" s="2567"/>
      <c r="NFB81" s="2567"/>
      <c r="NFC81" s="2567"/>
      <c r="NFD81" s="2567"/>
      <c r="NFE81" s="2567"/>
      <c r="NFF81" s="2567"/>
      <c r="NFG81" s="2567"/>
      <c r="NFH81" s="2567"/>
      <c r="NFI81" s="2567"/>
      <c r="NFJ81" s="2567"/>
      <c r="NFK81" s="2567"/>
      <c r="NFL81" s="2567"/>
      <c r="NFM81" s="2567"/>
      <c r="NFN81" s="2567"/>
      <c r="NFO81" s="2567"/>
      <c r="NFP81" s="2567"/>
      <c r="NFQ81" s="2567"/>
      <c r="NFR81" s="2567"/>
      <c r="NFS81" s="2567"/>
      <c r="NFT81" s="2567"/>
      <c r="NFU81" s="2567"/>
      <c r="NFV81" s="2567"/>
      <c r="NFW81" s="2567"/>
      <c r="NFX81" s="2567"/>
      <c r="NFY81" s="2567"/>
      <c r="NFZ81" s="2567"/>
      <c r="NGA81" s="2567"/>
      <c r="NGB81" s="2567"/>
      <c r="NGC81" s="2567"/>
      <c r="NGD81" s="2567"/>
      <c r="NGE81" s="2567"/>
      <c r="NGF81" s="2567"/>
      <c r="NGG81" s="2567"/>
      <c r="NGH81" s="2567"/>
      <c r="NGI81" s="2567"/>
      <c r="NGJ81" s="2567"/>
      <c r="NGK81" s="2567"/>
      <c r="NGL81" s="2567"/>
      <c r="NGM81" s="2567"/>
      <c r="NGN81" s="2567"/>
      <c r="NGO81" s="2567"/>
      <c r="NGP81" s="2567"/>
      <c r="NGQ81" s="2567"/>
      <c r="NGR81" s="2567"/>
      <c r="NGS81" s="2567"/>
      <c r="NGT81" s="2567"/>
      <c r="NGU81" s="2567"/>
      <c r="NGV81" s="2567"/>
      <c r="NGW81" s="2567"/>
      <c r="NGX81" s="2567"/>
      <c r="NGY81" s="2567"/>
      <c r="NGZ81" s="2567"/>
      <c r="NHA81" s="2567"/>
      <c r="NHB81" s="2567"/>
      <c r="NHC81" s="2567"/>
      <c r="NHD81" s="2567"/>
      <c r="NHE81" s="2567"/>
      <c r="NHF81" s="2567"/>
      <c r="NHG81" s="2567"/>
      <c r="NHH81" s="2567"/>
      <c r="NHI81" s="2567"/>
      <c r="NHJ81" s="2567"/>
      <c r="NHK81" s="2567"/>
      <c r="NHL81" s="2567"/>
      <c r="NHM81" s="2567"/>
      <c r="NHN81" s="2567"/>
      <c r="NHO81" s="2567"/>
      <c r="NHP81" s="2567"/>
      <c r="NHQ81" s="2567"/>
      <c r="NHR81" s="2567"/>
      <c r="NHS81" s="2567"/>
      <c r="NHT81" s="2567"/>
      <c r="NHU81" s="2567"/>
      <c r="NHV81" s="2567"/>
      <c r="NHW81" s="2567"/>
      <c r="NHX81" s="2567"/>
      <c r="NHY81" s="2567"/>
      <c r="NHZ81" s="2567"/>
      <c r="NIA81" s="2567"/>
      <c r="NIB81" s="2567"/>
      <c r="NIC81" s="2567"/>
      <c r="NID81" s="2567"/>
      <c r="NIE81" s="2567"/>
      <c r="NIF81" s="2567"/>
      <c r="NIG81" s="2567"/>
      <c r="NIH81" s="2567"/>
      <c r="NII81" s="2567"/>
      <c r="NIJ81" s="2567"/>
      <c r="NIK81" s="2567"/>
      <c r="NIL81" s="2567"/>
      <c r="NIM81" s="2567"/>
      <c r="NIN81" s="2567"/>
      <c r="NIO81" s="2567"/>
      <c r="NIP81" s="2567"/>
      <c r="NIQ81" s="2567"/>
      <c r="NIR81" s="2567"/>
      <c r="NIS81" s="2567"/>
      <c r="NIT81" s="2567"/>
      <c r="NIU81" s="2567"/>
      <c r="NIV81" s="2567"/>
      <c r="NIW81" s="2567"/>
      <c r="NIX81" s="2567"/>
      <c r="NIY81" s="2567"/>
      <c r="NIZ81" s="2567"/>
      <c r="NJA81" s="2567"/>
      <c r="NJB81" s="2567"/>
      <c r="NJC81" s="2567"/>
      <c r="NJD81" s="2567"/>
      <c r="NJE81" s="2567"/>
      <c r="NJF81" s="2567"/>
      <c r="NJG81" s="2567"/>
      <c r="NJH81" s="2567"/>
      <c r="NJI81" s="2567"/>
      <c r="NJJ81" s="2567"/>
      <c r="NJK81" s="2567"/>
      <c r="NJL81" s="2567"/>
      <c r="NJM81" s="2567"/>
      <c r="NJN81" s="2567"/>
      <c r="NJO81" s="2567"/>
      <c r="NJP81" s="2567"/>
      <c r="NJQ81" s="2567"/>
      <c r="NJR81" s="2567"/>
      <c r="NJS81" s="2567"/>
      <c r="NJT81" s="2567"/>
      <c r="NJU81" s="2567"/>
      <c r="NJV81" s="2567"/>
      <c r="NJW81" s="2567"/>
      <c r="NJX81" s="2567"/>
      <c r="NJY81" s="2567"/>
      <c r="NJZ81" s="2567"/>
      <c r="NKA81" s="2567"/>
      <c r="NKB81" s="2567"/>
      <c r="NKC81" s="2567"/>
      <c r="NKD81" s="2567"/>
      <c r="NKE81" s="2567"/>
      <c r="NKF81" s="2567"/>
      <c r="NKG81" s="2567"/>
      <c r="NKH81" s="2567"/>
      <c r="NKI81" s="2567"/>
      <c r="NKJ81" s="2567"/>
      <c r="NKK81" s="2567"/>
      <c r="NKL81" s="2567"/>
      <c r="NKM81" s="2567"/>
      <c r="NKN81" s="2567"/>
      <c r="NKO81" s="2567"/>
      <c r="NKP81" s="2567"/>
      <c r="NKQ81" s="2567"/>
      <c r="NKR81" s="2567"/>
      <c r="NKS81" s="2567"/>
      <c r="NKT81" s="2567"/>
      <c r="NKU81" s="2567"/>
      <c r="NKV81" s="2567"/>
      <c r="NKW81" s="2567"/>
      <c r="NKX81" s="2567"/>
      <c r="NKY81" s="2567"/>
      <c r="NKZ81" s="2567"/>
      <c r="NLA81" s="2567"/>
      <c r="NLB81" s="2567"/>
      <c r="NLC81" s="2567"/>
      <c r="NLD81" s="2567"/>
      <c r="NLE81" s="2567"/>
      <c r="NLF81" s="2567"/>
      <c r="NLG81" s="2567"/>
      <c r="NLH81" s="2567"/>
      <c r="NLI81" s="2567"/>
      <c r="NLJ81" s="2567"/>
      <c r="NLK81" s="2567"/>
      <c r="NLL81" s="2567"/>
      <c r="NLM81" s="2567"/>
      <c r="NLN81" s="2567"/>
      <c r="NLO81" s="2567"/>
      <c r="NLP81" s="2567"/>
      <c r="NLQ81" s="2567"/>
      <c r="NLR81" s="2567"/>
      <c r="NLS81" s="2567"/>
      <c r="NLT81" s="2567"/>
      <c r="NLU81" s="2567"/>
      <c r="NLV81" s="2567"/>
      <c r="NLW81" s="2567"/>
      <c r="NLX81" s="2567"/>
      <c r="NLY81" s="2567"/>
      <c r="NLZ81" s="2567"/>
      <c r="NMA81" s="2567"/>
      <c r="NMB81" s="2567"/>
      <c r="NMC81" s="2567"/>
      <c r="NMD81" s="2567"/>
      <c r="NME81" s="2567"/>
      <c r="NMF81" s="2567"/>
      <c r="NMG81" s="2567"/>
      <c r="NMH81" s="2567"/>
      <c r="NMI81" s="2567"/>
      <c r="NMJ81" s="2567"/>
      <c r="NMK81" s="2567"/>
      <c r="NML81" s="2567"/>
      <c r="NMM81" s="2567"/>
      <c r="NMN81" s="2567"/>
      <c r="NMO81" s="2567"/>
      <c r="NMP81" s="2567"/>
      <c r="NMQ81" s="2567"/>
      <c r="NMR81" s="2567"/>
      <c r="NMS81" s="2567"/>
      <c r="NMT81" s="2567"/>
      <c r="NMU81" s="2567"/>
      <c r="NMV81" s="2567"/>
      <c r="NMW81" s="2567"/>
      <c r="NMX81" s="2567"/>
      <c r="NMY81" s="2567"/>
      <c r="NMZ81" s="2567"/>
      <c r="NNA81" s="2567"/>
      <c r="NNB81" s="2567"/>
      <c r="NNC81" s="2567"/>
      <c r="NND81" s="2567"/>
      <c r="NNE81" s="2567"/>
      <c r="NNF81" s="2567"/>
      <c r="NNG81" s="2567"/>
      <c r="NNH81" s="2567"/>
      <c r="NNI81" s="2567"/>
      <c r="NNJ81" s="2567"/>
      <c r="NNK81" s="2567"/>
      <c r="NNL81" s="2567"/>
      <c r="NNM81" s="2567"/>
      <c r="NNN81" s="2567"/>
      <c r="NNO81" s="2567"/>
      <c r="NNP81" s="2567"/>
      <c r="NNQ81" s="2567"/>
      <c r="NNR81" s="2567"/>
      <c r="NNS81" s="2567"/>
      <c r="NNT81" s="2567"/>
      <c r="NNU81" s="2567"/>
      <c r="NNV81" s="2567"/>
      <c r="NNW81" s="2567"/>
      <c r="NNX81" s="2567"/>
      <c r="NNY81" s="2567"/>
      <c r="NNZ81" s="2567"/>
      <c r="NOA81" s="2567"/>
      <c r="NOB81" s="2567"/>
      <c r="NOC81" s="2567"/>
      <c r="NOD81" s="2567"/>
      <c r="NOE81" s="2567"/>
      <c r="NOF81" s="2567"/>
      <c r="NOG81" s="2567"/>
      <c r="NOH81" s="2567"/>
      <c r="NOI81" s="2567"/>
      <c r="NOJ81" s="2567"/>
      <c r="NOK81" s="2567"/>
      <c r="NOL81" s="2567"/>
      <c r="NOM81" s="2567"/>
      <c r="NON81" s="2567"/>
      <c r="NOO81" s="2567"/>
      <c r="NOP81" s="2567"/>
      <c r="NOQ81" s="2567"/>
      <c r="NOR81" s="2567"/>
      <c r="NOS81" s="2567"/>
      <c r="NOT81" s="2567"/>
      <c r="NOU81" s="2567"/>
      <c r="NOV81" s="2567"/>
      <c r="NOW81" s="2567"/>
      <c r="NOX81" s="2567"/>
      <c r="NOY81" s="2567"/>
      <c r="NOZ81" s="2567"/>
      <c r="NPA81" s="2567"/>
      <c r="NPB81" s="2567"/>
      <c r="NPC81" s="2567"/>
      <c r="NPD81" s="2567"/>
      <c r="NPE81" s="2567"/>
      <c r="NPF81" s="2567"/>
      <c r="NPG81" s="2567"/>
      <c r="NPH81" s="2567"/>
      <c r="NPI81" s="2567"/>
      <c r="NPJ81" s="2567"/>
      <c r="NPK81" s="2567"/>
      <c r="NPL81" s="2567"/>
      <c r="NPM81" s="2567"/>
      <c r="NPN81" s="2567"/>
      <c r="NPO81" s="2567"/>
      <c r="NPP81" s="2567"/>
      <c r="NPQ81" s="2567"/>
      <c r="NPR81" s="2567"/>
      <c r="NPS81" s="2567"/>
      <c r="NPT81" s="2567"/>
      <c r="NPU81" s="2567"/>
      <c r="NPV81" s="2567"/>
      <c r="NPW81" s="2567"/>
      <c r="NPX81" s="2567"/>
      <c r="NPY81" s="2567"/>
      <c r="NPZ81" s="2567"/>
      <c r="NQA81" s="2567"/>
      <c r="NQB81" s="2567"/>
      <c r="NQC81" s="2567"/>
      <c r="NQD81" s="2567"/>
      <c r="NQE81" s="2567"/>
      <c r="NQF81" s="2567"/>
      <c r="NQG81" s="2567"/>
      <c r="NQH81" s="2567"/>
      <c r="NQI81" s="2567"/>
      <c r="NQJ81" s="2567"/>
      <c r="NQK81" s="2567"/>
      <c r="NQL81" s="2567"/>
      <c r="NQM81" s="2567"/>
      <c r="NQN81" s="2567"/>
      <c r="NQO81" s="2567"/>
      <c r="NQP81" s="2567"/>
      <c r="NQQ81" s="2567"/>
      <c r="NQR81" s="2567"/>
      <c r="NQS81" s="2567"/>
      <c r="NQT81" s="2567"/>
      <c r="NQU81" s="2567"/>
      <c r="NQV81" s="2567"/>
      <c r="NQW81" s="2567"/>
      <c r="NQX81" s="2567"/>
      <c r="NQY81" s="2567"/>
      <c r="NQZ81" s="2567"/>
      <c r="NRA81" s="2567"/>
      <c r="NRB81" s="2567"/>
      <c r="NRC81" s="2567"/>
      <c r="NRD81" s="2567"/>
      <c r="NRE81" s="2567"/>
      <c r="NRF81" s="2567"/>
      <c r="NRG81" s="2567"/>
      <c r="NRH81" s="2567"/>
      <c r="NRI81" s="2567"/>
      <c r="NRJ81" s="2567"/>
      <c r="NRK81" s="2567"/>
      <c r="NRL81" s="2567"/>
      <c r="NRM81" s="2567"/>
      <c r="NRN81" s="2567"/>
      <c r="NRO81" s="2567"/>
      <c r="NRP81" s="2567"/>
      <c r="NRQ81" s="2567"/>
      <c r="NRR81" s="2567"/>
      <c r="NRS81" s="2567"/>
      <c r="NRT81" s="2567"/>
      <c r="NRU81" s="2567"/>
      <c r="NRV81" s="2567"/>
      <c r="NRW81" s="2567"/>
      <c r="NRX81" s="2567"/>
      <c r="NRY81" s="2567"/>
      <c r="NRZ81" s="2567"/>
      <c r="NSA81" s="2567"/>
      <c r="NSB81" s="2567"/>
      <c r="NSC81" s="2567"/>
      <c r="NSD81" s="2567"/>
      <c r="NSE81" s="2567"/>
      <c r="NSF81" s="2567"/>
      <c r="NSG81" s="2567"/>
      <c r="NSH81" s="2567"/>
      <c r="NSI81" s="2567"/>
      <c r="NSJ81" s="2567"/>
      <c r="NSK81" s="2567"/>
      <c r="NSL81" s="2567"/>
      <c r="NSM81" s="2567"/>
      <c r="NSN81" s="2567"/>
      <c r="NSO81" s="2567"/>
      <c r="NSP81" s="2567"/>
      <c r="NSQ81" s="2567"/>
      <c r="NSR81" s="2567"/>
      <c r="NSS81" s="2567"/>
      <c r="NST81" s="2567"/>
      <c r="NSU81" s="2567"/>
      <c r="NSV81" s="2567"/>
      <c r="NSW81" s="2567"/>
      <c r="NSX81" s="2567"/>
      <c r="NSY81" s="2567"/>
      <c r="NSZ81" s="2567"/>
      <c r="NTA81" s="2567"/>
      <c r="NTB81" s="2567"/>
      <c r="NTC81" s="2567"/>
      <c r="NTD81" s="2567"/>
      <c r="NTE81" s="2567"/>
      <c r="NTF81" s="2567"/>
      <c r="NTG81" s="2567"/>
      <c r="NTH81" s="2567"/>
      <c r="NTI81" s="2567"/>
      <c r="NTJ81" s="2567"/>
      <c r="NTK81" s="2567"/>
      <c r="NTL81" s="2567"/>
      <c r="NTM81" s="2567"/>
      <c r="NTN81" s="2567"/>
      <c r="NTO81" s="2567"/>
      <c r="NTP81" s="2567"/>
      <c r="NTQ81" s="2567"/>
      <c r="NTR81" s="2567"/>
      <c r="NTS81" s="2567"/>
      <c r="NTT81" s="2567"/>
      <c r="NTU81" s="2567"/>
      <c r="NTV81" s="2567"/>
      <c r="NTW81" s="2567"/>
      <c r="NTX81" s="2567"/>
      <c r="NTY81" s="2567"/>
      <c r="NTZ81" s="2567"/>
      <c r="NUA81" s="2567"/>
      <c r="NUB81" s="2567"/>
      <c r="NUC81" s="2567"/>
      <c r="NUD81" s="2567"/>
      <c r="NUE81" s="2567"/>
      <c r="NUF81" s="2567"/>
      <c r="NUG81" s="2567"/>
      <c r="NUH81" s="2567"/>
      <c r="NUI81" s="2567"/>
      <c r="NUJ81" s="2567"/>
      <c r="NUK81" s="2567"/>
      <c r="NUL81" s="2567"/>
      <c r="NUM81" s="2567"/>
      <c r="NUN81" s="2567"/>
      <c r="NUO81" s="2567"/>
      <c r="NUP81" s="2567"/>
      <c r="NUQ81" s="2567"/>
      <c r="NUR81" s="2567"/>
      <c r="NUS81" s="2567"/>
      <c r="NUT81" s="2567"/>
      <c r="NUU81" s="2567"/>
      <c r="NUV81" s="2567"/>
      <c r="NUW81" s="2567"/>
      <c r="NUX81" s="2567"/>
      <c r="NUY81" s="2567"/>
      <c r="NUZ81" s="2567"/>
      <c r="NVA81" s="2567"/>
      <c r="NVB81" s="2567"/>
      <c r="NVC81" s="2567"/>
      <c r="NVD81" s="2567"/>
      <c r="NVE81" s="2567"/>
      <c r="NVF81" s="2567"/>
      <c r="NVG81" s="2567"/>
      <c r="NVH81" s="2567"/>
      <c r="NVI81" s="2567"/>
      <c r="NVJ81" s="2567"/>
      <c r="NVK81" s="2567"/>
      <c r="NVL81" s="2567"/>
      <c r="NVM81" s="2567"/>
      <c r="NVN81" s="2567"/>
      <c r="NVO81" s="2567"/>
      <c r="NVP81" s="2567"/>
      <c r="NVQ81" s="2567"/>
      <c r="NVR81" s="2567"/>
      <c r="NVS81" s="2567"/>
      <c r="NVT81" s="2567"/>
      <c r="NVU81" s="2567"/>
      <c r="NVV81" s="2567"/>
      <c r="NVW81" s="2567"/>
      <c r="NVX81" s="2567"/>
      <c r="NVY81" s="2567"/>
      <c r="NVZ81" s="2567"/>
      <c r="NWA81" s="2567"/>
      <c r="NWB81" s="2567"/>
      <c r="NWC81" s="2567"/>
      <c r="NWD81" s="2567"/>
      <c r="NWE81" s="2567"/>
      <c r="NWF81" s="2567"/>
      <c r="NWG81" s="2567"/>
      <c r="NWH81" s="2567"/>
      <c r="NWI81" s="2567"/>
      <c r="NWJ81" s="2567"/>
      <c r="NWK81" s="2567"/>
      <c r="NWL81" s="2567"/>
      <c r="NWM81" s="2567"/>
      <c r="NWN81" s="2567"/>
      <c r="NWO81" s="2567"/>
      <c r="NWP81" s="2567"/>
      <c r="NWQ81" s="2567"/>
      <c r="NWR81" s="2567"/>
      <c r="NWS81" s="2567"/>
      <c r="NWT81" s="2567"/>
      <c r="NWU81" s="2567"/>
      <c r="NWV81" s="2567"/>
      <c r="NWW81" s="2567"/>
      <c r="NWX81" s="2567"/>
      <c r="NWY81" s="2567"/>
      <c r="NWZ81" s="2567"/>
      <c r="NXA81" s="2567"/>
      <c r="NXB81" s="2567"/>
      <c r="NXC81" s="2567"/>
      <c r="NXD81" s="2567"/>
      <c r="NXE81" s="2567"/>
      <c r="NXF81" s="2567"/>
      <c r="NXG81" s="2567"/>
      <c r="NXH81" s="2567"/>
      <c r="NXI81" s="2567"/>
      <c r="NXJ81" s="2567"/>
      <c r="NXK81" s="2567"/>
      <c r="NXL81" s="2567"/>
      <c r="NXM81" s="2567"/>
      <c r="NXN81" s="2567"/>
      <c r="NXO81" s="2567"/>
      <c r="NXP81" s="2567"/>
      <c r="NXQ81" s="2567"/>
      <c r="NXR81" s="2567"/>
      <c r="NXS81" s="2567"/>
      <c r="NXT81" s="2567"/>
      <c r="NXU81" s="2567"/>
      <c r="NXV81" s="2567"/>
      <c r="NXW81" s="2567"/>
      <c r="NXX81" s="2567"/>
      <c r="NXY81" s="2567"/>
      <c r="NXZ81" s="2567"/>
      <c r="NYA81" s="2567"/>
      <c r="NYB81" s="2567"/>
      <c r="NYC81" s="2567"/>
      <c r="NYD81" s="2567"/>
      <c r="NYE81" s="2567"/>
      <c r="NYF81" s="2567"/>
      <c r="NYG81" s="2567"/>
      <c r="NYH81" s="2567"/>
      <c r="NYI81" s="2567"/>
      <c r="NYJ81" s="2567"/>
      <c r="NYK81" s="2567"/>
      <c r="NYL81" s="2567"/>
      <c r="NYM81" s="2567"/>
      <c r="NYN81" s="2567"/>
      <c r="NYO81" s="2567"/>
      <c r="NYP81" s="2567"/>
      <c r="NYQ81" s="2567"/>
      <c r="NYR81" s="2567"/>
      <c r="NYS81" s="2567"/>
      <c r="NYT81" s="2567"/>
      <c r="NYU81" s="2567"/>
      <c r="NYV81" s="2567"/>
      <c r="NYW81" s="2567"/>
      <c r="NYX81" s="2567"/>
      <c r="NYY81" s="2567"/>
      <c r="NYZ81" s="2567"/>
      <c r="NZA81" s="2567"/>
      <c r="NZB81" s="2567"/>
      <c r="NZC81" s="2567"/>
      <c r="NZD81" s="2567"/>
      <c r="NZE81" s="2567"/>
      <c r="NZF81" s="2567"/>
      <c r="NZG81" s="2567"/>
      <c r="NZH81" s="2567"/>
      <c r="NZI81" s="2567"/>
      <c r="NZJ81" s="2567"/>
      <c r="NZK81" s="2567"/>
      <c r="NZL81" s="2567"/>
      <c r="NZM81" s="2567"/>
      <c r="NZN81" s="2567"/>
      <c r="NZO81" s="2567"/>
      <c r="NZP81" s="2567"/>
      <c r="NZQ81" s="2567"/>
      <c r="NZR81" s="2567"/>
      <c r="NZS81" s="2567"/>
      <c r="NZT81" s="2567"/>
      <c r="NZU81" s="2567"/>
      <c r="NZV81" s="2567"/>
      <c r="NZW81" s="2567"/>
      <c r="NZX81" s="2567"/>
      <c r="NZY81" s="2567"/>
      <c r="NZZ81" s="2567"/>
      <c r="OAA81" s="2567"/>
      <c r="OAB81" s="2567"/>
      <c r="OAC81" s="2567"/>
      <c r="OAD81" s="2567"/>
      <c r="OAE81" s="2567"/>
      <c r="OAF81" s="2567"/>
      <c r="OAG81" s="2567"/>
      <c r="OAH81" s="2567"/>
      <c r="OAI81" s="2567"/>
      <c r="OAJ81" s="2567"/>
      <c r="OAK81" s="2567"/>
      <c r="OAL81" s="2567"/>
      <c r="OAM81" s="2567"/>
      <c r="OAN81" s="2567"/>
      <c r="OAO81" s="2567"/>
      <c r="OAP81" s="2567"/>
      <c r="OAQ81" s="2567"/>
      <c r="OAR81" s="2567"/>
      <c r="OAS81" s="2567"/>
      <c r="OAT81" s="2567"/>
      <c r="OAU81" s="2567"/>
      <c r="OAV81" s="2567"/>
      <c r="OAW81" s="2567"/>
      <c r="OAX81" s="2567"/>
      <c r="OAY81" s="2567"/>
      <c r="OAZ81" s="2567"/>
      <c r="OBA81" s="2567"/>
      <c r="OBB81" s="2567"/>
      <c r="OBC81" s="2567"/>
      <c r="OBD81" s="2567"/>
      <c r="OBE81" s="2567"/>
      <c r="OBF81" s="2567"/>
      <c r="OBG81" s="2567"/>
      <c r="OBH81" s="2567"/>
      <c r="OBI81" s="2567"/>
      <c r="OBJ81" s="2567"/>
      <c r="OBK81" s="2567"/>
      <c r="OBL81" s="2567"/>
      <c r="OBM81" s="2567"/>
      <c r="OBN81" s="2567"/>
      <c r="OBO81" s="2567"/>
      <c r="OBP81" s="2567"/>
      <c r="OBQ81" s="2567"/>
      <c r="OBR81" s="2567"/>
      <c r="OBS81" s="2567"/>
      <c r="OBT81" s="2567"/>
      <c r="OBU81" s="2567"/>
      <c r="OBV81" s="2567"/>
      <c r="OBW81" s="2567"/>
      <c r="OBX81" s="2567"/>
      <c r="OBY81" s="2567"/>
      <c r="OBZ81" s="2567"/>
      <c r="OCA81" s="2567"/>
      <c r="OCB81" s="2567"/>
      <c r="OCC81" s="2567"/>
      <c r="OCD81" s="2567"/>
      <c r="OCE81" s="2567"/>
      <c r="OCF81" s="2567"/>
      <c r="OCG81" s="2567"/>
      <c r="OCH81" s="2567"/>
      <c r="OCI81" s="2567"/>
      <c r="OCJ81" s="2567"/>
      <c r="OCK81" s="2567"/>
      <c r="OCL81" s="2567"/>
      <c r="OCM81" s="2567"/>
      <c r="OCN81" s="2567"/>
      <c r="OCO81" s="2567"/>
      <c r="OCP81" s="2567"/>
      <c r="OCQ81" s="2567"/>
      <c r="OCR81" s="2567"/>
      <c r="OCS81" s="2567"/>
      <c r="OCT81" s="2567"/>
      <c r="OCU81" s="2567"/>
      <c r="OCV81" s="2567"/>
      <c r="OCW81" s="2567"/>
      <c r="OCX81" s="2567"/>
      <c r="OCY81" s="2567"/>
      <c r="OCZ81" s="2567"/>
      <c r="ODA81" s="2567"/>
      <c r="ODB81" s="2567"/>
      <c r="ODC81" s="2567"/>
      <c r="ODD81" s="2567"/>
      <c r="ODE81" s="2567"/>
      <c r="ODF81" s="2567"/>
      <c r="ODG81" s="2567"/>
      <c r="ODH81" s="2567"/>
      <c r="ODI81" s="2567"/>
      <c r="ODJ81" s="2567"/>
      <c r="ODK81" s="2567"/>
      <c r="ODL81" s="2567"/>
      <c r="ODM81" s="2567"/>
      <c r="ODN81" s="2567"/>
      <c r="ODO81" s="2567"/>
      <c r="ODP81" s="2567"/>
      <c r="ODQ81" s="2567"/>
      <c r="ODR81" s="2567"/>
      <c r="ODS81" s="2567"/>
      <c r="ODT81" s="2567"/>
      <c r="ODU81" s="2567"/>
      <c r="ODV81" s="2567"/>
      <c r="ODW81" s="2567"/>
      <c r="ODX81" s="2567"/>
      <c r="ODY81" s="2567"/>
      <c r="ODZ81" s="2567"/>
      <c r="OEA81" s="2567"/>
      <c r="OEB81" s="2567"/>
      <c r="OEC81" s="2567"/>
      <c r="OED81" s="2567"/>
      <c r="OEE81" s="2567"/>
      <c r="OEF81" s="2567"/>
      <c r="OEG81" s="2567"/>
      <c r="OEH81" s="2567"/>
      <c r="OEI81" s="2567"/>
      <c r="OEJ81" s="2567"/>
      <c r="OEK81" s="2567"/>
      <c r="OEL81" s="2567"/>
      <c r="OEM81" s="2567"/>
      <c r="OEN81" s="2567"/>
      <c r="OEO81" s="2567"/>
      <c r="OEP81" s="2567"/>
      <c r="OEQ81" s="2567"/>
      <c r="OER81" s="2567"/>
      <c r="OES81" s="2567"/>
      <c r="OET81" s="2567"/>
      <c r="OEU81" s="2567"/>
      <c r="OEV81" s="2567"/>
      <c r="OEW81" s="2567"/>
      <c r="OEX81" s="2567"/>
      <c r="OEY81" s="2567"/>
      <c r="OEZ81" s="2567"/>
      <c r="OFA81" s="2567"/>
      <c r="OFB81" s="2567"/>
      <c r="OFC81" s="2567"/>
      <c r="OFD81" s="2567"/>
      <c r="OFE81" s="2567"/>
      <c r="OFF81" s="2567"/>
      <c r="OFG81" s="2567"/>
      <c r="OFH81" s="2567"/>
      <c r="OFI81" s="2567"/>
      <c r="OFJ81" s="2567"/>
      <c r="OFK81" s="2567"/>
      <c r="OFL81" s="2567"/>
      <c r="OFM81" s="2567"/>
      <c r="OFN81" s="2567"/>
      <c r="OFO81" s="2567"/>
      <c r="OFP81" s="2567"/>
      <c r="OFQ81" s="2567"/>
      <c r="OFR81" s="2567"/>
      <c r="OFS81" s="2567"/>
      <c r="OFT81" s="2567"/>
      <c r="OFU81" s="2567"/>
      <c r="OFV81" s="2567"/>
      <c r="OFW81" s="2567"/>
      <c r="OFX81" s="2567"/>
      <c r="OFY81" s="2567"/>
      <c r="OFZ81" s="2567"/>
      <c r="OGA81" s="2567"/>
      <c r="OGB81" s="2567"/>
      <c r="OGC81" s="2567"/>
      <c r="OGD81" s="2567"/>
      <c r="OGE81" s="2567"/>
      <c r="OGF81" s="2567"/>
      <c r="OGG81" s="2567"/>
      <c r="OGH81" s="2567"/>
      <c r="OGI81" s="2567"/>
      <c r="OGJ81" s="2567"/>
      <c r="OGK81" s="2567"/>
      <c r="OGL81" s="2567"/>
      <c r="OGM81" s="2567"/>
      <c r="OGN81" s="2567"/>
      <c r="OGO81" s="2567"/>
      <c r="OGP81" s="2567"/>
      <c r="OGQ81" s="2567"/>
      <c r="OGR81" s="2567"/>
      <c r="OGS81" s="2567"/>
      <c r="OGT81" s="2567"/>
      <c r="OGU81" s="2567"/>
      <c r="OGV81" s="2567"/>
      <c r="OGW81" s="2567"/>
      <c r="OGX81" s="2567"/>
      <c r="OGY81" s="2567"/>
      <c r="OGZ81" s="2567"/>
      <c r="OHA81" s="2567"/>
      <c r="OHB81" s="2567"/>
      <c r="OHC81" s="2567"/>
      <c r="OHD81" s="2567"/>
      <c r="OHE81" s="2567"/>
      <c r="OHF81" s="2567"/>
      <c r="OHG81" s="2567"/>
      <c r="OHH81" s="2567"/>
      <c r="OHI81" s="2567"/>
      <c r="OHJ81" s="2567"/>
      <c r="OHK81" s="2567"/>
      <c r="OHL81" s="2567"/>
      <c r="OHM81" s="2567"/>
      <c r="OHN81" s="2567"/>
      <c r="OHO81" s="2567"/>
      <c r="OHP81" s="2567"/>
      <c r="OHQ81" s="2567"/>
      <c r="OHR81" s="2567"/>
      <c r="OHS81" s="2567"/>
      <c r="OHT81" s="2567"/>
      <c r="OHU81" s="2567"/>
      <c r="OHV81" s="2567"/>
      <c r="OHW81" s="2567"/>
      <c r="OHX81" s="2567"/>
      <c r="OHY81" s="2567"/>
      <c r="OHZ81" s="2567"/>
      <c r="OIA81" s="2567"/>
      <c r="OIB81" s="2567"/>
      <c r="OIC81" s="2567"/>
      <c r="OID81" s="2567"/>
      <c r="OIE81" s="2567"/>
      <c r="OIF81" s="2567"/>
      <c r="OIG81" s="2567"/>
      <c r="OIH81" s="2567"/>
      <c r="OII81" s="2567"/>
      <c r="OIJ81" s="2567"/>
      <c r="OIK81" s="2567"/>
      <c r="OIL81" s="2567"/>
      <c r="OIM81" s="2567"/>
      <c r="OIN81" s="2567"/>
      <c r="OIO81" s="2567"/>
      <c r="OIP81" s="2567"/>
      <c r="OIQ81" s="2567"/>
      <c r="OIR81" s="2567"/>
      <c r="OIS81" s="2567"/>
      <c r="OIT81" s="2567"/>
      <c r="OIU81" s="2567"/>
      <c r="OIV81" s="2567"/>
      <c r="OIW81" s="2567"/>
      <c r="OIX81" s="2567"/>
      <c r="OIY81" s="2567"/>
      <c r="OIZ81" s="2567"/>
      <c r="OJA81" s="2567"/>
      <c r="OJB81" s="2567"/>
      <c r="OJC81" s="2567"/>
      <c r="OJD81" s="2567"/>
      <c r="OJE81" s="2567"/>
      <c r="OJF81" s="2567"/>
      <c r="OJG81" s="2567"/>
      <c r="OJH81" s="2567"/>
      <c r="OJI81" s="2567"/>
      <c r="OJJ81" s="2567"/>
      <c r="OJK81" s="2567"/>
      <c r="OJL81" s="2567"/>
      <c r="OJM81" s="2567"/>
      <c r="OJN81" s="2567"/>
      <c r="OJO81" s="2567"/>
      <c r="OJP81" s="2567"/>
      <c r="OJQ81" s="2567"/>
      <c r="OJR81" s="2567"/>
      <c r="OJS81" s="2567"/>
      <c r="OJT81" s="2567"/>
      <c r="OJU81" s="2567"/>
      <c r="OJV81" s="2567"/>
      <c r="OJW81" s="2567"/>
      <c r="OJX81" s="2567"/>
      <c r="OJY81" s="2567"/>
      <c r="OJZ81" s="2567"/>
      <c r="OKA81" s="2567"/>
      <c r="OKB81" s="2567"/>
      <c r="OKC81" s="2567"/>
      <c r="OKD81" s="2567"/>
      <c r="OKE81" s="2567"/>
      <c r="OKF81" s="2567"/>
      <c r="OKG81" s="2567"/>
      <c r="OKH81" s="2567"/>
      <c r="OKI81" s="2567"/>
      <c r="OKJ81" s="2567"/>
      <c r="OKK81" s="2567"/>
      <c r="OKL81" s="2567"/>
      <c r="OKM81" s="2567"/>
      <c r="OKN81" s="2567"/>
      <c r="OKO81" s="2567"/>
      <c r="OKP81" s="2567"/>
      <c r="OKQ81" s="2567"/>
      <c r="OKR81" s="2567"/>
      <c r="OKS81" s="2567"/>
      <c r="OKT81" s="2567"/>
      <c r="OKU81" s="2567"/>
      <c r="OKV81" s="2567"/>
      <c r="OKW81" s="2567"/>
      <c r="OKX81" s="2567"/>
      <c r="OKY81" s="2567"/>
      <c r="OKZ81" s="2567"/>
      <c r="OLA81" s="2567"/>
      <c r="OLB81" s="2567"/>
      <c r="OLC81" s="2567"/>
      <c r="OLD81" s="2567"/>
      <c r="OLE81" s="2567"/>
      <c r="OLF81" s="2567"/>
      <c r="OLG81" s="2567"/>
      <c r="OLH81" s="2567"/>
      <c r="OLI81" s="2567"/>
      <c r="OLJ81" s="2567"/>
      <c r="OLK81" s="2567"/>
      <c r="OLL81" s="2567"/>
      <c r="OLM81" s="2567"/>
      <c r="OLN81" s="2567"/>
      <c r="OLO81" s="2567"/>
      <c r="OLP81" s="2567"/>
      <c r="OLQ81" s="2567"/>
      <c r="OLR81" s="2567"/>
      <c r="OLS81" s="2567"/>
      <c r="OLT81" s="2567"/>
      <c r="OLU81" s="2567"/>
      <c r="OLV81" s="2567"/>
      <c r="OLW81" s="2567"/>
      <c r="OLX81" s="2567"/>
      <c r="OLY81" s="2567"/>
      <c r="OLZ81" s="2567"/>
      <c r="OMA81" s="2567"/>
      <c r="OMB81" s="2567"/>
      <c r="OMC81" s="2567"/>
      <c r="OMD81" s="2567"/>
      <c r="OME81" s="2567"/>
      <c r="OMF81" s="2567"/>
      <c r="OMG81" s="2567"/>
      <c r="OMH81" s="2567"/>
      <c r="OMI81" s="2567"/>
      <c r="OMJ81" s="2567"/>
      <c r="OMK81" s="2567"/>
      <c r="OML81" s="2567"/>
      <c r="OMM81" s="2567"/>
      <c r="OMN81" s="2567"/>
      <c r="OMO81" s="2567"/>
      <c r="OMP81" s="2567"/>
      <c r="OMQ81" s="2567"/>
      <c r="OMR81" s="2567"/>
      <c r="OMS81" s="2567"/>
      <c r="OMT81" s="2567"/>
      <c r="OMU81" s="2567"/>
      <c r="OMV81" s="2567"/>
      <c r="OMW81" s="2567"/>
      <c r="OMX81" s="2567"/>
      <c r="OMY81" s="2567"/>
      <c r="OMZ81" s="2567"/>
      <c r="ONA81" s="2567"/>
      <c r="ONB81" s="2567"/>
      <c r="ONC81" s="2567"/>
      <c r="OND81" s="2567"/>
      <c r="ONE81" s="2567"/>
      <c r="ONF81" s="2567"/>
      <c r="ONG81" s="2567"/>
      <c r="ONH81" s="2567"/>
      <c r="ONI81" s="2567"/>
      <c r="ONJ81" s="2567"/>
      <c r="ONK81" s="2567"/>
      <c r="ONL81" s="2567"/>
      <c r="ONM81" s="2567"/>
      <c r="ONN81" s="2567"/>
      <c r="ONO81" s="2567"/>
      <c r="ONP81" s="2567"/>
      <c r="ONQ81" s="2567"/>
      <c r="ONR81" s="2567"/>
      <c r="ONS81" s="2567"/>
      <c r="ONT81" s="2567"/>
      <c r="ONU81" s="2567"/>
      <c r="ONV81" s="2567"/>
      <c r="ONW81" s="2567"/>
      <c r="ONX81" s="2567"/>
      <c r="ONY81" s="2567"/>
      <c r="ONZ81" s="2567"/>
      <c r="OOA81" s="2567"/>
      <c r="OOB81" s="2567"/>
      <c r="OOC81" s="2567"/>
      <c r="OOD81" s="2567"/>
      <c r="OOE81" s="2567"/>
      <c r="OOF81" s="2567"/>
      <c r="OOG81" s="2567"/>
      <c r="OOH81" s="2567"/>
      <c r="OOI81" s="2567"/>
      <c r="OOJ81" s="2567"/>
      <c r="OOK81" s="2567"/>
      <c r="OOL81" s="2567"/>
      <c r="OOM81" s="2567"/>
      <c r="OON81" s="2567"/>
      <c r="OOO81" s="2567"/>
      <c r="OOP81" s="2567"/>
      <c r="OOQ81" s="2567"/>
      <c r="OOR81" s="2567"/>
      <c r="OOS81" s="2567"/>
      <c r="OOT81" s="2567"/>
      <c r="OOU81" s="2567"/>
      <c r="OOV81" s="2567"/>
      <c r="OOW81" s="2567"/>
      <c r="OOX81" s="2567"/>
      <c r="OOY81" s="2567"/>
      <c r="OOZ81" s="2567"/>
      <c r="OPA81" s="2567"/>
      <c r="OPB81" s="2567"/>
      <c r="OPC81" s="2567"/>
      <c r="OPD81" s="2567"/>
      <c r="OPE81" s="2567"/>
      <c r="OPF81" s="2567"/>
      <c r="OPG81" s="2567"/>
      <c r="OPH81" s="2567"/>
      <c r="OPI81" s="2567"/>
      <c r="OPJ81" s="2567"/>
      <c r="OPK81" s="2567"/>
      <c r="OPL81" s="2567"/>
      <c r="OPM81" s="2567"/>
      <c r="OPN81" s="2567"/>
      <c r="OPO81" s="2567"/>
      <c r="OPP81" s="2567"/>
      <c r="OPQ81" s="2567"/>
      <c r="OPR81" s="2567"/>
      <c r="OPS81" s="2567"/>
      <c r="OPT81" s="2567"/>
      <c r="OPU81" s="2567"/>
      <c r="OPV81" s="2567"/>
      <c r="OPW81" s="2567"/>
      <c r="OPX81" s="2567"/>
      <c r="OPY81" s="2567"/>
      <c r="OPZ81" s="2567"/>
      <c r="OQA81" s="2567"/>
      <c r="OQB81" s="2567"/>
      <c r="OQC81" s="2567"/>
      <c r="OQD81" s="2567"/>
      <c r="OQE81" s="2567"/>
      <c r="OQF81" s="2567"/>
      <c r="OQG81" s="2567"/>
      <c r="OQH81" s="2567"/>
      <c r="OQI81" s="2567"/>
      <c r="OQJ81" s="2567"/>
      <c r="OQK81" s="2567"/>
      <c r="OQL81" s="2567"/>
      <c r="OQM81" s="2567"/>
      <c r="OQN81" s="2567"/>
      <c r="OQO81" s="2567"/>
      <c r="OQP81" s="2567"/>
      <c r="OQQ81" s="2567"/>
      <c r="OQR81" s="2567"/>
      <c r="OQS81" s="2567"/>
      <c r="OQT81" s="2567"/>
      <c r="OQU81" s="2567"/>
      <c r="OQV81" s="2567"/>
      <c r="OQW81" s="2567"/>
      <c r="OQX81" s="2567"/>
      <c r="OQY81" s="2567"/>
      <c r="OQZ81" s="2567"/>
      <c r="ORA81" s="2567"/>
      <c r="ORB81" s="2567"/>
      <c r="ORC81" s="2567"/>
      <c r="ORD81" s="2567"/>
      <c r="ORE81" s="2567"/>
      <c r="ORF81" s="2567"/>
      <c r="ORG81" s="2567"/>
      <c r="ORH81" s="2567"/>
      <c r="ORI81" s="2567"/>
      <c r="ORJ81" s="2567"/>
      <c r="ORK81" s="2567"/>
      <c r="ORL81" s="2567"/>
      <c r="ORM81" s="2567"/>
      <c r="ORN81" s="2567"/>
      <c r="ORO81" s="2567"/>
      <c r="ORP81" s="2567"/>
      <c r="ORQ81" s="2567"/>
      <c r="ORR81" s="2567"/>
      <c r="ORS81" s="2567"/>
      <c r="ORT81" s="2567"/>
      <c r="ORU81" s="2567"/>
      <c r="ORV81" s="2567"/>
      <c r="ORW81" s="2567"/>
      <c r="ORX81" s="2567"/>
      <c r="ORY81" s="2567"/>
      <c r="ORZ81" s="2567"/>
      <c r="OSA81" s="2567"/>
      <c r="OSB81" s="2567"/>
      <c r="OSC81" s="2567"/>
      <c r="OSD81" s="2567"/>
      <c r="OSE81" s="2567"/>
      <c r="OSF81" s="2567"/>
      <c r="OSG81" s="2567"/>
      <c r="OSH81" s="2567"/>
      <c r="OSI81" s="2567"/>
      <c r="OSJ81" s="2567"/>
      <c r="OSK81" s="2567"/>
      <c r="OSL81" s="2567"/>
      <c r="OSM81" s="2567"/>
      <c r="OSN81" s="2567"/>
      <c r="OSO81" s="2567"/>
      <c r="OSP81" s="2567"/>
      <c r="OSQ81" s="2567"/>
      <c r="OSR81" s="2567"/>
      <c r="OSS81" s="2567"/>
      <c r="OST81" s="2567"/>
      <c r="OSU81" s="2567"/>
      <c r="OSV81" s="2567"/>
      <c r="OSW81" s="2567"/>
      <c r="OSX81" s="2567"/>
      <c r="OSY81" s="2567"/>
      <c r="OSZ81" s="2567"/>
      <c r="OTA81" s="2567"/>
      <c r="OTB81" s="2567"/>
      <c r="OTC81" s="2567"/>
      <c r="OTD81" s="2567"/>
      <c r="OTE81" s="2567"/>
      <c r="OTF81" s="2567"/>
      <c r="OTG81" s="2567"/>
      <c r="OTH81" s="2567"/>
      <c r="OTI81" s="2567"/>
      <c r="OTJ81" s="2567"/>
      <c r="OTK81" s="2567"/>
      <c r="OTL81" s="2567"/>
      <c r="OTM81" s="2567"/>
      <c r="OTN81" s="2567"/>
      <c r="OTO81" s="2567"/>
      <c r="OTP81" s="2567"/>
      <c r="OTQ81" s="2567"/>
      <c r="OTR81" s="2567"/>
      <c r="OTS81" s="2567"/>
      <c r="OTT81" s="2567"/>
      <c r="OTU81" s="2567"/>
      <c r="OTV81" s="2567"/>
      <c r="OTW81" s="2567"/>
      <c r="OTX81" s="2567"/>
      <c r="OTY81" s="2567"/>
      <c r="OTZ81" s="2567"/>
      <c r="OUA81" s="2567"/>
      <c r="OUB81" s="2567"/>
      <c r="OUC81" s="2567"/>
      <c r="OUD81" s="2567"/>
      <c r="OUE81" s="2567"/>
      <c r="OUF81" s="2567"/>
      <c r="OUG81" s="2567"/>
      <c r="OUH81" s="2567"/>
      <c r="OUI81" s="2567"/>
      <c r="OUJ81" s="2567"/>
      <c r="OUK81" s="2567"/>
      <c r="OUL81" s="2567"/>
      <c r="OUM81" s="2567"/>
      <c r="OUN81" s="2567"/>
      <c r="OUO81" s="2567"/>
      <c r="OUP81" s="2567"/>
      <c r="OUQ81" s="2567"/>
      <c r="OUR81" s="2567"/>
      <c r="OUS81" s="2567"/>
      <c r="OUT81" s="2567"/>
      <c r="OUU81" s="2567"/>
      <c r="OUV81" s="2567"/>
      <c r="OUW81" s="2567"/>
      <c r="OUX81" s="2567"/>
      <c r="OUY81" s="2567"/>
      <c r="OUZ81" s="2567"/>
      <c r="OVA81" s="2567"/>
      <c r="OVB81" s="2567"/>
      <c r="OVC81" s="2567"/>
      <c r="OVD81" s="2567"/>
      <c r="OVE81" s="2567"/>
      <c r="OVF81" s="2567"/>
      <c r="OVG81" s="2567"/>
      <c r="OVH81" s="2567"/>
      <c r="OVI81" s="2567"/>
      <c r="OVJ81" s="2567"/>
      <c r="OVK81" s="2567"/>
      <c r="OVL81" s="2567"/>
      <c r="OVM81" s="2567"/>
      <c r="OVN81" s="2567"/>
      <c r="OVO81" s="2567"/>
      <c r="OVP81" s="2567"/>
      <c r="OVQ81" s="2567"/>
      <c r="OVR81" s="2567"/>
      <c r="OVS81" s="2567"/>
      <c r="OVT81" s="2567"/>
      <c r="OVU81" s="2567"/>
      <c r="OVV81" s="2567"/>
      <c r="OVW81" s="2567"/>
      <c r="OVX81" s="2567"/>
      <c r="OVY81" s="2567"/>
      <c r="OVZ81" s="2567"/>
      <c r="OWA81" s="2567"/>
      <c r="OWB81" s="2567"/>
      <c r="OWC81" s="2567"/>
      <c r="OWD81" s="2567"/>
      <c r="OWE81" s="2567"/>
      <c r="OWF81" s="2567"/>
      <c r="OWG81" s="2567"/>
      <c r="OWH81" s="2567"/>
      <c r="OWI81" s="2567"/>
      <c r="OWJ81" s="2567"/>
      <c r="OWK81" s="2567"/>
      <c r="OWL81" s="2567"/>
      <c r="OWM81" s="2567"/>
      <c r="OWN81" s="2567"/>
      <c r="OWO81" s="2567"/>
      <c r="OWP81" s="2567"/>
      <c r="OWQ81" s="2567"/>
      <c r="OWR81" s="2567"/>
      <c r="OWS81" s="2567"/>
      <c r="OWT81" s="2567"/>
      <c r="OWU81" s="2567"/>
      <c r="OWV81" s="2567"/>
      <c r="OWW81" s="2567"/>
      <c r="OWX81" s="2567"/>
      <c r="OWY81" s="2567"/>
      <c r="OWZ81" s="2567"/>
      <c r="OXA81" s="2567"/>
      <c r="OXB81" s="2567"/>
      <c r="OXC81" s="2567"/>
      <c r="OXD81" s="2567"/>
      <c r="OXE81" s="2567"/>
      <c r="OXF81" s="2567"/>
      <c r="OXG81" s="2567"/>
      <c r="OXH81" s="2567"/>
      <c r="OXI81" s="2567"/>
      <c r="OXJ81" s="2567"/>
      <c r="OXK81" s="2567"/>
      <c r="OXL81" s="2567"/>
      <c r="OXM81" s="2567"/>
      <c r="OXN81" s="2567"/>
      <c r="OXO81" s="2567"/>
      <c r="OXP81" s="2567"/>
      <c r="OXQ81" s="2567"/>
      <c r="OXR81" s="2567"/>
      <c r="OXS81" s="2567"/>
      <c r="OXT81" s="2567"/>
      <c r="OXU81" s="2567"/>
      <c r="OXV81" s="2567"/>
      <c r="OXW81" s="2567"/>
      <c r="OXX81" s="2567"/>
      <c r="OXY81" s="2567"/>
      <c r="OXZ81" s="2567"/>
      <c r="OYA81" s="2567"/>
      <c r="OYB81" s="2567"/>
      <c r="OYC81" s="2567"/>
      <c r="OYD81" s="2567"/>
      <c r="OYE81" s="2567"/>
      <c r="OYF81" s="2567"/>
      <c r="OYG81" s="2567"/>
      <c r="OYH81" s="2567"/>
      <c r="OYI81" s="2567"/>
      <c r="OYJ81" s="2567"/>
      <c r="OYK81" s="2567"/>
      <c r="OYL81" s="2567"/>
      <c r="OYM81" s="2567"/>
      <c r="OYN81" s="2567"/>
      <c r="OYO81" s="2567"/>
      <c r="OYP81" s="2567"/>
      <c r="OYQ81" s="2567"/>
      <c r="OYR81" s="2567"/>
      <c r="OYS81" s="2567"/>
      <c r="OYT81" s="2567"/>
      <c r="OYU81" s="2567"/>
      <c r="OYV81" s="2567"/>
      <c r="OYW81" s="2567"/>
      <c r="OYX81" s="2567"/>
      <c r="OYY81" s="2567"/>
      <c r="OYZ81" s="2567"/>
      <c r="OZA81" s="2567"/>
      <c r="OZB81" s="2567"/>
      <c r="OZC81" s="2567"/>
      <c r="OZD81" s="2567"/>
      <c r="OZE81" s="2567"/>
      <c r="OZF81" s="2567"/>
      <c r="OZG81" s="2567"/>
      <c r="OZH81" s="2567"/>
      <c r="OZI81" s="2567"/>
      <c r="OZJ81" s="2567"/>
      <c r="OZK81" s="2567"/>
      <c r="OZL81" s="2567"/>
      <c r="OZM81" s="2567"/>
      <c r="OZN81" s="2567"/>
      <c r="OZO81" s="2567"/>
      <c r="OZP81" s="2567"/>
      <c r="OZQ81" s="2567"/>
      <c r="OZR81" s="2567"/>
      <c r="OZS81" s="2567"/>
      <c r="OZT81" s="2567"/>
      <c r="OZU81" s="2567"/>
      <c r="OZV81" s="2567"/>
      <c r="OZW81" s="2567"/>
      <c r="OZX81" s="2567"/>
      <c r="OZY81" s="2567"/>
      <c r="OZZ81" s="2567"/>
      <c r="PAA81" s="2567"/>
      <c r="PAB81" s="2567"/>
      <c r="PAC81" s="2567"/>
      <c r="PAD81" s="2567"/>
      <c r="PAE81" s="2567"/>
      <c r="PAF81" s="2567"/>
      <c r="PAG81" s="2567"/>
      <c r="PAH81" s="2567"/>
      <c r="PAI81" s="2567"/>
      <c r="PAJ81" s="2567"/>
      <c r="PAK81" s="2567"/>
      <c r="PAL81" s="2567"/>
      <c r="PAM81" s="2567"/>
      <c r="PAN81" s="2567"/>
      <c r="PAO81" s="2567"/>
      <c r="PAP81" s="2567"/>
      <c r="PAQ81" s="2567"/>
      <c r="PAR81" s="2567"/>
      <c r="PAS81" s="2567"/>
      <c r="PAT81" s="2567"/>
      <c r="PAU81" s="2567"/>
      <c r="PAV81" s="2567"/>
      <c r="PAW81" s="2567"/>
      <c r="PAX81" s="2567"/>
      <c r="PAY81" s="2567"/>
      <c r="PAZ81" s="2567"/>
      <c r="PBA81" s="2567"/>
      <c r="PBB81" s="2567"/>
      <c r="PBC81" s="2567"/>
      <c r="PBD81" s="2567"/>
      <c r="PBE81" s="2567"/>
      <c r="PBF81" s="2567"/>
      <c r="PBG81" s="2567"/>
      <c r="PBH81" s="2567"/>
      <c r="PBI81" s="2567"/>
      <c r="PBJ81" s="2567"/>
      <c r="PBK81" s="2567"/>
      <c r="PBL81" s="2567"/>
      <c r="PBM81" s="2567"/>
      <c r="PBN81" s="2567"/>
      <c r="PBO81" s="2567"/>
      <c r="PBP81" s="2567"/>
      <c r="PBQ81" s="2567"/>
      <c r="PBR81" s="2567"/>
      <c r="PBS81" s="2567"/>
      <c r="PBT81" s="2567"/>
      <c r="PBU81" s="2567"/>
      <c r="PBV81" s="2567"/>
      <c r="PBW81" s="2567"/>
      <c r="PBX81" s="2567"/>
      <c r="PBY81" s="2567"/>
      <c r="PBZ81" s="2567"/>
      <c r="PCA81" s="2567"/>
      <c r="PCB81" s="2567"/>
      <c r="PCC81" s="2567"/>
      <c r="PCD81" s="2567"/>
      <c r="PCE81" s="2567"/>
      <c r="PCF81" s="2567"/>
      <c r="PCG81" s="2567"/>
      <c r="PCH81" s="2567"/>
      <c r="PCI81" s="2567"/>
      <c r="PCJ81" s="2567"/>
      <c r="PCK81" s="2567"/>
      <c r="PCL81" s="2567"/>
      <c r="PCM81" s="2567"/>
      <c r="PCN81" s="2567"/>
      <c r="PCO81" s="2567"/>
      <c r="PCP81" s="2567"/>
      <c r="PCQ81" s="2567"/>
      <c r="PCR81" s="2567"/>
      <c r="PCS81" s="2567"/>
      <c r="PCT81" s="2567"/>
      <c r="PCU81" s="2567"/>
      <c r="PCV81" s="2567"/>
      <c r="PCW81" s="2567"/>
      <c r="PCX81" s="2567"/>
      <c r="PCY81" s="2567"/>
      <c r="PCZ81" s="2567"/>
      <c r="PDA81" s="2567"/>
      <c r="PDB81" s="2567"/>
      <c r="PDC81" s="2567"/>
      <c r="PDD81" s="2567"/>
      <c r="PDE81" s="2567"/>
      <c r="PDF81" s="2567"/>
      <c r="PDG81" s="2567"/>
      <c r="PDH81" s="2567"/>
      <c r="PDI81" s="2567"/>
      <c r="PDJ81" s="2567"/>
      <c r="PDK81" s="2567"/>
      <c r="PDL81" s="2567"/>
      <c r="PDM81" s="2567"/>
      <c r="PDN81" s="2567"/>
      <c r="PDO81" s="2567"/>
      <c r="PDP81" s="2567"/>
      <c r="PDQ81" s="2567"/>
      <c r="PDR81" s="2567"/>
      <c r="PDS81" s="2567"/>
      <c r="PDT81" s="2567"/>
      <c r="PDU81" s="2567"/>
      <c r="PDV81" s="2567"/>
      <c r="PDW81" s="2567"/>
      <c r="PDX81" s="2567"/>
      <c r="PDY81" s="2567"/>
      <c r="PDZ81" s="2567"/>
      <c r="PEA81" s="2567"/>
      <c r="PEB81" s="2567"/>
      <c r="PEC81" s="2567"/>
      <c r="PED81" s="2567"/>
      <c r="PEE81" s="2567"/>
      <c r="PEF81" s="2567"/>
      <c r="PEG81" s="2567"/>
      <c r="PEH81" s="2567"/>
      <c r="PEI81" s="2567"/>
      <c r="PEJ81" s="2567"/>
      <c r="PEK81" s="2567"/>
      <c r="PEL81" s="2567"/>
      <c r="PEM81" s="2567"/>
      <c r="PEN81" s="2567"/>
      <c r="PEO81" s="2567"/>
      <c r="PEP81" s="2567"/>
      <c r="PEQ81" s="2567"/>
      <c r="PER81" s="2567"/>
      <c r="PES81" s="2567"/>
      <c r="PET81" s="2567"/>
      <c r="PEU81" s="2567"/>
      <c r="PEV81" s="2567"/>
      <c r="PEW81" s="2567"/>
      <c r="PEX81" s="2567"/>
      <c r="PEY81" s="2567"/>
      <c r="PEZ81" s="2567"/>
      <c r="PFA81" s="2567"/>
      <c r="PFB81" s="2567"/>
      <c r="PFC81" s="2567"/>
      <c r="PFD81" s="2567"/>
      <c r="PFE81" s="2567"/>
      <c r="PFF81" s="2567"/>
      <c r="PFG81" s="2567"/>
      <c r="PFH81" s="2567"/>
      <c r="PFI81" s="2567"/>
      <c r="PFJ81" s="2567"/>
      <c r="PFK81" s="2567"/>
      <c r="PFL81" s="2567"/>
      <c r="PFM81" s="2567"/>
      <c r="PFN81" s="2567"/>
      <c r="PFO81" s="2567"/>
      <c r="PFP81" s="2567"/>
      <c r="PFQ81" s="2567"/>
      <c r="PFR81" s="2567"/>
      <c r="PFS81" s="2567"/>
      <c r="PFT81" s="2567"/>
      <c r="PFU81" s="2567"/>
      <c r="PFV81" s="2567"/>
      <c r="PFW81" s="2567"/>
      <c r="PFX81" s="2567"/>
      <c r="PFY81" s="2567"/>
      <c r="PFZ81" s="2567"/>
      <c r="PGA81" s="2567"/>
      <c r="PGB81" s="2567"/>
      <c r="PGC81" s="2567"/>
      <c r="PGD81" s="2567"/>
      <c r="PGE81" s="2567"/>
      <c r="PGF81" s="2567"/>
      <c r="PGG81" s="2567"/>
      <c r="PGH81" s="2567"/>
      <c r="PGI81" s="2567"/>
      <c r="PGJ81" s="2567"/>
      <c r="PGK81" s="2567"/>
      <c r="PGL81" s="2567"/>
      <c r="PGM81" s="2567"/>
      <c r="PGN81" s="2567"/>
      <c r="PGO81" s="2567"/>
      <c r="PGP81" s="2567"/>
      <c r="PGQ81" s="2567"/>
      <c r="PGR81" s="2567"/>
      <c r="PGS81" s="2567"/>
      <c r="PGT81" s="2567"/>
      <c r="PGU81" s="2567"/>
      <c r="PGV81" s="2567"/>
      <c r="PGW81" s="2567"/>
      <c r="PGX81" s="2567"/>
      <c r="PGY81" s="2567"/>
      <c r="PGZ81" s="2567"/>
      <c r="PHA81" s="2567"/>
      <c r="PHB81" s="2567"/>
      <c r="PHC81" s="2567"/>
      <c r="PHD81" s="2567"/>
      <c r="PHE81" s="2567"/>
      <c r="PHF81" s="2567"/>
      <c r="PHG81" s="2567"/>
      <c r="PHH81" s="2567"/>
      <c r="PHI81" s="2567"/>
      <c r="PHJ81" s="2567"/>
      <c r="PHK81" s="2567"/>
      <c r="PHL81" s="2567"/>
      <c r="PHM81" s="2567"/>
      <c r="PHN81" s="2567"/>
      <c r="PHO81" s="2567"/>
      <c r="PHP81" s="2567"/>
      <c r="PHQ81" s="2567"/>
      <c r="PHR81" s="2567"/>
      <c r="PHS81" s="2567"/>
      <c r="PHT81" s="2567"/>
      <c r="PHU81" s="2567"/>
      <c r="PHV81" s="2567"/>
      <c r="PHW81" s="2567"/>
      <c r="PHX81" s="2567"/>
      <c r="PHY81" s="2567"/>
      <c r="PHZ81" s="2567"/>
      <c r="PIA81" s="2567"/>
      <c r="PIB81" s="2567"/>
      <c r="PIC81" s="2567"/>
      <c r="PID81" s="2567"/>
      <c r="PIE81" s="2567"/>
      <c r="PIF81" s="2567"/>
      <c r="PIG81" s="2567"/>
      <c r="PIH81" s="2567"/>
      <c r="PII81" s="2567"/>
      <c r="PIJ81" s="2567"/>
      <c r="PIK81" s="2567"/>
      <c r="PIL81" s="2567"/>
      <c r="PIM81" s="2567"/>
      <c r="PIN81" s="2567"/>
      <c r="PIO81" s="2567"/>
      <c r="PIP81" s="2567"/>
      <c r="PIQ81" s="2567"/>
      <c r="PIR81" s="2567"/>
      <c r="PIS81" s="2567"/>
      <c r="PIT81" s="2567"/>
      <c r="PIU81" s="2567"/>
      <c r="PIV81" s="2567"/>
      <c r="PIW81" s="2567"/>
      <c r="PIX81" s="2567"/>
      <c r="PIY81" s="2567"/>
      <c r="PIZ81" s="2567"/>
      <c r="PJA81" s="2567"/>
      <c r="PJB81" s="2567"/>
      <c r="PJC81" s="2567"/>
      <c r="PJD81" s="2567"/>
      <c r="PJE81" s="2567"/>
      <c r="PJF81" s="2567"/>
      <c r="PJG81" s="2567"/>
      <c r="PJH81" s="2567"/>
      <c r="PJI81" s="2567"/>
      <c r="PJJ81" s="2567"/>
      <c r="PJK81" s="2567"/>
      <c r="PJL81" s="2567"/>
      <c r="PJM81" s="2567"/>
      <c r="PJN81" s="2567"/>
      <c r="PJO81" s="2567"/>
      <c r="PJP81" s="2567"/>
      <c r="PJQ81" s="2567"/>
      <c r="PJR81" s="2567"/>
      <c r="PJS81" s="2567"/>
      <c r="PJT81" s="2567"/>
      <c r="PJU81" s="2567"/>
      <c r="PJV81" s="2567"/>
      <c r="PJW81" s="2567"/>
      <c r="PJX81" s="2567"/>
      <c r="PJY81" s="2567"/>
      <c r="PJZ81" s="2567"/>
      <c r="PKA81" s="2567"/>
      <c r="PKB81" s="2567"/>
      <c r="PKC81" s="2567"/>
      <c r="PKD81" s="2567"/>
      <c r="PKE81" s="2567"/>
      <c r="PKF81" s="2567"/>
      <c r="PKG81" s="2567"/>
      <c r="PKH81" s="2567"/>
      <c r="PKI81" s="2567"/>
      <c r="PKJ81" s="2567"/>
      <c r="PKK81" s="2567"/>
      <c r="PKL81" s="2567"/>
      <c r="PKM81" s="2567"/>
      <c r="PKN81" s="2567"/>
      <c r="PKO81" s="2567"/>
      <c r="PKP81" s="2567"/>
      <c r="PKQ81" s="2567"/>
      <c r="PKR81" s="2567"/>
      <c r="PKS81" s="2567"/>
      <c r="PKT81" s="2567"/>
      <c r="PKU81" s="2567"/>
      <c r="PKV81" s="2567"/>
      <c r="PKW81" s="2567"/>
      <c r="PKX81" s="2567"/>
      <c r="PKY81" s="2567"/>
      <c r="PKZ81" s="2567"/>
      <c r="PLA81" s="2567"/>
      <c r="PLB81" s="2567"/>
      <c r="PLC81" s="2567"/>
      <c r="PLD81" s="2567"/>
      <c r="PLE81" s="2567"/>
      <c r="PLF81" s="2567"/>
      <c r="PLG81" s="2567"/>
      <c r="PLH81" s="2567"/>
      <c r="PLI81" s="2567"/>
      <c r="PLJ81" s="2567"/>
      <c r="PLK81" s="2567"/>
      <c r="PLL81" s="2567"/>
      <c r="PLM81" s="2567"/>
      <c r="PLN81" s="2567"/>
      <c r="PLO81" s="2567"/>
      <c r="PLP81" s="2567"/>
      <c r="PLQ81" s="2567"/>
      <c r="PLR81" s="2567"/>
      <c r="PLS81" s="2567"/>
      <c r="PLT81" s="2567"/>
      <c r="PLU81" s="2567"/>
      <c r="PLV81" s="2567"/>
      <c r="PLW81" s="2567"/>
      <c r="PLX81" s="2567"/>
      <c r="PLY81" s="2567"/>
      <c r="PLZ81" s="2567"/>
      <c r="PMA81" s="2567"/>
      <c r="PMB81" s="2567"/>
      <c r="PMC81" s="2567"/>
      <c r="PMD81" s="2567"/>
      <c r="PME81" s="2567"/>
      <c r="PMF81" s="2567"/>
      <c r="PMG81" s="2567"/>
      <c r="PMH81" s="2567"/>
      <c r="PMI81" s="2567"/>
      <c r="PMJ81" s="2567"/>
      <c r="PMK81" s="2567"/>
      <c r="PML81" s="2567"/>
      <c r="PMM81" s="2567"/>
      <c r="PMN81" s="2567"/>
      <c r="PMO81" s="2567"/>
      <c r="PMP81" s="2567"/>
      <c r="PMQ81" s="2567"/>
      <c r="PMR81" s="2567"/>
      <c r="PMS81" s="2567"/>
      <c r="PMT81" s="2567"/>
      <c r="PMU81" s="2567"/>
      <c r="PMV81" s="2567"/>
      <c r="PMW81" s="2567"/>
      <c r="PMX81" s="2567"/>
      <c r="PMY81" s="2567"/>
      <c r="PMZ81" s="2567"/>
      <c r="PNA81" s="2567"/>
      <c r="PNB81" s="2567"/>
      <c r="PNC81" s="2567"/>
      <c r="PND81" s="2567"/>
      <c r="PNE81" s="2567"/>
      <c r="PNF81" s="2567"/>
      <c r="PNG81" s="2567"/>
      <c r="PNH81" s="2567"/>
      <c r="PNI81" s="2567"/>
      <c r="PNJ81" s="2567"/>
      <c r="PNK81" s="2567"/>
      <c r="PNL81" s="2567"/>
      <c r="PNM81" s="2567"/>
      <c r="PNN81" s="2567"/>
      <c r="PNO81" s="2567"/>
      <c r="PNP81" s="2567"/>
      <c r="PNQ81" s="2567"/>
      <c r="PNR81" s="2567"/>
      <c r="PNS81" s="2567"/>
      <c r="PNT81" s="2567"/>
      <c r="PNU81" s="2567"/>
      <c r="PNV81" s="2567"/>
      <c r="PNW81" s="2567"/>
      <c r="PNX81" s="2567"/>
      <c r="PNY81" s="2567"/>
      <c r="PNZ81" s="2567"/>
      <c r="POA81" s="2567"/>
      <c r="POB81" s="2567"/>
      <c r="POC81" s="2567"/>
      <c r="POD81" s="2567"/>
      <c r="POE81" s="2567"/>
      <c r="POF81" s="2567"/>
      <c r="POG81" s="2567"/>
      <c r="POH81" s="2567"/>
      <c r="POI81" s="2567"/>
      <c r="POJ81" s="2567"/>
      <c r="POK81" s="2567"/>
      <c r="POL81" s="2567"/>
      <c r="POM81" s="2567"/>
      <c r="PON81" s="2567"/>
      <c r="POO81" s="2567"/>
      <c r="POP81" s="2567"/>
      <c r="POQ81" s="2567"/>
      <c r="POR81" s="2567"/>
      <c r="POS81" s="2567"/>
      <c r="POT81" s="2567"/>
      <c r="POU81" s="2567"/>
      <c r="POV81" s="2567"/>
      <c r="POW81" s="2567"/>
      <c r="POX81" s="2567"/>
      <c r="POY81" s="2567"/>
      <c r="POZ81" s="2567"/>
      <c r="PPA81" s="2567"/>
      <c r="PPB81" s="2567"/>
      <c r="PPC81" s="2567"/>
      <c r="PPD81" s="2567"/>
      <c r="PPE81" s="2567"/>
      <c r="PPF81" s="2567"/>
      <c r="PPG81" s="2567"/>
      <c r="PPH81" s="2567"/>
      <c r="PPI81" s="2567"/>
      <c r="PPJ81" s="2567"/>
      <c r="PPK81" s="2567"/>
      <c r="PPL81" s="2567"/>
      <c r="PPM81" s="2567"/>
      <c r="PPN81" s="2567"/>
      <c r="PPO81" s="2567"/>
      <c r="PPP81" s="2567"/>
      <c r="PPQ81" s="2567"/>
      <c r="PPR81" s="2567"/>
      <c r="PPS81" s="2567"/>
      <c r="PPT81" s="2567"/>
      <c r="PPU81" s="2567"/>
      <c r="PPV81" s="2567"/>
      <c r="PPW81" s="2567"/>
      <c r="PPX81" s="2567"/>
      <c r="PPY81" s="2567"/>
      <c r="PPZ81" s="2567"/>
      <c r="PQA81" s="2567"/>
      <c r="PQB81" s="2567"/>
      <c r="PQC81" s="2567"/>
      <c r="PQD81" s="2567"/>
      <c r="PQE81" s="2567"/>
      <c r="PQF81" s="2567"/>
      <c r="PQG81" s="2567"/>
      <c r="PQH81" s="2567"/>
      <c r="PQI81" s="2567"/>
      <c r="PQJ81" s="2567"/>
      <c r="PQK81" s="2567"/>
      <c r="PQL81" s="2567"/>
      <c r="PQM81" s="2567"/>
      <c r="PQN81" s="2567"/>
      <c r="PQO81" s="2567"/>
      <c r="PQP81" s="2567"/>
      <c r="PQQ81" s="2567"/>
      <c r="PQR81" s="2567"/>
      <c r="PQS81" s="2567"/>
      <c r="PQT81" s="2567"/>
      <c r="PQU81" s="2567"/>
      <c r="PQV81" s="2567"/>
      <c r="PQW81" s="2567"/>
      <c r="PQX81" s="2567"/>
      <c r="PQY81" s="2567"/>
      <c r="PQZ81" s="2567"/>
      <c r="PRA81" s="2567"/>
      <c r="PRB81" s="2567"/>
      <c r="PRC81" s="2567"/>
      <c r="PRD81" s="2567"/>
      <c r="PRE81" s="2567"/>
      <c r="PRF81" s="2567"/>
      <c r="PRG81" s="2567"/>
      <c r="PRH81" s="2567"/>
      <c r="PRI81" s="2567"/>
      <c r="PRJ81" s="2567"/>
      <c r="PRK81" s="2567"/>
      <c r="PRL81" s="2567"/>
      <c r="PRM81" s="2567"/>
      <c r="PRN81" s="2567"/>
      <c r="PRO81" s="2567"/>
      <c r="PRP81" s="2567"/>
      <c r="PRQ81" s="2567"/>
      <c r="PRR81" s="2567"/>
      <c r="PRS81" s="2567"/>
      <c r="PRT81" s="2567"/>
      <c r="PRU81" s="2567"/>
      <c r="PRV81" s="2567"/>
      <c r="PRW81" s="2567"/>
      <c r="PRX81" s="2567"/>
      <c r="PRY81" s="2567"/>
      <c r="PRZ81" s="2567"/>
      <c r="PSA81" s="2567"/>
      <c r="PSB81" s="2567"/>
      <c r="PSC81" s="2567"/>
      <c r="PSD81" s="2567"/>
      <c r="PSE81" s="2567"/>
      <c r="PSF81" s="2567"/>
      <c r="PSG81" s="2567"/>
      <c r="PSH81" s="2567"/>
      <c r="PSI81" s="2567"/>
      <c r="PSJ81" s="2567"/>
      <c r="PSK81" s="2567"/>
      <c r="PSL81" s="2567"/>
      <c r="PSM81" s="2567"/>
      <c r="PSN81" s="2567"/>
      <c r="PSO81" s="2567"/>
      <c r="PSP81" s="2567"/>
      <c r="PSQ81" s="2567"/>
      <c r="PSR81" s="2567"/>
      <c r="PSS81" s="2567"/>
      <c r="PST81" s="2567"/>
      <c r="PSU81" s="2567"/>
      <c r="PSV81" s="2567"/>
      <c r="PSW81" s="2567"/>
      <c r="PSX81" s="2567"/>
      <c r="PSY81" s="2567"/>
      <c r="PSZ81" s="2567"/>
      <c r="PTA81" s="2567"/>
      <c r="PTB81" s="2567"/>
      <c r="PTC81" s="2567"/>
      <c r="PTD81" s="2567"/>
      <c r="PTE81" s="2567"/>
      <c r="PTF81" s="2567"/>
      <c r="PTG81" s="2567"/>
      <c r="PTH81" s="2567"/>
      <c r="PTI81" s="2567"/>
      <c r="PTJ81" s="2567"/>
      <c r="PTK81" s="2567"/>
      <c r="PTL81" s="2567"/>
      <c r="PTM81" s="2567"/>
      <c r="PTN81" s="2567"/>
      <c r="PTO81" s="2567"/>
      <c r="PTP81" s="2567"/>
      <c r="PTQ81" s="2567"/>
      <c r="PTR81" s="2567"/>
      <c r="PTS81" s="2567"/>
      <c r="PTT81" s="2567"/>
      <c r="PTU81" s="2567"/>
      <c r="PTV81" s="2567"/>
      <c r="PTW81" s="2567"/>
      <c r="PTX81" s="2567"/>
      <c r="PTY81" s="2567"/>
      <c r="PTZ81" s="2567"/>
      <c r="PUA81" s="2567"/>
      <c r="PUB81" s="2567"/>
      <c r="PUC81" s="2567"/>
      <c r="PUD81" s="2567"/>
      <c r="PUE81" s="2567"/>
      <c r="PUF81" s="2567"/>
      <c r="PUG81" s="2567"/>
      <c r="PUH81" s="2567"/>
      <c r="PUI81" s="2567"/>
      <c r="PUJ81" s="2567"/>
      <c r="PUK81" s="2567"/>
      <c r="PUL81" s="2567"/>
      <c r="PUM81" s="2567"/>
      <c r="PUN81" s="2567"/>
      <c r="PUO81" s="2567"/>
      <c r="PUP81" s="2567"/>
      <c r="PUQ81" s="2567"/>
      <c r="PUR81" s="2567"/>
      <c r="PUS81" s="2567"/>
      <c r="PUT81" s="2567"/>
      <c r="PUU81" s="2567"/>
      <c r="PUV81" s="2567"/>
      <c r="PUW81" s="2567"/>
      <c r="PUX81" s="2567"/>
      <c r="PUY81" s="2567"/>
      <c r="PUZ81" s="2567"/>
      <c r="PVA81" s="2567"/>
      <c r="PVB81" s="2567"/>
      <c r="PVC81" s="2567"/>
      <c r="PVD81" s="2567"/>
      <c r="PVE81" s="2567"/>
      <c r="PVF81" s="2567"/>
      <c r="PVG81" s="2567"/>
      <c r="PVH81" s="2567"/>
      <c r="PVI81" s="2567"/>
      <c r="PVJ81" s="2567"/>
      <c r="PVK81" s="2567"/>
      <c r="PVL81" s="2567"/>
      <c r="PVM81" s="2567"/>
      <c r="PVN81" s="2567"/>
      <c r="PVO81" s="2567"/>
      <c r="PVP81" s="2567"/>
      <c r="PVQ81" s="2567"/>
      <c r="PVR81" s="2567"/>
      <c r="PVS81" s="2567"/>
      <c r="PVT81" s="2567"/>
      <c r="PVU81" s="2567"/>
      <c r="PVV81" s="2567"/>
      <c r="PVW81" s="2567"/>
      <c r="PVX81" s="2567"/>
      <c r="PVY81" s="2567"/>
      <c r="PVZ81" s="2567"/>
      <c r="PWA81" s="2567"/>
      <c r="PWB81" s="2567"/>
      <c r="PWC81" s="2567"/>
      <c r="PWD81" s="2567"/>
      <c r="PWE81" s="2567"/>
      <c r="PWF81" s="2567"/>
      <c r="PWG81" s="2567"/>
      <c r="PWH81" s="2567"/>
      <c r="PWI81" s="2567"/>
      <c r="PWJ81" s="2567"/>
      <c r="PWK81" s="2567"/>
      <c r="PWL81" s="2567"/>
      <c r="PWM81" s="2567"/>
      <c r="PWN81" s="2567"/>
      <c r="PWO81" s="2567"/>
      <c r="PWP81" s="2567"/>
      <c r="PWQ81" s="2567"/>
      <c r="PWR81" s="2567"/>
      <c r="PWS81" s="2567"/>
      <c r="PWT81" s="2567"/>
      <c r="PWU81" s="2567"/>
      <c r="PWV81" s="2567"/>
      <c r="PWW81" s="2567"/>
      <c r="PWX81" s="2567"/>
      <c r="PWY81" s="2567"/>
      <c r="PWZ81" s="2567"/>
      <c r="PXA81" s="2567"/>
      <c r="PXB81" s="2567"/>
      <c r="PXC81" s="2567"/>
      <c r="PXD81" s="2567"/>
      <c r="PXE81" s="2567"/>
      <c r="PXF81" s="2567"/>
      <c r="PXG81" s="2567"/>
      <c r="PXH81" s="2567"/>
      <c r="PXI81" s="2567"/>
      <c r="PXJ81" s="2567"/>
      <c r="PXK81" s="2567"/>
      <c r="PXL81" s="2567"/>
      <c r="PXM81" s="2567"/>
      <c r="PXN81" s="2567"/>
      <c r="PXO81" s="2567"/>
      <c r="PXP81" s="2567"/>
      <c r="PXQ81" s="2567"/>
      <c r="PXR81" s="2567"/>
      <c r="PXS81" s="2567"/>
      <c r="PXT81" s="2567"/>
      <c r="PXU81" s="2567"/>
      <c r="PXV81" s="2567"/>
      <c r="PXW81" s="2567"/>
      <c r="PXX81" s="2567"/>
      <c r="PXY81" s="2567"/>
      <c r="PXZ81" s="2567"/>
      <c r="PYA81" s="2567"/>
      <c r="PYB81" s="2567"/>
      <c r="PYC81" s="2567"/>
      <c r="PYD81" s="2567"/>
      <c r="PYE81" s="2567"/>
      <c r="PYF81" s="2567"/>
      <c r="PYG81" s="2567"/>
      <c r="PYH81" s="2567"/>
      <c r="PYI81" s="2567"/>
      <c r="PYJ81" s="2567"/>
      <c r="PYK81" s="2567"/>
      <c r="PYL81" s="2567"/>
      <c r="PYM81" s="2567"/>
      <c r="PYN81" s="2567"/>
      <c r="PYO81" s="2567"/>
      <c r="PYP81" s="2567"/>
      <c r="PYQ81" s="2567"/>
      <c r="PYR81" s="2567"/>
      <c r="PYS81" s="2567"/>
      <c r="PYT81" s="2567"/>
      <c r="PYU81" s="2567"/>
      <c r="PYV81" s="2567"/>
      <c r="PYW81" s="2567"/>
      <c r="PYX81" s="2567"/>
      <c r="PYY81" s="2567"/>
      <c r="PYZ81" s="2567"/>
      <c r="PZA81" s="2567"/>
      <c r="PZB81" s="2567"/>
      <c r="PZC81" s="2567"/>
      <c r="PZD81" s="2567"/>
      <c r="PZE81" s="2567"/>
      <c r="PZF81" s="2567"/>
      <c r="PZG81" s="2567"/>
      <c r="PZH81" s="2567"/>
      <c r="PZI81" s="2567"/>
      <c r="PZJ81" s="2567"/>
      <c r="PZK81" s="2567"/>
      <c r="PZL81" s="2567"/>
      <c r="PZM81" s="2567"/>
      <c r="PZN81" s="2567"/>
      <c r="PZO81" s="2567"/>
      <c r="PZP81" s="2567"/>
      <c r="PZQ81" s="2567"/>
      <c r="PZR81" s="2567"/>
      <c r="PZS81" s="2567"/>
      <c r="PZT81" s="2567"/>
      <c r="PZU81" s="2567"/>
      <c r="PZV81" s="2567"/>
      <c r="PZW81" s="2567"/>
      <c r="PZX81" s="2567"/>
      <c r="PZY81" s="2567"/>
      <c r="PZZ81" s="2567"/>
      <c r="QAA81" s="2567"/>
      <c r="QAB81" s="2567"/>
      <c r="QAC81" s="2567"/>
      <c r="QAD81" s="2567"/>
      <c r="QAE81" s="2567"/>
      <c r="QAF81" s="2567"/>
      <c r="QAG81" s="2567"/>
      <c r="QAH81" s="2567"/>
      <c r="QAI81" s="2567"/>
      <c r="QAJ81" s="2567"/>
      <c r="QAK81" s="2567"/>
      <c r="QAL81" s="2567"/>
      <c r="QAM81" s="2567"/>
      <c r="QAN81" s="2567"/>
      <c r="QAO81" s="2567"/>
      <c r="QAP81" s="2567"/>
      <c r="QAQ81" s="2567"/>
      <c r="QAR81" s="2567"/>
      <c r="QAS81" s="2567"/>
      <c r="QAT81" s="2567"/>
      <c r="QAU81" s="2567"/>
      <c r="QAV81" s="2567"/>
      <c r="QAW81" s="2567"/>
      <c r="QAX81" s="2567"/>
      <c r="QAY81" s="2567"/>
      <c r="QAZ81" s="2567"/>
      <c r="QBA81" s="2567"/>
      <c r="QBB81" s="2567"/>
      <c r="QBC81" s="2567"/>
      <c r="QBD81" s="2567"/>
      <c r="QBE81" s="2567"/>
      <c r="QBF81" s="2567"/>
      <c r="QBG81" s="2567"/>
      <c r="QBH81" s="2567"/>
      <c r="QBI81" s="2567"/>
      <c r="QBJ81" s="2567"/>
      <c r="QBK81" s="2567"/>
      <c r="QBL81" s="2567"/>
      <c r="QBM81" s="2567"/>
      <c r="QBN81" s="2567"/>
      <c r="QBO81" s="2567"/>
      <c r="QBP81" s="2567"/>
      <c r="QBQ81" s="2567"/>
      <c r="QBR81" s="2567"/>
      <c r="QBS81" s="2567"/>
      <c r="QBT81" s="2567"/>
      <c r="QBU81" s="2567"/>
      <c r="QBV81" s="2567"/>
      <c r="QBW81" s="2567"/>
      <c r="QBX81" s="2567"/>
      <c r="QBY81" s="2567"/>
      <c r="QBZ81" s="2567"/>
      <c r="QCA81" s="2567"/>
      <c r="QCB81" s="2567"/>
      <c r="QCC81" s="2567"/>
      <c r="QCD81" s="2567"/>
      <c r="QCE81" s="2567"/>
      <c r="QCF81" s="2567"/>
      <c r="QCG81" s="2567"/>
      <c r="QCH81" s="2567"/>
      <c r="QCI81" s="2567"/>
      <c r="QCJ81" s="2567"/>
      <c r="QCK81" s="2567"/>
      <c r="QCL81" s="2567"/>
      <c r="QCM81" s="2567"/>
      <c r="QCN81" s="2567"/>
      <c r="QCO81" s="2567"/>
      <c r="QCP81" s="2567"/>
      <c r="QCQ81" s="2567"/>
      <c r="QCR81" s="2567"/>
      <c r="QCS81" s="2567"/>
      <c r="QCT81" s="2567"/>
      <c r="QCU81" s="2567"/>
      <c r="QCV81" s="2567"/>
      <c r="QCW81" s="2567"/>
      <c r="QCX81" s="2567"/>
      <c r="QCY81" s="2567"/>
      <c r="QCZ81" s="2567"/>
      <c r="QDA81" s="2567"/>
      <c r="QDB81" s="2567"/>
      <c r="QDC81" s="2567"/>
      <c r="QDD81" s="2567"/>
      <c r="QDE81" s="2567"/>
      <c r="QDF81" s="2567"/>
      <c r="QDG81" s="2567"/>
      <c r="QDH81" s="2567"/>
      <c r="QDI81" s="2567"/>
      <c r="QDJ81" s="2567"/>
      <c r="QDK81" s="2567"/>
      <c r="QDL81" s="2567"/>
      <c r="QDM81" s="2567"/>
      <c r="QDN81" s="2567"/>
      <c r="QDO81" s="2567"/>
      <c r="QDP81" s="2567"/>
      <c r="QDQ81" s="2567"/>
      <c r="QDR81" s="2567"/>
      <c r="QDS81" s="2567"/>
      <c r="QDT81" s="2567"/>
      <c r="QDU81" s="2567"/>
      <c r="QDV81" s="2567"/>
      <c r="QDW81" s="2567"/>
      <c r="QDX81" s="2567"/>
      <c r="QDY81" s="2567"/>
      <c r="QDZ81" s="2567"/>
      <c r="QEA81" s="2567"/>
      <c r="QEB81" s="2567"/>
      <c r="QEC81" s="2567"/>
      <c r="QED81" s="2567"/>
      <c r="QEE81" s="2567"/>
      <c r="QEF81" s="2567"/>
      <c r="QEG81" s="2567"/>
      <c r="QEH81" s="2567"/>
      <c r="QEI81" s="2567"/>
      <c r="QEJ81" s="2567"/>
      <c r="QEK81" s="2567"/>
      <c r="QEL81" s="2567"/>
      <c r="QEM81" s="2567"/>
      <c r="QEN81" s="2567"/>
      <c r="QEO81" s="2567"/>
      <c r="QEP81" s="2567"/>
      <c r="QEQ81" s="2567"/>
      <c r="QER81" s="2567"/>
      <c r="QES81" s="2567"/>
      <c r="QET81" s="2567"/>
      <c r="QEU81" s="2567"/>
      <c r="QEV81" s="2567"/>
      <c r="QEW81" s="2567"/>
      <c r="QEX81" s="2567"/>
      <c r="QEY81" s="2567"/>
      <c r="QEZ81" s="2567"/>
      <c r="QFA81" s="2567"/>
      <c r="QFB81" s="2567"/>
      <c r="QFC81" s="2567"/>
      <c r="QFD81" s="2567"/>
      <c r="QFE81" s="2567"/>
      <c r="QFF81" s="2567"/>
      <c r="QFG81" s="2567"/>
      <c r="QFH81" s="2567"/>
      <c r="QFI81" s="2567"/>
      <c r="QFJ81" s="2567"/>
      <c r="QFK81" s="2567"/>
      <c r="QFL81" s="2567"/>
      <c r="QFM81" s="2567"/>
      <c r="QFN81" s="2567"/>
      <c r="QFO81" s="2567"/>
      <c r="QFP81" s="2567"/>
      <c r="QFQ81" s="2567"/>
      <c r="QFR81" s="2567"/>
      <c r="QFS81" s="2567"/>
      <c r="QFT81" s="2567"/>
      <c r="QFU81" s="2567"/>
      <c r="QFV81" s="2567"/>
      <c r="QFW81" s="2567"/>
      <c r="QFX81" s="2567"/>
      <c r="QFY81" s="2567"/>
      <c r="QFZ81" s="2567"/>
      <c r="QGA81" s="2567"/>
      <c r="QGB81" s="2567"/>
      <c r="QGC81" s="2567"/>
      <c r="QGD81" s="2567"/>
      <c r="QGE81" s="2567"/>
      <c r="QGF81" s="2567"/>
      <c r="QGG81" s="2567"/>
      <c r="QGH81" s="2567"/>
      <c r="QGI81" s="2567"/>
      <c r="QGJ81" s="2567"/>
      <c r="QGK81" s="2567"/>
      <c r="QGL81" s="2567"/>
      <c r="QGM81" s="2567"/>
      <c r="QGN81" s="2567"/>
      <c r="QGO81" s="2567"/>
      <c r="QGP81" s="2567"/>
      <c r="QGQ81" s="2567"/>
      <c r="QGR81" s="2567"/>
      <c r="QGS81" s="2567"/>
      <c r="QGT81" s="2567"/>
      <c r="QGU81" s="2567"/>
      <c r="QGV81" s="2567"/>
      <c r="QGW81" s="2567"/>
      <c r="QGX81" s="2567"/>
      <c r="QGY81" s="2567"/>
      <c r="QGZ81" s="2567"/>
      <c r="QHA81" s="2567"/>
      <c r="QHB81" s="2567"/>
      <c r="QHC81" s="2567"/>
      <c r="QHD81" s="2567"/>
      <c r="QHE81" s="2567"/>
      <c r="QHF81" s="2567"/>
      <c r="QHG81" s="2567"/>
      <c r="QHH81" s="2567"/>
      <c r="QHI81" s="2567"/>
      <c r="QHJ81" s="2567"/>
      <c r="QHK81" s="2567"/>
      <c r="QHL81" s="2567"/>
      <c r="QHM81" s="2567"/>
      <c r="QHN81" s="2567"/>
      <c r="QHO81" s="2567"/>
      <c r="QHP81" s="2567"/>
      <c r="QHQ81" s="2567"/>
      <c r="QHR81" s="2567"/>
      <c r="QHS81" s="2567"/>
      <c r="QHT81" s="2567"/>
      <c r="QHU81" s="2567"/>
      <c r="QHV81" s="2567"/>
      <c r="QHW81" s="2567"/>
      <c r="QHX81" s="2567"/>
      <c r="QHY81" s="2567"/>
      <c r="QHZ81" s="2567"/>
      <c r="QIA81" s="2567"/>
      <c r="QIB81" s="2567"/>
      <c r="QIC81" s="2567"/>
      <c r="QID81" s="2567"/>
      <c r="QIE81" s="2567"/>
      <c r="QIF81" s="2567"/>
      <c r="QIG81" s="2567"/>
      <c r="QIH81" s="2567"/>
      <c r="QII81" s="2567"/>
      <c r="QIJ81" s="2567"/>
      <c r="QIK81" s="2567"/>
      <c r="QIL81" s="2567"/>
      <c r="QIM81" s="2567"/>
      <c r="QIN81" s="2567"/>
      <c r="QIO81" s="2567"/>
      <c r="QIP81" s="2567"/>
      <c r="QIQ81" s="2567"/>
      <c r="QIR81" s="2567"/>
      <c r="QIS81" s="2567"/>
      <c r="QIT81" s="2567"/>
      <c r="QIU81" s="2567"/>
      <c r="QIV81" s="2567"/>
      <c r="QIW81" s="2567"/>
      <c r="QIX81" s="2567"/>
      <c r="QIY81" s="2567"/>
      <c r="QIZ81" s="2567"/>
      <c r="QJA81" s="2567"/>
      <c r="QJB81" s="2567"/>
      <c r="QJC81" s="2567"/>
      <c r="QJD81" s="2567"/>
      <c r="QJE81" s="2567"/>
      <c r="QJF81" s="2567"/>
      <c r="QJG81" s="2567"/>
      <c r="QJH81" s="2567"/>
      <c r="QJI81" s="2567"/>
      <c r="QJJ81" s="2567"/>
      <c r="QJK81" s="2567"/>
      <c r="QJL81" s="2567"/>
      <c r="QJM81" s="2567"/>
      <c r="QJN81" s="2567"/>
      <c r="QJO81" s="2567"/>
      <c r="QJP81" s="2567"/>
      <c r="QJQ81" s="2567"/>
      <c r="QJR81" s="2567"/>
      <c r="QJS81" s="2567"/>
      <c r="QJT81" s="2567"/>
      <c r="QJU81" s="2567"/>
      <c r="QJV81" s="2567"/>
      <c r="QJW81" s="2567"/>
      <c r="QJX81" s="2567"/>
      <c r="QJY81" s="2567"/>
      <c r="QJZ81" s="2567"/>
      <c r="QKA81" s="2567"/>
      <c r="QKB81" s="2567"/>
      <c r="QKC81" s="2567"/>
      <c r="QKD81" s="2567"/>
      <c r="QKE81" s="2567"/>
      <c r="QKF81" s="2567"/>
      <c r="QKG81" s="2567"/>
      <c r="QKH81" s="2567"/>
      <c r="QKI81" s="2567"/>
      <c r="QKJ81" s="2567"/>
      <c r="QKK81" s="2567"/>
      <c r="QKL81" s="2567"/>
      <c r="QKM81" s="2567"/>
      <c r="QKN81" s="2567"/>
      <c r="QKO81" s="2567"/>
      <c r="QKP81" s="2567"/>
      <c r="QKQ81" s="2567"/>
      <c r="QKR81" s="2567"/>
      <c r="QKS81" s="2567"/>
      <c r="QKT81" s="2567"/>
      <c r="QKU81" s="2567"/>
      <c r="QKV81" s="2567"/>
      <c r="QKW81" s="2567"/>
      <c r="QKX81" s="2567"/>
      <c r="QKY81" s="2567"/>
      <c r="QKZ81" s="2567"/>
      <c r="QLA81" s="2567"/>
      <c r="QLB81" s="2567"/>
      <c r="QLC81" s="2567"/>
      <c r="QLD81" s="2567"/>
      <c r="QLE81" s="2567"/>
      <c r="QLF81" s="2567"/>
      <c r="QLG81" s="2567"/>
      <c r="QLH81" s="2567"/>
      <c r="QLI81" s="2567"/>
      <c r="QLJ81" s="2567"/>
      <c r="QLK81" s="2567"/>
      <c r="QLL81" s="2567"/>
      <c r="QLM81" s="2567"/>
      <c r="QLN81" s="2567"/>
      <c r="QLO81" s="2567"/>
      <c r="QLP81" s="2567"/>
      <c r="QLQ81" s="2567"/>
      <c r="QLR81" s="2567"/>
      <c r="QLS81" s="2567"/>
      <c r="QLT81" s="2567"/>
      <c r="QLU81" s="2567"/>
      <c r="QLV81" s="2567"/>
      <c r="QLW81" s="2567"/>
      <c r="QLX81" s="2567"/>
      <c r="QLY81" s="2567"/>
      <c r="QLZ81" s="2567"/>
      <c r="QMA81" s="2567"/>
      <c r="QMB81" s="2567"/>
      <c r="QMC81" s="2567"/>
      <c r="QMD81" s="2567"/>
      <c r="QME81" s="2567"/>
      <c r="QMF81" s="2567"/>
      <c r="QMG81" s="2567"/>
      <c r="QMH81" s="2567"/>
      <c r="QMI81" s="2567"/>
      <c r="QMJ81" s="2567"/>
      <c r="QMK81" s="2567"/>
      <c r="QML81" s="2567"/>
      <c r="QMM81" s="2567"/>
      <c r="QMN81" s="2567"/>
      <c r="QMO81" s="2567"/>
      <c r="QMP81" s="2567"/>
      <c r="QMQ81" s="2567"/>
      <c r="QMR81" s="2567"/>
      <c r="QMS81" s="2567"/>
      <c r="QMT81" s="2567"/>
      <c r="QMU81" s="2567"/>
      <c r="QMV81" s="2567"/>
      <c r="QMW81" s="2567"/>
      <c r="QMX81" s="2567"/>
      <c r="QMY81" s="2567"/>
      <c r="QMZ81" s="2567"/>
      <c r="QNA81" s="2567"/>
      <c r="QNB81" s="2567"/>
      <c r="QNC81" s="2567"/>
      <c r="QND81" s="2567"/>
      <c r="QNE81" s="2567"/>
      <c r="QNF81" s="2567"/>
      <c r="QNG81" s="2567"/>
      <c r="QNH81" s="2567"/>
      <c r="QNI81" s="2567"/>
      <c r="QNJ81" s="2567"/>
      <c r="QNK81" s="2567"/>
      <c r="QNL81" s="2567"/>
      <c r="QNM81" s="2567"/>
      <c r="QNN81" s="2567"/>
      <c r="QNO81" s="2567"/>
      <c r="QNP81" s="2567"/>
      <c r="QNQ81" s="2567"/>
      <c r="QNR81" s="2567"/>
      <c r="QNS81" s="2567"/>
      <c r="QNT81" s="2567"/>
      <c r="QNU81" s="2567"/>
      <c r="QNV81" s="2567"/>
      <c r="QNW81" s="2567"/>
      <c r="QNX81" s="2567"/>
      <c r="QNY81" s="2567"/>
      <c r="QNZ81" s="2567"/>
      <c r="QOA81" s="2567"/>
      <c r="QOB81" s="2567"/>
      <c r="QOC81" s="2567"/>
      <c r="QOD81" s="2567"/>
      <c r="QOE81" s="2567"/>
      <c r="QOF81" s="2567"/>
      <c r="QOG81" s="2567"/>
      <c r="QOH81" s="2567"/>
      <c r="QOI81" s="2567"/>
      <c r="QOJ81" s="2567"/>
      <c r="QOK81" s="2567"/>
      <c r="QOL81" s="2567"/>
      <c r="QOM81" s="2567"/>
      <c r="QON81" s="2567"/>
      <c r="QOO81" s="2567"/>
      <c r="QOP81" s="2567"/>
      <c r="QOQ81" s="2567"/>
      <c r="QOR81" s="2567"/>
      <c r="QOS81" s="2567"/>
      <c r="QOT81" s="2567"/>
      <c r="QOU81" s="2567"/>
      <c r="QOV81" s="2567"/>
      <c r="QOW81" s="2567"/>
      <c r="QOX81" s="2567"/>
      <c r="QOY81" s="2567"/>
      <c r="QOZ81" s="2567"/>
      <c r="QPA81" s="2567"/>
      <c r="QPB81" s="2567"/>
      <c r="QPC81" s="2567"/>
      <c r="QPD81" s="2567"/>
      <c r="QPE81" s="2567"/>
      <c r="QPF81" s="2567"/>
      <c r="QPG81" s="2567"/>
      <c r="QPH81" s="2567"/>
      <c r="QPI81" s="2567"/>
      <c r="QPJ81" s="2567"/>
      <c r="QPK81" s="2567"/>
      <c r="QPL81" s="2567"/>
      <c r="QPM81" s="2567"/>
      <c r="QPN81" s="2567"/>
      <c r="QPO81" s="2567"/>
      <c r="QPP81" s="2567"/>
      <c r="QPQ81" s="2567"/>
      <c r="QPR81" s="2567"/>
      <c r="QPS81" s="2567"/>
      <c r="QPT81" s="2567"/>
      <c r="QPU81" s="2567"/>
      <c r="QPV81" s="2567"/>
      <c r="QPW81" s="2567"/>
      <c r="QPX81" s="2567"/>
      <c r="QPY81" s="2567"/>
      <c r="QPZ81" s="2567"/>
      <c r="QQA81" s="2567"/>
      <c r="QQB81" s="2567"/>
      <c r="QQC81" s="2567"/>
      <c r="QQD81" s="2567"/>
      <c r="QQE81" s="2567"/>
      <c r="QQF81" s="2567"/>
      <c r="QQG81" s="2567"/>
      <c r="QQH81" s="2567"/>
      <c r="QQI81" s="2567"/>
      <c r="QQJ81" s="2567"/>
      <c r="QQK81" s="2567"/>
      <c r="QQL81" s="2567"/>
      <c r="QQM81" s="2567"/>
      <c r="QQN81" s="2567"/>
      <c r="QQO81" s="2567"/>
      <c r="QQP81" s="2567"/>
      <c r="QQQ81" s="2567"/>
      <c r="QQR81" s="2567"/>
      <c r="QQS81" s="2567"/>
      <c r="QQT81" s="2567"/>
      <c r="QQU81" s="2567"/>
      <c r="QQV81" s="2567"/>
      <c r="QQW81" s="2567"/>
      <c r="QQX81" s="2567"/>
      <c r="QQY81" s="2567"/>
      <c r="QQZ81" s="2567"/>
      <c r="QRA81" s="2567"/>
      <c r="QRB81" s="2567"/>
      <c r="QRC81" s="2567"/>
      <c r="QRD81" s="2567"/>
      <c r="QRE81" s="2567"/>
      <c r="QRF81" s="2567"/>
      <c r="QRG81" s="2567"/>
      <c r="QRH81" s="2567"/>
      <c r="QRI81" s="2567"/>
      <c r="QRJ81" s="2567"/>
      <c r="QRK81" s="2567"/>
      <c r="QRL81" s="2567"/>
      <c r="QRM81" s="2567"/>
      <c r="QRN81" s="2567"/>
      <c r="QRO81" s="2567"/>
      <c r="QRP81" s="2567"/>
      <c r="QRQ81" s="2567"/>
      <c r="QRR81" s="2567"/>
      <c r="QRS81" s="2567"/>
      <c r="QRT81" s="2567"/>
      <c r="QRU81" s="2567"/>
      <c r="QRV81" s="2567"/>
      <c r="QRW81" s="2567"/>
      <c r="QRX81" s="2567"/>
      <c r="QRY81" s="2567"/>
      <c r="QRZ81" s="2567"/>
      <c r="QSA81" s="2567"/>
      <c r="QSB81" s="2567"/>
      <c r="QSC81" s="2567"/>
      <c r="QSD81" s="2567"/>
      <c r="QSE81" s="2567"/>
      <c r="QSF81" s="2567"/>
      <c r="QSG81" s="2567"/>
      <c r="QSH81" s="2567"/>
      <c r="QSI81" s="2567"/>
      <c r="QSJ81" s="2567"/>
      <c r="QSK81" s="2567"/>
      <c r="QSL81" s="2567"/>
      <c r="QSM81" s="2567"/>
      <c r="QSN81" s="2567"/>
      <c r="QSO81" s="2567"/>
      <c r="QSP81" s="2567"/>
      <c r="QSQ81" s="2567"/>
      <c r="QSR81" s="2567"/>
      <c r="QSS81" s="2567"/>
      <c r="QST81" s="2567"/>
      <c r="QSU81" s="2567"/>
      <c r="QSV81" s="2567"/>
      <c r="QSW81" s="2567"/>
      <c r="QSX81" s="2567"/>
      <c r="QSY81" s="2567"/>
      <c r="QSZ81" s="2567"/>
      <c r="QTA81" s="2567"/>
      <c r="QTB81" s="2567"/>
      <c r="QTC81" s="2567"/>
      <c r="QTD81" s="2567"/>
      <c r="QTE81" s="2567"/>
      <c r="QTF81" s="2567"/>
      <c r="QTG81" s="2567"/>
      <c r="QTH81" s="2567"/>
      <c r="QTI81" s="2567"/>
      <c r="QTJ81" s="2567"/>
      <c r="QTK81" s="2567"/>
      <c r="QTL81" s="2567"/>
      <c r="QTM81" s="2567"/>
      <c r="QTN81" s="2567"/>
      <c r="QTO81" s="2567"/>
      <c r="QTP81" s="2567"/>
      <c r="QTQ81" s="2567"/>
      <c r="QTR81" s="2567"/>
      <c r="QTS81" s="2567"/>
      <c r="QTT81" s="2567"/>
      <c r="QTU81" s="2567"/>
      <c r="QTV81" s="2567"/>
      <c r="QTW81" s="2567"/>
      <c r="QTX81" s="2567"/>
      <c r="QTY81" s="2567"/>
      <c r="QTZ81" s="2567"/>
      <c r="QUA81" s="2567"/>
      <c r="QUB81" s="2567"/>
      <c r="QUC81" s="2567"/>
      <c r="QUD81" s="2567"/>
      <c r="QUE81" s="2567"/>
      <c r="QUF81" s="2567"/>
      <c r="QUG81" s="2567"/>
      <c r="QUH81" s="2567"/>
      <c r="QUI81" s="2567"/>
      <c r="QUJ81" s="2567"/>
      <c r="QUK81" s="2567"/>
      <c r="QUL81" s="2567"/>
      <c r="QUM81" s="2567"/>
      <c r="QUN81" s="2567"/>
      <c r="QUO81" s="2567"/>
      <c r="QUP81" s="2567"/>
      <c r="QUQ81" s="2567"/>
      <c r="QUR81" s="2567"/>
      <c r="QUS81" s="2567"/>
      <c r="QUT81" s="2567"/>
      <c r="QUU81" s="2567"/>
      <c r="QUV81" s="2567"/>
      <c r="QUW81" s="2567"/>
      <c r="QUX81" s="2567"/>
      <c r="QUY81" s="2567"/>
      <c r="QUZ81" s="2567"/>
      <c r="QVA81" s="2567"/>
      <c r="QVB81" s="2567"/>
      <c r="QVC81" s="2567"/>
      <c r="QVD81" s="2567"/>
      <c r="QVE81" s="2567"/>
      <c r="QVF81" s="2567"/>
      <c r="QVG81" s="2567"/>
      <c r="QVH81" s="2567"/>
      <c r="QVI81" s="2567"/>
      <c r="QVJ81" s="2567"/>
      <c r="QVK81" s="2567"/>
      <c r="QVL81" s="2567"/>
      <c r="QVM81" s="2567"/>
      <c r="QVN81" s="2567"/>
      <c r="QVO81" s="2567"/>
      <c r="QVP81" s="2567"/>
      <c r="QVQ81" s="2567"/>
      <c r="QVR81" s="2567"/>
      <c r="QVS81" s="2567"/>
      <c r="QVT81" s="2567"/>
      <c r="QVU81" s="2567"/>
      <c r="QVV81" s="2567"/>
      <c r="QVW81" s="2567"/>
      <c r="QVX81" s="2567"/>
      <c r="QVY81" s="2567"/>
      <c r="QVZ81" s="2567"/>
      <c r="QWA81" s="2567"/>
      <c r="QWB81" s="2567"/>
      <c r="QWC81" s="2567"/>
      <c r="QWD81" s="2567"/>
      <c r="QWE81" s="2567"/>
      <c r="QWF81" s="2567"/>
      <c r="QWG81" s="2567"/>
      <c r="QWH81" s="2567"/>
      <c r="QWI81" s="2567"/>
      <c r="QWJ81" s="2567"/>
      <c r="QWK81" s="2567"/>
      <c r="QWL81" s="2567"/>
      <c r="QWM81" s="2567"/>
      <c r="QWN81" s="2567"/>
      <c r="QWO81" s="2567"/>
      <c r="QWP81" s="2567"/>
      <c r="QWQ81" s="2567"/>
      <c r="QWR81" s="2567"/>
      <c r="QWS81" s="2567"/>
      <c r="QWT81" s="2567"/>
      <c r="QWU81" s="2567"/>
      <c r="QWV81" s="2567"/>
      <c r="QWW81" s="2567"/>
      <c r="QWX81" s="2567"/>
      <c r="QWY81" s="2567"/>
      <c r="QWZ81" s="2567"/>
      <c r="QXA81" s="2567"/>
      <c r="QXB81" s="2567"/>
      <c r="QXC81" s="2567"/>
      <c r="QXD81" s="2567"/>
      <c r="QXE81" s="2567"/>
      <c r="QXF81" s="2567"/>
      <c r="QXG81" s="2567"/>
      <c r="QXH81" s="2567"/>
      <c r="QXI81" s="2567"/>
      <c r="QXJ81" s="2567"/>
      <c r="QXK81" s="2567"/>
      <c r="QXL81" s="2567"/>
      <c r="QXM81" s="2567"/>
      <c r="QXN81" s="2567"/>
      <c r="QXO81" s="2567"/>
      <c r="QXP81" s="2567"/>
      <c r="QXQ81" s="2567"/>
      <c r="QXR81" s="2567"/>
      <c r="QXS81" s="2567"/>
      <c r="QXT81" s="2567"/>
      <c r="QXU81" s="2567"/>
      <c r="QXV81" s="2567"/>
      <c r="QXW81" s="2567"/>
      <c r="QXX81" s="2567"/>
      <c r="QXY81" s="2567"/>
      <c r="QXZ81" s="2567"/>
      <c r="QYA81" s="2567"/>
      <c r="QYB81" s="2567"/>
      <c r="QYC81" s="2567"/>
      <c r="QYD81" s="2567"/>
      <c r="QYE81" s="2567"/>
      <c r="QYF81" s="2567"/>
      <c r="QYG81" s="2567"/>
      <c r="QYH81" s="2567"/>
      <c r="QYI81" s="2567"/>
      <c r="QYJ81" s="2567"/>
      <c r="QYK81" s="2567"/>
      <c r="QYL81" s="2567"/>
      <c r="QYM81" s="2567"/>
      <c r="QYN81" s="2567"/>
      <c r="QYO81" s="2567"/>
      <c r="QYP81" s="2567"/>
      <c r="QYQ81" s="2567"/>
      <c r="QYR81" s="2567"/>
      <c r="QYS81" s="2567"/>
      <c r="QYT81" s="2567"/>
      <c r="QYU81" s="2567"/>
      <c r="QYV81" s="2567"/>
      <c r="QYW81" s="2567"/>
      <c r="QYX81" s="2567"/>
      <c r="QYY81" s="2567"/>
      <c r="QYZ81" s="2567"/>
      <c r="QZA81" s="2567"/>
      <c r="QZB81" s="2567"/>
      <c r="QZC81" s="2567"/>
      <c r="QZD81" s="2567"/>
      <c r="QZE81" s="2567"/>
      <c r="QZF81" s="2567"/>
      <c r="QZG81" s="2567"/>
      <c r="QZH81" s="2567"/>
      <c r="QZI81" s="2567"/>
      <c r="QZJ81" s="2567"/>
      <c r="QZK81" s="2567"/>
      <c r="QZL81" s="2567"/>
      <c r="QZM81" s="2567"/>
      <c r="QZN81" s="2567"/>
      <c r="QZO81" s="2567"/>
      <c r="QZP81" s="2567"/>
      <c r="QZQ81" s="2567"/>
      <c r="QZR81" s="2567"/>
      <c r="QZS81" s="2567"/>
      <c r="QZT81" s="2567"/>
      <c r="QZU81" s="2567"/>
      <c r="QZV81" s="2567"/>
      <c r="QZW81" s="2567"/>
      <c r="QZX81" s="2567"/>
      <c r="QZY81" s="2567"/>
      <c r="QZZ81" s="2567"/>
      <c r="RAA81" s="2567"/>
      <c r="RAB81" s="2567"/>
      <c r="RAC81" s="2567"/>
      <c r="RAD81" s="2567"/>
      <c r="RAE81" s="2567"/>
      <c r="RAF81" s="2567"/>
      <c r="RAG81" s="2567"/>
      <c r="RAH81" s="2567"/>
      <c r="RAI81" s="2567"/>
      <c r="RAJ81" s="2567"/>
      <c r="RAK81" s="2567"/>
      <c r="RAL81" s="2567"/>
      <c r="RAM81" s="2567"/>
      <c r="RAN81" s="2567"/>
      <c r="RAO81" s="2567"/>
      <c r="RAP81" s="2567"/>
      <c r="RAQ81" s="2567"/>
      <c r="RAR81" s="2567"/>
      <c r="RAS81" s="2567"/>
      <c r="RAT81" s="2567"/>
      <c r="RAU81" s="2567"/>
      <c r="RAV81" s="2567"/>
      <c r="RAW81" s="2567"/>
      <c r="RAX81" s="2567"/>
      <c r="RAY81" s="2567"/>
      <c r="RAZ81" s="2567"/>
      <c r="RBA81" s="2567"/>
      <c r="RBB81" s="2567"/>
      <c r="RBC81" s="2567"/>
      <c r="RBD81" s="2567"/>
      <c r="RBE81" s="2567"/>
      <c r="RBF81" s="2567"/>
      <c r="RBG81" s="2567"/>
      <c r="RBH81" s="2567"/>
      <c r="RBI81" s="2567"/>
      <c r="RBJ81" s="2567"/>
      <c r="RBK81" s="2567"/>
      <c r="RBL81" s="2567"/>
      <c r="RBM81" s="2567"/>
      <c r="RBN81" s="2567"/>
      <c r="RBO81" s="2567"/>
      <c r="RBP81" s="2567"/>
      <c r="RBQ81" s="2567"/>
      <c r="RBR81" s="2567"/>
      <c r="RBS81" s="2567"/>
      <c r="RBT81" s="2567"/>
      <c r="RBU81" s="2567"/>
      <c r="RBV81" s="2567"/>
      <c r="RBW81" s="2567"/>
      <c r="RBX81" s="2567"/>
      <c r="RBY81" s="2567"/>
      <c r="RBZ81" s="2567"/>
      <c r="RCA81" s="2567"/>
      <c r="RCB81" s="2567"/>
      <c r="RCC81" s="2567"/>
      <c r="RCD81" s="2567"/>
      <c r="RCE81" s="2567"/>
      <c r="RCF81" s="2567"/>
      <c r="RCG81" s="2567"/>
      <c r="RCH81" s="2567"/>
      <c r="RCI81" s="2567"/>
      <c r="RCJ81" s="2567"/>
      <c r="RCK81" s="2567"/>
      <c r="RCL81" s="2567"/>
      <c r="RCM81" s="2567"/>
      <c r="RCN81" s="2567"/>
      <c r="RCO81" s="2567"/>
      <c r="RCP81" s="2567"/>
      <c r="RCQ81" s="2567"/>
      <c r="RCR81" s="2567"/>
      <c r="RCS81" s="2567"/>
      <c r="RCT81" s="2567"/>
      <c r="RCU81" s="2567"/>
      <c r="RCV81" s="2567"/>
      <c r="RCW81" s="2567"/>
      <c r="RCX81" s="2567"/>
      <c r="RCY81" s="2567"/>
      <c r="RCZ81" s="2567"/>
      <c r="RDA81" s="2567"/>
      <c r="RDB81" s="2567"/>
      <c r="RDC81" s="2567"/>
      <c r="RDD81" s="2567"/>
      <c r="RDE81" s="2567"/>
      <c r="RDF81" s="2567"/>
      <c r="RDG81" s="2567"/>
      <c r="RDH81" s="2567"/>
      <c r="RDI81" s="2567"/>
      <c r="RDJ81" s="2567"/>
      <c r="RDK81" s="2567"/>
      <c r="RDL81" s="2567"/>
      <c r="RDM81" s="2567"/>
      <c r="RDN81" s="2567"/>
      <c r="RDO81" s="2567"/>
      <c r="RDP81" s="2567"/>
      <c r="RDQ81" s="2567"/>
      <c r="RDR81" s="2567"/>
      <c r="RDS81" s="2567"/>
      <c r="RDT81" s="2567"/>
      <c r="RDU81" s="2567"/>
      <c r="RDV81" s="2567"/>
      <c r="RDW81" s="2567"/>
      <c r="RDX81" s="2567"/>
      <c r="RDY81" s="2567"/>
      <c r="RDZ81" s="2567"/>
      <c r="REA81" s="2567"/>
      <c r="REB81" s="2567"/>
      <c r="REC81" s="2567"/>
      <c r="RED81" s="2567"/>
      <c r="REE81" s="2567"/>
      <c r="REF81" s="2567"/>
      <c r="REG81" s="2567"/>
      <c r="REH81" s="2567"/>
      <c r="REI81" s="2567"/>
      <c r="REJ81" s="2567"/>
      <c r="REK81" s="2567"/>
      <c r="REL81" s="2567"/>
      <c r="REM81" s="2567"/>
      <c r="REN81" s="2567"/>
      <c r="REO81" s="2567"/>
      <c r="REP81" s="2567"/>
      <c r="REQ81" s="2567"/>
      <c r="RER81" s="2567"/>
      <c r="RES81" s="2567"/>
      <c r="RET81" s="2567"/>
      <c r="REU81" s="2567"/>
      <c r="REV81" s="2567"/>
      <c r="REW81" s="2567"/>
      <c r="REX81" s="2567"/>
      <c r="REY81" s="2567"/>
      <c r="REZ81" s="2567"/>
      <c r="RFA81" s="2567"/>
      <c r="RFB81" s="2567"/>
      <c r="RFC81" s="2567"/>
      <c r="RFD81" s="2567"/>
      <c r="RFE81" s="2567"/>
      <c r="RFF81" s="2567"/>
      <c r="RFG81" s="2567"/>
      <c r="RFH81" s="2567"/>
      <c r="RFI81" s="2567"/>
      <c r="RFJ81" s="2567"/>
      <c r="RFK81" s="2567"/>
      <c r="RFL81" s="2567"/>
      <c r="RFM81" s="2567"/>
      <c r="RFN81" s="2567"/>
      <c r="RFO81" s="2567"/>
      <c r="RFP81" s="2567"/>
      <c r="RFQ81" s="2567"/>
      <c r="RFR81" s="2567"/>
      <c r="RFS81" s="2567"/>
      <c r="RFT81" s="2567"/>
      <c r="RFU81" s="2567"/>
      <c r="RFV81" s="2567"/>
      <c r="RFW81" s="2567"/>
      <c r="RFX81" s="2567"/>
      <c r="RFY81" s="2567"/>
      <c r="RFZ81" s="2567"/>
      <c r="RGA81" s="2567"/>
      <c r="RGB81" s="2567"/>
      <c r="RGC81" s="2567"/>
      <c r="RGD81" s="2567"/>
      <c r="RGE81" s="2567"/>
      <c r="RGF81" s="2567"/>
      <c r="RGG81" s="2567"/>
      <c r="RGH81" s="2567"/>
      <c r="RGI81" s="2567"/>
      <c r="RGJ81" s="2567"/>
      <c r="RGK81" s="2567"/>
      <c r="RGL81" s="2567"/>
      <c r="RGM81" s="2567"/>
      <c r="RGN81" s="2567"/>
      <c r="RGO81" s="2567"/>
      <c r="RGP81" s="2567"/>
      <c r="RGQ81" s="2567"/>
      <c r="RGR81" s="2567"/>
      <c r="RGS81" s="2567"/>
      <c r="RGT81" s="2567"/>
      <c r="RGU81" s="2567"/>
      <c r="RGV81" s="2567"/>
      <c r="RGW81" s="2567"/>
      <c r="RGX81" s="2567"/>
      <c r="RGY81" s="2567"/>
      <c r="RGZ81" s="2567"/>
      <c r="RHA81" s="2567"/>
      <c r="RHB81" s="2567"/>
      <c r="RHC81" s="2567"/>
      <c r="RHD81" s="2567"/>
      <c r="RHE81" s="2567"/>
      <c r="RHF81" s="2567"/>
      <c r="RHG81" s="2567"/>
      <c r="RHH81" s="2567"/>
      <c r="RHI81" s="2567"/>
      <c r="RHJ81" s="2567"/>
      <c r="RHK81" s="2567"/>
      <c r="RHL81" s="2567"/>
      <c r="RHM81" s="2567"/>
      <c r="RHN81" s="2567"/>
      <c r="RHO81" s="2567"/>
      <c r="RHP81" s="2567"/>
      <c r="RHQ81" s="2567"/>
      <c r="RHR81" s="2567"/>
      <c r="RHS81" s="2567"/>
      <c r="RHT81" s="2567"/>
      <c r="RHU81" s="2567"/>
      <c r="RHV81" s="2567"/>
      <c r="RHW81" s="2567"/>
      <c r="RHX81" s="2567"/>
      <c r="RHY81" s="2567"/>
      <c r="RHZ81" s="2567"/>
      <c r="RIA81" s="2567"/>
      <c r="RIB81" s="2567"/>
      <c r="RIC81" s="2567"/>
      <c r="RID81" s="2567"/>
      <c r="RIE81" s="2567"/>
      <c r="RIF81" s="2567"/>
      <c r="RIG81" s="2567"/>
      <c r="RIH81" s="2567"/>
      <c r="RII81" s="2567"/>
      <c r="RIJ81" s="2567"/>
      <c r="RIK81" s="2567"/>
      <c r="RIL81" s="2567"/>
      <c r="RIM81" s="2567"/>
      <c r="RIN81" s="2567"/>
      <c r="RIO81" s="2567"/>
      <c r="RIP81" s="2567"/>
      <c r="RIQ81" s="2567"/>
      <c r="RIR81" s="2567"/>
      <c r="RIS81" s="2567"/>
      <c r="RIT81" s="2567"/>
      <c r="RIU81" s="2567"/>
      <c r="RIV81" s="2567"/>
      <c r="RIW81" s="2567"/>
      <c r="RIX81" s="2567"/>
      <c r="RIY81" s="2567"/>
      <c r="RIZ81" s="2567"/>
      <c r="RJA81" s="2567"/>
      <c r="RJB81" s="2567"/>
      <c r="RJC81" s="2567"/>
      <c r="RJD81" s="2567"/>
      <c r="RJE81" s="2567"/>
      <c r="RJF81" s="2567"/>
      <c r="RJG81" s="2567"/>
      <c r="RJH81" s="2567"/>
      <c r="RJI81" s="2567"/>
      <c r="RJJ81" s="2567"/>
      <c r="RJK81" s="2567"/>
      <c r="RJL81" s="2567"/>
      <c r="RJM81" s="2567"/>
      <c r="RJN81" s="2567"/>
      <c r="RJO81" s="2567"/>
      <c r="RJP81" s="2567"/>
      <c r="RJQ81" s="2567"/>
      <c r="RJR81" s="2567"/>
      <c r="RJS81" s="2567"/>
      <c r="RJT81" s="2567"/>
      <c r="RJU81" s="2567"/>
      <c r="RJV81" s="2567"/>
      <c r="RJW81" s="2567"/>
      <c r="RJX81" s="2567"/>
      <c r="RJY81" s="2567"/>
      <c r="RJZ81" s="2567"/>
      <c r="RKA81" s="2567"/>
      <c r="RKB81" s="2567"/>
      <c r="RKC81" s="2567"/>
      <c r="RKD81" s="2567"/>
      <c r="RKE81" s="2567"/>
      <c r="RKF81" s="2567"/>
      <c r="RKG81" s="2567"/>
      <c r="RKH81" s="2567"/>
      <c r="RKI81" s="2567"/>
      <c r="RKJ81" s="2567"/>
      <c r="RKK81" s="2567"/>
      <c r="RKL81" s="2567"/>
      <c r="RKM81" s="2567"/>
      <c r="RKN81" s="2567"/>
      <c r="RKO81" s="2567"/>
      <c r="RKP81" s="2567"/>
      <c r="RKQ81" s="2567"/>
      <c r="RKR81" s="2567"/>
      <c r="RKS81" s="2567"/>
      <c r="RKT81" s="2567"/>
      <c r="RKU81" s="2567"/>
      <c r="RKV81" s="2567"/>
      <c r="RKW81" s="2567"/>
      <c r="RKX81" s="2567"/>
      <c r="RKY81" s="2567"/>
      <c r="RKZ81" s="2567"/>
      <c r="RLA81" s="2567"/>
      <c r="RLB81" s="2567"/>
      <c r="RLC81" s="2567"/>
      <c r="RLD81" s="2567"/>
      <c r="RLE81" s="2567"/>
      <c r="RLF81" s="2567"/>
      <c r="RLG81" s="2567"/>
      <c r="RLH81" s="2567"/>
      <c r="RLI81" s="2567"/>
      <c r="RLJ81" s="2567"/>
      <c r="RLK81" s="2567"/>
      <c r="RLL81" s="2567"/>
      <c r="RLM81" s="2567"/>
      <c r="RLN81" s="2567"/>
      <c r="RLO81" s="2567"/>
      <c r="RLP81" s="2567"/>
      <c r="RLQ81" s="2567"/>
      <c r="RLR81" s="2567"/>
      <c r="RLS81" s="2567"/>
      <c r="RLT81" s="2567"/>
      <c r="RLU81" s="2567"/>
      <c r="RLV81" s="2567"/>
      <c r="RLW81" s="2567"/>
      <c r="RLX81" s="2567"/>
      <c r="RLY81" s="2567"/>
      <c r="RLZ81" s="2567"/>
      <c r="RMA81" s="2567"/>
      <c r="RMB81" s="2567"/>
      <c r="RMC81" s="2567"/>
      <c r="RMD81" s="2567"/>
      <c r="RME81" s="2567"/>
      <c r="RMF81" s="2567"/>
      <c r="RMG81" s="2567"/>
      <c r="RMH81" s="2567"/>
      <c r="RMI81" s="2567"/>
      <c r="RMJ81" s="2567"/>
      <c r="RMK81" s="2567"/>
      <c r="RML81" s="2567"/>
      <c r="RMM81" s="2567"/>
      <c r="RMN81" s="2567"/>
      <c r="RMO81" s="2567"/>
      <c r="RMP81" s="2567"/>
      <c r="RMQ81" s="2567"/>
      <c r="RMR81" s="2567"/>
      <c r="RMS81" s="2567"/>
      <c r="RMT81" s="2567"/>
      <c r="RMU81" s="2567"/>
      <c r="RMV81" s="2567"/>
      <c r="RMW81" s="2567"/>
      <c r="RMX81" s="2567"/>
      <c r="RMY81" s="2567"/>
      <c r="RMZ81" s="2567"/>
      <c r="RNA81" s="2567"/>
      <c r="RNB81" s="2567"/>
      <c r="RNC81" s="2567"/>
      <c r="RND81" s="2567"/>
      <c r="RNE81" s="2567"/>
      <c r="RNF81" s="2567"/>
      <c r="RNG81" s="2567"/>
      <c r="RNH81" s="2567"/>
      <c r="RNI81" s="2567"/>
      <c r="RNJ81" s="2567"/>
      <c r="RNK81" s="2567"/>
      <c r="RNL81" s="2567"/>
      <c r="RNM81" s="2567"/>
      <c r="RNN81" s="2567"/>
      <c r="RNO81" s="2567"/>
      <c r="RNP81" s="2567"/>
      <c r="RNQ81" s="2567"/>
      <c r="RNR81" s="2567"/>
      <c r="RNS81" s="2567"/>
      <c r="RNT81" s="2567"/>
      <c r="RNU81" s="2567"/>
      <c r="RNV81" s="2567"/>
      <c r="RNW81" s="2567"/>
      <c r="RNX81" s="2567"/>
      <c r="RNY81" s="2567"/>
      <c r="RNZ81" s="2567"/>
      <c r="ROA81" s="2567"/>
      <c r="ROB81" s="2567"/>
      <c r="ROC81" s="2567"/>
      <c r="ROD81" s="2567"/>
      <c r="ROE81" s="2567"/>
      <c r="ROF81" s="2567"/>
      <c r="ROG81" s="2567"/>
      <c r="ROH81" s="2567"/>
      <c r="ROI81" s="2567"/>
      <c r="ROJ81" s="2567"/>
      <c r="ROK81" s="2567"/>
      <c r="ROL81" s="2567"/>
      <c r="ROM81" s="2567"/>
      <c r="RON81" s="2567"/>
      <c r="ROO81" s="2567"/>
      <c r="ROP81" s="2567"/>
      <c r="ROQ81" s="2567"/>
      <c r="ROR81" s="2567"/>
      <c r="ROS81" s="2567"/>
      <c r="ROT81" s="2567"/>
      <c r="ROU81" s="2567"/>
      <c r="ROV81" s="2567"/>
      <c r="ROW81" s="2567"/>
      <c r="ROX81" s="2567"/>
      <c r="ROY81" s="2567"/>
      <c r="ROZ81" s="2567"/>
      <c r="RPA81" s="2567"/>
      <c r="RPB81" s="2567"/>
      <c r="RPC81" s="2567"/>
      <c r="RPD81" s="2567"/>
      <c r="RPE81" s="2567"/>
      <c r="RPF81" s="2567"/>
      <c r="RPG81" s="2567"/>
      <c r="RPH81" s="2567"/>
      <c r="RPI81" s="2567"/>
      <c r="RPJ81" s="2567"/>
      <c r="RPK81" s="2567"/>
      <c r="RPL81" s="2567"/>
      <c r="RPM81" s="2567"/>
      <c r="RPN81" s="2567"/>
      <c r="RPO81" s="2567"/>
      <c r="RPP81" s="2567"/>
      <c r="RPQ81" s="2567"/>
      <c r="RPR81" s="2567"/>
      <c r="RPS81" s="2567"/>
      <c r="RPT81" s="2567"/>
      <c r="RPU81" s="2567"/>
      <c r="RPV81" s="2567"/>
      <c r="RPW81" s="2567"/>
      <c r="RPX81" s="2567"/>
      <c r="RPY81" s="2567"/>
      <c r="RPZ81" s="2567"/>
      <c r="RQA81" s="2567"/>
      <c r="RQB81" s="2567"/>
      <c r="RQC81" s="2567"/>
      <c r="RQD81" s="2567"/>
      <c r="RQE81" s="2567"/>
      <c r="RQF81" s="2567"/>
      <c r="RQG81" s="2567"/>
      <c r="RQH81" s="2567"/>
      <c r="RQI81" s="2567"/>
      <c r="RQJ81" s="2567"/>
      <c r="RQK81" s="2567"/>
      <c r="RQL81" s="2567"/>
      <c r="RQM81" s="2567"/>
      <c r="RQN81" s="2567"/>
      <c r="RQO81" s="2567"/>
      <c r="RQP81" s="2567"/>
      <c r="RQQ81" s="2567"/>
      <c r="RQR81" s="2567"/>
      <c r="RQS81" s="2567"/>
      <c r="RQT81" s="2567"/>
      <c r="RQU81" s="2567"/>
      <c r="RQV81" s="2567"/>
      <c r="RQW81" s="2567"/>
      <c r="RQX81" s="2567"/>
      <c r="RQY81" s="2567"/>
      <c r="RQZ81" s="2567"/>
      <c r="RRA81" s="2567"/>
      <c r="RRB81" s="2567"/>
      <c r="RRC81" s="2567"/>
      <c r="RRD81" s="2567"/>
      <c r="RRE81" s="2567"/>
      <c r="RRF81" s="2567"/>
      <c r="RRG81" s="2567"/>
      <c r="RRH81" s="2567"/>
      <c r="RRI81" s="2567"/>
      <c r="RRJ81" s="2567"/>
      <c r="RRK81" s="2567"/>
      <c r="RRL81" s="2567"/>
      <c r="RRM81" s="2567"/>
      <c r="RRN81" s="2567"/>
      <c r="RRO81" s="2567"/>
      <c r="RRP81" s="2567"/>
      <c r="RRQ81" s="2567"/>
      <c r="RRR81" s="2567"/>
      <c r="RRS81" s="2567"/>
      <c r="RRT81" s="2567"/>
      <c r="RRU81" s="2567"/>
      <c r="RRV81" s="2567"/>
      <c r="RRW81" s="2567"/>
      <c r="RRX81" s="2567"/>
      <c r="RRY81" s="2567"/>
      <c r="RRZ81" s="2567"/>
      <c r="RSA81" s="2567"/>
      <c r="RSB81" s="2567"/>
      <c r="RSC81" s="2567"/>
      <c r="RSD81" s="2567"/>
      <c r="RSE81" s="2567"/>
      <c r="RSF81" s="2567"/>
      <c r="RSG81" s="2567"/>
      <c r="RSH81" s="2567"/>
      <c r="RSI81" s="2567"/>
      <c r="RSJ81" s="2567"/>
      <c r="RSK81" s="2567"/>
      <c r="RSL81" s="2567"/>
      <c r="RSM81" s="2567"/>
      <c r="RSN81" s="2567"/>
      <c r="RSO81" s="2567"/>
      <c r="RSP81" s="2567"/>
      <c r="RSQ81" s="2567"/>
      <c r="RSR81" s="2567"/>
      <c r="RSS81" s="2567"/>
      <c r="RST81" s="2567"/>
      <c r="RSU81" s="2567"/>
      <c r="RSV81" s="2567"/>
      <c r="RSW81" s="2567"/>
      <c r="RSX81" s="2567"/>
      <c r="RSY81" s="2567"/>
      <c r="RSZ81" s="2567"/>
      <c r="RTA81" s="2567"/>
      <c r="RTB81" s="2567"/>
      <c r="RTC81" s="2567"/>
      <c r="RTD81" s="2567"/>
      <c r="RTE81" s="2567"/>
      <c r="RTF81" s="2567"/>
      <c r="RTG81" s="2567"/>
      <c r="RTH81" s="2567"/>
      <c r="RTI81" s="2567"/>
      <c r="RTJ81" s="2567"/>
      <c r="RTK81" s="2567"/>
      <c r="RTL81" s="2567"/>
      <c r="RTM81" s="2567"/>
      <c r="RTN81" s="2567"/>
      <c r="RTO81" s="2567"/>
      <c r="RTP81" s="2567"/>
      <c r="RTQ81" s="2567"/>
      <c r="RTR81" s="2567"/>
      <c r="RTS81" s="2567"/>
      <c r="RTT81" s="2567"/>
      <c r="RTU81" s="2567"/>
      <c r="RTV81" s="2567"/>
      <c r="RTW81" s="2567"/>
      <c r="RTX81" s="2567"/>
      <c r="RTY81" s="2567"/>
      <c r="RTZ81" s="2567"/>
      <c r="RUA81" s="2567"/>
      <c r="RUB81" s="2567"/>
      <c r="RUC81" s="2567"/>
      <c r="RUD81" s="2567"/>
      <c r="RUE81" s="2567"/>
      <c r="RUF81" s="2567"/>
      <c r="RUG81" s="2567"/>
      <c r="RUH81" s="2567"/>
      <c r="RUI81" s="2567"/>
      <c r="RUJ81" s="2567"/>
      <c r="RUK81" s="2567"/>
      <c r="RUL81" s="2567"/>
      <c r="RUM81" s="2567"/>
      <c r="RUN81" s="2567"/>
      <c r="RUO81" s="2567"/>
      <c r="RUP81" s="2567"/>
      <c r="RUQ81" s="2567"/>
      <c r="RUR81" s="2567"/>
      <c r="RUS81" s="2567"/>
      <c r="RUT81" s="2567"/>
      <c r="RUU81" s="2567"/>
      <c r="RUV81" s="2567"/>
      <c r="RUW81" s="2567"/>
      <c r="RUX81" s="2567"/>
      <c r="RUY81" s="2567"/>
      <c r="RUZ81" s="2567"/>
      <c r="RVA81" s="2567"/>
      <c r="RVB81" s="2567"/>
      <c r="RVC81" s="2567"/>
      <c r="RVD81" s="2567"/>
      <c r="RVE81" s="2567"/>
      <c r="RVF81" s="2567"/>
      <c r="RVG81" s="2567"/>
      <c r="RVH81" s="2567"/>
      <c r="RVI81" s="2567"/>
      <c r="RVJ81" s="2567"/>
      <c r="RVK81" s="2567"/>
      <c r="RVL81" s="2567"/>
      <c r="RVM81" s="2567"/>
      <c r="RVN81" s="2567"/>
      <c r="RVO81" s="2567"/>
      <c r="RVP81" s="2567"/>
      <c r="RVQ81" s="2567"/>
      <c r="RVR81" s="2567"/>
      <c r="RVS81" s="2567"/>
      <c r="RVT81" s="2567"/>
      <c r="RVU81" s="2567"/>
      <c r="RVV81" s="2567"/>
      <c r="RVW81" s="2567"/>
      <c r="RVX81" s="2567"/>
      <c r="RVY81" s="2567"/>
      <c r="RVZ81" s="2567"/>
      <c r="RWA81" s="2567"/>
      <c r="RWB81" s="2567"/>
      <c r="RWC81" s="2567"/>
      <c r="RWD81" s="2567"/>
      <c r="RWE81" s="2567"/>
      <c r="RWF81" s="2567"/>
      <c r="RWG81" s="2567"/>
      <c r="RWH81" s="2567"/>
      <c r="RWI81" s="2567"/>
      <c r="RWJ81" s="2567"/>
      <c r="RWK81" s="2567"/>
      <c r="RWL81" s="2567"/>
      <c r="RWM81" s="2567"/>
      <c r="RWN81" s="2567"/>
      <c r="RWO81" s="2567"/>
      <c r="RWP81" s="2567"/>
      <c r="RWQ81" s="2567"/>
      <c r="RWR81" s="2567"/>
      <c r="RWS81" s="2567"/>
      <c r="RWT81" s="2567"/>
      <c r="RWU81" s="2567"/>
      <c r="RWV81" s="2567"/>
      <c r="RWW81" s="2567"/>
      <c r="RWX81" s="2567"/>
      <c r="RWY81" s="2567"/>
      <c r="RWZ81" s="2567"/>
      <c r="RXA81" s="2567"/>
      <c r="RXB81" s="2567"/>
      <c r="RXC81" s="2567"/>
      <c r="RXD81" s="2567"/>
      <c r="RXE81" s="2567"/>
      <c r="RXF81" s="2567"/>
      <c r="RXG81" s="2567"/>
      <c r="RXH81" s="2567"/>
      <c r="RXI81" s="2567"/>
      <c r="RXJ81" s="2567"/>
      <c r="RXK81" s="2567"/>
      <c r="RXL81" s="2567"/>
      <c r="RXM81" s="2567"/>
      <c r="RXN81" s="2567"/>
      <c r="RXO81" s="2567"/>
      <c r="RXP81" s="2567"/>
      <c r="RXQ81" s="2567"/>
      <c r="RXR81" s="2567"/>
      <c r="RXS81" s="2567"/>
      <c r="RXT81" s="2567"/>
      <c r="RXU81" s="2567"/>
      <c r="RXV81" s="2567"/>
      <c r="RXW81" s="2567"/>
      <c r="RXX81" s="2567"/>
      <c r="RXY81" s="2567"/>
      <c r="RXZ81" s="2567"/>
      <c r="RYA81" s="2567"/>
      <c r="RYB81" s="2567"/>
      <c r="RYC81" s="2567"/>
      <c r="RYD81" s="2567"/>
      <c r="RYE81" s="2567"/>
      <c r="RYF81" s="2567"/>
      <c r="RYG81" s="2567"/>
      <c r="RYH81" s="2567"/>
      <c r="RYI81" s="2567"/>
      <c r="RYJ81" s="2567"/>
      <c r="RYK81" s="2567"/>
      <c r="RYL81" s="2567"/>
      <c r="RYM81" s="2567"/>
      <c r="RYN81" s="2567"/>
      <c r="RYO81" s="2567"/>
      <c r="RYP81" s="2567"/>
      <c r="RYQ81" s="2567"/>
      <c r="RYR81" s="2567"/>
      <c r="RYS81" s="2567"/>
      <c r="RYT81" s="2567"/>
      <c r="RYU81" s="2567"/>
      <c r="RYV81" s="2567"/>
      <c r="RYW81" s="2567"/>
      <c r="RYX81" s="2567"/>
      <c r="RYY81" s="2567"/>
      <c r="RYZ81" s="2567"/>
      <c r="RZA81" s="2567"/>
      <c r="RZB81" s="2567"/>
      <c r="RZC81" s="2567"/>
      <c r="RZD81" s="2567"/>
      <c r="RZE81" s="2567"/>
      <c r="RZF81" s="2567"/>
      <c r="RZG81" s="2567"/>
      <c r="RZH81" s="2567"/>
      <c r="RZI81" s="2567"/>
      <c r="RZJ81" s="2567"/>
      <c r="RZK81" s="2567"/>
      <c r="RZL81" s="2567"/>
      <c r="RZM81" s="2567"/>
      <c r="RZN81" s="2567"/>
      <c r="RZO81" s="2567"/>
      <c r="RZP81" s="2567"/>
      <c r="RZQ81" s="2567"/>
      <c r="RZR81" s="2567"/>
      <c r="RZS81" s="2567"/>
      <c r="RZT81" s="2567"/>
      <c r="RZU81" s="2567"/>
      <c r="RZV81" s="2567"/>
      <c r="RZW81" s="2567"/>
      <c r="RZX81" s="2567"/>
      <c r="RZY81" s="2567"/>
      <c r="RZZ81" s="2567"/>
      <c r="SAA81" s="2567"/>
      <c r="SAB81" s="2567"/>
      <c r="SAC81" s="2567"/>
      <c r="SAD81" s="2567"/>
      <c r="SAE81" s="2567"/>
      <c r="SAF81" s="2567"/>
      <c r="SAG81" s="2567"/>
      <c r="SAH81" s="2567"/>
      <c r="SAI81" s="2567"/>
      <c r="SAJ81" s="2567"/>
      <c r="SAK81" s="2567"/>
      <c r="SAL81" s="2567"/>
      <c r="SAM81" s="2567"/>
      <c r="SAN81" s="2567"/>
      <c r="SAO81" s="2567"/>
      <c r="SAP81" s="2567"/>
      <c r="SAQ81" s="2567"/>
      <c r="SAR81" s="2567"/>
      <c r="SAS81" s="2567"/>
      <c r="SAT81" s="2567"/>
      <c r="SAU81" s="2567"/>
      <c r="SAV81" s="2567"/>
      <c r="SAW81" s="2567"/>
      <c r="SAX81" s="2567"/>
      <c r="SAY81" s="2567"/>
      <c r="SAZ81" s="2567"/>
      <c r="SBA81" s="2567"/>
      <c r="SBB81" s="2567"/>
      <c r="SBC81" s="2567"/>
      <c r="SBD81" s="2567"/>
      <c r="SBE81" s="2567"/>
      <c r="SBF81" s="2567"/>
      <c r="SBG81" s="2567"/>
      <c r="SBH81" s="2567"/>
      <c r="SBI81" s="2567"/>
      <c r="SBJ81" s="2567"/>
      <c r="SBK81" s="2567"/>
      <c r="SBL81" s="2567"/>
      <c r="SBM81" s="2567"/>
      <c r="SBN81" s="2567"/>
      <c r="SBO81" s="2567"/>
      <c r="SBP81" s="2567"/>
      <c r="SBQ81" s="2567"/>
      <c r="SBR81" s="2567"/>
      <c r="SBS81" s="2567"/>
      <c r="SBT81" s="2567"/>
      <c r="SBU81" s="2567"/>
      <c r="SBV81" s="2567"/>
      <c r="SBW81" s="2567"/>
      <c r="SBX81" s="2567"/>
      <c r="SBY81" s="2567"/>
      <c r="SBZ81" s="2567"/>
      <c r="SCA81" s="2567"/>
      <c r="SCB81" s="2567"/>
      <c r="SCC81" s="2567"/>
      <c r="SCD81" s="2567"/>
      <c r="SCE81" s="2567"/>
      <c r="SCF81" s="2567"/>
      <c r="SCG81" s="2567"/>
      <c r="SCH81" s="2567"/>
      <c r="SCI81" s="2567"/>
      <c r="SCJ81" s="2567"/>
      <c r="SCK81" s="2567"/>
      <c r="SCL81" s="2567"/>
      <c r="SCM81" s="2567"/>
      <c r="SCN81" s="2567"/>
      <c r="SCO81" s="2567"/>
      <c r="SCP81" s="2567"/>
      <c r="SCQ81" s="2567"/>
      <c r="SCR81" s="2567"/>
      <c r="SCS81" s="2567"/>
      <c r="SCT81" s="2567"/>
      <c r="SCU81" s="2567"/>
      <c r="SCV81" s="2567"/>
      <c r="SCW81" s="2567"/>
      <c r="SCX81" s="2567"/>
      <c r="SCY81" s="2567"/>
      <c r="SCZ81" s="2567"/>
      <c r="SDA81" s="2567"/>
      <c r="SDB81" s="2567"/>
      <c r="SDC81" s="2567"/>
      <c r="SDD81" s="2567"/>
      <c r="SDE81" s="2567"/>
      <c r="SDF81" s="2567"/>
      <c r="SDG81" s="2567"/>
      <c r="SDH81" s="2567"/>
      <c r="SDI81" s="2567"/>
      <c r="SDJ81" s="2567"/>
      <c r="SDK81" s="2567"/>
      <c r="SDL81" s="2567"/>
      <c r="SDM81" s="2567"/>
      <c r="SDN81" s="2567"/>
      <c r="SDO81" s="2567"/>
      <c r="SDP81" s="2567"/>
      <c r="SDQ81" s="2567"/>
      <c r="SDR81" s="2567"/>
      <c r="SDS81" s="2567"/>
      <c r="SDT81" s="2567"/>
      <c r="SDU81" s="2567"/>
      <c r="SDV81" s="2567"/>
      <c r="SDW81" s="2567"/>
      <c r="SDX81" s="2567"/>
      <c r="SDY81" s="2567"/>
      <c r="SDZ81" s="2567"/>
      <c r="SEA81" s="2567"/>
      <c r="SEB81" s="2567"/>
      <c r="SEC81" s="2567"/>
      <c r="SED81" s="2567"/>
      <c r="SEE81" s="2567"/>
      <c r="SEF81" s="2567"/>
      <c r="SEG81" s="2567"/>
      <c r="SEH81" s="2567"/>
      <c r="SEI81" s="2567"/>
      <c r="SEJ81" s="2567"/>
      <c r="SEK81" s="2567"/>
      <c r="SEL81" s="2567"/>
      <c r="SEM81" s="2567"/>
      <c r="SEN81" s="2567"/>
      <c r="SEO81" s="2567"/>
      <c r="SEP81" s="2567"/>
      <c r="SEQ81" s="2567"/>
      <c r="SER81" s="2567"/>
      <c r="SES81" s="2567"/>
      <c r="SET81" s="2567"/>
      <c r="SEU81" s="2567"/>
      <c r="SEV81" s="2567"/>
      <c r="SEW81" s="2567"/>
      <c r="SEX81" s="2567"/>
      <c r="SEY81" s="2567"/>
      <c r="SEZ81" s="2567"/>
      <c r="SFA81" s="2567"/>
      <c r="SFB81" s="2567"/>
      <c r="SFC81" s="2567"/>
      <c r="SFD81" s="2567"/>
      <c r="SFE81" s="2567"/>
      <c r="SFF81" s="2567"/>
      <c r="SFG81" s="2567"/>
      <c r="SFH81" s="2567"/>
      <c r="SFI81" s="2567"/>
      <c r="SFJ81" s="2567"/>
      <c r="SFK81" s="2567"/>
      <c r="SFL81" s="2567"/>
      <c r="SFM81" s="2567"/>
      <c r="SFN81" s="2567"/>
      <c r="SFO81" s="2567"/>
      <c r="SFP81" s="2567"/>
      <c r="SFQ81" s="2567"/>
      <c r="SFR81" s="2567"/>
      <c r="SFS81" s="2567"/>
      <c r="SFT81" s="2567"/>
      <c r="SFU81" s="2567"/>
      <c r="SFV81" s="2567"/>
      <c r="SFW81" s="2567"/>
      <c r="SFX81" s="2567"/>
      <c r="SFY81" s="2567"/>
      <c r="SFZ81" s="2567"/>
      <c r="SGA81" s="2567"/>
      <c r="SGB81" s="2567"/>
      <c r="SGC81" s="2567"/>
      <c r="SGD81" s="2567"/>
      <c r="SGE81" s="2567"/>
      <c r="SGF81" s="2567"/>
      <c r="SGG81" s="2567"/>
      <c r="SGH81" s="2567"/>
      <c r="SGI81" s="2567"/>
      <c r="SGJ81" s="2567"/>
      <c r="SGK81" s="2567"/>
      <c r="SGL81" s="2567"/>
      <c r="SGM81" s="2567"/>
      <c r="SGN81" s="2567"/>
      <c r="SGO81" s="2567"/>
      <c r="SGP81" s="2567"/>
      <c r="SGQ81" s="2567"/>
      <c r="SGR81" s="2567"/>
      <c r="SGS81" s="2567"/>
      <c r="SGT81" s="2567"/>
      <c r="SGU81" s="2567"/>
      <c r="SGV81" s="2567"/>
      <c r="SGW81" s="2567"/>
      <c r="SGX81" s="2567"/>
      <c r="SGY81" s="2567"/>
      <c r="SGZ81" s="2567"/>
      <c r="SHA81" s="2567"/>
      <c r="SHB81" s="2567"/>
      <c r="SHC81" s="2567"/>
      <c r="SHD81" s="2567"/>
      <c r="SHE81" s="2567"/>
      <c r="SHF81" s="2567"/>
      <c r="SHG81" s="2567"/>
      <c r="SHH81" s="2567"/>
      <c r="SHI81" s="2567"/>
      <c r="SHJ81" s="2567"/>
      <c r="SHK81" s="2567"/>
      <c r="SHL81" s="2567"/>
      <c r="SHM81" s="2567"/>
      <c r="SHN81" s="2567"/>
      <c r="SHO81" s="2567"/>
      <c r="SHP81" s="2567"/>
      <c r="SHQ81" s="2567"/>
      <c r="SHR81" s="2567"/>
      <c r="SHS81" s="2567"/>
      <c r="SHT81" s="2567"/>
      <c r="SHU81" s="2567"/>
      <c r="SHV81" s="2567"/>
      <c r="SHW81" s="2567"/>
      <c r="SHX81" s="2567"/>
      <c r="SHY81" s="2567"/>
      <c r="SHZ81" s="2567"/>
      <c r="SIA81" s="2567"/>
      <c r="SIB81" s="2567"/>
      <c r="SIC81" s="2567"/>
      <c r="SID81" s="2567"/>
      <c r="SIE81" s="2567"/>
      <c r="SIF81" s="2567"/>
      <c r="SIG81" s="2567"/>
      <c r="SIH81" s="2567"/>
      <c r="SII81" s="2567"/>
      <c r="SIJ81" s="2567"/>
      <c r="SIK81" s="2567"/>
      <c r="SIL81" s="2567"/>
      <c r="SIM81" s="2567"/>
      <c r="SIN81" s="2567"/>
      <c r="SIO81" s="2567"/>
      <c r="SIP81" s="2567"/>
      <c r="SIQ81" s="2567"/>
      <c r="SIR81" s="2567"/>
      <c r="SIS81" s="2567"/>
      <c r="SIT81" s="2567"/>
      <c r="SIU81" s="2567"/>
      <c r="SIV81" s="2567"/>
      <c r="SIW81" s="2567"/>
      <c r="SIX81" s="2567"/>
      <c r="SIY81" s="2567"/>
      <c r="SIZ81" s="2567"/>
      <c r="SJA81" s="2567"/>
      <c r="SJB81" s="2567"/>
      <c r="SJC81" s="2567"/>
      <c r="SJD81" s="2567"/>
      <c r="SJE81" s="2567"/>
      <c r="SJF81" s="2567"/>
      <c r="SJG81" s="2567"/>
      <c r="SJH81" s="2567"/>
      <c r="SJI81" s="2567"/>
      <c r="SJJ81" s="2567"/>
      <c r="SJK81" s="2567"/>
      <c r="SJL81" s="2567"/>
      <c r="SJM81" s="2567"/>
      <c r="SJN81" s="2567"/>
      <c r="SJO81" s="2567"/>
      <c r="SJP81" s="2567"/>
      <c r="SJQ81" s="2567"/>
      <c r="SJR81" s="2567"/>
      <c r="SJS81" s="2567"/>
      <c r="SJT81" s="2567"/>
      <c r="SJU81" s="2567"/>
      <c r="SJV81" s="2567"/>
      <c r="SJW81" s="2567"/>
      <c r="SJX81" s="2567"/>
      <c r="SJY81" s="2567"/>
      <c r="SJZ81" s="2567"/>
      <c r="SKA81" s="2567"/>
      <c r="SKB81" s="2567"/>
      <c r="SKC81" s="2567"/>
      <c r="SKD81" s="2567"/>
      <c r="SKE81" s="2567"/>
      <c r="SKF81" s="2567"/>
      <c r="SKG81" s="2567"/>
      <c r="SKH81" s="2567"/>
      <c r="SKI81" s="2567"/>
      <c r="SKJ81" s="2567"/>
      <c r="SKK81" s="2567"/>
      <c r="SKL81" s="2567"/>
      <c r="SKM81" s="2567"/>
      <c r="SKN81" s="2567"/>
      <c r="SKO81" s="2567"/>
      <c r="SKP81" s="2567"/>
      <c r="SKQ81" s="2567"/>
      <c r="SKR81" s="2567"/>
      <c r="SKS81" s="2567"/>
      <c r="SKT81" s="2567"/>
      <c r="SKU81" s="2567"/>
      <c r="SKV81" s="2567"/>
      <c r="SKW81" s="2567"/>
      <c r="SKX81" s="2567"/>
      <c r="SKY81" s="2567"/>
      <c r="SKZ81" s="2567"/>
      <c r="SLA81" s="2567"/>
      <c r="SLB81" s="2567"/>
      <c r="SLC81" s="2567"/>
      <c r="SLD81" s="2567"/>
      <c r="SLE81" s="2567"/>
      <c r="SLF81" s="2567"/>
      <c r="SLG81" s="2567"/>
      <c r="SLH81" s="2567"/>
      <c r="SLI81" s="2567"/>
      <c r="SLJ81" s="2567"/>
      <c r="SLK81" s="2567"/>
      <c r="SLL81" s="2567"/>
      <c r="SLM81" s="2567"/>
      <c r="SLN81" s="2567"/>
      <c r="SLO81" s="2567"/>
      <c r="SLP81" s="2567"/>
      <c r="SLQ81" s="2567"/>
      <c r="SLR81" s="2567"/>
      <c r="SLS81" s="2567"/>
      <c r="SLT81" s="2567"/>
      <c r="SLU81" s="2567"/>
      <c r="SLV81" s="2567"/>
      <c r="SLW81" s="2567"/>
      <c r="SLX81" s="2567"/>
      <c r="SLY81" s="2567"/>
      <c r="SLZ81" s="2567"/>
      <c r="SMA81" s="2567"/>
      <c r="SMB81" s="2567"/>
      <c r="SMC81" s="2567"/>
      <c r="SMD81" s="2567"/>
      <c r="SME81" s="2567"/>
      <c r="SMF81" s="2567"/>
      <c r="SMG81" s="2567"/>
      <c r="SMH81" s="2567"/>
      <c r="SMI81" s="2567"/>
      <c r="SMJ81" s="2567"/>
      <c r="SMK81" s="2567"/>
      <c r="SML81" s="2567"/>
      <c r="SMM81" s="2567"/>
      <c r="SMN81" s="2567"/>
      <c r="SMO81" s="2567"/>
      <c r="SMP81" s="2567"/>
      <c r="SMQ81" s="2567"/>
      <c r="SMR81" s="2567"/>
      <c r="SMS81" s="2567"/>
      <c r="SMT81" s="2567"/>
      <c r="SMU81" s="2567"/>
      <c r="SMV81" s="2567"/>
      <c r="SMW81" s="2567"/>
      <c r="SMX81" s="2567"/>
      <c r="SMY81" s="2567"/>
      <c r="SMZ81" s="2567"/>
      <c r="SNA81" s="2567"/>
      <c r="SNB81" s="2567"/>
      <c r="SNC81" s="2567"/>
      <c r="SND81" s="2567"/>
      <c r="SNE81" s="2567"/>
      <c r="SNF81" s="2567"/>
      <c r="SNG81" s="2567"/>
      <c r="SNH81" s="2567"/>
      <c r="SNI81" s="2567"/>
      <c r="SNJ81" s="2567"/>
      <c r="SNK81" s="2567"/>
      <c r="SNL81" s="2567"/>
      <c r="SNM81" s="2567"/>
      <c r="SNN81" s="2567"/>
      <c r="SNO81" s="2567"/>
      <c r="SNP81" s="2567"/>
      <c r="SNQ81" s="2567"/>
      <c r="SNR81" s="2567"/>
      <c r="SNS81" s="2567"/>
      <c r="SNT81" s="2567"/>
      <c r="SNU81" s="2567"/>
      <c r="SNV81" s="2567"/>
      <c r="SNW81" s="2567"/>
      <c r="SNX81" s="2567"/>
      <c r="SNY81" s="2567"/>
      <c r="SNZ81" s="2567"/>
      <c r="SOA81" s="2567"/>
      <c r="SOB81" s="2567"/>
      <c r="SOC81" s="2567"/>
      <c r="SOD81" s="2567"/>
      <c r="SOE81" s="2567"/>
      <c r="SOF81" s="2567"/>
      <c r="SOG81" s="2567"/>
      <c r="SOH81" s="2567"/>
      <c r="SOI81" s="2567"/>
      <c r="SOJ81" s="2567"/>
      <c r="SOK81" s="2567"/>
      <c r="SOL81" s="2567"/>
      <c r="SOM81" s="2567"/>
      <c r="SON81" s="2567"/>
      <c r="SOO81" s="2567"/>
      <c r="SOP81" s="2567"/>
      <c r="SOQ81" s="2567"/>
      <c r="SOR81" s="2567"/>
      <c r="SOS81" s="2567"/>
      <c r="SOT81" s="2567"/>
      <c r="SOU81" s="2567"/>
      <c r="SOV81" s="2567"/>
      <c r="SOW81" s="2567"/>
      <c r="SOX81" s="2567"/>
      <c r="SOY81" s="2567"/>
      <c r="SOZ81" s="2567"/>
      <c r="SPA81" s="2567"/>
      <c r="SPB81" s="2567"/>
      <c r="SPC81" s="2567"/>
      <c r="SPD81" s="2567"/>
      <c r="SPE81" s="2567"/>
      <c r="SPF81" s="2567"/>
      <c r="SPG81" s="2567"/>
      <c r="SPH81" s="2567"/>
      <c r="SPI81" s="2567"/>
      <c r="SPJ81" s="2567"/>
      <c r="SPK81" s="2567"/>
      <c r="SPL81" s="2567"/>
      <c r="SPM81" s="2567"/>
      <c r="SPN81" s="2567"/>
      <c r="SPO81" s="2567"/>
      <c r="SPP81" s="2567"/>
      <c r="SPQ81" s="2567"/>
      <c r="SPR81" s="2567"/>
      <c r="SPS81" s="2567"/>
      <c r="SPT81" s="2567"/>
      <c r="SPU81" s="2567"/>
      <c r="SPV81" s="2567"/>
      <c r="SPW81" s="2567"/>
      <c r="SPX81" s="2567"/>
      <c r="SPY81" s="2567"/>
      <c r="SPZ81" s="2567"/>
      <c r="SQA81" s="2567"/>
      <c r="SQB81" s="2567"/>
      <c r="SQC81" s="2567"/>
      <c r="SQD81" s="2567"/>
      <c r="SQE81" s="2567"/>
      <c r="SQF81" s="2567"/>
      <c r="SQG81" s="2567"/>
      <c r="SQH81" s="2567"/>
      <c r="SQI81" s="2567"/>
      <c r="SQJ81" s="2567"/>
      <c r="SQK81" s="2567"/>
      <c r="SQL81" s="2567"/>
      <c r="SQM81" s="2567"/>
      <c r="SQN81" s="2567"/>
      <c r="SQO81" s="2567"/>
      <c r="SQP81" s="2567"/>
      <c r="SQQ81" s="2567"/>
      <c r="SQR81" s="2567"/>
      <c r="SQS81" s="2567"/>
      <c r="SQT81" s="2567"/>
      <c r="SQU81" s="2567"/>
      <c r="SQV81" s="2567"/>
      <c r="SQW81" s="2567"/>
      <c r="SQX81" s="2567"/>
      <c r="SQY81" s="2567"/>
      <c r="SQZ81" s="2567"/>
      <c r="SRA81" s="2567"/>
      <c r="SRB81" s="2567"/>
      <c r="SRC81" s="2567"/>
      <c r="SRD81" s="2567"/>
      <c r="SRE81" s="2567"/>
      <c r="SRF81" s="2567"/>
      <c r="SRG81" s="2567"/>
      <c r="SRH81" s="2567"/>
      <c r="SRI81" s="2567"/>
      <c r="SRJ81" s="2567"/>
      <c r="SRK81" s="2567"/>
      <c r="SRL81" s="2567"/>
      <c r="SRM81" s="2567"/>
      <c r="SRN81" s="2567"/>
      <c r="SRO81" s="2567"/>
      <c r="SRP81" s="2567"/>
      <c r="SRQ81" s="2567"/>
      <c r="SRR81" s="2567"/>
      <c r="SRS81" s="2567"/>
      <c r="SRT81" s="2567"/>
      <c r="SRU81" s="2567"/>
      <c r="SRV81" s="2567"/>
      <c r="SRW81" s="2567"/>
      <c r="SRX81" s="2567"/>
      <c r="SRY81" s="2567"/>
      <c r="SRZ81" s="2567"/>
      <c r="SSA81" s="2567"/>
      <c r="SSB81" s="2567"/>
      <c r="SSC81" s="2567"/>
      <c r="SSD81" s="2567"/>
      <c r="SSE81" s="2567"/>
      <c r="SSF81" s="2567"/>
      <c r="SSG81" s="2567"/>
      <c r="SSH81" s="2567"/>
      <c r="SSI81" s="2567"/>
      <c r="SSJ81" s="2567"/>
      <c r="SSK81" s="2567"/>
      <c r="SSL81" s="2567"/>
      <c r="SSM81" s="2567"/>
      <c r="SSN81" s="2567"/>
      <c r="SSO81" s="2567"/>
      <c r="SSP81" s="2567"/>
      <c r="SSQ81" s="2567"/>
      <c r="SSR81" s="2567"/>
      <c r="SSS81" s="2567"/>
      <c r="SST81" s="2567"/>
      <c r="SSU81" s="2567"/>
      <c r="SSV81" s="2567"/>
      <c r="SSW81" s="2567"/>
      <c r="SSX81" s="2567"/>
      <c r="SSY81" s="2567"/>
      <c r="SSZ81" s="2567"/>
      <c r="STA81" s="2567"/>
      <c r="STB81" s="2567"/>
      <c r="STC81" s="2567"/>
      <c r="STD81" s="2567"/>
      <c r="STE81" s="2567"/>
      <c r="STF81" s="2567"/>
      <c r="STG81" s="2567"/>
      <c r="STH81" s="2567"/>
      <c r="STI81" s="2567"/>
      <c r="STJ81" s="2567"/>
      <c r="STK81" s="2567"/>
      <c r="STL81" s="2567"/>
      <c r="STM81" s="2567"/>
      <c r="STN81" s="2567"/>
      <c r="STO81" s="2567"/>
      <c r="STP81" s="2567"/>
      <c r="STQ81" s="2567"/>
      <c r="STR81" s="2567"/>
      <c r="STS81" s="2567"/>
      <c r="STT81" s="2567"/>
      <c r="STU81" s="2567"/>
      <c r="STV81" s="2567"/>
      <c r="STW81" s="2567"/>
      <c r="STX81" s="2567"/>
      <c r="STY81" s="2567"/>
      <c r="STZ81" s="2567"/>
      <c r="SUA81" s="2567"/>
      <c r="SUB81" s="2567"/>
      <c r="SUC81" s="2567"/>
      <c r="SUD81" s="2567"/>
      <c r="SUE81" s="2567"/>
      <c r="SUF81" s="2567"/>
      <c r="SUG81" s="2567"/>
      <c r="SUH81" s="2567"/>
      <c r="SUI81" s="2567"/>
      <c r="SUJ81" s="2567"/>
      <c r="SUK81" s="2567"/>
      <c r="SUL81" s="2567"/>
      <c r="SUM81" s="2567"/>
      <c r="SUN81" s="2567"/>
      <c r="SUO81" s="2567"/>
      <c r="SUP81" s="2567"/>
      <c r="SUQ81" s="2567"/>
      <c r="SUR81" s="2567"/>
      <c r="SUS81" s="2567"/>
      <c r="SUT81" s="2567"/>
      <c r="SUU81" s="2567"/>
      <c r="SUV81" s="2567"/>
      <c r="SUW81" s="2567"/>
      <c r="SUX81" s="2567"/>
      <c r="SUY81" s="2567"/>
      <c r="SUZ81" s="2567"/>
      <c r="SVA81" s="2567"/>
      <c r="SVB81" s="2567"/>
      <c r="SVC81" s="2567"/>
      <c r="SVD81" s="2567"/>
      <c r="SVE81" s="2567"/>
      <c r="SVF81" s="2567"/>
      <c r="SVG81" s="2567"/>
      <c r="SVH81" s="2567"/>
      <c r="SVI81" s="2567"/>
      <c r="SVJ81" s="2567"/>
      <c r="SVK81" s="2567"/>
      <c r="SVL81" s="2567"/>
      <c r="SVM81" s="2567"/>
      <c r="SVN81" s="2567"/>
      <c r="SVO81" s="2567"/>
      <c r="SVP81" s="2567"/>
      <c r="SVQ81" s="2567"/>
      <c r="SVR81" s="2567"/>
      <c r="SVS81" s="2567"/>
      <c r="SVT81" s="2567"/>
      <c r="SVU81" s="2567"/>
      <c r="SVV81" s="2567"/>
      <c r="SVW81" s="2567"/>
      <c r="SVX81" s="2567"/>
      <c r="SVY81" s="2567"/>
      <c r="SVZ81" s="2567"/>
      <c r="SWA81" s="2567"/>
      <c r="SWB81" s="2567"/>
      <c r="SWC81" s="2567"/>
      <c r="SWD81" s="2567"/>
      <c r="SWE81" s="2567"/>
      <c r="SWF81" s="2567"/>
      <c r="SWG81" s="2567"/>
      <c r="SWH81" s="2567"/>
      <c r="SWI81" s="2567"/>
      <c r="SWJ81" s="2567"/>
      <c r="SWK81" s="2567"/>
      <c r="SWL81" s="2567"/>
      <c r="SWM81" s="2567"/>
      <c r="SWN81" s="2567"/>
      <c r="SWO81" s="2567"/>
      <c r="SWP81" s="2567"/>
      <c r="SWQ81" s="2567"/>
      <c r="SWR81" s="2567"/>
      <c r="SWS81" s="2567"/>
      <c r="SWT81" s="2567"/>
      <c r="SWU81" s="2567"/>
      <c r="SWV81" s="2567"/>
      <c r="SWW81" s="2567"/>
      <c r="SWX81" s="2567"/>
      <c r="SWY81" s="2567"/>
      <c r="SWZ81" s="2567"/>
      <c r="SXA81" s="2567"/>
      <c r="SXB81" s="2567"/>
      <c r="SXC81" s="2567"/>
      <c r="SXD81" s="2567"/>
      <c r="SXE81" s="2567"/>
      <c r="SXF81" s="2567"/>
      <c r="SXG81" s="2567"/>
      <c r="SXH81" s="2567"/>
      <c r="SXI81" s="2567"/>
      <c r="SXJ81" s="2567"/>
      <c r="SXK81" s="2567"/>
      <c r="SXL81" s="2567"/>
      <c r="SXM81" s="2567"/>
      <c r="SXN81" s="2567"/>
      <c r="SXO81" s="2567"/>
      <c r="SXP81" s="2567"/>
      <c r="SXQ81" s="2567"/>
      <c r="SXR81" s="2567"/>
      <c r="SXS81" s="2567"/>
      <c r="SXT81" s="2567"/>
      <c r="SXU81" s="2567"/>
      <c r="SXV81" s="2567"/>
      <c r="SXW81" s="2567"/>
      <c r="SXX81" s="2567"/>
      <c r="SXY81" s="2567"/>
      <c r="SXZ81" s="2567"/>
      <c r="SYA81" s="2567"/>
      <c r="SYB81" s="2567"/>
      <c r="SYC81" s="2567"/>
      <c r="SYD81" s="2567"/>
      <c r="SYE81" s="2567"/>
      <c r="SYF81" s="2567"/>
      <c r="SYG81" s="2567"/>
      <c r="SYH81" s="2567"/>
      <c r="SYI81" s="2567"/>
      <c r="SYJ81" s="2567"/>
      <c r="SYK81" s="2567"/>
      <c r="SYL81" s="2567"/>
      <c r="SYM81" s="2567"/>
      <c r="SYN81" s="2567"/>
      <c r="SYO81" s="2567"/>
      <c r="SYP81" s="2567"/>
      <c r="SYQ81" s="2567"/>
      <c r="SYR81" s="2567"/>
      <c r="SYS81" s="2567"/>
      <c r="SYT81" s="2567"/>
      <c r="SYU81" s="2567"/>
      <c r="SYV81" s="2567"/>
      <c r="SYW81" s="2567"/>
      <c r="SYX81" s="2567"/>
      <c r="SYY81" s="2567"/>
      <c r="SYZ81" s="2567"/>
      <c r="SZA81" s="2567"/>
      <c r="SZB81" s="2567"/>
      <c r="SZC81" s="2567"/>
      <c r="SZD81" s="2567"/>
      <c r="SZE81" s="2567"/>
      <c r="SZF81" s="2567"/>
      <c r="SZG81" s="2567"/>
      <c r="SZH81" s="2567"/>
      <c r="SZI81" s="2567"/>
      <c r="SZJ81" s="2567"/>
      <c r="SZK81" s="2567"/>
      <c r="SZL81" s="2567"/>
      <c r="SZM81" s="2567"/>
      <c r="SZN81" s="2567"/>
      <c r="SZO81" s="2567"/>
      <c r="SZP81" s="2567"/>
      <c r="SZQ81" s="2567"/>
      <c r="SZR81" s="2567"/>
      <c r="SZS81" s="2567"/>
      <c r="SZT81" s="2567"/>
      <c r="SZU81" s="2567"/>
      <c r="SZV81" s="2567"/>
      <c r="SZW81" s="2567"/>
      <c r="SZX81" s="2567"/>
      <c r="SZY81" s="2567"/>
      <c r="SZZ81" s="2567"/>
      <c r="TAA81" s="2567"/>
      <c r="TAB81" s="2567"/>
      <c r="TAC81" s="2567"/>
      <c r="TAD81" s="2567"/>
      <c r="TAE81" s="2567"/>
      <c r="TAF81" s="2567"/>
      <c r="TAG81" s="2567"/>
      <c r="TAH81" s="2567"/>
      <c r="TAI81" s="2567"/>
      <c r="TAJ81" s="2567"/>
      <c r="TAK81" s="2567"/>
      <c r="TAL81" s="2567"/>
      <c r="TAM81" s="2567"/>
      <c r="TAN81" s="2567"/>
      <c r="TAO81" s="2567"/>
      <c r="TAP81" s="2567"/>
      <c r="TAQ81" s="2567"/>
      <c r="TAR81" s="2567"/>
      <c r="TAS81" s="2567"/>
      <c r="TAT81" s="2567"/>
      <c r="TAU81" s="2567"/>
      <c r="TAV81" s="2567"/>
      <c r="TAW81" s="2567"/>
      <c r="TAX81" s="2567"/>
      <c r="TAY81" s="2567"/>
      <c r="TAZ81" s="2567"/>
      <c r="TBA81" s="2567"/>
      <c r="TBB81" s="2567"/>
      <c r="TBC81" s="2567"/>
      <c r="TBD81" s="2567"/>
      <c r="TBE81" s="2567"/>
      <c r="TBF81" s="2567"/>
      <c r="TBG81" s="2567"/>
      <c r="TBH81" s="2567"/>
      <c r="TBI81" s="2567"/>
      <c r="TBJ81" s="2567"/>
      <c r="TBK81" s="2567"/>
      <c r="TBL81" s="2567"/>
      <c r="TBM81" s="2567"/>
      <c r="TBN81" s="2567"/>
      <c r="TBO81" s="2567"/>
      <c r="TBP81" s="2567"/>
      <c r="TBQ81" s="2567"/>
      <c r="TBR81" s="2567"/>
      <c r="TBS81" s="2567"/>
      <c r="TBT81" s="2567"/>
      <c r="TBU81" s="2567"/>
      <c r="TBV81" s="2567"/>
      <c r="TBW81" s="2567"/>
      <c r="TBX81" s="2567"/>
      <c r="TBY81" s="2567"/>
      <c r="TBZ81" s="2567"/>
      <c r="TCA81" s="2567"/>
      <c r="TCB81" s="2567"/>
      <c r="TCC81" s="2567"/>
      <c r="TCD81" s="2567"/>
      <c r="TCE81" s="2567"/>
      <c r="TCF81" s="2567"/>
      <c r="TCG81" s="2567"/>
      <c r="TCH81" s="2567"/>
      <c r="TCI81" s="2567"/>
      <c r="TCJ81" s="2567"/>
      <c r="TCK81" s="2567"/>
      <c r="TCL81" s="2567"/>
      <c r="TCM81" s="2567"/>
      <c r="TCN81" s="2567"/>
      <c r="TCO81" s="2567"/>
      <c r="TCP81" s="2567"/>
      <c r="TCQ81" s="2567"/>
      <c r="TCR81" s="2567"/>
      <c r="TCS81" s="2567"/>
      <c r="TCT81" s="2567"/>
      <c r="TCU81" s="2567"/>
      <c r="TCV81" s="2567"/>
      <c r="TCW81" s="2567"/>
      <c r="TCX81" s="2567"/>
      <c r="TCY81" s="2567"/>
      <c r="TCZ81" s="2567"/>
      <c r="TDA81" s="2567"/>
      <c r="TDB81" s="2567"/>
      <c r="TDC81" s="2567"/>
      <c r="TDD81" s="2567"/>
      <c r="TDE81" s="2567"/>
      <c r="TDF81" s="2567"/>
      <c r="TDG81" s="2567"/>
      <c r="TDH81" s="2567"/>
      <c r="TDI81" s="2567"/>
      <c r="TDJ81" s="2567"/>
      <c r="TDK81" s="2567"/>
      <c r="TDL81" s="2567"/>
      <c r="TDM81" s="2567"/>
      <c r="TDN81" s="2567"/>
      <c r="TDO81" s="2567"/>
      <c r="TDP81" s="2567"/>
      <c r="TDQ81" s="2567"/>
      <c r="TDR81" s="2567"/>
      <c r="TDS81" s="2567"/>
      <c r="TDT81" s="2567"/>
      <c r="TDU81" s="2567"/>
      <c r="TDV81" s="2567"/>
      <c r="TDW81" s="2567"/>
      <c r="TDX81" s="2567"/>
      <c r="TDY81" s="2567"/>
      <c r="TDZ81" s="2567"/>
      <c r="TEA81" s="2567"/>
      <c r="TEB81" s="2567"/>
      <c r="TEC81" s="2567"/>
      <c r="TED81" s="2567"/>
      <c r="TEE81" s="2567"/>
      <c r="TEF81" s="2567"/>
      <c r="TEG81" s="2567"/>
      <c r="TEH81" s="2567"/>
      <c r="TEI81" s="2567"/>
      <c r="TEJ81" s="2567"/>
      <c r="TEK81" s="2567"/>
      <c r="TEL81" s="2567"/>
      <c r="TEM81" s="2567"/>
      <c r="TEN81" s="2567"/>
      <c r="TEO81" s="2567"/>
      <c r="TEP81" s="2567"/>
      <c r="TEQ81" s="2567"/>
      <c r="TER81" s="2567"/>
      <c r="TES81" s="2567"/>
      <c r="TET81" s="2567"/>
      <c r="TEU81" s="2567"/>
      <c r="TEV81" s="2567"/>
      <c r="TEW81" s="2567"/>
      <c r="TEX81" s="2567"/>
      <c r="TEY81" s="2567"/>
      <c r="TEZ81" s="2567"/>
      <c r="TFA81" s="2567"/>
      <c r="TFB81" s="2567"/>
      <c r="TFC81" s="2567"/>
      <c r="TFD81" s="2567"/>
      <c r="TFE81" s="2567"/>
      <c r="TFF81" s="2567"/>
      <c r="TFG81" s="2567"/>
      <c r="TFH81" s="2567"/>
      <c r="TFI81" s="2567"/>
      <c r="TFJ81" s="2567"/>
      <c r="TFK81" s="2567"/>
      <c r="TFL81" s="2567"/>
      <c r="TFM81" s="2567"/>
      <c r="TFN81" s="2567"/>
      <c r="TFO81" s="2567"/>
      <c r="TFP81" s="2567"/>
      <c r="TFQ81" s="2567"/>
      <c r="TFR81" s="2567"/>
      <c r="TFS81" s="2567"/>
      <c r="TFT81" s="2567"/>
      <c r="TFU81" s="2567"/>
      <c r="TFV81" s="2567"/>
      <c r="TFW81" s="2567"/>
      <c r="TFX81" s="2567"/>
      <c r="TFY81" s="2567"/>
      <c r="TFZ81" s="2567"/>
      <c r="TGA81" s="2567"/>
      <c r="TGB81" s="2567"/>
      <c r="TGC81" s="2567"/>
      <c r="TGD81" s="2567"/>
      <c r="TGE81" s="2567"/>
      <c r="TGF81" s="2567"/>
      <c r="TGG81" s="2567"/>
      <c r="TGH81" s="2567"/>
      <c r="TGI81" s="2567"/>
      <c r="TGJ81" s="2567"/>
      <c r="TGK81" s="2567"/>
      <c r="TGL81" s="2567"/>
      <c r="TGM81" s="2567"/>
      <c r="TGN81" s="2567"/>
      <c r="TGO81" s="2567"/>
      <c r="TGP81" s="2567"/>
      <c r="TGQ81" s="2567"/>
      <c r="TGR81" s="2567"/>
      <c r="TGS81" s="2567"/>
      <c r="TGT81" s="2567"/>
      <c r="TGU81" s="2567"/>
      <c r="TGV81" s="2567"/>
      <c r="TGW81" s="2567"/>
      <c r="TGX81" s="2567"/>
      <c r="TGY81" s="2567"/>
      <c r="TGZ81" s="2567"/>
      <c r="THA81" s="2567"/>
      <c r="THB81" s="2567"/>
      <c r="THC81" s="2567"/>
      <c r="THD81" s="2567"/>
      <c r="THE81" s="2567"/>
      <c r="THF81" s="2567"/>
      <c r="THG81" s="2567"/>
      <c r="THH81" s="2567"/>
      <c r="THI81" s="2567"/>
      <c r="THJ81" s="2567"/>
      <c r="THK81" s="2567"/>
      <c r="THL81" s="2567"/>
      <c r="THM81" s="2567"/>
      <c r="THN81" s="2567"/>
      <c r="THO81" s="2567"/>
      <c r="THP81" s="2567"/>
      <c r="THQ81" s="2567"/>
      <c r="THR81" s="2567"/>
      <c r="THS81" s="2567"/>
      <c r="THT81" s="2567"/>
      <c r="THU81" s="2567"/>
      <c r="THV81" s="2567"/>
      <c r="THW81" s="2567"/>
      <c r="THX81" s="2567"/>
      <c r="THY81" s="2567"/>
      <c r="THZ81" s="2567"/>
      <c r="TIA81" s="2567"/>
      <c r="TIB81" s="2567"/>
      <c r="TIC81" s="2567"/>
      <c r="TID81" s="2567"/>
      <c r="TIE81" s="2567"/>
      <c r="TIF81" s="2567"/>
      <c r="TIG81" s="2567"/>
      <c r="TIH81" s="2567"/>
      <c r="TII81" s="2567"/>
      <c r="TIJ81" s="2567"/>
      <c r="TIK81" s="2567"/>
      <c r="TIL81" s="2567"/>
      <c r="TIM81" s="2567"/>
      <c r="TIN81" s="2567"/>
      <c r="TIO81" s="2567"/>
      <c r="TIP81" s="2567"/>
      <c r="TIQ81" s="2567"/>
      <c r="TIR81" s="2567"/>
      <c r="TIS81" s="2567"/>
      <c r="TIT81" s="2567"/>
      <c r="TIU81" s="2567"/>
      <c r="TIV81" s="2567"/>
      <c r="TIW81" s="2567"/>
      <c r="TIX81" s="2567"/>
      <c r="TIY81" s="2567"/>
      <c r="TIZ81" s="2567"/>
      <c r="TJA81" s="2567"/>
      <c r="TJB81" s="2567"/>
      <c r="TJC81" s="2567"/>
      <c r="TJD81" s="2567"/>
      <c r="TJE81" s="2567"/>
      <c r="TJF81" s="2567"/>
      <c r="TJG81" s="2567"/>
      <c r="TJH81" s="2567"/>
      <c r="TJI81" s="2567"/>
      <c r="TJJ81" s="2567"/>
      <c r="TJK81" s="2567"/>
      <c r="TJL81" s="2567"/>
      <c r="TJM81" s="2567"/>
      <c r="TJN81" s="2567"/>
      <c r="TJO81" s="2567"/>
      <c r="TJP81" s="2567"/>
      <c r="TJQ81" s="2567"/>
      <c r="TJR81" s="2567"/>
      <c r="TJS81" s="2567"/>
      <c r="TJT81" s="2567"/>
      <c r="TJU81" s="2567"/>
      <c r="TJV81" s="2567"/>
      <c r="TJW81" s="2567"/>
      <c r="TJX81" s="2567"/>
      <c r="TJY81" s="2567"/>
      <c r="TJZ81" s="2567"/>
      <c r="TKA81" s="2567"/>
      <c r="TKB81" s="2567"/>
      <c r="TKC81" s="2567"/>
      <c r="TKD81" s="2567"/>
      <c r="TKE81" s="2567"/>
      <c r="TKF81" s="2567"/>
      <c r="TKG81" s="2567"/>
      <c r="TKH81" s="2567"/>
      <c r="TKI81" s="2567"/>
      <c r="TKJ81" s="2567"/>
      <c r="TKK81" s="2567"/>
      <c r="TKL81" s="2567"/>
      <c r="TKM81" s="2567"/>
      <c r="TKN81" s="2567"/>
      <c r="TKO81" s="2567"/>
      <c r="TKP81" s="2567"/>
      <c r="TKQ81" s="2567"/>
      <c r="TKR81" s="2567"/>
      <c r="TKS81" s="2567"/>
      <c r="TKT81" s="2567"/>
      <c r="TKU81" s="2567"/>
      <c r="TKV81" s="2567"/>
      <c r="TKW81" s="2567"/>
      <c r="TKX81" s="2567"/>
      <c r="TKY81" s="2567"/>
      <c r="TKZ81" s="2567"/>
      <c r="TLA81" s="2567"/>
      <c r="TLB81" s="2567"/>
      <c r="TLC81" s="2567"/>
      <c r="TLD81" s="2567"/>
      <c r="TLE81" s="2567"/>
      <c r="TLF81" s="2567"/>
      <c r="TLG81" s="2567"/>
      <c r="TLH81" s="2567"/>
      <c r="TLI81" s="2567"/>
      <c r="TLJ81" s="2567"/>
      <c r="TLK81" s="2567"/>
      <c r="TLL81" s="2567"/>
      <c r="TLM81" s="2567"/>
      <c r="TLN81" s="2567"/>
      <c r="TLO81" s="2567"/>
      <c r="TLP81" s="2567"/>
      <c r="TLQ81" s="2567"/>
      <c r="TLR81" s="2567"/>
      <c r="TLS81" s="2567"/>
      <c r="TLT81" s="2567"/>
      <c r="TLU81" s="2567"/>
      <c r="TLV81" s="2567"/>
      <c r="TLW81" s="2567"/>
      <c r="TLX81" s="2567"/>
      <c r="TLY81" s="2567"/>
      <c r="TLZ81" s="2567"/>
      <c r="TMA81" s="2567"/>
      <c r="TMB81" s="2567"/>
      <c r="TMC81" s="2567"/>
      <c r="TMD81" s="2567"/>
      <c r="TME81" s="2567"/>
      <c r="TMF81" s="2567"/>
      <c r="TMG81" s="2567"/>
      <c r="TMH81" s="2567"/>
      <c r="TMI81" s="2567"/>
      <c r="TMJ81" s="2567"/>
      <c r="TMK81" s="2567"/>
      <c r="TML81" s="2567"/>
      <c r="TMM81" s="2567"/>
      <c r="TMN81" s="2567"/>
      <c r="TMO81" s="2567"/>
      <c r="TMP81" s="2567"/>
      <c r="TMQ81" s="2567"/>
      <c r="TMR81" s="2567"/>
      <c r="TMS81" s="2567"/>
      <c r="TMT81" s="2567"/>
      <c r="TMU81" s="2567"/>
      <c r="TMV81" s="2567"/>
      <c r="TMW81" s="2567"/>
      <c r="TMX81" s="2567"/>
      <c r="TMY81" s="2567"/>
      <c r="TMZ81" s="2567"/>
      <c r="TNA81" s="2567"/>
      <c r="TNB81" s="2567"/>
      <c r="TNC81" s="2567"/>
      <c r="TND81" s="2567"/>
      <c r="TNE81" s="2567"/>
      <c r="TNF81" s="2567"/>
      <c r="TNG81" s="2567"/>
      <c r="TNH81" s="2567"/>
      <c r="TNI81" s="2567"/>
      <c r="TNJ81" s="2567"/>
      <c r="TNK81" s="2567"/>
      <c r="TNL81" s="2567"/>
      <c r="TNM81" s="2567"/>
      <c r="TNN81" s="2567"/>
      <c r="TNO81" s="2567"/>
      <c r="TNP81" s="2567"/>
      <c r="TNQ81" s="2567"/>
      <c r="TNR81" s="2567"/>
      <c r="TNS81" s="2567"/>
      <c r="TNT81" s="2567"/>
      <c r="TNU81" s="2567"/>
      <c r="TNV81" s="2567"/>
      <c r="TNW81" s="2567"/>
      <c r="TNX81" s="2567"/>
      <c r="TNY81" s="2567"/>
      <c r="TNZ81" s="2567"/>
      <c r="TOA81" s="2567"/>
      <c r="TOB81" s="2567"/>
      <c r="TOC81" s="2567"/>
      <c r="TOD81" s="2567"/>
      <c r="TOE81" s="2567"/>
      <c r="TOF81" s="2567"/>
      <c r="TOG81" s="2567"/>
      <c r="TOH81" s="2567"/>
      <c r="TOI81" s="2567"/>
      <c r="TOJ81" s="2567"/>
      <c r="TOK81" s="2567"/>
      <c r="TOL81" s="2567"/>
      <c r="TOM81" s="2567"/>
      <c r="TON81" s="2567"/>
      <c r="TOO81" s="2567"/>
      <c r="TOP81" s="2567"/>
      <c r="TOQ81" s="2567"/>
      <c r="TOR81" s="2567"/>
      <c r="TOS81" s="2567"/>
      <c r="TOT81" s="2567"/>
      <c r="TOU81" s="2567"/>
      <c r="TOV81" s="2567"/>
      <c r="TOW81" s="2567"/>
      <c r="TOX81" s="2567"/>
      <c r="TOY81" s="2567"/>
      <c r="TOZ81" s="2567"/>
      <c r="TPA81" s="2567"/>
      <c r="TPB81" s="2567"/>
      <c r="TPC81" s="2567"/>
      <c r="TPD81" s="2567"/>
      <c r="TPE81" s="2567"/>
      <c r="TPF81" s="2567"/>
      <c r="TPG81" s="2567"/>
      <c r="TPH81" s="2567"/>
      <c r="TPI81" s="2567"/>
      <c r="TPJ81" s="2567"/>
      <c r="TPK81" s="2567"/>
      <c r="TPL81" s="2567"/>
      <c r="TPM81" s="2567"/>
      <c r="TPN81" s="2567"/>
      <c r="TPO81" s="2567"/>
      <c r="TPP81" s="2567"/>
      <c r="TPQ81" s="2567"/>
      <c r="TPR81" s="2567"/>
      <c r="TPS81" s="2567"/>
      <c r="TPT81" s="2567"/>
      <c r="TPU81" s="2567"/>
      <c r="TPV81" s="2567"/>
      <c r="TPW81" s="2567"/>
      <c r="TPX81" s="2567"/>
      <c r="TPY81" s="2567"/>
      <c r="TPZ81" s="2567"/>
      <c r="TQA81" s="2567"/>
      <c r="TQB81" s="2567"/>
      <c r="TQC81" s="2567"/>
      <c r="TQD81" s="2567"/>
      <c r="TQE81" s="2567"/>
      <c r="TQF81" s="2567"/>
      <c r="TQG81" s="2567"/>
      <c r="TQH81" s="2567"/>
      <c r="TQI81" s="2567"/>
      <c r="TQJ81" s="2567"/>
      <c r="TQK81" s="2567"/>
      <c r="TQL81" s="2567"/>
      <c r="TQM81" s="2567"/>
      <c r="TQN81" s="2567"/>
      <c r="TQO81" s="2567"/>
      <c r="TQP81" s="2567"/>
      <c r="TQQ81" s="2567"/>
      <c r="TQR81" s="2567"/>
      <c r="TQS81" s="2567"/>
      <c r="TQT81" s="2567"/>
      <c r="TQU81" s="2567"/>
      <c r="TQV81" s="2567"/>
      <c r="TQW81" s="2567"/>
      <c r="TQX81" s="2567"/>
      <c r="TQY81" s="2567"/>
      <c r="TQZ81" s="2567"/>
      <c r="TRA81" s="2567"/>
      <c r="TRB81" s="2567"/>
      <c r="TRC81" s="2567"/>
      <c r="TRD81" s="2567"/>
      <c r="TRE81" s="2567"/>
      <c r="TRF81" s="2567"/>
      <c r="TRG81" s="2567"/>
      <c r="TRH81" s="2567"/>
      <c r="TRI81" s="2567"/>
      <c r="TRJ81" s="2567"/>
      <c r="TRK81" s="2567"/>
      <c r="TRL81" s="2567"/>
      <c r="TRM81" s="2567"/>
      <c r="TRN81" s="2567"/>
      <c r="TRO81" s="2567"/>
      <c r="TRP81" s="2567"/>
      <c r="TRQ81" s="2567"/>
      <c r="TRR81" s="2567"/>
      <c r="TRS81" s="2567"/>
      <c r="TRT81" s="2567"/>
      <c r="TRU81" s="2567"/>
      <c r="TRV81" s="2567"/>
      <c r="TRW81" s="2567"/>
      <c r="TRX81" s="2567"/>
      <c r="TRY81" s="2567"/>
      <c r="TRZ81" s="2567"/>
      <c r="TSA81" s="2567"/>
      <c r="TSB81" s="2567"/>
      <c r="TSC81" s="2567"/>
      <c r="TSD81" s="2567"/>
      <c r="TSE81" s="2567"/>
      <c r="TSF81" s="2567"/>
      <c r="TSG81" s="2567"/>
      <c r="TSH81" s="2567"/>
      <c r="TSI81" s="2567"/>
      <c r="TSJ81" s="2567"/>
      <c r="TSK81" s="2567"/>
      <c r="TSL81" s="2567"/>
      <c r="TSM81" s="2567"/>
      <c r="TSN81" s="2567"/>
      <c r="TSO81" s="2567"/>
      <c r="TSP81" s="2567"/>
      <c r="TSQ81" s="2567"/>
      <c r="TSR81" s="2567"/>
      <c r="TSS81" s="2567"/>
      <c r="TST81" s="2567"/>
      <c r="TSU81" s="2567"/>
      <c r="TSV81" s="2567"/>
      <c r="TSW81" s="2567"/>
      <c r="TSX81" s="2567"/>
      <c r="TSY81" s="2567"/>
      <c r="TSZ81" s="2567"/>
      <c r="TTA81" s="2567"/>
      <c r="TTB81" s="2567"/>
      <c r="TTC81" s="2567"/>
      <c r="TTD81" s="2567"/>
      <c r="TTE81" s="2567"/>
      <c r="TTF81" s="2567"/>
      <c r="TTG81" s="2567"/>
      <c r="TTH81" s="2567"/>
      <c r="TTI81" s="2567"/>
      <c r="TTJ81" s="2567"/>
      <c r="TTK81" s="2567"/>
      <c r="TTL81" s="2567"/>
      <c r="TTM81" s="2567"/>
      <c r="TTN81" s="2567"/>
      <c r="TTO81" s="2567"/>
      <c r="TTP81" s="2567"/>
      <c r="TTQ81" s="2567"/>
      <c r="TTR81" s="2567"/>
      <c r="TTS81" s="2567"/>
      <c r="TTT81" s="2567"/>
      <c r="TTU81" s="2567"/>
      <c r="TTV81" s="2567"/>
      <c r="TTW81" s="2567"/>
      <c r="TTX81" s="2567"/>
      <c r="TTY81" s="2567"/>
      <c r="TTZ81" s="2567"/>
      <c r="TUA81" s="2567"/>
      <c r="TUB81" s="2567"/>
      <c r="TUC81" s="2567"/>
      <c r="TUD81" s="2567"/>
      <c r="TUE81" s="2567"/>
      <c r="TUF81" s="2567"/>
      <c r="TUG81" s="2567"/>
      <c r="TUH81" s="2567"/>
      <c r="TUI81" s="2567"/>
      <c r="TUJ81" s="2567"/>
      <c r="TUK81" s="2567"/>
      <c r="TUL81" s="2567"/>
      <c r="TUM81" s="2567"/>
      <c r="TUN81" s="2567"/>
      <c r="TUO81" s="2567"/>
      <c r="TUP81" s="2567"/>
      <c r="TUQ81" s="2567"/>
      <c r="TUR81" s="2567"/>
      <c r="TUS81" s="2567"/>
      <c r="TUT81" s="2567"/>
      <c r="TUU81" s="2567"/>
      <c r="TUV81" s="2567"/>
      <c r="TUW81" s="2567"/>
      <c r="TUX81" s="2567"/>
      <c r="TUY81" s="2567"/>
      <c r="TUZ81" s="2567"/>
      <c r="TVA81" s="2567"/>
      <c r="TVB81" s="2567"/>
      <c r="TVC81" s="2567"/>
      <c r="TVD81" s="2567"/>
      <c r="TVE81" s="2567"/>
      <c r="TVF81" s="2567"/>
      <c r="TVG81" s="2567"/>
      <c r="TVH81" s="2567"/>
      <c r="TVI81" s="2567"/>
      <c r="TVJ81" s="2567"/>
      <c r="TVK81" s="2567"/>
      <c r="TVL81" s="2567"/>
      <c r="TVM81" s="2567"/>
      <c r="TVN81" s="2567"/>
      <c r="TVO81" s="2567"/>
      <c r="TVP81" s="2567"/>
      <c r="TVQ81" s="2567"/>
      <c r="TVR81" s="2567"/>
      <c r="TVS81" s="2567"/>
      <c r="TVT81" s="2567"/>
      <c r="TVU81" s="2567"/>
      <c r="TVV81" s="2567"/>
      <c r="TVW81" s="2567"/>
      <c r="TVX81" s="2567"/>
      <c r="TVY81" s="2567"/>
      <c r="TVZ81" s="2567"/>
      <c r="TWA81" s="2567"/>
      <c r="TWB81" s="2567"/>
      <c r="TWC81" s="2567"/>
      <c r="TWD81" s="2567"/>
      <c r="TWE81" s="2567"/>
      <c r="TWF81" s="2567"/>
      <c r="TWG81" s="2567"/>
      <c r="TWH81" s="2567"/>
      <c r="TWI81" s="2567"/>
      <c r="TWJ81" s="2567"/>
      <c r="TWK81" s="2567"/>
      <c r="TWL81" s="2567"/>
      <c r="TWM81" s="2567"/>
      <c r="TWN81" s="2567"/>
      <c r="TWO81" s="2567"/>
      <c r="TWP81" s="2567"/>
      <c r="TWQ81" s="2567"/>
      <c r="TWR81" s="2567"/>
      <c r="TWS81" s="2567"/>
      <c r="TWT81" s="2567"/>
      <c r="TWU81" s="2567"/>
      <c r="TWV81" s="2567"/>
      <c r="TWW81" s="2567"/>
      <c r="TWX81" s="2567"/>
      <c r="TWY81" s="2567"/>
      <c r="TWZ81" s="2567"/>
      <c r="TXA81" s="2567"/>
      <c r="TXB81" s="2567"/>
      <c r="TXC81" s="2567"/>
      <c r="TXD81" s="2567"/>
      <c r="TXE81" s="2567"/>
      <c r="TXF81" s="2567"/>
      <c r="TXG81" s="2567"/>
      <c r="TXH81" s="2567"/>
      <c r="TXI81" s="2567"/>
      <c r="TXJ81" s="2567"/>
      <c r="TXK81" s="2567"/>
      <c r="TXL81" s="2567"/>
      <c r="TXM81" s="2567"/>
      <c r="TXN81" s="2567"/>
      <c r="TXO81" s="2567"/>
      <c r="TXP81" s="2567"/>
      <c r="TXQ81" s="2567"/>
      <c r="TXR81" s="2567"/>
      <c r="TXS81" s="2567"/>
      <c r="TXT81" s="2567"/>
      <c r="TXU81" s="2567"/>
      <c r="TXV81" s="2567"/>
      <c r="TXW81" s="2567"/>
      <c r="TXX81" s="2567"/>
      <c r="TXY81" s="2567"/>
      <c r="TXZ81" s="2567"/>
      <c r="TYA81" s="2567"/>
      <c r="TYB81" s="2567"/>
      <c r="TYC81" s="2567"/>
      <c r="TYD81" s="2567"/>
      <c r="TYE81" s="2567"/>
      <c r="TYF81" s="2567"/>
      <c r="TYG81" s="2567"/>
      <c r="TYH81" s="2567"/>
      <c r="TYI81" s="2567"/>
      <c r="TYJ81" s="2567"/>
      <c r="TYK81" s="2567"/>
      <c r="TYL81" s="2567"/>
      <c r="TYM81" s="2567"/>
      <c r="TYN81" s="2567"/>
      <c r="TYO81" s="2567"/>
      <c r="TYP81" s="2567"/>
      <c r="TYQ81" s="2567"/>
      <c r="TYR81" s="2567"/>
      <c r="TYS81" s="2567"/>
      <c r="TYT81" s="2567"/>
      <c r="TYU81" s="2567"/>
      <c r="TYV81" s="2567"/>
      <c r="TYW81" s="2567"/>
      <c r="TYX81" s="2567"/>
      <c r="TYY81" s="2567"/>
      <c r="TYZ81" s="2567"/>
      <c r="TZA81" s="2567"/>
      <c r="TZB81" s="2567"/>
      <c r="TZC81" s="2567"/>
      <c r="TZD81" s="2567"/>
      <c r="TZE81" s="2567"/>
      <c r="TZF81" s="2567"/>
      <c r="TZG81" s="2567"/>
      <c r="TZH81" s="2567"/>
      <c r="TZI81" s="2567"/>
      <c r="TZJ81" s="2567"/>
      <c r="TZK81" s="2567"/>
      <c r="TZL81" s="2567"/>
      <c r="TZM81" s="2567"/>
      <c r="TZN81" s="2567"/>
      <c r="TZO81" s="2567"/>
      <c r="TZP81" s="2567"/>
      <c r="TZQ81" s="2567"/>
      <c r="TZR81" s="2567"/>
      <c r="TZS81" s="2567"/>
      <c r="TZT81" s="2567"/>
      <c r="TZU81" s="2567"/>
      <c r="TZV81" s="2567"/>
      <c r="TZW81" s="2567"/>
      <c r="TZX81" s="2567"/>
      <c r="TZY81" s="2567"/>
      <c r="TZZ81" s="2567"/>
      <c r="UAA81" s="2567"/>
      <c r="UAB81" s="2567"/>
      <c r="UAC81" s="2567"/>
      <c r="UAD81" s="2567"/>
      <c r="UAE81" s="2567"/>
      <c r="UAF81" s="2567"/>
      <c r="UAG81" s="2567"/>
      <c r="UAH81" s="2567"/>
      <c r="UAI81" s="2567"/>
      <c r="UAJ81" s="2567"/>
      <c r="UAK81" s="2567"/>
      <c r="UAL81" s="2567"/>
      <c r="UAM81" s="2567"/>
      <c r="UAN81" s="2567"/>
      <c r="UAO81" s="2567"/>
      <c r="UAP81" s="2567"/>
      <c r="UAQ81" s="2567"/>
      <c r="UAR81" s="2567"/>
      <c r="UAS81" s="2567"/>
      <c r="UAT81" s="2567"/>
      <c r="UAU81" s="2567"/>
      <c r="UAV81" s="2567"/>
      <c r="UAW81" s="2567"/>
      <c r="UAX81" s="2567"/>
      <c r="UAY81" s="2567"/>
      <c r="UAZ81" s="2567"/>
      <c r="UBA81" s="2567"/>
      <c r="UBB81" s="2567"/>
      <c r="UBC81" s="2567"/>
      <c r="UBD81" s="2567"/>
      <c r="UBE81" s="2567"/>
      <c r="UBF81" s="2567"/>
      <c r="UBG81" s="2567"/>
      <c r="UBH81" s="2567"/>
      <c r="UBI81" s="2567"/>
      <c r="UBJ81" s="2567"/>
      <c r="UBK81" s="2567"/>
      <c r="UBL81" s="2567"/>
      <c r="UBM81" s="2567"/>
      <c r="UBN81" s="2567"/>
      <c r="UBO81" s="2567"/>
      <c r="UBP81" s="2567"/>
      <c r="UBQ81" s="2567"/>
      <c r="UBR81" s="2567"/>
      <c r="UBS81" s="2567"/>
      <c r="UBT81" s="2567"/>
      <c r="UBU81" s="2567"/>
      <c r="UBV81" s="2567"/>
      <c r="UBW81" s="2567"/>
      <c r="UBX81" s="2567"/>
      <c r="UBY81" s="2567"/>
      <c r="UBZ81" s="2567"/>
      <c r="UCA81" s="2567"/>
      <c r="UCB81" s="2567"/>
      <c r="UCC81" s="2567"/>
      <c r="UCD81" s="2567"/>
      <c r="UCE81" s="2567"/>
      <c r="UCF81" s="2567"/>
      <c r="UCG81" s="2567"/>
      <c r="UCH81" s="2567"/>
      <c r="UCI81" s="2567"/>
      <c r="UCJ81" s="2567"/>
      <c r="UCK81" s="2567"/>
      <c r="UCL81" s="2567"/>
      <c r="UCM81" s="2567"/>
      <c r="UCN81" s="2567"/>
      <c r="UCO81" s="2567"/>
      <c r="UCP81" s="2567"/>
      <c r="UCQ81" s="2567"/>
      <c r="UCR81" s="2567"/>
      <c r="UCS81" s="2567"/>
      <c r="UCT81" s="2567"/>
      <c r="UCU81" s="2567"/>
      <c r="UCV81" s="2567"/>
      <c r="UCW81" s="2567"/>
      <c r="UCX81" s="2567"/>
      <c r="UCY81" s="2567"/>
      <c r="UCZ81" s="2567"/>
      <c r="UDA81" s="2567"/>
      <c r="UDB81" s="2567"/>
      <c r="UDC81" s="2567"/>
      <c r="UDD81" s="2567"/>
      <c r="UDE81" s="2567"/>
      <c r="UDF81" s="2567"/>
      <c r="UDG81" s="2567"/>
      <c r="UDH81" s="2567"/>
      <c r="UDI81" s="2567"/>
      <c r="UDJ81" s="2567"/>
      <c r="UDK81" s="2567"/>
      <c r="UDL81" s="2567"/>
      <c r="UDM81" s="2567"/>
      <c r="UDN81" s="2567"/>
      <c r="UDO81" s="2567"/>
      <c r="UDP81" s="2567"/>
      <c r="UDQ81" s="2567"/>
      <c r="UDR81" s="2567"/>
      <c r="UDS81" s="2567"/>
      <c r="UDT81" s="2567"/>
      <c r="UDU81" s="2567"/>
      <c r="UDV81" s="2567"/>
      <c r="UDW81" s="2567"/>
      <c r="UDX81" s="2567"/>
      <c r="UDY81" s="2567"/>
      <c r="UDZ81" s="2567"/>
      <c r="UEA81" s="2567"/>
      <c r="UEB81" s="2567"/>
      <c r="UEC81" s="2567"/>
      <c r="UED81" s="2567"/>
      <c r="UEE81" s="2567"/>
      <c r="UEF81" s="2567"/>
      <c r="UEG81" s="2567"/>
      <c r="UEH81" s="2567"/>
      <c r="UEI81" s="2567"/>
      <c r="UEJ81" s="2567"/>
      <c r="UEK81" s="2567"/>
      <c r="UEL81" s="2567"/>
      <c r="UEM81" s="2567"/>
      <c r="UEN81" s="2567"/>
      <c r="UEO81" s="2567"/>
      <c r="UEP81" s="2567"/>
      <c r="UEQ81" s="2567"/>
      <c r="UER81" s="2567"/>
      <c r="UES81" s="2567"/>
      <c r="UET81" s="2567"/>
      <c r="UEU81" s="2567"/>
      <c r="UEV81" s="2567"/>
      <c r="UEW81" s="2567"/>
      <c r="UEX81" s="2567"/>
      <c r="UEY81" s="2567"/>
      <c r="UEZ81" s="2567"/>
      <c r="UFA81" s="2567"/>
      <c r="UFB81" s="2567"/>
      <c r="UFC81" s="2567"/>
      <c r="UFD81" s="2567"/>
      <c r="UFE81" s="2567"/>
      <c r="UFF81" s="2567"/>
      <c r="UFG81" s="2567"/>
      <c r="UFH81" s="2567"/>
      <c r="UFI81" s="2567"/>
      <c r="UFJ81" s="2567"/>
      <c r="UFK81" s="2567"/>
      <c r="UFL81" s="2567"/>
      <c r="UFM81" s="2567"/>
      <c r="UFN81" s="2567"/>
      <c r="UFO81" s="2567"/>
      <c r="UFP81" s="2567"/>
      <c r="UFQ81" s="2567"/>
      <c r="UFR81" s="2567"/>
      <c r="UFS81" s="2567"/>
      <c r="UFT81" s="2567"/>
      <c r="UFU81" s="2567"/>
      <c r="UFV81" s="2567"/>
      <c r="UFW81" s="2567"/>
      <c r="UFX81" s="2567"/>
      <c r="UFY81" s="2567"/>
      <c r="UFZ81" s="2567"/>
      <c r="UGA81" s="2567"/>
      <c r="UGB81" s="2567"/>
      <c r="UGC81" s="2567"/>
      <c r="UGD81" s="2567"/>
      <c r="UGE81" s="2567"/>
      <c r="UGF81" s="2567"/>
      <c r="UGG81" s="2567"/>
      <c r="UGH81" s="2567"/>
      <c r="UGI81" s="2567"/>
      <c r="UGJ81" s="2567"/>
      <c r="UGK81" s="2567"/>
      <c r="UGL81" s="2567"/>
      <c r="UGM81" s="2567"/>
      <c r="UGN81" s="2567"/>
      <c r="UGO81" s="2567"/>
      <c r="UGP81" s="2567"/>
      <c r="UGQ81" s="2567"/>
      <c r="UGR81" s="2567"/>
      <c r="UGS81" s="2567"/>
      <c r="UGT81" s="2567"/>
      <c r="UGU81" s="2567"/>
      <c r="UGV81" s="2567"/>
      <c r="UGW81" s="2567"/>
      <c r="UGX81" s="2567"/>
      <c r="UGY81" s="2567"/>
      <c r="UGZ81" s="2567"/>
      <c r="UHA81" s="2567"/>
      <c r="UHB81" s="2567"/>
      <c r="UHC81" s="2567"/>
      <c r="UHD81" s="2567"/>
      <c r="UHE81" s="2567"/>
      <c r="UHF81" s="2567"/>
      <c r="UHG81" s="2567"/>
      <c r="UHH81" s="2567"/>
      <c r="UHI81" s="2567"/>
      <c r="UHJ81" s="2567"/>
      <c r="UHK81" s="2567"/>
      <c r="UHL81" s="2567"/>
      <c r="UHM81" s="2567"/>
      <c r="UHN81" s="2567"/>
      <c r="UHO81" s="2567"/>
      <c r="UHP81" s="2567"/>
      <c r="UHQ81" s="2567"/>
      <c r="UHR81" s="2567"/>
      <c r="UHS81" s="2567"/>
      <c r="UHT81" s="2567"/>
      <c r="UHU81" s="2567"/>
      <c r="UHV81" s="2567"/>
      <c r="UHW81" s="2567"/>
      <c r="UHX81" s="2567"/>
      <c r="UHY81" s="2567"/>
      <c r="UHZ81" s="2567"/>
      <c r="UIA81" s="2567"/>
      <c r="UIB81" s="2567"/>
      <c r="UIC81" s="2567"/>
      <c r="UID81" s="2567"/>
      <c r="UIE81" s="2567"/>
      <c r="UIF81" s="2567"/>
      <c r="UIG81" s="2567"/>
      <c r="UIH81" s="2567"/>
      <c r="UII81" s="2567"/>
      <c r="UIJ81" s="2567"/>
      <c r="UIK81" s="2567"/>
      <c r="UIL81" s="2567"/>
      <c r="UIM81" s="2567"/>
      <c r="UIN81" s="2567"/>
      <c r="UIO81" s="2567"/>
      <c r="UIP81" s="2567"/>
      <c r="UIQ81" s="2567"/>
      <c r="UIR81" s="2567"/>
      <c r="UIS81" s="2567"/>
      <c r="UIT81" s="2567"/>
      <c r="UIU81" s="2567"/>
      <c r="UIV81" s="2567"/>
      <c r="UIW81" s="2567"/>
      <c r="UIX81" s="2567"/>
      <c r="UIY81" s="2567"/>
      <c r="UIZ81" s="2567"/>
      <c r="UJA81" s="2567"/>
      <c r="UJB81" s="2567"/>
      <c r="UJC81" s="2567"/>
      <c r="UJD81" s="2567"/>
      <c r="UJE81" s="2567"/>
      <c r="UJF81" s="2567"/>
      <c r="UJG81" s="2567"/>
      <c r="UJH81" s="2567"/>
      <c r="UJI81" s="2567"/>
      <c r="UJJ81" s="2567"/>
      <c r="UJK81" s="2567"/>
      <c r="UJL81" s="2567"/>
      <c r="UJM81" s="2567"/>
      <c r="UJN81" s="2567"/>
      <c r="UJO81" s="2567"/>
      <c r="UJP81" s="2567"/>
      <c r="UJQ81" s="2567"/>
      <c r="UJR81" s="2567"/>
      <c r="UJS81" s="2567"/>
      <c r="UJT81" s="2567"/>
      <c r="UJU81" s="2567"/>
      <c r="UJV81" s="2567"/>
      <c r="UJW81" s="2567"/>
      <c r="UJX81" s="2567"/>
      <c r="UJY81" s="2567"/>
      <c r="UJZ81" s="2567"/>
      <c r="UKA81" s="2567"/>
      <c r="UKB81" s="2567"/>
      <c r="UKC81" s="2567"/>
      <c r="UKD81" s="2567"/>
      <c r="UKE81" s="2567"/>
      <c r="UKF81" s="2567"/>
      <c r="UKG81" s="2567"/>
      <c r="UKH81" s="2567"/>
      <c r="UKI81" s="2567"/>
      <c r="UKJ81" s="2567"/>
      <c r="UKK81" s="2567"/>
      <c r="UKL81" s="2567"/>
      <c r="UKM81" s="2567"/>
      <c r="UKN81" s="2567"/>
      <c r="UKO81" s="2567"/>
      <c r="UKP81" s="2567"/>
      <c r="UKQ81" s="2567"/>
      <c r="UKR81" s="2567"/>
      <c r="UKS81" s="2567"/>
      <c r="UKT81" s="2567"/>
      <c r="UKU81" s="2567"/>
      <c r="UKV81" s="2567"/>
      <c r="UKW81" s="2567"/>
      <c r="UKX81" s="2567"/>
      <c r="UKY81" s="2567"/>
      <c r="UKZ81" s="2567"/>
      <c r="ULA81" s="2567"/>
      <c r="ULB81" s="2567"/>
      <c r="ULC81" s="2567"/>
      <c r="ULD81" s="2567"/>
      <c r="ULE81" s="2567"/>
      <c r="ULF81" s="2567"/>
      <c r="ULG81" s="2567"/>
      <c r="ULH81" s="2567"/>
      <c r="ULI81" s="2567"/>
      <c r="ULJ81" s="2567"/>
      <c r="ULK81" s="2567"/>
      <c r="ULL81" s="2567"/>
      <c r="ULM81" s="2567"/>
      <c r="ULN81" s="2567"/>
      <c r="ULO81" s="2567"/>
      <c r="ULP81" s="2567"/>
      <c r="ULQ81" s="2567"/>
      <c r="ULR81" s="2567"/>
      <c r="ULS81" s="2567"/>
      <c r="ULT81" s="2567"/>
      <c r="ULU81" s="2567"/>
      <c r="ULV81" s="2567"/>
      <c r="ULW81" s="2567"/>
      <c r="ULX81" s="2567"/>
      <c r="ULY81" s="2567"/>
      <c r="ULZ81" s="2567"/>
      <c r="UMA81" s="2567"/>
      <c r="UMB81" s="2567"/>
      <c r="UMC81" s="2567"/>
      <c r="UMD81" s="2567"/>
      <c r="UME81" s="2567"/>
      <c r="UMF81" s="2567"/>
      <c r="UMG81" s="2567"/>
      <c r="UMH81" s="2567"/>
      <c r="UMI81" s="2567"/>
      <c r="UMJ81" s="2567"/>
      <c r="UMK81" s="2567"/>
      <c r="UML81" s="2567"/>
      <c r="UMM81" s="2567"/>
      <c r="UMN81" s="2567"/>
      <c r="UMO81" s="2567"/>
      <c r="UMP81" s="2567"/>
      <c r="UMQ81" s="2567"/>
      <c r="UMR81" s="2567"/>
      <c r="UMS81" s="2567"/>
      <c r="UMT81" s="2567"/>
      <c r="UMU81" s="2567"/>
      <c r="UMV81" s="2567"/>
      <c r="UMW81" s="2567"/>
      <c r="UMX81" s="2567"/>
      <c r="UMY81" s="2567"/>
      <c r="UMZ81" s="2567"/>
      <c r="UNA81" s="2567"/>
      <c r="UNB81" s="2567"/>
      <c r="UNC81" s="2567"/>
      <c r="UND81" s="2567"/>
      <c r="UNE81" s="2567"/>
      <c r="UNF81" s="2567"/>
      <c r="UNG81" s="2567"/>
      <c r="UNH81" s="2567"/>
      <c r="UNI81" s="2567"/>
      <c r="UNJ81" s="2567"/>
      <c r="UNK81" s="2567"/>
      <c r="UNL81" s="2567"/>
      <c r="UNM81" s="2567"/>
      <c r="UNN81" s="2567"/>
      <c r="UNO81" s="2567"/>
      <c r="UNP81" s="2567"/>
      <c r="UNQ81" s="2567"/>
      <c r="UNR81" s="2567"/>
      <c r="UNS81" s="2567"/>
      <c r="UNT81" s="2567"/>
      <c r="UNU81" s="2567"/>
      <c r="UNV81" s="2567"/>
      <c r="UNW81" s="2567"/>
      <c r="UNX81" s="2567"/>
      <c r="UNY81" s="2567"/>
      <c r="UNZ81" s="2567"/>
      <c r="UOA81" s="2567"/>
      <c r="UOB81" s="2567"/>
      <c r="UOC81" s="2567"/>
      <c r="UOD81" s="2567"/>
      <c r="UOE81" s="2567"/>
      <c r="UOF81" s="2567"/>
      <c r="UOG81" s="2567"/>
      <c r="UOH81" s="2567"/>
      <c r="UOI81" s="2567"/>
      <c r="UOJ81" s="2567"/>
      <c r="UOK81" s="2567"/>
      <c r="UOL81" s="2567"/>
      <c r="UOM81" s="2567"/>
      <c r="UON81" s="2567"/>
      <c r="UOO81" s="2567"/>
      <c r="UOP81" s="2567"/>
      <c r="UOQ81" s="2567"/>
      <c r="UOR81" s="2567"/>
      <c r="UOS81" s="2567"/>
      <c r="UOT81" s="2567"/>
      <c r="UOU81" s="2567"/>
      <c r="UOV81" s="2567"/>
      <c r="UOW81" s="2567"/>
      <c r="UOX81" s="2567"/>
      <c r="UOY81" s="2567"/>
      <c r="UOZ81" s="2567"/>
      <c r="UPA81" s="2567"/>
      <c r="UPB81" s="2567"/>
      <c r="UPC81" s="2567"/>
      <c r="UPD81" s="2567"/>
      <c r="UPE81" s="2567"/>
      <c r="UPF81" s="2567"/>
      <c r="UPG81" s="2567"/>
      <c r="UPH81" s="2567"/>
      <c r="UPI81" s="2567"/>
      <c r="UPJ81" s="2567"/>
      <c r="UPK81" s="2567"/>
      <c r="UPL81" s="2567"/>
      <c r="UPM81" s="2567"/>
      <c r="UPN81" s="2567"/>
      <c r="UPO81" s="2567"/>
      <c r="UPP81" s="2567"/>
      <c r="UPQ81" s="2567"/>
      <c r="UPR81" s="2567"/>
      <c r="UPS81" s="2567"/>
      <c r="UPT81" s="2567"/>
      <c r="UPU81" s="2567"/>
      <c r="UPV81" s="2567"/>
      <c r="UPW81" s="2567"/>
      <c r="UPX81" s="2567"/>
      <c r="UPY81" s="2567"/>
      <c r="UPZ81" s="2567"/>
      <c r="UQA81" s="2567"/>
      <c r="UQB81" s="2567"/>
      <c r="UQC81" s="2567"/>
      <c r="UQD81" s="2567"/>
      <c r="UQE81" s="2567"/>
      <c r="UQF81" s="2567"/>
      <c r="UQG81" s="2567"/>
      <c r="UQH81" s="2567"/>
      <c r="UQI81" s="2567"/>
      <c r="UQJ81" s="2567"/>
      <c r="UQK81" s="2567"/>
      <c r="UQL81" s="2567"/>
      <c r="UQM81" s="2567"/>
      <c r="UQN81" s="2567"/>
      <c r="UQO81" s="2567"/>
      <c r="UQP81" s="2567"/>
      <c r="UQQ81" s="2567"/>
      <c r="UQR81" s="2567"/>
      <c r="UQS81" s="2567"/>
      <c r="UQT81" s="2567"/>
      <c r="UQU81" s="2567"/>
      <c r="UQV81" s="2567"/>
      <c r="UQW81" s="2567"/>
      <c r="UQX81" s="2567"/>
      <c r="UQY81" s="2567"/>
      <c r="UQZ81" s="2567"/>
      <c r="URA81" s="2567"/>
      <c r="URB81" s="2567"/>
      <c r="URC81" s="2567"/>
      <c r="URD81" s="2567"/>
      <c r="URE81" s="2567"/>
      <c r="URF81" s="2567"/>
      <c r="URG81" s="2567"/>
      <c r="URH81" s="2567"/>
      <c r="URI81" s="2567"/>
      <c r="URJ81" s="2567"/>
      <c r="URK81" s="2567"/>
      <c r="URL81" s="2567"/>
      <c r="URM81" s="2567"/>
      <c r="URN81" s="2567"/>
      <c r="URO81" s="2567"/>
      <c r="URP81" s="2567"/>
      <c r="URQ81" s="2567"/>
      <c r="URR81" s="2567"/>
      <c r="URS81" s="2567"/>
      <c r="URT81" s="2567"/>
      <c r="URU81" s="2567"/>
      <c r="URV81" s="2567"/>
      <c r="URW81" s="2567"/>
      <c r="URX81" s="2567"/>
      <c r="URY81" s="2567"/>
      <c r="URZ81" s="2567"/>
      <c r="USA81" s="2567"/>
      <c r="USB81" s="2567"/>
      <c r="USC81" s="2567"/>
      <c r="USD81" s="2567"/>
      <c r="USE81" s="2567"/>
      <c r="USF81" s="2567"/>
      <c r="USG81" s="2567"/>
      <c r="USH81" s="2567"/>
      <c r="USI81" s="2567"/>
      <c r="USJ81" s="2567"/>
      <c r="USK81" s="2567"/>
      <c r="USL81" s="2567"/>
      <c r="USM81" s="2567"/>
      <c r="USN81" s="2567"/>
      <c r="USO81" s="2567"/>
      <c r="USP81" s="2567"/>
      <c r="USQ81" s="2567"/>
      <c r="USR81" s="2567"/>
      <c r="USS81" s="2567"/>
      <c r="UST81" s="2567"/>
      <c r="USU81" s="2567"/>
      <c r="USV81" s="2567"/>
      <c r="USW81" s="2567"/>
      <c r="USX81" s="2567"/>
      <c r="USY81" s="2567"/>
      <c r="USZ81" s="2567"/>
      <c r="UTA81" s="2567"/>
      <c r="UTB81" s="2567"/>
      <c r="UTC81" s="2567"/>
      <c r="UTD81" s="2567"/>
      <c r="UTE81" s="2567"/>
      <c r="UTF81" s="2567"/>
      <c r="UTG81" s="2567"/>
      <c r="UTH81" s="2567"/>
      <c r="UTI81" s="2567"/>
      <c r="UTJ81" s="2567"/>
      <c r="UTK81" s="2567"/>
      <c r="UTL81" s="2567"/>
      <c r="UTM81" s="2567"/>
      <c r="UTN81" s="2567"/>
      <c r="UTO81" s="2567"/>
      <c r="UTP81" s="2567"/>
      <c r="UTQ81" s="2567"/>
      <c r="UTR81" s="2567"/>
      <c r="UTS81" s="2567"/>
      <c r="UTT81" s="2567"/>
      <c r="UTU81" s="2567"/>
      <c r="UTV81" s="2567"/>
      <c r="UTW81" s="2567"/>
      <c r="UTX81" s="2567"/>
      <c r="UTY81" s="2567"/>
      <c r="UTZ81" s="2567"/>
      <c r="UUA81" s="2567"/>
      <c r="UUB81" s="2567"/>
      <c r="UUC81" s="2567"/>
      <c r="UUD81" s="2567"/>
      <c r="UUE81" s="2567"/>
      <c r="UUF81" s="2567"/>
      <c r="UUG81" s="2567"/>
      <c r="UUH81" s="2567"/>
      <c r="UUI81" s="2567"/>
      <c r="UUJ81" s="2567"/>
      <c r="UUK81" s="2567"/>
      <c r="UUL81" s="2567"/>
      <c r="UUM81" s="2567"/>
      <c r="UUN81" s="2567"/>
      <c r="UUO81" s="2567"/>
      <c r="UUP81" s="2567"/>
      <c r="UUQ81" s="2567"/>
      <c r="UUR81" s="2567"/>
      <c r="UUS81" s="2567"/>
      <c r="UUT81" s="2567"/>
      <c r="UUU81" s="2567"/>
      <c r="UUV81" s="2567"/>
      <c r="UUW81" s="2567"/>
      <c r="UUX81" s="2567"/>
      <c r="UUY81" s="2567"/>
      <c r="UUZ81" s="2567"/>
      <c r="UVA81" s="2567"/>
      <c r="UVB81" s="2567"/>
      <c r="UVC81" s="2567"/>
      <c r="UVD81" s="2567"/>
      <c r="UVE81" s="2567"/>
      <c r="UVF81" s="2567"/>
      <c r="UVG81" s="2567"/>
      <c r="UVH81" s="2567"/>
      <c r="UVI81" s="2567"/>
      <c r="UVJ81" s="2567"/>
      <c r="UVK81" s="2567"/>
      <c r="UVL81" s="2567"/>
      <c r="UVM81" s="2567"/>
      <c r="UVN81" s="2567"/>
      <c r="UVO81" s="2567"/>
      <c r="UVP81" s="2567"/>
      <c r="UVQ81" s="2567"/>
      <c r="UVR81" s="2567"/>
      <c r="UVS81" s="2567"/>
      <c r="UVT81" s="2567"/>
      <c r="UVU81" s="2567"/>
      <c r="UVV81" s="2567"/>
      <c r="UVW81" s="2567"/>
      <c r="UVX81" s="2567"/>
      <c r="UVY81" s="2567"/>
      <c r="UVZ81" s="2567"/>
      <c r="UWA81" s="2567"/>
      <c r="UWB81" s="2567"/>
      <c r="UWC81" s="2567"/>
      <c r="UWD81" s="2567"/>
      <c r="UWE81" s="2567"/>
      <c r="UWF81" s="2567"/>
      <c r="UWG81" s="2567"/>
      <c r="UWH81" s="2567"/>
      <c r="UWI81" s="2567"/>
      <c r="UWJ81" s="2567"/>
      <c r="UWK81" s="2567"/>
      <c r="UWL81" s="2567"/>
      <c r="UWM81" s="2567"/>
      <c r="UWN81" s="2567"/>
      <c r="UWO81" s="2567"/>
      <c r="UWP81" s="2567"/>
      <c r="UWQ81" s="2567"/>
      <c r="UWR81" s="2567"/>
      <c r="UWS81" s="2567"/>
      <c r="UWT81" s="2567"/>
      <c r="UWU81" s="2567"/>
      <c r="UWV81" s="2567"/>
      <c r="UWW81" s="2567"/>
      <c r="UWX81" s="2567"/>
      <c r="UWY81" s="2567"/>
      <c r="UWZ81" s="2567"/>
      <c r="UXA81" s="2567"/>
      <c r="UXB81" s="2567"/>
      <c r="UXC81" s="2567"/>
      <c r="UXD81" s="2567"/>
      <c r="UXE81" s="2567"/>
      <c r="UXF81" s="2567"/>
      <c r="UXG81" s="2567"/>
      <c r="UXH81" s="2567"/>
      <c r="UXI81" s="2567"/>
      <c r="UXJ81" s="2567"/>
      <c r="UXK81" s="2567"/>
      <c r="UXL81" s="2567"/>
      <c r="UXM81" s="2567"/>
      <c r="UXN81" s="2567"/>
      <c r="UXO81" s="2567"/>
      <c r="UXP81" s="2567"/>
      <c r="UXQ81" s="2567"/>
      <c r="UXR81" s="2567"/>
      <c r="UXS81" s="2567"/>
      <c r="UXT81" s="2567"/>
      <c r="UXU81" s="2567"/>
      <c r="UXV81" s="2567"/>
      <c r="UXW81" s="2567"/>
      <c r="UXX81" s="2567"/>
      <c r="UXY81" s="2567"/>
      <c r="UXZ81" s="2567"/>
      <c r="UYA81" s="2567"/>
      <c r="UYB81" s="2567"/>
      <c r="UYC81" s="2567"/>
      <c r="UYD81" s="2567"/>
      <c r="UYE81" s="2567"/>
      <c r="UYF81" s="2567"/>
      <c r="UYG81" s="2567"/>
      <c r="UYH81" s="2567"/>
      <c r="UYI81" s="2567"/>
      <c r="UYJ81" s="2567"/>
      <c r="UYK81" s="2567"/>
      <c r="UYL81" s="2567"/>
      <c r="UYM81" s="2567"/>
      <c r="UYN81" s="2567"/>
      <c r="UYO81" s="2567"/>
      <c r="UYP81" s="2567"/>
      <c r="UYQ81" s="2567"/>
      <c r="UYR81" s="2567"/>
      <c r="UYS81" s="2567"/>
      <c r="UYT81" s="2567"/>
      <c r="UYU81" s="2567"/>
      <c r="UYV81" s="2567"/>
      <c r="UYW81" s="2567"/>
      <c r="UYX81" s="2567"/>
      <c r="UYY81" s="2567"/>
      <c r="UYZ81" s="2567"/>
      <c r="UZA81" s="2567"/>
      <c r="UZB81" s="2567"/>
      <c r="UZC81" s="2567"/>
      <c r="UZD81" s="2567"/>
      <c r="UZE81" s="2567"/>
      <c r="UZF81" s="2567"/>
      <c r="UZG81" s="2567"/>
      <c r="UZH81" s="2567"/>
      <c r="UZI81" s="2567"/>
      <c r="UZJ81" s="2567"/>
      <c r="UZK81" s="2567"/>
      <c r="UZL81" s="2567"/>
      <c r="UZM81" s="2567"/>
      <c r="UZN81" s="2567"/>
      <c r="UZO81" s="2567"/>
      <c r="UZP81" s="2567"/>
      <c r="UZQ81" s="2567"/>
      <c r="UZR81" s="2567"/>
      <c r="UZS81" s="2567"/>
      <c r="UZT81" s="2567"/>
      <c r="UZU81" s="2567"/>
      <c r="UZV81" s="2567"/>
      <c r="UZW81" s="2567"/>
      <c r="UZX81" s="2567"/>
      <c r="UZY81" s="2567"/>
      <c r="UZZ81" s="2567"/>
      <c r="VAA81" s="2567"/>
      <c r="VAB81" s="2567"/>
      <c r="VAC81" s="2567"/>
      <c r="VAD81" s="2567"/>
      <c r="VAE81" s="2567"/>
      <c r="VAF81" s="2567"/>
      <c r="VAG81" s="2567"/>
      <c r="VAH81" s="2567"/>
      <c r="VAI81" s="2567"/>
      <c r="VAJ81" s="2567"/>
      <c r="VAK81" s="2567"/>
      <c r="VAL81" s="2567"/>
      <c r="VAM81" s="2567"/>
      <c r="VAN81" s="2567"/>
      <c r="VAO81" s="2567"/>
      <c r="VAP81" s="2567"/>
      <c r="VAQ81" s="2567"/>
      <c r="VAR81" s="2567"/>
      <c r="VAS81" s="2567"/>
      <c r="VAT81" s="2567"/>
      <c r="VAU81" s="2567"/>
      <c r="VAV81" s="2567"/>
      <c r="VAW81" s="2567"/>
      <c r="VAX81" s="2567"/>
      <c r="VAY81" s="2567"/>
      <c r="VAZ81" s="2567"/>
      <c r="VBA81" s="2567"/>
      <c r="VBB81" s="2567"/>
      <c r="VBC81" s="2567"/>
      <c r="VBD81" s="2567"/>
      <c r="VBE81" s="2567"/>
      <c r="VBF81" s="2567"/>
      <c r="VBG81" s="2567"/>
      <c r="VBH81" s="2567"/>
      <c r="VBI81" s="2567"/>
      <c r="VBJ81" s="2567"/>
      <c r="VBK81" s="2567"/>
      <c r="VBL81" s="2567"/>
      <c r="VBM81" s="2567"/>
      <c r="VBN81" s="2567"/>
      <c r="VBO81" s="2567"/>
      <c r="VBP81" s="2567"/>
      <c r="VBQ81" s="2567"/>
      <c r="VBR81" s="2567"/>
      <c r="VBS81" s="2567"/>
      <c r="VBT81" s="2567"/>
      <c r="VBU81" s="2567"/>
      <c r="VBV81" s="2567"/>
      <c r="VBW81" s="2567"/>
      <c r="VBX81" s="2567"/>
      <c r="VBY81" s="2567"/>
      <c r="VBZ81" s="2567"/>
      <c r="VCA81" s="2567"/>
      <c r="VCB81" s="2567"/>
      <c r="VCC81" s="2567"/>
      <c r="VCD81" s="2567"/>
      <c r="VCE81" s="2567"/>
      <c r="VCF81" s="2567"/>
      <c r="VCG81" s="2567"/>
      <c r="VCH81" s="2567"/>
      <c r="VCI81" s="2567"/>
      <c r="VCJ81" s="2567"/>
      <c r="VCK81" s="2567"/>
      <c r="VCL81" s="2567"/>
      <c r="VCM81" s="2567"/>
      <c r="VCN81" s="2567"/>
      <c r="VCO81" s="2567"/>
      <c r="VCP81" s="2567"/>
      <c r="VCQ81" s="2567"/>
      <c r="VCR81" s="2567"/>
      <c r="VCS81" s="2567"/>
      <c r="VCT81" s="2567"/>
      <c r="VCU81" s="2567"/>
      <c r="VCV81" s="2567"/>
      <c r="VCW81" s="2567"/>
      <c r="VCX81" s="2567"/>
      <c r="VCY81" s="2567"/>
      <c r="VCZ81" s="2567"/>
      <c r="VDA81" s="2567"/>
      <c r="VDB81" s="2567"/>
      <c r="VDC81" s="2567"/>
      <c r="VDD81" s="2567"/>
      <c r="VDE81" s="2567"/>
      <c r="VDF81" s="2567"/>
      <c r="VDG81" s="2567"/>
      <c r="VDH81" s="2567"/>
      <c r="VDI81" s="2567"/>
      <c r="VDJ81" s="2567"/>
      <c r="VDK81" s="2567"/>
      <c r="VDL81" s="2567"/>
      <c r="VDM81" s="2567"/>
      <c r="VDN81" s="2567"/>
      <c r="VDO81" s="2567"/>
      <c r="VDP81" s="2567"/>
      <c r="VDQ81" s="2567"/>
      <c r="VDR81" s="2567"/>
      <c r="VDS81" s="2567"/>
      <c r="VDT81" s="2567"/>
      <c r="VDU81" s="2567"/>
      <c r="VDV81" s="2567"/>
      <c r="VDW81" s="2567"/>
      <c r="VDX81" s="2567"/>
      <c r="VDY81" s="2567"/>
      <c r="VDZ81" s="2567"/>
      <c r="VEA81" s="2567"/>
      <c r="VEB81" s="2567"/>
      <c r="VEC81" s="2567"/>
      <c r="VED81" s="2567"/>
      <c r="VEE81" s="2567"/>
      <c r="VEF81" s="2567"/>
      <c r="VEG81" s="2567"/>
      <c r="VEH81" s="2567"/>
      <c r="VEI81" s="2567"/>
      <c r="VEJ81" s="2567"/>
      <c r="VEK81" s="2567"/>
      <c r="VEL81" s="2567"/>
      <c r="VEM81" s="2567"/>
      <c r="VEN81" s="2567"/>
      <c r="VEO81" s="2567"/>
      <c r="VEP81" s="2567"/>
      <c r="VEQ81" s="2567"/>
      <c r="VER81" s="2567"/>
      <c r="VES81" s="2567"/>
      <c r="VET81" s="2567"/>
      <c r="VEU81" s="2567"/>
      <c r="VEV81" s="2567"/>
      <c r="VEW81" s="2567"/>
      <c r="VEX81" s="2567"/>
      <c r="VEY81" s="2567"/>
      <c r="VEZ81" s="2567"/>
      <c r="VFA81" s="2567"/>
      <c r="VFB81" s="2567"/>
      <c r="VFC81" s="2567"/>
      <c r="VFD81" s="2567"/>
      <c r="VFE81" s="2567"/>
      <c r="VFF81" s="2567"/>
      <c r="VFG81" s="2567"/>
      <c r="VFH81" s="2567"/>
      <c r="VFI81" s="2567"/>
      <c r="VFJ81" s="2567"/>
      <c r="VFK81" s="2567"/>
      <c r="VFL81" s="2567"/>
      <c r="VFM81" s="2567"/>
      <c r="VFN81" s="2567"/>
      <c r="VFO81" s="2567"/>
      <c r="VFP81" s="2567"/>
      <c r="VFQ81" s="2567"/>
      <c r="VFR81" s="2567"/>
      <c r="VFS81" s="2567"/>
      <c r="VFT81" s="2567"/>
      <c r="VFU81" s="2567"/>
      <c r="VFV81" s="2567"/>
      <c r="VFW81" s="2567"/>
      <c r="VFX81" s="2567"/>
      <c r="VFY81" s="2567"/>
      <c r="VFZ81" s="2567"/>
      <c r="VGA81" s="2567"/>
      <c r="VGB81" s="2567"/>
      <c r="VGC81" s="2567"/>
      <c r="VGD81" s="2567"/>
      <c r="VGE81" s="2567"/>
      <c r="VGF81" s="2567"/>
      <c r="VGG81" s="2567"/>
      <c r="VGH81" s="2567"/>
      <c r="VGI81" s="2567"/>
      <c r="VGJ81" s="2567"/>
      <c r="VGK81" s="2567"/>
      <c r="VGL81" s="2567"/>
      <c r="VGM81" s="2567"/>
      <c r="VGN81" s="2567"/>
      <c r="VGO81" s="2567"/>
      <c r="VGP81" s="2567"/>
      <c r="VGQ81" s="2567"/>
      <c r="VGR81" s="2567"/>
      <c r="VGS81" s="2567"/>
      <c r="VGT81" s="2567"/>
      <c r="VGU81" s="2567"/>
      <c r="VGV81" s="2567"/>
      <c r="VGW81" s="2567"/>
      <c r="VGX81" s="2567"/>
      <c r="VGY81" s="2567"/>
      <c r="VGZ81" s="2567"/>
      <c r="VHA81" s="2567"/>
      <c r="VHB81" s="2567"/>
      <c r="VHC81" s="2567"/>
      <c r="VHD81" s="2567"/>
      <c r="VHE81" s="2567"/>
      <c r="VHF81" s="2567"/>
      <c r="VHG81" s="2567"/>
      <c r="VHH81" s="2567"/>
      <c r="VHI81" s="2567"/>
      <c r="VHJ81" s="2567"/>
      <c r="VHK81" s="2567"/>
      <c r="VHL81" s="2567"/>
      <c r="VHM81" s="2567"/>
      <c r="VHN81" s="2567"/>
      <c r="VHO81" s="2567"/>
      <c r="VHP81" s="2567"/>
      <c r="VHQ81" s="2567"/>
      <c r="VHR81" s="2567"/>
      <c r="VHS81" s="2567"/>
      <c r="VHT81" s="2567"/>
      <c r="VHU81" s="2567"/>
      <c r="VHV81" s="2567"/>
      <c r="VHW81" s="2567"/>
      <c r="VHX81" s="2567"/>
      <c r="VHY81" s="2567"/>
      <c r="VHZ81" s="2567"/>
      <c r="VIA81" s="2567"/>
      <c r="VIB81" s="2567"/>
      <c r="VIC81" s="2567"/>
      <c r="VID81" s="2567"/>
      <c r="VIE81" s="2567"/>
      <c r="VIF81" s="2567"/>
      <c r="VIG81" s="2567"/>
      <c r="VIH81" s="2567"/>
      <c r="VII81" s="2567"/>
      <c r="VIJ81" s="2567"/>
      <c r="VIK81" s="2567"/>
      <c r="VIL81" s="2567"/>
      <c r="VIM81" s="2567"/>
      <c r="VIN81" s="2567"/>
      <c r="VIO81" s="2567"/>
      <c r="VIP81" s="2567"/>
      <c r="VIQ81" s="2567"/>
      <c r="VIR81" s="2567"/>
      <c r="VIS81" s="2567"/>
      <c r="VIT81" s="2567"/>
      <c r="VIU81" s="2567"/>
      <c r="VIV81" s="2567"/>
      <c r="VIW81" s="2567"/>
      <c r="VIX81" s="2567"/>
      <c r="VIY81" s="2567"/>
      <c r="VIZ81" s="2567"/>
      <c r="VJA81" s="2567"/>
      <c r="VJB81" s="2567"/>
      <c r="VJC81" s="2567"/>
      <c r="VJD81" s="2567"/>
      <c r="VJE81" s="2567"/>
      <c r="VJF81" s="2567"/>
      <c r="VJG81" s="2567"/>
      <c r="VJH81" s="2567"/>
      <c r="VJI81" s="2567"/>
      <c r="VJJ81" s="2567"/>
      <c r="VJK81" s="2567"/>
      <c r="VJL81" s="2567"/>
      <c r="VJM81" s="2567"/>
      <c r="VJN81" s="2567"/>
      <c r="VJO81" s="2567"/>
      <c r="VJP81" s="2567"/>
      <c r="VJQ81" s="2567"/>
      <c r="VJR81" s="2567"/>
      <c r="VJS81" s="2567"/>
      <c r="VJT81" s="2567"/>
      <c r="VJU81" s="2567"/>
      <c r="VJV81" s="2567"/>
      <c r="VJW81" s="2567"/>
      <c r="VJX81" s="2567"/>
      <c r="VJY81" s="2567"/>
      <c r="VJZ81" s="2567"/>
      <c r="VKA81" s="2567"/>
      <c r="VKB81" s="2567"/>
      <c r="VKC81" s="2567"/>
      <c r="VKD81" s="2567"/>
      <c r="VKE81" s="2567"/>
      <c r="VKF81" s="2567"/>
      <c r="VKG81" s="2567"/>
      <c r="VKH81" s="2567"/>
      <c r="VKI81" s="2567"/>
      <c r="VKJ81" s="2567"/>
      <c r="VKK81" s="2567"/>
      <c r="VKL81" s="2567"/>
      <c r="VKM81" s="2567"/>
      <c r="VKN81" s="2567"/>
      <c r="VKO81" s="2567"/>
      <c r="VKP81" s="2567"/>
      <c r="VKQ81" s="2567"/>
      <c r="VKR81" s="2567"/>
      <c r="VKS81" s="2567"/>
      <c r="VKT81" s="2567"/>
      <c r="VKU81" s="2567"/>
      <c r="VKV81" s="2567"/>
      <c r="VKW81" s="2567"/>
      <c r="VKX81" s="2567"/>
      <c r="VKY81" s="2567"/>
      <c r="VKZ81" s="2567"/>
      <c r="VLA81" s="2567"/>
      <c r="VLB81" s="2567"/>
      <c r="VLC81" s="2567"/>
      <c r="VLD81" s="2567"/>
      <c r="VLE81" s="2567"/>
      <c r="VLF81" s="2567"/>
      <c r="VLG81" s="2567"/>
      <c r="VLH81" s="2567"/>
      <c r="VLI81" s="2567"/>
      <c r="VLJ81" s="2567"/>
      <c r="VLK81" s="2567"/>
      <c r="VLL81" s="2567"/>
      <c r="VLM81" s="2567"/>
      <c r="VLN81" s="2567"/>
      <c r="VLO81" s="2567"/>
      <c r="VLP81" s="2567"/>
      <c r="VLQ81" s="2567"/>
      <c r="VLR81" s="2567"/>
      <c r="VLS81" s="2567"/>
      <c r="VLT81" s="2567"/>
      <c r="VLU81" s="2567"/>
      <c r="VLV81" s="2567"/>
      <c r="VLW81" s="2567"/>
      <c r="VLX81" s="2567"/>
      <c r="VLY81" s="2567"/>
      <c r="VLZ81" s="2567"/>
      <c r="VMA81" s="2567"/>
      <c r="VMB81" s="2567"/>
      <c r="VMC81" s="2567"/>
      <c r="VMD81" s="2567"/>
      <c r="VME81" s="2567"/>
      <c r="VMF81" s="2567"/>
      <c r="VMG81" s="2567"/>
      <c r="VMH81" s="2567"/>
      <c r="VMI81" s="2567"/>
      <c r="VMJ81" s="2567"/>
      <c r="VMK81" s="2567"/>
      <c r="VML81" s="2567"/>
      <c r="VMM81" s="2567"/>
      <c r="VMN81" s="2567"/>
      <c r="VMO81" s="2567"/>
      <c r="VMP81" s="2567"/>
      <c r="VMQ81" s="2567"/>
      <c r="VMR81" s="2567"/>
      <c r="VMS81" s="2567"/>
      <c r="VMT81" s="2567"/>
      <c r="VMU81" s="2567"/>
      <c r="VMV81" s="2567"/>
      <c r="VMW81" s="2567"/>
      <c r="VMX81" s="2567"/>
      <c r="VMY81" s="2567"/>
      <c r="VMZ81" s="2567"/>
      <c r="VNA81" s="2567"/>
      <c r="VNB81" s="2567"/>
      <c r="VNC81" s="2567"/>
      <c r="VND81" s="2567"/>
      <c r="VNE81" s="2567"/>
      <c r="VNF81" s="2567"/>
      <c r="VNG81" s="2567"/>
      <c r="VNH81" s="2567"/>
      <c r="VNI81" s="2567"/>
      <c r="VNJ81" s="2567"/>
      <c r="VNK81" s="2567"/>
      <c r="VNL81" s="2567"/>
      <c r="VNM81" s="2567"/>
      <c r="VNN81" s="2567"/>
      <c r="VNO81" s="2567"/>
      <c r="VNP81" s="2567"/>
      <c r="VNQ81" s="2567"/>
      <c r="VNR81" s="2567"/>
      <c r="VNS81" s="2567"/>
      <c r="VNT81" s="2567"/>
      <c r="VNU81" s="2567"/>
      <c r="VNV81" s="2567"/>
      <c r="VNW81" s="2567"/>
      <c r="VNX81" s="2567"/>
      <c r="VNY81" s="2567"/>
      <c r="VNZ81" s="2567"/>
      <c r="VOA81" s="2567"/>
      <c r="VOB81" s="2567"/>
      <c r="VOC81" s="2567"/>
      <c r="VOD81" s="2567"/>
      <c r="VOE81" s="2567"/>
      <c r="VOF81" s="2567"/>
      <c r="VOG81" s="2567"/>
      <c r="VOH81" s="2567"/>
      <c r="VOI81" s="2567"/>
      <c r="VOJ81" s="2567"/>
      <c r="VOK81" s="2567"/>
      <c r="VOL81" s="2567"/>
      <c r="VOM81" s="2567"/>
      <c r="VON81" s="2567"/>
      <c r="VOO81" s="2567"/>
      <c r="VOP81" s="2567"/>
      <c r="VOQ81" s="2567"/>
      <c r="VOR81" s="2567"/>
      <c r="VOS81" s="2567"/>
      <c r="VOT81" s="2567"/>
      <c r="VOU81" s="2567"/>
      <c r="VOV81" s="2567"/>
      <c r="VOW81" s="2567"/>
      <c r="VOX81" s="2567"/>
      <c r="VOY81" s="2567"/>
      <c r="VOZ81" s="2567"/>
      <c r="VPA81" s="2567"/>
      <c r="VPB81" s="2567"/>
      <c r="VPC81" s="2567"/>
      <c r="VPD81" s="2567"/>
      <c r="VPE81" s="2567"/>
      <c r="VPF81" s="2567"/>
      <c r="VPG81" s="2567"/>
      <c r="VPH81" s="2567"/>
      <c r="VPI81" s="2567"/>
      <c r="VPJ81" s="2567"/>
      <c r="VPK81" s="2567"/>
      <c r="VPL81" s="2567"/>
      <c r="VPM81" s="2567"/>
      <c r="VPN81" s="2567"/>
      <c r="VPO81" s="2567"/>
      <c r="VPP81" s="2567"/>
      <c r="VPQ81" s="2567"/>
      <c r="VPR81" s="2567"/>
      <c r="VPS81" s="2567"/>
      <c r="VPT81" s="2567"/>
      <c r="VPU81" s="2567"/>
      <c r="VPV81" s="2567"/>
      <c r="VPW81" s="2567"/>
      <c r="VPX81" s="2567"/>
      <c r="VPY81" s="2567"/>
      <c r="VPZ81" s="2567"/>
      <c r="VQA81" s="2567"/>
      <c r="VQB81" s="2567"/>
      <c r="VQC81" s="2567"/>
      <c r="VQD81" s="2567"/>
      <c r="VQE81" s="2567"/>
      <c r="VQF81" s="2567"/>
      <c r="VQG81" s="2567"/>
      <c r="VQH81" s="2567"/>
      <c r="VQI81" s="2567"/>
      <c r="VQJ81" s="2567"/>
      <c r="VQK81" s="2567"/>
      <c r="VQL81" s="2567"/>
      <c r="VQM81" s="2567"/>
      <c r="VQN81" s="2567"/>
      <c r="VQO81" s="2567"/>
      <c r="VQP81" s="2567"/>
      <c r="VQQ81" s="2567"/>
      <c r="VQR81" s="2567"/>
      <c r="VQS81" s="2567"/>
      <c r="VQT81" s="2567"/>
      <c r="VQU81" s="2567"/>
      <c r="VQV81" s="2567"/>
      <c r="VQW81" s="2567"/>
      <c r="VQX81" s="2567"/>
      <c r="VQY81" s="2567"/>
      <c r="VQZ81" s="2567"/>
      <c r="VRA81" s="2567"/>
      <c r="VRB81" s="2567"/>
      <c r="VRC81" s="2567"/>
      <c r="VRD81" s="2567"/>
      <c r="VRE81" s="2567"/>
      <c r="VRF81" s="2567"/>
      <c r="VRG81" s="2567"/>
      <c r="VRH81" s="2567"/>
      <c r="VRI81" s="2567"/>
      <c r="VRJ81" s="2567"/>
      <c r="VRK81" s="2567"/>
      <c r="VRL81" s="2567"/>
      <c r="VRM81" s="2567"/>
      <c r="VRN81" s="2567"/>
      <c r="VRO81" s="2567"/>
      <c r="VRP81" s="2567"/>
      <c r="VRQ81" s="2567"/>
      <c r="VRR81" s="2567"/>
      <c r="VRS81" s="2567"/>
      <c r="VRT81" s="2567"/>
      <c r="VRU81" s="2567"/>
      <c r="VRV81" s="2567"/>
      <c r="VRW81" s="2567"/>
      <c r="VRX81" s="2567"/>
      <c r="VRY81" s="2567"/>
      <c r="VRZ81" s="2567"/>
      <c r="VSA81" s="2567"/>
      <c r="VSB81" s="2567"/>
      <c r="VSC81" s="2567"/>
      <c r="VSD81" s="2567"/>
      <c r="VSE81" s="2567"/>
      <c r="VSF81" s="2567"/>
      <c r="VSG81" s="2567"/>
      <c r="VSH81" s="2567"/>
      <c r="VSI81" s="2567"/>
      <c r="VSJ81" s="2567"/>
      <c r="VSK81" s="2567"/>
      <c r="VSL81" s="2567"/>
      <c r="VSM81" s="2567"/>
      <c r="VSN81" s="2567"/>
      <c r="VSO81" s="2567"/>
      <c r="VSP81" s="2567"/>
      <c r="VSQ81" s="2567"/>
      <c r="VSR81" s="2567"/>
      <c r="VSS81" s="2567"/>
      <c r="VST81" s="2567"/>
      <c r="VSU81" s="2567"/>
      <c r="VSV81" s="2567"/>
      <c r="VSW81" s="2567"/>
      <c r="VSX81" s="2567"/>
      <c r="VSY81" s="2567"/>
      <c r="VSZ81" s="2567"/>
      <c r="VTA81" s="2567"/>
      <c r="VTB81" s="2567"/>
      <c r="VTC81" s="2567"/>
      <c r="VTD81" s="2567"/>
      <c r="VTE81" s="2567"/>
      <c r="VTF81" s="2567"/>
      <c r="VTG81" s="2567"/>
      <c r="VTH81" s="2567"/>
      <c r="VTI81" s="2567"/>
      <c r="VTJ81" s="2567"/>
      <c r="VTK81" s="2567"/>
      <c r="VTL81" s="2567"/>
      <c r="VTM81" s="2567"/>
      <c r="VTN81" s="2567"/>
      <c r="VTO81" s="2567"/>
      <c r="VTP81" s="2567"/>
      <c r="VTQ81" s="2567"/>
      <c r="VTR81" s="2567"/>
      <c r="VTS81" s="2567"/>
      <c r="VTT81" s="2567"/>
      <c r="VTU81" s="2567"/>
      <c r="VTV81" s="2567"/>
      <c r="VTW81" s="2567"/>
      <c r="VTX81" s="2567"/>
      <c r="VTY81" s="2567"/>
      <c r="VTZ81" s="2567"/>
      <c r="VUA81" s="2567"/>
      <c r="VUB81" s="2567"/>
      <c r="VUC81" s="2567"/>
      <c r="VUD81" s="2567"/>
      <c r="VUE81" s="2567"/>
      <c r="VUF81" s="2567"/>
      <c r="VUG81" s="2567"/>
      <c r="VUH81" s="2567"/>
      <c r="VUI81" s="2567"/>
      <c r="VUJ81" s="2567"/>
      <c r="VUK81" s="2567"/>
      <c r="VUL81" s="2567"/>
      <c r="VUM81" s="2567"/>
      <c r="VUN81" s="2567"/>
      <c r="VUO81" s="2567"/>
      <c r="VUP81" s="2567"/>
      <c r="VUQ81" s="2567"/>
      <c r="VUR81" s="2567"/>
      <c r="VUS81" s="2567"/>
      <c r="VUT81" s="2567"/>
      <c r="VUU81" s="2567"/>
      <c r="VUV81" s="2567"/>
      <c r="VUW81" s="2567"/>
      <c r="VUX81" s="2567"/>
      <c r="VUY81" s="2567"/>
      <c r="VUZ81" s="2567"/>
      <c r="VVA81" s="2567"/>
      <c r="VVB81" s="2567"/>
      <c r="VVC81" s="2567"/>
      <c r="VVD81" s="2567"/>
      <c r="VVE81" s="2567"/>
      <c r="VVF81" s="2567"/>
      <c r="VVG81" s="2567"/>
      <c r="VVH81" s="2567"/>
      <c r="VVI81" s="2567"/>
      <c r="VVJ81" s="2567"/>
      <c r="VVK81" s="2567"/>
      <c r="VVL81" s="2567"/>
      <c r="VVM81" s="2567"/>
      <c r="VVN81" s="2567"/>
      <c r="VVO81" s="2567"/>
      <c r="VVP81" s="2567"/>
      <c r="VVQ81" s="2567"/>
      <c r="VVR81" s="2567"/>
      <c r="VVS81" s="2567"/>
      <c r="VVT81" s="2567"/>
      <c r="VVU81" s="2567"/>
      <c r="VVV81" s="2567"/>
      <c r="VVW81" s="2567"/>
      <c r="VVX81" s="2567"/>
      <c r="VVY81" s="2567"/>
      <c r="VVZ81" s="2567"/>
      <c r="VWA81" s="2567"/>
      <c r="VWB81" s="2567"/>
      <c r="VWC81" s="2567"/>
      <c r="VWD81" s="2567"/>
      <c r="VWE81" s="2567"/>
      <c r="VWF81" s="2567"/>
      <c r="VWG81" s="2567"/>
      <c r="VWH81" s="2567"/>
      <c r="VWI81" s="2567"/>
      <c r="VWJ81" s="2567"/>
      <c r="VWK81" s="2567"/>
      <c r="VWL81" s="2567"/>
      <c r="VWM81" s="2567"/>
      <c r="VWN81" s="2567"/>
      <c r="VWO81" s="2567"/>
      <c r="VWP81" s="2567"/>
      <c r="VWQ81" s="2567"/>
      <c r="VWR81" s="2567"/>
      <c r="VWS81" s="2567"/>
      <c r="VWT81" s="2567"/>
      <c r="VWU81" s="2567"/>
      <c r="VWV81" s="2567"/>
      <c r="VWW81" s="2567"/>
      <c r="VWX81" s="2567"/>
      <c r="VWY81" s="2567"/>
      <c r="VWZ81" s="2567"/>
      <c r="VXA81" s="2567"/>
      <c r="VXB81" s="2567"/>
      <c r="VXC81" s="2567"/>
      <c r="VXD81" s="2567"/>
      <c r="VXE81" s="2567"/>
      <c r="VXF81" s="2567"/>
      <c r="VXG81" s="2567"/>
      <c r="VXH81" s="2567"/>
      <c r="VXI81" s="2567"/>
      <c r="VXJ81" s="2567"/>
      <c r="VXK81" s="2567"/>
      <c r="VXL81" s="2567"/>
      <c r="VXM81" s="2567"/>
      <c r="VXN81" s="2567"/>
      <c r="VXO81" s="2567"/>
      <c r="VXP81" s="2567"/>
      <c r="VXQ81" s="2567"/>
      <c r="VXR81" s="2567"/>
      <c r="VXS81" s="2567"/>
      <c r="VXT81" s="2567"/>
      <c r="VXU81" s="2567"/>
      <c r="VXV81" s="2567"/>
      <c r="VXW81" s="2567"/>
      <c r="VXX81" s="2567"/>
      <c r="VXY81" s="2567"/>
      <c r="VXZ81" s="2567"/>
      <c r="VYA81" s="2567"/>
      <c r="VYB81" s="2567"/>
      <c r="VYC81" s="2567"/>
      <c r="VYD81" s="2567"/>
      <c r="VYE81" s="2567"/>
      <c r="VYF81" s="2567"/>
      <c r="VYG81" s="2567"/>
      <c r="VYH81" s="2567"/>
      <c r="VYI81" s="2567"/>
      <c r="VYJ81" s="2567"/>
      <c r="VYK81" s="2567"/>
      <c r="VYL81" s="2567"/>
      <c r="VYM81" s="2567"/>
      <c r="VYN81" s="2567"/>
      <c r="VYO81" s="2567"/>
      <c r="VYP81" s="2567"/>
      <c r="VYQ81" s="2567"/>
      <c r="VYR81" s="2567"/>
      <c r="VYS81" s="2567"/>
      <c r="VYT81" s="2567"/>
      <c r="VYU81" s="2567"/>
      <c r="VYV81" s="2567"/>
      <c r="VYW81" s="2567"/>
      <c r="VYX81" s="2567"/>
      <c r="VYY81" s="2567"/>
      <c r="VYZ81" s="2567"/>
      <c r="VZA81" s="2567"/>
      <c r="VZB81" s="2567"/>
      <c r="VZC81" s="2567"/>
      <c r="VZD81" s="2567"/>
      <c r="VZE81" s="2567"/>
      <c r="VZF81" s="2567"/>
      <c r="VZG81" s="2567"/>
      <c r="VZH81" s="2567"/>
      <c r="VZI81" s="2567"/>
      <c r="VZJ81" s="2567"/>
      <c r="VZK81" s="2567"/>
      <c r="VZL81" s="2567"/>
      <c r="VZM81" s="2567"/>
      <c r="VZN81" s="2567"/>
      <c r="VZO81" s="2567"/>
      <c r="VZP81" s="2567"/>
      <c r="VZQ81" s="2567"/>
      <c r="VZR81" s="2567"/>
      <c r="VZS81" s="2567"/>
      <c r="VZT81" s="2567"/>
      <c r="VZU81" s="2567"/>
      <c r="VZV81" s="2567"/>
      <c r="VZW81" s="2567"/>
      <c r="VZX81" s="2567"/>
      <c r="VZY81" s="2567"/>
      <c r="VZZ81" s="2567"/>
      <c r="WAA81" s="2567"/>
      <c r="WAB81" s="2567"/>
      <c r="WAC81" s="2567"/>
      <c r="WAD81" s="2567"/>
      <c r="WAE81" s="2567"/>
      <c r="WAF81" s="2567"/>
      <c r="WAG81" s="2567"/>
      <c r="WAH81" s="2567"/>
      <c r="WAI81" s="2567"/>
      <c r="WAJ81" s="2567"/>
      <c r="WAK81" s="2567"/>
      <c r="WAL81" s="2567"/>
      <c r="WAM81" s="2567"/>
      <c r="WAN81" s="2567"/>
      <c r="WAO81" s="2567"/>
      <c r="WAP81" s="2567"/>
      <c r="WAQ81" s="2567"/>
      <c r="WAR81" s="2567"/>
      <c r="WAS81" s="2567"/>
      <c r="WAT81" s="2567"/>
      <c r="WAU81" s="2567"/>
      <c r="WAV81" s="2567"/>
      <c r="WAW81" s="2567"/>
      <c r="WAX81" s="2567"/>
      <c r="WAY81" s="2567"/>
      <c r="WAZ81" s="2567"/>
      <c r="WBA81" s="2567"/>
      <c r="WBB81" s="2567"/>
      <c r="WBC81" s="2567"/>
      <c r="WBD81" s="2567"/>
      <c r="WBE81" s="2567"/>
      <c r="WBF81" s="2567"/>
      <c r="WBG81" s="2567"/>
      <c r="WBH81" s="2567"/>
      <c r="WBI81" s="2567"/>
      <c r="WBJ81" s="2567"/>
      <c r="WBK81" s="2567"/>
      <c r="WBL81" s="2567"/>
      <c r="WBM81" s="2567"/>
      <c r="WBN81" s="2567"/>
      <c r="WBO81" s="2567"/>
      <c r="WBP81" s="2567"/>
      <c r="WBQ81" s="2567"/>
      <c r="WBR81" s="2567"/>
      <c r="WBS81" s="2567"/>
      <c r="WBT81" s="2567"/>
      <c r="WBU81" s="2567"/>
      <c r="WBV81" s="2567"/>
      <c r="WBW81" s="2567"/>
      <c r="WBX81" s="2567"/>
      <c r="WBY81" s="2567"/>
      <c r="WBZ81" s="2567"/>
      <c r="WCA81" s="2567"/>
      <c r="WCB81" s="2567"/>
      <c r="WCC81" s="2567"/>
      <c r="WCD81" s="2567"/>
      <c r="WCE81" s="2567"/>
      <c r="WCF81" s="2567"/>
      <c r="WCG81" s="2567"/>
      <c r="WCH81" s="2567"/>
      <c r="WCI81" s="2567"/>
      <c r="WCJ81" s="2567"/>
      <c r="WCK81" s="2567"/>
      <c r="WCL81" s="2567"/>
      <c r="WCM81" s="2567"/>
      <c r="WCN81" s="2567"/>
      <c r="WCO81" s="2567"/>
      <c r="WCP81" s="2567"/>
      <c r="WCQ81" s="2567"/>
      <c r="WCR81" s="2567"/>
      <c r="WCS81" s="2567"/>
      <c r="WCT81" s="2567"/>
      <c r="WCU81" s="2567"/>
      <c r="WCV81" s="2567"/>
      <c r="WCW81" s="2567"/>
      <c r="WCX81" s="2567"/>
      <c r="WCY81" s="2567"/>
      <c r="WCZ81" s="2567"/>
      <c r="WDA81" s="2567"/>
      <c r="WDB81" s="2567"/>
      <c r="WDC81" s="2567"/>
      <c r="WDD81" s="2567"/>
      <c r="WDE81" s="2567"/>
      <c r="WDF81" s="2567"/>
      <c r="WDG81" s="2567"/>
      <c r="WDH81" s="2567"/>
      <c r="WDI81" s="2567"/>
      <c r="WDJ81" s="2567"/>
      <c r="WDK81" s="2567"/>
      <c r="WDL81" s="2567"/>
      <c r="WDM81" s="2567"/>
      <c r="WDN81" s="2567"/>
      <c r="WDO81" s="2567"/>
      <c r="WDP81" s="2567"/>
      <c r="WDQ81" s="2567"/>
      <c r="WDR81" s="2567"/>
      <c r="WDS81" s="2567"/>
      <c r="WDT81" s="2567"/>
      <c r="WDU81" s="2567"/>
      <c r="WDV81" s="2567"/>
      <c r="WDW81" s="2567"/>
      <c r="WDX81" s="2567"/>
      <c r="WDY81" s="2567"/>
      <c r="WDZ81" s="2567"/>
      <c r="WEA81" s="2567"/>
      <c r="WEB81" s="2567"/>
      <c r="WEC81" s="2567"/>
      <c r="WED81" s="2567"/>
      <c r="WEE81" s="2567"/>
      <c r="WEF81" s="2567"/>
      <c r="WEG81" s="2567"/>
      <c r="WEH81" s="2567"/>
      <c r="WEI81" s="2567"/>
      <c r="WEJ81" s="2567"/>
      <c r="WEK81" s="2567"/>
      <c r="WEL81" s="2567"/>
      <c r="WEM81" s="2567"/>
      <c r="WEN81" s="2567"/>
      <c r="WEO81" s="2567"/>
      <c r="WEP81" s="2567"/>
      <c r="WEQ81" s="2567"/>
      <c r="WER81" s="2567"/>
      <c r="WES81" s="2567"/>
      <c r="WET81" s="2567"/>
      <c r="WEU81" s="2567"/>
      <c r="WEV81" s="2567"/>
      <c r="WEW81" s="2567"/>
      <c r="WEX81" s="2567"/>
      <c r="WEY81" s="2567"/>
      <c r="WEZ81" s="2567"/>
      <c r="WFA81" s="2567"/>
      <c r="WFB81" s="2567"/>
      <c r="WFC81" s="2567"/>
      <c r="WFD81" s="2567"/>
      <c r="WFE81" s="2567"/>
      <c r="WFF81" s="2567"/>
      <c r="WFG81" s="2567"/>
      <c r="WFH81" s="2567"/>
      <c r="WFI81" s="2567"/>
      <c r="WFJ81" s="2567"/>
      <c r="WFK81" s="2567"/>
      <c r="WFL81" s="2567"/>
      <c r="WFM81" s="2567"/>
      <c r="WFN81" s="2567"/>
      <c r="WFO81" s="2567"/>
      <c r="WFP81" s="2567"/>
      <c r="WFQ81" s="2567"/>
      <c r="WFR81" s="2567"/>
      <c r="WFS81" s="2567"/>
      <c r="WFT81" s="2567"/>
      <c r="WFU81" s="2567"/>
      <c r="WFV81" s="2567"/>
      <c r="WFW81" s="2567"/>
      <c r="WFX81" s="2567"/>
      <c r="WFY81" s="2567"/>
      <c r="WFZ81" s="2567"/>
      <c r="WGA81" s="2567"/>
      <c r="WGB81" s="2567"/>
      <c r="WGC81" s="2567"/>
      <c r="WGD81" s="2567"/>
      <c r="WGE81" s="2567"/>
      <c r="WGF81" s="2567"/>
      <c r="WGG81" s="2567"/>
      <c r="WGH81" s="2567"/>
      <c r="WGI81" s="2567"/>
      <c r="WGJ81" s="2567"/>
      <c r="WGK81" s="2567"/>
      <c r="WGL81" s="2567"/>
      <c r="WGM81" s="2567"/>
      <c r="WGN81" s="2567"/>
      <c r="WGO81" s="2567"/>
      <c r="WGP81" s="2567"/>
      <c r="WGQ81" s="2567"/>
      <c r="WGR81" s="2567"/>
      <c r="WGS81" s="2567"/>
      <c r="WGT81" s="2567"/>
      <c r="WGU81" s="2567"/>
      <c r="WGV81" s="2567"/>
      <c r="WGW81" s="2567"/>
      <c r="WGX81" s="2567"/>
      <c r="WGY81" s="2567"/>
      <c r="WGZ81" s="2567"/>
      <c r="WHA81" s="2567"/>
      <c r="WHB81" s="2567"/>
      <c r="WHC81" s="2567"/>
      <c r="WHD81" s="2567"/>
      <c r="WHE81" s="2567"/>
      <c r="WHF81" s="2567"/>
      <c r="WHG81" s="2567"/>
      <c r="WHH81" s="2567"/>
      <c r="WHI81" s="2567"/>
      <c r="WHJ81" s="2567"/>
      <c r="WHK81" s="2567"/>
      <c r="WHL81" s="2567"/>
      <c r="WHM81" s="2567"/>
      <c r="WHN81" s="2567"/>
      <c r="WHO81" s="2567"/>
      <c r="WHP81" s="2567"/>
      <c r="WHQ81" s="2567"/>
      <c r="WHR81" s="2567"/>
      <c r="WHS81" s="2567"/>
      <c r="WHT81" s="2567"/>
      <c r="WHU81" s="2567"/>
      <c r="WHV81" s="2567"/>
      <c r="WHW81" s="2567"/>
      <c r="WHX81" s="2567"/>
      <c r="WHY81" s="2567"/>
      <c r="WHZ81" s="2567"/>
      <c r="WIA81" s="2567"/>
      <c r="WIB81" s="2567"/>
      <c r="WIC81" s="2567"/>
      <c r="WID81" s="2567"/>
      <c r="WIE81" s="2567"/>
      <c r="WIF81" s="2567"/>
      <c r="WIG81" s="2567"/>
      <c r="WIH81" s="2567"/>
      <c r="WII81" s="2567"/>
      <c r="WIJ81" s="2567"/>
      <c r="WIK81" s="2567"/>
      <c r="WIL81" s="2567"/>
      <c r="WIM81" s="2567"/>
      <c r="WIN81" s="2567"/>
      <c r="WIO81" s="2567"/>
      <c r="WIP81" s="2567"/>
      <c r="WIQ81" s="2567"/>
      <c r="WIR81" s="2567"/>
      <c r="WIS81" s="2567"/>
      <c r="WIT81" s="2567"/>
      <c r="WIU81" s="2567"/>
      <c r="WIV81" s="2567"/>
      <c r="WIW81" s="2567"/>
      <c r="WIX81" s="2567"/>
      <c r="WIY81" s="2567"/>
      <c r="WIZ81" s="2567"/>
      <c r="WJA81" s="2567"/>
      <c r="WJB81" s="2567"/>
      <c r="WJC81" s="2567"/>
      <c r="WJD81" s="2567"/>
      <c r="WJE81" s="2567"/>
      <c r="WJF81" s="2567"/>
      <c r="WJG81" s="2567"/>
      <c r="WJH81" s="2567"/>
      <c r="WJI81" s="2567"/>
      <c r="WJJ81" s="2567"/>
      <c r="WJK81" s="2567"/>
      <c r="WJL81" s="2567"/>
      <c r="WJM81" s="2567"/>
      <c r="WJN81" s="2567"/>
      <c r="WJO81" s="2567"/>
      <c r="WJP81" s="2567"/>
      <c r="WJQ81" s="2567"/>
      <c r="WJR81" s="2567"/>
      <c r="WJS81" s="2567"/>
      <c r="WJT81" s="2567"/>
      <c r="WJU81" s="2567"/>
      <c r="WJV81" s="2567"/>
      <c r="WJW81" s="2567"/>
      <c r="WJX81" s="2567"/>
      <c r="WJY81" s="2567"/>
      <c r="WJZ81" s="2567"/>
      <c r="WKA81" s="2567"/>
      <c r="WKB81" s="2567"/>
      <c r="WKC81" s="2567"/>
      <c r="WKD81" s="2567"/>
      <c r="WKE81" s="2567"/>
      <c r="WKF81" s="2567"/>
      <c r="WKG81" s="2567"/>
      <c r="WKH81" s="2567"/>
      <c r="WKI81" s="2567"/>
      <c r="WKJ81" s="2567"/>
      <c r="WKK81" s="2567"/>
      <c r="WKL81" s="2567"/>
      <c r="WKM81" s="2567"/>
      <c r="WKN81" s="2567"/>
      <c r="WKO81" s="2567"/>
      <c r="WKP81" s="2567"/>
      <c r="WKQ81" s="2567"/>
      <c r="WKR81" s="2567"/>
      <c r="WKS81" s="2567"/>
      <c r="WKT81" s="2567"/>
      <c r="WKU81" s="2567"/>
      <c r="WKV81" s="2567"/>
      <c r="WKW81" s="2567"/>
      <c r="WKX81" s="2567"/>
      <c r="WKY81" s="2567"/>
      <c r="WKZ81" s="2567"/>
      <c r="WLA81" s="2567"/>
      <c r="WLB81" s="2567"/>
      <c r="WLC81" s="2567"/>
      <c r="WLD81" s="2567"/>
      <c r="WLE81" s="2567"/>
      <c r="WLF81" s="2567"/>
      <c r="WLG81" s="2567"/>
      <c r="WLH81" s="2567"/>
      <c r="WLI81" s="2567"/>
      <c r="WLJ81" s="2567"/>
      <c r="WLK81" s="2567"/>
      <c r="WLL81" s="2567"/>
      <c r="WLM81" s="2567"/>
      <c r="WLN81" s="2567"/>
      <c r="WLO81" s="2567"/>
      <c r="WLP81" s="2567"/>
      <c r="WLQ81" s="2567"/>
      <c r="WLR81" s="2567"/>
      <c r="WLS81" s="2567"/>
      <c r="WLT81" s="2567"/>
      <c r="WLU81" s="2567"/>
      <c r="WLV81" s="2567"/>
      <c r="WLW81" s="2567"/>
      <c r="WLX81" s="2567"/>
      <c r="WLY81" s="2567"/>
      <c r="WLZ81" s="2567"/>
      <c r="WMA81" s="2567"/>
      <c r="WMB81" s="2567"/>
      <c r="WMC81" s="2567"/>
      <c r="WMD81" s="2567"/>
      <c r="WME81" s="2567"/>
      <c r="WMF81" s="2567"/>
      <c r="WMG81" s="2567"/>
      <c r="WMH81" s="2567"/>
      <c r="WMI81" s="2567"/>
      <c r="WMJ81" s="2567"/>
      <c r="WMK81" s="2567"/>
      <c r="WML81" s="2567"/>
      <c r="WMM81" s="2567"/>
      <c r="WMN81" s="2567"/>
      <c r="WMO81" s="2567"/>
      <c r="WMP81" s="2567"/>
      <c r="WMQ81" s="2567"/>
      <c r="WMR81" s="2567"/>
      <c r="WMS81" s="2567"/>
      <c r="WMT81" s="2567"/>
      <c r="WMU81" s="2567"/>
      <c r="WMV81" s="2567"/>
      <c r="WMW81" s="2567"/>
      <c r="WMX81" s="2567"/>
      <c r="WMY81" s="2567"/>
      <c r="WMZ81" s="2567"/>
      <c r="WNA81" s="2567"/>
      <c r="WNB81" s="2567"/>
      <c r="WNC81" s="2567"/>
      <c r="WND81" s="2567"/>
      <c r="WNE81" s="2567"/>
      <c r="WNF81" s="2567"/>
      <c r="WNG81" s="2567"/>
      <c r="WNH81" s="2567"/>
      <c r="WNI81" s="2567"/>
      <c r="WNJ81" s="2567"/>
      <c r="WNK81" s="2567"/>
      <c r="WNL81" s="2567"/>
      <c r="WNM81" s="2567"/>
      <c r="WNN81" s="2567"/>
      <c r="WNO81" s="2567"/>
      <c r="WNP81" s="2567"/>
      <c r="WNQ81" s="2567"/>
      <c r="WNR81" s="2567"/>
      <c r="WNS81" s="2567"/>
      <c r="WNT81" s="2567"/>
      <c r="WNU81" s="2567"/>
      <c r="WNV81" s="2567"/>
      <c r="WNW81" s="2567"/>
      <c r="WNX81" s="2567"/>
      <c r="WNY81" s="2567"/>
      <c r="WNZ81" s="2567"/>
      <c r="WOA81" s="2567"/>
      <c r="WOB81" s="2567"/>
      <c r="WOC81" s="2567"/>
      <c r="WOD81" s="2567"/>
      <c r="WOE81" s="2567"/>
      <c r="WOF81" s="2567"/>
      <c r="WOG81" s="2567"/>
      <c r="WOH81" s="2567"/>
      <c r="WOI81" s="2567"/>
      <c r="WOJ81" s="2567"/>
      <c r="WOK81" s="2567"/>
      <c r="WOL81" s="2567"/>
      <c r="WOM81" s="2567"/>
      <c r="WON81" s="2567"/>
      <c r="WOO81" s="2567"/>
      <c r="WOP81" s="2567"/>
      <c r="WOQ81" s="2567"/>
      <c r="WOR81" s="2567"/>
      <c r="WOS81" s="2567"/>
      <c r="WOT81" s="2567"/>
      <c r="WOU81" s="2567"/>
      <c r="WOV81" s="2567"/>
      <c r="WOW81" s="2567"/>
      <c r="WOX81" s="2567"/>
      <c r="WOY81" s="2567"/>
      <c r="WOZ81" s="2567"/>
      <c r="WPA81" s="2567"/>
      <c r="WPB81" s="2567"/>
      <c r="WPC81" s="2567"/>
      <c r="WPD81" s="2567"/>
      <c r="WPE81" s="2567"/>
      <c r="WPF81" s="2567"/>
      <c r="WPG81" s="2567"/>
      <c r="WPH81" s="2567"/>
      <c r="WPI81" s="2567"/>
      <c r="WPJ81" s="2567"/>
      <c r="WPK81" s="2567"/>
      <c r="WPL81" s="2567"/>
      <c r="WPM81" s="2567"/>
      <c r="WPN81" s="2567"/>
      <c r="WPO81" s="2567"/>
      <c r="WPP81" s="2567"/>
      <c r="WPQ81" s="2567"/>
      <c r="WPR81" s="2567"/>
      <c r="WPS81" s="2567"/>
      <c r="WPT81" s="2567"/>
      <c r="WPU81" s="2567"/>
      <c r="WPV81" s="2567"/>
      <c r="WPW81" s="2567"/>
      <c r="WPX81" s="2567"/>
      <c r="WPY81" s="2567"/>
      <c r="WPZ81" s="2567"/>
      <c r="WQA81" s="2567"/>
      <c r="WQB81" s="2567"/>
      <c r="WQC81" s="2567"/>
      <c r="WQD81" s="2567"/>
      <c r="WQE81" s="2567"/>
      <c r="WQF81" s="2567"/>
      <c r="WQG81" s="2567"/>
      <c r="WQH81" s="2567"/>
      <c r="WQI81" s="2567"/>
      <c r="WQJ81" s="2567"/>
      <c r="WQK81" s="2567"/>
      <c r="WQL81" s="2567"/>
      <c r="WQM81" s="2567"/>
      <c r="WQN81" s="2567"/>
      <c r="WQO81" s="2567"/>
      <c r="WQP81" s="2567"/>
      <c r="WQQ81" s="2567"/>
      <c r="WQR81" s="2567"/>
      <c r="WQS81" s="2567"/>
      <c r="WQT81" s="2567"/>
      <c r="WQU81" s="2567"/>
      <c r="WQV81" s="2567"/>
      <c r="WQW81" s="2567"/>
      <c r="WQX81" s="2567"/>
      <c r="WQY81" s="2567"/>
      <c r="WQZ81" s="2567"/>
      <c r="WRA81" s="2567"/>
      <c r="WRB81" s="2567"/>
      <c r="WRC81" s="2567"/>
      <c r="WRD81" s="2567"/>
      <c r="WRE81" s="2567"/>
      <c r="WRF81" s="2567"/>
      <c r="WRG81" s="2567"/>
      <c r="WRH81" s="2567"/>
      <c r="WRI81" s="2567"/>
      <c r="WRJ81" s="2567"/>
      <c r="WRK81" s="2567"/>
      <c r="WRL81" s="2567"/>
      <c r="WRM81" s="2567"/>
      <c r="WRN81" s="2567"/>
      <c r="WRO81" s="2567"/>
      <c r="WRP81" s="2567"/>
      <c r="WRQ81" s="2567"/>
      <c r="WRR81" s="2567"/>
      <c r="WRS81" s="2567"/>
      <c r="WRT81" s="2567"/>
      <c r="WRU81" s="2567"/>
      <c r="WRV81" s="2567"/>
      <c r="WRW81" s="2567"/>
      <c r="WRX81" s="2567"/>
      <c r="WRY81" s="2567"/>
      <c r="WRZ81" s="2567"/>
      <c r="WSA81" s="2567"/>
      <c r="WSB81" s="2567"/>
      <c r="WSC81" s="2567"/>
      <c r="WSD81" s="2567"/>
      <c r="WSE81" s="2567"/>
      <c r="WSF81" s="2567"/>
      <c r="WSG81" s="2567"/>
      <c r="WSH81" s="2567"/>
      <c r="WSI81" s="2567"/>
      <c r="WSJ81" s="2567"/>
      <c r="WSK81" s="2567"/>
      <c r="WSL81" s="2567"/>
      <c r="WSM81" s="2567"/>
      <c r="WSN81" s="2567"/>
      <c r="WSO81" s="2567"/>
      <c r="WSP81" s="2567"/>
      <c r="WSQ81" s="2567"/>
      <c r="WSR81" s="2567"/>
      <c r="WSS81" s="2567"/>
      <c r="WST81" s="2567"/>
      <c r="WSU81" s="2567"/>
      <c r="WSV81" s="2567"/>
      <c r="WSW81" s="2567"/>
      <c r="WSX81" s="2567"/>
      <c r="WSY81" s="2567"/>
      <c r="WSZ81" s="2567"/>
      <c r="WTA81" s="2567"/>
      <c r="WTB81" s="2567"/>
      <c r="WTC81" s="2567"/>
      <c r="WTD81" s="2567"/>
      <c r="WTE81" s="2567"/>
      <c r="WTF81" s="2567"/>
      <c r="WTG81" s="2567"/>
      <c r="WTH81" s="2567"/>
      <c r="WTI81" s="2567"/>
      <c r="WTJ81" s="2567"/>
      <c r="WTK81" s="2567"/>
      <c r="WTL81" s="2567"/>
      <c r="WTM81" s="2567"/>
      <c r="WTN81" s="2567"/>
      <c r="WTO81" s="2567"/>
      <c r="WTP81" s="2567"/>
      <c r="WTQ81" s="2567"/>
      <c r="WTR81" s="2567"/>
      <c r="WTS81" s="2567"/>
      <c r="WTT81" s="2567"/>
      <c r="WTU81" s="2567"/>
      <c r="WTV81" s="2567"/>
      <c r="WTW81" s="2567"/>
      <c r="WTX81" s="2567"/>
      <c r="WTY81" s="2567"/>
      <c r="WTZ81" s="2567"/>
      <c r="WUA81" s="2567"/>
      <c r="WUB81" s="2567"/>
      <c r="WUC81" s="2567"/>
      <c r="WUD81" s="2567"/>
      <c r="WUE81" s="2567"/>
      <c r="WUF81" s="2567"/>
      <c r="WUG81" s="2567"/>
      <c r="WUH81" s="2567"/>
      <c r="WUI81" s="2567"/>
      <c r="WUJ81" s="2567"/>
      <c r="WUK81" s="2567"/>
      <c r="WUL81" s="2567"/>
      <c r="WUM81" s="2567"/>
      <c r="WUN81" s="2567"/>
      <c r="WUO81" s="2567"/>
      <c r="WUP81" s="2567"/>
      <c r="WUQ81" s="2567"/>
      <c r="WUR81" s="2567"/>
      <c r="WUS81" s="2567"/>
      <c r="WUT81" s="2567"/>
      <c r="WUU81" s="2567"/>
      <c r="WUV81" s="2567"/>
      <c r="WUW81" s="2567"/>
      <c r="WUX81" s="2567"/>
      <c r="WUY81" s="2567"/>
      <c r="WUZ81" s="2567"/>
      <c r="WVA81" s="2567"/>
      <c r="WVB81" s="2567"/>
      <c r="WVC81" s="2567"/>
      <c r="WVD81" s="2567"/>
      <c r="WVE81" s="2567"/>
      <c r="WVF81" s="2567"/>
      <c r="WVG81" s="2567"/>
      <c r="WVH81" s="2567"/>
      <c r="WVI81" s="2567"/>
      <c r="WVJ81" s="2567"/>
      <c r="WVK81" s="2567"/>
      <c r="WVL81" s="2567"/>
      <c r="WVM81" s="2567"/>
      <c r="WVN81" s="2567"/>
      <c r="WVO81" s="2567"/>
      <c r="WVP81" s="2567"/>
      <c r="WVQ81" s="2567"/>
      <c r="WVR81" s="2567"/>
      <c r="WVS81" s="2567"/>
      <c r="WVT81" s="2567"/>
      <c r="WVU81" s="2567"/>
      <c r="WVV81" s="2567"/>
      <c r="WVW81" s="2567"/>
      <c r="WVX81" s="2567"/>
      <c r="WVY81" s="2567"/>
      <c r="WVZ81" s="2567"/>
      <c r="WWA81" s="2567"/>
      <c r="WWB81" s="2567"/>
      <c r="WWC81" s="2567"/>
      <c r="WWD81" s="2567"/>
      <c r="WWE81" s="2567"/>
      <c r="WWF81" s="2567"/>
      <c r="WWG81" s="2567"/>
      <c r="WWH81" s="2567"/>
      <c r="WWI81" s="2567"/>
      <c r="WWJ81" s="2567"/>
      <c r="WWK81" s="2567"/>
      <c r="WWL81" s="2567"/>
      <c r="WWM81" s="2567"/>
      <c r="WWN81" s="2567"/>
      <c r="WWO81" s="2567"/>
      <c r="WWP81" s="2567"/>
      <c r="WWQ81" s="2567"/>
      <c r="WWR81" s="2567"/>
      <c r="WWS81" s="2567"/>
      <c r="WWT81" s="2567"/>
      <c r="WWU81" s="2567"/>
      <c r="WWV81" s="2567"/>
      <c r="WWW81" s="2567"/>
      <c r="WWX81" s="2567"/>
      <c r="WWY81" s="2567"/>
      <c r="WWZ81" s="2567"/>
      <c r="WXA81" s="2567"/>
      <c r="WXB81" s="2567"/>
      <c r="WXC81" s="2567"/>
      <c r="WXD81" s="2567"/>
      <c r="WXE81" s="2567"/>
      <c r="WXF81" s="2567"/>
      <c r="WXG81" s="2567"/>
      <c r="WXH81" s="2567"/>
      <c r="WXI81" s="2567"/>
      <c r="WXJ81" s="2567"/>
      <c r="WXK81" s="2567"/>
      <c r="WXL81" s="2567"/>
      <c r="WXM81" s="2567"/>
      <c r="WXN81" s="2567"/>
      <c r="WXO81" s="2567"/>
      <c r="WXP81" s="2567"/>
      <c r="WXQ81" s="2567"/>
      <c r="WXR81" s="2567"/>
      <c r="WXS81" s="2567"/>
      <c r="WXT81" s="2567"/>
      <c r="WXU81" s="2567"/>
      <c r="WXV81" s="2567"/>
      <c r="WXW81" s="2567"/>
      <c r="WXX81" s="2567"/>
      <c r="WXY81" s="2567"/>
      <c r="WXZ81" s="2567"/>
      <c r="WYA81" s="2567"/>
      <c r="WYB81" s="2567"/>
      <c r="WYC81" s="2567"/>
      <c r="WYD81" s="2567"/>
      <c r="WYE81" s="2567"/>
      <c r="WYF81" s="2567"/>
      <c r="WYG81" s="2567"/>
      <c r="WYH81" s="2567"/>
      <c r="WYI81" s="2567"/>
      <c r="WYJ81" s="2567"/>
      <c r="WYK81" s="2567"/>
      <c r="WYL81" s="2567"/>
      <c r="WYM81" s="2567"/>
      <c r="WYN81" s="2567"/>
      <c r="WYO81" s="2567"/>
      <c r="WYP81" s="2567"/>
      <c r="WYQ81" s="2567"/>
      <c r="WYR81" s="2567"/>
      <c r="WYS81" s="2567"/>
      <c r="WYT81" s="2567"/>
      <c r="WYU81" s="2567"/>
      <c r="WYV81" s="2567"/>
      <c r="WYW81" s="2567"/>
      <c r="WYX81" s="2567"/>
      <c r="WYY81" s="2567"/>
      <c r="WYZ81" s="2567"/>
      <c r="WZA81" s="2567"/>
      <c r="WZB81" s="2567"/>
      <c r="WZC81" s="2567"/>
      <c r="WZD81" s="2567"/>
      <c r="WZE81" s="2567"/>
      <c r="WZF81" s="2567"/>
      <c r="WZG81" s="2567"/>
      <c r="WZH81" s="2567"/>
      <c r="WZI81" s="2567"/>
      <c r="WZJ81" s="2567"/>
      <c r="WZK81" s="2567"/>
      <c r="WZL81" s="2567"/>
      <c r="WZM81" s="2567"/>
      <c r="WZN81" s="2567"/>
      <c r="WZO81" s="2567"/>
      <c r="WZP81" s="2567"/>
      <c r="WZQ81" s="2567"/>
      <c r="WZR81" s="2567"/>
      <c r="WZS81" s="2567"/>
      <c r="WZT81" s="2567"/>
      <c r="WZU81" s="2567"/>
      <c r="WZV81" s="2567"/>
      <c r="WZW81" s="2567"/>
      <c r="WZX81" s="2567"/>
      <c r="WZY81" s="2567"/>
      <c r="WZZ81" s="2567"/>
      <c r="XAA81" s="2567"/>
      <c r="XAB81" s="2567"/>
      <c r="XAC81" s="2567"/>
      <c r="XAD81" s="2567"/>
      <c r="XAE81" s="2567"/>
      <c r="XAF81" s="2567"/>
      <c r="XAG81" s="2567"/>
      <c r="XAH81" s="2567"/>
      <c r="XAI81" s="2567"/>
      <c r="XAJ81" s="2567"/>
      <c r="XAK81" s="2567"/>
      <c r="XAL81" s="2567"/>
      <c r="XAM81" s="2567"/>
      <c r="XAN81" s="2567"/>
      <c r="XAO81" s="2567"/>
      <c r="XAP81" s="2567"/>
      <c r="XAQ81" s="2567"/>
      <c r="XAR81" s="2567"/>
      <c r="XAS81" s="2567"/>
      <c r="XAT81" s="2567"/>
      <c r="XAU81" s="2567"/>
      <c r="XAV81" s="2567"/>
      <c r="XAW81" s="2567"/>
      <c r="XAX81" s="2567"/>
      <c r="XAY81" s="2567"/>
      <c r="XAZ81" s="2567"/>
      <c r="XBA81" s="2567"/>
      <c r="XBB81" s="2567"/>
      <c r="XBC81" s="2567"/>
      <c r="XBD81" s="2567"/>
      <c r="XBE81" s="2567"/>
      <c r="XBF81" s="2567"/>
      <c r="XBG81" s="2567"/>
      <c r="XBH81" s="2567"/>
      <c r="XBI81" s="2567"/>
      <c r="XBJ81" s="2567"/>
      <c r="XBK81" s="2567"/>
      <c r="XBL81" s="2567"/>
      <c r="XBM81" s="2567"/>
      <c r="XBN81" s="2567"/>
      <c r="XBO81" s="2567"/>
      <c r="XBP81" s="2567"/>
      <c r="XBQ81" s="2567"/>
      <c r="XBR81" s="2567"/>
      <c r="XBS81" s="2567"/>
      <c r="XBT81" s="2567"/>
      <c r="XBU81" s="2567"/>
      <c r="XBV81" s="2567"/>
      <c r="XBW81" s="2567"/>
      <c r="XBX81" s="2567"/>
      <c r="XBY81" s="2567"/>
      <c r="XBZ81" s="2567"/>
      <c r="XCA81" s="2567"/>
      <c r="XCB81" s="2567"/>
      <c r="XCC81" s="2567"/>
      <c r="XCD81" s="2567"/>
      <c r="XCE81" s="2567"/>
      <c r="XCF81" s="2567"/>
      <c r="XCG81" s="2567"/>
      <c r="XCH81" s="2567"/>
      <c r="XCI81" s="2567"/>
      <c r="XCJ81" s="2567"/>
      <c r="XCK81" s="2567"/>
      <c r="XCL81" s="2567"/>
      <c r="XCM81" s="2567"/>
      <c r="XCN81" s="2567"/>
      <c r="XCO81" s="2567"/>
      <c r="XCP81" s="2567"/>
      <c r="XCQ81" s="2567"/>
      <c r="XCR81" s="2567"/>
      <c r="XCS81" s="2567"/>
      <c r="XCT81" s="2567"/>
      <c r="XCU81" s="2567"/>
      <c r="XCV81" s="2567"/>
      <c r="XCW81" s="2567"/>
      <c r="XCX81" s="2567"/>
      <c r="XCY81" s="2567"/>
      <c r="XCZ81" s="2567"/>
      <c r="XDA81" s="2567"/>
      <c r="XDB81" s="2567"/>
      <c r="XDC81" s="2567"/>
      <c r="XDD81" s="2567"/>
      <c r="XDE81" s="2567"/>
      <c r="XDF81" s="2567"/>
      <c r="XDG81" s="2567"/>
      <c r="XDH81" s="2567"/>
      <c r="XDI81" s="2567"/>
      <c r="XDJ81" s="2567"/>
      <c r="XDK81" s="2567"/>
      <c r="XDL81" s="2567"/>
      <c r="XDM81" s="2567"/>
      <c r="XDN81" s="2567"/>
      <c r="XDO81" s="2567"/>
      <c r="XDP81" s="2567"/>
      <c r="XDQ81" s="2567"/>
      <c r="XDR81" s="2567"/>
      <c r="XDS81" s="2567"/>
      <c r="XDT81" s="2567"/>
      <c r="XDU81" s="2567"/>
      <c r="XDV81" s="2567"/>
      <c r="XDW81" s="2567"/>
      <c r="XDX81" s="2567"/>
      <c r="XDY81" s="2567"/>
      <c r="XDZ81" s="2567"/>
      <c r="XEA81" s="2567"/>
      <c r="XEB81" s="2567"/>
      <c r="XEC81" s="2567"/>
      <c r="XED81" s="2567"/>
      <c r="XEE81" s="2567"/>
      <c r="XEF81" s="2567"/>
      <c r="XEG81" s="2567"/>
      <c r="XEH81" s="2567"/>
      <c r="XEI81" s="2567"/>
      <c r="XEJ81" s="2567"/>
      <c r="XEK81" s="2567"/>
      <c r="XEL81" s="2567"/>
      <c r="XEM81" s="2567"/>
      <c r="XEN81" s="2567"/>
      <c r="XEO81" s="2567"/>
      <c r="XEP81" s="2567"/>
      <c r="XEQ81" s="2567"/>
      <c r="XER81" s="2567"/>
      <c r="XES81" s="2567"/>
      <c r="XET81" s="2567"/>
      <c r="XEU81" s="2567"/>
      <c r="XEV81" s="2567"/>
      <c r="XEW81" s="2567"/>
      <c r="XEX81" s="2567"/>
      <c r="XEY81" s="2567"/>
      <c r="XEZ81" s="2567"/>
      <c r="XFA81" s="2567"/>
      <c r="XFB81" s="2567"/>
      <c r="XFC81" s="2567"/>
      <c r="XFD81" s="2567"/>
    </row>
    <row r="82" spans="1:16384" s="2822" customFormat="1" ht="27.75" customHeight="1">
      <c r="A82" s="2499"/>
      <c r="B82" s="2643"/>
      <c r="C82" s="2643"/>
      <c r="D82" s="2643"/>
      <c r="E82" s="2643"/>
      <c r="F82" s="2643"/>
      <c r="G82" s="2643"/>
      <c r="H82" s="2643"/>
      <c r="I82" s="2643"/>
      <c r="J82" s="2643"/>
      <c r="K82" s="2499"/>
      <c r="L82" s="2499"/>
      <c r="M82" s="2499"/>
      <c r="N82" s="2827" t="str">
        <f>IF(Presentación!M8="","",Presentación!M8)</f>
        <v/>
      </c>
      <c r="O82" s="2828" t="str">
        <f>IF(Presentación!N8="","",Presentación!N8)</f>
        <v/>
      </c>
      <c r="P82" s="2499"/>
      <c r="Q82" s="4102" t="str">
        <f>IF(Presentación!M21="","",Presentación!N21)</f>
        <v/>
      </c>
      <c r="R82" s="4103"/>
      <c r="S82" s="4088" t="str">
        <f>IF(Presentación!O21="","",Presentación!P21)</f>
        <v/>
      </c>
      <c r="T82" s="4089"/>
      <c r="U82" s="2499"/>
      <c r="V82" s="2499"/>
      <c r="W82" s="2499"/>
      <c r="X82" s="2499"/>
      <c r="Y82" s="2499"/>
      <c r="Z82" s="2499"/>
      <c r="AA82" s="2499"/>
      <c r="AB82" s="2499"/>
      <c r="AC82" s="2499"/>
      <c r="AD82" s="2499"/>
      <c r="AE82" s="2499"/>
      <c r="AF82" s="2567"/>
      <c r="AG82" s="2567"/>
      <c r="AH82" s="2567"/>
      <c r="AI82" s="2567"/>
      <c r="AJ82" s="2567"/>
      <c r="AK82" s="2567"/>
      <c r="AL82" s="2567"/>
      <c r="AM82" s="2567"/>
      <c r="AN82" s="2567"/>
      <c r="AO82" s="2567"/>
      <c r="AP82" s="2567"/>
      <c r="AQ82" s="2567"/>
      <c r="AR82" s="2567"/>
      <c r="AS82" s="2567"/>
      <c r="AT82" s="2567"/>
      <c r="AU82" s="2567"/>
      <c r="AV82" s="2567"/>
      <c r="AW82" s="2499"/>
      <c r="AX82" s="2499"/>
      <c r="AY82" s="2499"/>
      <c r="AZ82" s="2499"/>
      <c r="BA82" s="2499"/>
      <c r="BB82" s="2499"/>
      <c r="BC82" s="2499"/>
      <c r="BD82" s="2499"/>
      <c r="BE82" s="2499"/>
      <c r="BF82" s="2499"/>
      <c r="BG82" s="2499"/>
      <c r="BH82" s="2499"/>
      <c r="BI82" s="2499"/>
      <c r="BJ82" s="2499"/>
      <c r="BK82" s="2499"/>
      <c r="BL82" s="2499"/>
      <c r="BM82" s="2499"/>
      <c r="BN82" s="2499"/>
      <c r="BO82" s="2499"/>
      <c r="BP82" s="2567"/>
      <c r="BQ82" s="2567"/>
      <c r="BR82" s="2567"/>
      <c r="BS82" s="2567"/>
      <c r="BT82" s="2567"/>
      <c r="BU82" s="2567"/>
      <c r="BV82" s="2567"/>
      <c r="BW82" s="2567"/>
      <c r="BX82" s="2567"/>
      <c r="BY82" s="2567"/>
      <c r="BZ82" s="2567"/>
      <c r="CA82" s="2567"/>
      <c r="CB82" s="2567"/>
      <c r="CC82" s="2567"/>
      <c r="CD82" s="2567"/>
      <c r="CE82" s="2567"/>
      <c r="CF82" s="2567"/>
      <c r="CG82" s="2567"/>
      <c r="CH82" s="2567"/>
      <c r="CI82" s="2567"/>
      <c r="CJ82" s="2567"/>
      <c r="CK82" s="2567"/>
      <c r="CL82" s="2567"/>
      <c r="CM82" s="2567"/>
      <c r="CN82" s="2567"/>
      <c r="CO82" s="2567"/>
      <c r="CP82" s="2567"/>
      <c r="CQ82" s="2567"/>
      <c r="CR82" s="2567"/>
      <c r="CS82" s="2567"/>
      <c r="CT82" s="2567"/>
      <c r="CU82" s="2567"/>
      <c r="CV82" s="2567"/>
      <c r="CW82" s="2567"/>
      <c r="CX82" s="2567"/>
      <c r="CY82" s="2567"/>
      <c r="CZ82" s="2567"/>
      <c r="DA82" s="2567"/>
      <c r="DB82" s="2567"/>
      <c r="DC82" s="2567"/>
      <c r="DD82" s="2567"/>
      <c r="DE82" s="2567"/>
      <c r="DF82" s="2567"/>
      <c r="DG82" s="2567"/>
      <c r="DH82" s="2567"/>
      <c r="DI82" s="2567"/>
      <c r="DJ82" s="2567"/>
      <c r="DK82" s="2567"/>
      <c r="DL82" s="2567"/>
      <c r="DM82" s="2567"/>
      <c r="DN82" s="2567"/>
      <c r="DO82" s="2567"/>
      <c r="DP82" s="2567"/>
      <c r="DQ82" s="2567"/>
      <c r="DR82" s="2567"/>
      <c r="DS82" s="2567"/>
      <c r="DT82" s="2567"/>
      <c r="DU82" s="2567"/>
      <c r="DV82" s="2567"/>
      <c r="DW82" s="2567"/>
      <c r="DX82" s="2567"/>
      <c r="DY82" s="2567"/>
      <c r="DZ82" s="2567"/>
      <c r="EA82" s="2567"/>
      <c r="EB82" s="2567"/>
      <c r="EC82" s="2567"/>
      <c r="ED82" s="2567"/>
      <c r="EE82" s="2567"/>
      <c r="EF82" s="2567"/>
      <c r="EG82" s="2567"/>
      <c r="EH82" s="2567"/>
      <c r="EI82" s="2567"/>
      <c r="EJ82" s="2567"/>
      <c r="EK82" s="2567"/>
      <c r="EL82" s="2567"/>
      <c r="EM82" s="2567"/>
      <c r="EN82" s="2567"/>
      <c r="EO82" s="2567"/>
      <c r="EP82" s="2567"/>
      <c r="EQ82" s="2567"/>
      <c r="ER82" s="2567"/>
      <c r="ES82" s="2567"/>
      <c r="ET82" s="2567"/>
      <c r="EU82" s="2567"/>
      <c r="EV82" s="2567"/>
      <c r="EW82" s="2567"/>
      <c r="EX82" s="2567"/>
      <c r="EY82" s="2567"/>
      <c r="EZ82" s="2567"/>
      <c r="FA82" s="2567"/>
      <c r="FB82" s="2567"/>
      <c r="FC82" s="2567"/>
      <c r="FD82" s="2567"/>
      <c r="FE82" s="2567"/>
      <c r="FF82" s="2567"/>
      <c r="FG82" s="2567"/>
      <c r="FH82" s="2567"/>
      <c r="FI82" s="2567"/>
      <c r="FJ82" s="2567"/>
      <c r="FK82" s="2567"/>
      <c r="FL82" s="2567"/>
      <c r="FM82" s="2567"/>
      <c r="FN82" s="2567"/>
      <c r="FO82" s="2567"/>
      <c r="FP82" s="2567"/>
      <c r="FQ82" s="2567"/>
      <c r="FR82" s="2567"/>
      <c r="FS82" s="2567"/>
      <c r="FT82" s="2567"/>
      <c r="FU82" s="2567"/>
      <c r="FV82" s="2567"/>
      <c r="FW82" s="2567"/>
      <c r="FX82" s="2567"/>
      <c r="FY82" s="2567"/>
      <c r="FZ82" s="2567"/>
      <c r="GA82" s="2567"/>
      <c r="GB82" s="2567"/>
      <c r="GC82" s="2567"/>
      <c r="GD82" s="2567"/>
      <c r="GE82" s="2567"/>
      <c r="GF82" s="2567"/>
      <c r="GG82" s="2567"/>
      <c r="GH82" s="2567"/>
      <c r="GI82" s="2567"/>
      <c r="GJ82" s="2567"/>
      <c r="GK82" s="2567"/>
      <c r="GL82" s="2567"/>
      <c r="GM82" s="2567"/>
      <c r="GN82" s="2567"/>
      <c r="GO82" s="2567"/>
      <c r="GP82" s="2567"/>
      <c r="GQ82" s="2567"/>
      <c r="GR82" s="2567"/>
      <c r="GS82" s="2567"/>
      <c r="GT82" s="2567"/>
      <c r="GU82" s="2567"/>
      <c r="GV82" s="2567"/>
      <c r="GW82" s="2567"/>
      <c r="GX82" s="2567"/>
      <c r="GY82" s="2567"/>
      <c r="GZ82" s="2567"/>
      <c r="HA82" s="2567"/>
      <c r="HB82" s="2567"/>
      <c r="HC82" s="2567"/>
      <c r="HD82" s="2567"/>
      <c r="HE82" s="2567"/>
      <c r="HF82" s="2567"/>
      <c r="HG82" s="2567"/>
      <c r="HH82" s="2567"/>
      <c r="HI82" s="2567"/>
      <c r="HJ82" s="2567"/>
      <c r="HK82" s="2567"/>
      <c r="HL82" s="2567"/>
      <c r="HM82" s="2567"/>
      <c r="HN82" s="2567"/>
      <c r="HO82" s="2567"/>
      <c r="HP82" s="2567"/>
      <c r="HQ82" s="2567"/>
      <c r="HR82" s="2567"/>
      <c r="HS82" s="2567"/>
      <c r="HT82" s="2567"/>
      <c r="HU82" s="2567"/>
      <c r="HV82" s="2567"/>
      <c r="HW82" s="2567"/>
      <c r="HX82" s="2567"/>
      <c r="HY82" s="2567"/>
      <c r="HZ82" s="2567"/>
      <c r="IA82" s="2567"/>
      <c r="IB82" s="2567"/>
      <c r="IC82" s="2567"/>
      <c r="ID82" s="2567"/>
      <c r="IE82" s="2567"/>
      <c r="IF82" s="2567"/>
      <c r="IG82" s="2567"/>
      <c r="IH82" s="2567"/>
      <c r="II82" s="2567"/>
      <c r="IJ82" s="2567"/>
      <c r="IK82" s="2567"/>
      <c r="IL82" s="2567"/>
      <c r="IM82" s="2567"/>
      <c r="IN82" s="2567"/>
      <c r="IO82" s="2567"/>
      <c r="IP82" s="2567"/>
      <c r="IQ82" s="2567"/>
      <c r="IR82" s="2567"/>
      <c r="IS82" s="2567"/>
      <c r="IT82" s="2567"/>
      <c r="IU82" s="2567"/>
      <c r="IV82" s="2567"/>
      <c r="IW82" s="2567"/>
      <c r="IX82" s="2567"/>
      <c r="IY82" s="2567"/>
      <c r="IZ82" s="2567"/>
      <c r="JA82" s="2567"/>
      <c r="JB82" s="2567"/>
      <c r="JC82" s="2567"/>
      <c r="JD82" s="2567"/>
      <c r="JE82" s="2567"/>
      <c r="JF82" s="2567"/>
      <c r="JG82" s="2567"/>
      <c r="JH82" s="2567"/>
      <c r="JI82" s="2567"/>
      <c r="JJ82" s="2567"/>
      <c r="JK82" s="2567"/>
      <c r="JL82" s="2567"/>
      <c r="JM82" s="2567"/>
      <c r="JN82" s="2567"/>
      <c r="JO82" s="2567"/>
      <c r="JP82" s="2567"/>
      <c r="JQ82" s="2567"/>
      <c r="JR82" s="2567"/>
      <c r="JS82" s="2567"/>
      <c r="JT82" s="2567"/>
      <c r="JU82" s="2567"/>
      <c r="JV82" s="2567"/>
      <c r="JW82" s="2567"/>
      <c r="JX82" s="2567"/>
      <c r="JY82" s="2567"/>
      <c r="JZ82" s="2567"/>
      <c r="KA82" s="2567"/>
      <c r="KB82" s="2567"/>
      <c r="KC82" s="2567"/>
      <c r="KD82" s="2567"/>
      <c r="KE82" s="2567"/>
      <c r="KF82" s="2567"/>
      <c r="KG82" s="2567"/>
      <c r="KH82" s="2567"/>
      <c r="KI82" s="2567"/>
      <c r="KJ82" s="2567"/>
      <c r="KK82" s="2567"/>
      <c r="KL82" s="2567"/>
      <c r="KM82" s="2567"/>
      <c r="KN82" s="2567"/>
      <c r="KO82" s="2567"/>
      <c r="KP82" s="2567"/>
      <c r="KQ82" s="2567"/>
      <c r="KR82" s="2567"/>
      <c r="KS82" s="2567"/>
      <c r="KT82" s="2567"/>
      <c r="KU82" s="2567"/>
      <c r="KV82" s="2567"/>
      <c r="KW82" s="2567"/>
      <c r="KX82" s="2567"/>
      <c r="KY82" s="2567"/>
      <c r="KZ82" s="2567"/>
      <c r="LA82" s="2567"/>
      <c r="LB82" s="2567"/>
      <c r="LC82" s="2567"/>
      <c r="LD82" s="2567"/>
      <c r="LE82" s="2567"/>
      <c r="LF82" s="2567"/>
      <c r="LG82" s="2567"/>
      <c r="LH82" s="2567"/>
      <c r="LI82" s="2567"/>
      <c r="LJ82" s="2567"/>
      <c r="LK82" s="2567"/>
      <c r="LL82" s="2567"/>
      <c r="LM82" s="2567"/>
      <c r="LN82" s="2567"/>
      <c r="LO82" s="2567"/>
      <c r="LP82" s="2567"/>
      <c r="LQ82" s="2567"/>
      <c r="LR82" s="2567"/>
      <c r="LS82" s="2567"/>
      <c r="LT82" s="2567"/>
      <c r="LU82" s="2567"/>
      <c r="LV82" s="2567"/>
      <c r="LW82" s="2567"/>
      <c r="LX82" s="2567"/>
      <c r="LY82" s="2567"/>
      <c r="LZ82" s="2567"/>
      <c r="MA82" s="2567"/>
      <c r="MB82" s="2567"/>
      <c r="MC82" s="2567"/>
      <c r="MD82" s="2567"/>
      <c r="ME82" s="2567"/>
      <c r="MF82" s="2567"/>
      <c r="MG82" s="2567"/>
      <c r="MH82" s="2567"/>
      <c r="MI82" s="2567"/>
      <c r="MJ82" s="2567"/>
      <c r="MK82" s="2567"/>
      <c r="ML82" s="2567"/>
      <c r="MM82" s="2567"/>
      <c r="MN82" s="2567"/>
      <c r="MO82" s="2567"/>
      <c r="MP82" s="2567"/>
      <c r="MQ82" s="2567"/>
      <c r="MR82" s="2567"/>
      <c r="MS82" s="2567"/>
      <c r="MT82" s="2567"/>
      <c r="MU82" s="2567"/>
      <c r="MV82" s="2567"/>
      <c r="MW82" s="2567"/>
      <c r="MX82" s="2567"/>
      <c r="MY82" s="2567"/>
      <c r="MZ82" s="2567"/>
      <c r="NA82" s="2567"/>
      <c r="NB82" s="2567"/>
      <c r="NC82" s="2567"/>
      <c r="ND82" s="2567"/>
      <c r="NE82" s="2567"/>
      <c r="NF82" s="2567"/>
      <c r="NG82" s="2567"/>
      <c r="NH82" s="2567"/>
      <c r="NI82" s="2567"/>
      <c r="NJ82" s="2567"/>
      <c r="NK82" s="2567"/>
      <c r="NL82" s="2567"/>
      <c r="NM82" s="2567"/>
      <c r="NN82" s="2567"/>
      <c r="NO82" s="2567"/>
      <c r="NP82" s="2567"/>
      <c r="NQ82" s="2567"/>
      <c r="NR82" s="2567"/>
      <c r="NS82" s="2567"/>
      <c r="NT82" s="2567"/>
      <c r="NU82" s="2567"/>
      <c r="NV82" s="2567"/>
      <c r="NW82" s="2567"/>
      <c r="NX82" s="2567"/>
      <c r="NY82" s="2567"/>
      <c r="NZ82" s="2567"/>
      <c r="OA82" s="2567"/>
      <c r="OB82" s="2567"/>
      <c r="OC82" s="2567"/>
      <c r="OD82" s="2567"/>
      <c r="OE82" s="2567"/>
      <c r="OF82" s="2567"/>
      <c r="OG82" s="2567"/>
      <c r="OH82" s="2567"/>
      <c r="OI82" s="2567"/>
      <c r="OJ82" s="2567"/>
      <c r="OK82" s="2567"/>
      <c r="OL82" s="2567"/>
      <c r="OM82" s="2567"/>
      <c r="ON82" s="2567"/>
      <c r="OO82" s="2567"/>
      <c r="OP82" s="2567"/>
      <c r="OQ82" s="2567"/>
      <c r="OR82" s="2567"/>
      <c r="OS82" s="2567"/>
      <c r="OT82" s="2567"/>
      <c r="OU82" s="2567"/>
      <c r="OV82" s="2567"/>
      <c r="OW82" s="2567"/>
      <c r="OX82" s="2567"/>
      <c r="OY82" s="2567"/>
      <c r="OZ82" s="2567"/>
      <c r="PA82" s="2567"/>
      <c r="PB82" s="2567"/>
      <c r="PC82" s="2567"/>
      <c r="PD82" s="2567"/>
      <c r="PE82" s="2567"/>
      <c r="PF82" s="2567"/>
      <c r="PG82" s="2567"/>
      <c r="PH82" s="2567"/>
      <c r="PI82" s="2567"/>
      <c r="PJ82" s="2567"/>
      <c r="PK82" s="2567"/>
      <c r="PL82" s="2567"/>
      <c r="PM82" s="2567"/>
      <c r="PN82" s="2567"/>
      <c r="PO82" s="2567"/>
      <c r="PP82" s="2567"/>
      <c r="PQ82" s="2567"/>
      <c r="PR82" s="2567"/>
      <c r="PS82" s="2567"/>
      <c r="PT82" s="2567"/>
      <c r="PU82" s="2567"/>
      <c r="PV82" s="2567"/>
      <c r="PW82" s="2567"/>
      <c r="PX82" s="2567"/>
      <c r="PY82" s="2567"/>
      <c r="PZ82" s="2567"/>
      <c r="QA82" s="2567"/>
      <c r="QB82" s="2567"/>
      <c r="QC82" s="2567"/>
      <c r="QD82" s="2567"/>
      <c r="QE82" s="2567"/>
      <c r="QF82" s="2567"/>
      <c r="QG82" s="2567"/>
      <c r="QH82" s="2567"/>
      <c r="QI82" s="2567"/>
      <c r="QJ82" s="2567"/>
      <c r="QK82" s="2567"/>
      <c r="QL82" s="2567"/>
      <c r="QM82" s="2567"/>
      <c r="QN82" s="2567"/>
      <c r="QO82" s="2567"/>
      <c r="QP82" s="2567"/>
      <c r="QQ82" s="2567"/>
      <c r="QR82" s="2567"/>
      <c r="QS82" s="2567"/>
      <c r="QT82" s="2567"/>
      <c r="QU82" s="2567"/>
      <c r="QV82" s="2567"/>
      <c r="QW82" s="2567"/>
      <c r="QX82" s="2567"/>
      <c r="QY82" s="2567"/>
      <c r="QZ82" s="2567"/>
      <c r="RA82" s="2567"/>
      <c r="RB82" s="2567"/>
      <c r="RC82" s="2567"/>
      <c r="RD82" s="2567"/>
      <c r="RE82" s="2567"/>
      <c r="RF82" s="2567"/>
      <c r="RG82" s="2567"/>
      <c r="RH82" s="2567"/>
      <c r="RI82" s="2567"/>
      <c r="RJ82" s="2567"/>
      <c r="RK82" s="2567"/>
      <c r="RL82" s="2567"/>
      <c r="RM82" s="2567"/>
      <c r="RN82" s="2567"/>
      <c r="RO82" s="2567"/>
      <c r="RP82" s="2567"/>
      <c r="RQ82" s="2567"/>
      <c r="RR82" s="2567"/>
      <c r="RS82" s="2567"/>
      <c r="RT82" s="2567"/>
      <c r="RU82" s="2567"/>
      <c r="RV82" s="2567"/>
      <c r="RW82" s="2567"/>
      <c r="RX82" s="2567"/>
      <c r="RY82" s="2567"/>
      <c r="RZ82" s="2567"/>
      <c r="SA82" s="2567"/>
      <c r="SB82" s="2567"/>
      <c r="SC82" s="2567"/>
      <c r="SD82" s="2567"/>
      <c r="SE82" s="2567"/>
      <c r="SF82" s="2567"/>
      <c r="SG82" s="2567"/>
      <c r="SH82" s="2567"/>
      <c r="SI82" s="2567"/>
      <c r="SJ82" s="2567"/>
      <c r="SK82" s="2567"/>
      <c r="SL82" s="2567"/>
      <c r="SM82" s="2567"/>
      <c r="SN82" s="2567"/>
      <c r="SO82" s="2567"/>
      <c r="SP82" s="2567"/>
      <c r="SQ82" s="2567"/>
      <c r="SR82" s="2567"/>
      <c r="SS82" s="2567"/>
      <c r="ST82" s="2567"/>
      <c r="SU82" s="2567"/>
      <c r="SV82" s="2567"/>
      <c r="SW82" s="2567"/>
      <c r="SX82" s="2567"/>
      <c r="SY82" s="2567"/>
      <c r="SZ82" s="2567"/>
      <c r="TA82" s="2567"/>
      <c r="TB82" s="2567"/>
      <c r="TC82" s="2567"/>
      <c r="TD82" s="2567"/>
      <c r="TE82" s="2567"/>
      <c r="TF82" s="2567"/>
      <c r="TG82" s="2567"/>
      <c r="TH82" s="2567"/>
      <c r="TI82" s="2567"/>
      <c r="TJ82" s="2567"/>
      <c r="TK82" s="2567"/>
      <c r="TL82" s="2567"/>
      <c r="TM82" s="2567"/>
      <c r="TN82" s="2567"/>
      <c r="TO82" s="2567"/>
      <c r="TP82" s="2567"/>
      <c r="TQ82" s="2567"/>
      <c r="TR82" s="2567"/>
      <c r="TS82" s="2567"/>
      <c r="TT82" s="2567"/>
      <c r="TU82" s="2567"/>
      <c r="TV82" s="2567"/>
      <c r="TW82" s="2567"/>
      <c r="TX82" s="2567"/>
      <c r="TY82" s="2567"/>
      <c r="TZ82" s="2567"/>
      <c r="UA82" s="2567"/>
      <c r="UB82" s="2567"/>
      <c r="UC82" s="2567"/>
      <c r="UD82" s="2567"/>
      <c r="UE82" s="2567"/>
      <c r="UF82" s="2567"/>
      <c r="UG82" s="2567"/>
      <c r="UH82" s="2567"/>
      <c r="UI82" s="2567"/>
      <c r="UJ82" s="2567"/>
      <c r="UK82" s="2567"/>
      <c r="UL82" s="2567"/>
      <c r="UM82" s="2567"/>
      <c r="UN82" s="2567"/>
      <c r="UO82" s="2567"/>
      <c r="UP82" s="2567"/>
      <c r="UQ82" s="2567"/>
      <c r="UR82" s="2567"/>
      <c r="US82" s="2567"/>
      <c r="UT82" s="2567"/>
      <c r="UU82" s="2567"/>
      <c r="UV82" s="2567"/>
      <c r="UW82" s="2567"/>
      <c r="UX82" s="2567"/>
      <c r="UY82" s="2567"/>
      <c r="UZ82" s="2567"/>
      <c r="VA82" s="2567"/>
      <c r="VB82" s="2567"/>
      <c r="VC82" s="2567"/>
      <c r="VD82" s="2567"/>
      <c r="VE82" s="2567"/>
      <c r="VF82" s="2567"/>
      <c r="VG82" s="2567"/>
      <c r="VH82" s="2567"/>
      <c r="VI82" s="2567"/>
      <c r="VJ82" s="2567"/>
      <c r="VK82" s="2567"/>
      <c r="VL82" s="2567"/>
      <c r="VM82" s="2567"/>
      <c r="VN82" s="2567"/>
      <c r="VO82" s="2567"/>
      <c r="VP82" s="2567"/>
      <c r="VQ82" s="2567"/>
      <c r="VR82" s="2567"/>
      <c r="VS82" s="2567"/>
      <c r="VT82" s="2567"/>
      <c r="VU82" s="2567"/>
      <c r="VV82" s="2567"/>
      <c r="VW82" s="2567"/>
      <c r="VX82" s="2567"/>
      <c r="VY82" s="2567"/>
      <c r="VZ82" s="2567"/>
      <c r="WA82" s="2567"/>
      <c r="WB82" s="2567"/>
      <c r="WC82" s="2567"/>
      <c r="WD82" s="2567"/>
      <c r="WE82" s="2567"/>
      <c r="WF82" s="2567"/>
      <c r="WG82" s="2567"/>
      <c r="WH82" s="2567"/>
      <c r="WI82" s="2567"/>
      <c r="WJ82" s="2567"/>
      <c r="WK82" s="2567"/>
      <c r="WL82" s="2567"/>
      <c r="WM82" s="2567"/>
      <c r="WN82" s="2567"/>
      <c r="WO82" s="2567"/>
      <c r="WP82" s="2567"/>
      <c r="WQ82" s="2567"/>
      <c r="WR82" s="2567"/>
      <c r="WS82" s="2567"/>
      <c r="WT82" s="2567"/>
      <c r="WU82" s="2567"/>
      <c r="WV82" s="2567"/>
      <c r="WW82" s="2567"/>
      <c r="WX82" s="2567"/>
      <c r="WY82" s="2567"/>
      <c r="WZ82" s="2567"/>
      <c r="XA82" s="2567"/>
      <c r="XB82" s="2567"/>
      <c r="XC82" s="2567"/>
      <c r="XD82" s="2567"/>
      <c r="XE82" s="2567"/>
      <c r="XF82" s="2567"/>
      <c r="XG82" s="2567"/>
      <c r="XH82" s="2567"/>
      <c r="XI82" s="2567"/>
      <c r="XJ82" s="2567"/>
      <c r="XK82" s="2567"/>
      <c r="XL82" s="2567"/>
      <c r="XM82" s="2567"/>
      <c r="XN82" s="2567"/>
      <c r="XO82" s="2567"/>
      <c r="XP82" s="2567"/>
      <c r="XQ82" s="2567"/>
      <c r="XR82" s="2567"/>
      <c r="XS82" s="2567"/>
      <c r="XT82" s="2567"/>
      <c r="XU82" s="2567"/>
      <c r="XV82" s="2567"/>
      <c r="XW82" s="2567"/>
      <c r="XX82" s="2567"/>
      <c r="XY82" s="2567"/>
      <c r="XZ82" s="2567"/>
      <c r="YA82" s="2567"/>
      <c r="YB82" s="2567"/>
      <c r="YC82" s="2567"/>
      <c r="YD82" s="2567"/>
      <c r="YE82" s="2567"/>
      <c r="YF82" s="2567"/>
      <c r="YG82" s="2567"/>
      <c r="YH82" s="2567"/>
      <c r="YI82" s="2567"/>
      <c r="YJ82" s="2567"/>
      <c r="YK82" s="2567"/>
      <c r="YL82" s="2567"/>
      <c r="YM82" s="2567"/>
      <c r="YN82" s="2567"/>
      <c r="YO82" s="2567"/>
      <c r="YP82" s="2567"/>
      <c r="YQ82" s="2567"/>
      <c r="YR82" s="2567"/>
      <c r="YS82" s="2567"/>
      <c r="YT82" s="2567"/>
      <c r="YU82" s="2567"/>
      <c r="YV82" s="2567"/>
      <c r="YW82" s="2567"/>
      <c r="YX82" s="2567"/>
      <c r="YY82" s="2567"/>
      <c r="YZ82" s="2567"/>
      <c r="ZA82" s="2567"/>
      <c r="ZB82" s="2567"/>
      <c r="ZC82" s="2567"/>
      <c r="ZD82" s="2567"/>
      <c r="ZE82" s="2567"/>
      <c r="ZF82" s="2567"/>
      <c r="ZG82" s="2567"/>
      <c r="ZH82" s="2567"/>
      <c r="ZI82" s="2567"/>
      <c r="ZJ82" s="2567"/>
      <c r="ZK82" s="2567"/>
      <c r="ZL82" s="2567"/>
      <c r="ZM82" s="2567"/>
      <c r="ZN82" s="2567"/>
      <c r="ZO82" s="2567"/>
      <c r="ZP82" s="2567"/>
      <c r="ZQ82" s="2567"/>
      <c r="ZR82" s="2567"/>
      <c r="ZS82" s="2567"/>
      <c r="ZT82" s="2567"/>
      <c r="ZU82" s="2567"/>
      <c r="ZV82" s="2567"/>
      <c r="ZW82" s="2567"/>
      <c r="ZX82" s="2567"/>
      <c r="ZY82" s="2567"/>
      <c r="ZZ82" s="2567"/>
      <c r="AAA82" s="2567"/>
      <c r="AAB82" s="2567"/>
      <c r="AAC82" s="2567"/>
      <c r="AAD82" s="2567"/>
      <c r="AAE82" s="2567"/>
      <c r="AAF82" s="2567"/>
      <c r="AAG82" s="2567"/>
      <c r="AAH82" s="2567"/>
      <c r="AAI82" s="2567"/>
      <c r="AAJ82" s="2567"/>
      <c r="AAK82" s="2567"/>
      <c r="AAL82" s="2567"/>
      <c r="AAM82" s="2567"/>
      <c r="AAN82" s="2567"/>
      <c r="AAO82" s="2567"/>
      <c r="AAP82" s="2567"/>
      <c r="AAQ82" s="2567"/>
      <c r="AAR82" s="2567"/>
      <c r="AAS82" s="2567"/>
      <c r="AAT82" s="2567"/>
      <c r="AAU82" s="2567"/>
      <c r="AAV82" s="2567"/>
      <c r="AAW82" s="2567"/>
      <c r="AAX82" s="2567"/>
      <c r="AAY82" s="2567"/>
      <c r="AAZ82" s="2567"/>
      <c r="ABA82" s="2567"/>
      <c r="ABB82" s="2567"/>
      <c r="ABC82" s="2567"/>
      <c r="ABD82" s="2567"/>
      <c r="ABE82" s="2567"/>
      <c r="ABF82" s="2567"/>
      <c r="ABG82" s="2567"/>
      <c r="ABH82" s="2567"/>
      <c r="ABI82" s="2567"/>
      <c r="ABJ82" s="2567"/>
      <c r="ABK82" s="2567"/>
      <c r="ABL82" s="2567"/>
      <c r="ABM82" s="2567"/>
      <c r="ABN82" s="2567"/>
      <c r="ABO82" s="2567"/>
      <c r="ABP82" s="2567"/>
      <c r="ABQ82" s="2567"/>
      <c r="ABR82" s="2567"/>
      <c r="ABS82" s="2567"/>
      <c r="ABT82" s="2567"/>
      <c r="ABU82" s="2567"/>
      <c r="ABV82" s="2567"/>
      <c r="ABW82" s="2567"/>
      <c r="ABX82" s="2567"/>
      <c r="ABY82" s="2567"/>
      <c r="ABZ82" s="2567"/>
      <c r="ACA82" s="2567"/>
      <c r="ACB82" s="2567"/>
      <c r="ACC82" s="2567"/>
      <c r="ACD82" s="2567"/>
      <c r="ACE82" s="2567"/>
      <c r="ACF82" s="2567"/>
      <c r="ACG82" s="2567"/>
      <c r="ACH82" s="2567"/>
      <c r="ACI82" s="2567"/>
      <c r="ACJ82" s="2567"/>
      <c r="ACK82" s="2567"/>
      <c r="ACL82" s="2567"/>
      <c r="ACM82" s="2567"/>
      <c r="ACN82" s="2567"/>
      <c r="ACO82" s="2567"/>
      <c r="ACP82" s="2567"/>
      <c r="ACQ82" s="2567"/>
      <c r="ACR82" s="2567"/>
      <c r="ACS82" s="2567"/>
      <c r="ACT82" s="2567"/>
      <c r="ACU82" s="2567"/>
      <c r="ACV82" s="2567"/>
      <c r="ACW82" s="2567"/>
      <c r="ACX82" s="2567"/>
      <c r="ACY82" s="2567"/>
      <c r="ACZ82" s="2567"/>
      <c r="ADA82" s="2567"/>
      <c r="ADB82" s="2567"/>
      <c r="ADC82" s="2567"/>
      <c r="ADD82" s="2567"/>
      <c r="ADE82" s="2567"/>
      <c r="ADF82" s="2567"/>
      <c r="ADG82" s="2567"/>
      <c r="ADH82" s="2567"/>
      <c r="ADI82" s="2567"/>
      <c r="ADJ82" s="2567"/>
      <c r="ADK82" s="2567"/>
      <c r="ADL82" s="2567"/>
      <c r="ADM82" s="2567"/>
      <c r="ADN82" s="2567"/>
      <c r="ADO82" s="2567"/>
      <c r="ADP82" s="2567"/>
      <c r="ADQ82" s="2567"/>
      <c r="ADR82" s="2567"/>
      <c r="ADS82" s="2567"/>
      <c r="ADT82" s="2567"/>
      <c r="ADU82" s="2567"/>
      <c r="ADV82" s="2567"/>
      <c r="ADW82" s="2567"/>
      <c r="ADX82" s="2567"/>
      <c r="ADY82" s="2567"/>
      <c r="ADZ82" s="2567"/>
      <c r="AEA82" s="2567"/>
      <c r="AEB82" s="2567"/>
      <c r="AEC82" s="2567"/>
      <c r="AED82" s="2567"/>
      <c r="AEE82" s="2567"/>
      <c r="AEF82" s="2567"/>
      <c r="AEG82" s="2567"/>
      <c r="AEH82" s="2567"/>
      <c r="AEI82" s="2567"/>
      <c r="AEJ82" s="2567"/>
      <c r="AEK82" s="2567"/>
      <c r="AEL82" s="2567"/>
      <c r="AEM82" s="2567"/>
      <c r="AEN82" s="2567"/>
      <c r="AEO82" s="2567"/>
      <c r="AEP82" s="2567"/>
      <c r="AEQ82" s="2567"/>
      <c r="AER82" s="2567"/>
      <c r="AES82" s="2567"/>
      <c r="AET82" s="2567"/>
      <c r="AEU82" s="2567"/>
      <c r="AEV82" s="2567"/>
      <c r="AEW82" s="2567"/>
      <c r="AEX82" s="2567"/>
      <c r="AEY82" s="2567"/>
      <c r="AEZ82" s="2567"/>
      <c r="AFA82" s="2567"/>
      <c r="AFB82" s="2567"/>
      <c r="AFC82" s="2567"/>
      <c r="AFD82" s="2567"/>
      <c r="AFE82" s="2567"/>
      <c r="AFF82" s="2567"/>
      <c r="AFG82" s="2567"/>
      <c r="AFH82" s="2567"/>
      <c r="AFI82" s="2567"/>
      <c r="AFJ82" s="2567"/>
      <c r="AFK82" s="2567"/>
      <c r="AFL82" s="2567"/>
      <c r="AFM82" s="2567"/>
      <c r="AFN82" s="2567"/>
      <c r="AFO82" s="2567"/>
      <c r="AFP82" s="2567"/>
      <c r="AFQ82" s="2567"/>
      <c r="AFR82" s="2567"/>
      <c r="AFS82" s="2567"/>
      <c r="AFT82" s="2567"/>
      <c r="AFU82" s="2567"/>
      <c r="AFV82" s="2567"/>
      <c r="AFW82" s="2567"/>
      <c r="AFX82" s="2567"/>
      <c r="AFY82" s="2567"/>
      <c r="AFZ82" s="2567"/>
      <c r="AGA82" s="2567"/>
      <c r="AGB82" s="2567"/>
      <c r="AGC82" s="2567"/>
      <c r="AGD82" s="2567"/>
      <c r="AGE82" s="2567"/>
      <c r="AGF82" s="2567"/>
      <c r="AGG82" s="2567"/>
      <c r="AGH82" s="2567"/>
      <c r="AGI82" s="2567"/>
      <c r="AGJ82" s="2567"/>
      <c r="AGK82" s="2567"/>
      <c r="AGL82" s="2567"/>
      <c r="AGM82" s="2567"/>
      <c r="AGN82" s="2567"/>
      <c r="AGO82" s="2567"/>
      <c r="AGP82" s="2567"/>
      <c r="AGQ82" s="2567"/>
      <c r="AGR82" s="2567"/>
      <c r="AGS82" s="2567"/>
      <c r="AGT82" s="2567"/>
      <c r="AGU82" s="2567"/>
      <c r="AGV82" s="2567"/>
      <c r="AGW82" s="2567"/>
      <c r="AGX82" s="2567"/>
      <c r="AGY82" s="2567"/>
      <c r="AGZ82" s="2567"/>
      <c r="AHA82" s="2567"/>
      <c r="AHB82" s="2567"/>
      <c r="AHC82" s="2567"/>
      <c r="AHD82" s="2567"/>
      <c r="AHE82" s="2567"/>
      <c r="AHF82" s="2567"/>
      <c r="AHG82" s="2567"/>
      <c r="AHH82" s="2567"/>
      <c r="AHI82" s="2567"/>
      <c r="AHJ82" s="2567"/>
      <c r="AHK82" s="2567"/>
      <c r="AHL82" s="2567"/>
      <c r="AHM82" s="2567"/>
      <c r="AHN82" s="2567"/>
      <c r="AHO82" s="2567"/>
      <c r="AHP82" s="2567"/>
      <c r="AHQ82" s="2567"/>
      <c r="AHR82" s="2567"/>
      <c r="AHS82" s="2567"/>
      <c r="AHT82" s="2567"/>
      <c r="AHU82" s="2567"/>
      <c r="AHV82" s="2567"/>
      <c r="AHW82" s="2567"/>
      <c r="AHX82" s="2567"/>
      <c r="AHY82" s="2567"/>
      <c r="AHZ82" s="2567"/>
      <c r="AIA82" s="2567"/>
      <c r="AIB82" s="2567"/>
      <c r="AIC82" s="2567"/>
      <c r="AID82" s="2567"/>
      <c r="AIE82" s="2567"/>
      <c r="AIF82" s="2567"/>
      <c r="AIG82" s="2567"/>
      <c r="AIH82" s="2567"/>
      <c r="AII82" s="2567"/>
      <c r="AIJ82" s="2567"/>
      <c r="AIK82" s="2567"/>
      <c r="AIL82" s="2567"/>
      <c r="AIM82" s="2567"/>
      <c r="AIN82" s="2567"/>
      <c r="AIO82" s="2567"/>
      <c r="AIP82" s="2567"/>
      <c r="AIQ82" s="2567"/>
      <c r="AIR82" s="2567"/>
      <c r="AIS82" s="2567"/>
      <c r="AIT82" s="2567"/>
      <c r="AIU82" s="2567"/>
      <c r="AIV82" s="2567"/>
      <c r="AIW82" s="2567"/>
      <c r="AIX82" s="2567"/>
      <c r="AIY82" s="2567"/>
      <c r="AIZ82" s="2567"/>
      <c r="AJA82" s="2567"/>
      <c r="AJB82" s="2567"/>
      <c r="AJC82" s="2567"/>
      <c r="AJD82" s="2567"/>
      <c r="AJE82" s="2567"/>
      <c r="AJF82" s="2567"/>
      <c r="AJG82" s="2567"/>
      <c r="AJH82" s="2567"/>
      <c r="AJI82" s="2567"/>
      <c r="AJJ82" s="2567"/>
      <c r="AJK82" s="2567"/>
      <c r="AJL82" s="2567"/>
      <c r="AJM82" s="2567"/>
      <c r="AJN82" s="2567"/>
      <c r="AJO82" s="2567"/>
      <c r="AJP82" s="2567"/>
      <c r="AJQ82" s="2567"/>
      <c r="AJR82" s="2567"/>
      <c r="AJS82" s="2567"/>
      <c r="AJT82" s="2567"/>
      <c r="AJU82" s="2567"/>
      <c r="AJV82" s="2567"/>
      <c r="AJW82" s="2567"/>
      <c r="AJX82" s="2567"/>
      <c r="AJY82" s="2567"/>
      <c r="AJZ82" s="2567"/>
      <c r="AKA82" s="2567"/>
      <c r="AKB82" s="2567"/>
      <c r="AKC82" s="2567"/>
      <c r="AKD82" s="2567"/>
      <c r="AKE82" s="2567"/>
      <c r="AKF82" s="2567"/>
      <c r="AKG82" s="2567"/>
      <c r="AKH82" s="2567"/>
      <c r="AKI82" s="2567"/>
      <c r="AKJ82" s="2567"/>
      <c r="AKK82" s="2567"/>
      <c r="AKL82" s="2567"/>
      <c r="AKM82" s="2567"/>
      <c r="AKN82" s="2567"/>
      <c r="AKO82" s="2567"/>
      <c r="AKP82" s="2567"/>
      <c r="AKQ82" s="2567"/>
      <c r="AKR82" s="2567"/>
      <c r="AKS82" s="2567"/>
      <c r="AKT82" s="2567"/>
      <c r="AKU82" s="2567"/>
      <c r="AKV82" s="2567"/>
      <c r="AKW82" s="2567"/>
      <c r="AKX82" s="2567"/>
      <c r="AKY82" s="2567"/>
      <c r="AKZ82" s="2567"/>
      <c r="ALA82" s="2567"/>
      <c r="ALB82" s="2567"/>
      <c r="ALC82" s="2567"/>
      <c r="ALD82" s="2567"/>
      <c r="ALE82" s="2567"/>
      <c r="ALF82" s="2567"/>
      <c r="ALG82" s="2567"/>
      <c r="ALH82" s="2567"/>
      <c r="ALI82" s="2567"/>
      <c r="ALJ82" s="2567"/>
      <c r="ALK82" s="2567"/>
      <c r="ALL82" s="2567"/>
      <c r="ALM82" s="2567"/>
      <c r="ALN82" s="2567"/>
      <c r="ALO82" s="2567"/>
      <c r="ALP82" s="2567"/>
      <c r="ALQ82" s="2567"/>
      <c r="ALR82" s="2567"/>
      <c r="ALS82" s="2567"/>
      <c r="ALT82" s="2567"/>
      <c r="ALU82" s="2567"/>
      <c r="ALV82" s="2567"/>
      <c r="ALW82" s="2567"/>
      <c r="ALX82" s="2567"/>
      <c r="ALY82" s="2567"/>
      <c r="ALZ82" s="2567"/>
      <c r="AMA82" s="2567"/>
      <c r="AMB82" s="2567"/>
      <c r="AMC82" s="2567"/>
      <c r="AMD82" s="2567"/>
      <c r="AME82" s="2567"/>
      <c r="AMF82" s="2567"/>
      <c r="AMG82" s="2567"/>
      <c r="AMH82" s="2567"/>
      <c r="AMI82" s="2567"/>
      <c r="AMJ82" s="2567"/>
      <c r="AMK82" s="2567"/>
      <c r="AML82" s="2567"/>
      <c r="AMM82" s="2567"/>
      <c r="AMN82" s="2567"/>
      <c r="AMO82" s="2567"/>
      <c r="AMP82" s="2567"/>
      <c r="AMQ82" s="2567"/>
      <c r="AMR82" s="2567"/>
      <c r="AMS82" s="2567"/>
      <c r="AMT82" s="2567"/>
      <c r="AMU82" s="2567"/>
      <c r="AMV82" s="2567"/>
      <c r="AMW82" s="2567"/>
      <c r="AMX82" s="2567"/>
      <c r="AMY82" s="2567"/>
      <c r="AMZ82" s="2567"/>
      <c r="ANA82" s="2567"/>
      <c r="ANB82" s="2567"/>
      <c r="ANC82" s="2567"/>
      <c r="AND82" s="2567"/>
      <c r="ANE82" s="2567"/>
      <c r="ANF82" s="2567"/>
      <c r="ANG82" s="2567"/>
      <c r="ANH82" s="2567"/>
      <c r="ANI82" s="2567"/>
      <c r="ANJ82" s="2567"/>
      <c r="ANK82" s="2567"/>
      <c r="ANL82" s="2567"/>
      <c r="ANM82" s="2567"/>
      <c r="ANN82" s="2567"/>
      <c r="ANO82" s="2567"/>
      <c r="ANP82" s="2567"/>
      <c r="ANQ82" s="2567"/>
      <c r="ANR82" s="2567"/>
      <c r="ANS82" s="2567"/>
      <c r="ANT82" s="2567"/>
      <c r="ANU82" s="2567"/>
      <c r="ANV82" s="2567"/>
      <c r="ANW82" s="2567"/>
      <c r="ANX82" s="2567"/>
      <c r="ANY82" s="2567"/>
      <c r="ANZ82" s="2567"/>
      <c r="AOA82" s="2567"/>
      <c r="AOB82" s="2567"/>
      <c r="AOC82" s="2567"/>
      <c r="AOD82" s="2567"/>
      <c r="AOE82" s="2567"/>
      <c r="AOF82" s="2567"/>
      <c r="AOG82" s="2567"/>
      <c r="AOH82" s="2567"/>
      <c r="AOI82" s="2567"/>
      <c r="AOJ82" s="2567"/>
      <c r="AOK82" s="2567"/>
      <c r="AOL82" s="2567"/>
      <c r="AOM82" s="2567"/>
      <c r="AON82" s="2567"/>
      <c r="AOO82" s="2567"/>
      <c r="AOP82" s="2567"/>
      <c r="AOQ82" s="2567"/>
      <c r="AOR82" s="2567"/>
      <c r="AOS82" s="2567"/>
      <c r="AOT82" s="2567"/>
      <c r="AOU82" s="2567"/>
      <c r="AOV82" s="2567"/>
      <c r="AOW82" s="2567"/>
      <c r="AOX82" s="2567"/>
      <c r="AOY82" s="2567"/>
      <c r="AOZ82" s="2567"/>
      <c r="APA82" s="2567"/>
      <c r="APB82" s="2567"/>
      <c r="APC82" s="2567"/>
      <c r="APD82" s="2567"/>
      <c r="APE82" s="2567"/>
      <c r="APF82" s="2567"/>
      <c r="APG82" s="2567"/>
      <c r="APH82" s="2567"/>
      <c r="API82" s="2567"/>
      <c r="APJ82" s="2567"/>
      <c r="APK82" s="2567"/>
      <c r="APL82" s="2567"/>
      <c r="APM82" s="2567"/>
      <c r="APN82" s="2567"/>
      <c r="APO82" s="2567"/>
      <c r="APP82" s="2567"/>
      <c r="APQ82" s="2567"/>
      <c r="APR82" s="2567"/>
      <c r="APS82" s="2567"/>
      <c r="APT82" s="2567"/>
      <c r="APU82" s="2567"/>
      <c r="APV82" s="2567"/>
      <c r="APW82" s="2567"/>
      <c r="APX82" s="2567"/>
      <c r="APY82" s="2567"/>
      <c r="APZ82" s="2567"/>
      <c r="AQA82" s="2567"/>
      <c r="AQB82" s="2567"/>
      <c r="AQC82" s="2567"/>
      <c r="AQD82" s="2567"/>
      <c r="AQE82" s="2567"/>
      <c r="AQF82" s="2567"/>
      <c r="AQG82" s="2567"/>
      <c r="AQH82" s="2567"/>
      <c r="AQI82" s="2567"/>
      <c r="AQJ82" s="2567"/>
      <c r="AQK82" s="2567"/>
      <c r="AQL82" s="2567"/>
      <c r="AQM82" s="2567"/>
      <c r="AQN82" s="2567"/>
      <c r="AQO82" s="2567"/>
      <c r="AQP82" s="2567"/>
      <c r="AQQ82" s="2567"/>
      <c r="AQR82" s="2567"/>
      <c r="AQS82" s="2567"/>
      <c r="AQT82" s="2567"/>
      <c r="AQU82" s="2567"/>
      <c r="AQV82" s="2567"/>
      <c r="AQW82" s="2567"/>
      <c r="AQX82" s="2567"/>
      <c r="AQY82" s="2567"/>
      <c r="AQZ82" s="2567"/>
      <c r="ARA82" s="2567"/>
      <c r="ARB82" s="2567"/>
      <c r="ARC82" s="2567"/>
      <c r="ARD82" s="2567"/>
      <c r="ARE82" s="2567"/>
      <c r="ARF82" s="2567"/>
      <c r="ARG82" s="2567"/>
      <c r="ARH82" s="2567"/>
      <c r="ARI82" s="2567"/>
      <c r="ARJ82" s="2567"/>
      <c r="ARK82" s="2567"/>
      <c r="ARL82" s="2567"/>
      <c r="ARM82" s="2567"/>
      <c r="ARN82" s="2567"/>
      <c r="ARO82" s="2567"/>
      <c r="ARP82" s="2567"/>
      <c r="ARQ82" s="2567"/>
      <c r="ARR82" s="2567"/>
      <c r="ARS82" s="2567"/>
      <c r="ART82" s="2567"/>
      <c r="ARU82" s="2567"/>
      <c r="ARV82" s="2567"/>
      <c r="ARW82" s="2567"/>
      <c r="ARX82" s="2567"/>
      <c r="ARY82" s="2567"/>
      <c r="ARZ82" s="2567"/>
      <c r="ASA82" s="2567"/>
      <c r="ASB82" s="2567"/>
      <c r="ASC82" s="2567"/>
      <c r="ASD82" s="2567"/>
      <c r="ASE82" s="2567"/>
      <c r="ASF82" s="2567"/>
      <c r="ASG82" s="2567"/>
      <c r="ASH82" s="2567"/>
      <c r="ASI82" s="2567"/>
      <c r="ASJ82" s="2567"/>
      <c r="ASK82" s="2567"/>
      <c r="ASL82" s="2567"/>
      <c r="ASM82" s="2567"/>
      <c r="ASN82" s="2567"/>
      <c r="ASO82" s="2567"/>
      <c r="ASP82" s="2567"/>
      <c r="ASQ82" s="2567"/>
      <c r="ASR82" s="2567"/>
      <c r="ASS82" s="2567"/>
      <c r="AST82" s="2567"/>
      <c r="ASU82" s="2567"/>
      <c r="ASV82" s="2567"/>
      <c r="ASW82" s="2567"/>
      <c r="ASX82" s="2567"/>
      <c r="ASY82" s="2567"/>
      <c r="ASZ82" s="2567"/>
      <c r="ATA82" s="2567"/>
      <c r="ATB82" s="2567"/>
      <c r="ATC82" s="2567"/>
      <c r="ATD82" s="2567"/>
      <c r="ATE82" s="2567"/>
      <c r="ATF82" s="2567"/>
      <c r="ATG82" s="2567"/>
      <c r="ATH82" s="2567"/>
      <c r="ATI82" s="2567"/>
      <c r="ATJ82" s="2567"/>
      <c r="ATK82" s="2567"/>
      <c r="ATL82" s="2567"/>
      <c r="ATM82" s="2567"/>
      <c r="ATN82" s="2567"/>
      <c r="ATO82" s="2567"/>
      <c r="ATP82" s="2567"/>
      <c r="ATQ82" s="2567"/>
      <c r="ATR82" s="2567"/>
      <c r="ATS82" s="2567"/>
      <c r="ATT82" s="2567"/>
      <c r="ATU82" s="2567"/>
      <c r="ATV82" s="2567"/>
      <c r="ATW82" s="2567"/>
      <c r="ATX82" s="2567"/>
      <c r="ATY82" s="2567"/>
      <c r="ATZ82" s="2567"/>
      <c r="AUA82" s="2567"/>
      <c r="AUB82" s="2567"/>
      <c r="AUC82" s="2567"/>
      <c r="AUD82" s="2567"/>
      <c r="AUE82" s="2567"/>
      <c r="AUF82" s="2567"/>
      <c r="AUG82" s="2567"/>
      <c r="AUH82" s="2567"/>
      <c r="AUI82" s="2567"/>
      <c r="AUJ82" s="2567"/>
      <c r="AUK82" s="2567"/>
      <c r="AUL82" s="2567"/>
      <c r="AUM82" s="2567"/>
      <c r="AUN82" s="2567"/>
      <c r="AUO82" s="2567"/>
      <c r="AUP82" s="2567"/>
      <c r="AUQ82" s="2567"/>
      <c r="AUR82" s="2567"/>
      <c r="AUS82" s="2567"/>
      <c r="AUT82" s="2567"/>
      <c r="AUU82" s="2567"/>
      <c r="AUV82" s="2567"/>
      <c r="AUW82" s="2567"/>
      <c r="AUX82" s="2567"/>
      <c r="AUY82" s="2567"/>
      <c r="AUZ82" s="2567"/>
      <c r="AVA82" s="2567"/>
      <c r="AVB82" s="2567"/>
      <c r="AVC82" s="2567"/>
      <c r="AVD82" s="2567"/>
      <c r="AVE82" s="2567"/>
      <c r="AVF82" s="2567"/>
      <c r="AVG82" s="2567"/>
      <c r="AVH82" s="2567"/>
      <c r="AVI82" s="2567"/>
      <c r="AVJ82" s="2567"/>
      <c r="AVK82" s="2567"/>
      <c r="AVL82" s="2567"/>
      <c r="AVM82" s="2567"/>
      <c r="AVN82" s="2567"/>
      <c r="AVO82" s="2567"/>
      <c r="AVP82" s="2567"/>
      <c r="AVQ82" s="2567"/>
      <c r="AVR82" s="2567"/>
      <c r="AVS82" s="2567"/>
      <c r="AVT82" s="2567"/>
      <c r="AVU82" s="2567"/>
      <c r="AVV82" s="2567"/>
      <c r="AVW82" s="2567"/>
      <c r="AVX82" s="2567"/>
      <c r="AVY82" s="2567"/>
      <c r="AVZ82" s="2567"/>
      <c r="AWA82" s="2567"/>
      <c r="AWB82" s="2567"/>
      <c r="AWC82" s="2567"/>
      <c r="AWD82" s="2567"/>
      <c r="AWE82" s="2567"/>
      <c r="AWF82" s="2567"/>
      <c r="AWG82" s="2567"/>
      <c r="AWH82" s="2567"/>
      <c r="AWI82" s="2567"/>
      <c r="AWJ82" s="2567"/>
      <c r="AWK82" s="2567"/>
      <c r="AWL82" s="2567"/>
      <c r="AWM82" s="2567"/>
      <c r="AWN82" s="2567"/>
      <c r="AWO82" s="2567"/>
      <c r="AWP82" s="2567"/>
      <c r="AWQ82" s="2567"/>
      <c r="AWR82" s="2567"/>
      <c r="AWS82" s="2567"/>
      <c r="AWT82" s="2567"/>
      <c r="AWU82" s="2567"/>
      <c r="AWV82" s="2567"/>
      <c r="AWW82" s="2567"/>
      <c r="AWX82" s="2567"/>
      <c r="AWY82" s="2567"/>
      <c r="AWZ82" s="2567"/>
      <c r="AXA82" s="2567"/>
      <c r="AXB82" s="2567"/>
      <c r="AXC82" s="2567"/>
      <c r="AXD82" s="2567"/>
      <c r="AXE82" s="2567"/>
      <c r="AXF82" s="2567"/>
      <c r="AXG82" s="2567"/>
      <c r="AXH82" s="2567"/>
      <c r="AXI82" s="2567"/>
      <c r="AXJ82" s="2567"/>
      <c r="AXK82" s="2567"/>
      <c r="AXL82" s="2567"/>
      <c r="AXM82" s="2567"/>
      <c r="AXN82" s="2567"/>
      <c r="AXO82" s="2567"/>
      <c r="AXP82" s="2567"/>
      <c r="AXQ82" s="2567"/>
      <c r="AXR82" s="2567"/>
      <c r="AXS82" s="2567"/>
      <c r="AXT82" s="2567"/>
      <c r="AXU82" s="2567"/>
      <c r="AXV82" s="2567"/>
      <c r="AXW82" s="2567"/>
      <c r="AXX82" s="2567"/>
      <c r="AXY82" s="2567"/>
      <c r="AXZ82" s="2567"/>
      <c r="AYA82" s="2567"/>
      <c r="AYB82" s="2567"/>
      <c r="AYC82" s="2567"/>
      <c r="AYD82" s="2567"/>
      <c r="AYE82" s="2567"/>
      <c r="AYF82" s="2567"/>
      <c r="AYG82" s="2567"/>
      <c r="AYH82" s="2567"/>
      <c r="AYI82" s="2567"/>
      <c r="AYJ82" s="2567"/>
      <c r="AYK82" s="2567"/>
      <c r="AYL82" s="2567"/>
      <c r="AYM82" s="2567"/>
      <c r="AYN82" s="2567"/>
      <c r="AYO82" s="2567"/>
      <c r="AYP82" s="2567"/>
      <c r="AYQ82" s="2567"/>
      <c r="AYR82" s="2567"/>
      <c r="AYS82" s="2567"/>
      <c r="AYT82" s="2567"/>
      <c r="AYU82" s="2567"/>
      <c r="AYV82" s="2567"/>
      <c r="AYW82" s="2567"/>
      <c r="AYX82" s="2567"/>
      <c r="AYY82" s="2567"/>
      <c r="AYZ82" s="2567"/>
      <c r="AZA82" s="2567"/>
      <c r="AZB82" s="2567"/>
      <c r="AZC82" s="2567"/>
      <c r="AZD82" s="2567"/>
      <c r="AZE82" s="2567"/>
      <c r="AZF82" s="2567"/>
      <c r="AZG82" s="2567"/>
      <c r="AZH82" s="2567"/>
      <c r="AZI82" s="2567"/>
      <c r="AZJ82" s="2567"/>
      <c r="AZK82" s="2567"/>
      <c r="AZL82" s="2567"/>
      <c r="AZM82" s="2567"/>
      <c r="AZN82" s="2567"/>
      <c r="AZO82" s="2567"/>
      <c r="AZP82" s="2567"/>
      <c r="AZQ82" s="2567"/>
      <c r="AZR82" s="2567"/>
      <c r="AZS82" s="2567"/>
      <c r="AZT82" s="2567"/>
      <c r="AZU82" s="2567"/>
      <c r="AZV82" s="2567"/>
      <c r="AZW82" s="2567"/>
      <c r="AZX82" s="2567"/>
      <c r="AZY82" s="2567"/>
      <c r="AZZ82" s="2567"/>
      <c r="BAA82" s="2567"/>
      <c r="BAB82" s="2567"/>
      <c r="BAC82" s="2567"/>
      <c r="BAD82" s="2567"/>
      <c r="BAE82" s="2567"/>
      <c r="BAF82" s="2567"/>
      <c r="BAG82" s="2567"/>
      <c r="BAH82" s="2567"/>
      <c r="BAI82" s="2567"/>
      <c r="BAJ82" s="2567"/>
      <c r="BAK82" s="2567"/>
      <c r="BAL82" s="2567"/>
      <c r="BAM82" s="2567"/>
      <c r="BAN82" s="2567"/>
      <c r="BAO82" s="2567"/>
      <c r="BAP82" s="2567"/>
      <c r="BAQ82" s="2567"/>
      <c r="BAR82" s="2567"/>
      <c r="BAS82" s="2567"/>
      <c r="BAT82" s="2567"/>
      <c r="BAU82" s="2567"/>
      <c r="BAV82" s="2567"/>
      <c r="BAW82" s="2567"/>
      <c r="BAX82" s="2567"/>
      <c r="BAY82" s="2567"/>
      <c r="BAZ82" s="2567"/>
      <c r="BBA82" s="2567"/>
      <c r="BBB82" s="2567"/>
      <c r="BBC82" s="2567"/>
      <c r="BBD82" s="2567"/>
      <c r="BBE82" s="2567"/>
      <c r="BBF82" s="2567"/>
      <c r="BBG82" s="2567"/>
      <c r="BBH82" s="2567"/>
      <c r="BBI82" s="2567"/>
      <c r="BBJ82" s="2567"/>
      <c r="BBK82" s="2567"/>
      <c r="BBL82" s="2567"/>
      <c r="BBM82" s="2567"/>
      <c r="BBN82" s="2567"/>
      <c r="BBO82" s="2567"/>
      <c r="BBP82" s="2567"/>
      <c r="BBQ82" s="2567"/>
      <c r="BBR82" s="2567"/>
      <c r="BBS82" s="2567"/>
      <c r="BBT82" s="2567"/>
      <c r="BBU82" s="2567"/>
      <c r="BBV82" s="2567"/>
      <c r="BBW82" s="2567"/>
      <c r="BBX82" s="2567"/>
      <c r="BBY82" s="2567"/>
      <c r="BBZ82" s="2567"/>
      <c r="BCA82" s="2567"/>
      <c r="BCB82" s="2567"/>
      <c r="BCC82" s="2567"/>
      <c r="BCD82" s="2567"/>
      <c r="BCE82" s="2567"/>
      <c r="BCF82" s="2567"/>
      <c r="BCG82" s="2567"/>
      <c r="BCH82" s="2567"/>
      <c r="BCI82" s="2567"/>
      <c r="BCJ82" s="2567"/>
      <c r="BCK82" s="2567"/>
      <c r="BCL82" s="2567"/>
      <c r="BCM82" s="2567"/>
      <c r="BCN82" s="2567"/>
      <c r="BCO82" s="2567"/>
      <c r="BCP82" s="2567"/>
      <c r="BCQ82" s="2567"/>
      <c r="BCR82" s="2567"/>
      <c r="BCS82" s="2567"/>
      <c r="BCT82" s="2567"/>
      <c r="BCU82" s="2567"/>
      <c r="BCV82" s="2567"/>
      <c r="BCW82" s="2567"/>
      <c r="BCX82" s="2567"/>
      <c r="BCY82" s="2567"/>
      <c r="BCZ82" s="2567"/>
      <c r="BDA82" s="2567"/>
      <c r="BDB82" s="2567"/>
      <c r="BDC82" s="2567"/>
      <c r="BDD82" s="2567"/>
      <c r="BDE82" s="2567"/>
      <c r="BDF82" s="2567"/>
      <c r="BDG82" s="2567"/>
      <c r="BDH82" s="2567"/>
      <c r="BDI82" s="2567"/>
      <c r="BDJ82" s="2567"/>
      <c r="BDK82" s="2567"/>
      <c r="BDL82" s="2567"/>
      <c r="BDM82" s="2567"/>
      <c r="BDN82" s="2567"/>
      <c r="BDO82" s="2567"/>
      <c r="BDP82" s="2567"/>
      <c r="BDQ82" s="2567"/>
      <c r="BDR82" s="2567"/>
      <c r="BDS82" s="2567"/>
      <c r="BDT82" s="2567"/>
      <c r="BDU82" s="2567"/>
      <c r="BDV82" s="2567"/>
      <c r="BDW82" s="2567"/>
      <c r="BDX82" s="2567"/>
      <c r="BDY82" s="2567"/>
      <c r="BDZ82" s="2567"/>
      <c r="BEA82" s="2567"/>
      <c r="BEB82" s="2567"/>
      <c r="BEC82" s="2567"/>
      <c r="BED82" s="2567"/>
      <c r="BEE82" s="2567"/>
      <c r="BEF82" s="2567"/>
      <c r="BEG82" s="2567"/>
      <c r="BEH82" s="2567"/>
      <c r="BEI82" s="2567"/>
      <c r="BEJ82" s="2567"/>
      <c r="BEK82" s="2567"/>
      <c r="BEL82" s="2567"/>
      <c r="BEM82" s="2567"/>
      <c r="BEN82" s="2567"/>
      <c r="BEO82" s="2567"/>
      <c r="BEP82" s="2567"/>
      <c r="BEQ82" s="2567"/>
      <c r="BER82" s="2567"/>
      <c r="BES82" s="2567"/>
      <c r="BET82" s="2567"/>
      <c r="BEU82" s="2567"/>
      <c r="BEV82" s="2567"/>
      <c r="BEW82" s="2567"/>
      <c r="BEX82" s="2567"/>
      <c r="BEY82" s="2567"/>
      <c r="BEZ82" s="2567"/>
      <c r="BFA82" s="2567"/>
      <c r="BFB82" s="2567"/>
      <c r="BFC82" s="2567"/>
      <c r="BFD82" s="2567"/>
      <c r="BFE82" s="2567"/>
      <c r="BFF82" s="2567"/>
      <c r="BFG82" s="2567"/>
      <c r="BFH82" s="2567"/>
      <c r="BFI82" s="2567"/>
      <c r="BFJ82" s="2567"/>
      <c r="BFK82" s="2567"/>
      <c r="BFL82" s="2567"/>
      <c r="BFM82" s="2567"/>
      <c r="BFN82" s="2567"/>
      <c r="BFO82" s="2567"/>
      <c r="BFP82" s="2567"/>
      <c r="BFQ82" s="2567"/>
      <c r="BFR82" s="2567"/>
      <c r="BFS82" s="2567"/>
      <c r="BFT82" s="2567"/>
      <c r="BFU82" s="2567"/>
      <c r="BFV82" s="2567"/>
      <c r="BFW82" s="2567"/>
      <c r="BFX82" s="2567"/>
      <c r="BFY82" s="2567"/>
      <c r="BFZ82" s="2567"/>
      <c r="BGA82" s="2567"/>
      <c r="BGB82" s="2567"/>
      <c r="BGC82" s="2567"/>
      <c r="BGD82" s="2567"/>
      <c r="BGE82" s="2567"/>
      <c r="BGF82" s="2567"/>
      <c r="BGG82" s="2567"/>
      <c r="BGH82" s="2567"/>
      <c r="BGI82" s="2567"/>
      <c r="BGJ82" s="2567"/>
      <c r="BGK82" s="2567"/>
      <c r="BGL82" s="2567"/>
      <c r="BGM82" s="2567"/>
      <c r="BGN82" s="2567"/>
      <c r="BGO82" s="2567"/>
      <c r="BGP82" s="2567"/>
      <c r="BGQ82" s="2567"/>
      <c r="BGR82" s="2567"/>
      <c r="BGS82" s="2567"/>
      <c r="BGT82" s="2567"/>
      <c r="BGU82" s="2567"/>
      <c r="BGV82" s="2567"/>
      <c r="BGW82" s="2567"/>
      <c r="BGX82" s="2567"/>
      <c r="BGY82" s="2567"/>
      <c r="BGZ82" s="2567"/>
      <c r="BHA82" s="2567"/>
      <c r="BHB82" s="2567"/>
      <c r="BHC82" s="2567"/>
      <c r="BHD82" s="2567"/>
      <c r="BHE82" s="2567"/>
      <c r="BHF82" s="2567"/>
      <c r="BHG82" s="2567"/>
      <c r="BHH82" s="2567"/>
      <c r="BHI82" s="2567"/>
      <c r="BHJ82" s="2567"/>
      <c r="BHK82" s="2567"/>
      <c r="BHL82" s="2567"/>
      <c r="BHM82" s="2567"/>
      <c r="BHN82" s="2567"/>
      <c r="BHO82" s="2567"/>
      <c r="BHP82" s="2567"/>
      <c r="BHQ82" s="2567"/>
      <c r="BHR82" s="2567"/>
      <c r="BHS82" s="2567"/>
      <c r="BHT82" s="2567"/>
      <c r="BHU82" s="2567"/>
      <c r="BHV82" s="2567"/>
      <c r="BHW82" s="2567"/>
      <c r="BHX82" s="2567"/>
      <c r="BHY82" s="2567"/>
      <c r="BHZ82" s="2567"/>
      <c r="BIA82" s="2567"/>
      <c r="BIB82" s="2567"/>
      <c r="BIC82" s="2567"/>
      <c r="BID82" s="2567"/>
      <c r="BIE82" s="2567"/>
      <c r="BIF82" s="2567"/>
      <c r="BIG82" s="2567"/>
      <c r="BIH82" s="2567"/>
      <c r="BII82" s="2567"/>
      <c r="BIJ82" s="2567"/>
      <c r="BIK82" s="2567"/>
      <c r="BIL82" s="2567"/>
      <c r="BIM82" s="2567"/>
      <c r="BIN82" s="2567"/>
      <c r="BIO82" s="2567"/>
      <c r="BIP82" s="2567"/>
      <c r="BIQ82" s="2567"/>
      <c r="BIR82" s="2567"/>
      <c r="BIS82" s="2567"/>
      <c r="BIT82" s="2567"/>
      <c r="BIU82" s="2567"/>
      <c r="BIV82" s="2567"/>
      <c r="BIW82" s="2567"/>
      <c r="BIX82" s="2567"/>
      <c r="BIY82" s="2567"/>
      <c r="BIZ82" s="2567"/>
      <c r="BJA82" s="2567"/>
      <c r="BJB82" s="2567"/>
      <c r="BJC82" s="2567"/>
      <c r="BJD82" s="2567"/>
      <c r="BJE82" s="2567"/>
      <c r="BJF82" s="2567"/>
      <c r="BJG82" s="2567"/>
      <c r="BJH82" s="2567"/>
      <c r="BJI82" s="2567"/>
      <c r="BJJ82" s="2567"/>
      <c r="BJK82" s="2567"/>
      <c r="BJL82" s="2567"/>
      <c r="BJM82" s="2567"/>
      <c r="BJN82" s="2567"/>
      <c r="BJO82" s="2567"/>
      <c r="BJP82" s="2567"/>
      <c r="BJQ82" s="2567"/>
      <c r="BJR82" s="2567"/>
      <c r="BJS82" s="2567"/>
      <c r="BJT82" s="2567"/>
      <c r="BJU82" s="2567"/>
      <c r="BJV82" s="2567"/>
      <c r="BJW82" s="2567"/>
      <c r="BJX82" s="2567"/>
      <c r="BJY82" s="2567"/>
      <c r="BJZ82" s="2567"/>
      <c r="BKA82" s="2567"/>
      <c r="BKB82" s="2567"/>
      <c r="BKC82" s="2567"/>
      <c r="BKD82" s="2567"/>
      <c r="BKE82" s="2567"/>
      <c r="BKF82" s="2567"/>
      <c r="BKG82" s="2567"/>
      <c r="BKH82" s="2567"/>
      <c r="BKI82" s="2567"/>
      <c r="BKJ82" s="2567"/>
      <c r="BKK82" s="2567"/>
      <c r="BKL82" s="2567"/>
      <c r="BKM82" s="2567"/>
      <c r="BKN82" s="2567"/>
      <c r="BKO82" s="2567"/>
      <c r="BKP82" s="2567"/>
      <c r="BKQ82" s="2567"/>
      <c r="BKR82" s="2567"/>
      <c r="BKS82" s="2567"/>
      <c r="BKT82" s="2567"/>
      <c r="BKU82" s="2567"/>
      <c r="BKV82" s="2567"/>
      <c r="BKW82" s="2567"/>
      <c r="BKX82" s="2567"/>
      <c r="BKY82" s="2567"/>
      <c r="BKZ82" s="2567"/>
      <c r="BLA82" s="2567"/>
      <c r="BLB82" s="2567"/>
      <c r="BLC82" s="2567"/>
      <c r="BLD82" s="2567"/>
      <c r="BLE82" s="2567"/>
      <c r="BLF82" s="2567"/>
      <c r="BLG82" s="2567"/>
      <c r="BLH82" s="2567"/>
      <c r="BLI82" s="2567"/>
      <c r="BLJ82" s="2567"/>
      <c r="BLK82" s="2567"/>
      <c r="BLL82" s="2567"/>
      <c r="BLM82" s="2567"/>
      <c r="BLN82" s="2567"/>
      <c r="BLO82" s="2567"/>
      <c r="BLP82" s="2567"/>
      <c r="BLQ82" s="2567"/>
      <c r="BLR82" s="2567"/>
      <c r="BLS82" s="2567"/>
      <c r="BLT82" s="2567"/>
      <c r="BLU82" s="2567"/>
      <c r="BLV82" s="2567"/>
      <c r="BLW82" s="2567"/>
      <c r="BLX82" s="2567"/>
      <c r="BLY82" s="2567"/>
      <c r="BLZ82" s="2567"/>
      <c r="BMA82" s="2567"/>
      <c r="BMB82" s="2567"/>
      <c r="BMC82" s="2567"/>
      <c r="BMD82" s="2567"/>
      <c r="BME82" s="2567"/>
      <c r="BMF82" s="2567"/>
      <c r="BMG82" s="2567"/>
      <c r="BMH82" s="2567"/>
      <c r="BMI82" s="2567"/>
      <c r="BMJ82" s="2567"/>
      <c r="BMK82" s="2567"/>
      <c r="BML82" s="2567"/>
      <c r="BMM82" s="2567"/>
      <c r="BMN82" s="2567"/>
      <c r="BMO82" s="2567"/>
      <c r="BMP82" s="2567"/>
      <c r="BMQ82" s="2567"/>
      <c r="BMR82" s="2567"/>
      <c r="BMS82" s="2567"/>
      <c r="BMT82" s="2567"/>
      <c r="BMU82" s="2567"/>
      <c r="BMV82" s="2567"/>
      <c r="BMW82" s="2567"/>
      <c r="BMX82" s="2567"/>
      <c r="BMY82" s="2567"/>
      <c r="BMZ82" s="2567"/>
      <c r="BNA82" s="2567"/>
      <c r="BNB82" s="2567"/>
      <c r="BNC82" s="2567"/>
      <c r="BND82" s="2567"/>
      <c r="BNE82" s="2567"/>
      <c r="BNF82" s="2567"/>
      <c r="BNG82" s="2567"/>
      <c r="BNH82" s="2567"/>
      <c r="BNI82" s="2567"/>
      <c r="BNJ82" s="2567"/>
      <c r="BNK82" s="2567"/>
      <c r="BNL82" s="2567"/>
      <c r="BNM82" s="2567"/>
      <c r="BNN82" s="2567"/>
      <c r="BNO82" s="2567"/>
      <c r="BNP82" s="2567"/>
      <c r="BNQ82" s="2567"/>
      <c r="BNR82" s="2567"/>
      <c r="BNS82" s="2567"/>
      <c r="BNT82" s="2567"/>
      <c r="BNU82" s="2567"/>
      <c r="BNV82" s="2567"/>
      <c r="BNW82" s="2567"/>
      <c r="BNX82" s="2567"/>
      <c r="BNY82" s="2567"/>
      <c r="BNZ82" s="2567"/>
      <c r="BOA82" s="2567"/>
      <c r="BOB82" s="2567"/>
      <c r="BOC82" s="2567"/>
      <c r="BOD82" s="2567"/>
      <c r="BOE82" s="2567"/>
      <c r="BOF82" s="2567"/>
      <c r="BOG82" s="2567"/>
      <c r="BOH82" s="2567"/>
      <c r="BOI82" s="2567"/>
      <c r="BOJ82" s="2567"/>
      <c r="BOK82" s="2567"/>
      <c r="BOL82" s="2567"/>
      <c r="BOM82" s="2567"/>
      <c r="BON82" s="2567"/>
      <c r="BOO82" s="2567"/>
      <c r="BOP82" s="2567"/>
      <c r="BOQ82" s="2567"/>
      <c r="BOR82" s="2567"/>
      <c r="BOS82" s="2567"/>
      <c r="BOT82" s="2567"/>
      <c r="BOU82" s="2567"/>
      <c r="BOV82" s="2567"/>
      <c r="BOW82" s="2567"/>
      <c r="BOX82" s="2567"/>
      <c r="BOY82" s="2567"/>
      <c r="BOZ82" s="2567"/>
      <c r="BPA82" s="2567"/>
      <c r="BPB82" s="2567"/>
      <c r="BPC82" s="2567"/>
      <c r="BPD82" s="2567"/>
      <c r="BPE82" s="2567"/>
      <c r="BPF82" s="2567"/>
      <c r="BPG82" s="2567"/>
      <c r="BPH82" s="2567"/>
      <c r="BPI82" s="2567"/>
      <c r="BPJ82" s="2567"/>
      <c r="BPK82" s="2567"/>
      <c r="BPL82" s="2567"/>
      <c r="BPM82" s="2567"/>
      <c r="BPN82" s="2567"/>
      <c r="BPO82" s="2567"/>
      <c r="BPP82" s="2567"/>
      <c r="BPQ82" s="2567"/>
      <c r="BPR82" s="2567"/>
      <c r="BPS82" s="2567"/>
      <c r="BPT82" s="2567"/>
      <c r="BPU82" s="2567"/>
      <c r="BPV82" s="2567"/>
      <c r="BPW82" s="2567"/>
      <c r="BPX82" s="2567"/>
      <c r="BPY82" s="2567"/>
      <c r="BPZ82" s="2567"/>
      <c r="BQA82" s="2567"/>
      <c r="BQB82" s="2567"/>
      <c r="BQC82" s="2567"/>
      <c r="BQD82" s="2567"/>
      <c r="BQE82" s="2567"/>
      <c r="BQF82" s="2567"/>
      <c r="BQG82" s="2567"/>
      <c r="BQH82" s="2567"/>
      <c r="BQI82" s="2567"/>
      <c r="BQJ82" s="2567"/>
      <c r="BQK82" s="2567"/>
      <c r="BQL82" s="2567"/>
      <c r="BQM82" s="2567"/>
      <c r="BQN82" s="2567"/>
      <c r="BQO82" s="2567"/>
      <c r="BQP82" s="2567"/>
      <c r="BQQ82" s="2567"/>
      <c r="BQR82" s="2567"/>
      <c r="BQS82" s="2567"/>
      <c r="BQT82" s="2567"/>
      <c r="BQU82" s="2567"/>
      <c r="BQV82" s="2567"/>
      <c r="BQW82" s="2567"/>
      <c r="BQX82" s="2567"/>
      <c r="BQY82" s="2567"/>
      <c r="BQZ82" s="2567"/>
      <c r="BRA82" s="2567"/>
      <c r="BRB82" s="2567"/>
      <c r="BRC82" s="2567"/>
      <c r="BRD82" s="2567"/>
      <c r="BRE82" s="2567"/>
      <c r="BRF82" s="2567"/>
      <c r="BRG82" s="2567"/>
      <c r="BRH82" s="2567"/>
      <c r="BRI82" s="2567"/>
      <c r="BRJ82" s="2567"/>
      <c r="BRK82" s="2567"/>
      <c r="BRL82" s="2567"/>
      <c r="BRM82" s="2567"/>
      <c r="BRN82" s="2567"/>
      <c r="BRO82" s="2567"/>
      <c r="BRP82" s="2567"/>
      <c r="BRQ82" s="2567"/>
      <c r="BRR82" s="2567"/>
      <c r="BRS82" s="2567"/>
      <c r="BRT82" s="2567"/>
      <c r="BRU82" s="2567"/>
      <c r="BRV82" s="2567"/>
      <c r="BRW82" s="2567"/>
      <c r="BRX82" s="2567"/>
      <c r="BRY82" s="2567"/>
      <c r="BRZ82" s="2567"/>
      <c r="BSA82" s="2567"/>
      <c r="BSB82" s="2567"/>
      <c r="BSC82" s="2567"/>
      <c r="BSD82" s="2567"/>
      <c r="BSE82" s="2567"/>
      <c r="BSF82" s="2567"/>
      <c r="BSG82" s="2567"/>
      <c r="BSH82" s="2567"/>
      <c r="BSI82" s="2567"/>
      <c r="BSJ82" s="2567"/>
      <c r="BSK82" s="2567"/>
      <c r="BSL82" s="2567"/>
      <c r="BSM82" s="2567"/>
      <c r="BSN82" s="2567"/>
      <c r="BSO82" s="2567"/>
      <c r="BSP82" s="2567"/>
      <c r="BSQ82" s="2567"/>
      <c r="BSR82" s="2567"/>
      <c r="BSS82" s="2567"/>
      <c r="BST82" s="2567"/>
      <c r="BSU82" s="2567"/>
      <c r="BSV82" s="2567"/>
      <c r="BSW82" s="2567"/>
      <c r="BSX82" s="2567"/>
      <c r="BSY82" s="2567"/>
      <c r="BSZ82" s="2567"/>
      <c r="BTA82" s="2567"/>
      <c r="BTB82" s="2567"/>
      <c r="BTC82" s="2567"/>
      <c r="BTD82" s="2567"/>
      <c r="BTE82" s="2567"/>
      <c r="BTF82" s="2567"/>
      <c r="BTG82" s="2567"/>
      <c r="BTH82" s="2567"/>
      <c r="BTI82" s="2567"/>
      <c r="BTJ82" s="2567"/>
      <c r="BTK82" s="2567"/>
      <c r="BTL82" s="2567"/>
      <c r="BTM82" s="2567"/>
      <c r="BTN82" s="2567"/>
      <c r="BTO82" s="2567"/>
      <c r="BTP82" s="2567"/>
      <c r="BTQ82" s="2567"/>
      <c r="BTR82" s="2567"/>
      <c r="BTS82" s="2567"/>
      <c r="BTT82" s="2567"/>
      <c r="BTU82" s="2567"/>
      <c r="BTV82" s="2567"/>
      <c r="BTW82" s="2567"/>
      <c r="BTX82" s="2567"/>
      <c r="BTY82" s="2567"/>
      <c r="BTZ82" s="2567"/>
      <c r="BUA82" s="2567"/>
      <c r="BUB82" s="2567"/>
      <c r="BUC82" s="2567"/>
      <c r="BUD82" s="2567"/>
      <c r="BUE82" s="2567"/>
      <c r="BUF82" s="2567"/>
      <c r="BUG82" s="2567"/>
      <c r="BUH82" s="2567"/>
      <c r="BUI82" s="2567"/>
      <c r="BUJ82" s="2567"/>
      <c r="BUK82" s="2567"/>
      <c r="BUL82" s="2567"/>
      <c r="BUM82" s="2567"/>
      <c r="BUN82" s="2567"/>
      <c r="BUO82" s="2567"/>
      <c r="BUP82" s="2567"/>
      <c r="BUQ82" s="2567"/>
      <c r="BUR82" s="2567"/>
      <c r="BUS82" s="2567"/>
      <c r="BUT82" s="2567"/>
      <c r="BUU82" s="2567"/>
      <c r="BUV82" s="2567"/>
      <c r="BUW82" s="2567"/>
      <c r="BUX82" s="2567"/>
      <c r="BUY82" s="2567"/>
      <c r="BUZ82" s="2567"/>
      <c r="BVA82" s="2567"/>
      <c r="BVB82" s="2567"/>
      <c r="BVC82" s="2567"/>
      <c r="BVD82" s="2567"/>
      <c r="BVE82" s="2567"/>
      <c r="BVF82" s="2567"/>
      <c r="BVG82" s="2567"/>
      <c r="BVH82" s="2567"/>
      <c r="BVI82" s="2567"/>
      <c r="BVJ82" s="2567"/>
      <c r="BVK82" s="2567"/>
      <c r="BVL82" s="2567"/>
      <c r="BVM82" s="2567"/>
      <c r="BVN82" s="2567"/>
      <c r="BVO82" s="2567"/>
      <c r="BVP82" s="2567"/>
      <c r="BVQ82" s="2567"/>
      <c r="BVR82" s="2567"/>
      <c r="BVS82" s="2567"/>
      <c r="BVT82" s="2567"/>
      <c r="BVU82" s="2567"/>
      <c r="BVV82" s="2567"/>
      <c r="BVW82" s="2567"/>
      <c r="BVX82" s="2567"/>
      <c r="BVY82" s="2567"/>
      <c r="BVZ82" s="2567"/>
      <c r="BWA82" s="2567"/>
      <c r="BWB82" s="2567"/>
      <c r="BWC82" s="2567"/>
      <c r="BWD82" s="2567"/>
      <c r="BWE82" s="2567"/>
      <c r="BWF82" s="2567"/>
      <c r="BWG82" s="2567"/>
      <c r="BWH82" s="2567"/>
      <c r="BWI82" s="2567"/>
      <c r="BWJ82" s="2567"/>
      <c r="BWK82" s="2567"/>
      <c r="BWL82" s="2567"/>
      <c r="BWM82" s="2567"/>
      <c r="BWN82" s="2567"/>
      <c r="BWO82" s="2567"/>
      <c r="BWP82" s="2567"/>
      <c r="BWQ82" s="2567"/>
      <c r="BWR82" s="2567"/>
      <c r="BWS82" s="2567"/>
      <c r="BWT82" s="2567"/>
      <c r="BWU82" s="2567"/>
      <c r="BWV82" s="2567"/>
      <c r="BWW82" s="2567"/>
      <c r="BWX82" s="2567"/>
      <c r="BWY82" s="2567"/>
      <c r="BWZ82" s="2567"/>
      <c r="BXA82" s="2567"/>
      <c r="BXB82" s="2567"/>
      <c r="BXC82" s="2567"/>
      <c r="BXD82" s="2567"/>
      <c r="BXE82" s="2567"/>
      <c r="BXF82" s="2567"/>
      <c r="BXG82" s="2567"/>
      <c r="BXH82" s="2567"/>
      <c r="BXI82" s="2567"/>
      <c r="BXJ82" s="2567"/>
      <c r="BXK82" s="2567"/>
      <c r="BXL82" s="2567"/>
      <c r="BXM82" s="2567"/>
      <c r="BXN82" s="2567"/>
      <c r="BXO82" s="2567"/>
      <c r="BXP82" s="2567"/>
      <c r="BXQ82" s="2567"/>
      <c r="BXR82" s="2567"/>
      <c r="BXS82" s="2567"/>
      <c r="BXT82" s="2567"/>
      <c r="BXU82" s="2567"/>
      <c r="BXV82" s="2567"/>
      <c r="BXW82" s="2567"/>
      <c r="BXX82" s="2567"/>
      <c r="BXY82" s="2567"/>
      <c r="BXZ82" s="2567"/>
      <c r="BYA82" s="2567"/>
      <c r="BYB82" s="2567"/>
      <c r="BYC82" s="2567"/>
      <c r="BYD82" s="2567"/>
      <c r="BYE82" s="2567"/>
      <c r="BYF82" s="2567"/>
      <c r="BYG82" s="2567"/>
      <c r="BYH82" s="2567"/>
      <c r="BYI82" s="2567"/>
      <c r="BYJ82" s="2567"/>
      <c r="BYK82" s="2567"/>
      <c r="BYL82" s="2567"/>
      <c r="BYM82" s="2567"/>
      <c r="BYN82" s="2567"/>
      <c r="BYO82" s="2567"/>
      <c r="BYP82" s="2567"/>
      <c r="BYQ82" s="2567"/>
      <c r="BYR82" s="2567"/>
      <c r="BYS82" s="2567"/>
      <c r="BYT82" s="2567"/>
      <c r="BYU82" s="2567"/>
      <c r="BYV82" s="2567"/>
      <c r="BYW82" s="2567"/>
      <c r="BYX82" s="2567"/>
      <c r="BYY82" s="2567"/>
      <c r="BYZ82" s="2567"/>
      <c r="BZA82" s="2567"/>
      <c r="BZB82" s="2567"/>
      <c r="BZC82" s="2567"/>
      <c r="BZD82" s="2567"/>
      <c r="BZE82" s="2567"/>
      <c r="BZF82" s="2567"/>
      <c r="BZG82" s="2567"/>
      <c r="BZH82" s="2567"/>
      <c r="BZI82" s="2567"/>
      <c r="BZJ82" s="2567"/>
      <c r="BZK82" s="2567"/>
      <c r="BZL82" s="2567"/>
      <c r="BZM82" s="2567"/>
      <c r="BZN82" s="2567"/>
      <c r="BZO82" s="2567"/>
      <c r="BZP82" s="2567"/>
      <c r="BZQ82" s="2567"/>
      <c r="BZR82" s="2567"/>
      <c r="BZS82" s="2567"/>
      <c r="BZT82" s="2567"/>
      <c r="BZU82" s="2567"/>
      <c r="BZV82" s="2567"/>
      <c r="BZW82" s="2567"/>
      <c r="BZX82" s="2567"/>
      <c r="BZY82" s="2567"/>
      <c r="BZZ82" s="2567"/>
      <c r="CAA82" s="2567"/>
      <c r="CAB82" s="2567"/>
      <c r="CAC82" s="2567"/>
      <c r="CAD82" s="2567"/>
      <c r="CAE82" s="2567"/>
      <c r="CAF82" s="2567"/>
      <c r="CAG82" s="2567"/>
      <c r="CAH82" s="2567"/>
      <c r="CAI82" s="2567"/>
      <c r="CAJ82" s="2567"/>
      <c r="CAK82" s="2567"/>
      <c r="CAL82" s="2567"/>
      <c r="CAM82" s="2567"/>
      <c r="CAN82" s="2567"/>
      <c r="CAO82" s="2567"/>
      <c r="CAP82" s="2567"/>
      <c r="CAQ82" s="2567"/>
      <c r="CAR82" s="2567"/>
      <c r="CAS82" s="2567"/>
      <c r="CAT82" s="2567"/>
      <c r="CAU82" s="2567"/>
      <c r="CAV82" s="2567"/>
      <c r="CAW82" s="2567"/>
      <c r="CAX82" s="2567"/>
      <c r="CAY82" s="2567"/>
      <c r="CAZ82" s="2567"/>
      <c r="CBA82" s="2567"/>
      <c r="CBB82" s="2567"/>
      <c r="CBC82" s="2567"/>
      <c r="CBD82" s="2567"/>
      <c r="CBE82" s="2567"/>
      <c r="CBF82" s="2567"/>
      <c r="CBG82" s="2567"/>
      <c r="CBH82" s="2567"/>
      <c r="CBI82" s="2567"/>
      <c r="CBJ82" s="2567"/>
      <c r="CBK82" s="2567"/>
      <c r="CBL82" s="2567"/>
      <c r="CBM82" s="2567"/>
      <c r="CBN82" s="2567"/>
      <c r="CBO82" s="2567"/>
      <c r="CBP82" s="2567"/>
      <c r="CBQ82" s="2567"/>
      <c r="CBR82" s="2567"/>
      <c r="CBS82" s="2567"/>
      <c r="CBT82" s="2567"/>
      <c r="CBU82" s="2567"/>
      <c r="CBV82" s="2567"/>
      <c r="CBW82" s="2567"/>
      <c r="CBX82" s="2567"/>
      <c r="CBY82" s="2567"/>
      <c r="CBZ82" s="2567"/>
      <c r="CCA82" s="2567"/>
      <c r="CCB82" s="2567"/>
      <c r="CCC82" s="2567"/>
      <c r="CCD82" s="2567"/>
      <c r="CCE82" s="2567"/>
      <c r="CCF82" s="2567"/>
      <c r="CCG82" s="2567"/>
      <c r="CCH82" s="2567"/>
      <c r="CCI82" s="2567"/>
      <c r="CCJ82" s="2567"/>
      <c r="CCK82" s="2567"/>
      <c r="CCL82" s="2567"/>
      <c r="CCM82" s="2567"/>
      <c r="CCN82" s="2567"/>
      <c r="CCO82" s="2567"/>
      <c r="CCP82" s="2567"/>
      <c r="CCQ82" s="2567"/>
      <c r="CCR82" s="2567"/>
      <c r="CCS82" s="2567"/>
      <c r="CCT82" s="2567"/>
      <c r="CCU82" s="2567"/>
      <c r="CCV82" s="2567"/>
      <c r="CCW82" s="2567"/>
      <c r="CCX82" s="2567"/>
      <c r="CCY82" s="2567"/>
      <c r="CCZ82" s="2567"/>
      <c r="CDA82" s="2567"/>
      <c r="CDB82" s="2567"/>
      <c r="CDC82" s="2567"/>
      <c r="CDD82" s="2567"/>
      <c r="CDE82" s="2567"/>
      <c r="CDF82" s="2567"/>
      <c r="CDG82" s="2567"/>
      <c r="CDH82" s="2567"/>
      <c r="CDI82" s="2567"/>
      <c r="CDJ82" s="2567"/>
      <c r="CDK82" s="2567"/>
      <c r="CDL82" s="2567"/>
      <c r="CDM82" s="2567"/>
      <c r="CDN82" s="2567"/>
      <c r="CDO82" s="2567"/>
      <c r="CDP82" s="2567"/>
      <c r="CDQ82" s="2567"/>
      <c r="CDR82" s="2567"/>
      <c r="CDS82" s="2567"/>
      <c r="CDT82" s="2567"/>
      <c r="CDU82" s="2567"/>
      <c r="CDV82" s="2567"/>
      <c r="CDW82" s="2567"/>
      <c r="CDX82" s="2567"/>
      <c r="CDY82" s="2567"/>
      <c r="CDZ82" s="2567"/>
      <c r="CEA82" s="2567"/>
      <c r="CEB82" s="2567"/>
      <c r="CEC82" s="2567"/>
      <c r="CED82" s="2567"/>
      <c r="CEE82" s="2567"/>
      <c r="CEF82" s="2567"/>
      <c r="CEG82" s="2567"/>
      <c r="CEH82" s="2567"/>
      <c r="CEI82" s="2567"/>
      <c r="CEJ82" s="2567"/>
      <c r="CEK82" s="2567"/>
      <c r="CEL82" s="2567"/>
      <c r="CEM82" s="2567"/>
      <c r="CEN82" s="2567"/>
      <c r="CEO82" s="2567"/>
      <c r="CEP82" s="2567"/>
      <c r="CEQ82" s="2567"/>
      <c r="CER82" s="2567"/>
      <c r="CES82" s="2567"/>
      <c r="CET82" s="2567"/>
      <c r="CEU82" s="2567"/>
      <c r="CEV82" s="2567"/>
      <c r="CEW82" s="2567"/>
      <c r="CEX82" s="2567"/>
      <c r="CEY82" s="2567"/>
      <c r="CEZ82" s="2567"/>
      <c r="CFA82" s="2567"/>
      <c r="CFB82" s="2567"/>
      <c r="CFC82" s="2567"/>
      <c r="CFD82" s="2567"/>
      <c r="CFE82" s="2567"/>
      <c r="CFF82" s="2567"/>
      <c r="CFG82" s="2567"/>
      <c r="CFH82" s="2567"/>
      <c r="CFI82" s="2567"/>
      <c r="CFJ82" s="2567"/>
      <c r="CFK82" s="2567"/>
      <c r="CFL82" s="2567"/>
      <c r="CFM82" s="2567"/>
      <c r="CFN82" s="2567"/>
      <c r="CFO82" s="2567"/>
      <c r="CFP82" s="2567"/>
      <c r="CFQ82" s="2567"/>
      <c r="CFR82" s="2567"/>
      <c r="CFS82" s="2567"/>
      <c r="CFT82" s="2567"/>
      <c r="CFU82" s="2567"/>
      <c r="CFV82" s="2567"/>
      <c r="CFW82" s="2567"/>
      <c r="CFX82" s="2567"/>
      <c r="CFY82" s="2567"/>
      <c r="CFZ82" s="2567"/>
      <c r="CGA82" s="2567"/>
      <c r="CGB82" s="2567"/>
      <c r="CGC82" s="2567"/>
      <c r="CGD82" s="2567"/>
      <c r="CGE82" s="2567"/>
      <c r="CGF82" s="2567"/>
      <c r="CGG82" s="2567"/>
      <c r="CGH82" s="2567"/>
      <c r="CGI82" s="2567"/>
      <c r="CGJ82" s="2567"/>
      <c r="CGK82" s="2567"/>
      <c r="CGL82" s="2567"/>
      <c r="CGM82" s="2567"/>
      <c r="CGN82" s="2567"/>
      <c r="CGO82" s="2567"/>
      <c r="CGP82" s="2567"/>
      <c r="CGQ82" s="2567"/>
      <c r="CGR82" s="2567"/>
      <c r="CGS82" s="2567"/>
      <c r="CGT82" s="2567"/>
      <c r="CGU82" s="2567"/>
      <c r="CGV82" s="2567"/>
      <c r="CGW82" s="2567"/>
      <c r="CGX82" s="2567"/>
      <c r="CGY82" s="2567"/>
      <c r="CGZ82" s="2567"/>
      <c r="CHA82" s="2567"/>
      <c r="CHB82" s="2567"/>
      <c r="CHC82" s="2567"/>
      <c r="CHD82" s="2567"/>
      <c r="CHE82" s="2567"/>
      <c r="CHF82" s="2567"/>
      <c r="CHG82" s="2567"/>
      <c r="CHH82" s="2567"/>
      <c r="CHI82" s="2567"/>
      <c r="CHJ82" s="2567"/>
      <c r="CHK82" s="2567"/>
      <c r="CHL82" s="2567"/>
      <c r="CHM82" s="2567"/>
      <c r="CHN82" s="2567"/>
      <c r="CHO82" s="2567"/>
      <c r="CHP82" s="2567"/>
      <c r="CHQ82" s="2567"/>
      <c r="CHR82" s="2567"/>
      <c r="CHS82" s="2567"/>
      <c r="CHT82" s="2567"/>
      <c r="CHU82" s="2567"/>
      <c r="CHV82" s="2567"/>
      <c r="CHW82" s="2567"/>
      <c r="CHX82" s="2567"/>
      <c r="CHY82" s="2567"/>
      <c r="CHZ82" s="2567"/>
      <c r="CIA82" s="2567"/>
      <c r="CIB82" s="2567"/>
      <c r="CIC82" s="2567"/>
      <c r="CID82" s="2567"/>
      <c r="CIE82" s="2567"/>
      <c r="CIF82" s="2567"/>
      <c r="CIG82" s="2567"/>
      <c r="CIH82" s="2567"/>
      <c r="CII82" s="2567"/>
      <c r="CIJ82" s="2567"/>
      <c r="CIK82" s="2567"/>
      <c r="CIL82" s="2567"/>
      <c r="CIM82" s="2567"/>
      <c r="CIN82" s="2567"/>
      <c r="CIO82" s="2567"/>
      <c r="CIP82" s="2567"/>
      <c r="CIQ82" s="2567"/>
      <c r="CIR82" s="2567"/>
      <c r="CIS82" s="2567"/>
      <c r="CIT82" s="2567"/>
      <c r="CIU82" s="2567"/>
      <c r="CIV82" s="2567"/>
      <c r="CIW82" s="2567"/>
      <c r="CIX82" s="2567"/>
      <c r="CIY82" s="2567"/>
      <c r="CIZ82" s="2567"/>
      <c r="CJA82" s="2567"/>
      <c r="CJB82" s="2567"/>
      <c r="CJC82" s="2567"/>
      <c r="CJD82" s="2567"/>
      <c r="CJE82" s="2567"/>
      <c r="CJF82" s="2567"/>
      <c r="CJG82" s="2567"/>
      <c r="CJH82" s="2567"/>
      <c r="CJI82" s="2567"/>
      <c r="CJJ82" s="2567"/>
      <c r="CJK82" s="2567"/>
      <c r="CJL82" s="2567"/>
      <c r="CJM82" s="2567"/>
      <c r="CJN82" s="2567"/>
      <c r="CJO82" s="2567"/>
      <c r="CJP82" s="2567"/>
      <c r="CJQ82" s="2567"/>
      <c r="CJR82" s="2567"/>
      <c r="CJS82" s="2567"/>
      <c r="CJT82" s="2567"/>
      <c r="CJU82" s="2567"/>
      <c r="CJV82" s="2567"/>
      <c r="CJW82" s="2567"/>
      <c r="CJX82" s="2567"/>
      <c r="CJY82" s="2567"/>
      <c r="CJZ82" s="2567"/>
      <c r="CKA82" s="2567"/>
      <c r="CKB82" s="2567"/>
      <c r="CKC82" s="2567"/>
      <c r="CKD82" s="2567"/>
      <c r="CKE82" s="2567"/>
      <c r="CKF82" s="2567"/>
      <c r="CKG82" s="2567"/>
      <c r="CKH82" s="2567"/>
      <c r="CKI82" s="2567"/>
      <c r="CKJ82" s="2567"/>
      <c r="CKK82" s="2567"/>
      <c r="CKL82" s="2567"/>
      <c r="CKM82" s="2567"/>
      <c r="CKN82" s="2567"/>
      <c r="CKO82" s="2567"/>
      <c r="CKP82" s="2567"/>
      <c r="CKQ82" s="2567"/>
      <c r="CKR82" s="2567"/>
      <c r="CKS82" s="2567"/>
      <c r="CKT82" s="2567"/>
      <c r="CKU82" s="2567"/>
      <c r="CKV82" s="2567"/>
      <c r="CKW82" s="2567"/>
      <c r="CKX82" s="2567"/>
      <c r="CKY82" s="2567"/>
      <c r="CKZ82" s="2567"/>
      <c r="CLA82" s="2567"/>
      <c r="CLB82" s="2567"/>
      <c r="CLC82" s="2567"/>
      <c r="CLD82" s="2567"/>
      <c r="CLE82" s="2567"/>
      <c r="CLF82" s="2567"/>
      <c r="CLG82" s="2567"/>
      <c r="CLH82" s="2567"/>
      <c r="CLI82" s="2567"/>
      <c r="CLJ82" s="2567"/>
      <c r="CLK82" s="2567"/>
      <c r="CLL82" s="2567"/>
      <c r="CLM82" s="2567"/>
      <c r="CLN82" s="2567"/>
      <c r="CLO82" s="2567"/>
      <c r="CLP82" s="2567"/>
      <c r="CLQ82" s="2567"/>
      <c r="CLR82" s="2567"/>
      <c r="CLS82" s="2567"/>
      <c r="CLT82" s="2567"/>
      <c r="CLU82" s="2567"/>
      <c r="CLV82" s="2567"/>
      <c r="CLW82" s="2567"/>
      <c r="CLX82" s="2567"/>
      <c r="CLY82" s="2567"/>
      <c r="CLZ82" s="2567"/>
      <c r="CMA82" s="2567"/>
      <c r="CMB82" s="2567"/>
      <c r="CMC82" s="2567"/>
      <c r="CMD82" s="2567"/>
      <c r="CME82" s="2567"/>
      <c r="CMF82" s="2567"/>
      <c r="CMG82" s="2567"/>
      <c r="CMH82" s="2567"/>
      <c r="CMI82" s="2567"/>
      <c r="CMJ82" s="2567"/>
      <c r="CMK82" s="2567"/>
      <c r="CML82" s="2567"/>
      <c r="CMM82" s="2567"/>
      <c r="CMN82" s="2567"/>
      <c r="CMO82" s="2567"/>
      <c r="CMP82" s="2567"/>
      <c r="CMQ82" s="2567"/>
      <c r="CMR82" s="2567"/>
      <c r="CMS82" s="2567"/>
      <c r="CMT82" s="2567"/>
      <c r="CMU82" s="2567"/>
      <c r="CMV82" s="2567"/>
      <c r="CMW82" s="2567"/>
      <c r="CMX82" s="2567"/>
      <c r="CMY82" s="2567"/>
      <c r="CMZ82" s="2567"/>
      <c r="CNA82" s="2567"/>
      <c r="CNB82" s="2567"/>
      <c r="CNC82" s="2567"/>
      <c r="CND82" s="2567"/>
      <c r="CNE82" s="2567"/>
      <c r="CNF82" s="2567"/>
      <c r="CNG82" s="2567"/>
      <c r="CNH82" s="2567"/>
      <c r="CNI82" s="2567"/>
      <c r="CNJ82" s="2567"/>
      <c r="CNK82" s="2567"/>
      <c r="CNL82" s="2567"/>
      <c r="CNM82" s="2567"/>
      <c r="CNN82" s="2567"/>
      <c r="CNO82" s="2567"/>
      <c r="CNP82" s="2567"/>
      <c r="CNQ82" s="2567"/>
      <c r="CNR82" s="2567"/>
      <c r="CNS82" s="2567"/>
      <c r="CNT82" s="2567"/>
      <c r="CNU82" s="2567"/>
      <c r="CNV82" s="2567"/>
      <c r="CNW82" s="2567"/>
      <c r="CNX82" s="2567"/>
      <c r="CNY82" s="2567"/>
      <c r="CNZ82" s="2567"/>
      <c r="COA82" s="2567"/>
      <c r="COB82" s="2567"/>
      <c r="COC82" s="2567"/>
      <c r="COD82" s="2567"/>
      <c r="COE82" s="2567"/>
      <c r="COF82" s="2567"/>
      <c r="COG82" s="2567"/>
      <c r="COH82" s="2567"/>
      <c r="COI82" s="2567"/>
      <c r="COJ82" s="2567"/>
      <c r="COK82" s="2567"/>
      <c r="COL82" s="2567"/>
      <c r="COM82" s="2567"/>
      <c r="CON82" s="2567"/>
      <c r="COO82" s="2567"/>
      <c r="COP82" s="2567"/>
      <c r="COQ82" s="2567"/>
      <c r="COR82" s="2567"/>
      <c r="COS82" s="2567"/>
      <c r="COT82" s="2567"/>
      <c r="COU82" s="2567"/>
      <c r="COV82" s="2567"/>
      <c r="COW82" s="2567"/>
      <c r="COX82" s="2567"/>
      <c r="COY82" s="2567"/>
      <c r="COZ82" s="2567"/>
      <c r="CPA82" s="2567"/>
      <c r="CPB82" s="2567"/>
      <c r="CPC82" s="2567"/>
      <c r="CPD82" s="2567"/>
      <c r="CPE82" s="2567"/>
      <c r="CPF82" s="2567"/>
      <c r="CPG82" s="2567"/>
      <c r="CPH82" s="2567"/>
      <c r="CPI82" s="2567"/>
      <c r="CPJ82" s="2567"/>
      <c r="CPK82" s="2567"/>
      <c r="CPL82" s="2567"/>
      <c r="CPM82" s="2567"/>
      <c r="CPN82" s="2567"/>
      <c r="CPO82" s="2567"/>
      <c r="CPP82" s="2567"/>
      <c r="CPQ82" s="2567"/>
      <c r="CPR82" s="2567"/>
      <c r="CPS82" s="2567"/>
      <c r="CPT82" s="2567"/>
      <c r="CPU82" s="2567"/>
      <c r="CPV82" s="2567"/>
      <c r="CPW82" s="2567"/>
      <c r="CPX82" s="2567"/>
      <c r="CPY82" s="2567"/>
      <c r="CPZ82" s="2567"/>
      <c r="CQA82" s="2567"/>
      <c r="CQB82" s="2567"/>
      <c r="CQC82" s="2567"/>
      <c r="CQD82" s="2567"/>
      <c r="CQE82" s="2567"/>
      <c r="CQF82" s="2567"/>
      <c r="CQG82" s="2567"/>
      <c r="CQH82" s="2567"/>
      <c r="CQI82" s="2567"/>
      <c r="CQJ82" s="2567"/>
      <c r="CQK82" s="2567"/>
      <c r="CQL82" s="2567"/>
      <c r="CQM82" s="2567"/>
      <c r="CQN82" s="2567"/>
      <c r="CQO82" s="2567"/>
      <c r="CQP82" s="2567"/>
      <c r="CQQ82" s="2567"/>
      <c r="CQR82" s="2567"/>
      <c r="CQS82" s="2567"/>
      <c r="CQT82" s="2567"/>
      <c r="CQU82" s="2567"/>
      <c r="CQV82" s="2567"/>
      <c r="CQW82" s="2567"/>
      <c r="CQX82" s="2567"/>
      <c r="CQY82" s="2567"/>
      <c r="CQZ82" s="2567"/>
      <c r="CRA82" s="2567"/>
      <c r="CRB82" s="2567"/>
      <c r="CRC82" s="2567"/>
      <c r="CRD82" s="2567"/>
      <c r="CRE82" s="2567"/>
      <c r="CRF82" s="2567"/>
      <c r="CRG82" s="2567"/>
      <c r="CRH82" s="2567"/>
      <c r="CRI82" s="2567"/>
      <c r="CRJ82" s="2567"/>
      <c r="CRK82" s="2567"/>
      <c r="CRL82" s="2567"/>
      <c r="CRM82" s="2567"/>
      <c r="CRN82" s="2567"/>
      <c r="CRO82" s="2567"/>
      <c r="CRP82" s="2567"/>
      <c r="CRQ82" s="2567"/>
      <c r="CRR82" s="2567"/>
      <c r="CRS82" s="2567"/>
      <c r="CRT82" s="2567"/>
      <c r="CRU82" s="2567"/>
      <c r="CRV82" s="2567"/>
      <c r="CRW82" s="2567"/>
      <c r="CRX82" s="2567"/>
      <c r="CRY82" s="2567"/>
      <c r="CRZ82" s="2567"/>
      <c r="CSA82" s="2567"/>
      <c r="CSB82" s="2567"/>
      <c r="CSC82" s="2567"/>
      <c r="CSD82" s="2567"/>
      <c r="CSE82" s="2567"/>
      <c r="CSF82" s="2567"/>
      <c r="CSG82" s="2567"/>
      <c r="CSH82" s="2567"/>
      <c r="CSI82" s="2567"/>
      <c r="CSJ82" s="2567"/>
      <c r="CSK82" s="2567"/>
      <c r="CSL82" s="2567"/>
      <c r="CSM82" s="2567"/>
      <c r="CSN82" s="2567"/>
      <c r="CSO82" s="2567"/>
      <c r="CSP82" s="2567"/>
      <c r="CSQ82" s="2567"/>
      <c r="CSR82" s="2567"/>
      <c r="CSS82" s="2567"/>
      <c r="CST82" s="2567"/>
      <c r="CSU82" s="2567"/>
      <c r="CSV82" s="2567"/>
      <c r="CSW82" s="2567"/>
      <c r="CSX82" s="2567"/>
      <c r="CSY82" s="2567"/>
      <c r="CSZ82" s="2567"/>
      <c r="CTA82" s="2567"/>
      <c r="CTB82" s="2567"/>
      <c r="CTC82" s="2567"/>
      <c r="CTD82" s="2567"/>
      <c r="CTE82" s="2567"/>
      <c r="CTF82" s="2567"/>
      <c r="CTG82" s="2567"/>
      <c r="CTH82" s="2567"/>
      <c r="CTI82" s="2567"/>
      <c r="CTJ82" s="2567"/>
      <c r="CTK82" s="2567"/>
      <c r="CTL82" s="2567"/>
      <c r="CTM82" s="2567"/>
      <c r="CTN82" s="2567"/>
      <c r="CTO82" s="2567"/>
      <c r="CTP82" s="2567"/>
      <c r="CTQ82" s="2567"/>
      <c r="CTR82" s="2567"/>
      <c r="CTS82" s="2567"/>
      <c r="CTT82" s="2567"/>
      <c r="CTU82" s="2567"/>
      <c r="CTV82" s="2567"/>
      <c r="CTW82" s="2567"/>
      <c r="CTX82" s="2567"/>
      <c r="CTY82" s="2567"/>
      <c r="CTZ82" s="2567"/>
      <c r="CUA82" s="2567"/>
      <c r="CUB82" s="2567"/>
      <c r="CUC82" s="2567"/>
      <c r="CUD82" s="2567"/>
      <c r="CUE82" s="2567"/>
      <c r="CUF82" s="2567"/>
      <c r="CUG82" s="2567"/>
      <c r="CUH82" s="2567"/>
      <c r="CUI82" s="2567"/>
      <c r="CUJ82" s="2567"/>
      <c r="CUK82" s="2567"/>
      <c r="CUL82" s="2567"/>
      <c r="CUM82" s="2567"/>
      <c r="CUN82" s="2567"/>
      <c r="CUO82" s="2567"/>
      <c r="CUP82" s="2567"/>
      <c r="CUQ82" s="2567"/>
      <c r="CUR82" s="2567"/>
      <c r="CUS82" s="2567"/>
      <c r="CUT82" s="2567"/>
      <c r="CUU82" s="2567"/>
      <c r="CUV82" s="2567"/>
      <c r="CUW82" s="2567"/>
      <c r="CUX82" s="2567"/>
      <c r="CUY82" s="2567"/>
      <c r="CUZ82" s="2567"/>
      <c r="CVA82" s="2567"/>
      <c r="CVB82" s="2567"/>
      <c r="CVC82" s="2567"/>
      <c r="CVD82" s="2567"/>
      <c r="CVE82" s="2567"/>
      <c r="CVF82" s="2567"/>
      <c r="CVG82" s="2567"/>
      <c r="CVH82" s="2567"/>
      <c r="CVI82" s="2567"/>
      <c r="CVJ82" s="2567"/>
      <c r="CVK82" s="2567"/>
      <c r="CVL82" s="2567"/>
      <c r="CVM82" s="2567"/>
      <c r="CVN82" s="2567"/>
      <c r="CVO82" s="2567"/>
      <c r="CVP82" s="2567"/>
      <c r="CVQ82" s="2567"/>
      <c r="CVR82" s="2567"/>
      <c r="CVS82" s="2567"/>
      <c r="CVT82" s="2567"/>
      <c r="CVU82" s="2567"/>
      <c r="CVV82" s="2567"/>
      <c r="CVW82" s="2567"/>
      <c r="CVX82" s="2567"/>
      <c r="CVY82" s="2567"/>
      <c r="CVZ82" s="2567"/>
      <c r="CWA82" s="2567"/>
      <c r="CWB82" s="2567"/>
      <c r="CWC82" s="2567"/>
      <c r="CWD82" s="2567"/>
      <c r="CWE82" s="2567"/>
      <c r="CWF82" s="2567"/>
      <c r="CWG82" s="2567"/>
      <c r="CWH82" s="2567"/>
      <c r="CWI82" s="2567"/>
      <c r="CWJ82" s="2567"/>
      <c r="CWK82" s="2567"/>
      <c r="CWL82" s="2567"/>
      <c r="CWM82" s="2567"/>
      <c r="CWN82" s="2567"/>
      <c r="CWO82" s="2567"/>
      <c r="CWP82" s="2567"/>
      <c r="CWQ82" s="2567"/>
      <c r="CWR82" s="2567"/>
      <c r="CWS82" s="2567"/>
      <c r="CWT82" s="2567"/>
      <c r="CWU82" s="2567"/>
      <c r="CWV82" s="2567"/>
      <c r="CWW82" s="2567"/>
      <c r="CWX82" s="2567"/>
      <c r="CWY82" s="2567"/>
      <c r="CWZ82" s="2567"/>
      <c r="CXA82" s="2567"/>
      <c r="CXB82" s="2567"/>
      <c r="CXC82" s="2567"/>
      <c r="CXD82" s="2567"/>
      <c r="CXE82" s="2567"/>
      <c r="CXF82" s="2567"/>
      <c r="CXG82" s="2567"/>
      <c r="CXH82" s="2567"/>
      <c r="CXI82" s="2567"/>
      <c r="CXJ82" s="2567"/>
      <c r="CXK82" s="2567"/>
      <c r="CXL82" s="2567"/>
      <c r="CXM82" s="2567"/>
      <c r="CXN82" s="2567"/>
      <c r="CXO82" s="2567"/>
      <c r="CXP82" s="2567"/>
      <c r="CXQ82" s="2567"/>
      <c r="CXR82" s="2567"/>
      <c r="CXS82" s="2567"/>
      <c r="CXT82" s="2567"/>
      <c r="CXU82" s="2567"/>
      <c r="CXV82" s="2567"/>
      <c r="CXW82" s="2567"/>
      <c r="CXX82" s="2567"/>
      <c r="CXY82" s="2567"/>
      <c r="CXZ82" s="2567"/>
      <c r="CYA82" s="2567"/>
      <c r="CYB82" s="2567"/>
      <c r="CYC82" s="2567"/>
      <c r="CYD82" s="2567"/>
      <c r="CYE82" s="2567"/>
      <c r="CYF82" s="2567"/>
      <c r="CYG82" s="2567"/>
      <c r="CYH82" s="2567"/>
      <c r="CYI82" s="2567"/>
      <c r="CYJ82" s="2567"/>
      <c r="CYK82" s="2567"/>
      <c r="CYL82" s="2567"/>
      <c r="CYM82" s="2567"/>
      <c r="CYN82" s="2567"/>
      <c r="CYO82" s="2567"/>
      <c r="CYP82" s="2567"/>
      <c r="CYQ82" s="2567"/>
      <c r="CYR82" s="2567"/>
      <c r="CYS82" s="2567"/>
      <c r="CYT82" s="2567"/>
      <c r="CYU82" s="2567"/>
      <c r="CYV82" s="2567"/>
      <c r="CYW82" s="2567"/>
      <c r="CYX82" s="2567"/>
      <c r="CYY82" s="2567"/>
      <c r="CYZ82" s="2567"/>
      <c r="CZA82" s="2567"/>
      <c r="CZB82" s="2567"/>
      <c r="CZC82" s="2567"/>
      <c r="CZD82" s="2567"/>
      <c r="CZE82" s="2567"/>
      <c r="CZF82" s="2567"/>
      <c r="CZG82" s="2567"/>
      <c r="CZH82" s="2567"/>
      <c r="CZI82" s="2567"/>
      <c r="CZJ82" s="2567"/>
      <c r="CZK82" s="2567"/>
      <c r="CZL82" s="2567"/>
      <c r="CZM82" s="2567"/>
      <c r="CZN82" s="2567"/>
      <c r="CZO82" s="2567"/>
      <c r="CZP82" s="2567"/>
      <c r="CZQ82" s="2567"/>
      <c r="CZR82" s="2567"/>
      <c r="CZS82" s="2567"/>
      <c r="CZT82" s="2567"/>
      <c r="CZU82" s="2567"/>
      <c r="CZV82" s="2567"/>
      <c r="CZW82" s="2567"/>
      <c r="CZX82" s="2567"/>
      <c r="CZY82" s="2567"/>
      <c r="CZZ82" s="2567"/>
      <c r="DAA82" s="2567"/>
      <c r="DAB82" s="2567"/>
      <c r="DAC82" s="2567"/>
      <c r="DAD82" s="2567"/>
      <c r="DAE82" s="2567"/>
      <c r="DAF82" s="2567"/>
      <c r="DAG82" s="2567"/>
      <c r="DAH82" s="2567"/>
      <c r="DAI82" s="2567"/>
      <c r="DAJ82" s="2567"/>
      <c r="DAK82" s="2567"/>
      <c r="DAL82" s="2567"/>
      <c r="DAM82" s="2567"/>
      <c r="DAN82" s="2567"/>
      <c r="DAO82" s="2567"/>
      <c r="DAP82" s="2567"/>
      <c r="DAQ82" s="2567"/>
      <c r="DAR82" s="2567"/>
      <c r="DAS82" s="2567"/>
      <c r="DAT82" s="2567"/>
      <c r="DAU82" s="2567"/>
      <c r="DAV82" s="2567"/>
      <c r="DAW82" s="2567"/>
      <c r="DAX82" s="2567"/>
      <c r="DAY82" s="2567"/>
      <c r="DAZ82" s="2567"/>
      <c r="DBA82" s="2567"/>
      <c r="DBB82" s="2567"/>
      <c r="DBC82" s="2567"/>
      <c r="DBD82" s="2567"/>
      <c r="DBE82" s="2567"/>
      <c r="DBF82" s="2567"/>
      <c r="DBG82" s="2567"/>
      <c r="DBH82" s="2567"/>
      <c r="DBI82" s="2567"/>
      <c r="DBJ82" s="2567"/>
      <c r="DBK82" s="2567"/>
      <c r="DBL82" s="2567"/>
      <c r="DBM82" s="2567"/>
      <c r="DBN82" s="2567"/>
      <c r="DBO82" s="2567"/>
      <c r="DBP82" s="2567"/>
      <c r="DBQ82" s="2567"/>
      <c r="DBR82" s="2567"/>
      <c r="DBS82" s="2567"/>
      <c r="DBT82" s="2567"/>
      <c r="DBU82" s="2567"/>
      <c r="DBV82" s="2567"/>
      <c r="DBW82" s="2567"/>
      <c r="DBX82" s="2567"/>
      <c r="DBY82" s="2567"/>
      <c r="DBZ82" s="2567"/>
      <c r="DCA82" s="2567"/>
      <c r="DCB82" s="2567"/>
      <c r="DCC82" s="2567"/>
      <c r="DCD82" s="2567"/>
      <c r="DCE82" s="2567"/>
      <c r="DCF82" s="2567"/>
      <c r="DCG82" s="2567"/>
      <c r="DCH82" s="2567"/>
      <c r="DCI82" s="2567"/>
      <c r="DCJ82" s="2567"/>
      <c r="DCK82" s="2567"/>
      <c r="DCL82" s="2567"/>
      <c r="DCM82" s="2567"/>
      <c r="DCN82" s="2567"/>
      <c r="DCO82" s="2567"/>
      <c r="DCP82" s="2567"/>
      <c r="DCQ82" s="2567"/>
      <c r="DCR82" s="2567"/>
      <c r="DCS82" s="2567"/>
      <c r="DCT82" s="2567"/>
      <c r="DCU82" s="2567"/>
      <c r="DCV82" s="2567"/>
      <c r="DCW82" s="2567"/>
      <c r="DCX82" s="2567"/>
      <c r="DCY82" s="2567"/>
      <c r="DCZ82" s="2567"/>
      <c r="DDA82" s="2567"/>
      <c r="DDB82" s="2567"/>
      <c r="DDC82" s="2567"/>
      <c r="DDD82" s="2567"/>
      <c r="DDE82" s="2567"/>
      <c r="DDF82" s="2567"/>
      <c r="DDG82" s="2567"/>
      <c r="DDH82" s="2567"/>
      <c r="DDI82" s="2567"/>
      <c r="DDJ82" s="2567"/>
      <c r="DDK82" s="2567"/>
      <c r="DDL82" s="2567"/>
      <c r="DDM82" s="2567"/>
      <c r="DDN82" s="2567"/>
      <c r="DDO82" s="2567"/>
      <c r="DDP82" s="2567"/>
      <c r="DDQ82" s="2567"/>
      <c r="DDR82" s="2567"/>
      <c r="DDS82" s="2567"/>
      <c r="DDT82" s="2567"/>
      <c r="DDU82" s="2567"/>
      <c r="DDV82" s="2567"/>
      <c r="DDW82" s="2567"/>
      <c r="DDX82" s="2567"/>
      <c r="DDY82" s="2567"/>
      <c r="DDZ82" s="2567"/>
      <c r="DEA82" s="2567"/>
      <c r="DEB82" s="2567"/>
      <c r="DEC82" s="2567"/>
      <c r="DED82" s="2567"/>
      <c r="DEE82" s="2567"/>
      <c r="DEF82" s="2567"/>
      <c r="DEG82" s="2567"/>
      <c r="DEH82" s="2567"/>
      <c r="DEI82" s="2567"/>
      <c r="DEJ82" s="2567"/>
      <c r="DEK82" s="2567"/>
      <c r="DEL82" s="2567"/>
      <c r="DEM82" s="2567"/>
      <c r="DEN82" s="2567"/>
      <c r="DEO82" s="2567"/>
      <c r="DEP82" s="2567"/>
      <c r="DEQ82" s="2567"/>
      <c r="DER82" s="2567"/>
      <c r="DES82" s="2567"/>
      <c r="DET82" s="2567"/>
      <c r="DEU82" s="2567"/>
      <c r="DEV82" s="2567"/>
      <c r="DEW82" s="2567"/>
      <c r="DEX82" s="2567"/>
      <c r="DEY82" s="2567"/>
      <c r="DEZ82" s="2567"/>
      <c r="DFA82" s="2567"/>
      <c r="DFB82" s="2567"/>
      <c r="DFC82" s="2567"/>
      <c r="DFD82" s="2567"/>
      <c r="DFE82" s="2567"/>
      <c r="DFF82" s="2567"/>
      <c r="DFG82" s="2567"/>
      <c r="DFH82" s="2567"/>
      <c r="DFI82" s="2567"/>
      <c r="DFJ82" s="2567"/>
      <c r="DFK82" s="2567"/>
      <c r="DFL82" s="2567"/>
      <c r="DFM82" s="2567"/>
      <c r="DFN82" s="2567"/>
      <c r="DFO82" s="2567"/>
      <c r="DFP82" s="2567"/>
      <c r="DFQ82" s="2567"/>
      <c r="DFR82" s="2567"/>
      <c r="DFS82" s="2567"/>
      <c r="DFT82" s="2567"/>
      <c r="DFU82" s="2567"/>
      <c r="DFV82" s="2567"/>
      <c r="DFW82" s="2567"/>
      <c r="DFX82" s="2567"/>
      <c r="DFY82" s="2567"/>
      <c r="DFZ82" s="2567"/>
      <c r="DGA82" s="2567"/>
      <c r="DGB82" s="2567"/>
      <c r="DGC82" s="2567"/>
      <c r="DGD82" s="2567"/>
      <c r="DGE82" s="2567"/>
      <c r="DGF82" s="2567"/>
      <c r="DGG82" s="2567"/>
      <c r="DGH82" s="2567"/>
      <c r="DGI82" s="2567"/>
      <c r="DGJ82" s="2567"/>
      <c r="DGK82" s="2567"/>
      <c r="DGL82" s="2567"/>
      <c r="DGM82" s="2567"/>
      <c r="DGN82" s="2567"/>
      <c r="DGO82" s="2567"/>
      <c r="DGP82" s="2567"/>
      <c r="DGQ82" s="2567"/>
      <c r="DGR82" s="2567"/>
      <c r="DGS82" s="2567"/>
      <c r="DGT82" s="2567"/>
      <c r="DGU82" s="2567"/>
      <c r="DGV82" s="2567"/>
      <c r="DGW82" s="2567"/>
      <c r="DGX82" s="2567"/>
      <c r="DGY82" s="2567"/>
      <c r="DGZ82" s="2567"/>
      <c r="DHA82" s="2567"/>
      <c r="DHB82" s="2567"/>
      <c r="DHC82" s="2567"/>
      <c r="DHD82" s="2567"/>
      <c r="DHE82" s="2567"/>
      <c r="DHF82" s="2567"/>
      <c r="DHG82" s="2567"/>
      <c r="DHH82" s="2567"/>
      <c r="DHI82" s="2567"/>
      <c r="DHJ82" s="2567"/>
      <c r="DHK82" s="2567"/>
      <c r="DHL82" s="2567"/>
      <c r="DHM82" s="2567"/>
      <c r="DHN82" s="2567"/>
      <c r="DHO82" s="2567"/>
      <c r="DHP82" s="2567"/>
      <c r="DHQ82" s="2567"/>
      <c r="DHR82" s="2567"/>
      <c r="DHS82" s="2567"/>
      <c r="DHT82" s="2567"/>
      <c r="DHU82" s="2567"/>
      <c r="DHV82" s="2567"/>
      <c r="DHW82" s="2567"/>
      <c r="DHX82" s="2567"/>
      <c r="DHY82" s="2567"/>
      <c r="DHZ82" s="2567"/>
      <c r="DIA82" s="2567"/>
      <c r="DIB82" s="2567"/>
      <c r="DIC82" s="2567"/>
      <c r="DID82" s="2567"/>
      <c r="DIE82" s="2567"/>
      <c r="DIF82" s="2567"/>
      <c r="DIG82" s="2567"/>
      <c r="DIH82" s="2567"/>
      <c r="DII82" s="2567"/>
      <c r="DIJ82" s="2567"/>
      <c r="DIK82" s="2567"/>
      <c r="DIL82" s="2567"/>
      <c r="DIM82" s="2567"/>
      <c r="DIN82" s="2567"/>
      <c r="DIO82" s="2567"/>
      <c r="DIP82" s="2567"/>
      <c r="DIQ82" s="2567"/>
      <c r="DIR82" s="2567"/>
      <c r="DIS82" s="2567"/>
      <c r="DIT82" s="2567"/>
      <c r="DIU82" s="2567"/>
      <c r="DIV82" s="2567"/>
      <c r="DIW82" s="2567"/>
      <c r="DIX82" s="2567"/>
      <c r="DIY82" s="2567"/>
      <c r="DIZ82" s="2567"/>
      <c r="DJA82" s="2567"/>
      <c r="DJB82" s="2567"/>
      <c r="DJC82" s="2567"/>
      <c r="DJD82" s="2567"/>
      <c r="DJE82" s="2567"/>
      <c r="DJF82" s="2567"/>
      <c r="DJG82" s="2567"/>
      <c r="DJH82" s="2567"/>
      <c r="DJI82" s="2567"/>
      <c r="DJJ82" s="2567"/>
      <c r="DJK82" s="2567"/>
      <c r="DJL82" s="2567"/>
      <c r="DJM82" s="2567"/>
      <c r="DJN82" s="2567"/>
      <c r="DJO82" s="2567"/>
      <c r="DJP82" s="2567"/>
      <c r="DJQ82" s="2567"/>
      <c r="DJR82" s="2567"/>
      <c r="DJS82" s="2567"/>
      <c r="DJT82" s="2567"/>
      <c r="DJU82" s="2567"/>
      <c r="DJV82" s="2567"/>
      <c r="DJW82" s="2567"/>
      <c r="DJX82" s="2567"/>
      <c r="DJY82" s="2567"/>
      <c r="DJZ82" s="2567"/>
      <c r="DKA82" s="2567"/>
      <c r="DKB82" s="2567"/>
      <c r="DKC82" s="2567"/>
      <c r="DKD82" s="2567"/>
      <c r="DKE82" s="2567"/>
      <c r="DKF82" s="2567"/>
      <c r="DKG82" s="2567"/>
      <c r="DKH82" s="2567"/>
      <c r="DKI82" s="2567"/>
      <c r="DKJ82" s="2567"/>
      <c r="DKK82" s="2567"/>
      <c r="DKL82" s="2567"/>
      <c r="DKM82" s="2567"/>
      <c r="DKN82" s="2567"/>
      <c r="DKO82" s="2567"/>
      <c r="DKP82" s="2567"/>
      <c r="DKQ82" s="2567"/>
      <c r="DKR82" s="2567"/>
      <c r="DKS82" s="2567"/>
      <c r="DKT82" s="2567"/>
      <c r="DKU82" s="2567"/>
      <c r="DKV82" s="2567"/>
      <c r="DKW82" s="2567"/>
      <c r="DKX82" s="2567"/>
      <c r="DKY82" s="2567"/>
      <c r="DKZ82" s="2567"/>
      <c r="DLA82" s="2567"/>
      <c r="DLB82" s="2567"/>
      <c r="DLC82" s="2567"/>
      <c r="DLD82" s="2567"/>
      <c r="DLE82" s="2567"/>
      <c r="DLF82" s="2567"/>
      <c r="DLG82" s="2567"/>
      <c r="DLH82" s="2567"/>
      <c r="DLI82" s="2567"/>
      <c r="DLJ82" s="2567"/>
      <c r="DLK82" s="2567"/>
      <c r="DLL82" s="2567"/>
      <c r="DLM82" s="2567"/>
      <c r="DLN82" s="2567"/>
      <c r="DLO82" s="2567"/>
      <c r="DLP82" s="2567"/>
      <c r="DLQ82" s="2567"/>
      <c r="DLR82" s="2567"/>
      <c r="DLS82" s="2567"/>
      <c r="DLT82" s="2567"/>
      <c r="DLU82" s="2567"/>
      <c r="DLV82" s="2567"/>
      <c r="DLW82" s="2567"/>
      <c r="DLX82" s="2567"/>
      <c r="DLY82" s="2567"/>
      <c r="DLZ82" s="2567"/>
      <c r="DMA82" s="2567"/>
      <c r="DMB82" s="2567"/>
      <c r="DMC82" s="2567"/>
      <c r="DMD82" s="2567"/>
      <c r="DME82" s="2567"/>
      <c r="DMF82" s="2567"/>
      <c r="DMG82" s="2567"/>
      <c r="DMH82" s="2567"/>
      <c r="DMI82" s="2567"/>
      <c r="DMJ82" s="2567"/>
      <c r="DMK82" s="2567"/>
      <c r="DML82" s="2567"/>
      <c r="DMM82" s="2567"/>
      <c r="DMN82" s="2567"/>
      <c r="DMO82" s="2567"/>
      <c r="DMP82" s="2567"/>
      <c r="DMQ82" s="2567"/>
      <c r="DMR82" s="2567"/>
      <c r="DMS82" s="2567"/>
      <c r="DMT82" s="2567"/>
      <c r="DMU82" s="2567"/>
      <c r="DMV82" s="2567"/>
      <c r="DMW82" s="2567"/>
      <c r="DMX82" s="2567"/>
      <c r="DMY82" s="2567"/>
      <c r="DMZ82" s="2567"/>
      <c r="DNA82" s="2567"/>
      <c r="DNB82" s="2567"/>
      <c r="DNC82" s="2567"/>
      <c r="DND82" s="2567"/>
      <c r="DNE82" s="2567"/>
      <c r="DNF82" s="2567"/>
      <c r="DNG82" s="2567"/>
      <c r="DNH82" s="2567"/>
      <c r="DNI82" s="2567"/>
      <c r="DNJ82" s="2567"/>
      <c r="DNK82" s="2567"/>
      <c r="DNL82" s="2567"/>
      <c r="DNM82" s="2567"/>
      <c r="DNN82" s="2567"/>
      <c r="DNO82" s="2567"/>
      <c r="DNP82" s="2567"/>
      <c r="DNQ82" s="2567"/>
      <c r="DNR82" s="2567"/>
      <c r="DNS82" s="2567"/>
      <c r="DNT82" s="2567"/>
      <c r="DNU82" s="2567"/>
      <c r="DNV82" s="2567"/>
      <c r="DNW82" s="2567"/>
      <c r="DNX82" s="2567"/>
      <c r="DNY82" s="2567"/>
      <c r="DNZ82" s="2567"/>
      <c r="DOA82" s="2567"/>
      <c r="DOB82" s="2567"/>
      <c r="DOC82" s="2567"/>
      <c r="DOD82" s="2567"/>
      <c r="DOE82" s="2567"/>
      <c r="DOF82" s="2567"/>
      <c r="DOG82" s="2567"/>
      <c r="DOH82" s="2567"/>
      <c r="DOI82" s="2567"/>
      <c r="DOJ82" s="2567"/>
      <c r="DOK82" s="2567"/>
      <c r="DOL82" s="2567"/>
      <c r="DOM82" s="2567"/>
      <c r="DON82" s="2567"/>
      <c r="DOO82" s="2567"/>
      <c r="DOP82" s="2567"/>
      <c r="DOQ82" s="2567"/>
      <c r="DOR82" s="2567"/>
      <c r="DOS82" s="2567"/>
      <c r="DOT82" s="2567"/>
      <c r="DOU82" s="2567"/>
      <c r="DOV82" s="2567"/>
      <c r="DOW82" s="2567"/>
      <c r="DOX82" s="2567"/>
      <c r="DOY82" s="2567"/>
      <c r="DOZ82" s="2567"/>
      <c r="DPA82" s="2567"/>
      <c r="DPB82" s="2567"/>
      <c r="DPC82" s="2567"/>
      <c r="DPD82" s="2567"/>
      <c r="DPE82" s="2567"/>
      <c r="DPF82" s="2567"/>
      <c r="DPG82" s="2567"/>
      <c r="DPH82" s="2567"/>
      <c r="DPI82" s="2567"/>
      <c r="DPJ82" s="2567"/>
      <c r="DPK82" s="2567"/>
      <c r="DPL82" s="2567"/>
      <c r="DPM82" s="2567"/>
      <c r="DPN82" s="2567"/>
      <c r="DPO82" s="2567"/>
      <c r="DPP82" s="2567"/>
      <c r="DPQ82" s="2567"/>
      <c r="DPR82" s="2567"/>
      <c r="DPS82" s="2567"/>
      <c r="DPT82" s="2567"/>
      <c r="DPU82" s="2567"/>
      <c r="DPV82" s="2567"/>
      <c r="DPW82" s="2567"/>
      <c r="DPX82" s="2567"/>
      <c r="DPY82" s="2567"/>
      <c r="DPZ82" s="2567"/>
      <c r="DQA82" s="2567"/>
      <c r="DQB82" s="2567"/>
      <c r="DQC82" s="2567"/>
      <c r="DQD82" s="2567"/>
      <c r="DQE82" s="2567"/>
      <c r="DQF82" s="2567"/>
      <c r="DQG82" s="2567"/>
      <c r="DQH82" s="2567"/>
      <c r="DQI82" s="2567"/>
      <c r="DQJ82" s="2567"/>
      <c r="DQK82" s="2567"/>
      <c r="DQL82" s="2567"/>
      <c r="DQM82" s="2567"/>
      <c r="DQN82" s="2567"/>
      <c r="DQO82" s="2567"/>
      <c r="DQP82" s="2567"/>
      <c r="DQQ82" s="2567"/>
      <c r="DQR82" s="2567"/>
      <c r="DQS82" s="2567"/>
      <c r="DQT82" s="2567"/>
      <c r="DQU82" s="2567"/>
      <c r="DQV82" s="2567"/>
      <c r="DQW82" s="2567"/>
      <c r="DQX82" s="2567"/>
      <c r="DQY82" s="2567"/>
      <c r="DQZ82" s="2567"/>
      <c r="DRA82" s="2567"/>
      <c r="DRB82" s="2567"/>
      <c r="DRC82" s="2567"/>
      <c r="DRD82" s="2567"/>
      <c r="DRE82" s="2567"/>
      <c r="DRF82" s="2567"/>
      <c r="DRG82" s="2567"/>
      <c r="DRH82" s="2567"/>
      <c r="DRI82" s="2567"/>
      <c r="DRJ82" s="2567"/>
      <c r="DRK82" s="2567"/>
      <c r="DRL82" s="2567"/>
      <c r="DRM82" s="2567"/>
      <c r="DRN82" s="2567"/>
      <c r="DRO82" s="2567"/>
      <c r="DRP82" s="2567"/>
      <c r="DRQ82" s="2567"/>
      <c r="DRR82" s="2567"/>
      <c r="DRS82" s="2567"/>
      <c r="DRT82" s="2567"/>
      <c r="DRU82" s="2567"/>
      <c r="DRV82" s="2567"/>
      <c r="DRW82" s="2567"/>
      <c r="DRX82" s="2567"/>
      <c r="DRY82" s="2567"/>
      <c r="DRZ82" s="2567"/>
      <c r="DSA82" s="2567"/>
      <c r="DSB82" s="2567"/>
      <c r="DSC82" s="2567"/>
      <c r="DSD82" s="2567"/>
      <c r="DSE82" s="2567"/>
      <c r="DSF82" s="2567"/>
      <c r="DSG82" s="2567"/>
      <c r="DSH82" s="2567"/>
      <c r="DSI82" s="2567"/>
      <c r="DSJ82" s="2567"/>
      <c r="DSK82" s="2567"/>
      <c r="DSL82" s="2567"/>
      <c r="DSM82" s="2567"/>
      <c r="DSN82" s="2567"/>
      <c r="DSO82" s="2567"/>
      <c r="DSP82" s="2567"/>
      <c r="DSQ82" s="2567"/>
      <c r="DSR82" s="2567"/>
      <c r="DSS82" s="2567"/>
      <c r="DST82" s="2567"/>
      <c r="DSU82" s="2567"/>
      <c r="DSV82" s="2567"/>
      <c r="DSW82" s="2567"/>
      <c r="DSX82" s="2567"/>
      <c r="DSY82" s="2567"/>
      <c r="DSZ82" s="2567"/>
      <c r="DTA82" s="2567"/>
      <c r="DTB82" s="2567"/>
      <c r="DTC82" s="2567"/>
      <c r="DTD82" s="2567"/>
      <c r="DTE82" s="2567"/>
      <c r="DTF82" s="2567"/>
      <c r="DTG82" s="2567"/>
      <c r="DTH82" s="2567"/>
      <c r="DTI82" s="2567"/>
      <c r="DTJ82" s="2567"/>
      <c r="DTK82" s="2567"/>
      <c r="DTL82" s="2567"/>
      <c r="DTM82" s="2567"/>
      <c r="DTN82" s="2567"/>
      <c r="DTO82" s="2567"/>
      <c r="DTP82" s="2567"/>
      <c r="DTQ82" s="2567"/>
      <c r="DTR82" s="2567"/>
      <c r="DTS82" s="2567"/>
      <c r="DTT82" s="2567"/>
      <c r="DTU82" s="2567"/>
      <c r="DTV82" s="2567"/>
      <c r="DTW82" s="2567"/>
      <c r="DTX82" s="2567"/>
      <c r="DTY82" s="2567"/>
      <c r="DTZ82" s="2567"/>
      <c r="DUA82" s="2567"/>
      <c r="DUB82" s="2567"/>
      <c r="DUC82" s="2567"/>
      <c r="DUD82" s="2567"/>
      <c r="DUE82" s="2567"/>
      <c r="DUF82" s="2567"/>
      <c r="DUG82" s="2567"/>
      <c r="DUH82" s="2567"/>
      <c r="DUI82" s="2567"/>
      <c r="DUJ82" s="2567"/>
      <c r="DUK82" s="2567"/>
      <c r="DUL82" s="2567"/>
      <c r="DUM82" s="2567"/>
      <c r="DUN82" s="2567"/>
      <c r="DUO82" s="2567"/>
      <c r="DUP82" s="2567"/>
      <c r="DUQ82" s="2567"/>
      <c r="DUR82" s="2567"/>
      <c r="DUS82" s="2567"/>
      <c r="DUT82" s="2567"/>
      <c r="DUU82" s="2567"/>
      <c r="DUV82" s="2567"/>
      <c r="DUW82" s="2567"/>
      <c r="DUX82" s="2567"/>
      <c r="DUY82" s="2567"/>
      <c r="DUZ82" s="2567"/>
      <c r="DVA82" s="2567"/>
      <c r="DVB82" s="2567"/>
      <c r="DVC82" s="2567"/>
      <c r="DVD82" s="2567"/>
      <c r="DVE82" s="2567"/>
      <c r="DVF82" s="2567"/>
      <c r="DVG82" s="2567"/>
      <c r="DVH82" s="2567"/>
      <c r="DVI82" s="2567"/>
      <c r="DVJ82" s="2567"/>
      <c r="DVK82" s="2567"/>
      <c r="DVL82" s="2567"/>
      <c r="DVM82" s="2567"/>
      <c r="DVN82" s="2567"/>
      <c r="DVO82" s="2567"/>
      <c r="DVP82" s="2567"/>
      <c r="DVQ82" s="2567"/>
      <c r="DVR82" s="2567"/>
      <c r="DVS82" s="2567"/>
      <c r="DVT82" s="2567"/>
      <c r="DVU82" s="2567"/>
      <c r="DVV82" s="2567"/>
      <c r="DVW82" s="2567"/>
      <c r="DVX82" s="2567"/>
      <c r="DVY82" s="2567"/>
      <c r="DVZ82" s="2567"/>
      <c r="DWA82" s="2567"/>
      <c r="DWB82" s="2567"/>
      <c r="DWC82" s="2567"/>
      <c r="DWD82" s="2567"/>
      <c r="DWE82" s="2567"/>
      <c r="DWF82" s="2567"/>
      <c r="DWG82" s="2567"/>
      <c r="DWH82" s="2567"/>
      <c r="DWI82" s="2567"/>
      <c r="DWJ82" s="2567"/>
      <c r="DWK82" s="2567"/>
      <c r="DWL82" s="2567"/>
      <c r="DWM82" s="2567"/>
      <c r="DWN82" s="2567"/>
      <c r="DWO82" s="2567"/>
      <c r="DWP82" s="2567"/>
      <c r="DWQ82" s="2567"/>
      <c r="DWR82" s="2567"/>
      <c r="DWS82" s="2567"/>
      <c r="DWT82" s="2567"/>
      <c r="DWU82" s="2567"/>
      <c r="DWV82" s="2567"/>
      <c r="DWW82" s="2567"/>
      <c r="DWX82" s="2567"/>
      <c r="DWY82" s="2567"/>
      <c r="DWZ82" s="2567"/>
      <c r="DXA82" s="2567"/>
      <c r="DXB82" s="2567"/>
      <c r="DXC82" s="2567"/>
      <c r="DXD82" s="2567"/>
      <c r="DXE82" s="2567"/>
      <c r="DXF82" s="2567"/>
      <c r="DXG82" s="2567"/>
      <c r="DXH82" s="2567"/>
      <c r="DXI82" s="2567"/>
      <c r="DXJ82" s="2567"/>
      <c r="DXK82" s="2567"/>
      <c r="DXL82" s="2567"/>
      <c r="DXM82" s="2567"/>
      <c r="DXN82" s="2567"/>
      <c r="DXO82" s="2567"/>
      <c r="DXP82" s="2567"/>
      <c r="DXQ82" s="2567"/>
      <c r="DXR82" s="2567"/>
      <c r="DXS82" s="2567"/>
      <c r="DXT82" s="2567"/>
      <c r="DXU82" s="2567"/>
      <c r="DXV82" s="2567"/>
      <c r="DXW82" s="2567"/>
      <c r="DXX82" s="2567"/>
      <c r="DXY82" s="2567"/>
      <c r="DXZ82" s="2567"/>
      <c r="DYA82" s="2567"/>
      <c r="DYB82" s="2567"/>
      <c r="DYC82" s="2567"/>
      <c r="DYD82" s="2567"/>
      <c r="DYE82" s="2567"/>
      <c r="DYF82" s="2567"/>
      <c r="DYG82" s="2567"/>
      <c r="DYH82" s="2567"/>
      <c r="DYI82" s="2567"/>
      <c r="DYJ82" s="2567"/>
      <c r="DYK82" s="2567"/>
      <c r="DYL82" s="2567"/>
      <c r="DYM82" s="2567"/>
      <c r="DYN82" s="2567"/>
      <c r="DYO82" s="2567"/>
      <c r="DYP82" s="2567"/>
      <c r="DYQ82" s="2567"/>
      <c r="DYR82" s="2567"/>
      <c r="DYS82" s="2567"/>
      <c r="DYT82" s="2567"/>
      <c r="DYU82" s="2567"/>
      <c r="DYV82" s="2567"/>
      <c r="DYW82" s="2567"/>
      <c r="DYX82" s="2567"/>
      <c r="DYY82" s="2567"/>
      <c r="DYZ82" s="2567"/>
      <c r="DZA82" s="2567"/>
      <c r="DZB82" s="2567"/>
      <c r="DZC82" s="2567"/>
      <c r="DZD82" s="2567"/>
      <c r="DZE82" s="2567"/>
      <c r="DZF82" s="2567"/>
      <c r="DZG82" s="2567"/>
      <c r="DZH82" s="2567"/>
      <c r="DZI82" s="2567"/>
      <c r="DZJ82" s="2567"/>
      <c r="DZK82" s="2567"/>
      <c r="DZL82" s="2567"/>
      <c r="DZM82" s="2567"/>
      <c r="DZN82" s="2567"/>
      <c r="DZO82" s="2567"/>
      <c r="DZP82" s="2567"/>
      <c r="DZQ82" s="2567"/>
      <c r="DZR82" s="2567"/>
      <c r="DZS82" s="2567"/>
      <c r="DZT82" s="2567"/>
      <c r="DZU82" s="2567"/>
      <c r="DZV82" s="2567"/>
      <c r="DZW82" s="2567"/>
      <c r="DZX82" s="2567"/>
      <c r="DZY82" s="2567"/>
      <c r="DZZ82" s="2567"/>
      <c r="EAA82" s="2567"/>
      <c r="EAB82" s="2567"/>
      <c r="EAC82" s="2567"/>
      <c r="EAD82" s="2567"/>
      <c r="EAE82" s="2567"/>
      <c r="EAF82" s="2567"/>
      <c r="EAG82" s="2567"/>
      <c r="EAH82" s="2567"/>
      <c r="EAI82" s="2567"/>
      <c r="EAJ82" s="2567"/>
      <c r="EAK82" s="2567"/>
      <c r="EAL82" s="2567"/>
      <c r="EAM82" s="2567"/>
      <c r="EAN82" s="2567"/>
      <c r="EAO82" s="2567"/>
      <c r="EAP82" s="2567"/>
      <c r="EAQ82" s="2567"/>
      <c r="EAR82" s="2567"/>
      <c r="EAS82" s="2567"/>
      <c r="EAT82" s="2567"/>
      <c r="EAU82" s="2567"/>
      <c r="EAV82" s="2567"/>
      <c r="EAW82" s="2567"/>
      <c r="EAX82" s="2567"/>
      <c r="EAY82" s="2567"/>
      <c r="EAZ82" s="2567"/>
      <c r="EBA82" s="2567"/>
      <c r="EBB82" s="2567"/>
      <c r="EBC82" s="2567"/>
      <c r="EBD82" s="2567"/>
      <c r="EBE82" s="2567"/>
      <c r="EBF82" s="2567"/>
      <c r="EBG82" s="2567"/>
      <c r="EBH82" s="2567"/>
      <c r="EBI82" s="2567"/>
      <c r="EBJ82" s="2567"/>
      <c r="EBK82" s="2567"/>
      <c r="EBL82" s="2567"/>
      <c r="EBM82" s="2567"/>
      <c r="EBN82" s="2567"/>
      <c r="EBO82" s="2567"/>
      <c r="EBP82" s="2567"/>
      <c r="EBQ82" s="2567"/>
      <c r="EBR82" s="2567"/>
      <c r="EBS82" s="2567"/>
      <c r="EBT82" s="2567"/>
      <c r="EBU82" s="2567"/>
      <c r="EBV82" s="2567"/>
      <c r="EBW82" s="2567"/>
      <c r="EBX82" s="2567"/>
      <c r="EBY82" s="2567"/>
      <c r="EBZ82" s="2567"/>
      <c r="ECA82" s="2567"/>
      <c r="ECB82" s="2567"/>
      <c r="ECC82" s="2567"/>
      <c r="ECD82" s="2567"/>
      <c r="ECE82" s="2567"/>
      <c r="ECF82" s="2567"/>
      <c r="ECG82" s="2567"/>
      <c r="ECH82" s="2567"/>
      <c r="ECI82" s="2567"/>
      <c r="ECJ82" s="2567"/>
      <c r="ECK82" s="2567"/>
      <c r="ECL82" s="2567"/>
      <c r="ECM82" s="2567"/>
      <c r="ECN82" s="2567"/>
      <c r="ECO82" s="2567"/>
      <c r="ECP82" s="2567"/>
      <c r="ECQ82" s="2567"/>
      <c r="ECR82" s="2567"/>
      <c r="ECS82" s="2567"/>
      <c r="ECT82" s="2567"/>
      <c r="ECU82" s="2567"/>
      <c r="ECV82" s="2567"/>
      <c r="ECW82" s="2567"/>
      <c r="ECX82" s="2567"/>
      <c r="ECY82" s="2567"/>
      <c r="ECZ82" s="2567"/>
      <c r="EDA82" s="2567"/>
      <c r="EDB82" s="2567"/>
      <c r="EDC82" s="2567"/>
      <c r="EDD82" s="2567"/>
      <c r="EDE82" s="2567"/>
      <c r="EDF82" s="2567"/>
      <c r="EDG82" s="2567"/>
      <c r="EDH82" s="2567"/>
      <c r="EDI82" s="2567"/>
      <c r="EDJ82" s="2567"/>
      <c r="EDK82" s="2567"/>
      <c r="EDL82" s="2567"/>
      <c r="EDM82" s="2567"/>
      <c r="EDN82" s="2567"/>
      <c r="EDO82" s="2567"/>
      <c r="EDP82" s="2567"/>
      <c r="EDQ82" s="2567"/>
      <c r="EDR82" s="2567"/>
      <c r="EDS82" s="2567"/>
      <c r="EDT82" s="2567"/>
      <c r="EDU82" s="2567"/>
      <c r="EDV82" s="2567"/>
      <c r="EDW82" s="2567"/>
      <c r="EDX82" s="2567"/>
      <c r="EDY82" s="2567"/>
      <c r="EDZ82" s="2567"/>
      <c r="EEA82" s="2567"/>
      <c r="EEB82" s="2567"/>
      <c r="EEC82" s="2567"/>
      <c r="EED82" s="2567"/>
      <c r="EEE82" s="2567"/>
      <c r="EEF82" s="2567"/>
      <c r="EEG82" s="2567"/>
      <c r="EEH82" s="2567"/>
      <c r="EEI82" s="2567"/>
      <c r="EEJ82" s="2567"/>
      <c r="EEK82" s="2567"/>
      <c r="EEL82" s="2567"/>
      <c r="EEM82" s="2567"/>
      <c r="EEN82" s="2567"/>
      <c r="EEO82" s="2567"/>
      <c r="EEP82" s="2567"/>
      <c r="EEQ82" s="2567"/>
      <c r="EER82" s="2567"/>
      <c r="EES82" s="2567"/>
      <c r="EET82" s="2567"/>
      <c r="EEU82" s="2567"/>
      <c r="EEV82" s="2567"/>
      <c r="EEW82" s="2567"/>
      <c r="EEX82" s="2567"/>
      <c r="EEY82" s="2567"/>
      <c r="EEZ82" s="2567"/>
      <c r="EFA82" s="2567"/>
      <c r="EFB82" s="2567"/>
      <c r="EFC82" s="2567"/>
      <c r="EFD82" s="2567"/>
      <c r="EFE82" s="2567"/>
      <c r="EFF82" s="2567"/>
      <c r="EFG82" s="2567"/>
      <c r="EFH82" s="2567"/>
      <c r="EFI82" s="2567"/>
      <c r="EFJ82" s="2567"/>
      <c r="EFK82" s="2567"/>
      <c r="EFL82" s="2567"/>
      <c r="EFM82" s="2567"/>
      <c r="EFN82" s="2567"/>
      <c r="EFO82" s="2567"/>
      <c r="EFP82" s="2567"/>
      <c r="EFQ82" s="2567"/>
      <c r="EFR82" s="2567"/>
      <c r="EFS82" s="2567"/>
      <c r="EFT82" s="2567"/>
      <c r="EFU82" s="2567"/>
      <c r="EFV82" s="2567"/>
      <c r="EFW82" s="2567"/>
      <c r="EFX82" s="2567"/>
      <c r="EFY82" s="2567"/>
      <c r="EFZ82" s="2567"/>
      <c r="EGA82" s="2567"/>
      <c r="EGB82" s="2567"/>
      <c r="EGC82" s="2567"/>
      <c r="EGD82" s="2567"/>
      <c r="EGE82" s="2567"/>
      <c r="EGF82" s="2567"/>
      <c r="EGG82" s="2567"/>
      <c r="EGH82" s="2567"/>
      <c r="EGI82" s="2567"/>
      <c r="EGJ82" s="2567"/>
      <c r="EGK82" s="2567"/>
      <c r="EGL82" s="2567"/>
      <c r="EGM82" s="2567"/>
      <c r="EGN82" s="2567"/>
      <c r="EGO82" s="2567"/>
      <c r="EGP82" s="2567"/>
      <c r="EGQ82" s="2567"/>
      <c r="EGR82" s="2567"/>
      <c r="EGS82" s="2567"/>
      <c r="EGT82" s="2567"/>
      <c r="EGU82" s="2567"/>
      <c r="EGV82" s="2567"/>
      <c r="EGW82" s="2567"/>
      <c r="EGX82" s="2567"/>
      <c r="EGY82" s="2567"/>
      <c r="EGZ82" s="2567"/>
      <c r="EHA82" s="2567"/>
      <c r="EHB82" s="2567"/>
      <c r="EHC82" s="2567"/>
      <c r="EHD82" s="2567"/>
      <c r="EHE82" s="2567"/>
      <c r="EHF82" s="2567"/>
      <c r="EHG82" s="2567"/>
      <c r="EHH82" s="2567"/>
      <c r="EHI82" s="2567"/>
      <c r="EHJ82" s="2567"/>
      <c r="EHK82" s="2567"/>
      <c r="EHL82" s="2567"/>
      <c r="EHM82" s="2567"/>
      <c r="EHN82" s="2567"/>
      <c r="EHO82" s="2567"/>
      <c r="EHP82" s="2567"/>
      <c r="EHQ82" s="2567"/>
      <c r="EHR82" s="2567"/>
      <c r="EHS82" s="2567"/>
      <c r="EHT82" s="2567"/>
      <c r="EHU82" s="2567"/>
      <c r="EHV82" s="2567"/>
      <c r="EHW82" s="2567"/>
      <c r="EHX82" s="2567"/>
      <c r="EHY82" s="2567"/>
      <c r="EHZ82" s="2567"/>
      <c r="EIA82" s="2567"/>
      <c r="EIB82" s="2567"/>
      <c r="EIC82" s="2567"/>
      <c r="EID82" s="2567"/>
      <c r="EIE82" s="2567"/>
      <c r="EIF82" s="2567"/>
      <c r="EIG82" s="2567"/>
      <c r="EIH82" s="2567"/>
      <c r="EII82" s="2567"/>
      <c r="EIJ82" s="2567"/>
      <c r="EIK82" s="2567"/>
      <c r="EIL82" s="2567"/>
      <c r="EIM82" s="2567"/>
      <c r="EIN82" s="2567"/>
      <c r="EIO82" s="2567"/>
      <c r="EIP82" s="2567"/>
      <c r="EIQ82" s="2567"/>
      <c r="EIR82" s="2567"/>
      <c r="EIS82" s="2567"/>
      <c r="EIT82" s="2567"/>
      <c r="EIU82" s="2567"/>
      <c r="EIV82" s="2567"/>
      <c r="EIW82" s="2567"/>
      <c r="EIX82" s="2567"/>
      <c r="EIY82" s="2567"/>
      <c r="EIZ82" s="2567"/>
      <c r="EJA82" s="2567"/>
      <c r="EJB82" s="2567"/>
      <c r="EJC82" s="2567"/>
      <c r="EJD82" s="2567"/>
      <c r="EJE82" s="2567"/>
      <c r="EJF82" s="2567"/>
      <c r="EJG82" s="2567"/>
      <c r="EJH82" s="2567"/>
      <c r="EJI82" s="2567"/>
      <c r="EJJ82" s="2567"/>
      <c r="EJK82" s="2567"/>
      <c r="EJL82" s="2567"/>
      <c r="EJM82" s="2567"/>
      <c r="EJN82" s="2567"/>
      <c r="EJO82" s="2567"/>
      <c r="EJP82" s="2567"/>
      <c r="EJQ82" s="2567"/>
      <c r="EJR82" s="2567"/>
      <c r="EJS82" s="2567"/>
      <c r="EJT82" s="2567"/>
      <c r="EJU82" s="2567"/>
      <c r="EJV82" s="2567"/>
      <c r="EJW82" s="2567"/>
      <c r="EJX82" s="2567"/>
      <c r="EJY82" s="2567"/>
      <c r="EJZ82" s="2567"/>
      <c r="EKA82" s="2567"/>
      <c r="EKB82" s="2567"/>
      <c r="EKC82" s="2567"/>
      <c r="EKD82" s="2567"/>
      <c r="EKE82" s="2567"/>
      <c r="EKF82" s="2567"/>
      <c r="EKG82" s="2567"/>
      <c r="EKH82" s="2567"/>
      <c r="EKI82" s="2567"/>
      <c r="EKJ82" s="2567"/>
      <c r="EKK82" s="2567"/>
      <c r="EKL82" s="2567"/>
      <c r="EKM82" s="2567"/>
      <c r="EKN82" s="2567"/>
      <c r="EKO82" s="2567"/>
      <c r="EKP82" s="2567"/>
      <c r="EKQ82" s="2567"/>
      <c r="EKR82" s="2567"/>
      <c r="EKS82" s="2567"/>
      <c r="EKT82" s="2567"/>
      <c r="EKU82" s="2567"/>
      <c r="EKV82" s="2567"/>
      <c r="EKW82" s="2567"/>
      <c r="EKX82" s="2567"/>
      <c r="EKY82" s="2567"/>
      <c r="EKZ82" s="2567"/>
      <c r="ELA82" s="2567"/>
      <c r="ELB82" s="2567"/>
      <c r="ELC82" s="2567"/>
      <c r="ELD82" s="2567"/>
      <c r="ELE82" s="2567"/>
      <c r="ELF82" s="2567"/>
      <c r="ELG82" s="2567"/>
      <c r="ELH82" s="2567"/>
      <c r="ELI82" s="2567"/>
      <c r="ELJ82" s="2567"/>
      <c r="ELK82" s="2567"/>
      <c r="ELL82" s="2567"/>
      <c r="ELM82" s="2567"/>
      <c r="ELN82" s="2567"/>
      <c r="ELO82" s="2567"/>
      <c r="ELP82" s="2567"/>
      <c r="ELQ82" s="2567"/>
      <c r="ELR82" s="2567"/>
      <c r="ELS82" s="2567"/>
      <c r="ELT82" s="2567"/>
      <c r="ELU82" s="2567"/>
      <c r="ELV82" s="2567"/>
      <c r="ELW82" s="2567"/>
      <c r="ELX82" s="2567"/>
      <c r="ELY82" s="2567"/>
      <c r="ELZ82" s="2567"/>
      <c r="EMA82" s="2567"/>
      <c r="EMB82" s="2567"/>
      <c r="EMC82" s="2567"/>
      <c r="EMD82" s="2567"/>
      <c r="EME82" s="2567"/>
      <c r="EMF82" s="2567"/>
      <c r="EMG82" s="2567"/>
      <c r="EMH82" s="2567"/>
      <c r="EMI82" s="2567"/>
      <c r="EMJ82" s="2567"/>
      <c r="EMK82" s="2567"/>
      <c r="EML82" s="2567"/>
      <c r="EMM82" s="2567"/>
      <c r="EMN82" s="2567"/>
      <c r="EMO82" s="2567"/>
      <c r="EMP82" s="2567"/>
      <c r="EMQ82" s="2567"/>
      <c r="EMR82" s="2567"/>
      <c r="EMS82" s="2567"/>
      <c r="EMT82" s="2567"/>
      <c r="EMU82" s="2567"/>
      <c r="EMV82" s="2567"/>
      <c r="EMW82" s="2567"/>
      <c r="EMX82" s="2567"/>
      <c r="EMY82" s="2567"/>
      <c r="EMZ82" s="2567"/>
      <c r="ENA82" s="2567"/>
      <c r="ENB82" s="2567"/>
      <c r="ENC82" s="2567"/>
      <c r="END82" s="2567"/>
      <c r="ENE82" s="2567"/>
      <c r="ENF82" s="2567"/>
      <c r="ENG82" s="2567"/>
      <c r="ENH82" s="2567"/>
      <c r="ENI82" s="2567"/>
      <c r="ENJ82" s="2567"/>
      <c r="ENK82" s="2567"/>
      <c r="ENL82" s="2567"/>
      <c r="ENM82" s="2567"/>
      <c r="ENN82" s="2567"/>
      <c r="ENO82" s="2567"/>
      <c r="ENP82" s="2567"/>
      <c r="ENQ82" s="2567"/>
      <c r="ENR82" s="2567"/>
      <c r="ENS82" s="2567"/>
      <c r="ENT82" s="2567"/>
      <c r="ENU82" s="2567"/>
      <c r="ENV82" s="2567"/>
      <c r="ENW82" s="2567"/>
      <c r="ENX82" s="2567"/>
      <c r="ENY82" s="2567"/>
      <c r="ENZ82" s="2567"/>
      <c r="EOA82" s="2567"/>
      <c r="EOB82" s="2567"/>
      <c r="EOC82" s="2567"/>
      <c r="EOD82" s="2567"/>
      <c r="EOE82" s="2567"/>
      <c r="EOF82" s="2567"/>
      <c r="EOG82" s="2567"/>
      <c r="EOH82" s="2567"/>
      <c r="EOI82" s="2567"/>
      <c r="EOJ82" s="2567"/>
      <c r="EOK82" s="2567"/>
      <c r="EOL82" s="2567"/>
      <c r="EOM82" s="2567"/>
      <c r="EON82" s="2567"/>
      <c r="EOO82" s="2567"/>
      <c r="EOP82" s="2567"/>
      <c r="EOQ82" s="2567"/>
      <c r="EOR82" s="2567"/>
      <c r="EOS82" s="2567"/>
      <c r="EOT82" s="2567"/>
      <c r="EOU82" s="2567"/>
      <c r="EOV82" s="2567"/>
      <c r="EOW82" s="2567"/>
      <c r="EOX82" s="2567"/>
      <c r="EOY82" s="2567"/>
      <c r="EOZ82" s="2567"/>
      <c r="EPA82" s="2567"/>
      <c r="EPB82" s="2567"/>
      <c r="EPC82" s="2567"/>
      <c r="EPD82" s="2567"/>
      <c r="EPE82" s="2567"/>
      <c r="EPF82" s="2567"/>
      <c r="EPG82" s="2567"/>
      <c r="EPH82" s="2567"/>
      <c r="EPI82" s="2567"/>
      <c r="EPJ82" s="2567"/>
      <c r="EPK82" s="2567"/>
      <c r="EPL82" s="2567"/>
      <c r="EPM82" s="2567"/>
      <c r="EPN82" s="2567"/>
      <c r="EPO82" s="2567"/>
      <c r="EPP82" s="2567"/>
      <c r="EPQ82" s="2567"/>
      <c r="EPR82" s="2567"/>
      <c r="EPS82" s="2567"/>
      <c r="EPT82" s="2567"/>
      <c r="EPU82" s="2567"/>
      <c r="EPV82" s="2567"/>
      <c r="EPW82" s="2567"/>
      <c r="EPX82" s="2567"/>
      <c r="EPY82" s="2567"/>
      <c r="EPZ82" s="2567"/>
      <c r="EQA82" s="2567"/>
      <c r="EQB82" s="2567"/>
      <c r="EQC82" s="2567"/>
      <c r="EQD82" s="2567"/>
      <c r="EQE82" s="2567"/>
      <c r="EQF82" s="2567"/>
      <c r="EQG82" s="2567"/>
      <c r="EQH82" s="2567"/>
      <c r="EQI82" s="2567"/>
      <c r="EQJ82" s="2567"/>
      <c r="EQK82" s="2567"/>
      <c r="EQL82" s="2567"/>
      <c r="EQM82" s="2567"/>
      <c r="EQN82" s="2567"/>
      <c r="EQO82" s="2567"/>
      <c r="EQP82" s="2567"/>
      <c r="EQQ82" s="2567"/>
      <c r="EQR82" s="2567"/>
      <c r="EQS82" s="2567"/>
      <c r="EQT82" s="2567"/>
      <c r="EQU82" s="2567"/>
      <c r="EQV82" s="2567"/>
      <c r="EQW82" s="2567"/>
      <c r="EQX82" s="2567"/>
      <c r="EQY82" s="2567"/>
      <c r="EQZ82" s="2567"/>
      <c r="ERA82" s="2567"/>
      <c r="ERB82" s="2567"/>
      <c r="ERC82" s="2567"/>
      <c r="ERD82" s="2567"/>
      <c r="ERE82" s="2567"/>
      <c r="ERF82" s="2567"/>
      <c r="ERG82" s="2567"/>
      <c r="ERH82" s="2567"/>
      <c r="ERI82" s="2567"/>
      <c r="ERJ82" s="2567"/>
      <c r="ERK82" s="2567"/>
      <c r="ERL82" s="2567"/>
      <c r="ERM82" s="2567"/>
      <c r="ERN82" s="2567"/>
      <c r="ERO82" s="2567"/>
      <c r="ERP82" s="2567"/>
      <c r="ERQ82" s="2567"/>
      <c r="ERR82" s="2567"/>
      <c r="ERS82" s="2567"/>
      <c r="ERT82" s="2567"/>
      <c r="ERU82" s="2567"/>
      <c r="ERV82" s="2567"/>
      <c r="ERW82" s="2567"/>
      <c r="ERX82" s="2567"/>
      <c r="ERY82" s="2567"/>
      <c r="ERZ82" s="2567"/>
      <c r="ESA82" s="2567"/>
      <c r="ESB82" s="2567"/>
      <c r="ESC82" s="2567"/>
      <c r="ESD82" s="2567"/>
      <c r="ESE82" s="2567"/>
      <c r="ESF82" s="2567"/>
      <c r="ESG82" s="2567"/>
      <c r="ESH82" s="2567"/>
      <c r="ESI82" s="2567"/>
      <c r="ESJ82" s="2567"/>
      <c r="ESK82" s="2567"/>
      <c r="ESL82" s="2567"/>
      <c r="ESM82" s="2567"/>
      <c r="ESN82" s="2567"/>
      <c r="ESO82" s="2567"/>
      <c r="ESP82" s="2567"/>
      <c r="ESQ82" s="2567"/>
      <c r="ESR82" s="2567"/>
      <c r="ESS82" s="2567"/>
      <c r="EST82" s="2567"/>
      <c r="ESU82" s="2567"/>
      <c r="ESV82" s="2567"/>
      <c r="ESW82" s="2567"/>
      <c r="ESX82" s="2567"/>
      <c r="ESY82" s="2567"/>
      <c r="ESZ82" s="2567"/>
      <c r="ETA82" s="2567"/>
      <c r="ETB82" s="2567"/>
      <c r="ETC82" s="2567"/>
      <c r="ETD82" s="2567"/>
      <c r="ETE82" s="2567"/>
      <c r="ETF82" s="2567"/>
      <c r="ETG82" s="2567"/>
      <c r="ETH82" s="2567"/>
      <c r="ETI82" s="2567"/>
      <c r="ETJ82" s="2567"/>
      <c r="ETK82" s="2567"/>
      <c r="ETL82" s="2567"/>
      <c r="ETM82" s="2567"/>
      <c r="ETN82" s="2567"/>
      <c r="ETO82" s="2567"/>
      <c r="ETP82" s="2567"/>
      <c r="ETQ82" s="2567"/>
      <c r="ETR82" s="2567"/>
      <c r="ETS82" s="2567"/>
      <c r="ETT82" s="2567"/>
      <c r="ETU82" s="2567"/>
      <c r="ETV82" s="2567"/>
      <c r="ETW82" s="2567"/>
      <c r="ETX82" s="2567"/>
      <c r="ETY82" s="2567"/>
      <c r="ETZ82" s="2567"/>
      <c r="EUA82" s="2567"/>
      <c r="EUB82" s="2567"/>
      <c r="EUC82" s="2567"/>
      <c r="EUD82" s="2567"/>
      <c r="EUE82" s="2567"/>
      <c r="EUF82" s="2567"/>
      <c r="EUG82" s="2567"/>
      <c r="EUH82" s="2567"/>
      <c r="EUI82" s="2567"/>
      <c r="EUJ82" s="2567"/>
      <c r="EUK82" s="2567"/>
      <c r="EUL82" s="2567"/>
      <c r="EUM82" s="2567"/>
      <c r="EUN82" s="2567"/>
      <c r="EUO82" s="2567"/>
      <c r="EUP82" s="2567"/>
      <c r="EUQ82" s="2567"/>
      <c r="EUR82" s="2567"/>
      <c r="EUS82" s="2567"/>
      <c r="EUT82" s="2567"/>
      <c r="EUU82" s="2567"/>
      <c r="EUV82" s="2567"/>
      <c r="EUW82" s="2567"/>
      <c r="EUX82" s="2567"/>
      <c r="EUY82" s="2567"/>
      <c r="EUZ82" s="2567"/>
      <c r="EVA82" s="2567"/>
      <c r="EVB82" s="2567"/>
      <c r="EVC82" s="2567"/>
      <c r="EVD82" s="2567"/>
      <c r="EVE82" s="2567"/>
      <c r="EVF82" s="2567"/>
      <c r="EVG82" s="2567"/>
      <c r="EVH82" s="2567"/>
      <c r="EVI82" s="2567"/>
      <c r="EVJ82" s="2567"/>
      <c r="EVK82" s="2567"/>
      <c r="EVL82" s="2567"/>
      <c r="EVM82" s="2567"/>
      <c r="EVN82" s="2567"/>
      <c r="EVO82" s="2567"/>
      <c r="EVP82" s="2567"/>
      <c r="EVQ82" s="2567"/>
      <c r="EVR82" s="2567"/>
      <c r="EVS82" s="2567"/>
      <c r="EVT82" s="2567"/>
      <c r="EVU82" s="2567"/>
      <c r="EVV82" s="2567"/>
      <c r="EVW82" s="2567"/>
      <c r="EVX82" s="2567"/>
      <c r="EVY82" s="2567"/>
      <c r="EVZ82" s="2567"/>
      <c r="EWA82" s="2567"/>
      <c r="EWB82" s="2567"/>
      <c r="EWC82" s="2567"/>
      <c r="EWD82" s="2567"/>
      <c r="EWE82" s="2567"/>
      <c r="EWF82" s="2567"/>
      <c r="EWG82" s="2567"/>
      <c r="EWH82" s="2567"/>
      <c r="EWI82" s="2567"/>
      <c r="EWJ82" s="2567"/>
      <c r="EWK82" s="2567"/>
      <c r="EWL82" s="2567"/>
      <c r="EWM82" s="2567"/>
      <c r="EWN82" s="2567"/>
      <c r="EWO82" s="2567"/>
      <c r="EWP82" s="2567"/>
      <c r="EWQ82" s="2567"/>
      <c r="EWR82" s="2567"/>
      <c r="EWS82" s="2567"/>
      <c r="EWT82" s="2567"/>
      <c r="EWU82" s="2567"/>
      <c r="EWV82" s="2567"/>
      <c r="EWW82" s="2567"/>
      <c r="EWX82" s="2567"/>
      <c r="EWY82" s="2567"/>
      <c r="EWZ82" s="2567"/>
      <c r="EXA82" s="2567"/>
      <c r="EXB82" s="2567"/>
      <c r="EXC82" s="2567"/>
      <c r="EXD82" s="2567"/>
      <c r="EXE82" s="2567"/>
      <c r="EXF82" s="2567"/>
      <c r="EXG82" s="2567"/>
      <c r="EXH82" s="2567"/>
      <c r="EXI82" s="2567"/>
      <c r="EXJ82" s="2567"/>
      <c r="EXK82" s="2567"/>
      <c r="EXL82" s="2567"/>
      <c r="EXM82" s="2567"/>
      <c r="EXN82" s="2567"/>
      <c r="EXO82" s="2567"/>
      <c r="EXP82" s="2567"/>
      <c r="EXQ82" s="2567"/>
      <c r="EXR82" s="2567"/>
      <c r="EXS82" s="2567"/>
      <c r="EXT82" s="2567"/>
      <c r="EXU82" s="2567"/>
      <c r="EXV82" s="2567"/>
      <c r="EXW82" s="2567"/>
      <c r="EXX82" s="2567"/>
      <c r="EXY82" s="2567"/>
      <c r="EXZ82" s="2567"/>
      <c r="EYA82" s="2567"/>
      <c r="EYB82" s="2567"/>
      <c r="EYC82" s="2567"/>
      <c r="EYD82" s="2567"/>
      <c r="EYE82" s="2567"/>
      <c r="EYF82" s="2567"/>
      <c r="EYG82" s="2567"/>
      <c r="EYH82" s="2567"/>
      <c r="EYI82" s="2567"/>
      <c r="EYJ82" s="2567"/>
      <c r="EYK82" s="2567"/>
      <c r="EYL82" s="2567"/>
      <c r="EYM82" s="2567"/>
      <c r="EYN82" s="2567"/>
      <c r="EYO82" s="2567"/>
      <c r="EYP82" s="2567"/>
      <c r="EYQ82" s="2567"/>
      <c r="EYR82" s="2567"/>
      <c r="EYS82" s="2567"/>
      <c r="EYT82" s="2567"/>
      <c r="EYU82" s="2567"/>
      <c r="EYV82" s="2567"/>
      <c r="EYW82" s="2567"/>
      <c r="EYX82" s="2567"/>
      <c r="EYY82" s="2567"/>
      <c r="EYZ82" s="2567"/>
      <c r="EZA82" s="2567"/>
      <c r="EZB82" s="2567"/>
      <c r="EZC82" s="2567"/>
      <c r="EZD82" s="2567"/>
      <c r="EZE82" s="2567"/>
      <c r="EZF82" s="2567"/>
      <c r="EZG82" s="2567"/>
      <c r="EZH82" s="2567"/>
      <c r="EZI82" s="2567"/>
      <c r="EZJ82" s="2567"/>
      <c r="EZK82" s="2567"/>
      <c r="EZL82" s="2567"/>
      <c r="EZM82" s="2567"/>
      <c r="EZN82" s="2567"/>
      <c r="EZO82" s="2567"/>
      <c r="EZP82" s="2567"/>
      <c r="EZQ82" s="2567"/>
      <c r="EZR82" s="2567"/>
      <c r="EZS82" s="2567"/>
      <c r="EZT82" s="2567"/>
      <c r="EZU82" s="2567"/>
      <c r="EZV82" s="2567"/>
      <c r="EZW82" s="2567"/>
      <c r="EZX82" s="2567"/>
      <c r="EZY82" s="2567"/>
      <c r="EZZ82" s="2567"/>
      <c r="FAA82" s="2567"/>
      <c r="FAB82" s="2567"/>
      <c r="FAC82" s="2567"/>
      <c r="FAD82" s="2567"/>
      <c r="FAE82" s="2567"/>
      <c r="FAF82" s="2567"/>
      <c r="FAG82" s="2567"/>
      <c r="FAH82" s="2567"/>
      <c r="FAI82" s="2567"/>
      <c r="FAJ82" s="2567"/>
      <c r="FAK82" s="2567"/>
      <c r="FAL82" s="2567"/>
      <c r="FAM82" s="2567"/>
      <c r="FAN82" s="2567"/>
      <c r="FAO82" s="2567"/>
      <c r="FAP82" s="2567"/>
      <c r="FAQ82" s="2567"/>
      <c r="FAR82" s="2567"/>
      <c r="FAS82" s="2567"/>
      <c r="FAT82" s="2567"/>
      <c r="FAU82" s="2567"/>
      <c r="FAV82" s="2567"/>
      <c r="FAW82" s="2567"/>
      <c r="FAX82" s="2567"/>
      <c r="FAY82" s="2567"/>
      <c r="FAZ82" s="2567"/>
      <c r="FBA82" s="2567"/>
      <c r="FBB82" s="2567"/>
      <c r="FBC82" s="2567"/>
      <c r="FBD82" s="2567"/>
      <c r="FBE82" s="2567"/>
      <c r="FBF82" s="2567"/>
      <c r="FBG82" s="2567"/>
      <c r="FBH82" s="2567"/>
      <c r="FBI82" s="2567"/>
      <c r="FBJ82" s="2567"/>
      <c r="FBK82" s="2567"/>
      <c r="FBL82" s="2567"/>
      <c r="FBM82" s="2567"/>
      <c r="FBN82" s="2567"/>
      <c r="FBO82" s="2567"/>
      <c r="FBP82" s="2567"/>
      <c r="FBQ82" s="2567"/>
      <c r="FBR82" s="2567"/>
      <c r="FBS82" s="2567"/>
      <c r="FBT82" s="2567"/>
      <c r="FBU82" s="2567"/>
      <c r="FBV82" s="2567"/>
      <c r="FBW82" s="2567"/>
      <c r="FBX82" s="2567"/>
      <c r="FBY82" s="2567"/>
      <c r="FBZ82" s="2567"/>
      <c r="FCA82" s="2567"/>
      <c r="FCB82" s="2567"/>
      <c r="FCC82" s="2567"/>
      <c r="FCD82" s="2567"/>
      <c r="FCE82" s="2567"/>
      <c r="FCF82" s="2567"/>
      <c r="FCG82" s="2567"/>
      <c r="FCH82" s="2567"/>
      <c r="FCI82" s="2567"/>
      <c r="FCJ82" s="2567"/>
      <c r="FCK82" s="2567"/>
      <c r="FCL82" s="2567"/>
      <c r="FCM82" s="2567"/>
      <c r="FCN82" s="2567"/>
      <c r="FCO82" s="2567"/>
      <c r="FCP82" s="2567"/>
      <c r="FCQ82" s="2567"/>
      <c r="FCR82" s="2567"/>
      <c r="FCS82" s="2567"/>
      <c r="FCT82" s="2567"/>
      <c r="FCU82" s="2567"/>
      <c r="FCV82" s="2567"/>
      <c r="FCW82" s="2567"/>
      <c r="FCX82" s="2567"/>
      <c r="FCY82" s="2567"/>
      <c r="FCZ82" s="2567"/>
      <c r="FDA82" s="2567"/>
      <c r="FDB82" s="2567"/>
      <c r="FDC82" s="2567"/>
      <c r="FDD82" s="2567"/>
      <c r="FDE82" s="2567"/>
      <c r="FDF82" s="2567"/>
      <c r="FDG82" s="2567"/>
      <c r="FDH82" s="2567"/>
      <c r="FDI82" s="2567"/>
      <c r="FDJ82" s="2567"/>
      <c r="FDK82" s="2567"/>
      <c r="FDL82" s="2567"/>
      <c r="FDM82" s="2567"/>
      <c r="FDN82" s="2567"/>
      <c r="FDO82" s="2567"/>
      <c r="FDP82" s="2567"/>
      <c r="FDQ82" s="2567"/>
      <c r="FDR82" s="2567"/>
      <c r="FDS82" s="2567"/>
      <c r="FDT82" s="2567"/>
      <c r="FDU82" s="2567"/>
      <c r="FDV82" s="2567"/>
      <c r="FDW82" s="2567"/>
      <c r="FDX82" s="2567"/>
      <c r="FDY82" s="2567"/>
      <c r="FDZ82" s="2567"/>
      <c r="FEA82" s="2567"/>
      <c r="FEB82" s="2567"/>
      <c r="FEC82" s="2567"/>
      <c r="FED82" s="2567"/>
      <c r="FEE82" s="2567"/>
      <c r="FEF82" s="2567"/>
      <c r="FEG82" s="2567"/>
      <c r="FEH82" s="2567"/>
      <c r="FEI82" s="2567"/>
      <c r="FEJ82" s="2567"/>
      <c r="FEK82" s="2567"/>
      <c r="FEL82" s="2567"/>
      <c r="FEM82" s="2567"/>
      <c r="FEN82" s="2567"/>
      <c r="FEO82" s="2567"/>
      <c r="FEP82" s="2567"/>
      <c r="FEQ82" s="2567"/>
      <c r="FER82" s="2567"/>
      <c r="FES82" s="2567"/>
      <c r="FET82" s="2567"/>
      <c r="FEU82" s="2567"/>
      <c r="FEV82" s="2567"/>
      <c r="FEW82" s="2567"/>
      <c r="FEX82" s="2567"/>
      <c r="FEY82" s="2567"/>
      <c r="FEZ82" s="2567"/>
      <c r="FFA82" s="2567"/>
      <c r="FFB82" s="2567"/>
      <c r="FFC82" s="2567"/>
      <c r="FFD82" s="2567"/>
      <c r="FFE82" s="2567"/>
      <c r="FFF82" s="2567"/>
      <c r="FFG82" s="2567"/>
      <c r="FFH82" s="2567"/>
      <c r="FFI82" s="2567"/>
      <c r="FFJ82" s="2567"/>
      <c r="FFK82" s="2567"/>
      <c r="FFL82" s="2567"/>
      <c r="FFM82" s="2567"/>
      <c r="FFN82" s="2567"/>
      <c r="FFO82" s="2567"/>
      <c r="FFP82" s="2567"/>
      <c r="FFQ82" s="2567"/>
      <c r="FFR82" s="2567"/>
      <c r="FFS82" s="2567"/>
      <c r="FFT82" s="2567"/>
      <c r="FFU82" s="2567"/>
      <c r="FFV82" s="2567"/>
      <c r="FFW82" s="2567"/>
      <c r="FFX82" s="2567"/>
      <c r="FFY82" s="2567"/>
      <c r="FFZ82" s="2567"/>
      <c r="FGA82" s="2567"/>
      <c r="FGB82" s="2567"/>
      <c r="FGC82" s="2567"/>
      <c r="FGD82" s="2567"/>
      <c r="FGE82" s="2567"/>
      <c r="FGF82" s="2567"/>
      <c r="FGG82" s="2567"/>
      <c r="FGH82" s="2567"/>
      <c r="FGI82" s="2567"/>
      <c r="FGJ82" s="2567"/>
      <c r="FGK82" s="2567"/>
      <c r="FGL82" s="2567"/>
      <c r="FGM82" s="2567"/>
      <c r="FGN82" s="2567"/>
      <c r="FGO82" s="2567"/>
      <c r="FGP82" s="2567"/>
      <c r="FGQ82" s="2567"/>
      <c r="FGR82" s="2567"/>
      <c r="FGS82" s="2567"/>
      <c r="FGT82" s="2567"/>
      <c r="FGU82" s="2567"/>
      <c r="FGV82" s="2567"/>
      <c r="FGW82" s="2567"/>
      <c r="FGX82" s="2567"/>
      <c r="FGY82" s="2567"/>
      <c r="FGZ82" s="2567"/>
      <c r="FHA82" s="2567"/>
      <c r="FHB82" s="2567"/>
      <c r="FHC82" s="2567"/>
      <c r="FHD82" s="2567"/>
      <c r="FHE82" s="2567"/>
      <c r="FHF82" s="2567"/>
      <c r="FHG82" s="2567"/>
      <c r="FHH82" s="2567"/>
      <c r="FHI82" s="2567"/>
      <c r="FHJ82" s="2567"/>
      <c r="FHK82" s="2567"/>
      <c r="FHL82" s="2567"/>
      <c r="FHM82" s="2567"/>
      <c r="FHN82" s="2567"/>
      <c r="FHO82" s="2567"/>
      <c r="FHP82" s="2567"/>
      <c r="FHQ82" s="2567"/>
      <c r="FHR82" s="2567"/>
      <c r="FHS82" s="2567"/>
      <c r="FHT82" s="2567"/>
      <c r="FHU82" s="2567"/>
      <c r="FHV82" s="2567"/>
      <c r="FHW82" s="2567"/>
      <c r="FHX82" s="2567"/>
      <c r="FHY82" s="2567"/>
      <c r="FHZ82" s="2567"/>
      <c r="FIA82" s="2567"/>
      <c r="FIB82" s="2567"/>
      <c r="FIC82" s="2567"/>
      <c r="FID82" s="2567"/>
      <c r="FIE82" s="2567"/>
      <c r="FIF82" s="2567"/>
      <c r="FIG82" s="2567"/>
      <c r="FIH82" s="2567"/>
      <c r="FII82" s="2567"/>
      <c r="FIJ82" s="2567"/>
      <c r="FIK82" s="2567"/>
      <c r="FIL82" s="2567"/>
      <c r="FIM82" s="2567"/>
      <c r="FIN82" s="2567"/>
      <c r="FIO82" s="2567"/>
      <c r="FIP82" s="2567"/>
      <c r="FIQ82" s="2567"/>
      <c r="FIR82" s="2567"/>
      <c r="FIS82" s="2567"/>
      <c r="FIT82" s="2567"/>
      <c r="FIU82" s="2567"/>
      <c r="FIV82" s="2567"/>
      <c r="FIW82" s="2567"/>
      <c r="FIX82" s="2567"/>
      <c r="FIY82" s="2567"/>
      <c r="FIZ82" s="2567"/>
      <c r="FJA82" s="2567"/>
      <c r="FJB82" s="2567"/>
      <c r="FJC82" s="2567"/>
      <c r="FJD82" s="2567"/>
      <c r="FJE82" s="2567"/>
      <c r="FJF82" s="2567"/>
      <c r="FJG82" s="2567"/>
      <c r="FJH82" s="2567"/>
      <c r="FJI82" s="2567"/>
      <c r="FJJ82" s="2567"/>
      <c r="FJK82" s="2567"/>
      <c r="FJL82" s="2567"/>
      <c r="FJM82" s="2567"/>
      <c r="FJN82" s="2567"/>
      <c r="FJO82" s="2567"/>
      <c r="FJP82" s="2567"/>
      <c r="FJQ82" s="2567"/>
      <c r="FJR82" s="2567"/>
      <c r="FJS82" s="2567"/>
      <c r="FJT82" s="2567"/>
      <c r="FJU82" s="2567"/>
      <c r="FJV82" s="2567"/>
      <c r="FJW82" s="2567"/>
      <c r="FJX82" s="2567"/>
      <c r="FJY82" s="2567"/>
      <c r="FJZ82" s="2567"/>
      <c r="FKA82" s="2567"/>
      <c r="FKB82" s="2567"/>
      <c r="FKC82" s="2567"/>
      <c r="FKD82" s="2567"/>
      <c r="FKE82" s="2567"/>
      <c r="FKF82" s="2567"/>
      <c r="FKG82" s="2567"/>
      <c r="FKH82" s="2567"/>
      <c r="FKI82" s="2567"/>
      <c r="FKJ82" s="2567"/>
      <c r="FKK82" s="2567"/>
      <c r="FKL82" s="2567"/>
      <c r="FKM82" s="2567"/>
      <c r="FKN82" s="2567"/>
      <c r="FKO82" s="2567"/>
      <c r="FKP82" s="2567"/>
      <c r="FKQ82" s="2567"/>
      <c r="FKR82" s="2567"/>
      <c r="FKS82" s="2567"/>
      <c r="FKT82" s="2567"/>
      <c r="FKU82" s="2567"/>
      <c r="FKV82" s="2567"/>
      <c r="FKW82" s="2567"/>
      <c r="FKX82" s="2567"/>
      <c r="FKY82" s="2567"/>
      <c r="FKZ82" s="2567"/>
      <c r="FLA82" s="2567"/>
      <c r="FLB82" s="2567"/>
      <c r="FLC82" s="2567"/>
      <c r="FLD82" s="2567"/>
      <c r="FLE82" s="2567"/>
      <c r="FLF82" s="2567"/>
      <c r="FLG82" s="2567"/>
      <c r="FLH82" s="2567"/>
      <c r="FLI82" s="2567"/>
      <c r="FLJ82" s="2567"/>
      <c r="FLK82" s="2567"/>
      <c r="FLL82" s="2567"/>
      <c r="FLM82" s="2567"/>
      <c r="FLN82" s="2567"/>
      <c r="FLO82" s="2567"/>
      <c r="FLP82" s="2567"/>
      <c r="FLQ82" s="2567"/>
      <c r="FLR82" s="2567"/>
      <c r="FLS82" s="2567"/>
      <c r="FLT82" s="2567"/>
      <c r="FLU82" s="2567"/>
      <c r="FLV82" s="2567"/>
      <c r="FLW82" s="2567"/>
      <c r="FLX82" s="2567"/>
      <c r="FLY82" s="2567"/>
      <c r="FLZ82" s="2567"/>
      <c r="FMA82" s="2567"/>
      <c r="FMB82" s="2567"/>
      <c r="FMC82" s="2567"/>
      <c r="FMD82" s="2567"/>
      <c r="FME82" s="2567"/>
      <c r="FMF82" s="2567"/>
      <c r="FMG82" s="2567"/>
      <c r="FMH82" s="2567"/>
      <c r="FMI82" s="2567"/>
      <c r="FMJ82" s="2567"/>
      <c r="FMK82" s="2567"/>
      <c r="FML82" s="2567"/>
      <c r="FMM82" s="2567"/>
      <c r="FMN82" s="2567"/>
      <c r="FMO82" s="2567"/>
      <c r="FMP82" s="2567"/>
      <c r="FMQ82" s="2567"/>
      <c r="FMR82" s="2567"/>
      <c r="FMS82" s="2567"/>
      <c r="FMT82" s="2567"/>
      <c r="FMU82" s="2567"/>
      <c r="FMV82" s="2567"/>
      <c r="FMW82" s="2567"/>
      <c r="FMX82" s="2567"/>
      <c r="FMY82" s="2567"/>
      <c r="FMZ82" s="2567"/>
      <c r="FNA82" s="2567"/>
      <c r="FNB82" s="2567"/>
      <c r="FNC82" s="2567"/>
      <c r="FND82" s="2567"/>
      <c r="FNE82" s="2567"/>
      <c r="FNF82" s="2567"/>
      <c r="FNG82" s="2567"/>
      <c r="FNH82" s="2567"/>
      <c r="FNI82" s="2567"/>
      <c r="FNJ82" s="2567"/>
      <c r="FNK82" s="2567"/>
      <c r="FNL82" s="2567"/>
      <c r="FNM82" s="2567"/>
      <c r="FNN82" s="2567"/>
      <c r="FNO82" s="2567"/>
      <c r="FNP82" s="2567"/>
      <c r="FNQ82" s="2567"/>
      <c r="FNR82" s="2567"/>
      <c r="FNS82" s="2567"/>
      <c r="FNT82" s="2567"/>
      <c r="FNU82" s="2567"/>
      <c r="FNV82" s="2567"/>
      <c r="FNW82" s="2567"/>
      <c r="FNX82" s="2567"/>
      <c r="FNY82" s="2567"/>
      <c r="FNZ82" s="2567"/>
      <c r="FOA82" s="2567"/>
      <c r="FOB82" s="2567"/>
      <c r="FOC82" s="2567"/>
      <c r="FOD82" s="2567"/>
      <c r="FOE82" s="2567"/>
      <c r="FOF82" s="2567"/>
      <c r="FOG82" s="2567"/>
      <c r="FOH82" s="2567"/>
      <c r="FOI82" s="2567"/>
      <c r="FOJ82" s="2567"/>
      <c r="FOK82" s="2567"/>
      <c r="FOL82" s="2567"/>
      <c r="FOM82" s="2567"/>
      <c r="FON82" s="2567"/>
      <c r="FOO82" s="2567"/>
      <c r="FOP82" s="2567"/>
      <c r="FOQ82" s="2567"/>
      <c r="FOR82" s="2567"/>
      <c r="FOS82" s="2567"/>
      <c r="FOT82" s="2567"/>
      <c r="FOU82" s="2567"/>
      <c r="FOV82" s="2567"/>
      <c r="FOW82" s="2567"/>
      <c r="FOX82" s="2567"/>
      <c r="FOY82" s="2567"/>
      <c r="FOZ82" s="2567"/>
      <c r="FPA82" s="2567"/>
      <c r="FPB82" s="2567"/>
      <c r="FPC82" s="2567"/>
      <c r="FPD82" s="2567"/>
      <c r="FPE82" s="2567"/>
      <c r="FPF82" s="2567"/>
      <c r="FPG82" s="2567"/>
      <c r="FPH82" s="2567"/>
      <c r="FPI82" s="2567"/>
      <c r="FPJ82" s="2567"/>
      <c r="FPK82" s="2567"/>
      <c r="FPL82" s="2567"/>
      <c r="FPM82" s="2567"/>
      <c r="FPN82" s="2567"/>
      <c r="FPO82" s="2567"/>
      <c r="FPP82" s="2567"/>
      <c r="FPQ82" s="2567"/>
      <c r="FPR82" s="2567"/>
      <c r="FPS82" s="2567"/>
      <c r="FPT82" s="2567"/>
      <c r="FPU82" s="2567"/>
      <c r="FPV82" s="2567"/>
      <c r="FPW82" s="2567"/>
      <c r="FPX82" s="2567"/>
      <c r="FPY82" s="2567"/>
      <c r="FPZ82" s="2567"/>
      <c r="FQA82" s="2567"/>
      <c r="FQB82" s="2567"/>
      <c r="FQC82" s="2567"/>
      <c r="FQD82" s="2567"/>
      <c r="FQE82" s="2567"/>
      <c r="FQF82" s="2567"/>
      <c r="FQG82" s="2567"/>
      <c r="FQH82" s="2567"/>
      <c r="FQI82" s="2567"/>
      <c r="FQJ82" s="2567"/>
      <c r="FQK82" s="2567"/>
      <c r="FQL82" s="2567"/>
      <c r="FQM82" s="2567"/>
      <c r="FQN82" s="2567"/>
      <c r="FQO82" s="2567"/>
      <c r="FQP82" s="2567"/>
      <c r="FQQ82" s="2567"/>
      <c r="FQR82" s="2567"/>
      <c r="FQS82" s="2567"/>
      <c r="FQT82" s="2567"/>
      <c r="FQU82" s="2567"/>
      <c r="FQV82" s="2567"/>
      <c r="FQW82" s="2567"/>
      <c r="FQX82" s="2567"/>
      <c r="FQY82" s="2567"/>
      <c r="FQZ82" s="2567"/>
      <c r="FRA82" s="2567"/>
      <c r="FRB82" s="2567"/>
      <c r="FRC82" s="2567"/>
      <c r="FRD82" s="2567"/>
      <c r="FRE82" s="2567"/>
      <c r="FRF82" s="2567"/>
      <c r="FRG82" s="2567"/>
      <c r="FRH82" s="2567"/>
      <c r="FRI82" s="2567"/>
      <c r="FRJ82" s="2567"/>
      <c r="FRK82" s="2567"/>
      <c r="FRL82" s="2567"/>
      <c r="FRM82" s="2567"/>
      <c r="FRN82" s="2567"/>
      <c r="FRO82" s="2567"/>
      <c r="FRP82" s="2567"/>
      <c r="FRQ82" s="2567"/>
      <c r="FRR82" s="2567"/>
      <c r="FRS82" s="2567"/>
      <c r="FRT82" s="2567"/>
      <c r="FRU82" s="2567"/>
      <c r="FRV82" s="2567"/>
      <c r="FRW82" s="2567"/>
      <c r="FRX82" s="2567"/>
      <c r="FRY82" s="2567"/>
      <c r="FRZ82" s="2567"/>
      <c r="FSA82" s="2567"/>
      <c r="FSB82" s="2567"/>
      <c r="FSC82" s="2567"/>
      <c r="FSD82" s="2567"/>
      <c r="FSE82" s="2567"/>
      <c r="FSF82" s="2567"/>
      <c r="FSG82" s="2567"/>
      <c r="FSH82" s="2567"/>
      <c r="FSI82" s="2567"/>
      <c r="FSJ82" s="2567"/>
      <c r="FSK82" s="2567"/>
      <c r="FSL82" s="2567"/>
      <c r="FSM82" s="2567"/>
      <c r="FSN82" s="2567"/>
      <c r="FSO82" s="2567"/>
      <c r="FSP82" s="2567"/>
      <c r="FSQ82" s="2567"/>
      <c r="FSR82" s="2567"/>
      <c r="FSS82" s="2567"/>
      <c r="FST82" s="2567"/>
      <c r="FSU82" s="2567"/>
      <c r="FSV82" s="2567"/>
      <c r="FSW82" s="2567"/>
      <c r="FSX82" s="2567"/>
      <c r="FSY82" s="2567"/>
      <c r="FSZ82" s="2567"/>
      <c r="FTA82" s="2567"/>
      <c r="FTB82" s="2567"/>
      <c r="FTC82" s="2567"/>
      <c r="FTD82" s="2567"/>
      <c r="FTE82" s="2567"/>
      <c r="FTF82" s="2567"/>
      <c r="FTG82" s="2567"/>
      <c r="FTH82" s="2567"/>
      <c r="FTI82" s="2567"/>
      <c r="FTJ82" s="2567"/>
      <c r="FTK82" s="2567"/>
      <c r="FTL82" s="2567"/>
      <c r="FTM82" s="2567"/>
      <c r="FTN82" s="2567"/>
      <c r="FTO82" s="2567"/>
      <c r="FTP82" s="2567"/>
      <c r="FTQ82" s="2567"/>
      <c r="FTR82" s="2567"/>
      <c r="FTS82" s="2567"/>
      <c r="FTT82" s="2567"/>
      <c r="FTU82" s="2567"/>
      <c r="FTV82" s="2567"/>
      <c r="FTW82" s="2567"/>
      <c r="FTX82" s="2567"/>
      <c r="FTY82" s="2567"/>
      <c r="FTZ82" s="2567"/>
      <c r="FUA82" s="2567"/>
      <c r="FUB82" s="2567"/>
      <c r="FUC82" s="2567"/>
      <c r="FUD82" s="2567"/>
      <c r="FUE82" s="2567"/>
      <c r="FUF82" s="2567"/>
      <c r="FUG82" s="2567"/>
      <c r="FUH82" s="2567"/>
      <c r="FUI82" s="2567"/>
      <c r="FUJ82" s="2567"/>
      <c r="FUK82" s="2567"/>
      <c r="FUL82" s="2567"/>
      <c r="FUM82" s="2567"/>
      <c r="FUN82" s="2567"/>
      <c r="FUO82" s="2567"/>
      <c r="FUP82" s="2567"/>
      <c r="FUQ82" s="2567"/>
      <c r="FUR82" s="2567"/>
      <c r="FUS82" s="2567"/>
      <c r="FUT82" s="2567"/>
      <c r="FUU82" s="2567"/>
      <c r="FUV82" s="2567"/>
      <c r="FUW82" s="2567"/>
      <c r="FUX82" s="2567"/>
      <c r="FUY82" s="2567"/>
      <c r="FUZ82" s="2567"/>
      <c r="FVA82" s="2567"/>
      <c r="FVB82" s="2567"/>
      <c r="FVC82" s="2567"/>
      <c r="FVD82" s="2567"/>
      <c r="FVE82" s="2567"/>
      <c r="FVF82" s="2567"/>
      <c r="FVG82" s="2567"/>
      <c r="FVH82" s="2567"/>
      <c r="FVI82" s="2567"/>
      <c r="FVJ82" s="2567"/>
      <c r="FVK82" s="2567"/>
      <c r="FVL82" s="2567"/>
      <c r="FVM82" s="2567"/>
      <c r="FVN82" s="2567"/>
      <c r="FVO82" s="2567"/>
      <c r="FVP82" s="2567"/>
      <c r="FVQ82" s="2567"/>
      <c r="FVR82" s="2567"/>
      <c r="FVS82" s="2567"/>
      <c r="FVT82" s="2567"/>
      <c r="FVU82" s="2567"/>
      <c r="FVV82" s="2567"/>
      <c r="FVW82" s="2567"/>
      <c r="FVX82" s="2567"/>
      <c r="FVY82" s="2567"/>
      <c r="FVZ82" s="2567"/>
      <c r="FWA82" s="2567"/>
      <c r="FWB82" s="2567"/>
      <c r="FWC82" s="2567"/>
      <c r="FWD82" s="2567"/>
      <c r="FWE82" s="2567"/>
      <c r="FWF82" s="2567"/>
      <c r="FWG82" s="2567"/>
      <c r="FWH82" s="2567"/>
      <c r="FWI82" s="2567"/>
      <c r="FWJ82" s="2567"/>
      <c r="FWK82" s="2567"/>
      <c r="FWL82" s="2567"/>
      <c r="FWM82" s="2567"/>
      <c r="FWN82" s="2567"/>
      <c r="FWO82" s="2567"/>
      <c r="FWP82" s="2567"/>
      <c r="FWQ82" s="2567"/>
      <c r="FWR82" s="2567"/>
      <c r="FWS82" s="2567"/>
      <c r="FWT82" s="2567"/>
      <c r="FWU82" s="2567"/>
      <c r="FWV82" s="2567"/>
      <c r="FWW82" s="2567"/>
      <c r="FWX82" s="2567"/>
      <c r="FWY82" s="2567"/>
      <c r="FWZ82" s="2567"/>
      <c r="FXA82" s="2567"/>
      <c r="FXB82" s="2567"/>
      <c r="FXC82" s="2567"/>
      <c r="FXD82" s="2567"/>
      <c r="FXE82" s="2567"/>
      <c r="FXF82" s="2567"/>
      <c r="FXG82" s="2567"/>
      <c r="FXH82" s="2567"/>
      <c r="FXI82" s="2567"/>
      <c r="FXJ82" s="2567"/>
      <c r="FXK82" s="2567"/>
      <c r="FXL82" s="2567"/>
      <c r="FXM82" s="2567"/>
      <c r="FXN82" s="2567"/>
      <c r="FXO82" s="2567"/>
      <c r="FXP82" s="2567"/>
      <c r="FXQ82" s="2567"/>
      <c r="FXR82" s="2567"/>
      <c r="FXS82" s="2567"/>
      <c r="FXT82" s="2567"/>
      <c r="FXU82" s="2567"/>
      <c r="FXV82" s="2567"/>
      <c r="FXW82" s="2567"/>
      <c r="FXX82" s="2567"/>
      <c r="FXY82" s="2567"/>
      <c r="FXZ82" s="2567"/>
      <c r="FYA82" s="2567"/>
      <c r="FYB82" s="2567"/>
      <c r="FYC82" s="2567"/>
      <c r="FYD82" s="2567"/>
      <c r="FYE82" s="2567"/>
      <c r="FYF82" s="2567"/>
      <c r="FYG82" s="2567"/>
      <c r="FYH82" s="2567"/>
      <c r="FYI82" s="2567"/>
      <c r="FYJ82" s="2567"/>
      <c r="FYK82" s="2567"/>
      <c r="FYL82" s="2567"/>
      <c r="FYM82" s="2567"/>
      <c r="FYN82" s="2567"/>
      <c r="FYO82" s="2567"/>
      <c r="FYP82" s="2567"/>
      <c r="FYQ82" s="2567"/>
      <c r="FYR82" s="2567"/>
      <c r="FYS82" s="2567"/>
      <c r="FYT82" s="2567"/>
      <c r="FYU82" s="2567"/>
      <c r="FYV82" s="2567"/>
      <c r="FYW82" s="2567"/>
      <c r="FYX82" s="2567"/>
      <c r="FYY82" s="2567"/>
      <c r="FYZ82" s="2567"/>
      <c r="FZA82" s="2567"/>
      <c r="FZB82" s="2567"/>
      <c r="FZC82" s="2567"/>
      <c r="FZD82" s="2567"/>
      <c r="FZE82" s="2567"/>
      <c r="FZF82" s="2567"/>
      <c r="FZG82" s="2567"/>
      <c r="FZH82" s="2567"/>
      <c r="FZI82" s="2567"/>
      <c r="FZJ82" s="2567"/>
      <c r="FZK82" s="2567"/>
      <c r="FZL82" s="2567"/>
      <c r="FZM82" s="2567"/>
      <c r="FZN82" s="2567"/>
      <c r="FZO82" s="2567"/>
      <c r="FZP82" s="2567"/>
      <c r="FZQ82" s="2567"/>
      <c r="FZR82" s="2567"/>
      <c r="FZS82" s="2567"/>
      <c r="FZT82" s="2567"/>
      <c r="FZU82" s="2567"/>
      <c r="FZV82" s="2567"/>
      <c r="FZW82" s="2567"/>
      <c r="FZX82" s="2567"/>
      <c r="FZY82" s="2567"/>
      <c r="FZZ82" s="2567"/>
      <c r="GAA82" s="2567"/>
      <c r="GAB82" s="2567"/>
      <c r="GAC82" s="2567"/>
      <c r="GAD82" s="2567"/>
      <c r="GAE82" s="2567"/>
      <c r="GAF82" s="2567"/>
      <c r="GAG82" s="2567"/>
      <c r="GAH82" s="2567"/>
      <c r="GAI82" s="2567"/>
      <c r="GAJ82" s="2567"/>
      <c r="GAK82" s="2567"/>
      <c r="GAL82" s="2567"/>
      <c r="GAM82" s="2567"/>
      <c r="GAN82" s="2567"/>
      <c r="GAO82" s="2567"/>
      <c r="GAP82" s="2567"/>
      <c r="GAQ82" s="2567"/>
      <c r="GAR82" s="2567"/>
      <c r="GAS82" s="2567"/>
      <c r="GAT82" s="2567"/>
      <c r="GAU82" s="2567"/>
      <c r="GAV82" s="2567"/>
      <c r="GAW82" s="2567"/>
      <c r="GAX82" s="2567"/>
      <c r="GAY82" s="2567"/>
      <c r="GAZ82" s="2567"/>
      <c r="GBA82" s="2567"/>
      <c r="GBB82" s="2567"/>
      <c r="GBC82" s="2567"/>
      <c r="GBD82" s="2567"/>
      <c r="GBE82" s="2567"/>
      <c r="GBF82" s="2567"/>
      <c r="GBG82" s="2567"/>
      <c r="GBH82" s="2567"/>
      <c r="GBI82" s="2567"/>
      <c r="GBJ82" s="2567"/>
      <c r="GBK82" s="2567"/>
      <c r="GBL82" s="2567"/>
      <c r="GBM82" s="2567"/>
      <c r="GBN82" s="2567"/>
      <c r="GBO82" s="2567"/>
      <c r="GBP82" s="2567"/>
      <c r="GBQ82" s="2567"/>
      <c r="GBR82" s="2567"/>
      <c r="GBS82" s="2567"/>
      <c r="GBT82" s="2567"/>
      <c r="GBU82" s="2567"/>
      <c r="GBV82" s="2567"/>
      <c r="GBW82" s="2567"/>
      <c r="GBX82" s="2567"/>
      <c r="GBY82" s="2567"/>
      <c r="GBZ82" s="2567"/>
      <c r="GCA82" s="2567"/>
      <c r="GCB82" s="2567"/>
      <c r="GCC82" s="2567"/>
      <c r="GCD82" s="2567"/>
      <c r="GCE82" s="2567"/>
      <c r="GCF82" s="2567"/>
      <c r="GCG82" s="2567"/>
      <c r="GCH82" s="2567"/>
      <c r="GCI82" s="2567"/>
      <c r="GCJ82" s="2567"/>
      <c r="GCK82" s="2567"/>
      <c r="GCL82" s="2567"/>
      <c r="GCM82" s="2567"/>
      <c r="GCN82" s="2567"/>
      <c r="GCO82" s="2567"/>
      <c r="GCP82" s="2567"/>
      <c r="GCQ82" s="2567"/>
      <c r="GCR82" s="2567"/>
      <c r="GCS82" s="2567"/>
      <c r="GCT82" s="2567"/>
      <c r="GCU82" s="2567"/>
      <c r="GCV82" s="2567"/>
      <c r="GCW82" s="2567"/>
      <c r="GCX82" s="2567"/>
      <c r="GCY82" s="2567"/>
      <c r="GCZ82" s="2567"/>
      <c r="GDA82" s="2567"/>
      <c r="GDB82" s="2567"/>
      <c r="GDC82" s="2567"/>
      <c r="GDD82" s="2567"/>
      <c r="GDE82" s="2567"/>
      <c r="GDF82" s="2567"/>
      <c r="GDG82" s="2567"/>
      <c r="GDH82" s="2567"/>
      <c r="GDI82" s="2567"/>
      <c r="GDJ82" s="2567"/>
      <c r="GDK82" s="2567"/>
      <c r="GDL82" s="2567"/>
      <c r="GDM82" s="2567"/>
      <c r="GDN82" s="2567"/>
      <c r="GDO82" s="2567"/>
      <c r="GDP82" s="2567"/>
      <c r="GDQ82" s="2567"/>
      <c r="GDR82" s="2567"/>
      <c r="GDS82" s="2567"/>
      <c r="GDT82" s="2567"/>
      <c r="GDU82" s="2567"/>
      <c r="GDV82" s="2567"/>
      <c r="GDW82" s="2567"/>
      <c r="GDX82" s="2567"/>
      <c r="GDY82" s="2567"/>
      <c r="GDZ82" s="2567"/>
      <c r="GEA82" s="2567"/>
      <c r="GEB82" s="2567"/>
      <c r="GEC82" s="2567"/>
      <c r="GED82" s="2567"/>
      <c r="GEE82" s="2567"/>
      <c r="GEF82" s="2567"/>
      <c r="GEG82" s="2567"/>
      <c r="GEH82" s="2567"/>
      <c r="GEI82" s="2567"/>
      <c r="GEJ82" s="2567"/>
      <c r="GEK82" s="2567"/>
      <c r="GEL82" s="2567"/>
      <c r="GEM82" s="2567"/>
      <c r="GEN82" s="2567"/>
      <c r="GEO82" s="2567"/>
      <c r="GEP82" s="2567"/>
      <c r="GEQ82" s="2567"/>
      <c r="GER82" s="2567"/>
      <c r="GES82" s="2567"/>
      <c r="GET82" s="2567"/>
      <c r="GEU82" s="2567"/>
      <c r="GEV82" s="2567"/>
      <c r="GEW82" s="2567"/>
      <c r="GEX82" s="2567"/>
      <c r="GEY82" s="2567"/>
      <c r="GEZ82" s="2567"/>
      <c r="GFA82" s="2567"/>
      <c r="GFB82" s="2567"/>
      <c r="GFC82" s="2567"/>
      <c r="GFD82" s="2567"/>
      <c r="GFE82" s="2567"/>
      <c r="GFF82" s="2567"/>
      <c r="GFG82" s="2567"/>
      <c r="GFH82" s="2567"/>
      <c r="GFI82" s="2567"/>
      <c r="GFJ82" s="2567"/>
      <c r="GFK82" s="2567"/>
      <c r="GFL82" s="2567"/>
      <c r="GFM82" s="2567"/>
      <c r="GFN82" s="2567"/>
      <c r="GFO82" s="2567"/>
      <c r="GFP82" s="2567"/>
      <c r="GFQ82" s="2567"/>
      <c r="GFR82" s="2567"/>
      <c r="GFS82" s="2567"/>
      <c r="GFT82" s="2567"/>
      <c r="GFU82" s="2567"/>
      <c r="GFV82" s="2567"/>
      <c r="GFW82" s="2567"/>
      <c r="GFX82" s="2567"/>
      <c r="GFY82" s="2567"/>
      <c r="GFZ82" s="2567"/>
      <c r="GGA82" s="2567"/>
      <c r="GGB82" s="2567"/>
      <c r="GGC82" s="2567"/>
      <c r="GGD82" s="2567"/>
      <c r="GGE82" s="2567"/>
      <c r="GGF82" s="2567"/>
      <c r="GGG82" s="2567"/>
      <c r="GGH82" s="2567"/>
      <c r="GGI82" s="2567"/>
      <c r="GGJ82" s="2567"/>
      <c r="GGK82" s="2567"/>
      <c r="GGL82" s="2567"/>
      <c r="GGM82" s="2567"/>
      <c r="GGN82" s="2567"/>
      <c r="GGO82" s="2567"/>
      <c r="GGP82" s="2567"/>
      <c r="GGQ82" s="2567"/>
      <c r="GGR82" s="2567"/>
      <c r="GGS82" s="2567"/>
      <c r="GGT82" s="2567"/>
      <c r="GGU82" s="2567"/>
      <c r="GGV82" s="2567"/>
      <c r="GGW82" s="2567"/>
      <c r="GGX82" s="2567"/>
      <c r="GGY82" s="2567"/>
      <c r="GGZ82" s="2567"/>
      <c r="GHA82" s="2567"/>
      <c r="GHB82" s="2567"/>
      <c r="GHC82" s="2567"/>
      <c r="GHD82" s="2567"/>
      <c r="GHE82" s="2567"/>
      <c r="GHF82" s="2567"/>
      <c r="GHG82" s="2567"/>
      <c r="GHH82" s="2567"/>
      <c r="GHI82" s="2567"/>
      <c r="GHJ82" s="2567"/>
      <c r="GHK82" s="2567"/>
      <c r="GHL82" s="2567"/>
      <c r="GHM82" s="2567"/>
      <c r="GHN82" s="2567"/>
      <c r="GHO82" s="2567"/>
      <c r="GHP82" s="2567"/>
      <c r="GHQ82" s="2567"/>
      <c r="GHR82" s="2567"/>
      <c r="GHS82" s="2567"/>
      <c r="GHT82" s="2567"/>
      <c r="GHU82" s="2567"/>
      <c r="GHV82" s="2567"/>
      <c r="GHW82" s="2567"/>
      <c r="GHX82" s="2567"/>
      <c r="GHY82" s="2567"/>
      <c r="GHZ82" s="2567"/>
      <c r="GIA82" s="2567"/>
      <c r="GIB82" s="2567"/>
      <c r="GIC82" s="2567"/>
      <c r="GID82" s="2567"/>
      <c r="GIE82" s="2567"/>
      <c r="GIF82" s="2567"/>
      <c r="GIG82" s="2567"/>
      <c r="GIH82" s="2567"/>
      <c r="GII82" s="2567"/>
      <c r="GIJ82" s="2567"/>
      <c r="GIK82" s="2567"/>
      <c r="GIL82" s="2567"/>
      <c r="GIM82" s="2567"/>
      <c r="GIN82" s="2567"/>
      <c r="GIO82" s="2567"/>
      <c r="GIP82" s="2567"/>
      <c r="GIQ82" s="2567"/>
      <c r="GIR82" s="2567"/>
      <c r="GIS82" s="2567"/>
      <c r="GIT82" s="2567"/>
      <c r="GIU82" s="2567"/>
      <c r="GIV82" s="2567"/>
      <c r="GIW82" s="2567"/>
      <c r="GIX82" s="2567"/>
      <c r="GIY82" s="2567"/>
      <c r="GIZ82" s="2567"/>
      <c r="GJA82" s="2567"/>
      <c r="GJB82" s="2567"/>
      <c r="GJC82" s="2567"/>
      <c r="GJD82" s="2567"/>
      <c r="GJE82" s="2567"/>
      <c r="GJF82" s="2567"/>
      <c r="GJG82" s="2567"/>
      <c r="GJH82" s="2567"/>
      <c r="GJI82" s="2567"/>
      <c r="GJJ82" s="2567"/>
      <c r="GJK82" s="2567"/>
      <c r="GJL82" s="2567"/>
      <c r="GJM82" s="2567"/>
      <c r="GJN82" s="2567"/>
      <c r="GJO82" s="2567"/>
      <c r="GJP82" s="2567"/>
      <c r="GJQ82" s="2567"/>
      <c r="GJR82" s="2567"/>
      <c r="GJS82" s="2567"/>
      <c r="GJT82" s="2567"/>
      <c r="GJU82" s="2567"/>
      <c r="GJV82" s="2567"/>
      <c r="GJW82" s="2567"/>
      <c r="GJX82" s="2567"/>
      <c r="GJY82" s="2567"/>
      <c r="GJZ82" s="2567"/>
      <c r="GKA82" s="2567"/>
      <c r="GKB82" s="2567"/>
      <c r="GKC82" s="2567"/>
      <c r="GKD82" s="2567"/>
      <c r="GKE82" s="2567"/>
      <c r="GKF82" s="2567"/>
      <c r="GKG82" s="2567"/>
      <c r="GKH82" s="2567"/>
      <c r="GKI82" s="2567"/>
      <c r="GKJ82" s="2567"/>
      <c r="GKK82" s="2567"/>
      <c r="GKL82" s="2567"/>
      <c r="GKM82" s="2567"/>
      <c r="GKN82" s="2567"/>
      <c r="GKO82" s="2567"/>
      <c r="GKP82" s="2567"/>
      <c r="GKQ82" s="2567"/>
      <c r="GKR82" s="2567"/>
      <c r="GKS82" s="2567"/>
      <c r="GKT82" s="2567"/>
      <c r="GKU82" s="2567"/>
      <c r="GKV82" s="2567"/>
      <c r="GKW82" s="2567"/>
      <c r="GKX82" s="2567"/>
      <c r="GKY82" s="2567"/>
      <c r="GKZ82" s="2567"/>
      <c r="GLA82" s="2567"/>
      <c r="GLB82" s="2567"/>
      <c r="GLC82" s="2567"/>
      <c r="GLD82" s="2567"/>
      <c r="GLE82" s="2567"/>
      <c r="GLF82" s="2567"/>
      <c r="GLG82" s="2567"/>
      <c r="GLH82" s="2567"/>
      <c r="GLI82" s="2567"/>
      <c r="GLJ82" s="2567"/>
      <c r="GLK82" s="2567"/>
      <c r="GLL82" s="2567"/>
      <c r="GLM82" s="2567"/>
      <c r="GLN82" s="2567"/>
      <c r="GLO82" s="2567"/>
      <c r="GLP82" s="2567"/>
      <c r="GLQ82" s="2567"/>
      <c r="GLR82" s="2567"/>
      <c r="GLS82" s="2567"/>
      <c r="GLT82" s="2567"/>
      <c r="GLU82" s="2567"/>
      <c r="GLV82" s="2567"/>
      <c r="GLW82" s="2567"/>
      <c r="GLX82" s="2567"/>
      <c r="GLY82" s="2567"/>
      <c r="GLZ82" s="2567"/>
      <c r="GMA82" s="2567"/>
      <c r="GMB82" s="2567"/>
      <c r="GMC82" s="2567"/>
      <c r="GMD82" s="2567"/>
      <c r="GME82" s="2567"/>
      <c r="GMF82" s="2567"/>
      <c r="GMG82" s="2567"/>
      <c r="GMH82" s="2567"/>
      <c r="GMI82" s="2567"/>
      <c r="GMJ82" s="2567"/>
      <c r="GMK82" s="2567"/>
      <c r="GML82" s="2567"/>
      <c r="GMM82" s="2567"/>
      <c r="GMN82" s="2567"/>
      <c r="GMO82" s="2567"/>
      <c r="GMP82" s="2567"/>
      <c r="GMQ82" s="2567"/>
      <c r="GMR82" s="2567"/>
      <c r="GMS82" s="2567"/>
      <c r="GMT82" s="2567"/>
      <c r="GMU82" s="2567"/>
      <c r="GMV82" s="2567"/>
      <c r="GMW82" s="2567"/>
      <c r="GMX82" s="2567"/>
      <c r="GMY82" s="2567"/>
      <c r="GMZ82" s="2567"/>
      <c r="GNA82" s="2567"/>
      <c r="GNB82" s="2567"/>
      <c r="GNC82" s="2567"/>
      <c r="GND82" s="2567"/>
      <c r="GNE82" s="2567"/>
      <c r="GNF82" s="2567"/>
      <c r="GNG82" s="2567"/>
      <c r="GNH82" s="2567"/>
      <c r="GNI82" s="2567"/>
      <c r="GNJ82" s="2567"/>
      <c r="GNK82" s="2567"/>
      <c r="GNL82" s="2567"/>
      <c r="GNM82" s="2567"/>
      <c r="GNN82" s="2567"/>
      <c r="GNO82" s="2567"/>
      <c r="GNP82" s="2567"/>
      <c r="GNQ82" s="2567"/>
      <c r="GNR82" s="2567"/>
      <c r="GNS82" s="2567"/>
      <c r="GNT82" s="2567"/>
      <c r="GNU82" s="2567"/>
      <c r="GNV82" s="2567"/>
      <c r="GNW82" s="2567"/>
      <c r="GNX82" s="2567"/>
      <c r="GNY82" s="2567"/>
      <c r="GNZ82" s="2567"/>
      <c r="GOA82" s="2567"/>
      <c r="GOB82" s="2567"/>
      <c r="GOC82" s="2567"/>
      <c r="GOD82" s="2567"/>
      <c r="GOE82" s="2567"/>
      <c r="GOF82" s="2567"/>
      <c r="GOG82" s="2567"/>
      <c r="GOH82" s="2567"/>
      <c r="GOI82" s="2567"/>
      <c r="GOJ82" s="2567"/>
      <c r="GOK82" s="2567"/>
      <c r="GOL82" s="2567"/>
      <c r="GOM82" s="2567"/>
      <c r="GON82" s="2567"/>
      <c r="GOO82" s="2567"/>
      <c r="GOP82" s="2567"/>
      <c r="GOQ82" s="2567"/>
      <c r="GOR82" s="2567"/>
      <c r="GOS82" s="2567"/>
      <c r="GOT82" s="2567"/>
      <c r="GOU82" s="2567"/>
      <c r="GOV82" s="2567"/>
      <c r="GOW82" s="2567"/>
      <c r="GOX82" s="2567"/>
      <c r="GOY82" s="2567"/>
      <c r="GOZ82" s="2567"/>
      <c r="GPA82" s="2567"/>
      <c r="GPB82" s="2567"/>
      <c r="GPC82" s="2567"/>
      <c r="GPD82" s="2567"/>
      <c r="GPE82" s="2567"/>
      <c r="GPF82" s="2567"/>
      <c r="GPG82" s="2567"/>
      <c r="GPH82" s="2567"/>
      <c r="GPI82" s="2567"/>
      <c r="GPJ82" s="2567"/>
      <c r="GPK82" s="2567"/>
      <c r="GPL82" s="2567"/>
      <c r="GPM82" s="2567"/>
      <c r="GPN82" s="2567"/>
      <c r="GPO82" s="2567"/>
      <c r="GPP82" s="2567"/>
      <c r="GPQ82" s="2567"/>
      <c r="GPR82" s="2567"/>
      <c r="GPS82" s="2567"/>
      <c r="GPT82" s="2567"/>
      <c r="GPU82" s="2567"/>
      <c r="GPV82" s="2567"/>
      <c r="GPW82" s="2567"/>
      <c r="GPX82" s="2567"/>
      <c r="GPY82" s="2567"/>
      <c r="GPZ82" s="2567"/>
      <c r="GQA82" s="2567"/>
      <c r="GQB82" s="2567"/>
      <c r="GQC82" s="2567"/>
      <c r="GQD82" s="2567"/>
      <c r="GQE82" s="2567"/>
      <c r="GQF82" s="2567"/>
      <c r="GQG82" s="2567"/>
      <c r="GQH82" s="2567"/>
      <c r="GQI82" s="2567"/>
      <c r="GQJ82" s="2567"/>
      <c r="GQK82" s="2567"/>
      <c r="GQL82" s="2567"/>
      <c r="GQM82" s="2567"/>
      <c r="GQN82" s="2567"/>
      <c r="GQO82" s="2567"/>
      <c r="GQP82" s="2567"/>
      <c r="GQQ82" s="2567"/>
      <c r="GQR82" s="2567"/>
      <c r="GQS82" s="2567"/>
      <c r="GQT82" s="2567"/>
      <c r="GQU82" s="2567"/>
      <c r="GQV82" s="2567"/>
      <c r="GQW82" s="2567"/>
      <c r="GQX82" s="2567"/>
      <c r="GQY82" s="2567"/>
      <c r="GQZ82" s="2567"/>
      <c r="GRA82" s="2567"/>
      <c r="GRB82" s="2567"/>
      <c r="GRC82" s="2567"/>
      <c r="GRD82" s="2567"/>
      <c r="GRE82" s="2567"/>
      <c r="GRF82" s="2567"/>
      <c r="GRG82" s="2567"/>
      <c r="GRH82" s="2567"/>
      <c r="GRI82" s="2567"/>
      <c r="GRJ82" s="2567"/>
      <c r="GRK82" s="2567"/>
      <c r="GRL82" s="2567"/>
      <c r="GRM82" s="2567"/>
      <c r="GRN82" s="2567"/>
      <c r="GRO82" s="2567"/>
      <c r="GRP82" s="2567"/>
      <c r="GRQ82" s="2567"/>
      <c r="GRR82" s="2567"/>
      <c r="GRS82" s="2567"/>
      <c r="GRT82" s="2567"/>
      <c r="GRU82" s="2567"/>
      <c r="GRV82" s="2567"/>
      <c r="GRW82" s="2567"/>
      <c r="GRX82" s="2567"/>
      <c r="GRY82" s="2567"/>
      <c r="GRZ82" s="2567"/>
      <c r="GSA82" s="2567"/>
      <c r="GSB82" s="2567"/>
      <c r="GSC82" s="2567"/>
      <c r="GSD82" s="2567"/>
      <c r="GSE82" s="2567"/>
      <c r="GSF82" s="2567"/>
      <c r="GSG82" s="2567"/>
      <c r="GSH82" s="2567"/>
      <c r="GSI82" s="2567"/>
      <c r="GSJ82" s="2567"/>
      <c r="GSK82" s="2567"/>
      <c r="GSL82" s="2567"/>
      <c r="GSM82" s="2567"/>
      <c r="GSN82" s="2567"/>
      <c r="GSO82" s="2567"/>
      <c r="GSP82" s="2567"/>
      <c r="GSQ82" s="2567"/>
      <c r="GSR82" s="2567"/>
      <c r="GSS82" s="2567"/>
      <c r="GST82" s="2567"/>
      <c r="GSU82" s="2567"/>
      <c r="GSV82" s="2567"/>
      <c r="GSW82" s="2567"/>
      <c r="GSX82" s="2567"/>
      <c r="GSY82" s="2567"/>
      <c r="GSZ82" s="2567"/>
      <c r="GTA82" s="2567"/>
      <c r="GTB82" s="2567"/>
      <c r="GTC82" s="2567"/>
      <c r="GTD82" s="2567"/>
      <c r="GTE82" s="2567"/>
      <c r="GTF82" s="2567"/>
      <c r="GTG82" s="2567"/>
      <c r="GTH82" s="2567"/>
      <c r="GTI82" s="2567"/>
      <c r="GTJ82" s="2567"/>
      <c r="GTK82" s="2567"/>
      <c r="GTL82" s="2567"/>
      <c r="GTM82" s="2567"/>
      <c r="GTN82" s="2567"/>
      <c r="GTO82" s="2567"/>
      <c r="GTP82" s="2567"/>
      <c r="GTQ82" s="2567"/>
      <c r="GTR82" s="2567"/>
      <c r="GTS82" s="2567"/>
      <c r="GTT82" s="2567"/>
      <c r="GTU82" s="2567"/>
      <c r="GTV82" s="2567"/>
      <c r="GTW82" s="2567"/>
      <c r="GTX82" s="2567"/>
      <c r="GTY82" s="2567"/>
      <c r="GTZ82" s="2567"/>
      <c r="GUA82" s="2567"/>
      <c r="GUB82" s="2567"/>
      <c r="GUC82" s="2567"/>
      <c r="GUD82" s="2567"/>
      <c r="GUE82" s="2567"/>
      <c r="GUF82" s="2567"/>
      <c r="GUG82" s="2567"/>
      <c r="GUH82" s="2567"/>
      <c r="GUI82" s="2567"/>
      <c r="GUJ82" s="2567"/>
      <c r="GUK82" s="2567"/>
      <c r="GUL82" s="2567"/>
      <c r="GUM82" s="2567"/>
      <c r="GUN82" s="2567"/>
      <c r="GUO82" s="2567"/>
      <c r="GUP82" s="2567"/>
      <c r="GUQ82" s="2567"/>
      <c r="GUR82" s="2567"/>
      <c r="GUS82" s="2567"/>
      <c r="GUT82" s="2567"/>
      <c r="GUU82" s="2567"/>
      <c r="GUV82" s="2567"/>
      <c r="GUW82" s="2567"/>
      <c r="GUX82" s="2567"/>
      <c r="GUY82" s="2567"/>
      <c r="GUZ82" s="2567"/>
      <c r="GVA82" s="2567"/>
      <c r="GVB82" s="2567"/>
      <c r="GVC82" s="2567"/>
      <c r="GVD82" s="2567"/>
      <c r="GVE82" s="2567"/>
      <c r="GVF82" s="2567"/>
      <c r="GVG82" s="2567"/>
      <c r="GVH82" s="2567"/>
      <c r="GVI82" s="2567"/>
      <c r="GVJ82" s="2567"/>
      <c r="GVK82" s="2567"/>
      <c r="GVL82" s="2567"/>
      <c r="GVM82" s="2567"/>
      <c r="GVN82" s="2567"/>
      <c r="GVO82" s="2567"/>
      <c r="GVP82" s="2567"/>
      <c r="GVQ82" s="2567"/>
      <c r="GVR82" s="2567"/>
      <c r="GVS82" s="2567"/>
      <c r="GVT82" s="2567"/>
      <c r="GVU82" s="2567"/>
      <c r="GVV82" s="2567"/>
      <c r="GVW82" s="2567"/>
      <c r="GVX82" s="2567"/>
      <c r="GVY82" s="2567"/>
      <c r="GVZ82" s="2567"/>
      <c r="GWA82" s="2567"/>
      <c r="GWB82" s="2567"/>
      <c r="GWC82" s="2567"/>
      <c r="GWD82" s="2567"/>
      <c r="GWE82" s="2567"/>
      <c r="GWF82" s="2567"/>
      <c r="GWG82" s="2567"/>
      <c r="GWH82" s="2567"/>
      <c r="GWI82" s="2567"/>
      <c r="GWJ82" s="2567"/>
      <c r="GWK82" s="2567"/>
      <c r="GWL82" s="2567"/>
      <c r="GWM82" s="2567"/>
      <c r="GWN82" s="2567"/>
      <c r="GWO82" s="2567"/>
      <c r="GWP82" s="2567"/>
      <c r="GWQ82" s="2567"/>
      <c r="GWR82" s="2567"/>
      <c r="GWS82" s="2567"/>
      <c r="GWT82" s="2567"/>
      <c r="GWU82" s="2567"/>
      <c r="GWV82" s="2567"/>
      <c r="GWW82" s="2567"/>
      <c r="GWX82" s="2567"/>
      <c r="GWY82" s="2567"/>
      <c r="GWZ82" s="2567"/>
      <c r="GXA82" s="2567"/>
      <c r="GXB82" s="2567"/>
      <c r="GXC82" s="2567"/>
      <c r="GXD82" s="2567"/>
      <c r="GXE82" s="2567"/>
      <c r="GXF82" s="2567"/>
      <c r="GXG82" s="2567"/>
      <c r="GXH82" s="2567"/>
      <c r="GXI82" s="2567"/>
      <c r="GXJ82" s="2567"/>
      <c r="GXK82" s="2567"/>
      <c r="GXL82" s="2567"/>
      <c r="GXM82" s="2567"/>
      <c r="GXN82" s="2567"/>
      <c r="GXO82" s="2567"/>
      <c r="GXP82" s="2567"/>
      <c r="GXQ82" s="2567"/>
      <c r="GXR82" s="2567"/>
      <c r="GXS82" s="2567"/>
      <c r="GXT82" s="2567"/>
      <c r="GXU82" s="2567"/>
      <c r="GXV82" s="2567"/>
      <c r="GXW82" s="2567"/>
      <c r="GXX82" s="2567"/>
      <c r="GXY82" s="2567"/>
      <c r="GXZ82" s="2567"/>
      <c r="GYA82" s="2567"/>
      <c r="GYB82" s="2567"/>
      <c r="GYC82" s="2567"/>
      <c r="GYD82" s="2567"/>
      <c r="GYE82" s="2567"/>
      <c r="GYF82" s="2567"/>
      <c r="GYG82" s="2567"/>
      <c r="GYH82" s="2567"/>
      <c r="GYI82" s="2567"/>
      <c r="GYJ82" s="2567"/>
      <c r="GYK82" s="2567"/>
      <c r="GYL82" s="2567"/>
      <c r="GYM82" s="2567"/>
      <c r="GYN82" s="2567"/>
      <c r="GYO82" s="2567"/>
      <c r="GYP82" s="2567"/>
      <c r="GYQ82" s="2567"/>
      <c r="GYR82" s="2567"/>
      <c r="GYS82" s="2567"/>
      <c r="GYT82" s="2567"/>
      <c r="GYU82" s="2567"/>
      <c r="GYV82" s="2567"/>
      <c r="GYW82" s="2567"/>
      <c r="GYX82" s="2567"/>
      <c r="GYY82" s="2567"/>
      <c r="GYZ82" s="2567"/>
      <c r="GZA82" s="2567"/>
      <c r="GZB82" s="2567"/>
      <c r="GZC82" s="2567"/>
      <c r="GZD82" s="2567"/>
      <c r="GZE82" s="2567"/>
      <c r="GZF82" s="2567"/>
      <c r="GZG82" s="2567"/>
      <c r="GZH82" s="2567"/>
      <c r="GZI82" s="2567"/>
      <c r="GZJ82" s="2567"/>
      <c r="GZK82" s="2567"/>
      <c r="GZL82" s="2567"/>
      <c r="GZM82" s="2567"/>
      <c r="GZN82" s="2567"/>
      <c r="GZO82" s="2567"/>
      <c r="GZP82" s="2567"/>
      <c r="GZQ82" s="2567"/>
      <c r="GZR82" s="2567"/>
      <c r="GZS82" s="2567"/>
      <c r="GZT82" s="2567"/>
      <c r="GZU82" s="2567"/>
      <c r="GZV82" s="2567"/>
      <c r="GZW82" s="2567"/>
      <c r="GZX82" s="2567"/>
      <c r="GZY82" s="2567"/>
      <c r="GZZ82" s="2567"/>
      <c r="HAA82" s="2567"/>
      <c r="HAB82" s="2567"/>
      <c r="HAC82" s="2567"/>
      <c r="HAD82" s="2567"/>
      <c r="HAE82" s="2567"/>
      <c r="HAF82" s="2567"/>
      <c r="HAG82" s="2567"/>
      <c r="HAH82" s="2567"/>
      <c r="HAI82" s="2567"/>
      <c r="HAJ82" s="2567"/>
      <c r="HAK82" s="2567"/>
      <c r="HAL82" s="2567"/>
      <c r="HAM82" s="2567"/>
      <c r="HAN82" s="2567"/>
      <c r="HAO82" s="2567"/>
      <c r="HAP82" s="2567"/>
      <c r="HAQ82" s="2567"/>
      <c r="HAR82" s="2567"/>
      <c r="HAS82" s="2567"/>
      <c r="HAT82" s="2567"/>
      <c r="HAU82" s="2567"/>
      <c r="HAV82" s="2567"/>
      <c r="HAW82" s="2567"/>
      <c r="HAX82" s="2567"/>
      <c r="HAY82" s="2567"/>
      <c r="HAZ82" s="2567"/>
      <c r="HBA82" s="2567"/>
      <c r="HBB82" s="2567"/>
      <c r="HBC82" s="2567"/>
      <c r="HBD82" s="2567"/>
      <c r="HBE82" s="2567"/>
      <c r="HBF82" s="2567"/>
      <c r="HBG82" s="2567"/>
      <c r="HBH82" s="2567"/>
      <c r="HBI82" s="2567"/>
      <c r="HBJ82" s="2567"/>
      <c r="HBK82" s="2567"/>
      <c r="HBL82" s="2567"/>
      <c r="HBM82" s="2567"/>
      <c r="HBN82" s="2567"/>
      <c r="HBO82" s="2567"/>
      <c r="HBP82" s="2567"/>
      <c r="HBQ82" s="2567"/>
      <c r="HBR82" s="2567"/>
      <c r="HBS82" s="2567"/>
      <c r="HBT82" s="2567"/>
      <c r="HBU82" s="2567"/>
      <c r="HBV82" s="2567"/>
      <c r="HBW82" s="2567"/>
      <c r="HBX82" s="2567"/>
      <c r="HBY82" s="2567"/>
      <c r="HBZ82" s="2567"/>
      <c r="HCA82" s="2567"/>
      <c r="HCB82" s="2567"/>
      <c r="HCC82" s="2567"/>
      <c r="HCD82" s="2567"/>
      <c r="HCE82" s="2567"/>
      <c r="HCF82" s="2567"/>
      <c r="HCG82" s="2567"/>
      <c r="HCH82" s="2567"/>
      <c r="HCI82" s="2567"/>
      <c r="HCJ82" s="2567"/>
      <c r="HCK82" s="2567"/>
      <c r="HCL82" s="2567"/>
      <c r="HCM82" s="2567"/>
      <c r="HCN82" s="2567"/>
      <c r="HCO82" s="2567"/>
      <c r="HCP82" s="2567"/>
      <c r="HCQ82" s="2567"/>
      <c r="HCR82" s="2567"/>
      <c r="HCS82" s="2567"/>
      <c r="HCT82" s="2567"/>
      <c r="HCU82" s="2567"/>
      <c r="HCV82" s="2567"/>
      <c r="HCW82" s="2567"/>
      <c r="HCX82" s="2567"/>
      <c r="HCY82" s="2567"/>
      <c r="HCZ82" s="2567"/>
      <c r="HDA82" s="2567"/>
      <c r="HDB82" s="2567"/>
      <c r="HDC82" s="2567"/>
      <c r="HDD82" s="2567"/>
      <c r="HDE82" s="2567"/>
      <c r="HDF82" s="2567"/>
      <c r="HDG82" s="2567"/>
      <c r="HDH82" s="2567"/>
      <c r="HDI82" s="2567"/>
      <c r="HDJ82" s="2567"/>
      <c r="HDK82" s="2567"/>
      <c r="HDL82" s="2567"/>
      <c r="HDM82" s="2567"/>
      <c r="HDN82" s="2567"/>
      <c r="HDO82" s="2567"/>
      <c r="HDP82" s="2567"/>
      <c r="HDQ82" s="2567"/>
      <c r="HDR82" s="2567"/>
      <c r="HDS82" s="2567"/>
      <c r="HDT82" s="2567"/>
      <c r="HDU82" s="2567"/>
      <c r="HDV82" s="2567"/>
      <c r="HDW82" s="2567"/>
      <c r="HDX82" s="2567"/>
      <c r="HDY82" s="2567"/>
      <c r="HDZ82" s="2567"/>
      <c r="HEA82" s="2567"/>
      <c r="HEB82" s="2567"/>
      <c r="HEC82" s="2567"/>
      <c r="HED82" s="2567"/>
      <c r="HEE82" s="2567"/>
      <c r="HEF82" s="2567"/>
      <c r="HEG82" s="2567"/>
      <c r="HEH82" s="2567"/>
      <c r="HEI82" s="2567"/>
      <c r="HEJ82" s="2567"/>
      <c r="HEK82" s="2567"/>
      <c r="HEL82" s="2567"/>
      <c r="HEM82" s="2567"/>
      <c r="HEN82" s="2567"/>
      <c r="HEO82" s="2567"/>
      <c r="HEP82" s="2567"/>
      <c r="HEQ82" s="2567"/>
      <c r="HER82" s="2567"/>
      <c r="HES82" s="2567"/>
      <c r="HET82" s="2567"/>
      <c r="HEU82" s="2567"/>
      <c r="HEV82" s="2567"/>
      <c r="HEW82" s="2567"/>
      <c r="HEX82" s="2567"/>
      <c r="HEY82" s="2567"/>
      <c r="HEZ82" s="2567"/>
      <c r="HFA82" s="2567"/>
      <c r="HFB82" s="2567"/>
      <c r="HFC82" s="2567"/>
      <c r="HFD82" s="2567"/>
      <c r="HFE82" s="2567"/>
      <c r="HFF82" s="2567"/>
      <c r="HFG82" s="2567"/>
      <c r="HFH82" s="2567"/>
      <c r="HFI82" s="2567"/>
      <c r="HFJ82" s="2567"/>
      <c r="HFK82" s="2567"/>
      <c r="HFL82" s="2567"/>
      <c r="HFM82" s="2567"/>
      <c r="HFN82" s="2567"/>
      <c r="HFO82" s="2567"/>
      <c r="HFP82" s="2567"/>
      <c r="HFQ82" s="2567"/>
      <c r="HFR82" s="2567"/>
      <c r="HFS82" s="2567"/>
      <c r="HFT82" s="2567"/>
      <c r="HFU82" s="2567"/>
      <c r="HFV82" s="2567"/>
      <c r="HFW82" s="2567"/>
      <c r="HFX82" s="2567"/>
      <c r="HFY82" s="2567"/>
      <c r="HFZ82" s="2567"/>
      <c r="HGA82" s="2567"/>
      <c r="HGB82" s="2567"/>
      <c r="HGC82" s="2567"/>
      <c r="HGD82" s="2567"/>
      <c r="HGE82" s="2567"/>
      <c r="HGF82" s="2567"/>
      <c r="HGG82" s="2567"/>
      <c r="HGH82" s="2567"/>
      <c r="HGI82" s="2567"/>
      <c r="HGJ82" s="2567"/>
      <c r="HGK82" s="2567"/>
      <c r="HGL82" s="2567"/>
      <c r="HGM82" s="2567"/>
      <c r="HGN82" s="2567"/>
      <c r="HGO82" s="2567"/>
      <c r="HGP82" s="2567"/>
      <c r="HGQ82" s="2567"/>
      <c r="HGR82" s="2567"/>
      <c r="HGS82" s="2567"/>
      <c r="HGT82" s="2567"/>
      <c r="HGU82" s="2567"/>
      <c r="HGV82" s="2567"/>
      <c r="HGW82" s="2567"/>
      <c r="HGX82" s="2567"/>
      <c r="HGY82" s="2567"/>
      <c r="HGZ82" s="2567"/>
      <c r="HHA82" s="2567"/>
      <c r="HHB82" s="2567"/>
      <c r="HHC82" s="2567"/>
      <c r="HHD82" s="2567"/>
      <c r="HHE82" s="2567"/>
      <c r="HHF82" s="2567"/>
      <c r="HHG82" s="2567"/>
      <c r="HHH82" s="2567"/>
      <c r="HHI82" s="2567"/>
      <c r="HHJ82" s="2567"/>
      <c r="HHK82" s="2567"/>
      <c r="HHL82" s="2567"/>
      <c r="HHM82" s="2567"/>
      <c r="HHN82" s="2567"/>
      <c r="HHO82" s="2567"/>
      <c r="HHP82" s="2567"/>
      <c r="HHQ82" s="2567"/>
      <c r="HHR82" s="2567"/>
      <c r="HHS82" s="2567"/>
      <c r="HHT82" s="2567"/>
      <c r="HHU82" s="2567"/>
      <c r="HHV82" s="2567"/>
      <c r="HHW82" s="2567"/>
      <c r="HHX82" s="2567"/>
      <c r="HHY82" s="2567"/>
      <c r="HHZ82" s="2567"/>
      <c r="HIA82" s="2567"/>
      <c r="HIB82" s="2567"/>
      <c r="HIC82" s="2567"/>
      <c r="HID82" s="2567"/>
      <c r="HIE82" s="2567"/>
      <c r="HIF82" s="2567"/>
      <c r="HIG82" s="2567"/>
      <c r="HIH82" s="2567"/>
      <c r="HII82" s="2567"/>
      <c r="HIJ82" s="2567"/>
      <c r="HIK82" s="2567"/>
      <c r="HIL82" s="2567"/>
      <c r="HIM82" s="2567"/>
      <c r="HIN82" s="2567"/>
      <c r="HIO82" s="2567"/>
      <c r="HIP82" s="2567"/>
      <c r="HIQ82" s="2567"/>
      <c r="HIR82" s="2567"/>
      <c r="HIS82" s="2567"/>
      <c r="HIT82" s="2567"/>
      <c r="HIU82" s="2567"/>
      <c r="HIV82" s="2567"/>
      <c r="HIW82" s="2567"/>
      <c r="HIX82" s="2567"/>
      <c r="HIY82" s="2567"/>
      <c r="HIZ82" s="2567"/>
      <c r="HJA82" s="2567"/>
      <c r="HJB82" s="2567"/>
      <c r="HJC82" s="2567"/>
      <c r="HJD82" s="2567"/>
      <c r="HJE82" s="2567"/>
      <c r="HJF82" s="2567"/>
      <c r="HJG82" s="2567"/>
      <c r="HJH82" s="2567"/>
      <c r="HJI82" s="2567"/>
      <c r="HJJ82" s="2567"/>
      <c r="HJK82" s="2567"/>
      <c r="HJL82" s="2567"/>
      <c r="HJM82" s="2567"/>
      <c r="HJN82" s="2567"/>
      <c r="HJO82" s="2567"/>
      <c r="HJP82" s="2567"/>
      <c r="HJQ82" s="2567"/>
      <c r="HJR82" s="2567"/>
      <c r="HJS82" s="2567"/>
      <c r="HJT82" s="2567"/>
      <c r="HJU82" s="2567"/>
      <c r="HJV82" s="2567"/>
      <c r="HJW82" s="2567"/>
      <c r="HJX82" s="2567"/>
      <c r="HJY82" s="2567"/>
      <c r="HJZ82" s="2567"/>
      <c r="HKA82" s="2567"/>
      <c r="HKB82" s="2567"/>
      <c r="HKC82" s="2567"/>
      <c r="HKD82" s="2567"/>
      <c r="HKE82" s="2567"/>
      <c r="HKF82" s="2567"/>
      <c r="HKG82" s="2567"/>
      <c r="HKH82" s="2567"/>
      <c r="HKI82" s="2567"/>
      <c r="HKJ82" s="2567"/>
      <c r="HKK82" s="2567"/>
      <c r="HKL82" s="2567"/>
      <c r="HKM82" s="2567"/>
      <c r="HKN82" s="2567"/>
      <c r="HKO82" s="2567"/>
      <c r="HKP82" s="2567"/>
      <c r="HKQ82" s="2567"/>
      <c r="HKR82" s="2567"/>
      <c r="HKS82" s="2567"/>
      <c r="HKT82" s="2567"/>
      <c r="HKU82" s="2567"/>
      <c r="HKV82" s="2567"/>
      <c r="HKW82" s="2567"/>
      <c r="HKX82" s="2567"/>
      <c r="HKY82" s="2567"/>
      <c r="HKZ82" s="2567"/>
      <c r="HLA82" s="2567"/>
      <c r="HLB82" s="2567"/>
      <c r="HLC82" s="2567"/>
      <c r="HLD82" s="2567"/>
      <c r="HLE82" s="2567"/>
      <c r="HLF82" s="2567"/>
      <c r="HLG82" s="2567"/>
      <c r="HLH82" s="2567"/>
      <c r="HLI82" s="2567"/>
      <c r="HLJ82" s="2567"/>
      <c r="HLK82" s="2567"/>
      <c r="HLL82" s="2567"/>
      <c r="HLM82" s="2567"/>
      <c r="HLN82" s="2567"/>
      <c r="HLO82" s="2567"/>
      <c r="HLP82" s="2567"/>
      <c r="HLQ82" s="2567"/>
      <c r="HLR82" s="2567"/>
      <c r="HLS82" s="2567"/>
      <c r="HLT82" s="2567"/>
      <c r="HLU82" s="2567"/>
      <c r="HLV82" s="2567"/>
      <c r="HLW82" s="2567"/>
      <c r="HLX82" s="2567"/>
      <c r="HLY82" s="2567"/>
      <c r="HLZ82" s="2567"/>
      <c r="HMA82" s="2567"/>
      <c r="HMB82" s="2567"/>
      <c r="HMC82" s="2567"/>
      <c r="HMD82" s="2567"/>
      <c r="HME82" s="2567"/>
      <c r="HMF82" s="2567"/>
      <c r="HMG82" s="2567"/>
      <c r="HMH82" s="2567"/>
      <c r="HMI82" s="2567"/>
      <c r="HMJ82" s="2567"/>
      <c r="HMK82" s="2567"/>
      <c r="HML82" s="2567"/>
      <c r="HMM82" s="2567"/>
      <c r="HMN82" s="2567"/>
      <c r="HMO82" s="2567"/>
      <c r="HMP82" s="2567"/>
      <c r="HMQ82" s="2567"/>
      <c r="HMR82" s="2567"/>
      <c r="HMS82" s="2567"/>
      <c r="HMT82" s="2567"/>
      <c r="HMU82" s="2567"/>
      <c r="HMV82" s="2567"/>
      <c r="HMW82" s="2567"/>
      <c r="HMX82" s="2567"/>
      <c r="HMY82" s="2567"/>
      <c r="HMZ82" s="2567"/>
      <c r="HNA82" s="2567"/>
      <c r="HNB82" s="2567"/>
      <c r="HNC82" s="2567"/>
      <c r="HND82" s="2567"/>
      <c r="HNE82" s="2567"/>
      <c r="HNF82" s="2567"/>
      <c r="HNG82" s="2567"/>
      <c r="HNH82" s="2567"/>
      <c r="HNI82" s="2567"/>
      <c r="HNJ82" s="2567"/>
      <c r="HNK82" s="2567"/>
      <c r="HNL82" s="2567"/>
      <c r="HNM82" s="2567"/>
      <c r="HNN82" s="2567"/>
      <c r="HNO82" s="2567"/>
      <c r="HNP82" s="2567"/>
      <c r="HNQ82" s="2567"/>
      <c r="HNR82" s="2567"/>
      <c r="HNS82" s="2567"/>
      <c r="HNT82" s="2567"/>
      <c r="HNU82" s="2567"/>
      <c r="HNV82" s="2567"/>
      <c r="HNW82" s="2567"/>
      <c r="HNX82" s="2567"/>
      <c r="HNY82" s="2567"/>
      <c r="HNZ82" s="2567"/>
      <c r="HOA82" s="2567"/>
      <c r="HOB82" s="2567"/>
      <c r="HOC82" s="2567"/>
      <c r="HOD82" s="2567"/>
      <c r="HOE82" s="2567"/>
      <c r="HOF82" s="2567"/>
      <c r="HOG82" s="2567"/>
      <c r="HOH82" s="2567"/>
      <c r="HOI82" s="2567"/>
      <c r="HOJ82" s="2567"/>
      <c r="HOK82" s="2567"/>
      <c r="HOL82" s="2567"/>
      <c r="HOM82" s="2567"/>
      <c r="HON82" s="2567"/>
      <c r="HOO82" s="2567"/>
      <c r="HOP82" s="2567"/>
      <c r="HOQ82" s="2567"/>
      <c r="HOR82" s="2567"/>
      <c r="HOS82" s="2567"/>
      <c r="HOT82" s="2567"/>
      <c r="HOU82" s="2567"/>
      <c r="HOV82" s="2567"/>
      <c r="HOW82" s="2567"/>
      <c r="HOX82" s="2567"/>
      <c r="HOY82" s="2567"/>
      <c r="HOZ82" s="2567"/>
      <c r="HPA82" s="2567"/>
      <c r="HPB82" s="2567"/>
      <c r="HPC82" s="2567"/>
      <c r="HPD82" s="2567"/>
      <c r="HPE82" s="2567"/>
      <c r="HPF82" s="2567"/>
      <c r="HPG82" s="2567"/>
      <c r="HPH82" s="2567"/>
      <c r="HPI82" s="2567"/>
      <c r="HPJ82" s="2567"/>
      <c r="HPK82" s="2567"/>
      <c r="HPL82" s="2567"/>
      <c r="HPM82" s="2567"/>
      <c r="HPN82" s="2567"/>
      <c r="HPO82" s="2567"/>
      <c r="HPP82" s="2567"/>
      <c r="HPQ82" s="2567"/>
      <c r="HPR82" s="2567"/>
      <c r="HPS82" s="2567"/>
      <c r="HPT82" s="2567"/>
      <c r="HPU82" s="2567"/>
      <c r="HPV82" s="2567"/>
      <c r="HPW82" s="2567"/>
      <c r="HPX82" s="2567"/>
      <c r="HPY82" s="2567"/>
      <c r="HPZ82" s="2567"/>
      <c r="HQA82" s="2567"/>
      <c r="HQB82" s="2567"/>
      <c r="HQC82" s="2567"/>
      <c r="HQD82" s="2567"/>
      <c r="HQE82" s="2567"/>
      <c r="HQF82" s="2567"/>
      <c r="HQG82" s="2567"/>
      <c r="HQH82" s="2567"/>
      <c r="HQI82" s="2567"/>
      <c r="HQJ82" s="2567"/>
      <c r="HQK82" s="2567"/>
      <c r="HQL82" s="2567"/>
      <c r="HQM82" s="2567"/>
      <c r="HQN82" s="2567"/>
      <c r="HQO82" s="2567"/>
      <c r="HQP82" s="2567"/>
      <c r="HQQ82" s="2567"/>
      <c r="HQR82" s="2567"/>
      <c r="HQS82" s="2567"/>
      <c r="HQT82" s="2567"/>
      <c r="HQU82" s="2567"/>
      <c r="HQV82" s="2567"/>
      <c r="HQW82" s="2567"/>
      <c r="HQX82" s="2567"/>
      <c r="HQY82" s="2567"/>
      <c r="HQZ82" s="2567"/>
      <c r="HRA82" s="2567"/>
      <c r="HRB82" s="2567"/>
      <c r="HRC82" s="2567"/>
      <c r="HRD82" s="2567"/>
      <c r="HRE82" s="2567"/>
      <c r="HRF82" s="2567"/>
      <c r="HRG82" s="2567"/>
      <c r="HRH82" s="2567"/>
      <c r="HRI82" s="2567"/>
      <c r="HRJ82" s="2567"/>
      <c r="HRK82" s="2567"/>
      <c r="HRL82" s="2567"/>
      <c r="HRM82" s="2567"/>
      <c r="HRN82" s="2567"/>
      <c r="HRO82" s="2567"/>
      <c r="HRP82" s="2567"/>
      <c r="HRQ82" s="2567"/>
      <c r="HRR82" s="2567"/>
      <c r="HRS82" s="2567"/>
      <c r="HRT82" s="2567"/>
      <c r="HRU82" s="2567"/>
      <c r="HRV82" s="2567"/>
      <c r="HRW82" s="2567"/>
      <c r="HRX82" s="2567"/>
      <c r="HRY82" s="2567"/>
      <c r="HRZ82" s="2567"/>
      <c r="HSA82" s="2567"/>
      <c r="HSB82" s="2567"/>
      <c r="HSC82" s="2567"/>
      <c r="HSD82" s="2567"/>
      <c r="HSE82" s="2567"/>
      <c r="HSF82" s="2567"/>
      <c r="HSG82" s="2567"/>
      <c r="HSH82" s="2567"/>
      <c r="HSI82" s="2567"/>
      <c r="HSJ82" s="2567"/>
      <c r="HSK82" s="2567"/>
      <c r="HSL82" s="2567"/>
      <c r="HSM82" s="2567"/>
      <c r="HSN82" s="2567"/>
      <c r="HSO82" s="2567"/>
      <c r="HSP82" s="2567"/>
      <c r="HSQ82" s="2567"/>
      <c r="HSR82" s="2567"/>
      <c r="HSS82" s="2567"/>
      <c r="HST82" s="2567"/>
      <c r="HSU82" s="2567"/>
      <c r="HSV82" s="2567"/>
      <c r="HSW82" s="2567"/>
      <c r="HSX82" s="2567"/>
      <c r="HSY82" s="2567"/>
      <c r="HSZ82" s="2567"/>
      <c r="HTA82" s="2567"/>
      <c r="HTB82" s="2567"/>
      <c r="HTC82" s="2567"/>
      <c r="HTD82" s="2567"/>
      <c r="HTE82" s="2567"/>
      <c r="HTF82" s="2567"/>
      <c r="HTG82" s="2567"/>
      <c r="HTH82" s="2567"/>
      <c r="HTI82" s="2567"/>
      <c r="HTJ82" s="2567"/>
      <c r="HTK82" s="2567"/>
      <c r="HTL82" s="2567"/>
      <c r="HTM82" s="2567"/>
      <c r="HTN82" s="2567"/>
      <c r="HTO82" s="2567"/>
      <c r="HTP82" s="2567"/>
      <c r="HTQ82" s="2567"/>
      <c r="HTR82" s="2567"/>
      <c r="HTS82" s="2567"/>
      <c r="HTT82" s="2567"/>
      <c r="HTU82" s="2567"/>
      <c r="HTV82" s="2567"/>
      <c r="HTW82" s="2567"/>
      <c r="HTX82" s="2567"/>
      <c r="HTY82" s="2567"/>
      <c r="HTZ82" s="2567"/>
      <c r="HUA82" s="2567"/>
      <c r="HUB82" s="2567"/>
      <c r="HUC82" s="2567"/>
      <c r="HUD82" s="2567"/>
      <c r="HUE82" s="2567"/>
      <c r="HUF82" s="2567"/>
      <c r="HUG82" s="2567"/>
      <c r="HUH82" s="2567"/>
      <c r="HUI82" s="2567"/>
      <c r="HUJ82" s="2567"/>
      <c r="HUK82" s="2567"/>
      <c r="HUL82" s="2567"/>
      <c r="HUM82" s="2567"/>
      <c r="HUN82" s="2567"/>
      <c r="HUO82" s="2567"/>
      <c r="HUP82" s="2567"/>
      <c r="HUQ82" s="2567"/>
      <c r="HUR82" s="2567"/>
      <c r="HUS82" s="2567"/>
      <c r="HUT82" s="2567"/>
      <c r="HUU82" s="2567"/>
      <c r="HUV82" s="2567"/>
      <c r="HUW82" s="2567"/>
      <c r="HUX82" s="2567"/>
      <c r="HUY82" s="2567"/>
      <c r="HUZ82" s="2567"/>
      <c r="HVA82" s="2567"/>
      <c r="HVB82" s="2567"/>
      <c r="HVC82" s="2567"/>
      <c r="HVD82" s="2567"/>
      <c r="HVE82" s="2567"/>
      <c r="HVF82" s="2567"/>
      <c r="HVG82" s="2567"/>
      <c r="HVH82" s="2567"/>
      <c r="HVI82" s="2567"/>
      <c r="HVJ82" s="2567"/>
      <c r="HVK82" s="2567"/>
      <c r="HVL82" s="2567"/>
      <c r="HVM82" s="2567"/>
      <c r="HVN82" s="2567"/>
      <c r="HVO82" s="2567"/>
      <c r="HVP82" s="2567"/>
      <c r="HVQ82" s="2567"/>
      <c r="HVR82" s="2567"/>
      <c r="HVS82" s="2567"/>
      <c r="HVT82" s="2567"/>
      <c r="HVU82" s="2567"/>
      <c r="HVV82" s="2567"/>
      <c r="HVW82" s="2567"/>
      <c r="HVX82" s="2567"/>
      <c r="HVY82" s="2567"/>
      <c r="HVZ82" s="2567"/>
      <c r="HWA82" s="2567"/>
      <c r="HWB82" s="2567"/>
      <c r="HWC82" s="2567"/>
      <c r="HWD82" s="2567"/>
      <c r="HWE82" s="2567"/>
      <c r="HWF82" s="2567"/>
      <c r="HWG82" s="2567"/>
      <c r="HWH82" s="2567"/>
      <c r="HWI82" s="2567"/>
      <c r="HWJ82" s="2567"/>
      <c r="HWK82" s="2567"/>
      <c r="HWL82" s="2567"/>
      <c r="HWM82" s="2567"/>
      <c r="HWN82" s="2567"/>
      <c r="HWO82" s="2567"/>
      <c r="HWP82" s="2567"/>
      <c r="HWQ82" s="2567"/>
      <c r="HWR82" s="2567"/>
      <c r="HWS82" s="2567"/>
      <c r="HWT82" s="2567"/>
      <c r="HWU82" s="2567"/>
      <c r="HWV82" s="2567"/>
      <c r="HWW82" s="2567"/>
      <c r="HWX82" s="2567"/>
      <c r="HWY82" s="2567"/>
      <c r="HWZ82" s="2567"/>
      <c r="HXA82" s="2567"/>
      <c r="HXB82" s="2567"/>
      <c r="HXC82" s="2567"/>
      <c r="HXD82" s="2567"/>
      <c r="HXE82" s="2567"/>
      <c r="HXF82" s="2567"/>
      <c r="HXG82" s="2567"/>
      <c r="HXH82" s="2567"/>
      <c r="HXI82" s="2567"/>
      <c r="HXJ82" s="2567"/>
      <c r="HXK82" s="2567"/>
      <c r="HXL82" s="2567"/>
      <c r="HXM82" s="2567"/>
      <c r="HXN82" s="2567"/>
      <c r="HXO82" s="2567"/>
      <c r="HXP82" s="2567"/>
      <c r="HXQ82" s="2567"/>
      <c r="HXR82" s="2567"/>
      <c r="HXS82" s="2567"/>
      <c r="HXT82" s="2567"/>
      <c r="HXU82" s="2567"/>
      <c r="HXV82" s="2567"/>
      <c r="HXW82" s="2567"/>
      <c r="HXX82" s="2567"/>
      <c r="HXY82" s="2567"/>
      <c r="HXZ82" s="2567"/>
      <c r="HYA82" s="2567"/>
      <c r="HYB82" s="2567"/>
      <c r="HYC82" s="2567"/>
      <c r="HYD82" s="2567"/>
      <c r="HYE82" s="2567"/>
      <c r="HYF82" s="2567"/>
      <c r="HYG82" s="2567"/>
      <c r="HYH82" s="2567"/>
      <c r="HYI82" s="2567"/>
      <c r="HYJ82" s="2567"/>
      <c r="HYK82" s="2567"/>
      <c r="HYL82" s="2567"/>
      <c r="HYM82" s="2567"/>
      <c r="HYN82" s="2567"/>
      <c r="HYO82" s="2567"/>
      <c r="HYP82" s="2567"/>
      <c r="HYQ82" s="2567"/>
      <c r="HYR82" s="2567"/>
      <c r="HYS82" s="2567"/>
      <c r="HYT82" s="2567"/>
      <c r="HYU82" s="2567"/>
      <c r="HYV82" s="2567"/>
      <c r="HYW82" s="2567"/>
      <c r="HYX82" s="2567"/>
      <c r="HYY82" s="2567"/>
      <c r="HYZ82" s="2567"/>
      <c r="HZA82" s="2567"/>
      <c r="HZB82" s="2567"/>
      <c r="HZC82" s="2567"/>
      <c r="HZD82" s="2567"/>
      <c r="HZE82" s="2567"/>
      <c r="HZF82" s="2567"/>
      <c r="HZG82" s="2567"/>
      <c r="HZH82" s="2567"/>
      <c r="HZI82" s="2567"/>
      <c r="HZJ82" s="2567"/>
      <c r="HZK82" s="2567"/>
      <c r="HZL82" s="2567"/>
      <c r="HZM82" s="2567"/>
      <c r="HZN82" s="2567"/>
      <c r="HZO82" s="2567"/>
      <c r="HZP82" s="2567"/>
      <c r="HZQ82" s="2567"/>
      <c r="HZR82" s="2567"/>
      <c r="HZS82" s="2567"/>
      <c r="HZT82" s="2567"/>
      <c r="HZU82" s="2567"/>
      <c r="HZV82" s="2567"/>
      <c r="HZW82" s="2567"/>
      <c r="HZX82" s="2567"/>
      <c r="HZY82" s="2567"/>
      <c r="HZZ82" s="2567"/>
      <c r="IAA82" s="2567"/>
      <c r="IAB82" s="2567"/>
      <c r="IAC82" s="2567"/>
      <c r="IAD82" s="2567"/>
      <c r="IAE82" s="2567"/>
      <c r="IAF82" s="2567"/>
      <c r="IAG82" s="2567"/>
      <c r="IAH82" s="2567"/>
      <c r="IAI82" s="2567"/>
      <c r="IAJ82" s="2567"/>
      <c r="IAK82" s="2567"/>
      <c r="IAL82" s="2567"/>
      <c r="IAM82" s="2567"/>
      <c r="IAN82" s="2567"/>
      <c r="IAO82" s="2567"/>
      <c r="IAP82" s="2567"/>
      <c r="IAQ82" s="2567"/>
      <c r="IAR82" s="2567"/>
      <c r="IAS82" s="2567"/>
      <c r="IAT82" s="2567"/>
      <c r="IAU82" s="2567"/>
      <c r="IAV82" s="2567"/>
      <c r="IAW82" s="2567"/>
      <c r="IAX82" s="2567"/>
      <c r="IAY82" s="2567"/>
      <c r="IAZ82" s="2567"/>
      <c r="IBA82" s="2567"/>
      <c r="IBB82" s="2567"/>
      <c r="IBC82" s="2567"/>
      <c r="IBD82" s="2567"/>
      <c r="IBE82" s="2567"/>
      <c r="IBF82" s="2567"/>
      <c r="IBG82" s="2567"/>
      <c r="IBH82" s="2567"/>
      <c r="IBI82" s="2567"/>
      <c r="IBJ82" s="2567"/>
      <c r="IBK82" s="2567"/>
      <c r="IBL82" s="2567"/>
      <c r="IBM82" s="2567"/>
      <c r="IBN82" s="2567"/>
      <c r="IBO82" s="2567"/>
      <c r="IBP82" s="2567"/>
      <c r="IBQ82" s="2567"/>
      <c r="IBR82" s="2567"/>
      <c r="IBS82" s="2567"/>
      <c r="IBT82" s="2567"/>
      <c r="IBU82" s="2567"/>
      <c r="IBV82" s="2567"/>
      <c r="IBW82" s="2567"/>
      <c r="IBX82" s="2567"/>
      <c r="IBY82" s="2567"/>
      <c r="IBZ82" s="2567"/>
      <c r="ICA82" s="2567"/>
      <c r="ICB82" s="2567"/>
      <c r="ICC82" s="2567"/>
      <c r="ICD82" s="2567"/>
      <c r="ICE82" s="2567"/>
      <c r="ICF82" s="2567"/>
      <c r="ICG82" s="2567"/>
      <c r="ICH82" s="2567"/>
      <c r="ICI82" s="2567"/>
      <c r="ICJ82" s="2567"/>
      <c r="ICK82" s="2567"/>
      <c r="ICL82" s="2567"/>
      <c r="ICM82" s="2567"/>
      <c r="ICN82" s="2567"/>
      <c r="ICO82" s="2567"/>
      <c r="ICP82" s="2567"/>
      <c r="ICQ82" s="2567"/>
      <c r="ICR82" s="2567"/>
      <c r="ICS82" s="2567"/>
      <c r="ICT82" s="2567"/>
      <c r="ICU82" s="2567"/>
      <c r="ICV82" s="2567"/>
      <c r="ICW82" s="2567"/>
      <c r="ICX82" s="2567"/>
      <c r="ICY82" s="2567"/>
      <c r="ICZ82" s="2567"/>
      <c r="IDA82" s="2567"/>
      <c r="IDB82" s="2567"/>
      <c r="IDC82" s="2567"/>
      <c r="IDD82" s="2567"/>
      <c r="IDE82" s="2567"/>
      <c r="IDF82" s="2567"/>
      <c r="IDG82" s="2567"/>
      <c r="IDH82" s="2567"/>
      <c r="IDI82" s="2567"/>
      <c r="IDJ82" s="2567"/>
      <c r="IDK82" s="2567"/>
      <c r="IDL82" s="2567"/>
      <c r="IDM82" s="2567"/>
      <c r="IDN82" s="2567"/>
      <c r="IDO82" s="2567"/>
      <c r="IDP82" s="2567"/>
      <c r="IDQ82" s="2567"/>
      <c r="IDR82" s="2567"/>
      <c r="IDS82" s="2567"/>
      <c r="IDT82" s="2567"/>
      <c r="IDU82" s="2567"/>
      <c r="IDV82" s="2567"/>
      <c r="IDW82" s="2567"/>
      <c r="IDX82" s="2567"/>
      <c r="IDY82" s="2567"/>
      <c r="IDZ82" s="2567"/>
      <c r="IEA82" s="2567"/>
      <c r="IEB82" s="2567"/>
      <c r="IEC82" s="2567"/>
      <c r="IED82" s="2567"/>
      <c r="IEE82" s="2567"/>
      <c r="IEF82" s="2567"/>
      <c r="IEG82" s="2567"/>
      <c r="IEH82" s="2567"/>
      <c r="IEI82" s="2567"/>
      <c r="IEJ82" s="2567"/>
      <c r="IEK82" s="2567"/>
      <c r="IEL82" s="2567"/>
      <c r="IEM82" s="2567"/>
      <c r="IEN82" s="2567"/>
      <c r="IEO82" s="2567"/>
      <c r="IEP82" s="2567"/>
      <c r="IEQ82" s="2567"/>
      <c r="IER82" s="2567"/>
      <c r="IES82" s="2567"/>
      <c r="IET82" s="2567"/>
      <c r="IEU82" s="2567"/>
      <c r="IEV82" s="2567"/>
      <c r="IEW82" s="2567"/>
      <c r="IEX82" s="2567"/>
      <c r="IEY82" s="2567"/>
      <c r="IEZ82" s="2567"/>
      <c r="IFA82" s="2567"/>
      <c r="IFB82" s="2567"/>
      <c r="IFC82" s="2567"/>
      <c r="IFD82" s="2567"/>
      <c r="IFE82" s="2567"/>
      <c r="IFF82" s="2567"/>
      <c r="IFG82" s="2567"/>
      <c r="IFH82" s="2567"/>
      <c r="IFI82" s="2567"/>
      <c r="IFJ82" s="2567"/>
      <c r="IFK82" s="2567"/>
      <c r="IFL82" s="2567"/>
      <c r="IFM82" s="2567"/>
      <c r="IFN82" s="2567"/>
      <c r="IFO82" s="2567"/>
      <c r="IFP82" s="2567"/>
      <c r="IFQ82" s="2567"/>
      <c r="IFR82" s="2567"/>
      <c r="IFS82" s="2567"/>
      <c r="IFT82" s="2567"/>
      <c r="IFU82" s="2567"/>
      <c r="IFV82" s="2567"/>
      <c r="IFW82" s="2567"/>
      <c r="IFX82" s="2567"/>
      <c r="IFY82" s="2567"/>
      <c r="IFZ82" s="2567"/>
      <c r="IGA82" s="2567"/>
      <c r="IGB82" s="2567"/>
      <c r="IGC82" s="2567"/>
      <c r="IGD82" s="2567"/>
      <c r="IGE82" s="2567"/>
      <c r="IGF82" s="2567"/>
      <c r="IGG82" s="2567"/>
      <c r="IGH82" s="2567"/>
      <c r="IGI82" s="2567"/>
      <c r="IGJ82" s="2567"/>
      <c r="IGK82" s="2567"/>
      <c r="IGL82" s="2567"/>
      <c r="IGM82" s="2567"/>
      <c r="IGN82" s="2567"/>
      <c r="IGO82" s="2567"/>
      <c r="IGP82" s="2567"/>
      <c r="IGQ82" s="2567"/>
      <c r="IGR82" s="2567"/>
      <c r="IGS82" s="2567"/>
      <c r="IGT82" s="2567"/>
      <c r="IGU82" s="2567"/>
      <c r="IGV82" s="2567"/>
      <c r="IGW82" s="2567"/>
      <c r="IGX82" s="2567"/>
      <c r="IGY82" s="2567"/>
      <c r="IGZ82" s="2567"/>
      <c r="IHA82" s="2567"/>
      <c r="IHB82" s="2567"/>
      <c r="IHC82" s="2567"/>
      <c r="IHD82" s="2567"/>
      <c r="IHE82" s="2567"/>
      <c r="IHF82" s="2567"/>
      <c r="IHG82" s="2567"/>
      <c r="IHH82" s="2567"/>
      <c r="IHI82" s="2567"/>
      <c r="IHJ82" s="2567"/>
      <c r="IHK82" s="2567"/>
      <c r="IHL82" s="2567"/>
      <c r="IHM82" s="2567"/>
      <c r="IHN82" s="2567"/>
      <c r="IHO82" s="2567"/>
      <c r="IHP82" s="2567"/>
      <c r="IHQ82" s="2567"/>
      <c r="IHR82" s="2567"/>
      <c r="IHS82" s="2567"/>
      <c r="IHT82" s="2567"/>
      <c r="IHU82" s="2567"/>
      <c r="IHV82" s="2567"/>
      <c r="IHW82" s="2567"/>
      <c r="IHX82" s="2567"/>
      <c r="IHY82" s="2567"/>
      <c r="IHZ82" s="2567"/>
      <c r="IIA82" s="2567"/>
      <c r="IIB82" s="2567"/>
      <c r="IIC82" s="2567"/>
      <c r="IID82" s="2567"/>
      <c r="IIE82" s="2567"/>
      <c r="IIF82" s="2567"/>
      <c r="IIG82" s="2567"/>
      <c r="IIH82" s="2567"/>
      <c r="III82" s="2567"/>
      <c r="IIJ82" s="2567"/>
      <c r="IIK82" s="2567"/>
      <c r="IIL82" s="2567"/>
      <c r="IIM82" s="2567"/>
      <c r="IIN82" s="2567"/>
      <c r="IIO82" s="2567"/>
      <c r="IIP82" s="2567"/>
      <c r="IIQ82" s="2567"/>
      <c r="IIR82" s="2567"/>
      <c r="IIS82" s="2567"/>
      <c r="IIT82" s="2567"/>
      <c r="IIU82" s="2567"/>
      <c r="IIV82" s="2567"/>
      <c r="IIW82" s="2567"/>
      <c r="IIX82" s="2567"/>
      <c r="IIY82" s="2567"/>
      <c r="IIZ82" s="2567"/>
      <c r="IJA82" s="2567"/>
      <c r="IJB82" s="2567"/>
      <c r="IJC82" s="2567"/>
      <c r="IJD82" s="2567"/>
      <c r="IJE82" s="2567"/>
      <c r="IJF82" s="2567"/>
      <c r="IJG82" s="2567"/>
      <c r="IJH82" s="2567"/>
      <c r="IJI82" s="2567"/>
      <c r="IJJ82" s="2567"/>
      <c r="IJK82" s="2567"/>
      <c r="IJL82" s="2567"/>
      <c r="IJM82" s="2567"/>
      <c r="IJN82" s="2567"/>
      <c r="IJO82" s="2567"/>
      <c r="IJP82" s="2567"/>
      <c r="IJQ82" s="2567"/>
      <c r="IJR82" s="2567"/>
      <c r="IJS82" s="2567"/>
      <c r="IJT82" s="2567"/>
      <c r="IJU82" s="2567"/>
      <c r="IJV82" s="2567"/>
      <c r="IJW82" s="2567"/>
      <c r="IJX82" s="2567"/>
      <c r="IJY82" s="2567"/>
      <c r="IJZ82" s="2567"/>
      <c r="IKA82" s="2567"/>
      <c r="IKB82" s="2567"/>
      <c r="IKC82" s="2567"/>
      <c r="IKD82" s="2567"/>
      <c r="IKE82" s="2567"/>
      <c r="IKF82" s="2567"/>
      <c r="IKG82" s="2567"/>
      <c r="IKH82" s="2567"/>
      <c r="IKI82" s="2567"/>
      <c r="IKJ82" s="2567"/>
      <c r="IKK82" s="2567"/>
      <c r="IKL82" s="2567"/>
      <c r="IKM82" s="2567"/>
      <c r="IKN82" s="2567"/>
      <c r="IKO82" s="2567"/>
      <c r="IKP82" s="2567"/>
      <c r="IKQ82" s="2567"/>
      <c r="IKR82" s="2567"/>
      <c r="IKS82" s="2567"/>
      <c r="IKT82" s="2567"/>
      <c r="IKU82" s="2567"/>
      <c r="IKV82" s="2567"/>
      <c r="IKW82" s="2567"/>
      <c r="IKX82" s="2567"/>
      <c r="IKY82" s="2567"/>
      <c r="IKZ82" s="2567"/>
      <c r="ILA82" s="2567"/>
      <c r="ILB82" s="2567"/>
      <c r="ILC82" s="2567"/>
      <c r="ILD82" s="2567"/>
      <c r="ILE82" s="2567"/>
      <c r="ILF82" s="2567"/>
      <c r="ILG82" s="2567"/>
      <c r="ILH82" s="2567"/>
      <c r="ILI82" s="2567"/>
      <c r="ILJ82" s="2567"/>
      <c r="ILK82" s="2567"/>
      <c r="ILL82" s="2567"/>
      <c r="ILM82" s="2567"/>
      <c r="ILN82" s="2567"/>
      <c r="ILO82" s="2567"/>
      <c r="ILP82" s="2567"/>
      <c r="ILQ82" s="2567"/>
      <c r="ILR82" s="2567"/>
      <c r="ILS82" s="2567"/>
      <c r="ILT82" s="2567"/>
      <c r="ILU82" s="2567"/>
      <c r="ILV82" s="2567"/>
      <c r="ILW82" s="2567"/>
      <c r="ILX82" s="2567"/>
      <c r="ILY82" s="2567"/>
      <c r="ILZ82" s="2567"/>
      <c r="IMA82" s="2567"/>
      <c r="IMB82" s="2567"/>
      <c r="IMC82" s="2567"/>
      <c r="IMD82" s="2567"/>
      <c r="IME82" s="2567"/>
      <c r="IMF82" s="2567"/>
      <c r="IMG82" s="2567"/>
      <c r="IMH82" s="2567"/>
      <c r="IMI82" s="2567"/>
      <c r="IMJ82" s="2567"/>
      <c r="IMK82" s="2567"/>
      <c r="IML82" s="2567"/>
      <c r="IMM82" s="2567"/>
      <c r="IMN82" s="2567"/>
      <c r="IMO82" s="2567"/>
      <c r="IMP82" s="2567"/>
      <c r="IMQ82" s="2567"/>
      <c r="IMR82" s="2567"/>
      <c r="IMS82" s="2567"/>
      <c r="IMT82" s="2567"/>
      <c r="IMU82" s="2567"/>
      <c r="IMV82" s="2567"/>
      <c r="IMW82" s="2567"/>
      <c r="IMX82" s="2567"/>
      <c r="IMY82" s="2567"/>
      <c r="IMZ82" s="2567"/>
      <c r="INA82" s="2567"/>
      <c r="INB82" s="2567"/>
      <c r="INC82" s="2567"/>
      <c r="IND82" s="2567"/>
      <c r="INE82" s="2567"/>
      <c r="INF82" s="2567"/>
      <c r="ING82" s="2567"/>
      <c r="INH82" s="2567"/>
      <c r="INI82" s="2567"/>
      <c r="INJ82" s="2567"/>
      <c r="INK82" s="2567"/>
      <c r="INL82" s="2567"/>
      <c r="INM82" s="2567"/>
      <c r="INN82" s="2567"/>
      <c r="INO82" s="2567"/>
      <c r="INP82" s="2567"/>
      <c r="INQ82" s="2567"/>
      <c r="INR82" s="2567"/>
      <c r="INS82" s="2567"/>
      <c r="INT82" s="2567"/>
      <c r="INU82" s="2567"/>
      <c r="INV82" s="2567"/>
      <c r="INW82" s="2567"/>
      <c r="INX82" s="2567"/>
      <c r="INY82" s="2567"/>
      <c r="INZ82" s="2567"/>
      <c r="IOA82" s="2567"/>
      <c r="IOB82" s="2567"/>
      <c r="IOC82" s="2567"/>
      <c r="IOD82" s="2567"/>
      <c r="IOE82" s="2567"/>
      <c r="IOF82" s="2567"/>
      <c r="IOG82" s="2567"/>
      <c r="IOH82" s="2567"/>
      <c r="IOI82" s="2567"/>
      <c r="IOJ82" s="2567"/>
      <c r="IOK82" s="2567"/>
      <c r="IOL82" s="2567"/>
      <c r="IOM82" s="2567"/>
      <c r="ION82" s="2567"/>
      <c r="IOO82" s="2567"/>
      <c r="IOP82" s="2567"/>
      <c r="IOQ82" s="2567"/>
      <c r="IOR82" s="2567"/>
      <c r="IOS82" s="2567"/>
      <c r="IOT82" s="2567"/>
      <c r="IOU82" s="2567"/>
      <c r="IOV82" s="2567"/>
      <c r="IOW82" s="2567"/>
      <c r="IOX82" s="2567"/>
      <c r="IOY82" s="2567"/>
      <c r="IOZ82" s="2567"/>
      <c r="IPA82" s="2567"/>
      <c r="IPB82" s="2567"/>
      <c r="IPC82" s="2567"/>
      <c r="IPD82" s="2567"/>
      <c r="IPE82" s="2567"/>
      <c r="IPF82" s="2567"/>
      <c r="IPG82" s="2567"/>
      <c r="IPH82" s="2567"/>
      <c r="IPI82" s="2567"/>
      <c r="IPJ82" s="2567"/>
      <c r="IPK82" s="2567"/>
      <c r="IPL82" s="2567"/>
      <c r="IPM82" s="2567"/>
      <c r="IPN82" s="2567"/>
      <c r="IPO82" s="2567"/>
      <c r="IPP82" s="2567"/>
      <c r="IPQ82" s="2567"/>
      <c r="IPR82" s="2567"/>
      <c r="IPS82" s="2567"/>
      <c r="IPT82" s="2567"/>
      <c r="IPU82" s="2567"/>
      <c r="IPV82" s="2567"/>
      <c r="IPW82" s="2567"/>
      <c r="IPX82" s="2567"/>
      <c r="IPY82" s="2567"/>
      <c r="IPZ82" s="2567"/>
      <c r="IQA82" s="2567"/>
      <c r="IQB82" s="2567"/>
      <c r="IQC82" s="2567"/>
      <c r="IQD82" s="2567"/>
      <c r="IQE82" s="2567"/>
      <c r="IQF82" s="2567"/>
      <c r="IQG82" s="2567"/>
      <c r="IQH82" s="2567"/>
      <c r="IQI82" s="2567"/>
      <c r="IQJ82" s="2567"/>
      <c r="IQK82" s="2567"/>
      <c r="IQL82" s="2567"/>
      <c r="IQM82" s="2567"/>
      <c r="IQN82" s="2567"/>
      <c r="IQO82" s="2567"/>
      <c r="IQP82" s="2567"/>
      <c r="IQQ82" s="2567"/>
      <c r="IQR82" s="2567"/>
      <c r="IQS82" s="2567"/>
      <c r="IQT82" s="2567"/>
      <c r="IQU82" s="2567"/>
      <c r="IQV82" s="2567"/>
      <c r="IQW82" s="2567"/>
      <c r="IQX82" s="2567"/>
      <c r="IQY82" s="2567"/>
      <c r="IQZ82" s="2567"/>
      <c r="IRA82" s="2567"/>
      <c r="IRB82" s="2567"/>
      <c r="IRC82" s="2567"/>
      <c r="IRD82" s="2567"/>
      <c r="IRE82" s="2567"/>
      <c r="IRF82" s="2567"/>
      <c r="IRG82" s="2567"/>
      <c r="IRH82" s="2567"/>
      <c r="IRI82" s="2567"/>
      <c r="IRJ82" s="2567"/>
      <c r="IRK82" s="2567"/>
      <c r="IRL82" s="2567"/>
      <c r="IRM82" s="2567"/>
      <c r="IRN82" s="2567"/>
      <c r="IRO82" s="2567"/>
      <c r="IRP82" s="2567"/>
      <c r="IRQ82" s="2567"/>
      <c r="IRR82" s="2567"/>
      <c r="IRS82" s="2567"/>
      <c r="IRT82" s="2567"/>
      <c r="IRU82" s="2567"/>
      <c r="IRV82" s="2567"/>
      <c r="IRW82" s="2567"/>
      <c r="IRX82" s="2567"/>
      <c r="IRY82" s="2567"/>
      <c r="IRZ82" s="2567"/>
      <c r="ISA82" s="2567"/>
      <c r="ISB82" s="2567"/>
      <c r="ISC82" s="2567"/>
      <c r="ISD82" s="2567"/>
      <c r="ISE82" s="2567"/>
      <c r="ISF82" s="2567"/>
      <c r="ISG82" s="2567"/>
      <c r="ISH82" s="2567"/>
      <c r="ISI82" s="2567"/>
      <c r="ISJ82" s="2567"/>
      <c r="ISK82" s="2567"/>
      <c r="ISL82" s="2567"/>
      <c r="ISM82" s="2567"/>
      <c r="ISN82" s="2567"/>
      <c r="ISO82" s="2567"/>
      <c r="ISP82" s="2567"/>
      <c r="ISQ82" s="2567"/>
      <c r="ISR82" s="2567"/>
      <c r="ISS82" s="2567"/>
      <c r="IST82" s="2567"/>
      <c r="ISU82" s="2567"/>
      <c r="ISV82" s="2567"/>
      <c r="ISW82" s="2567"/>
      <c r="ISX82" s="2567"/>
      <c r="ISY82" s="2567"/>
      <c r="ISZ82" s="2567"/>
      <c r="ITA82" s="2567"/>
      <c r="ITB82" s="2567"/>
      <c r="ITC82" s="2567"/>
      <c r="ITD82" s="2567"/>
      <c r="ITE82" s="2567"/>
      <c r="ITF82" s="2567"/>
      <c r="ITG82" s="2567"/>
      <c r="ITH82" s="2567"/>
      <c r="ITI82" s="2567"/>
      <c r="ITJ82" s="2567"/>
      <c r="ITK82" s="2567"/>
      <c r="ITL82" s="2567"/>
      <c r="ITM82" s="2567"/>
      <c r="ITN82" s="2567"/>
      <c r="ITO82" s="2567"/>
      <c r="ITP82" s="2567"/>
      <c r="ITQ82" s="2567"/>
      <c r="ITR82" s="2567"/>
      <c r="ITS82" s="2567"/>
      <c r="ITT82" s="2567"/>
      <c r="ITU82" s="2567"/>
      <c r="ITV82" s="2567"/>
      <c r="ITW82" s="2567"/>
      <c r="ITX82" s="2567"/>
      <c r="ITY82" s="2567"/>
      <c r="ITZ82" s="2567"/>
      <c r="IUA82" s="2567"/>
      <c r="IUB82" s="2567"/>
      <c r="IUC82" s="2567"/>
      <c r="IUD82" s="2567"/>
      <c r="IUE82" s="2567"/>
      <c r="IUF82" s="2567"/>
      <c r="IUG82" s="2567"/>
      <c r="IUH82" s="2567"/>
      <c r="IUI82" s="2567"/>
      <c r="IUJ82" s="2567"/>
      <c r="IUK82" s="2567"/>
      <c r="IUL82" s="2567"/>
      <c r="IUM82" s="2567"/>
      <c r="IUN82" s="2567"/>
      <c r="IUO82" s="2567"/>
      <c r="IUP82" s="2567"/>
      <c r="IUQ82" s="2567"/>
      <c r="IUR82" s="2567"/>
      <c r="IUS82" s="2567"/>
      <c r="IUT82" s="2567"/>
      <c r="IUU82" s="2567"/>
      <c r="IUV82" s="2567"/>
      <c r="IUW82" s="2567"/>
      <c r="IUX82" s="2567"/>
      <c r="IUY82" s="2567"/>
      <c r="IUZ82" s="2567"/>
      <c r="IVA82" s="2567"/>
      <c r="IVB82" s="2567"/>
      <c r="IVC82" s="2567"/>
      <c r="IVD82" s="2567"/>
      <c r="IVE82" s="2567"/>
      <c r="IVF82" s="2567"/>
      <c r="IVG82" s="2567"/>
      <c r="IVH82" s="2567"/>
      <c r="IVI82" s="2567"/>
      <c r="IVJ82" s="2567"/>
      <c r="IVK82" s="2567"/>
      <c r="IVL82" s="2567"/>
      <c r="IVM82" s="2567"/>
      <c r="IVN82" s="2567"/>
      <c r="IVO82" s="2567"/>
      <c r="IVP82" s="2567"/>
      <c r="IVQ82" s="2567"/>
      <c r="IVR82" s="2567"/>
      <c r="IVS82" s="2567"/>
      <c r="IVT82" s="2567"/>
      <c r="IVU82" s="2567"/>
      <c r="IVV82" s="2567"/>
      <c r="IVW82" s="2567"/>
      <c r="IVX82" s="2567"/>
      <c r="IVY82" s="2567"/>
      <c r="IVZ82" s="2567"/>
      <c r="IWA82" s="2567"/>
      <c r="IWB82" s="2567"/>
      <c r="IWC82" s="2567"/>
      <c r="IWD82" s="2567"/>
      <c r="IWE82" s="2567"/>
      <c r="IWF82" s="2567"/>
      <c r="IWG82" s="2567"/>
      <c r="IWH82" s="2567"/>
      <c r="IWI82" s="2567"/>
      <c r="IWJ82" s="2567"/>
      <c r="IWK82" s="2567"/>
      <c r="IWL82" s="2567"/>
      <c r="IWM82" s="2567"/>
      <c r="IWN82" s="2567"/>
      <c r="IWO82" s="2567"/>
      <c r="IWP82" s="2567"/>
      <c r="IWQ82" s="2567"/>
      <c r="IWR82" s="2567"/>
      <c r="IWS82" s="2567"/>
      <c r="IWT82" s="2567"/>
      <c r="IWU82" s="2567"/>
      <c r="IWV82" s="2567"/>
      <c r="IWW82" s="2567"/>
      <c r="IWX82" s="2567"/>
      <c r="IWY82" s="2567"/>
      <c r="IWZ82" s="2567"/>
      <c r="IXA82" s="2567"/>
      <c r="IXB82" s="2567"/>
      <c r="IXC82" s="2567"/>
      <c r="IXD82" s="2567"/>
      <c r="IXE82" s="2567"/>
      <c r="IXF82" s="2567"/>
      <c r="IXG82" s="2567"/>
      <c r="IXH82" s="2567"/>
      <c r="IXI82" s="2567"/>
      <c r="IXJ82" s="2567"/>
      <c r="IXK82" s="2567"/>
      <c r="IXL82" s="2567"/>
      <c r="IXM82" s="2567"/>
      <c r="IXN82" s="2567"/>
      <c r="IXO82" s="2567"/>
      <c r="IXP82" s="2567"/>
      <c r="IXQ82" s="2567"/>
      <c r="IXR82" s="2567"/>
      <c r="IXS82" s="2567"/>
      <c r="IXT82" s="2567"/>
      <c r="IXU82" s="2567"/>
      <c r="IXV82" s="2567"/>
      <c r="IXW82" s="2567"/>
      <c r="IXX82" s="2567"/>
      <c r="IXY82" s="2567"/>
      <c r="IXZ82" s="2567"/>
      <c r="IYA82" s="2567"/>
      <c r="IYB82" s="2567"/>
      <c r="IYC82" s="2567"/>
      <c r="IYD82" s="2567"/>
      <c r="IYE82" s="2567"/>
      <c r="IYF82" s="2567"/>
      <c r="IYG82" s="2567"/>
      <c r="IYH82" s="2567"/>
      <c r="IYI82" s="2567"/>
      <c r="IYJ82" s="2567"/>
      <c r="IYK82" s="2567"/>
      <c r="IYL82" s="2567"/>
      <c r="IYM82" s="2567"/>
      <c r="IYN82" s="2567"/>
      <c r="IYO82" s="2567"/>
      <c r="IYP82" s="2567"/>
      <c r="IYQ82" s="2567"/>
      <c r="IYR82" s="2567"/>
      <c r="IYS82" s="2567"/>
      <c r="IYT82" s="2567"/>
      <c r="IYU82" s="2567"/>
      <c r="IYV82" s="2567"/>
      <c r="IYW82" s="2567"/>
      <c r="IYX82" s="2567"/>
      <c r="IYY82" s="2567"/>
      <c r="IYZ82" s="2567"/>
      <c r="IZA82" s="2567"/>
      <c r="IZB82" s="2567"/>
      <c r="IZC82" s="2567"/>
      <c r="IZD82" s="2567"/>
      <c r="IZE82" s="2567"/>
      <c r="IZF82" s="2567"/>
      <c r="IZG82" s="2567"/>
      <c r="IZH82" s="2567"/>
      <c r="IZI82" s="2567"/>
      <c r="IZJ82" s="2567"/>
      <c r="IZK82" s="2567"/>
      <c r="IZL82" s="2567"/>
      <c r="IZM82" s="2567"/>
      <c r="IZN82" s="2567"/>
      <c r="IZO82" s="2567"/>
      <c r="IZP82" s="2567"/>
      <c r="IZQ82" s="2567"/>
      <c r="IZR82" s="2567"/>
      <c r="IZS82" s="2567"/>
      <c r="IZT82" s="2567"/>
      <c r="IZU82" s="2567"/>
      <c r="IZV82" s="2567"/>
      <c r="IZW82" s="2567"/>
      <c r="IZX82" s="2567"/>
      <c r="IZY82" s="2567"/>
      <c r="IZZ82" s="2567"/>
      <c r="JAA82" s="2567"/>
      <c r="JAB82" s="2567"/>
      <c r="JAC82" s="2567"/>
      <c r="JAD82" s="2567"/>
      <c r="JAE82" s="2567"/>
      <c r="JAF82" s="2567"/>
      <c r="JAG82" s="2567"/>
      <c r="JAH82" s="2567"/>
      <c r="JAI82" s="2567"/>
      <c r="JAJ82" s="2567"/>
      <c r="JAK82" s="2567"/>
      <c r="JAL82" s="2567"/>
      <c r="JAM82" s="2567"/>
      <c r="JAN82" s="2567"/>
      <c r="JAO82" s="2567"/>
      <c r="JAP82" s="2567"/>
      <c r="JAQ82" s="2567"/>
      <c r="JAR82" s="2567"/>
      <c r="JAS82" s="2567"/>
      <c r="JAT82" s="2567"/>
      <c r="JAU82" s="2567"/>
      <c r="JAV82" s="2567"/>
      <c r="JAW82" s="2567"/>
      <c r="JAX82" s="2567"/>
      <c r="JAY82" s="2567"/>
      <c r="JAZ82" s="2567"/>
      <c r="JBA82" s="2567"/>
      <c r="JBB82" s="2567"/>
      <c r="JBC82" s="2567"/>
      <c r="JBD82" s="2567"/>
      <c r="JBE82" s="2567"/>
      <c r="JBF82" s="2567"/>
      <c r="JBG82" s="2567"/>
      <c r="JBH82" s="2567"/>
      <c r="JBI82" s="2567"/>
      <c r="JBJ82" s="2567"/>
      <c r="JBK82" s="2567"/>
      <c r="JBL82" s="2567"/>
      <c r="JBM82" s="2567"/>
      <c r="JBN82" s="2567"/>
      <c r="JBO82" s="2567"/>
      <c r="JBP82" s="2567"/>
      <c r="JBQ82" s="2567"/>
      <c r="JBR82" s="2567"/>
      <c r="JBS82" s="2567"/>
      <c r="JBT82" s="2567"/>
      <c r="JBU82" s="2567"/>
      <c r="JBV82" s="2567"/>
      <c r="JBW82" s="2567"/>
      <c r="JBX82" s="2567"/>
      <c r="JBY82" s="2567"/>
      <c r="JBZ82" s="2567"/>
      <c r="JCA82" s="2567"/>
      <c r="JCB82" s="2567"/>
      <c r="JCC82" s="2567"/>
      <c r="JCD82" s="2567"/>
      <c r="JCE82" s="2567"/>
      <c r="JCF82" s="2567"/>
      <c r="JCG82" s="2567"/>
      <c r="JCH82" s="2567"/>
      <c r="JCI82" s="2567"/>
      <c r="JCJ82" s="2567"/>
      <c r="JCK82" s="2567"/>
      <c r="JCL82" s="2567"/>
      <c r="JCM82" s="2567"/>
      <c r="JCN82" s="2567"/>
      <c r="JCO82" s="2567"/>
      <c r="JCP82" s="2567"/>
      <c r="JCQ82" s="2567"/>
      <c r="JCR82" s="2567"/>
      <c r="JCS82" s="2567"/>
      <c r="JCT82" s="2567"/>
      <c r="JCU82" s="2567"/>
      <c r="JCV82" s="2567"/>
      <c r="JCW82" s="2567"/>
      <c r="JCX82" s="2567"/>
      <c r="JCY82" s="2567"/>
      <c r="JCZ82" s="2567"/>
      <c r="JDA82" s="2567"/>
      <c r="JDB82" s="2567"/>
      <c r="JDC82" s="2567"/>
      <c r="JDD82" s="2567"/>
      <c r="JDE82" s="2567"/>
      <c r="JDF82" s="2567"/>
      <c r="JDG82" s="2567"/>
      <c r="JDH82" s="2567"/>
      <c r="JDI82" s="2567"/>
      <c r="JDJ82" s="2567"/>
      <c r="JDK82" s="2567"/>
      <c r="JDL82" s="2567"/>
      <c r="JDM82" s="2567"/>
      <c r="JDN82" s="2567"/>
      <c r="JDO82" s="2567"/>
      <c r="JDP82" s="2567"/>
      <c r="JDQ82" s="2567"/>
      <c r="JDR82" s="2567"/>
      <c r="JDS82" s="2567"/>
      <c r="JDT82" s="2567"/>
      <c r="JDU82" s="2567"/>
      <c r="JDV82" s="2567"/>
      <c r="JDW82" s="2567"/>
      <c r="JDX82" s="2567"/>
      <c r="JDY82" s="2567"/>
      <c r="JDZ82" s="2567"/>
      <c r="JEA82" s="2567"/>
      <c r="JEB82" s="2567"/>
      <c r="JEC82" s="2567"/>
      <c r="JED82" s="2567"/>
      <c r="JEE82" s="2567"/>
      <c r="JEF82" s="2567"/>
      <c r="JEG82" s="2567"/>
      <c r="JEH82" s="2567"/>
      <c r="JEI82" s="2567"/>
      <c r="JEJ82" s="2567"/>
      <c r="JEK82" s="2567"/>
      <c r="JEL82" s="2567"/>
      <c r="JEM82" s="2567"/>
      <c r="JEN82" s="2567"/>
      <c r="JEO82" s="2567"/>
      <c r="JEP82" s="2567"/>
      <c r="JEQ82" s="2567"/>
      <c r="JER82" s="2567"/>
      <c r="JES82" s="2567"/>
      <c r="JET82" s="2567"/>
      <c r="JEU82" s="2567"/>
      <c r="JEV82" s="2567"/>
      <c r="JEW82" s="2567"/>
      <c r="JEX82" s="2567"/>
      <c r="JEY82" s="2567"/>
      <c r="JEZ82" s="2567"/>
      <c r="JFA82" s="2567"/>
      <c r="JFB82" s="2567"/>
      <c r="JFC82" s="2567"/>
      <c r="JFD82" s="2567"/>
      <c r="JFE82" s="2567"/>
      <c r="JFF82" s="2567"/>
      <c r="JFG82" s="2567"/>
      <c r="JFH82" s="2567"/>
      <c r="JFI82" s="2567"/>
      <c r="JFJ82" s="2567"/>
      <c r="JFK82" s="2567"/>
      <c r="JFL82" s="2567"/>
      <c r="JFM82" s="2567"/>
      <c r="JFN82" s="2567"/>
      <c r="JFO82" s="2567"/>
      <c r="JFP82" s="2567"/>
      <c r="JFQ82" s="2567"/>
      <c r="JFR82" s="2567"/>
      <c r="JFS82" s="2567"/>
      <c r="JFT82" s="2567"/>
      <c r="JFU82" s="2567"/>
      <c r="JFV82" s="2567"/>
      <c r="JFW82" s="2567"/>
      <c r="JFX82" s="2567"/>
      <c r="JFY82" s="2567"/>
      <c r="JFZ82" s="2567"/>
      <c r="JGA82" s="2567"/>
      <c r="JGB82" s="2567"/>
      <c r="JGC82" s="2567"/>
      <c r="JGD82" s="2567"/>
      <c r="JGE82" s="2567"/>
      <c r="JGF82" s="2567"/>
      <c r="JGG82" s="2567"/>
      <c r="JGH82" s="2567"/>
      <c r="JGI82" s="2567"/>
      <c r="JGJ82" s="2567"/>
      <c r="JGK82" s="2567"/>
      <c r="JGL82" s="2567"/>
      <c r="JGM82" s="2567"/>
      <c r="JGN82" s="2567"/>
      <c r="JGO82" s="2567"/>
      <c r="JGP82" s="2567"/>
      <c r="JGQ82" s="2567"/>
      <c r="JGR82" s="2567"/>
      <c r="JGS82" s="2567"/>
      <c r="JGT82" s="2567"/>
      <c r="JGU82" s="2567"/>
      <c r="JGV82" s="2567"/>
      <c r="JGW82" s="2567"/>
      <c r="JGX82" s="2567"/>
      <c r="JGY82" s="2567"/>
      <c r="JGZ82" s="2567"/>
      <c r="JHA82" s="2567"/>
      <c r="JHB82" s="2567"/>
      <c r="JHC82" s="2567"/>
      <c r="JHD82" s="2567"/>
      <c r="JHE82" s="2567"/>
      <c r="JHF82" s="2567"/>
      <c r="JHG82" s="2567"/>
      <c r="JHH82" s="2567"/>
      <c r="JHI82" s="2567"/>
      <c r="JHJ82" s="2567"/>
      <c r="JHK82" s="2567"/>
      <c r="JHL82" s="2567"/>
      <c r="JHM82" s="2567"/>
      <c r="JHN82" s="2567"/>
      <c r="JHO82" s="2567"/>
      <c r="JHP82" s="2567"/>
      <c r="JHQ82" s="2567"/>
      <c r="JHR82" s="2567"/>
      <c r="JHS82" s="2567"/>
      <c r="JHT82" s="2567"/>
      <c r="JHU82" s="2567"/>
      <c r="JHV82" s="2567"/>
      <c r="JHW82" s="2567"/>
      <c r="JHX82" s="2567"/>
      <c r="JHY82" s="2567"/>
      <c r="JHZ82" s="2567"/>
      <c r="JIA82" s="2567"/>
      <c r="JIB82" s="2567"/>
      <c r="JIC82" s="2567"/>
      <c r="JID82" s="2567"/>
      <c r="JIE82" s="2567"/>
      <c r="JIF82" s="2567"/>
      <c r="JIG82" s="2567"/>
      <c r="JIH82" s="2567"/>
      <c r="JII82" s="2567"/>
      <c r="JIJ82" s="2567"/>
      <c r="JIK82" s="2567"/>
      <c r="JIL82" s="2567"/>
      <c r="JIM82" s="2567"/>
      <c r="JIN82" s="2567"/>
      <c r="JIO82" s="2567"/>
      <c r="JIP82" s="2567"/>
      <c r="JIQ82" s="2567"/>
      <c r="JIR82" s="2567"/>
      <c r="JIS82" s="2567"/>
      <c r="JIT82" s="2567"/>
      <c r="JIU82" s="2567"/>
      <c r="JIV82" s="2567"/>
      <c r="JIW82" s="2567"/>
      <c r="JIX82" s="2567"/>
      <c r="JIY82" s="2567"/>
      <c r="JIZ82" s="2567"/>
      <c r="JJA82" s="2567"/>
      <c r="JJB82" s="2567"/>
      <c r="JJC82" s="2567"/>
      <c r="JJD82" s="2567"/>
      <c r="JJE82" s="2567"/>
      <c r="JJF82" s="2567"/>
      <c r="JJG82" s="2567"/>
      <c r="JJH82" s="2567"/>
      <c r="JJI82" s="2567"/>
      <c r="JJJ82" s="2567"/>
      <c r="JJK82" s="2567"/>
      <c r="JJL82" s="2567"/>
      <c r="JJM82" s="2567"/>
      <c r="JJN82" s="2567"/>
      <c r="JJO82" s="2567"/>
      <c r="JJP82" s="2567"/>
      <c r="JJQ82" s="2567"/>
      <c r="JJR82" s="2567"/>
      <c r="JJS82" s="2567"/>
      <c r="JJT82" s="2567"/>
      <c r="JJU82" s="2567"/>
      <c r="JJV82" s="2567"/>
      <c r="JJW82" s="2567"/>
      <c r="JJX82" s="2567"/>
      <c r="JJY82" s="2567"/>
      <c r="JJZ82" s="2567"/>
      <c r="JKA82" s="2567"/>
      <c r="JKB82" s="2567"/>
      <c r="JKC82" s="2567"/>
      <c r="JKD82" s="2567"/>
      <c r="JKE82" s="2567"/>
      <c r="JKF82" s="2567"/>
      <c r="JKG82" s="2567"/>
      <c r="JKH82" s="2567"/>
      <c r="JKI82" s="2567"/>
      <c r="JKJ82" s="2567"/>
      <c r="JKK82" s="2567"/>
      <c r="JKL82" s="2567"/>
      <c r="JKM82" s="2567"/>
      <c r="JKN82" s="2567"/>
      <c r="JKO82" s="2567"/>
      <c r="JKP82" s="2567"/>
      <c r="JKQ82" s="2567"/>
      <c r="JKR82" s="2567"/>
      <c r="JKS82" s="2567"/>
      <c r="JKT82" s="2567"/>
      <c r="JKU82" s="2567"/>
      <c r="JKV82" s="2567"/>
      <c r="JKW82" s="2567"/>
      <c r="JKX82" s="2567"/>
      <c r="JKY82" s="2567"/>
      <c r="JKZ82" s="2567"/>
      <c r="JLA82" s="2567"/>
      <c r="JLB82" s="2567"/>
      <c r="JLC82" s="2567"/>
      <c r="JLD82" s="2567"/>
      <c r="JLE82" s="2567"/>
      <c r="JLF82" s="2567"/>
      <c r="JLG82" s="2567"/>
      <c r="JLH82" s="2567"/>
      <c r="JLI82" s="2567"/>
      <c r="JLJ82" s="2567"/>
      <c r="JLK82" s="2567"/>
      <c r="JLL82" s="2567"/>
      <c r="JLM82" s="2567"/>
      <c r="JLN82" s="2567"/>
      <c r="JLO82" s="2567"/>
      <c r="JLP82" s="2567"/>
      <c r="JLQ82" s="2567"/>
      <c r="JLR82" s="2567"/>
      <c r="JLS82" s="2567"/>
      <c r="JLT82" s="2567"/>
      <c r="JLU82" s="2567"/>
      <c r="JLV82" s="2567"/>
      <c r="JLW82" s="2567"/>
      <c r="JLX82" s="2567"/>
      <c r="JLY82" s="2567"/>
      <c r="JLZ82" s="2567"/>
      <c r="JMA82" s="2567"/>
      <c r="JMB82" s="2567"/>
      <c r="JMC82" s="2567"/>
      <c r="JMD82" s="2567"/>
      <c r="JME82" s="2567"/>
      <c r="JMF82" s="2567"/>
      <c r="JMG82" s="2567"/>
      <c r="JMH82" s="2567"/>
      <c r="JMI82" s="2567"/>
      <c r="JMJ82" s="2567"/>
      <c r="JMK82" s="2567"/>
      <c r="JML82" s="2567"/>
      <c r="JMM82" s="2567"/>
      <c r="JMN82" s="2567"/>
      <c r="JMO82" s="2567"/>
      <c r="JMP82" s="2567"/>
      <c r="JMQ82" s="2567"/>
      <c r="JMR82" s="2567"/>
      <c r="JMS82" s="2567"/>
      <c r="JMT82" s="2567"/>
      <c r="JMU82" s="2567"/>
      <c r="JMV82" s="2567"/>
      <c r="JMW82" s="2567"/>
      <c r="JMX82" s="2567"/>
      <c r="JMY82" s="2567"/>
      <c r="JMZ82" s="2567"/>
      <c r="JNA82" s="2567"/>
      <c r="JNB82" s="2567"/>
      <c r="JNC82" s="2567"/>
      <c r="JND82" s="2567"/>
      <c r="JNE82" s="2567"/>
      <c r="JNF82" s="2567"/>
      <c r="JNG82" s="2567"/>
      <c r="JNH82" s="2567"/>
      <c r="JNI82" s="2567"/>
      <c r="JNJ82" s="2567"/>
      <c r="JNK82" s="2567"/>
      <c r="JNL82" s="2567"/>
      <c r="JNM82" s="2567"/>
      <c r="JNN82" s="2567"/>
      <c r="JNO82" s="2567"/>
      <c r="JNP82" s="2567"/>
      <c r="JNQ82" s="2567"/>
      <c r="JNR82" s="2567"/>
      <c r="JNS82" s="2567"/>
      <c r="JNT82" s="2567"/>
      <c r="JNU82" s="2567"/>
      <c r="JNV82" s="2567"/>
      <c r="JNW82" s="2567"/>
      <c r="JNX82" s="2567"/>
      <c r="JNY82" s="2567"/>
      <c r="JNZ82" s="2567"/>
      <c r="JOA82" s="2567"/>
      <c r="JOB82" s="2567"/>
      <c r="JOC82" s="2567"/>
      <c r="JOD82" s="2567"/>
      <c r="JOE82" s="2567"/>
      <c r="JOF82" s="2567"/>
      <c r="JOG82" s="2567"/>
      <c r="JOH82" s="2567"/>
      <c r="JOI82" s="2567"/>
      <c r="JOJ82" s="2567"/>
      <c r="JOK82" s="2567"/>
      <c r="JOL82" s="2567"/>
      <c r="JOM82" s="2567"/>
      <c r="JON82" s="2567"/>
      <c r="JOO82" s="2567"/>
      <c r="JOP82" s="2567"/>
      <c r="JOQ82" s="2567"/>
      <c r="JOR82" s="2567"/>
      <c r="JOS82" s="2567"/>
      <c r="JOT82" s="2567"/>
      <c r="JOU82" s="2567"/>
      <c r="JOV82" s="2567"/>
      <c r="JOW82" s="2567"/>
      <c r="JOX82" s="2567"/>
      <c r="JOY82" s="2567"/>
      <c r="JOZ82" s="2567"/>
      <c r="JPA82" s="2567"/>
      <c r="JPB82" s="2567"/>
      <c r="JPC82" s="2567"/>
      <c r="JPD82" s="2567"/>
      <c r="JPE82" s="2567"/>
      <c r="JPF82" s="2567"/>
      <c r="JPG82" s="2567"/>
      <c r="JPH82" s="2567"/>
      <c r="JPI82" s="2567"/>
      <c r="JPJ82" s="2567"/>
      <c r="JPK82" s="2567"/>
      <c r="JPL82" s="2567"/>
      <c r="JPM82" s="2567"/>
      <c r="JPN82" s="2567"/>
      <c r="JPO82" s="2567"/>
      <c r="JPP82" s="2567"/>
      <c r="JPQ82" s="2567"/>
      <c r="JPR82" s="2567"/>
      <c r="JPS82" s="2567"/>
      <c r="JPT82" s="2567"/>
      <c r="JPU82" s="2567"/>
      <c r="JPV82" s="2567"/>
      <c r="JPW82" s="2567"/>
      <c r="JPX82" s="2567"/>
      <c r="JPY82" s="2567"/>
      <c r="JPZ82" s="2567"/>
      <c r="JQA82" s="2567"/>
      <c r="JQB82" s="2567"/>
      <c r="JQC82" s="2567"/>
      <c r="JQD82" s="2567"/>
      <c r="JQE82" s="2567"/>
      <c r="JQF82" s="2567"/>
      <c r="JQG82" s="2567"/>
      <c r="JQH82" s="2567"/>
      <c r="JQI82" s="2567"/>
      <c r="JQJ82" s="2567"/>
      <c r="JQK82" s="2567"/>
      <c r="JQL82" s="2567"/>
      <c r="JQM82" s="2567"/>
      <c r="JQN82" s="2567"/>
      <c r="JQO82" s="2567"/>
      <c r="JQP82" s="2567"/>
      <c r="JQQ82" s="2567"/>
      <c r="JQR82" s="2567"/>
      <c r="JQS82" s="2567"/>
      <c r="JQT82" s="2567"/>
      <c r="JQU82" s="2567"/>
      <c r="JQV82" s="2567"/>
      <c r="JQW82" s="2567"/>
      <c r="JQX82" s="2567"/>
      <c r="JQY82" s="2567"/>
      <c r="JQZ82" s="2567"/>
      <c r="JRA82" s="2567"/>
      <c r="JRB82" s="2567"/>
      <c r="JRC82" s="2567"/>
      <c r="JRD82" s="2567"/>
      <c r="JRE82" s="2567"/>
      <c r="JRF82" s="2567"/>
      <c r="JRG82" s="2567"/>
      <c r="JRH82" s="2567"/>
      <c r="JRI82" s="2567"/>
      <c r="JRJ82" s="2567"/>
      <c r="JRK82" s="2567"/>
      <c r="JRL82" s="2567"/>
      <c r="JRM82" s="2567"/>
      <c r="JRN82" s="2567"/>
      <c r="JRO82" s="2567"/>
      <c r="JRP82" s="2567"/>
      <c r="JRQ82" s="2567"/>
      <c r="JRR82" s="2567"/>
      <c r="JRS82" s="2567"/>
      <c r="JRT82" s="2567"/>
      <c r="JRU82" s="2567"/>
      <c r="JRV82" s="2567"/>
      <c r="JRW82" s="2567"/>
      <c r="JRX82" s="2567"/>
      <c r="JRY82" s="2567"/>
      <c r="JRZ82" s="2567"/>
      <c r="JSA82" s="2567"/>
      <c r="JSB82" s="2567"/>
      <c r="JSC82" s="2567"/>
      <c r="JSD82" s="2567"/>
      <c r="JSE82" s="2567"/>
      <c r="JSF82" s="2567"/>
      <c r="JSG82" s="2567"/>
      <c r="JSH82" s="2567"/>
      <c r="JSI82" s="2567"/>
      <c r="JSJ82" s="2567"/>
      <c r="JSK82" s="2567"/>
      <c r="JSL82" s="2567"/>
      <c r="JSM82" s="2567"/>
      <c r="JSN82" s="2567"/>
      <c r="JSO82" s="2567"/>
      <c r="JSP82" s="2567"/>
      <c r="JSQ82" s="2567"/>
      <c r="JSR82" s="2567"/>
      <c r="JSS82" s="2567"/>
      <c r="JST82" s="2567"/>
      <c r="JSU82" s="2567"/>
      <c r="JSV82" s="2567"/>
      <c r="JSW82" s="2567"/>
      <c r="JSX82" s="2567"/>
      <c r="JSY82" s="2567"/>
      <c r="JSZ82" s="2567"/>
      <c r="JTA82" s="2567"/>
      <c r="JTB82" s="2567"/>
      <c r="JTC82" s="2567"/>
      <c r="JTD82" s="2567"/>
      <c r="JTE82" s="2567"/>
      <c r="JTF82" s="2567"/>
      <c r="JTG82" s="2567"/>
      <c r="JTH82" s="2567"/>
      <c r="JTI82" s="2567"/>
      <c r="JTJ82" s="2567"/>
      <c r="JTK82" s="2567"/>
      <c r="JTL82" s="2567"/>
      <c r="JTM82" s="2567"/>
      <c r="JTN82" s="2567"/>
      <c r="JTO82" s="2567"/>
      <c r="JTP82" s="2567"/>
      <c r="JTQ82" s="2567"/>
      <c r="JTR82" s="2567"/>
      <c r="JTS82" s="2567"/>
      <c r="JTT82" s="2567"/>
      <c r="JTU82" s="2567"/>
      <c r="JTV82" s="2567"/>
      <c r="JTW82" s="2567"/>
      <c r="JTX82" s="2567"/>
      <c r="JTY82" s="2567"/>
      <c r="JTZ82" s="2567"/>
      <c r="JUA82" s="2567"/>
      <c r="JUB82" s="2567"/>
      <c r="JUC82" s="2567"/>
      <c r="JUD82" s="2567"/>
      <c r="JUE82" s="2567"/>
      <c r="JUF82" s="2567"/>
      <c r="JUG82" s="2567"/>
      <c r="JUH82" s="2567"/>
      <c r="JUI82" s="2567"/>
      <c r="JUJ82" s="2567"/>
      <c r="JUK82" s="2567"/>
      <c r="JUL82" s="2567"/>
      <c r="JUM82" s="2567"/>
      <c r="JUN82" s="2567"/>
      <c r="JUO82" s="2567"/>
      <c r="JUP82" s="2567"/>
      <c r="JUQ82" s="2567"/>
      <c r="JUR82" s="2567"/>
      <c r="JUS82" s="2567"/>
      <c r="JUT82" s="2567"/>
      <c r="JUU82" s="2567"/>
      <c r="JUV82" s="2567"/>
      <c r="JUW82" s="2567"/>
      <c r="JUX82" s="2567"/>
      <c r="JUY82" s="2567"/>
      <c r="JUZ82" s="2567"/>
      <c r="JVA82" s="2567"/>
      <c r="JVB82" s="2567"/>
      <c r="JVC82" s="2567"/>
      <c r="JVD82" s="2567"/>
      <c r="JVE82" s="2567"/>
      <c r="JVF82" s="2567"/>
      <c r="JVG82" s="2567"/>
      <c r="JVH82" s="2567"/>
      <c r="JVI82" s="2567"/>
      <c r="JVJ82" s="2567"/>
      <c r="JVK82" s="2567"/>
      <c r="JVL82" s="2567"/>
      <c r="JVM82" s="2567"/>
      <c r="JVN82" s="2567"/>
      <c r="JVO82" s="2567"/>
      <c r="JVP82" s="2567"/>
      <c r="JVQ82" s="2567"/>
      <c r="JVR82" s="2567"/>
      <c r="JVS82" s="2567"/>
      <c r="JVT82" s="2567"/>
      <c r="JVU82" s="2567"/>
      <c r="JVV82" s="2567"/>
      <c r="JVW82" s="2567"/>
      <c r="JVX82" s="2567"/>
      <c r="JVY82" s="2567"/>
      <c r="JVZ82" s="2567"/>
      <c r="JWA82" s="2567"/>
      <c r="JWB82" s="2567"/>
      <c r="JWC82" s="2567"/>
      <c r="JWD82" s="2567"/>
      <c r="JWE82" s="2567"/>
      <c r="JWF82" s="2567"/>
      <c r="JWG82" s="2567"/>
      <c r="JWH82" s="2567"/>
      <c r="JWI82" s="2567"/>
      <c r="JWJ82" s="2567"/>
      <c r="JWK82" s="2567"/>
      <c r="JWL82" s="2567"/>
      <c r="JWM82" s="2567"/>
      <c r="JWN82" s="2567"/>
      <c r="JWO82" s="2567"/>
      <c r="JWP82" s="2567"/>
      <c r="JWQ82" s="2567"/>
      <c r="JWR82" s="2567"/>
      <c r="JWS82" s="2567"/>
      <c r="JWT82" s="2567"/>
      <c r="JWU82" s="2567"/>
      <c r="JWV82" s="2567"/>
      <c r="JWW82" s="2567"/>
      <c r="JWX82" s="2567"/>
      <c r="JWY82" s="2567"/>
      <c r="JWZ82" s="2567"/>
      <c r="JXA82" s="2567"/>
      <c r="JXB82" s="2567"/>
      <c r="JXC82" s="2567"/>
      <c r="JXD82" s="2567"/>
      <c r="JXE82" s="2567"/>
      <c r="JXF82" s="2567"/>
      <c r="JXG82" s="2567"/>
      <c r="JXH82" s="2567"/>
      <c r="JXI82" s="2567"/>
      <c r="JXJ82" s="2567"/>
      <c r="JXK82" s="2567"/>
      <c r="JXL82" s="2567"/>
      <c r="JXM82" s="2567"/>
      <c r="JXN82" s="2567"/>
      <c r="JXO82" s="2567"/>
      <c r="JXP82" s="2567"/>
      <c r="JXQ82" s="2567"/>
      <c r="JXR82" s="2567"/>
      <c r="JXS82" s="2567"/>
      <c r="JXT82" s="2567"/>
      <c r="JXU82" s="2567"/>
      <c r="JXV82" s="2567"/>
      <c r="JXW82" s="2567"/>
      <c r="JXX82" s="2567"/>
      <c r="JXY82" s="2567"/>
      <c r="JXZ82" s="2567"/>
      <c r="JYA82" s="2567"/>
      <c r="JYB82" s="2567"/>
      <c r="JYC82" s="2567"/>
      <c r="JYD82" s="2567"/>
      <c r="JYE82" s="2567"/>
      <c r="JYF82" s="2567"/>
      <c r="JYG82" s="2567"/>
      <c r="JYH82" s="2567"/>
      <c r="JYI82" s="2567"/>
      <c r="JYJ82" s="2567"/>
      <c r="JYK82" s="2567"/>
      <c r="JYL82" s="2567"/>
      <c r="JYM82" s="2567"/>
      <c r="JYN82" s="2567"/>
      <c r="JYO82" s="2567"/>
      <c r="JYP82" s="2567"/>
      <c r="JYQ82" s="2567"/>
      <c r="JYR82" s="2567"/>
      <c r="JYS82" s="2567"/>
      <c r="JYT82" s="2567"/>
      <c r="JYU82" s="2567"/>
      <c r="JYV82" s="2567"/>
      <c r="JYW82" s="2567"/>
      <c r="JYX82" s="2567"/>
      <c r="JYY82" s="2567"/>
      <c r="JYZ82" s="2567"/>
      <c r="JZA82" s="2567"/>
      <c r="JZB82" s="2567"/>
      <c r="JZC82" s="2567"/>
      <c r="JZD82" s="2567"/>
      <c r="JZE82" s="2567"/>
      <c r="JZF82" s="2567"/>
      <c r="JZG82" s="2567"/>
      <c r="JZH82" s="2567"/>
      <c r="JZI82" s="2567"/>
      <c r="JZJ82" s="2567"/>
      <c r="JZK82" s="2567"/>
      <c r="JZL82" s="2567"/>
      <c r="JZM82" s="2567"/>
      <c r="JZN82" s="2567"/>
      <c r="JZO82" s="2567"/>
      <c r="JZP82" s="2567"/>
      <c r="JZQ82" s="2567"/>
      <c r="JZR82" s="2567"/>
      <c r="JZS82" s="2567"/>
      <c r="JZT82" s="2567"/>
      <c r="JZU82" s="2567"/>
      <c r="JZV82" s="2567"/>
      <c r="JZW82" s="2567"/>
      <c r="JZX82" s="2567"/>
      <c r="JZY82" s="2567"/>
      <c r="JZZ82" s="2567"/>
      <c r="KAA82" s="2567"/>
      <c r="KAB82" s="2567"/>
      <c r="KAC82" s="2567"/>
      <c r="KAD82" s="2567"/>
      <c r="KAE82" s="2567"/>
      <c r="KAF82" s="2567"/>
      <c r="KAG82" s="2567"/>
      <c r="KAH82" s="2567"/>
      <c r="KAI82" s="2567"/>
      <c r="KAJ82" s="2567"/>
      <c r="KAK82" s="2567"/>
      <c r="KAL82" s="2567"/>
      <c r="KAM82" s="2567"/>
      <c r="KAN82" s="2567"/>
      <c r="KAO82" s="2567"/>
      <c r="KAP82" s="2567"/>
      <c r="KAQ82" s="2567"/>
      <c r="KAR82" s="2567"/>
      <c r="KAS82" s="2567"/>
      <c r="KAT82" s="2567"/>
      <c r="KAU82" s="2567"/>
      <c r="KAV82" s="2567"/>
      <c r="KAW82" s="2567"/>
      <c r="KAX82" s="2567"/>
      <c r="KAY82" s="2567"/>
      <c r="KAZ82" s="2567"/>
      <c r="KBA82" s="2567"/>
      <c r="KBB82" s="2567"/>
      <c r="KBC82" s="2567"/>
      <c r="KBD82" s="2567"/>
      <c r="KBE82" s="2567"/>
      <c r="KBF82" s="2567"/>
      <c r="KBG82" s="2567"/>
      <c r="KBH82" s="2567"/>
      <c r="KBI82" s="2567"/>
      <c r="KBJ82" s="2567"/>
      <c r="KBK82" s="2567"/>
      <c r="KBL82" s="2567"/>
      <c r="KBM82" s="2567"/>
      <c r="KBN82" s="2567"/>
      <c r="KBO82" s="2567"/>
      <c r="KBP82" s="2567"/>
      <c r="KBQ82" s="2567"/>
      <c r="KBR82" s="2567"/>
      <c r="KBS82" s="2567"/>
      <c r="KBT82" s="2567"/>
      <c r="KBU82" s="2567"/>
      <c r="KBV82" s="2567"/>
      <c r="KBW82" s="2567"/>
      <c r="KBX82" s="2567"/>
      <c r="KBY82" s="2567"/>
      <c r="KBZ82" s="2567"/>
      <c r="KCA82" s="2567"/>
      <c r="KCB82" s="2567"/>
      <c r="KCC82" s="2567"/>
      <c r="KCD82" s="2567"/>
      <c r="KCE82" s="2567"/>
      <c r="KCF82" s="2567"/>
      <c r="KCG82" s="2567"/>
      <c r="KCH82" s="2567"/>
      <c r="KCI82" s="2567"/>
      <c r="KCJ82" s="2567"/>
      <c r="KCK82" s="2567"/>
      <c r="KCL82" s="2567"/>
      <c r="KCM82" s="2567"/>
      <c r="KCN82" s="2567"/>
      <c r="KCO82" s="2567"/>
      <c r="KCP82" s="2567"/>
      <c r="KCQ82" s="2567"/>
      <c r="KCR82" s="2567"/>
      <c r="KCS82" s="2567"/>
      <c r="KCT82" s="2567"/>
      <c r="KCU82" s="2567"/>
      <c r="KCV82" s="2567"/>
      <c r="KCW82" s="2567"/>
      <c r="KCX82" s="2567"/>
      <c r="KCY82" s="2567"/>
      <c r="KCZ82" s="2567"/>
      <c r="KDA82" s="2567"/>
      <c r="KDB82" s="2567"/>
      <c r="KDC82" s="2567"/>
      <c r="KDD82" s="2567"/>
      <c r="KDE82" s="2567"/>
      <c r="KDF82" s="2567"/>
      <c r="KDG82" s="2567"/>
      <c r="KDH82" s="2567"/>
      <c r="KDI82" s="2567"/>
      <c r="KDJ82" s="2567"/>
      <c r="KDK82" s="2567"/>
      <c r="KDL82" s="2567"/>
      <c r="KDM82" s="2567"/>
      <c r="KDN82" s="2567"/>
      <c r="KDO82" s="2567"/>
      <c r="KDP82" s="2567"/>
      <c r="KDQ82" s="2567"/>
      <c r="KDR82" s="2567"/>
      <c r="KDS82" s="2567"/>
      <c r="KDT82" s="2567"/>
      <c r="KDU82" s="2567"/>
      <c r="KDV82" s="2567"/>
      <c r="KDW82" s="2567"/>
      <c r="KDX82" s="2567"/>
      <c r="KDY82" s="2567"/>
      <c r="KDZ82" s="2567"/>
      <c r="KEA82" s="2567"/>
      <c r="KEB82" s="2567"/>
      <c r="KEC82" s="2567"/>
      <c r="KED82" s="2567"/>
      <c r="KEE82" s="2567"/>
      <c r="KEF82" s="2567"/>
      <c r="KEG82" s="2567"/>
      <c r="KEH82" s="2567"/>
      <c r="KEI82" s="2567"/>
      <c r="KEJ82" s="2567"/>
      <c r="KEK82" s="2567"/>
      <c r="KEL82" s="2567"/>
      <c r="KEM82" s="2567"/>
      <c r="KEN82" s="2567"/>
      <c r="KEO82" s="2567"/>
      <c r="KEP82" s="2567"/>
      <c r="KEQ82" s="2567"/>
      <c r="KER82" s="2567"/>
      <c r="KES82" s="2567"/>
      <c r="KET82" s="2567"/>
      <c r="KEU82" s="2567"/>
      <c r="KEV82" s="2567"/>
      <c r="KEW82" s="2567"/>
      <c r="KEX82" s="2567"/>
      <c r="KEY82" s="2567"/>
      <c r="KEZ82" s="2567"/>
      <c r="KFA82" s="2567"/>
      <c r="KFB82" s="2567"/>
      <c r="KFC82" s="2567"/>
      <c r="KFD82" s="2567"/>
      <c r="KFE82" s="2567"/>
      <c r="KFF82" s="2567"/>
      <c r="KFG82" s="2567"/>
      <c r="KFH82" s="2567"/>
      <c r="KFI82" s="2567"/>
      <c r="KFJ82" s="2567"/>
      <c r="KFK82" s="2567"/>
      <c r="KFL82" s="2567"/>
      <c r="KFM82" s="2567"/>
      <c r="KFN82" s="2567"/>
      <c r="KFO82" s="2567"/>
      <c r="KFP82" s="2567"/>
      <c r="KFQ82" s="2567"/>
      <c r="KFR82" s="2567"/>
      <c r="KFS82" s="2567"/>
      <c r="KFT82" s="2567"/>
      <c r="KFU82" s="2567"/>
      <c r="KFV82" s="2567"/>
      <c r="KFW82" s="2567"/>
      <c r="KFX82" s="2567"/>
      <c r="KFY82" s="2567"/>
      <c r="KFZ82" s="2567"/>
      <c r="KGA82" s="2567"/>
      <c r="KGB82" s="2567"/>
      <c r="KGC82" s="2567"/>
      <c r="KGD82" s="2567"/>
      <c r="KGE82" s="2567"/>
      <c r="KGF82" s="2567"/>
      <c r="KGG82" s="2567"/>
      <c r="KGH82" s="2567"/>
      <c r="KGI82" s="2567"/>
      <c r="KGJ82" s="2567"/>
      <c r="KGK82" s="2567"/>
      <c r="KGL82" s="2567"/>
      <c r="KGM82" s="2567"/>
      <c r="KGN82" s="2567"/>
      <c r="KGO82" s="2567"/>
      <c r="KGP82" s="2567"/>
      <c r="KGQ82" s="2567"/>
      <c r="KGR82" s="2567"/>
      <c r="KGS82" s="2567"/>
      <c r="KGT82" s="2567"/>
      <c r="KGU82" s="2567"/>
      <c r="KGV82" s="2567"/>
      <c r="KGW82" s="2567"/>
      <c r="KGX82" s="2567"/>
      <c r="KGY82" s="2567"/>
      <c r="KGZ82" s="2567"/>
      <c r="KHA82" s="2567"/>
      <c r="KHB82" s="2567"/>
      <c r="KHC82" s="2567"/>
      <c r="KHD82" s="2567"/>
      <c r="KHE82" s="2567"/>
      <c r="KHF82" s="2567"/>
      <c r="KHG82" s="2567"/>
      <c r="KHH82" s="2567"/>
      <c r="KHI82" s="2567"/>
      <c r="KHJ82" s="2567"/>
      <c r="KHK82" s="2567"/>
      <c r="KHL82" s="2567"/>
      <c r="KHM82" s="2567"/>
      <c r="KHN82" s="2567"/>
      <c r="KHO82" s="2567"/>
      <c r="KHP82" s="2567"/>
      <c r="KHQ82" s="2567"/>
      <c r="KHR82" s="2567"/>
      <c r="KHS82" s="2567"/>
      <c r="KHT82" s="2567"/>
      <c r="KHU82" s="2567"/>
      <c r="KHV82" s="2567"/>
      <c r="KHW82" s="2567"/>
      <c r="KHX82" s="2567"/>
      <c r="KHY82" s="2567"/>
      <c r="KHZ82" s="2567"/>
      <c r="KIA82" s="2567"/>
      <c r="KIB82" s="2567"/>
      <c r="KIC82" s="2567"/>
      <c r="KID82" s="2567"/>
      <c r="KIE82" s="2567"/>
      <c r="KIF82" s="2567"/>
      <c r="KIG82" s="2567"/>
      <c r="KIH82" s="2567"/>
      <c r="KII82" s="2567"/>
      <c r="KIJ82" s="2567"/>
      <c r="KIK82" s="2567"/>
      <c r="KIL82" s="2567"/>
      <c r="KIM82" s="2567"/>
      <c r="KIN82" s="2567"/>
      <c r="KIO82" s="2567"/>
      <c r="KIP82" s="2567"/>
      <c r="KIQ82" s="2567"/>
      <c r="KIR82" s="2567"/>
      <c r="KIS82" s="2567"/>
      <c r="KIT82" s="2567"/>
      <c r="KIU82" s="2567"/>
      <c r="KIV82" s="2567"/>
      <c r="KIW82" s="2567"/>
      <c r="KIX82" s="2567"/>
      <c r="KIY82" s="2567"/>
      <c r="KIZ82" s="2567"/>
      <c r="KJA82" s="2567"/>
      <c r="KJB82" s="2567"/>
      <c r="KJC82" s="2567"/>
      <c r="KJD82" s="2567"/>
      <c r="KJE82" s="2567"/>
      <c r="KJF82" s="2567"/>
      <c r="KJG82" s="2567"/>
      <c r="KJH82" s="2567"/>
      <c r="KJI82" s="2567"/>
      <c r="KJJ82" s="2567"/>
      <c r="KJK82" s="2567"/>
      <c r="KJL82" s="2567"/>
      <c r="KJM82" s="2567"/>
      <c r="KJN82" s="2567"/>
      <c r="KJO82" s="2567"/>
      <c r="KJP82" s="2567"/>
      <c r="KJQ82" s="2567"/>
      <c r="KJR82" s="2567"/>
      <c r="KJS82" s="2567"/>
      <c r="KJT82" s="2567"/>
      <c r="KJU82" s="2567"/>
      <c r="KJV82" s="2567"/>
      <c r="KJW82" s="2567"/>
      <c r="KJX82" s="2567"/>
      <c r="KJY82" s="2567"/>
      <c r="KJZ82" s="2567"/>
      <c r="KKA82" s="2567"/>
      <c r="KKB82" s="2567"/>
      <c r="KKC82" s="2567"/>
      <c r="KKD82" s="2567"/>
      <c r="KKE82" s="2567"/>
      <c r="KKF82" s="2567"/>
      <c r="KKG82" s="2567"/>
      <c r="KKH82" s="2567"/>
      <c r="KKI82" s="2567"/>
      <c r="KKJ82" s="2567"/>
      <c r="KKK82" s="2567"/>
      <c r="KKL82" s="2567"/>
      <c r="KKM82" s="2567"/>
      <c r="KKN82" s="2567"/>
      <c r="KKO82" s="2567"/>
      <c r="KKP82" s="2567"/>
      <c r="KKQ82" s="2567"/>
      <c r="KKR82" s="2567"/>
      <c r="KKS82" s="2567"/>
      <c r="KKT82" s="2567"/>
      <c r="KKU82" s="2567"/>
      <c r="KKV82" s="2567"/>
      <c r="KKW82" s="2567"/>
      <c r="KKX82" s="2567"/>
      <c r="KKY82" s="2567"/>
      <c r="KKZ82" s="2567"/>
      <c r="KLA82" s="2567"/>
      <c r="KLB82" s="2567"/>
      <c r="KLC82" s="2567"/>
      <c r="KLD82" s="2567"/>
      <c r="KLE82" s="2567"/>
      <c r="KLF82" s="2567"/>
      <c r="KLG82" s="2567"/>
      <c r="KLH82" s="2567"/>
      <c r="KLI82" s="2567"/>
      <c r="KLJ82" s="2567"/>
      <c r="KLK82" s="2567"/>
      <c r="KLL82" s="2567"/>
      <c r="KLM82" s="2567"/>
      <c r="KLN82" s="2567"/>
      <c r="KLO82" s="2567"/>
      <c r="KLP82" s="2567"/>
      <c r="KLQ82" s="2567"/>
      <c r="KLR82" s="2567"/>
      <c r="KLS82" s="2567"/>
      <c r="KLT82" s="2567"/>
      <c r="KLU82" s="2567"/>
      <c r="KLV82" s="2567"/>
      <c r="KLW82" s="2567"/>
      <c r="KLX82" s="2567"/>
      <c r="KLY82" s="2567"/>
      <c r="KLZ82" s="2567"/>
      <c r="KMA82" s="2567"/>
      <c r="KMB82" s="2567"/>
      <c r="KMC82" s="2567"/>
      <c r="KMD82" s="2567"/>
      <c r="KME82" s="2567"/>
      <c r="KMF82" s="2567"/>
      <c r="KMG82" s="2567"/>
      <c r="KMH82" s="2567"/>
      <c r="KMI82" s="2567"/>
      <c r="KMJ82" s="2567"/>
      <c r="KMK82" s="2567"/>
      <c r="KML82" s="2567"/>
      <c r="KMM82" s="2567"/>
      <c r="KMN82" s="2567"/>
      <c r="KMO82" s="2567"/>
      <c r="KMP82" s="2567"/>
      <c r="KMQ82" s="2567"/>
      <c r="KMR82" s="2567"/>
      <c r="KMS82" s="2567"/>
      <c r="KMT82" s="2567"/>
      <c r="KMU82" s="2567"/>
      <c r="KMV82" s="2567"/>
      <c r="KMW82" s="2567"/>
      <c r="KMX82" s="2567"/>
      <c r="KMY82" s="2567"/>
      <c r="KMZ82" s="2567"/>
      <c r="KNA82" s="2567"/>
      <c r="KNB82" s="2567"/>
      <c r="KNC82" s="2567"/>
      <c r="KND82" s="2567"/>
      <c r="KNE82" s="2567"/>
      <c r="KNF82" s="2567"/>
      <c r="KNG82" s="2567"/>
      <c r="KNH82" s="2567"/>
      <c r="KNI82" s="2567"/>
      <c r="KNJ82" s="2567"/>
      <c r="KNK82" s="2567"/>
      <c r="KNL82" s="2567"/>
      <c r="KNM82" s="2567"/>
      <c r="KNN82" s="2567"/>
      <c r="KNO82" s="2567"/>
      <c r="KNP82" s="2567"/>
      <c r="KNQ82" s="2567"/>
      <c r="KNR82" s="2567"/>
      <c r="KNS82" s="2567"/>
      <c r="KNT82" s="2567"/>
      <c r="KNU82" s="2567"/>
      <c r="KNV82" s="2567"/>
      <c r="KNW82" s="2567"/>
      <c r="KNX82" s="2567"/>
      <c r="KNY82" s="2567"/>
      <c r="KNZ82" s="2567"/>
      <c r="KOA82" s="2567"/>
      <c r="KOB82" s="2567"/>
      <c r="KOC82" s="2567"/>
      <c r="KOD82" s="2567"/>
      <c r="KOE82" s="2567"/>
      <c r="KOF82" s="2567"/>
      <c r="KOG82" s="2567"/>
      <c r="KOH82" s="2567"/>
      <c r="KOI82" s="2567"/>
      <c r="KOJ82" s="2567"/>
      <c r="KOK82" s="2567"/>
      <c r="KOL82" s="2567"/>
      <c r="KOM82" s="2567"/>
      <c r="KON82" s="2567"/>
      <c r="KOO82" s="2567"/>
      <c r="KOP82" s="2567"/>
      <c r="KOQ82" s="2567"/>
      <c r="KOR82" s="2567"/>
      <c r="KOS82" s="2567"/>
      <c r="KOT82" s="2567"/>
      <c r="KOU82" s="2567"/>
      <c r="KOV82" s="2567"/>
      <c r="KOW82" s="2567"/>
      <c r="KOX82" s="2567"/>
      <c r="KOY82" s="2567"/>
      <c r="KOZ82" s="2567"/>
      <c r="KPA82" s="2567"/>
      <c r="KPB82" s="2567"/>
      <c r="KPC82" s="2567"/>
      <c r="KPD82" s="2567"/>
      <c r="KPE82" s="2567"/>
      <c r="KPF82" s="2567"/>
      <c r="KPG82" s="2567"/>
      <c r="KPH82" s="2567"/>
      <c r="KPI82" s="2567"/>
      <c r="KPJ82" s="2567"/>
      <c r="KPK82" s="2567"/>
      <c r="KPL82" s="2567"/>
      <c r="KPM82" s="2567"/>
      <c r="KPN82" s="2567"/>
      <c r="KPO82" s="2567"/>
      <c r="KPP82" s="2567"/>
      <c r="KPQ82" s="2567"/>
      <c r="KPR82" s="2567"/>
      <c r="KPS82" s="2567"/>
      <c r="KPT82" s="2567"/>
      <c r="KPU82" s="2567"/>
      <c r="KPV82" s="2567"/>
      <c r="KPW82" s="2567"/>
      <c r="KPX82" s="2567"/>
      <c r="KPY82" s="2567"/>
      <c r="KPZ82" s="2567"/>
      <c r="KQA82" s="2567"/>
      <c r="KQB82" s="2567"/>
      <c r="KQC82" s="2567"/>
      <c r="KQD82" s="2567"/>
      <c r="KQE82" s="2567"/>
      <c r="KQF82" s="2567"/>
      <c r="KQG82" s="2567"/>
      <c r="KQH82" s="2567"/>
      <c r="KQI82" s="2567"/>
      <c r="KQJ82" s="2567"/>
      <c r="KQK82" s="2567"/>
      <c r="KQL82" s="2567"/>
      <c r="KQM82" s="2567"/>
      <c r="KQN82" s="2567"/>
      <c r="KQO82" s="2567"/>
      <c r="KQP82" s="2567"/>
      <c r="KQQ82" s="2567"/>
      <c r="KQR82" s="2567"/>
      <c r="KQS82" s="2567"/>
      <c r="KQT82" s="2567"/>
      <c r="KQU82" s="2567"/>
      <c r="KQV82" s="2567"/>
      <c r="KQW82" s="2567"/>
      <c r="KQX82" s="2567"/>
      <c r="KQY82" s="2567"/>
      <c r="KQZ82" s="2567"/>
      <c r="KRA82" s="2567"/>
      <c r="KRB82" s="2567"/>
      <c r="KRC82" s="2567"/>
      <c r="KRD82" s="2567"/>
      <c r="KRE82" s="2567"/>
      <c r="KRF82" s="2567"/>
      <c r="KRG82" s="2567"/>
      <c r="KRH82" s="2567"/>
      <c r="KRI82" s="2567"/>
      <c r="KRJ82" s="2567"/>
      <c r="KRK82" s="2567"/>
      <c r="KRL82" s="2567"/>
      <c r="KRM82" s="2567"/>
      <c r="KRN82" s="2567"/>
      <c r="KRO82" s="2567"/>
      <c r="KRP82" s="2567"/>
      <c r="KRQ82" s="2567"/>
      <c r="KRR82" s="2567"/>
      <c r="KRS82" s="2567"/>
      <c r="KRT82" s="2567"/>
      <c r="KRU82" s="2567"/>
      <c r="KRV82" s="2567"/>
      <c r="KRW82" s="2567"/>
      <c r="KRX82" s="2567"/>
      <c r="KRY82" s="2567"/>
      <c r="KRZ82" s="2567"/>
      <c r="KSA82" s="2567"/>
      <c r="KSB82" s="2567"/>
      <c r="KSC82" s="2567"/>
      <c r="KSD82" s="2567"/>
      <c r="KSE82" s="2567"/>
      <c r="KSF82" s="2567"/>
      <c r="KSG82" s="2567"/>
      <c r="KSH82" s="2567"/>
      <c r="KSI82" s="2567"/>
      <c r="KSJ82" s="2567"/>
      <c r="KSK82" s="2567"/>
      <c r="KSL82" s="2567"/>
      <c r="KSM82" s="2567"/>
      <c r="KSN82" s="2567"/>
      <c r="KSO82" s="2567"/>
      <c r="KSP82" s="2567"/>
      <c r="KSQ82" s="2567"/>
      <c r="KSR82" s="2567"/>
      <c r="KSS82" s="2567"/>
      <c r="KST82" s="2567"/>
      <c r="KSU82" s="2567"/>
      <c r="KSV82" s="2567"/>
      <c r="KSW82" s="2567"/>
      <c r="KSX82" s="2567"/>
      <c r="KSY82" s="2567"/>
      <c r="KSZ82" s="2567"/>
      <c r="KTA82" s="2567"/>
      <c r="KTB82" s="2567"/>
      <c r="KTC82" s="2567"/>
      <c r="KTD82" s="2567"/>
      <c r="KTE82" s="2567"/>
      <c r="KTF82" s="2567"/>
      <c r="KTG82" s="2567"/>
      <c r="KTH82" s="2567"/>
      <c r="KTI82" s="2567"/>
      <c r="KTJ82" s="2567"/>
      <c r="KTK82" s="2567"/>
      <c r="KTL82" s="2567"/>
      <c r="KTM82" s="2567"/>
      <c r="KTN82" s="2567"/>
      <c r="KTO82" s="2567"/>
      <c r="KTP82" s="2567"/>
      <c r="KTQ82" s="2567"/>
      <c r="KTR82" s="2567"/>
      <c r="KTS82" s="2567"/>
      <c r="KTT82" s="2567"/>
      <c r="KTU82" s="2567"/>
      <c r="KTV82" s="2567"/>
      <c r="KTW82" s="2567"/>
      <c r="KTX82" s="2567"/>
      <c r="KTY82" s="2567"/>
      <c r="KTZ82" s="2567"/>
      <c r="KUA82" s="2567"/>
      <c r="KUB82" s="2567"/>
      <c r="KUC82" s="2567"/>
      <c r="KUD82" s="2567"/>
      <c r="KUE82" s="2567"/>
      <c r="KUF82" s="2567"/>
      <c r="KUG82" s="2567"/>
      <c r="KUH82" s="2567"/>
      <c r="KUI82" s="2567"/>
      <c r="KUJ82" s="2567"/>
      <c r="KUK82" s="2567"/>
      <c r="KUL82" s="2567"/>
      <c r="KUM82" s="2567"/>
      <c r="KUN82" s="2567"/>
      <c r="KUO82" s="2567"/>
      <c r="KUP82" s="2567"/>
      <c r="KUQ82" s="2567"/>
      <c r="KUR82" s="2567"/>
      <c r="KUS82" s="2567"/>
      <c r="KUT82" s="2567"/>
      <c r="KUU82" s="2567"/>
      <c r="KUV82" s="2567"/>
      <c r="KUW82" s="2567"/>
      <c r="KUX82" s="2567"/>
      <c r="KUY82" s="2567"/>
      <c r="KUZ82" s="2567"/>
      <c r="KVA82" s="2567"/>
      <c r="KVB82" s="2567"/>
      <c r="KVC82" s="2567"/>
      <c r="KVD82" s="2567"/>
      <c r="KVE82" s="2567"/>
      <c r="KVF82" s="2567"/>
      <c r="KVG82" s="2567"/>
      <c r="KVH82" s="2567"/>
      <c r="KVI82" s="2567"/>
      <c r="KVJ82" s="2567"/>
      <c r="KVK82" s="2567"/>
      <c r="KVL82" s="2567"/>
      <c r="KVM82" s="2567"/>
      <c r="KVN82" s="2567"/>
      <c r="KVO82" s="2567"/>
      <c r="KVP82" s="2567"/>
      <c r="KVQ82" s="2567"/>
      <c r="KVR82" s="2567"/>
      <c r="KVS82" s="2567"/>
      <c r="KVT82" s="2567"/>
      <c r="KVU82" s="2567"/>
      <c r="KVV82" s="2567"/>
      <c r="KVW82" s="2567"/>
      <c r="KVX82" s="2567"/>
      <c r="KVY82" s="2567"/>
      <c r="KVZ82" s="2567"/>
      <c r="KWA82" s="2567"/>
      <c r="KWB82" s="2567"/>
      <c r="KWC82" s="2567"/>
      <c r="KWD82" s="2567"/>
      <c r="KWE82" s="2567"/>
      <c r="KWF82" s="2567"/>
      <c r="KWG82" s="2567"/>
      <c r="KWH82" s="2567"/>
      <c r="KWI82" s="2567"/>
      <c r="KWJ82" s="2567"/>
      <c r="KWK82" s="2567"/>
      <c r="KWL82" s="2567"/>
      <c r="KWM82" s="2567"/>
      <c r="KWN82" s="2567"/>
      <c r="KWO82" s="2567"/>
      <c r="KWP82" s="2567"/>
      <c r="KWQ82" s="2567"/>
      <c r="KWR82" s="2567"/>
      <c r="KWS82" s="2567"/>
      <c r="KWT82" s="2567"/>
      <c r="KWU82" s="2567"/>
      <c r="KWV82" s="2567"/>
      <c r="KWW82" s="2567"/>
      <c r="KWX82" s="2567"/>
      <c r="KWY82" s="2567"/>
      <c r="KWZ82" s="2567"/>
      <c r="KXA82" s="2567"/>
      <c r="KXB82" s="2567"/>
      <c r="KXC82" s="2567"/>
      <c r="KXD82" s="2567"/>
      <c r="KXE82" s="2567"/>
      <c r="KXF82" s="2567"/>
      <c r="KXG82" s="2567"/>
      <c r="KXH82" s="2567"/>
      <c r="KXI82" s="2567"/>
      <c r="KXJ82" s="2567"/>
      <c r="KXK82" s="2567"/>
      <c r="KXL82" s="2567"/>
      <c r="KXM82" s="2567"/>
      <c r="KXN82" s="2567"/>
      <c r="KXO82" s="2567"/>
      <c r="KXP82" s="2567"/>
      <c r="KXQ82" s="2567"/>
      <c r="KXR82" s="2567"/>
      <c r="KXS82" s="2567"/>
      <c r="KXT82" s="2567"/>
      <c r="KXU82" s="2567"/>
      <c r="KXV82" s="2567"/>
      <c r="KXW82" s="2567"/>
      <c r="KXX82" s="2567"/>
      <c r="KXY82" s="2567"/>
      <c r="KXZ82" s="2567"/>
      <c r="KYA82" s="2567"/>
      <c r="KYB82" s="2567"/>
      <c r="KYC82" s="2567"/>
      <c r="KYD82" s="2567"/>
      <c r="KYE82" s="2567"/>
      <c r="KYF82" s="2567"/>
      <c r="KYG82" s="2567"/>
      <c r="KYH82" s="2567"/>
      <c r="KYI82" s="2567"/>
      <c r="KYJ82" s="2567"/>
      <c r="KYK82" s="2567"/>
      <c r="KYL82" s="2567"/>
      <c r="KYM82" s="2567"/>
      <c r="KYN82" s="2567"/>
      <c r="KYO82" s="2567"/>
      <c r="KYP82" s="2567"/>
      <c r="KYQ82" s="2567"/>
      <c r="KYR82" s="2567"/>
      <c r="KYS82" s="2567"/>
      <c r="KYT82" s="2567"/>
      <c r="KYU82" s="2567"/>
      <c r="KYV82" s="2567"/>
      <c r="KYW82" s="2567"/>
      <c r="KYX82" s="2567"/>
      <c r="KYY82" s="2567"/>
      <c r="KYZ82" s="2567"/>
      <c r="KZA82" s="2567"/>
      <c r="KZB82" s="2567"/>
      <c r="KZC82" s="2567"/>
      <c r="KZD82" s="2567"/>
      <c r="KZE82" s="2567"/>
      <c r="KZF82" s="2567"/>
      <c r="KZG82" s="2567"/>
      <c r="KZH82" s="2567"/>
      <c r="KZI82" s="2567"/>
      <c r="KZJ82" s="2567"/>
      <c r="KZK82" s="2567"/>
      <c r="KZL82" s="2567"/>
      <c r="KZM82" s="2567"/>
      <c r="KZN82" s="2567"/>
      <c r="KZO82" s="2567"/>
      <c r="KZP82" s="2567"/>
      <c r="KZQ82" s="2567"/>
      <c r="KZR82" s="2567"/>
      <c r="KZS82" s="2567"/>
      <c r="KZT82" s="2567"/>
      <c r="KZU82" s="2567"/>
      <c r="KZV82" s="2567"/>
      <c r="KZW82" s="2567"/>
      <c r="KZX82" s="2567"/>
      <c r="KZY82" s="2567"/>
      <c r="KZZ82" s="2567"/>
      <c r="LAA82" s="2567"/>
      <c r="LAB82" s="2567"/>
      <c r="LAC82" s="2567"/>
      <c r="LAD82" s="2567"/>
      <c r="LAE82" s="2567"/>
      <c r="LAF82" s="2567"/>
      <c r="LAG82" s="2567"/>
      <c r="LAH82" s="2567"/>
      <c r="LAI82" s="2567"/>
      <c r="LAJ82" s="2567"/>
      <c r="LAK82" s="2567"/>
      <c r="LAL82" s="2567"/>
      <c r="LAM82" s="2567"/>
      <c r="LAN82" s="2567"/>
      <c r="LAO82" s="2567"/>
      <c r="LAP82" s="2567"/>
      <c r="LAQ82" s="2567"/>
      <c r="LAR82" s="2567"/>
      <c r="LAS82" s="2567"/>
      <c r="LAT82" s="2567"/>
      <c r="LAU82" s="2567"/>
      <c r="LAV82" s="2567"/>
      <c r="LAW82" s="2567"/>
      <c r="LAX82" s="2567"/>
      <c r="LAY82" s="2567"/>
      <c r="LAZ82" s="2567"/>
      <c r="LBA82" s="2567"/>
      <c r="LBB82" s="2567"/>
      <c r="LBC82" s="2567"/>
      <c r="LBD82" s="2567"/>
      <c r="LBE82" s="2567"/>
      <c r="LBF82" s="2567"/>
      <c r="LBG82" s="2567"/>
      <c r="LBH82" s="2567"/>
      <c r="LBI82" s="2567"/>
      <c r="LBJ82" s="2567"/>
      <c r="LBK82" s="2567"/>
      <c r="LBL82" s="2567"/>
      <c r="LBM82" s="2567"/>
      <c r="LBN82" s="2567"/>
      <c r="LBO82" s="2567"/>
      <c r="LBP82" s="2567"/>
      <c r="LBQ82" s="2567"/>
      <c r="LBR82" s="2567"/>
      <c r="LBS82" s="2567"/>
      <c r="LBT82" s="2567"/>
      <c r="LBU82" s="2567"/>
      <c r="LBV82" s="2567"/>
      <c r="LBW82" s="2567"/>
      <c r="LBX82" s="2567"/>
      <c r="LBY82" s="2567"/>
      <c r="LBZ82" s="2567"/>
      <c r="LCA82" s="2567"/>
      <c r="LCB82" s="2567"/>
      <c r="LCC82" s="2567"/>
      <c r="LCD82" s="2567"/>
      <c r="LCE82" s="2567"/>
      <c r="LCF82" s="2567"/>
      <c r="LCG82" s="2567"/>
      <c r="LCH82" s="2567"/>
      <c r="LCI82" s="2567"/>
      <c r="LCJ82" s="2567"/>
      <c r="LCK82" s="2567"/>
      <c r="LCL82" s="2567"/>
      <c r="LCM82" s="2567"/>
      <c r="LCN82" s="2567"/>
      <c r="LCO82" s="2567"/>
      <c r="LCP82" s="2567"/>
      <c r="LCQ82" s="2567"/>
      <c r="LCR82" s="2567"/>
      <c r="LCS82" s="2567"/>
      <c r="LCT82" s="2567"/>
      <c r="LCU82" s="2567"/>
      <c r="LCV82" s="2567"/>
      <c r="LCW82" s="2567"/>
      <c r="LCX82" s="2567"/>
      <c r="LCY82" s="2567"/>
      <c r="LCZ82" s="2567"/>
      <c r="LDA82" s="2567"/>
      <c r="LDB82" s="2567"/>
      <c r="LDC82" s="2567"/>
      <c r="LDD82" s="2567"/>
      <c r="LDE82" s="2567"/>
      <c r="LDF82" s="2567"/>
      <c r="LDG82" s="2567"/>
      <c r="LDH82" s="2567"/>
      <c r="LDI82" s="2567"/>
      <c r="LDJ82" s="2567"/>
      <c r="LDK82" s="2567"/>
      <c r="LDL82" s="2567"/>
      <c r="LDM82" s="2567"/>
      <c r="LDN82" s="2567"/>
      <c r="LDO82" s="2567"/>
      <c r="LDP82" s="2567"/>
      <c r="LDQ82" s="2567"/>
      <c r="LDR82" s="2567"/>
      <c r="LDS82" s="2567"/>
      <c r="LDT82" s="2567"/>
      <c r="LDU82" s="2567"/>
      <c r="LDV82" s="2567"/>
      <c r="LDW82" s="2567"/>
      <c r="LDX82" s="2567"/>
      <c r="LDY82" s="2567"/>
      <c r="LDZ82" s="2567"/>
      <c r="LEA82" s="2567"/>
      <c r="LEB82" s="2567"/>
      <c r="LEC82" s="2567"/>
      <c r="LED82" s="2567"/>
      <c r="LEE82" s="2567"/>
      <c r="LEF82" s="2567"/>
      <c r="LEG82" s="2567"/>
      <c r="LEH82" s="2567"/>
      <c r="LEI82" s="2567"/>
      <c r="LEJ82" s="2567"/>
      <c r="LEK82" s="2567"/>
      <c r="LEL82" s="2567"/>
      <c r="LEM82" s="2567"/>
      <c r="LEN82" s="2567"/>
      <c r="LEO82" s="2567"/>
      <c r="LEP82" s="2567"/>
      <c r="LEQ82" s="2567"/>
      <c r="LER82" s="2567"/>
      <c r="LES82" s="2567"/>
      <c r="LET82" s="2567"/>
      <c r="LEU82" s="2567"/>
      <c r="LEV82" s="2567"/>
      <c r="LEW82" s="2567"/>
      <c r="LEX82" s="2567"/>
      <c r="LEY82" s="2567"/>
      <c r="LEZ82" s="2567"/>
      <c r="LFA82" s="2567"/>
      <c r="LFB82" s="2567"/>
      <c r="LFC82" s="2567"/>
      <c r="LFD82" s="2567"/>
      <c r="LFE82" s="2567"/>
      <c r="LFF82" s="2567"/>
      <c r="LFG82" s="2567"/>
      <c r="LFH82" s="2567"/>
      <c r="LFI82" s="2567"/>
      <c r="LFJ82" s="2567"/>
      <c r="LFK82" s="2567"/>
      <c r="LFL82" s="2567"/>
      <c r="LFM82" s="2567"/>
      <c r="LFN82" s="2567"/>
      <c r="LFO82" s="2567"/>
      <c r="LFP82" s="2567"/>
      <c r="LFQ82" s="2567"/>
      <c r="LFR82" s="2567"/>
      <c r="LFS82" s="2567"/>
      <c r="LFT82" s="2567"/>
      <c r="LFU82" s="2567"/>
      <c r="LFV82" s="2567"/>
      <c r="LFW82" s="2567"/>
      <c r="LFX82" s="2567"/>
      <c r="LFY82" s="2567"/>
      <c r="LFZ82" s="2567"/>
      <c r="LGA82" s="2567"/>
      <c r="LGB82" s="2567"/>
      <c r="LGC82" s="2567"/>
      <c r="LGD82" s="2567"/>
      <c r="LGE82" s="2567"/>
      <c r="LGF82" s="2567"/>
      <c r="LGG82" s="2567"/>
      <c r="LGH82" s="2567"/>
      <c r="LGI82" s="2567"/>
      <c r="LGJ82" s="2567"/>
      <c r="LGK82" s="2567"/>
      <c r="LGL82" s="2567"/>
      <c r="LGM82" s="2567"/>
      <c r="LGN82" s="2567"/>
      <c r="LGO82" s="2567"/>
      <c r="LGP82" s="2567"/>
      <c r="LGQ82" s="2567"/>
      <c r="LGR82" s="2567"/>
      <c r="LGS82" s="2567"/>
      <c r="LGT82" s="2567"/>
      <c r="LGU82" s="2567"/>
      <c r="LGV82" s="2567"/>
      <c r="LGW82" s="2567"/>
      <c r="LGX82" s="2567"/>
      <c r="LGY82" s="2567"/>
      <c r="LGZ82" s="2567"/>
      <c r="LHA82" s="2567"/>
      <c r="LHB82" s="2567"/>
      <c r="LHC82" s="2567"/>
      <c r="LHD82" s="2567"/>
      <c r="LHE82" s="2567"/>
      <c r="LHF82" s="2567"/>
      <c r="LHG82" s="2567"/>
      <c r="LHH82" s="2567"/>
      <c r="LHI82" s="2567"/>
      <c r="LHJ82" s="2567"/>
      <c r="LHK82" s="2567"/>
      <c r="LHL82" s="2567"/>
      <c r="LHM82" s="2567"/>
      <c r="LHN82" s="2567"/>
      <c r="LHO82" s="2567"/>
      <c r="LHP82" s="2567"/>
      <c r="LHQ82" s="2567"/>
      <c r="LHR82" s="2567"/>
      <c r="LHS82" s="2567"/>
      <c r="LHT82" s="2567"/>
      <c r="LHU82" s="2567"/>
      <c r="LHV82" s="2567"/>
      <c r="LHW82" s="2567"/>
      <c r="LHX82" s="2567"/>
      <c r="LHY82" s="2567"/>
      <c r="LHZ82" s="2567"/>
      <c r="LIA82" s="2567"/>
      <c r="LIB82" s="2567"/>
      <c r="LIC82" s="2567"/>
      <c r="LID82" s="2567"/>
      <c r="LIE82" s="2567"/>
      <c r="LIF82" s="2567"/>
      <c r="LIG82" s="2567"/>
      <c r="LIH82" s="2567"/>
      <c r="LII82" s="2567"/>
      <c r="LIJ82" s="2567"/>
      <c r="LIK82" s="2567"/>
      <c r="LIL82" s="2567"/>
      <c r="LIM82" s="2567"/>
      <c r="LIN82" s="2567"/>
      <c r="LIO82" s="2567"/>
      <c r="LIP82" s="2567"/>
      <c r="LIQ82" s="2567"/>
      <c r="LIR82" s="2567"/>
      <c r="LIS82" s="2567"/>
      <c r="LIT82" s="2567"/>
      <c r="LIU82" s="2567"/>
      <c r="LIV82" s="2567"/>
      <c r="LIW82" s="2567"/>
      <c r="LIX82" s="2567"/>
      <c r="LIY82" s="2567"/>
      <c r="LIZ82" s="2567"/>
      <c r="LJA82" s="2567"/>
      <c r="LJB82" s="2567"/>
      <c r="LJC82" s="2567"/>
      <c r="LJD82" s="2567"/>
      <c r="LJE82" s="2567"/>
      <c r="LJF82" s="2567"/>
      <c r="LJG82" s="2567"/>
      <c r="LJH82" s="2567"/>
      <c r="LJI82" s="2567"/>
      <c r="LJJ82" s="2567"/>
      <c r="LJK82" s="2567"/>
      <c r="LJL82" s="2567"/>
      <c r="LJM82" s="2567"/>
      <c r="LJN82" s="2567"/>
      <c r="LJO82" s="2567"/>
      <c r="LJP82" s="2567"/>
      <c r="LJQ82" s="2567"/>
      <c r="LJR82" s="2567"/>
      <c r="LJS82" s="2567"/>
      <c r="LJT82" s="2567"/>
      <c r="LJU82" s="2567"/>
      <c r="LJV82" s="2567"/>
      <c r="LJW82" s="2567"/>
      <c r="LJX82" s="2567"/>
      <c r="LJY82" s="2567"/>
      <c r="LJZ82" s="2567"/>
      <c r="LKA82" s="2567"/>
      <c r="LKB82" s="2567"/>
      <c r="LKC82" s="2567"/>
      <c r="LKD82" s="2567"/>
      <c r="LKE82" s="2567"/>
      <c r="LKF82" s="2567"/>
      <c r="LKG82" s="2567"/>
      <c r="LKH82" s="2567"/>
      <c r="LKI82" s="2567"/>
      <c r="LKJ82" s="2567"/>
      <c r="LKK82" s="2567"/>
      <c r="LKL82" s="2567"/>
      <c r="LKM82" s="2567"/>
      <c r="LKN82" s="2567"/>
      <c r="LKO82" s="2567"/>
      <c r="LKP82" s="2567"/>
      <c r="LKQ82" s="2567"/>
      <c r="LKR82" s="2567"/>
      <c r="LKS82" s="2567"/>
      <c r="LKT82" s="2567"/>
      <c r="LKU82" s="2567"/>
      <c r="LKV82" s="2567"/>
      <c r="LKW82" s="2567"/>
      <c r="LKX82" s="2567"/>
      <c r="LKY82" s="2567"/>
      <c r="LKZ82" s="2567"/>
      <c r="LLA82" s="2567"/>
      <c r="LLB82" s="2567"/>
      <c r="LLC82" s="2567"/>
      <c r="LLD82" s="2567"/>
      <c r="LLE82" s="2567"/>
      <c r="LLF82" s="2567"/>
      <c r="LLG82" s="2567"/>
      <c r="LLH82" s="2567"/>
      <c r="LLI82" s="2567"/>
      <c r="LLJ82" s="2567"/>
      <c r="LLK82" s="2567"/>
      <c r="LLL82" s="2567"/>
      <c r="LLM82" s="2567"/>
      <c r="LLN82" s="2567"/>
      <c r="LLO82" s="2567"/>
      <c r="LLP82" s="2567"/>
      <c r="LLQ82" s="2567"/>
      <c r="LLR82" s="2567"/>
      <c r="LLS82" s="2567"/>
      <c r="LLT82" s="2567"/>
      <c r="LLU82" s="2567"/>
      <c r="LLV82" s="2567"/>
      <c r="LLW82" s="2567"/>
      <c r="LLX82" s="2567"/>
      <c r="LLY82" s="2567"/>
      <c r="LLZ82" s="2567"/>
      <c r="LMA82" s="2567"/>
      <c r="LMB82" s="2567"/>
      <c r="LMC82" s="2567"/>
      <c r="LMD82" s="2567"/>
      <c r="LME82" s="2567"/>
      <c r="LMF82" s="2567"/>
      <c r="LMG82" s="2567"/>
      <c r="LMH82" s="2567"/>
      <c r="LMI82" s="2567"/>
      <c r="LMJ82" s="2567"/>
      <c r="LMK82" s="2567"/>
      <c r="LML82" s="2567"/>
      <c r="LMM82" s="2567"/>
      <c r="LMN82" s="2567"/>
      <c r="LMO82" s="2567"/>
      <c r="LMP82" s="2567"/>
      <c r="LMQ82" s="2567"/>
      <c r="LMR82" s="2567"/>
      <c r="LMS82" s="2567"/>
      <c r="LMT82" s="2567"/>
      <c r="LMU82" s="2567"/>
      <c r="LMV82" s="2567"/>
      <c r="LMW82" s="2567"/>
      <c r="LMX82" s="2567"/>
      <c r="LMY82" s="2567"/>
      <c r="LMZ82" s="2567"/>
      <c r="LNA82" s="2567"/>
      <c r="LNB82" s="2567"/>
      <c r="LNC82" s="2567"/>
      <c r="LND82" s="2567"/>
      <c r="LNE82" s="2567"/>
      <c r="LNF82" s="2567"/>
      <c r="LNG82" s="2567"/>
      <c r="LNH82" s="2567"/>
      <c r="LNI82" s="2567"/>
      <c r="LNJ82" s="2567"/>
      <c r="LNK82" s="2567"/>
      <c r="LNL82" s="2567"/>
      <c r="LNM82" s="2567"/>
      <c r="LNN82" s="2567"/>
      <c r="LNO82" s="2567"/>
      <c r="LNP82" s="2567"/>
      <c r="LNQ82" s="2567"/>
      <c r="LNR82" s="2567"/>
      <c r="LNS82" s="2567"/>
      <c r="LNT82" s="2567"/>
      <c r="LNU82" s="2567"/>
      <c r="LNV82" s="2567"/>
      <c r="LNW82" s="2567"/>
      <c r="LNX82" s="2567"/>
      <c r="LNY82" s="2567"/>
      <c r="LNZ82" s="2567"/>
      <c r="LOA82" s="2567"/>
      <c r="LOB82" s="2567"/>
      <c r="LOC82" s="2567"/>
      <c r="LOD82" s="2567"/>
      <c r="LOE82" s="2567"/>
      <c r="LOF82" s="2567"/>
      <c r="LOG82" s="2567"/>
      <c r="LOH82" s="2567"/>
      <c r="LOI82" s="2567"/>
      <c r="LOJ82" s="2567"/>
      <c r="LOK82" s="2567"/>
      <c r="LOL82" s="2567"/>
      <c r="LOM82" s="2567"/>
      <c r="LON82" s="2567"/>
      <c r="LOO82" s="2567"/>
      <c r="LOP82" s="2567"/>
      <c r="LOQ82" s="2567"/>
      <c r="LOR82" s="2567"/>
      <c r="LOS82" s="2567"/>
      <c r="LOT82" s="2567"/>
      <c r="LOU82" s="2567"/>
      <c r="LOV82" s="2567"/>
      <c r="LOW82" s="2567"/>
      <c r="LOX82" s="2567"/>
      <c r="LOY82" s="2567"/>
      <c r="LOZ82" s="2567"/>
      <c r="LPA82" s="2567"/>
      <c r="LPB82" s="2567"/>
      <c r="LPC82" s="2567"/>
      <c r="LPD82" s="2567"/>
      <c r="LPE82" s="2567"/>
      <c r="LPF82" s="2567"/>
      <c r="LPG82" s="2567"/>
      <c r="LPH82" s="2567"/>
      <c r="LPI82" s="2567"/>
      <c r="LPJ82" s="2567"/>
      <c r="LPK82" s="2567"/>
      <c r="LPL82" s="2567"/>
      <c r="LPM82" s="2567"/>
      <c r="LPN82" s="2567"/>
      <c r="LPO82" s="2567"/>
      <c r="LPP82" s="2567"/>
      <c r="LPQ82" s="2567"/>
      <c r="LPR82" s="2567"/>
      <c r="LPS82" s="2567"/>
      <c r="LPT82" s="2567"/>
      <c r="LPU82" s="2567"/>
      <c r="LPV82" s="2567"/>
      <c r="LPW82" s="2567"/>
      <c r="LPX82" s="2567"/>
      <c r="LPY82" s="2567"/>
      <c r="LPZ82" s="2567"/>
      <c r="LQA82" s="2567"/>
      <c r="LQB82" s="2567"/>
      <c r="LQC82" s="2567"/>
      <c r="LQD82" s="2567"/>
      <c r="LQE82" s="2567"/>
      <c r="LQF82" s="2567"/>
      <c r="LQG82" s="2567"/>
      <c r="LQH82" s="2567"/>
      <c r="LQI82" s="2567"/>
      <c r="LQJ82" s="2567"/>
      <c r="LQK82" s="2567"/>
      <c r="LQL82" s="2567"/>
      <c r="LQM82" s="2567"/>
      <c r="LQN82" s="2567"/>
      <c r="LQO82" s="2567"/>
      <c r="LQP82" s="2567"/>
      <c r="LQQ82" s="2567"/>
      <c r="LQR82" s="2567"/>
      <c r="LQS82" s="2567"/>
      <c r="LQT82" s="2567"/>
      <c r="LQU82" s="2567"/>
      <c r="LQV82" s="2567"/>
      <c r="LQW82" s="2567"/>
      <c r="LQX82" s="2567"/>
      <c r="LQY82" s="2567"/>
      <c r="LQZ82" s="2567"/>
      <c r="LRA82" s="2567"/>
      <c r="LRB82" s="2567"/>
      <c r="LRC82" s="2567"/>
      <c r="LRD82" s="2567"/>
      <c r="LRE82" s="2567"/>
      <c r="LRF82" s="2567"/>
      <c r="LRG82" s="2567"/>
      <c r="LRH82" s="2567"/>
      <c r="LRI82" s="2567"/>
      <c r="LRJ82" s="2567"/>
      <c r="LRK82" s="2567"/>
      <c r="LRL82" s="2567"/>
      <c r="LRM82" s="2567"/>
      <c r="LRN82" s="2567"/>
      <c r="LRO82" s="2567"/>
      <c r="LRP82" s="2567"/>
      <c r="LRQ82" s="2567"/>
      <c r="LRR82" s="2567"/>
      <c r="LRS82" s="2567"/>
      <c r="LRT82" s="2567"/>
      <c r="LRU82" s="2567"/>
      <c r="LRV82" s="2567"/>
      <c r="LRW82" s="2567"/>
      <c r="LRX82" s="2567"/>
      <c r="LRY82" s="2567"/>
      <c r="LRZ82" s="2567"/>
      <c r="LSA82" s="2567"/>
      <c r="LSB82" s="2567"/>
      <c r="LSC82" s="2567"/>
      <c r="LSD82" s="2567"/>
      <c r="LSE82" s="2567"/>
      <c r="LSF82" s="2567"/>
      <c r="LSG82" s="2567"/>
      <c r="LSH82" s="2567"/>
      <c r="LSI82" s="2567"/>
      <c r="LSJ82" s="2567"/>
      <c r="LSK82" s="2567"/>
      <c r="LSL82" s="2567"/>
      <c r="LSM82" s="2567"/>
      <c r="LSN82" s="2567"/>
      <c r="LSO82" s="2567"/>
      <c r="LSP82" s="2567"/>
      <c r="LSQ82" s="2567"/>
      <c r="LSR82" s="2567"/>
      <c r="LSS82" s="2567"/>
      <c r="LST82" s="2567"/>
      <c r="LSU82" s="2567"/>
      <c r="LSV82" s="2567"/>
      <c r="LSW82" s="2567"/>
      <c r="LSX82" s="2567"/>
      <c r="LSY82" s="2567"/>
      <c r="LSZ82" s="2567"/>
      <c r="LTA82" s="2567"/>
      <c r="LTB82" s="2567"/>
      <c r="LTC82" s="2567"/>
      <c r="LTD82" s="2567"/>
      <c r="LTE82" s="2567"/>
      <c r="LTF82" s="2567"/>
      <c r="LTG82" s="2567"/>
      <c r="LTH82" s="2567"/>
      <c r="LTI82" s="2567"/>
      <c r="LTJ82" s="2567"/>
      <c r="LTK82" s="2567"/>
      <c r="LTL82" s="2567"/>
      <c r="LTM82" s="2567"/>
      <c r="LTN82" s="2567"/>
      <c r="LTO82" s="2567"/>
      <c r="LTP82" s="2567"/>
      <c r="LTQ82" s="2567"/>
      <c r="LTR82" s="2567"/>
      <c r="LTS82" s="2567"/>
      <c r="LTT82" s="2567"/>
      <c r="LTU82" s="2567"/>
      <c r="LTV82" s="2567"/>
      <c r="LTW82" s="2567"/>
      <c r="LTX82" s="2567"/>
      <c r="LTY82" s="2567"/>
      <c r="LTZ82" s="2567"/>
      <c r="LUA82" s="2567"/>
      <c r="LUB82" s="2567"/>
      <c r="LUC82" s="2567"/>
      <c r="LUD82" s="2567"/>
      <c r="LUE82" s="2567"/>
      <c r="LUF82" s="2567"/>
      <c r="LUG82" s="2567"/>
      <c r="LUH82" s="2567"/>
      <c r="LUI82" s="2567"/>
      <c r="LUJ82" s="2567"/>
      <c r="LUK82" s="2567"/>
      <c r="LUL82" s="2567"/>
      <c r="LUM82" s="2567"/>
      <c r="LUN82" s="2567"/>
      <c r="LUO82" s="2567"/>
      <c r="LUP82" s="2567"/>
      <c r="LUQ82" s="2567"/>
      <c r="LUR82" s="2567"/>
      <c r="LUS82" s="2567"/>
      <c r="LUT82" s="2567"/>
      <c r="LUU82" s="2567"/>
      <c r="LUV82" s="2567"/>
      <c r="LUW82" s="2567"/>
      <c r="LUX82" s="2567"/>
      <c r="LUY82" s="2567"/>
      <c r="LUZ82" s="2567"/>
      <c r="LVA82" s="2567"/>
      <c r="LVB82" s="2567"/>
      <c r="LVC82" s="2567"/>
      <c r="LVD82" s="2567"/>
      <c r="LVE82" s="2567"/>
      <c r="LVF82" s="2567"/>
      <c r="LVG82" s="2567"/>
      <c r="LVH82" s="2567"/>
      <c r="LVI82" s="2567"/>
      <c r="LVJ82" s="2567"/>
      <c r="LVK82" s="2567"/>
      <c r="LVL82" s="2567"/>
      <c r="LVM82" s="2567"/>
      <c r="LVN82" s="2567"/>
      <c r="LVO82" s="2567"/>
      <c r="LVP82" s="2567"/>
      <c r="LVQ82" s="2567"/>
      <c r="LVR82" s="2567"/>
      <c r="LVS82" s="2567"/>
      <c r="LVT82" s="2567"/>
      <c r="LVU82" s="2567"/>
      <c r="LVV82" s="2567"/>
      <c r="LVW82" s="2567"/>
      <c r="LVX82" s="2567"/>
      <c r="LVY82" s="2567"/>
      <c r="LVZ82" s="2567"/>
      <c r="LWA82" s="2567"/>
      <c r="LWB82" s="2567"/>
      <c r="LWC82" s="2567"/>
      <c r="LWD82" s="2567"/>
      <c r="LWE82" s="2567"/>
      <c r="LWF82" s="2567"/>
      <c r="LWG82" s="2567"/>
      <c r="LWH82" s="2567"/>
      <c r="LWI82" s="2567"/>
      <c r="LWJ82" s="2567"/>
      <c r="LWK82" s="2567"/>
      <c r="LWL82" s="2567"/>
      <c r="LWM82" s="2567"/>
      <c r="LWN82" s="2567"/>
      <c r="LWO82" s="2567"/>
      <c r="LWP82" s="2567"/>
      <c r="LWQ82" s="2567"/>
      <c r="LWR82" s="2567"/>
      <c r="LWS82" s="2567"/>
      <c r="LWT82" s="2567"/>
      <c r="LWU82" s="2567"/>
      <c r="LWV82" s="2567"/>
      <c r="LWW82" s="2567"/>
      <c r="LWX82" s="2567"/>
      <c r="LWY82" s="2567"/>
      <c r="LWZ82" s="2567"/>
      <c r="LXA82" s="2567"/>
      <c r="LXB82" s="2567"/>
      <c r="LXC82" s="2567"/>
      <c r="LXD82" s="2567"/>
      <c r="LXE82" s="2567"/>
      <c r="LXF82" s="2567"/>
      <c r="LXG82" s="2567"/>
      <c r="LXH82" s="2567"/>
      <c r="LXI82" s="2567"/>
      <c r="LXJ82" s="2567"/>
      <c r="LXK82" s="2567"/>
      <c r="LXL82" s="2567"/>
      <c r="LXM82" s="2567"/>
      <c r="LXN82" s="2567"/>
      <c r="LXO82" s="2567"/>
      <c r="LXP82" s="2567"/>
      <c r="LXQ82" s="2567"/>
      <c r="LXR82" s="2567"/>
      <c r="LXS82" s="2567"/>
      <c r="LXT82" s="2567"/>
      <c r="LXU82" s="2567"/>
      <c r="LXV82" s="2567"/>
      <c r="LXW82" s="2567"/>
      <c r="LXX82" s="2567"/>
      <c r="LXY82" s="2567"/>
      <c r="LXZ82" s="2567"/>
      <c r="LYA82" s="2567"/>
      <c r="LYB82" s="2567"/>
      <c r="LYC82" s="2567"/>
      <c r="LYD82" s="2567"/>
      <c r="LYE82" s="2567"/>
      <c r="LYF82" s="2567"/>
      <c r="LYG82" s="2567"/>
      <c r="LYH82" s="2567"/>
      <c r="LYI82" s="2567"/>
      <c r="LYJ82" s="2567"/>
      <c r="LYK82" s="2567"/>
      <c r="LYL82" s="2567"/>
      <c r="LYM82" s="2567"/>
      <c r="LYN82" s="2567"/>
      <c r="LYO82" s="2567"/>
      <c r="LYP82" s="2567"/>
      <c r="LYQ82" s="2567"/>
      <c r="LYR82" s="2567"/>
      <c r="LYS82" s="2567"/>
      <c r="LYT82" s="2567"/>
      <c r="LYU82" s="2567"/>
      <c r="LYV82" s="2567"/>
      <c r="LYW82" s="2567"/>
      <c r="LYX82" s="2567"/>
      <c r="LYY82" s="2567"/>
      <c r="LYZ82" s="2567"/>
      <c r="LZA82" s="2567"/>
      <c r="LZB82" s="2567"/>
      <c r="LZC82" s="2567"/>
      <c r="LZD82" s="2567"/>
      <c r="LZE82" s="2567"/>
      <c r="LZF82" s="2567"/>
      <c r="LZG82" s="2567"/>
      <c r="LZH82" s="2567"/>
      <c r="LZI82" s="2567"/>
      <c r="LZJ82" s="2567"/>
      <c r="LZK82" s="2567"/>
      <c r="LZL82" s="2567"/>
      <c r="LZM82" s="2567"/>
      <c r="LZN82" s="2567"/>
      <c r="LZO82" s="2567"/>
      <c r="LZP82" s="2567"/>
      <c r="LZQ82" s="2567"/>
      <c r="LZR82" s="2567"/>
      <c r="LZS82" s="2567"/>
      <c r="LZT82" s="2567"/>
      <c r="LZU82" s="2567"/>
      <c r="LZV82" s="2567"/>
      <c r="LZW82" s="2567"/>
      <c r="LZX82" s="2567"/>
      <c r="LZY82" s="2567"/>
      <c r="LZZ82" s="2567"/>
      <c r="MAA82" s="2567"/>
      <c r="MAB82" s="2567"/>
      <c r="MAC82" s="2567"/>
      <c r="MAD82" s="2567"/>
      <c r="MAE82" s="2567"/>
      <c r="MAF82" s="2567"/>
      <c r="MAG82" s="2567"/>
      <c r="MAH82" s="2567"/>
      <c r="MAI82" s="2567"/>
      <c r="MAJ82" s="2567"/>
      <c r="MAK82" s="2567"/>
      <c r="MAL82" s="2567"/>
      <c r="MAM82" s="2567"/>
      <c r="MAN82" s="2567"/>
      <c r="MAO82" s="2567"/>
      <c r="MAP82" s="2567"/>
      <c r="MAQ82" s="2567"/>
      <c r="MAR82" s="2567"/>
      <c r="MAS82" s="2567"/>
      <c r="MAT82" s="2567"/>
      <c r="MAU82" s="2567"/>
      <c r="MAV82" s="2567"/>
      <c r="MAW82" s="2567"/>
      <c r="MAX82" s="2567"/>
      <c r="MAY82" s="2567"/>
      <c r="MAZ82" s="2567"/>
      <c r="MBA82" s="2567"/>
      <c r="MBB82" s="2567"/>
      <c r="MBC82" s="2567"/>
      <c r="MBD82" s="2567"/>
      <c r="MBE82" s="2567"/>
      <c r="MBF82" s="2567"/>
      <c r="MBG82" s="2567"/>
      <c r="MBH82" s="2567"/>
      <c r="MBI82" s="2567"/>
      <c r="MBJ82" s="2567"/>
      <c r="MBK82" s="2567"/>
      <c r="MBL82" s="2567"/>
      <c r="MBM82" s="2567"/>
      <c r="MBN82" s="2567"/>
      <c r="MBO82" s="2567"/>
      <c r="MBP82" s="2567"/>
      <c r="MBQ82" s="2567"/>
      <c r="MBR82" s="2567"/>
      <c r="MBS82" s="2567"/>
      <c r="MBT82" s="2567"/>
      <c r="MBU82" s="2567"/>
      <c r="MBV82" s="2567"/>
      <c r="MBW82" s="2567"/>
      <c r="MBX82" s="2567"/>
      <c r="MBY82" s="2567"/>
      <c r="MBZ82" s="2567"/>
      <c r="MCA82" s="2567"/>
      <c r="MCB82" s="2567"/>
      <c r="MCC82" s="2567"/>
      <c r="MCD82" s="2567"/>
      <c r="MCE82" s="2567"/>
      <c r="MCF82" s="2567"/>
      <c r="MCG82" s="2567"/>
      <c r="MCH82" s="2567"/>
      <c r="MCI82" s="2567"/>
      <c r="MCJ82" s="2567"/>
      <c r="MCK82" s="2567"/>
      <c r="MCL82" s="2567"/>
      <c r="MCM82" s="2567"/>
      <c r="MCN82" s="2567"/>
      <c r="MCO82" s="2567"/>
      <c r="MCP82" s="2567"/>
      <c r="MCQ82" s="2567"/>
      <c r="MCR82" s="2567"/>
      <c r="MCS82" s="2567"/>
      <c r="MCT82" s="2567"/>
      <c r="MCU82" s="2567"/>
      <c r="MCV82" s="2567"/>
      <c r="MCW82" s="2567"/>
      <c r="MCX82" s="2567"/>
      <c r="MCY82" s="2567"/>
      <c r="MCZ82" s="2567"/>
      <c r="MDA82" s="2567"/>
      <c r="MDB82" s="2567"/>
      <c r="MDC82" s="2567"/>
      <c r="MDD82" s="2567"/>
      <c r="MDE82" s="2567"/>
      <c r="MDF82" s="2567"/>
      <c r="MDG82" s="2567"/>
      <c r="MDH82" s="2567"/>
      <c r="MDI82" s="2567"/>
      <c r="MDJ82" s="2567"/>
      <c r="MDK82" s="2567"/>
      <c r="MDL82" s="2567"/>
      <c r="MDM82" s="2567"/>
      <c r="MDN82" s="2567"/>
      <c r="MDO82" s="2567"/>
      <c r="MDP82" s="2567"/>
      <c r="MDQ82" s="2567"/>
      <c r="MDR82" s="2567"/>
      <c r="MDS82" s="2567"/>
      <c r="MDT82" s="2567"/>
      <c r="MDU82" s="2567"/>
      <c r="MDV82" s="2567"/>
      <c r="MDW82" s="2567"/>
      <c r="MDX82" s="2567"/>
      <c r="MDY82" s="2567"/>
      <c r="MDZ82" s="2567"/>
      <c r="MEA82" s="2567"/>
      <c r="MEB82" s="2567"/>
      <c r="MEC82" s="2567"/>
      <c r="MED82" s="2567"/>
      <c r="MEE82" s="2567"/>
      <c r="MEF82" s="2567"/>
      <c r="MEG82" s="2567"/>
      <c r="MEH82" s="2567"/>
      <c r="MEI82" s="2567"/>
      <c r="MEJ82" s="2567"/>
      <c r="MEK82" s="2567"/>
      <c r="MEL82" s="2567"/>
      <c r="MEM82" s="2567"/>
      <c r="MEN82" s="2567"/>
      <c r="MEO82" s="2567"/>
      <c r="MEP82" s="2567"/>
      <c r="MEQ82" s="2567"/>
      <c r="MER82" s="2567"/>
      <c r="MES82" s="2567"/>
      <c r="MET82" s="2567"/>
      <c r="MEU82" s="2567"/>
      <c r="MEV82" s="2567"/>
      <c r="MEW82" s="2567"/>
      <c r="MEX82" s="2567"/>
      <c r="MEY82" s="2567"/>
      <c r="MEZ82" s="2567"/>
      <c r="MFA82" s="2567"/>
      <c r="MFB82" s="2567"/>
      <c r="MFC82" s="2567"/>
      <c r="MFD82" s="2567"/>
      <c r="MFE82" s="2567"/>
      <c r="MFF82" s="2567"/>
      <c r="MFG82" s="2567"/>
      <c r="MFH82" s="2567"/>
      <c r="MFI82" s="2567"/>
      <c r="MFJ82" s="2567"/>
      <c r="MFK82" s="2567"/>
      <c r="MFL82" s="2567"/>
      <c r="MFM82" s="2567"/>
      <c r="MFN82" s="2567"/>
      <c r="MFO82" s="2567"/>
      <c r="MFP82" s="2567"/>
      <c r="MFQ82" s="2567"/>
      <c r="MFR82" s="2567"/>
      <c r="MFS82" s="2567"/>
      <c r="MFT82" s="2567"/>
      <c r="MFU82" s="2567"/>
      <c r="MFV82" s="2567"/>
      <c r="MFW82" s="2567"/>
      <c r="MFX82" s="2567"/>
      <c r="MFY82" s="2567"/>
      <c r="MFZ82" s="2567"/>
      <c r="MGA82" s="2567"/>
      <c r="MGB82" s="2567"/>
      <c r="MGC82" s="2567"/>
      <c r="MGD82" s="2567"/>
      <c r="MGE82" s="2567"/>
      <c r="MGF82" s="2567"/>
      <c r="MGG82" s="2567"/>
      <c r="MGH82" s="2567"/>
      <c r="MGI82" s="2567"/>
      <c r="MGJ82" s="2567"/>
      <c r="MGK82" s="2567"/>
      <c r="MGL82" s="2567"/>
      <c r="MGM82" s="2567"/>
      <c r="MGN82" s="2567"/>
      <c r="MGO82" s="2567"/>
      <c r="MGP82" s="2567"/>
      <c r="MGQ82" s="2567"/>
      <c r="MGR82" s="2567"/>
      <c r="MGS82" s="2567"/>
      <c r="MGT82" s="2567"/>
      <c r="MGU82" s="2567"/>
      <c r="MGV82" s="2567"/>
      <c r="MGW82" s="2567"/>
      <c r="MGX82" s="2567"/>
      <c r="MGY82" s="2567"/>
      <c r="MGZ82" s="2567"/>
      <c r="MHA82" s="2567"/>
      <c r="MHB82" s="2567"/>
      <c r="MHC82" s="2567"/>
      <c r="MHD82" s="2567"/>
      <c r="MHE82" s="2567"/>
      <c r="MHF82" s="2567"/>
      <c r="MHG82" s="2567"/>
      <c r="MHH82" s="2567"/>
      <c r="MHI82" s="2567"/>
      <c r="MHJ82" s="2567"/>
      <c r="MHK82" s="2567"/>
      <c r="MHL82" s="2567"/>
      <c r="MHM82" s="2567"/>
      <c r="MHN82" s="2567"/>
      <c r="MHO82" s="2567"/>
      <c r="MHP82" s="2567"/>
      <c r="MHQ82" s="2567"/>
      <c r="MHR82" s="2567"/>
      <c r="MHS82" s="2567"/>
      <c r="MHT82" s="2567"/>
      <c r="MHU82" s="2567"/>
      <c r="MHV82" s="2567"/>
      <c r="MHW82" s="2567"/>
      <c r="MHX82" s="2567"/>
      <c r="MHY82" s="2567"/>
      <c r="MHZ82" s="2567"/>
      <c r="MIA82" s="2567"/>
      <c r="MIB82" s="2567"/>
      <c r="MIC82" s="2567"/>
      <c r="MID82" s="2567"/>
      <c r="MIE82" s="2567"/>
      <c r="MIF82" s="2567"/>
      <c r="MIG82" s="2567"/>
      <c r="MIH82" s="2567"/>
      <c r="MII82" s="2567"/>
      <c r="MIJ82" s="2567"/>
      <c r="MIK82" s="2567"/>
      <c r="MIL82" s="2567"/>
      <c r="MIM82" s="2567"/>
      <c r="MIN82" s="2567"/>
      <c r="MIO82" s="2567"/>
      <c r="MIP82" s="2567"/>
      <c r="MIQ82" s="2567"/>
      <c r="MIR82" s="2567"/>
      <c r="MIS82" s="2567"/>
      <c r="MIT82" s="2567"/>
      <c r="MIU82" s="2567"/>
      <c r="MIV82" s="2567"/>
      <c r="MIW82" s="2567"/>
      <c r="MIX82" s="2567"/>
      <c r="MIY82" s="2567"/>
      <c r="MIZ82" s="2567"/>
      <c r="MJA82" s="2567"/>
      <c r="MJB82" s="2567"/>
      <c r="MJC82" s="2567"/>
      <c r="MJD82" s="2567"/>
      <c r="MJE82" s="2567"/>
      <c r="MJF82" s="2567"/>
      <c r="MJG82" s="2567"/>
      <c r="MJH82" s="2567"/>
      <c r="MJI82" s="2567"/>
      <c r="MJJ82" s="2567"/>
      <c r="MJK82" s="2567"/>
      <c r="MJL82" s="2567"/>
      <c r="MJM82" s="2567"/>
      <c r="MJN82" s="2567"/>
      <c r="MJO82" s="2567"/>
      <c r="MJP82" s="2567"/>
      <c r="MJQ82" s="2567"/>
      <c r="MJR82" s="2567"/>
      <c r="MJS82" s="2567"/>
      <c r="MJT82" s="2567"/>
      <c r="MJU82" s="2567"/>
      <c r="MJV82" s="2567"/>
      <c r="MJW82" s="2567"/>
      <c r="MJX82" s="2567"/>
      <c r="MJY82" s="2567"/>
      <c r="MJZ82" s="2567"/>
      <c r="MKA82" s="2567"/>
      <c r="MKB82" s="2567"/>
      <c r="MKC82" s="2567"/>
      <c r="MKD82" s="2567"/>
      <c r="MKE82" s="2567"/>
      <c r="MKF82" s="2567"/>
      <c r="MKG82" s="2567"/>
      <c r="MKH82" s="2567"/>
      <c r="MKI82" s="2567"/>
      <c r="MKJ82" s="2567"/>
      <c r="MKK82" s="2567"/>
      <c r="MKL82" s="2567"/>
      <c r="MKM82" s="2567"/>
      <c r="MKN82" s="2567"/>
      <c r="MKO82" s="2567"/>
      <c r="MKP82" s="2567"/>
      <c r="MKQ82" s="2567"/>
      <c r="MKR82" s="2567"/>
      <c r="MKS82" s="2567"/>
      <c r="MKT82" s="2567"/>
      <c r="MKU82" s="2567"/>
      <c r="MKV82" s="2567"/>
      <c r="MKW82" s="2567"/>
      <c r="MKX82" s="2567"/>
      <c r="MKY82" s="2567"/>
      <c r="MKZ82" s="2567"/>
      <c r="MLA82" s="2567"/>
      <c r="MLB82" s="2567"/>
      <c r="MLC82" s="2567"/>
      <c r="MLD82" s="2567"/>
      <c r="MLE82" s="2567"/>
      <c r="MLF82" s="2567"/>
      <c r="MLG82" s="2567"/>
      <c r="MLH82" s="2567"/>
      <c r="MLI82" s="2567"/>
      <c r="MLJ82" s="2567"/>
      <c r="MLK82" s="2567"/>
      <c r="MLL82" s="2567"/>
      <c r="MLM82" s="2567"/>
      <c r="MLN82" s="2567"/>
      <c r="MLO82" s="2567"/>
      <c r="MLP82" s="2567"/>
      <c r="MLQ82" s="2567"/>
      <c r="MLR82" s="2567"/>
      <c r="MLS82" s="2567"/>
      <c r="MLT82" s="2567"/>
      <c r="MLU82" s="2567"/>
      <c r="MLV82" s="2567"/>
      <c r="MLW82" s="2567"/>
      <c r="MLX82" s="2567"/>
      <c r="MLY82" s="2567"/>
      <c r="MLZ82" s="2567"/>
      <c r="MMA82" s="2567"/>
      <c r="MMB82" s="2567"/>
      <c r="MMC82" s="2567"/>
      <c r="MMD82" s="2567"/>
      <c r="MME82" s="2567"/>
      <c r="MMF82" s="2567"/>
      <c r="MMG82" s="2567"/>
      <c r="MMH82" s="2567"/>
      <c r="MMI82" s="2567"/>
      <c r="MMJ82" s="2567"/>
      <c r="MMK82" s="2567"/>
      <c r="MML82" s="2567"/>
      <c r="MMM82" s="2567"/>
      <c r="MMN82" s="2567"/>
      <c r="MMO82" s="2567"/>
      <c r="MMP82" s="2567"/>
      <c r="MMQ82" s="2567"/>
      <c r="MMR82" s="2567"/>
      <c r="MMS82" s="2567"/>
      <c r="MMT82" s="2567"/>
      <c r="MMU82" s="2567"/>
      <c r="MMV82" s="2567"/>
      <c r="MMW82" s="2567"/>
      <c r="MMX82" s="2567"/>
      <c r="MMY82" s="2567"/>
      <c r="MMZ82" s="2567"/>
      <c r="MNA82" s="2567"/>
      <c r="MNB82" s="2567"/>
      <c r="MNC82" s="2567"/>
      <c r="MND82" s="2567"/>
      <c r="MNE82" s="2567"/>
      <c r="MNF82" s="2567"/>
      <c r="MNG82" s="2567"/>
      <c r="MNH82" s="2567"/>
      <c r="MNI82" s="2567"/>
      <c r="MNJ82" s="2567"/>
      <c r="MNK82" s="2567"/>
      <c r="MNL82" s="2567"/>
      <c r="MNM82" s="2567"/>
      <c r="MNN82" s="2567"/>
      <c r="MNO82" s="2567"/>
      <c r="MNP82" s="2567"/>
      <c r="MNQ82" s="2567"/>
      <c r="MNR82" s="2567"/>
      <c r="MNS82" s="2567"/>
      <c r="MNT82" s="2567"/>
      <c r="MNU82" s="2567"/>
      <c r="MNV82" s="2567"/>
      <c r="MNW82" s="2567"/>
      <c r="MNX82" s="2567"/>
      <c r="MNY82" s="2567"/>
      <c r="MNZ82" s="2567"/>
      <c r="MOA82" s="2567"/>
      <c r="MOB82" s="2567"/>
      <c r="MOC82" s="2567"/>
      <c r="MOD82" s="2567"/>
      <c r="MOE82" s="2567"/>
      <c r="MOF82" s="2567"/>
      <c r="MOG82" s="2567"/>
      <c r="MOH82" s="2567"/>
      <c r="MOI82" s="2567"/>
      <c r="MOJ82" s="2567"/>
      <c r="MOK82" s="2567"/>
      <c r="MOL82" s="2567"/>
      <c r="MOM82" s="2567"/>
      <c r="MON82" s="2567"/>
      <c r="MOO82" s="2567"/>
      <c r="MOP82" s="2567"/>
      <c r="MOQ82" s="2567"/>
      <c r="MOR82" s="2567"/>
      <c r="MOS82" s="2567"/>
      <c r="MOT82" s="2567"/>
      <c r="MOU82" s="2567"/>
      <c r="MOV82" s="2567"/>
      <c r="MOW82" s="2567"/>
      <c r="MOX82" s="2567"/>
      <c r="MOY82" s="2567"/>
      <c r="MOZ82" s="2567"/>
      <c r="MPA82" s="2567"/>
      <c r="MPB82" s="2567"/>
      <c r="MPC82" s="2567"/>
      <c r="MPD82" s="2567"/>
      <c r="MPE82" s="2567"/>
      <c r="MPF82" s="2567"/>
      <c r="MPG82" s="2567"/>
      <c r="MPH82" s="2567"/>
      <c r="MPI82" s="2567"/>
      <c r="MPJ82" s="2567"/>
      <c r="MPK82" s="2567"/>
      <c r="MPL82" s="2567"/>
      <c r="MPM82" s="2567"/>
      <c r="MPN82" s="2567"/>
      <c r="MPO82" s="2567"/>
      <c r="MPP82" s="2567"/>
      <c r="MPQ82" s="2567"/>
      <c r="MPR82" s="2567"/>
      <c r="MPS82" s="2567"/>
      <c r="MPT82" s="2567"/>
      <c r="MPU82" s="2567"/>
      <c r="MPV82" s="2567"/>
      <c r="MPW82" s="2567"/>
      <c r="MPX82" s="2567"/>
      <c r="MPY82" s="2567"/>
      <c r="MPZ82" s="2567"/>
      <c r="MQA82" s="2567"/>
      <c r="MQB82" s="2567"/>
      <c r="MQC82" s="2567"/>
      <c r="MQD82" s="2567"/>
      <c r="MQE82" s="2567"/>
      <c r="MQF82" s="2567"/>
      <c r="MQG82" s="2567"/>
      <c r="MQH82" s="2567"/>
      <c r="MQI82" s="2567"/>
      <c r="MQJ82" s="2567"/>
      <c r="MQK82" s="2567"/>
      <c r="MQL82" s="2567"/>
      <c r="MQM82" s="2567"/>
      <c r="MQN82" s="2567"/>
      <c r="MQO82" s="2567"/>
      <c r="MQP82" s="2567"/>
      <c r="MQQ82" s="2567"/>
      <c r="MQR82" s="2567"/>
      <c r="MQS82" s="2567"/>
      <c r="MQT82" s="2567"/>
      <c r="MQU82" s="2567"/>
      <c r="MQV82" s="2567"/>
      <c r="MQW82" s="2567"/>
      <c r="MQX82" s="2567"/>
      <c r="MQY82" s="2567"/>
      <c r="MQZ82" s="2567"/>
      <c r="MRA82" s="2567"/>
      <c r="MRB82" s="2567"/>
      <c r="MRC82" s="2567"/>
      <c r="MRD82" s="2567"/>
      <c r="MRE82" s="2567"/>
      <c r="MRF82" s="2567"/>
      <c r="MRG82" s="2567"/>
      <c r="MRH82" s="2567"/>
      <c r="MRI82" s="2567"/>
      <c r="MRJ82" s="2567"/>
      <c r="MRK82" s="2567"/>
      <c r="MRL82" s="2567"/>
      <c r="MRM82" s="2567"/>
      <c r="MRN82" s="2567"/>
      <c r="MRO82" s="2567"/>
      <c r="MRP82" s="2567"/>
      <c r="MRQ82" s="2567"/>
      <c r="MRR82" s="2567"/>
      <c r="MRS82" s="2567"/>
      <c r="MRT82" s="2567"/>
      <c r="MRU82" s="2567"/>
      <c r="MRV82" s="2567"/>
      <c r="MRW82" s="2567"/>
      <c r="MRX82" s="2567"/>
      <c r="MRY82" s="2567"/>
      <c r="MRZ82" s="2567"/>
      <c r="MSA82" s="2567"/>
      <c r="MSB82" s="2567"/>
      <c r="MSC82" s="2567"/>
      <c r="MSD82" s="2567"/>
      <c r="MSE82" s="2567"/>
      <c r="MSF82" s="2567"/>
      <c r="MSG82" s="2567"/>
      <c r="MSH82" s="2567"/>
      <c r="MSI82" s="2567"/>
      <c r="MSJ82" s="2567"/>
      <c r="MSK82" s="2567"/>
      <c r="MSL82" s="2567"/>
      <c r="MSM82" s="2567"/>
      <c r="MSN82" s="2567"/>
      <c r="MSO82" s="2567"/>
      <c r="MSP82" s="2567"/>
      <c r="MSQ82" s="2567"/>
      <c r="MSR82" s="2567"/>
      <c r="MSS82" s="2567"/>
      <c r="MST82" s="2567"/>
      <c r="MSU82" s="2567"/>
      <c r="MSV82" s="2567"/>
      <c r="MSW82" s="2567"/>
      <c r="MSX82" s="2567"/>
      <c r="MSY82" s="2567"/>
      <c r="MSZ82" s="2567"/>
      <c r="MTA82" s="2567"/>
      <c r="MTB82" s="2567"/>
      <c r="MTC82" s="2567"/>
      <c r="MTD82" s="2567"/>
      <c r="MTE82" s="2567"/>
      <c r="MTF82" s="2567"/>
      <c r="MTG82" s="2567"/>
      <c r="MTH82" s="2567"/>
      <c r="MTI82" s="2567"/>
      <c r="MTJ82" s="2567"/>
      <c r="MTK82" s="2567"/>
      <c r="MTL82" s="2567"/>
      <c r="MTM82" s="2567"/>
      <c r="MTN82" s="2567"/>
      <c r="MTO82" s="2567"/>
      <c r="MTP82" s="2567"/>
      <c r="MTQ82" s="2567"/>
      <c r="MTR82" s="2567"/>
      <c r="MTS82" s="2567"/>
      <c r="MTT82" s="2567"/>
      <c r="MTU82" s="2567"/>
      <c r="MTV82" s="2567"/>
      <c r="MTW82" s="2567"/>
      <c r="MTX82" s="2567"/>
      <c r="MTY82" s="2567"/>
      <c r="MTZ82" s="2567"/>
      <c r="MUA82" s="2567"/>
      <c r="MUB82" s="2567"/>
      <c r="MUC82" s="2567"/>
      <c r="MUD82" s="2567"/>
      <c r="MUE82" s="2567"/>
      <c r="MUF82" s="2567"/>
      <c r="MUG82" s="2567"/>
      <c r="MUH82" s="2567"/>
      <c r="MUI82" s="2567"/>
      <c r="MUJ82" s="2567"/>
      <c r="MUK82" s="2567"/>
      <c r="MUL82" s="2567"/>
      <c r="MUM82" s="2567"/>
      <c r="MUN82" s="2567"/>
      <c r="MUO82" s="2567"/>
      <c r="MUP82" s="2567"/>
      <c r="MUQ82" s="2567"/>
      <c r="MUR82" s="2567"/>
      <c r="MUS82" s="2567"/>
      <c r="MUT82" s="2567"/>
      <c r="MUU82" s="2567"/>
      <c r="MUV82" s="2567"/>
      <c r="MUW82" s="2567"/>
      <c r="MUX82" s="2567"/>
      <c r="MUY82" s="2567"/>
      <c r="MUZ82" s="2567"/>
      <c r="MVA82" s="2567"/>
      <c r="MVB82" s="2567"/>
      <c r="MVC82" s="2567"/>
      <c r="MVD82" s="2567"/>
      <c r="MVE82" s="2567"/>
      <c r="MVF82" s="2567"/>
      <c r="MVG82" s="2567"/>
      <c r="MVH82" s="2567"/>
      <c r="MVI82" s="2567"/>
      <c r="MVJ82" s="2567"/>
      <c r="MVK82" s="2567"/>
      <c r="MVL82" s="2567"/>
      <c r="MVM82" s="2567"/>
      <c r="MVN82" s="2567"/>
      <c r="MVO82" s="2567"/>
      <c r="MVP82" s="2567"/>
      <c r="MVQ82" s="2567"/>
      <c r="MVR82" s="2567"/>
      <c r="MVS82" s="2567"/>
      <c r="MVT82" s="2567"/>
      <c r="MVU82" s="2567"/>
      <c r="MVV82" s="2567"/>
      <c r="MVW82" s="2567"/>
      <c r="MVX82" s="2567"/>
      <c r="MVY82" s="2567"/>
      <c r="MVZ82" s="2567"/>
      <c r="MWA82" s="2567"/>
      <c r="MWB82" s="2567"/>
      <c r="MWC82" s="2567"/>
      <c r="MWD82" s="2567"/>
      <c r="MWE82" s="2567"/>
      <c r="MWF82" s="2567"/>
      <c r="MWG82" s="2567"/>
      <c r="MWH82" s="2567"/>
      <c r="MWI82" s="2567"/>
      <c r="MWJ82" s="2567"/>
      <c r="MWK82" s="2567"/>
      <c r="MWL82" s="2567"/>
      <c r="MWM82" s="2567"/>
      <c r="MWN82" s="2567"/>
      <c r="MWO82" s="2567"/>
      <c r="MWP82" s="2567"/>
      <c r="MWQ82" s="2567"/>
      <c r="MWR82" s="2567"/>
      <c r="MWS82" s="2567"/>
      <c r="MWT82" s="2567"/>
      <c r="MWU82" s="2567"/>
      <c r="MWV82" s="2567"/>
      <c r="MWW82" s="2567"/>
      <c r="MWX82" s="2567"/>
      <c r="MWY82" s="2567"/>
      <c r="MWZ82" s="2567"/>
      <c r="MXA82" s="2567"/>
      <c r="MXB82" s="2567"/>
      <c r="MXC82" s="2567"/>
      <c r="MXD82" s="2567"/>
      <c r="MXE82" s="2567"/>
      <c r="MXF82" s="2567"/>
      <c r="MXG82" s="2567"/>
      <c r="MXH82" s="2567"/>
      <c r="MXI82" s="2567"/>
      <c r="MXJ82" s="2567"/>
      <c r="MXK82" s="2567"/>
      <c r="MXL82" s="2567"/>
      <c r="MXM82" s="2567"/>
      <c r="MXN82" s="2567"/>
      <c r="MXO82" s="2567"/>
      <c r="MXP82" s="2567"/>
      <c r="MXQ82" s="2567"/>
      <c r="MXR82" s="2567"/>
      <c r="MXS82" s="2567"/>
      <c r="MXT82" s="2567"/>
      <c r="MXU82" s="2567"/>
      <c r="MXV82" s="2567"/>
      <c r="MXW82" s="2567"/>
      <c r="MXX82" s="2567"/>
      <c r="MXY82" s="2567"/>
      <c r="MXZ82" s="2567"/>
      <c r="MYA82" s="2567"/>
      <c r="MYB82" s="2567"/>
      <c r="MYC82" s="2567"/>
      <c r="MYD82" s="2567"/>
      <c r="MYE82" s="2567"/>
      <c r="MYF82" s="2567"/>
      <c r="MYG82" s="2567"/>
      <c r="MYH82" s="2567"/>
      <c r="MYI82" s="2567"/>
      <c r="MYJ82" s="2567"/>
      <c r="MYK82" s="2567"/>
      <c r="MYL82" s="2567"/>
      <c r="MYM82" s="2567"/>
      <c r="MYN82" s="2567"/>
      <c r="MYO82" s="2567"/>
      <c r="MYP82" s="2567"/>
      <c r="MYQ82" s="2567"/>
      <c r="MYR82" s="2567"/>
      <c r="MYS82" s="2567"/>
      <c r="MYT82" s="2567"/>
      <c r="MYU82" s="2567"/>
      <c r="MYV82" s="2567"/>
      <c r="MYW82" s="2567"/>
      <c r="MYX82" s="2567"/>
      <c r="MYY82" s="2567"/>
      <c r="MYZ82" s="2567"/>
      <c r="MZA82" s="2567"/>
      <c r="MZB82" s="2567"/>
      <c r="MZC82" s="2567"/>
      <c r="MZD82" s="2567"/>
      <c r="MZE82" s="2567"/>
      <c r="MZF82" s="2567"/>
      <c r="MZG82" s="2567"/>
      <c r="MZH82" s="2567"/>
      <c r="MZI82" s="2567"/>
      <c r="MZJ82" s="2567"/>
      <c r="MZK82" s="2567"/>
      <c r="MZL82" s="2567"/>
      <c r="MZM82" s="2567"/>
      <c r="MZN82" s="2567"/>
      <c r="MZO82" s="2567"/>
      <c r="MZP82" s="2567"/>
      <c r="MZQ82" s="2567"/>
      <c r="MZR82" s="2567"/>
      <c r="MZS82" s="2567"/>
      <c r="MZT82" s="2567"/>
      <c r="MZU82" s="2567"/>
      <c r="MZV82" s="2567"/>
      <c r="MZW82" s="2567"/>
      <c r="MZX82" s="2567"/>
      <c r="MZY82" s="2567"/>
      <c r="MZZ82" s="2567"/>
      <c r="NAA82" s="2567"/>
      <c r="NAB82" s="2567"/>
      <c r="NAC82" s="2567"/>
      <c r="NAD82" s="2567"/>
      <c r="NAE82" s="2567"/>
      <c r="NAF82" s="2567"/>
      <c r="NAG82" s="2567"/>
      <c r="NAH82" s="2567"/>
      <c r="NAI82" s="2567"/>
      <c r="NAJ82" s="2567"/>
      <c r="NAK82" s="2567"/>
      <c r="NAL82" s="2567"/>
      <c r="NAM82" s="2567"/>
      <c r="NAN82" s="2567"/>
      <c r="NAO82" s="2567"/>
      <c r="NAP82" s="2567"/>
      <c r="NAQ82" s="2567"/>
      <c r="NAR82" s="2567"/>
      <c r="NAS82" s="2567"/>
      <c r="NAT82" s="2567"/>
      <c r="NAU82" s="2567"/>
      <c r="NAV82" s="2567"/>
      <c r="NAW82" s="2567"/>
      <c r="NAX82" s="2567"/>
      <c r="NAY82" s="2567"/>
      <c r="NAZ82" s="2567"/>
      <c r="NBA82" s="2567"/>
      <c r="NBB82" s="2567"/>
      <c r="NBC82" s="2567"/>
      <c r="NBD82" s="2567"/>
      <c r="NBE82" s="2567"/>
      <c r="NBF82" s="2567"/>
      <c r="NBG82" s="2567"/>
      <c r="NBH82" s="2567"/>
      <c r="NBI82" s="2567"/>
      <c r="NBJ82" s="2567"/>
      <c r="NBK82" s="2567"/>
      <c r="NBL82" s="2567"/>
      <c r="NBM82" s="2567"/>
      <c r="NBN82" s="2567"/>
      <c r="NBO82" s="2567"/>
      <c r="NBP82" s="2567"/>
      <c r="NBQ82" s="2567"/>
      <c r="NBR82" s="2567"/>
      <c r="NBS82" s="2567"/>
      <c r="NBT82" s="2567"/>
      <c r="NBU82" s="2567"/>
      <c r="NBV82" s="2567"/>
      <c r="NBW82" s="2567"/>
      <c r="NBX82" s="2567"/>
      <c r="NBY82" s="2567"/>
      <c r="NBZ82" s="2567"/>
      <c r="NCA82" s="2567"/>
      <c r="NCB82" s="2567"/>
      <c r="NCC82" s="2567"/>
      <c r="NCD82" s="2567"/>
      <c r="NCE82" s="2567"/>
      <c r="NCF82" s="2567"/>
      <c r="NCG82" s="2567"/>
      <c r="NCH82" s="2567"/>
      <c r="NCI82" s="2567"/>
      <c r="NCJ82" s="2567"/>
      <c r="NCK82" s="2567"/>
      <c r="NCL82" s="2567"/>
      <c r="NCM82" s="2567"/>
      <c r="NCN82" s="2567"/>
      <c r="NCO82" s="2567"/>
      <c r="NCP82" s="2567"/>
      <c r="NCQ82" s="2567"/>
      <c r="NCR82" s="2567"/>
      <c r="NCS82" s="2567"/>
      <c r="NCT82" s="2567"/>
      <c r="NCU82" s="2567"/>
      <c r="NCV82" s="2567"/>
      <c r="NCW82" s="2567"/>
      <c r="NCX82" s="2567"/>
      <c r="NCY82" s="2567"/>
      <c r="NCZ82" s="2567"/>
      <c r="NDA82" s="2567"/>
      <c r="NDB82" s="2567"/>
      <c r="NDC82" s="2567"/>
      <c r="NDD82" s="2567"/>
      <c r="NDE82" s="2567"/>
      <c r="NDF82" s="2567"/>
      <c r="NDG82" s="2567"/>
      <c r="NDH82" s="2567"/>
      <c r="NDI82" s="2567"/>
      <c r="NDJ82" s="2567"/>
      <c r="NDK82" s="2567"/>
      <c r="NDL82" s="2567"/>
      <c r="NDM82" s="2567"/>
      <c r="NDN82" s="2567"/>
      <c r="NDO82" s="2567"/>
      <c r="NDP82" s="2567"/>
      <c r="NDQ82" s="2567"/>
      <c r="NDR82" s="2567"/>
      <c r="NDS82" s="2567"/>
      <c r="NDT82" s="2567"/>
      <c r="NDU82" s="2567"/>
      <c r="NDV82" s="2567"/>
      <c r="NDW82" s="2567"/>
      <c r="NDX82" s="2567"/>
      <c r="NDY82" s="2567"/>
      <c r="NDZ82" s="2567"/>
      <c r="NEA82" s="2567"/>
      <c r="NEB82" s="2567"/>
      <c r="NEC82" s="2567"/>
      <c r="NED82" s="2567"/>
      <c r="NEE82" s="2567"/>
      <c r="NEF82" s="2567"/>
      <c r="NEG82" s="2567"/>
      <c r="NEH82" s="2567"/>
      <c r="NEI82" s="2567"/>
      <c r="NEJ82" s="2567"/>
      <c r="NEK82" s="2567"/>
      <c r="NEL82" s="2567"/>
      <c r="NEM82" s="2567"/>
      <c r="NEN82" s="2567"/>
      <c r="NEO82" s="2567"/>
      <c r="NEP82" s="2567"/>
      <c r="NEQ82" s="2567"/>
      <c r="NER82" s="2567"/>
      <c r="NES82" s="2567"/>
      <c r="NET82" s="2567"/>
      <c r="NEU82" s="2567"/>
      <c r="NEV82" s="2567"/>
      <c r="NEW82" s="2567"/>
      <c r="NEX82" s="2567"/>
      <c r="NEY82" s="2567"/>
      <c r="NEZ82" s="2567"/>
      <c r="NFA82" s="2567"/>
      <c r="NFB82" s="2567"/>
      <c r="NFC82" s="2567"/>
      <c r="NFD82" s="2567"/>
      <c r="NFE82" s="2567"/>
      <c r="NFF82" s="2567"/>
      <c r="NFG82" s="2567"/>
      <c r="NFH82" s="2567"/>
      <c r="NFI82" s="2567"/>
      <c r="NFJ82" s="2567"/>
      <c r="NFK82" s="2567"/>
      <c r="NFL82" s="2567"/>
      <c r="NFM82" s="2567"/>
      <c r="NFN82" s="2567"/>
      <c r="NFO82" s="2567"/>
      <c r="NFP82" s="2567"/>
      <c r="NFQ82" s="2567"/>
      <c r="NFR82" s="2567"/>
      <c r="NFS82" s="2567"/>
      <c r="NFT82" s="2567"/>
      <c r="NFU82" s="2567"/>
      <c r="NFV82" s="2567"/>
      <c r="NFW82" s="2567"/>
      <c r="NFX82" s="2567"/>
      <c r="NFY82" s="2567"/>
      <c r="NFZ82" s="2567"/>
      <c r="NGA82" s="2567"/>
      <c r="NGB82" s="2567"/>
      <c r="NGC82" s="2567"/>
      <c r="NGD82" s="2567"/>
      <c r="NGE82" s="2567"/>
      <c r="NGF82" s="2567"/>
      <c r="NGG82" s="2567"/>
      <c r="NGH82" s="2567"/>
      <c r="NGI82" s="2567"/>
      <c r="NGJ82" s="2567"/>
      <c r="NGK82" s="2567"/>
      <c r="NGL82" s="2567"/>
      <c r="NGM82" s="2567"/>
      <c r="NGN82" s="2567"/>
      <c r="NGO82" s="2567"/>
      <c r="NGP82" s="2567"/>
      <c r="NGQ82" s="2567"/>
      <c r="NGR82" s="2567"/>
      <c r="NGS82" s="2567"/>
      <c r="NGT82" s="2567"/>
      <c r="NGU82" s="2567"/>
      <c r="NGV82" s="2567"/>
      <c r="NGW82" s="2567"/>
      <c r="NGX82" s="2567"/>
      <c r="NGY82" s="2567"/>
      <c r="NGZ82" s="2567"/>
      <c r="NHA82" s="2567"/>
      <c r="NHB82" s="2567"/>
      <c r="NHC82" s="2567"/>
      <c r="NHD82" s="2567"/>
      <c r="NHE82" s="2567"/>
      <c r="NHF82" s="2567"/>
      <c r="NHG82" s="2567"/>
      <c r="NHH82" s="2567"/>
      <c r="NHI82" s="2567"/>
      <c r="NHJ82" s="2567"/>
      <c r="NHK82" s="2567"/>
      <c r="NHL82" s="2567"/>
      <c r="NHM82" s="2567"/>
      <c r="NHN82" s="2567"/>
      <c r="NHO82" s="2567"/>
      <c r="NHP82" s="2567"/>
      <c r="NHQ82" s="2567"/>
      <c r="NHR82" s="2567"/>
      <c r="NHS82" s="2567"/>
      <c r="NHT82" s="2567"/>
      <c r="NHU82" s="2567"/>
      <c r="NHV82" s="2567"/>
      <c r="NHW82" s="2567"/>
      <c r="NHX82" s="2567"/>
      <c r="NHY82" s="2567"/>
      <c r="NHZ82" s="2567"/>
      <c r="NIA82" s="2567"/>
      <c r="NIB82" s="2567"/>
      <c r="NIC82" s="2567"/>
      <c r="NID82" s="2567"/>
      <c r="NIE82" s="2567"/>
      <c r="NIF82" s="2567"/>
      <c r="NIG82" s="2567"/>
      <c r="NIH82" s="2567"/>
      <c r="NII82" s="2567"/>
      <c r="NIJ82" s="2567"/>
      <c r="NIK82" s="2567"/>
      <c r="NIL82" s="2567"/>
      <c r="NIM82" s="2567"/>
      <c r="NIN82" s="2567"/>
      <c r="NIO82" s="2567"/>
      <c r="NIP82" s="2567"/>
      <c r="NIQ82" s="2567"/>
      <c r="NIR82" s="2567"/>
      <c r="NIS82" s="2567"/>
      <c r="NIT82" s="2567"/>
      <c r="NIU82" s="2567"/>
      <c r="NIV82" s="2567"/>
      <c r="NIW82" s="2567"/>
      <c r="NIX82" s="2567"/>
      <c r="NIY82" s="2567"/>
      <c r="NIZ82" s="2567"/>
      <c r="NJA82" s="2567"/>
      <c r="NJB82" s="2567"/>
      <c r="NJC82" s="2567"/>
      <c r="NJD82" s="2567"/>
      <c r="NJE82" s="2567"/>
      <c r="NJF82" s="2567"/>
      <c r="NJG82" s="2567"/>
      <c r="NJH82" s="2567"/>
      <c r="NJI82" s="2567"/>
      <c r="NJJ82" s="2567"/>
      <c r="NJK82" s="2567"/>
      <c r="NJL82" s="2567"/>
      <c r="NJM82" s="2567"/>
      <c r="NJN82" s="2567"/>
      <c r="NJO82" s="2567"/>
      <c r="NJP82" s="2567"/>
      <c r="NJQ82" s="2567"/>
      <c r="NJR82" s="2567"/>
      <c r="NJS82" s="2567"/>
      <c r="NJT82" s="2567"/>
      <c r="NJU82" s="2567"/>
      <c r="NJV82" s="2567"/>
      <c r="NJW82" s="2567"/>
      <c r="NJX82" s="2567"/>
      <c r="NJY82" s="2567"/>
      <c r="NJZ82" s="2567"/>
      <c r="NKA82" s="2567"/>
      <c r="NKB82" s="2567"/>
      <c r="NKC82" s="2567"/>
      <c r="NKD82" s="2567"/>
      <c r="NKE82" s="2567"/>
      <c r="NKF82" s="2567"/>
      <c r="NKG82" s="2567"/>
      <c r="NKH82" s="2567"/>
      <c r="NKI82" s="2567"/>
      <c r="NKJ82" s="2567"/>
      <c r="NKK82" s="2567"/>
      <c r="NKL82" s="2567"/>
      <c r="NKM82" s="2567"/>
      <c r="NKN82" s="2567"/>
      <c r="NKO82" s="2567"/>
      <c r="NKP82" s="2567"/>
      <c r="NKQ82" s="2567"/>
      <c r="NKR82" s="2567"/>
      <c r="NKS82" s="2567"/>
      <c r="NKT82" s="2567"/>
      <c r="NKU82" s="2567"/>
      <c r="NKV82" s="2567"/>
      <c r="NKW82" s="2567"/>
      <c r="NKX82" s="2567"/>
      <c r="NKY82" s="2567"/>
      <c r="NKZ82" s="2567"/>
      <c r="NLA82" s="2567"/>
      <c r="NLB82" s="2567"/>
      <c r="NLC82" s="2567"/>
      <c r="NLD82" s="2567"/>
      <c r="NLE82" s="2567"/>
      <c r="NLF82" s="2567"/>
      <c r="NLG82" s="2567"/>
      <c r="NLH82" s="2567"/>
      <c r="NLI82" s="2567"/>
      <c r="NLJ82" s="2567"/>
      <c r="NLK82" s="2567"/>
      <c r="NLL82" s="2567"/>
      <c r="NLM82" s="2567"/>
      <c r="NLN82" s="2567"/>
      <c r="NLO82" s="2567"/>
      <c r="NLP82" s="2567"/>
      <c r="NLQ82" s="2567"/>
      <c r="NLR82" s="2567"/>
      <c r="NLS82" s="2567"/>
      <c r="NLT82" s="2567"/>
      <c r="NLU82" s="2567"/>
      <c r="NLV82" s="2567"/>
      <c r="NLW82" s="2567"/>
      <c r="NLX82" s="2567"/>
      <c r="NLY82" s="2567"/>
      <c r="NLZ82" s="2567"/>
      <c r="NMA82" s="2567"/>
      <c r="NMB82" s="2567"/>
      <c r="NMC82" s="2567"/>
      <c r="NMD82" s="2567"/>
      <c r="NME82" s="2567"/>
      <c r="NMF82" s="2567"/>
      <c r="NMG82" s="2567"/>
      <c r="NMH82" s="2567"/>
      <c r="NMI82" s="2567"/>
      <c r="NMJ82" s="2567"/>
      <c r="NMK82" s="2567"/>
      <c r="NML82" s="2567"/>
      <c r="NMM82" s="2567"/>
      <c r="NMN82" s="2567"/>
      <c r="NMO82" s="2567"/>
      <c r="NMP82" s="2567"/>
      <c r="NMQ82" s="2567"/>
      <c r="NMR82" s="2567"/>
      <c r="NMS82" s="2567"/>
      <c r="NMT82" s="2567"/>
      <c r="NMU82" s="2567"/>
      <c r="NMV82" s="2567"/>
      <c r="NMW82" s="2567"/>
      <c r="NMX82" s="2567"/>
      <c r="NMY82" s="2567"/>
      <c r="NMZ82" s="2567"/>
      <c r="NNA82" s="2567"/>
      <c r="NNB82" s="2567"/>
      <c r="NNC82" s="2567"/>
      <c r="NND82" s="2567"/>
      <c r="NNE82" s="2567"/>
      <c r="NNF82" s="2567"/>
      <c r="NNG82" s="2567"/>
      <c r="NNH82" s="2567"/>
      <c r="NNI82" s="2567"/>
      <c r="NNJ82" s="2567"/>
      <c r="NNK82" s="2567"/>
      <c r="NNL82" s="2567"/>
      <c r="NNM82" s="2567"/>
      <c r="NNN82" s="2567"/>
      <c r="NNO82" s="2567"/>
      <c r="NNP82" s="2567"/>
      <c r="NNQ82" s="2567"/>
      <c r="NNR82" s="2567"/>
      <c r="NNS82" s="2567"/>
      <c r="NNT82" s="2567"/>
      <c r="NNU82" s="2567"/>
      <c r="NNV82" s="2567"/>
      <c r="NNW82" s="2567"/>
      <c r="NNX82" s="2567"/>
      <c r="NNY82" s="2567"/>
      <c r="NNZ82" s="2567"/>
      <c r="NOA82" s="2567"/>
      <c r="NOB82" s="2567"/>
      <c r="NOC82" s="2567"/>
      <c r="NOD82" s="2567"/>
      <c r="NOE82" s="2567"/>
      <c r="NOF82" s="2567"/>
      <c r="NOG82" s="2567"/>
      <c r="NOH82" s="2567"/>
      <c r="NOI82" s="2567"/>
      <c r="NOJ82" s="2567"/>
      <c r="NOK82" s="2567"/>
      <c r="NOL82" s="2567"/>
      <c r="NOM82" s="2567"/>
      <c r="NON82" s="2567"/>
      <c r="NOO82" s="2567"/>
      <c r="NOP82" s="2567"/>
      <c r="NOQ82" s="2567"/>
      <c r="NOR82" s="2567"/>
      <c r="NOS82" s="2567"/>
      <c r="NOT82" s="2567"/>
      <c r="NOU82" s="2567"/>
      <c r="NOV82" s="2567"/>
      <c r="NOW82" s="2567"/>
      <c r="NOX82" s="2567"/>
      <c r="NOY82" s="2567"/>
      <c r="NOZ82" s="2567"/>
      <c r="NPA82" s="2567"/>
      <c r="NPB82" s="2567"/>
      <c r="NPC82" s="2567"/>
      <c r="NPD82" s="2567"/>
      <c r="NPE82" s="2567"/>
      <c r="NPF82" s="2567"/>
      <c r="NPG82" s="2567"/>
      <c r="NPH82" s="2567"/>
      <c r="NPI82" s="2567"/>
      <c r="NPJ82" s="2567"/>
      <c r="NPK82" s="2567"/>
      <c r="NPL82" s="2567"/>
      <c r="NPM82" s="2567"/>
      <c r="NPN82" s="2567"/>
      <c r="NPO82" s="2567"/>
      <c r="NPP82" s="2567"/>
      <c r="NPQ82" s="2567"/>
      <c r="NPR82" s="2567"/>
      <c r="NPS82" s="2567"/>
      <c r="NPT82" s="2567"/>
      <c r="NPU82" s="2567"/>
      <c r="NPV82" s="2567"/>
      <c r="NPW82" s="2567"/>
      <c r="NPX82" s="2567"/>
      <c r="NPY82" s="2567"/>
      <c r="NPZ82" s="2567"/>
      <c r="NQA82" s="2567"/>
      <c r="NQB82" s="2567"/>
      <c r="NQC82" s="2567"/>
      <c r="NQD82" s="2567"/>
      <c r="NQE82" s="2567"/>
      <c r="NQF82" s="2567"/>
      <c r="NQG82" s="2567"/>
      <c r="NQH82" s="2567"/>
      <c r="NQI82" s="2567"/>
      <c r="NQJ82" s="2567"/>
      <c r="NQK82" s="2567"/>
      <c r="NQL82" s="2567"/>
      <c r="NQM82" s="2567"/>
      <c r="NQN82" s="2567"/>
      <c r="NQO82" s="2567"/>
      <c r="NQP82" s="2567"/>
      <c r="NQQ82" s="2567"/>
      <c r="NQR82" s="2567"/>
      <c r="NQS82" s="2567"/>
      <c r="NQT82" s="2567"/>
      <c r="NQU82" s="2567"/>
      <c r="NQV82" s="2567"/>
      <c r="NQW82" s="2567"/>
      <c r="NQX82" s="2567"/>
      <c r="NQY82" s="2567"/>
      <c r="NQZ82" s="2567"/>
      <c r="NRA82" s="2567"/>
      <c r="NRB82" s="2567"/>
      <c r="NRC82" s="2567"/>
      <c r="NRD82" s="2567"/>
      <c r="NRE82" s="2567"/>
      <c r="NRF82" s="2567"/>
      <c r="NRG82" s="2567"/>
      <c r="NRH82" s="2567"/>
      <c r="NRI82" s="2567"/>
      <c r="NRJ82" s="2567"/>
      <c r="NRK82" s="2567"/>
      <c r="NRL82" s="2567"/>
      <c r="NRM82" s="2567"/>
      <c r="NRN82" s="2567"/>
      <c r="NRO82" s="2567"/>
      <c r="NRP82" s="2567"/>
      <c r="NRQ82" s="2567"/>
      <c r="NRR82" s="2567"/>
      <c r="NRS82" s="2567"/>
      <c r="NRT82" s="2567"/>
      <c r="NRU82" s="2567"/>
      <c r="NRV82" s="2567"/>
      <c r="NRW82" s="2567"/>
      <c r="NRX82" s="2567"/>
      <c r="NRY82" s="2567"/>
      <c r="NRZ82" s="2567"/>
      <c r="NSA82" s="2567"/>
      <c r="NSB82" s="2567"/>
      <c r="NSC82" s="2567"/>
      <c r="NSD82" s="2567"/>
      <c r="NSE82" s="2567"/>
      <c r="NSF82" s="2567"/>
      <c r="NSG82" s="2567"/>
      <c r="NSH82" s="2567"/>
      <c r="NSI82" s="2567"/>
      <c r="NSJ82" s="2567"/>
      <c r="NSK82" s="2567"/>
      <c r="NSL82" s="2567"/>
      <c r="NSM82" s="2567"/>
      <c r="NSN82" s="2567"/>
      <c r="NSO82" s="2567"/>
      <c r="NSP82" s="2567"/>
      <c r="NSQ82" s="2567"/>
      <c r="NSR82" s="2567"/>
      <c r="NSS82" s="2567"/>
      <c r="NST82" s="2567"/>
      <c r="NSU82" s="2567"/>
      <c r="NSV82" s="2567"/>
      <c r="NSW82" s="2567"/>
      <c r="NSX82" s="2567"/>
      <c r="NSY82" s="2567"/>
      <c r="NSZ82" s="2567"/>
      <c r="NTA82" s="2567"/>
      <c r="NTB82" s="2567"/>
      <c r="NTC82" s="2567"/>
      <c r="NTD82" s="2567"/>
      <c r="NTE82" s="2567"/>
      <c r="NTF82" s="2567"/>
      <c r="NTG82" s="2567"/>
      <c r="NTH82" s="2567"/>
      <c r="NTI82" s="2567"/>
      <c r="NTJ82" s="2567"/>
      <c r="NTK82" s="2567"/>
      <c r="NTL82" s="2567"/>
      <c r="NTM82" s="2567"/>
      <c r="NTN82" s="2567"/>
      <c r="NTO82" s="2567"/>
      <c r="NTP82" s="2567"/>
      <c r="NTQ82" s="2567"/>
      <c r="NTR82" s="2567"/>
      <c r="NTS82" s="2567"/>
      <c r="NTT82" s="2567"/>
      <c r="NTU82" s="2567"/>
      <c r="NTV82" s="2567"/>
      <c r="NTW82" s="2567"/>
      <c r="NTX82" s="2567"/>
      <c r="NTY82" s="2567"/>
      <c r="NTZ82" s="2567"/>
      <c r="NUA82" s="2567"/>
      <c r="NUB82" s="2567"/>
      <c r="NUC82" s="2567"/>
      <c r="NUD82" s="2567"/>
      <c r="NUE82" s="2567"/>
      <c r="NUF82" s="2567"/>
      <c r="NUG82" s="2567"/>
      <c r="NUH82" s="2567"/>
      <c r="NUI82" s="2567"/>
      <c r="NUJ82" s="2567"/>
      <c r="NUK82" s="2567"/>
      <c r="NUL82" s="2567"/>
      <c r="NUM82" s="2567"/>
      <c r="NUN82" s="2567"/>
      <c r="NUO82" s="2567"/>
      <c r="NUP82" s="2567"/>
      <c r="NUQ82" s="2567"/>
      <c r="NUR82" s="2567"/>
      <c r="NUS82" s="2567"/>
      <c r="NUT82" s="2567"/>
      <c r="NUU82" s="2567"/>
      <c r="NUV82" s="2567"/>
      <c r="NUW82" s="2567"/>
      <c r="NUX82" s="2567"/>
      <c r="NUY82" s="2567"/>
      <c r="NUZ82" s="2567"/>
      <c r="NVA82" s="2567"/>
      <c r="NVB82" s="2567"/>
      <c r="NVC82" s="2567"/>
      <c r="NVD82" s="2567"/>
      <c r="NVE82" s="2567"/>
      <c r="NVF82" s="2567"/>
      <c r="NVG82" s="2567"/>
      <c r="NVH82" s="2567"/>
      <c r="NVI82" s="2567"/>
      <c r="NVJ82" s="2567"/>
      <c r="NVK82" s="2567"/>
      <c r="NVL82" s="2567"/>
      <c r="NVM82" s="2567"/>
      <c r="NVN82" s="2567"/>
      <c r="NVO82" s="2567"/>
      <c r="NVP82" s="2567"/>
      <c r="NVQ82" s="2567"/>
      <c r="NVR82" s="2567"/>
      <c r="NVS82" s="2567"/>
      <c r="NVT82" s="2567"/>
      <c r="NVU82" s="2567"/>
      <c r="NVV82" s="2567"/>
      <c r="NVW82" s="2567"/>
      <c r="NVX82" s="2567"/>
      <c r="NVY82" s="2567"/>
      <c r="NVZ82" s="2567"/>
      <c r="NWA82" s="2567"/>
      <c r="NWB82" s="2567"/>
      <c r="NWC82" s="2567"/>
      <c r="NWD82" s="2567"/>
      <c r="NWE82" s="2567"/>
      <c r="NWF82" s="2567"/>
      <c r="NWG82" s="2567"/>
      <c r="NWH82" s="2567"/>
      <c r="NWI82" s="2567"/>
      <c r="NWJ82" s="2567"/>
      <c r="NWK82" s="2567"/>
      <c r="NWL82" s="2567"/>
      <c r="NWM82" s="2567"/>
      <c r="NWN82" s="2567"/>
      <c r="NWO82" s="2567"/>
      <c r="NWP82" s="2567"/>
      <c r="NWQ82" s="2567"/>
      <c r="NWR82" s="2567"/>
      <c r="NWS82" s="2567"/>
      <c r="NWT82" s="2567"/>
      <c r="NWU82" s="2567"/>
      <c r="NWV82" s="2567"/>
      <c r="NWW82" s="2567"/>
      <c r="NWX82" s="2567"/>
      <c r="NWY82" s="2567"/>
      <c r="NWZ82" s="2567"/>
      <c r="NXA82" s="2567"/>
      <c r="NXB82" s="2567"/>
      <c r="NXC82" s="2567"/>
      <c r="NXD82" s="2567"/>
      <c r="NXE82" s="2567"/>
      <c r="NXF82" s="2567"/>
      <c r="NXG82" s="2567"/>
      <c r="NXH82" s="2567"/>
      <c r="NXI82" s="2567"/>
      <c r="NXJ82" s="2567"/>
      <c r="NXK82" s="2567"/>
      <c r="NXL82" s="2567"/>
      <c r="NXM82" s="2567"/>
      <c r="NXN82" s="2567"/>
      <c r="NXO82" s="2567"/>
      <c r="NXP82" s="2567"/>
      <c r="NXQ82" s="2567"/>
      <c r="NXR82" s="2567"/>
      <c r="NXS82" s="2567"/>
      <c r="NXT82" s="2567"/>
      <c r="NXU82" s="2567"/>
      <c r="NXV82" s="2567"/>
      <c r="NXW82" s="2567"/>
      <c r="NXX82" s="2567"/>
      <c r="NXY82" s="2567"/>
      <c r="NXZ82" s="2567"/>
      <c r="NYA82" s="2567"/>
      <c r="NYB82" s="2567"/>
      <c r="NYC82" s="2567"/>
      <c r="NYD82" s="2567"/>
      <c r="NYE82" s="2567"/>
      <c r="NYF82" s="2567"/>
      <c r="NYG82" s="2567"/>
      <c r="NYH82" s="2567"/>
      <c r="NYI82" s="2567"/>
      <c r="NYJ82" s="2567"/>
      <c r="NYK82" s="2567"/>
      <c r="NYL82" s="2567"/>
      <c r="NYM82" s="2567"/>
      <c r="NYN82" s="2567"/>
      <c r="NYO82" s="2567"/>
      <c r="NYP82" s="2567"/>
      <c r="NYQ82" s="2567"/>
      <c r="NYR82" s="2567"/>
      <c r="NYS82" s="2567"/>
      <c r="NYT82" s="2567"/>
      <c r="NYU82" s="2567"/>
      <c r="NYV82" s="2567"/>
      <c r="NYW82" s="2567"/>
      <c r="NYX82" s="2567"/>
      <c r="NYY82" s="2567"/>
      <c r="NYZ82" s="2567"/>
      <c r="NZA82" s="2567"/>
      <c r="NZB82" s="2567"/>
      <c r="NZC82" s="2567"/>
      <c r="NZD82" s="2567"/>
      <c r="NZE82" s="2567"/>
      <c r="NZF82" s="2567"/>
      <c r="NZG82" s="2567"/>
      <c r="NZH82" s="2567"/>
      <c r="NZI82" s="2567"/>
      <c r="NZJ82" s="2567"/>
      <c r="NZK82" s="2567"/>
      <c r="NZL82" s="2567"/>
      <c r="NZM82" s="2567"/>
      <c r="NZN82" s="2567"/>
      <c r="NZO82" s="2567"/>
      <c r="NZP82" s="2567"/>
      <c r="NZQ82" s="2567"/>
      <c r="NZR82" s="2567"/>
      <c r="NZS82" s="2567"/>
      <c r="NZT82" s="2567"/>
      <c r="NZU82" s="2567"/>
      <c r="NZV82" s="2567"/>
      <c r="NZW82" s="2567"/>
      <c r="NZX82" s="2567"/>
      <c r="NZY82" s="2567"/>
      <c r="NZZ82" s="2567"/>
      <c r="OAA82" s="2567"/>
      <c r="OAB82" s="2567"/>
      <c r="OAC82" s="2567"/>
      <c r="OAD82" s="2567"/>
      <c r="OAE82" s="2567"/>
      <c r="OAF82" s="2567"/>
      <c r="OAG82" s="2567"/>
      <c r="OAH82" s="2567"/>
      <c r="OAI82" s="2567"/>
      <c r="OAJ82" s="2567"/>
      <c r="OAK82" s="2567"/>
      <c r="OAL82" s="2567"/>
      <c r="OAM82" s="2567"/>
      <c r="OAN82" s="2567"/>
      <c r="OAO82" s="2567"/>
      <c r="OAP82" s="2567"/>
      <c r="OAQ82" s="2567"/>
      <c r="OAR82" s="2567"/>
      <c r="OAS82" s="2567"/>
      <c r="OAT82" s="2567"/>
      <c r="OAU82" s="2567"/>
      <c r="OAV82" s="2567"/>
      <c r="OAW82" s="2567"/>
      <c r="OAX82" s="2567"/>
      <c r="OAY82" s="2567"/>
      <c r="OAZ82" s="2567"/>
      <c r="OBA82" s="2567"/>
      <c r="OBB82" s="2567"/>
      <c r="OBC82" s="2567"/>
      <c r="OBD82" s="2567"/>
      <c r="OBE82" s="2567"/>
      <c r="OBF82" s="2567"/>
      <c r="OBG82" s="2567"/>
      <c r="OBH82" s="2567"/>
      <c r="OBI82" s="2567"/>
      <c r="OBJ82" s="2567"/>
      <c r="OBK82" s="2567"/>
      <c r="OBL82" s="2567"/>
      <c r="OBM82" s="2567"/>
      <c r="OBN82" s="2567"/>
      <c r="OBO82" s="2567"/>
      <c r="OBP82" s="2567"/>
      <c r="OBQ82" s="2567"/>
      <c r="OBR82" s="2567"/>
      <c r="OBS82" s="2567"/>
      <c r="OBT82" s="2567"/>
      <c r="OBU82" s="2567"/>
      <c r="OBV82" s="2567"/>
      <c r="OBW82" s="2567"/>
      <c r="OBX82" s="2567"/>
      <c r="OBY82" s="2567"/>
      <c r="OBZ82" s="2567"/>
      <c r="OCA82" s="2567"/>
      <c r="OCB82" s="2567"/>
      <c r="OCC82" s="2567"/>
      <c r="OCD82" s="2567"/>
      <c r="OCE82" s="2567"/>
      <c r="OCF82" s="2567"/>
      <c r="OCG82" s="2567"/>
      <c r="OCH82" s="2567"/>
      <c r="OCI82" s="2567"/>
      <c r="OCJ82" s="2567"/>
      <c r="OCK82" s="2567"/>
      <c r="OCL82" s="2567"/>
      <c r="OCM82" s="2567"/>
      <c r="OCN82" s="2567"/>
      <c r="OCO82" s="2567"/>
      <c r="OCP82" s="2567"/>
      <c r="OCQ82" s="2567"/>
      <c r="OCR82" s="2567"/>
      <c r="OCS82" s="2567"/>
      <c r="OCT82" s="2567"/>
      <c r="OCU82" s="2567"/>
      <c r="OCV82" s="2567"/>
      <c r="OCW82" s="2567"/>
      <c r="OCX82" s="2567"/>
      <c r="OCY82" s="2567"/>
      <c r="OCZ82" s="2567"/>
      <c r="ODA82" s="2567"/>
      <c r="ODB82" s="2567"/>
      <c r="ODC82" s="2567"/>
      <c r="ODD82" s="2567"/>
      <c r="ODE82" s="2567"/>
      <c r="ODF82" s="2567"/>
      <c r="ODG82" s="2567"/>
      <c r="ODH82" s="2567"/>
      <c r="ODI82" s="2567"/>
      <c r="ODJ82" s="2567"/>
      <c r="ODK82" s="2567"/>
      <c r="ODL82" s="2567"/>
      <c r="ODM82" s="2567"/>
      <c r="ODN82" s="2567"/>
      <c r="ODO82" s="2567"/>
      <c r="ODP82" s="2567"/>
      <c r="ODQ82" s="2567"/>
      <c r="ODR82" s="2567"/>
      <c r="ODS82" s="2567"/>
      <c r="ODT82" s="2567"/>
      <c r="ODU82" s="2567"/>
      <c r="ODV82" s="2567"/>
      <c r="ODW82" s="2567"/>
      <c r="ODX82" s="2567"/>
      <c r="ODY82" s="2567"/>
      <c r="ODZ82" s="2567"/>
      <c r="OEA82" s="2567"/>
      <c r="OEB82" s="2567"/>
      <c r="OEC82" s="2567"/>
      <c r="OED82" s="2567"/>
      <c r="OEE82" s="2567"/>
      <c r="OEF82" s="2567"/>
      <c r="OEG82" s="2567"/>
      <c r="OEH82" s="2567"/>
      <c r="OEI82" s="2567"/>
      <c r="OEJ82" s="2567"/>
      <c r="OEK82" s="2567"/>
      <c r="OEL82" s="2567"/>
      <c r="OEM82" s="2567"/>
      <c r="OEN82" s="2567"/>
      <c r="OEO82" s="2567"/>
      <c r="OEP82" s="2567"/>
      <c r="OEQ82" s="2567"/>
      <c r="OER82" s="2567"/>
      <c r="OES82" s="2567"/>
      <c r="OET82" s="2567"/>
      <c r="OEU82" s="2567"/>
      <c r="OEV82" s="2567"/>
      <c r="OEW82" s="2567"/>
      <c r="OEX82" s="2567"/>
      <c r="OEY82" s="2567"/>
      <c r="OEZ82" s="2567"/>
      <c r="OFA82" s="2567"/>
      <c r="OFB82" s="2567"/>
      <c r="OFC82" s="2567"/>
      <c r="OFD82" s="2567"/>
      <c r="OFE82" s="2567"/>
      <c r="OFF82" s="2567"/>
      <c r="OFG82" s="2567"/>
      <c r="OFH82" s="2567"/>
      <c r="OFI82" s="2567"/>
      <c r="OFJ82" s="2567"/>
      <c r="OFK82" s="2567"/>
      <c r="OFL82" s="2567"/>
      <c r="OFM82" s="2567"/>
      <c r="OFN82" s="2567"/>
      <c r="OFO82" s="2567"/>
      <c r="OFP82" s="2567"/>
      <c r="OFQ82" s="2567"/>
      <c r="OFR82" s="2567"/>
      <c r="OFS82" s="2567"/>
      <c r="OFT82" s="2567"/>
      <c r="OFU82" s="2567"/>
      <c r="OFV82" s="2567"/>
      <c r="OFW82" s="2567"/>
      <c r="OFX82" s="2567"/>
      <c r="OFY82" s="2567"/>
      <c r="OFZ82" s="2567"/>
      <c r="OGA82" s="2567"/>
      <c r="OGB82" s="2567"/>
      <c r="OGC82" s="2567"/>
      <c r="OGD82" s="2567"/>
      <c r="OGE82" s="2567"/>
      <c r="OGF82" s="2567"/>
      <c r="OGG82" s="2567"/>
      <c r="OGH82" s="2567"/>
      <c r="OGI82" s="2567"/>
      <c r="OGJ82" s="2567"/>
      <c r="OGK82" s="2567"/>
      <c r="OGL82" s="2567"/>
      <c r="OGM82" s="2567"/>
      <c r="OGN82" s="2567"/>
      <c r="OGO82" s="2567"/>
      <c r="OGP82" s="2567"/>
      <c r="OGQ82" s="2567"/>
      <c r="OGR82" s="2567"/>
      <c r="OGS82" s="2567"/>
      <c r="OGT82" s="2567"/>
      <c r="OGU82" s="2567"/>
      <c r="OGV82" s="2567"/>
      <c r="OGW82" s="2567"/>
      <c r="OGX82" s="2567"/>
      <c r="OGY82" s="2567"/>
      <c r="OGZ82" s="2567"/>
      <c r="OHA82" s="2567"/>
      <c r="OHB82" s="2567"/>
      <c r="OHC82" s="2567"/>
      <c r="OHD82" s="2567"/>
      <c r="OHE82" s="2567"/>
      <c r="OHF82" s="2567"/>
      <c r="OHG82" s="2567"/>
      <c r="OHH82" s="2567"/>
      <c r="OHI82" s="2567"/>
      <c r="OHJ82" s="2567"/>
      <c r="OHK82" s="2567"/>
      <c r="OHL82" s="2567"/>
      <c r="OHM82" s="2567"/>
      <c r="OHN82" s="2567"/>
      <c r="OHO82" s="2567"/>
      <c r="OHP82" s="2567"/>
      <c r="OHQ82" s="2567"/>
      <c r="OHR82" s="2567"/>
      <c r="OHS82" s="2567"/>
      <c r="OHT82" s="2567"/>
      <c r="OHU82" s="2567"/>
      <c r="OHV82" s="2567"/>
      <c r="OHW82" s="2567"/>
      <c r="OHX82" s="2567"/>
      <c r="OHY82" s="2567"/>
      <c r="OHZ82" s="2567"/>
      <c r="OIA82" s="2567"/>
      <c r="OIB82" s="2567"/>
      <c r="OIC82" s="2567"/>
      <c r="OID82" s="2567"/>
      <c r="OIE82" s="2567"/>
      <c r="OIF82" s="2567"/>
      <c r="OIG82" s="2567"/>
      <c r="OIH82" s="2567"/>
      <c r="OII82" s="2567"/>
      <c r="OIJ82" s="2567"/>
      <c r="OIK82" s="2567"/>
      <c r="OIL82" s="2567"/>
      <c r="OIM82" s="2567"/>
      <c r="OIN82" s="2567"/>
      <c r="OIO82" s="2567"/>
      <c r="OIP82" s="2567"/>
      <c r="OIQ82" s="2567"/>
      <c r="OIR82" s="2567"/>
      <c r="OIS82" s="2567"/>
      <c r="OIT82" s="2567"/>
      <c r="OIU82" s="2567"/>
      <c r="OIV82" s="2567"/>
      <c r="OIW82" s="2567"/>
      <c r="OIX82" s="2567"/>
      <c r="OIY82" s="2567"/>
      <c r="OIZ82" s="2567"/>
      <c r="OJA82" s="2567"/>
      <c r="OJB82" s="2567"/>
      <c r="OJC82" s="2567"/>
      <c r="OJD82" s="2567"/>
      <c r="OJE82" s="2567"/>
      <c r="OJF82" s="2567"/>
      <c r="OJG82" s="2567"/>
      <c r="OJH82" s="2567"/>
      <c r="OJI82" s="2567"/>
      <c r="OJJ82" s="2567"/>
      <c r="OJK82" s="2567"/>
      <c r="OJL82" s="2567"/>
      <c r="OJM82" s="2567"/>
      <c r="OJN82" s="2567"/>
      <c r="OJO82" s="2567"/>
      <c r="OJP82" s="2567"/>
      <c r="OJQ82" s="2567"/>
      <c r="OJR82" s="2567"/>
      <c r="OJS82" s="2567"/>
      <c r="OJT82" s="2567"/>
      <c r="OJU82" s="2567"/>
      <c r="OJV82" s="2567"/>
      <c r="OJW82" s="2567"/>
      <c r="OJX82" s="2567"/>
      <c r="OJY82" s="2567"/>
      <c r="OJZ82" s="2567"/>
      <c r="OKA82" s="2567"/>
      <c r="OKB82" s="2567"/>
      <c r="OKC82" s="2567"/>
      <c r="OKD82" s="2567"/>
      <c r="OKE82" s="2567"/>
      <c r="OKF82" s="2567"/>
      <c r="OKG82" s="2567"/>
      <c r="OKH82" s="2567"/>
      <c r="OKI82" s="2567"/>
      <c r="OKJ82" s="2567"/>
      <c r="OKK82" s="2567"/>
      <c r="OKL82" s="2567"/>
      <c r="OKM82" s="2567"/>
      <c r="OKN82" s="2567"/>
      <c r="OKO82" s="2567"/>
      <c r="OKP82" s="2567"/>
      <c r="OKQ82" s="2567"/>
      <c r="OKR82" s="2567"/>
      <c r="OKS82" s="2567"/>
      <c r="OKT82" s="2567"/>
      <c r="OKU82" s="2567"/>
      <c r="OKV82" s="2567"/>
      <c r="OKW82" s="2567"/>
      <c r="OKX82" s="2567"/>
      <c r="OKY82" s="2567"/>
      <c r="OKZ82" s="2567"/>
      <c r="OLA82" s="2567"/>
      <c r="OLB82" s="2567"/>
      <c r="OLC82" s="2567"/>
      <c r="OLD82" s="2567"/>
      <c r="OLE82" s="2567"/>
      <c r="OLF82" s="2567"/>
      <c r="OLG82" s="2567"/>
      <c r="OLH82" s="2567"/>
      <c r="OLI82" s="2567"/>
      <c r="OLJ82" s="2567"/>
      <c r="OLK82" s="2567"/>
      <c r="OLL82" s="2567"/>
      <c r="OLM82" s="2567"/>
      <c r="OLN82" s="2567"/>
      <c r="OLO82" s="2567"/>
      <c r="OLP82" s="2567"/>
      <c r="OLQ82" s="2567"/>
      <c r="OLR82" s="2567"/>
      <c r="OLS82" s="2567"/>
      <c r="OLT82" s="2567"/>
      <c r="OLU82" s="2567"/>
      <c r="OLV82" s="2567"/>
      <c r="OLW82" s="2567"/>
      <c r="OLX82" s="2567"/>
      <c r="OLY82" s="2567"/>
      <c r="OLZ82" s="2567"/>
      <c r="OMA82" s="2567"/>
      <c r="OMB82" s="2567"/>
      <c r="OMC82" s="2567"/>
      <c r="OMD82" s="2567"/>
      <c r="OME82" s="2567"/>
      <c r="OMF82" s="2567"/>
      <c r="OMG82" s="2567"/>
      <c r="OMH82" s="2567"/>
      <c r="OMI82" s="2567"/>
      <c r="OMJ82" s="2567"/>
      <c r="OMK82" s="2567"/>
      <c r="OML82" s="2567"/>
      <c r="OMM82" s="2567"/>
      <c r="OMN82" s="2567"/>
      <c r="OMO82" s="2567"/>
      <c r="OMP82" s="2567"/>
      <c r="OMQ82" s="2567"/>
      <c r="OMR82" s="2567"/>
      <c r="OMS82" s="2567"/>
      <c r="OMT82" s="2567"/>
      <c r="OMU82" s="2567"/>
      <c r="OMV82" s="2567"/>
      <c r="OMW82" s="2567"/>
      <c r="OMX82" s="2567"/>
      <c r="OMY82" s="2567"/>
      <c r="OMZ82" s="2567"/>
      <c r="ONA82" s="2567"/>
      <c r="ONB82" s="2567"/>
      <c r="ONC82" s="2567"/>
      <c r="OND82" s="2567"/>
      <c r="ONE82" s="2567"/>
      <c r="ONF82" s="2567"/>
      <c r="ONG82" s="2567"/>
      <c r="ONH82" s="2567"/>
      <c r="ONI82" s="2567"/>
      <c r="ONJ82" s="2567"/>
      <c r="ONK82" s="2567"/>
      <c r="ONL82" s="2567"/>
      <c r="ONM82" s="2567"/>
      <c r="ONN82" s="2567"/>
      <c r="ONO82" s="2567"/>
      <c r="ONP82" s="2567"/>
      <c r="ONQ82" s="2567"/>
      <c r="ONR82" s="2567"/>
      <c r="ONS82" s="2567"/>
      <c r="ONT82" s="2567"/>
      <c r="ONU82" s="2567"/>
      <c r="ONV82" s="2567"/>
      <c r="ONW82" s="2567"/>
      <c r="ONX82" s="2567"/>
      <c r="ONY82" s="2567"/>
      <c r="ONZ82" s="2567"/>
      <c r="OOA82" s="2567"/>
      <c r="OOB82" s="2567"/>
      <c r="OOC82" s="2567"/>
      <c r="OOD82" s="2567"/>
      <c r="OOE82" s="2567"/>
      <c r="OOF82" s="2567"/>
      <c r="OOG82" s="2567"/>
      <c r="OOH82" s="2567"/>
      <c r="OOI82" s="2567"/>
      <c r="OOJ82" s="2567"/>
      <c r="OOK82" s="2567"/>
      <c r="OOL82" s="2567"/>
      <c r="OOM82" s="2567"/>
      <c r="OON82" s="2567"/>
      <c r="OOO82" s="2567"/>
      <c r="OOP82" s="2567"/>
      <c r="OOQ82" s="2567"/>
      <c r="OOR82" s="2567"/>
      <c r="OOS82" s="2567"/>
      <c r="OOT82" s="2567"/>
      <c r="OOU82" s="2567"/>
      <c r="OOV82" s="2567"/>
      <c r="OOW82" s="2567"/>
      <c r="OOX82" s="2567"/>
      <c r="OOY82" s="2567"/>
      <c r="OOZ82" s="2567"/>
      <c r="OPA82" s="2567"/>
      <c r="OPB82" s="2567"/>
      <c r="OPC82" s="2567"/>
      <c r="OPD82" s="2567"/>
      <c r="OPE82" s="2567"/>
      <c r="OPF82" s="2567"/>
      <c r="OPG82" s="2567"/>
      <c r="OPH82" s="2567"/>
      <c r="OPI82" s="2567"/>
      <c r="OPJ82" s="2567"/>
      <c r="OPK82" s="2567"/>
      <c r="OPL82" s="2567"/>
      <c r="OPM82" s="2567"/>
      <c r="OPN82" s="2567"/>
      <c r="OPO82" s="2567"/>
      <c r="OPP82" s="2567"/>
      <c r="OPQ82" s="2567"/>
      <c r="OPR82" s="2567"/>
      <c r="OPS82" s="2567"/>
      <c r="OPT82" s="2567"/>
      <c r="OPU82" s="2567"/>
      <c r="OPV82" s="2567"/>
      <c r="OPW82" s="2567"/>
      <c r="OPX82" s="2567"/>
      <c r="OPY82" s="2567"/>
      <c r="OPZ82" s="2567"/>
      <c r="OQA82" s="2567"/>
      <c r="OQB82" s="2567"/>
      <c r="OQC82" s="2567"/>
      <c r="OQD82" s="2567"/>
      <c r="OQE82" s="2567"/>
      <c r="OQF82" s="2567"/>
      <c r="OQG82" s="2567"/>
      <c r="OQH82" s="2567"/>
      <c r="OQI82" s="2567"/>
      <c r="OQJ82" s="2567"/>
      <c r="OQK82" s="2567"/>
      <c r="OQL82" s="2567"/>
      <c r="OQM82" s="2567"/>
      <c r="OQN82" s="2567"/>
      <c r="OQO82" s="2567"/>
      <c r="OQP82" s="2567"/>
      <c r="OQQ82" s="2567"/>
      <c r="OQR82" s="2567"/>
      <c r="OQS82" s="2567"/>
      <c r="OQT82" s="2567"/>
      <c r="OQU82" s="2567"/>
      <c r="OQV82" s="2567"/>
      <c r="OQW82" s="2567"/>
      <c r="OQX82" s="2567"/>
      <c r="OQY82" s="2567"/>
      <c r="OQZ82" s="2567"/>
      <c r="ORA82" s="2567"/>
      <c r="ORB82" s="2567"/>
      <c r="ORC82" s="2567"/>
      <c r="ORD82" s="2567"/>
      <c r="ORE82" s="2567"/>
      <c r="ORF82" s="2567"/>
      <c r="ORG82" s="2567"/>
      <c r="ORH82" s="2567"/>
      <c r="ORI82" s="2567"/>
      <c r="ORJ82" s="2567"/>
      <c r="ORK82" s="2567"/>
      <c r="ORL82" s="2567"/>
      <c r="ORM82" s="2567"/>
      <c r="ORN82" s="2567"/>
      <c r="ORO82" s="2567"/>
      <c r="ORP82" s="2567"/>
      <c r="ORQ82" s="2567"/>
      <c r="ORR82" s="2567"/>
      <c r="ORS82" s="2567"/>
      <c r="ORT82" s="2567"/>
      <c r="ORU82" s="2567"/>
      <c r="ORV82" s="2567"/>
      <c r="ORW82" s="2567"/>
      <c r="ORX82" s="2567"/>
      <c r="ORY82" s="2567"/>
      <c r="ORZ82" s="2567"/>
      <c r="OSA82" s="2567"/>
      <c r="OSB82" s="2567"/>
      <c r="OSC82" s="2567"/>
      <c r="OSD82" s="2567"/>
      <c r="OSE82" s="2567"/>
      <c r="OSF82" s="2567"/>
      <c r="OSG82" s="2567"/>
      <c r="OSH82" s="2567"/>
      <c r="OSI82" s="2567"/>
      <c r="OSJ82" s="2567"/>
      <c r="OSK82" s="2567"/>
      <c r="OSL82" s="2567"/>
      <c r="OSM82" s="2567"/>
      <c r="OSN82" s="2567"/>
      <c r="OSO82" s="2567"/>
      <c r="OSP82" s="2567"/>
      <c r="OSQ82" s="2567"/>
      <c r="OSR82" s="2567"/>
      <c r="OSS82" s="2567"/>
      <c r="OST82" s="2567"/>
      <c r="OSU82" s="2567"/>
      <c r="OSV82" s="2567"/>
      <c r="OSW82" s="2567"/>
      <c r="OSX82" s="2567"/>
      <c r="OSY82" s="2567"/>
      <c r="OSZ82" s="2567"/>
      <c r="OTA82" s="2567"/>
      <c r="OTB82" s="2567"/>
      <c r="OTC82" s="2567"/>
      <c r="OTD82" s="2567"/>
      <c r="OTE82" s="2567"/>
      <c r="OTF82" s="2567"/>
      <c r="OTG82" s="2567"/>
      <c r="OTH82" s="2567"/>
      <c r="OTI82" s="2567"/>
      <c r="OTJ82" s="2567"/>
      <c r="OTK82" s="2567"/>
      <c r="OTL82" s="2567"/>
      <c r="OTM82" s="2567"/>
      <c r="OTN82" s="2567"/>
      <c r="OTO82" s="2567"/>
      <c r="OTP82" s="2567"/>
      <c r="OTQ82" s="2567"/>
      <c r="OTR82" s="2567"/>
      <c r="OTS82" s="2567"/>
      <c r="OTT82" s="2567"/>
      <c r="OTU82" s="2567"/>
      <c r="OTV82" s="2567"/>
      <c r="OTW82" s="2567"/>
      <c r="OTX82" s="2567"/>
      <c r="OTY82" s="2567"/>
      <c r="OTZ82" s="2567"/>
      <c r="OUA82" s="2567"/>
      <c r="OUB82" s="2567"/>
      <c r="OUC82" s="2567"/>
      <c r="OUD82" s="2567"/>
      <c r="OUE82" s="2567"/>
      <c r="OUF82" s="2567"/>
      <c r="OUG82" s="2567"/>
      <c r="OUH82" s="2567"/>
      <c r="OUI82" s="2567"/>
      <c r="OUJ82" s="2567"/>
      <c r="OUK82" s="2567"/>
      <c r="OUL82" s="2567"/>
      <c r="OUM82" s="2567"/>
      <c r="OUN82" s="2567"/>
      <c r="OUO82" s="2567"/>
      <c r="OUP82" s="2567"/>
      <c r="OUQ82" s="2567"/>
      <c r="OUR82" s="2567"/>
      <c r="OUS82" s="2567"/>
      <c r="OUT82" s="2567"/>
      <c r="OUU82" s="2567"/>
      <c r="OUV82" s="2567"/>
      <c r="OUW82" s="2567"/>
      <c r="OUX82" s="2567"/>
      <c r="OUY82" s="2567"/>
      <c r="OUZ82" s="2567"/>
      <c r="OVA82" s="2567"/>
      <c r="OVB82" s="2567"/>
      <c r="OVC82" s="2567"/>
      <c r="OVD82" s="2567"/>
      <c r="OVE82" s="2567"/>
      <c r="OVF82" s="2567"/>
      <c r="OVG82" s="2567"/>
      <c r="OVH82" s="2567"/>
      <c r="OVI82" s="2567"/>
      <c r="OVJ82" s="2567"/>
      <c r="OVK82" s="2567"/>
      <c r="OVL82" s="2567"/>
      <c r="OVM82" s="2567"/>
      <c r="OVN82" s="2567"/>
      <c r="OVO82" s="2567"/>
      <c r="OVP82" s="2567"/>
      <c r="OVQ82" s="2567"/>
      <c r="OVR82" s="2567"/>
      <c r="OVS82" s="2567"/>
      <c r="OVT82" s="2567"/>
      <c r="OVU82" s="2567"/>
      <c r="OVV82" s="2567"/>
      <c r="OVW82" s="2567"/>
      <c r="OVX82" s="2567"/>
      <c r="OVY82" s="2567"/>
      <c r="OVZ82" s="2567"/>
      <c r="OWA82" s="2567"/>
      <c r="OWB82" s="2567"/>
      <c r="OWC82" s="2567"/>
      <c r="OWD82" s="2567"/>
      <c r="OWE82" s="2567"/>
      <c r="OWF82" s="2567"/>
      <c r="OWG82" s="2567"/>
      <c r="OWH82" s="2567"/>
      <c r="OWI82" s="2567"/>
      <c r="OWJ82" s="2567"/>
      <c r="OWK82" s="2567"/>
      <c r="OWL82" s="2567"/>
      <c r="OWM82" s="2567"/>
      <c r="OWN82" s="2567"/>
      <c r="OWO82" s="2567"/>
      <c r="OWP82" s="2567"/>
      <c r="OWQ82" s="2567"/>
      <c r="OWR82" s="2567"/>
      <c r="OWS82" s="2567"/>
      <c r="OWT82" s="2567"/>
      <c r="OWU82" s="2567"/>
      <c r="OWV82" s="2567"/>
      <c r="OWW82" s="2567"/>
      <c r="OWX82" s="2567"/>
      <c r="OWY82" s="2567"/>
      <c r="OWZ82" s="2567"/>
      <c r="OXA82" s="2567"/>
      <c r="OXB82" s="2567"/>
      <c r="OXC82" s="2567"/>
      <c r="OXD82" s="2567"/>
      <c r="OXE82" s="2567"/>
      <c r="OXF82" s="2567"/>
      <c r="OXG82" s="2567"/>
      <c r="OXH82" s="2567"/>
      <c r="OXI82" s="2567"/>
      <c r="OXJ82" s="2567"/>
      <c r="OXK82" s="2567"/>
      <c r="OXL82" s="2567"/>
      <c r="OXM82" s="2567"/>
      <c r="OXN82" s="2567"/>
      <c r="OXO82" s="2567"/>
      <c r="OXP82" s="2567"/>
      <c r="OXQ82" s="2567"/>
      <c r="OXR82" s="2567"/>
      <c r="OXS82" s="2567"/>
      <c r="OXT82" s="2567"/>
      <c r="OXU82" s="2567"/>
      <c r="OXV82" s="2567"/>
      <c r="OXW82" s="2567"/>
      <c r="OXX82" s="2567"/>
      <c r="OXY82" s="2567"/>
      <c r="OXZ82" s="2567"/>
      <c r="OYA82" s="2567"/>
      <c r="OYB82" s="2567"/>
      <c r="OYC82" s="2567"/>
      <c r="OYD82" s="2567"/>
      <c r="OYE82" s="2567"/>
      <c r="OYF82" s="2567"/>
      <c r="OYG82" s="2567"/>
      <c r="OYH82" s="2567"/>
      <c r="OYI82" s="2567"/>
      <c r="OYJ82" s="2567"/>
      <c r="OYK82" s="2567"/>
      <c r="OYL82" s="2567"/>
      <c r="OYM82" s="2567"/>
      <c r="OYN82" s="2567"/>
      <c r="OYO82" s="2567"/>
      <c r="OYP82" s="2567"/>
      <c r="OYQ82" s="2567"/>
      <c r="OYR82" s="2567"/>
      <c r="OYS82" s="2567"/>
      <c r="OYT82" s="2567"/>
      <c r="OYU82" s="2567"/>
      <c r="OYV82" s="2567"/>
      <c r="OYW82" s="2567"/>
      <c r="OYX82" s="2567"/>
      <c r="OYY82" s="2567"/>
      <c r="OYZ82" s="2567"/>
      <c r="OZA82" s="2567"/>
      <c r="OZB82" s="2567"/>
      <c r="OZC82" s="2567"/>
      <c r="OZD82" s="2567"/>
      <c r="OZE82" s="2567"/>
      <c r="OZF82" s="2567"/>
      <c r="OZG82" s="2567"/>
      <c r="OZH82" s="2567"/>
      <c r="OZI82" s="2567"/>
      <c r="OZJ82" s="2567"/>
      <c r="OZK82" s="2567"/>
      <c r="OZL82" s="2567"/>
      <c r="OZM82" s="2567"/>
      <c r="OZN82" s="2567"/>
      <c r="OZO82" s="2567"/>
      <c r="OZP82" s="2567"/>
      <c r="OZQ82" s="2567"/>
      <c r="OZR82" s="2567"/>
      <c r="OZS82" s="2567"/>
      <c r="OZT82" s="2567"/>
      <c r="OZU82" s="2567"/>
      <c r="OZV82" s="2567"/>
      <c r="OZW82" s="2567"/>
      <c r="OZX82" s="2567"/>
      <c r="OZY82" s="2567"/>
      <c r="OZZ82" s="2567"/>
      <c r="PAA82" s="2567"/>
      <c r="PAB82" s="2567"/>
      <c r="PAC82" s="2567"/>
      <c r="PAD82" s="2567"/>
      <c r="PAE82" s="2567"/>
      <c r="PAF82" s="2567"/>
      <c r="PAG82" s="2567"/>
      <c r="PAH82" s="2567"/>
      <c r="PAI82" s="2567"/>
      <c r="PAJ82" s="2567"/>
      <c r="PAK82" s="2567"/>
      <c r="PAL82" s="2567"/>
      <c r="PAM82" s="2567"/>
      <c r="PAN82" s="2567"/>
      <c r="PAO82" s="2567"/>
      <c r="PAP82" s="2567"/>
      <c r="PAQ82" s="2567"/>
      <c r="PAR82" s="2567"/>
      <c r="PAS82" s="2567"/>
      <c r="PAT82" s="2567"/>
      <c r="PAU82" s="2567"/>
      <c r="PAV82" s="2567"/>
      <c r="PAW82" s="2567"/>
      <c r="PAX82" s="2567"/>
      <c r="PAY82" s="2567"/>
      <c r="PAZ82" s="2567"/>
      <c r="PBA82" s="2567"/>
      <c r="PBB82" s="2567"/>
      <c r="PBC82" s="2567"/>
      <c r="PBD82" s="2567"/>
      <c r="PBE82" s="2567"/>
      <c r="PBF82" s="2567"/>
      <c r="PBG82" s="2567"/>
      <c r="PBH82" s="2567"/>
      <c r="PBI82" s="2567"/>
      <c r="PBJ82" s="2567"/>
      <c r="PBK82" s="2567"/>
      <c r="PBL82" s="2567"/>
      <c r="PBM82" s="2567"/>
      <c r="PBN82" s="2567"/>
      <c r="PBO82" s="2567"/>
      <c r="PBP82" s="2567"/>
      <c r="PBQ82" s="2567"/>
      <c r="PBR82" s="2567"/>
      <c r="PBS82" s="2567"/>
      <c r="PBT82" s="2567"/>
      <c r="PBU82" s="2567"/>
      <c r="PBV82" s="2567"/>
      <c r="PBW82" s="2567"/>
      <c r="PBX82" s="2567"/>
      <c r="PBY82" s="2567"/>
      <c r="PBZ82" s="2567"/>
      <c r="PCA82" s="2567"/>
      <c r="PCB82" s="2567"/>
      <c r="PCC82" s="2567"/>
      <c r="PCD82" s="2567"/>
      <c r="PCE82" s="2567"/>
      <c r="PCF82" s="2567"/>
      <c r="PCG82" s="2567"/>
      <c r="PCH82" s="2567"/>
      <c r="PCI82" s="2567"/>
      <c r="PCJ82" s="2567"/>
      <c r="PCK82" s="2567"/>
      <c r="PCL82" s="2567"/>
      <c r="PCM82" s="2567"/>
      <c r="PCN82" s="2567"/>
      <c r="PCO82" s="2567"/>
      <c r="PCP82" s="2567"/>
      <c r="PCQ82" s="2567"/>
      <c r="PCR82" s="2567"/>
      <c r="PCS82" s="2567"/>
      <c r="PCT82" s="2567"/>
      <c r="PCU82" s="2567"/>
      <c r="PCV82" s="2567"/>
      <c r="PCW82" s="2567"/>
      <c r="PCX82" s="2567"/>
      <c r="PCY82" s="2567"/>
      <c r="PCZ82" s="2567"/>
      <c r="PDA82" s="2567"/>
      <c r="PDB82" s="2567"/>
      <c r="PDC82" s="2567"/>
      <c r="PDD82" s="2567"/>
      <c r="PDE82" s="2567"/>
      <c r="PDF82" s="2567"/>
      <c r="PDG82" s="2567"/>
      <c r="PDH82" s="2567"/>
      <c r="PDI82" s="2567"/>
      <c r="PDJ82" s="2567"/>
      <c r="PDK82" s="2567"/>
      <c r="PDL82" s="2567"/>
      <c r="PDM82" s="2567"/>
      <c r="PDN82" s="2567"/>
      <c r="PDO82" s="2567"/>
      <c r="PDP82" s="2567"/>
      <c r="PDQ82" s="2567"/>
      <c r="PDR82" s="2567"/>
      <c r="PDS82" s="2567"/>
      <c r="PDT82" s="2567"/>
      <c r="PDU82" s="2567"/>
      <c r="PDV82" s="2567"/>
      <c r="PDW82" s="2567"/>
      <c r="PDX82" s="2567"/>
      <c r="PDY82" s="2567"/>
      <c r="PDZ82" s="2567"/>
      <c r="PEA82" s="2567"/>
      <c r="PEB82" s="2567"/>
      <c r="PEC82" s="2567"/>
      <c r="PED82" s="2567"/>
      <c r="PEE82" s="2567"/>
      <c r="PEF82" s="2567"/>
      <c r="PEG82" s="2567"/>
      <c r="PEH82" s="2567"/>
      <c r="PEI82" s="2567"/>
      <c r="PEJ82" s="2567"/>
      <c r="PEK82" s="2567"/>
      <c r="PEL82" s="2567"/>
      <c r="PEM82" s="2567"/>
      <c r="PEN82" s="2567"/>
      <c r="PEO82" s="2567"/>
      <c r="PEP82" s="2567"/>
      <c r="PEQ82" s="2567"/>
      <c r="PER82" s="2567"/>
      <c r="PES82" s="2567"/>
      <c r="PET82" s="2567"/>
      <c r="PEU82" s="2567"/>
      <c r="PEV82" s="2567"/>
      <c r="PEW82" s="2567"/>
      <c r="PEX82" s="2567"/>
      <c r="PEY82" s="2567"/>
      <c r="PEZ82" s="2567"/>
      <c r="PFA82" s="2567"/>
      <c r="PFB82" s="2567"/>
      <c r="PFC82" s="2567"/>
      <c r="PFD82" s="2567"/>
      <c r="PFE82" s="2567"/>
      <c r="PFF82" s="2567"/>
      <c r="PFG82" s="2567"/>
      <c r="PFH82" s="2567"/>
      <c r="PFI82" s="2567"/>
      <c r="PFJ82" s="2567"/>
      <c r="PFK82" s="2567"/>
      <c r="PFL82" s="2567"/>
      <c r="PFM82" s="2567"/>
      <c r="PFN82" s="2567"/>
      <c r="PFO82" s="2567"/>
      <c r="PFP82" s="2567"/>
      <c r="PFQ82" s="2567"/>
      <c r="PFR82" s="2567"/>
      <c r="PFS82" s="2567"/>
      <c r="PFT82" s="2567"/>
      <c r="PFU82" s="2567"/>
      <c r="PFV82" s="2567"/>
      <c r="PFW82" s="2567"/>
      <c r="PFX82" s="2567"/>
      <c r="PFY82" s="2567"/>
      <c r="PFZ82" s="2567"/>
      <c r="PGA82" s="2567"/>
      <c r="PGB82" s="2567"/>
      <c r="PGC82" s="2567"/>
      <c r="PGD82" s="2567"/>
      <c r="PGE82" s="2567"/>
      <c r="PGF82" s="2567"/>
      <c r="PGG82" s="2567"/>
      <c r="PGH82" s="2567"/>
      <c r="PGI82" s="2567"/>
      <c r="PGJ82" s="2567"/>
      <c r="PGK82" s="2567"/>
      <c r="PGL82" s="2567"/>
      <c r="PGM82" s="2567"/>
      <c r="PGN82" s="2567"/>
      <c r="PGO82" s="2567"/>
      <c r="PGP82" s="2567"/>
      <c r="PGQ82" s="2567"/>
      <c r="PGR82" s="2567"/>
      <c r="PGS82" s="2567"/>
      <c r="PGT82" s="2567"/>
      <c r="PGU82" s="2567"/>
      <c r="PGV82" s="2567"/>
      <c r="PGW82" s="2567"/>
      <c r="PGX82" s="2567"/>
      <c r="PGY82" s="2567"/>
      <c r="PGZ82" s="2567"/>
      <c r="PHA82" s="2567"/>
      <c r="PHB82" s="2567"/>
      <c r="PHC82" s="2567"/>
      <c r="PHD82" s="2567"/>
      <c r="PHE82" s="2567"/>
      <c r="PHF82" s="2567"/>
      <c r="PHG82" s="2567"/>
      <c r="PHH82" s="2567"/>
      <c r="PHI82" s="2567"/>
      <c r="PHJ82" s="2567"/>
      <c r="PHK82" s="2567"/>
      <c r="PHL82" s="2567"/>
      <c r="PHM82" s="2567"/>
      <c r="PHN82" s="2567"/>
      <c r="PHO82" s="2567"/>
      <c r="PHP82" s="2567"/>
      <c r="PHQ82" s="2567"/>
      <c r="PHR82" s="2567"/>
      <c r="PHS82" s="2567"/>
      <c r="PHT82" s="2567"/>
      <c r="PHU82" s="2567"/>
      <c r="PHV82" s="2567"/>
      <c r="PHW82" s="2567"/>
      <c r="PHX82" s="2567"/>
      <c r="PHY82" s="2567"/>
      <c r="PHZ82" s="2567"/>
      <c r="PIA82" s="2567"/>
      <c r="PIB82" s="2567"/>
      <c r="PIC82" s="2567"/>
      <c r="PID82" s="2567"/>
      <c r="PIE82" s="2567"/>
      <c r="PIF82" s="2567"/>
      <c r="PIG82" s="2567"/>
      <c r="PIH82" s="2567"/>
      <c r="PII82" s="2567"/>
      <c r="PIJ82" s="2567"/>
      <c r="PIK82" s="2567"/>
      <c r="PIL82" s="2567"/>
      <c r="PIM82" s="2567"/>
      <c r="PIN82" s="2567"/>
      <c r="PIO82" s="2567"/>
      <c r="PIP82" s="2567"/>
      <c r="PIQ82" s="2567"/>
      <c r="PIR82" s="2567"/>
      <c r="PIS82" s="2567"/>
      <c r="PIT82" s="2567"/>
      <c r="PIU82" s="2567"/>
      <c r="PIV82" s="2567"/>
      <c r="PIW82" s="2567"/>
      <c r="PIX82" s="2567"/>
      <c r="PIY82" s="2567"/>
      <c r="PIZ82" s="2567"/>
      <c r="PJA82" s="2567"/>
      <c r="PJB82" s="2567"/>
      <c r="PJC82" s="2567"/>
      <c r="PJD82" s="2567"/>
      <c r="PJE82" s="2567"/>
      <c r="PJF82" s="2567"/>
      <c r="PJG82" s="2567"/>
      <c r="PJH82" s="2567"/>
      <c r="PJI82" s="2567"/>
      <c r="PJJ82" s="2567"/>
      <c r="PJK82" s="2567"/>
      <c r="PJL82" s="2567"/>
      <c r="PJM82" s="2567"/>
      <c r="PJN82" s="2567"/>
      <c r="PJO82" s="2567"/>
      <c r="PJP82" s="2567"/>
      <c r="PJQ82" s="2567"/>
      <c r="PJR82" s="2567"/>
      <c r="PJS82" s="2567"/>
      <c r="PJT82" s="2567"/>
      <c r="PJU82" s="2567"/>
      <c r="PJV82" s="2567"/>
      <c r="PJW82" s="2567"/>
      <c r="PJX82" s="2567"/>
      <c r="PJY82" s="2567"/>
      <c r="PJZ82" s="2567"/>
      <c r="PKA82" s="2567"/>
      <c r="PKB82" s="2567"/>
      <c r="PKC82" s="2567"/>
      <c r="PKD82" s="2567"/>
      <c r="PKE82" s="2567"/>
      <c r="PKF82" s="2567"/>
      <c r="PKG82" s="2567"/>
      <c r="PKH82" s="2567"/>
      <c r="PKI82" s="2567"/>
      <c r="PKJ82" s="2567"/>
      <c r="PKK82" s="2567"/>
      <c r="PKL82" s="2567"/>
      <c r="PKM82" s="2567"/>
      <c r="PKN82" s="2567"/>
      <c r="PKO82" s="2567"/>
      <c r="PKP82" s="2567"/>
      <c r="PKQ82" s="2567"/>
      <c r="PKR82" s="2567"/>
      <c r="PKS82" s="2567"/>
      <c r="PKT82" s="2567"/>
      <c r="PKU82" s="2567"/>
      <c r="PKV82" s="2567"/>
      <c r="PKW82" s="2567"/>
      <c r="PKX82" s="2567"/>
      <c r="PKY82" s="2567"/>
      <c r="PKZ82" s="2567"/>
      <c r="PLA82" s="2567"/>
      <c r="PLB82" s="2567"/>
      <c r="PLC82" s="2567"/>
      <c r="PLD82" s="2567"/>
      <c r="PLE82" s="2567"/>
      <c r="PLF82" s="2567"/>
      <c r="PLG82" s="2567"/>
      <c r="PLH82" s="2567"/>
      <c r="PLI82" s="2567"/>
      <c r="PLJ82" s="2567"/>
      <c r="PLK82" s="2567"/>
      <c r="PLL82" s="2567"/>
      <c r="PLM82" s="2567"/>
      <c r="PLN82" s="2567"/>
      <c r="PLO82" s="2567"/>
      <c r="PLP82" s="2567"/>
      <c r="PLQ82" s="2567"/>
      <c r="PLR82" s="2567"/>
      <c r="PLS82" s="2567"/>
      <c r="PLT82" s="2567"/>
      <c r="PLU82" s="2567"/>
      <c r="PLV82" s="2567"/>
      <c r="PLW82" s="2567"/>
      <c r="PLX82" s="2567"/>
      <c r="PLY82" s="2567"/>
      <c r="PLZ82" s="2567"/>
      <c r="PMA82" s="2567"/>
      <c r="PMB82" s="2567"/>
      <c r="PMC82" s="2567"/>
      <c r="PMD82" s="2567"/>
      <c r="PME82" s="2567"/>
      <c r="PMF82" s="2567"/>
      <c r="PMG82" s="2567"/>
      <c r="PMH82" s="2567"/>
      <c r="PMI82" s="2567"/>
      <c r="PMJ82" s="2567"/>
      <c r="PMK82" s="2567"/>
      <c r="PML82" s="2567"/>
      <c r="PMM82" s="2567"/>
      <c r="PMN82" s="2567"/>
      <c r="PMO82" s="2567"/>
      <c r="PMP82" s="2567"/>
      <c r="PMQ82" s="2567"/>
      <c r="PMR82" s="2567"/>
      <c r="PMS82" s="2567"/>
      <c r="PMT82" s="2567"/>
      <c r="PMU82" s="2567"/>
      <c r="PMV82" s="2567"/>
      <c r="PMW82" s="2567"/>
      <c r="PMX82" s="2567"/>
      <c r="PMY82" s="2567"/>
      <c r="PMZ82" s="2567"/>
      <c r="PNA82" s="2567"/>
      <c r="PNB82" s="2567"/>
      <c r="PNC82" s="2567"/>
      <c r="PND82" s="2567"/>
      <c r="PNE82" s="2567"/>
      <c r="PNF82" s="2567"/>
      <c r="PNG82" s="2567"/>
      <c r="PNH82" s="2567"/>
      <c r="PNI82" s="2567"/>
      <c r="PNJ82" s="2567"/>
      <c r="PNK82" s="2567"/>
      <c r="PNL82" s="2567"/>
      <c r="PNM82" s="2567"/>
      <c r="PNN82" s="2567"/>
      <c r="PNO82" s="2567"/>
      <c r="PNP82" s="2567"/>
      <c r="PNQ82" s="2567"/>
      <c r="PNR82" s="2567"/>
      <c r="PNS82" s="2567"/>
      <c r="PNT82" s="2567"/>
      <c r="PNU82" s="2567"/>
      <c r="PNV82" s="2567"/>
      <c r="PNW82" s="2567"/>
      <c r="PNX82" s="2567"/>
      <c r="PNY82" s="2567"/>
      <c r="PNZ82" s="2567"/>
      <c r="POA82" s="2567"/>
      <c r="POB82" s="2567"/>
      <c r="POC82" s="2567"/>
      <c r="POD82" s="2567"/>
      <c r="POE82" s="2567"/>
      <c r="POF82" s="2567"/>
      <c r="POG82" s="2567"/>
      <c r="POH82" s="2567"/>
      <c r="POI82" s="2567"/>
      <c r="POJ82" s="2567"/>
      <c r="POK82" s="2567"/>
      <c r="POL82" s="2567"/>
      <c r="POM82" s="2567"/>
      <c r="PON82" s="2567"/>
      <c r="POO82" s="2567"/>
      <c r="POP82" s="2567"/>
      <c r="POQ82" s="2567"/>
      <c r="POR82" s="2567"/>
      <c r="POS82" s="2567"/>
      <c r="POT82" s="2567"/>
      <c r="POU82" s="2567"/>
      <c r="POV82" s="2567"/>
      <c r="POW82" s="2567"/>
      <c r="POX82" s="2567"/>
      <c r="POY82" s="2567"/>
      <c r="POZ82" s="2567"/>
      <c r="PPA82" s="2567"/>
      <c r="PPB82" s="2567"/>
      <c r="PPC82" s="2567"/>
      <c r="PPD82" s="2567"/>
      <c r="PPE82" s="2567"/>
      <c r="PPF82" s="2567"/>
      <c r="PPG82" s="2567"/>
      <c r="PPH82" s="2567"/>
      <c r="PPI82" s="2567"/>
      <c r="PPJ82" s="2567"/>
      <c r="PPK82" s="2567"/>
      <c r="PPL82" s="2567"/>
      <c r="PPM82" s="2567"/>
      <c r="PPN82" s="2567"/>
      <c r="PPO82" s="2567"/>
      <c r="PPP82" s="2567"/>
      <c r="PPQ82" s="2567"/>
      <c r="PPR82" s="2567"/>
      <c r="PPS82" s="2567"/>
      <c r="PPT82" s="2567"/>
      <c r="PPU82" s="2567"/>
      <c r="PPV82" s="2567"/>
      <c r="PPW82" s="2567"/>
      <c r="PPX82" s="2567"/>
      <c r="PPY82" s="2567"/>
      <c r="PPZ82" s="2567"/>
      <c r="PQA82" s="2567"/>
      <c r="PQB82" s="2567"/>
      <c r="PQC82" s="2567"/>
      <c r="PQD82" s="2567"/>
      <c r="PQE82" s="2567"/>
      <c r="PQF82" s="2567"/>
      <c r="PQG82" s="2567"/>
      <c r="PQH82" s="2567"/>
      <c r="PQI82" s="2567"/>
      <c r="PQJ82" s="2567"/>
      <c r="PQK82" s="2567"/>
      <c r="PQL82" s="2567"/>
      <c r="PQM82" s="2567"/>
      <c r="PQN82" s="2567"/>
      <c r="PQO82" s="2567"/>
      <c r="PQP82" s="2567"/>
      <c r="PQQ82" s="2567"/>
      <c r="PQR82" s="2567"/>
      <c r="PQS82" s="2567"/>
      <c r="PQT82" s="2567"/>
      <c r="PQU82" s="2567"/>
      <c r="PQV82" s="2567"/>
      <c r="PQW82" s="2567"/>
      <c r="PQX82" s="2567"/>
      <c r="PQY82" s="2567"/>
      <c r="PQZ82" s="2567"/>
      <c r="PRA82" s="2567"/>
      <c r="PRB82" s="2567"/>
      <c r="PRC82" s="2567"/>
      <c r="PRD82" s="2567"/>
      <c r="PRE82" s="2567"/>
      <c r="PRF82" s="2567"/>
      <c r="PRG82" s="2567"/>
      <c r="PRH82" s="2567"/>
      <c r="PRI82" s="2567"/>
      <c r="PRJ82" s="2567"/>
      <c r="PRK82" s="2567"/>
      <c r="PRL82" s="2567"/>
      <c r="PRM82" s="2567"/>
      <c r="PRN82" s="2567"/>
      <c r="PRO82" s="2567"/>
      <c r="PRP82" s="2567"/>
      <c r="PRQ82" s="2567"/>
      <c r="PRR82" s="2567"/>
      <c r="PRS82" s="2567"/>
      <c r="PRT82" s="2567"/>
      <c r="PRU82" s="2567"/>
      <c r="PRV82" s="2567"/>
      <c r="PRW82" s="2567"/>
      <c r="PRX82" s="2567"/>
      <c r="PRY82" s="2567"/>
      <c r="PRZ82" s="2567"/>
      <c r="PSA82" s="2567"/>
      <c r="PSB82" s="2567"/>
      <c r="PSC82" s="2567"/>
      <c r="PSD82" s="2567"/>
      <c r="PSE82" s="2567"/>
      <c r="PSF82" s="2567"/>
      <c r="PSG82" s="2567"/>
      <c r="PSH82" s="2567"/>
      <c r="PSI82" s="2567"/>
      <c r="PSJ82" s="2567"/>
      <c r="PSK82" s="2567"/>
      <c r="PSL82" s="2567"/>
      <c r="PSM82" s="2567"/>
      <c r="PSN82" s="2567"/>
      <c r="PSO82" s="2567"/>
      <c r="PSP82" s="2567"/>
      <c r="PSQ82" s="2567"/>
      <c r="PSR82" s="2567"/>
      <c r="PSS82" s="2567"/>
      <c r="PST82" s="2567"/>
      <c r="PSU82" s="2567"/>
      <c r="PSV82" s="2567"/>
      <c r="PSW82" s="2567"/>
      <c r="PSX82" s="2567"/>
      <c r="PSY82" s="2567"/>
      <c r="PSZ82" s="2567"/>
      <c r="PTA82" s="2567"/>
      <c r="PTB82" s="2567"/>
      <c r="PTC82" s="2567"/>
      <c r="PTD82" s="2567"/>
      <c r="PTE82" s="2567"/>
      <c r="PTF82" s="2567"/>
      <c r="PTG82" s="2567"/>
      <c r="PTH82" s="2567"/>
      <c r="PTI82" s="2567"/>
      <c r="PTJ82" s="2567"/>
      <c r="PTK82" s="2567"/>
      <c r="PTL82" s="2567"/>
      <c r="PTM82" s="2567"/>
      <c r="PTN82" s="2567"/>
      <c r="PTO82" s="2567"/>
      <c r="PTP82" s="2567"/>
      <c r="PTQ82" s="2567"/>
      <c r="PTR82" s="2567"/>
      <c r="PTS82" s="2567"/>
      <c r="PTT82" s="2567"/>
      <c r="PTU82" s="2567"/>
      <c r="PTV82" s="2567"/>
      <c r="PTW82" s="2567"/>
      <c r="PTX82" s="2567"/>
      <c r="PTY82" s="2567"/>
      <c r="PTZ82" s="2567"/>
      <c r="PUA82" s="2567"/>
      <c r="PUB82" s="2567"/>
      <c r="PUC82" s="2567"/>
      <c r="PUD82" s="2567"/>
      <c r="PUE82" s="2567"/>
      <c r="PUF82" s="2567"/>
      <c r="PUG82" s="2567"/>
      <c r="PUH82" s="2567"/>
      <c r="PUI82" s="2567"/>
      <c r="PUJ82" s="2567"/>
      <c r="PUK82" s="2567"/>
      <c r="PUL82" s="2567"/>
      <c r="PUM82" s="2567"/>
      <c r="PUN82" s="2567"/>
      <c r="PUO82" s="2567"/>
      <c r="PUP82" s="2567"/>
      <c r="PUQ82" s="2567"/>
      <c r="PUR82" s="2567"/>
      <c r="PUS82" s="2567"/>
      <c r="PUT82" s="2567"/>
      <c r="PUU82" s="2567"/>
      <c r="PUV82" s="2567"/>
      <c r="PUW82" s="2567"/>
      <c r="PUX82" s="2567"/>
      <c r="PUY82" s="2567"/>
      <c r="PUZ82" s="2567"/>
      <c r="PVA82" s="2567"/>
      <c r="PVB82" s="2567"/>
      <c r="PVC82" s="2567"/>
      <c r="PVD82" s="2567"/>
      <c r="PVE82" s="2567"/>
      <c r="PVF82" s="2567"/>
      <c r="PVG82" s="2567"/>
      <c r="PVH82" s="2567"/>
      <c r="PVI82" s="2567"/>
      <c r="PVJ82" s="2567"/>
      <c r="PVK82" s="2567"/>
      <c r="PVL82" s="2567"/>
      <c r="PVM82" s="2567"/>
      <c r="PVN82" s="2567"/>
      <c r="PVO82" s="2567"/>
      <c r="PVP82" s="2567"/>
      <c r="PVQ82" s="2567"/>
      <c r="PVR82" s="2567"/>
      <c r="PVS82" s="2567"/>
      <c r="PVT82" s="2567"/>
      <c r="PVU82" s="2567"/>
      <c r="PVV82" s="2567"/>
      <c r="PVW82" s="2567"/>
      <c r="PVX82" s="2567"/>
      <c r="PVY82" s="2567"/>
      <c r="PVZ82" s="2567"/>
      <c r="PWA82" s="2567"/>
      <c r="PWB82" s="2567"/>
      <c r="PWC82" s="2567"/>
      <c r="PWD82" s="2567"/>
      <c r="PWE82" s="2567"/>
      <c r="PWF82" s="2567"/>
      <c r="PWG82" s="2567"/>
      <c r="PWH82" s="2567"/>
      <c r="PWI82" s="2567"/>
      <c r="PWJ82" s="2567"/>
      <c r="PWK82" s="2567"/>
      <c r="PWL82" s="2567"/>
      <c r="PWM82" s="2567"/>
      <c r="PWN82" s="2567"/>
      <c r="PWO82" s="2567"/>
      <c r="PWP82" s="2567"/>
      <c r="PWQ82" s="2567"/>
      <c r="PWR82" s="2567"/>
      <c r="PWS82" s="2567"/>
      <c r="PWT82" s="2567"/>
      <c r="PWU82" s="2567"/>
      <c r="PWV82" s="2567"/>
      <c r="PWW82" s="2567"/>
      <c r="PWX82" s="2567"/>
      <c r="PWY82" s="2567"/>
      <c r="PWZ82" s="2567"/>
      <c r="PXA82" s="2567"/>
      <c r="PXB82" s="2567"/>
      <c r="PXC82" s="2567"/>
      <c r="PXD82" s="2567"/>
      <c r="PXE82" s="2567"/>
      <c r="PXF82" s="2567"/>
      <c r="PXG82" s="2567"/>
      <c r="PXH82" s="2567"/>
      <c r="PXI82" s="2567"/>
      <c r="PXJ82" s="2567"/>
      <c r="PXK82" s="2567"/>
      <c r="PXL82" s="2567"/>
      <c r="PXM82" s="2567"/>
      <c r="PXN82" s="2567"/>
      <c r="PXO82" s="2567"/>
      <c r="PXP82" s="2567"/>
      <c r="PXQ82" s="2567"/>
      <c r="PXR82" s="2567"/>
      <c r="PXS82" s="2567"/>
      <c r="PXT82" s="2567"/>
      <c r="PXU82" s="2567"/>
      <c r="PXV82" s="2567"/>
      <c r="PXW82" s="2567"/>
      <c r="PXX82" s="2567"/>
      <c r="PXY82" s="2567"/>
      <c r="PXZ82" s="2567"/>
      <c r="PYA82" s="2567"/>
      <c r="PYB82" s="2567"/>
      <c r="PYC82" s="2567"/>
      <c r="PYD82" s="2567"/>
      <c r="PYE82" s="2567"/>
      <c r="PYF82" s="2567"/>
      <c r="PYG82" s="2567"/>
      <c r="PYH82" s="2567"/>
      <c r="PYI82" s="2567"/>
      <c r="PYJ82" s="2567"/>
      <c r="PYK82" s="2567"/>
      <c r="PYL82" s="2567"/>
      <c r="PYM82" s="2567"/>
      <c r="PYN82" s="2567"/>
      <c r="PYO82" s="2567"/>
      <c r="PYP82" s="2567"/>
      <c r="PYQ82" s="2567"/>
      <c r="PYR82" s="2567"/>
      <c r="PYS82" s="2567"/>
      <c r="PYT82" s="2567"/>
      <c r="PYU82" s="2567"/>
      <c r="PYV82" s="2567"/>
      <c r="PYW82" s="2567"/>
      <c r="PYX82" s="2567"/>
      <c r="PYY82" s="2567"/>
      <c r="PYZ82" s="2567"/>
      <c r="PZA82" s="2567"/>
      <c r="PZB82" s="2567"/>
      <c r="PZC82" s="2567"/>
      <c r="PZD82" s="2567"/>
      <c r="PZE82" s="2567"/>
      <c r="PZF82" s="2567"/>
      <c r="PZG82" s="2567"/>
      <c r="PZH82" s="2567"/>
      <c r="PZI82" s="2567"/>
      <c r="PZJ82" s="2567"/>
      <c r="PZK82" s="2567"/>
      <c r="PZL82" s="2567"/>
      <c r="PZM82" s="2567"/>
      <c r="PZN82" s="2567"/>
      <c r="PZO82" s="2567"/>
      <c r="PZP82" s="2567"/>
      <c r="PZQ82" s="2567"/>
      <c r="PZR82" s="2567"/>
      <c r="PZS82" s="2567"/>
      <c r="PZT82" s="2567"/>
      <c r="PZU82" s="2567"/>
      <c r="PZV82" s="2567"/>
      <c r="PZW82" s="2567"/>
      <c r="PZX82" s="2567"/>
      <c r="PZY82" s="2567"/>
      <c r="PZZ82" s="2567"/>
      <c r="QAA82" s="2567"/>
      <c r="QAB82" s="2567"/>
      <c r="QAC82" s="2567"/>
      <c r="QAD82" s="2567"/>
      <c r="QAE82" s="2567"/>
      <c r="QAF82" s="2567"/>
      <c r="QAG82" s="2567"/>
      <c r="QAH82" s="2567"/>
      <c r="QAI82" s="2567"/>
      <c r="QAJ82" s="2567"/>
      <c r="QAK82" s="2567"/>
      <c r="QAL82" s="2567"/>
      <c r="QAM82" s="2567"/>
      <c r="QAN82" s="2567"/>
      <c r="QAO82" s="2567"/>
      <c r="QAP82" s="2567"/>
      <c r="QAQ82" s="2567"/>
      <c r="QAR82" s="2567"/>
      <c r="QAS82" s="2567"/>
      <c r="QAT82" s="2567"/>
      <c r="QAU82" s="2567"/>
      <c r="QAV82" s="2567"/>
      <c r="QAW82" s="2567"/>
      <c r="QAX82" s="2567"/>
      <c r="QAY82" s="2567"/>
      <c r="QAZ82" s="2567"/>
      <c r="QBA82" s="2567"/>
      <c r="QBB82" s="2567"/>
      <c r="QBC82" s="2567"/>
      <c r="QBD82" s="2567"/>
      <c r="QBE82" s="2567"/>
      <c r="QBF82" s="2567"/>
      <c r="QBG82" s="2567"/>
      <c r="QBH82" s="2567"/>
      <c r="QBI82" s="2567"/>
      <c r="QBJ82" s="2567"/>
      <c r="QBK82" s="2567"/>
      <c r="QBL82" s="2567"/>
      <c r="QBM82" s="2567"/>
      <c r="QBN82" s="2567"/>
      <c r="QBO82" s="2567"/>
      <c r="QBP82" s="2567"/>
      <c r="QBQ82" s="2567"/>
      <c r="QBR82" s="2567"/>
      <c r="QBS82" s="2567"/>
      <c r="QBT82" s="2567"/>
      <c r="QBU82" s="2567"/>
      <c r="QBV82" s="2567"/>
      <c r="QBW82" s="2567"/>
      <c r="QBX82" s="2567"/>
      <c r="QBY82" s="2567"/>
      <c r="QBZ82" s="2567"/>
      <c r="QCA82" s="2567"/>
      <c r="QCB82" s="2567"/>
      <c r="QCC82" s="2567"/>
      <c r="QCD82" s="2567"/>
      <c r="QCE82" s="2567"/>
      <c r="QCF82" s="2567"/>
      <c r="QCG82" s="2567"/>
      <c r="QCH82" s="2567"/>
      <c r="QCI82" s="2567"/>
      <c r="QCJ82" s="2567"/>
      <c r="QCK82" s="2567"/>
      <c r="QCL82" s="2567"/>
      <c r="QCM82" s="2567"/>
      <c r="QCN82" s="2567"/>
      <c r="QCO82" s="2567"/>
      <c r="QCP82" s="2567"/>
      <c r="QCQ82" s="2567"/>
      <c r="QCR82" s="2567"/>
      <c r="QCS82" s="2567"/>
      <c r="QCT82" s="2567"/>
      <c r="QCU82" s="2567"/>
      <c r="QCV82" s="2567"/>
      <c r="QCW82" s="2567"/>
      <c r="QCX82" s="2567"/>
      <c r="QCY82" s="2567"/>
      <c r="QCZ82" s="2567"/>
      <c r="QDA82" s="2567"/>
      <c r="QDB82" s="2567"/>
      <c r="QDC82" s="2567"/>
      <c r="QDD82" s="2567"/>
      <c r="QDE82" s="2567"/>
      <c r="QDF82" s="2567"/>
      <c r="QDG82" s="2567"/>
      <c r="QDH82" s="2567"/>
      <c r="QDI82" s="2567"/>
      <c r="QDJ82" s="2567"/>
      <c r="QDK82" s="2567"/>
      <c r="QDL82" s="2567"/>
      <c r="QDM82" s="2567"/>
      <c r="QDN82" s="2567"/>
      <c r="QDO82" s="2567"/>
      <c r="QDP82" s="2567"/>
      <c r="QDQ82" s="2567"/>
      <c r="QDR82" s="2567"/>
      <c r="QDS82" s="2567"/>
      <c r="QDT82" s="2567"/>
      <c r="QDU82" s="2567"/>
      <c r="QDV82" s="2567"/>
      <c r="QDW82" s="2567"/>
      <c r="QDX82" s="2567"/>
      <c r="QDY82" s="2567"/>
      <c r="QDZ82" s="2567"/>
      <c r="QEA82" s="2567"/>
      <c r="QEB82" s="2567"/>
      <c r="QEC82" s="2567"/>
      <c r="QED82" s="2567"/>
      <c r="QEE82" s="2567"/>
      <c r="QEF82" s="2567"/>
      <c r="QEG82" s="2567"/>
      <c r="QEH82" s="2567"/>
      <c r="QEI82" s="2567"/>
      <c r="QEJ82" s="2567"/>
      <c r="QEK82" s="2567"/>
      <c r="QEL82" s="2567"/>
      <c r="QEM82" s="2567"/>
      <c r="QEN82" s="2567"/>
      <c r="QEO82" s="2567"/>
      <c r="QEP82" s="2567"/>
      <c r="QEQ82" s="2567"/>
      <c r="QER82" s="2567"/>
      <c r="QES82" s="2567"/>
      <c r="QET82" s="2567"/>
      <c r="QEU82" s="2567"/>
      <c r="QEV82" s="2567"/>
      <c r="QEW82" s="2567"/>
      <c r="QEX82" s="2567"/>
      <c r="QEY82" s="2567"/>
      <c r="QEZ82" s="2567"/>
      <c r="QFA82" s="2567"/>
      <c r="QFB82" s="2567"/>
      <c r="QFC82" s="2567"/>
      <c r="QFD82" s="2567"/>
      <c r="QFE82" s="2567"/>
      <c r="QFF82" s="2567"/>
      <c r="QFG82" s="2567"/>
      <c r="QFH82" s="2567"/>
      <c r="QFI82" s="2567"/>
      <c r="QFJ82" s="2567"/>
      <c r="QFK82" s="2567"/>
      <c r="QFL82" s="2567"/>
      <c r="QFM82" s="2567"/>
      <c r="QFN82" s="2567"/>
      <c r="QFO82" s="2567"/>
      <c r="QFP82" s="2567"/>
      <c r="QFQ82" s="2567"/>
      <c r="QFR82" s="2567"/>
      <c r="QFS82" s="2567"/>
      <c r="QFT82" s="2567"/>
      <c r="QFU82" s="2567"/>
      <c r="QFV82" s="2567"/>
      <c r="QFW82" s="2567"/>
      <c r="QFX82" s="2567"/>
      <c r="QFY82" s="2567"/>
      <c r="QFZ82" s="2567"/>
      <c r="QGA82" s="2567"/>
      <c r="QGB82" s="2567"/>
      <c r="QGC82" s="2567"/>
      <c r="QGD82" s="2567"/>
      <c r="QGE82" s="2567"/>
      <c r="QGF82" s="2567"/>
      <c r="QGG82" s="2567"/>
      <c r="QGH82" s="2567"/>
      <c r="QGI82" s="2567"/>
      <c r="QGJ82" s="2567"/>
      <c r="QGK82" s="2567"/>
      <c r="QGL82" s="2567"/>
      <c r="QGM82" s="2567"/>
      <c r="QGN82" s="2567"/>
      <c r="QGO82" s="2567"/>
      <c r="QGP82" s="2567"/>
      <c r="QGQ82" s="2567"/>
      <c r="QGR82" s="2567"/>
      <c r="QGS82" s="2567"/>
      <c r="QGT82" s="2567"/>
      <c r="QGU82" s="2567"/>
      <c r="QGV82" s="2567"/>
      <c r="QGW82" s="2567"/>
      <c r="QGX82" s="2567"/>
      <c r="QGY82" s="2567"/>
      <c r="QGZ82" s="2567"/>
      <c r="QHA82" s="2567"/>
      <c r="QHB82" s="2567"/>
      <c r="QHC82" s="2567"/>
      <c r="QHD82" s="2567"/>
      <c r="QHE82" s="2567"/>
      <c r="QHF82" s="2567"/>
      <c r="QHG82" s="2567"/>
      <c r="QHH82" s="2567"/>
      <c r="QHI82" s="2567"/>
      <c r="QHJ82" s="2567"/>
      <c r="QHK82" s="2567"/>
      <c r="QHL82" s="2567"/>
      <c r="QHM82" s="2567"/>
      <c r="QHN82" s="2567"/>
      <c r="QHO82" s="2567"/>
      <c r="QHP82" s="2567"/>
      <c r="QHQ82" s="2567"/>
      <c r="QHR82" s="2567"/>
      <c r="QHS82" s="2567"/>
      <c r="QHT82" s="2567"/>
      <c r="QHU82" s="2567"/>
      <c r="QHV82" s="2567"/>
      <c r="QHW82" s="2567"/>
      <c r="QHX82" s="2567"/>
      <c r="QHY82" s="2567"/>
      <c r="QHZ82" s="2567"/>
      <c r="QIA82" s="2567"/>
      <c r="QIB82" s="2567"/>
      <c r="QIC82" s="2567"/>
      <c r="QID82" s="2567"/>
      <c r="QIE82" s="2567"/>
      <c r="QIF82" s="2567"/>
      <c r="QIG82" s="2567"/>
      <c r="QIH82" s="2567"/>
      <c r="QII82" s="2567"/>
      <c r="QIJ82" s="2567"/>
      <c r="QIK82" s="2567"/>
      <c r="QIL82" s="2567"/>
      <c r="QIM82" s="2567"/>
      <c r="QIN82" s="2567"/>
      <c r="QIO82" s="2567"/>
      <c r="QIP82" s="2567"/>
      <c r="QIQ82" s="2567"/>
      <c r="QIR82" s="2567"/>
      <c r="QIS82" s="2567"/>
      <c r="QIT82" s="2567"/>
      <c r="QIU82" s="2567"/>
      <c r="QIV82" s="2567"/>
      <c r="QIW82" s="2567"/>
      <c r="QIX82" s="2567"/>
      <c r="QIY82" s="2567"/>
      <c r="QIZ82" s="2567"/>
      <c r="QJA82" s="2567"/>
      <c r="QJB82" s="2567"/>
      <c r="QJC82" s="2567"/>
      <c r="QJD82" s="2567"/>
      <c r="QJE82" s="2567"/>
      <c r="QJF82" s="2567"/>
      <c r="QJG82" s="2567"/>
      <c r="QJH82" s="2567"/>
      <c r="QJI82" s="2567"/>
      <c r="QJJ82" s="2567"/>
      <c r="QJK82" s="2567"/>
      <c r="QJL82" s="2567"/>
      <c r="QJM82" s="2567"/>
      <c r="QJN82" s="2567"/>
      <c r="QJO82" s="2567"/>
      <c r="QJP82" s="2567"/>
      <c r="QJQ82" s="2567"/>
      <c r="QJR82" s="2567"/>
      <c r="QJS82" s="2567"/>
      <c r="QJT82" s="2567"/>
      <c r="QJU82" s="2567"/>
      <c r="QJV82" s="2567"/>
      <c r="QJW82" s="2567"/>
      <c r="QJX82" s="2567"/>
      <c r="QJY82" s="2567"/>
      <c r="QJZ82" s="2567"/>
      <c r="QKA82" s="2567"/>
      <c r="QKB82" s="2567"/>
      <c r="QKC82" s="2567"/>
      <c r="QKD82" s="2567"/>
      <c r="QKE82" s="2567"/>
      <c r="QKF82" s="2567"/>
      <c r="QKG82" s="2567"/>
      <c r="QKH82" s="2567"/>
      <c r="QKI82" s="2567"/>
      <c r="QKJ82" s="2567"/>
      <c r="QKK82" s="2567"/>
      <c r="QKL82" s="2567"/>
      <c r="QKM82" s="2567"/>
      <c r="QKN82" s="2567"/>
      <c r="QKO82" s="2567"/>
      <c r="QKP82" s="2567"/>
      <c r="QKQ82" s="2567"/>
      <c r="QKR82" s="2567"/>
      <c r="QKS82" s="2567"/>
      <c r="QKT82" s="2567"/>
      <c r="QKU82" s="2567"/>
      <c r="QKV82" s="2567"/>
      <c r="QKW82" s="2567"/>
      <c r="QKX82" s="2567"/>
      <c r="QKY82" s="2567"/>
      <c r="QKZ82" s="2567"/>
      <c r="QLA82" s="2567"/>
      <c r="QLB82" s="2567"/>
      <c r="QLC82" s="2567"/>
      <c r="QLD82" s="2567"/>
      <c r="QLE82" s="2567"/>
      <c r="QLF82" s="2567"/>
      <c r="QLG82" s="2567"/>
      <c r="QLH82" s="2567"/>
      <c r="QLI82" s="2567"/>
      <c r="QLJ82" s="2567"/>
      <c r="QLK82" s="2567"/>
      <c r="QLL82" s="2567"/>
      <c r="QLM82" s="2567"/>
      <c r="QLN82" s="2567"/>
      <c r="QLO82" s="2567"/>
      <c r="QLP82" s="2567"/>
      <c r="QLQ82" s="2567"/>
      <c r="QLR82" s="2567"/>
      <c r="QLS82" s="2567"/>
      <c r="QLT82" s="2567"/>
      <c r="QLU82" s="2567"/>
      <c r="QLV82" s="2567"/>
      <c r="QLW82" s="2567"/>
      <c r="QLX82" s="2567"/>
      <c r="QLY82" s="2567"/>
      <c r="QLZ82" s="2567"/>
      <c r="QMA82" s="2567"/>
      <c r="QMB82" s="2567"/>
      <c r="QMC82" s="2567"/>
      <c r="QMD82" s="2567"/>
      <c r="QME82" s="2567"/>
      <c r="QMF82" s="2567"/>
      <c r="QMG82" s="2567"/>
      <c r="QMH82" s="2567"/>
      <c r="QMI82" s="2567"/>
      <c r="QMJ82" s="2567"/>
      <c r="QMK82" s="2567"/>
      <c r="QML82" s="2567"/>
      <c r="QMM82" s="2567"/>
      <c r="QMN82" s="2567"/>
      <c r="QMO82" s="2567"/>
      <c r="QMP82" s="2567"/>
      <c r="QMQ82" s="2567"/>
      <c r="QMR82" s="2567"/>
      <c r="QMS82" s="2567"/>
      <c r="QMT82" s="2567"/>
      <c r="QMU82" s="2567"/>
      <c r="QMV82" s="2567"/>
      <c r="QMW82" s="2567"/>
      <c r="QMX82" s="2567"/>
      <c r="QMY82" s="2567"/>
      <c r="QMZ82" s="2567"/>
      <c r="QNA82" s="2567"/>
      <c r="QNB82" s="2567"/>
      <c r="QNC82" s="2567"/>
      <c r="QND82" s="2567"/>
      <c r="QNE82" s="2567"/>
      <c r="QNF82" s="2567"/>
      <c r="QNG82" s="2567"/>
      <c r="QNH82" s="2567"/>
      <c r="QNI82" s="2567"/>
      <c r="QNJ82" s="2567"/>
      <c r="QNK82" s="2567"/>
      <c r="QNL82" s="2567"/>
      <c r="QNM82" s="2567"/>
      <c r="QNN82" s="2567"/>
      <c r="QNO82" s="2567"/>
      <c r="QNP82" s="2567"/>
      <c r="QNQ82" s="2567"/>
      <c r="QNR82" s="2567"/>
      <c r="QNS82" s="2567"/>
      <c r="QNT82" s="2567"/>
      <c r="QNU82" s="2567"/>
      <c r="QNV82" s="2567"/>
      <c r="QNW82" s="2567"/>
      <c r="QNX82" s="2567"/>
      <c r="QNY82" s="2567"/>
      <c r="QNZ82" s="2567"/>
      <c r="QOA82" s="2567"/>
      <c r="QOB82" s="2567"/>
      <c r="QOC82" s="2567"/>
      <c r="QOD82" s="2567"/>
      <c r="QOE82" s="2567"/>
      <c r="QOF82" s="2567"/>
      <c r="QOG82" s="2567"/>
      <c r="QOH82" s="2567"/>
      <c r="QOI82" s="2567"/>
      <c r="QOJ82" s="2567"/>
      <c r="QOK82" s="2567"/>
      <c r="QOL82" s="2567"/>
      <c r="QOM82" s="2567"/>
      <c r="QON82" s="2567"/>
      <c r="QOO82" s="2567"/>
      <c r="QOP82" s="2567"/>
      <c r="QOQ82" s="2567"/>
      <c r="QOR82" s="2567"/>
      <c r="QOS82" s="2567"/>
      <c r="QOT82" s="2567"/>
      <c r="QOU82" s="2567"/>
      <c r="QOV82" s="2567"/>
      <c r="QOW82" s="2567"/>
      <c r="QOX82" s="2567"/>
      <c r="QOY82" s="2567"/>
      <c r="QOZ82" s="2567"/>
      <c r="QPA82" s="2567"/>
      <c r="QPB82" s="2567"/>
      <c r="QPC82" s="2567"/>
      <c r="QPD82" s="2567"/>
      <c r="QPE82" s="2567"/>
      <c r="QPF82" s="2567"/>
      <c r="QPG82" s="2567"/>
      <c r="QPH82" s="2567"/>
      <c r="QPI82" s="2567"/>
      <c r="QPJ82" s="2567"/>
      <c r="QPK82" s="2567"/>
      <c r="QPL82" s="2567"/>
      <c r="QPM82" s="2567"/>
      <c r="QPN82" s="2567"/>
      <c r="QPO82" s="2567"/>
      <c r="QPP82" s="2567"/>
      <c r="QPQ82" s="2567"/>
      <c r="QPR82" s="2567"/>
      <c r="QPS82" s="2567"/>
      <c r="QPT82" s="2567"/>
      <c r="QPU82" s="2567"/>
      <c r="QPV82" s="2567"/>
      <c r="QPW82" s="2567"/>
      <c r="QPX82" s="2567"/>
      <c r="QPY82" s="2567"/>
      <c r="QPZ82" s="2567"/>
      <c r="QQA82" s="2567"/>
      <c r="QQB82" s="2567"/>
      <c r="QQC82" s="2567"/>
      <c r="QQD82" s="2567"/>
      <c r="QQE82" s="2567"/>
      <c r="QQF82" s="2567"/>
      <c r="QQG82" s="2567"/>
      <c r="QQH82" s="2567"/>
      <c r="QQI82" s="2567"/>
      <c r="QQJ82" s="2567"/>
      <c r="QQK82" s="2567"/>
      <c r="QQL82" s="2567"/>
      <c r="QQM82" s="2567"/>
      <c r="QQN82" s="2567"/>
      <c r="QQO82" s="2567"/>
      <c r="QQP82" s="2567"/>
      <c r="QQQ82" s="2567"/>
      <c r="QQR82" s="2567"/>
      <c r="QQS82" s="2567"/>
      <c r="QQT82" s="2567"/>
      <c r="QQU82" s="2567"/>
      <c r="QQV82" s="2567"/>
      <c r="QQW82" s="2567"/>
      <c r="QQX82" s="2567"/>
      <c r="QQY82" s="2567"/>
      <c r="QQZ82" s="2567"/>
      <c r="QRA82" s="2567"/>
      <c r="QRB82" s="2567"/>
      <c r="QRC82" s="2567"/>
      <c r="QRD82" s="2567"/>
      <c r="QRE82" s="2567"/>
      <c r="QRF82" s="2567"/>
      <c r="QRG82" s="2567"/>
      <c r="QRH82" s="2567"/>
      <c r="QRI82" s="2567"/>
      <c r="QRJ82" s="2567"/>
      <c r="QRK82" s="2567"/>
      <c r="QRL82" s="2567"/>
      <c r="QRM82" s="2567"/>
      <c r="QRN82" s="2567"/>
      <c r="QRO82" s="2567"/>
      <c r="QRP82" s="2567"/>
      <c r="QRQ82" s="2567"/>
      <c r="QRR82" s="2567"/>
      <c r="QRS82" s="2567"/>
      <c r="QRT82" s="2567"/>
      <c r="QRU82" s="2567"/>
      <c r="QRV82" s="2567"/>
      <c r="QRW82" s="2567"/>
      <c r="QRX82" s="2567"/>
      <c r="QRY82" s="2567"/>
      <c r="QRZ82" s="2567"/>
      <c r="QSA82" s="2567"/>
      <c r="QSB82" s="2567"/>
      <c r="QSC82" s="2567"/>
      <c r="QSD82" s="2567"/>
      <c r="QSE82" s="2567"/>
      <c r="QSF82" s="2567"/>
      <c r="QSG82" s="2567"/>
      <c r="QSH82" s="2567"/>
      <c r="QSI82" s="2567"/>
      <c r="QSJ82" s="2567"/>
      <c r="QSK82" s="2567"/>
      <c r="QSL82" s="2567"/>
      <c r="QSM82" s="2567"/>
      <c r="QSN82" s="2567"/>
      <c r="QSO82" s="2567"/>
      <c r="QSP82" s="2567"/>
      <c r="QSQ82" s="2567"/>
      <c r="QSR82" s="2567"/>
      <c r="QSS82" s="2567"/>
      <c r="QST82" s="2567"/>
      <c r="QSU82" s="2567"/>
      <c r="QSV82" s="2567"/>
      <c r="QSW82" s="2567"/>
      <c r="QSX82" s="2567"/>
      <c r="QSY82" s="2567"/>
      <c r="QSZ82" s="2567"/>
      <c r="QTA82" s="2567"/>
      <c r="QTB82" s="2567"/>
      <c r="QTC82" s="2567"/>
      <c r="QTD82" s="2567"/>
      <c r="QTE82" s="2567"/>
      <c r="QTF82" s="2567"/>
      <c r="QTG82" s="2567"/>
      <c r="QTH82" s="2567"/>
      <c r="QTI82" s="2567"/>
      <c r="QTJ82" s="2567"/>
      <c r="QTK82" s="2567"/>
      <c r="QTL82" s="2567"/>
      <c r="QTM82" s="2567"/>
      <c r="QTN82" s="2567"/>
      <c r="QTO82" s="2567"/>
      <c r="QTP82" s="2567"/>
      <c r="QTQ82" s="2567"/>
      <c r="QTR82" s="2567"/>
      <c r="QTS82" s="2567"/>
      <c r="QTT82" s="2567"/>
      <c r="QTU82" s="2567"/>
      <c r="QTV82" s="2567"/>
      <c r="QTW82" s="2567"/>
      <c r="QTX82" s="2567"/>
      <c r="QTY82" s="2567"/>
      <c r="QTZ82" s="2567"/>
      <c r="QUA82" s="2567"/>
      <c r="QUB82" s="2567"/>
      <c r="QUC82" s="2567"/>
      <c r="QUD82" s="2567"/>
      <c r="QUE82" s="2567"/>
      <c r="QUF82" s="2567"/>
      <c r="QUG82" s="2567"/>
      <c r="QUH82" s="2567"/>
      <c r="QUI82" s="2567"/>
      <c r="QUJ82" s="2567"/>
      <c r="QUK82" s="2567"/>
      <c r="QUL82" s="2567"/>
      <c r="QUM82" s="2567"/>
      <c r="QUN82" s="2567"/>
      <c r="QUO82" s="2567"/>
      <c r="QUP82" s="2567"/>
      <c r="QUQ82" s="2567"/>
      <c r="QUR82" s="2567"/>
      <c r="QUS82" s="2567"/>
      <c r="QUT82" s="2567"/>
      <c r="QUU82" s="2567"/>
      <c r="QUV82" s="2567"/>
      <c r="QUW82" s="2567"/>
      <c r="QUX82" s="2567"/>
      <c r="QUY82" s="2567"/>
      <c r="QUZ82" s="2567"/>
      <c r="QVA82" s="2567"/>
      <c r="QVB82" s="2567"/>
      <c r="QVC82" s="2567"/>
      <c r="QVD82" s="2567"/>
      <c r="QVE82" s="2567"/>
      <c r="QVF82" s="2567"/>
      <c r="QVG82" s="2567"/>
      <c r="QVH82" s="2567"/>
      <c r="QVI82" s="2567"/>
      <c r="QVJ82" s="2567"/>
      <c r="QVK82" s="2567"/>
      <c r="QVL82" s="2567"/>
      <c r="QVM82" s="2567"/>
      <c r="QVN82" s="2567"/>
      <c r="QVO82" s="2567"/>
      <c r="QVP82" s="2567"/>
      <c r="QVQ82" s="2567"/>
      <c r="QVR82" s="2567"/>
      <c r="QVS82" s="2567"/>
      <c r="QVT82" s="2567"/>
      <c r="QVU82" s="2567"/>
      <c r="QVV82" s="2567"/>
      <c r="QVW82" s="2567"/>
      <c r="QVX82" s="2567"/>
      <c r="QVY82" s="2567"/>
      <c r="QVZ82" s="2567"/>
      <c r="QWA82" s="2567"/>
      <c r="QWB82" s="2567"/>
      <c r="QWC82" s="2567"/>
      <c r="QWD82" s="2567"/>
      <c r="QWE82" s="2567"/>
      <c r="QWF82" s="2567"/>
      <c r="QWG82" s="2567"/>
      <c r="QWH82" s="2567"/>
      <c r="QWI82" s="2567"/>
      <c r="QWJ82" s="2567"/>
      <c r="QWK82" s="2567"/>
      <c r="QWL82" s="2567"/>
      <c r="QWM82" s="2567"/>
      <c r="QWN82" s="2567"/>
      <c r="QWO82" s="2567"/>
      <c r="QWP82" s="2567"/>
      <c r="QWQ82" s="2567"/>
      <c r="QWR82" s="2567"/>
      <c r="QWS82" s="2567"/>
      <c r="QWT82" s="2567"/>
      <c r="QWU82" s="2567"/>
      <c r="QWV82" s="2567"/>
      <c r="QWW82" s="2567"/>
      <c r="QWX82" s="2567"/>
      <c r="QWY82" s="2567"/>
      <c r="QWZ82" s="2567"/>
      <c r="QXA82" s="2567"/>
      <c r="QXB82" s="2567"/>
      <c r="QXC82" s="2567"/>
      <c r="QXD82" s="2567"/>
      <c r="QXE82" s="2567"/>
      <c r="QXF82" s="2567"/>
      <c r="QXG82" s="2567"/>
      <c r="QXH82" s="2567"/>
      <c r="QXI82" s="2567"/>
      <c r="QXJ82" s="2567"/>
      <c r="QXK82" s="2567"/>
      <c r="QXL82" s="2567"/>
      <c r="QXM82" s="2567"/>
      <c r="QXN82" s="2567"/>
      <c r="QXO82" s="2567"/>
      <c r="QXP82" s="2567"/>
      <c r="QXQ82" s="2567"/>
      <c r="QXR82" s="2567"/>
      <c r="QXS82" s="2567"/>
      <c r="QXT82" s="2567"/>
      <c r="QXU82" s="2567"/>
      <c r="QXV82" s="2567"/>
      <c r="QXW82" s="2567"/>
      <c r="QXX82" s="2567"/>
      <c r="QXY82" s="2567"/>
      <c r="QXZ82" s="2567"/>
      <c r="QYA82" s="2567"/>
      <c r="QYB82" s="2567"/>
      <c r="QYC82" s="2567"/>
      <c r="QYD82" s="2567"/>
      <c r="QYE82" s="2567"/>
      <c r="QYF82" s="2567"/>
      <c r="QYG82" s="2567"/>
      <c r="QYH82" s="2567"/>
      <c r="QYI82" s="2567"/>
      <c r="QYJ82" s="2567"/>
      <c r="QYK82" s="2567"/>
      <c r="QYL82" s="2567"/>
      <c r="QYM82" s="2567"/>
      <c r="QYN82" s="2567"/>
      <c r="QYO82" s="2567"/>
      <c r="QYP82" s="2567"/>
      <c r="QYQ82" s="2567"/>
      <c r="QYR82" s="2567"/>
      <c r="QYS82" s="2567"/>
      <c r="QYT82" s="2567"/>
      <c r="QYU82" s="2567"/>
      <c r="QYV82" s="2567"/>
      <c r="QYW82" s="2567"/>
      <c r="QYX82" s="2567"/>
      <c r="QYY82" s="2567"/>
      <c r="QYZ82" s="2567"/>
      <c r="QZA82" s="2567"/>
      <c r="QZB82" s="2567"/>
      <c r="QZC82" s="2567"/>
      <c r="QZD82" s="2567"/>
      <c r="QZE82" s="2567"/>
      <c r="QZF82" s="2567"/>
      <c r="QZG82" s="2567"/>
      <c r="QZH82" s="2567"/>
      <c r="QZI82" s="2567"/>
      <c r="QZJ82" s="2567"/>
      <c r="QZK82" s="2567"/>
      <c r="QZL82" s="2567"/>
      <c r="QZM82" s="2567"/>
      <c r="QZN82" s="2567"/>
      <c r="QZO82" s="2567"/>
      <c r="QZP82" s="2567"/>
      <c r="QZQ82" s="2567"/>
      <c r="QZR82" s="2567"/>
      <c r="QZS82" s="2567"/>
      <c r="QZT82" s="2567"/>
      <c r="QZU82" s="2567"/>
      <c r="QZV82" s="2567"/>
      <c r="QZW82" s="2567"/>
      <c r="QZX82" s="2567"/>
      <c r="QZY82" s="2567"/>
      <c r="QZZ82" s="2567"/>
      <c r="RAA82" s="2567"/>
      <c r="RAB82" s="2567"/>
      <c r="RAC82" s="2567"/>
      <c r="RAD82" s="2567"/>
      <c r="RAE82" s="2567"/>
      <c r="RAF82" s="2567"/>
      <c r="RAG82" s="2567"/>
      <c r="RAH82" s="2567"/>
      <c r="RAI82" s="2567"/>
      <c r="RAJ82" s="2567"/>
      <c r="RAK82" s="2567"/>
      <c r="RAL82" s="2567"/>
      <c r="RAM82" s="2567"/>
      <c r="RAN82" s="2567"/>
      <c r="RAO82" s="2567"/>
      <c r="RAP82" s="2567"/>
      <c r="RAQ82" s="2567"/>
      <c r="RAR82" s="2567"/>
      <c r="RAS82" s="2567"/>
      <c r="RAT82" s="2567"/>
      <c r="RAU82" s="2567"/>
      <c r="RAV82" s="2567"/>
      <c r="RAW82" s="2567"/>
      <c r="RAX82" s="2567"/>
      <c r="RAY82" s="2567"/>
      <c r="RAZ82" s="2567"/>
      <c r="RBA82" s="2567"/>
      <c r="RBB82" s="2567"/>
      <c r="RBC82" s="2567"/>
      <c r="RBD82" s="2567"/>
      <c r="RBE82" s="2567"/>
      <c r="RBF82" s="2567"/>
      <c r="RBG82" s="2567"/>
      <c r="RBH82" s="2567"/>
      <c r="RBI82" s="2567"/>
      <c r="RBJ82" s="2567"/>
      <c r="RBK82" s="2567"/>
      <c r="RBL82" s="2567"/>
      <c r="RBM82" s="2567"/>
      <c r="RBN82" s="2567"/>
      <c r="RBO82" s="2567"/>
      <c r="RBP82" s="2567"/>
      <c r="RBQ82" s="2567"/>
      <c r="RBR82" s="2567"/>
      <c r="RBS82" s="2567"/>
      <c r="RBT82" s="2567"/>
      <c r="RBU82" s="2567"/>
      <c r="RBV82" s="2567"/>
      <c r="RBW82" s="2567"/>
      <c r="RBX82" s="2567"/>
      <c r="RBY82" s="2567"/>
      <c r="RBZ82" s="2567"/>
      <c r="RCA82" s="2567"/>
      <c r="RCB82" s="2567"/>
      <c r="RCC82" s="2567"/>
      <c r="RCD82" s="2567"/>
      <c r="RCE82" s="2567"/>
      <c r="RCF82" s="2567"/>
      <c r="RCG82" s="2567"/>
      <c r="RCH82" s="2567"/>
      <c r="RCI82" s="2567"/>
      <c r="RCJ82" s="2567"/>
      <c r="RCK82" s="2567"/>
      <c r="RCL82" s="2567"/>
      <c r="RCM82" s="2567"/>
      <c r="RCN82" s="2567"/>
      <c r="RCO82" s="2567"/>
      <c r="RCP82" s="2567"/>
      <c r="RCQ82" s="2567"/>
      <c r="RCR82" s="2567"/>
      <c r="RCS82" s="2567"/>
      <c r="RCT82" s="2567"/>
      <c r="RCU82" s="2567"/>
      <c r="RCV82" s="2567"/>
      <c r="RCW82" s="2567"/>
      <c r="RCX82" s="2567"/>
      <c r="RCY82" s="2567"/>
      <c r="RCZ82" s="2567"/>
      <c r="RDA82" s="2567"/>
      <c r="RDB82" s="2567"/>
      <c r="RDC82" s="2567"/>
      <c r="RDD82" s="2567"/>
      <c r="RDE82" s="2567"/>
      <c r="RDF82" s="2567"/>
      <c r="RDG82" s="2567"/>
      <c r="RDH82" s="2567"/>
      <c r="RDI82" s="2567"/>
      <c r="RDJ82" s="2567"/>
      <c r="RDK82" s="2567"/>
      <c r="RDL82" s="2567"/>
      <c r="RDM82" s="2567"/>
      <c r="RDN82" s="2567"/>
      <c r="RDO82" s="2567"/>
      <c r="RDP82" s="2567"/>
      <c r="RDQ82" s="2567"/>
      <c r="RDR82" s="2567"/>
      <c r="RDS82" s="2567"/>
      <c r="RDT82" s="2567"/>
      <c r="RDU82" s="2567"/>
      <c r="RDV82" s="2567"/>
      <c r="RDW82" s="2567"/>
      <c r="RDX82" s="2567"/>
      <c r="RDY82" s="2567"/>
      <c r="RDZ82" s="2567"/>
      <c r="REA82" s="2567"/>
      <c r="REB82" s="2567"/>
      <c r="REC82" s="2567"/>
      <c r="RED82" s="2567"/>
      <c r="REE82" s="2567"/>
      <c r="REF82" s="2567"/>
      <c r="REG82" s="2567"/>
      <c r="REH82" s="2567"/>
      <c r="REI82" s="2567"/>
      <c r="REJ82" s="2567"/>
      <c r="REK82" s="2567"/>
      <c r="REL82" s="2567"/>
      <c r="REM82" s="2567"/>
      <c r="REN82" s="2567"/>
      <c r="REO82" s="2567"/>
      <c r="REP82" s="2567"/>
      <c r="REQ82" s="2567"/>
      <c r="RER82" s="2567"/>
      <c r="RES82" s="2567"/>
      <c r="RET82" s="2567"/>
      <c r="REU82" s="2567"/>
      <c r="REV82" s="2567"/>
      <c r="REW82" s="2567"/>
      <c r="REX82" s="2567"/>
      <c r="REY82" s="2567"/>
      <c r="REZ82" s="2567"/>
      <c r="RFA82" s="2567"/>
      <c r="RFB82" s="2567"/>
      <c r="RFC82" s="2567"/>
      <c r="RFD82" s="2567"/>
      <c r="RFE82" s="2567"/>
      <c r="RFF82" s="2567"/>
      <c r="RFG82" s="2567"/>
      <c r="RFH82" s="2567"/>
      <c r="RFI82" s="2567"/>
      <c r="RFJ82" s="2567"/>
      <c r="RFK82" s="2567"/>
      <c r="RFL82" s="2567"/>
      <c r="RFM82" s="2567"/>
      <c r="RFN82" s="2567"/>
      <c r="RFO82" s="2567"/>
      <c r="RFP82" s="2567"/>
      <c r="RFQ82" s="2567"/>
      <c r="RFR82" s="2567"/>
      <c r="RFS82" s="2567"/>
      <c r="RFT82" s="2567"/>
      <c r="RFU82" s="2567"/>
      <c r="RFV82" s="2567"/>
      <c r="RFW82" s="2567"/>
      <c r="RFX82" s="2567"/>
      <c r="RFY82" s="2567"/>
      <c r="RFZ82" s="2567"/>
      <c r="RGA82" s="2567"/>
      <c r="RGB82" s="2567"/>
      <c r="RGC82" s="2567"/>
      <c r="RGD82" s="2567"/>
      <c r="RGE82" s="2567"/>
      <c r="RGF82" s="2567"/>
      <c r="RGG82" s="2567"/>
      <c r="RGH82" s="2567"/>
      <c r="RGI82" s="2567"/>
      <c r="RGJ82" s="2567"/>
      <c r="RGK82" s="2567"/>
      <c r="RGL82" s="2567"/>
      <c r="RGM82" s="2567"/>
      <c r="RGN82" s="2567"/>
      <c r="RGO82" s="2567"/>
      <c r="RGP82" s="2567"/>
      <c r="RGQ82" s="2567"/>
      <c r="RGR82" s="2567"/>
      <c r="RGS82" s="2567"/>
      <c r="RGT82" s="2567"/>
      <c r="RGU82" s="2567"/>
      <c r="RGV82" s="2567"/>
      <c r="RGW82" s="2567"/>
      <c r="RGX82" s="2567"/>
      <c r="RGY82" s="2567"/>
      <c r="RGZ82" s="2567"/>
      <c r="RHA82" s="2567"/>
      <c r="RHB82" s="2567"/>
      <c r="RHC82" s="2567"/>
      <c r="RHD82" s="2567"/>
      <c r="RHE82" s="2567"/>
      <c r="RHF82" s="2567"/>
      <c r="RHG82" s="2567"/>
      <c r="RHH82" s="2567"/>
      <c r="RHI82" s="2567"/>
      <c r="RHJ82" s="2567"/>
      <c r="RHK82" s="2567"/>
      <c r="RHL82" s="2567"/>
      <c r="RHM82" s="2567"/>
      <c r="RHN82" s="2567"/>
      <c r="RHO82" s="2567"/>
      <c r="RHP82" s="2567"/>
      <c r="RHQ82" s="2567"/>
      <c r="RHR82" s="2567"/>
      <c r="RHS82" s="2567"/>
      <c r="RHT82" s="2567"/>
      <c r="RHU82" s="2567"/>
      <c r="RHV82" s="2567"/>
      <c r="RHW82" s="2567"/>
      <c r="RHX82" s="2567"/>
      <c r="RHY82" s="2567"/>
      <c r="RHZ82" s="2567"/>
      <c r="RIA82" s="2567"/>
      <c r="RIB82" s="2567"/>
      <c r="RIC82" s="2567"/>
      <c r="RID82" s="2567"/>
      <c r="RIE82" s="2567"/>
      <c r="RIF82" s="2567"/>
      <c r="RIG82" s="2567"/>
      <c r="RIH82" s="2567"/>
      <c r="RII82" s="2567"/>
      <c r="RIJ82" s="2567"/>
      <c r="RIK82" s="2567"/>
      <c r="RIL82" s="2567"/>
      <c r="RIM82" s="2567"/>
      <c r="RIN82" s="2567"/>
      <c r="RIO82" s="2567"/>
      <c r="RIP82" s="2567"/>
      <c r="RIQ82" s="2567"/>
      <c r="RIR82" s="2567"/>
      <c r="RIS82" s="2567"/>
      <c r="RIT82" s="2567"/>
      <c r="RIU82" s="2567"/>
      <c r="RIV82" s="2567"/>
      <c r="RIW82" s="2567"/>
      <c r="RIX82" s="2567"/>
      <c r="RIY82" s="2567"/>
      <c r="RIZ82" s="2567"/>
      <c r="RJA82" s="2567"/>
      <c r="RJB82" s="2567"/>
      <c r="RJC82" s="2567"/>
      <c r="RJD82" s="2567"/>
      <c r="RJE82" s="2567"/>
      <c r="RJF82" s="2567"/>
      <c r="RJG82" s="2567"/>
      <c r="RJH82" s="2567"/>
      <c r="RJI82" s="2567"/>
      <c r="RJJ82" s="2567"/>
      <c r="RJK82" s="2567"/>
      <c r="RJL82" s="2567"/>
      <c r="RJM82" s="2567"/>
      <c r="RJN82" s="2567"/>
      <c r="RJO82" s="2567"/>
      <c r="RJP82" s="2567"/>
      <c r="RJQ82" s="2567"/>
      <c r="RJR82" s="2567"/>
      <c r="RJS82" s="2567"/>
      <c r="RJT82" s="2567"/>
      <c r="RJU82" s="2567"/>
      <c r="RJV82" s="2567"/>
      <c r="RJW82" s="2567"/>
      <c r="RJX82" s="2567"/>
      <c r="RJY82" s="2567"/>
      <c r="RJZ82" s="2567"/>
      <c r="RKA82" s="2567"/>
      <c r="RKB82" s="2567"/>
      <c r="RKC82" s="2567"/>
      <c r="RKD82" s="2567"/>
      <c r="RKE82" s="2567"/>
      <c r="RKF82" s="2567"/>
      <c r="RKG82" s="2567"/>
      <c r="RKH82" s="2567"/>
      <c r="RKI82" s="2567"/>
      <c r="RKJ82" s="2567"/>
      <c r="RKK82" s="2567"/>
      <c r="RKL82" s="2567"/>
      <c r="RKM82" s="2567"/>
      <c r="RKN82" s="2567"/>
      <c r="RKO82" s="2567"/>
      <c r="RKP82" s="2567"/>
      <c r="RKQ82" s="2567"/>
      <c r="RKR82" s="2567"/>
      <c r="RKS82" s="2567"/>
      <c r="RKT82" s="2567"/>
      <c r="RKU82" s="2567"/>
      <c r="RKV82" s="2567"/>
      <c r="RKW82" s="2567"/>
      <c r="RKX82" s="2567"/>
      <c r="RKY82" s="2567"/>
      <c r="RKZ82" s="2567"/>
      <c r="RLA82" s="2567"/>
      <c r="RLB82" s="2567"/>
      <c r="RLC82" s="2567"/>
      <c r="RLD82" s="2567"/>
      <c r="RLE82" s="2567"/>
      <c r="RLF82" s="2567"/>
      <c r="RLG82" s="2567"/>
      <c r="RLH82" s="2567"/>
      <c r="RLI82" s="2567"/>
      <c r="RLJ82" s="2567"/>
      <c r="RLK82" s="2567"/>
      <c r="RLL82" s="2567"/>
      <c r="RLM82" s="2567"/>
      <c r="RLN82" s="2567"/>
      <c r="RLO82" s="2567"/>
      <c r="RLP82" s="2567"/>
      <c r="RLQ82" s="2567"/>
      <c r="RLR82" s="2567"/>
      <c r="RLS82" s="2567"/>
      <c r="RLT82" s="2567"/>
      <c r="RLU82" s="2567"/>
      <c r="RLV82" s="2567"/>
      <c r="RLW82" s="2567"/>
      <c r="RLX82" s="2567"/>
      <c r="RLY82" s="2567"/>
      <c r="RLZ82" s="2567"/>
      <c r="RMA82" s="2567"/>
      <c r="RMB82" s="2567"/>
      <c r="RMC82" s="2567"/>
      <c r="RMD82" s="2567"/>
      <c r="RME82" s="2567"/>
      <c r="RMF82" s="2567"/>
      <c r="RMG82" s="2567"/>
      <c r="RMH82" s="2567"/>
      <c r="RMI82" s="2567"/>
      <c r="RMJ82" s="2567"/>
      <c r="RMK82" s="2567"/>
      <c r="RML82" s="2567"/>
      <c r="RMM82" s="2567"/>
      <c r="RMN82" s="2567"/>
      <c r="RMO82" s="2567"/>
      <c r="RMP82" s="2567"/>
      <c r="RMQ82" s="2567"/>
      <c r="RMR82" s="2567"/>
      <c r="RMS82" s="2567"/>
      <c r="RMT82" s="2567"/>
      <c r="RMU82" s="2567"/>
      <c r="RMV82" s="2567"/>
      <c r="RMW82" s="2567"/>
      <c r="RMX82" s="2567"/>
      <c r="RMY82" s="2567"/>
      <c r="RMZ82" s="2567"/>
      <c r="RNA82" s="2567"/>
      <c r="RNB82" s="2567"/>
      <c r="RNC82" s="2567"/>
      <c r="RND82" s="2567"/>
      <c r="RNE82" s="2567"/>
      <c r="RNF82" s="2567"/>
      <c r="RNG82" s="2567"/>
      <c r="RNH82" s="2567"/>
      <c r="RNI82" s="2567"/>
      <c r="RNJ82" s="2567"/>
      <c r="RNK82" s="2567"/>
      <c r="RNL82" s="2567"/>
      <c r="RNM82" s="2567"/>
      <c r="RNN82" s="2567"/>
      <c r="RNO82" s="2567"/>
      <c r="RNP82" s="2567"/>
      <c r="RNQ82" s="2567"/>
      <c r="RNR82" s="2567"/>
      <c r="RNS82" s="2567"/>
      <c r="RNT82" s="2567"/>
      <c r="RNU82" s="2567"/>
      <c r="RNV82" s="2567"/>
      <c r="RNW82" s="2567"/>
      <c r="RNX82" s="2567"/>
      <c r="RNY82" s="2567"/>
      <c r="RNZ82" s="2567"/>
      <c r="ROA82" s="2567"/>
      <c r="ROB82" s="2567"/>
      <c r="ROC82" s="2567"/>
      <c r="ROD82" s="2567"/>
      <c r="ROE82" s="2567"/>
      <c r="ROF82" s="2567"/>
      <c r="ROG82" s="2567"/>
      <c r="ROH82" s="2567"/>
      <c r="ROI82" s="2567"/>
      <c r="ROJ82" s="2567"/>
      <c r="ROK82" s="2567"/>
      <c r="ROL82" s="2567"/>
      <c r="ROM82" s="2567"/>
      <c r="RON82" s="2567"/>
      <c r="ROO82" s="2567"/>
      <c r="ROP82" s="2567"/>
      <c r="ROQ82" s="2567"/>
      <c r="ROR82" s="2567"/>
      <c r="ROS82" s="2567"/>
      <c r="ROT82" s="2567"/>
      <c r="ROU82" s="2567"/>
      <c r="ROV82" s="2567"/>
      <c r="ROW82" s="2567"/>
      <c r="ROX82" s="2567"/>
      <c r="ROY82" s="2567"/>
      <c r="ROZ82" s="2567"/>
      <c r="RPA82" s="2567"/>
      <c r="RPB82" s="2567"/>
      <c r="RPC82" s="2567"/>
      <c r="RPD82" s="2567"/>
      <c r="RPE82" s="2567"/>
      <c r="RPF82" s="2567"/>
      <c r="RPG82" s="2567"/>
      <c r="RPH82" s="2567"/>
      <c r="RPI82" s="2567"/>
      <c r="RPJ82" s="2567"/>
      <c r="RPK82" s="2567"/>
      <c r="RPL82" s="2567"/>
      <c r="RPM82" s="2567"/>
      <c r="RPN82" s="2567"/>
      <c r="RPO82" s="2567"/>
      <c r="RPP82" s="2567"/>
      <c r="RPQ82" s="2567"/>
      <c r="RPR82" s="2567"/>
      <c r="RPS82" s="2567"/>
      <c r="RPT82" s="2567"/>
      <c r="RPU82" s="2567"/>
      <c r="RPV82" s="2567"/>
      <c r="RPW82" s="2567"/>
      <c r="RPX82" s="2567"/>
      <c r="RPY82" s="2567"/>
      <c r="RPZ82" s="2567"/>
      <c r="RQA82" s="2567"/>
      <c r="RQB82" s="2567"/>
      <c r="RQC82" s="2567"/>
      <c r="RQD82" s="2567"/>
      <c r="RQE82" s="2567"/>
      <c r="RQF82" s="2567"/>
      <c r="RQG82" s="2567"/>
      <c r="RQH82" s="2567"/>
      <c r="RQI82" s="2567"/>
      <c r="RQJ82" s="2567"/>
      <c r="RQK82" s="2567"/>
      <c r="RQL82" s="2567"/>
      <c r="RQM82" s="2567"/>
      <c r="RQN82" s="2567"/>
      <c r="RQO82" s="2567"/>
      <c r="RQP82" s="2567"/>
      <c r="RQQ82" s="2567"/>
      <c r="RQR82" s="2567"/>
      <c r="RQS82" s="2567"/>
      <c r="RQT82" s="2567"/>
      <c r="RQU82" s="2567"/>
      <c r="RQV82" s="2567"/>
      <c r="RQW82" s="2567"/>
      <c r="RQX82" s="2567"/>
      <c r="RQY82" s="2567"/>
      <c r="RQZ82" s="2567"/>
      <c r="RRA82" s="2567"/>
      <c r="RRB82" s="2567"/>
      <c r="RRC82" s="2567"/>
      <c r="RRD82" s="2567"/>
      <c r="RRE82" s="2567"/>
      <c r="RRF82" s="2567"/>
      <c r="RRG82" s="2567"/>
      <c r="RRH82" s="2567"/>
      <c r="RRI82" s="2567"/>
      <c r="RRJ82" s="2567"/>
      <c r="RRK82" s="2567"/>
      <c r="RRL82" s="2567"/>
      <c r="RRM82" s="2567"/>
      <c r="RRN82" s="2567"/>
      <c r="RRO82" s="2567"/>
      <c r="RRP82" s="2567"/>
      <c r="RRQ82" s="2567"/>
      <c r="RRR82" s="2567"/>
      <c r="RRS82" s="2567"/>
      <c r="RRT82" s="2567"/>
      <c r="RRU82" s="2567"/>
      <c r="RRV82" s="2567"/>
      <c r="RRW82" s="2567"/>
      <c r="RRX82" s="2567"/>
      <c r="RRY82" s="2567"/>
      <c r="RRZ82" s="2567"/>
      <c r="RSA82" s="2567"/>
      <c r="RSB82" s="2567"/>
      <c r="RSC82" s="2567"/>
      <c r="RSD82" s="2567"/>
      <c r="RSE82" s="2567"/>
      <c r="RSF82" s="2567"/>
      <c r="RSG82" s="2567"/>
      <c r="RSH82" s="2567"/>
      <c r="RSI82" s="2567"/>
      <c r="RSJ82" s="2567"/>
      <c r="RSK82" s="2567"/>
      <c r="RSL82" s="2567"/>
      <c r="RSM82" s="2567"/>
      <c r="RSN82" s="2567"/>
      <c r="RSO82" s="2567"/>
      <c r="RSP82" s="2567"/>
      <c r="RSQ82" s="2567"/>
      <c r="RSR82" s="2567"/>
      <c r="RSS82" s="2567"/>
      <c r="RST82" s="2567"/>
      <c r="RSU82" s="2567"/>
      <c r="RSV82" s="2567"/>
      <c r="RSW82" s="2567"/>
      <c r="RSX82" s="2567"/>
      <c r="RSY82" s="2567"/>
      <c r="RSZ82" s="2567"/>
      <c r="RTA82" s="2567"/>
      <c r="RTB82" s="2567"/>
      <c r="RTC82" s="2567"/>
      <c r="RTD82" s="2567"/>
      <c r="RTE82" s="2567"/>
      <c r="RTF82" s="2567"/>
      <c r="RTG82" s="2567"/>
      <c r="RTH82" s="2567"/>
      <c r="RTI82" s="2567"/>
      <c r="RTJ82" s="2567"/>
      <c r="RTK82" s="2567"/>
      <c r="RTL82" s="2567"/>
      <c r="RTM82" s="2567"/>
      <c r="RTN82" s="2567"/>
      <c r="RTO82" s="2567"/>
      <c r="RTP82" s="2567"/>
      <c r="RTQ82" s="2567"/>
      <c r="RTR82" s="2567"/>
      <c r="RTS82" s="2567"/>
      <c r="RTT82" s="2567"/>
      <c r="RTU82" s="2567"/>
      <c r="RTV82" s="2567"/>
      <c r="RTW82" s="2567"/>
      <c r="RTX82" s="2567"/>
      <c r="RTY82" s="2567"/>
      <c r="RTZ82" s="2567"/>
      <c r="RUA82" s="2567"/>
      <c r="RUB82" s="2567"/>
      <c r="RUC82" s="2567"/>
      <c r="RUD82" s="2567"/>
      <c r="RUE82" s="2567"/>
      <c r="RUF82" s="2567"/>
      <c r="RUG82" s="2567"/>
      <c r="RUH82" s="2567"/>
      <c r="RUI82" s="2567"/>
      <c r="RUJ82" s="2567"/>
      <c r="RUK82" s="2567"/>
      <c r="RUL82" s="2567"/>
      <c r="RUM82" s="2567"/>
      <c r="RUN82" s="2567"/>
      <c r="RUO82" s="2567"/>
      <c r="RUP82" s="2567"/>
      <c r="RUQ82" s="2567"/>
      <c r="RUR82" s="2567"/>
      <c r="RUS82" s="2567"/>
      <c r="RUT82" s="2567"/>
      <c r="RUU82" s="2567"/>
      <c r="RUV82" s="2567"/>
      <c r="RUW82" s="2567"/>
      <c r="RUX82" s="2567"/>
      <c r="RUY82" s="2567"/>
      <c r="RUZ82" s="2567"/>
      <c r="RVA82" s="2567"/>
      <c r="RVB82" s="2567"/>
      <c r="RVC82" s="2567"/>
      <c r="RVD82" s="2567"/>
      <c r="RVE82" s="2567"/>
      <c r="RVF82" s="2567"/>
      <c r="RVG82" s="2567"/>
      <c r="RVH82" s="2567"/>
      <c r="RVI82" s="2567"/>
      <c r="RVJ82" s="2567"/>
      <c r="RVK82" s="2567"/>
      <c r="RVL82" s="2567"/>
      <c r="RVM82" s="2567"/>
      <c r="RVN82" s="2567"/>
      <c r="RVO82" s="2567"/>
      <c r="RVP82" s="2567"/>
      <c r="RVQ82" s="2567"/>
      <c r="RVR82" s="2567"/>
      <c r="RVS82" s="2567"/>
      <c r="RVT82" s="2567"/>
      <c r="RVU82" s="2567"/>
      <c r="RVV82" s="2567"/>
      <c r="RVW82" s="2567"/>
      <c r="RVX82" s="2567"/>
      <c r="RVY82" s="2567"/>
      <c r="RVZ82" s="2567"/>
      <c r="RWA82" s="2567"/>
      <c r="RWB82" s="2567"/>
      <c r="RWC82" s="2567"/>
      <c r="RWD82" s="2567"/>
      <c r="RWE82" s="2567"/>
      <c r="RWF82" s="2567"/>
      <c r="RWG82" s="2567"/>
      <c r="RWH82" s="2567"/>
      <c r="RWI82" s="2567"/>
      <c r="RWJ82" s="2567"/>
      <c r="RWK82" s="2567"/>
      <c r="RWL82" s="2567"/>
      <c r="RWM82" s="2567"/>
      <c r="RWN82" s="2567"/>
      <c r="RWO82" s="2567"/>
      <c r="RWP82" s="2567"/>
      <c r="RWQ82" s="2567"/>
      <c r="RWR82" s="2567"/>
      <c r="RWS82" s="2567"/>
      <c r="RWT82" s="2567"/>
      <c r="RWU82" s="2567"/>
      <c r="RWV82" s="2567"/>
      <c r="RWW82" s="2567"/>
      <c r="RWX82" s="2567"/>
      <c r="RWY82" s="2567"/>
      <c r="RWZ82" s="2567"/>
      <c r="RXA82" s="2567"/>
      <c r="RXB82" s="2567"/>
      <c r="RXC82" s="2567"/>
      <c r="RXD82" s="2567"/>
      <c r="RXE82" s="2567"/>
      <c r="RXF82" s="2567"/>
      <c r="RXG82" s="2567"/>
      <c r="RXH82" s="2567"/>
      <c r="RXI82" s="2567"/>
      <c r="RXJ82" s="2567"/>
      <c r="RXK82" s="2567"/>
      <c r="RXL82" s="2567"/>
      <c r="RXM82" s="2567"/>
      <c r="RXN82" s="2567"/>
      <c r="RXO82" s="2567"/>
      <c r="RXP82" s="2567"/>
      <c r="RXQ82" s="2567"/>
      <c r="RXR82" s="2567"/>
      <c r="RXS82" s="2567"/>
      <c r="RXT82" s="2567"/>
      <c r="RXU82" s="2567"/>
      <c r="RXV82" s="2567"/>
      <c r="RXW82" s="2567"/>
      <c r="RXX82" s="2567"/>
      <c r="RXY82" s="2567"/>
      <c r="RXZ82" s="2567"/>
      <c r="RYA82" s="2567"/>
      <c r="RYB82" s="2567"/>
      <c r="RYC82" s="2567"/>
      <c r="RYD82" s="2567"/>
      <c r="RYE82" s="2567"/>
      <c r="RYF82" s="2567"/>
      <c r="RYG82" s="2567"/>
      <c r="RYH82" s="2567"/>
      <c r="RYI82" s="2567"/>
      <c r="RYJ82" s="2567"/>
      <c r="RYK82" s="2567"/>
      <c r="RYL82" s="2567"/>
      <c r="RYM82" s="2567"/>
      <c r="RYN82" s="2567"/>
      <c r="RYO82" s="2567"/>
      <c r="RYP82" s="2567"/>
      <c r="RYQ82" s="2567"/>
      <c r="RYR82" s="2567"/>
      <c r="RYS82" s="2567"/>
      <c r="RYT82" s="2567"/>
      <c r="RYU82" s="2567"/>
      <c r="RYV82" s="2567"/>
      <c r="RYW82" s="2567"/>
      <c r="RYX82" s="2567"/>
      <c r="RYY82" s="2567"/>
      <c r="RYZ82" s="2567"/>
      <c r="RZA82" s="2567"/>
      <c r="RZB82" s="2567"/>
      <c r="RZC82" s="2567"/>
      <c r="RZD82" s="2567"/>
      <c r="RZE82" s="2567"/>
      <c r="RZF82" s="2567"/>
      <c r="RZG82" s="2567"/>
      <c r="RZH82" s="2567"/>
      <c r="RZI82" s="2567"/>
      <c r="RZJ82" s="2567"/>
      <c r="RZK82" s="2567"/>
      <c r="RZL82" s="2567"/>
      <c r="RZM82" s="2567"/>
      <c r="RZN82" s="2567"/>
      <c r="RZO82" s="2567"/>
      <c r="RZP82" s="2567"/>
      <c r="RZQ82" s="2567"/>
      <c r="RZR82" s="2567"/>
      <c r="RZS82" s="2567"/>
      <c r="RZT82" s="2567"/>
      <c r="RZU82" s="2567"/>
      <c r="RZV82" s="2567"/>
      <c r="RZW82" s="2567"/>
      <c r="RZX82" s="2567"/>
      <c r="RZY82" s="2567"/>
      <c r="RZZ82" s="2567"/>
      <c r="SAA82" s="2567"/>
      <c r="SAB82" s="2567"/>
      <c r="SAC82" s="2567"/>
      <c r="SAD82" s="2567"/>
      <c r="SAE82" s="2567"/>
      <c r="SAF82" s="2567"/>
      <c r="SAG82" s="2567"/>
      <c r="SAH82" s="2567"/>
      <c r="SAI82" s="2567"/>
      <c r="SAJ82" s="2567"/>
      <c r="SAK82" s="2567"/>
      <c r="SAL82" s="2567"/>
      <c r="SAM82" s="2567"/>
      <c r="SAN82" s="2567"/>
      <c r="SAO82" s="2567"/>
      <c r="SAP82" s="2567"/>
      <c r="SAQ82" s="2567"/>
      <c r="SAR82" s="2567"/>
      <c r="SAS82" s="2567"/>
      <c r="SAT82" s="2567"/>
      <c r="SAU82" s="2567"/>
      <c r="SAV82" s="2567"/>
      <c r="SAW82" s="2567"/>
      <c r="SAX82" s="2567"/>
      <c r="SAY82" s="2567"/>
      <c r="SAZ82" s="2567"/>
      <c r="SBA82" s="2567"/>
      <c r="SBB82" s="2567"/>
      <c r="SBC82" s="2567"/>
      <c r="SBD82" s="2567"/>
      <c r="SBE82" s="2567"/>
      <c r="SBF82" s="2567"/>
      <c r="SBG82" s="2567"/>
      <c r="SBH82" s="2567"/>
      <c r="SBI82" s="2567"/>
      <c r="SBJ82" s="2567"/>
      <c r="SBK82" s="2567"/>
      <c r="SBL82" s="2567"/>
      <c r="SBM82" s="2567"/>
      <c r="SBN82" s="2567"/>
      <c r="SBO82" s="2567"/>
      <c r="SBP82" s="2567"/>
      <c r="SBQ82" s="2567"/>
      <c r="SBR82" s="2567"/>
      <c r="SBS82" s="2567"/>
      <c r="SBT82" s="2567"/>
      <c r="SBU82" s="2567"/>
      <c r="SBV82" s="2567"/>
      <c r="SBW82" s="2567"/>
      <c r="SBX82" s="2567"/>
      <c r="SBY82" s="2567"/>
      <c r="SBZ82" s="2567"/>
      <c r="SCA82" s="2567"/>
      <c r="SCB82" s="2567"/>
      <c r="SCC82" s="2567"/>
      <c r="SCD82" s="2567"/>
      <c r="SCE82" s="2567"/>
      <c r="SCF82" s="2567"/>
      <c r="SCG82" s="2567"/>
      <c r="SCH82" s="2567"/>
      <c r="SCI82" s="2567"/>
      <c r="SCJ82" s="2567"/>
      <c r="SCK82" s="2567"/>
      <c r="SCL82" s="2567"/>
      <c r="SCM82" s="2567"/>
      <c r="SCN82" s="2567"/>
      <c r="SCO82" s="2567"/>
      <c r="SCP82" s="2567"/>
      <c r="SCQ82" s="2567"/>
      <c r="SCR82" s="2567"/>
      <c r="SCS82" s="2567"/>
      <c r="SCT82" s="2567"/>
      <c r="SCU82" s="2567"/>
      <c r="SCV82" s="2567"/>
      <c r="SCW82" s="2567"/>
      <c r="SCX82" s="2567"/>
      <c r="SCY82" s="2567"/>
      <c r="SCZ82" s="2567"/>
      <c r="SDA82" s="2567"/>
      <c r="SDB82" s="2567"/>
      <c r="SDC82" s="2567"/>
      <c r="SDD82" s="2567"/>
      <c r="SDE82" s="2567"/>
      <c r="SDF82" s="2567"/>
      <c r="SDG82" s="2567"/>
      <c r="SDH82" s="2567"/>
      <c r="SDI82" s="2567"/>
      <c r="SDJ82" s="2567"/>
      <c r="SDK82" s="2567"/>
      <c r="SDL82" s="2567"/>
      <c r="SDM82" s="2567"/>
      <c r="SDN82" s="2567"/>
      <c r="SDO82" s="2567"/>
      <c r="SDP82" s="2567"/>
      <c r="SDQ82" s="2567"/>
      <c r="SDR82" s="2567"/>
      <c r="SDS82" s="2567"/>
      <c r="SDT82" s="2567"/>
      <c r="SDU82" s="2567"/>
      <c r="SDV82" s="2567"/>
      <c r="SDW82" s="2567"/>
      <c r="SDX82" s="2567"/>
      <c r="SDY82" s="2567"/>
      <c r="SDZ82" s="2567"/>
      <c r="SEA82" s="2567"/>
      <c r="SEB82" s="2567"/>
      <c r="SEC82" s="2567"/>
      <c r="SED82" s="2567"/>
      <c r="SEE82" s="2567"/>
      <c r="SEF82" s="2567"/>
      <c r="SEG82" s="2567"/>
      <c r="SEH82" s="2567"/>
      <c r="SEI82" s="2567"/>
      <c r="SEJ82" s="2567"/>
      <c r="SEK82" s="2567"/>
      <c r="SEL82" s="2567"/>
      <c r="SEM82" s="2567"/>
      <c r="SEN82" s="2567"/>
      <c r="SEO82" s="2567"/>
      <c r="SEP82" s="2567"/>
      <c r="SEQ82" s="2567"/>
      <c r="SER82" s="2567"/>
      <c r="SES82" s="2567"/>
      <c r="SET82" s="2567"/>
      <c r="SEU82" s="2567"/>
      <c r="SEV82" s="2567"/>
      <c r="SEW82" s="2567"/>
      <c r="SEX82" s="2567"/>
      <c r="SEY82" s="2567"/>
      <c r="SEZ82" s="2567"/>
      <c r="SFA82" s="2567"/>
      <c r="SFB82" s="2567"/>
      <c r="SFC82" s="2567"/>
      <c r="SFD82" s="2567"/>
      <c r="SFE82" s="2567"/>
      <c r="SFF82" s="2567"/>
      <c r="SFG82" s="2567"/>
      <c r="SFH82" s="2567"/>
      <c r="SFI82" s="2567"/>
      <c r="SFJ82" s="2567"/>
      <c r="SFK82" s="2567"/>
      <c r="SFL82" s="2567"/>
      <c r="SFM82" s="2567"/>
      <c r="SFN82" s="2567"/>
      <c r="SFO82" s="2567"/>
      <c r="SFP82" s="2567"/>
      <c r="SFQ82" s="2567"/>
      <c r="SFR82" s="2567"/>
      <c r="SFS82" s="2567"/>
      <c r="SFT82" s="2567"/>
      <c r="SFU82" s="2567"/>
      <c r="SFV82" s="2567"/>
      <c r="SFW82" s="2567"/>
      <c r="SFX82" s="2567"/>
      <c r="SFY82" s="2567"/>
      <c r="SFZ82" s="2567"/>
      <c r="SGA82" s="2567"/>
      <c r="SGB82" s="2567"/>
      <c r="SGC82" s="2567"/>
      <c r="SGD82" s="2567"/>
      <c r="SGE82" s="2567"/>
      <c r="SGF82" s="2567"/>
      <c r="SGG82" s="2567"/>
      <c r="SGH82" s="2567"/>
      <c r="SGI82" s="2567"/>
      <c r="SGJ82" s="2567"/>
      <c r="SGK82" s="2567"/>
      <c r="SGL82" s="2567"/>
      <c r="SGM82" s="2567"/>
      <c r="SGN82" s="2567"/>
      <c r="SGO82" s="2567"/>
      <c r="SGP82" s="2567"/>
      <c r="SGQ82" s="2567"/>
      <c r="SGR82" s="2567"/>
      <c r="SGS82" s="2567"/>
      <c r="SGT82" s="2567"/>
      <c r="SGU82" s="2567"/>
      <c r="SGV82" s="2567"/>
      <c r="SGW82" s="2567"/>
      <c r="SGX82" s="2567"/>
      <c r="SGY82" s="2567"/>
      <c r="SGZ82" s="2567"/>
      <c r="SHA82" s="2567"/>
      <c r="SHB82" s="2567"/>
      <c r="SHC82" s="2567"/>
      <c r="SHD82" s="2567"/>
      <c r="SHE82" s="2567"/>
      <c r="SHF82" s="2567"/>
      <c r="SHG82" s="2567"/>
      <c r="SHH82" s="2567"/>
      <c r="SHI82" s="2567"/>
      <c r="SHJ82" s="2567"/>
      <c r="SHK82" s="2567"/>
      <c r="SHL82" s="2567"/>
      <c r="SHM82" s="2567"/>
      <c r="SHN82" s="2567"/>
      <c r="SHO82" s="2567"/>
      <c r="SHP82" s="2567"/>
      <c r="SHQ82" s="2567"/>
      <c r="SHR82" s="2567"/>
      <c r="SHS82" s="2567"/>
      <c r="SHT82" s="2567"/>
      <c r="SHU82" s="2567"/>
      <c r="SHV82" s="2567"/>
      <c r="SHW82" s="2567"/>
      <c r="SHX82" s="2567"/>
      <c r="SHY82" s="2567"/>
      <c r="SHZ82" s="2567"/>
      <c r="SIA82" s="2567"/>
      <c r="SIB82" s="2567"/>
      <c r="SIC82" s="2567"/>
      <c r="SID82" s="2567"/>
      <c r="SIE82" s="2567"/>
      <c r="SIF82" s="2567"/>
      <c r="SIG82" s="2567"/>
      <c r="SIH82" s="2567"/>
      <c r="SII82" s="2567"/>
      <c r="SIJ82" s="2567"/>
      <c r="SIK82" s="2567"/>
      <c r="SIL82" s="2567"/>
      <c r="SIM82" s="2567"/>
      <c r="SIN82" s="2567"/>
      <c r="SIO82" s="2567"/>
      <c r="SIP82" s="2567"/>
      <c r="SIQ82" s="2567"/>
      <c r="SIR82" s="2567"/>
      <c r="SIS82" s="2567"/>
      <c r="SIT82" s="2567"/>
      <c r="SIU82" s="2567"/>
      <c r="SIV82" s="2567"/>
      <c r="SIW82" s="2567"/>
      <c r="SIX82" s="2567"/>
      <c r="SIY82" s="2567"/>
      <c r="SIZ82" s="2567"/>
      <c r="SJA82" s="2567"/>
      <c r="SJB82" s="2567"/>
      <c r="SJC82" s="2567"/>
      <c r="SJD82" s="2567"/>
      <c r="SJE82" s="2567"/>
      <c r="SJF82" s="2567"/>
      <c r="SJG82" s="2567"/>
      <c r="SJH82" s="2567"/>
      <c r="SJI82" s="2567"/>
      <c r="SJJ82" s="2567"/>
      <c r="SJK82" s="2567"/>
      <c r="SJL82" s="2567"/>
      <c r="SJM82" s="2567"/>
      <c r="SJN82" s="2567"/>
      <c r="SJO82" s="2567"/>
      <c r="SJP82" s="2567"/>
      <c r="SJQ82" s="2567"/>
      <c r="SJR82" s="2567"/>
      <c r="SJS82" s="2567"/>
      <c r="SJT82" s="2567"/>
      <c r="SJU82" s="2567"/>
      <c r="SJV82" s="2567"/>
      <c r="SJW82" s="2567"/>
      <c r="SJX82" s="2567"/>
      <c r="SJY82" s="2567"/>
      <c r="SJZ82" s="2567"/>
      <c r="SKA82" s="2567"/>
      <c r="SKB82" s="2567"/>
      <c r="SKC82" s="2567"/>
      <c r="SKD82" s="2567"/>
      <c r="SKE82" s="2567"/>
      <c r="SKF82" s="2567"/>
      <c r="SKG82" s="2567"/>
      <c r="SKH82" s="2567"/>
      <c r="SKI82" s="2567"/>
      <c r="SKJ82" s="2567"/>
      <c r="SKK82" s="2567"/>
      <c r="SKL82" s="2567"/>
      <c r="SKM82" s="2567"/>
      <c r="SKN82" s="2567"/>
      <c r="SKO82" s="2567"/>
      <c r="SKP82" s="2567"/>
      <c r="SKQ82" s="2567"/>
      <c r="SKR82" s="2567"/>
      <c r="SKS82" s="2567"/>
      <c r="SKT82" s="2567"/>
      <c r="SKU82" s="2567"/>
      <c r="SKV82" s="2567"/>
      <c r="SKW82" s="2567"/>
      <c r="SKX82" s="2567"/>
      <c r="SKY82" s="2567"/>
      <c r="SKZ82" s="2567"/>
      <c r="SLA82" s="2567"/>
      <c r="SLB82" s="2567"/>
      <c r="SLC82" s="2567"/>
      <c r="SLD82" s="2567"/>
      <c r="SLE82" s="2567"/>
      <c r="SLF82" s="2567"/>
      <c r="SLG82" s="2567"/>
      <c r="SLH82" s="2567"/>
      <c r="SLI82" s="2567"/>
      <c r="SLJ82" s="2567"/>
      <c r="SLK82" s="2567"/>
      <c r="SLL82" s="2567"/>
      <c r="SLM82" s="2567"/>
      <c r="SLN82" s="2567"/>
      <c r="SLO82" s="2567"/>
      <c r="SLP82" s="2567"/>
      <c r="SLQ82" s="2567"/>
      <c r="SLR82" s="2567"/>
      <c r="SLS82" s="2567"/>
      <c r="SLT82" s="2567"/>
      <c r="SLU82" s="2567"/>
      <c r="SLV82" s="2567"/>
      <c r="SLW82" s="2567"/>
      <c r="SLX82" s="2567"/>
      <c r="SLY82" s="2567"/>
      <c r="SLZ82" s="2567"/>
      <c r="SMA82" s="2567"/>
      <c r="SMB82" s="2567"/>
      <c r="SMC82" s="2567"/>
      <c r="SMD82" s="2567"/>
      <c r="SME82" s="2567"/>
      <c r="SMF82" s="2567"/>
      <c r="SMG82" s="2567"/>
      <c r="SMH82" s="2567"/>
      <c r="SMI82" s="2567"/>
      <c r="SMJ82" s="2567"/>
      <c r="SMK82" s="2567"/>
      <c r="SML82" s="2567"/>
      <c r="SMM82" s="2567"/>
      <c r="SMN82" s="2567"/>
      <c r="SMO82" s="2567"/>
      <c r="SMP82" s="2567"/>
      <c r="SMQ82" s="2567"/>
      <c r="SMR82" s="2567"/>
      <c r="SMS82" s="2567"/>
      <c r="SMT82" s="2567"/>
      <c r="SMU82" s="2567"/>
      <c r="SMV82" s="2567"/>
      <c r="SMW82" s="2567"/>
      <c r="SMX82" s="2567"/>
      <c r="SMY82" s="2567"/>
      <c r="SMZ82" s="2567"/>
      <c r="SNA82" s="2567"/>
      <c r="SNB82" s="2567"/>
      <c r="SNC82" s="2567"/>
      <c r="SND82" s="2567"/>
      <c r="SNE82" s="2567"/>
      <c r="SNF82" s="2567"/>
      <c r="SNG82" s="2567"/>
      <c r="SNH82" s="2567"/>
      <c r="SNI82" s="2567"/>
      <c r="SNJ82" s="2567"/>
      <c r="SNK82" s="2567"/>
      <c r="SNL82" s="2567"/>
      <c r="SNM82" s="2567"/>
      <c r="SNN82" s="2567"/>
      <c r="SNO82" s="2567"/>
      <c r="SNP82" s="2567"/>
      <c r="SNQ82" s="2567"/>
      <c r="SNR82" s="2567"/>
      <c r="SNS82" s="2567"/>
      <c r="SNT82" s="2567"/>
      <c r="SNU82" s="2567"/>
      <c r="SNV82" s="2567"/>
      <c r="SNW82" s="2567"/>
      <c r="SNX82" s="2567"/>
      <c r="SNY82" s="2567"/>
      <c r="SNZ82" s="2567"/>
      <c r="SOA82" s="2567"/>
      <c r="SOB82" s="2567"/>
      <c r="SOC82" s="2567"/>
      <c r="SOD82" s="2567"/>
      <c r="SOE82" s="2567"/>
      <c r="SOF82" s="2567"/>
      <c r="SOG82" s="2567"/>
      <c r="SOH82" s="2567"/>
      <c r="SOI82" s="2567"/>
      <c r="SOJ82" s="2567"/>
      <c r="SOK82" s="2567"/>
      <c r="SOL82" s="2567"/>
      <c r="SOM82" s="2567"/>
      <c r="SON82" s="2567"/>
      <c r="SOO82" s="2567"/>
      <c r="SOP82" s="2567"/>
      <c r="SOQ82" s="2567"/>
      <c r="SOR82" s="2567"/>
      <c r="SOS82" s="2567"/>
      <c r="SOT82" s="2567"/>
      <c r="SOU82" s="2567"/>
      <c r="SOV82" s="2567"/>
      <c r="SOW82" s="2567"/>
      <c r="SOX82" s="2567"/>
      <c r="SOY82" s="2567"/>
      <c r="SOZ82" s="2567"/>
      <c r="SPA82" s="2567"/>
      <c r="SPB82" s="2567"/>
      <c r="SPC82" s="2567"/>
      <c r="SPD82" s="2567"/>
      <c r="SPE82" s="2567"/>
      <c r="SPF82" s="2567"/>
      <c r="SPG82" s="2567"/>
      <c r="SPH82" s="2567"/>
      <c r="SPI82" s="2567"/>
      <c r="SPJ82" s="2567"/>
      <c r="SPK82" s="2567"/>
      <c r="SPL82" s="2567"/>
      <c r="SPM82" s="2567"/>
      <c r="SPN82" s="2567"/>
      <c r="SPO82" s="2567"/>
      <c r="SPP82" s="2567"/>
      <c r="SPQ82" s="2567"/>
      <c r="SPR82" s="2567"/>
      <c r="SPS82" s="2567"/>
      <c r="SPT82" s="2567"/>
      <c r="SPU82" s="2567"/>
      <c r="SPV82" s="2567"/>
      <c r="SPW82" s="2567"/>
      <c r="SPX82" s="2567"/>
      <c r="SPY82" s="2567"/>
      <c r="SPZ82" s="2567"/>
      <c r="SQA82" s="2567"/>
      <c r="SQB82" s="2567"/>
      <c r="SQC82" s="2567"/>
      <c r="SQD82" s="2567"/>
      <c r="SQE82" s="2567"/>
      <c r="SQF82" s="2567"/>
      <c r="SQG82" s="2567"/>
      <c r="SQH82" s="2567"/>
      <c r="SQI82" s="2567"/>
      <c r="SQJ82" s="2567"/>
      <c r="SQK82" s="2567"/>
      <c r="SQL82" s="2567"/>
      <c r="SQM82" s="2567"/>
      <c r="SQN82" s="2567"/>
      <c r="SQO82" s="2567"/>
      <c r="SQP82" s="2567"/>
      <c r="SQQ82" s="2567"/>
      <c r="SQR82" s="2567"/>
      <c r="SQS82" s="2567"/>
      <c r="SQT82" s="2567"/>
      <c r="SQU82" s="2567"/>
      <c r="SQV82" s="2567"/>
      <c r="SQW82" s="2567"/>
      <c r="SQX82" s="2567"/>
      <c r="SQY82" s="2567"/>
      <c r="SQZ82" s="2567"/>
      <c r="SRA82" s="2567"/>
      <c r="SRB82" s="2567"/>
      <c r="SRC82" s="2567"/>
      <c r="SRD82" s="2567"/>
      <c r="SRE82" s="2567"/>
      <c r="SRF82" s="2567"/>
      <c r="SRG82" s="2567"/>
      <c r="SRH82" s="2567"/>
      <c r="SRI82" s="2567"/>
      <c r="SRJ82" s="2567"/>
      <c r="SRK82" s="2567"/>
      <c r="SRL82" s="2567"/>
      <c r="SRM82" s="2567"/>
      <c r="SRN82" s="2567"/>
      <c r="SRO82" s="2567"/>
      <c r="SRP82" s="2567"/>
      <c r="SRQ82" s="2567"/>
      <c r="SRR82" s="2567"/>
      <c r="SRS82" s="2567"/>
      <c r="SRT82" s="2567"/>
      <c r="SRU82" s="2567"/>
      <c r="SRV82" s="2567"/>
      <c r="SRW82" s="2567"/>
      <c r="SRX82" s="2567"/>
      <c r="SRY82" s="2567"/>
      <c r="SRZ82" s="2567"/>
      <c r="SSA82" s="2567"/>
      <c r="SSB82" s="2567"/>
      <c r="SSC82" s="2567"/>
      <c r="SSD82" s="2567"/>
      <c r="SSE82" s="2567"/>
      <c r="SSF82" s="2567"/>
      <c r="SSG82" s="2567"/>
      <c r="SSH82" s="2567"/>
      <c r="SSI82" s="2567"/>
      <c r="SSJ82" s="2567"/>
      <c r="SSK82" s="2567"/>
      <c r="SSL82" s="2567"/>
      <c r="SSM82" s="2567"/>
      <c r="SSN82" s="2567"/>
      <c r="SSO82" s="2567"/>
      <c r="SSP82" s="2567"/>
      <c r="SSQ82" s="2567"/>
      <c r="SSR82" s="2567"/>
      <c r="SSS82" s="2567"/>
      <c r="SST82" s="2567"/>
      <c r="SSU82" s="2567"/>
      <c r="SSV82" s="2567"/>
      <c r="SSW82" s="2567"/>
      <c r="SSX82" s="2567"/>
      <c r="SSY82" s="2567"/>
      <c r="SSZ82" s="2567"/>
      <c r="STA82" s="2567"/>
      <c r="STB82" s="2567"/>
      <c r="STC82" s="2567"/>
      <c r="STD82" s="2567"/>
      <c r="STE82" s="2567"/>
      <c r="STF82" s="2567"/>
      <c r="STG82" s="2567"/>
      <c r="STH82" s="2567"/>
      <c r="STI82" s="2567"/>
      <c r="STJ82" s="2567"/>
      <c r="STK82" s="2567"/>
      <c r="STL82" s="2567"/>
      <c r="STM82" s="2567"/>
      <c r="STN82" s="2567"/>
      <c r="STO82" s="2567"/>
      <c r="STP82" s="2567"/>
      <c r="STQ82" s="2567"/>
      <c r="STR82" s="2567"/>
      <c r="STS82" s="2567"/>
      <c r="STT82" s="2567"/>
      <c r="STU82" s="2567"/>
      <c r="STV82" s="2567"/>
      <c r="STW82" s="2567"/>
      <c r="STX82" s="2567"/>
      <c r="STY82" s="2567"/>
      <c r="STZ82" s="2567"/>
      <c r="SUA82" s="2567"/>
      <c r="SUB82" s="2567"/>
      <c r="SUC82" s="2567"/>
      <c r="SUD82" s="2567"/>
      <c r="SUE82" s="2567"/>
      <c r="SUF82" s="2567"/>
      <c r="SUG82" s="2567"/>
      <c r="SUH82" s="2567"/>
      <c r="SUI82" s="2567"/>
      <c r="SUJ82" s="2567"/>
      <c r="SUK82" s="2567"/>
      <c r="SUL82" s="2567"/>
      <c r="SUM82" s="2567"/>
      <c r="SUN82" s="2567"/>
      <c r="SUO82" s="2567"/>
      <c r="SUP82" s="2567"/>
      <c r="SUQ82" s="2567"/>
      <c r="SUR82" s="2567"/>
      <c r="SUS82" s="2567"/>
      <c r="SUT82" s="2567"/>
      <c r="SUU82" s="2567"/>
      <c r="SUV82" s="2567"/>
      <c r="SUW82" s="2567"/>
      <c r="SUX82" s="2567"/>
      <c r="SUY82" s="2567"/>
      <c r="SUZ82" s="2567"/>
      <c r="SVA82" s="2567"/>
      <c r="SVB82" s="2567"/>
      <c r="SVC82" s="2567"/>
      <c r="SVD82" s="2567"/>
      <c r="SVE82" s="2567"/>
      <c r="SVF82" s="2567"/>
      <c r="SVG82" s="2567"/>
      <c r="SVH82" s="2567"/>
      <c r="SVI82" s="2567"/>
      <c r="SVJ82" s="2567"/>
      <c r="SVK82" s="2567"/>
      <c r="SVL82" s="2567"/>
      <c r="SVM82" s="2567"/>
      <c r="SVN82" s="2567"/>
      <c r="SVO82" s="2567"/>
      <c r="SVP82" s="2567"/>
      <c r="SVQ82" s="2567"/>
      <c r="SVR82" s="2567"/>
      <c r="SVS82" s="2567"/>
      <c r="SVT82" s="2567"/>
      <c r="SVU82" s="2567"/>
      <c r="SVV82" s="2567"/>
      <c r="SVW82" s="2567"/>
      <c r="SVX82" s="2567"/>
      <c r="SVY82" s="2567"/>
      <c r="SVZ82" s="2567"/>
      <c r="SWA82" s="2567"/>
      <c r="SWB82" s="2567"/>
      <c r="SWC82" s="2567"/>
      <c r="SWD82" s="2567"/>
      <c r="SWE82" s="2567"/>
      <c r="SWF82" s="2567"/>
      <c r="SWG82" s="2567"/>
      <c r="SWH82" s="2567"/>
      <c r="SWI82" s="2567"/>
      <c r="SWJ82" s="2567"/>
      <c r="SWK82" s="2567"/>
      <c r="SWL82" s="2567"/>
      <c r="SWM82" s="2567"/>
      <c r="SWN82" s="2567"/>
      <c r="SWO82" s="2567"/>
      <c r="SWP82" s="2567"/>
      <c r="SWQ82" s="2567"/>
      <c r="SWR82" s="2567"/>
      <c r="SWS82" s="2567"/>
      <c r="SWT82" s="2567"/>
      <c r="SWU82" s="2567"/>
      <c r="SWV82" s="2567"/>
      <c r="SWW82" s="2567"/>
      <c r="SWX82" s="2567"/>
      <c r="SWY82" s="2567"/>
      <c r="SWZ82" s="2567"/>
      <c r="SXA82" s="2567"/>
      <c r="SXB82" s="2567"/>
      <c r="SXC82" s="2567"/>
      <c r="SXD82" s="2567"/>
      <c r="SXE82" s="2567"/>
      <c r="SXF82" s="2567"/>
      <c r="SXG82" s="2567"/>
      <c r="SXH82" s="2567"/>
      <c r="SXI82" s="2567"/>
      <c r="SXJ82" s="2567"/>
      <c r="SXK82" s="2567"/>
      <c r="SXL82" s="2567"/>
      <c r="SXM82" s="2567"/>
      <c r="SXN82" s="2567"/>
      <c r="SXO82" s="2567"/>
      <c r="SXP82" s="2567"/>
      <c r="SXQ82" s="2567"/>
      <c r="SXR82" s="2567"/>
      <c r="SXS82" s="2567"/>
      <c r="SXT82" s="2567"/>
      <c r="SXU82" s="2567"/>
      <c r="SXV82" s="2567"/>
      <c r="SXW82" s="2567"/>
      <c r="SXX82" s="2567"/>
      <c r="SXY82" s="2567"/>
      <c r="SXZ82" s="2567"/>
      <c r="SYA82" s="2567"/>
      <c r="SYB82" s="2567"/>
      <c r="SYC82" s="2567"/>
      <c r="SYD82" s="2567"/>
      <c r="SYE82" s="2567"/>
      <c r="SYF82" s="2567"/>
      <c r="SYG82" s="2567"/>
      <c r="SYH82" s="2567"/>
      <c r="SYI82" s="2567"/>
      <c r="SYJ82" s="2567"/>
      <c r="SYK82" s="2567"/>
      <c r="SYL82" s="2567"/>
      <c r="SYM82" s="2567"/>
      <c r="SYN82" s="2567"/>
      <c r="SYO82" s="2567"/>
      <c r="SYP82" s="2567"/>
      <c r="SYQ82" s="2567"/>
      <c r="SYR82" s="2567"/>
      <c r="SYS82" s="2567"/>
      <c r="SYT82" s="2567"/>
      <c r="SYU82" s="2567"/>
      <c r="SYV82" s="2567"/>
      <c r="SYW82" s="2567"/>
      <c r="SYX82" s="2567"/>
      <c r="SYY82" s="2567"/>
      <c r="SYZ82" s="2567"/>
      <c r="SZA82" s="2567"/>
      <c r="SZB82" s="2567"/>
      <c r="SZC82" s="2567"/>
      <c r="SZD82" s="2567"/>
      <c r="SZE82" s="2567"/>
      <c r="SZF82" s="2567"/>
      <c r="SZG82" s="2567"/>
      <c r="SZH82" s="2567"/>
      <c r="SZI82" s="2567"/>
      <c r="SZJ82" s="2567"/>
      <c r="SZK82" s="2567"/>
      <c r="SZL82" s="2567"/>
      <c r="SZM82" s="2567"/>
      <c r="SZN82" s="2567"/>
      <c r="SZO82" s="2567"/>
      <c r="SZP82" s="2567"/>
      <c r="SZQ82" s="2567"/>
      <c r="SZR82" s="2567"/>
      <c r="SZS82" s="2567"/>
      <c r="SZT82" s="2567"/>
      <c r="SZU82" s="2567"/>
      <c r="SZV82" s="2567"/>
      <c r="SZW82" s="2567"/>
      <c r="SZX82" s="2567"/>
      <c r="SZY82" s="2567"/>
      <c r="SZZ82" s="2567"/>
      <c r="TAA82" s="2567"/>
      <c r="TAB82" s="2567"/>
      <c r="TAC82" s="2567"/>
      <c r="TAD82" s="2567"/>
      <c r="TAE82" s="2567"/>
      <c r="TAF82" s="2567"/>
      <c r="TAG82" s="2567"/>
      <c r="TAH82" s="2567"/>
      <c r="TAI82" s="2567"/>
      <c r="TAJ82" s="2567"/>
      <c r="TAK82" s="2567"/>
      <c r="TAL82" s="2567"/>
      <c r="TAM82" s="2567"/>
      <c r="TAN82" s="2567"/>
      <c r="TAO82" s="2567"/>
      <c r="TAP82" s="2567"/>
      <c r="TAQ82" s="2567"/>
      <c r="TAR82" s="2567"/>
      <c r="TAS82" s="2567"/>
      <c r="TAT82" s="2567"/>
      <c r="TAU82" s="2567"/>
      <c r="TAV82" s="2567"/>
      <c r="TAW82" s="2567"/>
      <c r="TAX82" s="2567"/>
      <c r="TAY82" s="2567"/>
      <c r="TAZ82" s="2567"/>
      <c r="TBA82" s="2567"/>
      <c r="TBB82" s="2567"/>
      <c r="TBC82" s="2567"/>
      <c r="TBD82" s="2567"/>
      <c r="TBE82" s="2567"/>
      <c r="TBF82" s="2567"/>
      <c r="TBG82" s="2567"/>
      <c r="TBH82" s="2567"/>
      <c r="TBI82" s="2567"/>
      <c r="TBJ82" s="2567"/>
      <c r="TBK82" s="2567"/>
      <c r="TBL82" s="2567"/>
      <c r="TBM82" s="2567"/>
      <c r="TBN82" s="2567"/>
      <c r="TBO82" s="2567"/>
      <c r="TBP82" s="2567"/>
      <c r="TBQ82" s="2567"/>
      <c r="TBR82" s="2567"/>
      <c r="TBS82" s="2567"/>
      <c r="TBT82" s="2567"/>
      <c r="TBU82" s="2567"/>
      <c r="TBV82" s="2567"/>
      <c r="TBW82" s="2567"/>
      <c r="TBX82" s="2567"/>
      <c r="TBY82" s="2567"/>
      <c r="TBZ82" s="2567"/>
      <c r="TCA82" s="2567"/>
      <c r="TCB82" s="2567"/>
      <c r="TCC82" s="2567"/>
      <c r="TCD82" s="2567"/>
      <c r="TCE82" s="2567"/>
      <c r="TCF82" s="2567"/>
      <c r="TCG82" s="2567"/>
      <c r="TCH82" s="2567"/>
      <c r="TCI82" s="2567"/>
      <c r="TCJ82" s="2567"/>
      <c r="TCK82" s="2567"/>
      <c r="TCL82" s="2567"/>
      <c r="TCM82" s="2567"/>
      <c r="TCN82" s="2567"/>
      <c r="TCO82" s="2567"/>
      <c r="TCP82" s="2567"/>
      <c r="TCQ82" s="2567"/>
      <c r="TCR82" s="2567"/>
      <c r="TCS82" s="2567"/>
      <c r="TCT82" s="2567"/>
      <c r="TCU82" s="2567"/>
      <c r="TCV82" s="2567"/>
      <c r="TCW82" s="2567"/>
      <c r="TCX82" s="2567"/>
      <c r="TCY82" s="2567"/>
      <c r="TCZ82" s="2567"/>
      <c r="TDA82" s="2567"/>
      <c r="TDB82" s="2567"/>
      <c r="TDC82" s="2567"/>
      <c r="TDD82" s="2567"/>
      <c r="TDE82" s="2567"/>
      <c r="TDF82" s="2567"/>
      <c r="TDG82" s="2567"/>
      <c r="TDH82" s="2567"/>
      <c r="TDI82" s="2567"/>
      <c r="TDJ82" s="2567"/>
      <c r="TDK82" s="2567"/>
      <c r="TDL82" s="2567"/>
      <c r="TDM82" s="2567"/>
      <c r="TDN82" s="2567"/>
      <c r="TDO82" s="2567"/>
      <c r="TDP82" s="2567"/>
      <c r="TDQ82" s="2567"/>
      <c r="TDR82" s="2567"/>
      <c r="TDS82" s="2567"/>
      <c r="TDT82" s="2567"/>
      <c r="TDU82" s="2567"/>
      <c r="TDV82" s="2567"/>
      <c r="TDW82" s="2567"/>
      <c r="TDX82" s="2567"/>
      <c r="TDY82" s="2567"/>
      <c r="TDZ82" s="2567"/>
      <c r="TEA82" s="2567"/>
      <c r="TEB82" s="2567"/>
      <c r="TEC82" s="2567"/>
      <c r="TED82" s="2567"/>
      <c r="TEE82" s="2567"/>
      <c r="TEF82" s="2567"/>
      <c r="TEG82" s="2567"/>
      <c r="TEH82" s="2567"/>
      <c r="TEI82" s="2567"/>
      <c r="TEJ82" s="2567"/>
      <c r="TEK82" s="2567"/>
      <c r="TEL82" s="2567"/>
      <c r="TEM82" s="2567"/>
      <c r="TEN82" s="2567"/>
      <c r="TEO82" s="2567"/>
      <c r="TEP82" s="2567"/>
      <c r="TEQ82" s="2567"/>
      <c r="TER82" s="2567"/>
      <c r="TES82" s="2567"/>
      <c r="TET82" s="2567"/>
      <c r="TEU82" s="2567"/>
      <c r="TEV82" s="2567"/>
      <c r="TEW82" s="2567"/>
      <c r="TEX82" s="2567"/>
      <c r="TEY82" s="2567"/>
      <c r="TEZ82" s="2567"/>
      <c r="TFA82" s="2567"/>
      <c r="TFB82" s="2567"/>
      <c r="TFC82" s="2567"/>
      <c r="TFD82" s="2567"/>
      <c r="TFE82" s="2567"/>
      <c r="TFF82" s="2567"/>
      <c r="TFG82" s="2567"/>
      <c r="TFH82" s="2567"/>
      <c r="TFI82" s="2567"/>
      <c r="TFJ82" s="2567"/>
      <c r="TFK82" s="2567"/>
      <c r="TFL82" s="2567"/>
      <c r="TFM82" s="2567"/>
      <c r="TFN82" s="2567"/>
      <c r="TFO82" s="2567"/>
      <c r="TFP82" s="2567"/>
      <c r="TFQ82" s="2567"/>
      <c r="TFR82" s="2567"/>
      <c r="TFS82" s="2567"/>
      <c r="TFT82" s="2567"/>
      <c r="TFU82" s="2567"/>
      <c r="TFV82" s="2567"/>
      <c r="TFW82" s="2567"/>
      <c r="TFX82" s="2567"/>
      <c r="TFY82" s="2567"/>
      <c r="TFZ82" s="2567"/>
      <c r="TGA82" s="2567"/>
      <c r="TGB82" s="2567"/>
      <c r="TGC82" s="2567"/>
      <c r="TGD82" s="2567"/>
      <c r="TGE82" s="2567"/>
      <c r="TGF82" s="2567"/>
      <c r="TGG82" s="2567"/>
      <c r="TGH82" s="2567"/>
      <c r="TGI82" s="2567"/>
      <c r="TGJ82" s="2567"/>
      <c r="TGK82" s="2567"/>
      <c r="TGL82" s="2567"/>
      <c r="TGM82" s="2567"/>
      <c r="TGN82" s="2567"/>
      <c r="TGO82" s="2567"/>
      <c r="TGP82" s="2567"/>
      <c r="TGQ82" s="2567"/>
      <c r="TGR82" s="2567"/>
      <c r="TGS82" s="2567"/>
      <c r="TGT82" s="2567"/>
      <c r="TGU82" s="2567"/>
      <c r="TGV82" s="2567"/>
      <c r="TGW82" s="2567"/>
      <c r="TGX82" s="2567"/>
      <c r="TGY82" s="2567"/>
      <c r="TGZ82" s="2567"/>
      <c r="THA82" s="2567"/>
      <c r="THB82" s="2567"/>
      <c r="THC82" s="2567"/>
      <c r="THD82" s="2567"/>
      <c r="THE82" s="2567"/>
      <c r="THF82" s="2567"/>
      <c r="THG82" s="2567"/>
      <c r="THH82" s="2567"/>
      <c r="THI82" s="2567"/>
      <c r="THJ82" s="2567"/>
      <c r="THK82" s="2567"/>
      <c r="THL82" s="2567"/>
      <c r="THM82" s="2567"/>
      <c r="THN82" s="2567"/>
      <c r="THO82" s="2567"/>
      <c r="THP82" s="2567"/>
      <c r="THQ82" s="2567"/>
      <c r="THR82" s="2567"/>
      <c r="THS82" s="2567"/>
      <c r="THT82" s="2567"/>
      <c r="THU82" s="2567"/>
      <c r="THV82" s="2567"/>
      <c r="THW82" s="2567"/>
      <c r="THX82" s="2567"/>
      <c r="THY82" s="2567"/>
      <c r="THZ82" s="2567"/>
      <c r="TIA82" s="2567"/>
      <c r="TIB82" s="2567"/>
      <c r="TIC82" s="2567"/>
      <c r="TID82" s="2567"/>
      <c r="TIE82" s="2567"/>
      <c r="TIF82" s="2567"/>
      <c r="TIG82" s="2567"/>
      <c r="TIH82" s="2567"/>
      <c r="TII82" s="2567"/>
      <c r="TIJ82" s="2567"/>
      <c r="TIK82" s="2567"/>
      <c r="TIL82" s="2567"/>
      <c r="TIM82" s="2567"/>
      <c r="TIN82" s="2567"/>
      <c r="TIO82" s="2567"/>
      <c r="TIP82" s="2567"/>
      <c r="TIQ82" s="2567"/>
      <c r="TIR82" s="2567"/>
      <c r="TIS82" s="2567"/>
      <c r="TIT82" s="2567"/>
      <c r="TIU82" s="2567"/>
      <c r="TIV82" s="2567"/>
      <c r="TIW82" s="2567"/>
      <c r="TIX82" s="2567"/>
      <c r="TIY82" s="2567"/>
      <c r="TIZ82" s="2567"/>
      <c r="TJA82" s="2567"/>
      <c r="TJB82" s="2567"/>
      <c r="TJC82" s="2567"/>
      <c r="TJD82" s="2567"/>
      <c r="TJE82" s="2567"/>
      <c r="TJF82" s="2567"/>
      <c r="TJG82" s="2567"/>
      <c r="TJH82" s="2567"/>
      <c r="TJI82" s="2567"/>
      <c r="TJJ82" s="2567"/>
      <c r="TJK82" s="2567"/>
      <c r="TJL82" s="2567"/>
      <c r="TJM82" s="2567"/>
      <c r="TJN82" s="2567"/>
      <c r="TJO82" s="2567"/>
      <c r="TJP82" s="2567"/>
      <c r="TJQ82" s="2567"/>
      <c r="TJR82" s="2567"/>
      <c r="TJS82" s="2567"/>
      <c r="TJT82" s="2567"/>
      <c r="TJU82" s="2567"/>
      <c r="TJV82" s="2567"/>
      <c r="TJW82" s="2567"/>
      <c r="TJX82" s="2567"/>
      <c r="TJY82" s="2567"/>
      <c r="TJZ82" s="2567"/>
      <c r="TKA82" s="2567"/>
      <c r="TKB82" s="2567"/>
      <c r="TKC82" s="2567"/>
      <c r="TKD82" s="2567"/>
      <c r="TKE82" s="2567"/>
      <c r="TKF82" s="2567"/>
      <c r="TKG82" s="2567"/>
      <c r="TKH82" s="2567"/>
      <c r="TKI82" s="2567"/>
      <c r="TKJ82" s="2567"/>
      <c r="TKK82" s="2567"/>
      <c r="TKL82" s="2567"/>
      <c r="TKM82" s="2567"/>
      <c r="TKN82" s="2567"/>
      <c r="TKO82" s="2567"/>
      <c r="TKP82" s="2567"/>
      <c r="TKQ82" s="2567"/>
      <c r="TKR82" s="2567"/>
      <c r="TKS82" s="2567"/>
      <c r="TKT82" s="2567"/>
      <c r="TKU82" s="2567"/>
      <c r="TKV82" s="2567"/>
      <c r="TKW82" s="2567"/>
      <c r="TKX82" s="2567"/>
      <c r="TKY82" s="2567"/>
      <c r="TKZ82" s="2567"/>
      <c r="TLA82" s="2567"/>
      <c r="TLB82" s="2567"/>
      <c r="TLC82" s="2567"/>
      <c r="TLD82" s="2567"/>
      <c r="TLE82" s="2567"/>
      <c r="TLF82" s="2567"/>
      <c r="TLG82" s="2567"/>
      <c r="TLH82" s="2567"/>
      <c r="TLI82" s="2567"/>
      <c r="TLJ82" s="2567"/>
      <c r="TLK82" s="2567"/>
      <c r="TLL82" s="2567"/>
      <c r="TLM82" s="2567"/>
      <c r="TLN82" s="2567"/>
      <c r="TLO82" s="2567"/>
      <c r="TLP82" s="2567"/>
      <c r="TLQ82" s="2567"/>
      <c r="TLR82" s="2567"/>
      <c r="TLS82" s="2567"/>
      <c r="TLT82" s="2567"/>
      <c r="TLU82" s="2567"/>
      <c r="TLV82" s="2567"/>
      <c r="TLW82" s="2567"/>
      <c r="TLX82" s="2567"/>
      <c r="TLY82" s="2567"/>
      <c r="TLZ82" s="2567"/>
      <c r="TMA82" s="2567"/>
      <c r="TMB82" s="2567"/>
      <c r="TMC82" s="2567"/>
      <c r="TMD82" s="2567"/>
      <c r="TME82" s="2567"/>
      <c r="TMF82" s="2567"/>
      <c r="TMG82" s="2567"/>
      <c r="TMH82" s="2567"/>
      <c r="TMI82" s="2567"/>
      <c r="TMJ82" s="2567"/>
      <c r="TMK82" s="2567"/>
      <c r="TML82" s="2567"/>
      <c r="TMM82" s="2567"/>
      <c r="TMN82" s="2567"/>
      <c r="TMO82" s="2567"/>
      <c r="TMP82" s="2567"/>
      <c r="TMQ82" s="2567"/>
      <c r="TMR82" s="2567"/>
      <c r="TMS82" s="2567"/>
      <c r="TMT82" s="2567"/>
      <c r="TMU82" s="2567"/>
      <c r="TMV82" s="2567"/>
      <c r="TMW82" s="2567"/>
      <c r="TMX82" s="2567"/>
      <c r="TMY82" s="2567"/>
      <c r="TMZ82" s="2567"/>
      <c r="TNA82" s="2567"/>
      <c r="TNB82" s="2567"/>
      <c r="TNC82" s="2567"/>
      <c r="TND82" s="2567"/>
      <c r="TNE82" s="2567"/>
      <c r="TNF82" s="2567"/>
      <c r="TNG82" s="2567"/>
      <c r="TNH82" s="2567"/>
      <c r="TNI82" s="2567"/>
      <c r="TNJ82" s="2567"/>
      <c r="TNK82" s="2567"/>
      <c r="TNL82" s="2567"/>
      <c r="TNM82" s="2567"/>
      <c r="TNN82" s="2567"/>
      <c r="TNO82" s="2567"/>
      <c r="TNP82" s="2567"/>
      <c r="TNQ82" s="2567"/>
      <c r="TNR82" s="2567"/>
      <c r="TNS82" s="2567"/>
      <c r="TNT82" s="2567"/>
      <c r="TNU82" s="2567"/>
      <c r="TNV82" s="2567"/>
      <c r="TNW82" s="2567"/>
      <c r="TNX82" s="2567"/>
      <c r="TNY82" s="2567"/>
      <c r="TNZ82" s="2567"/>
      <c r="TOA82" s="2567"/>
      <c r="TOB82" s="2567"/>
      <c r="TOC82" s="2567"/>
      <c r="TOD82" s="2567"/>
      <c r="TOE82" s="2567"/>
      <c r="TOF82" s="2567"/>
      <c r="TOG82" s="2567"/>
      <c r="TOH82" s="2567"/>
      <c r="TOI82" s="2567"/>
      <c r="TOJ82" s="2567"/>
      <c r="TOK82" s="2567"/>
      <c r="TOL82" s="2567"/>
      <c r="TOM82" s="2567"/>
      <c r="TON82" s="2567"/>
      <c r="TOO82" s="2567"/>
      <c r="TOP82" s="2567"/>
      <c r="TOQ82" s="2567"/>
      <c r="TOR82" s="2567"/>
      <c r="TOS82" s="2567"/>
      <c r="TOT82" s="2567"/>
      <c r="TOU82" s="2567"/>
      <c r="TOV82" s="2567"/>
      <c r="TOW82" s="2567"/>
      <c r="TOX82" s="2567"/>
      <c r="TOY82" s="2567"/>
      <c r="TOZ82" s="2567"/>
      <c r="TPA82" s="2567"/>
      <c r="TPB82" s="2567"/>
      <c r="TPC82" s="2567"/>
      <c r="TPD82" s="2567"/>
      <c r="TPE82" s="2567"/>
      <c r="TPF82" s="2567"/>
      <c r="TPG82" s="2567"/>
      <c r="TPH82" s="2567"/>
      <c r="TPI82" s="2567"/>
      <c r="TPJ82" s="2567"/>
      <c r="TPK82" s="2567"/>
      <c r="TPL82" s="2567"/>
      <c r="TPM82" s="2567"/>
      <c r="TPN82" s="2567"/>
      <c r="TPO82" s="2567"/>
      <c r="TPP82" s="2567"/>
      <c r="TPQ82" s="2567"/>
      <c r="TPR82" s="2567"/>
      <c r="TPS82" s="2567"/>
      <c r="TPT82" s="2567"/>
      <c r="TPU82" s="2567"/>
      <c r="TPV82" s="2567"/>
      <c r="TPW82" s="2567"/>
      <c r="TPX82" s="2567"/>
      <c r="TPY82" s="2567"/>
      <c r="TPZ82" s="2567"/>
      <c r="TQA82" s="2567"/>
      <c r="TQB82" s="2567"/>
      <c r="TQC82" s="2567"/>
      <c r="TQD82" s="2567"/>
      <c r="TQE82" s="2567"/>
      <c r="TQF82" s="2567"/>
      <c r="TQG82" s="2567"/>
      <c r="TQH82" s="2567"/>
      <c r="TQI82" s="2567"/>
      <c r="TQJ82" s="2567"/>
      <c r="TQK82" s="2567"/>
      <c r="TQL82" s="2567"/>
      <c r="TQM82" s="2567"/>
      <c r="TQN82" s="2567"/>
      <c r="TQO82" s="2567"/>
      <c r="TQP82" s="2567"/>
      <c r="TQQ82" s="2567"/>
      <c r="TQR82" s="2567"/>
      <c r="TQS82" s="2567"/>
      <c r="TQT82" s="2567"/>
      <c r="TQU82" s="2567"/>
      <c r="TQV82" s="2567"/>
      <c r="TQW82" s="2567"/>
      <c r="TQX82" s="2567"/>
      <c r="TQY82" s="2567"/>
      <c r="TQZ82" s="2567"/>
      <c r="TRA82" s="2567"/>
      <c r="TRB82" s="2567"/>
      <c r="TRC82" s="2567"/>
      <c r="TRD82" s="2567"/>
      <c r="TRE82" s="2567"/>
      <c r="TRF82" s="2567"/>
      <c r="TRG82" s="2567"/>
      <c r="TRH82" s="2567"/>
      <c r="TRI82" s="2567"/>
      <c r="TRJ82" s="2567"/>
      <c r="TRK82" s="2567"/>
      <c r="TRL82" s="2567"/>
      <c r="TRM82" s="2567"/>
      <c r="TRN82" s="2567"/>
      <c r="TRO82" s="2567"/>
      <c r="TRP82" s="2567"/>
      <c r="TRQ82" s="2567"/>
      <c r="TRR82" s="2567"/>
      <c r="TRS82" s="2567"/>
      <c r="TRT82" s="2567"/>
      <c r="TRU82" s="2567"/>
      <c r="TRV82" s="2567"/>
      <c r="TRW82" s="2567"/>
      <c r="TRX82" s="2567"/>
      <c r="TRY82" s="2567"/>
      <c r="TRZ82" s="2567"/>
      <c r="TSA82" s="2567"/>
      <c r="TSB82" s="2567"/>
      <c r="TSC82" s="2567"/>
      <c r="TSD82" s="2567"/>
      <c r="TSE82" s="2567"/>
      <c r="TSF82" s="2567"/>
      <c r="TSG82" s="2567"/>
      <c r="TSH82" s="2567"/>
      <c r="TSI82" s="2567"/>
      <c r="TSJ82" s="2567"/>
      <c r="TSK82" s="2567"/>
      <c r="TSL82" s="2567"/>
      <c r="TSM82" s="2567"/>
      <c r="TSN82" s="2567"/>
      <c r="TSO82" s="2567"/>
      <c r="TSP82" s="2567"/>
      <c r="TSQ82" s="2567"/>
      <c r="TSR82" s="2567"/>
      <c r="TSS82" s="2567"/>
      <c r="TST82" s="2567"/>
      <c r="TSU82" s="2567"/>
      <c r="TSV82" s="2567"/>
      <c r="TSW82" s="2567"/>
      <c r="TSX82" s="2567"/>
      <c r="TSY82" s="2567"/>
      <c r="TSZ82" s="2567"/>
      <c r="TTA82" s="2567"/>
      <c r="TTB82" s="2567"/>
      <c r="TTC82" s="2567"/>
      <c r="TTD82" s="2567"/>
      <c r="TTE82" s="2567"/>
      <c r="TTF82" s="2567"/>
      <c r="TTG82" s="2567"/>
      <c r="TTH82" s="2567"/>
      <c r="TTI82" s="2567"/>
      <c r="TTJ82" s="2567"/>
      <c r="TTK82" s="2567"/>
      <c r="TTL82" s="2567"/>
      <c r="TTM82" s="2567"/>
      <c r="TTN82" s="2567"/>
      <c r="TTO82" s="2567"/>
      <c r="TTP82" s="2567"/>
      <c r="TTQ82" s="2567"/>
      <c r="TTR82" s="2567"/>
      <c r="TTS82" s="2567"/>
      <c r="TTT82" s="2567"/>
      <c r="TTU82" s="2567"/>
      <c r="TTV82" s="2567"/>
      <c r="TTW82" s="2567"/>
      <c r="TTX82" s="2567"/>
      <c r="TTY82" s="2567"/>
      <c r="TTZ82" s="2567"/>
      <c r="TUA82" s="2567"/>
      <c r="TUB82" s="2567"/>
      <c r="TUC82" s="2567"/>
      <c r="TUD82" s="2567"/>
      <c r="TUE82" s="2567"/>
      <c r="TUF82" s="2567"/>
      <c r="TUG82" s="2567"/>
      <c r="TUH82" s="2567"/>
      <c r="TUI82" s="2567"/>
      <c r="TUJ82" s="2567"/>
      <c r="TUK82" s="2567"/>
      <c r="TUL82" s="2567"/>
      <c r="TUM82" s="2567"/>
      <c r="TUN82" s="2567"/>
      <c r="TUO82" s="2567"/>
      <c r="TUP82" s="2567"/>
      <c r="TUQ82" s="2567"/>
      <c r="TUR82" s="2567"/>
      <c r="TUS82" s="2567"/>
      <c r="TUT82" s="2567"/>
      <c r="TUU82" s="2567"/>
      <c r="TUV82" s="2567"/>
      <c r="TUW82" s="2567"/>
      <c r="TUX82" s="2567"/>
      <c r="TUY82" s="2567"/>
      <c r="TUZ82" s="2567"/>
      <c r="TVA82" s="2567"/>
      <c r="TVB82" s="2567"/>
      <c r="TVC82" s="2567"/>
      <c r="TVD82" s="2567"/>
      <c r="TVE82" s="2567"/>
      <c r="TVF82" s="2567"/>
      <c r="TVG82" s="2567"/>
      <c r="TVH82" s="2567"/>
      <c r="TVI82" s="2567"/>
      <c r="TVJ82" s="2567"/>
      <c r="TVK82" s="2567"/>
      <c r="TVL82" s="2567"/>
      <c r="TVM82" s="2567"/>
      <c r="TVN82" s="2567"/>
      <c r="TVO82" s="2567"/>
      <c r="TVP82" s="2567"/>
      <c r="TVQ82" s="2567"/>
      <c r="TVR82" s="2567"/>
      <c r="TVS82" s="2567"/>
      <c r="TVT82" s="2567"/>
      <c r="TVU82" s="2567"/>
      <c r="TVV82" s="2567"/>
      <c r="TVW82" s="2567"/>
      <c r="TVX82" s="2567"/>
      <c r="TVY82" s="2567"/>
      <c r="TVZ82" s="2567"/>
      <c r="TWA82" s="2567"/>
      <c r="TWB82" s="2567"/>
      <c r="TWC82" s="2567"/>
      <c r="TWD82" s="2567"/>
      <c r="TWE82" s="2567"/>
      <c r="TWF82" s="2567"/>
      <c r="TWG82" s="2567"/>
      <c r="TWH82" s="2567"/>
      <c r="TWI82" s="2567"/>
      <c r="TWJ82" s="2567"/>
      <c r="TWK82" s="2567"/>
      <c r="TWL82" s="2567"/>
      <c r="TWM82" s="2567"/>
      <c r="TWN82" s="2567"/>
      <c r="TWO82" s="2567"/>
      <c r="TWP82" s="2567"/>
      <c r="TWQ82" s="2567"/>
      <c r="TWR82" s="2567"/>
      <c r="TWS82" s="2567"/>
      <c r="TWT82" s="2567"/>
      <c r="TWU82" s="2567"/>
      <c r="TWV82" s="2567"/>
      <c r="TWW82" s="2567"/>
      <c r="TWX82" s="2567"/>
      <c r="TWY82" s="2567"/>
      <c r="TWZ82" s="2567"/>
      <c r="TXA82" s="2567"/>
      <c r="TXB82" s="2567"/>
      <c r="TXC82" s="2567"/>
      <c r="TXD82" s="2567"/>
      <c r="TXE82" s="2567"/>
      <c r="TXF82" s="2567"/>
      <c r="TXG82" s="2567"/>
      <c r="TXH82" s="2567"/>
      <c r="TXI82" s="2567"/>
      <c r="TXJ82" s="2567"/>
      <c r="TXK82" s="2567"/>
      <c r="TXL82" s="2567"/>
      <c r="TXM82" s="2567"/>
      <c r="TXN82" s="2567"/>
      <c r="TXO82" s="2567"/>
      <c r="TXP82" s="2567"/>
      <c r="TXQ82" s="2567"/>
      <c r="TXR82" s="2567"/>
      <c r="TXS82" s="2567"/>
      <c r="TXT82" s="2567"/>
      <c r="TXU82" s="2567"/>
      <c r="TXV82" s="2567"/>
      <c r="TXW82" s="2567"/>
      <c r="TXX82" s="2567"/>
      <c r="TXY82" s="2567"/>
      <c r="TXZ82" s="2567"/>
      <c r="TYA82" s="2567"/>
      <c r="TYB82" s="2567"/>
      <c r="TYC82" s="2567"/>
      <c r="TYD82" s="2567"/>
      <c r="TYE82" s="2567"/>
      <c r="TYF82" s="2567"/>
      <c r="TYG82" s="2567"/>
      <c r="TYH82" s="2567"/>
      <c r="TYI82" s="2567"/>
      <c r="TYJ82" s="2567"/>
      <c r="TYK82" s="2567"/>
      <c r="TYL82" s="2567"/>
      <c r="TYM82" s="2567"/>
      <c r="TYN82" s="2567"/>
      <c r="TYO82" s="2567"/>
      <c r="TYP82" s="2567"/>
      <c r="TYQ82" s="2567"/>
      <c r="TYR82" s="2567"/>
      <c r="TYS82" s="2567"/>
      <c r="TYT82" s="2567"/>
      <c r="TYU82" s="2567"/>
      <c r="TYV82" s="2567"/>
      <c r="TYW82" s="2567"/>
      <c r="TYX82" s="2567"/>
      <c r="TYY82" s="2567"/>
      <c r="TYZ82" s="2567"/>
      <c r="TZA82" s="2567"/>
      <c r="TZB82" s="2567"/>
      <c r="TZC82" s="2567"/>
      <c r="TZD82" s="2567"/>
      <c r="TZE82" s="2567"/>
      <c r="TZF82" s="2567"/>
      <c r="TZG82" s="2567"/>
      <c r="TZH82" s="2567"/>
      <c r="TZI82" s="2567"/>
      <c r="TZJ82" s="2567"/>
      <c r="TZK82" s="2567"/>
      <c r="TZL82" s="2567"/>
      <c r="TZM82" s="2567"/>
      <c r="TZN82" s="2567"/>
      <c r="TZO82" s="2567"/>
      <c r="TZP82" s="2567"/>
      <c r="TZQ82" s="2567"/>
      <c r="TZR82" s="2567"/>
      <c r="TZS82" s="2567"/>
      <c r="TZT82" s="2567"/>
      <c r="TZU82" s="2567"/>
      <c r="TZV82" s="2567"/>
      <c r="TZW82" s="2567"/>
      <c r="TZX82" s="2567"/>
      <c r="TZY82" s="2567"/>
      <c r="TZZ82" s="2567"/>
      <c r="UAA82" s="2567"/>
      <c r="UAB82" s="2567"/>
      <c r="UAC82" s="2567"/>
      <c r="UAD82" s="2567"/>
      <c r="UAE82" s="2567"/>
      <c r="UAF82" s="2567"/>
      <c r="UAG82" s="2567"/>
      <c r="UAH82" s="2567"/>
      <c r="UAI82" s="2567"/>
      <c r="UAJ82" s="2567"/>
      <c r="UAK82" s="2567"/>
      <c r="UAL82" s="2567"/>
      <c r="UAM82" s="2567"/>
      <c r="UAN82" s="2567"/>
      <c r="UAO82" s="2567"/>
      <c r="UAP82" s="2567"/>
      <c r="UAQ82" s="2567"/>
      <c r="UAR82" s="2567"/>
      <c r="UAS82" s="2567"/>
      <c r="UAT82" s="2567"/>
      <c r="UAU82" s="2567"/>
      <c r="UAV82" s="2567"/>
      <c r="UAW82" s="2567"/>
      <c r="UAX82" s="2567"/>
      <c r="UAY82" s="2567"/>
      <c r="UAZ82" s="2567"/>
      <c r="UBA82" s="2567"/>
      <c r="UBB82" s="2567"/>
      <c r="UBC82" s="2567"/>
      <c r="UBD82" s="2567"/>
      <c r="UBE82" s="2567"/>
      <c r="UBF82" s="2567"/>
      <c r="UBG82" s="2567"/>
      <c r="UBH82" s="2567"/>
      <c r="UBI82" s="2567"/>
      <c r="UBJ82" s="2567"/>
      <c r="UBK82" s="2567"/>
      <c r="UBL82" s="2567"/>
      <c r="UBM82" s="2567"/>
      <c r="UBN82" s="2567"/>
      <c r="UBO82" s="2567"/>
      <c r="UBP82" s="2567"/>
      <c r="UBQ82" s="2567"/>
      <c r="UBR82" s="2567"/>
      <c r="UBS82" s="2567"/>
      <c r="UBT82" s="2567"/>
      <c r="UBU82" s="2567"/>
      <c r="UBV82" s="2567"/>
      <c r="UBW82" s="2567"/>
      <c r="UBX82" s="2567"/>
      <c r="UBY82" s="2567"/>
      <c r="UBZ82" s="2567"/>
      <c r="UCA82" s="2567"/>
      <c r="UCB82" s="2567"/>
      <c r="UCC82" s="2567"/>
      <c r="UCD82" s="2567"/>
      <c r="UCE82" s="2567"/>
      <c r="UCF82" s="2567"/>
      <c r="UCG82" s="2567"/>
      <c r="UCH82" s="2567"/>
      <c r="UCI82" s="2567"/>
      <c r="UCJ82" s="2567"/>
      <c r="UCK82" s="2567"/>
      <c r="UCL82" s="2567"/>
      <c r="UCM82" s="2567"/>
      <c r="UCN82" s="2567"/>
      <c r="UCO82" s="2567"/>
      <c r="UCP82" s="2567"/>
      <c r="UCQ82" s="2567"/>
      <c r="UCR82" s="2567"/>
      <c r="UCS82" s="2567"/>
      <c r="UCT82" s="2567"/>
      <c r="UCU82" s="2567"/>
      <c r="UCV82" s="2567"/>
      <c r="UCW82" s="2567"/>
      <c r="UCX82" s="2567"/>
      <c r="UCY82" s="2567"/>
      <c r="UCZ82" s="2567"/>
      <c r="UDA82" s="2567"/>
      <c r="UDB82" s="2567"/>
      <c r="UDC82" s="2567"/>
      <c r="UDD82" s="2567"/>
      <c r="UDE82" s="2567"/>
      <c r="UDF82" s="2567"/>
      <c r="UDG82" s="2567"/>
      <c r="UDH82" s="2567"/>
      <c r="UDI82" s="2567"/>
      <c r="UDJ82" s="2567"/>
      <c r="UDK82" s="2567"/>
      <c r="UDL82" s="2567"/>
      <c r="UDM82" s="2567"/>
      <c r="UDN82" s="2567"/>
      <c r="UDO82" s="2567"/>
      <c r="UDP82" s="2567"/>
      <c r="UDQ82" s="2567"/>
      <c r="UDR82" s="2567"/>
      <c r="UDS82" s="2567"/>
      <c r="UDT82" s="2567"/>
      <c r="UDU82" s="2567"/>
      <c r="UDV82" s="2567"/>
      <c r="UDW82" s="2567"/>
      <c r="UDX82" s="2567"/>
      <c r="UDY82" s="2567"/>
      <c r="UDZ82" s="2567"/>
      <c r="UEA82" s="2567"/>
      <c r="UEB82" s="2567"/>
      <c r="UEC82" s="2567"/>
      <c r="UED82" s="2567"/>
      <c r="UEE82" s="2567"/>
      <c r="UEF82" s="2567"/>
      <c r="UEG82" s="2567"/>
      <c r="UEH82" s="2567"/>
      <c r="UEI82" s="2567"/>
      <c r="UEJ82" s="2567"/>
      <c r="UEK82" s="2567"/>
      <c r="UEL82" s="2567"/>
      <c r="UEM82" s="2567"/>
      <c r="UEN82" s="2567"/>
      <c r="UEO82" s="2567"/>
      <c r="UEP82" s="2567"/>
      <c r="UEQ82" s="2567"/>
      <c r="UER82" s="2567"/>
      <c r="UES82" s="2567"/>
      <c r="UET82" s="2567"/>
      <c r="UEU82" s="2567"/>
      <c r="UEV82" s="2567"/>
      <c r="UEW82" s="2567"/>
      <c r="UEX82" s="2567"/>
      <c r="UEY82" s="2567"/>
      <c r="UEZ82" s="2567"/>
      <c r="UFA82" s="2567"/>
      <c r="UFB82" s="2567"/>
      <c r="UFC82" s="2567"/>
      <c r="UFD82" s="2567"/>
      <c r="UFE82" s="2567"/>
      <c r="UFF82" s="2567"/>
      <c r="UFG82" s="2567"/>
      <c r="UFH82" s="2567"/>
      <c r="UFI82" s="2567"/>
      <c r="UFJ82" s="2567"/>
      <c r="UFK82" s="2567"/>
      <c r="UFL82" s="2567"/>
      <c r="UFM82" s="2567"/>
      <c r="UFN82" s="2567"/>
      <c r="UFO82" s="2567"/>
      <c r="UFP82" s="2567"/>
      <c r="UFQ82" s="2567"/>
      <c r="UFR82" s="2567"/>
      <c r="UFS82" s="2567"/>
      <c r="UFT82" s="2567"/>
      <c r="UFU82" s="2567"/>
      <c r="UFV82" s="2567"/>
      <c r="UFW82" s="2567"/>
      <c r="UFX82" s="2567"/>
      <c r="UFY82" s="2567"/>
      <c r="UFZ82" s="2567"/>
      <c r="UGA82" s="2567"/>
      <c r="UGB82" s="2567"/>
      <c r="UGC82" s="2567"/>
      <c r="UGD82" s="2567"/>
      <c r="UGE82" s="2567"/>
      <c r="UGF82" s="2567"/>
      <c r="UGG82" s="2567"/>
      <c r="UGH82" s="2567"/>
      <c r="UGI82" s="2567"/>
      <c r="UGJ82" s="2567"/>
      <c r="UGK82" s="2567"/>
      <c r="UGL82" s="2567"/>
      <c r="UGM82" s="2567"/>
      <c r="UGN82" s="2567"/>
      <c r="UGO82" s="2567"/>
      <c r="UGP82" s="2567"/>
      <c r="UGQ82" s="2567"/>
      <c r="UGR82" s="2567"/>
      <c r="UGS82" s="2567"/>
      <c r="UGT82" s="2567"/>
      <c r="UGU82" s="2567"/>
      <c r="UGV82" s="2567"/>
      <c r="UGW82" s="2567"/>
      <c r="UGX82" s="2567"/>
      <c r="UGY82" s="2567"/>
      <c r="UGZ82" s="2567"/>
      <c r="UHA82" s="2567"/>
      <c r="UHB82" s="2567"/>
      <c r="UHC82" s="2567"/>
      <c r="UHD82" s="2567"/>
      <c r="UHE82" s="2567"/>
      <c r="UHF82" s="2567"/>
      <c r="UHG82" s="2567"/>
      <c r="UHH82" s="2567"/>
      <c r="UHI82" s="2567"/>
      <c r="UHJ82" s="2567"/>
      <c r="UHK82" s="2567"/>
      <c r="UHL82" s="2567"/>
      <c r="UHM82" s="2567"/>
      <c r="UHN82" s="2567"/>
      <c r="UHO82" s="2567"/>
      <c r="UHP82" s="2567"/>
      <c r="UHQ82" s="2567"/>
      <c r="UHR82" s="2567"/>
      <c r="UHS82" s="2567"/>
      <c r="UHT82" s="2567"/>
      <c r="UHU82" s="2567"/>
      <c r="UHV82" s="2567"/>
      <c r="UHW82" s="2567"/>
      <c r="UHX82" s="2567"/>
      <c r="UHY82" s="2567"/>
      <c r="UHZ82" s="2567"/>
      <c r="UIA82" s="2567"/>
      <c r="UIB82" s="2567"/>
      <c r="UIC82" s="2567"/>
      <c r="UID82" s="2567"/>
      <c r="UIE82" s="2567"/>
      <c r="UIF82" s="2567"/>
      <c r="UIG82" s="2567"/>
      <c r="UIH82" s="2567"/>
      <c r="UII82" s="2567"/>
      <c r="UIJ82" s="2567"/>
      <c r="UIK82" s="2567"/>
      <c r="UIL82" s="2567"/>
      <c r="UIM82" s="2567"/>
      <c r="UIN82" s="2567"/>
      <c r="UIO82" s="2567"/>
      <c r="UIP82" s="2567"/>
      <c r="UIQ82" s="2567"/>
      <c r="UIR82" s="2567"/>
      <c r="UIS82" s="2567"/>
      <c r="UIT82" s="2567"/>
      <c r="UIU82" s="2567"/>
      <c r="UIV82" s="2567"/>
      <c r="UIW82" s="2567"/>
      <c r="UIX82" s="2567"/>
      <c r="UIY82" s="2567"/>
      <c r="UIZ82" s="2567"/>
      <c r="UJA82" s="2567"/>
      <c r="UJB82" s="2567"/>
      <c r="UJC82" s="2567"/>
      <c r="UJD82" s="2567"/>
      <c r="UJE82" s="2567"/>
      <c r="UJF82" s="2567"/>
      <c r="UJG82" s="2567"/>
      <c r="UJH82" s="2567"/>
      <c r="UJI82" s="2567"/>
      <c r="UJJ82" s="2567"/>
      <c r="UJK82" s="2567"/>
      <c r="UJL82" s="2567"/>
      <c r="UJM82" s="2567"/>
      <c r="UJN82" s="2567"/>
      <c r="UJO82" s="2567"/>
      <c r="UJP82" s="2567"/>
      <c r="UJQ82" s="2567"/>
      <c r="UJR82" s="2567"/>
      <c r="UJS82" s="2567"/>
      <c r="UJT82" s="2567"/>
      <c r="UJU82" s="2567"/>
      <c r="UJV82" s="2567"/>
      <c r="UJW82" s="2567"/>
      <c r="UJX82" s="2567"/>
      <c r="UJY82" s="2567"/>
      <c r="UJZ82" s="2567"/>
      <c r="UKA82" s="2567"/>
      <c r="UKB82" s="2567"/>
      <c r="UKC82" s="2567"/>
      <c r="UKD82" s="2567"/>
      <c r="UKE82" s="2567"/>
      <c r="UKF82" s="2567"/>
      <c r="UKG82" s="2567"/>
      <c r="UKH82" s="2567"/>
      <c r="UKI82" s="2567"/>
      <c r="UKJ82" s="2567"/>
      <c r="UKK82" s="2567"/>
      <c r="UKL82" s="2567"/>
      <c r="UKM82" s="2567"/>
      <c r="UKN82" s="2567"/>
      <c r="UKO82" s="2567"/>
      <c r="UKP82" s="2567"/>
      <c r="UKQ82" s="2567"/>
      <c r="UKR82" s="2567"/>
      <c r="UKS82" s="2567"/>
      <c r="UKT82" s="2567"/>
      <c r="UKU82" s="2567"/>
      <c r="UKV82" s="2567"/>
      <c r="UKW82" s="2567"/>
      <c r="UKX82" s="2567"/>
      <c r="UKY82" s="2567"/>
      <c r="UKZ82" s="2567"/>
      <c r="ULA82" s="2567"/>
      <c r="ULB82" s="2567"/>
      <c r="ULC82" s="2567"/>
      <c r="ULD82" s="2567"/>
      <c r="ULE82" s="2567"/>
      <c r="ULF82" s="2567"/>
      <c r="ULG82" s="2567"/>
      <c r="ULH82" s="2567"/>
      <c r="ULI82" s="2567"/>
      <c r="ULJ82" s="2567"/>
      <c r="ULK82" s="2567"/>
      <c r="ULL82" s="2567"/>
      <c r="ULM82" s="2567"/>
      <c r="ULN82" s="2567"/>
      <c r="ULO82" s="2567"/>
      <c r="ULP82" s="2567"/>
      <c r="ULQ82" s="2567"/>
      <c r="ULR82" s="2567"/>
      <c r="ULS82" s="2567"/>
      <c r="ULT82" s="2567"/>
      <c r="ULU82" s="2567"/>
      <c r="ULV82" s="2567"/>
      <c r="ULW82" s="2567"/>
      <c r="ULX82" s="2567"/>
      <c r="ULY82" s="2567"/>
      <c r="ULZ82" s="2567"/>
      <c r="UMA82" s="2567"/>
      <c r="UMB82" s="2567"/>
      <c r="UMC82" s="2567"/>
      <c r="UMD82" s="2567"/>
      <c r="UME82" s="2567"/>
      <c r="UMF82" s="2567"/>
      <c r="UMG82" s="2567"/>
      <c r="UMH82" s="2567"/>
      <c r="UMI82" s="2567"/>
      <c r="UMJ82" s="2567"/>
      <c r="UMK82" s="2567"/>
      <c r="UML82" s="2567"/>
      <c r="UMM82" s="2567"/>
      <c r="UMN82" s="2567"/>
      <c r="UMO82" s="2567"/>
      <c r="UMP82" s="2567"/>
      <c r="UMQ82" s="2567"/>
      <c r="UMR82" s="2567"/>
      <c r="UMS82" s="2567"/>
      <c r="UMT82" s="2567"/>
      <c r="UMU82" s="2567"/>
      <c r="UMV82" s="2567"/>
      <c r="UMW82" s="2567"/>
      <c r="UMX82" s="2567"/>
      <c r="UMY82" s="2567"/>
      <c r="UMZ82" s="2567"/>
      <c r="UNA82" s="2567"/>
      <c r="UNB82" s="2567"/>
      <c r="UNC82" s="2567"/>
      <c r="UND82" s="2567"/>
      <c r="UNE82" s="2567"/>
      <c r="UNF82" s="2567"/>
      <c r="UNG82" s="2567"/>
      <c r="UNH82" s="2567"/>
      <c r="UNI82" s="2567"/>
      <c r="UNJ82" s="2567"/>
      <c r="UNK82" s="2567"/>
      <c r="UNL82" s="2567"/>
      <c r="UNM82" s="2567"/>
      <c r="UNN82" s="2567"/>
      <c r="UNO82" s="2567"/>
      <c r="UNP82" s="2567"/>
      <c r="UNQ82" s="2567"/>
      <c r="UNR82" s="2567"/>
      <c r="UNS82" s="2567"/>
      <c r="UNT82" s="2567"/>
      <c r="UNU82" s="2567"/>
      <c r="UNV82" s="2567"/>
      <c r="UNW82" s="2567"/>
      <c r="UNX82" s="2567"/>
      <c r="UNY82" s="2567"/>
      <c r="UNZ82" s="2567"/>
      <c r="UOA82" s="2567"/>
      <c r="UOB82" s="2567"/>
      <c r="UOC82" s="2567"/>
      <c r="UOD82" s="2567"/>
      <c r="UOE82" s="2567"/>
      <c r="UOF82" s="2567"/>
      <c r="UOG82" s="2567"/>
      <c r="UOH82" s="2567"/>
      <c r="UOI82" s="2567"/>
      <c r="UOJ82" s="2567"/>
      <c r="UOK82" s="2567"/>
      <c r="UOL82" s="2567"/>
      <c r="UOM82" s="2567"/>
      <c r="UON82" s="2567"/>
      <c r="UOO82" s="2567"/>
      <c r="UOP82" s="2567"/>
      <c r="UOQ82" s="2567"/>
      <c r="UOR82" s="2567"/>
      <c r="UOS82" s="2567"/>
      <c r="UOT82" s="2567"/>
      <c r="UOU82" s="2567"/>
      <c r="UOV82" s="2567"/>
      <c r="UOW82" s="2567"/>
      <c r="UOX82" s="2567"/>
      <c r="UOY82" s="2567"/>
      <c r="UOZ82" s="2567"/>
      <c r="UPA82" s="2567"/>
      <c r="UPB82" s="2567"/>
      <c r="UPC82" s="2567"/>
      <c r="UPD82" s="2567"/>
      <c r="UPE82" s="2567"/>
      <c r="UPF82" s="2567"/>
      <c r="UPG82" s="2567"/>
      <c r="UPH82" s="2567"/>
      <c r="UPI82" s="2567"/>
      <c r="UPJ82" s="2567"/>
      <c r="UPK82" s="2567"/>
      <c r="UPL82" s="2567"/>
      <c r="UPM82" s="2567"/>
      <c r="UPN82" s="2567"/>
      <c r="UPO82" s="2567"/>
      <c r="UPP82" s="2567"/>
      <c r="UPQ82" s="2567"/>
      <c r="UPR82" s="2567"/>
      <c r="UPS82" s="2567"/>
      <c r="UPT82" s="2567"/>
      <c r="UPU82" s="2567"/>
      <c r="UPV82" s="2567"/>
      <c r="UPW82" s="2567"/>
      <c r="UPX82" s="2567"/>
      <c r="UPY82" s="2567"/>
      <c r="UPZ82" s="2567"/>
      <c r="UQA82" s="2567"/>
      <c r="UQB82" s="2567"/>
      <c r="UQC82" s="2567"/>
      <c r="UQD82" s="2567"/>
      <c r="UQE82" s="2567"/>
      <c r="UQF82" s="2567"/>
      <c r="UQG82" s="2567"/>
      <c r="UQH82" s="2567"/>
      <c r="UQI82" s="2567"/>
      <c r="UQJ82" s="2567"/>
      <c r="UQK82" s="2567"/>
      <c r="UQL82" s="2567"/>
      <c r="UQM82" s="2567"/>
      <c r="UQN82" s="2567"/>
      <c r="UQO82" s="2567"/>
      <c r="UQP82" s="2567"/>
      <c r="UQQ82" s="2567"/>
      <c r="UQR82" s="2567"/>
      <c r="UQS82" s="2567"/>
      <c r="UQT82" s="2567"/>
      <c r="UQU82" s="2567"/>
      <c r="UQV82" s="2567"/>
      <c r="UQW82" s="2567"/>
      <c r="UQX82" s="2567"/>
      <c r="UQY82" s="2567"/>
      <c r="UQZ82" s="2567"/>
      <c r="URA82" s="2567"/>
      <c r="URB82" s="2567"/>
      <c r="URC82" s="2567"/>
      <c r="URD82" s="2567"/>
      <c r="URE82" s="2567"/>
      <c r="URF82" s="2567"/>
      <c r="URG82" s="2567"/>
      <c r="URH82" s="2567"/>
      <c r="URI82" s="2567"/>
      <c r="URJ82" s="2567"/>
      <c r="URK82" s="2567"/>
      <c r="URL82" s="2567"/>
      <c r="URM82" s="2567"/>
      <c r="URN82" s="2567"/>
      <c r="URO82" s="2567"/>
      <c r="URP82" s="2567"/>
      <c r="URQ82" s="2567"/>
      <c r="URR82" s="2567"/>
      <c r="URS82" s="2567"/>
      <c r="URT82" s="2567"/>
      <c r="URU82" s="2567"/>
      <c r="URV82" s="2567"/>
      <c r="URW82" s="2567"/>
      <c r="URX82" s="2567"/>
      <c r="URY82" s="2567"/>
      <c r="URZ82" s="2567"/>
      <c r="USA82" s="2567"/>
      <c r="USB82" s="2567"/>
      <c r="USC82" s="2567"/>
      <c r="USD82" s="2567"/>
      <c r="USE82" s="2567"/>
      <c r="USF82" s="2567"/>
      <c r="USG82" s="2567"/>
      <c r="USH82" s="2567"/>
      <c r="USI82" s="2567"/>
      <c r="USJ82" s="2567"/>
      <c r="USK82" s="2567"/>
      <c r="USL82" s="2567"/>
      <c r="USM82" s="2567"/>
      <c r="USN82" s="2567"/>
      <c r="USO82" s="2567"/>
      <c r="USP82" s="2567"/>
      <c r="USQ82" s="2567"/>
      <c r="USR82" s="2567"/>
      <c r="USS82" s="2567"/>
      <c r="UST82" s="2567"/>
      <c r="USU82" s="2567"/>
      <c r="USV82" s="2567"/>
      <c r="USW82" s="2567"/>
      <c r="USX82" s="2567"/>
      <c r="USY82" s="2567"/>
      <c r="USZ82" s="2567"/>
      <c r="UTA82" s="2567"/>
      <c r="UTB82" s="2567"/>
      <c r="UTC82" s="2567"/>
      <c r="UTD82" s="2567"/>
      <c r="UTE82" s="2567"/>
      <c r="UTF82" s="2567"/>
      <c r="UTG82" s="2567"/>
      <c r="UTH82" s="2567"/>
      <c r="UTI82" s="2567"/>
      <c r="UTJ82" s="2567"/>
      <c r="UTK82" s="2567"/>
      <c r="UTL82" s="2567"/>
      <c r="UTM82" s="2567"/>
      <c r="UTN82" s="2567"/>
      <c r="UTO82" s="2567"/>
      <c r="UTP82" s="2567"/>
      <c r="UTQ82" s="2567"/>
      <c r="UTR82" s="2567"/>
      <c r="UTS82" s="2567"/>
      <c r="UTT82" s="2567"/>
      <c r="UTU82" s="2567"/>
      <c r="UTV82" s="2567"/>
      <c r="UTW82" s="2567"/>
      <c r="UTX82" s="2567"/>
      <c r="UTY82" s="2567"/>
      <c r="UTZ82" s="2567"/>
      <c r="UUA82" s="2567"/>
      <c r="UUB82" s="2567"/>
      <c r="UUC82" s="2567"/>
      <c r="UUD82" s="2567"/>
      <c r="UUE82" s="2567"/>
      <c r="UUF82" s="2567"/>
      <c r="UUG82" s="2567"/>
      <c r="UUH82" s="2567"/>
      <c r="UUI82" s="2567"/>
      <c r="UUJ82" s="2567"/>
      <c r="UUK82" s="2567"/>
      <c r="UUL82" s="2567"/>
      <c r="UUM82" s="2567"/>
      <c r="UUN82" s="2567"/>
      <c r="UUO82" s="2567"/>
      <c r="UUP82" s="2567"/>
      <c r="UUQ82" s="2567"/>
      <c r="UUR82" s="2567"/>
      <c r="UUS82" s="2567"/>
      <c r="UUT82" s="2567"/>
      <c r="UUU82" s="2567"/>
      <c r="UUV82" s="2567"/>
      <c r="UUW82" s="2567"/>
      <c r="UUX82" s="2567"/>
      <c r="UUY82" s="2567"/>
      <c r="UUZ82" s="2567"/>
      <c r="UVA82" s="2567"/>
      <c r="UVB82" s="2567"/>
      <c r="UVC82" s="2567"/>
      <c r="UVD82" s="2567"/>
      <c r="UVE82" s="2567"/>
      <c r="UVF82" s="2567"/>
      <c r="UVG82" s="2567"/>
      <c r="UVH82" s="2567"/>
      <c r="UVI82" s="2567"/>
      <c r="UVJ82" s="2567"/>
      <c r="UVK82" s="2567"/>
      <c r="UVL82" s="2567"/>
      <c r="UVM82" s="2567"/>
      <c r="UVN82" s="2567"/>
      <c r="UVO82" s="2567"/>
      <c r="UVP82" s="2567"/>
      <c r="UVQ82" s="2567"/>
      <c r="UVR82" s="2567"/>
      <c r="UVS82" s="2567"/>
      <c r="UVT82" s="2567"/>
      <c r="UVU82" s="2567"/>
      <c r="UVV82" s="2567"/>
      <c r="UVW82" s="2567"/>
      <c r="UVX82" s="2567"/>
      <c r="UVY82" s="2567"/>
      <c r="UVZ82" s="2567"/>
      <c r="UWA82" s="2567"/>
      <c r="UWB82" s="2567"/>
      <c r="UWC82" s="2567"/>
      <c r="UWD82" s="2567"/>
      <c r="UWE82" s="2567"/>
      <c r="UWF82" s="2567"/>
      <c r="UWG82" s="2567"/>
      <c r="UWH82" s="2567"/>
      <c r="UWI82" s="2567"/>
      <c r="UWJ82" s="2567"/>
      <c r="UWK82" s="2567"/>
      <c r="UWL82" s="2567"/>
      <c r="UWM82" s="2567"/>
      <c r="UWN82" s="2567"/>
      <c r="UWO82" s="2567"/>
      <c r="UWP82" s="2567"/>
      <c r="UWQ82" s="2567"/>
      <c r="UWR82" s="2567"/>
      <c r="UWS82" s="2567"/>
      <c r="UWT82" s="2567"/>
      <c r="UWU82" s="2567"/>
      <c r="UWV82" s="2567"/>
      <c r="UWW82" s="2567"/>
      <c r="UWX82" s="2567"/>
      <c r="UWY82" s="2567"/>
      <c r="UWZ82" s="2567"/>
      <c r="UXA82" s="2567"/>
      <c r="UXB82" s="2567"/>
      <c r="UXC82" s="2567"/>
      <c r="UXD82" s="2567"/>
      <c r="UXE82" s="2567"/>
      <c r="UXF82" s="2567"/>
      <c r="UXG82" s="2567"/>
      <c r="UXH82" s="2567"/>
      <c r="UXI82" s="2567"/>
      <c r="UXJ82" s="2567"/>
      <c r="UXK82" s="2567"/>
      <c r="UXL82" s="2567"/>
      <c r="UXM82" s="2567"/>
      <c r="UXN82" s="2567"/>
      <c r="UXO82" s="2567"/>
      <c r="UXP82" s="2567"/>
      <c r="UXQ82" s="2567"/>
      <c r="UXR82" s="2567"/>
      <c r="UXS82" s="2567"/>
      <c r="UXT82" s="2567"/>
      <c r="UXU82" s="2567"/>
      <c r="UXV82" s="2567"/>
      <c r="UXW82" s="2567"/>
      <c r="UXX82" s="2567"/>
      <c r="UXY82" s="2567"/>
      <c r="UXZ82" s="2567"/>
      <c r="UYA82" s="2567"/>
      <c r="UYB82" s="2567"/>
      <c r="UYC82" s="2567"/>
      <c r="UYD82" s="2567"/>
      <c r="UYE82" s="2567"/>
      <c r="UYF82" s="2567"/>
      <c r="UYG82" s="2567"/>
      <c r="UYH82" s="2567"/>
      <c r="UYI82" s="2567"/>
      <c r="UYJ82" s="2567"/>
      <c r="UYK82" s="2567"/>
      <c r="UYL82" s="2567"/>
      <c r="UYM82" s="2567"/>
      <c r="UYN82" s="2567"/>
      <c r="UYO82" s="2567"/>
      <c r="UYP82" s="2567"/>
      <c r="UYQ82" s="2567"/>
      <c r="UYR82" s="2567"/>
      <c r="UYS82" s="2567"/>
      <c r="UYT82" s="2567"/>
      <c r="UYU82" s="2567"/>
      <c r="UYV82" s="2567"/>
      <c r="UYW82" s="2567"/>
      <c r="UYX82" s="2567"/>
      <c r="UYY82" s="2567"/>
      <c r="UYZ82" s="2567"/>
      <c r="UZA82" s="2567"/>
      <c r="UZB82" s="2567"/>
      <c r="UZC82" s="2567"/>
      <c r="UZD82" s="2567"/>
      <c r="UZE82" s="2567"/>
      <c r="UZF82" s="2567"/>
      <c r="UZG82" s="2567"/>
      <c r="UZH82" s="2567"/>
      <c r="UZI82" s="2567"/>
      <c r="UZJ82" s="2567"/>
      <c r="UZK82" s="2567"/>
      <c r="UZL82" s="2567"/>
      <c r="UZM82" s="2567"/>
      <c r="UZN82" s="2567"/>
      <c r="UZO82" s="2567"/>
      <c r="UZP82" s="2567"/>
      <c r="UZQ82" s="2567"/>
      <c r="UZR82" s="2567"/>
      <c r="UZS82" s="2567"/>
      <c r="UZT82" s="2567"/>
      <c r="UZU82" s="2567"/>
      <c r="UZV82" s="2567"/>
      <c r="UZW82" s="2567"/>
      <c r="UZX82" s="2567"/>
      <c r="UZY82" s="2567"/>
      <c r="UZZ82" s="2567"/>
      <c r="VAA82" s="2567"/>
      <c r="VAB82" s="2567"/>
      <c r="VAC82" s="2567"/>
      <c r="VAD82" s="2567"/>
      <c r="VAE82" s="2567"/>
      <c r="VAF82" s="2567"/>
      <c r="VAG82" s="2567"/>
      <c r="VAH82" s="2567"/>
      <c r="VAI82" s="2567"/>
      <c r="VAJ82" s="2567"/>
      <c r="VAK82" s="2567"/>
      <c r="VAL82" s="2567"/>
      <c r="VAM82" s="2567"/>
      <c r="VAN82" s="2567"/>
      <c r="VAO82" s="2567"/>
      <c r="VAP82" s="2567"/>
      <c r="VAQ82" s="2567"/>
      <c r="VAR82" s="2567"/>
      <c r="VAS82" s="2567"/>
      <c r="VAT82" s="2567"/>
      <c r="VAU82" s="2567"/>
      <c r="VAV82" s="2567"/>
      <c r="VAW82" s="2567"/>
      <c r="VAX82" s="2567"/>
      <c r="VAY82" s="2567"/>
      <c r="VAZ82" s="2567"/>
      <c r="VBA82" s="2567"/>
      <c r="VBB82" s="2567"/>
      <c r="VBC82" s="2567"/>
      <c r="VBD82" s="2567"/>
      <c r="VBE82" s="2567"/>
      <c r="VBF82" s="2567"/>
      <c r="VBG82" s="2567"/>
      <c r="VBH82" s="2567"/>
      <c r="VBI82" s="2567"/>
      <c r="VBJ82" s="2567"/>
      <c r="VBK82" s="2567"/>
      <c r="VBL82" s="2567"/>
      <c r="VBM82" s="2567"/>
      <c r="VBN82" s="2567"/>
      <c r="VBO82" s="2567"/>
      <c r="VBP82" s="2567"/>
      <c r="VBQ82" s="2567"/>
      <c r="VBR82" s="2567"/>
      <c r="VBS82" s="2567"/>
      <c r="VBT82" s="2567"/>
      <c r="VBU82" s="2567"/>
      <c r="VBV82" s="2567"/>
      <c r="VBW82" s="2567"/>
      <c r="VBX82" s="2567"/>
      <c r="VBY82" s="2567"/>
      <c r="VBZ82" s="2567"/>
      <c r="VCA82" s="2567"/>
      <c r="VCB82" s="2567"/>
      <c r="VCC82" s="2567"/>
      <c r="VCD82" s="2567"/>
      <c r="VCE82" s="2567"/>
      <c r="VCF82" s="2567"/>
      <c r="VCG82" s="2567"/>
      <c r="VCH82" s="2567"/>
      <c r="VCI82" s="2567"/>
      <c r="VCJ82" s="2567"/>
      <c r="VCK82" s="2567"/>
      <c r="VCL82" s="2567"/>
      <c r="VCM82" s="2567"/>
      <c r="VCN82" s="2567"/>
      <c r="VCO82" s="2567"/>
      <c r="VCP82" s="2567"/>
      <c r="VCQ82" s="2567"/>
      <c r="VCR82" s="2567"/>
      <c r="VCS82" s="2567"/>
      <c r="VCT82" s="2567"/>
      <c r="VCU82" s="2567"/>
      <c r="VCV82" s="2567"/>
      <c r="VCW82" s="2567"/>
      <c r="VCX82" s="2567"/>
      <c r="VCY82" s="2567"/>
      <c r="VCZ82" s="2567"/>
      <c r="VDA82" s="2567"/>
      <c r="VDB82" s="2567"/>
      <c r="VDC82" s="2567"/>
      <c r="VDD82" s="2567"/>
      <c r="VDE82" s="2567"/>
      <c r="VDF82" s="2567"/>
      <c r="VDG82" s="2567"/>
      <c r="VDH82" s="2567"/>
      <c r="VDI82" s="2567"/>
      <c r="VDJ82" s="2567"/>
      <c r="VDK82" s="2567"/>
      <c r="VDL82" s="2567"/>
      <c r="VDM82" s="2567"/>
      <c r="VDN82" s="2567"/>
      <c r="VDO82" s="2567"/>
      <c r="VDP82" s="2567"/>
      <c r="VDQ82" s="2567"/>
      <c r="VDR82" s="2567"/>
      <c r="VDS82" s="2567"/>
      <c r="VDT82" s="2567"/>
      <c r="VDU82" s="2567"/>
      <c r="VDV82" s="2567"/>
      <c r="VDW82" s="2567"/>
      <c r="VDX82" s="2567"/>
      <c r="VDY82" s="2567"/>
      <c r="VDZ82" s="2567"/>
      <c r="VEA82" s="2567"/>
      <c r="VEB82" s="2567"/>
      <c r="VEC82" s="2567"/>
      <c r="VED82" s="2567"/>
      <c r="VEE82" s="2567"/>
      <c r="VEF82" s="2567"/>
      <c r="VEG82" s="2567"/>
      <c r="VEH82" s="2567"/>
      <c r="VEI82" s="2567"/>
      <c r="VEJ82" s="2567"/>
      <c r="VEK82" s="2567"/>
      <c r="VEL82" s="2567"/>
      <c r="VEM82" s="2567"/>
      <c r="VEN82" s="2567"/>
      <c r="VEO82" s="2567"/>
      <c r="VEP82" s="2567"/>
      <c r="VEQ82" s="2567"/>
      <c r="VER82" s="2567"/>
      <c r="VES82" s="2567"/>
      <c r="VET82" s="2567"/>
      <c r="VEU82" s="2567"/>
      <c r="VEV82" s="2567"/>
      <c r="VEW82" s="2567"/>
      <c r="VEX82" s="2567"/>
      <c r="VEY82" s="2567"/>
      <c r="VEZ82" s="2567"/>
      <c r="VFA82" s="2567"/>
      <c r="VFB82" s="2567"/>
      <c r="VFC82" s="2567"/>
      <c r="VFD82" s="2567"/>
      <c r="VFE82" s="2567"/>
      <c r="VFF82" s="2567"/>
      <c r="VFG82" s="2567"/>
      <c r="VFH82" s="2567"/>
      <c r="VFI82" s="2567"/>
      <c r="VFJ82" s="2567"/>
      <c r="VFK82" s="2567"/>
      <c r="VFL82" s="2567"/>
      <c r="VFM82" s="2567"/>
      <c r="VFN82" s="2567"/>
      <c r="VFO82" s="2567"/>
      <c r="VFP82" s="2567"/>
      <c r="VFQ82" s="2567"/>
      <c r="VFR82" s="2567"/>
      <c r="VFS82" s="2567"/>
      <c r="VFT82" s="2567"/>
      <c r="VFU82" s="2567"/>
      <c r="VFV82" s="2567"/>
      <c r="VFW82" s="2567"/>
      <c r="VFX82" s="2567"/>
      <c r="VFY82" s="2567"/>
      <c r="VFZ82" s="2567"/>
      <c r="VGA82" s="2567"/>
      <c r="VGB82" s="2567"/>
      <c r="VGC82" s="2567"/>
      <c r="VGD82" s="2567"/>
      <c r="VGE82" s="2567"/>
      <c r="VGF82" s="2567"/>
      <c r="VGG82" s="2567"/>
      <c r="VGH82" s="2567"/>
      <c r="VGI82" s="2567"/>
      <c r="VGJ82" s="2567"/>
      <c r="VGK82" s="2567"/>
      <c r="VGL82" s="2567"/>
      <c r="VGM82" s="2567"/>
      <c r="VGN82" s="2567"/>
      <c r="VGO82" s="2567"/>
      <c r="VGP82" s="2567"/>
      <c r="VGQ82" s="2567"/>
      <c r="VGR82" s="2567"/>
      <c r="VGS82" s="2567"/>
      <c r="VGT82" s="2567"/>
      <c r="VGU82" s="2567"/>
      <c r="VGV82" s="2567"/>
      <c r="VGW82" s="2567"/>
      <c r="VGX82" s="2567"/>
      <c r="VGY82" s="2567"/>
      <c r="VGZ82" s="2567"/>
      <c r="VHA82" s="2567"/>
      <c r="VHB82" s="2567"/>
      <c r="VHC82" s="2567"/>
      <c r="VHD82" s="2567"/>
      <c r="VHE82" s="2567"/>
      <c r="VHF82" s="2567"/>
      <c r="VHG82" s="2567"/>
      <c r="VHH82" s="2567"/>
      <c r="VHI82" s="2567"/>
      <c r="VHJ82" s="2567"/>
      <c r="VHK82" s="2567"/>
      <c r="VHL82" s="2567"/>
      <c r="VHM82" s="2567"/>
      <c r="VHN82" s="2567"/>
      <c r="VHO82" s="2567"/>
      <c r="VHP82" s="2567"/>
      <c r="VHQ82" s="2567"/>
      <c r="VHR82" s="2567"/>
      <c r="VHS82" s="2567"/>
      <c r="VHT82" s="2567"/>
      <c r="VHU82" s="2567"/>
      <c r="VHV82" s="2567"/>
      <c r="VHW82" s="2567"/>
      <c r="VHX82" s="2567"/>
      <c r="VHY82" s="2567"/>
      <c r="VHZ82" s="2567"/>
      <c r="VIA82" s="2567"/>
      <c r="VIB82" s="2567"/>
      <c r="VIC82" s="2567"/>
      <c r="VID82" s="2567"/>
      <c r="VIE82" s="2567"/>
      <c r="VIF82" s="2567"/>
      <c r="VIG82" s="2567"/>
      <c r="VIH82" s="2567"/>
      <c r="VII82" s="2567"/>
      <c r="VIJ82" s="2567"/>
      <c r="VIK82" s="2567"/>
      <c r="VIL82" s="2567"/>
      <c r="VIM82" s="2567"/>
      <c r="VIN82" s="2567"/>
      <c r="VIO82" s="2567"/>
      <c r="VIP82" s="2567"/>
      <c r="VIQ82" s="2567"/>
      <c r="VIR82" s="2567"/>
      <c r="VIS82" s="2567"/>
      <c r="VIT82" s="2567"/>
      <c r="VIU82" s="2567"/>
      <c r="VIV82" s="2567"/>
      <c r="VIW82" s="2567"/>
      <c r="VIX82" s="2567"/>
      <c r="VIY82" s="2567"/>
      <c r="VIZ82" s="2567"/>
      <c r="VJA82" s="2567"/>
      <c r="VJB82" s="2567"/>
      <c r="VJC82" s="2567"/>
      <c r="VJD82" s="2567"/>
      <c r="VJE82" s="2567"/>
      <c r="VJF82" s="2567"/>
      <c r="VJG82" s="2567"/>
      <c r="VJH82" s="2567"/>
      <c r="VJI82" s="2567"/>
      <c r="VJJ82" s="2567"/>
      <c r="VJK82" s="2567"/>
      <c r="VJL82" s="2567"/>
      <c r="VJM82" s="2567"/>
      <c r="VJN82" s="2567"/>
      <c r="VJO82" s="2567"/>
      <c r="VJP82" s="2567"/>
      <c r="VJQ82" s="2567"/>
      <c r="VJR82" s="2567"/>
      <c r="VJS82" s="2567"/>
      <c r="VJT82" s="2567"/>
      <c r="VJU82" s="2567"/>
      <c r="VJV82" s="2567"/>
      <c r="VJW82" s="2567"/>
      <c r="VJX82" s="2567"/>
      <c r="VJY82" s="2567"/>
      <c r="VJZ82" s="2567"/>
      <c r="VKA82" s="2567"/>
      <c r="VKB82" s="2567"/>
      <c r="VKC82" s="2567"/>
      <c r="VKD82" s="2567"/>
      <c r="VKE82" s="2567"/>
      <c r="VKF82" s="2567"/>
      <c r="VKG82" s="2567"/>
      <c r="VKH82" s="2567"/>
      <c r="VKI82" s="2567"/>
      <c r="VKJ82" s="2567"/>
      <c r="VKK82" s="2567"/>
      <c r="VKL82" s="2567"/>
      <c r="VKM82" s="2567"/>
      <c r="VKN82" s="2567"/>
      <c r="VKO82" s="2567"/>
      <c r="VKP82" s="2567"/>
      <c r="VKQ82" s="2567"/>
      <c r="VKR82" s="2567"/>
      <c r="VKS82" s="2567"/>
      <c r="VKT82" s="2567"/>
      <c r="VKU82" s="2567"/>
      <c r="VKV82" s="2567"/>
      <c r="VKW82" s="2567"/>
      <c r="VKX82" s="2567"/>
      <c r="VKY82" s="2567"/>
      <c r="VKZ82" s="2567"/>
      <c r="VLA82" s="2567"/>
      <c r="VLB82" s="2567"/>
      <c r="VLC82" s="2567"/>
      <c r="VLD82" s="2567"/>
      <c r="VLE82" s="2567"/>
      <c r="VLF82" s="2567"/>
      <c r="VLG82" s="2567"/>
      <c r="VLH82" s="2567"/>
      <c r="VLI82" s="2567"/>
      <c r="VLJ82" s="2567"/>
      <c r="VLK82" s="2567"/>
      <c r="VLL82" s="2567"/>
      <c r="VLM82" s="2567"/>
      <c r="VLN82" s="2567"/>
      <c r="VLO82" s="2567"/>
      <c r="VLP82" s="2567"/>
      <c r="VLQ82" s="2567"/>
      <c r="VLR82" s="2567"/>
      <c r="VLS82" s="2567"/>
      <c r="VLT82" s="2567"/>
      <c r="VLU82" s="2567"/>
      <c r="VLV82" s="2567"/>
      <c r="VLW82" s="2567"/>
      <c r="VLX82" s="2567"/>
      <c r="VLY82" s="2567"/>
      <c r="VLZ82" s="2567"/>
      <c r="VMA82" s="2567"/>
      <c r="VMB82" s="2567"/>
      <c r="VMC82" s="2567"/>
      <c r="VMD82" s="2567"/>
      <c r="VME82" s="2567"/>
      <c r="VMF82" s="2567"/>
      <c r="VMG82" s="2567"/>
      <c r="VMH82" s="2567"/>
      <c r="VMI82" s="2567"/>
      <c r="VMJ82" s="2567"/>
      <c r="VMK82" s="2567"/>
      <c r="VML82" s="2567"/>
      <c r="VMM82" s="2567"/>
      <c r="VMN82" s="2567"/>
      <c r="VMO82" s="2567"/>
      <c r="VMP82" s="2567"/>
      <c r="VMQ82" s="2567"/>
      <c r="VMR82" s="2567"/>
      <c r="VMS82" s="2567"/>
      <c r="VMT82" s="2567"/>
      <c r="VMU82" s="2567"/>
      <c r="VMV82" s="2567"/>
      <c r="VMW82" s="2567"/>
      <c r="VMX82" s="2567"/>
      <c r="VMY82" s="2567"/>
      <c r="VMZ82" s="2567"/>
      <c r="VNA82" s="2567"/>
      <c r="VNB82" s="2567"/>
      <c r="VNC82" s="2567"/>
      <c r="VND82" s="2567"/>
      <c r="VNE82" s="2567"/>
      <c r="VNF82" s="2567"/>
      <c r="VNG82" s="2567"/>
      <c r="VNH82" s="2567"/>
      <c r="VNI82" s="2567"/>
      <c r="VNJ82" s="2567"/>
      <c r="VNK82" s="2567"/>
      <c r="VNL82" s="2567"/>
      <c r="VNM82" s="2567"/>
      <c r="VNN82" s="2567"/>
      <c r="VNO82" s="2567"/>
      <c r="VNP82" s="2567"/>
      <c r="VNQ82" s="2567"/>
      <c r="VNR82" s="2567"/>
      <c r="VNS82" s="2567"/>
      <c r="VNT82" s="2567"/>
      <c r="VNU82" s="2567"/>
      <c r="VNV82" s="2567"/>
      <c r="VNW82" s="2567"/>
      <c r="VNX82" s="2567"/>
      <c r="VNY82" s="2567"/>
      <c r="VNZ82" s="2567"/>
      <c r="VOA82" s="2567"/>
      <c r="VOB82" s="2567"/>
      <c r="VOC82" s="2567"/>
      <c r="VOD82" s="2567"/>
      <c r="VOE82" s="2567"/>
      <c r="VOF82" s="2567"/>
      <c r="VOG82" s="2567"/>
      <c r="VOH82" s="2567"/>
      <c r="VOI82" s="2567"/>
      <c r="VOJ82" s="2567"/>
      <c r="VOK82" s="2567"/>
      <c r="VOL82" s="2567"/>
      <c r="VOM82" s="2567"/>
      <c r="VON82" s="2567"/>
      <c r="VOO82" s="2567"/>
      <c r="VOP82" s="2567"/>
      <c r="VOQ82" s="2567"/>
      <c r="VOR82" s="2567"/>
      <c r="VOS82" s="2567"/>
      <c r="VOT82" s="2567"/>
      <c r="VOU82" s="2567"/>
      <c r="VOV82" s="2567"/>
      <c r="VOW82" s="2567"/>
      <c r="VOX82" s="2567"/>
      <c r="VOY82" s="2567"/>
      <c r="VOZ82" s="2567"/>
      <c r="VPA82" s="2567"/>
      <c r="VPB82" s="2567"/>
      <c r="VPC82" s="2567"/>
      <c r="VPD82" s="2567"/>
      <c r="VPE82" s="2567"/>
      <c r="VPF82" s="2567"/>
      <c r="VPG82" s="2567"/>
      <c r="VPH82" s="2567"/>
      <c r="VPI82" s="2567"/>
      <c r="VPJ82" s="2567"/>
      <c r="VPK82" s="2567"/>
      <c r="VPL82" s="2567"/>
      <c r="VPM82" s="2567"/>
      <c r="VPN82" s="2567"/>
      <c r="VPO82" s="2567"/>
      <c r="VPP82" s="2567"/>
      <c r="VPQ82" s="2567"/>
      <c r="VPR82" s="2567"/>
      <c r="VPS82" s="2567"/>
      <c r="VPT82" s="2567"/>
      <c r="VPU82" s="2567"/>
      <c r="VPV82" s="2567"/>
      <c r="VPW82" s="2567"/>
      <c r="VPX82" s="2567"/>
      <c r="VPY82" s="2567"/>
      <c r="VPZ82" s="2567"/>
      <c r="VQA82" s="2567"/>
      <c r="VQB82" s="2567"/>
      <c r="VQC82" s="2567"/>
      <c r="VQD82" s="2567"/>
      <c r="VQE82" s="2567"/>
      <c r="VQF82" s="2567"/>
      <c r="VQG82" s="2567"/>
      <c r="VQH82" s="2567"/>
      <c r="VQI82" s="2567"/>
      <c r="VQJ82" s="2567"/>
      <c r="VQK82" s="2567"/>
      <c r="VQL82" s="2567"/>
      <c r="VQM82" s="2567"/>
      <c r="VQN82" s="2567"/>
      <c r="VQO82" s="2567"/>
      <c r="VQP82" s="2567"/>
      <c r="VQQ82" s="2567"/>
      <c r="VQR82" s="2567"/>
      <c r="VQS82" s="2567"/>
      <c r="VQT82" s="2567"/>
      <c r="VQU82" s="2567"/>
      <c r="VQV82" s="2567"/>
      <c r="VQW82" s="2567"/>
      <c r="VQX82" s="2567"/>
      <c r="VQY82" s="2567"/>
      <c r="VQZ82" s="2567"/>
      <c r="VRA82" s="2567"/>
      <c r="VRB82" s="2567"/>
      <c r="VRC82" s="2567"/>
      <c r="VRD82" s="2567"/>
      <c r="VRE82" s="2567"/>
      <c r="VRF82" s="2567"/>
      <c r="VRG82" s="2567"/>
      <c r="VRH82" s="2567"/>
      <c r="VRI82" s="2567"/>
      <c r="VRJ82" s="2567"/>
      <c r="VRK82" s="2567"/>
      <c r="VRL82" s="2567"/>
      <c r="VRM82" s="2567"/>
      <c r="VRN82" s="2567"/>
      <c r="VRO82" s="2567"/>
      <c r="VRP82" s="2567"/>
      <c r="VRQ82" s="2567"/>
      <c r="VRR82" s="2567"/>
      <c r="VRS82" s="2567"/>
      <c r="VRT82" s="2567"/>
      <c r="VRU82" s="2567"/>
      <c r="VRV82" s="2567"/>
      <c r="VRW82" s="2567"/>
      <c r="VRX82" s="2567"/>
      <c r="VRY82" s="2567"/>
      <c r="VRZ82" s="2567"/>
      <c r="VSA82" s="2567"/>
      <c r="VSB82" s="2567"/>
      <c r="VSC82" s="2567"/>
      <c r="VSD82" s="2567"/>
      <c r="VSE82" s="2567"/>
      <c r="VSF82" s="2567"/>
      <c r="VSG82" s="2567"/>
      <c r="VSH82" s="2567"/>
      <c r="VSI82" s="2567"/>
      <c r="VSJ82" s="2567"/>
      <c r="VSK82" s="2567"/>
      <c r="VSL82" s="2567"/>
      <c r="VSM82" s="2567"/>
      <c r="VSN82" s="2567"/>
      <c r="VSO82" s="2567"/>
      <c r="VSP82" s="2567"/>
      <c r="VSQ82" s="2567"/>
      <c r="VSR82" s="2567"/>
      <c r="VSS82" s="2567"/>
      <c r="VST82" s="2567"/>
      <c r="VSU82" s="2567"/>
      <c r="VSV82" s="2567"/>
      <c r="VSW82" s="2567"/>
      <c r="VSX82" s="2567"/>
      <c r="VSY82" s="2567"/>
      <c r="VSZ82" s="2567"/>
      <c r="VTA82" s="2567"/>
      <c r="VTB82" s="2567"/>
      <c r="VTC82" s="2567"/>
      <c r="VTD82" s="2567"/>
      <c r="VTE82" s="2567"/>
      <c r="VTF82" s="2567"/>
      <c r="VTG82" s="2567"/>
      <c r="VTH82" s="2567"/>
      <c r="VTI82" s="2567"/>
      <c r="VTJ82" s="2567"/>
      <c r="VTK82" s="2567"/>
      <c r="VTL82" s="2567"/>
      <c r="VTM82" s="2567"/>
      <c r="VTN82" s="2567"/>
      <c r="VTO82" s="2567"/>
      <c r="VTP82" s="2567"/>
      <c r="VTQ82" s="2567"/>
      <c r="VTR82" s="2567"/>
      <c r="VTS82" s="2567"/>
      <c r="VTT82" s="2567"/>
      <c r="VTU82" s="2567"/>
      <c r="VTV82" s="2567"/>
      <c r="VTW82" s="2567"/>
      <c r="VTX82" s="2567"/>
      <c r="VTY82" s="2567"/>
      <c r="VTZ82" s="2567"/>
      <c r="VUA82" s="2567"/>
      <c r="VUB82" s="2567"/>
      <c r="VUC82" s="2567"/>
      <c r="VUD82" s="2567"/>
      <c r="VUE82" s="2567"/>
      <c r="VUF82" s="2567"/>
      <c r="VUG82" s="2567"/>
      <c r="VUH82" s="2567"/>
      <c r="VUI82" s="2567"/>
      <c r="VUJ82" s="2567"/>
      <c r="VUK82" s="2567"/>
      <c r="VUL82" s="2567"/>
      <c r="VUM82" s="2567"/>
      <c r="VUN82" s="2567"/>
      <c r="VUO82" s="2567"/>
      <c r="VUP82" s="2567"/>
      <c r="VUQ82" s="2567"/>
      <c r="VUR82" s="2567"/>
      <c r="VUS82" s="2567"/>
      <c r="VUT82" s="2567"/>
      <c r="VUU82" s="2567"/>
      <c r="VUV82" s="2567"/>
      <c r="VUW82" s="2567"/>
      <c r="VUX82" s="2567"/>
      <c r="VUY82" s="2567"/>
      <c r="VUZ82" s="2567"/>
      <c r="VVA82" s="2567"/>
      <c r="VVB82" s="2567"/>
      <c r="VVC82" s="2567"/>
      <c r="VVD82" s="2567"/>
      <c r="VVE82" s="2567"/>
      <c r="VVF82" s="2567"/>
      <c r="VVG82" s="2567"/>
      <c r="VVH82" s="2567"/>
      <c r="VVI82" s="2567"/>
      <c r="VVJ82" s="2567"/>
      <c r="VVK82" s="2567"/>
      <c r="VVL82" s="2567"/>
      <c r="VVM82" s="2567"/>
      <c r="VVN82" s="2567"/>
      <c r="VVO82" s="2567"/>
      <c r="VVP82" s="2567"/>
      <c r="VVQ82" s="2567"/>
      <c r="VVR82" s="2567"/>
      <c r="VVS82" s="2567"/>
      <c r="VVT82" s="2567"/>
      <c r="VVU82" s="2567"/>
      <c r="VVV82" s="2567"/>
      <c r="VVW82" s="2567"/>
      <c r="VVX82" s="2567"/>
      <c r="VVY82" s="2567"/>
      <c r="VVZ82" s="2567"/>
      <c r="VWA82" s="2567"/>
      <c r="VWB82" s="2567"/>
      <c r="VWC82" s="2567"/>
      <c r="VWD82" s="2567"/>
      <c r="VWE82" s="2567"/>
      <c r="VWF82" s="2567"/>
      <c r="VWG82" s="2567"/>
      <c r="VWH82" s="2567"/>
      <c r="VWI82" s="2567"/>
      <c r="VWJ82" s="2567"/>
      <c r="VWK82" s="2567"/>
      <c r="VWL82" s="2567"/>
      <c r="VWM82" s="2567"/>
      <c r="VWN82" s="2567"/>
      <c r="VWO82" s="2567"/>
      <c r="VWP82" s="2567"/>
      <c r="VWQ82" s="2567"/>
      <c r="VWR82" s="2567"/>
      <c r="VWS82" s="2567"/>
      <c r="VWT82" s="2567"/>
      <c r="VWU82" s="2567"/>
      <c r="VWV82" s="2567"/>
      <c r="VWW82" s="2567"/>
      <c r="VWX82" s="2567"/>
      <c r="VWY82" s="2567"/>
      <c r="VWZ82" s="2567"/>
      <c r="VXA82" s="2567"/>
      <c r="VXB82" s="2567"/>
      <c r="VXC82" s="2567"/>
      <c r="VXD82" s="2567"/>
      <c r="VXE82" s="2567"/>
      <c r="VXF82" s="2567"/>
      <c r="VXG82" s="2567"/>
      <c r="VXH82" s="2567"/>
      <c r="VXI82" s="2567"/>
      <c r="VXJ82" s="2567"/>
      <c r="VXK82" s="2567"/>
      <c r="VXL82" s="2567"/>
      <c r="VXM82" s="2567"/>
      <c r="VXN82" s="2567"/>
      <c r="VXO82" s="2567"/>
      <c r="VXP82" s="2567"/>
      <c r="VXQ82" s="2567"/>
      <c r="VXR82" s="2567"/>
      <c r="VXS82" s="2567"/>
      <c r="VXT82" s="2567"/>
      <c r="VXU82" s="2567"/>
      <c r="VXV82" s="2567"/>
      <c r="VXW82" s="2567"/>
      <c r="VXX82" s="2567"/>
      <c r="VXY82" s="2567"/>
      <c r="VXZ82" s="2567"/>
      <c r="VYA82" s="2567"/>
      <c r="VYB82" s="2567"/>
      <c r="VYC82" s="2567"/>
      <c r="VYD82" s="2567"/>
      <c r="VYE82" s="2567"/>
      <c r="VYF82" s="2567"/>
      <c r="VYG82" s="2567"/>
      <c r="VYH82" s="2567"/>
      <c r="VYI82" s="2567"/>
      <c r="VYJ82" s="2567"/>
      <c r="VYK82" s="2567"/>
      <c r="VYL82" s="2567"/>
      <c r="VYM82" s="2567"/>
      <c r="VYN82" s="2567"/>
      <c r="VYO82" s="2567"/>
      <c r="VYP82" s="2567"/>
      <c r="VYQ82" s="2567"/>
      <c r="VYR82" s="2567"/>
      <c r="VYS82" s="2567"/>
      <c r="VYT82" s="2567"/>
      <c r="VYU82" s="2567"/>
      <c r="VYV82" s="2567"/>
      <c r="VYW82" s="2567"/>
      <c r="VYX82" s="2567"/>
      <c r="VYY82" s="2567"/>
      <c r="VYZ82" s="2567"/>
      <c r="VZA82" s="2567"/>
      <c r="VZB82" s="2567"/>
      <c r="VZC82" s="2567"/>
      <c r="VZD82" s="2567"/>
      <c r="VZE82" s="2567"/>
      <c r="VZF82" s="2567"/>
      <c r="VZG82" s="2567"/>
      <c r="VZH82" s="2567"/>
      <c r="VZI82" s="2567"/>
      <c r="VZJ82" s="2567"/>
      <c r="VZK82" s="2567"/>
      <c r="VZL82" s="2567"/>
      <c r="VZM82" s="2567"/>
      <c r="VZN82" s="2567"/>
      <c r="VZO82" s="2567"/>
      <c r="VZP82" s="2567"/>
      <c r="VZQ82" s="2567"/>
      <c r="VZR82" s="2567"/>
      <c r="VZS82" s="2567"/>
      <c r="VZT82" s="2567"/>
      <c r="VZU82" s="2567"/>
      <c r="VZV82" s="2567"/>
      <c r="VZW82" s="2567"/>
      <c r="VZX82" s="2567"/>
      <c r="VZY82" s="2567"/>
      <c r="VZZ82" s="2567"/>
      <c r="WAA82" s="2567"/>
      <c r="WAB82" s="2567"/>
      <c r="WAC82" s="2567"/>
      <c r="WAD82" s="2567"/>
      <c r="WAE82" s="2567"/>
      <c r="WAF82" s="2567"/>
      <c r="WAG82" s="2567"/>
      <c r="WAH82" s="2567"/>
      <c r="WAI82" s="2567"/>
      <c r="WAJ82" s="2567"/>
      <c r="WAK82" s="2567"/>
      <c r="WAL82" s="2567"/>
      <c r="WAM82" s="2567"/>
      <c r="WAN82" s="2567"/>
      <c r="WAO82" s="2567"/>
      <c r="WAP82" s="2567"/>
      <c r="WAQ82" s="2567"/>
      <c r="WAR82" s="2567"/>
      <c r="WAS82" s="2567"/>
      <c r="WAT82" s="2567"/>
      <c r="WAU82" s="2567"/>
      <c r="WAV82" s="2567"/>
      <c r="WAW82" s="2567"/>
      <c r="WAX82" s="2567"/>
      <c r="WAY82" s="2567"/>
      <c r="WAZ82" s="2567"/>
      <c r="WBA82" s="2567"/>
      <c r="WBB82" s="2567"/>
      <c r="WBC82" s="2567"/>
      <c r="WBD82" s="2567"/>
      <c r="WBE82" s="2567"/>
      <c r="WBF82" s="2567"/>
      <c r="WBG82" s="2567"/>
      <c r="WBH82" s="2567"/>
      <c r="WBI82" s="2567"/>
      <c r="WBJ82" s="2567"/>
      <c r="WBK82" s="2567"/>
      <c r="WBL82" s="2567"/>
      <c r="WBM82" s="2567"/>
      <c r="WBN82" s="2567"/>
      <c r="WBO82" s="2567"/>
      <c r="WBP82" s="2567"/>
      <c r="WBQ82" s="2567"/>
      <c r="WBR82" s="2567"/>
      <c r="WBS82" s="2567"/>
      <c r="WBT82" s="2567"/>
      <c r="WBU82" s="2567"/>
      <c r="WBV82" s="2567"/>
      <c r="WBW82" s="2567"/>
      <c r="WBX82" s="2567"/>
      <c r="WBY82" s="2567"/>
      <c r="WBZ82" s="2567"/>
      <c r="WCA82" s="2567"/>
      <c r="WCB82" s="2567"/>
      <c r="WCC82" s="2567"/>
      <c r="WCD82" s="2567"/>
      <c r="WCE82" s="2567"/>
      <c r="WCF82" s="2567"/>
      <c r="WCG82" s="2567"/>
      <c r="WCH82" s="2567"/>
      <c r="WCI82" s="2567"/>
      <c r="WCJ82" s="2567"/>
      <c r="WCK82" s="2567"/>
      <c r="WCL82" s="2567"/>
      <c r="WCM82" s="2567"/>
      <c r="WCN82" s="2567"/>
      <c r="WCO82" s="2567"/>
      <c r="WCP82" s="2567"/>
      <c r="WCQ82" s="2567"/>
      <c r="WCR82" s="2567"/>
      <c r="WCS82" s="2567"/>
      <c r="WCT82" s="2567"/>
      <c r="WCU82" s="2567"/>
      <c r="WCV82" s="2567"/>
      <c r="WCW82" s="2567"/>
      <c r="WCX82" s="2567"/>
      <c r="WCY82" s="2567"/>
      <c r="WCZ82" s="2567"/>
      <c r="WDA82" s="2567"/>
      <c r="WDB82" s="2567"/>
      <c r="WDC82" s="2567"/>
      <c r="WDD82" s="2567"/>
      <c r="WDE82" s="2567"/>
      <c r="WDF82" s="2567"/>
      <c r="WDG82" s="2567"/>
      <c r="WDH82" s="2567"/>
      <c r="WDI82" s="2567"/>
      <c r="WDJ82" s="2567"/>
      <c r="WDK82" s="2567"/>
      <c r="WDL82" s="2567"/>
      <c r="WDM82" s="2567"/>
      <c r="WDN82" s="2567"/>
      <c r="WDO82" s="2567"/>
      <c r="WDP82" s="2567"/>
      <c r="WDQ82" s="2567"/>
      <c r="WDR82" s="2567"/>
      <c r="WDS82" s="2567"/>
      <c r="WDT82" s="2567"/>
      <c r="WDU82" s="2567"/>
      <c r="WDV82" s="2567"/>
      <c r="WDW82" s="2567"/>
      <c r="WDX82" s="2567"/>
      <c r="WDY82" s="2567"/>
      <c r="WDZ82" s="2567"/>
      <c r="WEA82" s="2567"/>
      <c r="WEB82" s="2567"/>
      <c r="WEC82" s="2567"/>
      <c r="WED82" s="2567"/>
      <c r="WEE82" s="2567"/>
      <c r="WEF82" s="2567"/>
      <c r="WEG82" s="2567"/>
      <c r="WEH82" s="2567"/>
      <c r="WEI82" s="2567"/>
      <c r="WEJ82" s="2567"/>
      <c r="WEK82" s="2567"/>
      <c r="WEL82" s="2567"/>
      <c r="WEM82" s="2567"/>
      <c r="WEN82" s="2567"/>
      <c r="WEO82" s="2567"/>
      <c r="WEP82" s="2567"/>
      <c r="WEQ82" s="2567"/>
      <c r="WER82" s="2567"/>
      <c r="WES82" s="2567"/>
      <c r="WET82" s="2567"/>
      <c r="WEU82" s="2567"/>
      <c r="WEV82" s="2567"/>
      <c r="WEW82" s="2567"/>
      <c r="WEX82" s="2567"/>
      <c r="WEY82" s="2567"/>
      <c r="WEZ82" s="2567"/>
      <c r="WFA82" s="2567"/>
      <c r="WFB82" s="2567"/>
      <c r="WFC82" s="2567"/>
      <c r="WFD82" s="2567"/>
      <c r="WFE82" s="2567"/>
      <c r="WFF82" s="2567"/>
      <c r="WFG82" s="2567"/>
      <c r="WFH82" s="2567"/>
      <c r="WFI82" s="2567"/>
      <c r="WFJ82" s="2567"/>
      <c r="WFK82" s="2567"/>
      <c r="WFL82" s="2567"/>
      <c r="WFM82" s="2567"/>
      <c r="WFN82" s="2567"/>
      <c r="WFO82" s="2567"/>
      <c r="WFP82" s="2567"/>
      <c r="WFQ82" s="2567"/>
      <c r="WFR82" s="2567"/>
      <c r="WFS82" s="2567"/>
      <c r="WFT82" s="2567"/>
      <c r="WFU82" s="2567"/>
      <c r="WFV82" s="2567"/>
      <c r="WFW82" s="2567"/>
      <c r="WFX82" s="2567"/>
      <c r="WFY82" s="2567"/>
      <c r="WFZ82" s="2567"/>
      <c r="WGA82" s="2567"/>
      <c r="WGB82" s="2567"/>
      <c r="WGC82" s="2567"/>
      <c r="WGD82" s="2567"/>
      <c r="WGE82" s="2567"/>
      <c r="WGF82" s="2567"/>
      <c r="WGG82" s="2567"/>
      <c r="WGH82" s="2567"/>
      <c r="WGI82" s="2567"/>
      <c r="WGJ82" s="2567"/>
      <c r="WGK82" s="2567"/>
      <c r="WGL82" s="2567"/>
      <c r="WGM82" s="2567"/>
      <c r="WGN82" s="2567"/>
      <c r="WGO82" s="2567"/>
      <c r="WGP82" s="2567"/>
      <c r="WGQ82" s="2567"/>
      <c r="WGR82" s="2567"/>
      <c r="WGS82" s="2567"/>
      <c r="WGT82" s="2567"/>
      <c r="WGU82" s="2567"/>
      <c r="WGV82" s="2567"/>
      <c r="WGW82" s="2567"/>
      <c r="WGX82" s="2567"/>
      <c r="WGY82" s="2567"/>
      <c r="WGZ82" s="2567"/>
      <c r="WHA82" s="2567"/>
      <c r="WHB82" s="2567"/>
      <c r="WHC82" s="2567"/>
      <c r="WHD82" s="2567"/>
      <c r="WHE82" s="2567"/>
      <c r="WHF82" s="2567"/>
      <c r="WHG82" s="2567"/>
      <c r="WHH82" s="2567"/>
      <c r="WHI82" s="2567"/>
      <c r="WHJ82" s="2567"/>
      <c r="WHK82" s="2567"/>
      <c r="WHL82" s="2567"/>
      <c r="WHM82" s="2567"/>
      <c r="WHN82" s="2567"/>
      <c r="WHO82" s="2567"/>
      <c r="WHP82" s="2567"/>
      <c r="WHQ82" s="2567"/>
      <c r="WHR82" s="2567"/>
      <c r="WHS82" s="2567"/>
      <c r="WHT82" s="2567"/>
      <c r="WHU82" s="2567"/>
      <c r="WHV82" s="2567"/>
      <c r="WHW82" s="2567"/>
      <c r="WHX82" s="2567"/>
      <c r="WHY82" s="2567"/>
      <c r="WHZ82" s="2567"/>
      <c r="WIA82" s="2567"/>
      <c r="WIB82" s="2567"/>
      <c r="WIC82" s="2567"/>
      <c r="WID82" s="2567"/>
      <c r="WIE82" s="2567"/>
      <c r="WIF82" s="2567"/>
      <c r="WIG82" s="2567"/>
      <c r="WIH82" s="2567"/>
      <c r="WII82" s="2567"/>
      <c r="WIJ82" s="2567"/>
      <c r="WIK82" s="2567"/>
      <c r="WIL82" s="2567"/>
      <c r="WIM82" s="2567"/>
      <c r="WIN82" s="2567"/>
      <c r="WIO82" s="2567"/>
      <c r="WIP82" s="2567"/>
      <c r="WIQ82" s="2567"/>
      <c r="WIR82" s="2567"/>
      <c r="WIS82" s="2567"/>
      <c r="WIT82" s="2567"/>
      <c r="WIU82" s="2567"/>
      <c r="WIV82" s="2567"/>
      <c r="WIW82" s="2567"/>
      <c r="WIX82" s="2567"/>
      <c r="WIY82" s="2567"/>
      <c r="WIZ82" s="2567"/>
      <c r="WJA82" s="2567"/>
      <c r="WJB82" s="2567"/>
      <c r="WJC82" s="2567"/>
      <c r="WJD82" s="2567"/>
      <c r="WJE82" s="2567"/>
      <c r="WJF82" s="2567"/>
      <c r="WJG82" s="2567"/>
      <c r="WJH82" s="2567"/>
      <c r="WJI82" s="2567"/>
      <c r="WJJ82" s="2567"/>
      <c r="WJK82" s="2567"/>
      <c r="WJL82" s="2567"/>
      <c r="WJM82" s="2567"/>
      <c r="WJN82" s="2567"/>
      <c r="WJO82" s="2567"/>
      <c r="WJP82" s="2567"/>
      <c r="WJQ82" s="2567"/>
      <c r="WJR82" s="2567"/>
      <c r="WJS82" s="2567"/>
      <c r="WJT82" s="2567"/>
      <c r="WJU82" s="2567"/>
      <c r="WJV82" s="2567"/>
      <c r="WJW82" s="2567"/>
      <c r="WJX82" s="2567"/>
      <c r="WJY82" s="2567"/>
      <c r="WJZ82" s="2567"/>
      <c r="WKA82" s="2567"/>
      <c r="WKB82" s="2567"/>
      <c r="WKC82" s="2567"/>
      <c r="WKD82" s="2567"/>
      <c r="WKE82" s="2567"/>
      <c r="WKF82" s="2567"/>
      <c r="WKG82" s="2567"/>
      <c r="WKH82" s="2567"/>
      <c r="WKI82" s="2567"/>
      <c r="WKJ82" s="2567"/>
      <c r="WKK82" s="2567"/>
      <c r="WKL82" s="2567"/>
      <c r="WKM82" s="2567"/>
      <c r="WKN82" s="2567"/>
      <c r="WKO82" s="2567"/>
      <c r="WKP82" s="2567"/>
      <c r="WKQ82" s="2567"/>
      <c r="WKR82" s="2567"/>
      <c r="WKS82" s="2567"/>
      <c r="WKT82" s="2567"/>
      <c r="WKU82" s="2567"/>
      <c r="WKV82" s="2567"/>
      <c r="WKW82" s="2567"/>
      <c r="WKX82" s="2567"/>
      <c r="WKY82" s="2567"/>
      <c r="WKZ82" s="2567"/>
      <c r="WLA82" s="2567"/>
      <c r="WLB82" s="2567"/>
      <c r="WLC82" s="2567"/>
      <c r="WLD82" s="2567"/>
      <c r="WLE82" s="2567"/>
      <c r="WLF82" s="2567"/>
      <c r="WLG82" s="2567"/>
      <c r="WLH82" s="2567"/>
      <c r="WLI82" s="2567"/>
      <c r="WLJ82" s="2567"/>
      <c r="WLK82" s="2567"/>
      <c r="WLL82" s="2567"/>
      <c r="WLM82" s="2567"/>
      <c r="WLN82" s="2567"/>
      <c r="WLO82" s="2567"/>
      <c r="WLP82" s="2567"/>
      <c r="WLQ82" s="2567"/>
      <c r="WLR82" s="2567"/>
      <c r="WLS82" s="2567"/>
      <c r="WLT82" s="2567"/>
      <c r="WLU82" s="2567"/>
      <c r="WLV82" s="2567"/>
      <c r="WLW82" s="2567"/>
      <c r="WLX82" s="2567"/>
      <c r="WLY82" s="2567"/>
      <c r="WLZ82" s="2567"/>
      <c r="WMA82" s="2567"/>
      <c r="WMB82" s="2567"/>
      <c r="WMC82" s="2567"/>
      <c r="WMD82" s="2567"/>
      <c r="WME82" s="2567"/>
      <c r="WMF82" s="2567"/>
      <c r="WMG82" s="2567"/>
      <c r="WMH82" s="2567"/>
      <c r="WMI82" s="2567"/>
      <c r="WMJ82" s="2567"/>
      <c r="WMK82" s="2567"/>
      <c r="WML82" s="2567"/>
      <c r="WMM82" s="2567"/>
      <c r="WMN82" s="2567"/>
      <c r="WMO82" s="2567"/>
      <c r="WMP82" s="2567"/>
      <c r="WMQ82" s="2567"/>
      <c r="WMR82" s="2567"/>
      <c r="WMS82" s="2567"/>
      <c r="WMT82" s="2567"/>
      <c r="WMU82" s="2567"/>
      <c r="WMV82" s="2567"/>
      <c r="WMW82" s="2567"/>
      <c r="WMX82" s="2567"/>
      <c r="WMY82" s="2567"/>
      <c r="WMZ82" s="2567"/>
      <c r="WNA82" s="2567"/>
      <c r="WNB82" s="2567"/>
      <c r="WNC82" s="2567"/>
      <c r="WND82" s="2567"/>
      <c r="WNE82" s="2567"/>
      <c r="WNF82" s="2567"/>
      <c r="WNG82" s="2567"/>
      <c r="WNH82" s="2567"/>
      <c r="WNI82" s="2567"/>
      <c r="WNJ82" s="2567"/>
      <c r="WNK82" s="2567"/>
      <c r="WNL82" s="2567"/>
      <c r="WNM82" s="2567"/>
      <c r="WNN82" s="2567"/>
      <c r="WNO82" s="2567"/>
      <c r="WNP82" s="2567"/>
      <c r="WNQ82" s="2567"/>
      <c r="WNR82" s="2567"/>
      <c r="WNS82" s="2567"/>
      <c r="WNT82" s="2567"/>
      <c r="WNU82" s="2567"/>
      <c r="WNV82" s="2567"/>
      <c r="WNW82" s="2567"/>
      <c r="WNX82" s="2567"/>
      <c r="WNY82" s="2567"/>
      <c r="WNZ82" s="2567"/>
      <c r="WOA82" s="2567"/>
      <c r="WOB82" s="2567"/>
      <c r="WOC82" s="2567"/>
      <c r="WOD82" s="2567"/>
      <c r="WOE82" s="2567"/>
      <c r="WOF82" s="2567"/>
      <c r="WOG82" s="2567"/>
      <c r="WOH82" s="2567"/>
      <c r="WOI82" s="2567"/>
      <c r="WOJ82" s="2567"/>
      <c r="WOK82" s="2567"/>
      <c r="WOL82" s="2567"/>
      <c r="WOM82" s="2567"/>
      <c r="WON82" s="2567"/>
      <c r="WOO82" s="2567"/>
      <c r="WOP82" s="2567"/>
      <c r="WOQ82" s="2567"/>
      <c r="WOR82" s="2567"/>
      <c r="WOS82" s="2567"/>
      <c r="WOT82" s="2567"/>
      <c r="WOU82" s="2567"/>
      <c r="WOV82" s="2567"/>
      <c r="WOW82" s="2567"/>
      <c r="WOX82" s="2567"/>
      <c r="WOY82" s="2567"/>
      <c r="WOZ82" s="2567"/>
      <c r="WPA82" s="2567"/>
      <c r="WPB82" s="2567"/>
      <c r="WPC82" s="2567"/>
      <c r="WPD82" s="2567"/>
      <c r="WPE82" s="2567"/>
      <c r="WPF82" s="2567"/>
      <c r="WPG82" s="2567"/>
      <c r="WPH82" s="2567"/>
      <c r="WPI82" s="2567"/>
      <c r="WPJ82" s="2567"/>
      <c r="WPK82" s="2567"/>
      <c r="WPL82" s="2567"/>
      <c r="WPM82" s="2567"/>
      <c r="WPN82" s="2567"/>
      <c r="WPO82" s="2567"/>
      <c r="WPP82" s="2567"/>
      <c r="WPQ82" s="2567"/>
      <c r="WPR82" s="2567"/>
      <c r="WPS82" s="2567"/>
      <c r="WPT82" s="2567"/>
      <c r="WPU82" s="2567"/>
      <c r="WPV82" s="2567"/>
      <c r="WPW82" s="2567"/>
      <c r="WPX82" s="2567"/>
      <c r="WPY82" s="2567"/>
      <c r="WPZ82" s="2567"/>
      <c r="WQA82" s="2567"/>
      <c r="WQB82" s="2567"/>
      <c r="WQC82" s="2567"/>
      <c r="WQD82" s="2567"/>
      <c r="WQE82" s="2567"/>
      <c r="WQF82" s="2567"/>
      <c r="WQG82" s="2567"/>
      <c r="WQH82" s="2567"/>
      <c r="WQI82" s="2567"/>
      <c r="WQJ82" s="2567"/>
      <c r="WQK82" s="2567"/>
      <c r="WQL82" s="2567"/>
      <c r="WQM82" s="2567"/>
      <c r="WQN82" s="2567"/>
      <c r="WQO82" s="2567"/>
      <c r="WQP82" s="2567"/>
      <c r="WQQ82" s="2567"/>
      <c r="WQR82" s="2567"/>
      <c r="WQS82" s="2567"/>
      <c r="WQT82" s="2567"/>
      <c r="WQU82" s="2567"/>
      <c r="WQV82" s="2567"/>
      <c r="WQW82" s="2567"/>
      <c r="WQX82" s="2567"/>
      <c r="WQY82" s="2567"/>
      <c r="WQZ82" s="2567"/>
      <c r="WRA82" s="2567"/>
      <c r="WRB82" s="2567"/>
      <c r="WRC82" s="2567"/>
      <c r="WRD82" s="2567"/>
      <c r="WRE82" s="2567"/>
      <c r="WRF82" s="2567"/>
      <c r="WRG82" s="2567"/>
      <c r="WRH82" s="2567"/>
      <c r="WRI82" s="2567"/>
      <c r="WRJ82" s="2567"/>
      <c r="WRK82" s="2567"/>
      <c r="WRL82" s="2567"/>
      <c r="WRM82" s="2567"/>
      <c r="WRN82" s="2567"/>
      <c r="WRO82" s="2567"/>
      <c r="WRP82" s="2567"/>
      <c r="WRQ82" s="2567"/>
      <c r="WRR82" s="2567"/>
      <c r="WRS82" s="2567"/>
      <c r="WRT82" s="2567"/>
      <c r="WRU82" s="2567"/>
      <c r="WRV82" s="2567"/>
      <c r="WRW82" s="2567"/>
      <c r="WRX82" s="2567"/>
      <c r="WRY82" s="2567"/>
      <c r="WRZ82" s="2567"/>
      <c r="WSA82" s="2567"/>
      <c r="WSB82" s="2567"/>
      <c r="WSC82" s="2567"/>
      <c r="WSD82" s="2567"/>
      <c r="WSE82" s="2567"/>
      <c r="WSF82" s="2567"/>
      <c r="WSG82" s="2567"/>
      <c r="WSH82" s="2567"/>
      <c r="WSI82" s="2567"/>
      <c r="WSJ82" s="2567"/>
      <c r="WSK82" s="2567"/>
      <c r="WSL82" s="2567"/>
      <c r="WSM82" s="2567"/>
      <c r="WSN82" s="2567"/>
      <c r="WSO82" s="2567"/>
      <c r="WSP82" s="2567"/>
      <c r="WSQ82" s="2567"/>
      <c r="WSR82" s="2567"/>
      <c r="WSS82" s="2567"/>
      <c r="WST82" s="2567"/>
      <c r="WSU82" s="2567"/>
      <c r="WSV82" s="2567"/>
      <c r="WSW82" s="2567"/>
      <c r="WSX82" s="2567"/>
      <c r="WSY82" s="2567"/>
      <c r="WSZ82" s="2567"/>
      <c r="WTA82" s="2567"/>
      <c r="WTB82" s="2567"/>
      <c r="WTC82" s="2567"/>
      <c r="WTD82" s="2567"/>
      <c r="WTE82" s="2567"/>
      <c r="WTF82" s="2567"/>
      <c r="WTG82" s="2567"/>
      <c r="WTH82" s="2567"/>
      <c r="WTI82" s="2567"/>
      <c r="WTJ82" s="2567"/>
      <c r="WTK82" s="2567"/>
      <c r="WTL82" s="2567"/>
      <c r="WTM82" s="2567"/>
      <c r="WTN82" s="2567"/>
      <c r="WTO82" s="2567"/>
      <c r="WTP82" s="2567"/>
      <c r="WTQ82" s="2567"/>
      <c r="WTR82" s="2567"/>
      <c r="WTS82" s="2567"/>
      <c r="WTT82" s="2567"/>
      <c r="WTU82" s="2567"/>
      <c r="WTV82" s="2567"/>
      <c r="WTW82" s="2567"/>
      <c r="WTX82" s="2567"/>
      <c r="WTY82" s="2567"/>
      <c r="WTZ82" s="2567"/>
      <c r="WUA82" s="2567"/>
      <c r="WUB82" s="2567"/>
      <c r="WUC82" s="2567"/>
      <c r="WUD82" s="2567"/>
      <c r="WUE82" s="2567"/>
      <c r="WUF82" s="2567"/>
      <c r="WUG82" s="2567"/>
      <c r="WUH82" s="2567"/>
      <c r="WUI82" s="2567"/>
      <c r="WUJ82" s="2567"/>
      <c r="WUK82" s="2567"/>
      <c r="WUL82" s="2567"/>
      <c r="WUM82" s="2567"/>
      <c r="WUN82" s="2567"/>
      <c r="WUO82" s="2567"/>
      <c r="WUP82" s="2567"/>
      <c r="WUQ82" s="2567"/>
      <c r="WUR82" s="2567"/>
      <c r="WUS82" s="2567"/>
      <c r="WUT82" s="2567"/>
      <c r="WUU82" s="2567"/>
      <c r="WUV82" s="2567"/>
      <c r="WUW82" s="2567"/>
      <c r="WUX82" s="2567"/>
      <c r="WUY82" s="2567"/>
      <c r="WUZ82" s="2567"/>
      <c r="WVA82" s="2567"/>
      <c r="WVB82" s="2567"/>
      <c r="WVC82" s="2567"/>
      <c r="WVD82" s="2567"/>
      <c r="WVE82" s="2567"/>
      <c r="WVF82" s="2567"/>
      <c r="WVG82" s="2567"/>
      <c r="WVH82" s="2567"/>
      <c r="WVI82" s="2567"/>
      <c r="WVJ82" s="2567"/>
      <c r="WVK82" s="2567"/>
      <c r="WVL82" s="2567"/>
      <c r="WVM82" s="2567"/>
      <c r="WVN82" s="2567"/>
      <c r="WVO82" s="2567"/>
      <c r="WVP82" s="2567"/>
      <c r="WVQ82" s="2567"/>
      <c r="WVR82" s="2567"/>
      <c r="WVS82" s="2567"/>
      <c r="WVT82" s="2567"/>
      <c r="WVU82" s="2567"/>
      <c r="WVV82" s="2567"/>
      <c r="WVW82" s="2567"/>
      <c r="WVX82" s="2567"/>
      <c r="WVY82" s="2567"/>
      <c r="WVZ82" s="2567"/>
      <c r="WWA82" s="2567"/>
      <c r="WWB82" s="2567"/>
      <c r="WWC82" s="2567"/>
      <c r="WWD82" s="2567"/>
      <c r="WWE82" s="2567"/>
      <c r="WWF82" s="2567"/>
      <c r="WWG82" s="2567"/>
      <c r="WWH82" s="2567"/>
      <c r="WWI82" s="2567"/>
      <c r="WWJ82" s="2567"/>
      <c r="WWK82" s="2567"/>
      <c r="WWL82" s="2567"/>
      <c r="WWM82" s="2567"/>
      <c r="WWN82" s="2567"/>
      <c r="WWO82" s="2567"/>
      <c r="WWP82" s="2567"/>
      <c r="WWQ82" s="2567"/>
      <c r="WWR82" s="2567"/>
      <c r="WWS82" s="2567"/>
      <c r="WWT82" s="2567"/>
      <c r="WWU82" s="2567"/>
      <c r="WWV82" s="2567"/>
      <c r="WWW82" s="2567"/>
      <c r="WWX82" s="2567"/>
      <c r="WWY82" s="2567"/>
      <c r="WWZ82" s="2567"/>
      <c r="WXA82" s="2567"/>
      <c r="WXB82" s="2567"/>
      <c r="WXC82" s="2567"/>
      <c r="WXD82" s="2567"/>
      <c r="WXE82" s="2567"/>
      <c r="WXF82" s="2567"/>
      <c r="WXG82" s="2567"/>
      <c r="WXH82" s="2567"/>
      <c r="WXI82" s="2567"/>
      <c r="WXJ82" s="2567"/>
      <c r="WXK82" s="2567"/>
      <c r="WXL82" s="2567"/>
      <c r="WXM82" s="2567"/>
      <c r="WXN82" s="2567"/>
      <c r="WXO82" s="2567"/>
      <c r="WXP82" s="2567"/>
      <c r="WXQ82" s="2567"/>
      <c r="WXR82" s="2567"/>
      <c r="WXS82" s="2567"/>
      <c r="WXT82" s="2567"/>
      <c r="WXU82" s="2567"/>
      <c r="WXV82" s="2567"/>
      <c r="WXW82" s="2567"/>
      <c r="WXX82" s="2567"/>
      <c r="WXY82" s="2567"/>
      <c r="WXZ82" s="2567"/>
      <c r="WYA82" s="2567"/>
      <c r="WYB82" s="2567"/>
      <c r="WYC82" s="2567"/>
      <c r="WYD82" s="2567"/>
      <c r="WYE82" s="2567"/>
      <c r="WYF82" s="2567"/>
      <c r="WYG82" s="2567"/>
      <c r="WYH82" s="2567"/>
      <c r="WYI82" s="2567"/>
      <c r="WYJ82" s="2567"/>
      <c r="WYK82" s="2567"/>
      <c r="WYL82" s="2567"/>
      <c r="WYM82" s="2567"/>
      <c r="WYN82" s="2567"/>
      <c r="WYO82" s="2567"/>
      <c r="WYP82" s="2567"/>
      <c r="WYQ82" s="2567"/>
      <c r="WYR82" s="2567"/>
      <c r="WYS82" s="2567"/>
      <c r="WYT82" s="2567"/>
      <c r="WYU82" s="2567"/>
      <c r="WYV82" s="2567"/>
      <c r="WYW82" s="2567"/>
      <c r="WYX82" s="2567"/>
      <c r="WYY82" s="2567"/>
      <c r="WYZ82" s="2567"/>
      <c r="WZA82" s="2567"/>
      <c r="WZB82" s="2567"/>
      <c r="WZC82" s="2567"/>
      <c r="WZD82" s="2567"/>
      <c r="WZE82" s="2567"/>
      <c r="WZF82" s="2567"/>
      <c r="WZG82" s="2567"/>
      <c r="WZH82" s="2567"/>
      <c r="WZI82" s="2567"/>
      <c r="WZJ82" s="2567"/>
      <c r="WZK82" s="2567"/>
      <c r="WZL82" s="2567"/>
      <c r="WZM82" s="2567"/>
      <c r="WZN82" s="2567"/>
      <c r="WZO82" s="2567"/>
      <c r="WZP82" s="2567"/>
      <c r="WZQ82" s="2567"/>
      <c r="WZR82" s="2567"/>
      <c r="WZS82" s="2567"/>
      <c r="WZT82" s="2567"/>
      <c r="WZU82" s="2567"/>
      <c r="WZV82" s="2567"/>
      <c r="WZW82" s="2567"/>
      <c r="WZX82" s="2567"/>
      <c r="WZY82" s="2567"/>
      <c r="WZZ82" s="2567"/>
      <c r="XAA82" s="2567"/>
      <c r="XAB82" s="2567"/>
      <c r="XAC82" s="2567"/>
      <c r="XAD82" s="2567"/>
      <c r="XAE82" s="2567"/>
      <c r="XAF82" s="2567"/>
      <c r="XAG82" s="2567"/>
      <c r="XAH82" s="2567"/>
      <c r="XAI82" s="2567"/>
      <c r="XAJ82" s="2567"/>
      <c r="XAK82" s="2567"/>
      <c r="XAL82" s="2567"/>
      <c r="XAM82" s="2567"/>
      <c r="XAN82" s="2567"/>
      <c r="XAO82" s="2567"/>
      <c r="XAP82" s="2567"/>
      <c r="XAQ82" s="2567"/>
      <c r="XAR82" s="2567"/>
      <c r="XAS82" s="2567"/>
      <c r="XAT82" s="2567"/>
      <c r="XAU82" s="2567"/>
      <c r="XAV82" s="2567"/>
      <c r="XAW82" s="2567"/>
      <c r="XAX82" s="2567"/>
      <c r="XAY82" s="2567"/>
      <c r="XAZ82" s="2567"/>
      <c r="XBA82" s="2567"/>
      <c r="XBB82" s="2567"/>
      <c r="XBC82" s="2567"/>
      <c r="XBD82" s="2567"/>
      <c r="XBE82" s="2567"/>
      <c r="XBF82" s="2567"/>
      <c r="XBG82" s="2567"/>
      <c r="XBH82" s="2567"/>
      <c r="XBI82" s="2567"/>
      <c r="XBJ82" s="2567"/>
      <c r="XBK82" s="2567"/>
      <c r="XBL82" s="2567"/>
      <c r="XBM82" s="2567"/>
      <c r="XBN82" s="2567"/>
      <c r="XBO82" s="2567"/>
      <c r="XBP82" s="2567"/>
      <c r="XBQ82" s="2567"/>
      <c r="XBR82" s="2567"/>
      <c r="XBS82" s="2567"/>
      <c r="XBT82" s="2567"/>
      <c r="XBU82" s="2567"/>
      <c r="XBV82" s="2567"/>
      <c r="XBW82" s="2567"/>
      <c r="XBX82" s="2567"/>
      <c r="XBY82" s="2567"/>
      <c r="XBZ82" s="2567"/>
      <c r="XCA82" s="2567"/>
      <c r="XCB82" s="2567"/>
      <c r="XCC82" s="2567"/>
      <c r="XCD82" s="2567"/>
      <c r="XCE82" s="2567"/>
      <c r="XCF82" s="2567"/>
      <c r="XCG82" s="2567"/>
      <c r="XCH82" s="2567"/>
      <c r="XCI82" s="2567"/>
      <c r="XCJ82" s="2567"/>
      <c r="XCK82" s="2567"/>
      <c r="XCL82" s="2567"/>
      <c r="XCM82" s="2567"/>
      <c r="XCN82" s="2567"/>
      <c r="XCO82" s="2567"/>
      <c r="XCP82" s="2567"/>
      <c r="XCQ82" s="2567"/>
      <c r="XCR82" s="2567"/>
      <c r="XCS82" s="2567"/>
      <c r="XCT82" s="2567"/>
      <c r="XCU82" s="2567"/>
      <c r="XCV82" s="2567"/>
      <c r="XCW82" s="2567"/>
      <c r="XCX82" s="2567"/>
      <c r="XCY82" s="2567"/>
      <c r="XCZ82" s="2567"/>
      <c r="XDA82" s="2567"/>
      <c r="XDB82" s="2567"/>
      <c r="XDC82" s="2567"/>
      <c r="XDD82" s="2567"/>
      <c r="XDE82" s="2567"/>
      <c r="XDF82" s="2567"/>
      <c r="XDG82" s="2567"/>
      <c r="XDH82" s="2567"/>
      <c r="XDI82" s="2567"/>
      <c r="XDJ82" s="2567"/>
      <c r="XDK82" s="2567"/>
      <c r="XDL82" s="2567"/>
      <c r="XDM82" s="2567"/>
      <c r="XDN82" s="2567"/>
      <c r="XDO82" s="2567"/>
      <c r="XDP82" s="2567"/>
      <c r="XDQ82" s="2567"/>
      <c r="XDR82" s="2567"/>
      <c r="XDS82" s="2567"/>
      <c r="XDT82" s="2567"/>
      <c r="XDU82" s="2567"/>
      <c r="XDV82" s="2567"/>
      <c r="XDW82" s="2567"/>
      <c r="XDX82" s="2567"/>
      <c r="XDY82" s="2567"/>
      <c r="XDZ82" s="2567"/>
      <c r="XEA82" s="2567"/>
      <c r="XEB82" s="2567"/>
      <c r="XEC82" s="2567"/>
      <c r="XED82" s="2567"/>
      <c r="XEE82" s="2567"/>
      <c r="XEF82" s="2567"/>
      <c r="XEG82" s="2567"/>
      <c r="XEH82" s="2567"/>
      <c r="XEI82" s="2567"/>
      <c r="XEJ82" s="2567"/>
      <c r="XEK82" s="2567"/>
      <c r="XEL82" s="2567"/>
      <c r="XEM82" s="2567"/>
      <c r="XEN82" s="2567"/>
      <c r="XEO82" s="2567"/>
      <c r="XEP82" s="2567"/>
      <c r="XEQ82" s="2567"/>
      <c r="XER82" s="2567"/>
      <c r="XES82" s="2567"/>
      <c r="XET82" s="2567"/>
      <c r="XEU82" s="2567"/>
      <c r="XEV82" s="2567"/>
      <c r="XEW82" s="2567"/>
      <c r="XEX82" s="2567"/>
      <c r="XEY82" s="2567"/>
      <c r="XEZ82" s="2567"/>
      <c r="XFA82" s="2567"/>
      <c r="XFB82" s="2567"/>
      <c r="XFC82" s="2567"/>
      <c r="XFD82" s="2567"/>
    </row>
    <row r="83" spans="1:16384" s="2822" customFormat="1" ht="25">
      <c r="A83" s="2499"/>
      <c r="B83" s="2655"/>
      <c r="C83" s="2656"/>
      <c r="D83" s="2656"/>
      <c r="E83" s="2656"/>
      <c r="F83" s="2656"/>
      <c r="G83" s="2656"/>
      <c r="H83" s="2656"/>
      <c r="I83" s="2656"/>
      <c r="J83" s="2656"/>
      <c r="K83" s="2499"/>
      <c r="L83" s="2499"/>
      <c r="M83" s="2499"/>
      <c r="N83" s="2827" t="str">
        <f>IF(Presentación!M9="","",Presentación!M9)</f>
        <v/>
      </c>
      <c r="O83" s="2828" t="str">
        <f>IF(Presentación!N9="","",Presentación!N9)</f>
        <v/>
      </c>
      <c r="P83" s="2499"/>
      <c r="Q83" s="4087" t="str">
        <f>IF(Presentación!M22="","",Presentación!N22)</f>
        <v/>
      </c>
      <c r="R83" s="4088"/>
      <c r="S83" s="4088" t="str">
        <f>IF(Presentación!O22="","",Presentación!P22)</f>
        <v/>
      </c>
      <c r="T83" s="4089"/>
      <c r="U83" s="2499"/>
      <c r="V83" s="2499"/>
      <c r="W83" s="2499"/>
      <c r="X83" s="2499"/>
      <c r="Y83" s="2499"/>
      <c r="Z83" s="2499"/>
      <c r="AA83" s="2499"/>
      <c r="AB83" s="2499"/>
      <c r="AC83" s="2499"/>
      <c r="AD83" s="2499"/>
      <c r="AE83" s="2499"/>
      <c r="AF83" s="2567"/>
      <c r="AG83" s="2567"/>
      <c r="AH83" s="2567"/>
      <c r="AI83" s="2567"/>
      <c r="AJ83" s="2567"/>
      <c r="AK83" s="2567"/>
      <c r="AL83" s="2567"/>
      <c r="AM83" s="2567"/>
      <c r="AN83" s="2567"/>
      <c r="AO83" s="2567"/>
      <c r="AP83" s="2567"/>
      <c r="AQ83" s="2567"/>
      <c r="AR83" s="2567"/>
      <c r="AS83" s="2567"/>
      <c r="AT83" s="2567"/>
      <c r="AU83" s="2567"/>
      <c r="AV83" s="2567"/>
      <c r="AW83" s="2499"/>
      <c r="AX83" s="2499"/>
      <c r="AY83" s="2499"/>
      <c r="AZ83" s="2499"/>
      <c r="BA83" s="2499"/>
      <c r="BB83" s="2499"/>
      <c r="BC83" s="2499"/>
      <c r="BD83" s="2499"/>
      <c r="BE83" s="2499"/>
      <c r="BF83" s="2499"/>
      <c r="BG83" s="2499"/>
      <c r="BH83" s="2499"/>
      <c r="BI83" s="2499"/>
      <c r="BJ83" s="2499"/>
      <c r="BK83" s="2499"/>
      <c r="BL83" s="2499"/>
      <c r="BM83" s="2499"/>
      <c r="BN83" s="2499"/>
      <c r="BO83" s="2499"/>
      <c r="BP83" s="2567"/>
      <c r="BQ83" s="2567"/>
      <c r="BR83" s="2567"/>
      <c r="BS83" s="2567"/>
      <c r="BT83" s="2567"/>
      <c r="BU83" s="2567"/>
      <c r="BV83" s="2567"/>
      <c r="BW83" s="2567"/>
      <c r="BX83" s="2567"/>
      <c r="BY83" s="2567"/>
      <c r="BZ83" s="2567"/>
      <c r="CA83" s="2567"/>
      <c r="CB83" s="2567"/>
      <c r="CC83" s="2567"/>
      <c r="CD83" s="2567"/>
      <c r="CE83" s="2567"/>
      <c r="CF83" s="2567"/>
      <c r="CG83" s="2567"/>
      <c r="CH83" s="2567"/>
      <c r="CI83" s="2567"/>
      <c r="CJ83" s="2567"/>
      <c r="CK83" s="2567"/>
      <c r="CL83" s="2567"/>
      <c r="CM83" s="2567"/>
      <c r="CN83" s="2567"/>
      <c r="CO83" s="2567"/>
      <c r="CP83" s="2567"/>
      <c r="CQ83" s="2567"/>
      <c r="CR83" s="2567"/>
      <c r="CS83" s="2567"/>
      <c r="CT83" s="2567"/>
      <c r="CU83" s="2567"/>
      <c r="CV83" s="2567"/>
      <c r="CW83" s="2567"/>
      <c r="CX83" s="2567"/>
      <c r="CY83" s="2567"/>
      <c r="CZ83" s="2567"/>
      <c r="DA83" s="2567"/>
      <c r="DB83" s="2567"/>
      <c r="DC83" s="2567"/>
      <c r="DD83" s="2567"/>
      <c r="DE83" s="2567"/>
      <c r="DF83" s="2567"/>
      <c r="DG83" s="2567"/>
      <c r="DH83" s="2567"/>
      <c r="DI83" s="2567"/>
      <c r="DJ83" s="2567"/>
      <c r="DK83" s="2567"/>
      <c r="DL83" s="2567"/>
      <c r="DM83" s="2567"/>
      <c r="DN83" s="2567"/>
      <c r="DO83" s="2567"/>
      <c r="DP83" s="2567"/>
      <c r="DQ83" s="2567"/>
      <c r="DR83" s="2567"/>
      <c r="DS83" s="2567"/>
      <c r="DT83" s="2567"/>
      <c r="DU83" s="2567"/>
      <c r="DV83" s="2567"/>
      <c r="DW83" s="2567"/>
      <c r="DX83" s="2567"/>
      <c r="DY83" s="2567"/>
      <c r="DZ83" s="2567"/>
      <c r="EA83" s="2567"/>
      <c r="EB83" s="2567"/>
      <c r="EC83" s="2567"/>
      <c r="ED83" s="2567"/>
      <c r="EE83" s="2567"/>
      <c r="EF83" s="2567"/>
      <c r="EG83" s="2567"/>
      <c r="EH83" s="2567"/>
      <c r="EI83" s="2567"/>
      <c r="EJ83" s="2567"/>
      <c r="EK83" s="2567"/>
      <c r="EL83" s="2567"/>
      <c r="EM83" s="2567"/>
      <c r="EN83" s="2567"/>
      <c r="EO83" s="2567"/>
      <c r="EP83" s="2567"/>
      <c r="EQ83" s="2567"/>
      <c r="ER83" s="2567"/>
      <c r="ES83" s="2567"/>
      <c r="ET83" s="2567"/>
      <c r="EU83" s="2567"/>
      <c r="EV83" s="2567"/>
      <c r="EW83" s="2567"/>
      <c r="EX83" s="2567"/>
      <c r="EY83" s="2567"/>
      <c r="EZ83" s="2567"/>
      <c r="FA83" s="2567"/>
      <c r="FB83" s="2567"/>
      <c r="FC83" s="2567"/>
      <c r="FD83" s="2567"/>
      <c r="FE83" s="2567"/>
      <c r="FF83" s="2567"/>
      <c r="FG83" s="2567"/>
      <c r="FH83" s="2567"/>
      <c r="FI83" s="2567"/>
      <c r="FJ83" s="2567"/>
      <c r="FK83" s="2567"/>
      <c r="FL83" s="2567"/>
      <c r="FM83" s="2567"/>
      <c r="FN83" s="2567"/>
      <c r="FO83" s="2567"/>
      <c r="FP83" s="2567"/>
      <c r="FQ83" s="2567"/>
      <c r="FR83" s="2567"/>
      <c r="FS83" s="2567"/>
      <c r="FT83" s="2567"/>
      <c r="FU83" s="2567"/>
      <c r="FV83" s="2567"/>
      <c r="FW83" s="2567"/>
      <c r="FX83" s="2567"/>
      <c r="FY83" s="2567"/>
      <c r="FZ83" s="2567"/>
      <c r="GA83" s="2567"/>
      <c r="GB83" s="2567"/>
      <c r="GC83" s="2567"/>
      <c r="GD83" s="2567"/>
      <c r="GE83" s="2567"/>
      <c r="GF83" s="2567"/>
      <c r="GG83" s="2567"/>
      <c r="GH83" s="2567"/>
      <c r="GI83" s="2567"/>
      <c r="GJ83" s="2567"/>
      <c r="GK83" s="2567"/>
      <c r="GL83" s="2567"/>
      <c r="GM83" s="2567"/>
      <c r="GN83" s="2567"/>
      <c r="GO83" s="2567"/>
      <c r="GP83" s="2567"/>
      <c r="GQ83" s="2567"/>
      <c r="GR83" s="2567"/>
      <c r="GS83" s="2567"/>
      <c r="GT83" s="2567"/>
      <c r="GU83" s="2567"/>
      <c r="GV83" s="2567"/>
      <c r="GW83" s="2567"/>
      <c r="GX83" s="2567"/>
      <c r="GY83" s="2567"/>
      <c r="GZ83" s="2567"/>
      <c r="HA83" s="2567"/>
      <c r="HB83" s="2567"/>
      <c r="HC83" s="2567"/>
      <c r="HD83" s="2567"/>
      <c r="HE83" s="2567"/>
      <c r="HF83" s="2567"/>
      <c r="HG83" s="2567"/>
      <c r="HH83" s="2567"/>
      <c r="HI83" s="2567"/>
      <c r="HJ83" s="2567"/>
      <c r="HK83" s="2567"/>
      <c r="HL83" s="2567"/>
      <c r="HM83" s="2567"/>
      <c r="HN83" s="2567"/>
      <c r="HO83" s="2567"/>
      <c r="HP83" s="2567"/>
      <c r="HQ83" s="2567"/>
      <c r="HR83" s="2567"/>
      <c r="HS83" s="2567"/>
      <c r="HT83" s="2567"/>
      <c r="HU83" s="2567"/>
      <c r="HV83" s="2567"/>
      <c r="HW83" s="2567"/>
      <c r="HX83" s="2567"/>
      <c r="HY83" s="2567"/>
      <c r="HZ83" s="2567"/>
      <c r="IA83" s="2567"/>
      <c r="IB83" s="2567"/>
      <c r="IC83" s="2567"/>
      <c r="ID83" s="2567"/>
      <c r="IE83" s="2567"/>
      <c r="IF83" s="2567"/>
      <c r="IG83" s="2567"/>
      <c r="IH83" s="2567"/>
      <c r="II83" s="2567"/>
      <c r="IJ83" s="2567"/>
      <c r="IK83" s="2567"/>
      <c r="IL83" s="2567"/>
      <c r="IM83" s="2567"/>
      <c r="IN83" s="2567"/>
      <c r="IO83" s="2567"/>
      <c r="IP83" s="2567"/>
      <c r="IQ83" s="2567"/>
      <c r="IR83" s="2567"/>
      <c r="IS83" s="2567"/>
      <c r="IT83" s="2567"/>
      <c r="IU83" s="2567"/>
      <c r="IV83" s="2567"/>
      <c r="IW83" s="2567"/>
      <c r="IX83" s="2567"/>
      <c r="IY83" s="2567"/>
      <c r="IZ83" s="2567"/>
      <c r="JA83" s="2567"/>
      <c r="JB83" s="2567"/>
      <c r="JC83" s="2567"/>
      <c r="JD83" s="2567"/>
      <c r="JE83" s="2567"/>
      <c r="JF83" s="2567"/>
      <c r="JG83" s="2567"/>
      <c r="JH83" s="2567"/>
      <c r="JI83" s="2567"/>
      <c r="JJ83" s="2567"/>
      <c r="JK83" s="2567"/>
      <c r="JL83" s="2567"/>
      <c r="JM83" s="2567"/>
      <c r="JN83" s="2567"/>
      <c r="JO83" s="2567"/>
      <c r="JP83" s="2567"/>
      <c r="JQ83" s="2567"/>
      <c r="JR83" s="2567"/>
      <c r="JS83" s="2567"/>
      <c r="JT83" s="2567"/>
      <c r="JU83" s="2567"/>
      <c r="JV83" s="2567"/>
      <c r="JW83" s="2567"/>
      <c r="JX83" s="2567"/>
      <c r="JY83" s="2567"/>
      <c r="JZ83" s="2567"/>
      <c r="KA83" s="2567"/>
      <c r="KB83" s="2567"/>
      <c r="KC83" s="2567"/>
      <c r="KD83" s="2567"/>
      <c r="KE83" s="2567"/>
      <c r="KF83" s="2567"/>
      <c r="KG83" s="2567"/>
      <c r="KH83" s="2567"/>
      <c r="KI83" s="2567"/>
      <c r="KJ83" s="2567"/>
      <c r="KK83" s="2567"/>
      <c r="KL83" s="2567"/>
      <c r="KM83" s="2567"/>
      <c r="KN83" s="2567"/>
      <c r="KO83" s="2567"/>
      <c r="KP83" s="2567"/>
      <c r="KQ83" s="2567"/>
      <c r="KR83" s="2567"/>
      <c r="KS83" s="2567"/>
      <c r="KT83" s="2567"/>
      <c r="KU83" s="2567"/>
      <c r="KV83" s="2567"/>
      <c r="KW83" s="2567"/>
      <c r="KX83" s="2567"/>
      <c r="KY83" s="2567"/>
      <c r="KZ83" s="2567"/>
      <c r="LA83" s="2567"/>
      <c r="LB83" s="2567"/>
      <c r="LC83" s="2567"/>
      <c r="LD83" s="2567"/>
      <c r="LE83" s="2567"/>
      <c r="LF83" s="2567"/>
      <c r="LG83" s="2567"/>
      <c r="LH83" s="2567"/>
      <c r="LI83" s="2567"/>
      <c r="LJ83" s="2567"/>
      <c r="LK83" s="2567"/>
      <c r="LL83" s="2567"/>
      <c r="LM83" s="2567"/>
      <c r="LN83" s="2567"/>
      <c r="LO83" s="2567"/>
      <c r="LP83" s="2567"/>
      <c r="LQ83" s="2567"/>
      <c r="LR83" s="2567"/>
      <c r="LS83" s="2567"/>
      <c r="LT83" s="2567"/>
      <c r="LU83" s="2567"/>
      <c r="LV83" s="2567"/>
      <c r="LW83" s="2567"/>
      <c r="LX83" s="2567"/>
      <c r="LY83" s="2567"/>
      <c r="LZ83" s="2567"/>
      <c r="MA83" s="2567"/>
      <c r="MB83" s="2567"/>
      <c r="MC83" s="2567"/>
      <c r="MD83" s="2567"/>
      <c r="ME83" s="2567"/>
      <c r="MF83" s="2567"/>
      <c r="MG83" s="2567"/>
      <c r="MH83" s="2567"/>
      <c r="MI83" s="2567"/>
      <c r="MJ83" s="2567"/>
      <c r="MK83" s="2567"/>
      <c r="ML83" s="2567"/>
      <c r="MM83" s="2567"/>
      <c r="MN83" s="2567"/>
      <c r="MO83" s="2567"/>
      <c r="MP83" s="2567"/>
      <c r="MQ83" s="2567"/>
      <c r="MR83" s="2567"/>
      <c r="MS83" s="2567"/>
      <c r="MT83" s="2567"/>
      <c r="MU83" s="2567"/>
      <c r="MV83" s="2567"/>
      <c r="MW83" s="2567"/>
      <c r="MX83" s="2567"/>
      <c r="MY83" s="2567"/>
      <c r="MZ83" s="2567"/>
      <c r="NA83" s="2567"/>
      <c r="NB83" s="2567"/>
      <c r="NC83" s="2567"/>
      <c r="ND83" s="2567"/>
      <c r="NE83" s="2567"/>
      <c r="NF83" s="2567"/>
      <c r="NG83" s="2567"/>
      <c r="NH83" s="2567"/>
      <c r="NI83" s="2567"/>
      <c r="NJ83" s="2567"/>
      <c r="NK83" s="2567"/>
      <c r="NL83" s="2567"/>
      <c r="NM83" s="2567"/>
      <c r="NN83" s="2567"/>
      <c r="NO83" s="2567"/>
      <c r="NP83" s="2567"/>
      <c r="NQ83" s="2567"/>
      <c r="NR83" s="2567"/>
      <c r="NS83" s="2567"/>
      <c r="NT83" s="2567"/>
      <c r="NU83" s="2567"/>
      <c r="NV83" s="2567"/>
      <c r="NW83" s="2567"/>
      <c r="NX83" s="2567"/>
      <c r="NY83" s="2567"/>
      <c r="NZ83" s="2567"/>
      <c r="OA83" s="2567"/>
      <c r="OB83" s="2567"/>
      <c r="OC83" s="2567"/>
      <c r="OD83" s="2567"/>
      <c r="OE83" s="2567"/>
      <c r="OF83" s="2567"/>
      <c r="OG83" s="2567"/>
      <c r="OH83" s="2567"/>
      <c r="OI83" s="2567"/>
      <c r="OJ83" s="2567"/>
      <c r="OK83" s="2567"/>
      <c r="OL83" s="2567"/>
      <c r="OM83" s="2567"/>
      <c r="ON83" s="2567"/>
      <c r="OO83" s="2567"/>
      <c r="OP83" s="2567"/>
      <c r="OQ83" s="2567"/>
      <c r="OR83" s="2567"/>
      <c r="OS83" s="2567"/>
      <c r="OT83" s="2567"/>
      <c r="OU83" s="2567"/>
      <c r="OV83" s="2567"/>
      <c r="OW83" s="2567"/>
      <c r="OX83" s="2567"/>
      <c r="OY83" s="2567"/>
      <c r="OZ83" s="2567"/>
      <c r="PA83" s="2567"/>
      <c r="PB83" s="2567"/>
      <c r="PC83" s="2567"/>
      <c r="PD83" s="2567"/>
      <c r="PE83" s="2567"/>
      <c r="PF83" s="2567"/>
      <c r="PG83" s="2567"/>
      <c r="PH83" s="2567"/>
      <c r="PI83" s="2567"/>
      <c r="PJ83" s="2567"/>
      <c r="PK83" s="2567"/>
      <c r="PL83" s="2567"/>
      <c r="PM83" s="2567"/>
      <c r="PN83" s="2567"/>
      <c r="PO83" s="2567"/>
      <c r="PP83" s="2567"/>
      <c r="PQ83" s="2567"/>
      <c r="PR83" s="2567"/>
      <c r="PS83" s="2567"/>
      <c r="PT83" s="2567"/>
      <c r="PU83" s="2567"/>
      <c r="PV83" s="2567"/>
      <c r="PW83" s="2567"/>
      <c r="PX83" s="2567"/>
      <c r="PY83" s="2567"/>
      <c r="PZ83" s="2567"/>
      <c r="QA83" s="2567"/>
      <c r="QB83" s="2567"/>
      <c r="QC83" s="2567"/>
      <c r="QD83" s="2567"/>
      <c r="QE83" s="2567"/>
      <c r="QF83" s="2567"/>
      <c r="QG83" s="2567"/>
      <c r="QH83" s="2567"/>
      <c r="QI83" s="2567"/>
      <c r="QJ83" s="2567"/>
      <c r="QK83" s="2567"/>
      <c r="QL83" s="2567"/>
      <c r="QM83" s="2567"/>
      <c r="QN83" s="2567"/>
      <c r="QO83" s="2567"/>
      <c r="QP83" s="2567"/>
      <c r="QQ83" s="2567"/>
      <c r="QR83" s="2567"/>
      <c r="QS83" s="2567"/>
      <c r="QT83" s="2567"/>
      <c r="QU83" s="2567"/>
      <c r="QV83" s="2567"/>
      <c r="QW83" s="2567"/>
      <c r="QX83" s="2567"/>
      <c r="QY83" s="2567"/>
      <c r="QZ83" s="2567"/>
      <c r="RA83" s="2567"/>
      <c r="RB83" s="2567"/>
      <c r="RC83" s="2567"/>
      <c r="RD83" s="2567"/>
      <c r="RE83" s="2567"/>
      <c r="RF83" s="2567"/>
      <c r="RG83" s="2567"/>
      <c r="RH83" s="2567"/>
      <c r="RI83" s="2567"/>
      <c r="RJ83" s="2567"/>
      <c r="RK83" s="2567"/>
      <c r="RL83" s="2567"/>
      <c r="RM83" s="2567"/>
      <c r="RN83" s="2567"/>
      <c r="RO83" s="2567"/>
      <c r="RP83" s="2567"/>
      <c r="RQ83" s="2567"/>
      <c r="RR83" s="2567"/>
      <c r="RS83" s="2567"/>
      <c r="RT83" s="2567"/>
      <c r="RU83" s="2567"/>
      <c r="RV83" s="2567"/>
      <c r="RW83" s="2567"/>
      <c r="RX83" s="2567"/>
      <c r="RY83" s="2567"/>
      <c r="RZ83" s="2567"/>
      <c r="SA83" s="2567"/>
      <c r="SB83" s="2567"/>
      <c r="SC83" s="2567"/>
      <c r="SD83" s="2567"/>
      <c r="SE83" s="2567"/>
      <c r="SF83" s="2567"/>
      <c r="SG83" s="2567"/>
      <c r="SH83" s="2567"/>
      <c r="SI83" s="2567"/>
      <c r="SJ83" s="2567"/>
      <c r="SK83" s="2567"/>
      <c r="SL83" s="2567"/>
      <c r="SM83" s="2567"/>
      <c r="SN83" s="2567"/>
      <c r="SO83" s="2567"/>
      <c r="SP83" s="2567"/>
      <c r="SQ83" s="2567"/>
      <c r="SR83" s="2567"/>
      <c r="SS83" s="2567"/>
      <c r="ST83" s="2567"/>
      <c r="SU83" s="2567"/>
      <c r="SV83" s="2567"/>
      <c r="SW83" s="2567"/>
      <c r="SX83" s="2567"/>
      <c r="SY83" s="2567"/>
      <c r="SZ83" s="2567"/>
      <c r="TA83" s="2567"/>
      <c r="TB83" s="2567"/>
      <c r="TC83" s="2567"/>
      <c r="TD83" s="2567"/>
      <c r="TE83" s="2567"/>
      <c r="TF83" s="2567"/>
      <c r="TG83" s="2567"/>
      <c r="TH83" s="2567"/>
      <c r="TI83" s="2567"/>
      <c r="TJ83" s="2567"/>
      <c r="TK83" s="2567"/>
      <c r="TL83" s="2567"/>
      <c r="TM83" s="2567"/>
      <c r="TN83" s="2567"/>
      <c r="TO83" s="2567"/>
      <c r="TP83" s="2567"/>
      <c r="TQ83" s="2567"/>
      <c r="TR83" s="2567"/>
      <c r="TS83" s="2567"/>
      <c r="TT83" s="2567"/>
      <c r="TU83" s="2567"/>
      <c r="TV83" s="2567"/>
      <c r="TW83" s="2567"/>
      <c r="TX83" s="2567"/>
      <c r="TY83" s="2567"/>
      <c r="TZ83" s="2567"/>
      <c r="UA83" s="2567"/>
      <c r="UB83" s="2567"/>
      <c r="UC83" s="2567"/>
      <c r="UD83" s="2567"/>
      <c r="UE83" s="2567"/>
      <c r="UF83" s="2567"/>
      <c r="UG83" s="2567"/>
      <c r="UH83" s="2567"/>
      <c r="UI83" s="2567"/>
      <c r="UJ83" s="2567"/>
      <c r="UK83" s="2567"/>
      <c r="UL83" s="2567"/>
      <c r="UM83" s="2567"/>
      <c r="UN83" s="2567"/>
      <c r="UO83" s="2567"/>
      <c r="UP83" s="2567"/>
      <c r="UQ83" s="2567"/>
      <c r="UR83" s="2567"/>
      <c r="US83" s="2567"/>
      <c r="UT83" s="2567"/>
      <c r="UU83" s="2567"/>
      <c r="UV83" s="2567"/>
      <c r="UW83" s="2567"/>
      <c r="UX83" s="2567"/>
      <c r="UY83" s="2567"/>
      <c r="UZ83" s="2567"/>
      <c r="VA83" s="2567"/>
      <c r="VB83" s="2567"/>
      <c r="VC83" s="2567"/>
      <c r="VD83" s="2567"/>
      <c r="VE83" s="2567"/>
      <c r="VF83" s="2567"/>
      <c r="VG83" s="2567"/>
      <c r="VH83" s="2567"/>
      <c r="VI83" s="2567"/>
      <c r="VJ83" s="2567"/>
      <c r="VK83" s="2567"/>
      <c r="VL83" s="2567"/>
      <c r="VM83" s="2567"/>
      <c r="VN83" s="2567"/>
      <c r="VO83" s="2567"/>
      <c r="VP83" s="2567"/>
      <c r="VQ83" s="2567"/>
      <c r="VR83" s="2567"/>
      <c r="VS83" s="2567"/>
      <c r="VT83" s="2567"/>
      <c r="VU83" s="2567"/>
      <c r="VV83" s="2567"/>
      <c r="VW83" s="2567"/>
      <c r="VX83" s="2567"/>
      <c r="VY83" s="2567"/>
      <c r="VZ83" s="2567"/>
      <c r="WA83" s="2567"/>
      <c r="WB83" s="2567"/>
      <c r="WC83" s="2567"/>
      <c r="WD83" s="2567"/>
      <c r="WE83" s="2567"/>
      <c r="WF83" s="2567"/>
      <c r="WG83" s="2567"/>
      <c r="WH83" s="2567"/>
      <c r="WI83" s="2567"/>
      <c r="WJ83" s="2567"/>
      <c r="WK83" s="2567"/>
      <c r="WL83" s="2567"/>
      <c r="WM83" s="2567"/>
      <c r="WN83" s="2567"/>
      <c r="WO83" s="2567"/>
      <c r="WP83" s="2567"/>
      <c r="WQ83" s="2567"/>
      <c r="WR83" s="2567"/>
      <c r="WS83" s="2567"/>
      <c r="WT83" s="2567"/>
      <c r="WU83" s="2567"/>
      <c r="WV83" s="2567"/>
      <c r="WW83" s="2567"/>
      <c r="WX83" s="2567"/>
      <c r="WY83" s="2567"/>
      <c r="WZ83" s="2567"/>
      <c r="XA83" s="2567"/>
      <c r="XB83" s="2567"/>
      <c r="XC83" s="2567"/>
      <c r="XD83" s="2567"/>
      <c r="XE83" s="2567"/>
      <c r="XF83" s="2567"/>
      <c r="XG83" s="2567"/>
      <c r="XH83" s="2567"/>
      <c r="XI83" s="2567"/>
      <c r="XJ83" s="2567"/>
      <c r="XK83" s="2567"/>
      <c r="XL83" s="2567"/>
      <c r="XM83" s="2567"/>
      <c r="XN83" s="2567"/>
      <c r="XO83" s="2567"/>
      <c r="XP83" s="2567"/>
      <c r="XQ83" s="2567"/>
      <c r="XR83" s="2567"/>
      <c r="XS83" s="2567"/>
      <c r="XT83" s="2567"/>
      <c r="XU83" s="2567"/>
      <c r="XV83" s="2567"/>
      <c r="XW83" s="2567"/>
      <c r="XX83" s="2567"/>
      <c r="XY83" s="2567"/>
      <c r="XZ83" s="2567"/>
      <c r="YA83" s="2567"/>
      <c r="YB83" s="2567"/>
      <c r="YC83" s="2567"/>
      <c r="YD83" s="2567"/>
      <c r="YE83" s="2567"/>
      <c r="YF83" s="2567"/>
      <c r="YG83" s="2567"/>
      <c r="YH83" s="2567"/>
      <c r="YI83" s="2567"/>
      <c r="YJ83" s="2567"/>
      <c r="YK83" s="2567"/>
      <c r="YL83" s="2567"/>
      <c r="YM83" s="2567"/>
      <c r="YN83" s="2567"/>
      <c r="YO83" s="2567"/>
      <c r="YP83" s="2567"/>
      <c r="YQ83" s="2567"/>
      <c r="YR83" s="2567"/>
      <c r="YS83" s="2567"/>
      <c r="YT83" s="2567"/>
      <c r="YU83" s="2567"/>
      <c r="YV83" s="2567"/>
      <c r="YW83" s="2567"/>
      <c r="YX83" s="2567"/>
      <c r="YY83" s="2567"/>
      <c r="YZ83" s="2567"/>
      <c r="ZA83" s="2567"/>
      <c r="ZB83" s="2567"/>
      <c r="ZC83" s="2567"/>
      <c r="ZD83" s="2567"/>
      <c r="ZE83" s="2567"/>
      <c r="ZF83" s="2567"/>
      <c r="ZG83" s="2567"/>
      <c r="ZH83" s="2567"/>
      <c r="ZI83" s="2567"/>
      <c r="ZJ83" s="2567"/>
      <c r="ZK83" s="2567"/>
      <c r="ZL83" s="2567"/>
      <c r="ZM83" s="2567"/>
      <c r="ZN83" s="2567"/>
      <c r="ZO83" s="2567"/>
      <c r="ZP83" s="2567"/>
      <c r="ZQ83" s="2567"/>
      <c r="ZR83" s="2567"/>
      <c r="ZS83" s="2567"/>
      <c r="ZT83" s="2567"/>
      <c r="ZU83" s="2567"/>
      <c r="ZV83" s="2567"/>
      <c r="ZW83" s="2567"/>
      <c r="ZX83" s="2567"/>
      <c r="ZY83" s="2567"/>
      <c r="ZZ83" s="2567"/>
      <c r="AAA83" s="2567"/>
      <c r="AAB83" s="2567"/>
      <c r="AAC83" s="2567"/>
      <c r="AAD83" s="2567"/>
      <c r="AAE83" s="2567"/>
      <c r="AAF83" s="2567"/>
      <c r="AAG83" s="2567"/>
      <c r="AAH83" s="2567"/>
      <c r="AAI83" s="2567"/>
      <c r="AAJ83" s="2567"/>
      <c r="AAK83" s="2567"/>
      <c r="AAL83" s="2567"/>
      <c r="AAM83" s="2567"/>
      <c r="AAN83" s="2567"/>
      <c r="AAO83" s="2567"/>
      <c r="AAP83" s="2567"/>
      <c r="AAQ83" s="2567"/>
      <c r="AAR83" s="2567"/>
      <c r="AAS83" s="2567"/>
      <c r="AAT83" s="2567"/>
      <c r="AAU83" s="2567"/>
      <c r="AAV83" s="2567"/>
      <c r="AAW83" s="2567"/>
      <c r="AAX83" s="2567"/>
      <c r="AAY83" s="2567"/>
      <c r="AAZ83" s="2567"/>
      <c r="ABA83" s="2567"/>
      <c r="ABB83" s="2567"/>
      <c r="ABC83" s="2567"/>
      <c r="ABD83" s="2567"/>
      <c r="ABE83" s="2567"/>
      <c r="ABF83" s="2567"/>
      <c r="ABG83" s="2567"/>
      <c r="ABH83" s="2567"/>
      <c r="ABI83" s="2567"/>
      <c r="ABJ83" s="2567"/>
      <c r="ABK83" s="2567"/>
      <c r="ABL83" s="2567"/>
      <c r="ABM83" s="2567"/>
      <c r="ABN83" s="2567"/>
      <c r="ABO83" s="2567"/>
      <c r="ABP83" s="2567"/>
      <c r="ABQ83" s="2567"/>
      <c r="ABR83" s="2567"/>
      <c r="ABS83" s="2567"/>
      <c r="ABT83" s="2567"/>
      <c r="ABU83" s="2567"/>
      <c r="ABV83" s="2567"/>
      <c r="ABW83" s="2567"/>
      <c r="ABX83" s="2567"/>
      <c r="ABY83" s="2567"/>
      <c r="ABZ83" s="2567"/>
      <c r="ACA83" s="2567"/>
      <c r="ACB83" s="2567"/>
      <c r="ACC83" s="2567"/>
      <c r="ACD83" s="2567"/>
      <c r="ACE83" s="2567"/>
      <c r="ACF83" s="2567"/>
      <c r="ACG83" s="2567"/>
      <c r="ACH83" s="2567"/>
      <c r="ACI83" s="2567"/>
      <c r="ACJ83" s="2567"/>
      <c r="ACK83" s="2567"/>
      <c r="ACL83" s="2567"/>
      <c r="ACM83" s="2567"/>
      <c r="ACN83" s="2567"/>
      <c r="ACO83" s="2567"/>
      <c r="ACP83" s="2567"/>
      <c r="ACQ83" s="2567"/>
      <c r="ACR83" s="2567"/>
      <c r="ACS83" s="2567"/>
      <c r="ACT83" s="2567"/>
      <c r="ACU83" s="2567"/>
      <c r="ACV83" s="2567"/>
      <c r="ACW83" s="2567"/>
      <c r="ACX83" s="2567"/>
      <c r="ACY83" s="2567"/>
      <c r="ACZ83" s="2567"/>
      <c r="ADA83" s="2567"/>
      <c r="ADB83" s="2567"/>
      <c r="ADC83" s="2567"/>
      <c r="ADD83" s="2567"/>
      <c r="ADE83" s="2567"/>
      <c r="ADF83" s="2567"/>
      <c r="ADG83" s="2567"/>
      <c r="ADH83" s="2567"/>
      <c r="ADI83" s="2567"/>
      <c r="ADJ83" s="2567"/>
      <c r="ADK83" s="2567"/>
      <c r="ADL83" s="2567"/>
      <c r="ADM83" s="2567"/>
      <c r="ADN83" s="2567"/>
      <c r="ADO83" s="2567"/>
      <c r="ADP83" s="2567"/>
      <c r="ADQ83" s="2567"/>
      <c r="ADR83" s="2567"/>
      <c r="ADS83" s="2567"/>
      <c r="ADT83" s="2567"/>
      <c r="ADU83" s="2567"/>
      <c r="ADV83" s="2567"/>
      <c r="ADW83" s="2567"/>
      <c r="ADX83" s="2567"/>
      <c r="ADY83" s="2567"/>
      <c r="ADZ83" s="2567"/>
      <c r="AEA83" s="2567"/>
      <c r="AEB83" s="2567"/>
      <c r="AEC83" s="2567"/>
      <c r="AED83" s="2567"/>
      <c r="AEE83" s="2567"/>
      <c r="AEF83" s="2567"/>
      <c r="AEG83" s="2567"/>
      <c r="AEH83" s="2567"/>
      <c r="AEI83" s="2567"/>
      <c r="AEJ83" s="2567"/>
      <c r="AEK83" s="2567"/>
      <c r="AEL83" s="2567"/>
      <c r="AEM83" s="2567"/>
      <c r="AEN83" s="2567"/>
      <c r="AEO83" s="2567"/>
      <c r="AEP83" s="2567"/>
      <c r="AEQ83" s="2567"/>
      <c r="AER83" s="2567"/>
      <c r="AES83" s="2567"/>
      <c r="AET83" s="2567"/>
      <c r="AEU83" s="2567"/>
      <c r="AEV83" s="2567"/>
      <c r="AEW83" s="2567"/>
      <c r="AEX83" s="2567"/>
      <c r="AEY83" s="2567"/>
      <c r="AEZ83" s="2567"/>
      <c r="AFA83" s="2567"/>
      <c r="AFB83" s="2567"/>
      <c r="AFC83" s="2567"/>
      <c r="AFD83" s="2567"/>
      <c r="AFE83" s="2567"/>
      <c r="AFF83" s="2567"/>
      <c r="AFG83" s="2567"/>
      <c r="AFH83" s="2567"/>
      <c r="AFI83" s="2567"/>
      <c r="AFJ83" s="2567"/>
      <c r="AFK83" s="2567"/>
      <c r="AFL83" s="2567"/>
      <c r="AFM83" s="2567"/>
      <c r="AFN83" s="2567"/>
      <c r="AFO83" s="2567"/>
      <c r="AFP83" s="2567"/>
      <c r="AFQ83" s="2567"/>
      <c r="AFR83" s="2567"/>
      <c r="AFS83" s="2567"/>
      <c r="AFT83" s="2567"/>
      <c r="AFU83" s="2567"/>
      <c r="AFV83" s="2567"/>
      <c r="AFW83" s="2567"/>
      <c r="AFX83" s="2567"/>
      <c r="AFY83" s="2567"/>
      <c r="AFZ83" s="2567"/>
      <c r="AGA83" s="2567"/>
      <c r="AGB83" s="2567"/>
      <c r="AGC83" s="2567"/>
      <c r="AGD83" s="2567"/>
      <c r="AGE83" s="2567"/>
      <c r="AGF83" s="2567"/>
      <c r="AGG83" s="2567"/>
      <c r="AGH83" s="2567"/>
      <c r="AGI83" s="2567"/>
      <c r="AGJ83" s="2567"/>
      <c r="AGK83" s="2567"/>
      <c r="AGL83" s="2567"/>
      <c r="AGM83" s="2567"/>
      <c r="AGN83" s="2567"/>
      <c r="AGO83" s="2567"/>
      <c r="AGP83" s="2567"/>
      <c r="AGQ83" s="2567"/>
      <c r="AGR83" s="2567"/>
      <c r="AGS83" s="2567"/>
      <c r="AGT83" s="2567"/>
      <c r="AGU83" s="2567"/>
      <c r="AGV83" s="2567"/>
      <c r="AGW83" s="2567"/>
      <c r="AGX83" s="2567"/>
      <c r="AGY83" s="2567"/>
      <c r="AGZ83" s="2567"/>
      <c r="AHA83" s="2567"/>
      <c r="AHB83" s="2567"/>
      <c r="AHC83" s="2567"/>
      <c r="AHD83" s="2567"/>
      <c r="AHE83" s="2567"/>
      <c r="AHF83" s="2567"/>
      <c r="AHG83" s="2567"/>
      <c r="AHH83" s="2567"/>
      <c r="AHI83" s="2567"/>
      <c r="AHJ83" s="2567"/>
      <c r="AHK83" s="2567"/>
      <c r="AHL83" s="2567"/>
      <c r="AHM83" s="2567"/>
      <c r="AHN83" s="2567"/>
      <c r="AHO83" s="2567"/>
      <c r="AHP83" s="2567"/>
      <c r="AHQ83" s="2567"/>
      <c r="AHR83" s="2567"/>
      <c r="AHS83" s="2567"/>
      <c r="AHT83" s="2567"/>
      <c r="AHU83" s="2567"/>
      <c r="AHV83" s="2567"/>
      <c r="AHW83" s="2567"/>
      <c r="AHX83" s="2567"/>
      <c r="AHY83" s="2567"/>
      <c r="AHZ83" s="2567"/>
      <c r="AIA83" s="2567"/>
      <c r="AIB83" s="2567"/>
      <c r="AIC83" s="2567"/>
      <c r="AID83" s="2567"/>
      <c r="AIE83" s="2567"/>
      <c r="AIF83" s="2567"/>
      <c r="AIG83" s="2567"/>
      <c r="AIH83" s="2567"/>
      <c r="AII83" s="2567"/>
      <c r="AIJ83" s="2567"/>
      <c r="AIK83" s="2567"/>
      <c r="AIL83" s="2567"/>
      <c r="AIM83" s="2567"/>
      <c r="AIN83" s="2567"/>
      <c r="AIO83" s="2567"/>
      <c r="AIP83" s="2567"/>
      <c r="AIQ83" s="2567"/>
      <c r="AIR83" s="2567"/>
      <c r="AIS83" s="2567"/>
      <c r="AIT83" s="2567"/>
      <c r="AIU83" s="2567"/>
      <c r="AIV83" s="2567"/>
      <c r="AIW83" s="2567"/>
      <c r="AIX83" s="2567"/>
      <c r="AIY83" s="2567"/>
      <c r="AIZ83" s="2567"/>
      <c r="AJA83" s="2567"/>
      <c r="AJB83" s="2567"/>
      <c r="AJC83" s="2567"/>
      <c r="AJD83" s="2567"/>
      <c r="AJE83" s="2567"/>
      <c r="AJF83" s="2567"/>
      <c r="AJG83" s="2567"/>
      <c r="AJH83" s="2567"/>
      <c r="AJI83" s="2567"/>
      <c r="AJJ83" s="2567"/>
      <c r="AJK83" s="2567"/>
      <c r="AJL83" s="2567"/>
      <c r="AJM83" s="2567"/>
      <c r="AJN83" s="2567"/>
      <c r="AJO83" s="2567"/>
      <c r="AJP83" s="2567"/>
      <c r="AJQ83" s="2567"/>
      <c r="AJR83" s="2567"/>
      <c r="AJS83" s="2567"/>
      <c r="AJT83" s="2567"/>
      <c r="AJU83" s="2567"/>
      <c r="AJV83" s="2567"/>
      <c r="AJW83" s="2567"/>
      <c r="AJX83" s="2567"/>
      <c r="AJY83" s="2567"/>
      <c r="AJZ83" s="2567"/>
      <c r="AKA83" s="2567"/>
      <c r="AKB83" s="2567"/>
      <c r="AKC83" s="2567"/>
      <c r="AKD83" s="2567"/>
      <c r="AKE83" s="2567"/>
      <c r="AKF83" s="2567"/>
      <c r="AKG83" s="2567"/>
      <c r="AKH83" s="2567"/>
      <c r="AKI83" s="2567"/>
      <c r="AKJ83" s="2567"/>
      <c r="AKK83" s="2567"/>
      <c r="AKL83" s="2567"/>
      <c r="AKM83" s="2567"/>
      <c r="AKN83" s="2567"/>
      <c r="AKO83" s="2567"/>
      <c r="AKP83" s="2567"/>
      <c r="AKQ83" s="2567"/>
      <c r="AKR83" s="2567"/>
      <c r="AKS83" s="2567"/>
      <c r="AKT83" s="2567"/>
      <c r="AKU83" s="2567"/>
      <c r="AKV83" s="2567"/>
      <c r="AKW83" s="2567"/>
      <c r="AKX83" s="2567"/>
      <c r="AKY83" s="2567"/>
      <c r="AKZ83" s="2567"/>
      <c r="ALA83" s="2567"/>
      <c r="ALB83" s="2567"/>
      <c r="ALC83" s="2567"/>
      <c r="ALD83" s="2567"/>
      <c r="ALE83" s="2567"/>
      <c r="ALF83" s="2567"/>
      <c r="ALG83" s="2567"/>
      <c r="ALH83" s="2567"/>
      <c r="ALI83" s="2567"/>
      <c r="ALJ83" s="2567"/>
      <c r="ALK83" s="2567"/>
      <c r="ALL83" s="2567"/>
      <c r="ALM83" s="2567"/>
      <c r="ALN83" s="2567"/>
      <c r="ALO83" s="2567"/>
      <c r="ALP83" s="2567"/>
      <c r="ALQ83" s="2567"/>
      <c r="ALR83" s="2567"/>
      <c r="ALS83" s="2567"/>
      <c r="ALT83" s="2567"/>
      <c r="ALU83" s="2567"/>
      <c r="ALV83" s="2567"/>
      <c r="ALW83" s="2567"/>
      <c r="ALX83" s="2567"/>
      <c r="ALY83" s="2567"/>
      <c r="ALZ83" s="2567"/>
      <c r="AMA83" s="2567"/>
      <c r="AMB83" s="2567"/>
      <c r="AMC83" s="2567"/>
      <c r="AMD83" s="2567"/>
      <c r="AME83" s="2567"/>
      <c r="AMF83" s="2567"/>
      <c r="AMG83" s="2567"/>
      <c r="AMH83" s="2567"/>
      <c r="AMI83" s="2567"/>
      <c r="AMJ83" s="2567"/>
      <c r="AMK83" s="2567"/>
      <c r="AML83" s="2567"/>
      <c r="AMM83" s="2567"/>
      <c r="AMN83" s="2567"/>
      <c r="AMO83" s="2567"/>
      <c r="AMP83" s="2567"/>
      <c r="AMQ83" s="2567"/>
      <c r="AMR83" s="2567"/>
      <c r="AMS83" s="2567"/>
      <c r="AMT83" s="2567"/>
      <c r="AMU83" s="2567"/>
      <c r="AMV83" s="2567"/>
      <c r="AMW83" s="2567"/>
      <c r="AMX83" s="2567"/>
      <c r="AMY83" s="2567"/>
      <c r="AMZ83" s="2567"/>
      <c r="ANA83" s="2567"/>
      <c r="ANB83" s="2567"/>
      <c r="ANC83" s="2567"/>
      <c r="AND83" s="2567"/>
      <c r="ANE83" s="2567"/>
      <c r="ANF83" s="2567"/>
      <c r="ANG83" s="2567"/>
      <c r="ANH83" s="2567"/>
      <c r="ANI83" s="2567"/>
      <c r="ANJ83" s="2567"/>
      <c r="ANK83" s="2567"/>
      <c r="ANL83" s="2567"/>
      <c r="ANM83" s="2567"/>
      <c r="ANN83" s="2567"/>
      <c r="ANO83" s="2567"/>
      <c r="ANP83" s="2567"/>
      <c r="ANQ83" s="2567"/>
      <c r="ANR83" s="2567"/>
      <c r="ANS83" s="2567"/>
      <c r="ANT83" s="2567"/>
      <c r="ANU83" s="2567"/>
      <c r="ANV83" s="2567"/>
      <c r="ANW83" s="2567"/>
      <c r="ANX83" s="2567"/>
      <c r="ANY83" s="2567"/>
      <c r="ANZ83" s="2567"/>
      <c r="AOA83" s="2567"/>
      <c r="AOB83" s="2567"/>
      <c r="AOC83" s="2567"/>
      <c r="AOD83" s="2567"/>
      <c r="AOE83" s="2567"/>
      <c r="AOF83" s="2567"/>
      <c r="AOG83" s="2567"/>
      <c r="AOH83" s="2567"/>
      <c r="AOI83" s="2567"/>
      <c r="AOJ83" s="2567"/>
      <c r="AOK83" s="2567"/>
      <c r="AOL83" s="2567"/>
      <c r="AOM83" s="2567"/>
      <c r="AON83" s="2567"/>
      <c r="AOO83" s="2567"/>
      <c r="AOP83" s="2567"/>
      <c r="AOQ83" s="2567"/>
      <c r="AOR83" s="2567"/>
      <c r="AOS83" s="2567"/>
      <c r="AOT83" s="2567"/>
      <c r="AOU83" s="2567"/>
      <c r="AOV83" s="2567"/>
      <c r="AOW83" s="2567"/>
      <c r="AOX83" s="2567"/>
      <c r="AOY83" s="2567"/>
      <c r="AOZ83" s="2567"/>
      <c r="APA83" s="2567"/>
      <c r="APB83" s="2567"/>
      <c r="APC83" s="2567"/>
      <c r="APD83" s="2567"/>
      <c r="APE83" s="2567"/>
      <c r="APF83" s="2567"/>
      <c r="APG83" s="2567"/>
      <c r="APH83" s="2567"/>
      <c r="API83" s="2567"/>
      <c r="APJ83" s="2567"/>
      <c r="APK83" s="2567"/>
      <c r="APL83" s="2567"/>
      <c r="APM83" s="2567"/>
      <c r="APN83" s="2567"/>
      <c r="APO83" s="2567"/>
      <c r="APP83" s="2567"/>
      <c r="APQ83" s="2567"/>
      <c r="APR83" s="2567"/>
      <c r="APS83" s="2567"/>
      <c r="APT83" s="2567"/>
      <c r="APU83" s="2567"/>
      <c r="APV83" s="2567"/>
      <c r="APW83" s="2567"/>
      <c r="APX83" s="2567"/>
      <c r="APY83" s="2567"/>
      <c r="APZ83" s="2567"/>
      <c r="AQA83" s="2567"/>
      <c r="AQB83" s="2567"/>
      <c r="AQC83" s="2567"/>
      <c r="AQD83" s="2567"/>
      <c r="AQE83" s="2567"/>
      <c r="AQF83" s="2567"/>
      <c r="AQG83" s="2567"/>
      <c r="AQH83" s="2567"/>
      <c r="AQI83" s="2567"/>
      <c r="AQJ83" s="2567"/>
      <c r="AQK83" s="2567"/>
      <c r="AQL83" s="2567"/>
      <c r="AQM83" s="2567"/>
      <c r="AQN83" s="2567"/>
      <c r="AQO83" s="2567"/>
      <c r="AQP83" s="2567"/>
      <c r="AQQ83" s="2567"/>
      <c r="AQR83" s="2567"/>
      <c r="AQS83" s="2567"/>
      <c r="AQT83" s="2567"/>
      <c r="AQU83" s="2567"/>
      <c r="AQV83" s="2567"/>
      <c r="AQW83" s="2567"/>
      <c r="AQX83" s="2567"/>
      <c r="AQY83" s="2567"/>
      <c r="AQZ83" s="2567"/>
      <c r="ARA83" s="2567"/>
      <c r="ARB83" s="2567"/>
      <c r="ARC83" s="2567"/>
      <c r="ARD83" s="2567"/>
      <c r="ARE83" s="2567"/>
      <c r="ARF83" s="2567"/>
      <c r="ARG83" s="2567"/>
      <c r="ARH83" s="2567"/>
      <c r="ARI83" s="2567"/>
      <c r="ARJ83" s="2567"/>
      <c r="ARK83" s="2567"/>
      <c r="ARL83" s="2567"/>
      <c r="ARM83" s="2567"/>
      <c r="ARN83" s="2567"/>
      <c r="ARO83" s="2567"/>
      <c r="ARP83" s="2567"/>
      <c r="ARQ83" s="2567"/>
      <c r="ARR83" s="2567"/>
      <c r="ARS83" s="2567"/>
      <c r="ART83" s="2567"/>
      <c r="ARU83" s="2567"/>
      <c r="ARV83" s="2567"/>
      <c r="ARW83" s="2567"/>
      <c r="ARX83" s="2567"/>
      <c r="ARY83" s="2567"/>
      <c r="ARZ83" s="2567"/>
      <c r="ASA83" s="2567"/>
      <c r="ASB83" s="2567"/>
      <c r="ASC83" s="2567"/>
      <c r="ASD83" s="2567"/>
      <c r="ASE83" s="2567"/>
      <c r="ASF83" s="2567"/>
      <c r="ASG83" s="2567"/>
      <c r="ASH83" s="2567"/>
      <c r="ASI83" s="2567"/>
      <c r="ASJ83" s="2567"/>
      <c r="ASK83" s="2567"/>
      <c r="ASL83" s="2567"/>
      <c r="ASM83" s="2567"/>
      <c r="ASN83" s="2567"/>
      <c r="ASO83" s="2567"/>
      <c r="ASP83" s="2567"/>
      <c r="ASQ83" s="2567"/>
      <c r="ASR83" s="2567"/>
      <c r="ASS83" s="2567"/>
      <c r="AST83" s="2567"/>
      <c r="ASU83" s="2567"/>
      <c r="ASV83" s="2567"/>
      <c r="ASW83" s="2567"/>
      <c r="ASX83" s="2567"/>
      <c r="ASY83" s="2567"/>
      <c r="ASZ83" s="2567"/>
      <c r="ATA83" s="2567"/>
      <c r="ATB83" s="2567"/>
      <c r="ATC83" s="2567"/>
      <c r="ATD83" s="2567"/>
      <c r="ATE83" s="2567"/>
      <c r="ATF83" s="2567"/>
      <c r="ATG83" s="2567"/>
      <c r="ATH83" s="2567"/>
      <c r="ATI83" s="2567"/>
      <c r="ATJ83" s="2567"/>
      <c r="ATK83" s="2567"/>
      <c r="ATL83" s="2567"/>
      <c r="ATM83" s="2567"/>
      <c r="ATN83" s="2567"/>
      <c r="ATO83" s="2567"/>
      <c r="ATP83" s="2567"/>
      <c r="ATQ83" s="2567"/>
      <c r="ATR83" s="2567"/>
      <c r="ATS83" s="2567"/>
      <c r="ATT83" s="2567"/>
      <c r="ATU83" s="2567"/>
      <c r="ATV83" s="2567"/>
      <c r="ATW83" s="2567"/>
      <c r="ATX83" s="2567"/>
      <c r="ATY83" s="2567"/>
      <c r="ATZ83" s="2567"/>
      <c r="AUA83" s="2567"/>
      <c r="AUB83" s="2567"/>
      <c r="AUC83" s="2567"/>
      <c r="AUD83" s="2567"/>
      <c r="AUE83" s="2567"/>
      <c r="AUF83" s="2567"/>
      <c r="AUG83" s="2567"/>
      <c r="AUH83" s="2567"/>
      <c r="AUI83" s="2567"/>
      <c r="AUJ83" s="2567"/>
      <c r="AUK83" s="2567"/>
      <c r="AUL83" s="2567"/>
      <c r="AUM83" s="2567"/>
      <c r="AUN83" s="2567"/>
      <c r="AUO83" s="2567"/>
      <c r="AUP83" s="2567"/>
      <c r="AUQ83" s="2567"/>
      <c r="AUR83" s="2567"/>
      <c r="AUS83" s="2567"/>
      <c r="AUT83" s="2567"/>
      <c r="AUU83" s="2567"/>
      <c r="AUV83" s="2567"/>
      <c r="AUW83" s="2567"/>
      <c r="AUX83" s="2567"/>
      <c r="AUY83" s="2567"/>
      <c r="AUZ83" s="2567"/>
      <c r="AVA83" s="2567"/>
      <c r="AVB83" s="2567"/>
      <c r="AVC83" s="2567"/>
      <c r="AVD83" s="2567"/>
      <c r="AVE83" s="2567"/>
      <c r="AVF83" s="2567"/>
      <c r="AVG83" s="2567"/>
      <c r="AVH83" s="2567"/>
      <c r="AVI83" s="2567"/>
      <c r="AVJ83" s="2567"/>
      <c r="AVK83" s="2567"/>
      <c r="AVL83" s="2567"/>
      <c r="AVM83" s="2567"/>
      <c r="AVN83" s="2567"/>
      <c r="AVO83" s="2567"/>
      <c r="AVP83" s="2567"/>
      <c r="AVQ83" s="2567"/>
      <c r="AVR83" s="2567"/>
      <c r="AVS83" s="2567"/>
      <c r="AVT83" s="2567"/>
      <c r="AVU83" s="2567"/>
      <c r="AVV83" s="2567"/>
      <c r="AVW83" s="2567"/>
      <c r="AVX83" s="2567"/>
      <c r="AVY83" s="2567"/>
      <c r="AVZ83" s="2567"/>
      <c r="AWA83" s="2567"/>
      <c r="AWB83" s="2567"/>
      <c r="AWC83" s="2567"/>
      <c r="AWD83" s="2567"/>
      <c r="AWE83" s="2567"/>
      <c r="AWF83" s="2567"/>
      <c r="AWG83" s="2567"/>
      <c r="AWH83" s="2567"/>
      <c r="AWI83" s="2567"/>
      <c r="AWJ83" s="2567"/>
      <c r="AWK83" s="2567"/>
      <c r="AWL83" s="2567"/>
      <c r="AWM83" s="2567"/>
      <c r="AWN83" s="2567"/>
      <c r="AWO83" s="2567"/>
      <c r="AWP83" s="2567"/>
      <c r="AWQ83" s="2567"/>
      <c r="AWR83" s="2567"/>
      <c r="AWS83" s="2567"/>
      <c r="AWT83" s="2567"/>
      <c r="AWU83" s="2567"/>
      <c r="AWV83" s="2567"/>
      <c r="AWW83" s="2567"/>
      <c r="AWX83" s="2567"/>
      <c r="AWY83" s="2567"/>
      <c r="AWZ83" s="2567"/>
      <c r="AXA83" s="2567"/>
      <c r="AXB83" s="2567"/>
      <c r="AXC83" s="2567"/>
      <c r="AXD83" s="2567"/>
      <c r="AXE83" s="2567"/>
      <c r="AXF83" s="2567"/>
      <c r="AXG83" s="2567"/>
      <c r="AXH83" s="2567"/>
      <c r="AXI83" s="2567"/>
      <c r="AXJ83" s="2567"/>
      <c r="AXK83" s="2567"/>
      <c r="AXL83" s="2567"/>
      <c r="AXM83" s="2567"/>
      <c r="AXN83" s="2567"/>
      <c r="AXO83" s="2567"/>
      <c r="AXP83" s="2567"/>
      <c r="AXQ83" s="2567"/>
      <c r="AXR83" s="2567"/>
      <c r="AXS83" s="2567"/>
      <c r="AXT83" s="2567"/>
      <c r="AXU83" s="2567"/>
      <c r="AXV83" s="2567"/>
      <c r="AXW83" s="2567"/>
      <c r="AXX83" s="2567"/>
      <c r="AXY83" s="2567"/>
      <c r="AXZ83" s="2567"/>
      <c r="AYA83" s="2567"/>
      <c r="AYB83" s="2567"/>
      <c r="AYC83" s="2567"/>
      <c r="AYD83" s="2567"/>
      <c r="AYE83" s="2567"/>
      <c r="AYF83" s="2567"/>
      <c r="AYG83" s="2567"/>
      <c r="AYH83" s="2567"/>
      <c r="AYI83" s="2567"/>
      <c r="AYJ83" s="2567"/>
      <c r="AYK83" s="2567"/>
      <c r="AYL83" s="2567"/>
      <c r="AYM83" s="2567"/>
      <c r="AYN83" s="2567"/>
      <c r="AYO83" s="2567"/>
      <c r="AYP83" s="2567"/>
      <c r="AYQ83" s="2567"/>
      <c r="AYR83" s="2567"/>
      <c r="AYS83" s="2567"/>
      <c r="AYT83" s="2567"/>
      <c r="AYU83" s="2567"/>
      <c r="AYV83" s="2567"/>
      <c r="AYW83" s="2567"/>
      <c r="AYX83" s="2567"/>
      <c r="AYY83" s="2567"/>
      <c r="AYZ83" s="2567"/>
      <c r="AZA83" s="2567"/>
      <c r="AZB83" s="2567"/>
      <c r="AZC83" s="2567"/>
      <c r="AZD83" s="2567"/>
      <c r="AZE83" s="2567"/>
      <c r="AZF83" s="2567"/>
      <c r="AZG83" s="2567"/>
      <c r="AZH83" s="2567"/>
      <c r="AZI83" s="2567"/>
      <c r="AZJ83" s="2567"/>
      <c r="AZK83" s="2567"/>
      <c r="AZL83" s="2567"/>
      <c r="AZM83" s="2567"/>
      <c r="AZN83" s="2567"/>
      <c r="AZO83" s="2567"/>
      <c r="AZP83" s="2567"/>
      <c r="AZQ83" s="2567"/>
      <c r="AZR83" s="2567"/>
      <c r="AZS83" s="2567"/>
      <c r="AZT83" s="2567"/>
      <c r="AZU83" s="2567"/>
      <c r="AZV83" s="2567"/>
      <c r="AZW83" s="2567"/>
      <c r="AZX83" s="2567"/>
      <c r="AZY83" s="2567"/>
      <c r="AZZ83" s="2567"/>
      <c r="BAA83" s="2567"/>
      <c r="BAB83" s="2567"/>
      <c r="BAC83" s="2567"/>
      <c r="BAD83" s="2567"/>
      <c r="BAE83" s="2567"/>
      <c r="BAF83" s="2567"/>
      <c r="BAG83" s="2567"/>
      <c r="BAH83" s="2567"/>
      <c r="BAI83" s="2567"/>
      <c r="BAJ83" s="2567"/>
      <c r="BAK83" s="2567"/>
      <c r="BAL83" s="2567"/>
      <c r="BAM83" s="2567"/>
      <c r="BAN83" s="2567"/>
      <c r="BAO83" s="2567"/>
      <c r="BAP83" s="2567"/>
      <c r="BAQ83" s="2567"/>
      <c r="BAR83" s="2567"/>
      <c r="BAS83" s="2567"/>
      <c r="BAT83" s="2567"/>
      <c r="BAU83" s="2567"/>
      <c r="BAV83" s="2567"/>
      <c r="BAW83" s="2567"/>
      <c r="BAX83" s="2567"/>
      <c r="BAY83" s="2567"/>
      <c r="BAZ83" s="2567"/>
      <c r="BBA83" s="2567"/>
      <c r="BBB83" s="2567"/>
      <c r="BBC83" s="2567"/>
      <c r="BBD83" s="2567"/>
      <c r="BBE83" s="2567"/>
      <c r="BBF83" s="2567"/>
      <c r="BBG83" s="2567"/>
      <c r="BBH83" s="2567"/>
      <c r="BBI83" s="2567"/>
      <c r="BBJ83" s="2567"/>
      <c r="BBK83" s="2567"/>
      <c r="BBL83" s="2567"/>
      <c r="BBM83" s="2567"/>
      <c r="BBN83" s="2567"/>
      <c r="BBO83" s="2567"/>
      <c r="BBP83" s="2567"/>
      <c r="BBQ83" s="2567"/>
      <c r="BBR83" s="2567"/>
      <c r="BBS83" s="2567"/>
      <c r="BBT83" s="2567"/>
      <c r="BBU83" s="2567"/>
      <c r="BBV83" s="2567"/>
      <c r="BBW83" s="2567"/>
      <c r="BBX83" s="2567"/>
      <c r="BBY83" s="2567"/>
      <c r="BBZ83" s="2567"/>
      <c r="BCA83" s="2567"/>
      <c r="BCB83" s="2567"/>
      <c r="BCC83" s="2567"/>
      <c r="BCD83" s="2567"/>
      <c r="BCE83" s="2567"/>
      <c r="BCF83" s="2567"/>
      <c r="BCG83" s="2567"/>
      <c r="BCH83" s="2567"/>
      <c r="BCI83" s="2567"/>
      <c r="BCJ83" s="2567"/>
      <c r="BCK83" s="2567"/>
      <c r="BCL83" s="2567"/>
      <c r="BCM83" s="2567"/>
      <c r="BCN83" s="2567"/>
      <c r="BCO83" s="2567"/>
      <c r="BCP83" s="2567"/>
      <c r="BCQ83" s="2567"/>
      <c r="BCR83" s="2567"/>
      <c r="BCS83" s="2567"/>
      <c r="BCT83" s="2567"/>
      <c r="BCU83" s="2567"/>
      <c r="BCV83" s="2567"/>
      <c r="BCW83" s="2567"/>
      <c r="BCX83" s="2567"/>
      <c r="BCY83" s="2567"/>
      <c r="BCZ83" s="2567"/>
      <c r="BDA83" s="2567"/>
      <c r="BDB83" s="2567"/>
      <c r="BDC83" s="2567"/>
      <c r="BDD83" s="2567"/>
      <c r="BDE83" s="2567"/>
      <c r="BDF83" s="2567"/>
      <c r="BDG83" s="2567"/>
      <c r="BDH83" s="2567"/>
      <c r="BDI83" s="2567"/>
      <c r="BDJ83" s="2567"/>
      <c r="BDK83" s="2567"/>
      <c r="BDL83" s="2567"/>
      <c r="BDM83" s="2567"/>
      <c r="BDN83" s="2567"/>
      <c r="BDO83" s="2567"/>
      <c r="BDP83" s="2567"/>
      <c r="BDQ83" s="2567"/>
      <c r="BDR83" s="2567"/>
      <c r="BDS83" s="2567"/>
      <c r="BDT83" s="2567"/>
      <c r="BDU83" s="2567"/>
      <c r="BDV83" s="2567"/>
      <c r="BDW83" s="2567"/>
      <c r="BDX83" s="2567"/>
      <c r="BDY83" s="2567"/>
      <c r="BDZ83" s="2567"/>
      <c r="BEA83" s="2567"/>
      <c r="BEB83" s="2567"/>
      <c r="BEC83" s="2567"/>
      <c r="BED83" s="2567"/>
      <c r="BEE83" s="2567"/>
      <c r="BEF83" s="2567"/>
      <c r="BEG83" s="2567"/>
      <c r="BEH83" s="2567"/>
      <c r="BEI83" s="2567"/>
      <c r="BEJ83" s="2567"/>
      <c r="BEK83" s="2567"/>
      <c r="BEL83" s="2567"/>
      <c r="BEM83" s="2567"/>
      <c r="BEN83" s="2567"/>
      <c r="BEO83" s="2567"/>
      <c r="BEP83" s="2567"/>
      <c r="BEQ83" s="2567"/>
      <c r="BER83" s="2567"/>
      <c r="BES83" s="2567"/>
      <c r="BET83" s="2567"/>
      <c r="BEU83" s="2567"/>
      <c r="BEV83" s="2567"/>
      <c r="BEW83" s="2567"/>
      <c r="BEX83" s="2567"/>
      <c r="BEY83" s="2567"/>
      <c r="BEZ83" s="2567"/>
      <c r="BFA83" s="2567"/>
      <c r="BFB83" s="2567"/>
      <c r="BFC83" s="2567"/>
      <c r="BFD83" s="2567"/>
      <c r="BFE83" s="2567"/>
      <c r="BFF83" s="2567"/>
      <c r="BFG83" s="2567"/>
      <c r="BFH83" s="2567"/>
      <c r="BFI83" s="2567"/>
      <c r="BFJ83" s="2567"/>
      <c r="BFK83" s="2567"/>
      <c r="BFL83" s="2567"/>
      <c r="BFM83" s="2567"/>
      <c r="BFN83" s="2567"/>
      <c r="BFO83" s="2567"/>
      <c r="BFP83" s="2567"/>
      <c r="BFQ83" s="2567"/>
      <c r="BFR83" s="2567"/>
      <c r="BFS83" s="2567"/>
      <c r="BFT83" s="2567"/>
      <c r="BFU83" s="2567"/>
      <c r="BFV83" s="2567"/>
      <c r="BFW83" s="2567"/>
      <c r="BFX83" s="2567"/>
      <c r="BFY83" s="2567"/>
      <c r="BFZ83" s="2567"/>
      <c r="BGA83" s="2567"/>
      <c r="BGB83" s="2567"/>
      <c r="BGC83" s="2567"/>
      <c r="BGD83" s="2567"/>
      <c r="BGE83" s="2567"/>
      <c r="BGF83" s="2567"/>
      <c r="BGG83" s="2567"/>
      <c r="BGH83" s="2567"/>
      <c r="BGI83" s="2567"/>
      <c r="BGJ83" s="2567"/>
      <c r="BGK83" s="2567"/>
      <c r="BGL83" s="2567"/>
      <c r="BGM83" s="2567"/>
      <c r="BGN83" s="2567"/>
      <c r="BGO83" s="2567"/>
      <c r="BGP83" s="2567"/>
      <c r="BGQ83" s="2567"/>
      <c r="BGR83" s="2567"/>
      <c r="BGS83" s="2567"/>
      <c r="BGT83" s="2567"/>
      <c r="BGU83" s="2567"/>
      <c r="BGV83" s="2567"/>
      <c r="BGW83" s="2567"/>
      <c r="BGX83" s="2567"/>
      <c r="BGY83" s="2567"/>
      <c r="BGZ83" s="2567"/>
      <c r="BHA83" s="2567"/>
      <c r="BHB83" s="2567"/>
      <c r="BHC83" s="2567"/>
      <c r="BHD83" s="2567"/>
      <c r="BHE83" s="2567"/>
      <c r="BHF83" s="2567"/>
      <c r="BHG83" s="2567"/>
      <c r="BHH83" s="2567"/>
      <c r="BHI83" s="2567"/>
      <c r="BHJ83" s="2567"/>
      <c r="BHK83" s="2567"/>
      <c r="BHL83" s="2567"/>
      <c r="BHM83" s="2567"/>
      <c r="BHN83" s="2567"/>
      <c r="BHO83" s="2567"/>
      <c r="BHP83" s="2567"/>
      <c r="BHQ83" s="2567"/>
      <c r="BHR83" s="2567"/>
      <c r="BHS83" s="2567"/>
      <c r="BHT83" s="2567"/>
      <c r="BHU83" s="2567"/>
      <c r="BHV83" s="2567"/>
      <c r="BHW83" s="2567"/>
      <c r="BHX83" s="2567"/>
      <c r="BHY83" s="2567"/>
      <c r="BHZ83" s="2567"/>
      <c r="BIA83" s="2567"/>
      <c r="BIB83" s="2567"/>
      <c r="BIC83" s="2567"/>
      <c r="BID83" s="2567"/>
      <c r="BIE83" s="2567"/>
      <c r="BIF83" s="2567"/>
      <c r="BIG83" s="2567"/>
      <c r="BIH83" s="2567"/>
      <c r="BII83" s="2567"/>
      <c r="BIJ83" s="2567"/>
      <c r="BIK83" s="2567"/>
      <c r="BIL83" s="2567"/>
      <c r="BIM83" s="2567"/>
      <c r="BIN83" s="2567"/>
      <c r="BIO83" s="2567"/>
      <c r="BIP83" s="2567"/>
      <c r="BIQ83" s="2567"/>
      <c r="BIR83" s="2567"/>
      <c r="BIS83" s="2567"/>
      <c r="BIT83" s="2567"/>
      <c r="BIU83" s="2567"/>
      <c r="BIV83" s="2567"/>
      <c r="BIW83" s="2567"/>
      <c r="BIX83" s="2567"/>
      <c r="BIY83" s="2567"/>
      <c r="BIZ83" s="2567"/>
      <c r="BJA83" s="2567"/>
      <c r="BJB83" s="2567"/>
      <c r="BJC83" s="2567"/>
      <c r="BJD83" s="2567"/>
      <c r="BJE83" s="2567"/>
      <c r="BJF83" s="2567"/>
      <c r="BJG83" s="2567"/>
      <c r="BJH83" s="2567"/>
      <c r="BJI83" s="2567"/>
      <c r="BJJ83" s="2567"/>
      <c r="BJK83" s="2567"/>
      <c r="BJL83" s="2567"/>
      <c r="BJM83" s="2567"/>
      <c r="BJN83" s="2567"/>
      <c r="BJO83" s="2567"/>
      <c r="BJP83" s="2567"/>
      <c r="BJQ83" s="2567"/>
      <c r="BJR83" s="2567"/>
      <c r="BJS83" s="2567"/>
      <c r="BJT83" s="2567"/>
      <c r="BJU83" s="2567"/>
      <c r="BJV83" s="2567"/>
      <c r="BJW83" s="2567"/>
      <c r="BJX83" s="2567"/>
      <c r="BJY83" s="2567"/>
      <c r="BJZ83" s="2567"/>
      <c r="BKA83" s="2567"/>
      <c r="BKB83" s="2567"/>
      <c r="BKC83" s="2567"/>
      <c r="BKD83" s="2567"/>
      <c r="BKE83" s="2567"/>
      <c r="BKF83" s="2567"/>
      <c r="BKG83" s="2567"/>
      <c r="BKH83" s="2567"/>
      <c r="BKI83" s="2567"/>
      <c r="BKJ83" s="2567"/>
      <c r="BKK83" s="2567"/>
      <c r="BKL83" s="2567"/>
      <c r="BKM83" s="2567"/>
      <c r="BKN83" s="2567"/>
      <c r="BKO83" s="2567"/>
      <c r="BKP83" s="2567"/>
      <c r="BKQ83" s="2567"/>
      <c r="BKR83" s="2567"/>
      <c r="BKS83" s="2567"/>
      <c r="BKT83" s="2567"/>
      <c r="BKU83" s="2567"/>
      <c r="BKV83" s="2567"/>
      <c r="BKW83" s="2567"/>
      <c r="BKX83" s="2567"/>
      <c r="BKY83" s="2567"/>
      <c r="BKZ83" s="2567"/>
      <c r="BLA83" s="2567"/>
      <c r="BLB83" s="2567"/>
      <c r="BLC83" s="2567"/>
      <c r="BLD83" s="2567"/>
      <c r="BLE83" s="2567"/>
      <c r="BLF83" s="2567"/>
      <c r="BLG83" s="2567"/>
      <c r="BLH83" s="2567"/>
      <c r="BLI83" s="2567"/>
      <c r="BLJ83" s="2567"/>
      <c r="BLK83" s="2567"/>
      <c r="BLL83" s="2567"/>
      <c r="BLM83" s="2567"/>
      <c r="BLN83" s="2567"/>
      <c r="BLO83" s="2567"/>
      <c r="BLP83" s="2567"/>
      <c r="BLQ83" s="2567"/>
      <c r="BLR83" s="2567"/>
      <c r="BLS83" s="2567"/>
      <c r="BLT83" s="2567"/>
      <c r="BLU83" s="2567"/>
      <c r="BLV83" s="2567"/>
      <c r="BLW83" s="2567"/>
      <c r="BLX83" s="2567"/>
      <c r="BLY83" s="2567"/>
      <c r="BLZ83" s="2567"/>
      <c r="BMA83" s="2567"/>
      <c r="BMB83" s="2567"/>
      <c r="BMC83" s="2567"/>
      <c r="BMD83" s="2567"/>
      <c r="BME83" s="2567"/>
      <c r="BMF83" s="2567"/>
      <c r="BMG83" s="2567"/>
      <c r="BMH83" s="2567"/>
      <c r="BMI83" s="2567"/>
      <c r="BMJ83" s="2567"/>
      <c r="BMK83" s="2567"/>
      <c r="BML83" s="2567"/>
      <c r="BMM83" s="2567"/>
      <c r="BMN83" s="2567"/>
      <c r="BMO83" s="2567"/>
      <c r="BMP83" s="2567"/>
      <c r="BMQ83" s="2567"/>
      <c r="BMR83" s="2567"/>
      <c r="BMS83" s="2567"/>
      <c r="BMT83" s="2567"/>
      <c r="BMU83" s="2567"/>
      <c r="BMV83" s="2567"/>
      <c r="BMW83" s="2567"/>
      <c r="BMX83" s="2567"/>
      <c r="BMY83" s="2567"/>
      <c r="BMZ83" s="2567"/>
      <c r="BNA83" s="2567"/>
      <c r="BNB83" s="2567"/>
      <c r="BNC83" s="2567"/>
      <c r="BND83" s="2567"/>
      <c r="BNE83" s="2567"/>
      <c r="BNF83" s="2567"/>
      <c r="BNG83" s="2567"/>
      <c r="BNH83" s="2567"/>
      <c r="BNI83" s="2567"/>
      <c r="BNJ83" s="2567"/>
      <c r="BNK83" s="2567"/>
      <c r="BNL83" s="2567"/>
      <c r="BNM83" s="2567"/>
      <c r="BNN83" s="2567"/>
      <c r="BNO83" s="2567"/>
      <c r="BNP83" s="2567"/>
      <c r="BNQ83" s="2567"/>
      <c r="BNR83" s="2567"/>
      <c r="BNS83" s="2567"/>
      <c r="BNT83" s="2567"/>
      <c r="BNU83" s="2567"/>
      <c r="BNV83" s="2567"/>
      <c r="BNW83" s="2567"/>
      <c r="BNX83" s="2567"/>
      <c r="BNY83" s="2567"/>
      <c r="BNZ83" s="2567"/>
      <c r="BOA83" s="2567"/>
      <c r="BOB83" s="2567"/>
      <c r="BOC83" s="2567"/>
      <c r="BOD83" s="2567"/>
      <c r="BOE83" s="2567"/>
      <c r="BOF83" s="2567"/>
      <c r="BOG83" s="2567"/>
      <c r="BOH83" s="2567"/>
      <c r="BOI83" s="2567"/>
      <c r="BOJ83" s="2567"/>
      <c r="BOK83" s="2567"/>
      <c r="BOL83" s="2567"/>
      <c r="BOM83" s="2567"/>
      <c r="BON83" s="2567"/>
      <c r="BOO83" s="2567"/>
      <c r="BOP83" s="2567"/>
      <c r="BOQ83" s="2567"/>
      <c r="BOR83" s="2567"/>
      <c r="BOS83" s="2567"/>
      <c r="BOT83" s="2567"/>
      <c r="BOU83" s="2567"/>
      <c r="BOV83" s="2567"/>
      <c r="BOW83" s="2567"/>
      <c r="BOX83" s="2567"/>
      <c r="BOY83" s="2567"/>
      <c r="BOZ83" s="2567"/>
      <c r="BPA83" s="2567"/>
      <c r="BPB83" s="2567"/>
      <c r="BPC83" s="2567"/>
      <c r="BPD83" s="2567"/>
      <c r="BPE83" s="2567"/>
      <c r="BPF83" s="2567"/>
      <c r="BPG83" s="2567"/>
      <c r="BPH83" s="2567"/>
      <c r="BPI83" s="2567"/>
      <c r="BPJ83" s="2567"/>
      <c r="BPK83" s="2567"/>
      <c r="BPL83" s="2567"/>
      <c r="BPM83" s="2567"/>
      <c r="BPN83" s="2567"/>
      <c r="BPO83" s="2567"/>
      <c r="BPP83" s="2567"/>
      <c r="BPQ83" s="2567"/>
      <c r="BPR83" s="2567"/>
      <c r="BPS83" s="2567"/>
      <c r="BPT83" s="2567"/>
      <c r="BPU83" s="2567"/>
      <c r="BPV83" s="2567"/>
      <c r="BPW83" s="2567"/>
      <c r="BPX83" s="2567"/>
      <c r="BPY83" s="2567"/>
      <c r="BPZ83" s="2567"/>
      <c r="BQA83" s="2567"/>
      <c r="BQB83" s="2567"/>
      <c r="BQC83" s="2567"/>
      <c r="BQD83" s="2567"/>
      <c r="BQE83" s="2567"/>
      <c r="BQF83" s="2567"/>
      <c r="BQG83" s="2567"/>
      <c r="BQH83" s="2567"/>
      <c r="BQI83" s="2567"/>
      <c r="BQJ83" s="2567"/>
      <c r="BQK83" s="2567"/>
      <c r="BQL83" s="2567"/>
      <c r="BQM83" s="2567"/>
      <c r="BQN83" s="2567"/>
      <c r="BQO83" s="2567"/>
      <c r="BQP83" s="2567"/>
      <c r="BQQ83" s="2567"/>
      <c r="BQR83" s="2567"/>
      <c r="BQS83" s="2567"/>
      <c r="BQT83" s="2567"/>
      <c r="BQU83" s="2567"/>
      <c r="BQV83" s="2567"/>
      <c r="BQW83" s="2567"/>
      <c r="BQX83" s="2567"/>
      <c r="BQY83" s="2567"/>
      <c r="BQZ83" s="2567"/>
      <c r="BRA83" s="2567"/>
      <c r="BRB83" s="2567"/>
      <c r="BRC83" s="2567"/>
      <c r="BRD83" s="2567"/>
      <c r="BRE83" s="2567"/>
      <c r="BRF83" s="2567"/>
      <c r="BRG83" s="2567"/>
      <c r="BRH83" s="2567"/>
      <c r="BRI83" s="2567"/>
      <c r="BRJ83" s="2567"/>
      <c r="BRK83" s="2567"/>
      <c r="BRL83" s="2567"/>
      <c r="BRM83" s="2567"/>
      <c r="BRN83" s="2567"/>
      <c r="BRO83" s="2567"/>
      <c r="BRP83" s="2567"/>
      <c r="BRQ83" s="2567"/>
      <c r="BRR83" s="2567"/>
      <c r="BRS83" s="2567"/>
      <c r="BRT83" s="2567"/>
      <c r="BRU83" s="2567"/>
      <c r="BRV83" s="2567"/>
      <c r="BRW83" s="2567"/>
      <c r="BRX83" s="2567"/>
      <c r="BRY83" s="2567"/>
      <c r="BRZ83" s="2567"/>
      <c r="BSA83" s="2567"/>
      <c r="BSB83" s="2567"/>
      <c r="BSC83" s="2567"/>
      <c r="BSD83" s="2567"/>
      <c r="BSE83" s="2567"/>
      <c r="BSF83" s="2567"/>
      <c r="BSG83" s="2567"/>
      <c r="BSH83" s="2567"/>
      <c r="BSI83" s="2567"/>
      <c r="BSJ83" s="2567"/>
      <c r="BSK83" s="2567"/>
      <c r="BSL83" s="2567"/>
      <c r="BSM83" s="2567"/>
      <c r="BSN83" s="2567"/>
      <c r="BSO83" s="2567"/>
      <c r="BSP83" s="2567"/>
      <c r="BSQ83" s="2567"/>
      <c r="BSR83" s="2567"/>
      <c r="BSS83" s="2567"/>
      <c r="BST83" s="2567"/>
      <c r="BSU83" s="2567"/>
      <c r="BSV83" s="2567"/>
      <c r="BSW83" s="2567"/>
      <c r="BSX83" s="2567"/>
      <c r="BSY83" s="2567"/>
      <c r="BSZ83" s="2567"/>
      <c r="BTA83" s="2567"/>
      <c r="BTB83" s="2567"/>
      <c r="BTC83" s="2567"/>
      <c r="BTD83" s="2567"/>
      <c r="BTE83" s="2567"/>
      <c r="BTF83" s="2567"/>
      <c r="BTG83" s="2567"/>
      <c r="BTH83" s="2567"/>
      <c r="BTI83" s="2567"/>
      <c r="BTJ83" s="2567"/>
      <c r="BTK83" s="2567"/>
      <c r="BTL83" s="2567"/>
      <c r="BTM83" s="2567"/>
      <c r="BTN83" s="2567"/>
      <c r="BTO83" s="2567"/>
      <c r="BTP83" s="2567"/>
      <c r="BTQ83" s="2567"/>
      <c r="BTR83" s="2567"/>
      <c r="BTS83" s="2567"/>
      <c r="BTT83" s="2567"/>
      <c r="BTU83" s="2567"/>
      <c r="BTV83" s="2567"/>
      <c r="BTW83" s="2567"/>
      <c r="BTX83" s="2567"/>
      <c r="BTY83" s="2567"/>
      <c r="BTZ83" s="2567"/>
      <c r="BUA83" s="2567"/>
      <c r="BUB83" s="2567"/>
      <c r="BUC83" s="2567"/>
      <c r="BUD83" s="2567"/>
      <c r="BUE83" s="2567"/>
      <c r="BUF83" s="2567"/>
      <c r="BUG83" s="2567"/>
      <c r="BUH83" s="2567"/>
      <c r="BUI83" s="2567"/>
      <c r="BUJ83" s="2567"/>
      <c r="BUK83" s="2567"/>
      <c r="BUL83" s="2567"/>
      <c r="BUM83" s="2567"/>
      <c r="BUN83" s="2567"/>
      <c r="BUO83" s="2567"/>
      <c r="BUP83" s="2567"/>
      <c r="BUQ83" s="2567"/>
      <c r="BUR83" s="2567"/>
      <c r="BUS83" s="2567"/>
      <c r="BUT83" s="2567"/>
      <c r="BUU83" s="2567"/>
      <c r="BUV83" s="2567"/>
      <c r="BUW83" s="2567"/>
      <c r="BUX83" s="2567"/>
      <c r="BUY83" s="2567"/>
      <c r="BUZ83" s="2567"/>
      <c r="BVA83" s="2567"/>
      <c r="BVB83" s="2567"/>
      <c r="BVC83" s="2567"/>
      <c r="BVD83" s="2567"/>
      <c r="BVE83" s="2567"/>
      <c r="BVF83" s="2567"/>
      <c r="BVG83" s="2567"/>
      <c r="BVH83" s="2567"/>
      <c r="BVI83" s="2567"/>
      <c r="BVJ83" s="2567"/>
      <c r="BVK83" s="2567"/>
      <c r="BVL83" s="2567"/>
      <c r="BVM83" s="2567"/>
      <c r="BVN83" s="2567"/>
      <c r="BVO83" s="2567"/>
      <c r="BVP83" s="2567"/>
      <c r="BVQ83" s="2567"/>
      <c r="BVR83" s="2567"/>
      <c r="BVS83" s="2567"/>
      <c r="BVT83" s="2567"/>
      <c r="BVU83" s="2567"/>
      <c r="BVV83" s="2567"/>
      <c r="BVW83" s="2567"/>
      <c r="BVX83" s="2567"/>
      <c r="BVY83" s="2567"/>
      <c r="BVZ83" s="2567"/>
      <c r="BWA83" s="2567"/>
      <c r="BWB83" s="2567"/>
      <c r="BWC83" s="2567"/>
      <c r="BWD83" s="2567"/>
      <c r="BWE83" s="2567"/>
      <c r="BWF83" s="2567"/>
      <c r="BWG83" s="2567"/>
      <c r="BWH83" s="2567"/>
      <c r="BWI83" s="2567"/>
      <c r="BWJ83" s="2567"/>
      <c r="BWK83" s="2567"/>
      <c r="BWL83" s="2567"/>
      <c r="BWM83" s="2567"/>
      <c r="BWN83" s="2567"/>
      <c r="BWO83" s="2567"/>
      <c r="BWP83" s="2567"/>
      <c r="BWQ83" s="2567"/>
      <c r="BWR83" s="2567"/>
      <c r="BWS83" s="2567"/>
      <c r="BWT83" s="2567"/>
      <c r="BWU83" s="2567"/>
      <c r="BWV83" s="2567"/>
      <c r="BWW83" s="2567"/>
      <c r="BWX83" s="2567"/>
      <c r="BWY83" s="2567"/>
      <c r="BWZ83" s="2567"/>
      <c r="BXA83" s="2567"/>
      <c r="BXB83" s="2567"/>
      <c r="BXC83" s="2567"/>
      <c r="BXD83" s="2567"/>
      <c r="BXE83" s="2567"/>
      <c r="BXF83" s="2567"/>
      <c r="BXG83" s="2567"/>
      <c r="BXH83" s="2567"/>
      <c r="BXI83" s="2567"/>
      <c r="BXJ83" s="2567"/>
      <c r="BXK83" s="2567"/>
      <c r="BXL83" s="2567"/>
      <c r="BXM83" s="2567"/>
      <c r="BXN83" s="2567"/>
      <c r="BXO83" s="2567"/>
      <c r="BXP83" s="2567"/>
      <c r="BXQ83" s="2567"/>
      <c r="BXR83" s="2567"/>
      <c r="BXS83" s="2567"/>
      <c r="BXT83" s="2567"/>
      <c r="BXU83" s="2567"/>
      <c r="BXV83" s="2567"/>
      <c r="BXW83" s="2567"/>
      <c r="BXX83" s="2567"/>
      <c r="BXY83" s="2567"/>
      <c r="BXZ83" s="2567"/>
      <c r="BYA83" s="2567"/>
      <c r="BYB83" s="2567"/>
      <c r="BYC83" s="2567"/>
      <c r="BYD83" s="2567"/>
      <c r="BYE83" s="2567"/>
      <c r="BYF83" s="2567"/>
      <c r="BYG83" s="2567"/>
      <c r="BYH83" s="2567"/>
      <c r="BYI83" s="2567"/>
      <c r="BYJ83" s="2567"/>
      <c r="BYK83" s="2567"/>
      <c r="BYL83" s="2567"/>
      <c r="BYM83" s="2567"/>
      <c r="BYN83" s="2567"/>
      <c r="BYO83" s="2567"/>
      <c r="BYP83" s="2567"/>
      <c r="BYQ83" s="2567"/>
      <c r="BYR83" s="2567"/>
      <c r="BYS83" s="2567"/>
      <c r="BYT83" s="2567"/>
      <c r="BYU83" s="2567"/>
      <c r="BYV83" s="2567"/>
      <c r="BYW83" s="2567"/>
      <c r="BYX83" s="2567"/>
      <c r="BYY83" s="2567"/>
      <c r="BYZ83" s="2567"/>
      <c r="BZA83" s="2567"/>
      <c r="BZB83" s="2567"/>
      <c r="BZC83" s="2567"/>
      <c r="BZD83" s="2567"/>
      <c r="BZE83" s="2567"/>
      <c r="BZF83" s="2567"/>
      <c r="BZG83" s="2567"/>
      <c r="BZH83" s="2567"/>
      <c r="BZI83" s="2567"/>
      <c r="BZJ83" s="2567"/>
      <c r="BZK83" s="2567"/>
      <c r="BZL83" s="2567"/>
      <c r="BZM83" s="2567"/>
      <c r="BZN83" s="2567"/>
      <c r="BZO83" s="2567"/>
      <c r="BZP83" s="2567"/>
      <c r="BZQ83" s="2567"/>
      <c r="BZR83" s="2567"/>
      <c r="BZS83" s="2567"/>
      <c r="BZT83" s="2567"/>
      <c r="BZU83" s="2567"/>
      <c r="BZV83" s="2567"/>
      <c r="BZW83" s="2567"/>
      <c r="BZX83" s="2567"/>
      <c r="BZY83" s="2567"/>
      <c r="BZZ83" s="2567"/>
      <c r="CAA83" s="2567"/>
      <c r="CAB83" s="2567"/>
      <c r="CAC83" s="2567"/>
      <c r="CAD83" s="2567"/>
      <c r="CAE83" s="2567"/>
      <c r="CAF83" s="2567"/>
      <c r="CAG83" s="2567"/>
      <c r="CAH83" s="2567"/>
      <c r="CAI83" s="2567"/>
      <c r="CAJ83" s="2567"/>
      <c r="CAK83" s="2567"/>
      <c r="CAL83" s="2567"/>
      <c r="CAM83" s="2567"/>
      <c r="CAN83" s="2567"/>
      <c r="CAO83" s="2567"/>
      <c r="CAP83" s="2567"/>
      <c r="CAQ83" s="2567"/>
      <c r="CAR83" s="2567"/>
      <c r="CAS83" s="2567"/>
      <c r="CAT83" s="2567"/>
      <c r="CAU83" s="2567"/>
      <c r="CAV83" s="2567"/>
      <c r="CAW83" s="2567"/>
      <c r="CAX83" s="2567"/>
      <c r="CAY83" s="2567"/>
      <c r="CAZ83" s="2567"/>
      <c r="CBA83" s="2567"/>
      <c r="CBB83" s="2567"/>
      <c r="CBC83" s="2567"/>
      <c r="CBD83" s="2567"/>
      <c r="CBE83" s="2567"/>
      <c r="CBF83" s="2567"/>
      <c r="CBG83" s="2567"/>
      <c r="CBH83" s="2567"/>
      <c r="CBI83" s="2567"/>
      <c r="CBJ83" s="2567"/>
      <c r="CBK83" s="2567"/>
      <c r="CBL83" s="2567"/>
      <c r="CBM83" s="2567"/>
      <c r="CBN83" s="2567"/>
      <c r="CBO83" s="2567"/>
      <c r="CBP83" s="2567"/>
      <c r="CBQ83" s="2567"/>
      <c r="CBR83" s="2567"/>
      <c r="CBS83" s="2567"/>
      <c r="CBT83" s="2567"/>
      <c r="CBU83" s="2567"/>
      <c r="CBV83" s="2567"/>
      <c r="CBW83" s="2567"/>
      <c r="CBX83" s="2567"/>
      <c r="CBY83" s="2567"/>
      <c r="CBZ83" s="2567"/>
      <c r="CCA83" s="2567"/>
      <c r="CCB83" s="2567"/>
      <c r="CCC83" s="2567"/>
      <c r="CCD83" s="2567"/>
      <c r="CCE83" s="2567"/>
      <c r="CCF83" s="2567"/>
      <c r="CCG83" s="2567"/>
      <c r="CCH83" s="2567"/>
      <c r="CCI83" s="2567"/>
      <c r="CCJ83" s="2567"/>
      <c r="CCK83" s="2567"/>
      <c r="CCL83" s="2567"/>
      <c r="CCM83" s="2567"/>
      <c r="CCN83" s="2567"/>
      <c r="CCO83" s="2567"/>
      <c r="CCP83" s="2567"/>
      <c r="CCQ83" s="2567"/>
      <c r="CCR83" s="2567"/>
      <c r="CCS83" s="2567"/>
      <c r="CCT83" s="2567"/>
      <c r="CCU83" s="2567"/>
      <c r="CCV83" s="2567"/>
      <c r="CCW83" s="2567"/>
      <c r="CCX83" s="2567"/>
      <c r="CCY83" s="2567"/>
      <c r="CCZ83" s="2567"/>
      <c r="CDA83" s="2567"/>
      <c r="CDB83" s="2567"/>
      <c r="CDC83" s="2567"/>
      <c r="CDD83" s="2567"/>
      <c r="CDE83" s="2567"/>
      <c r="CDF83" s="2567"/>
      <c r="CDG83" s="2567"/>
      <c r="CDH83" s="2567"/>
      <c r="CDI83" s="2567"/>
      <c r="CDJ83" s="2567"/>
      <c r="CDK83" s="2567"/>
      <c r="CDL83" s="2567"/>
      <c r="CDM83" s="2567"/>
      <c r="CDN83" s="2567"/>
      <c r="CDO83" s="2567"/>
      <c r="CDP83" s="2567"/>
      <c r="CDQ83" s="2567"/>
      <c r="CDR83" s="2567"/>
      <c r="CDS83" s="2567"/>
      <c r="CDT83" s="2567"/>
      <c r="CDU83" s="2567"/>
      <c r="CDV83" s="2567"/>
      <c r="CDW83" s="2567"/>
      <c r="CDX83" s="2567"/>
      <c r="CDY83" s="2567"/>
      <c r="CDZ83" s="2567"/>
      <c r="CEA83" s="2567"/>
      <c r="CEB83" s="2567"/>
      <c r="CEC83" s="2567"/>
      <c r="CED83" s="2567"/>
      <c r="CEE83" s="2567"/>
      <c r="CEF83" s="2567"/>
      <c r="CEG83" s="2567"/>
      <c r="CEH83" s="2567"/>
      <c r="CEI83" s="2567"/>
      <c r="CEJ83" s="2567"/>
      <c r="CEK83" s="2567"/>
      <c r="CEL83" s="2567"/>
      <c r="CEM83" s="2567"/>
      <c r="CEN83" s="2567"/>
      <c r="CEO83" s="2567"/>
      <c r="CEP83" s="2567"/>
      <c r="CEQ83" s="2567"/>
      <c r="CER83" s="2567"/>
      <c r="CES83" s="2567"/>
      <c r="CET83" s="2567"/>
      <c r="CEU83" s="2567"/>
      <c r="CEV83" s="2567"/>
      <c r="CEW83" s="2567"/>
      <c r="CEX83" s="2567"/>
      <c r="CEY83" s="2567"/>
      <c r="CEZ83" s="2567"/>
      <c r="CFA83" s="2567"/>
      <c r="CFB83" s="2567"/>
      <c r="CFC83" s="2567"/>
      <c r="CFD83" s="2567"/>
      <c r="CFE83" s="2567"/>
      <c r="CFF83" s="2567"/>
      <c r="CFG83" s="2567"/>
      <c r="CFH83" s="2567"/>
      <c r="CFI83" s="2567"/>
      <c r="CFJ83" s="2567"/>
      <c r="CFK83" s="2567"/>
      <c r="CFL83" s="2567"/>
      <c r="CFM83" s="2567"/>
      <c r="CFN83" s="2567"/>
      <c r="CFO83" s="2567"/>
      <c r="CFP83" s="2567"/>
      <c r="CFQ83" s="2567"/>
      <c r="CFR83" s="2567"/>
      <c r="CFS83" s="2567"/>
      <c r="CFT83" s="2567"/>
      <c r="CFU83" s="2567"/>
      <c r="CFV83" s="2567"/>
      <c r="CFW83" s="2567"/>
      <c r="CFX83" s="2567"/>
      <c r="CFY83" s="2567"/>
      <c r="CFZ83" s="2567"/>
      <c r="CGA83" s="2567"/>
      <c r="CGB83" s="2567"/>
      <c r="CGC83" s="2567"/>
      <c r="CGD83" s="2567"/>
      <c r="CGE83" s="2567"/>
      <c r="CGF83" s="2567"/>
      <c r="CGG83" s="2567"/>
      <c r="CGH83" s="2567"/>
      <c r="CGI83" s="2567"/>
      <c r="CGJ83" s="2567"/>
      <c r="CGK83" s="2567"/>
      <c r="CGL83" s="2567"/>
      <c r="CGM83" s="2567"/>
      <c r="CGN83" s="2567"/>
      <c r="CGO83" s="2567"/>
      <c r="CGP83" s="2567"/>
      <c r="CGQ83" s="2567"/>
      <c r="CGR83" s="2567"/>
      <c r="CGS83" s="2567"/>
      <c r="CGT83" s="2567"/>
      <c r="CGU83" s="2567"/>
      <c r="CGV83" s="2567"/>
      <c r="CGW83" s="2567"/>
      <c r="CGX83" s="2567"/>
      <c r="CGY83" s="2567"/>
      <c r="CGZ83" s="2567"/>
      <c r="CHA83" s="2567"/>
      <c r="CHB83" s="2567"/>
      <c r="CHC83" s="2567"/>
      <c r="CHD83" s="2567"/>
      <c r="CHE83" s="2567"/>
      <c r="CHF83" s="2567"/>
      <c r="CHG83" s="2567"/>
      <c r="CHH83" s="2567"/>
      <c r="CHI83" s="2567"/>
      <c r="CHJ83" s="2567"/>
      <c r="CHK83" s="2567"/>
      <c r="CHL83" s="2567"/>
      <c r="CHM83" s="2567"/>
      <c r="CHN83" s="2567"/>
      <c r="CHO83" s="2567"/>
      <c r="CHP83" s="2567"/>
      <c r="CHQ83" s="2567"/>
      <c r="CHR83" s="2567"/>
      <c r="CHS83" s="2567"/>
      <c r="CHT83" s="2567"/>
      <c r="CHU83" s="2567"/>
      <c r="CHV83" s="2567"/>
      <c r="CHW83" s="2567"/>
      <c r="CHX83" s="2567"/>
      <c r="CHY83" s="2567"/>
      <c r="CHZ83" s="2567"/>
      <c r="CIA83" s="2567"/>
      <c r="CIB83" s="2567"/>
      <c r="CIC83" s="2567"/>
      <c r="CID83" s="2567"/>
      <c r="CIE83" s="2567"/>
      <c r="CIF83" s="2567"/>
      <c r="CIG83" s="2567"/>
      <c r="CIH83" s="2567"/>
      <c r="CII83" s="2567"/>
      <c r="CIJ83" s="2567"/>
      <c r="CIK83" s="2567"/>
      <c r="CIL83" s="2567"/>
      <c r="CIM83" s="2567"/>
      <c r="CIN83" s="2567"/>
      <c r="CIO83" s="2567"/>
      <c r="CIP83" s="2567"/>
      <c r="CIQ83" s="2567"/>
      <c r="CIR83" s="2567"/>
      <c r="CIS83" s="2567"/>
      <c r="CIT83" s="2567"/>
      <c r="CIU83" s="2567"/>
      <c r="CIV83" s="2567"/>
      <c r="CIW83" s="2567"/>
      <c r="CIX83" s="2567"/>
      <c r="CIY83" s="2567"/>
      <c r="CIZ83" s="2567"/>
      <c r="CJA83" s="2567"/>
      <c r="CJB83" s="2567"/>
      <c r="CJC83" s="2567"/>
      <c r="CJD83" s="2567"/>
      <c r="CJE83" s="2567"/>
      <c r="CJF83" s="2567"/>
      <c r="CJG83" s="2567"/>
      <c r="CJH83" s="2567"/>
      <c r="CJI83" s="2567"/>
      <c r="CJJ83" s="2567"/>
      <c r="CJK83" s="2567"/>
      <c r="CJL83" s="2567"/>
      <c r="CJM83" s="2567"/>
      <c r="CJN83" s="2567"/>
      <c r="CJO83" s="2567"/>
      <c r="CJP83" s="2567"/>
      <c r="CJQ83" s="2567"/>
      <c r="CJR83" s="2567"/>
      <c r="CJS83" s="2567"/>
      <c r="CJT83" s="2567"/>
      <c r="CJU83" s="2567"/>
      <c r="CJV83" s="2567"/>
      <c r="CJW83" s="2567"/>
      <c r="CJX83" s="2567"/>
      <c r="CJY83" s="2567"/>
      <c r="CJZ83" s="2567"/>
      <c r="CKA83" s="2567"/>
      <c r="CKB83" s="2567"/>
      <c r="CKC83" s="2567"/>
      <c r="CKD83" s="2567"/>
      <c r="CKE83" s="2567"/>
      <c r="CKF83" s="2567"/>
      <c r="CKG83" s="2567"/>
      <c r="CKH83" s="2567"/>
      <c r="CKI83" s="2567"/>
      <c r="CKJ83" s="2567"/>
      <c r="CKK83" s="2567"/>
      <c r="CKL83" s="2567"/>
      <c r="CKM83" s="2567"/>
      <c r="CKN83" s="2567"/>
      <c r="CKO83" s="2567"/>
      <c r="CKP83" s="2567"/>
      <c r="CKQ83" s="2567"/>
      <c r="CKR83" s="2567"/>
      <c r="CKS83" s="2567"/>
      <c r="CKT83" s="2567"/>
      <c r="CKU83" s="2567"/>
      <c r="CKV83" s="2567"/>
      <c r="CKW83" s="2567"/>
      <c r="CKX83" s="2567"/>
      <c r="CKY83" s="2567"/>
      <c r="CKZ83" s="2567"/>
      <c r="CLA83" s="2567"/>
      <c r="CLB83" s="2567"/>
      <c r="CLC83" s="2567"/>
      <c r="CLD83" s="2567"/>
      <c r="CLE83" s="2567"/>
      <c r="CLF83" s="2567"/>
      <c r="CLG83" s="2567"/>
      <c r="CLH83" s="2567"/>
      <c r="CLI83" s="2567"/>
      <c r="CLJ83" s="2567"/>
      <c r="CLK83" s="2567"/>
      <c r="CLL83" s="2567"/>
      <c r="CLM83" s="2567"/>
      <c r="CLN83" s="2567"/>
      <c r="CLO83" s="2567"/>
      <c r="CLP83" s="2567"/>
      <c r="CLQ83" s="2567"/>
      <c r="CLR83" s="2567"/>
      <c r="CLS83" s="2567"/>
      <c r="CLT83" s="2567"/>
      <c r="CLU83" s="2567"/>
      <c r="CLV83" s="2567"/>
      <c r="CLW83" s="2567"/>
      <c r="CLX83" s="2567"/>
      <c r="CLY83" s="2567"/>
      <c r="CLZ83" s="2567"/>
      <c r="CMA83" s="2567"/>
      <c r="CMB83" s="2567"/>
      <c r="CMC83" s="2567"/>
      <c r="CMD83" s="2567"/>
      <c r="CME83" s="2567"/>
      <c r="CMF83" s="2567"/>
      <c r="CMG83" s="2567"/>
      <c r="CMH83" s="2567"/>
      <c r="CMI83" s="2567"/>
      <c r="CMJ83" s="2567"/>
      <c r="CMK83" s="2567"/>
      <c r="CML83" s="2567"/>
      <c r="CMM83" s="2567"/>
      <c r="CMN83" s="2567"/>
      <c r="CMO83" s="2567"/>
      <c r="CMP83" s="2567"/>
      <c r="CMQ83" s="2567"/>
      <c r="CMR83" s="2567"/>
      <c r="CMS83" s="2567"/>
      <c r="CMT83" s="2567"/>
      <c r="CMU83" s="2567"/>
      <c r="CMV83" s="2567"/>
      <c r="CMW83" s="2567"/>
      <c r="CMX83" s="2567"/>
      <c r="CMY83" s="2567"/>
      <c r="CMZ83" s="2567"/>
      <c r="CNA83" s="2567"/>
      <c r="CNB83" s="2567"/>
      <c r="CNC83" s="2567"/>
      <c r="CND83" s="2567"/>
      <c r="CNE83" s="2567"/>
      <c r="CNF83" s="2567"/>
      <c r="CNG83" s="2567"/>
      <c r="CNH83" s="2567"/>
      <c r="CNI83" s="2567"/>
      <c r="CNJ83" s="2567"/>
      <c r="CNK83" s="2567"/>
      <c r="CNL83" s="2567"/>
      <c r="CNM83" s="2567"/>
      <c r="CNN83" s="2567"/>
      <c r="CNO83" s="2567"/>
      <c r="CNP83" s="2567"/>
      <c r="CNQ83" s="2567"/>
      <c r="CNR83" s="2567"/>
      <c r="CNS83" s="2567"/>
      <c r="CNT83" s="2567"/>
      <c r="CNU83" s="2567"/>
      <c r="CNV83" s="2567"/>
      <c r="CNW83" s="2567"/>
      <c r="CNX83" s="2567"/>
      <c r="CNY83" s="2567"/>
      <c r="CNZ83" s="2567"/>
      <c r="COA83" s="2567"/>
      <c r="COB83" s="2567"/>
      <c r="COC83" s="2567"/>
      <c r="COD83" s="2567"/>
      <c r="COE83" s="2567"/>
      <c r="COF83" s="2567"/>
      <c r="COG83" s="2567"/>
      <c r="COH83" s="2567"/>
      <c r="COI83" s="2567"/>
      <c r="COJ83" s="2567"/>
      <c r="COK83" s="2567"/>
      <c r="COL83" s="2567"/>
      <c r="COM83" s="2567"/>
      <c r="CON83" s="2567"/>
      <c r="COO83" s="2567"/>
      <c r="COP83" s="2567"/>
      <c r="COQ83" s="2567"/>
      <c r="COR83" s="2567"/>
      <c r="COS83" s="2567"/>
      <c r="COT83" s="2567"/>
      <c r="COU83" s="2567"/>
      <c r="COV83" s="2567"/>
      <c r="COW83" s="2567"/>
      <c r="COX83" s="2567"/>
      <c r="COY83" s="2567"/>
      <c r="COZ83" s="2567"/>
      <c r="CPA83" s="2567"/>
      <c r="CPB83" s="2567"/>
      <c r="CPC83" s="2567"/>
      <c r="CPD83" s="2567"/>
      <c r="CPE83" s="2567"/>
      <c r="CPF83" s="2567"/>
      <c r="CPG83" s="2567"/>
      <c r="CPH83" s="2567"/>
      <c r="CPI83" s="2567"/>
      <c r="CPJ83" s="2567"/>
      <c r="CPK83" s="2567"/>
      <c r="CPL83" s="2567"/>
      <c r="CPM83" s="2567"/>
      <c r="CPN83" s="2567"/>
      <c r="CPO83" s="2567"/>
      <c r="CPP83" s="2567"/>
      <c r="CPQ83" s="2567"/>
      <c r="CPR83" s="2567"/>
      <c r="CPS83" s="2567"/>
      <c r="CPT83" s="2567"/>
      <c r="CPU83" s="2567"/>
      <c r="CPV83" s="2567"/>
      <c r="CPW83" s="2567"/>
      <c r="CPX83" s="2567"/>
      <c r="CPY83" s="2567"/>
      <c r="CPZ83" s="2567"/>
      <c r="CQA83" s="2567"/>
      <c r="CQB83" s="2567"/>
      <c r="CQC83" s="2567"/>
      <c r="CQD83" s="2567"/>
      <c r="CQE83" s="2567"/>
      <c r="CQF83" s="2567"/>
      <c r="CQG83" s="2567"/>
      <c r="CQH83" s="2567"/>
      <c r="CQI83" s="2567"/>
      <c r="CQJ83" s="2567"/>
      <c r="CQK83" s="2567"/>
      <c r="CQL83" s="2567"/>
      <c r="CQM83" s="2567"/>
      <c r="CQN83" s="2567"/>
      <c r="CQO83" s="2567"/>
      <c r="CQP83" s="2567"/>
      <c r="CQQ83" s="2567"/>
      <c r="CQR83" s="2567"/>
      <c r="CQS83" s="2567"/>
      <c r="CQT83" s="2567"/>
      <c r="CQU83" s="2567"/>
      <c r="CQV83" s="2567"/>
      <c r="CQW83" s="2567"/>
      <c r="CQX83" s="2567"/>
      <c r="CQY83" s="2567"/>
      <c r="CQZ83" s="2567"/>
      <c r="CRA83" s="2567"/>
      <c r="CRB83" s="2567"/>
      <c r="CRC83" s="2567"/>
      <c r="CRD83" s="2567"/>
      <c r="CRE83" s="2567"/>
      <c r="CRF83" s="2567"/>
      <c r="CRG83" s="2567"/>
      <c r="CRH83" s="2567"/>
      <c r="CRI83" s="2567"/>
      <c r="CRJ83" s="2567"/>
      <c r="CRK83" s="2567"/>
      <c r="CRL83" s="2567"/>
      <c r="CRM83" s="2567"/>
      <c r="CRN83" s="2567"/>
      <c r="CRO83" s="2567"/>
      <c r="CRP83" s="2567"/>
      <c r="CRQ83" s="2567"/>
      <c r="CRR83" s="2567"/>
      <c r="CRS83" s="2567"/>
      <c r="CRT83" s="2567"/>
      <c r="CRU83" s="2567"/>
      <c r="CRV83" s="2567"/>
      <c r="CRW83" s="2567"/>
      <c r="CRX83" s="2567"/>
      <c r="CRY83" s="2567"/>
      <c r="CRZ83" s="2567"/>
      <c r="CSA83" s="2567"/>
      <c r="CSB83" s="2567"/>
      <c r="CSC83" s="2567"/>
      <c r="CSD83" s="2567"/>
      <c r="CSE83" s="2567"/>
      <c r="CSF83" s="2567"/>
      <c r="CSG83" s="2567"/>
      <c r="CSH83" s="2567"/>
      <c r="CSI83" s="2567"/>
      <c r="CSJ83" s="2567"/>
      <c r="CSK83" s="2567"/>
      <c r="CSL83" s="2567"/>
      <c r="CSM83" s="2567"/>
      <c r="CSN83" s="2567"/>
      <c r="CSO83" s="2567"/>
      <c r="CSP83" s="2567"/>
      <c r="CSQ83" s="2567"/>
      <c r="CSR83" s="2567"/>
      <c r="CSS83" s="2567"/>
      <c r="CST83" s="2567"/>
      <c r="CSU83" s="2567"/>
      <c r="CSV83" s="2567"/>
      <c r="CSW83" s="2567"/>
      <c r="CSX83" s="2567"/>
      <c r="CSY83" s="2567"/>
      <c r="CSZ83" s="2567"/>
      <c r="CTA83" s="2567"/>
      <c r="CTB83" s="2567"/>
      <c r="CTC83" s="2567"/>
      <c r="CTD83" s="2567"/>
      <c r="CTE83" s="2567"/>
      <c r="CTF83" s="2567"/>
      <c r="CTG83" s="2567"/>
      <c r="CTH83" s="2567"/>
      <c r="CTI83" s="2567"/>
      <c r="CTJ83" s="2567"/>
      <c r="CTK83" s="2567"/>
      <c r="CTL83" s="2567"/>
      <c r="CTM83" s="2567"/>
      <c r="CTN83" s="2567"/>
      <c r="CTO83" s="2567"/>
      <c r="CTP83" s="2567"/>
      <c r="CTQ83" s="2567"/>
      <c r="CTR83" s="2567"/>
      <c r="CTS83" s="2567"/>
      <c r="CTT83" s="2567"/>
      <c r="CTU83" s="2567"/>
      <c r="CTV83" s="2567"/>
      <c r="CTW83" s="2567"/>
      <c r="CTX83" s="2567"/>
      <c r="CTY83" s="2567"/>
      <c r="CTZ83" s="2567"/>
      <c r="CUA83" s="2567"/>
      <c r="CUB83" s="2567"/>
      <c r="CUC83" s="2567"/>
      <c r="CUD83" s="2567"/>
      <c r="CUE83" s="2567"/>
      <c r="CUF83" s="2567"/>
      <c r="CUG83" s="2567"/>
      <c r="CUH83" s="2567"/>
      <c r="CUI83" s="2567"/>
      <c r="CUJ83" s="2567"/>
      <c r="CUK83" s="2567"/>
      <c r="CUL83" s="2567"/>
      <c r="CUM83" s="2567"/>
      <c r="CUN83" s="2567"/>
      <c r="CUO83" s="2567"/>
      <c r="CUP83" s="2567"/>
      <c r="CUQ83" s="2567"/>
      <c r="CUR83" s="2567"/>
      <c r="CUS83" s="2567"/>
      <c r="CUT83" s="2567"/>
      <c r="CUU83" s="2567"/>
      <c r="CUV83" s="2567"/>
      <c r="CUW83" s="2567"/>
      <c r="CUX83" s="2567"/>
      <c r="CUY83" s="2567"/>
      <c r="CUZ83" s="2567"/>
      <c r="CVA83" s="2567"/>
      <c r="CVB83" s="2567"/>
      <c r="CVC83" s="2567"/>
      <c r="CVD83" s="2567"/>
      <c r="CVE83" s="2567"/>
      <c r="CVF83" s="2567"/>
      <c r="CVG83" s="2567"/>
      <c r="CVH83" s="2567"/>
      <c r="CVI83" s="2567"/>
      <c r="CVJ83" s="2567"/>
      <c r="CVK83" s="2567"/>
      <c r="CVL83" s="2567"/>
      <c r="CVM83" s="2567"/>
      <c r="CVN83" s="2567"/>
      <c r="CVO83" s="2567"/>
      <c r="CVP83" s="2567"/>
      <c r="CVQ83" s="2567"/>
      <c r="CVR83" s="2567"/>
      <c r="CVS83" s="2567"/>
      <c r="CVT83" s="2567"/>
      <c r="CVU83" s="2567"/>
      <c r="CVV83" s="2567"/>
      <c r="CVW83" s="2567"/>
      <c r="CVX83" s="2567"/>
      <c r="CVY83" s="2567"/>
      <c r="CVZ83" s="2567"/>
      <c r="CWA83" s="2567"/>
      <c r="CWB83" s="2567"/>
      <c r="CWC83" s="2567"/>
      <c r="CWD83" s="2567"/>
      <c r="CWE83" s="2567"/>
      <c r="CWF83" s="2567"/>
      <c r="CWG83" s="2567"/>
      <c r="CWH83" s="2567"/>
      <c r="CWI83" s="2567"/>
      <c r="CWJ83" s="2567"/>
      <c r="CWK83" s="2567"/>
      <c r="CWL83" s="2567"/>
      <c r="CWM83" s="2567"/>
      <c r="CWN83" s="2567"/>
      <c r="CWO83" s="2567"/>
      <c r="CWP83" s="2567"/>
      <c r="CWQ83" s="2567"/>
      <c r="CWR83" s="2567"/>
      <c r="CWS83" s="2567"/>
      <c r="CWT83" s="2567"/>
      <c r="CWU83" s="2567"/>
      <c r="CWV83" s="2567"/>
      <c r="CWW83" s="2567"/>
      <c r="CWX83" s="2567"/>
      <c r="CWY83" s="2567"/>
      <c r="CWZ83" s="2567"/>
      <c r="CXA83" s="2567"/>
      <c r="CXB83" s="2567"/>
      <c r="CXC83" s="2567"/>
      <c r="CXD83" s="2567"/>
      <c r="CXE83" s="2567"/>
      <c r="CXF83" s="2567"/>
      <c r="CXG83" s="2567"/>
      <c r="CXH83" s="2567"/>
      <c r="CXI83" s="2567"/>
      <c r="CXJ83" s="2567"/>
      <c r="CXK83" s="2567"/>
      <c r="CXL83" s="2567"/>
      <c r="CXM83" s="2567"/>
      <c r="CXN83" s="2567"/>
      <c r="CXO83" s="2567"/>
      <c r="CXP83" s="2567"/>
      <c r="CXQ83" s="2567"/>
      <c r="CXR83" s="2567"/>
      <c r="CXS83" s="2567"/>
      <c r="CXT83" s="2567"/>
      <c r="CXU83" s="2567"/>
      <c r="CXV83" s="2567"/>
      <c r="CXW83" s="2567"/>
      <c r="CXX83" s="2567"/>
      <c r="CXY83" s="2567"/>
      <c r="CXZ83" s="2567"/>
      <c r="CYA83" s="2567"/>
      <c r="CYB83" s="2567"/>
      <c r="CYC83" s="2567"/>
      <c r="CYD83" s="2567"/>
      <c r="CYE83" s="2567"/>
      <c r="CYF83" s="2567"/>
      <c r="CYG83" s="2567"/>
      <c r="CYH83" s="2567"/>
      <c r="CYI83" s="2567"/>
      <c r="CYJ83" s="2567"/>
      <c r="CYK83" s="2567"/>
      <c r="CYL83" s="2567"/>
      <c r="CYM83" s="2567"/>
      <c r="CYN83" s="2567"/>
      <c r="CYO83" s="2567"/>
      <c r="CYP83" s="2567"/>
      <c r="CYQ83" s="2567"/>
      <c r="CYR83" s="2567"/>
      <c r="CYS83" s="2567"/>
      <c r="CYT83" s="2567"/>
      <c r="CYU83" s="2567"/>
      <c r="CYV83" s="2567"/>
      <c r="CYW83" s="2567"/>
      <c r="CYX83" s="2567"/>
      <c r="CYY83" s="2567"/>
      <c r="CYZ83" s="2567"/>
      <c r="CZA83" s="2567"/>
      <c r="CZB83" s="2567"/>
      <c r="CZC83" s="2567"/>
      <c r="CZD83" s="2567"/>
      <c r="CZE83" s="2567"/>
      <c r="CZF83" s="2567"/>
      <c r="CZG83" s="2567"/>
      <c r="CZH83" s="2567"/>
      <c r="CZI83" s="2567"/>
      <c r="CZJ83" s="2567"/>
      <c r="CZK83" s="2567"/>
      <c r="CZL83" s="2567"/>
      <c r="CZM83" s="2567"/>
      <c r="CZN83" s="2567"/>
      <c r="CZO83" s="2567"/>
      <c r="CZP83" s="2567"/>
      <c r="CZQ83" s="2567"/>
      <c r="CZR83" s="2567"/>
      <c r="CZS83" s="2567"/>
      <c r="CZT83" s="2567"/>
      <c r="CZU83" s="2567"/>
      <c r="CZV83" s="2567"/>
      <c r="CZW83" s="2567"/>
      <c r="CZX83" s="2567"/>
      <c r="CZY83" s="2567"/>
      <c r="CZZ83" s="2567"/>
      <c r="DAA83" s="2567"/>
      <c r="DAB83" s="2567"/>
      <c r="DAC83" s="2567"/>
      <c r="DAD83" s="2567"/>
      <c r="DAE83" s="2567"/>
      <c r="DAF83" s="2567"/>
      <c r="DAG83" s="2567"/>
      <c r="DAH83" s="2567"/>
      <c r="DAI83" s="2567"/>
      <c r="DAJ83" s="2567"/>
      <c r="DAK83" s="2567"/>
      <c r="DAL83" s="2567"/>
      <c r="DAM83" s="2567"/>
      <c r="DAN83" s="2567"/>
      <c r="DAO83" s="2567"/>
      <c r="DAP83" s="2567"/>
      <c r="DAQ83" s="2567"/>
      <c r="DAR83" s="2567"/>
      <c r="DAS83" s="2567"/>
      <c r="DAT83" s="2567"/>
      <c r="DAU83" s="2567"/>
      <c r="DAV83" s="2567"/>
      <c r="DAW83" s="2567"/>
      <c r="DAX83" s="2567"/>
      <c r="DAY83" s="2567"/>
      <c r="DAZ83" s="2567"/>
      <c r="DBA83" s="2567"/>
      <c r="DBB83" s="2567"/>
      <c r="DBC83" s="2567"/>
      <c r="DBD83" s="2567"/>
      <c r="DBE83" s="2567"/>
      <c r="DBF83" s="2567"/>
      <c r="DBG83" s="2567"/>
      <c r="DBH83" s="2567"/>
      <c r="DBI83" s="2567"/>
      <c r="DBJ83" s="2567"/>
      <c r="DBK83" s="2567"/>
      <c r="DBL83" s="2567"/>
      <c r="DBM83" s="2567"/>
      <c r="DBN83" s="2567"/>
      <c r="DBO83" s="2567"/>
      <c r="DBP83" s="2567"/>
      <c r="DBQ83" s="2567"/>
      <c r="DBR83" s="2567"/>
      <c r="DBS83" s="2567"/>
      <c r="DBT83" s="2567"/>
      <c r="DBU83" s="2567"/>
      <c r="DBV83" s="2567"/>
      <c r="DBW83" s="2567"/>
      <c r="DBX83" s="2567"/>
      <c r="DBY83" s="2567"/>
      <c r="DBZ83" s="2567"/>
      <c r="DCA83" s="2567"/>
      <c r="DCB83" s="2567"/>
      <c r="DCC83" s="2567"/>
      <c r="DCD83" s="2567"/>
      <c r="DCE83" s="2567"/>
      <c r="DCF83" s="2567"/>
      <c r="DCG83" s="2567"/>
      <c r="DCH83" s="2567"/>
      <c r="DCI83" s="2567"/>
      <c r="DCJ83" s="2567"/>
      <c r="DCK83" s="2567"/>
      <c r="DCL83" s="2567"/>
      <c r="DCM83" s="2567"/>
      <c r="DCN83" s="2567"/>
      <c r="DCO83" s="2567"/>
      <c r="DCP83" s="2567"/>
      <c r="DCQ83" s="2567"/>
      <c r="DCR83" s="2567"/>
      <c r="DCS83" s="2567"/>
      <c r="DCT83" s="2567"/>
      <c r="DCU83" s="2567"/>
      <c r="DCV83" s="2567"/>
      <c r="DCW83" s="2567"/>
      <c r="DCX83" s="2567"/>
      <c r="DCY83" s="2567"/>
      <c r="DCZ83" s="2567"/>
      <c r="DDA83" s="2567"/>
      <c r="DDB83" s="2567"/>
      <c r="DDC83" s="2567"/>
      <c r="DDD83" s="2567"/>
      <c r="DDE83" s="2567"/>
      <c r="DDF83" s="2567"/>
      <c r="DDG83" s="2567"/>
      <c r="DDH83" s="2567"/>
      <c r="DDI83" s="2567"/>
      <c r="DDJ83" s="2567"/>
      <c r="DDK83" s="2567"/>
      <c r="DDL83" s="2567"/>
      <c r="DDM83" s="2567"/>
      <c r="DDN83" s="2567"/>
      <c r="DDO83" s="2567"/>
      <c r="DDP83" s="2567"/>
      <c r="DDQ83" s="2567"/>
      <c r="DDR83" s="2567"/>
      <c r="DDS83" s="2567"/>
      <c r="DDT83" s="2567"/>
      <c r="DDU83" s="2567"/>
      <c r="DDV83" s="2567"/>
      <c r="DDW83" s="2567"/>
      <c r="DDX83" s="2567"/>
      <c r="DDY83" s="2567"/>
      <c r="DDZ83" s="2567"/>
      <c r="DEA83" s="2567"/>
      <c r="DEB83" s="2567"/>
      <c r="DEC83" s="2567"/>
      <c r="DED83" s="2567"/>
      <c r="DEE83" s="2567"/>
      <c r="DEF83" s="2567"/>
      <c r="DEG83" s="2567"/>
      <c r="DEH83" s="2567"/>
      <c r="DEI83" s="2567"/>
      <c r="DEJ83" s="2567"/>
      <c r="DEK83" s="2567"/>
      <c r="DEL83" s="2567"/>
      <c r="DEM83" s="2567"/>
      <c r="DEN83" s="2567"/>
      <c r="DEO83" s="2567"/>
      <c r="DEP83" s="2567"/>
      <c r="DEQ83" s="2567"/>
      <c r="DER83" s="2567"/>
      <c r="DES83" s="2567"/>
      <c r="DET83" s="2567"/>
      <c r="DEU83" s="2567"/>
      <c r="DEV83" s="2567"/>
      <c r="DEW83" s="2567"/>
      <c r="DEX83" s="2567"/>
      <c r="DEY83" s="2567"/>
      <c r="DEZ83" s="2567"/>
      <c r="DFA83" s="2567"/>
      <c r="DFB83" s="2567"/>
      <c r="DFC83" s="2567"/>
      <c r="DFD83" s="2567"/>
      <c r="DFE83" s="2567"/>
      <c r="DFF83" s="2567"/>
      <c r="DFG83" s="2567"/>
      <c r="DFH83" s="2567"/>
      <c r="DFI83" s="2567"/>
      <c r="DFJ83" s="2567"/>
      <c r="DFK83" s="2567"/>
      <c r="DFL83" s="2567"/>
      <c r="DFM83" s="2567"/>
      <c r="DFN83" s="2567"/>
      <c r="DFO83" s="2567"/>
      <c r="DFP83" s="2567"/>
      <c r="DFQ83" s="2567"/>
      <c r="DFR83" s="2567"/>
      <c r="DFS83" s="2567"/>
      <c r="DFT83" s="2567"/>
      <c r="DFU83" s="2567"/>
      <c r="DFV83" s="2567"/>
      <c r="DFW83" s="2567"/>
      <c r="DFX83" s="2567"/>
      <c r="DFY83" s="2567"/>
      <c r="DFZ83" s="2567"/>
      <c r="DGA83" s="2567"/>
      <c r="DGB83" s="2567"/>
      <c r="DGC83" s="2567"/>
      <c r="DGD83" s="2567"/>
      <c r="DGE83" s="2567"/>
      <c r="DGF83" s="2567"/>
      <c r="DGG83" s="2567"/>
      <c r="DGH83" s="2567"/>
      <c r="DGI83" s="2567"/>
      <c r="DGJ83" s="2567"/>
      <c r="DGK83" s="2567"/>
      <c r="DGL83" s="2567"/>
      <c r="DGM83" s="2567"/>
      <c r="DGN83" s="2567"/>
      <c r="DGO83" s="2567"/>
      <c r="DGP83" s="2567"/>
      <c r="DGQ83" s="2567"/>
      <c r="DGR83" s="2567"/>
      <c r="DGS83" s="2567"/>
      <c r="DGT83" s="2567"/>
      <c r="DGU83" s="2567"/>
      <c r="DGV83" s="2567"/>
      <c r="DGW83" s="2567"/>
      <c r="DGX83" s="2567"/>
      <c r="DGY83" s="2567"/>
      <c r="DGZ83" s="2567"/>
      <c r="DHA83" s="2567"/>
      <c r="DHB83" s="2567"/>
      <c r="DHC83" s="2567"/>
      <c r="DHD83" s="2567"/>
      <c r="DHE83" s="2567"/>
      <c r="DHF83" s="2567"/>
      <c r="DHG83" s="2567"/>
      <c r="DHH83" s="2567"/>
      <c r="DHI83" s="2567"/>
      <c r="DHJ83" s="2567"/>
      <c r="DHK83" s="2567"/>
      <c r="DHL83" s="2567"/>
      <c r="DHM83" s="2567"/>
      <c r="DHN83" s="2567"/>
      <c r="DHO83" s="2567"/>
      <c r="DHP83" s="2567"/>
      <c r="DHQ83" s="2567"/>
      <c r="DHR83" s="2567"/>
      <c r="DHS83" s="2567"/>
      <c r="DHT83" s="2567"/>
      <c r="DHU83" s="2567"/>
      <c r="DHV83" s="2567"/>
      <c r="DHW83" s="2567"/>
      <c r="DHX83" s="2567"/>
      <c r="DHY83" s="2567"/>
      <c r="DHZ83" s="2567"/>
      <c r="DIA83" s="2567"/>
      <c r="DIB83" s="2567"/>
      <c r="DIC83" s="2567"/>
      <c r="DID83" s="2567"/>
      <c r="DIE83" s="2567"/>
      <c r="DIF83" s="2567"/>
      <c r="DIG83" s="2567"/>
      <c r="DIH83" s="2567"/>
      <c r="DII83" s="2567"/>
      <c r="DIJ83" s="2567"/>
      <c r="DIK83" s="2567"/>
      <c r="DIL83" s="2567"/>
      <c r="DIM83" s="2567"/>
      <c r="DIN83" s="2567"/>
      <c r="DIO83" s="2567"/>
      <c r="DIP83" s="2567"/>
      <c r="DIQ83" s="2567"/>
      <c r="DIR83" s="2567"/>
      <c r="DIS83" s="2567"/>
      <c r="DIT83" s="2567"/>
      <c r="DIU83" s="2567"/>
      <c r="DIV83" s="2567"/>
      <c r="DIW83" s="2567"/>
      <c r="DIX83" s="2567"/>
      <c r="DIY83" s="2567"/>
      <c r="DIZ83" s="2567"/>
      <c r="DJA83" s="2567"/>
      <c r="DJB83" s="2567"/>
      <c r="DJC83" s="2567"/>
      <c r="DJD83" s="2567"/>
      <c r="DJE83" s="2567"/>
      <c r="DJF83" s="2567"/>
      <c r="DJG83" s="2567"/>
      <c r="DJH83" s="2567"/>
      <c r="DJI83" s="2567"/>
      <c r="DJJ83" s="2567"/>
      <c r="DJK83" s="2567"/>
      <c r="DJL83" s="2567"/>
      <c r="DJM83" s="2567"/>
      <c r="DJN83" s="2567"/>
      <c r="DJO83" s="2567"/>
      <c r="DJP83" s="2567"/>
      <c r="DJQ83" s="2567"/>
      <c r="DJR83" s="2567"/>
      <c r="DJS83" s="2567"/>
      <c r="DJT83" s="2567"/>
      <c r="DJU83" s="2567"/>
      <c r="DJV83" s="2567"/>
      <c r="DJW83" s="2567"/>
      <c r="DJX83" s="2567"/>
      <c r="DJY83" s="2567"/>
      <c r="DJZ83" s="2567"/>
      <c r="DKA83" s="2567"/>
      <c r="DKB83" s="2567"/>
      <c r="DKC83" s="2567"/>
      <c r="DKD83" s="2567"/>
      <c r="DKE83" s="2567"/>
      <c r="DKF83" s="2567"/>
      <c r="DKG83" s="2567"/>
      <c r="DKH83" s="2567"/>
      <c r="DKI83" s="2567"/>
      <c r="DKJ83" s="2567"/>
      <c r="DKK83" s="2567"/>
      <c r="DKL83" s="2567"/>
      <c r="DKM83" s="2567"/>
      <c r="DKN83" s="2567"/>
      <c r="DKO83" s="2567"/>
      <c r="DKP83" s="2567"/>
      <c r="DKQ83" s="2567"/>
      <c r="DKR83" s="2567"/>
      <c r="DKS83" s="2567"/>
      <c r="DKT83" s="2567"/>
      <c r="DKU83" s="2567"/>
      <c r="DKV83" s="2567"/>
      <c r="DKW83" s="2567"/>
      <c r="DKX83" s="2567"/>
      <c r="DKY83" s="2567"/>
      <c r="DKZ83" s="2567"/>
      <c r="DLA83" s="2567"/>
      <c r="DLB83" s="2567"/>
      <c r="DLC83" s="2567"/>
      <c r="DLD83" s="2567"/>
      <c r="DLE83" s="2567"/>
      <c r="DLF83" s="2567"/>
      <c r="DLG83" s="2567"/>
      <c r="DLH83" s="2567"/>
      <c r="DLI83" s="2567"/>
      <c r="DLJ83" s="2567"/>
      <c r="DLK83" s="2567"/>
      <c r="DLL83" s="2567"/>
      <c r="DLM83" s="2567"/>
      <c r="DLN83" s="2567"/>
      <c r="DLO83" s="2567"/>
      <c r="DLP83" s="2567"/>
      <c r="DLQ83" s="2567"/>
      <c r="DLR83" s="2567"/>
      <c r="DLS83" s="2567"/>
      <c r="DLT83" s="2567"/>
      <c r="DLU83" s="2567"/>
      <c r="DLV83" s="2567"/>
      <c r="DLW83" s="2567"/>
      <c r="DLX83" s="2567"/>
      <c r="DLY83" s="2567"/>
      <c r="DLZ83" s="2567"/>
      <c r="DMA83" s="2567"/>
      <c r="DMB83" s="2567"/>
      <c r="DMC83" s="2567"/>
      <c r="DMD83" s="2567"/>
      <c r="DME83" s="2567"/>
      <c r="DMF83" s="2567"/>
      <c r="DMG83" s="2567"/>
      <c r="DMH83" s="2567"/>
      <c r="DMI83" s="2567"/>
      <c r="DMJ83" s="2567"/>
      <c r="DMK83" s="2567"/>
      <c r="DML83" s="2567"/>
      <c r="DMM83" s="2567"/>
      <c r="DMN83" s="2567"/>
      <c r="DMO83" s="2567"/>
      <c r="DMP83" s="2567"/>
      <c r="DMQ83" s="2567"/>
      <c r="DMR83" s="2567"/>
      <c r="DMS83" s="2567"/>
      <c r="DMT83" s="2567"/>
      <c r="DMU83" s="2567"/>
      <c r="DMV83" s="2567"/>
      <c r="DMW83" s="2567"/>
      <c r="DMX83" s="2567"/>
      <c r="DMY83" s="2567"/>
      <c r="DMZ83" s="2567"/>
      <c r="DNA83" s="2567"/>
      <c r="DNB83" s="2567"/>
      <c r="DNC83" s="2567"/>
      <c r="DND83" s="2567"/>
      <c r="DNE83" s="2567"/>
      <c r="DNF83" s="2567"/>
      <c r="DNG83" s="2567"/>
      <c r="DNH83" s="2567"/>
      <c r="DNI83" s="2567"/>
      <c r="DNJ83" s="2567"/>
      <c r="DNK83" s="2567"/>
      <c r="DNL83" s="2567"/>
      <c r="DNM83" s="2567"/>
      <c r="DNN83" s="2567"/>
      <c r="DNO83" s="2567"/>
      <c r="DNP83" s="2567"/>
      <c r="DNQ83" s="2567"/>
      <c r="DNR83" s="2567"/>
      <c r="DNS83" s="2567"/>
      <c r="DNT83" s="2567"/>
      <c r="DNU83" s="2567"/>
      <c r="DNV83" s="2567"/>
      <c r="DNW83" s="2567"/>
      <c r="DNX83" s="2567"/>
      <c r="DNY83" s="2567"/>
      <c r="DNZ83" s="2567"/>
      <c r="DOA83" s="2567"/>
      <c r="DOB83" s="2567"/>
      <c r="DOC83" s="2567"/>
      <c r="DOD83" s="2567"/>
      <c r="DOE83" s="2567"/>
      <c r="DOF83" s="2567"/>
      <c r="DOG83" s="2567"/>
      <c r="DOH83" s="2567"/>
      <c r="DOI83" s="2567"/>
      <c r="DOJ83" s="2567"/>
      <c r="DOK83" s="2567"/>
      <c r="DOL83" s="2567"/>
      <c r="DOM83" s="2567"/>
      <c r="DON83" s="2567"/>
      <c r="DOO83" s="2567"/>
      <c r="DOP83" s="2567"/>
      <c r="DOQ83" s="2567"/>
      <c r="DOR83" s="2567"/>
      <c r="DOS83" s="2567"/>
      <c r="DOT83" s="2567"/>
      <c r="DOU83" s="2567"/>
      <c r="DOV83" s="2567"/>
      <c r="DOW83" s="2567"/>
      <c r="DOX83" s="2567"/>
      <c r="DOY83" s="2567"/>
      <c r="DOZ83" s="2567"/>
      <c r="DPA83" s="2567"/>
      <c r="DPB83" s="2567"/>
      <c r="DPC83" s="2567"/>
      <c r="DPD83" s="2567"/>
      <c r="DPE83" s="2567"/>
      <c r="DPF83" s="2567"/>
      <c r="DPG83" s="2567"/>
      <c r="DPH83" s="2567"/>
      <c r="DPI83" s="2567"/>
      <c r="DPJ83" s="2567"/>
      <c r="DPK83" s="2567"/>
      <c r="DPL83" s="2567"/>
      <c r="DPM83" s="2567"/>
      <c r="DPN83" s="2567"/>
      <c r="DPO83" s="2567"/>
      <c r="DPP83" s="2567"/>
      <c r="DPQ83" s="2567"/>
      <c r="DPR83" s="2567"/>
      <c r="DPS83" s="2567"/>
      <c r="DPT83" s="2567"/>
      <c r="DPU83" s="2567"/>
      <c r="DPV83" s="2567"/>
      <c r="DPW83" s="2567"/>
      <c r="DPX83" s="2567"/>
      <c r="DPY83" s="2567"/>
      <c r="DPZ83" s="2567"/>
      <c r="DQA83" s="2567"/>
      <c r="DQB83" s="2567"/>
      <c r="DQC83" s="2567"/>
      <c r="DQD83" s="2567"/>
      <c r="DQE83" s="2567"/>
      <c r="DQF83" s="2567"/>
      <c r="DQG83" s="2567"/>
      <c r="DQH83" s="2567"/>
      <c r="DQI83" s="2567"/>
      <c r="DQJ83" s="2567"/>
      <c r="DQK83" s="2567"/>
      <c r="DQL83" s="2567"/>
      <c r="DQM83" s="2567"/>
      <c r="DQN83" s="2567"/>
      <c r="DQO83" s="2567"/>
      <c r="DQP83" s="2567"/>
      <c r="DQQ83" s="2567"/>
      <c r="DQR83" s="2567"/>
      <c r="DQS83" s="2567"/>
      <c r="DQT83" s="2567"/>
      <c r="DQU83" s="2567"/>
      <c r="DQV83" s="2567"/>
      <c r="DQW83" s="2567"/>
      <c r="DQX83" s="2567"/>
      <c r="DQY83" s="2567"/>
      <c r="DQZ83" s="2567"/>
      <c r="DRA83" s="2567"/>
      <c r="DRB83" s="2567"/>
      <c r="DRC83" s="2567"/>
      <c r="DRD83" s="2567"/>
      <c r="DRE83" s="2567"/>
      <c r="DRF83" s="2567"/>
      <c r="DRG83" s="2567"/>
      <c r="DRH83" s="2567"/>
      <c r="DRI83" s="2567"/>
      <c r="DRJ83" s="2567"/>
      <c r="DRK83" s="2567"/>
      <c r="DRL83" s="2567"/>
      <c r="DRM83" s="2567"/>
      <c r="DRN83" s="2567"/>
      <c r="DRO83" s="2567"/>
      <c r="DRP83" s="2567"/>
      <c r="DRQ83" s="2567"/>
      <c r="DRR83" s="2567"/>
      <c r="DRS83" s="2567"/>
      <c r="DRT83" s="2567"/>
      <c r="DRU83" s="2567"/>
      <c r="DRV83" s="2567"/>
      <c r="DRW83" s="2567"/>
      <c r="DRX83" s="2567"/>
      <c r="DRY83" s="2567"/>
      <c r="DRZ83" s="2567"/>
      <c r="DSA83" s="2567"/>
      <c r="DSB83" s="2567"/>
      <c r="DSC83" s="2567"/>
      <c r="DSD83" s="2567"/>
      <c r="DSE83" s="2567"/>
      <c r="DSF83" s="2567"/>
      <c r="DSG83" s="2567"/>
      <c r="DSH83" s="2567"/>
      <c r="DSI83" s="2567"/>
      <c r="DSJ83" s="2567"/>
      <c r="DSK83" s="2567"/>
      <c r="DSL83" s="2567"/>
      <c r="DSM83" s="2567"/>
      <c r="DSN83" s="2567"/>
      <c r="DSO83" s="2567"/>
      <c r="DSP83" s="2567"/>
      <c r="DSQ83" s="2567"/>
      <c r="DSR83" s="2567"/>
      <c r="DSS83" s="2567"/>
      <c r="DST83" s="2567"/>
      <c r="DSU83" s="2567"/>
      <c r="DSV83" s="2567"/>
      <c r="DSW83" s="2567"/>
      <c r="DSX83" s="2567"/>
      <c r="DSY83" s="2567"/>
      <c r="DSZ83" s="2567"/>
      <c r="DTA83" s="2567"/>
      <c r="DTB83" s="2567"/>
      <c r="DTC83" s="2567"/>
      <c r="DTD83" s="2567"/>
      <c r="DTE83" s="2567"/>
      <c r="DTF83" s="2567"/>
      <c r="DTG83" s="2567"/>
      <c r="DTH83" s="2567"/>
      <c r="DTI83" s="2567"/>
      <c r="DTJ83" s="2567"/>
      <c r="DTK83" s="2567"/>
      <c r="DTL83" s="2567"/>
      <c r="DTM83" s="2567"/>
      <c r="DTN83" s="2567"/>
      <c r="DTO83" s="2567"/>
      <c r="DTP83" s="2567"/>
      <c r="DTQ83" s="2567"/>
      <c r="DTR83" s="2567"/>
      <c r="DTS83" s="2567"/>
      <c r="DTT83" s="2567"/>
      <c r="DTU83" s="2567"/>
      <c r="DTV83" s="2567"/>
      <c r="DTW83" s="2567"/>
      <c r="DTX83" s="2567"/>
      <c r="DTY83" s="2567"/>
      <c r="DTZ83" s="2567"/>
      <c r="DUA83" s="2567"/>
      <c r="DUB83" s="2567"/>
      <c r="DUC83" s="2567"/>
      <c r="DUD83" s="2567"/>
      <c r="DUE83" s="2567"/>
      <c r="DUF83" s="2567"/>
      <c r="DUG83" s="2567"/>
      <c r="DUH83" s="2567"/>
      <c r="DUI83" s="2567"/>
      <c r="DUJ83" s="2567"/>
      <c r="DUK83" s="2567"/>
      <c r="DUL83" s="2567"/>
      <c r="DUM83" s="2567"/>
      <c r="DUN83" s="2567"/>
      <c r="DUO83" s="2567"/>
      <c r="DUP83" s="2567"/>
      <c r="DUQ83" s="2567"/>
      <c r="DUR83" s="2567"/>
      <c r="DUS83" s="2567"/>
      <c r="DUT83" s="2567"/>
      <c r="DUU83" s="2567"/>
      <c r="DUV83" s="2567"/>
      <c r="DUW83" s="2567"/>
      <c r="DUX83" s="2567"/>
      <c r="DUY83" s="2567"/>
      <c r="DUZ83" s="2567"/>
      <c r="DVA83" s="2567"/>
      <c r="DVB83" s="2567"/>
      <c r="DVC83" s="2567"/>
      <c r="DVD83" s="2567"/>
      <c r="DVE83" s="2567"/>
      <c r="DVF83" s="2567"/>
      <c r="DVG83" s="2567"/>
      <c r="DVH83" s="2567"/>
      <c r="DVI83" s="2567"/>
      <c r="DVJ83" s="2567"/>
      <c r="DVK83" s="2567"/>
      <c r="DVL83" s="2567"/>
      <c r="DVM83" s="2567"/>
      <c r="DVN83" s="2567"/>
      <c r="DVO83" s="2567"/>
      <c r="DVP83" s="2567"/>
      <c r="DVQ83" s="2567"/>
      <c r="DVR83" s="2567"/>
      <c r="DVS83" s="2567"/>
      <c r="DVT83" s="2567"/>
      <c r="DVU83" s="2567"/>
      <c r="DVV83" s="2567"/>
      <c r="DVW83" s="2567"/>
      <c r="DVX83" s="2567"/>
      <c r="DVY83" s="2567"/>
      <c r="DVZ83" s="2567"/>
      <c r="DWA83" s="2567"/>
      <c r="DWB83" s="2567"/>
      <c r="DWC83" s="2567"/>
      <c r="DWD83" s="2567"/>
      <c r="DWE83" s="2567"/>
      <c r="DWF83" s="2567"/>
      <c r="DWG83" s="2567"/>
      <c r="DWH83" s="2567"/>
      <c r="DWI83" s="2567"/>
      <c r="DWJ83" s="2567"/>
      <c r="DWK83" s="2567"/>
      <c r="DWL83" s="2567"/>
      <c r="DWM83" s="2567"/>
      <c r="DWN83" s="2567"/>
      <c r="DWO83" s="2567"/>
      <c r="DWP83" s="2567"/>
      <c r="DWQ83" s="2567"/>
      <c r="DWR83" s="2567"/>
      <c r="DWS83" s="2567"/>
      <c r="DWT83" s="2567"/>
      <c r="DWU83" s="2567"/>
      <c r="DWV83" s="2567"/>
      <c r="DWW83" s="2567"/>
      <c r="DWX83" s="2567"/>
      <c r="DWY83" s="2567"/>
      <c r="DWZ83" s="2567"/>
      <c r="DXA83" s="2567"/>
      <c r="DXB83" s="2567"/>
      <c r="DXC83" s="2567"/>
      <c r="DXD83" s="2567"/>
      <c r="DXE83" s="2567"/>
      <c r="DXF83" s="2567"/>
      <c r="DXG83" s="2567"/>
      <c r="DXH83" s="2567"/>
      <c r="DXI83" s="2567"/>
      <c r="DXJ83" s="2567"/>
      <c r="DXK83" s="2567"/>
      <c r="DXL83" s="2567"/>
      <c r="DXM83" s="2567"/>
      <c r="DXN83" s="2567"/>
      <c r="DXO83" s="2567"/>
      <c r="DXP83" s="2567"/>
      <c r="DXQ83" s="2567"/>
      <c r="DXR83" s="2567"/>
      <c r="DXS83" s="2567"/>
      <c r="DXT83" s="2567"/>
      <c r="DXU83" s="2567"/>
      <c r="DXV83" s="2567"/>
      <c r="DXW83" s="2567"/>
      <c r="DXX83" s="2567"/>
      <c r="DXY83" s="2567"/>
      <c r="DXZ83" s="2567"/>
      <c r="DYA83" s="2567"/>
      <c r="DYB83" s="2567"/>
      <c r="DYC83" s="2567"/>
      <c r="DYD83" s="2567"/>
      <c r="DYE83" s="2567"/>
      <c r="DYF83" s="2567"/>
      <c r="DYG83" s="2567"/>
      <c r="DYH83" s="2567"/>
      <c r="DYI83" s="2567"/>
      <c r="DYJ83" s="2567"/>
      <c r="DYK83" s="2567"/>
      <c r="DYL83" s="2567"/>
      <c r="DYM83" s="2567"/>
      <c r="DYN83" s="2567"/>
      <c r="DYO83" s="2567"/>
      <c r="DYP83" s="2567"/>
      <c r="DYQ83" s="2567"/>
      <c r="DYR83" s="2567"/>
      <c r="DYS83" s="2567"/>
      <c r="DYT83" s="2567"/>
      <c r="DYU83" s="2567"/>
      <c r="DYV83" s="2567"/>
      <c r="DYW83" s="2567"/>
      <c r="DYX83" s="2567"/>
      <c r="DYY83" s="2567"/>
      <c r="DYZ83" s="2567"/>
      <c r="DZA83" s="2567"/>
      <c r="DZB83" s="2567"/>
      <c r="DZC83" s="2567"/>
      <c r="DZD83" s="2567"/>
      <c r="DZE83" s="2567"/>
      <c r="DZF83" s="2567"/>
      <c r="DZG83" s="2567"/>
      <c r="DZH83" s="2567"/>
      <c r="DZI83" s="2567"/>
      <c r="DZJ83" s="2567"/>
      <c r="DZK83" s="2567"/>
      <c r="DZL83" s="2567"/>
      <c r="DZM83" s="2567"/>
      <c r="DZN83" s="2567"/>
      <c r="DZO83" s="2567"/>
      <c r="DZP83" s="2567"/>
      <c r="DZQ83" s="2567"/>
      <c r="DZR83" s="2567"/>
      <c r="DZS83" s="2567"/>
      <c r="DZT83" s="2567"/>
      <c r="DZU83" s="2567"/>
      <c r="DZV83" s="2567"/>
      <c r="DZW83" s="2567"/>
      <c r="DZX83" s="2567"/>
      <c r="DZY83" s="2567"/>
      <c r="DZZ83" s="2567"/>
      <c r="EAA83" s="2567"/>
      <c r="EAB83" s="2567"/>
      <c r="EAC83" s="2567"/>
      <c r="EAD83" s="2567"/>
      <c r="EAE83" s="2567"/>
      <c r="EAF83" s="2567"/>
      <c r="EAG83" s="2567"/>
      <c r="EAH83" s="2567"/>
      <c r="EAI83" s="2567"/>
      <c r="EAJ83" s="2567"/>
      <c r="EAK83" s="2567"/>
      <c r="EAL83" s="2567"/>
      <c r="EAM83" s="2567"/>
      <c r="EAN83" s="2567"/>
      <c r="EAO83" s="2567"/>
      <c r="EAP83" s="2567"/>
      <c r="EAQ83" s="2567"/>
      <c r="EAR83" s="2567"/>
      <c r="EAS83" s="2567"/>
      <c r="EAT83" s="2567"/>
      <c r="EAU83" s="2567"/>
      <c r="EAV83" s="2567"/>
      <c r="EAW83" s="2567"/>
      <c r="EAX83" s="2567"/>
      <c r="EAY83" s="2567"/>
      <c r="EAZ83" s="2567"/>
      <c r="EBA83" s="2567"/>
      <c r="EBB83" s="2567"/>
      <c r="EBC83" s="2567"/>
      <c r="EBD83" s="2567"/>
      <c r="EBE83" s="2567"/>
      <c r="EBF83" s="2567"/>
      <c r="EBG83" s="2567"/>
      <c r="EBH83" s="2567"/>
      <c r="EBI83" s="2567"/>
      <c r="EBJ83" s="2567"/>
      <c r="EBK83" s="2567"/>
      <c r="EBL83" s="2567"/>
      <c r="EBM83" s="2567"/>
      <c r="EBN83" s="2567"/>
      <c r="EBO83" s="2567"/>
      <c r="EBP83" s="2567"/>
      <c r="EBQ83" s="2567"/>
      <c r="EBR83" s="2567"/>
      <c r="EBS83" s="2567"/>
      <c r="EBT83" s="2567"/>
      <c r="EBU83" s="2567"/>
      <c r="EBV83" s="2567"/>
      <c r="EBW83" s="2567"/>
      <c r="EBX83" s="2567"/>
      <c r="EBY83" s="2567"/>
      <c r="EBZ83" s="2567"/>
      <c r="ECA83" s="2567"/>
      <c r="ECB83" s="2567"/>
      <c r="ECC83" s="2567"/>
      <c r="ECD83" s="2567"/>
      <c r="ECE83" s="2567"/>
      <c r="ECF83" s="2567"/>
      <c r="ECG83" s="2567"/>
      <c r="ECH83" s="2567"/>
      <c r="ECI83" s="2567"/>
      <c r="ECJ83" s="2567"/>
      <c r="ECK83" s="2567"/>
      <c r="ECL83" s="2567"/>
      <c r="ECM83" s="2567"/>
      <c r="ECN83" s="2567"/>
      <c r="ECO83" s="2567"/>
      <c r="ECP83" s="2567"/>
      <c r="ECQ83" s="2567"/>
      <c r="ECR83" s="2567"/>
      <c r="ECS83" s="2567"/>
      <c r="ECT83" s="2567"/>
      <c r="ECU83" s="2567"/>
      <c r="ECV83" s="2567"/>
      <c r="ECW83" s="2567"/>
      <c r="ECX83" s="2567"/>
      <c r="ECY83" s="2567"/>
      <c r="ECZ83" s="2567"/>
      <c r="EDA83" s="2567"/>
      <c r="EDB83" s="2567"/>
      <c r="EDC83" s="2567"/>
      <c r="EDD83" s="2567"/>
      <c r="EDE83" s="2567"/>
      <c r="EDF83" s="2567"/>
      <c r="EDG83" s="2567"/>
      <c r="EDH83" s="2567"/>
      <c r="EDI83" s="2567"/>
      <c r="EDJ83" s="2567"/>
      <c r="EDK83" s="2567"/>
      <c r="EDL83" s="2567"/>
      <c r="EDM83" s="2567"/>
      <c r="EDN83" s="2567"/>
      <c r="EDO83" s="2567"/>
      <c r="EDP83" s="2567"/>
      <c r="EDQ83" s="2567"/>
      <c r="EDR83" s="2567"/>
      <c r="EDS83" s="2567"/>
      <c r="EDT83" s="2567"/>
      <c r="EDU83" s="2567"/>
      <c r="EDV83" s="2567"/>
      <c r="EDW83" s="2567"/>
      <c r="EDX83" s="2567"/>
      <c r="EDY83" s="2567"/>
      <c r="EDZ83" s="2567"/>
      <c r="EEA83" s="2567"/>
      <c r="EEB83" s="2567"/>
      <c r="EEC83" s="2567"/>
      <c r="EED83" s="2567"/>
      <c r="EEE83" s="2567"/>
      <c r="EEF83" s="2567"/>
      <c r="EEG83" s="2567"/>
      <c r="EEH83" s="2567"/>
      <c r="EEI83" s="2567"/>
      <c r="EEJ83" s="2567"/>
      <c r="EEK83" s="2567"/>
      <c r="EEL83" s="2567"/>
      <c r="EEM83" s="2567"/>
      <c r="EEN83" s="2567"/>
      <c r="EEO83" s="2567"/>
      <c r="EEP83" s="2567"/>
      <c r="EEQ83" s="2567"/>
      <c r="EER83" s="2567"/>
      <c r="EES83" s="2567"/>
      <c r="EET83" s="2567"/>
      <c r="EEU83" s="2567"/>
      <c r="EEV83" s="2567"/>
      <c r="EEW83" s="2567"/>
      <c r="EEX83" s="2567"/>
      <c r="EEY83" s="2567"/>
      <c r="EEZ83" s="2567"/>
      <c r="EFA83" s="2567"/>
      <c r="EFB83" s="2567"/>
      <c r="EFC83" s="2567"/>
      <c r="EFD83" s="2567"/>
      <c r="EFE83" s="2567"/>
      <c r="EFF83" s="2567"/>
      <c r="EFG83" s="2567"/>
      <c r="EFH83" s="2567"/>
      <c r="EFI83" s="2567"/>
      <c r="EFJ83" s="2567"/>
      <c r="EFK83" s="2567"/>
      <c r="EFL83" s="2567"/>
      <c r="EFM83" s="2567"/>
      <c r="EFN83" s="2567"/>
      <c r="EFO83" s="2567"/>
      <c r="EFP83" s="2567"/>
      <c r="EFQ83" s="2567"/>
      <c r="EFR83" s="2567"/>
      <c r="EFS83" s="2567"/>
      <c r="EFT83" s="2567"/>
      <c r="EFU83" s="2567"/>
      <c r="EFV83" s="2567"/>
      <c r="EFW83" s="2567"/>
      <c r="EFX83" s="2567"/>
      <c r="EFY83" s="2567"/>
      <c r="EFZ83" s="2567"/>
      <c r="EGA83" s="2567"/>
      <c r="EGB83" s="2567"/>
      <c r="EGC83" s="2567"/>
      <c r="EGD83" s="2567"/>
      <c r="EGE83" s="2567"/>
      <c r="EGF83" s="2567"/>
      <c r="EGG83" s="2567"/>
      <c r="EGH83" s="2567"/>
      <c r="EGI83" s="2567"/>
      <c r="EGJ83" s="2567"/>
      <c r="EGK83" s="2567"/>
      <c r="EGL83" s="2567"/>
      <c r="EGM83" s="2567"/>
      <c r="EGN83" s="2567"/>
      <c r="EGO83" s="2567"/>
      <c r="EGP83" s="2567"/>
      <c r="EGQ83" s="2567"/>
      <c r="EGR83" s="2567"/>
      <c r="EGS83" s="2567"/>
      <c r="EGT83" s="2567"/>
      <c r="EGU83" s="2567"/>
      <c r="EGV83" s="2567"/>
      <c r="EGW83" s="2567"/>
      <c r="EGX83" s="2567"/>
      <c r="EGY83" s="2567"/>
      <c r="EGZ83" s="2567"/>
      <c r="EHA83" s="2567"/>
      <c r="EHB83" s="2567"/>
      <c r="EHC83" s="2567"/>
      <c r="EHD83" s="2567"/>
      <c r="EHE83" s="2567"/>
      <c r="EHF83" s="2567"/>
      <c r="EHG83" s="2567"/>
      <c r="EHH83" s="2567"/>
      <c r="EHI83" s="2567"/>
      <c r="EHJ83" s="2567"/>
      <c r="EHK83" s="2567"/>
      <c r="EHL83" s="2567"/>
      <c r="EHM83" s="2567"/>
      <c r="EHN83" s="2567"/>
      <c r="EHO83" s="2567"/>
      <c r="EHP83" s="2567"/>
      <c r="EHQ83" s="2567"/>
      <c r="EHR83" s="2567"/>
      <c r="EHS83" s="2567"/>
      <c r="EHT83" s="2567"/>
      <c r="EHU83" s="2567"/>
      <c r="EHV83" s="2567"/>
      <c r="EHW83" s="2567"/>
      <c r="EHX83" s="2567"/>
      <c r="EHY83" s="2567"/>
      <c r="EHZ83" s="2567"/>
      <c r="EIA83" s="2567"/>
      <c r="EIB83" s="2567"/>
      <c r="EIC83" s="2567"/>
      <c r="EID83" s="2567"/>
      <c r="EIE83" s="2567"/>
      <c r="EIF83" s="2567"/>
      <c r="EIG83" s="2567"/>
      <c r="EIH83" s="2567"/>
      <c r="EII83" s="2567"/>
      <c r="EIJ83" s="2567"/>
      <c r="EIK83" s="2567"/>
      <c r="EIL83" s="2567"/>
      <c r="EIM83" s="2567"/>
      <c r="EIN83" s="2567"/>
      <c r="EIO83" s="2567"/>
      <c r="EIP83" s="2567"/>
      <c r="EIQ83" s="2567"/>
      <c r="EIR83" s="2567"/>
      <c r="EIS83" s="2567"/>
      <c r="EIT83" s="2567"/>
      <c r="EIU83" s="2567"/>
      <c r="EIV83" s="2567"/>
      <c r="EIW83" s="2567"/>
      <c r="EIX83" s="2567"/>
      <c r="EIY83" s="2567"/>
      <c r="EIZ83" s="2567"/>
      <c r="EJA83" s="2567"/>
      <c r="EJB83" s="2567"/>
      <c r="EJC83" s="2567"/>
      <c r="EJD83" s="2567"/>
      <c r="EJE83" s="2567"/>
      <c r="EJF83" s="2567"/>
      <c r="EJG83" s="2567"/>
      <c r="EJH83" s="2567"/>
      <c r="EJI83" s="2567"/>
      <c r="EJJ83" s="2567"/>
      <c r="EJK83" s="2567"/>
      <c r="EJL83" s="2567"/>
      <c r="EJM83" s="2567"/>
      <c r="EJN83" s="2567"/>
      <c r="EJO83" s="2567"/>
      <c r="EJP83" s="2567"/>
      <c r="EJQ83" s="2567"/>
      <c r="EJR83" s="2567"/>
      <c r="EJS83" s="2567"/>
      <c r="EJT83" s="2567"/>
      <c r="EJU83" s="2567"/>
      <c r="EJV83" s="2567"/>
      <c r="EJW83" s="2567"/>
      <c r="EJX83" s="2567"/>
      <c r="EJY83" s="2567"/>
      <c r="EJZ83" s="2567"/>
      <c r="EKA83" s="2567"/>
      <c r="EKB83" s="2567"/>
      <c r="EKC83" s="2567"/>
      <c r="EKD83" s="2567"/>
      <c r="EKE83" s="2567"/>
      <c r="EKF83" s="2567"/>
      <c r="EKG83" s="2567"/>
      <c r="EKH83" s="2567"/>
      <c r="EKI83" s="2567"/>
      <c r="EKJ83" s="2567"/>
      <c r="EKK83" s="2567"/>
      <c r="EKL83" s="2567"/>
      <c r="EKM83" s="2567"/>
      <c r="EKN83" s="2567"/>
      <c r="EKO83" s="2567"/>
      <c r="EKP83" s="2567"/>
      <c r="EKQ83" s="2567"/>
      <c r="EKR83" s="2567"/>
      <c r="EKS83" s="2567"/>
      <c r="EKT83" s="2567"/>
      <c r="EKU83" s="2567"/>
      <c r="EKV83" s="2567"/>
      <c r="EKW83" s="2567"/>
      <c r="EKX83" s="2567"/>
      <c r="EKY83" s="2567"/>
      <c r="EKZ83" s="2567"/>
      <c r="ELA83" s="2567"/>
      <c r="ELB83" s="2567"/>
      <c r="ELC83" s="2567"/>
      <c r="ELD83" s="2567"/>
      <c r="ELE83" s="2567"/>
      <c r="ELF83" s="2567"/>
      <c r="ELG83" s="2567"/>
      <c r="ELH83" s="2567"/>
      <c r="ELI83" s="2567"/>
      <c r="ELJ83" s="2567"/>
      <c r="ELK83" s="2567"/>
      <c r="ELL83" s="2567"/>
      <c r="ELM83" s="2567"/>
      <c r="ELN83" s="2567"/>
      <c r="ELO83" s="2567"/>
      <c r="ELP83" s="2567"/>
      <c r="ELQ83" s="2567"/>
      <c r="ELR83" s="2567"/>
      <c r="ELS83" s="2567"/>
      <c r="ELT83" s="2567"/>
      <c r="ELU83" s="2567"/>
      <c r="ELV83" s="2567"/>
      <c r="ELW83" s="2567"/>
      <c r="ELX83" s="2567"/>
      <c r="ELY83" s="2567"/>
      <c r="ELZ83" s="2567"/>
      <c r="EMA83" s="2567"/>
      <c r="EMB83" s="2567"/>
      <c r="EMC83" s="2567"/>
      <c r="EMD83" s="2567"/>
      <c r="EME83" s="2567"/>
      <c r="EMF83" s="2567"/>
      <c r="EMG83" s="2567"/>
      <c r="EMH83" s="2567"/>
      <c r="EMI83" s="2567"/>
      <c r="EMJ83" s="2567"/>
      <c r="EMK83" s="2567"/>
      <c r="EML83" s="2567"/>
      <c r="EMM83" s="2567"/>
      <c r="EMN83" s="2567"/>
      <c r="EMO83" s="2567"/>
      <c r="EMP83" s="2567"/>
      <c r="EMQ83" s="2567"/>
      <c r="EMR83" s="2567"/>
      <c r="EMS83" s="2567"/>
      <c r="EMT83" s="2567"/>
      <c r="EMU83" s="2567"/>
      <c r="EMV83" s="2567"/>
      <c r="EMW83" s="2567"/>
      <c r="EMX83" s="2567"/>
      <c r="EMY83" s="2567"/>
      <c r="EMZ83" s="2567"/>
      <c r="ENA83" s="2567"/>
      <c r="ENB83" s="2567"/>
      <c r="ENC83" s="2567"/>
      <c r="END83" s="2567"/>
      <c r="ENE83" s="2567"/>
      <c r="ENF83" s="2567"/>
      <c r="ENG83" s="2567"/>
      <c r="ENH83" s="2567"/>
      <c r="ENI83" s="2567"/>
      <c r="ENJ83" s="2567"/>
      <c r="ENK83" s="2567"/>
      <c r="ENL83" s="2567"/>
      <c r="ENM83" s="2567"/>
      <c r="ENN83" s="2567"/>
      <c r="ENO83" s="2567"/>
      <c r="ENP83" s="2567"/>
      <c r="ENQ83" s="2567"/>
      <c r="ENR83" s="2567"/>
      <c r="ENS83" s="2567"/>
      <c r="ENT83" s="2567"/>
      <c r="ENU83" s="2567"/>
      <c r="ENV83" s="2567"/>
      <c r="ENW83" s="2567"/>
      <c r="ENX83" s="2567"/>
      <c r="ENY83" s="2567"/>
      <c r="ENZ83" s="2567"/>
      <c r="EOA83" s="2567"/>
      <c r="EOB83" s="2567"/>
      <c r="EOC83" s="2567"/>
      <c r="EOD83" s="2567"/>
      <c r="EOE83" s="2567"/>
      <c r="EOF83" s="2567"/>
      <c r="EOG83" s="2567"/>
      <c r="EOH83" s="2567"/>
      <c r="EOI83" s="2567"/>
      <c r="EOJ83" s="2567"/>
      <c r="EOK83" s="2567"/>
      <c r="EOL83" s="2567"/>
      <c r="EOM83" s="2567"/>
      <c r="EON83" s="2567"/>
      <c r="EOO83" s="2567"/>
      <c r="EOP83" s="2567"/>
      <c r="EOQ83" s="2567"/>
      <c r="EOR83" s="2567"/>
      <c r="EOS83" s="2567"/>
      <c r="EOT83" s="2567"/>
      <c r="EOU83" s="2567"/>
      <c r="EOV83" s="2567"/>
      <c r="EOW83" s="2567"/>
      <c r="EOX83" s="2567"/>
      <c r="EOY83" s="2567"/>
      <c r="EOZ83" s="2567"/>
      <c r="EPA83" s="2567"/>
      <c r="EPB83" s="2567"/>
      <c r="EPC83" s="2567"/>
      <c r="EPD83" s="2567"/>
      <c r="EPE83" s="2567"/>
      <c r="EPF83" s="2567"/>
      <c r="EPG83" s="2567"/>
      <c r="EPH83" s="2567"/>
      <c r="EPI83" s="2567"/>
      <c r="EPJ83" s="2567"/>
      <c r="EPK83" s="2567"/>
      <c r="EPL83" s="2567"/>
      <c r="EPM83" s="2567"/>
      <c r="EPN83" s="2567"/>
      <c r="EPO83" s="2567"/>
      <c r="EPP83" s="2567"/>
      <c r="EPQ83" s="2567"/>
      <c r="EPR83" s="2567"/>
      <c r="EPS83" s="2567"/>
      <c r="EPT83" s="2567"/>
      <c r="EPU83" s="2567"/>
      <c r="EPV83" s="2567"/>
      <c r="EPW83" s="2567"/>
      <c r="EPX83" s="2567"/>
      <c r="EPY83" s="2567"/>
      <c r="EPZ83" s="2567"/>
      <c r="EQA83" s="2567"/>
      <c r="EQB83" s="2567"/>
      <c r="EQC83" s="2567"/>
      <c r="EQD83" s="2567"/>
      <c r="EQE83" s="2567"/>
      <c r="EQF83" s="2567"/>
      <c r="EQG83" s="2567"/>
      <c r="EQH83" s="2567"/>
      <c r="EQI83" s="2567"/>
      <c r="EQJ83" s="2567"/>
      <c r="EQK83" s="2567"/>
      <c r="EQL83" s="2567"/>
      <c r="EQM83" s="2567"/>
      <c r="EQN83" s="2567"/>
      <c r="EQO83" s="2567"/>
      <c r="EQP83" s="2567"/>
      <c r="EQQ83" s="2567"/>
      <c r="EQR83" s="2567"/>
      <c r="EQS83" s="2567"/>
      <c r="EQT83" s="2567"/>
      <c r="EQU83" s="2567"/>
      <c r="EQV83" s="2567"/>
      <c r="EQW83" s="2567"/>
      <c r="EQX83" s="2567"/>
      <c r="EQY83" s="2567"/>
      <c r="EQZ83" s="2567"/>
      <c r="ERA83" s="2567"/>
      <c r="ERB83" s="2567"/>
      <c r="ERC83" s="2567"/>
      <c r="ERD83" s="2567"/>
      <c r="ERE83" s="2567"/>
      <c r="ERF83" s="2567"/>
      <c r="ERG83" s="2567"/>
      <c r="ERH83" s="2567"/>
      <c r="ERI83" s="2567"/>
      <c r="ERJ83" s="2567"/>
      <c r="ERK83" s="2567"/>
      <c r="ERL83" s="2567"/>
      <c r="ERM83" s="2567"/>
      <c r="ERN83" s="2567"/>
      <c r="ERO83" s="2567"/>
      <c r="ERP83" s="2567"/>
      <c r="ERQ83" s="2567"/>
      <c r="ERR83" s="2567"/>
      <c r="ERS83" s="2567"/>
      <c r="ERT83" s="2567"/>
      <c r="ERU83" s="2567"/>
      <c r="ERV83" s="2567"/>
      <c r="ERW83" s="2567"/>
      <c r="ERX83" s="2567"/>
      <c r="ERY83" s="2567"/>
      <c r="ERZ83" s="2567"/>
      <c r="ESA83" s="2567"/>
      <c r="ESB83" s="2567"/>
      <c r="ESC83" s="2567"/>
      <c r="ESD83" s="2567"/>
      <c r="ESE83" s="2567"/>
      <c r="ESF83" s="2567"/>
      <c r="ESG83" s="2567"/>
      <c r="ESH83" s="2567"/>
      <c r="ESI83" s="2567"/>
      <c r="ESJ83" s="2567"/>
      <c r="ESK83" s="2567"/>
      <c r="ESL83" s="2567"/>
      <c r="ESM83" s="2567"/>
      <c r="ESN83" s="2567"/>
      <c r="ESO83" s="2567"/>
      <c r="ESP83" s="2567"/>
      <c r="ESQ83" s="2567"/>
      <c r="ESR83" s="2567"/>
      <c r="ESS83" s="2567"/>
      <c r="EST83" s="2567"/>
      <c r="ESU83" s="2567"/>
      <c r="ESV83" s="2567"/>
      <c r="ESW83" s="2567"/>
      <c r="ESX83" s="2567"/>
      <c r="ESY83" s="2567"/>
      <c r="ESZ83" s="2567"/>
      <c r="ETA83" s="2567"/>
      <c r="ETB83" s="2567"/>
      <c r="ETC83" s="2567"/>
      <c r="ETD83" s="2567"/>
      <c r="ETE83" s="2567"/>
      <c r="ETF83" s="2567"/>
      <c r="ETG83" s="2567"/>
      <c r="ETH83" s="2567"/>
      <c r="ETI83" s="2567"/>
      <c r="ETJ83" s="2567"/>
      <c r="ETK83" s="2567"/>
      <c r="ETL83" s="2567"/>
      <c r="ETM83" s="2567"/>
      <c r="ETN83" s="2567"/>
      <c r="ETO83" s="2567"/>
      <c r="ETP83" s="2567"/>
      <c r="ETQ83" s="2567"/>
      <c r="ETR83" s="2567"/>
      <c r="ETS83" s="2567"/>
      <c r="ETT83" s="2567"/>
      <c r="ETU83" s="2567"/>
      <c r="ETV83" s="2567"/>
      <c r="ETW83" s="2567"/>
      <c r="ETX83" s="2567"/>
      <c r="ETY83" s="2567"/>
      <c r="ETZ83" s="2567"/>
      <c r="EUA83" s="2567"/>
      <c r="EUB83" s="2567"/>
      <c r="EUC83" s="2567"/>
      <c r="EUD83" s="2567"/>
      <c r="EUE83" s="2567"/>
      <c r="EUF83" s="2567"/>
      <c r="EUG83" s="2567"/>
      <c r="EUH83" s="2567"/>
      <c r="EUI83" s="2567"/>
      <c r="EUJ83" s="2567"/>
      <c r="EUK83" s="2567"/>
      <c r="EUL83" s="2567"/>
      <c r="EUM83" s="2567"/>
      <c r="EUN83" s="2567"/>
      <c r="EUO83" s="2567"/>
      <c r="EUP83" s="2567"/>
      <c r="EUQ83" s="2567"/>
      <c r="EUR83" s="2567"/>
      <c r="EUS83" s="2567"/>
      <c r="EUT83" s="2567"/>
      <c r="EUU83" s="2567"/>
      <c r="EUV83" s="2567"/>
      <c r="EUW83" s="2567"/>
      <c r="EUX83" s="2567"/>
      <c r="EUY83" s="2567"/>
      <c r="EUZ83" s="2567"/>
      <c r="EVA83" s="2567"/>
      <c r="EVB83" s="2567"/>
      <c r="EVC83" s="2567"/>
      <c r="EVD83" s="2567"/>
      <c r="EVE83" s="2567"/>
      <c r="EVF83" s="2567"/>
      <c r="EVG83" s="2567"/>
      <c r="EVH83" s="2567"/>
      <c r="EVI83" s="2567"/>
      <c r="EVJ83" s="2567"/>
      <c r="EVK83" s="2567"/>
      <c r="EVL83" s="2567"/>
      <c r="EVM83" s="2567"/>
      <c r="EVN83" s="2567"/>
      <c r="EVO83" s="2567"/>
      <c r="EVP83" s="2567"/>
      <c r="EVQ83" s="2567"/>
      <c r="EVR83" s="2567"/>
      <c r="EVS83" s="2567"/>
      <c r="EVT83" s="2567"/>
      <c r="EVU83" s="2567"/>
      <c r="EVV83" s="2567"/>
      <c r="EVW83" s="2567"/>
      <c r="EVX83" s="2567"/>
      <c r="EVY83" s="2567"/>
      <c r="EVZ83" s="2567"/>
      <c r="EWA83" s="2567"/>
      <c r="EWB83" s="2567"/>
      <c r="EWC83" s="2567"/>
      <c r="EWD83" s="2567"/>
      <c r="EWE83" s="2567"/>
      <c r="EWF83" s="2567"/>
      <c r="EWG83" s="2567"/>
      <c r="EWH83" s="2567"/>
      <c r="EWI83" s="2567"/>
      <c r="EWJ83" s="2567"/>
      <c r="EWK83" s="2567"/>
      <c r="EWL83" s="2567"/>
      <c r="EWM83" s="2567"/>
      <c r="EWN83" s="2567"/>
      <c r="EWO83" s="2567"/>
      <c r="EWP83" s="2567"/>
      <c r="EWQ83" s="2567"/>
      <c r="EWR83" s="2567"/>
      <c r="EWS83" s="2567"/>
      <c r="EWT83" s="2567"/>
      <c r="EWU83" s="2567"/>
      <c r="EWV83" s="2567"/>
      <c r="EWW83" s="2567"/>
      <c r="EWX83" s="2567"/>
      <c r="EWY83" s="2567"/>
      <c r="EWZ83" s="2567"/>
      <c r="EXA83" s="2567"/>
      <c r="EXB83" s="2567"/>
      <c r="EXC83" s="2567"/>
      <c r="EXD83" s="2567"/>
      <c r="EXE83" s="2567"/>
      <c r="EXF83" s="2567"/>
      <c r="EXG83" s="2567"/>
      <c r="EXH83" s="2567"/>
      <c r="EXI83" s="2567"/>
      <c r="EXJ83" s="2567"/>
      <c r="EXK83" s="2567"/>
      <c r="EXL83" s="2567"/>
      <c r="EXM83" s="2567"/>
      <c r="EXN83" s="2567"/>
      <c r="EXO83" s="2567"/>
      <c r="EXP83" s="2567"/>
      <c r="EXQ83" s="2567"/>
      <c r="EXR83" s="2567"/>
      <c r="EXS83" s="2567"/>
      <c r="EXT83" s="2567"/>
      <c r="EXU83" s="2567"/>
      <c r="EXV83" s="2567"/>
      <c r="EXW83" s="2567"/>
      <c r="EXX83" s="2567"/>
      <c r="EXY83" s="2567"/>
      <c r="EXZ83" s="2567"/>
      <c r="EYA83" s="2567"/>
      <c r="EYB83" s="2567"/>
      <c r="EYC83" s="2567"/>
      <c r="EYD83" s="2567"/>
      <c r="EYE83" s="2567"/>
      <c r="EYF83" s="2567"/>
      <c r="EYG83" s="2567"/>
      <c r="EYH83" s="2567"/>
      <c r="EYI83" s="2567"/>
      <c r="EYJ83" s="2567"/>
      <c r="EYK83" s="2567"/>
      <c r="EYL83" s="2567"/>
      <c r="EYM83" s="2567"/>
      <c r="EYN83" s="2567"/>
      <c r="EYO83" s="2567"/>
      <c r="EYP83" s="2567"/>
      <c r="EYQ83" s="2567"/>
      <c r="EYR83" s="2567"/>
      <c r="EYS83" s="2567"/>
      <c r="EYT83" s="2567"/>
      <c r="EYU83" s="2567"/>
      <c r="EYV83" s="2567"/>
      <c r="EYW83" s="2567"/>
      <c r="EYX83" s="2567"/>
      <c r="EYY83" s="2567"/>
      <c r="EYZ83" s="2567"/>
      <c r="EZA83" s="2567"/>
      <c r="EZB83" s="2567"/>
      <c r="EZC83" s="2567"/>
      <c r="EZD83" s="2567"/>
      <c r="EZE83" s="2567"/>
      <c r="EZF83" s="2567"/>
      <c r="EZG83" s="2567"/>
      <c r="EZH83" s="2567"/>
      <c r="EZI83" s="2567"/>
      <c r="EZJ83" s="2567"/>
      <c r="EZK83" s="2567"/>
      <c r="EZL83" s="2567"/>
      <c r="EZM83" s="2567"/>
      <c r="EZN83" s="2567"/>
      <c r="EZO83" s="2567"/>
      <c r="EZP83" s="2567"/>
      <c r="EZQ83" s="2567"/>
      <c r="EZR83" s="2567"/>
      <c r="EZS83" s="2567"/>
      <c r="EZT83" s="2567"/>
      <c r="EZU83" s="2567"/>
      <c r="EZV83" s="2567"/>
      <c r="EZW83" s="2567"/>
      <c r="EZX83" s="2567"/>
      <c r="EZY83" s="2567"/>
      <c r="EZZ83" s="2567"/>
      <c r="FAA83" s="2567"/>
      <c r="FAB83" s="2567"/>
      <c r="FAC83" s="2567"/>
      <c r="FAD83" s="2567"/>
      <c r="FAE83" s="2567"/>
      <c r="FAF83" s="2567"/>
      <c r="FAG83" s="2567"/>
      <c r="FAH83" s="2567"/>
      <c r="FAI83" s="2567"/>
      <c r="FAJ83" s="2567"/>
      <c r="FAK83" s="2567"/>
      <c r="FAL83" s="2567"/>
      <c r="FAM83" s="2567"/>
      <c r="FAN83" s="2567"/>
      <c r="FAO83" s="2567"/>
      <c r="FAP83" s="2567"/>
      <c r="FAQ83" s="2567"/>
      <c r="FAR83" s="2567"/>
      <c r="FAS83" s="2567"/>
      <c r="FAT83" s="2567"/>
      <c r="FAU83" s="2567"/>
      <c r="FAV83" s="2567"/>
      <c r="FAW83" s="2567"/>
      <c r="FAX83" s="2567"/>
      <c r="FAY83" s="2567"/>
      <c r="FAZ83" s="2567"/>
      <c r="FBA83" s="2567"/>
      <c r="FBB83" s="2567"/>
      <c r="FBC83" s="2567"/>
      <c r="FBD83" s="2567"/>
      <c r="FBE83" s="2567"/>
      <c r="FBF83" s="2567"/>
      <c r="FBG83" s="2567"/>
      <c r="FBH83" s="2567"/>
      <c r="FBI83" s="2567"/>
      <c r="FBJ83" s="2567"/>
      <c r="FBK83" s="2567"/>
      <c r="FBL83" s="2567"/>
      <c r="FBM83" s="2567"/>
      <c r="FBN83" s="2567"/>
      <c r="FBO83" s="2567"/>
      <c r="FBP83" s="2567"/>
      <c r="FBQ83" s="2567"/>
      <c r="FBR83" s="2567"/>
      <c r="FBS83" s="2567"/>
      <c r="FBT83" s="2567"/>
      <c r="FBU83" s="2567"/>
      <c r="FBV83" s="2567"/>
      <c r="FBW83" s="2567"/>
      <c r="FBX83" s="2567"/>
      <c r="FBY83" s="2567"/>
      <c r="FBZ83" s="2567"/>
      <c r="FCA83" s="2567"/>
      <c r="FCB83" s="2567"/>
      <c r="FCC83" s="2567"/>
      <c r="FCD83" s="2567"/>
      <c r="FCE83" s="2567"/>
      <c r="FCF83" s="2567"/>
      <c r="FCG83" s="2567"/>
      <c r="FCH83" s="2567"/>
      <c r="FCI83" s="2567"/>
      <c r="FCJ83" s="2567"/>
      <c r="FCK83" s="2567"/>
      <c r="FCL83" s="2567"/>
      <c r="FCM83" s="2567"/>
      <c r="FCN83" s="2567"/>
      <c r="FCO83" s="2567"/>
      <c r="FCP83" s="2567"/>
      <c r="FCQ83" s="2567"/>
      <c r="FCR83" s="2567"/>
      <c r="FCS83" s="2567"/>
      <c r="FCT83" s="2567"/>
      <c r="FCU83" s="2567"/>
      <c r="FCV83" s="2567"/>
      <c r="FCW83" s="2567"/>
      <c r="FCX83" s="2567"/>
      <c r="FCY83" s="2567"/>
      <c r="FCZ83" s="2567"/>
      <c r="FDA83" s="2567"/>
      <c r="FDB83" s="2567"/>
      <c r="FDC83" s="2567"/>
      <c r="FDD83" s="2567"/>
      <c r="FDE83" s="2567"/>
      <c r="FDF83" s="2567"/>
      <c r="FDG83" s="2567"/>
      <c r="FDH83" s="2567"/>
      <c r="FDI83" s="2567"/>
      <c r="FDJ83" s="2567"/>
      <c r="FDK83" s="2567"/>
      <c r="FDL83" s="2567"/>
      <c r="FDM83" s="2567"/>
      <c r="FDN83" s="2567"/>
      <c r="FDO83" s="2567"/>
      <c r="FDP83" s="2567"/>
      <c r="FDQ83" s="2567"/>
      <c r="FDR83" s="2567"/>
      <c r="FDS83" s="2567"/>
      <c r="FDT83" s="2567"/>
      <c r="FDU83" s="2567"/>
      <c r="FDV83" s="2567"/>
      <c r="FDW83" s="2567"/>
      <c r="FDX83" s="2567"/>
      <c r="FDY83" s="2567"/>
      <c r="FDZ83" s="2567"/>
      <c r="FEA83" s="2567"/>
      <c r="FEB83" s="2567"/>
      <c r="FEC83" s="2567"/>
      <c r="FED83" s="2567"/>
      <c r="FEE83" s="2567"/>
      <c r="FEF83" s="2567"/>
      <c r="FEG83" s="2567"/>
      <c r="FEH83" s="2567"/>
      <c r="FEI83" s="2567"/>
      <c r="FEJ83" s="2567"/>
      <c r="FEK83" s="2567"/>
      <c r="FEL83" s="2567"/>
      <c r="FEM83" s="2567"/>
      <c r="FEN83" s="2567"/>
      <c r="FEO83" s="2567"/>
      <c r="FEP83" s="2567"/>
      <c r="FEQ83" s="2567"/>
      <c r="FER83" s="2567"/>
      <c r="FES83" s="2567"/>
      <c r="FET83" s="2567"/>
      <c r="FEU83" s="2567"/>
      <c r="FEV83" s="2567"/>
      <c r="FEW83" s="2567"/>
      <c r="FEX83" s="2567"/>
      <c r="FEY83" s="2567"/>
      <c r="FEZ83" s="2567"/>
      <c r="FFA83" s="2567"/>
      <c r="FFB83" s="2567"/>
      <c r="FFC83" s="2567"/>
      <c r="FFD83" s="2567"/>
      <c r="FFE83" s="2567"/>
      <c r="FFF83" s="2567"/>
      <c r="FFG83" s="2567"/>
      <c r="FFH83" s="2567"/>
      <c r="FFI83" s="2567"/>
      <c r="FFJ83" s="2567"/>
      <c r="FFK83" s="2567"/>
      <c r="FFL83" s="2567"/>
      <c r="FFM83" s="2567"/>
      <c r="FFN83" s="2567"/>
      <c r="FFO83" s="2567"/>
      <c r="FFP83" s="2567"/>
      <c r="FFQ83" s="2567"/>
      <c r="FFR83" s="2567"/>
      <c r="FFS83" s="2567"/>
      <c r="FFT83" s="2567"/>
      <c r="FFU83" s="2567"/>
      <c r="FFV83" s="2567"/>
      <c r="FFW83" s="2567"/>
      <c r="FFX83" s="2567"/>
      <c r="FFY83" s="2567"/>
      <c r="FFZ83" s="2567"/>
      <c r="FGA83" s="2567"/>
      <c r="FGB83" s="2567"/>
      <c r="FGC83" s="2567"/>
      <c r="FGD83" s="2567"/>
      <c r="FGE83" s="2567"/>
      <c r="FGF83" s="2567"/>
      <c r="FGG83" s="2567"/>
      <c r="FGH83" s="2567"/>
      <c r="FGI83" s="2567"/>
      <c r="FGJ83" s="2567"/>
      <c r="FGK83" s="2567"/>
      <c r="FGL83" s="2567"/>
      <c r="FGM83" s="2567"/>
      <c r="FGN83" s="2567"/>
      <c r="FGO83" s="2567"/>
      <c r="FGP83" s="2567"/>
      <c r="FGQ83" s="2567"/>
      <c r="FGR83" s="2567"/>
      <c r="FGS83" s="2567"/>
      <c r="FGT83" s="2567"/>
      <c r="FGU83" s="2567"/>
      <c r="FGV83" s="2567"/>
      <c r="FGW83" s="2567"/>
      <c r="FGX83" s="2567"/>
      <c r="FGY83" s="2567"/>
      <c r="FGZ83" s="2567"/>
      <c r="FHA83" s="2567"/>
      <c r="FHB83" s="2567"/>
      <c r="FHC83" s="2567"/>
      <c r="FHD83" s="2567"/>
      <c r="FHE83" s="2567"/>
      <c r="FHF83" s="2567"/>
      <c r="FHG83" s="2567"/>
      <c r="FHH83" s="2567"/>
      <c r="FHI83" s="2567"/>
      <c r="FHJ83" s="2567"/>
      <c r="FHK83" s="2567"/>
      <c r="FHL83" s="2567"/>
      <c r="FHM83" s="2567"/>
      <c r="FHN83" s="2567"/>
      <c r="FHO83" s="2567"/>
      <c r="FHP83" s="2567"/>
      <c r="FHQ83" s="2567"/>
      <c r="FHR83" s="2567"/>
      <c r="FHS83" s="2567"/>
      <c r="FHT83" s="2567"/>
      <c r="FHU83" s="2567"/>
      <c r="FHV83" s="2567"/>
      <c r="FHW83" s="2567"/>
      <c r="FHX83" s="2567"/>
      <c r="FHY83" s="2567"/>
      <c r="FHZ83" s="2567"/>
      <c r="FIA83" s="2567"/>
      <c r="FIB83" s="2567"/>
      <c r="FIC83" s="2567"/>
      <c r="FID83" s="2567"/>
      <c r="FIE83" s="2567"/>
      <c r="FIF83" s="2567"/>
      <c r="FIG83" s="2567"/>
      <c r="FIH83" s="2567"/>
      <c r="FII83" s="2567"/>
      <c r="FIJ83" s="2567"/>
      <c r="FIK83" s="2567"/>
      <c r="FIL83" s="2567"/>
      <c r="FIM83" s="2567"/>
      <c r="FIN83" s="2567"/>
      <c r="FIO83" s="2567"/>
      <c r="FIP83" s="2567"/>
      <c r="FIQ83" s="2567"/>
      <c r="FIR83" s="2567"/>
      <c r="FIS83" s="2567"/>
      <c r="FIT83" s="2567"/>
      <c r="FIU83" s="2567"/>
      <c r="FIV83" s="2567"/>
      <c r="FIW83" s="2567"/>
      <c r="FIX83" s="2567"/>
      <c r="FIY83" s="2567"/>
      <c r="FIZ83" s="2567"/>
      <c r="FJA83" s="2567"/>
      <c r="FJB83" s="2567"/>
      <c r="FJC83" s="2567"/>
      <c r="FJD83" s="2567"/>
      <c r="FJE83" s="2567"/>
      <c r="FJF83" s="2567"/>
      <c r="FJG83" s="2567"/>
      <c r="FJH83" s="2567"/>
      <c r="FJI83" s="2567"/>
      <c r="FJJ83" s="2567"/>
      <c r="FJK83" s="2567"/>
      <c r="FJL83" s="2567"/>
      <c r="FJM83" s="2567"/>
      <c r="FJN83" s="2567"/>
      <c r="FJO83" s="2567"/>
      <c r="FJP83" s="2567"/>
      <c r="FJQ83" s="2567"/>
      <c r="FJR83" s="2567"/>
      <c r="FJS83" s="2567"/>
      <c r="FJT83" s="2567"/>
      <c r="FJU83" s="2567"/>
      <c r="FJV83" s="2567"/>
      <c r="FJW83" s="2567"/>
      <c r="FJX83" s="2567"/>
      <c r="FJY83" s="2567"/>
      <c r="FJZ83" s="2567"/>
      <c r="FKA83" s="2567"/>
      <c r="FKB83" s="2567"/>
      <c r="FKC83" s="2567"/>
      <c r="FKD83" s="2567"/>
      <c r="FKE83" s="2567"/>
      <c r="FKF83" s="2567"/>
      <c r="FKG83" s="2567"/>
      <c r="FKH83" s="2567"/>
      <c r="FKI83" s="2567"/>
      <c r="FKJ83" s="2567"/>
      <c r="FKK83" s="2567"/>
      <c r="FKL83" s="2567"/>
      <c r="FKM83" s="2567"/>
      <c r="FKN83" s="2567"/>
      <c r="FKO83" s="2567"/>
      <c r="FKP83" s="2567"/>
      <c r="FKQ83" s="2567"/>
      <c r="FKR83" s="2567"/>
      <c r="FKS83" s="2567"/>
      <c r="FKT83" s="2567"/>
      <c r="FKU83" s="2567"/>
      <c r="FKV83" s="2567"/>
      <c r="FKW83" s="2567"/>
      <c r="FKX83" s="2567"/>
      <c r="FKY83" s="2567"/>
      <c r="FKZ83" s="2567"/>
      <c r="FLA83" s="2567"/>
      <c r="FLB83" s="2567"/>
      <c r="FLC83" s="2567"/>
      <c r="FLD83" s="2567"/>
      <c r="FLE83" s="2567"/>
      <c r="FLF83" s="2567"/>
      <c r="FLG83" s="2567"/>
      <c r="FLH83" s="2567"/>
      <c r="FLI83" s="2567"/>
      <c r="FLJ83" s="2567"/>
      <c r="FLK83" s="2567"/>
      <c r="FLL83" s="2567"/>
      <c r="FLM83" s="2567"/>
      <c r="FLN83" s="2567"/>
      <c r="FLO83" s="2567"/>
      <c r="FLP83" s="2567"/>
      <c r="FLQ83" s="2567"/>
      <c r="FLR83" s="2567"/>
      <c r="FLS83" s="2567"/>
      <c r="FLT83" s="2567"/>
      <c r="FLU83" s="2567"/>
      <c r="FLV83" s="2567"/>
      <c r="FLW83" s="2567"/>
      <c r="FLX83" s="2567"/>
      <c r="FLY83" s="2567"/>
      <c r="FLZ83" s="2567"/>
      <c r="FMA83" s="2567"/>
      <c r="FMB83" s="2567"/>
      <c r="FMC83" s="2567"/>
      <c r="FMD83" s="2567"/>
      <c r="FME83" s="2567"/>
      <c r="FMF83" s="2567"/>
      <c r="FMG83" s="2567"/>
      <c r="FMH83" s="2567"/>
      <c r="FMI83" s="2567"/>
      <c r="FMJ83" s="2567"/>
      <c r="FMK83" s="2567"/>
      <c r="FML83" s="2567"/>
      <c r="FMM83" s="2567"/>
      <c r="FMN83" s="2567"/>
      <c r="FMO83" s="2567"/>
      <c r="FMP83" s="2567"/>
      <c r="FMQ83" s="2567"/>
      <c r="FMR83" s="2567"/>
      <c r="FMS83" s="2567"/>
      <c r="FMT83" s="2567"/>
      <c r="FMU83" s="2567"/>
      <c r="FMV83" s="2567"/>
      <c r="FMW83" s="2567"/>
      <c r="FMX83" s="2567"/>
      <c r="FMY83" s="2567"/>
      <c r="FMZ83" s="2567"/>
      <c r="FNA83" s="2567"/>
      <c r="FNB83" s="2567"/>
      <c r="FNC83" s="2567"/>
      <c r="FND83" s="2567"/>
      <c r="FNE83" s="2567"/>
      <c r="FNF83" s="2567"/>
      <c r="FNG83" s="2567"/>
      <c r="FNH83" s="2567"/>
      <c r="FNI83" s="2567"/>
      <c r="FNJ83" s="2567"/>
      <c r="FNK83" s="2567"/>
      <c r="FNL83" s="2567"/>
      <c r="FNM83" s="2567"/>
      <c r="FNN83" s="2567"/>
      <c r="FNO83" s="2567"/>
      <c r="FNP83" s="2567"/>
      <c r="FNQ83" s="2567"/>
      <c r="FNR83" s="2567"/>
      <c r="FNS83" s="2567"/>
      <c r="FNT83" s="2567"/>
      <c r="FNU83" s="2567"/>
      <c r="FNV83" s="2567"/>
      <c r="FNW83" s="2567"/>
      <c r="FNX83" s="2567"/>
      <c r="FNY83" s="2567"/>
      <c r="FNZ83" s="2567"/>
      <c r="FOA83" s="2567"/>
      <c r="FOB83" s="2567"/>
      <c r="FOC83" s="2567"/>
      <c r="FOD83" s="2567"/>
      <c r="FOE83" s="2567"/>
      <c r="FOF83" s="2567"/>
      <c r="FOG83" s="2567"/>
      <c r="FOH83" s="2567"/>
      <c r="FOI83" s="2567"/>
      <c r="FOJ83" s="2567"/>
      <c r="FOK83" s="2567"/>
      <c r="FOL83" s="2567"/>
      <c r="FOM83" s="2567"/>
      <c r="FON83" s="2567"/>
      <c r="FOO83" s="2567"/>
      <c r="FOP83" s="2567"/>
      <c r="FOQ83" s="2567"/>
      <c r="FOR83" s="2567"/>
      <c r="FOS83" s="2567"/>
      <c r="FOT83" s="2567"/>
      <c r="FOU83" s="2567"/>
      <c r="FOV83" s="2567"/>
      <c r="FOW83" s="2567"/>
      <c r="FOX83" s="2567"/>
      <c r="FOY83" s="2567"/>
      <c r="FOZ83" s="2567"/>
      <c r="FPA83" s="2567"/>
      <c r="FPB83" s="2567"/>
      <c r="FPC83" s="2567"/>
      <c r="FPD83" s="2567"/>
      <c r="FPE83" s="2567"/>
      <c r="FPF83" s="2567"/>
      <c r="FPG83" s="2567"/>
      <c r="FPH83" s="2567"/>
      <c r="FPI83" s="2567"/>
      <c r="FPJ83" s="2567"/>
      <c r="FPK83" s="2567"/>
      <c r="FPL83" s="2567"/>
      <c r="FPM83" s="2567"/>
      <c r="FPN83" s="2567"/>
      <c r="FPO83" s="2567"/>
      <c r="FPP83" s="2567"/>
      <c r="FPQ83" s="2567"/>
      <c r="FPR83" s="2567"/>
      <c r="FPS83" s="2567"/>
      <c r="FPT83" s="2567"/>
      <c r="FPU83" s="2567"/>
      <c r="FPV83" s="2567"/>
      <c r="FPW83" s="2567"/>
      <c r="FPX83" s="2567"/>
      <c r="FPY83" s="2567"/>
      <c r="FPZ83" s="2567"/>
      <c r="FQA83" s="2567"/>
      <c r="FQB83" s="2567"/>
      <c r="FQC83" s="2567"/>
      <c r="FQD83" s="2567"/>
      <c r="FQE83" s="2567"/>
      <c r="FQF83" s="2567"/>
      <c r="FQG83" s="2567"/>
      <c r="FQH83" s="2567"/>
      <c r="FQI83" s="2567"/>
      <c r="FQJ83" s="2567"/>
      <c r="FQK83" s="2567"/>
      <c r="FQL83" s="2567"/>
      <c r="FQM83" s="2567"/>
      <c r="FQN83" s="2567"/>
      <c r="FQO83" s="2567"/>
      <c r="FQP83" s="2567"/>
      <c r="FQQ83" s="2567"/>
      <c r="FQR83" s="2567"/>
      <c r="FQS83" s="2567"/>
      <c r="FQT83" s="2567"/>
      <c r="FQU83" s="2567"/>
      <c r="FQV83" s="2567"/>
      <c r="FQW83" s="2567"/>
      <c r="FQX83" s="2567"/>
      <c r="FQY83" s="2567"/>
      <c r="FQZ83" s="2567"/>
      <c r="FRA83" s="2567"/>
      <c r="FRB83" s="2567"/>
      <c r="FRC83" s="2567"/>
      <c r="FRD83" s="2567"/>
      <c r="FRE83" s="2567"/>
      <c r="FRF83" s="2567"/>
      <c r="FRG83" s="2567"/>
      <c r="FRH83" s="2567"/>
      <c r="FRI83" s="2567"/>
      <c r="FRJ83" s="2567"/>
      <c r="FRK83" s="2567"/>
      <c r="FRL83" s="2567"/>
      <c r="FRM83" s="2567"/>
      <c r="FRN83" s="2567"/>
      <c r="FRO83" s="2567"/>
      <c r="FRP83" s="2567"/>
      <c r="FRQ83" s="2567"/>
      <c r="FRR83" s="2567"/>
      <c r="FRS83" s="2567"/>
      <c r="FRT83" s="2567"/>
      <c r="FRU83" s="2567"/>
      <c r="FRV83" s="2567"/>
      <c r="FRW83" s="2567"/>
      <c r="FRX83" s="2567"/>
      <c r="FRY83" s="2567"/>
      <c r="FRZ83" s="2567"/>
      <c r="FSA83" s="2567"/>
      <c r="FSB83" s="2567"/>
      <c r="FSC83" s="2567"/>
      <c r="FSD83" s="2567"/>
      <c r="FSE83" s="2567"/>
      <c r="FSF83" s="2567"/>
      <c r="FSG83" s="2567"/>
      <c r="FSH83" s="2567"/>
      <c r="FSI83" s="2567"/>
      <c r="FSJ83" s="2567"/>
      <c r="FSK83" s="2567"/>
      <c r="FSL83" s="2567"/>
      <c r="FSM83" s="2567"/>
      <c r="FSN83" s="2567"/>
      <c r="FSO83" s="2567"/>
      <c r="FSP83" s="2567"/>
      <c r="FSQ83" s="2567"/>
      <c r="FSR83" s="2567"/>
      <c r="FSS83" s="2567"/>
      <c r="FST83" s="2567"/>
      <c r="FSU83" s="2567"/>
      <c r="FSV83" s="2567"/>
      <c r="FSW83" s="2567"/>
      <c r="FSX83" s="2567"/>
      <c r="FSY83" s="2567"/>
      <c r="FSZ83" s="2567"/>
      <c r="FTA83" s="2567"/>
      <c r="FTB83" s="2567"/>
      <c r="FTC83" s="2567"/>
      <c r="FTD83" s="2567"/>
      <c r="FTE83" s="2567"/>
      <c r="FTF83" s="2567"/>
      <c r="FTG83" s="2567"/>
      <c r="FTH83" s="2567"/>
      <c r="FTI83" s="2567"/>
      <c r="FTJ83" s="2567"/>
      <c r="FTK83" s="2567"/>
      <c r="FTL83" s="2567"/>
      <c r="FTM83" s="2567"/>
      <c r="FTN83" s="2567"/>
      <c r="FTO83" s="2567"/>
      <c r="FTP83" s="2567"/>
      <c r="FTQ83" s="2567"/>
      <c r="FTR83" s="2567"/>
      <c r="FTS83" s="2567"/>
      <c r="FTT83" s="2567"/>
      <c r="FTU83" s="2567"/>
      <c r="FTV83" s="2567"/>
      <c r="FTW83" s="2567"/>
      <c r="FTX83" s="2567"/>
      <c r="FTY83" s="2567"/>
      <c r="FTZ83" s="2567"/>
      <c r="FUA83" s="2567"/>
      <c r="FUB83" s="2567"/>
      <c r="FUC83" s="2567"/>
      <c r="FUD83" s="2567"/>
      <c r="FUE83" s="2567"/>
      <c r="FUF83" s="2567"/>
      <c r="FUG83" s="2567"/>
      <c r="FUH83" s="2567"/>
      <c r="FUI83" s="2567"/>
      <c r="FUJ83" s="2567"/>
      <c r="FUK83" s="2567"/>
      <c r="FUL83" s="2567"/>
      <c r="FUM83" s="2567"/>
      <c r="FUN83" s="2567"/>
      <c r="FUO83" s="2567"/>
      <c r="FUP83" s="2567"/>
      <c r="FUQ83" s="2567"/>
      <c r="FUR83" s="2567"/>
      <c r="FUS83" s="2567"/>
      <c r="FUT83" s="2567"/>
      <c r="FUU83" s="2567"/>
      <c r="FUV83" s="2567"/>
      <c r="FUW83" s="2567"/>
      <c r="FUX83" s="2567"/>
      <c r="FUY83" s="2567"/>
      <c r="FUZ83" s="2567"/>
      <c r="FVA83" s="2567"/>
      <c r="FVB83" s="2567"/>
      <c r="FVC83" s="2567"/>
      <c r="FVD83" s="2567"/>
      <c r="FVE83" s="2567"/>
      <c r="FVF83" s="2567"/>
      <c r="FVG83" s="2567"/>
      <c r="FVH83" s="2567"/>
      <c r="FVI83" s="2567"/>
      <c r="FVJ83" s="2567"/>
      <c r="FVK83" s="2567"/>
      <c r="FVL83" s="2567"/>
      <c r="FVM83" s="2567"/>
      <c r="FVN83" s="2567"/>
      <c r="FVO83" s="2567"/>
      <c r="FVP83" s="2567"/>
      <c r="FVQ83" s="2567"/>
      <c r="FVR83" s="2567"/>
      <c r="FVS83" s="2567"/>
      <c r="FVT83" s="2567"/>
      <c r="FVU83" s="2567"/>
      <c r="FVV83" s="2567"/>
      <c r="FVW83" s="2567"/>
      <c r="FVX83" s="2567"/>
      <c r="FVY83" s="2567"/>
      <c r="FVZ83" s="2567"/>
      <c r="FWA83" s="2567"/>
      <c r="FWB83" s="2567"/>
      <c r="FWC83" s="2567"/>
      <c r="FWD83" s="2567"/>
      <c r="FWE83" s="2567"/>
      <c r="FWF83" s="2567"/>
      <c r="FWG83" s="2567"/>
      <c r="FWH83" s="2567"/>
      <c r="FWI83" s="2567"/>
      <c r="FWJ83" s="2567"/>
      <c r="FWK83" s="2567"/>
      <c r="FWL83" s="2567"/>
      <c r="FWM83" s="2567"/>
      <c r="FWN83" s="2567"/>
      <c r="FWO83" s="2567"/>
      <c r="FWP83" s="2567"/>
      <c r="FWQ83" s="2567"/>
      <c r="FWR83" s="2567"/>
      <c r="FWS83" s="2567"/>
      <c r="FWT83" s="2567"/>
      <c r="FWU83" s="2567"/>
      <c r="FWV83" s="2567"/>
      <c r="FWW83" s="2567"/>
      <c r="FWX83" s="2567"/>
      <c r="FWY83" s="2567"/>
      <c r="FWZ83" s="2567"/>
      <c r="FXA83" s="2567"/>
      <c r="FXB83" s="2567"/>
      <c r="FXC83" s="2567"/>
      <c r="FXD83" s="2567"/>
      <c r="FXE83" s="2567"/>
      <c r="FXF83" s="2567"/>
      <c r="FXG83" s="2567"/>
      <c r="FXH83" s="2567"/>
      <c r="FXI83" s="2567"/>
      <c r="FXJ83" s="2567"/>
      <c r="FXK83" s="2567"/>
      <c r="FXL83" s="2567"/>
      <c r="FXM83" s="2567"/>
      <c r="FXN83" s="2567"/>
      <c r="FXO83" s="2567"/>
      <c r="FXP83" s="2567"/>
      <c r="FXQ83" s="2567"/>
      <c r="FXR83" s="2567"/>
      <c r="FXS83" s="2567"/>
      <c r="FXT83" s="2567"/>
      <c r="FXU83" s="2567"/>
      <c r="FXV83" s="2567"/>
      <c r="FXW83" s="2567"/>
      <c r="FXX83" s="2567"/>
      <c r="FXY83" s="2567"/>
      <c r="FXZ83" s="2567"/>
      <c r="FYA83" s="2567"/>
      <c r="FYB83" s="2567"/>
      <c r="FYC83" s="2567"/>
      <c r="FYD83" s="2567"/>
      <c r="FYE83" s="2567"/>
      <c r="FYF83" s="2567"/>
      <c r="FYG83" s="2567"/>
      <c r="FYH83" s="2567"/>
      <c r="FYI83" s="2567"/>
      <c r="FYJ83" s="2567"/>
      <c r="FYK83" s="2567"/>
      <c r="FYL83" s="2567"/>
      <c r="FYM83" s="2567"/>
      <c r="FYN83" s="2567"/>
      <c r="FYO83" s="2567"/>
      <c r="FYP83" s="2567"/>
      <c r="FYQ83" s="2567"/>
      <c r="FYR83" s="2567"/>
      <c r="FYS83" s="2567"/>
      <c r="FYT83" s="2567"/>
      <c r="FYU83" s="2567"/>
      <c r="FYV83" s="2567"/>
      <c r="FYW83" s="2567"/>
      <c r="FYX83" s="2567"/>
      <c r="FYY83" s="2567"/>
      <c r="FYZ83" s="2567"/>
      <c r="FZA83" s="2567"/>
      <c r="FZB83" s="2567"/>
      <c r="FZC83" s="2567"/>
      <c r="FZD83" s="2567"/>
      <c r="FZE83" s="2567"/>
      <c r="FZF83" s="2567"/>
      <c r="FZG83" s="2567"/>
      <c r="FZH83" s="2567"/>
      <c r="FZI83" s="2567"/>
      <c r="FZJ83" s="2567"/>
      <c r="FZK83" s="2567"/>
      <c r="FZL83" s="2567"/>
      <c r="FZM83" s="2567"/>
      <c r="FZN83" s="2567"/>
      <c r="FZO83" s="2567"/>
      <c r="FZP83" s="2567"/>
      <c r="FZQ83" s="2567"/>
      <c r="FZR83" s="2567"/>
      <c r="FZS83" s="2567"/>
      <c r="FZT83" s="2567"/>
      <c r="FZU83" s="2567"/>
      <c r="FZV83" s="2567"/>
      <c r="FZW83" s="2567"/>
      <c r="FZX83" s="2567"/>
      <c r="FZY83" s="2567"/>
      <c r="FZZ83" s="2567"/>
      <c r="GAA83" s="2567"/>
      <c r="GAB83" s="2567"/>
      <c r="GAC83" s="2567"/>
      <c r="GAD83" s="2567"/>
      <c r="GAE83" s="2567"/>
      <c r="GAF83" s="2567"/>
      <c r="GAG83" s="2567"/>
      <c r="GAH83" s="2567"/>
      <c r="GAI83" s="2567"/>
      <c r="GAJ83" s="2567"/>
      <c r="GAK83" s="2567"/>
      <c r="GAL83" s="2567"/>
      <c r="GAM83" s="2567"/>
      <c r="GAN83" s="2567"/>
      <c r="GAO83" s="2567"/>
      <c r="GAP83" s="2567"/>
      <c r="GAQ83" s="2567"/>
      <c r="GAR83" s="2567"/>
      <c r="GAS83" s="2567"/>
      <c r="GAT83" s="2567"/>
      <c r="GAU83" s="2567"/>
      <c r="GAV83" s="2567"/>
      <c r="GAW83" s="2567"/>
      <c r="GAX83" s="2567"/>
      <c r="GAY83" s="2567"/>
      <c r="GAZ83" s="2567"/>
      <c r="GBA83" s="2567"/>
      <c r="GBB83" s="2567"/>
      <c r="GBC83" s="2567"/>
      <c r="GBD83" s="2567"/>
      <c r="GBE83" s="2567"/>
      <c r="GBF83" s="2567"/>
      <c r="GBG83" s="2567"/>
      <c r="GBH83" s="2567"/>
      <c r="GBI83" s="2567"/>
      <c r="GBJ83" s="2567"/>
      <c r="GBK83" s="2567"/>
      <c r="GBL83" s="2567"/>
      <c r="GBM83" s="2567"/>
      <c r="GBN83" s="2567"/>
      <c r="GBO83" s="2567"/>
      <c r="GBP83" s="2567"/>
      <c r="GBQ83" s="2567"/>
      <c r="GBR83" s="2567"/>
      <c r="GBS83" s="2567"/>
      <c r="GBT83" s="2567"/>
      <c r="GBU83" s="2567"/>
      <c r="GBV83" s="2567"/>
      <c r="GBW83" s="2567"/>
      <c r="GBX83" s="2567"/>
      <c r="GBY83" s="2567"/>
      <c r="GBZ83" s="2567"/>
      <c r="GCA83" s="2567"/>
      <c r="GCB83" s="2567"/>
      <c r="GCC83" s="2567"/>
      <c r="GCD83" s="2567"/>
      <c r="GCE83" s="2567"/>
      <c r="GCF83" s="2567"/>
      <c r="GCG83" s="2567"/>
      <c r="GCH83" s="2567"/>
      <c r="GCI83" s="2567"/>
      <c r="GCJ83" s="2567"/>
      <c r="GCK83" s="2567"/>
      <c r="GCL83" s="2567"/>
      <c r="GCM83" s="2567"/>
      <c r="GCN83" s="2567"/>
      <c r="GCO83" s="2567"/>
      <c r="GCP83" s="2567"/>
      <c r="GCQ83" s="2567"/>
      <c r="GCR83" s="2567"/>
      <c r="GCS83" s="2567"/>
      <c r="GCT83" s="2567"/>
      <c r="GCU83" s="2567"/>
      <c r="GCV83" s="2567"/>
      <c r="GCW83" s="2567"/>
      <c r="GCX83" s="2567"/>
      <c r="GCY83" s="2567"/>
      <c r="GCZ83" s="2567"/>
      <c r="GDA83" s="2567"/>
      <c r="GDB83" s="2567"/>
      <c r="GDC83" s="2567"/>
      <c r="GDD83" s="2567"/>
      <c r="GDE83" s="2567"/>
      <c r="GDF83" s="2567"/>
      <c r="GDG83" s="2567"/>
      <c r="GDH83" s="2567"/>
      <c r="GDI83" s="2567"/>
      <c r="GDJ83" s="2567"/>
      <c r="GDK83" s="2567"/>
      <c r="GDL83" s="2567"/>
      <c r="GDM83" s="2567"/>
      <c r="GDN83" s="2567"/>
      <c r="GDO83" s="2567"/>
      <c r="GDP83" s="2567"/>
      <c r="GDQ83" s="2567"/>
      <c r="GDR83" s="2567"/>
      <c r="GDS83" s="2567"/>
      <c r="GDT83" s="2567"/>
      <c r="GDU83" s="2567"/>
      <c r="GDV83" s="2567"/>
      <c r="GDW83" s="2567"/>
      <c r="GDX83" s="2567"/>
      <c r="GDY83" s="2567"/>
      <c r="GDZ83" s="2567"/>
      <c r="GEA83" s="2567"/>
      <c r="GEB83" s="2567"/>
      <c r="GEC83" s="2567"/>
      <c r="GED83" s="2567"/>
      <c r="GEE83" s="2567"/>
      <c r="GEF83" s="2567"/>
      <c r="GEG83" s="2567"/>
      <c r="GEH83" s="2567"/>
      <c r="GEI83" s="2567"/>
      <c r="GEJ83" s="2567"/>
      <c r="GEK83" s="2567"/>
      <c r="GEL83" s="2567"/>
      <c r="GEM83" s="2567"/>
      <c r="GEN83" s="2567"/>
      <c r="GEO83" s="2567"/>
      <c r="GEP83" s="2567"/>
      <c r="GEQ83" s="2567"/>
      <c r="GER83" s="2567"/>
      <c r="GES83" s="2567"/>
      <c r="GET83" s="2567"/>
      <c r="GEU83" s="2567"/>
      <c r="GEV83" s="2567"/>
      <c r="GEW83" s="2567"/>
      <c r="GEX83" s="2567"/>
      <c r="GEY83" s="2567"/>
      <c r="GEZ83" s="2567"/>
      <c r="GFA83" s="2567"/>
      <c r="GFB83" s="2567"/>
      <c r="GFC83" s="2567"/>
      <c r="GFD83" s="2567"/>
      <c r="GFE83" s="2567"/>
      <c r="GFF83" s="2567"/>
      <c r="GFG83" s="2567"/>
      <c r="GFH83" s="2567"/>
      <c r="GFI83" s="2567"/>
      <c r="GFJ83" s="2567"/>
      <c r="GFK83" s="2567"/>
      <c r="GFL83" s="2567"/>
      <c r="GFM83" s="2567"/>
      <c r="GFN83" s="2567"/>
      <c r="GFO83" s="2567"/>
      <c r="GFP83" s="2567"/>
      <c r="GFQ83" s="2567"/>
      <c r="GFR83" s="2567"/>
      <c r="GFS83" s="2567"/>
      <c r="GFT83" s="2567"/>
      <c r="GFU83" s="2567"/>
      <c r="GFV83" s="2567"/>
      <c r="GFW83" s="2567"/>
      <c r="GFX83" s="2567"/>
      <c r="GFY83" s="2567"/>
      <c r="GFZ83" s="2567"/>
      <c r="GGA83" s="2567"/>
      <c r="GGB83" s="2567"/>
      <c r="GGC83" s="2567"/>
      <c r="GGD83" s="2567"/>
      <c r="GGE83" s="2567"/>
      <c r="GGF83" s="2567"/>
      <c r="GGG83" s="2567"/>
      <c r="GGH83" s="2567"/>
      <c r="GGI83" s="2567"/>
      <c r="GGJ83" s="2567"/>
      <c r="GGK83" s="2567"/>
      <c r="GGL83" s="2567"/>
      <c r="GGM83" s="2567"/>
      <c r="GGN83" s="2567"/>
      <c r="GGO83" s="2567"/>
      <c r="GGP83" s="2567"/>
      <c r="GGQ83" s="2567"/>
      <c r="GGR83" s="2567"/>
      <c r="GGS83" s="2567"/>
      <c r="GGT83" s="2567"/>
      <c r="GGU83" s="2567"/>
      <c r="GGV83" s="2567"/>
      <c r="GGW83" s="2567"/>
      <c r="GGX83" s="2567"/>
      <c r="GGY83" s="2567"/>
      <c r="GGZ83" s="2567"/>
      <c r="GHA83" s="2567"/>
      <c r="GHB83" s="2567"/>
      <c r="GHC83" s="2567"/>
      <c r="GHD83" s="2567"/>
      <c r="GHE83" s="2567"/>
      <c r="GHF83" s="2567"/>
      <c r="GHG83" s="2567"/>
      <c r="GHH83" s="2567"/>
      <c r="GHI83" s="2567"/>
      <c r="GHJ83" s="2567"/>
      <c r="GHK83" s="2567"/>
      <c r="GHL83" s="2567"/>
      <c r="GHM83" s="2567"/>
      <c r="GHN83" s="2567"/>
      <c r="GHO83" s="2567"/>
      <c r="GHP83" s="2567"/>
      <c r="GHQ83" s="2567"/>
      <c r="GHR83" s="2567"/>
      <c r="GHS83" s="2567"/>
      <c r="GHT83" s="2567"/>
      <c r="GHU83" s="2567"/>
      <c r="GHV83" s="2567"/>
      <c r="GHW83" s="2567"/>
      <c r="GHX83" s="2567"/>
      <c r="GHY83" s="2567"/>
      <c r="GHZ83" s="2567"/>
      <c r="GIA83" s="2567"/>
      <c r="GIB83" s="2567"/>
      <c r="GIC83" s="2567"/>
      <c r="GID83" s="2567"/>
      <c r="GIE83" s="2567"/>
      <c r="GIF83" s="2567"/>
      <c r="GIG83" s="2567"/>
      <c r="GIH83" s="2567"/>
      <c r="GII83" s="2567"/>
      <c r="GIJ83" s="2567"/>
      <c r="GIK83" s="2567"/>
      <c r="GIL83" s="2567"/>
      <c r="GIM83" s="2567"/>
      <c r="GIN83" s="2567"/>
      <c r="GIO83" s="2567"/>
      <c r="GIP83" s="2567"/>
      <c r="GIQ83" s="2567"/>
      <c r="GIR83" s="2567"/>
      <c r="GIS83" s="2567"/>
      <c r="GIT83" s="2567"/>
      <c r="GIU83" s="2567"/>
      <c r="GIV83" s="2567"/>
      <c r="GIW83" s="2567"/>
      <c r="GIX83" s="2567"/>
      <c r="GIY83" s="2567"/>
      <c r="GIZ83" s="2567"/>
      <c r="GJA83" s="2567"/>
      <c r="GJB83" s="2567"/>
      <c r="GJC83" s="2567"/>
      <c r="GJD83" s="2567"/>
      <c r="GJE83" s="2567"/>
      <c r="GJF83" s="2567"/>
      <c r="GJG83" s="2567"/>
      <c r="GJH83" s="2567"/>
      <c r="GJI83" s="2567"/>
      <c r="GJJ83" s="2567"/>
      <c r="GJK83" s="2567"/>
      <c r="GJL83" s="2567"/>
      <c r="GJM83" s="2567"/>
      <c r="GJN83" s="2567"/>
      <c r="GJO83" s="2567"/>
      <c r="GJP83" s="2567"/>
      <c r="GJQ83" s="2567"/>
      <c r="GJR83" s="2567"/>
      <c r="GJS83" s="2567"/>
      <c r="GJT83" s="2567"/>
      <c r="GJU83" s="2567"/>
      <c r="GJV83" s="2567"/>
      <c r="GJW83" s="2567"/>
      <c r="GJX83" s="2567"/>
      <c r="GJY83" s="2567"/>
      <c r="GJZ83" s="2567"/>
      <c r="GKA83" s="2567"/>
      <c r="GKB83" s="2567"/>
      <c r="GKC83" s="2567"/>
      <c r="GKD83" s="2567"/>
      <c r="GKE83" s="2567"/>
      <c r="GKF83" s="2567"/>
      <c r="GKG83" s="2567"/>
      <c r="GKH83" s="2567"/>
      <c r="GKI83" s="2567"/>
      <c r="GKJ83" s="2567"/>
      <c r="GKK83" s="2567"/>
      <c r="GKL83" s="2567"/>
      <c r="GKM83" s="2567"/>
      <c r="GKN83" s="2567"/>
      <c r="GKO83" s="2567"/>
      <c r="GKP83" s="2567"/>
      <c r="GKQ83" s="2567"/>
      <c r="GKR83" s="2567"/>
      <c r="GKS83" s="2567"/>
      <c r="GKT83" s="2567"/>
      <c r="GKU83" s="2567"/>
      <c r="GKV83" s="2567"/>
      <c r="GKW83" s="2567"/>
      <c r="GKX83" s="2567"/>
      <c r="GKY83" s="2567"/>
      <c r="GKZ83" s="2567"/>
      <c r="GLA83" s="2567"/>
      <c r="GLB83" s="2567"/>
      <c r="GLC83" s="2567"/>
      <c r="GLD83" s="2567"/>
      <c r="GLE83" s="2567"/>
      <c r="GLF83" s="2567"/>
      <c r="GLG83" s="2567"/>
      <c r="GLH83" s="2567"/>
      <c r="GLI83" s="2567"/>
      <c r="GLJ83" s="2567"/>
      <c r="GLK83" s="2567"/>
      <c r="GLL83" s="2567"/>
      <c r="GLM83" s="2567"/>
      <c r="GLN83" s="2567"/>
      <c r="GLO83" s="2567"/>
      <c r="GLP83" s="2567"/>
      <c r="GLQ83" s="2567"/>
      <c r="GLR83" s="2567"/>
      <c r="GLS83" s="2567"/>
      <c r="GLT83" s="2567"/>
      <c r="GLU83" s="2567"/>
      <c r="GLV83" s="2567"/>
      <c r="GLW83" s="2567"/>
      <c r="GLX83" s="2567"/>
      <c r="GLY83" s="2567"/>
      <c r="GLZ83" s="2567"/>
      <c r="GMA83" s="2567"/>
      <c r="GMB83" s="2567"/>
      <c r="GMC83" s="2567"/>
      <c r="GMD83" s="2567"/>
      <c r="GME83" s="2567"/>
      <c r="GMF83" s="2567"/>
      <c r="GMG83" s="2567"/>
      <c r="GMH83" s="2567"/>
      <c r="GMI83" s="2567"/>
      <c r="GMJ83" s="2567"/>
      <c r="GMK83" s="2567"/>
      <c r="GML83" s="2567"/>
      <c r="GMM83" s="2567"/>
      <c r="GMN83" s="2567"/>
      <c r="GMO83" s="2567"/>
      <c r="GMP83" s="2567"/>
      <c r="GMQ83" s="2567"/>
      <c r="GMR83" s="2567"/>
      <c r="GMS83" s="2567"/>
      <c r="GMT83" s="2567"/>
      <c r="GMU83" s="2567"/>
      <c r="GMV83" s="2567"/>
      <c r="GMW83" s="2567"/>
      <c r="GMX83" s="2567"/>
      <c r="GMY83" s="2567"/>
      <c r="GMZ83" s="2567"/>
      <c r="GNA83" s="2567"/>
      <c r="GNB83" s="2567"/>
      <c r="GNC83" s="2567"/>
      <c r="GND83" s="2567"/>
      <c r="GNE83" s="2567"/>
      <c r="GNF83" s="2567"/>
      <c r="GNG83" s="2567"/>
      <c r="GNH83" s="2567"/>
      <c r="GNI83" s="2567"/>
      <c r="GNJ83" s="2567"/>
      <c r="GNK83" s="2567"/>
      <c r="GNL83" s="2567"/>
      <c r="GNM83" s="2567"/>
      <c r="GNN83" s="2567"/>
      <c r="GNO83" s="2567"/>
      <c r="GNP83" s="2567"/>
      <c r="GNQ83" s="2567"/>
      <c r="GNR83" s="2567"/>
      <c r="GNS83" s="2567"/>
      <c r="GNT83" s="2567"/>
      <c r="GNU83" s="2567"/>
      <c r="GNV83" s="2567"/>
      <c r="GNW83" s="2567"/>
      <c r="GNX83" s="2567"/>
      <c r="GNY83" s="2567"/>
      <c r="GNZ83" s="2567"/>
      <c r="GOA83" s="2567"/>
      <c r="GOB83" s="2567"/>
      <c r="GOC83" s="2567"/>
      <c r="GOD83" s="2567"/>
      <c r="GOE83" s="2567"/>
      <c r="GOF83" s="2567"/>
      <c r="GOG83" s="2567"/>
      <c r="GOH83" s="2567"/>
      <c r="GOI83" s="2567"/>
      <c r="GOJ83" s="2567"/>
      <c r="GOK83" s="2567"/>
      <c r="GOL83" s="2567"/>
      <c r="GOM83" s="2567"/>
      <c r="GON83" s="2567"/>
      <c r="GOO83" s="2567"/>
      <c r="GOP83" s="2567"/>
      <c r="GOQ83" s="2567"/>
      <c r="GOR83" s="2567"/>
      <c r="GOS83" s="2567"/>
      <c r="GOT83" s="2567"/>
      <c r="GOU83" s="2567"/>
      <c r="GOV83" s="2567"/>
      <c r="GOW83" s="2567"/>
      <c r="GOX83" s="2567"/>
      <c r="GOY83" s="2567"/>
      <c r="GOZ83" s="2567"/>
      <c r="GPA83" s="2567"/>
      <c r="GPB83" s="2567"/>
      <c r="GPC83" s="2567"/>
      <c r="GPD83" s="2567"/>
      <c r="GPE83" s="2567"/>
      <c r="GPF83" s="2567"/>
      <c r="GPG83" s="2567"/>
      <c r="GPH83" s="2567"/>
      <c r="GPI83" s="2567"/>
      <c r="GPJ83" s="2567"/>
      <c r="GPK83" s="2567"/>
      <c r="GPL83" s="2567"/>
      <c r="GPM83" s="2567"/>
      <c r="GPN83" s="2567"/>
      <c r="GPO83" s="2567"/>
      <c r="GPP83" s="2567"/>
      <c r="GPQ83" s="2567"/>
      <c r="GPR83" s="2567"/>
      <c r="GPS83" s="2567"/>
      <c r="GPT83" s="2567"/>
      <c r="GPU83" s="2567"/>
      <c r="GPV83" s="2567"/>
      <c r="GPW83" s="2567"/>
      <c r="GPX83" s="2567"/>
      <c r="GPY83" s="2567"/>
      <c r="GPZ83" s="2567"/>
      <c r="GQA83" s="2567"/>
      <c r="GQB83" s="2567"/>
      <c r="GQC83" s="2567"/>
      <c r="GQD83" s="2567"/>
      <c r="GQE83" s="2567"/>
      <c r="GQF83" s="2567"/>
      <c r="GQG83" s="2567"/>
      <c r="GQH83" s="2567"/>
      <c r="GQI83" s="2567"/>
      <c r="GQJ83" s="2567"/>
      <c r="GQK83" s="2567"/>
      <c r="GQL83" s="2567"/>
      <c r="GQM83" s="2567"/>
      <c r="GQN83" s="2567"/>
      <c r="GQO83" s="2567"/>
      <c r="GQP83" s="2567"/>
      <c r="GQQ83" s="2567"/>
      <c r="GQR83" s="2567"/>
      <c r="GQS83" s="2567"/>
      <c r="GQT83" s="2567"/>
      <c r="GQU83" s="2567"/>
      <c r="GQV83" s="2567"/>
      <c r="GQW83" s="2567"/>
      <c r="GQX83" s="2567"/>
      <c r="GQY83" s="2567"/>
      <c r="GQZ83" s="2567"/>
      <c r="GRA83" s="2567"/>
      <c r="GRB83" s="2567"/>
      <c r="GRC83" s="2567"/>
      <c r="GRD83" s="2567"/>
      <c r="GRE83" s="2567"/>
      <c r="GRF83" s="2567"/>
      <c r="GRG83" s="2567"/>
      <c r="GRH83" s="2567"/>
      <c r="GRI83" s="2567"/>
      <c r="GRJ83" s="2567"/>
      <c r="GRK83" s="2567"/>
      <c r="GRL83" s="2567"/>
      <c r="GRM83" s="2567"/>
      <c r="GRN83" s="2567"/>
      <c r="GRO83" s="2567"/>
      <c r="GRP83" s="2567"/>
      <c r="GRQ83" s="2567"/>
      <c r="GRR83" s="2567"/>
      <c r="GRS83" s="2567"/>
      <c r="GRT83" s="2567"/>
      <c r="GRU83" s="2567"/>
      <c r="GRV83" s="2567"/>
      <c r="GRW83" s="2567"/>
      <c r="GRX83" s="2567"/>
      <c r="GRY83" s="2567"/>
      <c r="GRZ83" s="2567"/>
      <c r="GSA83" s="2567"/>
      <c r="GSB83" s="2567"/>
      <c r="GSC83" s="2567"/>
      <c r="GSD83" s="2567"/>
      <c r="GSE83" s="2567"/>
      <c r="GSF83" s="2567"/>
      <c r="GSG83" s="2567"/>
      <c r="GSH83" s="2567"/>
      <c r="GSI83" s="2567"/>
      <c r="GSJ83" s="2567"/>
      <c r="GSK83" s="2567"/>
      <c r="GSL83" s="2567"/>
      <c r="GSM83" s="2567"/>
      <c r="GSN83" s="2567"/>
      <c r="GSO83" s="2567"/>
      <c r="GSP83" s="2567"/>
      <c r="GSQ83" s="2567"/>
      <c r="GSR83" s="2567"/>
      <c r="GSS83" s="2567"/>
      <c r="GST83" s="2567"/>
      <c r="GSU83" s="2567"/>
      <c r="GSV83" s="2567"/>
      <c r="GSW83" s="2567"/>
      <c r="GSX83" s="2567"/>
      <c r="GSY83" s="2567"/>
      <c r="GSZ83" s="2567"/>
      <c r="GTA83" s="2567"/>
      <c r="GTB83" s="2567"/>
      <c r="GTC83" s="2567"/>
      <c r="GTD83" s="2567"/>
      <c r="GTE83" s="2567"/>
      <c r="GTF83" s="2567"/>
      <c r="GTG83" s="2567"/>
      <c r="GTH83" s="2567"/>
      <c r="GTI83" s="2567"/>
      <c r="GTJ83" s="2567"/>
      <c r="GTK83" s="2567"/>
      <c r="GTL83" s="2567"/>
      <c r="GTM83" s="2567"/>
      <c r="GTN83" s="2567"/>
      <c r="GTO83" s="2567"/>
      <c r="GTP83" s="2567"/>
      <c r="GTQ83" s="2567"/>
      <c r="GTR83" s="2567"/>
      <c r="GTS83" s="2567"/>
      <c r="GTT83" s="2567"/>
      <c r="GTU83" s="2567"/>
      <c r="GTV83" s="2567"/>
      <c r="GTW83" s="2567"/>
      <c r="GTX83" s="2567"/>
      <c r="GTY83" s="2567"/>
      <c r="GTZ83" s="2567"/>
      <c r="GUA83" s="2567"/>
      <c r="GUB83" s="2567"/>
      <c r="GUC83" s="2567"/>
      <c r="GUD83" s="2567"/>
      <c r="GUE83" s="2567"/>
      <c r="GUF83" s="2567"/>
      <c r="GUG83" s="2567"/>
      <c r="GUH83" s="2567"/>
      <c r="GUI83" s="2567"/>
      <c r="GUJ83" s="2567"/>
      <c r="GUK83" s="2567"/>
      <c r="GUL83" s="2567"/>
      <c r="GUM83" s="2567"/>
      <c r="GUN83" s="2567"/>
      <c r="GUO83" s="2567"/>
      <c r="GUP83" s="2567"/>
      <c r="GUQ83" s="2567"/>
      <c r="GUR83" s="2567"/>
      <c r="GUS83" s="2567"/>
      <c r="GUT83" s="2567"/>
      <c r="GUU83" s="2567"/>
      <c r="GUV83" s="2567"/>
      <c r="GUW83" s="2567"/>
      <c r="GUX83" s="2567"/>
      <c r="GUY83" s="2567"/>
      <c r="GUZ83" s="2567"/>
      <c r="GVA83" s="2567"/>
      <c r="GVB83" s="2567"/>
      <c r="GVC83" s="2567"/>
      <c r="GVD83" s="2567"/>
      <c r="GVE83" s="2567"/>
      <c r="GVF83" s="2567"/>
      <c r="GVG83" s="2567"/>
      <c r="GVH83" s="2567"/>
      <c r="GVI83" s="2567"/>
      <c r="GVJ83" s="2567"/>
      <c r="GVK83" s="2567"/>
      <c r="GVL83" s="2567"/>
      <c r="GVM83" s="2567"/>
      <c r="GVN83" s="2567"/>
      <c r="GVO83" s="2567"/>
      <c r="GVP83" s="2567"/>
      <c r="GVQ83" s="2567"/>
      <c r="GVR83" s="2567"/>
      <c r="GVS83" s="2567"/>
      <c r="GVT83" s="2567"/>
      <c r="GVU83" s="2567"/>
      <c r="GVV83" s="2567"/>
      <c r="GVW83" s="2567"/>
      <c r="GVX83" s="2567"/>
      <c r="GVY83" s="2567"/>
      <c r="GVZ83" s="2567"/>
      <c r="GWA83" s="2567"/>
      <c r="GWB83" s="2567"/>
      <c r="GWC83" s="2567"/>
      <c r="GWD83" s="2567"/>
      <c r="GWE83" s="2567"/>
      <c r="GWF83" s="2567"/>
      <c r="GWG83" s="2567"/>
      <c r="GWH83" s="2567"/>
      <c r="GWI83" s="2567"/>
      <c r="GWJ83" s="2567"/>
      <c r="GWK83" s="2567"/>
      <c r="GWL83" s="2567"/>
      <c r="GWM83" s="2567"/>
      <c r="GWN83" s="2567"/>
      <c r="GWO83" s="2567"/>
      <c r="GWP83" s="2567"/>
      <c r="GWQ83" s="2567"/>
      <c r="GWR83" s="2567"/>
      <c r="GWS83" s="2567"/>
      <c r="GWT83" s="2567"/>
      <c r="GWU83" s="2567"/>
      <c r="GWV83" s="2567"/>
      <c r="GWW83" s="2567"/>
      <c r="GWX83" s="2567"/>
      <c r="GWY83" s="2567"/>
      <c r="GWZ83" s="2567"/>
      <c r="GXA83" s="2567"/>
      <c r="GXB83" s="2567"/>
      <c r="GXC83" s="2567"/>
      <c r="GXD83" s="2567"/>
      <c r="GXE83" s="2567"/>
      <c r="GXF83" s="2567"/>
      <c r="GXG83" s="2567"/>
      <c r="GXH83" s="2567"/>
      <c r="GXI83" s="2567"/>
      <c r="GXJ83" s="2567"/>
      <c r="GXK83" s="2567"/>
      <c r="GXL83" s="2567"/>
      <c r="GXM83" s="2567"/>
      <c r="GXN83" s="2567"/>
      <c r="GXO83" s="2567"/>
      <c r="GXP83" s="2567"/>
      <c r="GXQ83" s="2567"/>
      <c r="GXR83" s="2567"/>
      <c r="GXS83" s="2567"/>
      <c r="GXT83" s="2567"/>
      <c r="GXU83" s="2567"/>
      <c r="GXV83" s="2567"/>
      <c r="GXW83" s="2567"/>
      <c r="GXX83" s="2567"/>
      <c r="GXY83" s="2567"/>
      <c r="GXZ83" s="2567"/>
      <c r="GYA83" s="2567"/>
      <c r="GYB83" s="2567"/>
      <c r="GYC83" s="2567"/>
      <c r="GYD83" s="2567"/>
      <c r="GYE83" s="2567"/>
      <c r="GYF83" s="2567"/>
      <c r="GYG83" s="2567"/>
      <c r="GYH83" s="2567"/>
      <c r="GYI83" s="2567"/>
      <c r="GYJ83" s="2567"/>
      <c r="GYK83" s="2567"/>
      <c r="GYL83" s="2567"/>
      <c r="GYM83" s="2567"/>
      <c r="GYN83" s="2567"/>
      <c r="GYO83" s="2567"/>
      <c r="GYP83" s="2567"/>
      <c r="GYQ83" s="2567"/>
      <c r="GYR83" s="2567"/>
      <c r="GYS83" s="2567"/>
      <c r="GYT83" s="2567"/>
      <c r="GYU83" s="2567"/>
      <c r="GYV83" s="2567"/>
      <c r="GYW83" s="2567"/>
      <c r="GYX83" s="2567"/>
      <c r="GYY83" s="2567"/>
      <c r="GYZ83" s="2567"/>
      <c r="GZA83" s="2567"/>
      <c r="GZB83" s="2567"/>
      <c r="GZC83" s="2567"/>
      <c r="GZD83" s="2567"/>
      <c r="GZE83" s="2567"/>
      <c r="GZF83" s="2567"/>
      <c r="GZG83" s="2567"/>
      <c r="GZH83" s="2567"/>
      <c r="GZI83" s="2567"/>
      <c r="GZJ83" s="2567"/>
      <c r="GZK83" s="2567"/>
      <c r="GZL83" s="2567"/>
      <c r="GZM83" s="2567"/>
      <c r="GZN83" s="2567"/>
      <c r="GZO83" s="2567"/>
      <c r="GZP83" s="2567"/>
      <c r="GZQ83" s="2567"/>
      <c r="GZR83" s="2567"/>
      <c r="GZS83" s="2567"/>
      <c r="GZT83" s="2567"/>
      <c r="GZU83" s="2567"/>
      <c r="GZV83" s="2567"/>
      <c r="GZW83" s="2567"/>
      <c r="GZX83" s="2567"/>
      <c r="GZY83" s="2567"/>
      <c r="GZZ83" s="2567"/>
      <c r="HAA83" s="2567"/>
      <c r="HAB83" s="2567"/>
      <c r="HAC83" s="2567"/>
      <c r="HAD83" s="2567"/>
      <c r="HAE83" s="2567"/>
      <c r="HAF83" s="2567"/>
      <c r="HAG83" s="2567"/>
      <c r="HAH83" s="2567"/>
      <c r="HAI83" s="2567"/>
      <c r="HAJ83" s="2567"/>
      <c r="HAK83" s="2567"/>
      <c r="HAL83" s="2567"/>
      <c r="HAM83" s="2567"/>
      <c r="HAN83" s="2567"/>
      <c r="HAO83" s="2567"/>
      <c r="HAP83" s="2567"/>
      <c r="HAQ83" s="2567"/>
      <c r="HAR83" s="2567"/>
      <c r="HAS83" s="2567"/>
      <c r="HAT83" s="2567"/>
      <c r="HAU83" s="2567"/>
      <c r="HAV83" s="2567"/>
      <c r="HAW83" s="2567"/>
      <c r="HAX83" s="2567"/>
      <c r="HAY83" s="2567"/>
      <c r="HAZ83" s="2567"/>
      <c r="HBA83" s="2567"/>
      <c r="HBB83" s="2567"/>
      <c r="HBC83" s="2567"/>
      <c r="HBD83" s="2567"/>
      <c r="HBE83" s="2567"/>
      <c r="HBF83" s="2567"/>
      <c r="HBG83" s="2567"/>
      <c r="HBH83" s="2567"/>
      <c r="HBI83" s="2567"/>
      <c r="HBJ83" s="2567"/>
      <c r="HBK83" s="2567"/>
      <c r="HBL83" s="2567"/>
      <c r="HBM83" s="2567"/>
      <c r="HBN83" s="2567"/>
      <c r="HBO83" s="2567"/>
      <c r="HBP83" s="2567"/>
      <c r="HBQ83" s="2567"/>
      <c r="HBR83" s="2567"/>
      <c r="HBS83" s="2567"/>
      <c r="HBT83" s="2567"/>
      <c r="HBU83" s="2567"/>
      <c r="HBV83" s="2567"/>
      <c r="HBW83" s="2567"/>
      <c r="HBX83" s="2567"/>
      <c r="HBY83" s="2567"/>
      <c r="HBZ83" s="2567"/>
      <c r="HCA83" s="2567"/>
      <c r="HCB83" s="2567"/>
      <c r="HCC83" s="2567"/>
      <c r="HCD83" s="2567"/>
      <c r="HCE83" s="2567"/>
      <c r="HCF83" s="2567"/>
      <c r="HCG83" s="2567"/>
      <c r="HCH83" s="2567"/>
      <c r="HCI83" s="2567"/>
      <c r="HCJ83" s="2567"/>
      <c r="HCK83" s="2567"/>
      <c r="HCL83" s="2567"/>
      <c r="HCM83" s="2567"/>
      <c r="HCN83" s="2567"/>
      <c r="HCO83" s="2567"/>
      <c r="HCP83" s="2567"/>
      <c r="HCQ83" s="2567"/>
      <c r="HCR83" s="2567"/>
      <c r="HCS83" s="2567"/>
      <c r="HCT83" s="2567"/>
      <c r="HCU83" s="2567"/>
      <c r="HCV83" s="2567"/>
      <c r="HCW83" s="2567"/>
      <c r="HCX83" s="2567"/>
      <c r="HCY83" s="2567"/>
      <c r="HCZ83" s="2567"/>
      <c r="HDA83" s="2567"/>
      <c r="HDB83" s="2567"/>
      <c r="HDC83" s="2567"/>
      <c r="HDD83" s="2567"/>
      <c r="HDE83" s="2567"/>
      <c r="HDF83" s="2567"/>
      <c r="HDG83" s="2567"/>
      <c r="HDH83" s="2567"/>
      <c r="HDI83" s="2567"/>
      <c r="HDJ83" s="2567"/>
      <c r="HDK83" s="2567"/>
      <c r="HDL83" s="2567"/>
      <c r="HDM83" s="2567"/>
      <c r="HDN83" s="2567"/>
      <c r="HDO83" s="2567"/>
      <c r="HDP83" s="2567"/>
      <c r="HDQ83" s="2567"/>
      <c r="HDR83" s="2567"/>
      <c r="HDS83" s="2567"/>
      <c r="HDT83" s="2567"/>
      <c r="HDU83" s="2567"/>
      <c r="HDV83" s="2567"/>
      <c r="HDW83" s="2567"/>
      <c r="HDX83" s="2567"/>
      <c r="HDY83" s="2567"/>
      <c r="HDZ83" s="2567"/>
      <c r="HEA83" s="2567"/>
      <c r="HEB83" s="2567"/>
      <c r="HEC83" s="2567"/>
      <c r="HED83" s="2567"/>
      <c r="HEE83" s="2567"/>
      <c r="HEF83" s="2567"/>
      <c r="HEG83" s="2567"/>
      <c r="HEH83" s="2567"/>
      <c r="HEI83" s="2567"/>
      <c r="HEJ83" s="2567"/>
      <c r="HEK83" s="2567"/>
      <c r="HEL83" s="2567"/>
      <c r="HEM83" s="2567"/>
      <c r="HEN83" s="2567"/>
      <c r="HEO83" s="2567"/>
      <c r="HEP83" s="2567"/>
      <c r="HEQ83" s="2567"/>
      <c r="HER83" s="2567"/>
      <c r="HES83" s="2567"/>
      <c r="HET83" s="2567"/>
      <c r="HEU83" s="2567"/>
      <c r="HEV83" s="2567"/>
      <c r="HEW83" s="2567"/>
      <c r="HEX83" s="2567"/>
      <c r="HEY83" s="2567"/>
      <c r="HEZ83" s="2567"/>
      <c r="HFA83" s="2567"/>
      <c r="HFB83" s="2567"/>
      <c r="HFC83" s="2567"/>
      <c r="HFD83" s="2567"/>
      <c r="HFE83" s="2567"/>
      <c r="HFF83" s="2567"/>
      <c r="HFG83" s="2567"/>
      <c r="HFH83" s="2567"/>
      <c r="HFI83" s="2567"/>
      <c r="HFJ83" s="2567"/>
      <c r="HFK83" s="2567"/>
      <c r="HFL83" s="2567"/>
      <c r="HFM83" s="2567"/>
      <c r="HFN83" s="2567"/>
      <c r="HFO83" s="2567"/>
      <c r="HFP83" s="2567"/>
      <c r="HFQ83" s="2567"/>
      <c r="HFR83" s="2567"/>
      <c r="HFS83" s="2567"/>
      <c r="HFT83" s="2567"/>
      <c r="HFU83" s="2567"/>
      <c r="HFV83" s="2567"/>
      <c r="HFW83" s="2567"/>
      <c r="HFX83" s="2567"/>
      <c r="HFY83" s="2567"/>
      <c r="HFZ83" s="2567"/>
      <c r="HGA83" s="2567"/>
      <c r="HGB83" s="2567"/>
      <c r="HGC83" s="2567"/>
      <c r="HGD83" s="2567"/>
      <c r="HGE83" s="2567"/>
      <c r="HGF83" s="2567"/>
      <c r="HGG83" s="2567"/>
      <c r="HGH83" s="2567"/>
      <c r="HGI83" s="2567"/>
      <c r="HGJ83" s="2567"/>
      <c r="HGK83" s="2567"/>
      <c r="HGL83" s="2567"/>
      <c r="HGM83" s="2567"/>
      <c r="HGN83" s="2567"/>
      <c r="HGO83" s="2567"/>
      <c r="HGP83" s="2567"/>
      <c r="HGQ83" s="2567"/>
      <c r="HGR83" s="2567"/>
      <c r="HGS83" s="2567"/>
      <c r="HGT83" s="2567"/>
      <c r="HGU83" s="2567"/>
      <c r="HGV83" s="2567"/>
      <c r="HGW83" s="2567"/>
      <c r="HGX83" s="2567"/>
      <c r="HGY83" s="2567"/>
      <c r="HGZ83" s="2567"/>
      <c r="HHA83" s="2567"/>
      <c r="HHB83" s="2567"/>
      <c r="HHC83" s="2567"/>
      <c r="HHD83" s="2567"/>
      <c r="HHE83" s="2567"/>
      <c r="HHF83" s="2567"/>
      <c r="HHG83" s="2567"/>
      <c r="HHH83" s="2567"/>
      <c r="HHI83" s="2567"/>
      <c r="HHJ83" s="2567"/>
      <c r="HHK83" s="2567"/>
      <c r="HHL83" s="2567"/>
      <c r="HHM83" s="2567"/>
      <c r="HHN83" s="2567"/>
      <c r="HHO83" s="2567"/>
      <c r="HHP83" s="2567"/>
      <c r="HHQ83" s="2567"/>
      <c r="HHR83" s="2567"/>
      <c r="HHS83" s="2567"/>
      <c r="HHT83" s="2567"/>
      <c r="HHU83" s="2567"/>
      <c r="HHV83" s="2567"/>
      <c r="HHW83" s="2567"/>
      <c r="HHX83" s="2567"/>
      <c r="HHY83" s="2567"/>
      <c r="HHZ83" s="2567"/>
      <c r="HIA83" s="2567"/>
      <c r="HIB83" s="2567"/>
      <c r="HIC83" s="2567"/>
      <c r="HID83" s="2567"/>
      <c r="HIE83" s="2567"/>
      <c r="HIF83" s="2567"/>
      <c r="HIG83" s="2567"/>
      <c r="HIH83" s="2567"/>
      <c r="HII83" s="2567"/>
      <c r="HIJ83" s="2567"/>
      <c r="HIK83" s="2567"/>
      <c r="HIL83" s="2567"/>
      <c r="HIM83" s="2567"/>
      <c r="HIN83" s="2567"/>
      <c r="HIO83" s="2567"/>
      <c r="HIP83" s="2567"/>
      <c r="HIQ83" s="2567"/>
      <c r="HIR83" s="2567"/>
      <c r="HIS83" s="2567"/>
      <c r="HIT83" s="2567"/>
      <c r="HIU83" s="2567"/>
      <c r="HIV83" s="2567"/>
      <c r="HIW83" s="2567"/>
      <c r="HIX83" s="2567"/>
      <c r="HIY83" s="2567"/>
      <c r="HIZ83" s="2567"/>
      <c r="HJA83" s="2567"/>
      <c r="HJB83" s="2567"/>
      <c r="HJC83" s="2567"/>
      <c r="HJD83" s="2567"/>
      <c r="HJE83" s="2567"/>
      <c r="HJF83" s="2567"/>
      <c r="HJG83" s="2567"/>
      <c r="HJH83" s="2567"/>
      <c r="HJI83" s="2567"/>
      <c r="HJJ83" s="2567"/>
      <c r="HJK83" s="2567"/>
      <c r="HJL83" s="2567"/>
      <c r="HJM83" s="2567"/>
      <c r="HJN83" s="2567"/>
      <c r="HJO83" s="2567"/>
      <c r="HJP83" s="2567"/>
      <c r="HJQ83" s="2567"/>
      <c r="HJR83" s="2567"/>
      <c r="HJS83" s="2567"/>
      <c r="HJT83" s="2567"/>
      <c r="HJU83" s="2567"/>
      <c r="HJV83" s="2567"/>
      <c r="HJW83" s="2567"/>
      <c r="HJX83" s="2567"/>
      <c r="HJY83" s="2567"/>
      <c r="HJZ83" s="2567"/>
      <c r="HKA83" s="2567"/>
      <c r="HKB83" s="2567"/>
      <c r="HKC83" s="2567"/>
      <c r="HKD83" s="2567"/>
      <c r="HKE83" s="2567"/>
      <c r="HKF83" s="2567"/>
      <c r="HKG83" s="2567"/>
      <c r="HKH83" s="2567"/>
      <c r="HKI83" s="2567"/>
      <c r="HKJ83" s="2567"/>
      <c r="HKK83" s="2567"/>
      <c r="HKL83" s="2567"/>
      <c r="HKM83" s="2567"/>
      <c r="HKN83" s="2567"/>
      <c r="HKO83" s="2567"/>
      <c r="HKP83" s="2567"/>
      <c r="HKQ83" s="2567"/>
      <c r="HKR83" s="2567"/>
      <c r="HKS83" s="2567"/>
      <c r="HKT83" s="2567"/>
      <c r="HKU83" s="2567"/>
      <c r="HKV83" s="2567"/>
      <c r="HKW83" s="2567"/>
      <c r="HKX83" s="2567"/>
      <c r="HKY83" s="2567"/>
      <c r="HKZ83" s="2567"/>
      <c r="HLA83" s="2567"/>
      <c r="HLB83" s="2567"/>
      <c r="HLC83" s="2567"/>
      <c r="HLD83" s="2567"/>
      <c r="HLE83" s="2567"/>
      <c r="HLF83" s="2567"/>
      <c r="HLG83" s="2567"/>
      <c r="HLH83" s="2567"/>
      <c r="HLI83" s="2567"/>
      <c r="HLJ83" s="2567"/>
      <c r="HLK83" s="2567"/>
      <c r="HLL83" s="2567"/>
      <c r="HLM83" s="2567"/>
      <c r="HLN83" s="2567"/>
      <c r="HLO83" s="2567"/>
      <c r="HLP83" s="2567"/>
      <c r="HLQ83" s="2567"/>
      <c r="HLR83" s="2567"/>
      <c r="HLS83" s="2567"/>
      <c r="HLT83" s="2567"/>
      <c r="HLU83" s="2567"/>
      <c r="HLV83" s="2567"/>
      <c r="HLW83" s="2567"/>
      <c r="HLX83" s="2567"/>
      <c r="HLY83" s="2567"/>
      <c r="HLZ83" s="2567"/>
      <c r="HMA83" s="2567"/>
      <c r="HMB83" s="2567"/>
      <c r="HMC83" s="2567"/>
      <c r="HMD83" s="2567"/>
      <c r="HME83" s="2567"/>
      <c r="HMF83" s="2567"/>
      <c r="HMG83" s="2567"/>
      <c r="HMH83" s="2567"/>
      <c r="HMI83" s="2567"/>
      <c r="HMJ83" s="2567"/>
      <c r="HMK83" s="2567"/>
      <c r="HML83" s="2567"/>
      <c r="HMM83" s="2567"/>
      <c r="HMN83" s="2567"/>
      <c r="HMO83" s="2567"/>
      <c r="HMP83" s="2567"/>
      <c r="HMQ83" s="2567"/>
      <c r="HMR83" s="2567"/>
      <c r="HMS83" s="2567"/>
      <c r="HMT83" s="2567"/>
      <c r="HMU83" s="2567"/>
      <c r="HMV83" s="2567"/>
      <c r="HMW83" s="2567"/>
      <c r="HMX83" s="2567"/>
      <c r="HMY83" s="2567"/>
      <c r="HMZ83" s="2567"/>
      <c r="HNA83" s="2567"/>
      <c r="HNB83" s="2567"/>
      <c r="HNC83" s="2567"/>
      <c r="HND83" s="2567"/>
      <c r="HNE83" s="2567"/>
      <c r="HNF83" s="2567"/>
      <c r="HNG83" s="2567"/>
      <c r="HNH83" s="2567"/>
      <c r="HNI83" s="2567"/>
      <c r="HNJ83" s="2567"/>
      <c r="HNK83" s="2567"/>
      <c r="HNL83" s="2567"/>
      <c r="HNM83" s="2567"/>
      <c r="HNN83" s="2567"/>
      <c r="HNO83" s="2567"/>
      <c r="HNP83" s="2567"/>
      <c r="HNQ83" s="2567"/>
      <c r="HNR83" s="2567"/>
      <c r="HNS83" s="2567"/>
      <c r="HNT83" s="2567"/>
      <c r="HNU83" s="2567"/>
      <c r="HNV83" s="2567"/>
      <c r="HNW83" s="2567"/>
      <c r="HNX83" s="2567"/>
      <c r="HNY83" s="2567"/>
      <c r="HNZ83" s="2567"/>
      <c r="HOA83" s="2567"/>
      <c r="HOB83" s="2567"/>
      <c r="HOC83" s="2567"/>
      <c r="HOD83" s="2567"/>
      <c r="HOE83" s="2567"/>
      <c r="HOF83" s="2567"/>
      <c r="HOG83" s="2567"/>
      <c r="HOH83" s="2567"/>
      <c r="HOI83" s="2567"/>
      <c r="HOJ83" s="2567"/>
      <c r="HOK83" s="2567"/>
      <c r="HOL83" s="2567"/>
      <c r="HOM83" s="2567"/>
      <c r="HON83" s="2567"/>
      <c r="HOO83" s="2567"/>
      <c r="HOP83" s="2567"/>
      <c r="HOQ83" s="2567"/>
      <c r="HOR83" s="2567"/>
      <c r="HOS83" s="2567"/>
      <c r="HOT83" s="2567"/>
      <c r="HOU83" s="2567"/>
      <c r="HOV83" s="2567"/>
      <c r="HOW83" s="2567"/>
      <c r="HOX83" s="2567"/>
      <c r="HOY83" s="2567"/>
      <c r="HOZ83" s="2567"/>
      <c r="HPA83" s="2567"/>
      <c r="HPB83" s="2567"/>
      <c r="HPC83" s="2567"/>
      <c r="HPD83" s="2567"/>
      <c r="HPE83" s="2567"/>
      <c r="HPF83" s="2567"/>
      <c r="HPG83" s="2567"/>
      <c r="HPH83" s="2567"/>
      <c r="HPI83" s="2567"/>
      <c r="HPJ83" s="2567"/>
      <c r="HPK83" s="2567"/>
      <c r="HPL83" s="2567"/>
      <c r="HPM83" s="2567"/>
      <c r="HPN83" s="2567"/>
      <c r="HPO83" s="2567"/>
      <c r="HPP83" s="2567"/>
      <c r="HPQ83" s="2567"/>
      <c r="HPR83" s="2567"/>
      <c r="HPS83" s="2567"/>
      <c r="HPT83" s="2567"/>
      <c r="HPU83" s="2567"/>
      <c r="HPV83" s="2567"/>
      <c r="HPW83" s="2567"/>
      <c r="HPX83" s="2567"/>
      <c r="HPY83" s="2567"/>
      <c r="HPZ83" s="2567"/>
      <c r="HQA83" s="2567"/>
      <c r="HQB83" s="2567"/>
      <c r="HQC83" s="2567"/>
      <c r="HQD83" s="2567"/>
      <c r="HQE83" s="2567"/>
      <c r="HQF83" s="2567"/>
      <c r="HQG83" s="2567"/>
      <c r="HQH83" s="2567"/>
      <c r="HQI83" s="2567"/>
      <c r="HQJ83" s="2567"/>
      <c r="HQK83" s="2567"/>
      <c r="HQL83" s="2567"/>
      <c r="HQM83" s="2567"/>
      <c r="HQN83" s="2567"/>
      <c r="HQO83" s="2567"/>
      <c r="HQP83" s="2567"/>
      <c r="HQQ83" s="2567"/>
      <c r="HQR83" s="2567"/>
      <c r="HQS83" s="2567"/>
      <c r="HQT83" s="2567"/>
      <c r="HQU83" s="2567"/>
      <c r="HQV83" s="2567"/>
      <c r="HQW83" s="2567"/>
      <c r="HQX83" s="2567"/>
      <c r="HQY83" s="2567"/>
      <c r="HQZ83" s="2567"/>
      <c r="HRA83" s="2567"/>
      <c r="HRB83" s="2567"/>
      <c r="HRC83" s="2567"/>
      <c r="HRD83" s="2567"/>
      <c r="HRE83" s="2567"/>
      <c r="HRF83" s="2567"/>
      <c r="HRG83" s="2567"/>
      <c r="HRH83" s="2567"/>
      <c r="HRI83" s="2567"/>
      <c r="HRJ83" s="2567"/>
      <c r="HRK83" s="2567"/>
      <c r="HRL83" s="2567"/>
      <c r="HRM83" s="2567"/>
      <c r="HRN83" s="2567"/>
      <c r="HRO83" s="2567"/>
      <c r="HRP83" s="2567"/>
      <c r="HRQ83" s="2567"/>
      <c r="HRR83" s="2567"/>
      <c r="HRS83" s="2567"/>
      <c r="HRT83" s="2567"/>
      <c r="HRU83" s="2567"/>
      <c r="HRV83" s="2567"/>
      <c r="HRW83" s="2567"/>
      <c r="HRX83" s="2567"/>
      <c r="HRY83" s="2567"/>
      <c r="HRZ83" s="2567"/>
      <c r="HSA83" s="2567"/>
      <c r="HSB83" s="2567"/>
      <c r="HSC83" s="2567"/>
      <c r="HSD83" s="2567"/>
      <c r="HSE83" s="2567"/>
      <c r="HSF83" s="2567"/>
      <c r="HSG83" s="2567"/>
      <c r="HSH83" s="2567"/>
      <c r="HSI83" s="2567"/>
      <c r="HSJ83" s="2567"/>
      <c r="HSK83" s="2567"/>
      <c r="HSL83" s="2567"/>
      <c r="HSM83" s="2567"/>
      <c r="HSN83" s="2567"/>
      <c r="HSO83" s="2567"/>
      <c r="HSP83" s="2567"/>
      <c r="HSQ83" s="2567"/>
      <c r="HSR83" s="2567"/>
      <c r="HSS83" s="2567"/>
      <c r="HST83" s="2567"/>
      <c r="HSU83" s="2567"/>
      <c r="HSV83" s="2567"/>
      <c r="HSW83" s="2567"/>
      <c r="HSX83" s="2567"/>
      <c r="HSY83" s="2567"/>
      <c r="HSZ83" s="2567"/>
      <c r="HTA83" s="2567"/>
      <c r="HTB83" s="2567"/>
      <c r="HTC83" s="2567"/>
      <c r="HTD83" s="2567"/>
      <c r="HTE83" s="2567"/>
      <c r="HTF83" s="2567"/>
      <c r="HTG83" s="2567"/>
      <c r="HTH83" s="2567"/>
      <c r="HTI83" s="2567"/>
      <c r="HTJ83" s="2567"/>
      <c r="HTK83" s="2567"/>
      <c r="HTL83" s="2567"/>
      <c r="HTM83" s="2567"/>
      <c r="HTN83" s="2567"/>
      <c r="HTO83" s="2567"/>
      <c r="HTP83" s="2567"/>
      <c r="HTQ83" s="2567"/>
      <c r="HTR83" s="2567"/>
      <c r="HTS83" s="2567"/>
      <c r="HTT83" s="2567"/>
      <c r="HTU83" s="2567"/>
      <c r="HTV83" s="2567"/>
      <c r="HTW83" s="2567"/>
      <c r="HTX83" s="2567"/>
      <c r="HTY83" s="2567"/>
      <c r="HTZ83" s="2567"/>
      <c r="HUA83" s="2567"/>
      <c r="HUB83" s="2567"/>
      <c r="HUC83" s="2567"/>
      <c r="HUD83" s="2567"/>
      <c r="HUE83" s="2567"/>
      <c r="HUF83" s="2567"/>
      <c r="HUG83" s="2567"/>
      <c r="HUH83" s="2567"/>
      <c r="HUI83" s="2567"/>
      <c r="HUJ83" s="2567"/>
      <c r="HUK83" s="2567"/>
      <c r="HUL83" s="2567"/>
      <c r="HUM83" s="2567"/>
      <c r="HUN83" s="2567"/>
      <c r="HUO83" s="2567"/>
      <c r="HUP83" s="2567"/>
      <c r="HUQ83" s="2567"/>
      <c r="HUR83" s="2567"/>
      <c r="HUS83" s="2567"/>
      <c r="HUT83" s="2567"/>
      <c r="HUU83" s="2567"/>
      <c r="HUV83" s="2567"/>
      <c r="HUW83" s="2567"/>
      <c r="HUX83" s="2567"/>
      <c r="HUY83" s="2567"/>
      <c r="HUZ83" s="2567"/>
      <c r="HVA83" s="2567"/>
      <c r="HVB83" s="2567"/>
      <c r="HVC83" s="2567"/>
      <c r="HVD83" s="2567"/>
      <c r="HVE83" s="2567"/>
      <c r="HVF83" s="2567"/>
      <c r="HVG83" s="2567"/>
      <c r="HVH83" s="2567"/>
      <c r="HVI83" s="2567"/>
      <c r="HVJ83" s="2567"/>
      <c r="HVK83" s="2567"/>
      <c r="HVL83" s="2567"/>
      <c r="HVM83" s="2567"/>
      <c r="HVN83" s="2567"/>
      <c r="HVO83" s="2567"/>
      <c r="HVP83" s="2567"/>
      <c r="HVQ83" s="2567"/>
      <c r="HVR83" s="2567"/>
      <c r="HVS83" s="2567"/>
      <c r="HVT83" s="2567"/>
      <c r="HVU83" s="2567"/>
      <c r="HVV83" s="2567"/>
      <c r="HVW83" s="2567"/>
      <c r="HVX83" s="2567"/>
      <c r="HVY83" s="2567"/>
      <c r="HVZ83" s="2567"/>
      <c r="HWA83" s="2567"/>
      <c r="HWB83" s="2567"/>
      <c r="HWC83" s="2567"/>
      <c r="HWD83" s="2567"/>
      <c r="HWE83" s="2567"/>
      <c r="HWF83" s="2567"/>
      <c r="HWG83" s="2567"/>
      <c r="HWH83" s="2567"/>
      <c r="HWI83" s="2567"/>
      <c r="HWJ83" s="2567"/>
      <c r="HWK83" s="2567"/>
      <c r="HWL83" s="2567"/>
      <c r="HWM83" s="2567"/>
      <c r="HWN83" s="2567"/>
      <c r="HWO83" s="2567"/>
      <c r="HWP83" s="2567"/>
      <c r="HWQ83" s="2567"/>
      <c r="HWR83" s="2567"/>
      <c r="HWS83" s="2567"/>
      <c r="HWT83" s="2567"/>
      <c r="HWU83" s="2567"/>
      <c r="HWV83" s="2567"/>
      <c r="HWW83" s="2567"/>
      <c r="HWX83" s="2567"/>
      <c r="HWY83" s="2567"/>
      <c r="HWZ83" s="2567"/>
      <c r="HXA83" s="2567"/>
      <c r="HXB83" s="2567"/>
      <c r="HXC83" s="2567"/>
      <c r="HXD83" s="2567"/>
      <c r="HXE83" s="2567"/>
      <c r="HXF83" s="2567"/>
      <c r="HXG83" s="2567"/>
      <c r="HXH83" s="2567"/>
      <c r="HXI83" s="2567"/>
      <c r="HXJ83" s="2567"/>
      <c r="HXK83" s="2567"/>
      <c r="HXL83" s="2567"/>
      <c r="HXM83" s="2567"/>
      <c r="HXN83" s="2567"/>
      <c r="HXO83" s="2567"/>
      <c r="HXP83" s="2567"/>
      <c r="HXQ83" s="2567"/>
      <c r="HXR83" s="2567"/>
      <c r="HXS83" s="2567"/>
      <c r="HXT83" s="2567"/>
      <c r="HXU83" s="2567"/>
      <c r="HXV83" s="2567"/>
      <c r="HXW83" s="2567"/>
      <c r="HXX83" s="2567"/>
      <c r="HXY83" s="2567"/>
      <c r="HXZ83" s="2567"/>
      <c r="HYA83" s="2567"/>
      <c r="HYB83" s="2567"/>
      <c r="HYC83" s="2567"/>
      <c r="HYD83" s="2567"/>
      <c r="HYE83" s="2567"/>
      <c r="HYF83" s="2567"/>
      <c r="HYG83" s="2567"/>
      <c r="HYH83" s="2567"/>
      <c r="HYI83" s="2567"/>
      <c r="HYJ83" s="2567"/>
      <c r="HYK83" s="2567"/>
      <c r="HYL83" s="2567"/>
      <c r="HYM83" s="2567"/>
      <c r="HYN83" s="2567"/>
      <c r="HYO83" s="2567"/>
      <c r="HYP83" s="2567"/>
      <c r="HYQ83" s="2567"/>
      <c r="HYR83" s="2567"/>
      <c r="HYS83" s="2567"/>
      <c r="HYT83" s="2567"/>
      <c r="HYU83" s="2567"/>
      <c r="HYV83" s="2567"/>
      <c r="HYW83" s="2567"/>
      <c r="HYX83" s="2567"/>
      <c r="HYY83" s="2567"/>
      <c r="HYZ83" s="2567"/>
      <c r="HZA83" s="2567"/>
      <c r="HZB83" s="2567"/>
      <c r="HZC83" s="2567"/>
      <c r="HZD83" s="2567"/>
      <c r="HZE83" s="2567"/>
      <c r="HZF83" s="2567"/>
      <c r="HZG83" s="2567"/>
      <c r="HZH83" s="2567"/>
      <c r="HZI83" s="2567"/>
      <c r="HZJ83" s="2567"/>
      <c r="HZK83" s="2567"/>
      <c r="HZL83" s="2567"/>
      <c r="HZM83" s="2567"/>
      <c r="HZN83" s="2567"/>
      <c r="HZO83" s="2567"/>
      <c r="HZP83" s="2567"/>
      <c r="HZQ83" s="2567"/>
      <c r="HZR83" s="2567"/>
      <c r="HZS83" s="2567"/>
      <c r="HZT83" s="2567"/>
      <c r="HZU83" s="2567"/>
      <c r="HZV83" s="2567"/>
      <c r="HZW83" s="2567"/>
      <c r="HZX83" s="2567"/>
      <c r="HZY83" s="2567"/>
      <c r="HZZ83" s="2567"/>
      <c r="IAA83" s="2567"/>
      <c r="IAB83" s="2567"/>
      <c r="IAC83" s="2567"/>
      <c r="IAD83" s="2567"/>
      <c r="IAE83" s="2567"/>
      <c r="IAF83" s="2567"/>
      <c r="IAG83" s="2567"/>
      <c r="IAH83" s="2567"/>
      <c r="IAI83" s="2567"/>
      <c r="IAJ83" s="2567"/>
      <c r="IAK83" s="2567"/>
      <c r="IAL83" s="2567"/>
      <c r="IAM83" s="2567"/>
      <c r="IAN83" s="2567"/>
      <c r="IAO83" s="2567"/>
      <c r="IAP83" s="2567"/>
      <c r="IAQ83" s="2567"/>
      <c r="IAR83" s="2567"/>
      <c r="IAS83" s="2567"/>
      <c r="IAT83" s="2567"/>
      <c r="IAU83" s="2567"/>
      <c r="IAV83" s="2567"/>
      <c r="IAW83" s="2567"/>
      <c r="IAX83" s="2567"/>
      <c r="IAY83" s="2567"/>
      <c r="IAZ83" s="2567"/>
      <c r="IBA83" s="2567"/>
      <c r="IBB83" s="2567"/>
      <c r="IBC83" s="2567"/>
      <c r="IBD83" s="2567"/>
      <c r="IBE83" s="2567"/>
      <c r="IBF83" s="2567"/>
      <c r="IBG83" s="2567"/>
      <c r="IBH83" s="2567"/>
      <c r="IBI83" s="2567"/>
      <c r="IBJ83" s="2567"/>
      <c r="IBK83" s="2567"/>
      <c r="IBL83" s="2567"/>
      <c r="IBM83" s="2567"/>
      <c r="IBN83" s="2567"/>
      <c r="IBO83" s="2567"/>
      <c r="IBP83" s="2567"/>
      <c r="IBQ83" s="2567"/>
      <c r="IBR83" s="2567"/>
      <c r="IBS83" s="2567"/>
      <c r="IBT83" s="2567"/>
      <c r="IBU83" s="2567"/>
      <c r="IBV83" s="2567"/>
      <c r="IBW83" s="2567"/>
      <c r="IBX83" s="2567"/>
      <c r="IBY83" s="2567"/>
      <c r="IBZ83" s="2567"/>
      <c r="ICA83" s="2567"/>
      <c r="ICB83" s="2567"/>
      <c r="ICC83" s="2567"/>
      <c r="ICD83" s="2567"/>
      <c r="ICE83" s="2567"/>
      <c r="ICF83" s="2567"/>
      <c r="ICG83" s="2567"/>
      <c r="ICH83" s="2567"/>
      <c r="ICI83" s="2567"/>
      <c r="ICJ83" s="2567"/>
      <c r="ICK83" s="2567"/>
      <c r="ICL83" s="2567"/>
      <c r="ICM83" s="2567"/>
      <c r="ICN83" s="2567"/>
      <c r="ICO83" s="2567"/>
      <c r="ICP83" s="2567"/>
      <c r="ICQ83" s="2567"/>
      <c r="ICR83" s="2567"/>
      <c r="ICS83" s="2567"/>
      <c r="ICT83" s="2567"/>
      <c r="ICU83" s="2567"/>
      <c r="ICV83" s="2567"/>
      <c r="ICW83" s="2567"/>
      <c r="ICX83" s="2567"/>
      <c r="ICY83" s="2567"/>
      <c r="ICZ83" s="2567"/>
      <c r="IDA83" s="2567"/>
      <c r="IDB83" s="2567"/>
      <c r="IDC83" s="2567"/>
      <c r="IDD83" s="2567"/>
      <c r="IDE83" s="2567"/>
      <c r="IDF83" s="2567"/>
      <c r="IDG83" s="2567"/>
      <c r="IDH83" s="2567"/>
      <c r="IDI83" s="2567"/>
      <c r="IDJ83" s="2567"/>
      <c r="IDK83" s="2567"/>
      <c r="IDL83" s="2567"/>
      <c r="IDM83" s="2567"/>
      <c r="IDN83" s="2567"/>
      <c r="IDO83" s="2567"/>
      <c r="IDP83" s="2567"/>
      <c r="IDQ83" s="2567"/>
      <c r="IDR83" s="2567"/>
      <c r="IDS83" s="2567"/>
      <c r="IDT83" s="2567"/>
      <c r="IDU83" s="2567"/>
      <c r="IDV83" s="2567"/>
      <c r="IDW83" s="2567"/>
      <c r="IDX83" s="2567"/>
      <c r="IDY83" s="2567"/>
      <c r="IDZ83" s="2567"/>
      <c r="IEA83" s="2567"/>
      <c r="IEB83" s="2567"/>
      <c r="IEC83" s="2567"/>
      <c r="IED83" s="2567"/>
      <c r="IEE83" s="2567"/>
      <c r="IEF83" s="2567"/>
      <c r="IEG83" s="2567"/>
      <c r="IEH83" s="2567"/>
      <c r="IEI83" s="2567"/>
      <c r="IEJ83" s="2567"/>
      <c r="IEK83" s="2567"/>
      <c r="IEL83" s="2567"/>
      <c r="IEM83" s="2567"/>
      <c r="IEN83" s="2567"/>
      <c r="IEO83" s="2567"/>
      <c r="IEP83" s="2567"/>
      <c r="IEQ83" s="2567"/>
      <c r="IER83" s="2567"/>
      <c r="IES83" s="2567"/>
      <c r="IET83" s="2567"/>
      <c r="IEU83" s="2567"/>
      <c r="IEV83" s="2567"/>
      <c r="IEW83" s="2567"/>
      <c r="IEX83" s="2567"/>
      <c r="IEY83" s="2567"/>
      <c r="IEZ83" s="2567"/>
      <c r="IFA83" s="2567"/>
      <c r="IFB83" s="2567"/>
      <c r="IFC83" s="2567"/>
      <c r="IFD83" s="2567"/>
      <c r="IFE83" s="2567"/>
      <c r="IFF83" s="2567"/>
      <c r="IFG83" s="2567"/>
      <c r="IFH83" s="2567"/>
      <c r="IFI83" s="2567"/>
      <c r="IFJ83" s="2567"/>
      <c r="IFK83" s="2567"/>
      <c r="IFL83" s="2567"/>
      <c r="IFM83" s="2567"/>
      <c r="IFN83" s="2567"/>
      <c r="IFO83" s="2567"/>
      <c r="IFP83" s="2567"/>
      <c r="IFQ83" s="2567"/>
      <c r="IFR83" s="2567"/>
      <c r="IFS83" s="2567"/>
      <c r="IFT83" s="2567"/>
      <c r="IFU83" s="2567"/>
      <c r="IFV83" s="2567"/>
      <c r="IFW83" s="2567"/>
      <c r="IFX83" s="2567"/>
      <c r="IFY83" s="2567"/>
      <c r="IFZ83" s="2567"/>
      <c r="IGA83" s="2567"/>
      <c r="IGB83" s="2567"/>
      <c r="IGC83" s="2567"/>
      <c r="IGD83" s="2567"/>
      <c r="IGE83" s="2567"/>
      <c r="IGF83" s="2567"/>
      <c r="IGG83" s="2567"/>
      <c r="IGH83" s="2567"/>
      <c r="IGI83" s="2567"/>
      <c r="IGJ83" s="2567"/>
      <c r="IGK83" s="2567"/>
      <c r="IGL83" s="2567"/>
      <c r="IGM83" s="2567"/>
      <c r="IGN83" s="2567"/>
      <c r="IGO83" s="2567"/>
      <c r="IGP83" s="2567"/>
      <c r="IGQ83" s="2567"/>
      <c r="IGR83" s="2567"/>
      <c r="IGS83" s="2567"/>
      <c r="IGT83" s="2567"/>
      <c r="IGU83" s="2567"/>
      <c r="IGV83" s="2567"/>
      <c r="IGW83" s="2567"/>
      <c r="IGX83" s="2567"/>
      <c r="IGY83" s="2567"/>
      <c r="IGZ83" s="2567"/>
      <c r="IHA83" s="2567"/>
      <c r="IHB83" s="2567"/>
      <c r="IHC83" s="2567"/>
      <c r="IHD83" s="2567"/>
      <c r="IHE83" s="2567"/>
      <c r="IHF83" s="2567"/>
      <c r="IHG83" s="2567"/>
      <c r="IHH83" s="2567"/>
      <c r="IHI83" s="2567"/>
      <c r="IHJ83" s="2567"/>
      <c r="IHK83" s="2567"/>
      <c r="IHL83" s="2567"/>
      <c r="IHM83" s="2567"/>
      <c r="IHN83" s="2567"/>
      <c r="IHO83" s="2567"/>
      <c r="IHP83" s="2567"/>
      <c r="IHQ83" s="2567"/>
      <c r="IHR83" s="2567"/>
      <c r="IHS83" s="2567"/>
      <c r="IHT83" s="2567"/>
      <c r="IHU83" s="2567"/>
      <c r="IHV83" s="2567"/>
      <c r="IHW83" s="2567"/>
      <c r="IHX83" s="2567"/>
      <c r="IHY83" s="2567"/>
      <c r="IHZ83" s="2567"/>
      <c r="IIA83" s="2567"/>
      <c r="IIB83" s="2567"/>
      <c r="IIC83" s="2567"/>
      <c r="IID83" s="2567"/>
      <c r="IIE83" s="2567"/>
      <c r="IIF83" s="2567"/>
      <c r="IIG83" s="2567"/>
      <c r="IIH83" s="2567"/>
      <c r="III83" s="2567"/>
      <c r="IIJ83" s="2567"/>
      <c r="IIK83" s="2567"/>
      <c r="IIL83" s="2567"/>
      <c r="IIM83" s="2567"/>
      <c r="IIN83" s="2567"/>
      <c r="IIO83" s="2567"/>
      <c r="IIP83" s="2567"/>
      <c r="IIQ83" s="2567"/>
      <c r="IIR83" s="2567"/>
      <c r="IIS83" s="2567"/>
      <c r="IIT83" s="2567"/>
      <c r="IIU83" s="2567"/>
      <c r="IIV83" s="2567"/>
      <c r="IIW83" s="2567"/>
      <c r="IIX83" s="2567"/>
      <c r="IIY83" s="2567"/>
      <c r="IIZ83" s="2567"/>
      <c r="IJA83" s="2567"/>
      <c r="IJB83" s="2567"/>
      <c r="IJC83" s="2567"/>
      <c r="IJD83" s="2567"/>
      <c r="IJE83" s="2567"/>
      <c r="IJF83" s="2567"/>
      <c r="IJG83" s="2567"/>
      <c r="IJH83" s="2567"/>
      <c r="IJI83" s="2567"/>
      <c r="IJJ83" s="2567"/>
      <c r="IJK83" s="2567"/>
      <c r="IJL83" s="2567"/>
      <c r="IJM83" s="2567"/>
      <c r="IJN83" s="2567"/>
      <c r="IJO83" s="2567"/>
      <c r="IJP83" s="2567"/>
      <c r="IJQ83" s="2567"/>
      <c r="IJR83" s="2567"/>
      <c r="IJS83" s="2567"/>
      <c r="IJT83" s="2567"/>
      <c r="IJU83" s="2567"/>
      <c r="IJV83" s="2567"/>
      <c r="IJW83" s="2567"/>
      <c r="IJX83" s="2567"/>
      <c r="IJY83" s="2567"/>
      <c r="IJZ83" s="2567"/>
      <c r="IKA83" s="2567"/>
      <c r="IKB83" s="2567"/>
      <c r="IKC83" s="2567"/>
      <c r="IKD83" s="2567"/>
      <c r="IKE83" s="2567"/>
      <c r="IKF83" s="2567"/>
      <c r="IKG83" s="2567"/>
      <c r="IKH83" s="2567"/>
      <c r="IKI83" s="2567"/>
      <c r="IKJ83" s="2567"/>
      <c r="IKK83" s="2567"/>
      <c r="IKL83" s="2567"/>
      <c r="IKM83" s="2567"/>
      <c r="IKN83" s="2567"/>
      <c r="IKO83" s="2567"/>
      <c r="IKP83" s="2567"/>
      <c r="IKQ83" s="2567"/>
      <c r="IKR83" s="2567"/>
      <c r="IKS83" s="2567"/>
      <c r="IKT83" s="2567"/>
      <c r="IKU83" s="2567"/>
      <c r="IKV83" s="2567"/>
      <c r="IKW83" s="2567"/>
      <c r="IKX83" s="2567"/>
      <c r="IKY83" s="2567"/>
      <c r="IKZ83" s="2567"/>
      <c r="ILA83" s="2567"/>
      <c r="ILB83" s="2567"/>
      <c r="ILC83" s="2567"/>
      <c r="ILD83" s="2567"/>
      <c r="ILE83" s="2567"/>
      <c r="ILF83" s="2567"/>
      <c r="ILG83" s="2567"/>
      <c r="ILH83" s="2567"/>
      <c r="ILI83" s="2567"/>
      <c r="ILJ83" s="2567"/>
      <c r="ILK83" s="2567"/>
      <c r="ILL83" s="2567"/>
      <c r="ILM83" s="2567"/>
      <c r="ILN83" s="2567"/>
      <c r="ILO83" s="2567"/>
      <c r="ILP83" s="2567"/>
      <c r="ILQ83" s="2567"/>
      <c r="ILR83" s="2567"/>
      <c r="ILS83" s="2567"/>
      <c r="ILT83" s="2567"/>
      <c r="ILU83" s="2567"/>
      <c r="ILV83" s="2567"/>
      <c r="ILW83" s="2567"/>
      <c r="ILX83" s="2567"/>
      <c r="ILY83" s="2567"/>
      <c r="ILZ83" s="2567"/>
      <c r="IMA83" s="2567"/>
      <c r="IMB83" s="2567"/>
      <c r="IMC83" s="2567"/>
      <c r="IMD83" s="2567"/>
      <c r="IME83" s="2567"/>
      <c r="IMF83" s="2567"/>
      <c r="IMG83" s="2567"/>
      <c r="IMH83" s="2567"/>
      <c r="IMI83" s="2567"/>
      <c r="IMJ83" s="2567"/>
      <c r="IMK83" s="2567"/>
      <c r="IML83" s="2567"/>
      <c r="IMM83" s="2567"/>
      <c r="IMN83" s="2567"/>
      <c r="IMO83" s="2567"/>
      <c r="IMP83" s="2567"/>
      <c r="IMQ83" s="2567"/>
      <c r="IMR83" s="2567"/>
      <c r="IMS83" s="2567"/>
      <c r="IMT83" s="2567"/>
      <c r="IMU83" s="2567"/>
      <c r="IMV83" s="2567"/>
      <c r="IMW83" s="2567"/>
      <c r="IMX83" s="2567"/>
      <c r="IMY83" s="2567"/>
      <c r="IMZ83" s="2567"/>
      <c r="INA83" s="2567"/>
      <c r="INB83" s="2567"/>
      <c r="INC83" s="2567"/>
      <c r="IND83" s="2567"/>
      <c r="INE83" s="2567"/>
      <c r="INF83" s="2567"/>
      <c r="ING83" s="2567"/>
      <c r="INH83" s="2567"/>
      <c r="INI83" s="2567"/>
      <c r="INJ83" s="2567"/>
      <c r="INK83" s="2567"/>
      <c r="INL83" s="2567"/>
      <c r="INM83" s="2567"/>
      <c r="INN83" s="2567"/>
      <c r="INO83" s="2567"/>
      <c r="INP83" s="2567"/>
      <c r="INQ83" s="2567"/>
      <c r="INR83" s="2567"/>
      <c r="INS83" s="2567"/>
      <c r="INT83" s="2567"/>
      <c r="INU83" s="2567"/>
      <c r="INV83" s="2567"/>
      <c r="INW83" s="2567"/>
      <c r="INX83" s="2567"/>
      <c r="INY83" s="2567"/>
      <c r="INZ83" s="2567"/>
      <c r="IOA83" s="2567"/>
      <c r="IOB83" s="2567"/>
      <c r="IOC83" s="2567"/>
      <c r="IOD83" s="2567"/>
      <c r="IOE83" s="2567"/>
      <c r="IOF83" s="2567"/>
      <c r="IOG83" s="2567"/>
      <c r="IOH83" s="2567"/>
      <c r="IOI83" s="2567"/>
      <c r="IOJ83" s="2567"/>
      <c r="IOK83" s="2567"/>
      <c r="IOL83" s="2567"/>
      <c r="IOM83" s="2567"/>
      <c r="ION83" s="2567"/>
      <c r="IOO83" s="2567"/>
      <c r="IOP83" s="2567"/>
      <c r="IOQ83" s="2567"/>
      <c r="IOR83" s="2567"/>
      <c r="IOS83" s="2567"/>
      <c r="IOT83" s="2567"/>
      <c r="IOU83" s="2567"/>
      <c r="IOV83" s="2567"/>
      <c r="IOW83" s="2567"/>
      <c r="IOX83" s="2567"/>
      <c r="IOY83" s="2567"/>
      <c r="IOZ83" s="2567"/>
      <c r="IPA83" s="2567"/>
      <c r="IPB83" s="2567"/>
      <c r="IPC83" s="2567"/>
      <c r="IPD83" s="2567"/>
      <c r="IPE83" s="2567"/>
      <c r="IPF83" s="2567"/>
      <c r="IPG83" s="2567"/>
      <c r="IPH83" s="2567"/>
      <c r="IPI83" s="2567"/>
      <c r="IPJ83" s="2567"/>
      <c r="IPK83" s="2567"/>
      <c r="IPL83" s="2567"/>
      <c r="IPM83" s="2567"/>
      <c r="IPN83" s="2567"/>
      <c r="IPO83" s="2567"/>
      <c r="IPP83" s="2567"/>
      <c r="IPQ83" s="2567"/>
      <c r="IPR83" s="2567"/>
      <c r="IPS83" s="2567"/>
      <c r="IPT83" s="2567"/>
      <c r="IPU83" s="2567"/>
      <c r="IPV83" s="2567"/>
      <c r="IPW83" s="2567"/>
      <c r="IPX83" s="2567"/>
      <c r="IPY83" s="2567"/>
      <c r="IPZ83" s="2567"/>
      <c r="IQA83" s="2567"/>
      <c r="IQB83" s="2567"/>
      <c r="IQC83" s="2567"/>
      <c r="IQD83" s="2567"/>
      <c r="IQE83" s="2567"/>
      <c r="IQF83" s="2567"/>
      <c r="IQG83" s="2567"/>
      <c r="IQH83" s="2567"/>
      <c r="IQI83" s="2567"/>
      <c r="IQJ83" s="2567"/>
      <c r="IQK83" s="2567"/>
      <c r="IQL83" s="2567"/>
      <c r="IQM83" s="2567"/>
      <c r="IQN83" s="2567"/>
      <c r="IQO83" s="2567"/>
      <c r="IQP83" s="2567"/>
      <c r="IQQ83" s="2567"/>
      <c r="IQR83" s="2567"/>
      <c r="IQS83" s="2567"/>
      <c r="IQT83" s="2567"/>
      <c r="IQU83" s="2567"/>
      <c r="IQV83" s="2567"/>
      <c r="IQW83" s="2567"/>
      <c r="IQX83" s="2567"/>
      <c r="IQY83" s="2567"/>
      <c r="IQZ83" s="2567"/>
      <c r="IRA83" s="2567"/>
      <c r="IRB83" s="2567"/>
      <c r="IRC83" s="2567"/>
      <c r="IRD83" s="2567"/>
      <c r="IRE83" s="2567"/>
      <c r="IRF83" s="2567"/>
      <c r="IRG83" s="2567"/>
      <c r="IRH83" s="2567"/>
      <c r="IRI83" s="2567"/>
      <c r="IRJ83" s="2567"/>
      <c r="IRK83" s="2567"/>
      <c r="IRL83" s="2567"/>
      <c r="IRM83" s="2567"/>
      <c r="IRN83" s="2567"/>
      <c r="IRO83" s="2567"/>
      <c r="IRP83" s="2567"/>
      <c r="IRQ83" s="2567"/>
      <c r="IRR83" s="2567"/>
      <c r="IRS83" s="2567"/>
      <c r="IRT83" s="2567"/>
      <c r="IRU83" s="2567"/>
      <c r="IRV83" s="2567"/>
      <c r="IRW83" s="2567"/>
      <c r="IRX83" s="2567"/>
      <c r="IRY83" s="2567"/>
      <c r="IRZ83" s="2567"/>
      <c r="ISA83" s="2567"/>
      <c r="ISB83" s="2567"/>
      <c r="ISC83" s="2567"/>
      <c r="ISD83" s="2567"/>
      <c r="ISE83" s="2567"/>
      <c r="ISF83" s="2567"/>
      <c r="ISG83" s="2567"/>
      <c r="ISH83" s="2567"/>
      <c r="ISI83" s="2567"/>
      <c r="ISJ83" s="2567"/>
      <c r="ISK83" s="2567"/>
      <c r="ISL83" s="2567"/>
      <c r="ISM83" s="2567"/>
      <c r="ISN83" s="2567"/>
      <c r="ISO83" s="2567"/>
      <c r="ISP83" s="2567"/>
      <c r="ISQ83" s="2567"/>
      <c r="ISR83" s="2567"/>
      <c r="ISS83" s="2567"/>
      <c r="IST83" s="2567"/>
      <c r="ISU83" s="2567"/>
      <c r="ISV83" s="2567"/>
      <c r="ISW83" s="2567"/>
      <c r="ISX83" s="2567"/>
      <c r="ISY83" s="2567"/>
      <c r="ISZ83" s="2567"/>
      <c r="ITA83" s="2567"/>
      <c r="ITB83" s="2567"/>
      <c r="ITC83" s="2567"/>
      <c r="ITD83" s="2567"/>
      <c r="ITE83" s="2567"/>
      <c r="ITF83" s="2567"/>
      <c r="ITG83" s="2567"/>
      <c r="ITH83" s="2567"/>
      <c r="ITI83" s="2567"/>
      <c r="ITJ83" s="2567"/>
      <c r="ITK83" s="2567"/>
      <c r="ITL83" s="2567"/>
      <c r="ITM83" s="2567"/>
      <c r="ITN83" s="2567"/>
      <c r="ITO83" s="2567"/>
      <c r="ITP83" s="2567"/>
      <c r="ITQ83" s="2567"/>
      <c r="ITR83" s="2567"/>
      <c r="ITS83" s="2567"/>
      <c r="ITT83" s="2567"/>
      <c r="ITU83" s="2567"/>
      <c r="ITV83" s="2567"/>
      <c r="ITW83" s="2567"/>
      <c r="ITX83" s="2567"/>
      <c r="ITY83" s="2567"/>
      <c r="ITZ83" s="2567"/>
      <c r="IUA83" s="2567"/>
      <c r="IUB83" s="2567"/>
      <c r="IUC83" s="2567"/>
      <c r="IUD83" s="2567"/>
      <c r="IUE83" s="2567"/>
      <c r="IUF83" s="2567"/>
      <c r="IUG83" s="2567"/>
      <c r="IUH83" s="2567"/>
      <c r="IUI83" s="2567"/>
      <c r="IUJ83" s="2567"/>
      <c r="IUK83" s="2567"/>
      <c r="IUL83" s="2567"/>
      <c r="IUM83" s="2567"/>
      <c r="IUN83" s="2567"/>
      <c r="IUO83" s="2567"/>
      <c r="IUP83" s="2567"/>
      <c r="IUQ83" s="2567"/>
      <c r="IUR83" s="2567"/>
      <c r="IUS83" s="2567"/>
      <c r="IUT83" s="2567"/>
      <c r="IUU83" s="2567"/>
      <c r="IUV83" s="2567"/>
      <c r="IUW83" s="2567"/>
      <c r="IUX83" s="2567"/>
      <c r="IUY83" s="2567"/>
      <c r="IUZ83" s="2567"/>
      <c r="IVA83" s="2567"/>
      <c r="IVB83" s="2567"/>
      <c r="IVC83" s="2567"/>
      <c r="IVD83" s="2567"/>
      <c r="IVE83" s="2567"/>
      <c r="IVF83" s="2567"/>
      <c r="IVG83" s="2567"/>
      <c r="IVH83" s="2567"/>
      <c r="IVI83" s="2567"/>
      <c r="IVJ83" s="2567"/>
      <c r="IVK83" s="2567"/>
      <c r="IVL83" s="2567"/>
      <c r="IVM83" s="2567"/>
      <c r="IVN83" s="2567"/>
      <c r="IVO83" s="2567"/>
      <c r="IVP83" s="2567"/>
      <c r="IVQ83" s="2567"/>
      <c r="IVR83" s="2567"/>
      <c r="IVS83" s="2567"/>
      <c r="IVT83" s="2567"/>
      <c r="IVU83" s="2567"/>
      <c r="IVV83" s="2567"/>
      <c r="IVW83" s="2567"/>
      <c r="IVX83" s="2567"/>
      <c r="IVY83" s="2567"/>
      <c r="IVZ83" s="2567"/>
      <c r="IWA83" s="2567"/>
      <c r="IWB83" s="2567"/>
      <c r="IWC83" s="2567"/>
      <c r="IWD83" s="2567"/>
      <c r="IWE83" s="2567"/>
      <c r="IWF83" s="2567"/>
      <c r="IWG83" s="2567"/>
      <c r="IWH83" s="2567"/>
      <c r="IWI83" s="2567"/>
      <c r="IWJ83" s="2567"/>
      <c r="IWK83" s="2567"/>
      <c r="IWL83" s="2567"/>
      <c r="IWM83" s="2567"/>
      <c r="IWN83" s="2567"/>
      <c r="IWO83" s="2567"/>
      <c r="IWP83" s="2567"/>
      <c r="IWQ83" s="2567"/>
      <c r="IWR83" s="2567"/>
      <c r="IWS83" s="2567"/>
      <c r="IWT83" s="2567"/>
      <c r="IWU83" s="2567"/>
      <c r="IWV83" s="2567"/>
      <c r="IWW83" s="2567"/>
      <c r="IWX83" s="2567"/>
      <c r="IWY83" s="2567"/>
      <c r="IWZ83" s="2567"/>
      <c r="IXA83" s="2567"/>
      <c r="IXB83" s="2567"/>
      <c r="IXC83" s="2567"/>
      <c r="IXD83" s="2567"/>
      <c r="IXE83" s="2567"/>
      <c r="IXF83" s="2567"/>
      <c r="IXG83" s="2567"/>
      <c r="IXH83" s="2567"/>
      <c r="IXI83" s="2567"/>
      <c r="IXJ83" s="2567"/>
      <c r="IXK83" s="2567"/>
      <c r="IXL83" s="2567"/>
      <c r="IXM83" s="2567"/>
      <c r="IXN83" s="2567"/>
      <c r="IXO83" s="2567"/>
      <c r="IXP83" s="2567"/>
      <c r="IXQ83" s="2567"/>
      <c r="IXR83" s="2567"/>
      <c r="IXS83" s="2567"/>
      <c r="IXT83" s="2567"/>
      <c r="IXU83" s="2567"/>
      <c r="IXV83" s="2567"/>
      <c r="IXW83" s="2567"/>
      <c r="IXX83" s="2567"/>
      <c r="IXY83" s="2567"/>
      <c r="IXZ83" s="2567"/>
      <c r="IYA83" s="2567"/>
      <c r="IYB83" s="2567"/>
      <c r="IYC83" s="2567"/>
      <c r="IYD83" s="2567"/>
      <c r="IYE83" s="2567"/>
      <c r="IYF83" s="2567"/>
      <c r="IYG83" s="2567"/>
      <c r="IYH83" s="2567"/>
      <c r="IYI83" s="2567"/>
      <c r="IYJ83" s="2567"/>
      <c r="IYK83" s="2567"/>
      <c r="IYL83" s="2567"/>
      <c r="IYM83" s="2567"/>
      <c r="IYN83" s="2567"/>
      <c r="IYO83" s="2567"/>
      <c r="IYP83" s="2567"/>
      <c r="IYQ83" s="2567"/>
      <c r="IYR83" s="2567"/>
      <c r="IYS83" s="2567"/>
      <c r="IYT83" s="2567"/>
      <c r="IYU83" s="2567"/>
      <c r="IYV83" s="2567"/>
      <c r="IYW83" s="2567"/>
      <c r="IYX83" s="2567"/>
      <c r="IYY83" s="2567"/>
      <c r="IYZ83" s="2567"/>
      <c r="IZA83" s="2567"/>
      <c r="IZB83" s="2567"/>
      <c r="IZC83" s="2567"/>
      <c r="IZD83" s="2567"/>
      <c r="IZE83" s="2567"/>
      <c r="IZF83" s="2567"/>
      <c r="IZG83" s="2567"/>
      <c r="IZH83" s="2567"/>
      <c r="IZI83" s="2567"/>
      <c r="IZJ83" s="2567"/>
      <c r="IZK83" s="2567"/>
      <c r="IZL83" s="2567"/>
      <c r="IZM83" s="2567"/>
      <c r="IZN83" s="2567"/>
      <c r="IZO83" s="2567"/>
      <c r="IZP83" s="2567"/>
      <c r="IZQ83" s="2567"/>
      <c r="IZR83" s="2567"/>
      <c r="IZS83" s="2567"/>
      <c r="IZT83" s="2567"/>
      <c r="IZU83" s="2567"/>
      <c r="IZV83" s="2567"/>
      <c r="IZW83" s="2567"/>
      <c r="IZX83" s="2567"/>
      <c r="IZY83" s="2567"/>
      <c r="IZZ83" s="2567"/>
      <c r="JAA83" s="2567"/>
      <c r="JAB83" s="2567"/>
      <c r="JAC83" s="2567"/>
      <c r="JAD83" s="2567"/>
      <c r="JAE83" s="2567"/>
      <c r="JAF83" s="2567"/>
      <c r="JAG83" s="2567"/>
      <c r="JAH83" s="2567"/>
      <c r="JAI83" s="2567"/>
      <c r="JAJ83" s="2567"/>
      <c r="JAK83" s="2567"/>
      <c r="JAL83" s="2567"/>
      <c r="JAM83" s="2567"/>
      <c r="JAN83" s="2567"/>
      <c r="JAO83" s="2567"/>
      <c r="JAP83" s="2567"/>
      <c r="JAQ83" s="2567"/>
      <c r="JAR83" s="2567"/>
      <c r="JAS83" s="2567"/>
      <c r="JAT83" s="2567"/>
      <c r="JAU83" s="2567"/>
      <c r="JAV83" s="2567"/>
      <c r="JAW83" s="2567"/>
      <c r="JAX83" s="2567"/>
      <c r="JAY83" s="2567"/>
      <c r="JAZ83" s="2567"/>
      <c r="JBA83" s="2567"/>
      <c r="JBB83" s="2567"/>
      <c r="JBC83" s="2567"/>
      <c r="JBD83" s="2567"/>
      <c r="JBE83" s="2567"/>
      <c r="JBF83" s="2567"/>
      <c r="JBG83" s="2567"/>
      <c r="JBH83" s="2567"/>
      <c r="JBI83" s="2567"/>
      <c r="JBJ83" s="2567"/>
      <c r="JBK83" s="2567"/>
      <c r="JBL83" s="2567"/>
      <c r="JBM83" s="2567"/>
      <c r="JBN83" s="2567"/>
      <c r="JBO83" s="2567"/>
      <c r="JBP83" s="2567"/>
      <c r="JBQ83" s="2567"/>
      <c r="JBR83" s="2567"/>
      <c r="JBS83" s="2567"/>
      <c r="JBT83" s="2567"/>
      <c r="JBU83" s="2567"/>
      <c r="JBV83" s="2567"/>
      <c r="JBW83" s="2567"/>
      <c r="JBX83" s="2567"/>
      <c r="JBY83" s="2567"/>
      <c r="JBZ83" s="2567"/>
      <c r="JCA83" s="2567"/>
      <c r="JCB83" s="2567"/>
      <c r="JCC83" s="2567"/>
      <c r="JCD83" s="2567"/>
      <c r="JCE83" s="2567"/>
      <c r="JCF83" s="2567"/>
      <c r="JCG83" s="2567"/>
      <c r="JCH83" s="2567"/>
      <c r="JCI83" s="2567"/>
      <c r="JCJ83" s="2567"/>
      <c r="JCK83" s="2567"/>
      <c r="JCL83" s="2567"/>
      <c r="JCM83" s="2567"/>
      <c r="JCN83" s="2567"/>
      <c r="JCO83" s="2567"/>
      <c r="JCP83" s="2567"/>
      <c r="JCQ83" s="2567"/>
      <c r="JCR83" s="2567"/>
      <c r="JCS83" s="2567"/>
      <c r="JCT83" s="2567"/>
      <c r="JCU83" s="2567"/>
      <c r="JCV83" s="2567"/>
      <c r="JCW83" s="2567"/>
      <c r="JCX83" s="2567"/>
      <c r="JCY83" s="2567"/>
      <c r="JCZ83" s="2567"/>
      <c r="JDA83" s="2567"/>
      <c r="JDB83" s="2567"/>
      <c r="JDC83" s="2567"/>
      <c r="JDD83" s="2567"/>
      <c r="JDE83" s="2567"/>
      <c r="JDF83" s="2567"/>
      <c r="JDG83" s="2567"/>
      <c r="JDH83" s="2567"/>
      <c r="JDI83" s="2567"/>
      <c r="JDJ83" s="2567"/>
      <c r="JDK83" s="2567"/>
      <c r="JDL83" s="2567"/>
      <c r="JDM83" s="2567"/>
      <c r="JDN83" s="2567"/>
      <c r="JDO83" s="2567"/>
      <c r="JDP83" s="2567"/>
      <c r="JDQ83" s="2567"/>
      <c r="JDR83" s="2567"/>
      <c r="JDS83" s="2567"/>
      <c r="JDT83" s="2567"/>
      <c r="JDU83" s="2567"/>
      <c r="JDV83" s="2567"/>
      <c r="JDW83" s="2567"/>
      <c r="JDX83" s="2567"/>
      <c r="JDY83" s="2567"/>
      <c r="JDZ83" s="2567"/>
      <c r="JEA83" s="2567"/>
      <c r="JEB83" s="2567"/>
      <c r="JEC83" s="2567"/>
      <c r="JED83" s="2567"/>
      <c r="JEE83" s="2567"/>
      <c r="JEF83" s="2567"/>
      <c r="JEG83" s="2567"/>
      <c r="JEH83" s="2567"/>
      <c r="JEI83" s="2567"/>
      <c r="JEJ83" s="2567"/>
      <c r="JEK83" s="2567"/>
      <c r="JEL83" s="2567"/>
      <c r="JEM83" s="2567"/>
      <c r="JEN83" s="2567"/>
      <c r="JEO83" s="2567"/>
      <c r="JEP83" s="2567"/>
      <c r="JEQ83" s="2567"/>
      <c r="JER83" s="2567"/>
      <c r="JES83" s="2567"/>
      <c r="JET83" s="2567"/>
      <c r="JEU83" s="2567"/>
      <c r="JEV83" s="2567"/>
      <c r="JEW83" s="2567"/>
      <c r="JEX83" s="2567"/>
      <c r="JEY83" s="2567"/>
      <c r="JEZ83" s="2567"/>
      <c r="JFA83" s="2567"/>
      <c r="JFB83" s="2567"/>
      <c r="JFC83" s="2567"/>
      <c r="JFD83" s="2567"/>
      <c r="JFE83" s="2567"/>
      <c r="JFF83" s="2567"/>
      <c r="JFG83" s="2567"/>
      <c r="JFH83" s="2567"/>
      <c r="JFI83" s="2567"/>
      <c r="JFJ83" s="2567"/>
      <c r="JFK83" s="2567"/>
      <c r="JFL83" s="2567"/>
      <c r="JFM83" s="2567"/>
      <c r="JFN83" s="2567"/>
      <c r="JFO83" s="2567"/>
      <c r="JFP83" s="2567"/>
      <c r="JFQ83" s="2567"/>
      <c r="JFR83" s="2567"/>
      <c r="JFS83" s="2567"/>
      <c r="JFT83" s="2567"/>
      <c r="JFU83" s="2567"/>
      <c r="JFV83" s="2567"/>
      <c r="JFW83" s="2567"/>
      <c r="JFX83" s="2567"/>
      <c r="JFY83" s="2567"/>
      <c r="JFZ83" s="2567"/>
      <c r="JGA83" s="2567"/>
      <c r="JGB83" s="2567"/>
      <c r="JGC83" s="2567"/>
      <c r="JGD83" s="2567"/>
      <c r="JGE83" s="2567"/>
      <c r="JGF83" s="2567"/>
      <c r="JGG83" s="2567"/>
      <c r="JGH83" s="2567"/>
      <c r="JGI83" s="2567"/>
      <c r="JGJ83" s="2567"/>
      <c r="JGK83" s="2567"/>
      <c r="JGL83" s="2567"/>
      <c r="JGM83" s="2567"/>
      <c r="JGN83" s="2567"/>
      <c r="JGO83" s="2567"/>
      <c r="JGP83" s="2567"/>
      <c r="JGQ83" s="2567"/>
      <c r="JGR83" s="2567"/>
      <c r="JGS83" s="2567"/>
      <c r="JGT83" s="2567"/>
      <c r="JGU83" s="2567"/>
      <c r="JGV83" s="2567"/>
      <c r="JGW83" s="2567"/>
      <c r="JGX83" s="2567"/>
      <c r="JGY83" s="2567"/>
      <c r="JGZ83" s="2567"/>
      <c r="JHA83" s="2567"/>
      <c r="JHB83" s="2567"/>
      <c r="JHC83" s="2567"/>
      <c r="JHD83" s="2567"/>
      <c r="JHE83" s="2567"/>
      <c r="JHF83" s="2567"/>
      <c r="JHG83" s="2567"/>
      <c r="JHH83" s="2567"/>
      <c r="JHI83" s="2567"/>
      <c r="JHJ83" s="2567"/>
      <c r="JHK83" s="2567"/>
      <c r="JHL83" s="2567"/>
      <c r="JHM83" s="2567"/>
      <c r="JHN83" s="2567"/>
      <c r="JHO83" s="2567"/>
      <c r="JHP83" s="2567"/>
      <c r="JHQ83" s="2567"/>
      <c r="JHR83" s="2567"/>
      <c r="JHS83" s="2567"/>
      <c r="JHT83" s="2567"/>
      <c r="JHU83" s="2567"/>
      <c r="JHV83" s="2567"/>
      <c r="JHW83" s="2567"/>
      <c r="JHX83" s="2567"/>
      <c r="JHY83" s="2567"/>
      <c r="JHZ83" s="2567"/>
      <c r="JIA83" s="2567"/>
      <c r="JIB83" s="2567"/>
      <c r="JIC83" s="2567"/>
      <c r="JID83" s="2567"/>
      <c r="JIE83" s="2567"/>
      <c r="JIF83" s="2567"/>
      <c r="JIG83" s="2567"/>
      <c r="JIH83" s="2567"/>
      <c r="JII83" s="2567"/>
      <c r="JIJ83" s="2567"/>
      <c r="JIK83" s="2567"/>
      <c r="JIL83" s="2567"/>
      <c r="JIM83" s="2567"/>
      <c r="JIN83" s="2567"/>
      <c r="JIO83" s="2567"/>
      <c r="JIP83" s="2567"/>
      <c r="JIQ83" s="2567"/>
      <c r="JIR83" s="2567"/>
      <c r="JIS83" s="2567"/>
      <c r="JIT83" s="2567"/>
      <c r="JIU83" s="2567"/>
      <c r="JIV83" s="2567"/>
      <c r="JIW83" s="2567"/>
      <c r="JIX83" s="2567"/>
      <c r="JIY83" s="2567"/>
      <c r="JIZ83" s="2567"/>
      <c r="JJA83" s="2567"/>
      <c r="JJB83" s="2567"/>
      <c r="JJC83" s="2567"/>
      <c r="JJD83" s="2567"/>
      <c r="JJE83" s="2567"/>
      <c r="JJF83" s="2567"/>
      <c r="JJG83" s="2567"/>
      <c r="JJH83" s="2567"/>
      <c r="JJI83" s="2567"/>
      <c r="JJJ83" s="2567"/>
      <c r="JJK83" s="2567"/>
      <c r="JJL83" s="2567"/>
      <c r="JJM83" s="2567"/>
      <c r="JJN83" s="2567"/>
      <c r="JJO83" s="2567"/>
      <c r="JJP83" s="2567"/>
      <c r="JJQ83" s="2567"/>
      <c r="JJR83" s="2567"/>
      <c r="JJS83" s="2567"/>
      <c r="JJT83" s="2567"/>
      <c r="JJU83" s="2567"/>
      <c r="JJV83" s="2567"/>
      <c r="JJW83" s="2567"/>
      <c r="JJX83" s="2567"/>
      <c r="JJY83" s="2567"/>
      <c r="JJZ83" s="2567"/>
      <c r="JKA83" s="2567"/>
      <c r="JKB83" s="2567"/>
      <c r="JKC83" s="2567"/>
      <c r="JKD83" s="2567"/>
      <c r="JKE83" s="2567"/>
      <c r="JKF83" s="2567"/>
      <c r="JKG83" s="2567"/>
      <c r="JKH83" s="2567"/>
      <c r="JKI83" s="2567"/>
      <c r="JKJ83" s="2567"/>
      <c r="JKK83" s="2567"/>
      <c r="JKL83" s="2567"/>
      <c r="JKM83" s="2567"/>
      <c r="JKN83" s="2567"/>
      <c r="JKO83" s="2567"/>
      <c r="JKP83" s="2567"/>
      <c r="JKQ83" s="2567"/>
      <c r="JKR83" s="2567"/>
      <c r="JKS83" s="2567"/>
      <c r="JKT83" s="2567"/>
      <c r="JKU83" s="2567"/>
      <c r="JKV83" s="2567"/>
      <c r="JKW83" s="2567"/>
      <c r="JKX83" s="2567"/>
      <c r="JKY83" s="2567"/>
      <c r="JKZ83" s="2567"/>
      <c r="JLA83" s="2567"/>
      <c r="JLB83" s="2567"/>
      <c r="JLC83" s="2567"/>
      <c r="JLD83" s="2567"/>
      <c r="JLE83" s="2567"/>
      <c r="JLF83" s="2567"/>
      <c r="JLG83" s="2567"/>
      <c r="JLH83" s="2567"/>
      <c r="JLI83" s="2567"/>
      <c r="JLJ83" s="2567"/>
      <c r="JLK83" s="2567"/>
      <c r="JLL83" s="2567"/>
      <c r="JLM83" s="2567"/>
      <c r="JLN83" s="2567"/>
      <c r="JLO83" s="2567"/>
      <c r="JLP83" s="2567"/>
      <c r="JLQ83" s="2567"/>
      <c r="JLR83" s="2567"/>
      <c r="JLS83" s="2567"/>
      <c r="JLT83" s="2567"/>
      <c r="JLU83" s="2567"/>
      <c r="JLV83" s="2567"/>
      <c r="JLW83" s="2567"/>
      <c r="JLX83" s="2567"/>
      <c r="JLY83" s="2567"/>
      <c r="JLZ83" s="2567"/>
      <c r="JMA83" s="2567"/>
      <c r="JMB83" s="2567"/>
      <c r="JMC83" s="2567"/>
      <c r="JMD83" s="2567"/>
      <c r="JME83" s="2567"/>
      <c r="JMF83" s="2567"/>
      <c r="JMG83" s="2567"/>
      <c r="JMH83" s="2567"/>
      <c r="JMI83" s="2567"/>
      <c r="JMJ83" s="2567"/>
      <c r="JMK83" s="2567"/>
      <c r="JML83" s="2567"/>
      <c r="JMM83" s="2567"/>
      <c r="JMN83" s="2567"/>
      <c r="JMO83" s="2567"/>
      <c r="JMP83" s="2567"/>
      <c r="JMQ83" s="2567"/>
      <c r="JMR83" s="2567"/>
      <c r="JMS83" s="2567"/>
      <c r="JMT83" s="2567"/>
      <c r="JMU83" s="2567"/>
      <c r="JMV83" s="2567"/>
      <c r="JMW83" s="2567"/>
      <c r="JMX83" s="2567"/>
      <c r="JMY83" s="2567"/>
      <c r="JMZ83" s="2567"/>
      <c r="JNA83" s="2567"/>
      <c r="JNB83" s="2567"/>
      <c r="JNC83" s="2567"/>
      <c r="JND83" s="2567"/>
      <c r="JNE83" s="2567"/>
      <c r="JNF83" s="2567"/>
      <c r="JNG83" s="2567"/>
      <c r="JNH83" s="2567"/>
      <c r="JNI83" s="2567"/>
      <c r="JNJ83" s="2567"/>
      <c r="JNK83" s="2567"/>
      <c r="JNL83" s="2567"/>
      <c r="JNM83" s="2567"/>
      <c r="JNN83" s="2567"/>
      <c r="JNO83" s="2567"/>
      <c r="JNP83" s="2567"/>
      <c r="JNQ83" s="2567"/>
      <c r="JNR83" s="2567"/>
      <c r="JNS83" s="2567"/>
      <c r="JNT83" s="2567"/>
      <c r="JNU83" s="2567"/>
      <c r="JNV83" s="2567"/>
      <c r="JNW83" s="2567"/>
      <c r="JNX83" s="2567"/>
      <c r="JNY83" s="2567"/>
      <c r="JNZ83" s="2567"/>
      <c r="JOA83" s="2567"/>
      <c r="JOB83" s="2567"/>
      <c r="JOC83" s="2567"/>
      <c r="JOD83" s="2567"/>
      <c r="JOE83" s="2567"/>
      <c r="JOF83" s="2567"/>
      <c r="JOG83" s="2567"/>
      <c r="JOH83" s="2567"/>
      <c r="JOI83" s="2567"/>
      <c r="JOJ83" s="2567"/>
      <c r="JOK83" s="2567"/>
      <c r="JOL83" s="2567"/>
      <c r="JOM83" s="2567"/>
      <c r="JON83" s="2567"/>
      <c r="JOO83" s="2567"/>
      <c r="JOP83" s="2567"/>
      <c r="JOQ83" s="2567"/>
      <c r="JOR83" s="2567"/>
      <c r="JOS83" s="2567"/>
      <c r="JOT83" s="2567"/>
      <c r="JOU83" s="2567"/>
      <c r="JOV83" s="2567"/>
      <c r="JOW83" s="2567"/>
      <c r="JOX83" s="2567"/>
      <c r="JOY83" s="2567"/>
      <c r="JOZ83" s="2567"/>
      <c r="JPA83" s="2567"/>
      <c r="JPB83" s="2567"/>
      <c r="JPC83" s="2567"/>
      <c r="JPD83" s="2567"/>
      <c r="JPE83" s="2567"/>
      <c r="JPF83" s="2567"/>
      <c r="JPG83" s="2567"/>
      <c r="JPH83" s="2567"/>
      <c r="JPI83" s="2567"/>
      <c r="JPJ83" s="2567"/>
      <c r="JPK83" s="2567"/>
      <c r="JPL83" s="2567"/>
      <c r="JPM83" s="2567"/>
      <c r="JPN83" s="2567"/>
      <c r="JPO83" s="2567"/>
      <c r="JPP83" s="2567"/>
      <c r="JPQ83" s="2567"/>
      <c r="JPR83" s="2567"/>
      <c r="JPS83" s="2567"/>
      <c r="JPT83" s="2567"/>
      <c r="JPU83" s="2567"/>
      <c r="JPV83" s="2567"/>
      <c r="JPW83" s="2567"/>
      <c r="JPX83" s="2567"/>
      <c r="JPY83" s="2567"/>
      <c r="JPZ83" s="2567"/>
      <c r="JQA83" s="2567"/>
      <c r="JQB83" s="2567"/>
      <c r="JQC83" s="2567"/>
      <c r="JQD83" s="2567"/>
      <c r="JQE83" s="2567"/>
      <c r="JQF83" s="2567"/>
      <c r="JQG83" s="2567"/>
      <c r="JQH83" s="2567"/>
      <c r="JQI83" s="2567"/>
      <c r="JQJ83" s="2567"/>
      <c r="JQK83" s="2567"/>
      <c r="JQL83" s="2567"/>
      <c r="JQM83" s="2567"/>
      <c r="JQN83" s="2567"/>
      <c r="JQO83" s="2567"/>
      <c r="JQP83" s="2567"/>
      <c r="JQQ83" s="2567"/>
      <c r="JQR83" s="2567"/>
      <c r="JQS83" s="2567"/>
      <c r="JQT83" s="2567"/>
      <c r="JQU83" s="2567"/>
      <c r="JQV83" s="2567"/>
      <c r="JQW83" s="2567"/>
      <c r="JQX83" s="2567"/>
      <c r="JQY83" s="2567"/>
      <c r="JQZ83" s="2567"/>
      <c r="JRA83" s="2567"/>
      <c r="JRB83" s="2567"/>
      <c r="JRC83" s="2567"/>
      <c r="JRD83" s="2567"/>
      <c r="JRE83" s="2567"/>
      <c r="JRF83" s="2567"/>
      <c r="JRG83" s="2567"/>
      <c r="JRH83" s="2567"/>
      <c r="JRI83" s="2567"/>
      <c r="JRJ83" s="2567"/>
      <c r="JRK83" s="2567"/>
      <c r="JRL83" s="2567"/>
      <c r="JRM83" s="2567"/>
      <c r="JRN83" s="2567"/>
      <c r="JRO83" s="2567"/>
      <c r="JRP83" s="2567"/>
      <c r="JRQ83" s="2567"/>
      <c r="JRR83" s="2567"/>
      <c r="JRS83" s="2567"/>
      <c r="JRT83" s="2567"/>
      <c r="JRU83" s="2567"/>
      <c r="JRV83" s="2567"/>
      <c r="JRW83" s="2567"/>
      <c r="JRX83" s="2567"/>
      <c r="JRY83" s="2567"/>
      <c r="JRZ83" s="2567"/>
      <c r="JSA83" s="2567"/>
      <c r="JSB83" s="2567"/>
      <c r="JSC83" s="2567"/>
      <c r="JSD83" s="2567"/>
      <c r="JSE83" s="2567"/>
      <c r="JSF83" s="2567"/>
      <c r="JSG83" s="2567"/>
      <c r="JSH83" s="2567"/>
      <c r="JSI83" s="2567"/>
      <c r="JSJ83" s="2567"/>
      <c r="JSK83" s="2567"/>
      <c r="JSL83" s="2567"/>
      <c r="JSM83" s="2567"/>
      <c r="JSN83" s="2567"/>
      <c r="JSO83" s="2567"/>
      <c r="JSP83" s="2567"/>
      <c r="JSQ83" s="2567"/>
      <c r="JSR83" s="2567"/>
      <c r="JSS83" s="2567"/>
      <c r="JST83" s="2567"/>
      <c r="JSU83" s="2567"/>
      <c r="JSV83" s="2567"/>
      <c r="JSW83" s="2567"/>
      <c r="JSX83" s="2567"/>
      <c r="JSY83" s="2567"/>
      <c r="JSZ83" s="2567"/>
      <c r="JTA83" s="2567"/>
      <c r="JTB83" s="2567"/>
      <c r="JTC83" s="2567"/>
      <c r="JTD83" s="2567"/>
      <c r="JTE83" s="2567"/>
      <c r="JTF83" s="2567"/>
      <c r="JTG83" s="2567"/>
      <c r="JTH83" s="2567"/>
      <c r="JTI83" s="2567"/>
      <c r="JTJ83" s="2567"/>
      <c r="JTK83" s="2567"/>
      <c r="JTL83" s="2567"/>
      <c r="JTM83" s="2567"/>
      <c r="JTN83" s="2567"/>
      <c r="JTO83" s="2567"/>
      <c r="JTP83" s="2567"/>
      <c r="JTQ83" s="2567"/>
      <c r="JTR83" s="2567"/>
      <c r="JTS83" s="2567"/>
      <c r="JTT83" s="2567"/>
      <c r="JTU83" s="2567"/>
      <c r="JTV83" s="2567"/>
      <c r="JTW83" s="2567"/>
      <c r="JTX83" s="2567"/>
      <c r="JTY83" s="2567"/>
      <c r="JTZ83" s="2567"/>
      <c r="JUA83" s="2567"/>
      <c r="JUB83" s="2567"/>
      <c r="JUC83" s="2567"/>
      <c r="JUD83" s="2567"/>
      <c r="JUE83" s="2567"/>
      <c r="JUF83" s="2567"/>
      <c r="JUG83" s="2567"/>
      <c r="JUH83" s="2567"/>
      <c r="JUI83" s="2567"/>
      <c r="JUJ83" s="2567"/>
      <c r="JUK83" s="2567"/>
      <c r="JUL83" s="2567"/>
      <c r="JUM83" s="2567"/>
      <c r="JUN83" s="2567"/>
      <c r="JUO83" s="2567"/>
      <c r="JUP83" s="2567"/>
      <c r="JUQ83" s="2567"/>
      <c r="JUR83" s="2567"/>
      <c r="JUS83" s="2567"/>
      <c r="JUT83" s="2567"/>
      <c r="JUU83" s="2567"/>
      <c r="JUV83" s="2567"/>
      <c r="JUW83" s="2567"/>
      <c r="JUX83" s="2567"/>
      <c r="JUY83" s="2567"/>
      <c r="JUZ83" s="2567"/>
      <c r="JVA83" s="2567"/>
      <c r="JVB83" s="2567"/>
      <c r="JVC83" s="2567"/>
      <c r="JVD83" s="2567"/>
      <c r="JVE83" s="2567"/>
      <c r="JVF83" s="2567"/>
      <c r="JVG83" s="2567"/>
      <c r="JVH83" s="2567"/>
      <c r="JVI83" s="2567"/>
      <c r="JVJ83" s="2567"/>
      <c r="JVK83" s="2567"/>
      <c r="JVL83" s="2567"/>
      <c r="JVM83" s="2567"/>
      <c r="JVN83" s="2567"/>
      <c r="JVO83" s="2567"/>
      <c r="JVP83" s="2567"/>
      <c r="JVQ83" s="2567"/>
      <c r="JVR83" s="2567"/>
      <c r="JVS83" s="2567"/>
      <c r="JVT83" s="2567"/>
      <c r="JVU83" s="2567"/>
      <c r="JVV83" s="2567"/>
      <c r="JVW83" s="2567"/>
      <c r="JVX83" s="2567"/>
      <c r="JVY83" s="2567"/>
      <c r="JVZ83" s="2567"/>
      <c r="JWA83" s="2567"/>
      <c r="JWB83" s="2567"/>
      <c r="JWC83" s="2567"/>
      <c r="JWD83" s="2567"/>
      <c r="JWE83" s="2567"/>
      <c r="JWF83" s="2567"/>
      <c r="JWG83" s="2567"/>
      <c r="JWH83" s="2567"/>
      <c r="JWI83" s="2567"/>
      <c r="JWJ83" s="2567"/>
      <c r="JWK83" s="2567"/>
      <c r="JWL83" s="2567"/>
      <c r="JWM83" s="2567"/>
      <c r="JWN83" s="2567"/>
      <c r="JWO83" s="2567"/>
      <c r="JWP83" s="2567"/>
      <c r="JWQ83" s="2567"/>
      <c r="JWR83" s="2567"/>
      <c r="JWS83" s="2567"/>
      <c r="JWT83" s="2567"/>
      <c r="JWU83" s="2567"/>
      <c r="JWV83" s="2567"/>
      <c r="JWW83" s="2567"/>
      <c r="JWX83" s="2567"/>
      <c r="JWY83" s="2567"/>
      <c r="JWZ83" s="2567"/>
      <c r="JXA83" s="2567"/>
      <c r="JXB83" s="2567"/>
      <c r="JXC83" s="2567"/>
      <c r="JXD83" s="2567"/>
      <c r="JXE83" s="2567"/>
      <c r="JXF83" s="2567"/>
      <c r="JXG83" s="2567"/>
      <c r="JXH83" s="2567"/>
      <c r="JXI83" s="2567"/>
      <c r="JXJ83" s="2567"/>
      <c r="JXK83" s="2567"/>
      <c r="JXL83" s="2567"/>
      <c r="JXM83" s="2567"/>
      <c r="JXN83" s="2567"/>
      <c r="JXO83" s="2567"/>
      <c r="JXP83" s="2567"/>
      <c r="JXQ83" s="2567"/>
      <c r="JXR83" s="2567"/>
      <c r="JXS83" s="2567"/>
      <c r="JXT83" s="2567"/>
      <c r="JXU83" s="2567"/>
      <c r="JXV83" s="2567"/>
      <c r="JXW83" s="2567"/>
      <c r="JXX83" s="2567"/>
      <c r="JXY83" s="2567"/>
      <c r="JXZ83" s="2567"/>
      <c r="JYA83" s="2567"/>
      <c r="JYB83" s="2567"/>
      <c r="JYC83" s="2567"/>
      <c r="JYD83" s="2567"/>
      <c r="JYE83" s="2567"/>
      <c r="JYF83" s="2567"/>
      <c r="JYG83" s="2567"/>
      <c r="JYH83" s="2567"/>
      <c r="JYI83" s="2567"/>
      <c r="JYJ83" s="2567"/>
      <c r="JYK83" s="2567"/>
      <c r="JYL83" s="2567"/>
      <c r="JYM83" s="2567"/>
      <c r="JYN83" s="2567"/>
      <c r="JYO83" s="2567"/>
      <c r="JYP83" s="2567"/>
      <c r="JYQ83" s="2567"/>
      <c r="JYR83" s="2567"/>
      <c r="JYS83" s="2567"/>
      <c r="JYT83" s="2567"/>
      <c r="JYU83" s="2567"/>
      <c r="JYV83" s="2567"/>
      <c r="JYW83" s="2567"/>
      <c r="JYX83" s="2567"/>
      <c r="JYY83" s="2567"/>
      <c r="JYZ83" s="2567"/>
      <c r="JZA83" s="2567"/>
      <c r="JZB83" s="2567"/>
      <c r="JZC83" s="2567"/>
      <c r="JZD83" s="2567"/>
      <c r="JZE83" s="2567"/>
      <c r="JZF83" s="2567"/>
      <c r="JZG83" s="2567"/>
      <c r="JZH83" s="2567"/>
      <c r="JZI83" s="2567"/>
      <c r="JZJ83" s="2567"/>
      <c r="JZK83" s="2567"/>
      <c r="JZL83" s="2567"/>
      <c r="JZM83" s="2567"/>
      <c r="JZN83" s="2567"/>
      <c r="JZO83" s="2567"/>
      <c r="JZP83" s="2567"/>
      <c r="JZQ83" s="2567"/>
      <c r="JZR83" s="2567"/>
      <c r="JZS83" s="2567"/>
      <c r="JZT83" s="2567"/>
      <c r="JZU83" s="2567"/>
      <c r="JZV83" s="2567"/>
      <c r="JZW83" s="2567"/>
      <c r="JZX83" s="2567"/>
      <c r="JZY83" s="2567"/>
      <c r="JZZ83" s="2567"/>
      <c r="KAA83" s="2567"/>
      <c r="KAB83" s="2567"/>
      <c r="KAC83" s="2567"/>
      <c r="KAD83" s="2567"/>
      <c r="KAE83" s="2567"/>
      <c r="KAF83" s="2567"/>
      <c r="KAG83" s="2567"/>
      <c r="KAH83" s="2567"/>
      <c r="KAI83" s="2567"/>
      <c r="KAJ83" s="2567"/>
      <c r="KAK83" s="2567"/>
      <c r="KAL83" s="2567"/>
      <c r="KAM83" s="2567"/>
      <c r="KAN83" s="2567"/>
      <c r="KAO83" s="2567"/>
      <c r="KAP83" s="2567"/>
      <c r="KAQ83" s="2567"/>
      <c r="KAR83" s="2567"/>
      <c r="KAS83" s="2567"/>
      <c r="KAT83" s="2567"/>
      <c r="KAU83" s="2567"/>
      <c r="KAV83" s="2567"/>
      <c r="KAW83" s="2567"/>
      <c r="KAX83" s="2567"/>
      <c r="KAY83" s="2567"/>
      <c r="KAZ83" s="2567"/>
      <c r="KBA83" s="2567"/>
      <c r="KBB83" s="2567"/>
      <c r="KBC83" s="2567"/>
      <c r="KBD83" s="2567"/>
      <c r="KBE83" s="2567"/>
      <c r="KBF83" s="2567"/>
      <c r="KBG83" s="2567"/>
      <c r="KBH83" s="2567"/>
      <c r="KBI83" s="2567"/>
      <c r="KBJ83" s="2567"/>
      <c r="KBK83" s="2567"/>
      <c r="KBL83" s="2567"/>
      <c r="KBM83" s="2567"/>
      <c r="KBN83" s="2567"/>
      <c r="KBO83" s="2567"/>
      <c r="KBP83" s="2567"/>
      <c r="KBQ83" s="2567"/>
      <c r="KBR83" s="2567"/>
      <c r="KBS83" s="2567"/>
      <c r="KBT83" s="2567"/>
      <c r="KBU83" s="2567"/>
      <c r="KBV83" s="2567"/>
      <c r="KBW83" s="2567"/>
      <c r="KBX83" s="2567"/>
      <c r="KBY83" s="2567"/>
      <c r="KBZ83" s="2567"/>
      <c r="KCA83" s="2567"/>
      <c r="KCB83" s="2567"/>
      <c r="KCC83" s="2567"/>
      <c r="KCD83" s="2567"/>
      <c r="KCE83" s="2567"/>
      <c r="KCF83" s="2567"/>
      <c r="KCG83" s="2567"/>
      <c r="KCH83" s="2567"/>
      <c r="KCI83" s="2567"/>
      <c r="KCJ83" s="2567"/>
      <c r="KCK83" s="2567"/>
      <c r="KCL83" s="2567"/>
      <c r="KCM83" s="2567"/>
      <c r="KCN83" s="2567"/>
      <c r="KCO83" s="2567"/>
      <c r="KCP83" s="2567"/>
      <c r="KCQ83" s="2567"/>
      <c r="KCR83" s="2567"/>
      <c r="KCS83" s="2567"/>
      <c r="KCT83" s="2567"/>
      <c r="KCU83" s="2567"/>
      <c r="KCV83" s="2567"/>
      <c r="KCW83" s="2567"/>
      <c r="KCX83" s="2567"/>
      <c r="KCY83" s="2567"/>
      <c r="KCZ83" s="2567"/>
      <c r="KDA83" s="2567"/>
      <c r="KDB83" s="2567"/>
      <c r="KDC83" s="2567"/>
      <c r="KDD83" s="2567"/>
      <c r="KDE83" s="2567"/>
      <c r="KDF83" s="2567"/>
      <c r="KDG83" s="2567"/>
      <c r="KDH83" s="2567"/>
      <c r="KDI83" s="2567"/>
      <c r="KDJ83" s="2567"/>
      <c r="KDK83" s="2567"/>
      <c r="KDL83" s="2567"/>
      <c r="KDM83" s="2567"/>
      <c r="KDN83" s="2567"/>
      <c r="KDO83" s="2567"/>
      <c r="KDP83" s="2567"/>
      <c r="KDQ83" s="2567"/>
      <c r="KDR83" s="2567"/>
      <c r="KDS83" s="2567"/>
      <c r="KDT83" s="2567"/>
      <c r="KDU83" s="2567"/>
      <c r="KDV83" s="2567"/>
      <c r="KDW83" s="2567"/>
      <c r="KDX83" s="2567"/>
      <c r="KDY83" s="2567"/>
      <c r="KDZ83" s="2567"/>
      <c r="KEA83" s="2567"/>
      <c r="KEB83" s="2567"/>
      <c r="KEC83" s="2567"/>
      <c r="KED83" s="2567"/>
      <c r="KEE83" s="2567"/>
      <c r="KEF83" s="2567"/>
      <c r="KEG83" s="2567"/>
      <c r="KEH83" s="2567"/>
      <c r="KEI83" s="2567"/>
      <c r="KEJ83" s="2567"/>
      <c r="KEK83" s="2567"/>
      <c r="KEL83" s="2567"/>
      <c r="KEM83" s="2567"/>
      <c r="KEN83" s="2567"/>
      <c r="KEO83" s="2567"/>
      <c r="KEP83" s="2567"/>
      <c r="KEQ83" s="2567"/>
      <c r="KER83" s="2567"/>
      <c r="KES83" s="2567"/>
      <c r="KET83" s="2567"/>
      <c r="KEU83" s="2567"/>
      <c r="KEV83" s="2567"/>
      <c r="KEW83" s="2567"/>
      <c r="KEX83" s="2567"/>
      <c r="KEY83" s="2567"/>
      <c r="KEZ83" s="2567"/>
      <c r="KFA83" s="2567"/>
      <c r="KFB83" s="2567"/>
      <c r="KFC83" s="2567"/>
      <c r="KFD83" s="2567"/>
      <c r="KFE83" s="2567"/>
      <c r="KFF83" s="2567"/>
      <c r="KFG83" s="2567"/>
      <c r="KFH83" s="2567"/>
      <c r="KFI83" s="2567"/>
      <c r="KFJ83" s="2567"/>
      <c r="KFK83" s="2567"/>
      <c r="KFL83" s="2567"/>
      <c r="KFM83" s="2567"/>
      <c r="KFN83" s="2567"/>
      <c r="KFO83" s="2567"/>
      <c r="KFP83" s="2567"/>
      <c r="KFQ83" s="2567"/>
      <c r="KFR83" s="2567"/>
      <c r="KFS83" s="2567"/>
      <c r="KFT83" s="2567"/>
      <c r="KFU83" s="2567"/>
      <c r="KFV83" s="2567"/>
      <c r="KFW83" s="2567"/>
      <c r="KFX83" s="2567"/>
      <c r="KFY83" s="2567"/>
      <c r="KFZ83" s="2567"/>
      <c r="KGA83" s="2567"/>
      <c r="KGB83" s="2567"/>
      <c r="KGC83" s="2567"/>
      <c r="KGD83" s="2567"/>
      <c r="KGE83" s="2567"/>
      <c r="KGF83" s="2567"/>
      <c r="KGG83" s="2567"/>
      <c r="KGH83" s="2567"/>
      <c r="KGI83" s="2567"/>
      <c r="KGJ83" s="2567"/>
      <c r="KGK83" s="2567"/>
      <c r="KGL83" s="2567"/>
      <c r="KGM83" s="2567"/>
      <c r="KGN83" s="2567"/>
      <c r="KGO83" s="2567"/>
      <c r="KGP83" s="2567"/>
      <c r="KGQ83" s="2567"/>
      <c r="KGR83" s="2567"/>
      <c r="KGS83" s="2567"/>
      <c r="KGT83" s="2567"/>
      <c r="KGU83" s="2567"/>
      <c r="KGV83" s="2567"/>
      <c r="KGW83" s="2567"/>
      <c r="KGX83" s="2567"/>
      <c r="KGY83" s="2567"/>
      <c r="KGZ83" s="2567"/>
      <c r="KHA83" s="2567"/>
      <c r="KHB83" s="2567"/>
      <c r="KHC83" s="2567"/>
      <c r="KHD83" s="2567"/>
      <c r="KHE83" s="2567"/>
      <c r="KHF83" s="2567"/>
      <c r="KHG83" s="2567"/>
      <c r="KHH83" s="2567"/>
      <c r="KHI83" s="2567"/>
      <c r="KHJ83" s="2567"/>
      <c r="KHK83" s="2567"/>
      <c r="KHL83" s="2567"/>
      <c r="KHM83" s="2567"/>
      <c r="KHN83" s="2567"/>
      <c r="KHO83" s="2567"/>
      <c r="KHP83" s="2567"/>
      <c r="KHQ83" s="2567"/>
      <c r="KHR83" s="2567"/>
      <c r="KHS83" s="2567"/>
      <c r="KHT83" s="2567"/>
      <c r="KHU83" s="2567"/>
      <c r="KHV83" s="2567"/>
      <c r="KHW83" s="2567"/>
      <c r="KHX83" s="2567"/>
      <c r="KHY83" s="2567"/>
      <c r="KHZ83" s="2567"/>
      <c r="KIA83" s="2567"/>
      <c r="KIB83" s="2567"/>
      <c r="KIC83" s="2567"/>
      <c r="KID83" s="2567"/>
      <c r="KIE83" s="2567"/>
      <c r="KIF83" s="2567"/>
      <c r="KIG83" s="2567"/>
      <c r="KIH83" s="2567"/>
      <c r="KII83" s="2567"/>
      <c r="KIJ83" s="2567"/>
      <c r="KIK83" s="2567"/>
      <c r="KIL83" s="2567"/>
      <c r="KIM83" s="2567"/>
      <c r="KIN83" s="2567"/>
      <c r="KIO83" s="2567"/>
      <c r="KIP83" s="2567"/>
      <c r="KIQ83" s="2567"/>
      <c r="KIR83" s="2567"/>
      <c r="KIS83" s="2567"/>
      <c r="KIT83" s="2567"/>
      <c r="KIU83" s="2567"/>
      <c r="KIV83" s="2567"/>
      <c r="KIW83" s="2567"/>
      <c r="KIX83" s="2567"/>
      <c r="KIY83" s="2567"/>
      <c r="KIZ83" s="2567"/>
      <c r="KJA83" s="2567"/>
      <c r="KJB83" s="2567"/>
      <c r="KJC83" s="2567"/>
      <c r="KJD83" s="2567"/>
      <c r="KJE83" s="2567"/>
      <c r="KJF83" s="2567"/>
      <c r="KJG83" s="2567"/>
      <c r="KJH83" s="2567"/>
      <c r="KJI83" s="2567"/>
      <c r="KJJ83" s="2567"/>
      <c r="KJK83" s="2567"/>
      <c r="KJL83" s="2567"/>
      <c r="KJM83" s="2567"/>
      <c r="KJN83" s="2567"/>
      <c r="KJO83" s="2567"/>
      <c r="KJP83" s="2567"/>
      <c r="KJQ83" s="2567"/>
      <c r="KJR83" s="2567"/>
      <c r="KJS83" s="2567"/>
      <c r="KJT83" s="2567"/>
      <c r="KJU83" s="2567"/>
      <c r="KJV83" s="2567"/>
      <c r="KJW83" s="2567"/>
      <c r="KJX83" s="2567"/>
      <c r="KJY83" s="2567"/>
      <c r="KJZ83" s="2567"/>
      <c r="KKA83" s="2567"/>
      <c r="KKB83" s="2567"/>
      <c r="KKC83" s="2567"/>
      <c r="KKD83" s="2567"/>
      <c r="KKE83" s="2567"/>
      <c r="KKF83" s="2567"/>
      <c r="KKG83" s="2567"/>
      <c r="KKH83" s="2567"/>
      <c r="KKI83" s="2567"/>
      <c r="KKJ83" s="2567"/>
      <c r="KKK83" s="2567"/>
      <c r="KKL83" s="2567"/>
      <c r="KKM83" s="2567"/>
      <c r="KKN83" s="2567"/>
      <c r="KKO83" s="2567"/>
      <c r="KKP83" s="2567"/>
      <c r="KKQ83" s="2567"/>
      <c r="KKR83" s="2567"/>
      <c r="KKS83" s="2567"/>
      <c r="KKT83" s="2567"/>
      <c r="KKU83" s="2567"/>
      <c r="KKV83" s="2567"/>
      <c r="KKW83" s="2567"/>
      <c r="KKX83" s="2567"/>
      <c r="KKY83" s="2567"/>
      <c r="KKZ83" s="2567"/>
      <c r="KLA83" s="2567"/>
      <c r="KLB83" s="2567"/>
      <c r="KLC83" s="2567"/>
      <c r="KLD83" s="2567"/>
      <c r="KLE83" s="2567"/>
      <c r="KLF83" s="2567"/>
      <c r="KLG83" s="2567"/>
      <c r="KLH83" s="2567"/>
      <c r="KLI83" s="2567"/>
      <c r="KLJ83" s="2567"/>
      <c r="KLK83" s="2567"/>
      <c r="KLL83" s="2567"/>
      <c r="KLM83" s="2567"/>
      <c r="KLN83" s="2567"/>
      <c r="KLO83" s="2567"/>
      <c r="KLP83" s="2567"/>
      <c r="KLQ83" s="2567"/>
      <c r="KLR83" s="2567"/>
      <c r="KLS83" s="2567"/>
      <c r="KLT83" s="2567"/>
      <c r="KLU83" s="2567"/>
      <c r="KLV83" s="2567"/>
      <c r="KLW83" s="2567"/>
      <c r="KLX83" s="2567"/>
      <c r="KLY83" s="2567"/>
      <c r="KLZ83" s="2567"/>
      <c r="KMA83" s="2567"/>
      <c r="KMB83" s="2567"/>
      <c r="KMC83" s="2567"/>
      <c r="KMD83" s="2567"/>
      <c r="KME83" s="2567"/>
      <c r="KMF83" s="2567"/>
      <c r="KMG83" s="2567"/>
      <c r="KMH83" s="2567"/>
      <c r="KMI83" s="2567"/>
      <c r="KMJ83" s="2567"/>
      <c r="KMK83" s="2567"/>
      <c r="KML83" s="2567"/>
      <c r="KMM83" s="2567"/>
      <c r="KMN83" s="2567"/>
      <c r="KMO83" s="2567"/>
      <c r="KMP83" s="2567"/>
      <c r="KMQ83" s="2567"/>
      <c r="KMR83" s="2567"/>
      <c r="KMS83" s="2567"/>
      <c r="KMT83" s="2567"/>
      <c r="KMU83" s="2567"/>
      <c r="KMV83" s="2567"/>
      <c r="KMW83" s="2567"/>
      <c r="KMX83" s="2567"/>
      <c r="KMY83" s="2567"/>
      <c r="KMZ83" s="2567"/>
      <c r="KNA83" s="2567"/>
      <c r="KNB83" s="2567"/>
      <c r="KNC83" s="2567"/>
      <c r="KND83" s="2567"/>
      <c r="KNE83" s="2567"/>
      <c r="KNF83" s="2567"/>
      <c r="KNG83" s="2567"/>
      <c r="KNH83" s="2567"/>
      <c r="KNI83" s="2567"/>
      <c r="KNJ83" s="2567"/>
      <c r="KNK83" s="2567"/>
      <c r="KNL83" s="2567"/>
      <c r="KNM83" s="2567"/>
      <c r="KNN83" s="2567"/>
      <c r="KNO83" s="2567"/>
      <c r="KNP83" s="2567"/>
      <c r="KNQ83" s="2567"/>
      <c r="KNR83" s="2567"/>
      <c r="KNS83" s="2567"/>
      <c r="KNT83" s="2567"/>
      <c r="KNU83" s="2567"/>
      <c r="KNV83" s="2567"/>
      <c r="KNW83" s="2567"/>
      <c r="KNX83" s="2567"/>
      <c r="KNY83" s="2567"/>
      <c r="KNZ83" s="2567"/>
      <c r="KOA83" s="2567"/>
      <c r="KOB83" s="2567"/>
      <c r="KOC83" s="2567"/>
      <c r="KOD83" s="2567"/>
      <c r="KOE83" s="2567"/>
      <c r="KOF83" s="2567"/>
      <c r="KOG83" s="2567"/>
      <c r="KOH83" s="2567"/>
      <c r="KOI83" s="2567"/>
      <c r="KOJ83" s="2567"/>
      <c r="KOK83" s="2567"/>
      <c r="KOL83" s="2567"/>
      <c r="KOM83" s="2567"/>
      <c r="KON83" s="2567"/>
      <c r="KOO83" s="2567"/>
      <c r="KOP83" s="2567"/>
      <c r="KOQ83" s="2567"/>
      <c r="KOR83" s="2567"/>
      <c r="KOS83" s="2567"/>
      <c r="KOT83" s="2567"/>
      <c r="KOU83" s="2567"/>
      <c r="KOV83" s="2567"/>
      <c r="KOW83" s="2567"/>
      <c r="KOX83" s="2567"/>
      <c r="KOY83" s="2567"/>
      <c r="KOZ83" s="2567"/>
      <c r="KPA83" s="2567"/>
      <c r="KPB83" s="2567"/>
      <c r="KPC83" s="2567"/>
      <c r="KPD83" s="2567"/>
      <c r="KPE83" s="2567"/>
      <c r="KPF83" s="2567"/>
      <c r="KPG83" s="2567"/>
      <c r="KPH83" s="2567"/>
      <c r="KPI83" s="2567"/>
      <c r="KPJ83" s="2567"/>
      <c r="KPK83" s="2567"/>
      <c r="KPL83" s="2567"/>
      <c r="KPM83" s="2567"/>
      <c r="KPN83" s="2567"/>
      <c r="KPO83" s="2567"/>
      <c r="KPP83" s="2567"/>
      <c r="KPQ83" s="2567"/>
      <c r="KPR83" s="2567"/>
      <c r="KPS83" s="2567"/>
      <c r="KPT83" s="2567"/>
      <c r="KPU83" s="2567"/>
      <c r="KPV83" s="2567"/>
      <c r="KPW83" s="2567"/>
      <c r="KPX83" s="2567"/>
      <c r="KPY83" s="2567"/>
      <c r="KPZ83" s="2567"/>
      <c r="KQA83" s="2567"/>
      <c r="KQB83" s="2567"/>
      <c r="KQC83" s="2567"/>
      <c r="KQD83" s="2567"/>
      <c r="KQE83" s="2567"/>
      <c r="KQF83" s="2567"/>
      <c r="KQG83" s="2567"/>
      <c r="KQH83" s="2567"/>
      <c r="KQI83" s="2567"/>
      <c r="KQJ83" s="2567"/>
      <c r="KQK83" s="2567"/>
      <c r="KQL83" s="2567"/>
      <c r="KQM83" s="2567"/>
      <c r="KQN83" s="2567"/>
      <c r="KQO83" s="2567"/>
      <c r="KQP83" s="2567"/>
      <c r="KQQ83" s="2567"/>
      <c r="KQR83" s="2567"/>
      <c r="KQS83" s="2567"/>
      <c r="KQT83" s="2567"/>
      <c r="KQU83" s="2567"/>
      <c r="KQV83" s="2567"/>
      <c r="KQW83" s="2567"/>
      <c r="KQX83" s="2567"/>
      <c r="KQY83" s="2567"/>
      <c r="KQZ83" s="2567"/>
      <c r="KRA83" s="2567"/>
      <c r="KRB83" s="2567"/>
      <c r="KRC83" s="2567"/>
      <c r="KRD83" s="2567"/>
      <c r="KRE83" s="2567"/>
      <c r="KRF83" s="2567"/>
      <c r="KRG83" s="2567"/>
      <c r="KRH83" s="2567"/>
      <c r="KRI83" s="2567"/>
      <c r="KRJ83" s="2567"/>
      <c r="KRK83" s="2567"/>
      <c r="KRL83" s="2567"/>
      <c r="KRM83" s="2567"/>
      <c r="KRN83" s="2567"/>
      <c r="KRO83" s="2567"/>
      <c r="KRP83" s="2567"/>
      <c r="KRQ83" s="2567"/>
      <c r="KRR83" s="2567"/>
      <c r="KRS83" s="2567"/>
      <c r="KRT83" s="2567"/>
      <c r="KRU83" s="2567"/>
      <c r="KRV83" s="2567"/>
      <c r="KRW83" s="2567"/>
      <c r="KRX83" s="2567"/>
      <c r="KRY83" s="2567"/>
      <c r="KRZ83" s="2567"/>
      <c r="KSA83" s="2567"/>
      <c r="KSB83" s="2567"/>
      <c r="KSC83" s="2567"/>
      <c r="KSD83" s="2567"/>
      <c r="KSE83" s="2567"/>
      <c r="KSF83" s="2567"/>
      <c r="KSG83" s="2567"/>
      <c r="KSH83" s="2567"/>
      <c r="KSI83" s="2567"/>
      <c r="KSJ83" s="2567"/>
      <c r="KSK83" s="2567"/>
      <c r="KSL83" s="2567"/>
      <c r="KSM83" s="2567"/>
      <c r="KSN83" s="2567"/>
      <c r="KSO83" s="2567"/>
      <c r="KSP83" s="2567"/>
      <c r="KSQ83" s="2567"/>
      <c r="KSR83" s="2567"/>
      <c r="KSS83" s="2567"/>
      <c r="KST83" s="2567"/>
      <c r="KSU83" s="2567"/>
      <c r="KSV83" s="2567"/>
      <c r="KSW83" s="2567"/>
      <c r="KSX83" s="2567"/>
      <c r="KSY83" s="2567"/>
      <c r="KSZ83" s="2567"/>
      <c r="KTA83" s="2567"/>
      <c r="KTB83" s="2567"/>
      <c r="KTC83" s="2567"/>
      <c r="KTD83" s="2567"/>
      <c r="KTE83" s="2567"/>
      <c r="KTF83" s="2567"/>
      <c r="KTG83" s="2567"/>
      <c r="KTH83" s="2567"/>
      <c r="KTI83" s="2567"/>
      <c r="KTJ83" s="2567"/>
      <c r="KTK83" s="2567"/>
      <c r="KTL83" s="2567"/>
      <c r="KTM83" s="2567"/>
      <c r="KTN83" s="2567"/>
      <c r="KTO83" s="2567"/>
      <c r="KTP83" s="2567"/>
      <c r="KTQ83" s="2567"/>
      <c r="KTR83" s="2567"/>
      <c r="KTS83" s="2567"/>
      <c r="KTT83" s="2567"/>
      <c r="KTU83" s="2567"/>
      <c r="KTV83" s="2567"/>
      <c r="KTW83" s="2567"/>
      <c r="KTX83" s="2567"/>
      <c r="KTY83" s="2567"/>
      <c r="KTZ83" s="2567"/>
      <c r="KUA83" s="2567"/>
      <c r="KUB83" s="2567"/>
      <c r="KUC83" s="2567"/>
      <c r="KUD83" s="2567"/>
      <c r="KUE83" s="2567"/>
      <c r="KUF83" s="2567"/>
      <c r="KUG83" s="2567"/>
      <c r="KUH83" s="2567"/>
      <c r="KUI83" s="2567"/>
      <c r="KUJ83" s="2567"/>
      <c r="KUK83" s="2567"/>
      <c r="KUL83" s="2567"/>
      <c r="KUM83" s="2567"/>
      <c r="KUN83" s="2567"/>
      <c r="KUO83" s="2567"/>
      <c r="KUP83" s="2567"/>
      <c r="KUQ83" s="2567"/>
      <c r="KUR83" s="2567"/>
      <c r="KUS83" s="2567"/>
      <c r="KUT83" s="2567"/>
      <c r="KUU83" s="2567"/>
      <c r="KUV83" s="2567"/>
      <c r="KUW83" s="2567"/>
      <c r="KUX83" s="2567"/>
      <c r="KUY83" s="2567"/>
      <c r="KUZ83" s="2567"/>
      <c r="KVA83" s="2567"/>
      <c r="KVB83" s="2567"/>
      <c r="KVC83" s="2567"/>
      <c r="KVD83" s="2567"/>
      <c r="KVE83" s="2567"/>
      <c r="KVF83" s="2567"/>
      <c r="KVG83" s="2567"/>
      <c r="KVH83" s="2567"/>
      <c r="KVI83" s="2567"/>
      <c r="KVJ83" s="2567"/>
      <c r="KVK83" s="2567"/>
      <c r="KVL83" s="2567"/>
      <c r="KVM83" s="2567"/>
      <c r="KVN83" s="2567"/>
      <c r="KVO83" s="2567"/>
      <c r="KVP83" s="2567"/>
      <c r="KVQ83" s="2567"/>
      <c r="KVR83" s="2567"/>
      <c r="KVS83" s="2567"/>
      <c r="KVT83" s="2567"/>
      <c r="KVU83" s="2567"/>
      <c r="KVV83" s="2567"/>
      <c r="KVW83" s="2567"/>
      <c r="KVX83" s="2567"/>
      <c r="KVY83" s="2567"/>
      <c r="KVZ83" s="2567"/>
      <c r="KWA83" s="2567"/>
      <c r="KWB83" s="2567"/>
      <c r="KWC83" s="2567"/>
      <c r="KWD83" s="2567"/>
      <c r="KWE83" s="2567"/>
      <c r="KWF83" s="2567"/>
      <c r="KWG83" s="2567"/>
      <c r="KWH83" s="2567"/>
      <c r="KWI83" s="2567"/>
      <c r="KWJ83" s="2567"/>
      <c r="KWK83" s="2567"/>
      <c r="KWL83" s="2567"/>
      <c r="KWM83" s="2567"/>
      <c r="KWN83" s="2567"/>
      <c r="KWO83" s="2567"/>
      <c r="KWP83" s="2567"/>
      <c r="KWQ83" s="2567"/>
      <c r="KWR83" s="2567"/>
      <c r="KWS83" s="2567"/>
      <c r="KWT83" s="2567"/>
      <c r="KWU83" s="2567"/>
      <c r="KWV83" s="2567"/>
      <c r="KWW83" s="2567"/>
      <c r="KWX83" s="2567"/>
      <c r="KWY83" s="2567"/>
      <c r="KWZ83" s="2567"/>
      <c r="KXA83" s="2567"/>
      <c r="KXB83" s="2567"/>
      <c r="KXC83" s="2567"/>
      <c r="KXD83" s="2567"/>
      <c r="KXE83" s="2567"/>
      <c r="KXF83" s="2567"/>
      <c r="KXG83" s="2567"/>
      <c r="KXH83" s="2567"/>
      <c r="KXI83" s="2567"/>
      <c r="KXJ83" s="2567"/>
      <c r="KXK83" s="2567"/>
      <c r="KXL83" s="2567"/>
      <c r="KXM83" s="2567"/>
      <c r="KXN83" s="2567"/>
      <c r="KXO83" s="2567"/>
      <c r="KXP83" s="2567"/>
      <c r="KXQ83" s="2567"/>
      <c r="KXR83" s="2567"/>
      <c r="KXS83" s="2567"/>
      <c r="KXT83" s="2567"/>
      <c r="KXU83" s="2567"/>
      <c r="KXV83" s="2567"/>
      <c r="KXW83" s="2567"/>
      <c r="KXX83" s="2567"/>
      <c r="KXY83" s="2567"/>
      <c r="KXZ83" s="2567"/>
      <c r="KYA83" s="2567"/>
      <c r="KYB83" s="2567"/>
      <c r="KYC83" s="2567"/>
      <c r="KYD83" s="2567"/>
      <c r="KYE83" s="2567"/>
      <c r="KYF83" s="2567"/>
      <c r="KYG83" s="2567"/>
      <c r="KYH83" s="2567"/>
      <c r="KYI83" s="2567"/>
      <c r="KYJ83" s="2567"/>
      <c r="KYK83" s="2567"/>
      <c r="KYL83" s="2567"/>
      <c r="KYM83" s="2567"/>
      <c r="KYN83" s="2567"/>
      <c r="KYO83" s="2567"/>
      <c r="KYP83" s="2567"/>
      <c r="KYQ83" s="2567"/>
      <c r="KYR83" s="2567"/>
      <c r="KYS83" s="2567"/>
      <c r="KYT83" s="2567"/>
      <c r="KYU83" s="2567"/>
      <c r="KYV83" s="2567"/>
      <c r="KYW83" s="2567"/>
      <c r="KYX83" s="2567"/>
      <c r="KYY83" s="2567"/>
      <c r="KYZ83" s="2567"/>
      <c r="KZA83" s="2567"/>
      <c r="KZB83" s="2567"/>
      <c r="KZC83" s="2567"/>
      <c r="KZD83" s="2567"/>
      <c r="KZE83" s="2567"/>
      <c r="KZF83" s="2567"/>
      <c r="KZG83" s="2567"/>
      <c r="KZH83" s="2567"/>
      <c r="KZI83" s="2567"/>
      <c r="KZJ83" s="2567"/>
      <c r="KZK83" s="2567"/>
      <c r="KZL83" s="2567"/>
      <c r="KZM83" s="2567"/>
      <c r="KZN83" s="2567"/>
      <c r="KZO83" s="2567"/>
      <c r="KZP83" s="2567"/>
      <c r="KZQ83" s="2567"/>
      <c r="KZR83" s="2567"/>
      <c r="KZS83" s="2567"/>
      <c r="KZT83" s="2567"/>
      <c r="KZU83" s="2567"/>
      <c r="KZV83" s="2567"/>
      <c r="KZW83" s="2567"/>
      <c r="KZX83" s="2567"/>
      <c r="KZY83" s="2567"/>
      <c r="KZZ83" s="2567"/>
      <c r="LAA83" s="2567"/>
      <c r="LAB83" s="2567"/>
      <c r="LAC83" s="2567"/>
      <c r="LAD83" s="2567"/>
      <c r="LAE83" s="2567"/>
      <c r="LAF83" s="2567"/>
      <c r="LAG83" s="2567"/>
      <c r="LAH83" s="2567"/>
      <c r="LAI83" s="2567"/>
      <c r="LAJ83" s="2567"/>
      <c r="LAK83" s="2567"/>
      <c r="LAL83" s="2567"/>
      <c r="LAM83" s="2567"/>
      <c r="LAN83" s="2567"/>
      <c r="LAO83" s="2567"/>
      <c r="LAP83" s="2567"/>
      <c r="LAQ83" s="2567"/>
      <c r="LAR83" s="2567"/>
      <c r="LAS83" s="2567"/>
      <c r="LAT83" s="2567"/>
      <c r="LAU83" s="2567"/>
      <c r="LAV83" s="2567"/>
      <c r="LAW83" s="2567"/>
      <c r="LAX83" s="2567"/>
      <c r="LAY83" s="2567"/>
      <c r="LAZ83" s="2567"/>
      <c r="LBA83" s="2567"/>
      <c r="LBB83" s="2567"/>
      <c r="LBC83" s="2567"/>
      <c r="LBD83" s="2567"/>
      <c r="LBE83" s="2567"/>
      <c r="LBF83" s="2567"/>
      <c r="LBG83" s="2567"/>
      <c r="LBH83" s="2567"/>
      <c r="LBI83" s="2567"/>
      <c r="LBJ83" s="2567"/>
      <c r="LBK83" s="2567"/>
      <c r="LBL83" s="2567"/>
      <c r="LBM83" s="2567"/>
      <c r="LBN83" s="2567"/>
      <c r="LBO83" s="2567"/>
      <c r="LBP83" s="2567"/>
      <c r="LBQ83" s="2567"/>
      <c r="LBR83" s="2567"/>
      <c r="LBS83" s="2567"/>
      <c r="LBT83" s="2567"/>
      <c r="LBU83" s="2567"/>
      <c r="LBV83" s="2567"/>
      <c r="LBW83" s="2567"/>
      <c r="LBX83" s="2567"/>
      <c r="LBY83" s="2567"/>
      <c r="LBZ83" s="2567"/>
      <c r="LCA83" s="2567"/>
      <c r="LCB83" s="2567"/>
      <c r="LCC83" s="2567"/>
      <c r="LCD83" s="2567"/>
      <c r="LCE83" s="2567"/>
      <c r="LCF83" s="2567"/>
      <c r="LCG83" s="2567"/>
      <c r="LCH83" s="2567"/>
      <c r="LCI83" s="2567"/>
      <c r="LCJ83" s="2567"/>
      <c r="LCK83" s="2567"/>
      <c r="LCL83" s="2567"/>
      <c r="LCM83" s="2567"/>
      <c r="LCN83" s="2567"/>
      <c r="LCO83" s="2567"/>
      <c r="LCP83" s="2567"/>
      <c r="LCQ83" s="2567"/>
      <c r="LCR83" s="2567"/>
      <c r="LCS83" s="2567"/>
      <c r="LCT83" s="2567"/>
      <c r="LCU83" s="2567"/>
      <c r="LCV83" s="2567"/>
      <c r="LCW83" s="2567"/>
      <c r="LCX83" s="2567"/>
      <c r="LCY83" s="2567"/>
      <c r="LCZ83" s="2567"/>
      <c r="LDA83" s="2567"/>
      <c r="LDB83" s="2567"/>
      <c r="LDC83" s="2567"/>
      <c r="LDD83" s="2567"/>
      <c r="LDE83" s="2567"/>
      <c r="LDF83" s="2567"/>
      <c r="LDG83" s="2567"/>
      <c r="LDH83" s="2567"/>
      <c r="LDI83" s="2567"/>
      <c r="LDJ83" s="2567"/>
      <c r="LDK83" s="2567"/>
      <c r="LDL83" s="2567"/>
      <c r="LDM83" s="2567"/>
      <c r="LDN83" s="2567"/>
      <c r="LDO83" s="2567"/>
      <c r="LDP83" s="2567"/>
      <c r="LDQ83" s="2567"/>
      <c r="LDR83" s="2567"/>
      <c r="LDS83" s="2567"/>
      <c r="LDT83" s="2567"/>
      <c r="LDU83" s="2567"/>
      <c r="LDV83" s="2567"/>
      <c r="LDW83" s="2567"/>
      <c r="LDX83" s="2567"/>
      <c r="LDY83" s="2567"/>
      <c r="LDZ83" s="2567"/>
      <c r="LEA83" s="2567"/>
      <c r="LEB83" s="2567"/>
      <c r="LEC83" s="2567"/>
      <c r="LED83" s="2567"/>
      <c r="LEE83" s="2567"/>
      <c r="LEF83" s="2567"/>
      <c r="LEG83" s="2567"/>
      <c r="LEH83" s="2567"/>
      <c r="LEI83" s="2567"/>
      <c r="LEJ83" s="2567"/>
      <c r="LEK83" s="2567"/>
      <c r="LEL83" s="2567"/>
      <c r="LEM83" s="2567"/>
      <c r="LEN83" s="2567"/>
      <c r="LEO83" s="2567"/>
      <c r="LEP83" s="2567"/>
      <c r="LEQ83" s="2567"/>
      <c r="LER83" s="2567"/>
      <c r="LES83" s="2567"/>
      <c r="LET83" s="2567"/>
      <c r="LEU83" s="2567"/>
      <c r="LEV83" s="2567"/>
      <c r="LEW83" s="2567"/>
      <c r="LEX83" s="2567"/>
      <c r="LEY83" s="2567"/>
      <c r="LEZ83" s="2567"/>
      <c r="LFA83" s="2567"/>
      <c r="LFB83" s="2567"/>
      <c r="LFC83" s="2567"/>
      <c r="LFD83" s="2567"/>
      <c r="LFE83" s="2567"/>
      <c r="LFF83" s="2567"/>
      <c r="LFG83" s="2567"/>
      <c r="LFH83" s="2567"/>
      <c r="LFI83" s="2567"/>
      <c r="LFJ83" s="2567"/>
      <c r="LFK83" s="2567"/>
      <c r="LFL83" s="2567"/>
      <c r="LFM83" s="2567"/>
      <c r="LFN83" s="2567"/>
      <c r="LFO83" s="2567"/>
      <c r="LFP83" s="2567"/>
      <c r="LFQ83" s="2567"/>
      <c r="LFR83" s="2567"/>
      <c r="LFS83" s="2567"/>
      <c r="LFT83" s="2567"/>
      <c r="LFU83" s="2567"/>
      <c r="LFV83" s="2567"/>
      <c r="LFW83" s="2567"/>
      <c r="LFX83" s="2567"/>
      <c r="LFY83" s="2567"/>
      <c r="LFZ83" s="2567"/>
      <c r="LGA83" s="2567"/>
      <c r="LGB83" s="2567"/>
      <c r="LGC83" s="2567"/>
      <c r="LGD83" s="2567"/>
      <c r="LGE83" s="2567"/>
      <c r="LGF83" s="2567"/>
      <c r="LGG83" s="2567"/>
      <c r="LGH83" s="2567"/>
      <c r="LGI83" s="2567"/>
      <c r="LGJ83" s="2567"/>
      <c r="LGK83" s="2567"/>
      <c r="LGL83" s="2567"/>
      <c r="LGM83" s="2567"/>
      <c r="LGN83" s="2567"/>
      <c r="LGO83" s="2567"/>
      <c r="LGP83" s="2567"/>
      <c r="LGQ83" s="2567"/>
      <c r="LGR83" s="2567"/>
      <c r="LGS83" s="2567"/>
      <c r="LGT83" s="2567"/>
      <c r="LGU83" s="2567"/>
      <c r="LGV83" s="2567"/>
      <c r="LGW83" s="2567"/>
      <c r="LGX83" s="2567"/>
      <c r="LGY83" s="2567"/>
      <c r="LGZ83" s="2567"/>
      <c r="LHA83" s="2567"/>
      <c r="LHB83" s="2567"/>
      <c r="LHC83" s="2567"/>
      <c r="LHD83" s="2567"/>
      <c r="LHE83" s="2567"/>
      <c r="LHF83" s="2567"/>
      <c r="LHG83" s="2567"/>
      <c r="LHH83" s="2567"/>
      <c r="LHI83" s="2567"/>
      <c r="LHJ83" s="2567"/>
      <c r="LHK83" s="2567"/>
      <c r="LHL83" s="2567"/>
      <c r="LHM83" s="2567"/>
      <c r="LHN83" s="2567"/>
      <c r="LHO83" s="2567"/>
      <c r="LHP83" s="2567"/>
      <c r="LHQ83" s="2567"/>
      <c r="LHR83" s="2567"/>
      <c r="LHS83" s="2567"/>
      <c r="LHT83" s="2567"/>
      <c r="LHU83" s="2567"/>
      <c r="LHV83" s="2567"/>
      <c r="LHW83" s="2567"/>
      <c r="LHX83" s="2567"/>
      <c r="LHY83" s="2567"/>
      <c r="LHZ83" s="2567"/>
      <c r="LIA83" s="2567"/>
      <c r="LIB83" s="2567"/>
      <c r="LIC83" s="2567"/>
      <c r="LID83" s="2567"/>
      <c r="LIE83" s="2567"/>
      <c r="LIF83" s="2567"/>
      <c r="LIG83" s="2567"/>
      <c r="LIH83" s="2567"/>
      <c r="LII83" s="2567"/>
      <c r="LIJ83" s="2567"/>
      <c r="LIK83" s="2567"/>
      <c r="LIL83" s="2567"/>
      <c r="LIM83" s="2567"/>
      <c r="LIN83" s="2567"/>
      <c r="LIO83" s="2567"/>
      <c r="LIP83" s="2567"/>
      <c r="LIQ83" s="2567"/>
      <c r="LIR83" s="2567"/>
      <c r="LIS83" s="2567"/>
      <c r="LIT83" s="2567"/>
      <c r="LIU83" s="2567"/>
      <c r="LIV83" s="2567"/>
      <c r="LIW83" s="2567"/>
      <c r="LIX83" s="2567"/>
      <c r="LIY83" s="2567"/>
      <c r="LIZ83" s="2567"/>
      <c r="LJA83" s="2567"/>
      <c r="LJB83" s="2567"/>
      <c r="LJC83" s="2567"/>
      <c r="LJD83" s="2567"/>
      <c r="LJE83" s="2567"/>
      <c r="LJF83" s="2567"/>
      <c r="LJG83" s="2567"/>
      <c r="LJH83" s="2567"/>
      <c r="LJI83" s="2567"/>
      <c r="LJJ83" s="2567"/>
      <c r="LJK83" s="2567"/>
      <c r="LJL83" s="2567"/>
      <c r="LJM83" s="2567"/>
      <c r="LJN83" s="2567"/>
      <c r="LJO83" s="2567"/>
      <c r="LJP83" s="2567"/>
      <c r="LJQ83" s="2567"/>
      <c r="LJR83" s="2567"/>
      <c r="LJS83" s="2567"/>
      <c r="LJT83" s="2567"/>
      <c r="LJU83" s="2567"/>
      <c r="LJV83" s="2567"/>
      <c r="LJW83" s="2567"/>
      <c r="LJX83" s="2567"/>
      <c r="LJY83" s="2567"/>
      <c r="LJZ83" s="2567"/>
      <c r="LKA83" s="2567"/>
      <c r="LKB83" s="2567"/>
      <c r="LKC83" s="2567"/>
      <c r="LKD83" s="2567"/>
      <c r="LKE83" s="2567"/>
      <c r="LKF83" s="2567"/>
      <c r="LKG83" s="2567"/>
      <c r="LKH83" s="2567"/>
      <c r="LKI83" s="2567"/>
      <c r="LKJ83" s="2567"/>
      <c r="LKK83" s="2567"/>
      <c r="LKL83" s="2567"/>
      <c r="LKM83" s="2567"/>
      <c r="LKN83" s="2567"/>
      <c r="LKO83" s="2567"/>
      <c r="LKP83" s="2567"/>
      <c r="LKQ83" s="2567"/>
      <c r="LKR83" s="2567"/>
      <c r="LKS83" s="2567"/>
      <c r="LKT83" s="2567"/>
      <c r="LKU83" s="2567"/>
      <c r="LKV83" s="2567"/>
      <c r="LKW83" s="2567"/>
      <c r="LKX83" s="2567"/>
      <c r="LKY83" s="2567"/>
      <c r="LKZ83" s="2567"/>
      <c r="LLA83" s="2567"/>
      <c r="LLB83" s="2567"/>
      <c r="LLC83" s="2567"/>
      <c r="LLD83" s="2567"/>
      <c r="LLE83" s="2567"/>
      <c r="LLF83" s="2567"/>
      <c r="LLG83" s="2567"/>
      <c r="LLH83" s="2567"/>
      <c r="LLI83" s="2567"/>
      <c r="LLJ83" s="2567"/>
      <c r="LLK83" s="2567"/>
      <c r="LLL83" s="2567"/>
      <c r="LLM83" s="2567"/>
      <c r="LLN83" s="2567"/>
      <c r="LLO83" s="2567"/>
      <c r="LLP83" s="2567"/>
      <c r="LLQ83" s="2567"/>
      <c r="LLR83" s="2567"/>
      <c r="LLS83" s="2567"/>
      <c r="LLT83" s="2567"/>
      <c r="LLU83" s="2567"/>
      <c r="LLV83" s="2567"/>
      <c r="LLW83" s="2567"/>
      <c r="LLX83" s="2567"/>
      <c r="LLY83" s="2567"/>
      <c r="LLZ83" s="2567"/>
      <c r="LMA83" s="2567"/>
      <c r="LMB83" s="2567"/>
      <c r="LMC83" s="2567"/>
      <c r="LMD83" s="2567"/>
      <c r="LME83" s="2567"/>
      <c r="LMF83" s="2567"/>
      <c r="LMG83" s="2567"/>
      <c r="LMH83" s="2567"/>
      <c r="LMI83" s="2567"/>
      <c r="LMJ83" s="2567"/>
      <c r="LMK83" s="2567"/>
      <c r="LML83" s="2567"/>
      <c r="LMM83" s="2567"/>
      <c r="LMN83" s="2567"/>
      <c r="LMO83" s="2567"/>
      <c r="LMP83" s="2567"/>
      <c r="LMQ83" s="2567"/>
      <c r="LMR83" s="2567"/>
      <c r="LMS83" s="2567"/>
      <c r="LMT83" s="2567"/>
      <c r="LMU83" s="2567"/>
      <c r="LMV83" s="2567"/>
      <c r="LMW83" s="2567"/>
      <c r="LMX83" s="2567"/>
      <c r="LMY83" s="2567"/>
      <c r="LMZ83" s="2567"/>
      <c r="LNA83" s="2567"/>
      <c r="LNB83" s="2567"/>
      <c r="LNC83" s="2567"/>
      <c r="LND83" s="2567"/>
      <c r="LNE83" s="2567"/>
      <c r="LNF83" s="2567"/>
      <c r="LNG83" s="2567"/>
      <c r="LNH83" s="2567"/>
      <c r="LNI83" s="2567"/>
      <c r="LNJ83" s="2567"/>
      <c r="LNK83" s="2567"/>
      <c r="LNL83" s="2567"/>
      <c r="LNM83" s="2567"/>
      <c r="LNN83" s="2567"/>
      <c r="LNO83" s="2567"/>
      <c r="LNP83" s="2567"/>
      <c r="LNQ83" s="2567"/>
      <c r="LNR83" s="2567"/>
      <c r="LNS83" s="2567"/>
      <c r="LNT83" s="2567"/>
      <c r="LNU83" s="2567"/>
      <c r="LNV83" s="2567"/>
      <c r="LNW83" s="2567"/>
      <c r="LNX83" s="2567"/>
      <c r="LNY83" s="2567"/>
      <c r="LNZ83" s="2567"/>
      <c r="LOA83" s="2567"/>
      <c r="LOB83" s="2567"/>
      <c r="LOC83" s="2567"/>
      <c r="LOD83" s="2567"/>
      <c r="LOE83" s="2567"/>
      <c r="LOF83" s="2567"/>
      <c r="LOG83" s="2567"/>
      <c r="LOH83" s="2567"/>
      <c r="LOI83" s="2567"/>
      <c r="LOJ83" s="2567"/>
      <c r="LOK83" s="2567"/>
      <c r="LOL83" s="2567"/>
      <c r="LOM83" s="2567"/>
      <c r="LON83" s="2567"/>
      <c r="LOO83" s="2567"/>
      <c r="LOP83" s="2567"/>
      <c r="LOQ83" s="2567"/>
      <c r="LOR83" s="2567"/>
      <c r="LOS83" s="2567"/>
      <c r="LOT83" s="2567"/>
      <c r="LOU83" s="2567"/>
      <c r="LOV83" s="2567"/>
      <c r="LOW83" s="2567"/>
      <c r="LOX83" s="2567"/>
      <c r="LOY83" s="2567"/>
      <c r="LOZ83" s="2567"/>
      <c r="LPA83" s="2567"/>
      <c r="LPB83" s="2567"/>
      <c r="LPC83" s="2567"/>
      <c r="LPD83" s="2567"/>
      <c r="LPE83" s="2567"/>
      <c r="LPF83" s="2567"/>
      <c r="LPG83" s="2567"/>
      <c r="LPH83" s="2567"/>
      <c r="LPI83" s="2567"/>
      <c r="LPJ83" s="2567"/>
      <c r="LPK83" s="2567"/>
      <c r="LPL83" s="2567"/>
      <c r="LPM83" s="2567"/>
      <c r="LPN83" s="2567"/>
      <c r="LPO83" s="2567"/>
      <c r="LPP83" s="2567"/>
      <c r="LPQ83" s="2567"/>
      <c r="LPR83" s="2567"/>
      <c r="LPS83" s="2567"/>
      <c r="LPT83" s="2567"/>
      <c r="LPU83" s="2567"/>
      <c r="LPV83" s="2567"/>
      <c r="LPW83" s="2567"/>
      <c r="LPX83" s="2567"/>
      <c r="LPY83" s="2567"/>
      <c r="LPZ83" s="2567"/>
      <c r="LQA83" s="2567"/>
      <c r="LQB83" s="2567"/>
      <c r="LQC83" s="2567"/>
      <c r="LQD83" s="2567"/>
      <c r="LQE83" s="2567"/>
      <c r="LQF83" s="2567"/>
      <c r="LQG83" s="2567"/>
      <c r="LQH83" s="2567"/>
      <c r="LQI83" s="2567"/>
      <c r="LQJ83" s="2567"/>
      <c r="LQK83" s="2567"/>
      <c r="LQL83" s="2567"/>
      <c r="LQM83" s="2567"/>
      <c r="LQN83" s="2567"/>
      <c r="LQO83" s="2567"/>
      <c r="LQP83" s="2567"/>
      <c r="LQQ83" s="2567"/>
      <c r="LQR83" s="2567"/>
      <c r="LQS83" s="2567"/>
      <c r="LQT83" s="2567"/>
      <c r="LQU83" s="2567"/>
      <c r="LQV83" s="2567"/>
      <c r="LQW83" s="2567"/>
      <c r="LQX83" s="2567"/>
      <c r="LQY83" s="2567"/>
      <c r="LQZ83" s="2567"/>
      <c r="LRA83" s="2567"/>
      <c r="LRB83" s="2567"/>
      <c r="LRC83" s="2567"/>
      <c r="LRD83" s="2567"/>
      <c r="LRE83" s="2567"/>
      <c r="LRF83" s="2567"/>
      <c r="LRG83" s="2567"/>
      <c r="LRH83" s="2567"/>
      <c r="LRI83" s="2567"/>
      <c r="LRJ83" s="2567"/>
      <c r="LRK83" s="2567"/>
      <c r="LRL83" s="2567"/>
      <c r="LRM83" s="2567"/>
      <c r="LRN83" s="2567"/>
      <c r="LRO83" s="2567"/>
      <c r="LRP83" s="2567"/>
      <c r="LRQ83" s="2567"/>
      <c r="LRR83" s="2567"/>
      <c r="LRS83" s="2567"/>
      <c r="LRT83" s="2567"/>
      <c r="LRU83" s="2567"/>
      <c r="LRV83" s="2567"/>
      <c r="LRW83" s="2567"/>
      <c r="LRX83" s="2567"/>
      <c r="LRY83" s="2567"/>
      <c r="LRZ83" s="2567"/>
      <c r="LSA83" s="2567"/>
      <c r="LSB83" s="2567"/>
      <c r="LSC83" s="2567"/>
      <c r="LSD83" s="2567"/>
      <c r="LSE83" s="2567"/>
      <c r="LSF83" s="2567"/>
      <c r="LSG83" s="2567"/>
      <c r="LSH83" s="2567"/>
      <c r="LSI83" s="2567"/>
      <c r="LSJ83" s="2567"/>
      <c r="LSK83" s="2567"/>
      <c r="LSL83" s="2567"/>
      <c r="LSM83" s="2567"/>
      <c r="LSN83" s="2567"/>
      <c r="LSO83" s="2567"/>
      <c r="LSP83" s="2567"/>
      <c r="LSQ83" s="2567"/>
      <c r="LSR83" s="2567"/>
      <c r="LSS83" s="2567"/>
      <c r="LST83" s="2567"/>
      <c r="LSU83" s="2567"/>
      <c r="LSV83" s="2567"/>
      <c r="LSW83" s="2567"/>
      <c r="LSX83" s="2567"/>
      <c r="LSY83" s="2567"/>
      <c r="LSZ83" s="2567"/>
      <c r="LTA83" s="2567"/>
      <c r="LTB83" s="2567"/>
      <c r="LTC83" s="2567"/>
      <c r="LTD83" s="2567"/>
      <c r="LTE83" s="2567"/>
      <c r="LTF83" s="2567"/>
      <c r="LTG83" s="2567"/>
      <c r="LTH83" s="2567"/>
      <c r="LTI83" s="2567"/>
      <c r="LTJ83" s="2567"/>
      <c r="LTK83" s="2567"/>
      <c r="LTL83" s="2567"/>
      <c r="LTM83" s="2567"/>
      <c r="LTN83" s="2567"/>
      <c r="LTO83" s="2567"/>
      <c r="LTP83" s="2567"/>
      <c r="LTQ83" s="2567"/>
      <c r="LTR83" s="2567"/>
      <c r="LTS83" s="2567"/>
      <c r="LTT83" s="2567"/>
      <c r="LTU83" s="2567"/>
      <c r="LTV83" s="2567"/>
      <c r="LTW83" s="2567"/>
      <c r="LTX83" s="2567"/>
      <c r="LTY83" s="2567"/>
      <c r="LTZ83" s="2567"/>
      <c r="LUA83" s="2567"/>
      <c r="LUB83" s="2567"/>
      <c r="LUC83" s="2567"/>
      <c r="LUD83" s="2567"/>
      <c r="LUE83" s="2567"/>
      <c r="LUF83" s="2567"/>
      <c r="LUG83" s="2567"/>
      <c r="LUH83" s="2567"/>
      <c r="LUI83" s="2567"/>
      <c r="LUJ83" s="2567"/>
      <c r="LUK83" s="2567"/>
      <c r="LUL83" s="2567"/>
      <c r="LUM83" s="2567"/>
      <c r="LUN83" s="2567"/>
      <c r="LUO83" s="2567"/>
      <c r="LUP83" s="2567"/>
      <c r="LUQ83" s="2567"/>
      <c r="LUR83" s="2567"/>
      <c r="LUS83" s="2567"/>
      <c r="LUT83" s="2567"/>
      <c r="LUU83" s="2567"/>
      <c r="LUV83" s="2567"/>
      <c r="LUW83" s="2567"/>
      <c r="LUX83" s="2567"/>
      <c r="LUY83" s="2567"/>
      <c r="LUZ83" s="2567"/>
      <c r="LVA83" s="2567"/>
      <c r="LVB83" s="2567"/>
      <c r="LVC83" s="2567"/>
      <c r="LVD83" s="2567"/>
      <c r="LVE83" s="2567"/>
      <c r="LVF83" s="2567"/>
      <c r="LVG83" s="2567"/>
      <c r="LVH83" s="2567"/>
      <c r="LVI83" s="2567"/>
      <c r="LVJ83" s="2567"/>
      <c r="LVK83" s="2567"/>
      <c r="LVL83" s="2567"/>
      <c r="LVM83" s="2567"/>
      <c r="LVN83" s="2567"/>
      <c r="LVO83" s="2567"/>
      <c r="LVP83" s="2567"/>
      <c r="LVQ83" s="2567"/>
      <c r="LVR83" s="2567"/>
      <c r="LVS83" s="2567"/>
      <c r="LVT83" s="2567"/>
      <c r="LVU83" s="2567"/>
      <c r="LVV83" s="2567"/>
      <c r="LVW83" s="2567"/>
      <c r="LVX83" s="2567"/>
      <c r="LVY83" s="2567"/>
      <c r="LVZ83" s="2567"/>
      <c r="LWA83" s="2567"/>
      <c r="LWB83" s="2567"/>
      <c r="LWC83" s="2567"/>
      <c r="LWD83" s="2567"/>
      <c r="LWE83" s="2567"/>
      <c r="LWF83" s="2567"/>
      <c r="LWG83" s="2567"/>
      <c r="LWH83" s="2567"/>
      <c r="LWI83" s="2567"/>
      <c r="LWJ83" s="2567"/>
      <c r="LWK83" s="2567"/>
      <c r="LWL83" s="2567"/>
      <c r="LWM83" s="2567"/>
      <c r="LWN83" s="2567"/>
      <c r="LWO83" s="2567"/>
      <c r="LWP83" s="2567"/>
      <c r="LWQ83" s="2567"/>
      <c r="LWR83" s="2567"/>
      <c r="LWS83" s="2567"/>
      <c r="LWT83" s="2567"/>
      <c r="LWU83" s="2567"/>
      <c r="LWV83" s="2567"/>
      <c r="LWW83" s="2567"/>
      <c r="LWX83" s="2567"/>
      <c r="LWY83" s="2567"/>
      <c r="LWZ83" s="2567"/>
      <c r="LXA83" s="2567"/>
      <c r="LXB83" s="2567"/>
      <c r="LXC83" s="2567"/>
      <c r="LXD83" s="2567"/>
      <c r="LXE83" s="2567"/>
      <c r="LXF83" s="2567"/>
      <c r="LXG83" s="2567"/>
      <c r="LXH83" s="2567"/>
      <c r="LXI83" s="2567"/>
      <c r="LXJ83" s="2567"/>
      <c r="LXK83" s="2567"/>
      <c r="LXL83" s="2567"/>
      <c r="LXM83" s="2567"/>
      <c r="LXN83" s="2567"/>
      <c r="LXO83" s="2567"/>
      <c r="LXP83" s="2567"/>
      <c r="LXQ83" s="2567"/>
      <c r="LXR83" s="2567"/>
      <c r="LXS83" s="2567"/>
      <c r="LXT83" s="2567"/>
      <c r="LXU83" s="2567"/>
      <c r="LXV83" s="2567"/>
      <c r="LXW83" s="2567"/>
      <c r="LXX83" s="2567"/>
      <c r="LXY83" s="2567"/>
      <c r="LXZ83" s="2567"/>
      <c r="LYA83" s="2567"/>
      <c r="LYB83" s="2567"/>
      <c r="LYC83" s="2567"/>
      <c r="LYD83" s="2567"/>
      <c r="LYE83" s="2567"/>
      <c r="LYF83" s="2567"/>
      <c r="LYG83" s="2567"/>
      <c r="LYH83" s="2567"/>
      <c r="LYI83" s="2567"/>
      <c r="LYJ83" s="2567"/>
      <c r="LYK83" s="2567"/>
      <c r="LYL83" s="2567"/>
      <c r="LYM83" s="2567"/>
      <c r="LYN83" s="2567"/>
      <c r="LYO83" s="2567"/>
      <c r="LYP83" s="2567"/>
      <c r="LYQ83" s="2567"/>
      <c r="LYR83" s="2567"/>
      <c r="LYS83" s="2567"/>
      <c r="LYT83" s="2567"/>
      <c r="LYU83" s="2567"/>
      <c r="LYV83" s="2567"/>
      <c r="LYW83" s="2567"/>
      <c r="LYX83" s="2567"/>
      <c r="LYY83" s="2567"/>
      <c r="LYZ83" s="2567"/>
      <c r="LZA83" s="2567"/>
      <c r="LZB83" s="2567"/>
      <c r="LZC83" s="2567"/>
      <c r="LZD83" s="2567"/>
      <c r="LZE83" s="2567"/>
      <c r="LZF83" s="2567"/>
      <c r="LZG83" s="2567"/>
      <c r="LZH83" s="2567"/>
      <c r="LZI83" s="2567"/>
      <c r="LZJ83" s="2567"/>
      <c r="LZK83" s="2567"/>
      <c r="LZL83" s="2567"/>
      <c r="LZM83" s="2567"/>
      <c r="LZN83" s="2567"/>
      <c r="LZO83" s="2567"/>
      <c r="LZP83" s="2567"/>
      <c r="LZQ83" s="2567"/>
      <c r="LZR83" s="2567"/>
      <c r="LZS83" s="2567"/>
      <c r="LZT83" s="2567"/>
      <c r="LZU83" s="2567"/>
      <c r="LZV83" s="2567"/>
      <c r="LZW83" s="2567"/>
      <c r="LZX83" s="2567"/>
      <c r="LZY83" s="2567"/>
      <c r="LZZ83" s="2567"/>
      <c r="MAA83" s="2567"/>
      <c r="MAB83" s="2567"/>
      <c r="MAC83" s="2567"/>
      <c r="MAD83" s="2567"/>
      <c r="MAE83" s="2567"/>
      <c r="MAF83" s="2567"/>
      <c r="MAG83" s="2567"/>
      <c r="MAH83" s="2567"/>
      <c r="MAI83" s="2567"/>
      <c r="MAJ83" s="2567"/>
      <c r="MAK83" s="2567"/>
      <c r="MAL83" s="2567"/>
      <c r="MAM83" s="2567"/>
      <c r="MAN83" s="2567"/>
      <c r="MAO83" s="2567"/>
      <c r="MAP83" s="2567"/>
      <c r="MAQ83" s="2567"/>
      <c r="MAR83" s="2567"/>
      <c r="MAS83" s="2567"/>
      <c r="MAT83" s="2567"/>
      <c r="MAU83" s="2567"/>
      <c r="MAV83" s="2567"/>
      <c r="MAW83" s="2567"/>
      <c r="MAX83" s="2567"/>
      <c r="MAY83" s="2567"/>
      <c r="MAZ83" s="2567"/>
      <c r="MBA83" s="2567"/>
      <c r="MBB83" s="2567"/>
      <c r="MBC83" s="2567"/>
      <c r="MBD83" s="2567"/>
      <c r="MBE83" s="2567"/>
      <c r="MBF83" s="2567"/>
      <c r="MBG83" s="2567"/>
      <c r="MBH83" s="2567"/>
      <c r="MBI83" s="2567"/>
      <c r="MBJ83" s="2567"/>
      <c r="MBK83" s="2567"/>
      <c r="MBL83" s="2567"/>
      <c r="MBM83" s="2567"/>
      <c r="MBN83" s="2567"/>
      <c r="MBO83" s="2567"/>
      <c r="MBP83" s="2567"/>
      <c r="MBQ83" s="2567"/>
      <c r="MBR83" s="2567"/>
      <c r="MBS83" s="2567"/>
      <c r="MBT83" s="2567"/>
      <c r="MBU83" s="2567"/>
      <c r="MBV83" s="2567"/>
      <c r="MBW83" s="2567"/>
      <c r="MBX83" s="2567"/>
      <c r="MBY83" s="2567"/>
      <c r="MBZ83" s="2567"/>
      <c r="MCA83" s="2567"/>
      <c r="MCB83" s="2567"/>
      <c r="MCC83" s="2567"/>
      <c r="MCD83" s="2567"/>
      <c r="MCE83" s="2567"/>
      <c r="MCF83" s="2567"/>
      <c r="MCG83" s="2567"/>
      <c r="MCH83" s="2567"/>
      <c r="MCI83" s="2567"/>
      <c r="MCJ83" s="2567"/>
      <c r="MCK83" s="2567"/>
      <c r="MCL83" s="2567"/>
      <c r="MCM83" s="2567"/>
      <c r="MCN83" s="2567"/>
      <c r="MCO83" s="2567"/>
      <c r="MCP83" s="2567"/>
      <c r="MCQ83" s="2567"/>
      <c r="MCR83" s="2567"/>
      <c r="MCS83" s="2567"/>
      <c r="MCT83" s="2567"/>
      <c r="MCU83" s="2567"/>
      <c r="MCV83" s="2567"/>
      <c r="MCW83" s="2567"/>
      <c r="MCX83" s="2567"/>
      <c r="MCY83" s="2567"/>
      <c r="MCZ83" s="2567"/>
      <c r="MDA83" s="2567"/>
      <c r="MDB83" s="2567"/>
      <c r="MDC83" s="2567"/>
      <c r="MDD83" s="2567"/>
      <c r="MDE83" s="2567"/>
      <c r="MDF83" s="2567"/>
      <c r="MDG83" s="2567"/>
      <c r="MDH83" s="2567"/>
      <c r="MDI83" s="2567"/>
      <c r="MDJ83" s="2567"/>
      <c r="MDK83" s="2567"/>
      <c r="MDL83" s="2567"/>
      <c r="MDM83" s="2567"/>
      <c r="MDN83" s="2567"/>
      <c r="MDO83" s="2567"/>
      <c r="MDP83" s="2567"/>
      <c r="MDQ83" s="2567"/>
      <c r="MDR83" s="2567"/>
      <c r="MDS83" s="2567"/>
      <c r="MDT83" s="2567"/>
      <c r="MDU83" s="2567"/>
      <c r="MDV83" s="2567"/>
      <c r="MDW83" s="2567"/>
      <c r="MDX83" s="2567"/>
      <c r="MDY83" s="2567"/>
      <c r="MDZ83" s="2567"/>
      <c r="MEA83" s="2567"/>
      <c r="MEB83" s="2567"/>
      <c r="MEC83" s="2567"/>
      <c r="MED83" s="2567"/>
      <c r="MEE83" s="2567"/>
      <c r="MEF83" s="2567"/>
      <c r="MEG83" s="2567"/>
      <c r="MEH83" s="2567"/>
      <c r="MEI83" s="2567"/>
      <c r="MEJ83" s="2567"/>
      <c r="MEK83" s="2567"/>
      <c r="MEL83" s="2567"/>
      <c r="MEM83" s="2567"/>
      <c r="MEN83" s="2567"/>
      <c r="MEO83" s="2567"/>
      <c r="MEP83" s="2567"/>
      <c r="MEQ83" s="2567"/>
      <c r="MER83" s="2567"/>
      <c r="MES83" s="2567"/>
      <c r="MET83" s="2567"/>
      <c r="MEU83" s="2567"/>
      <c r="MEV83" s="2567"/>
      <c r="MEW83" s="2567"/>
      <c r="MEX83" s="2567"/>
      <c r="MEY83" s="2567"/>
      <c r="MEZ83" s="2567"/>
      <c r="MFA83" s="2567"/>
      <c r="MFB83" s="2567"/>
      <c r="MFC83" s="2567"/>
      <c r="MFD83" s="2567"/>
      <c r="MFE83" s="2567"/>
      <c r="MFF83" s="2567"/>
      <c r="MFG83" s="2567"/>
      <c r="MFH83" s="2567"/>
      <c r="MFI83" s="2567"/>
      <c r="MFJ83" s="2567"/>
      <c r="MFK83" s="2567"/>
      <c r="MFL83" s="2567"/>
      <c r="MFM83" s="2567"/>
      <c r="MFN83" s="2567"/>
      <c r="MFO83" s="2567"/>
      <c r="MFP83" s="2567"/>
      <c r="MFQ83" s="2567"/>
      <c r="MFR83" s="2567"/>
      <c r="MFS83" s="2567"/>
      <c r="MFT83" s="2567"/>
      <c r="MFU83" s="2567"/>
      <c r="MFV83" s="2567"/>
      <c r="MFW83" s="2567"/>
      <c r="MFX83" s="2567"/>
      <c r="MFY83" s="2567"/>
      <c r="MFZ83" s="2567"/>
      <c r="MGA83" s="2567"/>
      <c r="MGB83" s="2567"/>
      <c r="MGC83" s="2567"/>
      <c r="MGD83" s="2567"/>
      <c r="MGE83" s="2567"/>
      <c r="MGF83" s="2567"/>
      <c r="MGG83" s="2567"/>
      <c r="MGH83" s="2567"/>
      <c r="MGI83" s="2567"/>
      <c r="MGJ83" s="2567"/>
      <c r="MGK83" s="2567"/>
      <c r="MGL83" s="2567"/>
      <c r="MGM83" s="2567"/>
      <c r="MGN83" s="2567"/>
      <c r="MGO83" s="2567"/>
      <c r="MGP83" s="2567"/>
      <c r="MGQ83" s="2567"/>
      <c r="MGR83" s="2567"/>
      <c r="MGS83" s="2567"/>
      <c r="MGT83" s="2567"/>
      <c r="MGU83" s="2567"/>
      <c r="MGV83" s="2567"/>
      <c r="MGW83" s="2567"/>
      <c r="MGX83" s="2567"/>
      <c r="MGY83" s="2567"/>
      <c r="MGZ83" s="2567"/>
      <c r="MHA83" s="2567"/>
      <c r="MHB83" s="2567"/>
      <c r="MHC83" s="2567"/>
      <c r="MHD83" s="2567"/>
      <c r="MHE83" s="2567"/>
      <c r="MHF83" s="2567"/>
      <c r="MHG83" s="2567"/>
      <c r="MHH83" s="2567"/>
      <c r="MHI83" s="2567"/>
      <c r="MHJ83" s="2567"/>
      <c r="MHK83" s="2567"/>
      <c r="MHL83" s="2567"/>
      <c r="MHM83" s="2567"/>
      <c r="MHN83" s="2567"/>
      <c r="MHO83" s="2567"/>
      <c r="MHP83" s="2567"/>
      <c r="MHQ83" s="2567"/>
      <c r="MHR83" s="2567"/>
      <c r="MHS83" s="2567"/>
      <c r="MHT83" s="2567"/>
      <c r="MHU83" s="2567"/>
      <c r="MHV83" s="2567"/>
      <c r="MHW83" s="2567"/>
      <c r="MHX83" s="2567"/>
      <c r="MHY83" s="2567"/>
      <c r="MHZ83" s="2567"/>
      <c r="MIA83" s="2567"/>
      <c r="MIB83" s="2567"/>
      <c r="MIC83" s="2567"/>
      <c r="MID83" s="2567"/>
      <c r="MIE83" s="2567"/>
      <c r="MIF83" s="2567"/>
      <c r="MIG83" s="2567"/>
      <c r="MIH83" s="2567"/>
      <c r="MII83" s="2567"/>
      <c r="MIJ83" s="2567"/>
      <c r="MIK83" s="2567"/>
      <c r="MIL83" s="2567"/>
      <c r="MIM83" s="2567"/>
      <c r="MIN83" s="2567"/>
      <c r="MIO83" s="2567"/>
      <c r="MIP83" s="2567"/>
      <c r="MIQ83" s="2567"/>
      <c r="MIR83" s="2567"/>
      <c r="MIS83" s="2567"/>
      <c r="MIT83" s="2567"/>
      <c r="MIU83" s="2567"/>
      <c r="MIV83" s="2567"/>
      <c r="MIW83" s="2567"/>
      <c r="MIX83" s="2567"/>
      <c r="MIY83" s="2567"/>
      <c r="MIZ83" s="2567"/>
      <c r="MJA83" s="2567"/>
      <c r="MJB83" s="2567"/>
      <c r="MJC83" s="2567"/>
      <c r="MJD83" s="2567"/>
      <c r="MJE83" s="2567"/>
      <c r="MJF83" s="2567"/>
      <c r="MJG83" s="2567"/>
      <c r="MJH83" s="2567"/>
      <c r="MJI83" s="2567"/>
      <c r="MJJ83" s="2567"/>
      <c r="MJK83" s="2567"/>
      <c r="MJL83" s="2567"/>
      <c r="MJM83" s="2567"/>
      <c r="MJN83" s="2567"/>
      <c r="MJO83" s="2567"/>
      <c r="MJP83" s="2567"/>
      <c r="MJQ83" s="2567"/>
      <c r="MJR83" s="2567"/>
      <c r="MJS83" s="2567"/>
      <c r="MJT83" s="2567"/>
      <c r="MJU83" s="2567"/>
      <c r="MJV83" s="2567"/>
      <c r="MJW83" s="2567"/>
      <c r="MJX83" s="2567"/>
      <c r="MJY83" s="2567"/>
      <c r="MJZ83" s="2567"/>
      <c r="MKA83" s="2567"/>
      <c r="MKB83" s="2567"/>
      <c r="MKC83" s="2567"/>
      <c r="MKD83" s="2567"/>
      <c r="MKE83" s="2567"/>
      <c r="MKF83" s="2567"/>
      <c r="MKG83" s="2567"/>
      <c r="MKH83" s="2567"/>
      <c r="MKI83" s="2567"/>
      <c r="MKJ83" s="2567"/>
      <c r="MKK83" s="2567"/>
      <c r="MKL83" s="2567"/>
      <c r="MKM83" s="2567"/>
      <c r="MKN83" s="2567"/>
      <c r="MKO83" s="2567"/>
      <c r="MKP83" s="2567"/>
      <c r="MKQ83" s="2567"/>
      <c r="MKR83" s="2567"/>
      <c r="MKS83" s="2567"/>
      <c r="MKT83" s="2567"/>
      <c r="MKU83" s="2567"/>
      <c r="MKV83" s="2567"/>
      <c r="MKW83" s="2567"/>
      <c r="MKX83" s="2567"/>
      <c r="MKY83" s="2567"/>
      <c r="MKZ83" s="2567"/>
      <c r="MLA83" s="2567"/>
      <c r="MLB83" s="2567"/>
      <c r="MLC83" s="2567"/>
      <c r="MLD83" s="2567"/>
      <c r="MLE83" s="2567"/>
      <c r="MLF83" s="2567"/>
      <c r="MLG83" s="2567"/>
      <c r="MLH83" s="2567"/>
      <c r="MLI83" s="2567"/>
      <c r="MLJ83" s="2567"/>
      <c r="MLK83" s="2567"/>
      <c r="MLL83" s="2567"/>
      <c r="MLM83" s="2567"/>
      <c r="MLN83" s="2567"/>
      <c r="MLO83" s="2567"/>
      <c r="MLP83" s="2567"/>
      <c r="MLQ83" s="2567"/>
      <c r="MLR83" s="2567"/>
      <c r="MLS83" s="2567"/>
      <c r="MLT83" s="2567"/>
      <c r="MLU83" s="2567"/>
      <c r="MLV83" s="2567"/>
      <c r="MLW83" s="2567"/>
      <c r="MLX83" s="2567"/>
      <c r="MLY83" s="2567"/>
      <c r="MLZ83" s="2567"/>
      <c r="MMA83" s="2567"/>
      <c r="MMB83" s="2567"/>
      <c r="MMC83" s="2567"/>
      <c r="MMD83" s="2567"/>
      <c r="MME83" s="2567"/>
      <c r="MMF83" s="2567"/>
      <c r="MMG83" s="2567"/>
      <c r="MMH83" s="2567"/>
      <c r="MMI83" s="2567"/>
      <c r="MMJ83" s="2567"/>
      <c r="MMK83" s="2567"/>
      <c r="MML83" s="2567"/>
      <c r="MMM83" s="2567"/>
      <c r="MMN83" s="2567"/>
      <c r="MMO83" s="2567"/>
      <c r="MMP83" s="2567"/>
      <c r="MMQ83" s="2567"/>
      <c r="MMR83" s="2567"/>
      <c r="MMS83" s="2567"/>
      <c r="MMT83" s="2567"/>
      <c r="MMU83" s="2567"/>
      <c r="MMV83" s="2567"/>
      <c r="MMW83" s="2567"/>
      <c r="MMX83" s="2567"/>
      <c r="MMY83" s="2567"/>
      <c r="MMZ83" s="2567"/>
      <c r="MNA83" s="2567"/>
      <c r="MNB83" s="2567"/>
      <c r="MNC83" s="2567"/>
      <c r="MND83" s="2567"/>
      <c r="MNE83" s="2567"/>
      <c r="MNF83" s="2567"/>
      <c r="MNG83" s="2567"/>
      <c r="MNH83" s="2567"/>
      <c r="MNI83" s="2567"/>
      <c r="MNJ83" s="2567"/>
      <c r="MNK83" s="2567"/>
      <c r="MNL83" s="2567"/>
      <c r="MNM83" s="2567"/>
      <c r="MNN83" s="2567"/>
      <c r="MNO83" s="2567"/>
      <c r="MNP83" s="2567"/>
      <c r="MNQ83" s="2567"/>
      <c r="MNR83" s="2567"/>
      <c r="MNS83" s="2567"/>
      <c r="MNT83" s="2567"/>
      <c r="MNU83" s="2567"/>
      <c r="MNV83" s="2567"/>
      <c r="MNW83" s="2567"/>
      <c r="MNX83" s="2567"/>
      <c r="MNY83" s="2567"/>
      <c r="MNZ83" s="2567"/>
      <c r="MOA83" s="2567"/>
      <c r="MOB83" s="2567"/>
      <c r="MOC83" s="2567"/>
      <c r="MOD83" s="2567"/>
      <c r="MOE83" s="2567"/>
      <c r="MOF83" s="2567"/>
      <c r="MOG83" s="2567"/>
      <c r="MOH83" s="2567"/>
      <c r="MOI83" s="2567"/>
      <c r="MOJ83" s="2567"/>
      <c r="MOK83" s="2567"/>
      <c r="MOL83" s="2567"/>
      <c r="MOM83" s="2567"/>
      <c r="MON83" s="2567"/>
      <c r="MOO83" s="2567"/>
      <c r="MOP83" s="2567"/>
      <c r="MOQ83" s="2567"/>
      <c r="MOR83" s="2567"/>
      <c r="MOS83" s="2567"/>
      <c r="MOT83" s="2567"/>
      <c r="MOU83" s="2567"/>
      <c r="MOV83" s="2567"/>
      <c r="MOW83" s="2567"/>
      <c r="MOX83" s="2567"/>
      <c r="MOY83" s="2567"/>
      <c r="MOZ83" s="2567"/>
      <c r="MPA83" s="2567"/>
      <c r="MPB83" s="2567"/>
      <c r="MPC83" s="2567"/>
      <c r="MPD83" s="2567"/>
      <c r="MPE83" s="2567"/>
      <c r="MPF83" s="2567"/>
      <c r="MPG83" s="2567"/>
      <c r="MPH83" s="2567"/>
      <c r="MPI83" s="2567"/>
      <c r="MPJ83" s="2567"/>
      <c r="MPK83" s="2567"/>
      <c r="MPL83" s="2567"/>
      <c r="MPM83" s="2567"/>
      <c r="MPN83" s="2567"/>
      <c r="MPO83" s="2567"/>
      <c r="MPP83" s="2567"/>
      <c r="MPQ83" s="2567"/>
      <c r="MPR83" s="2567"/>
      <c r="MPS83" s="2567"/>
      <c r="MPT83" s="2567"/>
      <c r="MPU83" s="2567"/>
      <c r="MPV83" s="2567"/>
      <c r="MPW83" s="2567"/>
      <c r="MPX83" s="2567"/>
      <c r="MPY83" s="2567"/>
      <c r="MPZ83" s="2567"/>
      <c r="MQA83" s="2567"/>
      <c r="MQB83" s="2567"/>
      <c r="MQC83" s="2567"/>
      <c r="MQD83" s="2567"/>
      <c r="MQE83" s="2567"/>
      <c r="MQF83" s="2567"/>
      <c r="MQG83" s="2567"/>
      <c r="MQH83" s="2567"/>
      <c r="MQI83" s="2567"/>
      <c r="MQJ83" s="2567"/>
      <c r="MQK83" s="2567"/>
      <c r="MQL83" s="2567"/>
      <c r="MQM83" s="2567"/>
      <c r="MQN83" s="2567"/>
      <c r="MQO83" s="2567"/>
      <c r="MQP83" s="2567"/>
      <c r="MQQ83" s="2567"/>
      <c r="MQR83" s="2567"/>
      <c r="MQS83" s="2567"/>
      <c r="MQT83" s="2567"/>
      <c r="MQU83" s="2567"/>
      <c r="MQV83" s="2567"/>
      <c r="MQW83" s="2567"/>
      <c r="MQX83" s="2567"/>
      <c r="MQY83" s="2567"/>
      <c r="MQZ83" s="2567"/>
      <c r="MRA83" s="2567"/>
      <c r="MRB83" s="2567"/>
      <c r="MRC83" s="2567"/>
      <c r="MRD83" s="2567"/>
      <c r="MRE83" s="2567"/>
      <c r="MRF83" s="2567"/>
      <c r="MRG83" s="2567"/>
      <c r="MRH83" s="2567"/>
      <c r="MRI83" s="2567"/>
      <c r="MRJ83" s="2567"/>
      <c r="MRK83" s="2567"/>
      <c r="MRL83" s="2567"/>
      <c r="MRM83" s="2567"/>
      <c r="MRN83" s="2567"/>
      <c r="MRO83" s="2567"/>
      <c r="MRP83" s="2567"/>
      <c r="MRQ83" s="2567"/>
      <c r="MRR83" s="2567"/>
      <c r="MRS83" s="2567"/>
      <c r="MRT83" s="2567"/>
      <c r="MRU83" s="2567"/>
      <c r="MRV83" s="2567"/>
      <c r="MRW83" s="2567"/>
      <c r="MRX83" s="2567"/>
      <c r="MRY83" s="2567"/>
      <c r="MRZ83" s="2567"/>
      <c r="MSA83" s="2567"/>
      <c r="MSB83" s="2567"/>
      <c r="MSC83" s="2567"/>
      <c r="MSD83" s="2567"/>
      <c r="MSE83" s="2567"/>
      <c r="MSF83" s="2567"/>
      <c r="MSG83" s="2567"/>
      <c r="MSH83" s="2567"/>
      <c r="MSI83" s="2567"/>
      <c r="MSJ83" s="2567"/>
      <c r="MSK83" s="2567"/>
      <c r="MSL83" s="2567"/>
      <c r="MSM83" s="2567"/>
      <c r="MSN83" s="2567"/>
      <c r="MSO83" s="2567"/>
      <c r="MSP83" s="2567"/>
      <c r="MSQ83" s="2567"/>
      <c r="MSR83" s="2567"/>
      <c r="MSS83" s="2567"/>
      <c r="MST83" s="2567"/>
      <c r="MSU83" s="2567"/>
      <c r="MSV83" s="2567"/>
      <c r="MSW83" s="2567"/>
      <c r="MSX83" s="2567"/>
      <c r="MSY83" s="2567"/>
      <c r="MSZ83" s="2567"/>
      <c r="MTA83" s="2567"/>
      <c r="MTB83" s="2567"/>
      <c r="MTC83" s="2567"/>
      <c r="MTD83" s="2567"/>
      <c r="MTE83" s="2567"/>
      <c r="MTF83" s="2567"/>
      <c r="MTG83" s="2567"/>
      <c r="MTH83" s="2567"/>
      <c r="MTI83" s="2567"/>
      <c r="MTJ83" s="2567"/>
      <c r="MTK83" s="2567"/>
      <c r="MTL83" s="2567"/>
      <c r="MTM83" s="2567"/>
      <c r="MTN83" s="2567"/>
      <c r="MTO83" s="2567"/>
      <c r="MTP83" s="2567"/>
      <c r="MTQ83" s="2567"/>
      <c r="MTR83" s="2567"/>
      <c r="MTS83" s="2567"/>
      <c r="MTT83" s="2567"/>
      <c r="MTU83" s="2567"/>
      <c r="MTV83" s="2567"/>
      <c r="MTW83" s="2567"/>
      <c r="MTX83" s="2567"/>
      <c r="MTY83" s="2567"/>
      <c r="MTZ83" s="2567"/>
      <c r="MUA83" s="2567"/>
      <c r="MUB83" s="2567"/>
      <c r="MUC83" s="2567"/>
      <c r="MUD83" s="2567"/>
      <c r="MUE83" s="2567"/>
      <c r="MUF83" s="2567"/>
      <c r="MUG83" s="2567"/>
      <c r="MUH83" s="2567"/>
      <c r="MUI83" s="2567"/>
      <c r="MUJ83" s="2567"/>
      <c r="MUK83" s="2567"/>
      <c r="MUL83" s="2567"/>
      <c r="MUM83" s="2567"/>
      <c r="MUN83" s="2567"/>
      <c r="MUO83" s="2567"/>
      <c r="MUP83" s="2567"/>
      <c r="MUQ83" s="2567"/>
      <c r="MUR83" s="2567"/>
      <c r="MUS83" s="2567"/>
      <c r="MUT83" s="2567"/>
      <c r="MUU83" s="2567"/>
      <c r="MUV83" s="2567"/>
      <c r="MUW83" s="2567"/>
      <c r="MUX83" s="2567"/>
      <c r="MUY83" s="2567"/>
      <c r="MUZ83" s="2567"/>
      <c r="MVA83" s="2567"/>
      <c r="MVB83" s="2567"/>
      <c r="MVC83" s="2567"/>
      <c r="MVD83" s="2567"/>
      <c r="MVE83" s="2567"/>
      <c r="MVF83" s="2567"/>
      <c r="MVG83" s="2567"/>
      <c r="MVH83" s="2567"/>
      <c r="MVI83" s="2567"/>
      <c r="MVJ83" s="2567"/>
      <c r="MVK83" s="2567"/>
      <c r="MVL83" s="2567"/>
      <c r="MVM83" s="2567"/>
      <c r="MVN83" s="2567"/>
      <c r="MVO83" s="2567"/>
      <c r="MVP83" s="2567"/>
      <c r="MVQ83" s="2567"/>
      <c r="MVR83" s="2567"/>
      <c r="MVS83" s="2567"/>
      <c r="MVT83" s="2567"/>
      <c r="MVU83" s="2567"/>
      <c r="MVV83" s="2567"/>
      <c r="MVW83" s="2567"/>
      <c r="MVX83" s="2567"/>
      <c r="MVY83" s="2567"/>
      <c r="MVZ83" s="2567"/>
      <c r="MWA83" s="2567"/>
      <c r="MWB83" s="2567"/>
      <c r="MWC83" s="2567"/>
      <c r="MWD83" s="2567"/>
      <c r="MWE83" s="2567"/>
      <c r="MWF83" s="2567"/>
      <c r="MWG83" s="2567"/>
      <c r="MWH83" s="2567"/>
      <c r="MWI83" s="2567"/>
      <c r="MWJ83" s="2567"/>
      <c r="MWK83" s="2567"/>
      <c r="MWL83" s="2567"/>
      <c r="MWM83" s="2567"/>
      <c r="MWN83" s="2567"/>
      <c r="MWO83" s="2567"/>
      <c r="MWP83" s="2567"/>
      <c r="MWQ83" s="2567"/>
      <c r="MWR83" s="2567"/>
      <c r="MWS83" s="2567"/>
      <c r="MWT83" s="2567"/>
      <c r="MWU83" s="2567"/>
      <c r="MWV83" s="2567"/>
      <c r="MWW83" s="2567"/>
      <c r="MWX83" s="2567"/>
      <c r="MWY83" s="2567"/>
      <c r="MWZ83" s="2567"/>
      <c r="MXA83" s="2567"/>
      <c r="MXB83" s="2567"/>
      <c r="MXC83" s="2567"/>
      <c r="MXD83" s="2567"/>
      <c r="MXE83" s="2567"/>
      <c r="MXF83" s="2567"/>
      <c r="MXG83" s="2567"/>
      <c r="MXH83" s="2567"/>
      <c r="MXI83" s="2567"/>
      <c r="MXJ83" s="2567"/>
      <c r="MXK83" s="2567"/>
      <c r="MXL83" s="2567"/>
      <c r="MXM83" s="2567"/>
      <c r="MXN83" s="2567"/>
      <c r="MXO83" s="2567"/>
      <c r="MXP83" s="2567"/>
      <c r="MXQ83" s="2567"/>
      <c r="MXR83" s="2567"/>
      <c r="MXS83" s="2567"/>
      <c r="MXT83" s="2567"/>
      <c r="MXU83" s="2567"/>
      <c r="MXV83" s="2567"/>
      <c r="MXW83" s="2567"/>
      <c r="MXX83" s="2567"/>
      <c r="MXY83" s="2567"/>
      <c r="MXZ83" s="2567"/>
      <c r="MYA83" s="2567"/>
      <c r="MYB83" s="2567"/>
      <c r="MYC83" s="2567"/>
      <c r="MYD83" s="2567"/>
      <c r="MYE83" s="2567"/>
      <c r="MYF83" s="2567"/>
      <c r="MYG83" s="2567"/>
      <c r="MYH83" s="2567"/>
      <c r="MYI83" s="2567"/>
      <c r="MYJ83" s="2567"/>
      <c r="MYK83" s="2567"/>
      <c r="MYL83" s="2567"/>
      <c r="MYM83" s="2567"/>
      <c r="MYN83" s="2567"/>
      <c r="MYO83" s="2567"/>
      <c r="MYP83" s="2567"/>
      <c r="MYQ83" s="2567"/>
      <c r="MYR83" s="2567"/>
      <c r="MYS83" s="2567"/>
      <c r="MYT83" s="2567"/>
      <c r="MYU83" s="2567"/>
      <c r="MYV83" s="2567"/>
      <c r="MYW83" s="2567"/>
      <c r="MYX83" s="2567"/>
      <c r="MYY83" s="2567"/>
      <c r="MYZ83" s="2567"/>
      <c r="MZA83" s="2567"/>
      <c r="MZB83" s="2567"/>
      <c r="MZC83" s="2567"/>
      <c r="MZD83" s="2567"/>
      <c r="MZE83" s="2567"/>
      <c r="MZF83" s="2567"/>
      <c r="MZG83" s="2567"/>
      <c r="MZH83" s="2567"/>
      <c r="MZI83" s="2567"/>
      <c r="MZJ83" s="2567"/>
      <c r="MZK83" s="2567"/>
      <c r="MZL83" s="2567"/>
      <c r="MZM83" s="2567"/>
      <c r="MZN83" s="2567"/>
      <c r="MZO83" s="2567"/>
      <c r="MZP83" s="2567"/>
      <c r="MZQ83" s="2567"/>
      <c r="MZR83" s="2567"/>
      <c r="MZS83" s="2567"/>
      <c r="MZT83" s="2567"/>
      <c r="MZU83" s="2567"/>
      <c r="MZV83" s="2567"/>
      <c r="MZW83" s="2567"/>
      <c r="MZX83" s="2567"/>
      <c r="MZY83" s="2567"/>
      <c r="MZZ83" s="2567"/>
      <c r="NAA83" s="2567"/>
      <c r="NAB83" s="2567"/>
      <c r="NAC83" s="2567"/>
      <c r="NAD83" s="2567"/>
      <c r="NAE83" s="2567"/>
      <c r="NAF83" s="2567"/>
      <c r="NAG83" s="2567"/>
      <c r="NAH83" s="2567"/>
      <c r="NAI83" s="2567"/>
      <c r="NAJ83" s="2567"/>
      <c r="NAK83" s="2567"/>
      <c r="NAL83" s="2567"/>
      <c r="NAM83" s="2567"/>
      <c r="NAN83" s="2567"/>
      <c r="NAO83" s="2567"/>
      <c r="NAP83" s="2567"/>
      <c r="NAQ83" s="2567"/>
      <c r="NAR83" s="2567"/>
      <c r="NAS83" s="2567"/>
      <c r="NAT83" s="2567"/>
      <c r="NAU83" s="2567"/>
      <c r="NAV83" s="2567"/>
      <c r="NAW83" s="2567"/>
      <c r="NAX83" s="2567"/>
      <c r="NAY83" s="2567"/>
      <c r="NAZ83" s="2567"/>
      <c r="NBA83" s="2567"/>
      <c r="NBB83" s="2567"/>
      <c r="NBC83" s="2567"/>
      <c r="NBD83" s="2567"/>
      <c r="NBE83" s="2567"/>
      <c r="NBF83" s="2567"/>
      <c r="NBG83" s="2567"/>
      <c r="NBH83" s="2567"/>
      <c r="NBI83" s="2567"/>
      <c r="NBJ83" s="2567"/>
      <c r="NBK83" s="2567"/>
      <c r="NBL83" s="2567"/>
      <c r="NBM83" s="2567"/>
      <c r="NBN83" s="2567"/>
      <c r="NBO83" s="2567"/>
      <c r="NBP83" s="2567"/>
      <c r="NBQ83" s="2567"/>
      <c r="NBR83" s="2567"/>
      <c r="NBS83" s="2567"/>
      <c r="NBT83" s="2567"/>
      <c r="NBU83" s="2567"/>
      <c r="NBV83" s="2567"/>
      <c r="NBW83" s="2567"/>
      <c r="NBX83" s="2567"/>
      <c r="NBY83" s="2567"/>
      <c r="NBZ83" s="2567"/>
      <c r="NCA83" s="2567"/>
      <c r="NCB83" s="2567"/>
      <c r="NCC83" s="2567"/>
      <c r="NCD83" s="2567"/>
      <c r="NCE83" s="2567"/>
      <c r="NCF83" s="2567"/>
      <c r="NCG83" s="2567"/>
      <c r="NCH83" s="2567"/>
      <c r="NCI83" s="2567"/>
      <c r="NCJ83" s="2567"/>
      <c r="NCK83" s="2567"/>
      <c r="NCL83" s="2567"/>
      <c r="NCM83" s="2567"/>
      <c r="NCN83" s="2567"/>
      <c r="NCO83" s="2567"/>
      <c r="NCP83" s="2567"/>
      <c r="NCQ83" s="2567"/>
      <c r="NCR83" s="2567"/>
      <c r="NCS83" s="2567"/>
      <c r="NCT83" s="2567"/>
      <c r="NCU83" s="2567"/>
      <c r="NCV83" s="2567"/>
      <c r="NCW83" s="2567"/>
      <c r="NCX83" s="2567"/>
      <c r="NCY83" s="2567"/>
      <c r="NCZ83" s="2567"/>
      <c r="NDA83" s="2567"/>
      <c r="NDB83" s="2567"/>
      <c r="NDC83" s="2567"/>
      <c r="NDD83" s="2567"/>
      <c r="NDE83" s="2567"/>
      <c r="NDF83" s="2567"/>
      <c r="NDG83" s="2567"/>
      <c r="NDH83" s="2567"/>
      <c r="NDI83" s="2567"/>
      <c r="NDJ83" s="2567"/>
      <c r="NDK83" s="2567"/>
      <c r="NDL83" s="2567"/>
      <c r="NDM83" s="2567"/>
      <c r="NDN83" s="2567"/>
      <c r="NDO83" s="2567"/>
      <c r="NDP83" s="2567"/>
      <c r="NDQ83" s="2567"/>
      <c r="NDR83" s="2567"/>
      <c r="NDS83" s="2567"/>
      <c r="NDT83" s="2567"/>
      <c r="NDU83" s="2567"/>
      <c r="NDV83" s="2567"/>
      <c r="NDW83" s="2567"/>
      <c r="NDX83" s="2567"/>
      <c r="NDY83" s="2567"/>
      <c r="NDZ83" s="2567"/>
      <c r="NEA83" s="2567"/>
      <c r="NEB83" s="2567"/>
      <c r="NEC83" s="2567"/>
      <c r="NED83" s="2567"/>
      <c r="NEE83" s="2567"/>
      <c r="NEF83" s="2567"/>
      <c r="NEG83" s="2567"/>
      <c r="NEH83" s="2567"/>
      <c r="NEI83" s="2567"/>
      <c r="NEJ83" s="2567"/>
      <c r="NEK83" s="2567"/>
      <c r="NEL83" s="2567"/>
      <c r="NEM83" s="2567"/>
      <c r="NEN83" s="2567"/>
      <c r="NEO83" s="2567"/>
      <c r="NEP83" s="2567"/>
      <c r="NEQ83" s="2567"/>
      <c r="NER83" s="2567"/>
      <c r="NES83" s="2567"/>
      <c r="NET83" s="2567"/>
      <c r="NEU83" s="2567"/>
      <c r="NEV83" s="2567"/>
      <c r="NEW83" s="2567"/>
      <c r="NEX83" s="2567"/>
      <c r="NEY83" s="2567"/>
      <c r="NEZ83" s="2567"/>
      <c r="NFA83" s="2567"/>
      <c r="NFB83" s="2567"/>
      <c r="NFC83" s="2567"/>
      <c r="NFD83" s="2567"/>
      <c r="NFE83" s="2567"/>
      <c r="NFF83" s="2567"/>
      <c r="NFG83" s="2567"/>
      <c r="NFH83" s="2567"/>
      <c r="NFI83" s="2567"/>
      <c r="NFJ83" s="2567"/>
      <c r="NFK83" s="2567"/>
      <c r="NFL83" s="2567"/>
      <c r="NFM83" s="2567"/>
      <c r="NFN83" s="2567"/>
      <c r="NFO83" s="2567"/>
      <c r="NFP83" s="2567"/>
      <c r="NFQ83" s="2567"/>
      <c r="NFR83" s="2567"/>
      <c r="NFS83" s="2567"/>
      <c r="NFT83" s="2567"/>
      <c r="NFU83" s="2567"/>
      <c r="NFV83" s="2567"/>
      <c r="NFW83" s="2567"/>
      <c r="NFX83" s="2567"/>
      <c r="NFY83" s="2567"/>
      <c r="NFZ83" s="2567"/>
      <c r="NGA83" s="2567"/>
      <c r="NGB83" s="2567"/>
      <c r="NGC83" s="2567"/>
      <c r="NGD83" s="2567"/>
      <c r="NGE83" s="2567"/>
      <c r="NGF83" s="2567"/>
      <c r="NGG83" s="2567"/>
      <c r="NGH83" s="2567"/>
      <c r="NGI83" s="2567"/>
      <c r="NGJ83" s="2567"/>
      <c r="NGK83" s="2567"/>
      <c r="NGL83" s="2567"/>
      <c r="NGM83" s="2567"/>
      <c r="NGN83" s="2567"/>
      <c r="NGO83" s="2567"/>
      <c r="NGP83" s="2567"/>
      <c r="NGQ83" s="2567"/>
      <c r="NGR83" s="2567"/>
      <c r="NGS83" s="2567"/>
      <c r="NGT83" s="2567"/>
      <c r="NGU83" s="2567"/>
      <c r="NGV83" s="2567"/>
      <c r="NGW83" s="2567"/>
      <c r="NGX83" s="2567"/>
      <c r="NGY83" s="2567"/>
      <c r="NGZ83" s="2567"/>
      <c r="NHA83" s="2567"/>
      <c r="NHB83" s="2567"/>
      <c r="NHC83" s="2567"/>
      <c r="NHD83" s="2567"/>
      <c r="NHE83" s="2567"/>
      <c r="NHF83" s="2567"/>
      <c r="NHG83" s="2567"/>
      <c r="NHH83" s="2567"/>
      <c r="NHI83" s="2567"/>
      <c r="NHJ83" s="2567"/>
      <c r="NHK83" s="2567"/>
      <c r="NHL83" s="2567"/>
      <c r="NHM83" s="2567"/>
      <c r="NHN83" s="2567"/>
      <c r="NHO83" s="2567"/>
      <c r="NHP83" s="2567"/>
      <c r="NHQ83" s="2567"/>
      <c r="NHR83" s="2567"/>
      <c r="NHS83" s="2567"/>
      <c r="NHT83" s="2567"/>
      <c r="NHU83" s="2567"/>
      <c r="NHV83" s="2567"/>
      <c r="NHW83" s="2567"/>
      <c r="NHX83" s="2567"/>
      <c r="NHY83" s="2567"/>
      <c r="NHZ83" s="2567"/>
      <c r="NIA83" s="2567"/>
      <c r="NIB83" s="2567"/>
      <c r="NIC83" s="2567"/>
      <c r="NID83" s="2567"/>
      <c r="NIE83" s="2567"/>
      <c r="NIF83" s="2567"/>
      <c r="NIG83" s="2567"/>
      <c r="NIH83" s="2567"/>
      <c r="NII83" s="2567"/>
      <c r="NIJ83" s="2567"/>
      <c r="NIK83" s="2567"/>
      <c r="NIL83" s="2567"/>
      <c r="NIM83" s="2567"/>
      <c r="NIN83" s="2567"/>
      <c r="NIO83" s="2567"/>
      <c r="NIP83" s="2567"/>
      <c r="NIQ83" s="2567"/>
      <c r="NIR83" s="2567"/>
      <c r="NIS83" s="2567"/>
      <c r="NIT83" s="2567"/>
      <c r="NIU83" s="2567"/>
      <c r="NIV83" s="2567"/>
      <c r="NIW83" s="2567"/>
      <c r="NIX83" s="2567"/>
      <c r="NIY83" s="2567"/>
      <c r="NIZ83" s="2567"/>
      <c r="NJA83" s="2567"/>
      <c r="NJB83" s="2567"/>
      <c r="NJC83" s="2567"/>
      <c r="NJD83" s="2567"/>
      <c r="NJE83" s="2567"/>
      <c r="NJF83" s="2567"/>
      <c r="NJG83" s="2567"/>
      <c r="NJH83" s="2567"/>
      <c r="NJI83" s="2567"/>
      <c r="NJJ83" s="2567"/>
      <c r="NJK83" s="2567"/>
      <c r="NJL83" s="2567"/>
      <c r="NJM83" s="2567"/>
      <c r="NJN83" s="2567"/>
      <c r="NJO83" s="2567"/>
      <c r="NJP83" s="2567"/>
      <c r="NJQ83" s="2567"/>
      <c r="NJR83" s="2567"/>
      <c r="NJS83" s="2567"/>
      <c r="NJT83" s="2567"/>
      <c r="NJU83" s="2567"/>
      <c r="NJV83" s="2567"/>
      <c r="NJW83" s="2567"/>
      <c r="NJX83" s="2567"/>
      <c r="NJY83" s="2567"/>
      <c r="NJZ83" s="2567"/>
      <c r="NKA83" s="2567"/>
      <c r="NKB83" s="2567"/>
      <c r="NKC83" s="2567"/>
      <c r="NKD83" s="2567"/>
      <c r="NKE83" s="2567"/>
      <c r="NKF83" s="2567"/>
      <c r="NKG83" s="2567"/>
      <c r="NKH83" s="2567"/>
      <c r="NKI83" s="2567"/>
      <c r="NKJ83" s="2567"/>
      <c r="NKK83" s="2567"/>
      <c r="NKL83" s="2567"/>
      <c r="NKM83" s="2567"/>
      <c r="NKN83" s="2567"/>
      <c r="NKO83" s="2567"/>
      <c r="NKP83" s="2567"/>
      <c r="NKQ83" s="2567"/>
      <c r="NKR83" s="2567"/>
      <c r="NKS83" s="2567"/>
      <c r="NKT83" s="2567"/>
      <c r="NKU83" s="2567"/>
      <c r="NKV83" s="2567"/>
      <c r="NKW83" s="2567"/>
      <c r="NKX83" s="2567"/>
      <c r="NKY83" s="2567"/>
      <c r="NKZ83" s="2567"/>
      <c r="NLA83" s="2567"/>
      <c r="NLB83" s="2567"/>
      <c r="NLC83" s="2567"/>
      <c r="NLD83" s="2567"/>
      <c r="NLE83" s="2567"/>
      <c r="NLF83" s="2567"/>
      <c r="NLG83" s="2567"/>
      <c r="NLH83" s="2567"/>
      <c r="NLI83" s="2567"/>
      <c r="NLJ83" s="2567"/>
      <c r="NLK83" s="2567"/>
      <c r="NLL83" s="2567"/>
      <c r="NLM83" s="2567"/>
      <c r="NLN83" s="2567"/>
      <c r="NLO83" s="2567"/>
      <c r="NLP83" s="2567"/>
      <c r="NLQ83" s="2567"/>
      <c r="NLR83" s="2567"/>
      <c r="NLS83" s="2567"/>
      <c r="NLT83" s="2567"/>
      <c r="NLU83" s="2567"/>
      <c r="NLV83" s="2567"/>
      <c r="NLW83" s="2567"/>
      <c r="NLX83" s="2567"/>
      <c r="NLY83" s="2567"/>
      <c r="NLZ83" s="2567"/>
      <c r="NMA83" s="2567"/>
      <c r="NMB83" s="2567"/>
      <c r="NMC83" s="2567"/>
      <c r="NMD83" s="2567"/>
      <c r="NME83" s="2567"/>
      <c r="NMF83" s="2567"/>
      <c r="NMG83" s="2567"/>
      <c r="NMH83" s="2567"/>
      <c r="NMI83" s="2567"/>
      <c r="NMJ83" s="2567"/>
      <c r="NMK83" s="2567"/>
      <c r="NML83" s="2567"/>
      <c r="NMM83" s="2567"/>
      <c r="NMN83" s="2567"/>
      <c r="NMO83" s="2567"/>
      <c r="NMP83" s="2567"/>
      <c r="NMQ83" s="2567"/>
      <c r="NMR83" s="2567"/>
      <c r="NMS83" s="2567"/>
      <c r="NMT83" s="2567"/>
      <c r="NMU83" s="2567"/>
      <c r="NMV83" s="2567"/>
      <c r="NMW83" s="2567"/>
      <c r="NMX83" s="2567"/>
      <c r="NMY83" s="2567"/>
      <c r="NMZ83" s="2567"/>
      <c r="NNA83" s="2567"/>
      <c r="NNB83" s="2567"/>
      <c r="NNC83" s="2567"/>
      <c r="NND83" s="2567"/>
      <c r="NNE83" s="2567"/>
      <c r="NNF83" s="2567"/>
      <c r="NNG83" s="2567"/>
      <c r="NNH83" s="2567"/>
      <c r="NNI83" s="2567"/>
      <c r="NNJ83" s="2567"/>
      <c r="NNK83" s="2567"/>
      <c r="NNL83" s="2567"/>
      <c r="NNM83" s="2567"/>
      <c r="NNN83" s="2567"/>
      <c r="NNO83" s="2567"/>
      <c r="NNP83" s="2567"/>
      <c r="NNQ83" s="2567"/>
      <c r="NNR83" s="2567"/>
      <c r="NNS83" s="2567"/>
      <c r="NNT83" s="2567"/>
      <c r="NNU83" s="2567"/>
      <c r="NNV83" s="2567"/>
      <c r="NNW83" s="2567"/>
      <c r="NNX83" s="2567"/>
      <c r="NNY83" s="2567"/>
      <c r="NNZ83" s="2567"/>
      <c r="NOA83" s="2567"/>
      <c r="NOB83" s="2567"/>
      <c r="NOC83" s="2567"/>
      <c r="NOD83" s="2567"/>
      <c r="NOE83" s="2567"/>
      <c r="NOF83" s="2567"/>
      <c r="NOG83" s="2567"/>
      <c r="NOH83" s="2567"/>
      <c r="NOI83" s="2567"/>
      <c r="NOJ83" s="2567"/>
      <c r="NOK83" s="2567"/>
      <c r="NOL83" s="2567"/>
      <c r="NOM83" s="2567"/>
      <c r="NON83" s="2567"/>
      <c r="NOO83" s="2567"/>
      <c r="NOP83" s="2567"/>
      <c r="NOQ83" s="2567"/>
      <c r="NOR83" s="2567"/>
      <c r="NOS83" s="2567"/>
      <c r="NOT83" s="2567"/>
      <c r="NOU83" s="2567"/>
      <c r="NOV83" s="2567"/>
      <c r="NOW83" s="2567"/>
      <c r="NOX83" s="2567"/>
      <c r="NOY83" s="2567"/>
      <c r="NOZ83" s="2567"/>
      <c r="NPA83" s="2567"/>
      <c r="NPB83" s="2567"/>
      <c r="NPC83" s="2567"/>
      <c r="NPD83" s="2567"/>
      <c r="NPE83" s="2567"/>
      <c r="NPF83" s="2567"/>
      <c r="NPG83" s="2567"/>
      <c r="NPH83" s="2567"/>
      <c r="NPI83" s="2567"/>
      <c r="NPJ83" s="2567"/>
      <c r="NPK83" s="2567"/>
      <c r="NPL83" s="2567"/>
      <c r="NPM83" s="2567"/>
      <c r="NPN83" s="2567"/>
      <c r="NPO83" s="2567"/>
      <c r="NPP83" s="2567"/>
      <c r="NPQ83" s="2567"/>
      <c r="NPR83" s="2567"/>
      <c r="NPS83" s="2567"/>
      <c r="NPT83" s="2567"/>
      <c r="NPU83" s="2567"/>
      <c r="NPV83" s="2567"/>
      <c r="NPW83" s="2567"/>
      <c r="NPX83" s="2567"/>
      <c r="NPY83" s="2567"/>
      <c r="NPZ83" s="2567"/>
      <c r="NQA83" s="2567"/>
      <c r="NQB83" s="2567"/>
      <c r="NQC83" s="2567"/>
      <c r="NQD83" s="2567"/>
      <c r="NQE83" s="2567"/>
      <c r="NQF83" s="2567"/>
      <c r="NQG83" s="2567"/>
      <c r="NQH83" s="2567"/>
      <c r="NQI83" s="2567"/>
      <c r="NQJ83" s="2567"/>
      <c r="NQK83" s="2567"/>
      <c r="NQL83" s="2567"/>
      <c r="NQM83" s="2567"/>
      <c r="NQN83" s="2567"/>
      <c r="NQO83" s="2567"/>
      <c r="NQP83" s="2567"/>
      <c r="NQQ83" s="2567"/>
      <c r="NQR83" s="2567"/>
      <c r="NQS83" s="2567"/>
      <c r="NQT83" s="2567"/>
      <c r="NQU83" s="2567"/>
      <c r="NQV83" s="2567"/>
      <c r="NQW83" s="2567"/>
      <c r="NQX83" s="2567"/>
      <c r="NQY83" s="2567"/>
      <c r="NQZ83" s="2567"/>
      <c r="NRA83" s="2567"/>
      <c r="NRB83" s="2567"/>
      <c r="NRC83" s="2567"/>
      <c r="NRD83" s="2567"/>
      <c r="NRE83" s="2567"/>
      <c r="NRF83" s="2567"/>
      <c r="NRG83" s="2567"/>
      <c r="NRH83" s="2567"/>
      <c r="NRI83" s="2567"/>
      <c r="NRJ83" s="2567"/>
      <c r="NRK83" s="2567"/>
      <c r="NRL83" s="2567"/>
      <c r="NRM83" s="2567"/>
      <c r="NRN83" s="2567"/>
      <c r="NRO83" s="2567"/>
      <c r="NRP83" s="2567"/>
      <c r="NRQ83" s="2567"/>
      <c r="NRR83" s="2567"/>
      <c r="NRS83" s="2567"/>
      <c r="NRT83" s="2567"/>
      <c r="NRU83" s="2567"/>
      <c r="NRV83" s="2567"/>
      <c r="NRW83" s="2567"/>
      <c r="NRX83" s="2567"/>
      <c r="NRY83" s="2567"/>
      <c r="NRZ83" s="2567"/>
      <c r="NSA83" s="2567"/>
      <c r="NSB83" s="2567"/>
      <c r="NSC83" s="2567"/>
      <c r="NSD83" s="2567"/>
      <c r="NSE83" s="2567"/>
      <c r="NSF83" s="2567"/>
      <c r="NSG83" s="2567"/>
      <c r="NSH83" s="2567"/>
      <c r="NSI83" s="2567"/>
      <c r="NSJ83" s="2567"/>
      <c r="NSK83" s="2567"/>
      <c r="NSL83" s="2567"/>
      <c r="NSM83" s="2567"/>
      <c r="NSN83" s="2567"/>
      <c r="NSO83" s="2567"/>
      <c r="NSP83" s="2567"/>
      <c r="NSQ83" s="2567"/>
      <c r="NSR83" s="2567"/>
      <c r="NSS83" s="2567"/>
      <c r="NST83" s="2567"/>
      <c r="NSU83" s="2567"/>
      <c r="NSV83" s="2567"/>
      <c r="NSW83" s="2567"/>
      <c r="NSX83" s="2567"/>
      <c r="NSY83" s="2567"/>
      <c r="NSZ83" s="2567"/>
      <c r="NTA83" s="2567"/>
      <c r="NTB83" s="2567"/>
      <c r="NTC83" s="2567"/>
      <c r="NTD83" s="2567"/>
      <c r="NTE83" s="2567"/>
      <c r="NTF83" s="2567"/>
      <c r="NTG83" s="2567"/>
      <c r="NTH83" s="2567"/>
      <c r="NTI83" s="2567"/>
      <c r="NTJ83" s="2567"/>
      <c r="NTK83" s="2567"/>
      <c r="NTL83" s="2567"/>
      <c r="NTM83" s="2567"/>
      <c r="NTN83" s="2567"/>
      <c r="NTO83" s="2567"/>
      <c r="NTP83" s="2567"/>
      <c r="NTQ83" s="2567"/>
      <c r="NTR83" s="2567"/>
      <c r="NTS83" s="2567"/>
      <c r="NTT83" s="2567"/>
      <c r="NTU83" s="2567"/>
      <c r="NTV83" s="2567"/>
      <c r="NTW83" s="2567"/>
      <c r="NTX83" s="2567"/>
      <c r="NTY83" s="2567"/>
      <c r="NTZ83" s="2567"/>
      <c r="NUA83" s="2567"/>
      <c r="NUB83" s="2567"/>
      <c r="NUC83" s="2567"/>
      <c r="NUD83" s="2567"/>
      <c r="NUE83" s="2567"/>
      <c r="NUF83" s="2567"/>
      <c r="NUG83" s="2567"/>
      <c r="NUH83" s="2567"/>
      <c r="NUI83" s="2567"/>
      <c r="NUJ83" s="2567"/>
      <c r="NUK83" s="2567"/>
      <c r="NUL83" s="2567"/>
      <c r="NUM83" s="2567"/>
      <c r="NUN83" s="2567"/>
      <c r="NUO83" s="2567"/>
      <c r="NUP83" s="2567"/>
      <c r="NUQ83" s="2567"/>
      <c r="NUR83" s="2567"/>
      <c r="NUS83" s="2567"/>
      <c r="NUT83" s="2567"/>
      <c r="NUU83" s="2567"/>
      <c r="NUV83" s="2567"/>
      <c r="NUW83" s="2567"/>
      <c r="NUX83" s="2567"/>
      <c r="NUY83" s="2567"/>
      <c r="NUZ83" s="2567"/>
      <c r="NVA83" s="2567"/>
      <c r="NVB83" s="2567"/>
      <c r="NVC83" s="2567"/>
      <c r="NVD83" s="2567"/>
      <c r="NVE83" s="2567"/>
      <c r="NVF83" s="2567"/>
      <c r="NVG83" s="2567"/>
      <c r="NVH83" s="2567"/>
      <c r="NVI83" s="2567"/>
      <c r="NVJ83" s="2567"/>
      <c r="NVK83" s="2567"/>
      <c r="NVL83" s="2567"/>
      <c r="NVM83" s="2567"/>
      <c r="NVN83" s="2567"/>
      <c r="NVO83" s="2567"/>
      <c r="NVP83" s="2567"/>
      <c r="NVQ83" s="2567"/>
      <c r="NVR83" s="2567"/>
      <c r="NVS83" s="2567"/>
      <c r="NVT83" s="2567"/>
      <c r="NVU83" s="2567"/>
      <c r="NVV83" s="2567"/>
      <c r="NVW83" s="2567"/>
      <c r="NVX83" s="2567"/>
      <c r="NVY83" s="2567"/>
      <c r="NVZ83" s="2567"/>
      <c r="NWA83" s="2567"/>
      <c r="NWB83" s="2567"/>
      <c r="NWC83" s="2567"/>
      <c r="NWD83" s="2567"/>
      <c r="NWE83" s="2567"/>
      <c r="NWF83" s="2567"/>
      <c r="NWG83" s="2567"/>
      <c r="NWH83" s="2567"/>
      <c r="NWI83" s="2567"/>
      <c r="NWJ83" s="2567"/>
      <c r="NWK83" s="2567"/>
      <c r="NWL83" s="2567"/>
      <c r="NWM83" s="2567"/>
      <c r="NWN83" s="2567"/>
      <c r="NWO83" s="2567"/>
      <c r="NWP83" s="2567"/>
      <c r="NWQ83" s="2567"/>
      <c r="NWR83" s="2567"/>
      <c r="NWS83" s="2567"/>
      <c r="NWT83" s="2567"/>
      <c r="NWU83" s="2567"/>
      <c r="NWV83" s="2567"/>
      <c r="NWW83" s="2567"/>
      <c r="NWX83" s="2567"/>
      <c r="NWY83" s="2567"/>
      <c r="NWZ83" s="2567"/>
      <c r="NXA83" s="2567"/>
      <c r="NXB83" s="2567"/>
      <c r="NXC83" s="2567"/>
      <c r="NXD83" s="2567"/>
      <c r="NXE83" s="2567"/>
      <c r="NXF83" s="2567"/>
      <c r="NXG83" s="2567"/>
      <c r="NXH83" s="2567"/>
      <c r="NXI83" s="2567"/>
      <c r="NXJ83" s="2567"/>
      <c r="NXK83" s="2567"/>
      <c r="NXL83" s="2567"/>
      <c r="NXM83" s="2567"/>
      <c r="NXN83" s="2567"/>
      <c r="NXO83" s="2567"/>
      <c r="NXP83" s="2567"/>
      <c r="NXQ83" s="2567"/>
      <c r="NXR83" s="2567"/>
      <c r="NXS83" s="2567"/>
      <c r="NXT83" s="2567"/>
      <c r="NXU83" s="2567"/>
      <c r="NXV83" s="2567"/>
      <c r="NXW83" s="2567"/>
      <c r="NXX83" s="2567"/>
      <c r="NXY83" s="2567"/>
      <c r="NXZ83" s="2567"/>
      <c r="NYA83" s="2567"/>
      <c r="NYB83" s="2567"/>
      <c r="NYC83" s="2567"/>
      <c r="NYD83" s="2567"/>
      <c r="NYE83" s="2567"/>
      <c r="NYF83" s="2567"/>
      <c r="NYG83" s="2567"/>
      <c r="NYH83" s="2567"/>
      <c r="NYI83" s="2567"/>
      <c r="NYJ83" s="2567"/>
      <c r="NYK83" s="2567"/>
      <c r="NYL83" s="2567"/>
      <c r="NYM83" s="2567"/>
      <c r="NYN83" s="2567"/>
      <c r="NYO83" s="2567"/>
      <c r="NYP83" s="2567"/>
      <c r="NYQ83" s="2567"/>
      <c r="NYR83" s="2567"/>
      <c r="NYS83" s="2567"/>
      <c r="NYT83" s="2567"/>
      <c r="NYU83" s="2567"/>
      <c r="NYV83" s="2567"/>
      <c r="NYW83" s="2567"/>
      <c r="NYX83" s="2567"/>
      <c r="NYY83" s="2567"/>
      <c r="NYZ83" s="2567"/>
      <c r="NZA83" s="2567"/>
      <c r="NZB83" s="2567"/>
      <c r="NZC83" s="2567"/>
      <c r="NZD83" s="2567"/>
      <c r="NZE83" s="2567"/>
      <c r="NZF83" s="2567"/>
      <c r="NZG83" s="2567"/>
      <c r="NZH83" s="2567"/>
      <c r="NZI83" s="2567"/>
      <c r="NZJ83" s="2567"/>
      <c r="NZK83" s="2567"/>
      <c r="NZL83" s="2567"/>
      <c r="NZM83" s="2567"/>
      <c r="NZN83" s="2567"/>
      <c r="NZO83" s="2567"/>
      <c r="NZP83" s="2567"/>
      <c r="NZQ83" s="2567"/>
      <c r="NZR83" s="2567"/>
      <c r="NZS83" s="2567"/>
      <c r="NZT83" s="2567"/>
      <c r="NZU83" s="2567"/>
      <c r="NZV83" s="2567"/>
      <c r="NZW83" s="2567"/>
      <c r="NZX83" s="2567"/>
      <c r="NZY83" s="2567"/>
      <c r="NZZ83" s="2567"/>
      <c r="OAA83" s="2567"/>
      <c r="OAB83" s="2567"/>
      <c r="OAC83" s="2567"/>
      <c r="OAD83" s="2567"/>
      <c r="OAE83" s="2567"/>
      <c r="OAF83" s="2567"/>
      <c r="OAG83" s="2567"/>
      <c r="OAH83" s="2567"/>
      <c r="OAI83" s="2567"/>
      <c r="OAJ83" s="2567"/>
      <c r="OAK83" s="2567"/>
      <c r="OAL83" s="2567"/>
      <c r="OAM83" s="2567"/>
      <c r="OAN83" s="2567"/>
      <c r="OAO83" s="2567"/>
      <c r="OAP83" s="2567"/>
      <c r="OAQ83" s="2567"/>
      <c r="OAR83" s="2567"/>
      <c r="OAS83" s="2567"/>
      <c r="OAT83" s="2567"/>
      <c r="OAU83" s="2567"/>
      <c r="OAV83" s="2567"/>
      <c r="OAW83" s="2567"/>
      <c r="OAX83" s="2567"/>
      <c r="OAY83" s="2567"/>
      <c r="OAZ83" s="2567"/>
      <c r="OBA83" s="2567"/>
      <c r="OBB83" s="2567"/>
      <c r="OBC83" s="2567"/>
      <c r="OBD83" s="2567"/>
      <c r="OBE83" s="2567"/>
      <c r="OBF83" s="2567"/>
      <c r="OBG83" s="2567"/>
      <c r="OBH83" s="2567"/>
      <c r="OBI83" s="2567"/>
      <c r="OBJ83" s="2567"/>
      <c r="OBK83" s="2567"/>
      <c r="OBL83" s="2567"/>
      <c r="OBM83" s="2567"/>
      <c r="OBN83" s="2567"/>
      <c r="OBO83" s="2567"/>
      <c r="OBP83" s="2567"/>
      <c r="OBQ83" s="2567"/>
      <c r="OBR83" s="2567"/>
      <c r="OBS83" s="2567"/>
      <c r="OBT83" s="2567"/>
      <c r="OBU83" s="2567"/>
      <c r="OBV83" s="2567"/>
      <c r="OBW83" s="2567"/>
      <c r="OBX83" s="2567"/>
      <c r="OBY83" s="2567"/>
      <c r="OBZ83" s="2567"/>
      <c r="OCA83" s="2567"/>
      <c r="OCB83" s="2567"/>
      <c r="OCC83" s="2567"/>
      <c r="OCD83" s="2567"/>
      <c r="OCE83" s="2567"/>
      <c r="OCF83" s="2567"/>
      <c r="OCG83" s="2567"/>
      <c r="OCH83" s="2567"/>
      <c r="OCI83" s="2567"/>
      <c r="OCJ83" s="2567"/>
      <c r="OCK83" s="2567"/>
      <c r="OCL83" s="2567"/>
      <c r="OCM83" s="2567"/>
      <c r="OCN83" s="2567"/>
      <c r="OCO83" s="2567"/>
      <c r="OCP83" s="2567"/>
      <c r="OCQ83" s="2567"/>
      <c r="OCR83" s="2567"/>
      <c r="OCS83" s="2567"/>
      <c r="OCT83" s="2567"/>
      <c r="OCU83" s="2567"/>
      <c r="OCV83" s="2567"/>
      <c r="OCW83" s="2567"/>
      <c r="OCX83" s="2567"/>
      <c r="OCY83" s="2567"/>
      <c r="OCZ83" s="2567"/>
      <c r="ODA83" s="2567"/>
      <c r="ODB83" s="2567"/>
      <c r="ODC83" s="2567"/>
      <c r="ODD83" s="2567"/>
      <c r="ODE83" s="2567"/>
      <c r="ODF83" s="2567"/>
      <c r="ODG83" s="2567"/>
      <c r="ODH83" s="2567"/>
      <c r="ODI83" s="2567"/>
      <c r="ODJ83" s="2567"/>
      <c r="ODK83" s="2567"/>
      <c r="ODL83" s="2567"/>
      <c r="ODM83" s="2567"/>
      <c r="ODN83" s="2567"/>
      <c r="ODO83" s="2567"/>
      <c r="ODP83" s="2567"/>
      <c r="ODQ83" s="2567"/>
      <c r="ODR83" s="2567"/>
      <c r="ODS83" s="2567"/>
      <c r="ODT83" s="2567"/>
      <c r="ODU83" s="2567"/>
      <c r="ODV83" s="2567"/>
      <c r="ODW83" s="2567"/>
      <c r="ODX83" s="2567"/>
      <c r="ODY83" s="2567"/>
      <c r="ODZ83" s="2567"/>
      <c r="OEA83" s="2567"/>
      <c r="OEB83" s="2567"/>
      <c r="OEC83" s="2567"/>
      <c r="OED83" s="2567"/>
      <c r="OEE83" s="2567"/>
      <c r="OEF83" s="2567"/>
      <c r="OEG83" s="2567"/>
      <c r="OEH83" s="2567"/>
      <c r="OEI83" s="2567"/>
      <c r="OEJ83" s="2567"/>
      <c r="OEK83" s="2567"/>
      <c r="OEL83" s="2567"/>
      <c r="OEM83" s="2567"/>
      <c r="OEN83" s="2567"/>
      <c r="OEO83" s="2567"/>
      <c r="OEP83" s="2567"/>
      <c r="OEQ83" s="2567"/>
      <c r="OER83" s="2567"/>
      <c r="OES83" s="2567"/>
      <c r="OET83" s="2567"/>
      <c r="OEU83" s="2567"/>
      <c r="OEV83" s="2567"/>
      <c r="OEW83" s="2567"/>
      <c r="OEX83" s="2567"/>
      <c r="OEY83" s="2567"/>
      <c r="OEZ83" s="2567"/>
      <c r="OFA83" s="2567"/>
      <c r="OFB83" s="2567"/>
      <c r="OFC83" s="2567"/>
      <c r="OFD83" s="2567"/>
      <c r="OFE83" s="2567"/>
      <c r="OFF83" s="2567"/>
      <c r="OFG83" s="2567"/>
      <c r="OFH83" s="2567"/>
      <c r="OFI83" s="2567"/>
      <c r="OFJ83" s="2567"/>
      <c r="OFK83" s="2567"/>
      <c r="OFL83" s="2567"/>
      <c r="OFM83" s="2567"/>
      <c r="OFN83" s="2567"/>
      <c r="OFO83" s="2567"/>
      <c r="OFP83" s="2567"/>
      <c r="OFQ83" s="2567"/>
      <c r="OFR83" s="2567"/>
      <c r="OFS83" s="2567"/>
      <c r="OFT83" s="2567"/>
      <c r="OFU83" s="2567"/>
      <c r="OFV83" s="2567"/>
      <c r="OFW83" s="2567"/>
      <c r="OFX83" s="2567"/>
      <c r="OFY83" s="2567"/>
      <c r="OFZ83" s="2567"/>
      <c r="OGA83" s="2567"/>
      <c r="OGB83" s="2567"/>
      <c r="OGC83" s="2567"/>
      <c r="OGD83" s="2567"/>
      <c r="OGE83" s="2567"/>
      <c r="OGF83" s="2567"/>
      <c r="OGG83" s="2567"/>
      <c r="OGH83" s="2567"/>
      <c r="OGI83" s="2567"/>
      <c r="OGJ83" s="2567"/>
      <c r="OGK83" s="2567"/>
      <c r="OGL83" s="2567"/>
      <c r="OGM83" s="2567"/>
      <c r="OGN83" s="2567"/>
      <c r="OGO83" s="2567"/>
      <c r="OGP83" s="2567"/>
      <c r="OGQ83" s="2567"/>
      <c r="OGR83" s="2567"/>
      <c r="OGS83" s="2567"/>
      <c r="OGT83" s="2567"/>
      <c r="OGU83" s="2567"/>
      <c r="OGV83" s="2567"/>
      <c r="OGW83" s="2567"/>
      <c r="OGX83" s="2567"/>
      <c r="OGY83" s="2567"/>
      <c r="OGZ83" s="2567"/>
      <c r="OHA83" s="2567"/>
      <c r="OHB83" s="2567"/>
      <c r="OHC83" s="2567"/>
      <c r="OHD83" s="2567"/>
      <c r="OHE83" s="2567"/>
      <c r="OHF83" s="2567"/>
      <c r="OHG83" s="2567"/>
      <c r="OHH83" s="2567"/>
      <c r="OHI83" s="2567"/>
      <c r="OHJ83" s="2567"/>
      <c r="OHK83" s="2567"/>
      <c r="OHL83" s="2567"/>
      <c r="OHM83" s="2567"/>
      <c r="OHN83" s="2567"/>
      <c r="OHO83" s="2567"/>
      <c r="OHP83" s="2567"/>
      <c r="OHQ83" s="2567"/>
      <c r="OHR83" s="2567"/>
      <c r="OHS83" s="2567"/>
      <c r="OHT83" s="2567"/>
      <c r="OHU83" s="2567"/>
      <c r="OHV83" s="2567"/>
      <c r="OHW83" s="2567"/>
      <c r="OHX83" s="2567"/>
      <c r="OHY83" s="2567"/>
      <c r="OHZ83" s="2567"/>
      <c r="OIA83" s="2567"/>
      <c r="OIB83" s="2567"/>
      <c r="OIC83" s="2567"/>
      <c r="OID83" s="2567"/>
      <c r="OIE83" s="2567"/>
      <c r="OIF83" s="2567"/>
      <c r="OIG83" s="2567"/>
      <c r="OIH83" s="2567"/>
      <c r="OII83" s="2567"/>
      <c r="OIJ83" s="2567"/>
      <c r="OIK83" s="2567"/>
      <c r="OIL83" s="2567"/>
      <c r="OIM83" s="2567"/>
      <c r="OIN83" s="2567"/>
      <c r="OIO83" s="2567"/>
      <c r="OIP83" s="2567"/>
      <c r="OIQ83" s="2567"/>
      <c r="OIR83" s="2567"/>
      <c r="OIS83" s="2567"/>
      <c r="OIT83" s="2567"/>
      <c r="OIU83" s="2567"/>
      <c r="OIV83" s="2567"/>
      <c r="OIW83" s="2567"/>
      <c r="OIX83" s="2567"/>
      <c r="OIY83" s="2567"/>
      <c r="OIZ83" s="2567"/>
      <c r="OJA83" s="2567"/>
      <c r="OJB83" s="2567"/>
      <c r="OJC83" s="2567"/>
      <c r="OJD83" s="2567"/>
      <c r="OJE83" s="2567"/>
      <c r="OJF83" s="2567"/>
      <c r="OJG83" s="2567"/>
      <c r="OJH83" s="2567"/>
      <c r="OJI83" s="2567"/>
      <c r="OJJ83" s="2567"/>
      <c r="OJK83" s="2567"/>
      <c r="OJL83" s="2567"/>
      <c r="OJM83" s="2567"/>
      <c r="OJN83" s="2567"/>
      <c r="OJO83" s="2567"/>
      <c r="OJP83" s="2567"/>
      <c r="OJQ83" s="2567"/>
      <c r="OJR83" s="2567"/>
      <c r="OJS83" s="2567"/>
      <c r="OJT83" s="2567"/>
      <c r="OJU83" s="2567"/>
      <c r="OJV83" s="2567"/>
      <c r="OJW83" s="2567"/>
      <c r="OJX83" s="2567"/>
      <c r="OJY83" s="2567"/>
      <c r="OJZ83" s="2567"/>
      <c r="OKA83" s="2567"/>
      <c r="OKB83" s="2567"/>
      <c r="OKC83" s="2567"/>
      <c r="OKD83" s="2567"/>
      <c r="OKE83" s="2567"/>
      <c r="OKF83" s="2567"/>
      <c r="OKG83" s="2567"/>
      <c r="OKH83" s="2567"/>
      <c r="OKI83" s="2567"/>
      <c r="OKJ83" s="2567"/>
      <c r="OKK83" s="2567"/>
      <c r="OKL83" s="2567"/>
      <c r="OKM83" s="2567"/>
      <c r="OKN83" s="2567"/>
      <c r="OKO83" s="2567"/>
      <c r="OKP83" s="2567"/>
      <c r="OKQ83" s="2567"/>
      <c r="OKR83" s="2567"/>
      <c r="OKS83" s="2567"/>
      <c r="OKT83" s="2567"/>
      <c r="OKU83" s="2567"/>
      <c r="OKV83" s="2567"/>
      <c r="OKW83" s="2567"/>
      <c r="OKX83" s="2567"/>
      <c r="OKY83" s="2567"/>
      <c r="OKZ83" s="2567"/>
      <c r="OLA83" s="2567"/>
      <c r="OLB83" s="2567"/>
      <c r="OLC83" s="2567"/>
      <c r="OLD83" s="2567"/>
      <c r="OLE83" s="2567"/>
      <c r="OLF83" s="2567"/>
      <c r="OLG83" s="2567"/>
      <c r="OLH83" s="2567"/>
      <c r="OLI83" s="2567"/>
      <c r="OLJ83" s="2567"/>
      <c r="OLK83" s="2567"/>
      <c r="OLL83" s="2567"/>
      <c r="OLM83" s="2567"/>
      <c r="OLN83" s="2567"/>
      <c r="OLO83" s="2567"/>
      <c r="OLP83" s="2567"/>
      <c r="OLQ83" s="2567"/>
      <c r="OLR83" s="2567"/>
      <c r="OLS83" s="2567"/>
      <c r="OLT83" s="2567"/>
      <c r="OLU83" s="2567"/>
      <c r="OLV83" s="2567"/>
      <c r="OLW83" s="2567"/>
      <c r="OLX83" s="2567"/>
      <c r="OLY83" s="2567"/>
      <c r="OLZ83" s="2567"/>
      <c r="OMA83" s="2567"/>
      <c r="OMB83" s="2567"/>
      <c r="OMC83" s="2567"/>
      <c r="OMD83" s="2567"/>
      <c r="OME83" s="2567"/>
      <c r="OMF83" s="2567"/>
      <c r="OMG83" s="2567"/>
      <c r="OMH83" s="2567"/>
      <c r="OMI83" s="2567"/>
      <c r="OMJ83" s="2567"/>
      <c r="OMK83" s="2567"/>
      <c r="OML83" s="2567"/>
      <c r="OMM83" s="2567"/>
      <c r="OMN83" s="2567"/>
      <c r="OMO83" s="2567"/>
      <c r="OMP83" s="2567"/>
      <c r="OMQ83" s="2567"/>
      <c r="OMR83" s="2567"/>
      <c r="OMS83" s="2567"/>
      <c r="OMT83" s="2567"/>
      <c r="OMU83" s="2567"/>
      <c r="OMV83" s="2567"/>
      <c r="OMW83" s="2567"/>
      <c r="OMX83" s="2567"/>
      <c r="OMY83" s="2567"/>
      <c r="OMZ83" s="2567"/>
      <c r="ONA83" s="2567"/>
      <c r="ONB83" s="2567"/>
      <c r="ONC83" s="2567"/>
      <c r="OND83" s="2567"/>
      <c r="ONE83" s="2567"/>
      <c r="ONF83" s="2567"/>
      <c r="ONG83" s="2567"/>
      <c r="ONH83" s="2567"/>
      <c r="ONI83" s="2567"/>
      <c r="ONJ83" s="2567"/>
      <c r="ONK83" s="2567"/>
      <c r="ONL83" s="2567"/>
      <c r="ONM83" s="2567"/>
      <c r="ONN83" s="2567"/>
      <c r="ONO83" s="2567"/>
      <c r="ONP83" s="2567"/>
      <c r="ONQ83" s="2567"/>
      <c r="ONR83" s="2567"/>
      <c r="ONS83" s="2567"/>
      <c r="ONT83" s="2567"/>
      <c r="ONU83" s="2567"/>
      <c r="ONV83" s="2567"/>
      <c r="ONW83" s="2567"/>
      <c r="ONX83" s="2567"/>
      <c r="ONY83" s="2567"/>
      <c r="ONZ83" s="2567"/>
      <c r="OOA83" s="2567"/>
      <c r="OOB83" s="2567"/>
      <c r="OOC83" s="2567"/>
      <c r="OOD83" s="2567"/>
      <c r="OOE83" s="2567"/>
      <c r="OOF83" s="2567"/>
      <c r="OOG83" s="2567"/>
      <c r="OOH83" s="2567"/>
      <c r="OOI83" s="2567"/>
      <c r="OOJ83" s="2567"/>
      <c r="OOK83" s="2567"/>
      <c r="OOL83" s="2567"/>
      <c r="OOM83" s="2567"/>
      <c r="OON83" s="2567"/>
      <c r="OOO83" s="2567"/>
      <c r="OOP83" s="2567"/>
      <c r="OOQ83" s="2567"/>
      <c r="OOR83" s="2567"/>
      <c r="OOS83" s="2567"/>
      <c r="OOT83" s="2567"/>
      <c r="OOU83" s="2567"/>
      <c r="OOV83" s="2567"/>
      <c r="OOW83" s="2567"/>
      <c r="OOX83" s="2567"/>
      <c r="OOY83" s="2567"/>
      <c r="OOZ83" s="2567"/>
      <c r="OPA83" s="2567"/>
      <c r="OPB83" s="2567"/>
      <c r="OPC83" s="2567"/>
      <c r="OPD83" s="2567"/>
      <c r="OPE83" s="2567"/>
      <c r="OPF83" s="2567"/>
      <c r="OPG83" s="2567"/>
      <c r="OPH83" s="2567"/>
      <c r="OPI83" s="2567"/>
      <c r="OPJ83" s="2567"/>
      <c r="OPK83" s="2567"/>
      <c r="OPL83" s="2567"/>
      <c r="OPM83" s="2567"/>
      <c r="OPN83" s="2567"/>
      <c r="OPO83" s="2567"/>
      <c r="OPP83" s="2567"/>
      <c r="OPQ83" s="2567"/>
      <c r="OPR83" s="2567"/>
      <c r="OPS83" s="2567"/>
      <c r="OPT83" s="2567"/>
      <c r="OPU83" s="2567"/>
      <c r="OPV83" s="2567"/>
      <c r="OPW83" s="2567"/>
      <c r="OPX83" s="2567"/>
      <c r="OPY83" s="2567"/>
      <c r="OPZ83" s="2567"/>
      <c r="OQA83" s="2567"/>
      <c r="OQB83" s="2567"/>
      <c r="OQC83" s="2567"/>
      <c r="OQD83" s="2567"/>
      <c r="OQE83" s="2567"/>
      <c r="OQF83" s="2567"/>
      <c r="OQG83" s="2567"/>
      <c r="OQH83" s="2567"/>
      <c r="OQI83" s="2567"/>
      <c r="OQJ83" s="2567"/>
      <c r="OQK83" s="2567"/>
      <c r="OQL83" s="2567"/>
      <c r="OQM83" s="2567"/>
      <c r="OQN83" s="2567"/>
      <c r="OQO83" s="2567"/>
      <c r="OQP83" s="2567"/>
      <c r="OQQ83" s="2567"/>
      <c r="OQR83" s="2567"/>
      <c r="OQS83" s="2567"/>
      <c r="OQT83" s="2567"/>
      <c r="OQU83" s="2567"/>
      <c r="OQV83" s="2567"/>
      <c r="OQW83" s="2567"/>
      <c r="OQX83" s="2567"/>
      <c r="OQY83" s="2567"/>
      <c r="OQZ83" s="2567"/>
      <c r="ORA83" s="2567"/>
      <c r="ORB83" s="2567"/>
      <c r="ORC83" s="2567"/>
      <c r="ORD83" s="2567"/>
      <c r="ORE83" s="2567"/>
      <c r="ORF83" s="2567"/>
      <c r="ORG83" s="2567"/>
      <c r="ORH83" s="2567"/>
      <c r="ORI83" s="2567"/>
      <c r="ORJ83" s="2567"/>
      <c r="ORK83" s="2567"/>
      <c r="ORL83" s="2567"/>
      <c r="ORM83" s="2567"/>
      <c r="ORN83" s="2567"/>
      <c r="ORO83" s="2567"/>
      <c r="ORP83" s="2567"/>
      <c r="ORQ83" s="2567"/>
      <c r="ORR83" s="2567"/>
      <c r="ORS83" s="2567"/>
      <c r="ORT83" s="2567"/>
      <c r="ORU83" s="2567"/>
      <c r="ORV83" s="2567"/>
      <c r="ORW83" s="2567"/>
      <c r="ORX83" s="2567"/>
      <c r="ORY83" s="2567"/>
      <c r="ORZ83" s="2567"/>
      <c r="OSA83" s="2567"/>
      <c r="OSB83" s="2567"/>
      <c r="OSC83" s="2567"/>
      <c r="OSD83" s="2567"/>
      <c r="OSE83" s="2567"/>
      <c r="OSF83" s="2567"/>
      <c r="OSG83" s="2567"/>
      <c r="OSH83" s="2567"/>
      <c r="OSI83" s="2567"/>
      <c r="OSJ83" s="2567"/>
      <c r="OSK83" s="2567"/>
      <c r="OSL83" s="2567"/>
      <c r="OSM83" s="2567"/>
      <c r="OSN83" s="2567"/>
      <c r="OSO83" s="2567"/>
      <c r="OSP83" s="2567"/>
      <c r="OSQ83" s="2567"/>
      <c r="OSR83" s="2567"/>
      <c r="OSS83" s="2567"/>
      <c r="OST83" s="2567"/>
      <c r="OSU83" s="2567"/>
      <c r="OSV83" s="2567"/>
      <c r="OSW83" s="2567"/>
      <c r="OSX83" s="2567"/>
      <c r="OSY83" s="2567"/>
      <c r="OSZ83" s="2567"/>
      <c r="OTA83" s="2567"/>
      <c r="OTB83" s="2567"/>
      <c r="OTC83" s="2567"/>
      <c r="OTD83" s="2567"/>
      <c r="OTE83" s="2567"/>
      <c r="OTF83" s="2567"/>
      <c r="OTG83" s="2567"/>
      <c r="OTH83" s="2567"/>
      <c r="OTI83" s="2567"/>
      <c r="OTJ83" s="2567"/>
      <c r="OTK83" s="2567"/>
      <c r="OTL83" s="2567"/>
      <c r="OTM83" s="2567"/>
      <c r="OTN83" s="2567"/>
      <c r="OTO83" s="2567"/>
      <c r="OTP83" s="2567"/>
      <c r="OTQ83" s="2567"/>
      <c r="OTR83" s="2567"/>
      <c r="OTS83" s="2567"/>
      <c r="OTT83" s="2567"/>
      <c r="OTU83" s="2567"/>
      <c r="OTV83" s="2567"/>
      <c r="OTW83" s="2567"/>
      <c r="OTX83" s="2567"/>
      <c r="OTY83" s="2567"/>
      <c r="OTZ83" s="2567"/>
      <c r="OUA83" s="2567"/>
      <c r="OUB83" s="2567"/>
      <c r="OUC83" s="2567"/>
      <c r="OUD83" s="2567"/>
      <c r="OUE83" s="2567"/>
      <c r="OUF83" s="2567"/>
      <c r="OUG83" s="2567"/>
      <c r="OUH83" s="2567"/>
      <c r="OUI83" s="2567"/>
      <c r="OUJ83" s="2567"/>
      <c r="OUK83" s="2567"/>
      <c r="OUL83" s="2567"/>
      <c r="OUM83" s="2567"/>
      <c r="OUN83" s="2567"/>
      <c r="OUO83" s="2567"/>
      <c r="OUP83" s="2567"/>
      <c r="OUQ83" s="2567"/>
      <c r="OUR83" s="2567"/>
      <c r="OUS83" s="2567"/>
      <c r="OUT83" s="2567"/>
      <c r="OUU83" s="2567"/>
      <c r="OUV83" s="2567"/>
      <c r="OUW83" s="2567"/>
      <c r="OUX83" s="2567"/>
      <c r="OUY83" s="2567"/>
      <c r="OUZ83" s="2567"/>
      <c r="OVA83" s="2567"/>
      <c r="OVB83" s="2567"/>
      <c r="OVC83" s="2567"/>
      <c r="OVD83" s="2567"/>
      <c r="OVE83" s="2567"/>
      <c r="OVF83" s="2567"/>
      <c r="OVG83" s="2567"/>
      <c r="OVH83" s="2567"/>
      <c r="OVI83" s="2567"/>
      <c r="OVJ83" s="2567"/>
      <c r="OVK83" s="2567"/>
      <c r="OVL83" s="2567"/>
      <c r="OVM83" s="2567"/>
      <c r="OVN83" s="2567"/>
      <c r="OVO83" s="2567"/>
      <c r="OVP83" s="2567"/>
      <c r="OVQ83" s="2567"/>
      <c r="OVR83" s="2567"/>
      <c r="OVS83" s="2567"/>
      <c r="OVT83" s="2567"/>
      <c r="OVU83" s="2567"/>
      <c r="OVV83" s="2567"/>
      <c r="OVW83" s="2567"/>
      <c r="OVX83" s="2567"/>
      <c r="OVY83" s="2567"/>
      <c r="OVZ83" s="2567"/>
      <c r="OWA83" s="2567"/>
      <c r="OWB83" s="2567"/>
      <c r="OWC83" s="2567"/>
      <c r="OWD83" s="2567"/>
      <c r="OWE83" s="2567"/>
      <c r="OWF83" s="2567"/>
      <c r="OWG83" s="2567"/>
      <c r="OWH83" s="2567"/>
      <c r="OWI83" s="2567"/>
      <c r="OWJ83" s="2567"/>
      <c r="OWK83" s="2567"/>
      <c r="OWL83" s="2567"/>
      <c r="OWM83" s="2567"/>
      <c r="OWN83" s="2567"/>
      <c r="OWO83" s="2567"/>
      <c r="OWP83" s="2567"/>
      <c r="OWQ83" s="2567"/>
      <c r="OWR83" s="2567"/>
      <c r="OWS83" s="2567"/>
      <c r="OWT83" s="2567"/>
      <c r="OWU83" s="2567"/>
      <c r="OWV83" s="2567"/>
      <c r="OWW83" s="2567"/>
      <c r="OWX83" s="2567"/>
      <c r="OWY83" s="2567"/>
      <c r="OWZ83" s="2567"/>
      <c r="OXA83" s="2567"/>
      <c r="OXB83" s="2567"/>
      <c r="OXC83" s="2567"/>
      <c r="OXD83" s="2567"/>
      <c r="OXE83" s="2567"/>
      <c r="OXF83" s="2567"/>
      <c r="OXG83" s="2567"/>
      <c r="OXH83" s="2567"/>
      <c r="OXI83" s="2567"/>
      <c r="OXJ83" s="2567"/>
      <c r="OXK83" s="2567"/>
      <c r="OXL83" s="2567"/>
      <c r="OXM83" s="2567"/>
      <c r="OXN83" s="2567"/>
      <c r="OXO83" s="2567"/>
      <c r="OXP83" s="2567"/>
      <c r="OXQ83" s="2567"/>
      <c r="OXR83" s="2567"/>
      <c r="OXS83" s="2567"/>
      <c r="OXT83" s="2567"/>
      <c r="OXU83" s="2567"/>
      <c r="OXV83" s="2567"/>
      <c r="OXW83" s="2567"/>
      <c r="OXX83" s="2567"/>
      <c r="OXY83" s="2567"/>
      <c r="OXZ83" s="2567"/>
      <c r="OYA83" s="2567"/>
      <c r="OYB83" s="2567"/>
      <c r="OYC83" s="2567"/>
      <c r="OYD83" s="2567"/>
      <c r="OYE83" s="2567"/>
      <c r="OYF83" s="2567"/>
      <c r="OYG83" s="2567"/>
      <c r="OYH83" s="2567"/>
      <c r="OYI83" s="2567"/>
      <c r="OYJ83" s="2567"/>
      <c r="OYK83" s="2567"/>
      <c r="OYL83" s="2567"/>
      <c r="OYM83" s="2567"/>
      <c r="OYN83" s="2567"/>
      <c r="OYO83" s="2567"/>
      <c r="OYP83" s="2567"/>
      <c r="OYQ83" s="2567"/>
      <c r="OYR83" s="2567"/>
      <c r="OYS83" s="2567"/>
      <c r="OYT83" s="2567"/>
      <c r="OYU83" s="2567"/>
      <c r="OYV83" s="2567"/>
      <c r="OYW83" s="2567"/>
      <c r="OYX83" s="2567"/>
      <c r="OYY83" s="2567"/>
      <c r="OYZ83" s="2567"/>
      <c r="OZA83" s="2567"/>
      <c r="OZB83" s="2567"/>
      <c r="OZC83" s="2567"/>
      <c r="OZD83" s="2567"/>
      <c r="OZE83" s="2567"/>
      <c r="OZF83" s="2567"/>
      <c r="OZG83" s="2567"/>
      <c r="OZH83" s="2567"/>
      <c r="OZI83" s="2567"/>
      <c r="OZJ83" s="2567"/>
      <c r="OZK83" s="2567"/>
      <c r="OZL83" s="2567"/>
      <c r="OZM83" s="2567"/>
      <c r="OZN83" s="2567"/>
      <c r="OZO83" s="2567"/>
      <c r="OZP83" s="2567"/>
      <c r="OZQ83" s="2567"/>
      <c r="OZR83" s="2567"/>
      <c r="OZS83" s="2567"/>
      <c r="OZT83" s="2567"/>
      <c r="OZU83" s="2567"/>
      <c r="OZV83" s="2567"/>
      <c r="OZW83" s="2567"/>
      <c r="OZX83" s="2567"/>
      <c r="OZY83" s="2567"/>
      <c r="OZZ83" s="2567"/>
      <c r="PAA83" s="2567"/>
      <c r="PAB83" s="2567"/>
      <c r="PAC83" s="2567"/>
      <c r="PAD83" s="2567"/>
      <c r="PAE83" s="2567"/>
      <c r="PAF83" s="2567"/>
      <c r="PAG83" s="2567"/>
      <c r="PAH83" s="2567"/>
      <c r="PAI83" s="2567"/>
      <c r="PAJ83" s="2567"/>
      <c r="PAK83" s="2567"/>
      <c r="PAL83" s="2567"/>
      <c r="PAM83" s="2567"/>
      <c r="PAN83" s="2567"/>
      <c r="PAO83" s="2567"/>
      <c r="PAP83" s="2567"/>
      <c r="PAQ83" s="2567"/>
      <c r="PAR83" s="2567"/>
      <c r="PAS83" s="2567"/>
      <c r="PAT83" s="2567"/>
      <c r="PAU83" s="2567"/>
      <c r="PAV83" s="2567"/>
      <c r="PAW83" s="2567"/>
      <c r="PAX83" s="2567"/>
      <c r="PAY83" s="2567"/>
      <c r="PAZ83" s="2567"/>
      <c r="PBA83" s="2567"/>
      <c r="PBB83" s="2567"/>
      <c r="PBC83" s="2567"/>
      <c r="PBD83" s="2567"/>
      <c r="PBE83" s="2567"/>
      <c r="PBF83" s="2567"/>
      <c r="PBG83" s="2567"/>
      <c r="PBH83" s="2567"/>
      <c r="PBI83" s="2567"/>
      <c r="PBJ83" s="2567"/>
      <c r="PBK83" s="2567"/>
      <c r="PBL83" s="2567"/>
      <c r="PBM83" s="2567"/>
      <c r="PBN83" s="2567"/>
      <c r="PBO83" s="2567"/>
      <c r="PBP83" s="2567"/>
      <c r="PBQ83" s="2567"/>
      <c r="PBR83" s="2567"/>
      <c r="PBS83" s="2567"/>
      <c r="PBT83" s="2567"/>
      <c r="PBU83" s="2567"/>
      <c r="PBV83" s="2567"/>
      <c r="PBW83" s="2567"/>
      <c r="PBX83" s="2567"/>
      <c r="PBY83" s="2567"/>
      <c r="PBZ83" s="2567"/>
      <c r="PCA83" s="2567"/>
      <c r="PCB83" s="2567"/>
      <c r="PCC83" s="2567"/>
      <c r="PCD83" s="2567"/>
      <c r="PCE83" s="2567"/>
      <c r="PCF83" s="2567"/>
      <c r="PCG83" s="2567"/>
      <c r="PCH83" s="2567"/>
      <c r="PCI83" s="2567"/>
      <c r="PCJ83" s="2567"/>
      <c r="PCK83" s="2567"/>
      <c r="PCL83" s="2567"/>
      <c r="PCM83" s="2567"/>
      <c r="PCN83" s="2567"/>
      <c r="PCO83" s="2567"/>
      <c r="PCP83" s="2567"/>
      <c r="PCQ83" s="2567"/>
      <c r="PCR83" s="2567"/>
      <c r="PCS83" s="2567"/>
      <c r="PCT83" s="2567"/>
      <c r="PCU83" s="2567"/>
      <c r="PCV83" s="2567"/>
      <c r="PCW83" s="2567"/>
      <c r="PCX83" s="2567"/>
      <c r="PCY83" s="2567"/>
      <c r="PCZ83" s="2567"/>
      <c r="PDA83" s="2567"/>
      <c r="PDB83" s="2567"/>
      <c r="PDC83" s="2567"/>
      <c r="PDD83" s="2567"/>
      <c r="PDE83" s="2567"/>
      <c r="PDF83" s="2567"/>
      <c r="PDG83" s="2567"/>
      <c r="PDH83" s="2567"/>
      <c r="PDI83" s="2567"/>
      <c r="PDJ83" s="2567"/>
      <c r="PDK83" s="2567"/>
      <c r="PDL83" s="2567"/>
      <c r="PDM83" s="2567"/>
      <c r="PDN83" s="2567"/>
      <c r="PDO83" s="2567"/>
      <c r="PDP83" s="2567"/>
      <c r="PDQ83" s="2567"/>
      <c r="PDR83" s="2567"/>
      <c r="PDS83" s="2567"/>
      <c r="PDT83" s="2567"/>
      <c r="PDU83" s="2567"/>
      <c r="PDV83" s="2567"/>
      <c r="PDW83" s="2567"/>
      <c r="PDX83" s="2567"/>
      <c r="PDY83" s="2567"/>
      <c r="PDZ83" s="2567"/>
      <c r="PEA83" s="2567"/>
      <c r="PEB83" s="2567"/>
      <c r="PEC83" s="2567"/>
      <c r="PED83" s="2567"/>
      <c r="PEE83" s="2567"/>
      <c r="PEF83" s="2567"/>
      <c r="PEG83" s="2567"/>
      <c r="PEH83" s="2567"/>
      <c r="PEI83" s="2567"/>
      <c r="PEJ83" s="2567"/>
      <c r="PEK83" s="2567"/>
      <c r="PEL83" s="2567"/>
      <c r="PEM83" s="2567"/>
      <c r="PEN83" s="2567"/>
      <c r="PEO83" s="2567"/>
      <c r="PEP83" s="2567"/>
      <c r="PEQ83" s="2567"/>
      <c r="PER83" s="2567"/>
      <c r="PES83" s="2567"/>
      <c r="PET83" s="2567"/>
      <c r="PEU83" s="2567"/>
      <c r="PEV83" s="2567"/>
      <c r="PEW83" s="2567"/>
      <c r="PEX83" s="2567"/>
      <c r="PEY83" s="2567"/>
      <c r="PEZ83" s="2567"/>
      <c r="PFA83" s="2567"/>
      <c r="PFB83" s="2567"/>
      <c r="PFC83" s="2567"/>
      <c r="PFD83" s="2567"/>
      <c r="PFE83" s="2567"/>
      <c r="PFF83" s="2567"/>
      <c r="PFG83" s="2567"/>
      <c r="PFH83" s="2567"/>
      <c r="PFI83" s="2567"/>
      <c r="PFJ83" s="2567"/>
      <c r="PFK83" s="2567"/>
      <c r="PFL83" s="2567"/>
      <c r="PFM83" s="2567"/>
      <c r="PFN83" s="2567"/>
      <c r="PFO83" s="2567"/>
      <c r="PFP83" s="2567"/>
      <c r="PFQ83" s="2567"/>
      <c r="PFR83" s="2567"/>
      <c r="PFS83" s="2567"/>
      <c r="PFT83" s="2567"/>
      <c r="PFU83" s="2567"/>
      <c r="PFV83" s="2567"/>
      <c r="PFW83" s="2567"/>
      <c r="PFX83" s="2567"/>
      <c r="PFY83" s="2567"/>
      <c r="PFZ83" s="2567"/>
      <c r="PGA83" s="2567"/>
      <c r="PGB83" s="2567"/>
      <c r="PGC83" s="2567"/>
      <c r="PGD83" s="2567"/>
      <c r="PGE83" s="2567"/>
      <c r="PGF83" s="2567"/>
      <c r="PGG83" s="2567"/>
      <c r="PGH83" s="2567"/>
      <c r="PGI83" s="2567"/>
      <c r="PGJ83" s="2567"/>
      <c r="PGK83" s="2567"/>
      <c r="PGL83" s="2567"/>
      <c r="PGM83" s="2567"/>
      <c r="PGN83" s="2567"/>
      <c r="PGO83" s="2567"/>
      <c r="PGP83" s="2567"/>
      <c r="PGQ83" s="2567"/>
      <c r="PGR83" s="2567"/>
      <c r="PGS83" s="2567"/>
      <c r="PGT83" s="2567"/>
      <c r="PGU83" s="2567"/>
      <c r="PGV83" s="2567"/>
      <c r="PGW83" s="2567"/>
      <c r="PGX83" s="2567"/>
      <c r="PGY83" s="2567"/>
      <c r="PGZ83" s="2567"/>
      <c r="PHA83" s="2567"/>
      <c r="PHB83" s="2567"/>
      <c r="PHC83" s="2567"/>
      <c r="PHD83" s="2567"/>
      <c r="PHE83" s="2567"/>
      <c r="PHF83" s="2567"/>
      <c r="PHG83" s="2567"/>
      <c r="PHH83" s="2567"/>
      <c r="PHI83" s="2567"/>
      <c r="PHJ83" s="2567"/>
      <c r="PHK83" s="2567"/>
      <c r="PHL83" s="2567"/>
      <c r="PHM83" s="2567"/>
      <c r="PHN83" s="2567"/>
      <c r="PHO83" s="2567"/>
      <c r="PHP83" s="2567"/>
      <c r="PHQ83" s="2567"/>
      <c r="PHR83" s="2567"/>
      <c r="PHS83" s="2567"/>
      <c r="PHT83" s="2567"/>
      <c r="PHU83" s="2567"/>
      <c r="PHV83" s="2567"/>
      <c r="PHW83" s="2567"/>
      <c r="PHX83" s="2567"/>
      <c r="PHY83" s="2567"/>
      <c r="PHZ83" s="2567"/>
      <c r="PIA83" s="2567"/>
      <c r="PIB83" s="2567"/>
      <c r="PIC83" s="2567"/>
      <c r="PID83" s="2567"/>
      <c r="PIE83" s="2567"/>
      <c r="PIF83" s="2567"/>
      <c r="PIG83" s="2567"/>
      <c r="PIH83" s="2567"/>
      <c r="PII83" s="2567"/>
      <c r="PIJ83" s="2567"/>
      <c r="PIK83" s="2567"/>
      <c r="PIL83" s="2567"/>
      <c r="PIM83" s="2567"/>
      <c r="PIN83" s="2567"/>
      <c r="PIO83" s="2567"/>
      <c r="PIP83" s="2567"/>
      <c r="PIQ83" s="2567"/>
      <c r="PIR83" s="2567"/>
      <c r="PIS83" s="2567"/>
      <c r="PIT83" s="2567"/>
      <c r="PIU83" s="2567"/>
      <c r="PIV83" s="2567"/>
      <c r="PIW83" s="2567"/>
      <c r="PIX83" s="2567"/>
      <c r="PIY83" s="2567"/>
      <c r="PIZ83" s="2567"/>
      <c r="PJA83" s="2567"/>
      <c r="PJB83" s="2567"/>
      <c r="PJC83" s="2567"/>
      <c r="PJD83" s="2567"/>
      <c r="PJE83" s="2567"/>
      <c r="PJF83" s="2567"/>
      <c r="PJG83" s="2567"/>
      <c r="PJH83" s="2567"/>
      <c r="PJI83" s="2567"/>
      <c r="PJJ83" s="2567"/>
      <c r="PJK83" s="2567"/>
      <c r="PJL83" s="2567"/>
      <c r="PJM83" s="2567"/>
      <c r="PJN83" s="2567"/>
      <c r="PJO83" s="2567"/>
      <c r="PJP83" s="2567"/>
      <c r="PJQ83" s="2567"/>
      <c r="PJR83" s="2567"/>
      <c r="PJS83" s="2567"/>
      <c r="PJT83" s="2567"/>
      <c r="PJU83" s="2567"/>
      <c r="PJV83" s="2567"/>
      <c r="PJW83" s="2567"/>
      <c r="PJX83" s="2567"/>
      <c r="PJY83" s="2567"/>
      <c r="PJZ83" s="2567"/>
      <c r="PKA83" s="2567"/>
      <c r="PKB83" s="2567"/>
      <c r="PKC83" s="2567"/>
      <c r="PKD83" s="2567"/>
      <c r="PKE83" s="2567"/>
      <c r="PKF83" s="2567"/>
      <c r="PKG83" s="2567"/>
      <c r="PKH83" s="2567"/>
      <c r="PKI83" s="2567"/>
      <c r="PKJ83" s="2567"/>
      <c r="PKK83" s="2567"/>
      <c r="PKL83" s="2567"/>
      <c r="PKM83" s="2567"/>
      <c r="PKN83" s="2567"/>
      <c r="PKO83" s="2567"/>
      <c r="PKP83" s="2567"/>
      <c r="PKQ83" s="2567"/>
      <c r="PKR83" s="2567"/>
      <c r="PKS83" s="2567"/>
      <c r="PKT83" s="2567"/>
      <c r="PKU83" s="2567"/>
      <c r="PKV83" s="2567"/>
      <c r="PKW83" s="2567"/>
      <c r="PKX83" s="2567"/>
      <c r="PKY83" s="2567"/>
      <c r="PKZ83" s="2567"/>
      <c r="PLA83" s="2567"/>
      <c r="PLB83" s="2567"/>
      <c r="PLC83" s="2567"/>
      <c r="PLD83" s="2567"/>
      <c r="PLE83" s="2567"/>
      <c r="PLF83" s="2567"/>
      <c r="PLG83" s="2567"/>
      <c r="PLH83" s="2567"/>
      <c r="PLI83" s="2567"/>
      <c r="PLJ83" s="2567"/>
      <c r="PLK83" s="2567"/>
      <c r="PLL83" s="2567"/>
      <c r="PLM83" s="2567"/>
      <c r="PLN83" s="2567"/>
      <c r="PLO83" s="2567"/>
      <c r="PLP83" s="2567"/>
      <c r="PLQ83" s="2567"/>
      <c r="PLR83" s="2567"/>
      <c r="PLS83" s="2567"/>
      <c r="PLT83" s="2567"/>
      <c r="PLU83" s="2567"/>
      <c r="PLV83" s="2567"/>
      <c r="PLW83" s="2567"/>
      <c r="PLX83" s="2567"/>
      <c r="PLY83" s="2567"/>
      <c r="PLZ83" s="2567"/>
      <c r="PMA83" s="2567"/>
      <c r="PMB83" s="2567"/>
      <c r="PMC83" s="2567"/>
      <c r="PMD83" s="2567"/>
      <c r="PME83" s="2567"/>
      <c r="PMF83" s="2567"/>
      <c r="PMG83" s="2567"/>
      <c r="PMH83" s="2567"/>
      <c r="PMI83" s="2567"/>
      <c r="PMJ83" s="2567"/>
      <c r="PMK83" s="2567"/>
      <c r="PML83" s="2567"/>
      <c r="PMM83" s="2567"/>
      <c r="PMN83" s="2567"/>
      <c r="PMO83" s="2567"/>
      <c r="PMP83" s="2567"/>
      <c r="PMQ83" s="2567"/>
      <c r="PMR83" s="2567"/>
      <c r="PMS83" s="2567"/>
      <c r="PMT83" s="2567"/>
      <c r="PMU83" s="2567"/>
      <c r="PMV83" s="2567"/>
      <c r="PMW83" s="2567"/>
      <c r="PMX83" s="2567"/>
      <c r="PMY83" s="2567"/>
      <c r="PMZ83" s="2567"/>
      <c r="PNA83" s="2567"/>
      <c r="PNB83" s="2567"/>
      <c r="PNC83" s="2567"/>
      <c r="PND83" s="2567"/>
      <c r="PNE83" s="2567"/>
      <c r="PNF83" s="2567"/>
      <c r="PNG83" s="2567"/>
      <c r="PNH83" s="2567"/>
      <c r="PNI83" s="2567"/>
      <c r="PNJ83" s="2567"/>
      <c r="PNK83" s="2567"/>
      <c r="PNL83" s="2567"/>
      <c r="PNM83" s="2567"/>
      <c r="PNN83" s="2567"/>
      <c r="PNO83" s="2567"/>
      <c r="PNP83" s="2567"/>
      <c r="PNQ83" s="2567"/>
      <c r="PNR83" s="2567"/>
      <c r="PNS83" s="2567"/>
      <c r="PNT83" s="2567"/>
      <c r="PNU83" s="2567"/>
      <c r="PNV83" s="2567"/>
      <c r="PNW83" s="2567"/>
      <c r="PNX83" s="2567"/>
      <c r="PNY83" s="2567"/>
      <c r="PNZ83" s="2567"/>
      <c r="POA83" s="2567"/>
      <c r="POB83" s="2567"/>
      <c r="POC83" s="2567"/>
      <c r="POD83" s="2567"/>
      <c r="POE83" s="2567"/>
      <c r="POF83" s="2567"/>
      <c r="POG83" s="2567"/>
      <c r="POH83" s="2567"/>
      <c r="POI83" s="2567"/>
      <c r="POJ83" s="2567"/>
      <c r="POK83" s="2567"/>
      <c r="POL83" s="2567"/>
      <c r="POM83" s="2567"/>
      <c r="PON83" s="2567"/>
      <c r="POO83" s="2567"/>
      <c r="POP83" s="2567"/>
      <c r="POQ83" s="2567"/>
      <c r="POR83" s="2567"/>
      <c r="POS83" s="2567"/>
      <c r="POT83" s="2567"/>
      <c r="POU83" s="2567"/>
      <c r="POV83" s="2567"/>
      <c r="POW83" s="2567"/>
      <c r="POX83" s="2567"/>
      <c r="POY83" s="2567"/>
      <c r="POZ83" s="2567"/>
      <c r="PPA83" s="2567"/>
      <c r="PPB83" s="2567"/>
      <c r="PPC83" s="2567"/>
      <c r="PPD83" s="2567"/>
      <c r="PPE83" s="2567"/>
      <c r="PPF83" s="2567"/>
      <c r="PPG83" s="2567"/>
      <c r="PPH83" s="2567"/>
      <c r="PPI83" s="2567"/>
      <c r="PPJ83" s="2567"/>
      <c r="PPK83" s="2567"/>
      <c r="PPL83" s="2567"/>
      <c r="PPM83" s="2567"/>
      <c r="PPN83" s="2567"/>
      <c r="PPO83" s="2567"/>
      <c r="PPP83" s="2567"/>
      <c r="PPQ83" s="2567"/>
      <c r="PPR83" s="2567"/>
      <c r="PPS83" s="2567"/>
      <c r="PPT83" s="2567"/>
      <c r="PPU83" s="2567"/>
      <c r="PPV83" s="2567"/>
      <c r="PPW83" s="2567"/>
      <c r="PPX83" s="2567"/>
      <c r="PPY83" s="2567"/>
      <c r="PPZ83" s="2567"/>
      <c r="PQA83" s="2567"/>
      <c r="PQB83" s="2567"/>
      <c r="PQC83" s="2567"/>
      <c r="PQD83" s="2567"/>
      <c r="PQE83" s="2567"/>
      <c r="PQF83" s="2567"/>
      <c r="PQG83" s="2567"/>
      <c r="PQH83" s="2567"/>
      <c r="PQI83" s="2567"/>
      <c r="PQJ83" s="2567"/>
      <c r="PQK83" s="2567"/>
      <c r="PQL83" s="2567"/>
      <c r="PQM83" s="2567"/>
      <c r="PQN83" s="2567"/>
      <c r="PQO83" s="2567"/>
      <c r="PQP83" s="2567"/>
      <c r="PQQ83" s="2567"/>
      <c r="PQR83" s="2567"/>
      <c r="PQS83" s="2567"/>
      <c r="PQT83" s="2567"/>
      <c r="PQU83" s="2567"/>
      <c r="PQV83" s="2567"/>
      <c r="PQW83" s="2567"/>
      <c r="PQX83" s="2567"/>
      <c r="PQY83" s="2567"/>
      <c r="PQZ83" s="2567"/>
      <c r="PRA83" s="2567"/>
      <c r="PRB83" s="2567"/>
      <c r="PRC83" s="2567"/>
      <c r="PRD83" s="2567"/>
      <c r="PRE83" s="2567"/>
      <c r="PRF83" s="2567"/>
      <c r="PRG83" s="2567"/>
      <c r="PRH83" s="2567"/>
      <c r="PRI83" s="2567"/>
      <c r="PRJ83" s="2567"/>
      <c r="PRK83" s="2567"/>
      <c r="PRL83" s="2567"/>
      <c r="PRM83" s="2567"/>
      <c r="PRN83" s="2567"/>
      <c r="PRO83" s="2567"/>
      <c r="PRP83" s="2567"/>
      <c r="PRQ83" s="2567"/>
      <c r="PRR83" s="2567"/>
      <c r="PRS83" s="2567"/>
      <c r="PRT83" s="2567"/>
      <c r="PRU83" s="2567"/>
      <c r="PRV83" s="2567"/>
      <c r="PRW83" s="2567"/>
      <c r="PRX83" s="2567"/>
      <c r="PRY83" s="2567"/>
      <c r="PRZ83" s="2567"/>
      <c r="PSA83" s="2567"/>
      <c r="PSB83" s="2567"/>
      <c r="PSC83" s="2567"/>
      <c r="PSD83" s="2567"/>
      <c r="PSE83" s="2567"/>
      <c r="PSF83" s="2567"/>
      <c r="PSG83" s="2567"/>
      <c r="PSH83" s="2567"/>
      <c r="PSI83" s="2567"/>
      <c r="PSJ83" s="2567"/>
      <c r="PSK83" s="2567"/>
      <c r="PSL83" s="2567"/>
      <c r="PSM83" s="2567"/>
      <c r="PSN83" s="2567"/>
      <c r="PSO83" s="2567"/>
      <c r="PSP83" s="2567"/>
      <c r="PSQ83" s="2567"/>
      <c r="PSR83" s="2567"/>
      <c r="PSS83" s="2567"/>
      <c r="PST83" s="2567"/>
      <c r="PSU83" s="2567"/>
      <c r="PSV83" s="2567"/>
      <c r="PSW83" s="2567"/>
      <c r="PSX83" s="2567"/>
      <c r="PSY83" s="2567"/>
      <c r="PSZ83" s="2567"/>
      <c r="PTA83" s="2567"/>
      <c r="PTB83" s="2567"/>
      <c r="PTC83" s="2567"/>
      <c r="PTD83" s="2567"/>
      <c r="PTE83" s="2567"/>
      <c r="PTF83" s="2567"/>
      <c r="PTG83" s="2567"/>
      <c r="PTH83" s="2567"/>
      <c r="PTI83" s="2567"/>
      <c r="PTJ83" s="2567"/>
      <c r="PTK83" s="2567"/>
      <c r="PTL83" s="2567"/>
      <c r="PTM83" s="2567"/>
      <c r="PTN83" s="2567"/>
      <c r="PTO83" s="2567"/>
      <c r="PTP83" s="2567"/>
      <c r="PTQ83" s="2567"/>
      <c r="PTR83" s="2567"/>
      <c r="PTS83" s="2567"/>
      <c r="PTT83" s="2567"/>
      <c r="PTU83" s="2567"/>
      <c r="PTV83" s="2567"/>
      <c r="PTW83" s="2567"/>
      <c r="PTX83" s="2567"/>
      <c r="PTY83" s="2567"/>
      <c r="PTZ83" s="2567"/>
      <c r="PUA83" s="2567"/>
      <c r="PUB83" s="2567"/>
      <c r="PUC83" s="2567"/>
      <c r="PUD83" s="2567"/>
      <c r="PUE83" s="2567"/>
      <c r="PUF83" s="2567"/>
      <c r="PUG83" s="2567"/>
      <c r="PUH83" s="2567"/>
      <c r="PUI83" s="2567"/>
      <c r="PUJ83" s="2567"/>
      <c r="PUK83" s="2567"/>
      <c r="PUL83" s="2567"/>
      <c r="PUM83" s="2567"/>
      <c r="PUN83" s="2567"/>
      <c r="PUO83" s="2567"/>
      <c r="PUP83" s="2567"/>
      <c r="PUQ83" s="2567"/>
      <c r="PUR83" s="2567"/>
      <c r="PUS83" s="2567"/>
      <c r="PUT83" s="2567"/>
      <c r="PUU83" s="2567"/>
      <c r="PUV83" s="2567"/>
      <c r="PUW83" s="2567"/>
      <c r="PUX83" s="2567"/>
      <c r="PUY83" s="2567"/>
      <c r="PUZ83" s="2567"/>
      <c r="PVA83" s="2567"/>
      <c r="PVB83" s="2567"/>
      <c r="PVC83" s="2567"/>
      <c r="PVD83" s="2567"/>
      <c r="PVE83" s="2567"/>
      <c r="PVF83" s="2567"/>
      <c r="PVG83" s="2567"/>
      <c r="PVH83" s="2567"/>
      <c r="PVI83" s="2567"/>
      <c r="PVJ83" s="2567"/>
      <c r="PVK83" s="2567"/>
      <c r="PVL83" s="2567"/>
      <c r="PVM83" s="2567"/>
      <c r="PVN83" s="2567"/>
      <c r="PVO83" s="2567"/>
      <c r="PVP83" s="2567"/>
      <c r="PVQ83" s="2567"/>
      <c r="PVR83" s="2567"/>
      <c r="PVS83" s="2567"/>
      <c r="PVT83" s="2567"/>
      <c r="PVU83" s="2567"/>
      <c r="PVV83" s="2567"/>
      <c r="PVW83" s="2567"/>
      <c r="PVX83" s="2567"/>
      <c r="PVY83" s="2567"/>
      <c r="PVZ83" s="2567"/>
      <c r="PWA83" s="2567"/>
      <c r="PWB83" s="2567"/>
      <c r="PWC83" s="2567"/>
      <c r="PWD83" s="2567"/>
      <c r="PWE83" s="2567"/>
      <c r="PWF83" s="2567"/>
      <c r="PWG83" s="2567"/>
      <c r="PWH83" s="2567"/>
      <c r="PWI83" s="2567"/>
      <c r="PWJ83" s="2567"/>
      <c r="PWK83" s="2567"/>
      <c r="PWL83" s="2567"/>
      <c r="PWM83" s="2567"/>
      <c r="PWN83" s="2567"/>
      <c r="PWO83" s="2567"/>
      <c r="PWP83" s="2567"/>
      <c r="PWQ83" s="2567"/>
      <c r="PWR83" s="2567"/>
      <c r="PWS83" s="2567"/>
      <c r="PWT83" s="2567"/>
      <c r="PWU83" s="2567"/>
      <c r="PWV83" s="2567"/>
      <c r="PWW83" s="2567"/>
      <c r="PWX83" s="2567"/>
      <c r="PWY83" s="2567"/>
      <c r="PWZ83" s="2567"/>
      <c r="PXA83" s="2567"/>
      <c r="PXB83" s="2567"/>
      <c r="PXC83" s="2567"/>
      <c r="PXD83" s="2567"/>
      <c r="PXE83" s="2567"/>
      <c r="PXF83" s="2567"/>
      <c r="PXG83" s="2567"/>
      <c r="PXH83" s="2567"/>
      <c r="PXI83" s="2567"/>
      <c r="PXJ83" s="2567"/>
      <c r="PXK83" s="2567"/>
      <c r="PXL83" s="2567"/>
      <c r="PXM83" s="2567"/>
      <c r="PXN83" s="2567"/>
      <c r="PXO83" s="2567"/>
      <c r="PXP83" s="2567"/>
      <c r="PXQ83" s="2567"/>
      <c r="PXR83" s="2567"/>
      <c r="PXS83" s="2567"/>
      <c r="PXT83" s="2567"/>
      <c r="PXU83" s="2567"/>
      <c r="PXV83" s="2567"/>
      <c r="PXW83" s="2567"/>
      <c r="PXX83" s="2567"/>
      <c r="PXY83" s="2567"/>
      <c r="PXZ83" s="2567"/>
      <c r="PYA83" s="2567"/>
      <c r="PYB83" s="2567"/>
      <c r="PYC83" s="2567"/>
      <c r="PYD83" s="2567"/>
      <c r="PYE83" s="2567"/>
      <c r="PYF83" s="2567"/>
      <c r="PYG83" s="2567"/>
      <c r="PYH83" s="2567"/>
      <c r="PYI83" s="2567"/>
      <c r="PYJ83" s="2567"/>
      <c r="PYK83" s="2567"/>
      <c r="PYL83" s="2567"/>
      <c r="PYM83" s="2567"/>
      <c r="PYN83" s="2567"/>
      <c r="PYO83" s="2567"/>
      <c r="PYP83" s="2567"/>
      <c r="PYQ83" s="2567"/>
      <c r="PYR83" s="2567"/>
      <c r="PYS83" s="2567"/>
      <c r="PYT83" s="2567"/>
      <c r="PYU83" s="2567"/>
      <c r="PYV83" s="2567"/>
      <c r="PYW83" s="2567"/>
      <c r="PYX83" s="2567"/>
      <c r="PYY83" s="2567"/>
      <c r="PYZ83" s="2567"/>
      <c r="PZA83" s="2567"/>
      <c r="PZB83" s="2567"/>
      <c r="PZC83" s="2567"/>
      <c r="PZD83" s="2567"/>
      <c r="PZE83" s="2567"/>
      <c r="PZF83" s="2567"/>
      <c r="PZG83" s="2567"/>
      <c r="PZH83" s="2567"/>
      <c r="PZI83" s="2567"/>
      <c r="PZJ83" s="2567"/>
      <c r="PZK83" s="2567"/>
      <c r="PZL83" s="2567"/>
      <c r="PZM83" s="2567"/>
      <c r="PZN83" s="2567"/>
      <c r="PZO83" s="2567"/>
      <c r="PZP83" s="2567"/>
      <c r="PZQ83" s="2567"/>
      <c r="PZR83" s="2567"/>
      <c r="PZS83" s="2567"/>
      <c r="PZT83" s="2567"/>
      <c r="PZU83" s="2567"/>
      <c r="PZV83" s="2567"/>
      <c r="PZW83" s="2567"/>
      <c r="PZX83" s="2567"/>
      <c r="PZY83" s="2567"/>
      <c r="PZZ83" s="2567"/>
      <c r="QAA83" s="2567"/>
      <c r="QAB83" s="2567"/>
      <c r="QAC83" s="2567"/>
      <c r="QAD83" s="2567"/>
      <c r="QAE83" s="2567"/>
      <c r="QAF83" s="2567"/>
      <c r="QAG83" s="2567"/>
      <c r="QAH83" s="2567"/>
      <c r="QAI83" s="2567"/>
      <c r="QAJ83" s="2567"/>
      <c r="QAK83" s="2567"/>
      <c r="QAL83" s="2567"/>
      <c r="QAM83" s="2567"/>
      <c r="QAN83" s="2567"/>
      <c r="QAO83" s="2567"/>
      <c r="QAP83" s="2567"/>
      <c r="QAQ83" s="2567"/>
      <c r="QAR83" s="2567"/>
      <c r="QAS83" s="2567"/>
      <c r="QAT83" s="2567"/>
      <c r="QAU83" s="2567"/>
      <c r="QAV83" s="2567"/>
      <c r="QAW83" s="2567"/>
      <c r="QAX83" s="2567"/>
      <c r="QAY83" s="2567"/>
      <c r="QAZ83" s="2567"/>
      <c r="QBA83" s="2567"/>
      <c r="QBB83" s="2567"/>
      <c r="QBC83" s="2567"/>
      <c r="QBD83" s="2567"/>
      <c r="QBE83" s="2567"/>
      <c r="QBF83" s="2567"/>
      <c r="QBG83" s="2567"/>
      <c r="QBH83" s="2567"/>
      <c r="QBI83" s="2567"/>
      <c r="QBJ83" s="2567"/>
      <c r="QBK83" s="2567"/>
      <c r="QBL83" s="2567"/>
      <c r="QBM83" s="2567"/>
      <c r="QBN83" s="2567"/>
      <c r="QBO83" s="2567"/>
      <c r="QBP83" s="2567"/>
      <c r="QBQ83" s="2567"/>
      <c r="QBR83" s="2567"/>
      <c r="QBS83" s="2567"/>
      <c r="QBT83" s="2567"/>
      <c r="QBU83" s="2567"/>
      <c r="QBV83" s="2567"/>
      <c r="QBW83" s="2567"/>
      <c r="QBX83" s="2567"/>
      <c r="QBY83" s="2567"/>
      <c r="QBZ83" s="2567"/>
      <c r="QCA83" s="2567"/>
      <c r="QCB83" s="2567"/>
      <c r="QCC83" s="2567"/>
      <c r="QCD83" s="2567"/>
      <c r="QCE83" s="2567"/>
      <c r="QCF83" s="2567"/>
      <c r="QCG83" s="2567"/>
      <c r="QCH83" s="2567"/>
      <c r="QCI83" s="2567"/>
      <c r="QCJ83" s="2567"/>
      <c r="QCK83" s="2567"/>
      <c r="QCL83" s="2567"/>
      <c r="QCM83" s="2567"/>
      <c r="QCN83" s="2567"/>
      <c r="QCO83" s="2567"/>
      <c r="QCP83" s="2567"/>
      <c r="QCQ83" s="2567"/>
      <c r="QCR83" s="2567"/>
      <c r="QCS83" s="2567"/>
      <c r="QCT83" s="2567"/>
      <c r="QCU83" s="2567"/>
      <c r="QCV83" s="2567"/>
      <c r="QCW83" s="2567"/>
      <c r="QCX83" s="2567"/>
      <c r="QCY83" s="2567"/>
      <c r="QCZ83" s="2567"/>
      <c r="QDA83" s="2567"/>
      <c r="QDB83" s="2567"/>
      <c r="QDC83" s="2567"/>
      <c r="QDD83" s="2567"/>
      <c r="QDE83" s="2567"/>
      <c r="QDF83" s="2567"/>
      <c r="QDG83" s="2567"/>
      <c r="QDH83" s="2567"/>
      <c r="QDI83" s="2567"/>
      <c r="QDJ83" s="2567"/>
      <c r="QDK83" s="2567"/>
      <c r="QDL83" s="2567"/>
      <c r="QDM83" s="2567"/>
      <c r="QDN83" s="2567"/>
      <c r="QDO83" s="2567"/>
      <c r="QDP83" s="2567"/>
      <c r="QDQ83" s="2567"/>
      <c r="QDR83" s="2567"/>
      <c r="QDS83" s="2567"/>
      <c r="QDT83" s="2567"/>
      <c r="QDU83" s="2567"/>
      <c r="QDV83" s="2567"/>
      <c r="QDW83" s="2567"/>
      <c r="QDX83" s="2567"/>
      <c r="QDY83" s="2567"/>
      <c r="QDZ83" s="2567"/>
      <c r="QEA83" s="2567"/>
      <c r="QEB83" s="2567"/>
      <c r="QEC83" s="2567"/>
      <c r="QED83" s="2567"/>
      <c r="QEE83" s="2567"/>
      <c r="QEF83" s="2567"/>
      <c r="QEG83" s="2567"/>
      <c r="QEH83" s="2567"/>
      <c r="QEI83" s="2567"/>
      <c r="QEJ83" s="2567"/>
      <c r="QEK83" s="2567"/>
      <c r="QEL83" s="2567"/>
      <c r="QEM83" s="2567"/>
      <c r="QEN83" s="2567"/>
      <c r="QEO83" s="2567"/>
      <c r="QEP83" s="2567"/>
      <c r="QEQ83" s="2567"/>
      <c r="QER83" s="2567"/>
      <c r="QES83" s="2567"/>
      <c r="QET83" s="2567"/>
      <c r="QEU83" s="2567"/>
      <c r="QEV83" s="2567"/>
      <c r="QEW83" s="2567"/>
      <c r="QEX83" s="2567"/>
      <c r="QEY83" s="2567"/>
      <c r="QEZ83" s="2567"/>
      <c r="QFA83" s="2567"/>
      <c r="QFB83" s="2567"/>
      <c r="QFC83" s="2567"/>
      <c r="QFD83" s="2567"/>
      <c r="QFE83" s="2567"/>
      <c r="QFF83" s="2567"/>
      <c r="QFG83" s="2567"/>
      <c r="QFH83" s="2567"/>
      <c r="QFI83" s="2567"/>
      <c r="QFJ83" s="2567"/>
      <c r="QFK83" s="2567"/>
      <c r="QFL83" s="2567"/>
      <c r="QFM83" s="2567"/>
      <c r="QFN83" s="2567"/>
      <c r="QFO83" s="2567"/>
      <c r="QFP83" s="2567"/>
      <c r="QFQ83" s="2567"/>
      <c r="QFR83" s="2567"/>
      <c r="QFS83" s="2567"/>
      <c r="QFT83" s="2567"/>
      <c r="QFU83" s="2567"/>
      <c r="QFV83" s="2567"/>
      <c r="QFW83" s="2567"/>
      <c r="QFX83" s="2567"/>
      <c r="QFY83" s="2567"/>
      <c r="QFZ83" s="2567"/>
      <c r="QGA83" s="2567"/>
      <c r="QGB83" s="2567"/>
      <c r="QGC83" s="2567"/>
      <c r="QGD83" s="2567"/>
      <c r="QGE83" s="2567"/>
      <c r="QGF83" s="2567"/>
      <c r="QGG83" s="2567"/>
      <c r="QGH83" s="2567"/>
      <c r="QGI83" s="2567"/>
      <c r="QGJ83" s="2567"/>
      <c r="QGK83" s="2567"/>
      <c r="QGL83" s="2567"/>
      <c r="QGM83" s="2567"/>
      <c r="QGN83" s="2567"/>
      <c r="QGO83" s="2567"/>
      <c r="QGP83" s="2567"/>
      <c r="QGQ83" s="2567"/>
      <c r="QGR83" s="2567"/>
      <c r="QGS83" s="2567"/>
      <c r="QGT83" s="2567"/>
      <c r="QGU83" s="2567"/>
      <c r="QGV83" s="2567"/>
      <c r="QGW83" s="2567"/>
      <c r="QGX83" s="2567"/>
      <c r="QGY83" s="2567"/>
      <c r="QGZ83" s="2567"/>
      <c r="QHA83" s="2567"/>
      <c r="QHB83" s="2567"/>
      <c r="QHC83" s="2567"/>
      <c r="QHD83" s="2567"/>
      <c r="QHE83" s="2567"/>
      <c r="QHF83" s="2567"/>
      <c r="QHG83" s="2567"/>
      <c r="QHH83" s="2567"/>
      <c r="QHI83" s="2567"/>
      <c r="QHJ83" s="2567"/>
      <c r="QHK83" s="2567"/>
      <c r="QHL83" s="2567"/>
      <c r="QHM83" s="2567"/>
      <c r="QHN83" s="2567"/>
      <c r="QHO83" s="2567"/>
      <c r="QHP83" s="2567"/>
      <c r="QHQ83" s="2567"/>
      <c r="QHR83" s="2567"/>
      <c r="QHS83" s="2567"/>
      <c r="QHT83" s="2567"/>
      <c r="QHU83" s="2567"/>
      <c r="QHV83" s="2567"/>
      <c r="QHW83" s="2567"/>
      <c r="QHX83" s="2567"/>
      <c r="QHY83" s="2567"/>
      <c r="QHZ83" s="2567"/>
      <c r="QIA83" s="2567"/>
      <c r="QIB83" s="2567"/>
      <c r="QIC83" s="2567"/>
      <c r="QID83" s="2567"/>
      <c r="QIE83" s="2567"/>
      <c r="QIF83" s="2567"/>
      <c r="QIG83" s="2567"/>
      <c r="QIH83" s="2567"/>
      <c r="QII83" s="2567"/>
      <c r="QIJ83" s="2567"/>
      <c r="QIK83" s="2567"/>
      <c r="QIL83" s="2567"/>
      <c r="QIM83" s="2567"/>
      <c r="QIN83" s="2567"/>
      <c r="QIO83" s="2567"/>
      <c r="QIP83" s="2567"/>
      <c r="QIQ83" s="2567"/>
      <c r="QIR83" s="2567"/>
      <c r="QIS83" s="2567"/>
      <c r="QIT83" s="2567"/>
      <c r="QIU83" s="2567"/>
      <c r="QIV83" s="2567"/>
      <c r="QIW83" s="2567"/>
      <c r="QIX83" s="2567"/>
      <c r="QIY83" s="2567"/>
      <c r="QIZ83" s="2567"/>
      <c r="QJA83" s="2567"/>
      <c r="QJB83" s="2567"/>
      <c r="QJC83" s="2567"/>
      <c r="QJD83" s="2567"/>
      <c r="QJE83" s="2567"/>
      <c r="QJF83" s="2567"/>
      <c r="QJG83" s="2567"/>
      <c r="QJH83" s="2567"/>
      <c r="QJI83" s="2567"/>
      <c r="QJJ83" s="2567"/>
      <c r="QJK83" s="2567"/>
      <c r="QJL83" s="2567"/>
      <c r="QJM83" s="2567"/>
      <c r="QJN83" s="2567"/>
      <c r="QJO83" s="2567"/>
      <c r="QJP83" s="2567"/>
      <c r="QJQ83" s="2567"/>
      <c r="QJR83" s="2567"/>
      <c r="QJS83" s="2567"/>
      <c r="QJT83" s="2567"/>
      <c r="QJU83" s="2567"/>
      <c r="QJV83" s="2567"/>
      <c r="QJW83" s="2567"/>
      <c r="QJX83" s="2567"/>
      <c r="QJY83" s="2567"/>
      <c r="QJZ83" s="2567"/>
      <c r="QKA83" s="2567"/>
      <c r="QKB83" s="2567"/>
      <c r="QKC83" s="2567"/>
      <c r="QKD83" s="2567"/>
      <c r="QKE83" s="2567"/>
      <c r="QKF83" s="2567"/>
      <c r="QKG83" s="2567"/>
      <c r="QKH83" s="2567"/>
      <c r="QKI83" s="2567"/>
      <c r="QKJ83" s="2567"/>
      <c r="QKK83" s="2567"/>
      <c r="QKL83" s="2567"/>
      <c r="QKM83" s="2567"/>
      <c r="QKN83" s="2567"/>
      <c r="QKO83" s="2567"/>
      <c r="QKP83" s="2567"/>
      <c r="QKQ83" s="2567"/>
      <c r="QKR83" s="2567"/>
      <c r="QKS83" s="2567"/>
      <c r="QKT83" s="2567"/>
      <c r="QKU83" s="2567"/>
      <c r="QKV83" s="2567"/>
      <c r="QKW83" s="2567"/>
      <c r="QKX83" s="2567"/>
      <c r="QKY83" s="2567"/>
      <c r="QKZ83" s="2567"/>
      <c r="QLA83" s="2567"/>
      <c r="QLB83" s="2567"/>
      <c r="QLC83" s="2567"/>
      <c r="QLD83" s="2567"/>
      <c r="QLE83" s="2567"/>
      <c r="QLF83" s="2567"/>
      <c r="QLG83" s="2567"/>
      <c r="QLH83" s="2567"/>
      <c r="QLI83" s="2567"/>
      <c r="QLJ83" s="2567"/>
      <c r="QLK83" s="2567"/>
      <c r="QLL83" s="2567"/>
      <c r="QLM83" s="2567"/>
      <c r="QLN83" s="2567"/>
      <c r="QLO83" s="2567"/>
      <c r="QLP83" s="2567"/>
      <c r="QLQ83" s="2567"/>
      <c r="QLR83" s="2567"/>
      <c r="QLS83" s="2567"/>
      <c r="QLT83" s="2567"/>
      <c r="QLU83" s="2567"/>
      <c r="QLV83" s="2567"/>
      <c r="QLW83" s="2567"/>
      <c r="QLX83" s="2567"/>
      <c r="QLY83" s="2567"/>
      <c r="QLZ83" s="2567"/>
      <c r="QMA83" s="2567"/>
      <c r="QMB83" s="2567"/>
      <c r="QMC83" s="2567"/>
      <c r="QMD83" s="2567"/>
      <c r="QME83" s="2567"/>
      <c r="QMF83" s="2567"/>
      <c r="QMG83" s="2567"/>
      <c r="QMH83" s="2567"/>
      <c r="QMI83" s="2567"/>
      <c r="QMJ83" s="2567"/>
      <c r="QMK83" s="2567"/>
      <c r="QML83" s="2567"/>
      <c r="QMM83" s="2567"/>
      <c r="QMN83" s="2567"/>
      <c r="QMO83" s="2567"/>
      <c r="QMP83" s="2567"/>
      <c r="QMQ83" s="2567"/>
      <c r="QMR83" s="2567"/>
      <c r="QMS83" s="2567"/>
      <c r="QMT83" s="2567"/>
      <c r="QMU83" s="2567"/>
      <c r="QMV83" s="2567"/>
      <c r="QMW83" s="2567"/>
      <c r="QMX83" s="2567"/>
      <c r="QMY83" s="2567"/>
      <c r="QMZ83" s="2567"/>
      <c r="QNA83" s="2567"/>
      <c r="QNB83" s="2567"/>
      <c r="QNC83" s="2567"/>
      <c r="QND83" s="2567"/>
      <c r="QNE83" s="2567"/>
      <c r="QNF83" s="2567"/>
      <c r="QNG83" s="2567"/>
      <c r="QNH83" s="2567"/>
      <c r="QNI83" s="2567"/>
      <c r="QNJ83" s="2567"/>
      <c r="QNK83" s="2567"/>
      <c r="QNL83" s="2567"/>
      <c r="QNM83" s="2567"/>
      <c r="QNN83" s="2567"/>
      <c r="QNO83" s="2567"/>
      <c r="QNP83" s="2567"/>
      <c r="QNQ83" s="2567"/>
      <c r="QNR83" s="2567"/>
      <c r="QNS83" s="2567"/>
      <c r="QNT83" s="2567"/>
      <c r="QNU83" s="2567"/>
      <c r="QNV83" s="2567"/>
      <c r="QNW83" s="2567"/>
      <c r="QNX83" s="2567"/>
      <c r="QNY83" s="2567"/>
      <c r="QNZ83" s="2567"/>
      <c r="QOA83" s="2567"/>
      <c r="QOB83" s="2567"/>
      <c r="QOC83" s="2567"/>
      <c r="QOD83" s="2567"/>
      <c r="QOE83" s="2567"/>
      <c r="QOF83" s="2567"/>
      <c r="QOG83" s="2567"/>
      <c r="QOH83" s="2567"/>
      <c r="QOI83" s="2567"/>
      <c r="QOJ83" s="2567"/>
      <c r="QOK83" s="2567"/>
      <c r="QOL83" s="2567"/>
      <c r="QOM83" s="2567"/>
      <c r="QON83" s="2567"/>
      <c r="QOO83" s="2567"/>
      <c r="QOP83" s="2567"/>
      <c r="QOQ83" s="2567"/>
      <c r="QOR83" s="2567"/>
      <c r="QOS83" s="2567"/>
      <c r="QOT83" s="2567"/>
      <c r="QOU83" s="2567"/>
      <c r="QOV83" s="2567"/>
      <c r="QOW83" s="2567"/>
      <c r="QOX83" s="2567"/>
      <c r="QOY83" s="2567"/>
      <c r="QOZ83" s="2567"/>
      <c r="QPA83" s="2567"/>
      <c r="QPB83" s="2567"/>
      <c r="QPC83" s="2567"/>
      <c r="QPD83" s="2567"/>
      <c r="QPE83" s="2567"/>
      <c r="QPF83" s="2567"/>
      <c r="QPG83" s="2567"/>
      <c r="QPH83" s="2567"/>
      <c r="QPI83" s="2567"/>
      <c r="QPJ83" s="2567"/>
      <c r="QPK83" s="2567"/>
      <c r="QPL83" s="2567"/>
      <c r="QPM83" s="2567"/>
      <c r="QPN83" s="2567"/>
      <c r="QPO83" s="2567"/>
      <c r="QPP83" s="2567"/>
      <c r="QPQ83" s="2567"/>
      <c r="QPR83" s="2567"/>
      <c r="QPS83" s="2567"/>
      <c r="QPT83" s="2567"/>
      <c r="QPU83" s="2567"/>
      <c r="QPV83" s="2567"/>
      <c r="QPW83" s="2567"/>
      <c r="QPX83" s="2567"/>
      <c r="QPY83" s="2567"/>
      <c r="QPZ83" s="2567"/>
      <c r="QQA83" s="2567"/>
      <c r="QQB83" s="2567"/>
      <c r="QQC83" s="2567"/>
      <c r="QQD83" s="2567"/>
      <c r="QQE83" s="2567"/>
      <c r="QQF83" s="2567"/>
      <c r="QQG83" s="2567"/>
      <c r="QQH83" s="2567"/>
      <c r="QQI83" s="2567"/>
      <c r="QQJ83" s="2567"/>
      <c r="QQK83" s="2567"/>
      <c r="QQL83" s="2567"/>
      <c r="QQM83" s="2567"/>
      <c r="QQN83" s="2567"/>
      <c r="QQO83" s="2567"/>
      <c r="QQP83" s="2567"/>
      <c r="QQQ83" s="2567"/>
      <c r="QQR83" s="2567"/>
      <c r="QQS83" s="2567"/>
      <c r="QQT83" s="2567"/>
      <c r="QQU83" s="2567"/>
      <c r="QQV83" s="2567"/>
      <c r="QQW83" s="2567"/>
      <c r="QQX83" s="2567"/>
      <c r="QQY83" s="2567"/>
      <c r="QQZ83" s="2567"/>
      <c r="QRA83" s="2567"/>
      <c r="QRB83" s="2567"/>
      <c r="QRC83" s="2567"/>
      <c r="QRD83" s="2567"/>
      <c r="QRE83" s="2567"/>
      <c r="QRF83" s="2567"/>
      <c r="QRG83" s="2567"/>
      <c r="QRH83" s="2567"/>
      <c r="QRI83" s="2567"/>
      <c r="QRJ83" s="2567"/>
      <c r="QRK83" s="2567"/>
      <c r="QRL83" s="2567"/>
      <c r="QRM83" s="2567"/>
      <c r="QRN83" s="2567"/>
      <c r="QRO83" s="2567"/>
      <c r="QRP83" s="2567"/>
      <c r="QRQ83" s="2567"/>
      <c r="QRR83" s="2567"/>
      <c r="QRS83" s="2567"/>
      <c r="QRT83" s="2567"/>
      <c r="QRU83" s="2567"/>
      <c r="QRV83" s="2567"/>
      <c r="QRW83" s="2567"/>
      <c r="QRX83" s="2567"/>
      <c r="QRY83" s="2567"/>
      <c r="QRZ83" s="2567"/>
      <c r="QSA83" s="2567"/>
      <c r="QSB83" s="2567"/>
      <c r="QSC83" s="2567"/>
      <c r="QSD83" s="2567"/>
      <c r="QSE83" s="2567"/>
      <c r="QSF83" s="2567"/>
      <c r="QSG83" s="2567"/>
      <c r="QSH83" s="2567"/>
      <c r="QSI83" s="2567"/>
      <c r="QSJ83" s="2567"/>
      <c r="QSK83" s="2567"/>
      <c r="QSL83" s="2567"/>
      <c r="QSM83" s="2567"/>
      <c r="QSN83" s="2567"/>
      <c r="QSO83" s="2567"/>
      <c r="QSP83" s="2567"/>
      <c r="QSQ83" s="2567"/>
      <c r="QSR83" s="2567"/>
      <c r="QSS83" s="2567"/>
      <c r="QST83" s="2567"/>
      <c r="QSU83" s="2567"/>
      <c r="QSV83" s="2567"/>
      <c r="QSW83" s="2567"/>
      <c r="QSX83" s="2567"/>
      <c r="QSY83" s="2567"/>
      <c r="QSZ83" s="2567"/>
      <c r="QTA83" s="2567"/>
      <c r="QTB83" s="2567"/>
      <c r="QTC83" s="2567"/>
      <c r="QTD83" s="2567"/>
      <c r="QTE83" s="2567"/>
      <c r="QTF83" s="2567"/>
      <c r="QTG83" s="2567"/>
      <c r="QTH83" s="2567"/>
      <c r="QTI83" s="2567"/>
      <c r="QTJ83" s="2567"/>
      <c r="QTK83" s="2567"/>
      <c r="QTL83" s="2567"/>
      <c r="QTM83" s="2567"/>
      <c r="QTN83" s="2567"/>
      <c r="QTO83" s="2567"/>
      <c r="QTP83" s="2567"/>
      <c r="QTQ83" s="2567"/>
      <c r="QTR83" s="2567"/>
      <c r="QTS83" s="2567"/>
      <c r="QTT83" s="2567"/>
      <c r="QTU83" s="2567"/>
      <c r="QTV83" s="2567"/>
      <c r="QTW83" s="2567"/>
      <c r="QTX83" s="2567"/>
      <c r="QTY83" s="2567"/>
      <c r="QTZ83" s="2567"/>
      <c r="QUA83" s="2567"/>
      <c r="QUB83" s="2567"/>
      <c r="QUC83" s="2567"/>
      <c r="QUD83" s="2567"/>
      <c r="QUE83" s="2567"/>
      <c r="QUF83" s="2567"/>
      <c r="QUG83" s="2567"/>
      <c r="QUH83" s="2567"/>
      <c r="QUI83" s="2567"/>
      <c r="QUJ83" s="2567"/>
      <c r="QUK83" s="2567"/>
      <c r="QUL83" s="2567"/>
      <c r="QUM83" s="2567"/>
      <c r="QUN83" s="2567"/>
      <c r="QUO83" s="2567"/>
      <c r="QUP83" s="2567"/>
      <c r="QUQ83" s="2567"/>
      <c r="QUR83" s="2567"/>
      <c r="QUS83" s="2567"/>
      <c r="QUT83" s="2567"/>
      <c r="QUU83" s="2567"/>
      <c r="QUV83" s="2567"/>
      <c r="QUW83" s="2567"/>
      <c r="QUX83" s="2567"/>
      <c r="QUY83" s="2567"/>
      <c r="QUZ83" s="2567"/>
      <c r="QVA83" s="2567"/>
      <c r="QVB83" s="2567"/>
      <c r="QVC83" s="2567"/>
      <c r="QVD83" s="2567"/>
      <c r="QVE83" s="2567"/>
      <c r="QVF83" s="2567"/>
      <c r="QVG83" s="2567"/>
      <c r="QVH83" s="2567"/>
      <c r="QVI83" s="2567"/>
      <c r="QVJ83" s="2567"/>
      <c r="QVK83" s="2567"/>
      <c r="QVL83" s="2567"/>
      <c r="QVM83" s="2567"/>
      <c r="QVN83" s="2567"/>
      <c r="QVO83" s="2567"/>
      <c r="QVP83" s="2567"/>
      <c r="QVQ83" s="2567"/>
      <c r="QVR83" s="2567"/>
      <c r="QVS83" s="2567"/>
      <c r="QVT83" s="2567"/>
      <c r="QVU83" s="2567"/>
      <c r="QVV83" s="2567"/>
      <c r="QVW83" s="2567"/>
      <c r="QVX83" s="2567"/>
      <c r="QVY83" s="2567"/>
      <c r="QVZ83" s="2567"/>
      <c r="QWA83" s="2567"/>
      <c r="QWB83" s="2567"/>
      <c r="QWC83" s="2567"/>
      <c r="QWD83" s="2567"/>
      <c r="QWE83" s="2567"/>
      <c r="QWF83" s="2567"/>
      <c r="QWG83" s="2567"/>
      <c r="QWH83" s="2567"/>
      <c r="QWI83" s="2567"/>
      <c r="QWJ83" s="2567"/>
      <c r="QWK83" s="2567"/>
      <c r="QWL83" s="2567"/>
      <c r="QWM83" s="2567"/>
      <c r="QWN83" s="2567"/>
      <c r="QWO83" s="2567"/>
      <c r="QWP83" s="2567"/>
      <c r="QWQ83" s="2567"/>
      <c r="QWR83" s="2567"/>
      <c r="QWS83" s="2567"/>
      <c r="QWT83" s="2567"/>
      <c r="QWU83" s="2567"/>
      <c r="QWV83" s="2567"/>
      <c r="QWW83" s="2567"/>
      <c r="QWX83" s="2567"/>
      <c r="QWY83" s="2567"/>
      <c r="QWZ83" s="2567"/>
      <c r="QXA83" s="2567"/>
      <c r="QXB83" s="2567"/>
      <c r="QXC83" s="2567"/>
      <c r="QXD83" s="2567"/>
      <c r="QXE83" s="2567"/>
      <c r="QXF83" s="2567"/>
      <c r="QXG83" s="2567"/>
      <c r="QXH83" s="2567"/>
      <c r="QXI83" s="2567"/>
      <c r="QXJ83" s="2567"/>
      <c r="QXK83" s="2567"/>
      <c r="QXL83" s="2567"/>
      <c r="QXM83" s="2567"/>
      <c r="QXN83" s="2567"/>
      <c r="QXO83" s="2567"/>
      <c r="QXP83" s="2567"/>
      <c r="QXQ83" s="2567"/>
      <c r="QXR83" s="2567"/>
      <c r="QXS83" s="2567"/>
      <c r="QXT83" s="2567"/>
      <c r="QXU83" s="2567"/>
      <c r="QXV83" s="2567"/>
      <c r="QXW83" s="2567"/>
      <c r="QXX83" s="2567"/>
      <c r="QXY83" s="2567"/>
      <c r="QXZ83" s="2567"/>
      <c r="QYA83" s="2567"/>
      <c r="QYB83" s="2567"/>
      <c r="QYC83" s="2567"/>
      <c r="QYD83" s="2567"/>
      <c r="QYE83" s="2567"/>
      <c r="QYF83" s="2567"/>
      <c r="QYG83" s="2567"/>
      <c r="QYH83" s="2567"/>
      <c r="QYI83" s="2567"/>
      <c r="QYJ83" s="2567"/>
      <c r="QYK83" s="2567"/>
      <c r="QYL83" s="2567"/>
      <c r="QYM83" s="2567"/>
      <c r="QYN83" s="2567"/>
      <c r="QYO83" s="2567"/>
      <c r="QYP83" s="2567"/>
      <c r="QYQ83" s="2567"/>
      <c r="QYR83" s="2567"/>
      <c r="QYS83" s="2567"/>
      <c r="QYT83" s="2567"/>
      <c r="QYU83" s="2567"/>
      <c r="QYV83" s="2567"/>
      <c r="QYW83" s="2567"/>
      <c r="QYX83" s="2567"/>
      <c r="QYY83" s="2567"/>
      <c r="QYZ83" s="2567"/>
      <c r="QZA83" s="2567"/>
      <c r="QZB83" s="2567"/>
      <c r="QZC83" s="2567"/>
      <c r="QZD83" s="2567"/>
      <c r="QZE83" s="2567"/>
      <c r="QZF83" s="2567"/>
      <c r="QZG83" s="2567"/>
      <c r="QZH83" s="2567"/>
      <c r="QZI83" s="2567"/>
      <c r="QZJ83" s="2567"/>
      <c r="QZK83" s="2567"/>
      <c r="QZL83" s="2567"/>
      <c r="QZM83" s="2567"/>
      <c r="QZN83" s="2567"/>
      <c r="QZO83" s="2567"/>
      <c r="QZP83" s="2567"/>
      <c r="QZQ83" s="2567"/>
      <c r="QZR83" s="2567"/>
      <c r="QZS83" s="2567"/>
      <c r="QZT83" s="2567"/>
      <c r="QZU83" s="2567"/>
      <c r="QZV83" s="2567"/>
      <c r="QZW83" s="2567"/>
      <c r="QZX83" s="2567"/>
      <c r="QZY83" s="2567"/>
      <c r="QZZ83" s="2567"/>
      <c r="RAA83" s="2567"/>
      <c r="RAB83" s="2567"/>
      <c r="RAC83" s="2567"/>
      <c r="RAD83" s="2567"/>
      <c r="RAE83" s="2567"/>
      <c r="RAF83" s="2567"/>
      <c r="RAG83" s="2567"/>
      <c r="RAH83" s="2567"/>
      <c r="RAI83" s="2567"/>
      <c r="RAJ83" s="2567"/>
      <c r="RAK83" s="2567"/>
      <c r="RAL83" s="2567"/>
      <c r="RAM83" s="2567"/>
      <c r="RAN83" s="2567"/>
      <c r="RAO83" s="2567"/>
      <c r="RAP83" s="2567"/>
      <c r="RAQ83" s="2567"/>
      <c r="RAR83" s="2567"/>
      <c r="RAS83" s="2567"/>
      <c r="RAT83" s="2567"/>
      <c r="RAU83" s="2567"/>
      <c r="RAV83" s="2567"/>
      <c r="RAW83" s="2567"/>
      <c r="RAX83" s="2567"/>
      <c r="RAY83" s="2567"/>
      <c r="RAZ83" s="2567"/>
      <c r="RBA83" s="2567"/>
      <c r="RBB83" s="2567"/>
      <c r="RBC83" s="2567"/>
      <c r="RBD83" s="2567"/>
      <c r="RBE83" s="2567"/>
      <c r="RBF83" s="2567"/>
      <c r="RBG83" s="2567"/>
      <c r="RBH83" s="2567"/>
      <c r="RBI83" s="2567"/>
      <c r="RBJ83" s="2567"/>
      <c r="RBK83" s="2567"/>
      <c r="RBL83" s="2567"/>
      <c r="RBM83" s="2567"/>
      <c r="RBN83" s="2567"/>
      <c r="RBO83" s="2567"/>
      <c r="RBP83" s="2567"/>
      <c r="RBQ83" s="2567"/>
      <c r="RBR83" s="2567"/>
      <c r="RBS83" s="2567"/>
      <c r="RBT83" s="2567"/>
      <c r="RBU83" s="2567"/>
      <c r="RBV83" s="2567"/>
      <c r="RBW83" s="2567"/>
      <c r="RBX83" s="2567"/>
      <c r="RBY83" s="2567"/>
      <c r="RBZ83" s="2567"/>
      <c r="RCA83" s="2567"/>
      <c r="RCB83" s="2567"/>
      <c r="RCC83" s="2567"/>
      <c r="RCD83" s="2567"/>
      <c r="RCE83" s="2567"/>
      <c r="RCF83" s="2567"/>
      <c r="RCG83" s="2567"/>
      <c r="RCH83" s="2567"/>
      <c r="RCI83" s="2567"/>
      <c r="RCJ83" s="2567"/>
      <c r="RCK83" s="2567"/>
      <c r="RCL83" s="2567"/>
      <c r="RCM83" s="2567"/>
      <c r="RCN83" s="2567"/>
      <c r="RCO83" s="2567"/>
      <c r="RCP83" s="2567"/>
      <c r="RCQ83" s="2567"/>
      <c r="RCR83" s="2567"/>
      <c r="RCS83" s="2567"/>
      <c r="RCT83" s="2567"/>
      <c r="RCU83" s="2567"/>
      <c r="RCV83" s="2567"/>
      <c r="RCW83" s="2567"/>
      <c r="RCX83" s="2567"/>
      <c r="RCY83" s="2567"/>
      <c r="RCZ83" s="2567"/>
      <c r="RDA83" s="2567"/>
      <c r="RDB83" s="2567"/>
      <c r="RDC83" s="2567"/>
      <c r="RDD83" s="2567"/>
      <c r="RDE83" s="2567"/>
      <c r="RDF83" s="2567"/>
      <c r="RDG83" s="2567"/>
      <c r="RDH83" s="2567"/>
      <c r="RDI83" s="2567"/>
      <c r="RDJ83" s="2567"/>
      <c r="RDK83" s="2567"/>
      <c r="RDL83" s="2567"/>
      <c r="RDM83" s="2567"/>
      <c r="RDN83" s="2567"/>
      <c r="RDO83" s="2567"/>
      <c r="RDP83" s="2567"/>
      <c r="RDQ83" s="2567"/>
      <c r="RDR83" s="2567"/>
      <c r="RDS83" s="2567"/>
      <c r="RDT83" s="2567"/>
      <c r="RDU83" s="2567"/>
      <c r="RDV83" s="2567"/>
      <c r="RDW83" s="2567"/>
      <c r="RDX83" s="2567"/>
      <c r="RDY83" s="2567"/>
      <c r="RDZ83" s="2567"/>
      <c r="REA83" s="2567"/>
      <c r="REB83" s="2567"/>
      <c r="REC83" s="2567"/>
      <c r="RED83" s="2567"/>
      <c r="REE83" s="2567"/>
      <c r="REF83" s="2567"/>
      <c r="REG83" s="2567"/>
      <c r="REH83" s="2567"/>
      <c r="REI83" s="2567"/>
      <c r="REJ83" s="2567"/>
      <c r="REK83" s="2567"/>
      <c r="REL83" s="2567"/>
      <c r="REM83" s="2567"/>
      <c r="REN83" s="2567"/>
      <c r="REO83" s="2567"/>
      <c r="REP83" s="2567"/>
      <c r="REQ83" s="2567"/>
      <c r="RER83" s="2567"/>
      <c r="RES83" s="2567"/>
      <c r="RET83" s="2567"/>
      <c r="REU83" s="2567"/>
      <c r="REV83" s="2567"/>
      <c r="REW83" s="2567"/>
      <c r="REX83" s="2567"/>
      <c r="REY83" s="2567"/>
      <c r="REZ83" s="2567"/>
      <c r="RFA83" s="2567"/>
      <c r="RFB83" s="2567"/>
      <c r="RFC83" s="2567"/>
      <c r="RFD83" s="2567"/>
      <c r="RFE83" s="2567"/>
      <c r="RFF83" s="2567"/>
      <c r="RFG83" s="2567"/>
      <c r="RFH83" s="2567"/>
      <c r="RFI83" s="2567"/>
      <c r="RFJ83" s="2567"/>
      <c r="RFK83" s="2567"/>
      <c r="RFL83" s="2567"/>
      <c r="RFM83" s="2567"/>
      <c r="RFN83" s="2567"/>
      <c r="RFO83" s="2567"/>
      <c r="RFP83" s="2567"/>
      <c r="RFQ83" s="2567"/>
      <c r="RFR83" s="2567"/>
      <c r="RFS83" s="2567"/>
      <c r="RFT83" s="2567"/>
      <c r="RFU83" s="2567"/>
      <c r="RFV83" s="2567"/>
      <c r="RFW83" s="2567"/>
      <c r="RFX83" s="2567"/>
      <c r="RFY83" s="2567"/>
      <c r="RFZ83" s="2567"/>
      <c r="RGA83" s="2567"/>
      <c r="RGB83" s="2567"/>
      <c r="RGC83" s="2567"/>
      <c r="RGD83" s="2567"/>
      <c r="RGE83" s="2567"/>
      <c r="RGF83" s="2567"/>
      <c r="RGG83" s="2567"/>
      <c r="RGH83" s="2567"/>
      <c r="RGI83" s="2567"/>
      <c r="RGJ83" s="2567"/>
      <c r="RGK83" s="2567"/>
      <c r="RGL83" s="2567"/>
      <c r="RGM83" s="2567"/>
      <c r="RGN83" s="2567"/>
      <c r="RGO83" s="2567"/>
      <c r="RGP83" s="2567"/>
      <c r="RGQ83" s="2567"/>
      <c r="RGR83" s="2567"/>
      <c r="RGS83" s="2567"/>
      <c r="RGT83" s="2567"/>
      <c r="RGU83" s="2567"/>
      <c r="RGV83" s="2567"/>
      <c r="RGW83" s="2567"/>
      <c r="RGX83" s="2567"/>
      <c r="RGY83" s="2567"/>
      <c r="RGZ83" s="2567"/>
      <c r="RHA83" s="2567"/>
      <c r="RHB83" s="2567"/>
      <c r="RHC83" s="2567"/>
      <c r="RHD83" s="2567"/>
      <c r="RHE83" s="2567"/>
      <c r="RHF83" s="2567"/>
      <c r="RHG83" s="2567"/>
      <c r="RHH83" s="2567"/>
      <c r="RHI83" s="2567"/>
      <c r="RHJ83" s="2567"/>
      <c r="RHK83" s="2567"/>
      <c r="RHL83" s="2567"/>
      <c r="RHM83" s="2567"/>
      <c r="RHN83" s="2567"/>
      <c r="RHO83" s="2567"/>
      <c r="RHP83" s="2567"/>
      <c r="RHQ83" s="2567"/>
      <c r="RHR83" s="2567"/>
      <c r="RHS83" s="2567"/>
      <c r="RHT83" s="2567"/>
      <c r="RHU83" s="2567"/>
      <c r="RHV83" s="2567"/>
      <c r="RHW83" s="2567"/>
      <c r="RHX83" s="2567"/>
      <c r="RHY83" s="2567"/>
      <c r="RHZ83" s="2567"/>
      <c r="RIA83" s="2567"/>
      <c r="RIB83" s="2567"/>
      <c r="RIC83" s="2567"/>
      <c r="RID83" s="2567"/>
      <c r="RIE83" s="2567"/>
      <c r="RIF83" s="2567"/>
      <c r="RIG83" s="2567"/>
      <c r="RIH83" s="2567"/>
      <c r="RII83" s="2567"/>
      <c r="RIJ83" s="2567"/>
      <c r="RIK83" s="2567"/>
      <c r="RIL83" s="2567"/>
      <c r="RIM83" s="2567"/>
      <c r="RIN83" s="2567"/>
      <c r="RIO83" s="2567"/>
      <c r="RIP83" s="2567"/>
      <c r="RIQ83" s="2567"/>
      <c r="RIR83" s="2567"/>
      <c r="RIS83" s="2567"/>
      <c r="RIT83" s="2567"/>
      <c r="RIU83" s="2567"/>
      <c r="RIV83" s="2567"/>
      <c r="RIW83" s="2567"/>
      <c r="RIX83" s="2567"/>
      <c r="RIY83" s="2567"/>
      <c r="RIZ83" s="2567"/>
      <c r="RJA83" s="2567"/>
      <c r="RJB83" s="2567"/>
      <c r="RJC83" s="2567"/>
      <c r="RJD83" s="2567"/>
      <c r="RJE83" s="2567"/>
      <c r="RJF83" s="2567"/>
      <c r="RJG83" s="2567"/>
      <c r="RJH83" s="2567"/>
      <c r="RJI83" s="2567"/>
      <c r="RJJ83" s="2567"/>
      <c r="RJK83" s="2567"/>
      <c r="RJL83" s="2567"/>
      <c r="RJM83" s="2567"/>
      <c r="RJN83" s="2567"/>
      <c r="RJO83" s="2567"/>
      <c r="RJP83" s="2567"/>
      <c r="RJQ83" s="2567"/>
      <c r="RJR83" s="2567"/>
      <c r="RJS83" s="2567"/>
      <c r="RJT83" s="2567"/>
      <c r="RJU83" s="2567"/>
      <c r="RJV83" s="2567"/>
      <c r="RJW83" s="2567"/>
      <c r="RJX83" s="2567"/>
      <c r="RJY83" s="2567"/>
      <c r="RJZ83" s="2567"/>
      <c r="RKA83" s="2567"/>
      <c r="RKB83" s="2567"/>
      <c r="RKC83" s="2567"/>
      <c r="RKD83" s="2567"/>
      <c r="RKE83" s="2567"/>
      <c r="RKF83" s="2567"/>
      <c r="RKG83" s="2567"/>
      <c r="RKH83" s="2567"/>
      <c r="RKI83" s="2567"/>
      <c r="RKJ83" s="2567"/>
      <c r="RKK83" s="2567"/>
      <c r="RKL83" s="2567"/>
      <c r="RKM83" s="2567"/>
      <c r="RKN83" s="2567"/>
      <c r="RKO83" s="2567"/>
      <c r="RKP83" s="2567"/>
      <c r="RKQ83" s="2567"/>
      <c r="RKR83" s="2567"/>
      <c r="RKS83" s="2567"/>
      <c r="RKT83" s="2567"/>
      <c r="RKU83" s="2567"/>
      <c r="RKV83" s="2567"/>
      <c r="RKW83" s="2567"/>
      <c r="RKX83" s="2567"/>
      <c r="RKY83" s="2567"/>
      <c r="RKZ83" s="2567"/>
      <c r="RLA83" s="2567"/>
      <c r="RLB83" s="2567"/>
      <c r="RLC83" s="2567"/>
      <c r="RLD83" s="2567"/>
      <c r="RLE83" s="2567"/>
      <c r="RLF83" s="2567"/>
      <c r="RLG83" s="2567"/>
      <c r="RLH83" s="2567"/>
      <c r="RLI83" s="2567"/>
      <c r="RLJ83" s="2567"/>
      <c r="RLK83" s="2567"/>
      <c r="RLL83" s="2567"/>
      <c r="RLM83" s="2567"/>
      <c r="RLN83" s="2567"/>
      <c r="RLO83" s="2567"/>
      <c r="RLP83" s="2567"/>
      <c r="RLQ83" s="2567"/>
      <c r="RLR83" s="2567"/>
      <c r="RLS83" s="2567"/>
      <c r="RLT83" s="2567"/>
      <c r="RLU83" s="2567"/>
      <c r="RLV83" s="2567"/>
      <c r="RLW83" s="2567"/>
      <c r="RLX83" s="2567"/>
      <c r="RLY83" s="2567"/>
      <c r="RLZ83" s="2567"/>
      <c r="RMA83" s="2567"/>
      <c r="RMB83" s="2567"/>
      <c r="RMC83" s="2567"/>
      <c r="RMD83" s="2567"/>
      <c r="RME83" s="2567"/>
      <c r="RMF83" s="2567"/>
      <c r="RMG83" s="2567"/>
      <c r="RMH83" s="2567"/>
      <c r="RMI83" s="2567"/>
      <c r="RMJ83" s="2567"/>
      <c r="RMK83" s="2567"/>
      <c r="RML83" s="2567"/>
      <c r="RMM83" s="2567"/>
      <c r="RMN83" s="2567"/>
      <c r="RMO83" s="2567"/>
      <c r="RMP83" s="2567"/>
      <c r="RMQ83" s="2567"/>
      <c r="RMR83" s="2567"/>
      <c r="RMS83" s="2567"/>
      <c r="RMT83" s="2567"/>
      <c r="RMU83" s="2567"/>
      <c r="RMV83" s="2567"/>
      <c r="RMW83" s="2567"/>
      <c r="RMX83" s="2567"/>
      <c r="RMY83" s="2567"/>
      <c r="RMZ83" s="2567"/>
      <c r="RNA83" s="2567"/>
      <c r="RNB83" s="2567"/>
      <c r="RNC83" s="2567"/>
      <c r="RND83" s="2567"/>
      <c r="RNE83" s="2567"/>
      <c r="RNF83" s="2567"/>
      <c r="RNG83" s="2567"/>
      <c r="RNH83" s="2567"/>
      <c r="RNI83" s="2567"/>
      <c r="RNJ83" s="2567"/>
      <c r="RNK83" s="2567"/>
      <c r="RNL83" s="2567"/>
      <c r="RNM83" s="2567"/>
      <c r="RNN83" s="2567"/>
      <c r="RNO83" s="2567"/>
      <c r="RNP83" s="2567"/>
      <c r="RNQ83" s="2567"/>
      <c r="RNR83" s="2567"/>
      <c r="RNS83" s="2567"/>
      <c r="RNT83" s="2567"/>
      <c r="RNU83" s="2567"/>
      <c r="RNV83" s="2567"/>
      <c r="RNW83" s="2567"/>
      <c r="RNX83" s="2567"/>
      <c r="RNY83" s="2567"/>
      <c r="RNZ83" s="2567"/>
      <c r="ROA83" s="2567"/>
      <c r="ROB83" s="2567"/>
      <c r="ROC83" s="2567"/>
      <c r="ROD83" s="2567"/>
      <c r="ROE83" s="2567"/>
      <c r="ROF83" s="2567"/>
      <c r="ROG83" s="2567"/>
      <c r="ROH83" s="2567"/>
      <c r="ROI83" s="2567"/>
      <c r="ROJ83" s="2567"/>
      <c r="ROK83" s="2567"/>
      <c r="ROL83" s="2567"/>
      <c r="ROM83" s="2567"/>
      <c r="RON83" s="2567"/>
      <c r="ROO83" s="2567"/>
      <c r="ROP83" s="2567"/>
      <c r="ROQ83" s="2567"/>
      <c r="ROR83" s="2567"/>
      <c r="ROS83" s="2567"/>
      <c r="ROT83" s="2567"/>
      <c r="ROU83" s="2567"/>
      <c r="ROV83" s="2567"/>
      <c r="ROW83" s="2567"/>
      <c r="ROX83" s="2567"/>
      <c r="ROY83" s="2567"/>
      <c r="ROZ83" s="2567"/>
      <c r="RPA83" s="2567"/>
      <c r="RPB83" s="2567"/>
      <c r="RPC83" s="2567"/>
      <c r="RPD83" s="2567"/>
      <c r="RPE83" s="2567"/>
      <c r="RPF83" s="2567"/>
      <c r="RPG83" s="2567"/>
      <c r="RPH83" s="2567"/>
      <c r="RPI83" s="2567"/>
      <c r="RPJ83" s="2567"/>
      <c r="RPK83" s="2567"/>
      <c r="RPL83" s="2567"/>
      <c r="RPM83" s="2567"/>
      <c r="RPN83" s="2567"/>
      <c r="RPO83" s="2567"/>
      <c r="RPP83" s="2567"/>
      <c r="RPQ83" s="2567"/>
      <c r="RPR83" s="2567"/>
      <c r="RPS83" s="2567"/>
      <c r="RPT83" s="2567"/>
      <c r="RPU83" s="2567"/>
      <c r="RPV83" s="2567"/>
      <c r="RPW83" s="2567"/>
      <c r="RPX83" s="2567"/>
      <c r="RPY83" s="2567"/>
      <c r="RPZ83" s="2567"/>
      <c r="RQA83" s="2567"/>
      <c r="RQB83" s="2567"/>
      <c r="RQC83" s="2567"/>
      <c r="RQD83" s="2567"/>
      <c r="RQE83" s="2567"/>
      <c r="RQF83" s="2567"/>
      <c r="RQG83" s="2567"/>
      <c r="RQH83" s="2567"/>
      <c r="RQI83" s="2567"/>
      <c r="RQJ83" s="2567"/>
      <c r="RQK83" s="2567"/>
      <c r="RQL83" s="2567"/>
      <c r="RQM83" s="2567"/>
      <c r="RQN83" s="2567"/>
      <c r="RQO83" s="2567"/>
      <c r="RQP83" s="2567"/>
      <c r="RQQ83" s="2567"/>
      <c r="RQR83" s="2567"/>
      <c r="RQS83" s="2567"/>
      <c r="RQT83" s="2567"/>
      <c r="RQU83" s="2567"/>
      <c r="RQV83" s="2567"/>
      <c r="RQW83" s="2567"/>
      <c r="RQX83" s="2567"/>
      <c r="RQY83" s="2567"/>
      <c r="RQZ83" s="2567"/>
      <c r="RRA83" s="2567"/>
      <c r="RRB83" s="2567"/>
      <c r="RRC83" s="2567"/>
      <c r="RRD83" s="2567"/>
      <c r="RRE83" s="2567"/>
      <c r="RRF83" s="2567"/>
      <c r="RRG83" s="2567"/>
      <c r="RRH83" s="2567"/>
      <c r="RRI83" s="2567"/>
      <c r="RRJ83" s="2567"/>
      <c r="RRK83" s="2567"/>
      <c r="RRL83" s="2567"/>
      <c r="RRM83" s="2567"/>
      <c r="RRN83" s="2567"/>
      <c r="RRO83" s="2567"/>
      <c r="RRP83" s="2567"/>
      <c r="RRQ83" s="2567"/>
      <c r="RRR83" s="2567"/>
      <c r="RRS83" s="2567"/>
      <c r="RRT83" s="2567"/>
      <c r="RRU83" s="2567"/>
      <c r="RRV83" s="2567"/>
      <c r="RRW83" s="2567"/>
      <c r="RRX83" s="2567"/>
      <c r="RRY83" s="2567"/>
      <c r="RRZ83" s="2567"/>
      <c r="RSA83" s="2567"/>
      <c r="RSB83" s="2567"/>
      <c r="RSC83" s="2567"/>
      <c r="RSD83" s="2567"/>
      <c r="RSE83" s="2567"/>
      <c r="RSF83" s="2567"/>
      <c r="RSG83" s="2567"/>
      <c r="RSH83" s="2567"/>
      <c r="RSI83" s="2567"/>
      <c r="RSJ83" s="2567"/>
      <c r="RSK83" s="2567"/>
      <c r="RSL83" s="2567"/>
      <c r="RSM83" s="2567"/>
      <c r="RSN83" s="2567"/>
      <c r="RSO83" s="2567"/>
      <c r="RSP83" s="2567"/>
      <c r="RSQ83" s="2567"/>
      <c r="RSR83" s="2567"/>
      <c r="RSS83" s="2567"/>
      <c r="RST83" s="2567"/>
      <c r="RSU83" s="2567"/>
      <c r="RSV83" s="2567"/>
      <c r="RSW83" s="2567"/>
      <c r="RSX83" s="2567"/>
      <c r="RSY83" s="2567"/>
      <c r="RSZ83" s="2567"/>
      <c r="RTA83" s="2567"/>
      <c r="RTB83" s="2567"/>
      <c r="RTC83" s="2567"/>
      <c r="RTD83" s="2567"/>
      <c r="RTE83" s="2567"/>
      <c r="RTF83" s="2567"/>
      <c r="RTG83" s="2567"/>
      <c r="RTH83" s="2567"/>
      <c r="RTI83" s="2567"/>
      <c r="RTJ83" s="2567"/>
      <c r="RTK83" s="2567"/>
      <c r="RTL83" s="2567"/>
      <c r="RTM83" s="2567"/>
      <c r="RTN83" s="2567"/>
      <c r="RTO83" s="2567"/>
      <c r="RTP83" s="2567"/>
      <c r="RTQ83" s="2567"/>
      <c r="RTR83" s="2567"/>
      <c r="RTS83" s="2567"/>
      <c r="RTT83" s="2567"/>
      <c r="RTU83" s="2567"/>
      <c r="RTV83" s="2567"/>
      <c r="RTW83" s="2567"/>
      <c r="RTX83" s="2567"/>
      <c r="RTY83" s="2567"/>
      <c r="RTZ83" s="2567"/>
      <c r="RUA83" s="2567"/>
      <c r="RUB83" s="2567"/>
      <c r="RUC83" s="2567"/>
      <c r="RUD83" s="2567"/>
      <c r="RUE83" s="2567"/>
      <c r="RUF83" s="2567"/>
      <c r="RUG83" s="2567"/>
      <c r="RUH83" s="2567"/>
      <c r="RUI83" s="2567"/>
      <c r="RUJ83" s="2567"/>
      <c r="RUK83" s="2567"/>
      <c r="RUL83" s="2567"/>
      <c r="RUM83" s="2567"/>
      <c r="RUN83" s="2567"/>
      <c r="RUO83" s="2567"/>
      <c r="RUP83" s="2567"/>
      <c r="RUQ83" s="2567"/>
      <c r="RUR83" s="2567"/>
      <c r="RUS83" s="2567"/>
      <c r="RUT83" s="2567"/>
      <c r="RUU83" s="2567"/>
      <c r="RUV83" s="2567"/>
      <c r="RUW83" s="2567"/>
      <c r="RUX83" s="2567"/>
      <c r="RUY83" s="2567"/>
      <c r="RUZ83" s="2567"/>
      <c r="RVA83" s="2567"/>
      <c r="RVB83" s="2567"/>
      <c r="RVC83" s="2567"/>
      <c r="RVD83" s="2567"/>
      <c r="RVE83" s="2567"/>
      <c r="RVF83" s="2567"/>
      <c r="RVG83" s="2567"/>
      <c r="RVH83" s="2567"/>
      <c r="RVI83" s="2567"/>
      <c r="RVJ83" s="2567"/>
      <c r="RVK83" s="2567"/>
      <c r="RVL83" s="2567"/>
      <c r="RVM83" s="2567"/>
      <c r="RVN83" s="2567"/>
      <c r="RVO83" s="2567"/>
      <c r="RVP83" s="2567"/>
      <c r="RVQ83" s="2567"/>
      <c r="RVR83" s="2567"/>
      <c r="RVS83" s="2567"/>
      <c r="RVT83" s="2567"/>
      <c r="RVU83" s="2567"/>
      <c r="RVV83" s="2567"/>
      <c r="RVW83" s="2567"/>
      <c r="RVX83" s="2567"/>
      <c r="RVY83" s="2567"/>
      <c r="RVZ83" s="2567"/>
      <c r="RWA83" s="2567"/>
      <c r="RWB83" s="2567"/>
      <c r="RWC83" s="2567"/>
      <c r="RWD83" s="2567"/>
      <c r="RWE83" s="2567"/>
      <c r="RWF83" s="2567"/>
      <c r="RWG83" s="2567"/>
      <c r="RWH83" s="2567"/>
      <c r="RWI83" s="2567"/>
      <c r="RWJ83" s="2567"/>
      <c r="RWK83" s="2567"/>
      <c r="RWL83" s="2567"/>
      <c r="RWM83" s="2567"/>
      <c r="RWN83" s="2567"/>
      <c r="RWO83" s="2567"/>
      <c r="RWP83" s="2567"/>
      <c r="RWQ83" s="2567"/>
      <c r="RWR83" s="2567"/>
      <c r="RWS83" s="2567"/>
      <c r="RWT83" s="2567"/>
      <c r="RWU83" s="2567"/>
      <c r="RWV83" s="2567"/>
      <c r="RWW83" s="2567"/>
      <c r="RWX83" s="2567"/>
      <c r="RWY83" s="2567"/>
      <c r="RWZ83" s="2567"/>
      <c r="RXA83" s="2567"/>
      <c r="RXB83" s="2567"/>
      <c r="RXC83" s="2567"/>
      <c r="RXD83" s="2567"/>
      <c r="RXE83" s="2567"/>
      <c r="RXF83" s="2567"/>
      <c r="RXG83" s="2567"/>
      <c r="RXH83" s="2567"/>
      <c r="RXI83" s="2567"/>
      <c r="RXJ83" s="2567"/>
      <c r="RXK83" s="2567"/>
      <c r="RXL83" s="2567"/>
      <c r="RXM83" s="2567"/>
      <c r="RXN83" s="2567"/>
      <c r="RXO83" s="2567"/>
      <c r="RXP83" s="2567"/>
      <c r="RXQ83" s="2567"/>
      <c r="RXR83" s="2567"/>
      <c r="RXS83" s="2567"/>
      <c r="RXT83" s="2567"/>
      <c r="RXU83" s="2567"/>
      <c r="RXV83" s="2567"/>
      <c r="RXW83" s="2567"/>
      <c r="RXX83" s="2567"/>
      <c r="RXY83" s="2567"/>
      <c r="RXZ83" s="2567"/>
      <c r="RYA83" s="2567"/>
      <c r="RYB83" s="2567"/>
      <c r="RYC83" s="2567"/>
      <c r="RYD83" s="2567"/>
      <c r="RYE83" s="2567"/>
      <c r="RYF83" s="2567"/>
      <c r="RYG83" s="2567"/>
      <c r="RYH83" s="2567"/>
      <c r="RYI83" s="2567"/>
      <c r="RYJ83" s="2567"/>
      <c r="RYK83" s="2567"/>
      <c r="RYL83" s="2567"/>
      <c r="RYM83" s="2567"/>
      <c r="RYN83" s="2567"/>
      <c r="RYO83" s="2567"/>
      <c r="RYP83" s="2567"/>
      <c r="RYQ83" s="2567"/>
      <c r="RYR83" s="2567"/>
      <c r="RYS83" s="2567"/>
      <c r="RYT83" s="2567"/>
      <c r="RYU83" s="2567"/>
      <c r="RYV83" s="2567"/>
      <c r="RYW83" s="2567"/>
      <c r="RYX83" s="2567"/>
      <c r="RYY83" s="2567"/>
      <c r="RYZ83" s="2567"/>
      <c r="RZA83" s="2567"/>
      <c r="RZB83" s="2567"/>
      <c r="RZC83" s="2567"/>
      <c r="RZD83" s="2567"/>
      <c r="RZE83" s="2567"/>
      <c r="RZF83" s="2567"/>
      <c r="RZG83" s="2567"/>
      <c r="RZH83" s="2567"/>
      <c r="RZI83" s="2567"/>
      <c r="RZJ83" s="2567"/>
      <c r="RZK83" s="2567"/>
      <c r="RZL83" s="2567"/>
      <c r="RZM83" s="2567"/>
      <c r="RZN83" s="2567"/>
      <c r="RZO83" s="2567"/>
      <c r="RZP83" s="2567"/>
      <c r="RZQ83" s="2567"/>
      <c r="RZR83" s="2567"/>
      <c r="RZS83" s="2567"/>
      <c r="RZT83" s="2567"/>
      <c r="RZU83" s="2567"/>
      <c r="RZV83" s="2567"/>
      <c r="RZW83" s="2567"/>
      <c r="RZX83" s="2567"/>
      <c r="RZY83" s="2567"/>
      <c r="RZZ83" s="2567"/>
      <c r="SAA83" s="2567"/>
      <c r="SAB83" s="2567"/>
      <c r="SAC83" s="2567"/>
      <c r="SAD83" s="2567"/>
      <c r="SAE83" s="2567"/>
      <c r="SAF83" s="2567"/>
      <c r="SAG83" s="2567"/>
      <c r="SAH83" s="2567"/>
      <c r="SAI83" s="2567"/>
      <c r="SAJ83" s="2567"/>
      <c r="SAK83" s="2567"/>
      <c r="SAL83" s="2567"/>
      <c r="SAM83" s="2567"/>
      <c r="SAN83" s="2567"/>
      <c r="SAO83" s="2567"/>
      <c r="SAP83" s="2567"/>
      <c r="SAQ83" s="2567"/>
      <c r="SAR83" s="2567"/>
      <c r="SAS83" s="2567"/>
      <c r="SAT83" s="2567"/>
      <c r="SAU83" s="2567"/>
      <c r="SAV83" s="2567"/>
      <c r="SAW83" s="2567"/>
      <c r="SAX83" s="2567"/>
      <c r="SAY83" s="2567"/>
      <c r="SAZ83" s="2567"/>
      <c r="SBA83" s="2567"/>
      <c r="SBB83" s="2567"/>
      <c r="SBC83" s="2567"/>
      <c r="SBD83" s="2567"/>
      <c r="SBE83" s="2567"/>
      <c r="SBF83" s="2567"/>
      <c r="SBG83" s="2567"/>
      <c r="SBH83" s="2567"/>
      <c r="SBI83" s="2567"/>
      <c r="SBJ83" s="2567"/>
      <c r="SBK83" s="2567"/>
      <c r="SBL83" s="2567"/>
      <c r="SBM83" s="2567"/>
      <c r="SBN83" s="2567"/>
      <c r="SBO83" s="2567"/>
      <c r="SBP83" s="2567"/>
      <c r="SBQ83" s="2567"/>
      <c r="SBR83" s="2567"/>
      <c r="SBS83" s="2567"/>
      <c r="SBT83" s="2567"/>
      <c r="SBU83" s="2567"/>
      <c r="SBV83" s="2567"/>
      <c r="SBW83" s="2567"/>
      <c r="SBX83" s="2567"/>
      <c r="SBY83" s="2567"/>
      <c r="SBZ83" s="2567"/>
      <c r="SCA83" s="2567"/>
      <c r="SCB83" s="2567"/>
      <c r="SCC83" s="2567"/>
      <c r="SCD83" s="2567"/>
      <c r="SCE83" s="2567"/>
      <c r="SCF83" s="2567"/>
      <c r="SCG83" s="2567"/>
      <c r="SCH83" s="2567"/>
      <c r="SCI83" s="2567"/>
      <c r="SCJ83" s="2567"/>
      <c r="SCK83" s="2567"/>
      <c r="SCL83" s="2567"/>
      <c r="SCM83" s="2567"/>
      <c r="SCN83" s="2567"/>
      <c r="SCO83" s="2567"/>
      <c r="SCP83" s="2567"/>
      <c r="SCQ83" s="2567"/>
      <c r="SCR83" s="2567"/>
      <c r="SCS83" s="2567"/>
      <c r="SCT83" s="2567"/>
      <c r="SCU83" s="2567"/>
      <c r="SCV83" s="2567"/>
      <c r="SCW83" s="2567"/>
      <c r="SCX83" s="2567"/>
      <c r="SCY83" s="2567"/>
      <c r="SCZ83" s="2567"/>
      <c r="SDA83" s="2567"/>
      <c r="SDB83" s="2567"/>
      <c r="SDC83" s="2567"/>
      <c r="SDD83" s="2567"/>
      <c r="SDE83" s="2567"/>
      <c r="SDF83" s="2567"/>
      <c r="SDG83" s="2567"/>
      <c r="SDH83" s="2567"/>
      <c r="SDI83" s="2567"/>
      <c r="SDJ83" s="2567"/>
      <c r="SDK83" s="2567"/>
      <c r="SDL83" s="2567"/>
      <c r="SDM83" s="2567"/>
      <c r="SDN83" s="2567"/>
      <c r="SDO83" s="2567"/>
      <c r="SDP83" s="2567"/>
      <c r="SDQ83" s="2567"/>
      <c r="SDR83" s="2567"/>
      <c r="SDS83" s="2567"/>
      <c r="SDT83" s="2567"/>
      <c r="SDU83" s="2567"/>
      <c r="SDV83" s="2567"/>
      <c r="SDW83" s="2567"/>
      <c r="SDX83" s="2567"/>
      <c r="SDY83" s="2567"/>
      <c r="SDZ83" s="2567"/>
      <c r="SEA83" s="2567"/>
      <c r="SEB83" s="2567"/>
      <c r="SEC83" s="2567"/>
      <c r="SED83" s="2567"/>
      <c r="SEE83" s="2567"/>
      <c r="SEF83" s="2567"/>
      <c r="SEG83" s="2567"/>
      <c r="SEH83" s="2567"/>
      <c r="SEI83" s="2567"/>
      <c r="SEJ83" s="2567"/>
      <c r="SEK83" s="2567"/>
      <c r="SEL83" s="2567"/>
      <c r="SEM83" s="2567"/>
      <c r="SEN83" s="2567"/>
      <c r="SEO83" s="2567"/>
      <c r="SEP83" s="2567"/>
      <c r="SEQ83" s="2567"/>
      <c r="SER83" s="2567"/>
      <c r="SES83" s="2567"/>
      <c r="SET83" s="2567"/>
      <c r="SEU83" s="2567"/>
      <c r="SEV83" s="2567"/>
      <c r="SEW83" s="2567"/>
      <c r="SEX83" s="2567"/>
      <c r="SEY83" s="2567"/>
      <c r="SEZ83" s="2567"/>
      <c r="SFA83" s="2567"/>
      <c r="SFB83" s="2567"/>
      <c r="SFC83" s="2567"/>
      <c r="SFD83" s="2567"/>
      <c r="SFE83" s="2567"/>
      <c r="SFF83" s="2567"/>
      <c r="SFG83" s="2567"/>
      <c r="SFH83" s="2567"/>
      <c r="SFI83" s="2567"/>
      <c r="SFJ83" s="2567"/>
      <c r="SFK83" s="2567"/>
      <c r="SFL83" s="2567"/>
      <c r="SFM83" s="2567"/>
      <c r="SFN83" s="2567"/>
      <c r="SFO83" s="2567"/>
      <c r="SFP83" s="2567"/>
      <c r="SFQ83" s="2567"/>
      <c r="SFR83" s="2567"/>
      <c r="SFS83" s="2567"/>
      <c r="SFT83" s="2567"/>
      <c r="SFU83" s="2567"/>
      <c r="SFV83" s="2567"/>
      <c r="SFW83" s="2567"/>
      <c r="SFX83" s="2567"/>
      <c r="SFY83" s="2567"/>
      <c r="SFZ83" s="2567"/>
      <c r="SGA83" s="2567"/>
      <c r="SGB83" s="2567"/>
      <c r="SGC83" s="2567"/>
      <c r="SGD83" s="2567"/>
      <c r="SGE83" s="2567"/>
      <c r="SGF83" s="2567"/>
      <c r="SGG83" s="2567"/>
      <c r="SGH83" s="2567"/>
      <c r="SGI83" s="2567"/>
      <c r="SGJ83" s="2567"/>
      <c r="SGK83" s="2567"/>
      <c r="SGL83" s="2567"/>
      <c r="SGM83" s="2567"/>
      <c r="SGN83" s="2567"/>
      <c r="SGO83" s="2567"/>
      <c r="SGP83" s="2567"/>
      <c r="SGQ83" s="2567"/>
      <c r="SGR83" s="2567"/>
      <c r="SGS83" s="2567"/>
      <c r="SGT83" s="2567"/>
      <c r="SGU83" s="2567"/>
      <c r="SGV83" s="2567"/>
      <c r="SGW83" s="2567"/>
      <c r="SGX83" s="2567"/>
      <c r="SGY83" s="2567"/>
      <c r="SGZ83" s="2567"/>
      <c r="SHA83" s="2567"/>
      <c r="SHB83" s="2567"/>
      <c r="SHC83" s="2567"/>
      <c r="SHD83" s="2567"/>
      <c r="SHE83" s="2567"/>
      <c r="SHF83" s="2567"/>
      <c r="SHG83" s="2567"/>
      <c r="SHH83" s="2567"/>
      <c r="SHI83" s="2567"/>
      <c r="SHJ83" s="2567"/>
      <c r="SHK83" s="2567"/>
      <c r="SHL83" s="2567"/>
      <c r="SHM83" s="2567"/>
      <c r="SHN83" s="2567"/>
      <c r="SHO83" s="2567"/>
      <c r="SHP83" s="2567"/>
      <c r="SHQ83" s="2567"/>
      <c r="SHR83" s="2567"/>
      <c r="SHS83" s="2567"/>
      <c r="SHT83" s="2567"/>
      <c r="SHU83" s="2567"/>
      <c r="SHV83" s="2567"/>
      <c r="SHW83" s="2567"/>
      <c r="SHX83" s="2567"/>
      <c r="SHY83" s="2567"/>
      <c r="SHZ83" s="2567"/>
      <c r="SIA83" s="2567"/>
      <c r="SIB83" s="2567"/>
      <c r="SIC83" s="2567"/>
      <c r="SID83" s="2567"/>
      <c r="SIE83" s="2567"/>
      <c r="SIF83" s="2567"/>
      <c r="SIG83" s="2567"/>
      <c r="SIH83" s="2567"/>
      <c r="SII83" s="2567"/>
      <c r="SIJ83" s="2567"/>
      <c r="SIK83" s="2567"/>
      <c r="SIL83" s="2567"/>
      <c r="SIM83" s="2567"/>
      <c r="SIN83" s="2567"/>
      <c r="SIO83" s="2567"/>
      <c r="SIP83" s="2567"/>
      <c r="SIQ83" s="2567"/>
      <c r="SIR83" s="2567"/>
      <c r="SIS83" s="2567"/>
      <c r="SIT83" s="2567"/>
      <c r="SIU83" s="2567"/>
      <c r="SIV83" s="2567"/>
      <c r="SIW83" s="2567"/>
      <c r="SIX83" s="2567"/>
      <c r="SIY83" s="2567"/>
      <c r="SIZ83" s="2567"/>
      <c r="SJA83" s="2567"/>
      <c r="SJB83" s="2567"/>
      <c r="SJC83" s="2567"/>
      <c r="SJD83" s="2567"/>
      <c r="SJE83" s="2567"/>
      <c r="SJF83" s="2567"/>
      <c r="SJG83" s="2567"/>
      <c r="SJH83" s="2567"/>
      <c r="SJI83" s="2567"/>
      <c r="SJJ83" s="2567"/>
      <c r="SJK83" s="2567"/>
      <c r="SJL83" s="2567"/>
      <c r="SJM83" s="2567"/>
      <c r="SJN83" s="2567"/>
      <c r="SJO83" s="2567"/>
      <c r="SJP83" s="2567"/>
      <c r="SJQ83" s="2567"/>
      <c r="SJR83" s="2567"/>
      <c r="SJS83" s="2567"/>
      <c r="SJT83" s="2567"/>
      <c r="SJU83" s="2567"/>
      <c r="SJV83" s="2567"/>
      <c r="SJW83" s="2567"/>
      <c r="SJX83" s="2567"/>
      <c r="SJY83" s="2567"/>
      <c r="SJZ83" s="2567"/>
      <c r="SKA83" s="2567"/>
      <c r="SKB83" s="2567"/>
      <c r="SKC83" s="2567"/>
      <c r="SKD83" s="2567"/>
      <c r="SKE83" s="2567"/>
      <c r="SKF83" s="2567"/>
      <c r="SKG83" s="2567"/>
      <c r="SKH83" s="2567"/>
      <c r="SKI83" s="2567"/>
      <c r="SKJ83" s="2567"/>
      <c r="SKK83" s="2567"/>
      <c r="SKL83" s="2567"/>
      <c r="SKM83" s="2567"/>
      <c r="SKN83" s="2567"/>
      <c r="SKO83" s="2567"/>
      <c r="SKP83" s="2567"/>
      <c r="SKQ83" s="2567"/>
      <c r="SKR83" s="2567"/>
      <c r="SKS83" s="2567"/>
      <c r="SKT83" s="2567"/>
      <c r="SKU83" s="2567"/>
      <c r="SKV83" s="2567"/>
      <c r="SKW83" s="2567"/>
      <c r="SKX83" s="2567"/>
      <c r="SKY83" s="2567"/>
      <c r="SKZ83" s="2567"/>
      <c r="SLA83" s="2567"/>
      <c r="SLB83" s="2567"/>
      <c r="SLC83" s="2567"/>
      <c r="SLD83" s="2567"/>
      <c r="SLE83" s="2567"/>
      <c r="SLF83" s="2567"/>
      <c r="SLG83" s="2567"/>
      <c r="SLH83" s="2567"/>
      <c r="SLI83" s="2567"/>
      <c r="SLJ83" s="2567"/>
      <c r="SLK83" s="2567"/>
      <c r="SLL83" s="2567"/>
      <c r="SLM83" s="2567"/>
      <c r="SLN83" s="2567"/>
      <c r="SLO83" s="2567"/>
      <c r="SLP83" s="2567"/>
      <c r="SLQ83" s="2567"/>
      <c r="SLR83" s="2567"/>
      <c r="SLS83" s="2567"/>
      <c r="SLT83" s="2567"/>
      <c r="SLU83" s="2567"/>
      <c r="SLV83" s="2567"/>
      <c r="SLW83" s="2567"/>
      <c r="SLX83" s="2567"/>
      <c r="SLY83" s="2567"/>
      <c r="SLZ83" s="2567"/>
      <c r="SMA83" s="2567"/>
      <c r="SMB83" s="2567"/>
      <c r="SMC83" s="2567"/>
      <c r="SMD83" s="2567"/>
      <c r="SME83" s="2567"/>
      <c r="SMF83" s="2567"/>
      <c r="SMG83" s="2567"/>
      <c r="SMH83" s="2567"/>
      <c r="SMI83" s="2567"/>
      <c r="SMJ83" s="2567"/>
      <c r="SMK83" s="2567"/>
      <c r="SML83" s="2567"/>
      <c r="SMM83" s="2567"/>
      <c r="SMN83" s="2567"/>
      <c r="SMO83" s="2567"/>
      <c r="SMP83" s="2567"/>
      <c r="SMQ83" s="2567"/>
      <c r="SMR83" s="2567"/>
      <c r="SMS83" s="2567"/>
      <c r="SMT83" s="2567"/>
      <c r="SMU83" s="2567"/>
      <c r="SMV83" s="2567"/>
      <c r="SMW83" s="2567"/>
      <c r="SMX83" s="2567"/>
      <c r="SMY83" s="2567"/>
      <c r="SMZ83" s="2567"/>
      <c r="SNA83" s="2567"/>
      <c r="SNB83" s="2567"/>
      <c r="SNC83" s="2567"/>
      <c r="SND83" s="2567"/>
      <c r="SNE83" s="2567"/>
      <c r="SNF83" s="2567"/>
      <c r="SNG83" s="2567"/>
      <c r="SNH83" s="2567"/>
      <c r="SNI83" s="2567"/>
      <c r="SNJ83" s="2567"/>
      <c r="SNK83" s="2567"/>
      <c r="SNL83" s="2567"/>
      <c r="SNM83" s="2567"/>
      <c r="SNN83" s="2567"/>
      <c r="SNO83" s="2567"/>
      <c r="SNP83" s="2567"/>
      <c r="SNQ83" s="2567"/>
      <c r="SNR83" s="2567"/>
      <c r="SNS83" s="2567"/>
      <c r="SNT83" s="2567"/>
      <c r="SNU83" s="2567"/>
      <c r="SNV83" s="2567"/>
      <c r="SNW83" s="2567"/>
      <c r="SNX83" s="2567"/>
      <c r="SNY83" s="2567"/>
      <c r="SNZ83" s="2567"/>
      <c r="SOA83" s="2567"/>
      <c r="SOB83" s="2567"/>
      <c r="SOC83" s="2567"/>
      <c r="SOD83" s="2567"/>
      <c r="SOE83" s="2567"/>
      <c r="SOF83" s="2567"/>
      <c r="SOG83" s="2567"/>
      <c r="SOH83" s="2567"/>
      <c r="SOI83" s="2567"/>
      <c r="SOJ83" s="2567"/>
      <c r="SOK83" s="2567"/>
      <c r="SOL83" s="2567"/>
      <c r="SOM83" s="2567"/>
      <c r="SON83" s="2567"/>
      <c r="SOO83" s="2567"/>
      <c r="SOP83" s="2567"/>
      <c r="SOQ83" s="2567"/>
      <c r="SOR83" s="2567"/>
      <c r="SOS83" s="2567"/>
      <c r="SOT83" s="2567"/>
      <c r="SOU83" s="2567"/>
      <c r="SOV83" s="2567"/>
      <c r="SOW83" s="2567"/>
      <c r="SOX83" s="2567"/>
      <c r="SOY83" s="2567"/>
      <c r="SOZ83" s="2567"/>
      <c r="SPA83" s="2567"/>
      <c r="SPB83" s="2567"/>
      <c r="SPC83" s="2567"/>
      <c r="SPD83" s="2567"/>
      <c r="SPE83" s="2567"/>
      <c r="SPF83" s="2567"/>
      <c r="SPG83" s="2567"/>
      <c r="SPH83" s="2567"/>
      <c r="SPI83" s="2567"/>
      <c r="SPJ83" s="2567"/>
      <c r="SPK83" s="2567"/>
      <c r="SPL83" s="2567"/>
      <c r="SPM83" s="2567"/>
      <c r="SPN83" s="2567"/>
      <c r="SPO83" s="2567"/>
      <c r="SPP83" s="2567"/>
      <c r="SPQ83" s="2567"/>
      <c r="SPR83" s="2567"/>
      <c r="SPS83" s="2567"/>
      <c r="SPT83" s="2567"/>
      <c r="SPU83" s="2567"/>
      <c r="SPV83" s="2567"/>
      <c r="SPW83" s="2567"/>
      <c r="SPX83" s="2567"/>
      <c r="SPY83" s="2567"/>
      <c r="SPZ83" s="2567"/>
      <c r="SQA83" s="2567"/>
      <c r="SQB83" s="2567"/>
      <c r="SQC83" s="2567"/>
      <c r="SQD83" s="2567"/>
      <c r="SQE83" s="2567"/>
      <c r="SQF83" s="2567"/>
      <c r="SQG83" s="2567"/>
      <c r="SQH83" s="2567"/>
      <c r="SQI83" s="2567"/>
      <c r="SQJ83" s="2567"/>
      <c r="SQK83" s="2567"/>
      <c r="SQL83" s="2567"/>
      <c r="SQM83" s="2567"/>
      <c r="SQN83" s="2567"/>
      <c r="SQO83" s="2567"/>
      <c r="SQP83" s="2567"/>
      <c r="SQQ83" s="2567"/>
      <c r="SQR83" s="2567"/>
      <c r="SQS83" s="2567"/>
      <c r="SQT83" s="2567"/>
      <c r="SQU83" s="2567"/>
      <c r="SQV83" s="2567"/>
      <c r="SQW83" s="2567"/>
      <c r="SQX83" s="2567"/>
      <c r="SQY83" s="2567"/>
      <c r="SQZ83" s="2567"/>
      <c r="SRA83" s="2567"/>
      <c r="SRB83" s="2567"/>
      <c r="SRC83" s="2567"/>
      <c r="SRD83" s="2567"/>
      <c r="SRE83" s="2567"/>
      <c r="SRF83" s="2567"/>
      <c r="SRG83" s="2567"/>
      <c r="SRH83" s="2567"/>
      <c r="SRI83" s="2567"/>
      <c r="SRJ83" s="2567"/>
      <c r="SRK83" s="2567"/>
      <c r="SRL83" s="2567"/>
      <c r="SRM83" s="2567"/>
      <c r="SRN83" s="2567"/>
      <c r="SRO83" s="2567"/>
      <c r="SRP83" s="2567"/>
      <c r="SRQ83" s="2567"/>
      <c r="SRR83" s="2567"/>
      <c r="SRS83" s="2567"/>
      <c r="SRT83" s="2567"/>
      <c r="SRU83" s="2567"/>
      <c r="SRV83" s="2567"/>
      <c r="SRW83" s="2567"/>
      <c r="SRX83" s="2567"/>
      <c r="SRY83" s="2567"/>
      <c r="SRZ83" s="2567"/>
      <c r="SSA83" s="2567"/>
      <c r="SSB83" s="2567"/>
      <c r="SSC83" s="2567"/>
      <c r="SSD83" s="2567"/>
      <c r="SSE83" s="2567"/>
      <c r="SSF83" s="2567"/>
      <c r="SSG83" s="2567"/>
      <c r="SSH83" s="2567"/>
      <c r="SSI83" s="2567"/>
      <c r="SSJ83" s="2567"/>
      <c r="SSK83" s="2567"/>
      <c r="SSL83" s="2567"/>
      <c r="SSM83" s="2567"/>
      <c r="SSN83" s="2567"/>
      <c r="SSO83" s="2567"/>
      <c r="SSP83" s="2567"/>
      <c r="SSQ83" s="2567"/>
      <c r="SSR83" s="2567"/>
      <c r="SSS83" s="2567"/>
      <c r="SST83" s="2567"/>
      <c r="SSU83" s="2567"/>
      <c r="SSV83" s="2567"/>
      <c r="SSW83" s="2567"/>
      <c r="SSX83" s="2567"/>
      <c r="SSY83" s="2567"/>
      <c r="SSZ83" s="2567"/>
      <c r="STA83" s="2567"/>
      <c r="STB83" s="2567"/>
      <c r="STC83" s="2567"/>
      <c r="STD83" s="2567"/>
      <c r="STE83" s="2567"/>
      <c r="STF83" s="2567"/>
      <c r="STG83" s="2567"/>
      <c r="STH83" s="2567"/>
      <c r="STI83" s="2567"/>
      <c r="STJ83" s="2567"/>
      <c r="STK83" s="2567"/>
      <c r="STL83" s="2567"/>
      <c r="STM83" s="2567"/>
      <c r="STN83" s="2567"/>
      <c r="STO83" s="2567"/>
      <c r="STP83" s="2567"/>
      <c r="STQ83" s="2567"/>
      <c r="STR83" s="2567"/>
      <c r="STS83" s="2567"/>
      <c r="STT83" s="2567"/>
      <c r="STU83" s="2567"/>
      <c r="STV83" s="2567"/>
      <c r="STW83" s="2567"/>
      <c r="STX83" s="2567"/>
      <c r="STY83" s="2567"/>
      <c r="STZ83" s="2567"/>
      <c r="SUA83" s="2567"/>
      <c r="SUB83" s="2567"/>
      <c r="SUC83" s="2567"/>
      <c r="SUD83" s="2567"/>
      <c r="SUE83" s="2567"/>
      <c r="SUF83" s="2567"/>
      <c r="SUG83" s="2567"/>
      <c r="SUH83" s="2567"/>
      <c r="SUI83" s="2567"/>
      <c r="SUJ83" s="2567"/>
      <c r="SUK83" s="2567"/>
      <c r="SUL83" s="2567"/>
      <c r="SUM83" s="2567"/>
      <c r="SUN83" s="2567"/>
      <c r="SUO83" s="2567"/>
      <c r="SUP83" s="2567"/>
      <c r="SUQ83" s="2567"/>
      <c r="SUR83" s="2567"/>
      <c r="SUS83" s="2567"/>
      <c r="SUT83" s="2567"/>
      <c r="SUU83" s="2567"/>
      <c r="SUV83" s="2567"/>
      <c r="SUW83" s="2567"/>
      <c r="SUX83" s="2567"/>
      <c r="SUY83" s="2567"/>
      <c r="SUZ83" s="2567"/>
      <c r="SVA83" s="2567"/>
      <c r="SVB83" s="2567"/>
      <c r="SVC83" s="2567"/>
      <c r="SVD83" s="2567"/>
      <c r="SVE83" s="2567"/>
      <c r="SVF83" s="2567"/>
      <c r="SVG83" s="2567"/>
      <c r="SVH83" s="2567"/>
      <c r="SVI83" s="2567"/>
      <c r="SVJ83" s="2567"/>
      <c r="SVK83" s="2567"/>
      <c r="SVL83" s="2567"/>
      <c r="SVM83" s="2567"/>
      <c r="SVN83" s="2567"/>
      <c r="SVO83" s="2567"/>
      <c r="SVP83" s="2567"/>
      <c r="SVQ83" s="2567"/>
      <c r="SVR83" s="2567"/>
      <c r="SVS83" s="2567"/>
      <c r="SVT83" s="2567"/>
      <c r="SVU83" s="2567"/>
      <c r="SVV83" s="2567"/>
      <c r="SVW83" s="2567"/>
      <c r="SVX83" s="2567"/>
      <c r="SVY83" s="2567"/>
      <c r="SVZ83" s="2567"/>
      <c r="SWA83" s="2567"/>
      <c r="SWB83" s="2567"/>
      <c r="SWC83" s="2567"/>
      <c r="SWD83" s="2567"/>
      <c r="SWE83" s="2567"/>
      <c r="SWF83" s="2567"/>
      <c r="SWG83" s="2567"/>
      <c r="SWH83" s="2567"/>
      <c r="SWI83" s="2567"/>
      <c r="SWJ83" s="2567"/>
      <c r="SWK83" s="2567"/>
      <c r="SWL83" s="2567"/>
      <c r="SWM83" s="2567"/>
      <c r="SWN83" s="2567"/>
      <c r="SWO83" s="2567"/>
      <c r="SWP83" s="2567"/>
      <c r="SWQ83" s="2567"/>
      <c r="SWR83" s="2567"/>
      <c r="SWS83" s="2567"/>
      <c r="SWT83" s="2567"/>
      <c r="SWU83" s="2567"/>
      <c r="SWV83" s="2567"/>
      <c r="SWW83" s="2567"/>
      <c r="SWX83" s="2567"/>
      <c r="SWY83" s="2567"/>
      <c r="SWZ83" s="2567"/>
      <c r="SXA83" s="2567"/>
      <c r="SXB83" s="2567"/>
      <c r="SXC83" s="2567"/>
      <c r="SXD83" s="2567"/>
      <c r="SXE83" s="2567"/>
      <c r="SXF83" s="2567"/>
      <c r="SXG83" s="2567"/>
      <c r="SXH83" s="2567"/>
      <c r="SXI83" s="2567"/>
      <c r="SXJ83" s="2567"/>
      <c r="SXK83" s="2567"/>
      <c r="SXL83" s="2567"/>
      <c r="SXM83" s="2567"/>
      <c r="SXN83" s="2567"/>
      <c r="SXO83" s="2567"/>
      <c r="SXP83" s="2567"/>
      <c r="SXQ83" s="2567"/>
      <c r="SXR83" s="2567"/>
      <c r="SXS83" s="2567"/>
      <c r="SXT83" s="2567"/>
      <c r="SXU83" s="2567"/>
      <c r="SXV83" s="2567"/>
      <c r="SXW83" s="2567"/>
      <c r="SXX83" s="2567"/>
      <c r="SXY83" s="2567"/>
      <c r="SXZ83" s="2567"/>
      <c r="SYA83" s="2567"/>
      <c r="SYB83" s="2567"/>
      <c r="SYC83" s="2567"/>
      <c r="SYD83" s="2567"/>
      <c r="SYE83" s="2567"/>
      <c r="SYF83" s="2567"/>
      <c r="SYG83" s="2567"/>
      <c r="SYH83" s="2567"/>
      <c r="SYI83" s="2567"/>
      <c r="SYJ83" s="2567"/>
      <c r="SYK83" s="2567"/>
      <c r="SYL83" s="2567"/>
      <c r="SYM83" s="2567"/>
      <c r="SYN83" s="2567"/>
      <c r="SYO83" s="2567"/>
      <c r="SYP83" s="2567"/>
      <c r="SYQ83" s="2567"/>
      <c r="SYR83" s="2567"/>
      <c r="SYS83" s="2567"/>
      <c r="SYT83" s="2567"/>
      <c r="SYU83" s="2567"/>
      <c r="SYV83" s="2567"/>
      <c r="SYW83" s="2567"/>
      <c r="SYX83" s="2567"/>
      <c r="SYY83" s="2567"/>
      <c r="SYZ83" s="2567"/>
      <c r="SZA83" s="2567"/>
      <c r="SZB83" s="2567"/>
      <c r="SZC83" s="2567"/>
      <c r="SZD83" s="2567"/>
      <c r="SZE83" s="2567"/>
      <c r="SZF83" s="2567"/>
      <c r="SZG83" s="2567"/>
      <c r="SZH83" s="2567"/>
      <c r="SZI83" s="2567"/>
      <c r="SZJ83" s="2567"/>
      <c r="SZK83" s="2567"/>
      <c r="SZL83" s="2567"/>
      <c r="SZM83" s="2567"/>
      <c r="SZN83" s="2567"/>
      <c r="SZO83" s="2567"/>
      <c r="SZP83" s="2567"/>
      <c r="SZQ83" s="2567"/>
      <c r="SZR83" s="2567"/>
      <c r="SZS83" s="2567"/>
      <c r="SZT83" s="2567"/>
      <c r="SZU83" s="2567"/>
      <c r="SZV83" s="2567"/>
      <c r="SZW83" s="2567"/>
      <c r="SZX83" s="2567"/>
      <c r="SZY83" s="2567"/>
      <c r="SZZ83" s="2567"/>
      <c r="TAA83" s="2567"/>
      <c r="TAB83" s="2567"/>
      <c r="TAC83" s="2567"/>
      <c r="TAD83" s="2567"/>
      <c r="TAE83" s="2567"/>
      <c r="TAF83" s="2567"/>
      <c r="TAG83" s="2567"/>
      <c r="TAH83" s="2567"/>
      <c r="TAI83" s="2567"/>
      <c r="TAJ83" s="2567"/>
      <c r="TAK83" s="2567"/>
      <c r="TAL83" s="2567"/>
      <c r="TAM83" s="2567"/>
      <c r="TAN83" s="2567"/>
      <c r="TAO83" s="2567"/>
      <c r="TAP83" s="2567"/>
      <c r="TAQ83" s="2567"/>
      <c r="TAR83" s="2567"/>
      <c r="TAS83" s="2567"/>
      <c r="TAT83" s="2567"/>
      <c r="TAU83" s="2567"/>
      <c r="TAV83" s="2567"/>
      <c r="TAW83" s="2567"/>
      <c r="TAX83" s="2567"/>
      <c r="TAY83" s="2567"/>
      <c r="TAZ83" s="2567"/>
      <c r="TBA83" s="2567"/>
      <c r="TBB83" s="2567"/>
      <c r="TBC83" s="2567"/>
      <c r="TBD83" s="2567"/>
      <c r="TBE83" s="2567"/>
      <c r="TBF83" s="2567"/>
      <c r="TBG83" s="2567"/>
      <c r="TBH83" s="2567"/>
      <c r="TBI83" s="2567"/>
      <c r="TBJ83" s="2567"/>
      <c r="TBK83" s="2567"/>
      <c r="TBL83" s="2567"/>
      <c r="TBM83" s="2567"/>
      <c r="TBN83" s="2567"/>
      <c r="TBO83" s="2567"/>
      <c r="TBP83" s="2567"/>
      <c r="TBQ83" s="2567"/>
      <c r="TBR83" s="2567"/>
      <c r="TBS83" s="2567"/>
      <c r="TBT83" s="2567"/>
      <c r="TBU83" s="2567"/>
      <c r="TBV83" s="2567"/>
      <c r="TBW83" s="2567"/>
      <c r="TBX83" s="2567"/>
      <c r="TBY83" s="2567"/>
      <c r="TBZ83" s="2567"/>
      <c r="TCA83" s="2567"/>
      <c r="TCB83" s="2567"/>
      <c r="TCC83" s="2567"/>
      <c r="TCD83" s="2567"/>
      <c r="TCE83" s="2567"/>
      <c r="TCF83" s="2567"/>
      <c r="TCG83" s="2567"/>
      <c r="TCH83" s="2567"/>
      <c r="TCI83" s="2567"/>
      <c r="TCJ83" s="2567"/>
      <c r="TCK83" s="2567"/>
      <c r="TCL83" s="2567"/>
      <c r="TCM83" s="2567"/>
      <c r="TCN83" s="2567"/>
      <c r="TCO83" s="2567"/>
      <c r="TCP83" s="2567"/>
      <c r="TCQ83" s="2567"/>
      <c r="TCR83" s="2567"/>
      <c r="TCS83" s="2567"/>
      <c r="TCT83" s="2567"/>
      <c r="TCU83" s="2567"/>
      <c r="TCV83" s="2567"/>
      <c r="TCW83" s="2567"/>
      <c r="TCX83" s="2567"/>
      <c r="TCY83" s="2567"/>
      <c r="TCZ83" s="2567"/>
      <c r="TDA83" s="2567"/>
      <c r="TDB83" s="2567"/>
      <c r="TDC83" s="2567"/>
      <c r="TDD83" s="2567"/>
      <c r="TDE83" s="2567"/>
      <c r="TDF83" s="2567"/>
      <c r="TDG83" s="2567"/>
      <c r="TDH83" s="2567"/>
      <c r="TDI83" s="2567"/>
      <c r="TDJ83" s="2567"/>
      <c r="TDK83" s="2567"/>
      <c r="TDL83" s="2567"/>
      <c r="TDM83" s="2567"/>
      <c r="TDN83" s="2567"/>
      <c r="TDO83" s="2567"/>
      <c r="TDP83" s="2567"/>
      <c r="TDQ83" s="2567"/>
      <c r="TDR83" s="2567"/>
      <c r="TDS83" s="2567"/>
      <c r="TDT83" s="2567"/>
      <c r="TDU83" s="2567"/>
      <c r="TDV83" s="2567"/>
      <c r="TDW83" s="2567"/>
      <c r="TDX83" s="2567"/>
      <c r="TDY83" s="2567"/>
      <c r="TDZ83" s="2567"/>
      <c r="TEA83" s="2567"/>
      <c r="TEB83" s="2567"/>
      <c r="TEC83" s="2567"/>
      <c r="TED83" s="2567"/>
      <c r="TEE83" s="2567"/>
      <c r="TEF83" s="2567"/>
      <c r="TEG83" s="2567"/>
      <c r="TEH83" s="2567"/>
      <c r="TEI83" s="2567"/>
      <c r="TEJ83" s="2567"/>
      <c r="TEK83" s="2567"/>
      <c r="TEL83" s="2567"/>
      <c r="TEM83" s="2567"/>
      <c r="TEN83" s="2567"/>
      <c r="TEO83" s="2567"/>
      <c r="TEP83" s="2567"/>
      <c r="TEQ83" s="2567"/>
      <c r="TER83" s="2567"/>
      <c r="TES83" s="2567"/>
      <c r="TET83" s="2567"/>
      <c r="TEU83" s="2567"/>
      <c r="TEV83" s="2567"/>
      <c r="TEW83" s="2567"/>
      <c r="TEX83" s="2567"/>
      <c r="TEY83" s="2567"/>
      <c r="TEZ83" s="2567"/>
      <c r="TFA83" s="2567"/>
      <c r="TFB83" s="2567"/>
      <c r="TFC83" s="2567"/>
      <c r="TFD83" s="2567"/>
      <c r="TFE83" s="2567"/>
      <c r="TFF83" s="2567"/>
      <c r="TFG83" s="2567"/>
      <c r="TFH83" s="2567"/>
      <c r="TFI83" s="2567"/>
      <c r="TFJ83" s="2567"/>
      <c r="TFK83" s="2567"/>
      <c r="TFL83" s="2567"/>
      <c r="TFM83" s="2567"/>
      <c r="TFN83" s="2567"/>
      <c r="TFO83" s="2567"/>
      <c r="TFP83" s="2567"/>
      <c r="TFQ83" s="2567"/>
      <c r="TFR83" s="2567"/>
      <c r="TFS83" s="2567"/>
      <c r="TFT83" s="2567"/>
      <c r="TFU83" s="2567"/>
      <c r="TFV83" s="2567"/>
      <c r="TFW83" s="2567"/>
      <c r="TFX83" s="2567"/>
      <c r="TFY83" s="2567"/>
      <c r="TFZ83" s="2567"/>
      <c r="TGA83" s="2567"/>
      <c r="TGB83" s="2567"/>
      <c r="TGC83" s="2567"/>
      <c r="TGD83" s="2567"/>
      <c r="TGE83" s="2567"/>
      <c r="TGF83" s="2567"/>
      <c r="TGG83" s="2567"/>
      <c r="TGH83" s="2567"/>
      <c r="TGI83" s="2567"/>
      <c r="TGJ83" s="2567"/>
      <c r="TGK83" s="2567"/>
      <c r="TGL83" s="2567"/>
      <c r="TGM83" s="2567"/>
      <c r="TGN83" s="2567"/>
      <c r="TGO83" s="2567"/>
      <c r="TGP83" s="2567"/>
      <c r="TGQ83" s="2567"/>
      <c r="TGR83" s="2567"/>
      <c r="TGS83" s="2567"/>
      <c r="TGT83" s="2567"/>
      <c r="TGU83" s="2567"/>
      <c r="TGV83" s="2567"/>
      <c r="TGW83" s="2567"/>
      <c r="TGX83" s="2567"/>
      <c r="TGY83" s="2567"/>
      <c r="TGZ83" s="2567"/>
      <c r="THA83" s="2567"/>
      <c r="THB83" s="2567"/>
      <c r="THC83" s="2567"/>
      <c r="THD83" s="2567"/>
      <c r="THE83" s="2567"/>
      <c r="THF83" s="2567"/>
      <c r="THG83" s="2567"/>
      <c r="THH83" s="2567"/>
      <c r="THI83" s="2567"/>
      <c r="THJ83" s="2567"/>
      <c r="THK83" s="2567"/>
      <c r="THL83" s="2567"/>
      <c r="THM83" s="2567"/>
      <c r="THN83" s="2567"/>
      <c r="THO83" s="2567"/>
      <c r="THP83" s="2567"/>
      <c r="THQ83" s="2567"/>
      <c r="THR83" s="2567"/>
      <c r="THS83" s="2567"/>
      <c r="THT83" s="2567"/>
      <c r="THU83" s="2567"/>
      <c r="THV83" s="2567"/>
      <c r="THW83" s="2567"/>
      <c r="THX83" s="2567"/>
      <c r="THY83" s="2567"/>
      <c r="THZ83" s="2567"/>
      <c r="TIA83" s="2567"/>
      <c r="TIB83" s="2567"/>
      <c r="TIC83" s="2567"/>
      <c r="TID83" s="2567"/>
      <c r="TIE83" s="2567"/>
      <c r="TIF83" s="2567"/>
      <c r="TIG83" s="2567"/>
      <c r="TIH83" s="2567"/>
      <c r="TII83" s="2567"/>
      <c r="TIJ83" s="2567"/>
      <c r="TIK83" s="2567"/>
      <c r="TIL83" s="2567"/>
      <c r="TIM83" s="2567"/>
      <c r="TIN83" s="2567"/>
      <c r="TIO83" s="2567"/>
      <c r="TIP83" s="2567"/>
      <c r="TIQ83" s="2567"/>
      <c r="TIR83" s="2567"/>
      <c r="TIS83" s="2567"/>
      <c r="TIT83" s="2567"/>
      <c r="TIU83" s="2567"/>
      <c r="TIV83" s="2567"/>
      <c r="TIW83" s="2567"/>
      <c r="TIX83" s="2567"/>
      <c r="TIY83" s="2567"/>
      <c r="TIZ83" s="2567"/>
      <c r="TJA83" s="2567"/>
      <c r="TJB83" s="2567"/>
      <c r="TJC83" s="2567"/>
      <c r="TJD83" s="2567"/>
      <c r="TJE83" s="2567"/>
      <c r="TJF83" s="2567"/>
      <c r="TJG83" s="2567"/>
      <c r="TJH83" s="2567"/>
      <c r="TJI83" s="2567"/>
      <c r="TJJ83" s="2567"/>
      <c r="TJK83" s="2567"/>
      <c r="TJL83" s="2567"/>
      <c r="TJM83" s="2567"/>
      <c r="TJN83" s="2567"/>
      <c r="TJO83" s="2567"/>
      <c r="TJP83" s="2567"/>
      <c r="TJQ83" s="2567"/>
      <c r="TJR83" s="2567"/>
      <c r="TJS83" s="2567"/>
      <c r="TJT83" s="2567"/>
      <c r="TJU83" s="2567"/>
      <c r="TJV83" s="2567"/>
      <c r="TJW83" s="2567"/>
      <c r="TJX83" s="2567"/>
      <c r="TJY83" s="2567"/>
      <c r="TJZ83" s="2567"/>
      <c r="TKA83" s="2567"/>
      <c r="TKB83" s="2567"/>
      <c r="TKC83" s="2567"/>
      <c r="TKD83" s="2567"/>
      <c r="TKE83" s="2567"/>
      <c r="TKF83" s="2567"/>
      <c r="TKG83" s="2567"/>
      <c r="TKH83" s="2567"/>
      <c r="TKI83" s="2567"/>
      <c r="TKJ83" s="2567"/>
      <c r="TKK83" s="2567"/>
      <c r="TKL83" s="2567"/>
      <c r="TKM83" s="2567"/>
      <c r="TKN83" s="2567"/>
      <c r="TKO83" s="2567"/>
      <c r="TKP83" s="2567"/>
      <c r="TKQ83" s="2567"/>
      <c r="TKR83" s="2567"/>
      <c r="TKS83" s="2567"/>
      <c r="TKT83" s="2567"/>
      <c r="TKU83" s="2567"/>
      <c r="TKV83" s="2567"/>
      <c r="TKW83" s="2567"/>
      <c r="TKX83" s="2567"/>
      <c r="TKY83" s="2567"/>
      <c r="TKZ83" s="2567"/>
      <c r="TLA83" s="2567"/>
      <c r="TLB83" s="2567"/>
      <c r="TLC83" s="2567"/>
      <c r="TLD83" s="2567"/>
      <c r="TLE83" s="2567"/>
      <c r="TLF83" s="2567"/>
      <c r="TLG83" s="2567"/>
      <c r="TLH83" s="2567"/>
      <c r="TLI83" s="2567"/>
      <c r="TLJ83" s="2567"/>
      <c r="TLK83" s="2567"/>
      <c r="TLL83" s="2567"/>
      <c r="TLM83" s="2567"/>
      <c r="TLN83" s="2567"/>
      <c r="TLO83" s="2567"/>
      <c r="TLP83" s="2567"/>
      <c r="TLQ83" s="2567"/>
      <c r="TLR83" s="2567"/>
      <c r="TLS83" s="2567"/>
      <c r="TLT83" s="2567"/>
      <c r="TLU83" s="2567"/>
      <c r="TLV83" s="2567"/>
      <c r="TLW83" s="2567"/>
      <c r="TLX83" s="2567"/>
      <c r="TLY83" s="2567"/>
      <c r="TLZ83" s="2567"/>
      <c r="TMA83" s="2567"/>
      <c r="TMB83" s="2567"/>
      <c r="TMC83" s="2567"/>
      <c r="TMD83" s="2567"/>
      <c r="TME83" s="2567"/>
      <c r="TMF83" s="2567"/>
      <c r="TMG83" s="2567"/>
      <c r="TMH83" s="2567"/>
      <c r="TMI83" s="2567"/>
      <c r="TMJ83" s="2567"/>
      <c r="TMK83" s="2567"/>
      <c r="TML83" s="2567"/>
      <c r="TMM83" s="2567"/>
      <c r="TMN83" s="2567"/>
      <c r="TMO83" s="2567"/>
      <c r="TMP83" s="2567"/>
      <c r="TMQ83" s="2567"/>
      <c r="TMR83" s="2567"/>
      <c r="TMS83" s="2567"/>
      <c r="TMT83" s="2567"/>
      <c r="TMU83" s="2567"/>
      <c r="TMV83" s="2567"/>
      <c r="TMW83" s="2567"/>
      <c r="TMX83" s="2567"/>
      <c r="TMY83" s="2567"/>
      <c r="TMZ83" s="2567"/>
      <c r="TNA83" s="2567"/>
      <c r="TNB83" s="2567"/>
      <c r="TNC83" s="2567"/>
      <c r="TND83" s="2567"/>
      <c r="TNE83" s="2567"/>
      <c r="TNF83" s="2567"/>
      <c r="TNG83" s="2567"/>
      <c r="TNH83" s="2567"/>
      <c r="TNI83" s="2567"/>
      <c r="TNJ83" s="2567"/>
      <c r="TNK83" s="2567"/>
      <c r="TNL83" s="2567"/>
      <c r="TNM83" s="2567"/>
      <c r="TNN83" s="2567"/>
      <c r="TNO83" s="2567"/>
      <c r="TNP83" s="2567"/>
      <c r="TNQ83" s="2567"/>
      <c r="TNR83" s="2567"/>
      <c r="TNS83" s="2567"/>
      <c r="TNT83" s="2567"/>
      <c r="TNU83" s="2567"/>
      <c r="TNV83" s="2567"/>
      <c r="TNW83" s="2567"/>
      <c r="TNX83" s="2567"/>
      <c r="TNY83" s="2567"/>
      <c r="TNZ83" s="2567"/>
      <c r="TOA83" s="2567"/>
      <c r="TOB83" s="2567"/>
      <c r="TOC83" s="2567"/>
      <c r="TOD83" s="2567"/>
      <c r="TOE83" s="2567"/>
      <c r="TOF83" s="2567"/>
      <c r="TOG83" s="2567"/>
      <c r="TOH83" s="2567"/>
      <c r="TOI83" s="2567"/>
      <c r="TOJ83" s="2567"/>
      <c r="TOK83" s="2567"/>
      <c r="TOL83" s="2567"/>
      <c r="TOM83" s="2567"/>
      <c r="TON83" s="2567"/>
      <c r="TOO83" s="2567"/>
      <c r="TOP83" s="2567"/>
      <c r="TOQ83" s="2567"/>
      <c r="TOR83" s="2567"/>
      <c r="TOS83" s="2567"/>
      <c r="TOT83" s="2567"/>
      <c r="TOU83" s="2567"/>
      <c r="TOV83" s="2567"/>
      <c r="TOW83" s="2567"/>
      <c r="TOX83" s="2567"/>
      <c r="TOY83" s="2567"/>
      <c r="TOZ83" s="2567"/>
      <c r="TPA83" s="2567"/>
      <c r="TPB83" s="2567"/>
      <c r="TPC83" s="2567"/>
      <c r="TPD83" s="2567"/>
      <c r="TPE83" s="2567"/>
      <c r="TPF83" s="2567"/>
      <c r="TPG83" s="2567"/>
      <c r="TPH83" s="2567"/>
      <c r="TPI83" s="2567"/>
      <c r="TPJ83" s="2567"/>
      <c r="TPK83" s="2567"/>
      <c r="TPL83" s="2567"/>
      <c r="TPM83" s="2567"/>
      <c r="TPN83" s="2567"/>
      <c r="TPO83" s="2567"/>
      <c r="TPP83" s="2567"/>
      <c r="TPQ83" s="2567"/>
      <c r="TPR83" s="2567"/>
      <c r="TPS83" s="2567"/>
      <c r="TPT83" s="2567"/>
      <c r="TPU83" s="2567"/>
      <c r="TPV83" s="2567"/>
      <c r="TPW83" s="2567"/>
      <c r="TPX83" s="2567"/>
      <c r="TPY83" s="2567"/>
      <c r="TPZ83" s="2567"/>
      <c r="TQA83" s="2567"/>
      <c r="TQB83" s="2567"/>
      <c r="TQC83" s="2567"/>
      <c r="TQD83" s="2567"/>
      <c r="TQE83" s="2567"/>
      <c r="TQF83" s="2567"/>
      <c r="TQG83" s="2567"/>
      <c r="TQH83" s="2567"/>
      <c r="TQI83" s="2567"/>
      <c r="TQJ83" s="2567"/>
      <c r="TQK83" s="2567"/>
      <c r="TQL83" s="2567"/>
      <c r="TQM83" s="2567"/>
      <c r="TQN83" s="2567"/>
      <c r="TQO83" s="2567"/>
      <c r="TQP83" s="2567"/>
      <c r="TQQ83" s="2567"/>
      <c r="TQR83" s="2567"/>
      <c r="TQS83" s="2567"/>
      <c r="TQT83" s="2567"/>
      <c r="TQU83" s="2567"/>
      <c r="TQV83" s="2567"/>
      <c r="TQW83" s="2567"/>
      <c r="TQX83" s="2567"/>
      <c r="TQY83" s="2567"/>
      <c r="TQZ83" s="2567"/>
      <c r="TRA83" s="2567"/>
      <c r="TRB83" s="2567"/>
      <c r="TRC83" s="2567"/>
      <c r="TRD83" s="2567"/>
      <c r="TRE83" s="2567"/>
      <c r="TRF83" s="2567"/>
      <c r="TRG83" s="2567"/>
      <c r="TRH83" s="2567"/>
      <c r="TRI83" s="2567"/>
      <c r="TRJ83" s="2567"/>
      <c r="TRK83" s="2567"/>
      <c r="TRL83" s="2567"/>
      <c r="TRM83" s="2567"/>
      <c r="TRN83" s="2567"/>
      <c r="TRO83" s="2567"/>
      <c r="TRP83" s="2567"/>
      <c r="TRQ83" s="2567"/>
      <c r="TRR83" s="2567"/>
      <c r="TRS83" s="2567"/>
      <c r="TRT83" s="2567"/>
      <c r="TRU83" s="2567"/>
      <c r="TRV83" s="2567"/>
      <c r="TRW83" s="2567"/>
      <c r="TRX83" s="2567"/>
      <c r="TRY83" s="2567"/>
      <c r="TRZ83" s="2567"/>
      <c r="TSA83" s="2567"/>
      <c r="TSB83" s="2567"/>
      <c r="TSC83" s="2567"/>
      <c r="TSD83" s="2567"/>
      <c r="TSE83" s="2567"/>
      <c r="TSF83" s="2567"/>
      <c r="TSG83" s="2567"/>
      <c r="TSH83" s="2567"/>
      <c r="TSI83" s="2567"/>
      <c r="TSJ83" s="2567"/>
      <c r="TSK83" s="2567"/>
      <c r="TSL83" s="2567"/>
      <c r="TSM83" s="2567"/>
      <c r="TSN83" s="2567"/>
      <c r="TSO83" s="2567"/>
      <c r="TSP83" s="2567"/>
      <c r="TSQ83" s="2567"/>
      <c r="TSR83" s="2567"/>
      <c r="TSS83" s="2567"/>
      <c r="TST83" s="2567"/>
      <c r="TSU83" s="2567"/>
      <c r="TSV83" s="2567"/>
      <c r="TSW83" s="2567"/>
      <c r="TSX83" s="2567"/>
      <c r="TSY83" s="2567"/>
      <c r="TSZ83" s="2567"/>
      <c r="TTA83" s="2567"/>
      <c r="TTB83" s="2567"/>
      <c r="TTC83" s="2567"/>
      <c r="TTD83" s="2567"/>
      <c r="TTE83" s="2567"/>
      <c r="TTF83" s="2567"/>
      <c r="TTG83" s="2567"/>
      <c r="TTH83" s="2567"/>
      <c r="TTI83" s="2567"/>
      <c r="TTJ83" s="2567"/>
      <c r="TTK83" s="2567"/>
      <c r="TTL83" s="2567"/>
      <c r="TTM83" s="2567"/>
      <c r="TTN83" s="2567"/>
      <c r="TTO83" s="2567"/>
      <c r="TTP83" s="2567"/>
      <c r="TTQ83" s="2567"/>
      <c r="TTR83" s="2567"/>
      <c r="TTS83" s="2567"/>
      <c r="TTT83" s="2567"/>
      <c r="TTU83" s="2567"/>
      <c r="TTV83" s="2567"/>
      <c r="TTW83" s="2567"/>
      <c r="TTX83" s="2567"/>
      <c r="TTY83" s="2567"/>
      <c r="TTZ83" s="2567"/>
      <c r="TUA83" s="2567"/>
      <c r="TUB83" s="2567"/>
      <c r="TUC83" s="2567"/>
      <c r="TUD83" s="2567"/>
      <c r="TUE83" s="2567"/>
      <c r="TUF83" s="2567"/>
      <c r="TUG83" s="2567"/>
      <c r="TUH83" s="2567"/>
      <c r="TUI83" s="2567"/>
      <c r="TUJ83" s="2567"/>
      <c r="TUK83" s="2567"/>
      <c r="TUL83" s="2567"/>
      <c r="TUM83" s="2567"/>
      <c r="TUN83" s="2567"/>
      <c r="TUO83" s="2567"/>
      <c r="TUP83" s="2567"/>
      <c r="TUQ83" s="2567"/>
      <c r="TUR83" s="2567"/>
      <c r="TUS83" s="2567"/>
      <c r="TUT83" s="2567"/>
      <c r="TUU83" s="2567"/>
      <c r="TUV83" s="2567"/>
      <c r="TUW83" s="2567"/>
      <c r="TUX83" s="2567"/>
      <c r="TUY83" s="2567"/>
      <c r="TUZ83" s="2567"/>
      <c r="TVA83" s="2567"/>
      <c r="TVB83" s="2567"/>
      <c r="TVC83" s="2567"/>
      <c r="TVD83" s="2567"/>
      <c r="TVE83" s="2567"/>
      <c r="TVF83" s="2567"/>
      <c r="TVG83" s="2567"/>
      <c r="TVH83" s="2567"/>
      <c r="TVI83" s="2567"/>
      <c r="TVJ83" s="2567"/>
      <c r="TVK83" s="2567"/>
      <c r="TVL83" s="2567"/>
      <c r="TVM83" s="2567"/>
      <c r="TVN83" s="2567"/>
      <c r="TVO83" s="2567"/>
      <c r="TVP83" s="2567"/>
      <c r="TVQ83" s="2567"/>
      <c r="TVR83" s="2567"/>
      <c r="TVS83" s="2567"/>
      <c r="TVT83" s="2567"/>
      <c r="TVU83" s="2567"/>
      <c r="TVV83" s="2567"/>
      <c r="TVW83" s="2567"/>
      <c r="TVX83" s="2567"/>
      <c r="TVY83" s="2567"/>
      <c r="TVZ83" s="2567"/>
      <c r="TWA83" s="2567"/>
      <c r="TWB83" s="2567"/>
      <c r="TWC83" s="2567"/>
      <c r="TWD83" s="2567"/>
      <c r="TWE83" s="2567"/>
      <c r="TWF83" s="2567"/>
      <c r="TWG83" s="2567"/>
      <c r="TWH83" s="2567"/>
      <c r="TWI83" s="2567"/>
      <c r="TWJ83" s="2567"/>
      <c r="TWK83" s="2567"/>
      <c r="TWL83" s="2567"/>
      <c r="TWM83" s="2567"/>
      <c r="TWN83" s="2567"/>
      <c r="TWO83" s="2567"/>
      <c r="TWP83" s="2567"/>
      <c r="TWQ83" s="2567"/>
      <c r="TWR83" s="2567"/>
      <c r="TWS83" s="2567"/>
      <c r="TWT83" s="2567"/>
      <c r="TWU83" s="2567"/>
      <c r="TWV83" s="2567"/>
      <c r="TWW83" s="2567"/>
      <c r="TWX83" s="2567"/>
      <c r="TWY83" s="2567"/>
      <c r="TWZ83" s="2567"/>
      <c r="TXA83" s="2567"/>
      <c r="TXB83" s="2567"/>
      <c r="TXC83" s="2567"/>
      <c r="TXD83" s="2567"/>
      <c r="TXE83" s="2567"/>
      <c r="TXF83" s="2567"/>
      <c r="TXG83" s="2567"/>
      <c r="TXH83" s="2567"/>
      <c r="TXI83" s="2567"/>
      <c r="TXJ83" s="2567"/>
      <c r="TXK83" s="2567"/>
      <c r="TXL83" s="2567"/>
      <c r="TXM83" s="2567"/>
      <c r="TXN83" s="2567"/>
      <c r="TXO83" s="2567"/>
      <c r="TXP83" s="2567"/>
      <c r="TXQ83" s="2567"/>
      <c r="TXR83" s="2567"/>
      <c r="TXS83" s="2567"/>
      <c r="TXT83" s="2567"/>
      <c r="TXU83" s="2567"/>
      <c r="TXV83" s="2567"/>
      <c r="TXW83" s="2567"/>
      <c r="TXX83" s="2567"/>
      <c r="TXY83" s="2567"/>
      <c r="TXZ83" s="2567"/>
      <c r="TYA83" s="2567"/>
      <c r="TYB83" s="2567"/>
      <c r="TYC83" s="2567"/>
      <c r="TYD83" s="2567"/>
      <c r="TYE83" s="2567"/>
      <c r="TYF83" s="2567"/>
      <c r="TYG83" s="2567"/>
      <c r="TYH83" s="2567"/>
      <c r="TYI83" s="2567"/>
      <c r="TYJ83" s="2567"/>
      <c r="TYK83" s="2567"/>
      <c r="TYL83" s="2567"/>
      <c r="TYM83" s="2567"/>
      <c r="TYN83" s="2567"/>
      <c r="TYO83" s="2567"/>
      <c r="TYP83" s="2567"/>
      <c r="TYQ83" s="2567"/>
      <c r="TYR83" s="2567"/>
      <c r="TYS83" s="2567"/>
      <c r="TYT83" s="2567"/>
      <c r="TYU83" s="2567"/>
      <c r="TYV83" s="2567"/>
      <c r="TYW83" s="2567"/>
      <c r="TYX83" s="2567"/>
      <c r="TYY83" s="2567"/>
      <c r="TYZ83" s="2567"/>
      <c r="TZA83" s="2567"/>
      <c r="TZB83" s="2567"/>
      <c r="TZC83" s="2567"/>
      <c r="TZD83" s="2567"/>
      <c r="TZE83" s="2567"/>
      <c r="TZF83" s="2567"/>
      <c r="TZG83" s="2567"/>
      <c r="TZH83" s="2567"/>
      <c r="TZI83" s="2567"/>
      <c r="TZJ83" s="2567"/>
      <c r="TZK83" s="2567"/>
      <c r="TZL83" s="2567"/>
      <c r="TZM83" s="2567"/>
      <c r="TZN83" s="2567"/>
      <c r="TZO83" s="2567"/>
      <c r="TZP83" s="2567"/>
      <c r="TZQ83" s="2567"/>
      <c r="TZR83" s="2567"/>
      <c r="TZS83" s="2567"/>
      <c r="TZT83" s="2567"/>
      <c r="TZU83" s="2567"/>
      <c r="TZV83" s="2567"/>
      <c r="TZW83" s="2567"/>
      <c r="TZX83" s="2567"/>
      <c r="TZY83" s="2567"/>
      <c r="TZZ83" s="2567"/>
      <c r="UAA83" s="2567"/>
      <c r="UAB83" s="2567"/>
      <c r="UAC83" s="2567"/>
      <c r="UAD83" s="2567"/>
      <c r="UAE83" s="2567"/>
      <c r="UAF83" s="2567"/>
      <c r="UAG83" s="2567"/>
      <c r="UAH83" s="2567"/>
      <c r="UAI83" s="2567"/>
      <c r="UAJ83" s="2567"/>
      <c r="UAK83" s="2567"/>
      <c r="UAL83" s="2567"/>
      <c r="UAM83" s="2567"/>
      <c r="UAN83" s="2567"/>
      <c r="UAO83" s="2567"/>
      <c r="UAP83" s="2567"/>
      <c r="UAQ83" s="2567"/>
      <c r="UAR83" s="2567"/>
      <c r="UAS83" s="2567"/>
      <c r="UAT83" s="2567"/>
      <c r="UAU83" s="2567"/>
      <c r="UAV83" s="2567"/>
      <c r="UAW83" s="2567"/>
      <c r="UAX83" s="2567"/>
      <c r="UAY83" s="2567"/>
      <c r="UAZ83" s="2567"/>
      <c r="UBA83" s="2567"/>
      <c r="UBB83" s="2567"/>
      <c r="UBC83" s="2567"/>
      <c r="UBD83" s="2567"/>
      <c r="UBE83" s="2567"/>
      <c r="UBF83" s="2567"/>
      <c r="UBG83" s="2567"/>
      <c r="UBH83" s="2567"/>
      <c r="UBI83" s="2567"/>
      <c r="UBJ83" s="2567"/>
      <c r="UBK83" s="2567"/>
      <c r="UBL83" s="2567"/>
      <c r="UBM83" s="2567"/>
      <c r="UBN83" s="2567"/>
      <c r="UBO83" s="2567"/>
      <c r="UBP83" s="2567"/>
      <c r="UBQ83" s="2567"/>
      <c r="UBR83" s="2567"/>
      <c r="UBS83" s="2567"/>
      <c r="UBT83" s="2567"/>
      <c r="UBU83" s="2567"/>
      <c r="UBV83" s="2567"/>
      <c r="UBW83" s="2567"/>
      <c r="UBX83" s="2567"/>
      <c r="UBY83" s="2567"/>
      <c r="UBZ83" s="2567"/>
      <c r="UCA83" s="2567"/>
      <c r="UCB83" s="2567"/>
      <c r="UCC83" s="2567"/>
      <c r="UCD83" s="2567"/>
      <c r="UCE83" s="2567"/>
      <c r="UCF83" s="2567"/>
      <c r="UCG83" s="2567"/>
      <c r="UCH83" s="2567"/>
      <c r="UCI83" s="2567"/>
      <c r="UCJ83" s="2567"/>
      <c r="UCK83" s="2567"/>
      <c r="UCL83" s="2567"/>
      <c r="UCM83" s="2567"/>
      <c r="UCN83" s="2567"/>
      <c r="UCO83" s="2567"/>
      <c r="UCP83" s="2567"/>
      <c r="UCQ83" s="2567"/>
      <c r="UCR83" s="2567"/>
      <c r="UCS83" s="2567"/>
      <c r="UCT83" s="2567"/>
      <c r="UCU83" s="2567"/>
      <c r="UCV83" s="2567"/>
      <c r="UCW83" s="2567"/>
      <c r="UCX83" s="2567"/>
      <c r="UCY83" s="2567"/>
      <c r="UCZ83" s="2567"/>
      <c r="UDA83" s="2567"/>
      <c r="UDB83" s="2567"/>
      <c r="UDC83" s="2567"/>
      <c r="UDD83" s="2567"/>
      <c r="UDE83" s="2567"/>
      <c r="UDF83" s="2567"/>
      <c r="UDG83" s="2567"/>
      <c r="UDH83" s="2567"/>
      <c r="UDI83" s="2567"/>
      <c r="UDJ83" s="2567"/>
      <c r="UDK83" s="2567"/>
      <c r="UDL83" s="2567"/>
      <c r="UDM83" s="2567"/>
      <c r="UDN83" s="2567"/>
      <c r="UDO83" s="2567"/>
      <c r="UDP83" s="2567"/>
      <c r="UDQ83" s="2567"/>
      <c r="UDR83" s="2567"/>
      <c r="UDS83" s="2567"/>
      <c r="UDT83" s="2567"/>
      <c r="UDU83" s="2567"/>
      <c r="UDV83" s="2567"/>
      <c r="UDW83" s="2567"/>
      <c r="UDX83" s="2567"/>
      <c r="UDY83" s="2567"/>
      <c r="UDZ83" s="2567"/>
      <c r="UEA83" s="2567"/>
      <c r="UEB83" s="2567"/>
      <c r="UEC83" s="2567"/>
      <c r="UED83" s="2567"/>
      <c r="UEE83" s="2567"/>
      <c r="UEF83" s="2567"/>
      <c r="UEG83" s="2567"/>
      <c r="UEH83" s="2567"/>
      <c r="UEI83" s="2567"/>
      <c r="UEJ83" s="2567"/>
      <c r="UEK83" s="2567"/>
      <c r="UEL83" s="2567"/>
      <c r="UEM83" s="2567"/>
      <c r="UEN83" s="2567"/>
      <c r="UEO83" s="2567"/>
      <c r="UEP83" s="2567"/>
      <c r="UEQ83" s="2567"/>
      <c r="UER83" s="2567"/>
      <c r="UES83" s="2567"/>
      <c r="UET83" s="2567"/>
      <c r="UEU83" s="2567"/>
      <c r="UEV83" s="2567"/>
      <c r="UEW83" s="2567"/>
      <c r="UEX83" s="2567"/>
      <c r="UEY83" s="2567"/>
      <c r="UEZ83" s="2567"/>
      <c r="UFA83" s="2567"/>
      <c r="UFB83" s="2567"/>
      <c r="UFC83" s="2567"/>
      <c r="UFD83" s="2567"/>
      <c r="UFE83" s="2567"/>
      <c r="UFF83" s="2567"/>
      <c r="UFG83" s="2567"/>
      <c r="UFH83" s="2567"/>
      <c r="UFI83" s="2567"/>
      <c r="UFJ83" s="2567"/>
      <c r="UFK83" s="2567"/>
      <c r="UFL83" s="2567"/>
      <c r="UFM83" s="2567"/>
      <c r="UFN83" s="2567"/>
      <c r="UFO83" s="2567"/>
      <c r="UFP83" s="2567"/>
      <c r="UFQ83" s="2567"/>
      <c r="UFR83" s="2567"/>
      <c r="UFS83" s="2567"/>
      <c r="UFT83" s="2567"/>
      <c r="UFU83" s="2567"/>
      <c r="UFV83" s="2567"/>
      <c r="UFW83" s="2567"/>
      <c r="UFX83" s="2567"/>
      <c r="UFY83" s="2567"/>
      <c r="UFZ83" s="2567"/>
      <c r="UGA83" s="2567"/>
      <c r="UGB83" s="2567"/>
      <c r="UGC83" s="2567"/>
      <c r="UGD83" s="2567"/>
      <c r="UGE83" s="2567"/>
      <c r="UGF83" s="2567"/>
      <c r="UGG83" s="2567"/>
      <c r="UGH83" s="2567"/>
      <c r="UGI83" s="2567"/>
      <c r="UGJ83" s="2567"/>
      <c r="UGK83" s="2567"/>
      <c r="UGL83" s="2567"/>
      <c r="UGM83" s="2567"/>
      <c r="UGN83" s="2567"/>
      <c r="UGO83" s="2567"/>
      <c r="UGP83" s="2567"/>
      <c r="UGQ83" s="2567"/>
      <c r="UGR83" s="2567"/>
      <c r="UGS83" s="2567"/>
      <c r="UGT83" s="2567"/>
      <c r="UGU83" s="2567"/>
      <c r="UGV83" s="2567"/>
      <c r="UGW83" s="2567"/>
      <c r="UGX83" s="2567"/>
      <c r="UGY83" s="2567"/>
      <c r="UGZ83" s="2567"/>
      <c r="UHA83" s="2567"/>
      <c r="UHB83" s="2567"/>
      <c r="UHC83" s="2567"/>
      <c r="UHD83" s="2567"/>
      <c r="UHE83" s="2567"/>
      <c r="UHF83" s="2567"/>
      <c r="UHG83" s="2567"/>
      <c r="UHH83" s="2567"/>
      <c r="UHI83" s="2567"/>
      <c r="UHJ83" s="2567"/>
      <c r="UHK83" s="2567"/>
      <c r="UHL83" s="2567"/>
      <c r="UHM83" s="2567"/>
      <c r="UHN83" s="2567"/>
      <c r="UHO83" s="2567"/>
      <c r="UHP83" s="2567"/>
      <c r="UHQ83" s="2567"/>
      <c r="UHR83" s="2567"/>
      <c r="UHS83" s="2567"/>
      <c r="UHT83" s="2567"/>
      <c r="UHU83" s="2567"/>
      <c r="UHV83" s="2567"/>
      <c r="UHW83" s="2567"/>
      <c r="UHX83" s="2567"/>
      <c r="UHY83" s="2567"/>
      <c r="UHZ83" s="2567"/>
      <c r="UIA83" s="2567"/>
      <c r="UIB83" s="2567"/>
      <c r="UIC83" s="2567"/>
      <c r="UID83" s="2567"/>
      <c r="UIE83" s="2567"/>
      <c r="UIF83" s="2567"/>
      <c r="UIG83" s="2567"/>
      <c r="UIH83" s="2567"/>
      <c r="UII83" s="2567"/>
      <c r="UIJ83" s="2567"/>
      <c r="UIK83" s="2567"/>
      <c r="UIL83" s="2567"/>
      <c r="UIM83" s="2567"/>
      <c r="UIN83" s="2567"/>
      <c r="UIO83" s="2567"/>
      <c r="UIP83" s="2567"/>
      <c r="UIQ83" s="2567"/>
      <c r="UIR83" s="2567"/>
      <c r="UIS83" s="2567"/>
      <c r="UIT83" s="2567"/>
      <c r="UIU83" s="2567"/>
      <c r="UIV83" s="2567"/>
      <c r="UIW83" s="2567"/>
      <c r="UIX83" s="2567"/>
      <c r="UIY83" s="2567"/>
      <c r="UIZ83" s="2567"/>
      <c r="UJA83" s="2567"/>
      <c r="UJB83" s="2567"/>
      <c r="UJC83" s="2567"/>
      <c r="UJD83" s="2567"/>
      <c r="UJE83" s="2567"/>
      <c r="UJF83" s="2567"/>
      <c r="UJG83" s="2567"/>
      <c r="UJH83" s="2567"/>
      <c r="UJI83" s="2567"/>
      <c r="UJJ83" s="2567"/>
      <c r="UJK83" s="2567"/>
      <c r="UJL83" s="2567"/>
      <c r="UJM83" s="2567"/>
      <c r="UJN83" s="2567"/>
      <c r="UJO83" s="2567"/>
      <c r="UJP83" s="2567"/>
      <c r="UJQ83" s="2567"/>
      <c r="UJR83" s="2567"/>
      <c r="UJS83" s="2567"/>
      <c r="UJT83" s="2567"/>
      <c r="UJU83" s="2567"/>
      <c r="UJV83" s="2567"/>
      <c r="UJW83" s="2567"/>
      <c r="UJX83" s="2567"/>
      <c r="UJY83" s="2567"/>
      <c r="UJZ83" s="2567"/>
      <c r="UKA83" s="2567"/>
      <c r="UKB83" s="2567"/>
      <c r="UKC83" s="2567"/>
      <c r="UKD83" s="2567"/>
      <c r="UKE83" s="2567"/>
      <c r="UKF83" s="2567"/>
      <c r="UKG83" s="2567"/>
      <c r="UKH83" s="2567"/>
      <c r="UKI83" s="2567"/>
      <c r="UKJ83" s="2567"/>
      <c r="UKK83" s="2567"/>
      <c r="UKL83" s="2567"/>
      <c r="UKM83" s="2567"/>
      <c r="UKN83" s="2567"/>
      <c r="UKO83" s="2567"/>
      <c r="UKP83" s="2567"/>
      <c r="UKQ83" s="2567"/>
      <c r="UKR83" s="2567"/>
      <c r="UKS83" s="2567"/>
      <c r="UKT83" s="2567"/>
      <c r="UKU83" s="2567"/>
      <c r="UKV83" s="2567"/>
      <c r="UKW83" s="2567"/>
      <c r="UKX83" s="2567"/>
      <c r="UKY83" s="2567"/>
      <c r="UKZ83" s="2567"/>
      <c r="ULA83" s="2567"/>
      <c r="ULB83" s="2567"/>
      <c r="ULC83" s="2567"/>
      <c r="ULD83" s="2567"/>
      <c r="ULE83" s="2567"/>
      <c r="ULF83" s="2567"/>
      <c r="ULG83" s="2567"/>
      <c r="ULH83" s="2567"/>
      <c r="ULI83" s="2567"/>
      <c r="ULJ83" s="2567"/>
      <c r="ULK83" s="2567"/>
      <c r="ULL83" s="2567"/>
      <c r="ULM83" s="2567"/>
      <c r="ULN83" s="2567"/>
      <c r="ULO83" s="2567"/>
      <c r="ULP83" s="2567"/>
      <c r="ULQ83" s="2567"/>
      <c r="ULR83" s="2567"/>
      <c r="ULS83" s="2567"/>
      <c r="ULT83" s="2567"/>
      <c r="ULU83" s="2567"/>
      <c r="ULV83" s="2567"/>
      <c r="ULW83" s="2567"/>
      <c r="ULX83" s="2567"/>
      <c r="ULY83" s="2567"/>
      <c r="ULZ83" s="2567"/>
      <c r="UMA83" s="2567"/>
      <c r="UMB83" s="2567"/>
      <c r="UMC83" s="2567"/>
      <c r="UMD83" s="2567"/>
      <c r="UME83" s="2567"/>
      <c r="UMF83" s="2567"/>
      <c r="UMG83" s="2567"/>
      <c r="UMH83" s="2567"/>
      <c r="UMI83" s="2567"/>
      <c r="UMJ83" s="2567"/>
      <c r="UMK83" s="2567"/>
      <c r="UML83" s="2567"/>
      <c r="UMM83" s="2567"/>
      <c r="UMN83" s="2567"/>
      <c r="UMO83" s="2567"/>
      <c r="UMP83" s="2567"/>
      <c r="UMQ83" s="2567"/>
      <c r="UMR83" s="2567"/>
      <c r="UMS83" s="2567"/>
      <c r="UMT83" s="2567"/>
      <c r="UMU83" s="2567"/>
      <c r="UMV83" s="2567"/>
      <c r="UMW83" s="2567"/>
      <c r="UMX83" s="2567"/>
      <c r="UMY83" s="2567"/>
      <c r="UMZ83" s="2567"/>
      <c r="UNA83" s="2567"/>
      <c r="UNB83" s="2567"/>
      <c r="UNC83" s="2567"/>
      <c r="UND83" s="2567"/>
      <c r="UNE83" s="2567"/>
      <c r="UNF83" s="2567"/>
      <c r="UNG83" s="2567"/>
      <c r="UNH83" s="2567"/>
      <c r="UNI83" s="2567"/>
      <c r="UNJ83" s="2567"/>
      <c r="UNK83" s="2567"/>
      <c r="UNL83" s="2567"/>
      <c r="UNM83" s="2567"/>
      <c r="UNN83" s="2567"/>
      <c r="UNO83" s="2567"/>
      <c r="UNP83" s="2567"/>
      <c r="UNQ83" s="2567"/>
      <c r="UNR83" s="2567"/>
      <c r="UNS83" s="2567"/>
      <c r="UNT83" s="2567"/>
      <c r="UNU83" s="2567"/>
      <c r="UNV83" s="2567"/>
      <c r="UNW83" s="2567"/>
      <c r="UNX83" s="2567"/>
      <c r="UNY83" s="2567"/>
      <c r="UNZ83" s="2567"/>
      <c r="UOA83" s="2567"/>
      <c r="UOB83" s="2567"/>
      <c r="UOC83" s="2567"/>
      <c r="UOD83" s="2567"/>
      <c r="UOE83" s="2567"/>
      <c r="UOF83" s="2567"/>
      <c r="UOG83" s="2567"/>
      <c r="UOH83" s="2567"/>
      <c r="UOI83" s="2567"/>
      <c r="UOJ83" s="2567"/>
      <c r="UOK83" s="2567"/>
      <c r="UOL83" s="2567"/>
      <c r="UOM83" s="2567"/>
      <c r="UON83" s="2567"/>
      <c r="UOO83" s="2567"/>
      <c r="UOP83" s="2567"/>
      <c r="UOQ83" s="2567"/>
      <c r="UOR83" s="2567"/>
      <c r="UOS83" s="2567"/>
      <c r="UOT83" s="2567"/>
      <c r="UOU83" s="2567"/>
      <c r="UOV83" s="2567"/>
      <c r="UOW83" s="2567"/>
      <c r="UOX83" s="2567"/>
      <c r="UOY83" s="2567"/>
      <c r="UOZ83" s="2567"/>
      <c r="UPA83" s="2567"/>
      <c r="UPB83" s="2567"/>
      <c r="UPC83" s="2567"/>
      <c r="UPD83" s="2567"/>
      <c r="UPE83" s="2567"/>
      <c r="UPF83" s="2567"/>
      <c r="UPG83" s="2567"/>
      <c r="UPH83" s="2567"/>
      <c r="UPI83" s="2567"/>
      <c r="UPJ83" s="2567"/>
      <c r="UPK83" s="2567"/>
      <c r="UPL83" s="2567"/>
      <c r="UPM83" s="2567"/>
      <c r="UPN83" s="2567"/>
      <c r="UPO83" s="2567"/>
      <c r="UPP83" s="2567"/>
      <c r="UPQ83" s="2567"/>
      <c r="UPR83" s="2567"/>
      <c r="UPS83" s="2567"/>
      <c r="UPT83" s="2567"/>
      <c r="UPU83" s="2567"/>
      <c r="UPV83" s="2567"/>
      <c r="UPW83" s="2567"/>
      <c r="UPX83" s="2567"/>
      <c r="UPY83" s="2567"/>
      <c r="UPZ83" s="2567"/>
      <c r="UQA83" s="2567"/>
      <c r="UQB83" s="2567"/>
      <c r="UQC83" s="2567"/>
      <c r="UQD83" s="2567"/>
      <c r="UQE83" s="2567"/>
      <c r="UQF83" s="2567"/>
      <c r="UQG83" s="2567"/>
      <c r="UQH83" s="2567"/>
      <c r="UQI83" s="2567"/>
      <c r="UQJ83" s="2567"/>
      <c r="UQK83" s="2567"/>
      <c r="UQL83" s="2567"/>
      <c r="UQM83" s="2567"/>
      <c r="UQN83" s="2567"/>
      <c r="UQO83" s="2567"/>
      <c r="UQP83" s="2567"/>
      <c r="UQQ83" s="2567"/>
      <c r="UQR83" s="2567"/>
      <c r="UQS83" s="2567"/>
      <c r="UQT83" s="2567"/>
      <c r="UQU83" s="2567"/>
      <c r="UQV83" s="2567"/>
      <c r="UQW83" s="2567"/>
      <c r="UQX83" s="2567"/>
      <c r="UQY83" s="2567"/>
      <c r="UQZ83" s="2567"/>
      <c r="URA83" s="2567"/>
      <c r="URB83" s="2567"/>
      <c r="URC83" s="2567"/>
      <c r="URD83" s="2567"/>
      <c r="URE83" s="2567"/>
      <c r="URF83" s="2567"/>
      <c r="URG83" s="2567"/>
      <c r="URH83" s="2567"/>
      <c r="URI83" s="2567"/>
      <c r="URJ83" s="2567"/>
      <c r="URK83" s="2567"/>
      <c r="URL83" s="2567"/>
      <c r="URM83" s="2567"/>
      <c r="URN83" s="2567"/>
      <c r="URO83" s="2567"/>
      <c r="URP83" s="2567"/>
      <c r="URQ83" s="2567"/>
      <c r="URR83" s="2567"/>
      <c r="URS83" s="2567"/>
      <c r="URT83" s="2567"/>
      <c r="URU83" s="2567"/>
      <c r="URV83" s="2567"/>
      <c r="URW83" s="2567"/>
      <c r="URX83" s="2567"/>
      <c r="URY83" s="2567"/>
      <c r="URZ83" s="2567"/>
      <c r="USA83" s="2567"/>
      <c r="USB83" s="2567"/>
      <c r="USC83" s="2567"/>
      <c r="USD83" s="2567"/>
      <c r="USE83" s="2567"/>
      <c r="USF83" s="2567"/>
      <c r="USG83" s="2567"/>
      <c r="USH83" s="2567"/>
      <c r="USI83" s="2567"/>
      <c r="USJ83" s="2567"/>
      <c r="USK83" s="2567"/>
      <c r="USL83" s="2567"/>
      <c r="USM83" s="2567"/>
      <c r="USN83" s="2567"/>
      <c r="USO83" s="2567"/>
      <c r="USP83" s="2567"/>
      <c r="USQ83" s="2567"/>
      <c r="USR83" s="2567"/>
      <c r="USS83" s="2567"/>
      <c r="UST83" s="2567"/>
      <c r="USU83" s="2567"/>
      <c r="USV83" s="2567"/>
      <c r="USW83" s="2567"/>
      <c r="USX83" s="2567"/>
      <c r="USY83" s="2567"/>
      <c r="USZ83" s="2567"/>
      <c r="UTA83" s="2567"/>
      <c r="UTB83" s="2567"/>
      <c r="UTC83" s="2567"/>
      <c r="UTD83" s="2567"/>
      <c r="UTE83" s="2567"/>
      <c r="UTF83" s="2567"/>
      <c r="UTG83" s="2567"/>
      <c r="UTH83" s="2567"/>
      <c r="UTI83" s="2567"/>
      <c r="UTJ83" s="2567"/>
      <c r="UTK83" s="2567"/>
      <c r="UTL83" s="2567"/>
      <c r="UTM83" s="2567"/>
      <c r="UTN83" s="2567"/>
      <c r="UTO83" s="2567"/>
      <c r="UTP83" s="2567"/>
      <c r="UTQ83" s="2567"/>
      <c r="UTR83" s="2567"/>
      <c r="UTS83" s="2567"/>
      <c r="UTT83" s="2567"/>
      <c r="UTU83" s="2567"/>
      <c r="UTV83" s="2567"/>
      <c r="UTW83" s="2567"/>
      <c r="UTX83" s="2567"/>
      <c r="UTY83" s="2567"/>
      <c r="UTZ83" s="2567"/>
      <c r="UUA83" s="2567"/>
      <c r="UUB83" s="2567"/>
      <c r="UUC83" s="2567"/>
      <c r="UUD83" s="2567"/>
      <c r="UUE83" s="2567"/>
      <c r="UUF83" s="2567"/>
      <c r="UUG83" s="2567"/>
      <c r="UUH83" s="2567"/>
      <c r="UUI83" s="2567"/>
      <c r="UUJ83" s="2567"/>
      <c r="UUK83" s="2567"/>
      <c r="UUL83" s="2567"/>
      <c r="UUM83" s="2567"/>
      <c r="UUN83" s="2567"/>
      <c r="UUO83" s="2567"/>
      <c r="UUP83" s="2567"/>
      <c r="UUQ83" s="2567"/>
      <c r="UUR83" s="2567"/>
      <c r="UUS83" s="2567"/>
      <c r="UUT83" s="2567"/>
      <c r="UUU83" s="2567"/>
      <c r="UUV83" s="2567"/>
      <c r="UUW83" s="2567"/>
      <c r="UUX83" s="2567"/>
      <c r="UUY83" s="2567"/>
      <c r="UUZ83" s="2567"/>
      <c r="UVA83" s="2567"/>
      <c r="UVB83" s="2567"/>
      <c r="UVC83" s="2567"/>
      <c r="UVD83" s="2567"/>
      <c r="UVE83" s="2567"/>
      <c r="UVF83" s="2567"/>
      <c r="UVG83" s="2567"/>
      <c r="UVH83" s="2567"/>
      <c r="UVI83" s="2567"/>
      <c r="UVJ83" s="2567"/>
      <c r="UVK83" s="2567"/>
      <c r="UVL83" s="2567"/>
      <c r="UVM83" s="2567"/>
      <c r="UVN83" s="2567"/>
      <c r="UVO83" s="2567"/>
      <c r="UVP83" s="2567"/>
      <c r="UVQ83" s="2567"/>
      <c r="UVR83" s="2567"/>
      <c r="UVS83" s="2567"/>
      <c r="UVT83" s="2567"/>
      <c r="UVU83" s="2567"/>
      <c r="UVV83" s="2567"/>
      <c r="UVW83" s="2567"/>
      <c r="UVX83" s="2567"/>
      <c r="UVY83" s="2567"/>
      <c r="UVZ83" s="2567"/>
      <c r="UWA83" s="2567"/>
      <c r="UWB83" s="2567"/>
      <c r="UWC83" s="2567"/>
      <c r="UWD83" s="2567"/>
      <c r="UWE83" s="2567"/>
      <c r="UWF83" s="2567"/>
      <c r="UWG83" s="2567"/>
      <c r="UWH83" s="2567"/>
      <c r="UWI83" s="2567"/>
      <c r="UWJ83" s="2567"/>
      <c r="UWK83" s="2567"/>
      <c r="UWL83" s="2567"/>
      <c r="UWM83" s="2567"/>
      <c r="UWN83" s="2567"/>
      <c r="UWO83" s="2567"/>
      <c r="UWP83" s="2567"/>
      <c r="UWQ83" s="2567"/>
      <c r="UWR83" s="2567"/>
      <c r="UWS83" s="2567"/>
      <c r="UWT83" s="2567"/>
      <c r="UWU83" s="2567"/>
      <c r="UWV83" s="2567"/>
      <c r="UWW83" s="2567"/>
      <c r="UWX83" s="2567"/>
      <c r="UWY83" s="2567"/>
      <c r="UWZ83" s="2567"/>
      <c r="UXA83" s="2567"/>
      <c r="UXB83" s="2567"/>
      <c r="UXC83" s="2567"/>
      <c r="UXD83" s="2567"/>
      <c r="UXE83" s="2567"/>
      <c r="UXF83" s="2567"/>
      <c r="UXG83" s="2567"/>
      <c r="UXH83" s="2567"/>
      <c r="UXI83" s="2567"/>
      <c r="UXJ83" s="2567"/>
      <c r="UXK83" s="2567"/>
      <c r="UXL83" s="2567"/>
      <c r="UXM83" s="2567"/>
      <c r="UXN83" s="2567"/>
      <c r="UXO83" s="2567"/>
      <c r="UXP83" s="2567"/>
      <c r="UXQ83" s="2567"/>
      <c r="UXR83" s="2567"/>
      <c r="UXS83" s="2567"/>
      <c r="UXT83" s="2567"/>
      <c r="UXU83" s="2567"/>
      <c r="UXV83" s="2567"/>
      <c r="UXW83" s="2567"/>
      <c r="UXX83" s="2567"/>
      <c r="UXY83" s="2567"/>
      <c r="UXZ83" s="2567"/>
      <c r="UYA83" s="2567"/>
      <c r="UYB83" s="2567"/>
      <c r="UYC83" s="2567"/>
      <c r="UYD83" s="2567"/>
      <c r="UYE83" s="2567"/>
      <c r="UYF83" s="2567"/>
      <c r="UYG83" s="2567"/>
      <c r="UYH83" s="2567"/>
      <c r="UYI83" s="2567"/>
      <c r="UYJ83" s="2567"/>
      <c r="UYK83" s="2567"/>
      <c r="UYL83" s="2567"/>
      <c r="UYM83" s="2567"/>
      <c r="UYN83" s="2567"/>
      <c r="UYO83" s="2567"/>
      <c r="UYP83" s="2567"/>
      <c r="UYQ83" s="2567"/>
      <c r="UYR83" s="2567"/>
      <c r="UYS83" s="2567"/>
      <c r="UYT83" s="2567"/>
      <c r="UYU83" s="2567"/>
      <c r="UYV83" s="2567"/>
      <c r="UYW83" s="2567"/>
      <c r="UYX83" s="2567"/>
      <c r="UYY83" s="2567"/>
      <c r="UYZ83" s="2567"/>
      <c r="UZA83" s="2567"/>
      <c r="UZB83" s="2567"/>
      <c r="UZC83" s="2567"/>
      <c r="UZD83" s="2567"/>
      <c r="UZE83" s="2567"/>
      <c r="UZF83" s="2567"/>
      <c r="UZG83" s="2567"/>
      <c r="UZH83" s="2567"/>
      <c r="UZI83" s="2567"/>
      <c r="UZJ83" s="2567"/>
      <c r="UZK83" s="2567"/>
      <c r="UZL83" s="2567"/>
      <c r="UZM83" s="2567"/>
      <c r="UZN83" s="2567"/>
      <c r="UZO83" s="2567"/>
      <c r="UZP83" s="2567"/>
      <c r="UZQ83" s="2567"/>
      <c r="UZR83" s="2567"/>
      <c r="UZS83" s="2567"/>
      <c r="UZT83" s="2567"/>
      <c r="UZU83" s="2567"/>
      <c r="UZV83" s="2567"/>
      <c r="UZW83" s="2567"/>
      <c r="UZX83" s="2567"/>
      <c r="UZY83" s="2567"/>
      <c r="UZZ83" s="2567"/>
      <c r="VAA83" s="2567"/>
      <c r="VAB83" s="2567"/>
      <c r="VAC83" s="2567"/>
      <c r="VAD83" s="2567"/>
      <c r="VAE83" s="2567"/>
      <c r="VAF83" s="2567"/>
      <c r="VAG83" s="2567"/>
      <c r="VAH83" s="2567"/>
      <c r="VAI83" s="2567"/>
      <c r="VAJ83" s="2567"/>
      <c r="VAK83" s="2567"/>
      <c r="VAL83" s="2567"/>
      <c r="VAM83" s="2567"/>
      <c r="VAN83" s="2567"/>
      <c r="VAO83" s="2567"/>
      <c r="VAP83" s="2567"/>
      <c r="VAQ83" s="2567"/>
      <c r="VAR83" s="2567"/>
      <c r="VAS83" s="2567"/>
      <c r="VAT83" s="2567"/>
      <c r="VAU83" s="2567"/>
      <c r="VAV83" s="2567"/>
      <c r="VAW83" s="2567"/>
      <c r="VAX83" s="2567"/>
      <c r="VAY83" s="2567"/>
      <c r="VAZ83" s="2567"/>
      <c r="VBA83" s="2567"/>
      <c r="VBB83" s="2567"/>
      <c r="VBC83" s="2567"/>
      <c r="VBD83" s="2567"/>
      <c r="VBE83" s="2567"/>
      <c r="VBF83" s="2567"/>
      <c r="VBG83" s="2567"/>
      <c r="VBH83" s="2567"/>
      <c r="VBI83" s="2567"/>
      <c r="VBJ83" s="2567"/>
      <c r="VBK83" s="2567"/>
      <c r="VBL83" s="2567"/>
      <c r="VBM83" s="2567"/>
      <c r="VBN83" s="2567"/>
      <c r="VBO83" s="2567"/>
      <c r="VBP83" s="2567"/>
      <c r="VBQ83" s="2567"/>
      <c r="VBR83" s="2567"/>
      <c r="VBS83" s="2567"/>
      <c r="VBT83" s="2567"/>
      <c r="VBU83" s="2567"/>
      <c r="VBV83" s="2567"/>
      <c r="VBW83" s="2567"/>
      <c r="VBX83" s="2567"/>
      <c r="VBY83" s="2567"/>
      <c r="VBZ83" s="2567"/>
      <c r="VCA83" s="2567"/>
      <c r="VCB83" s="2567"/>
      <c r="VCC83" s="2567"/>
      <c r="VCD83" s="2567"/>
      <c r="VCE83" s="2567"/>
      <c r="VCF83" s="2567"/>
      <c r="VCG83" s="2567"/>
      <c r="VCH83" s="2567"/>
      <c r="VCI83" s="2567"/>
      <c r="VCJ83" s="2567"/>
      <c r="VCK83" s="2567"/>
      <c r="VCL83" s="2567"/>
      <c r="VCM83" s="2567"/>
      <c r="VCN83" s="2567"/>
      <c r="VCO83" s="2567"/>
      <c r="VCP83" s="2567"/>
      <c r="VCQ83" s="2567"/>
      <c r="VCR83" s="2567"/>
      <c r="VCS83" s="2567"/>
      <c r="VCT83" s="2567"/>
      <c r="VCU83" s="2567"/>
      <c r="VCV83" s="2567"/>
      <c r="VCW83" s="2567"/>
      <c r="VCX83" s="2567"/>
      <c r="VCY83" s="2567"/>
      <c r="VCZ83" s="2567"/>
      <c r="VDA83" s="2567"/>
      <c r="VDB83" s="2567"/>
      <c r="VDC83" s="2567"/>
      <c r="VDD83" s="2567"/>
      <c r="VDE83" s="2567"/>
      <c r="VDF83" s="2567"/>
      <c r="VDG83" s="2567"/>
      <c r="VDH83" s="2567"/>
      <c r="VDI83" s="2567"/>
      <c r="VDJ83" s="2567"/>
      <c r="VDK83" s="2567"/>
      <c r="VDL83" s="2567"/>
      <c r="VDM83" s="2567"/>
      <c r="VDN83" s="2567"/>
      <c r="VDO83" s="2567"/>
      <c r="VDP83" s="2567"/>
      <c r="VDQ83" s="2567"/>
      <c r="VDR83" s="2567"/>
      <c r="VDS83" s="2567"/>
      <c r="VDT83" s="2567"/>
      <c r="VDU83" s="2567"/>
      <c r="VDV83" s="2567"/>
      <c r="VDW83" s="2567"/>
      <c r="VDX83" s="2567"/>
      <c r="VDY83" s="2567"/>
      <c r="VDZ83" s="2567"/>
      <c r="VEA83" s="2567"/>
      <c r="VEB83" s="2567"/>
      <c r="VEC83" s="2567"/>
      <c r="VED83" s="2567"/>
      <c r="VEE83" s="2567"/>
      <c r="VEF83" s="2567"/>
      <c r="VEG83" s="2567"/>
      <c r="VEH83" s="2567"/>
      <c r="VEI83" s="2567"/>
      <c r="VEJ83" s="2567"/>
      <c r="VEK83" s="2567"/>
      <c r="VEL83" s="2567"/>
      <c r="VEM83" s="2567"/>
      <c r="VEN83" s="2567"/>
      <c r="VEO83" s="2567"/>
      <c r="VEP83" s="2567"/>
      <c r="VEQ83" s="2567"/>
      <c r="VER83" s="2567"/>
      <c r="VES83" s="2567"/>
      <c r="VET83" s="2567"/>
      <c r="VEU83" s="2567"/>
      <c r="VEV83" s="2567"/>
      <c r="VEW83" s="2567"/>
      <c r="VEX83" s="2567"/>
      <c r="VEY83" s="2567"/>
      <c r="VEZ83" s="2567"/>
      <c r="VFA83" s="2567"/>
      <c r="VFB83" s="2567"/>
      <c r="VFC83" s="2567"/>
      <c r="VFD83" s="2567"/>
      <c r="VFE83" s="2567"/>
      <c r="VFF83" s="2567"/>
      <c r="VFG83" s="2567"/>
      <c r="VFH83" s="2567"/>
      <c r="VFI83" s="2567"/>
      <c r="VFJ83" s="2567"/>
      <c r="VFK83" s="2567"/>
      <c r="VFL83" s="2567"/>
      <c r="VFM83" s="2567"/>
      <c r="VFN83" s="2567"/>
      <c r="VFO83" s="2567"/>
      <c r="VFP83" s="2567"/>
      <c r="VFQ83" s="2567"/>
      <c r="VFR83" s="2567"/>
      <c r="VFS83" s="2567"/>
      <c r="VFT83" s="2567"/>
      <c r="VFU83" s="2567"/>
      <c r="VFV83" s="2567"/>
      <c r="VFW83" s="2567"/>
      <c r="VFX83" s="2567"/>
      <c r="VFY83" s="2567"/>
      <c r="VFZ83" s="2567"/>
      <c r="VGA83" s="2567"/>
      <c r="VGB83" s="2567"/>
      <c r="VGC83" s="2567"/>
      <c r="VGD83" s="2567"/>
      <c r="VGE83" s="2567"/>
      <c r="VGF83" s="2567"/>
      <c r="VGG83" s="2567"/>
      <c r="VGH83" s="2567"/>
      <c r="VGI83" s="2567"/>
      <c r="VGJ83" s="2567"/>
      <c r="VGK83" s="2567"/>
      <c r="VGL83" s="2567"/>
      <c r="VGM83" s="2567"/>
      <c r="VGN83" s="2567"/>
      <c r="VGO83" s="2567"/>
      <c r="VGP83" s="2567"/>
      <c r="VGQ83" s="2567"/>
      <c r="VGR83" s="2567"/>
      <c r="VGS83" s="2567"/>
      <c r="VGT83" s="2567"/>
      <c r="VGU83" s="2567"/>
      <c r="VGV83" s="2567"/>
      <c r="VGW83" s="2567"/>
      <c r="VGX83" s="2567"/>
      <c r="VGY83" s="2567"/>
      <c r="VGZ83" s="2567"/>
      <c r="VHA83" s="2567"/>
      <c r="VHB83" s="2567"/>
      <c r="VHC83" s="2567"/>
      <c r="VHD83" s="2567"/>
      <c r="VHE83" s="2567"/>
      <c r="VHF83" s="2567"/>
      <c r="VHG83" s="2567"/>
      <c r="VHH83" s="2567"/>
      <c r="VHI83" s="2567"/>
      <c r="VHJ83" s="2567"/>
      <c r="VHK83" s="2567"/>
      <c r="VHL83" s="2567"/>
      <c r="VHM83" s="2567"/>
      <c r="VHN83" s="2567"/>
      <c r="VHO83" s="2567"/>
      <c r="VHP83" s="2567"/>
      <c r="VHQ83" s="2567"/>
      <c r="VHR83" s="2567"/>
      <c r="VHS83" s="2567"/>
      <c r="VHT83" s="2567"/>
      <c r="VHU83" s="2567"/>
      <c r="VHV83" s="2567"/>
      <c r="VHW83" s="2567"/>
      <c r="VHX83" s="2567"/>
      <c r="VHY83" s="2567"/>
      <c r="VHZ83" s="2567"/>
      <c r="VIA83" s="2567"/>
      <c r="VIB83" s="2567"/>
      <c r="VIC83" s="2567"/>
      <c r="VID83" s="2567"/>
      <c r="VIE83" s="2567"/>
      <c r="VIF83" s="2567"/>
      <c r="VIG83" s="2567"/>
      <c r="VIH83" s="2567"/>
      <c r="VII83" s="2567"/>
      <c r="VIJ83" s="2567"/>
      <c r="VIK83" s="2567"/>
      <c r="VIL83" s="2567"/>
      <c r="VIM83" s="2567"/>
      <c r="VIN83" s="2567"/>
      <c r="VIO83" s="2567"/>
      <c r="VIP83" s="2567"/>
      <c r="VIQ83" s="2567"/>
      <c r="VIR83" s="2567"/>
      <c r="VIS83" s="2567"/>
      <c r="VIT83" s="2567"/>
      <c r="VIU83" s="2567"/>
      <c r="VIV83" s="2567"/>
      <c r="VIW83" s="2567"/>
      <c r="VIX83" s="2567"/>
      <c r="VIY83" s="2567"/>
      <c r="VIZ83" s="2567"/>
      <c r="VJA83" s="2567"/>
      <c r="VJB83" s="2567"/>
      <c r="VJC83" s="2567"/>
      <c r="VJD83" s="2567"/>
      <c r="VJE83" s="2567"/>
      <c r="VJF83" s="2567"/>
      <c r="VJG83" s="2567"/>
      <c r="VJH83" s="2567"/>
      <c r="VJI83" s="2567"/>
      <c r="VJJ83" s="2567"/>
      <c r="VJK83" s="2567"/>
      <c r="VJL83" s="2567"/>
      <c r="VJM83" s="2567"/>
      <c r="VJN83" s="2567"/>
      <c r="VJO83" s="2567"/>
      <c r="VJP83" s="2567"/>
      <c r="VJQ83" s="2567"/>
      <c r="VJR83" s="2567"/>
      <c r="VJS83" s="2567"/>
      <c r="VJT83" s="2567"/>
      <c r="VJU83" s="2567"/>
      <c r="VJV83" s="2567"/>
      <c r="VJW83" s="2567"/>
      <c r="VJX83" s="2567"/>
      <c r="VJY83" s="2567"/>
      <c r="VJZ83" s="2567"/>
      <c r="VKA83" s="2567"/>
      <c r="VKB83" s="2567"/>
      <c r="VKC83" s="2567"/>
      <c r="VKD83" s="2567"/>
      <c r="VKE83" s="2567"/>
      <c r="VKF83" s="2567"/>
      <c r="VKG83" s="2567"/>
      <c r="VKH83" s="2567"/>
      <c r="VKI83" s="2567"/>
      <c r="VKJ83" s="2567"/>
      <c r="VKK83" s="2567"/>
      <c r="VKL83" s="2567"/>
      <c r="VKM83" s="2567"/>
      <c r="VKN83" s="2567"/>
      <c r="VKO83" s="2567"/>
      <c r="VKP83" s="2567"/>
      <c r="VKQ83" s="2567"/>
      <c r="VKR83" s="2567"/>
      <c r="VKS83" s="2567"/>
      <c r="VKT83" s="2567"/>
      <c r="VKU83" s="2567"/>
      <c r="VKV83" s="2567"/>
      <c r="VKW83" s="2567"/>
      <c r="VKX83" s="2567"/>
      <c r="VKY83" s="2567"/>
      <c r="VKZ83" s="2567"/>
      <c r="VLA83" s="2567"/>
      <c r="VLB83" s="2567"/>
      <c r="VLC83" s="2567"/>
      <c r="VLD83" s="2567"/>
      <c r="VLE83" s="2567"/>
      <c r="VLF83" s="2567"/>
      <c r="VLG83" s="2567"/>
      <c r="VLH83" s="2567"/>
      <c r="VLI83" s="2567"/>
      <c r="VLJ83" s="2567"/>
      <c r="VLK83" s="2567"/>
      <c r="VLL83" s="2567"/>
      <c r="VLM83" s="2567"/>
      <c r="VLN83" s="2567"/>
      <c r="VLO83" s="2567"/>
      <c r="VLP83" s="2567"/>
      <c r="VLQ83" s="2567"/>
      <c r="VLR83" s="2567"/>
      <c r="VLS83" s="2567"/>
      <c r="VLT83" s="2567"/>
      <c r="VLU83" s="2567"/>
      <c r="VLV83" s="2567"/>
      <c r="VLW83" s="2567"/>
      <c r="VLX83" s="2567"/>
      <c r="VLY83" s="2567"/>
      <c r="VLZ83" s="2567"/>
      <c r="VMA83" s="2567"/>
      <c r="VMB83" s="2567"/>
      <c r="VMC83" s="2567"/>
      <c r="VMD83" s="2567"/>
      <c r="VME83" s="2567"/>
      <c r="VMF83" s="2567"/>
      <c r="VMG83" s="2567"/>
      <c r="VMH83" s="2567"/>
      <c r="VMI83" s="2567"/>
      <c r="VMJ83" s="2567"/>
      <c r="VMK83" s="2567"/>
      <c r="VML83" s="2567"/>
      <c r="VMM83" s="2567"/>
      <c r="VMN83" s="2567"/>
      <c r="VMO83" s="2567"/>
      <c r="VMP83" s="2567"/>
      <c r="VMQ83" s="2567"/>
      <c r="VMR83" s="2567"/>
      <c r="VMS83" s="2567"/>
      <c r="VMT83" s="2567"/>
      <c r="VMU83" s="2567"/>
      <c r="VMV83" s="2567"/>
      <c r="VMW83" s="2567"/>
      <c r="VMX83" s="2567"/>
      <c r="VMY83" s="2567"/>
      <c r="VMZ83" s="2567"/>
      <c r="VNA83" s="2567"/>
      <c r="VNB83" s="2567"/>
      <c r="VNC83" s="2567"/>
      <c r="VND83" s="2567"/>
      <c r="VNE83" s="2567"/>
      <c r="VNF83" s="2567"/>
      <c r="VNG83" s="2567"/>
      <c r="VNH83" s="2567"/>
      <c r="VNI83" s="2567"/>
      <c r="VNJ83" s="2567"/>
      <c r="VNK83" s="2567"/>
      <c r="VNL83" s="2567"/>
      <c r="VNM83" s="2567"/>
      <c r="VNN83" s="2567"/>
      <c r="VNO83" s="2567"/>
      <c r="VNP83" s="2567"/>
      <c r="VNQ83" s="2567"/>
      <c r="VNR83" s="2567"/>
      <c r="VNS83" s="2567"/>
      <c r="VNT83" s="2567"/>
      <c r="VNU83" s="2567"/>
      <c r="VNV83" s="2567"/>
      <c r="VNW83" s="2567"/>
      <c r="VNX83" s="2567"/>
      <c r="VNY83" s="2567"/>
      <c r="VNZ83" s="2567"/>
      <c r="VOA83" s="2567"/>
      <c r="VOB83" s="2567"/>
      <c r="VOC83" s="2567"/>
      <c r="VOD83" s="2567"/>
      <c r="VOE83" s="2567"/>
      <c r="VOF83" s="2567"/>
      <c r="VOG83" s="2567"/>
      <c r="VOH83" s="2567"/>
      <c r="VOI83" s="2567"/>
      <c r="VOJ83" s="2567"/>
      <c r="VOK83" s="2567"/>
      <c r="VOL83" s="2567"/>
      <c r="VOM83" s="2567"/>
      <c r="VON83" s="2567"/>
      <c r="VOO83" s="2567"/>
      <c r="VOP83" s="2567"/>
      <c r="VOQ83" s="2567"/>
      <c r="VOR83" s="2567"/>
      <c r="VOS83" s="2567"/>
      <c r="VOT83" s="2567"/>
      <c r="VOU83" s="2567"/>
      <c r="VOV83" s="2567"/>
      <c r="VOW83" s="2567"/>
      <c r="VOX83" s="2567"/>
      <c r="VOY83" s="2567"/>
      <c r="VOZ83" s="2567"/>
      <c r="VPA83" s="2567"/>
      <c r="VPB83" s="2567"/>
      <c r="VPC83" s="2567"/>
      <c r="VPD83" s="2567"/>
      <c r="VPE83" s="2567"/>
      <c r="VPF83" s="2567"/>
      <c r="VPG83" s="2567"/>
      <c r="VPH83" s="2567"/>
      <c r="VPI83" s="2567"/>
      <c r="VPJ83" s="2567"/>
      <c r="VPK83" s="2567"/>
      <c r="VPL83" s="2567"/>
      <c r="VPM83" s="2567"/>
      <c r="VPN83" s="2567"/>
      <c r="VPO83" s="2567"/>
      <c r="VPP83" s="2567"/>
      <c r="VPQ83" s="2567"/>
      <c r="VPR83" s="2567"/>
      <c r="VPS83" s="2567"/>
      <c r="VPT83" s="2567"/>
      <c r="VPU83" s="2567"/>
      <c r="VPV83" s="2567"/>
      <c r="VPW83" s="2567"/>
      <c r="VPX83" s="2567"/>
      <c r="VPY83" s="2567"/>
      <c r="VPZ83" s="2567"/>
      <c r="VQA83" s="2567"/>
      <c r="VQB83" s="2567"/>
      <c r="VQC83" s="2567"/>
      <c r="VQD83" s="2567"/>
      <c r="VQE83" s="2567"/>
      <c r="VQF83" s="2567"/>
      <c r="VQG83" s="2567"/>
      <c r="VQH83" s="2567"/>
      <c r="VQI83" s="2567"/>
      <c r="VQJ83" s="2567"/>
      <c r="VQK83" s="2567"/>
      <c r="VQL83" s="2567"/>
      <c r="VQM83" s="2567"/>
      <c r="VQN83" s="2567"/>
      <c r="VQO83" s="2567"/>
      <c r="VQP83" s="2567"/>
      <c r="VQQ83" s="2567"/>
      <c r="VQR83" s="2567"/>
      <c r="VQS83" s="2567"/>
      <c r="VQT83" s="2567"/>
      <c r="VQU83" s="2567"/>
      <c r="VQV83" s="2567"/>
      <c r="VQW83" s="2567"/>
      <c r="VQX83" s="2567"/>
      <c r="VQY83" s="2567"/>
      <c r="VQZ83" s="2567"/>
      <c r="VRA83" s="2567"/>
      <c r="VRB83" s="2567"/>
      <c r="VRC83" s="2567"/>
      <c r="VRD83" s="2567"/>
      <c r="VRE83" s="2567"/>
      <c r="VRF83" s="2567"/>
      <c r="VRG83" s="2567"/>
      <c r="VRH83" s="2567"/>
      <c r="VRI83" s="2567"/>
      <c r="VRJ83" s="2567"/>
      <c r="VRK83" s="2567"/>
      <c r="VRL83" s="2567"/>
      <c r="VRM83" s="2567"/>
      <c r="VRN83" s="2567"/>
      <c r="VRO83" s="2567"/>
      <c r="VRP83" s="2567"/>
      <c r="VRQ83" s="2567"/>
      <c r="VRR83" s="2567"/>
      <c r="VRS83" s="2567"/>
      <c r="VRT83" s="2567"/>
      <c r="VRU83" s="2567"/>
      <c r="VRV83" s="2567"/>
      <c r="VRW83" s="2567"/>
      <c r="VRX83" s="2567"/>
      <c r="VRY83" s="2567"/>
      <c r="VRZ83" s="2567"/>
      <c r="VSA83" s="2567"/>
      <c r="VSB83" s="2567"/>
      <c r="VSC83" s="2567"/>
      <c r="VSD83" s="2567"/>
      <c r="VSE83" s="2567"/>
      <c r="VSF83" s="2567"/>
      <c r="VSG83" s="2567"/>
      <c r="VSH83" s="2567"/>
      <c r="VSI83" s="2567"/>
      <c r="VSJ83" s="2567"/>
      <c r="VSK83" s="2567"/>
      <c r="VSL83" s="2567"/>
      <c r="VSM83" s="2567"/>
      <c r="VSN83" s="2567"/>
      <c r="VSO83" s="2567"/>
      <c r="VSP83" s="2567"/>
      <c r="VSQ83" s="2567"/>
      <c r="VSR83" s="2567"/>
      <c r="VSS83" s="2567"/>
      <c r="VST83" s="2567"/>
      <c r="VSU83" s="2567"/>
      <c r="VSV83" s="2567"/>
      <c r="VSW83" s="2567"/>
      <c r="VSX83" s="2567"/>
      <c r="VSY83" s="2567"/>
      <c r="VSZ83" s="2567"/>
      <c r="VTA83" s="2567"/>
      <c r="VTB83" s="2567"/>
      <c r="VTC83" s="2567"/>
      <c r="VTD83" s="2567"/>
      <c r="VTE83" s="2567"/>
      <c r="VTF83" s="2567"/>
      <c r="VTG83" s="2567"/>
      <c r="VTH83" s="2567"/>
      <c r="VTI83" s="2567"/>
      <c r="VTJ83" s="2567"/>
      <c r="VTK83" s="2567"/>
      <c r="VTL83" s="2567"/>
      <c r="VTM83" s="2567"/>
      <c r="VTN83" s="2567"/>
      <c r="VTO83" s="2567"/>
      <c r="VTP83" s="2567"/>
      <c r="VTQ83" s="2567"/>
      <c r="VTR83" s="2567"/>
      <c r="VTS83" s="2567"/>
      <c r="VTT83" s="2567"/>
      <c r="VTU83" s="2567"/>
      <c r="VTV83" s="2567"/>
      <c r="VTW83" s="2567"/>
      <c r="VTX83" s="2567"/>
      <c r="VTY83" s="2567"/>
      <c r="VTZ83" s="2567"/>
      <c r="VUA83" s="2567"/>
      <c r="VUB83" s="2567"/>
      <c r="VUC83" s="2567"/>
      <c r="VUD83" s="2567"/>
      <c r="VUE83" s="2567"/>
      <c r="VUF83" s="2567"/>
      <c r="VUG83" s="2567"/>
      <c r="VUH83" s="2567"/>
      <c r="VUI83" s="2567"/>
      <c r="VUJ83" s="2567"/>
      <c r="VUK83" s="2567"/>
      <c r="VUL83" s="2567"/>
      <c r="VUM83" s="2567"/>
      <c r="VUN83" s="2567"/>
      <c r="VUO83" s="2567"/>
      <c r="VUP83" s="2567"/>
      <c r="VUQ83" s="2567"/>
      <c r="VUR83" s="2567"/>
      <c r="VUS83" s="2567"/>
      <c r="VUT83" s="2567"/>
      <c r="VUU83" s="2567"/>
      <c r="VUV83" s="2567"/>
      <c r="VUW83" s="2567"/>
      <c r="VUX83" s="2567"/>
      <c r="VUY83" s="2567"/>
      <c r="VUZ83" s="2567"/>
      <c r="VVA83" s="2567"/>
      <c r="VVB83" s="2567"/>
      <c r="VVC83" s="2567"/>
      <c r="VVD83" s="2567"/>
      <c r="VVE83" s="2567"/>
      <c r="VVF83" s="2567"/>
      <c r="VVG83" s="2567"/>
      <c r="VVH83" s="2567"/>
      <c r="VVI83" s="2567"/>
      <c r="VVJ83" s="2567"/>
      <c r="VVK83" s="2567"/>
      <c r="VVL83" s="2567"/>
      <c r="VVM83" s="2567"/>
      <c r="VVN83" s="2567"/>
      <c r="VVO83" s="2567"/>
      <c r="VVP83" s="2567"/>
      <c r="VVQ83" s="2567"/>
      <c r="VVR83" s="2567"/>
      <c r="VVS83" s="2567"/>
      <c r="VVT83" s="2567"/>
      <c r="VVU83" s="2567"/>
      <c r="VVV83" s="2567"/>
      <c r="VVW83" s="2567"/>
      <c r="VVX83" s="2567"/>
      <c r="VVY83" s="2567"/>
      <c r="VVZ83" s="2567"/>
      <c r="VWA83" s="2567"/>
      <c r="VWB83" s="2567"/>
      <c r="VWC83" s="2567"/>
      <c r="VWD83" s="2567"/>
      <c r="VWE83" s="2567"/>
      <c r="VWF83" s="2567"/>
      <c r="VWG83" s="2567"/>
      <c r="VWH83" s="2567"/>
      <c r="VWI83" s="2567"/>
      <c r="VWJ83" s="2567"/>
      <c r="VWK83" s="2567"/>
      <c r="VWL83" s="2567"/>
      <c r="VWM83" s="2567"/>
      <c r="VWN83" s="2567"/>
      <c r="VWO83" s="2567"/>
      <c r="VWP83" s="2567"/>
      <c r="VWQ83" s="2567"/>
      <c r="VWR83" s="2567"/>
      <c r="VWS83" s="2567"/>
      <c r="VWT83" s="2567"/>
      <c r="VWU83" s="2567"/>
      <c r="VWV83" s="2567"/>
      <c r="VWW83" s="2567"/>
      <c r="VWX83" s="2567"/>
      <c r="VWY83" s="2567"/>
      <c r="VWZ83" s="2567"/>
      <c r="VXA83" s="2567"/>
      <c r="VXB83" s="2567"/>
      <c r="VXC83" s="2567"/>
      <c r="VXD83" s="2567"/>
      <c r="VXE83" s="2567"/>
      <c r="VXF83" s="2567"/>
      <c r="VXG83" s="2567"/>
      <c r="VXH83" s="2567"/>
      <c r="VXI83" s="2567"/>
      <c r="VXJ83" s="2567"/>
      <c r="VXK83" s="2567"/>
      <c r="VXL83" s="2567"/>
      <c r="VXM83" s="2567"/>
      <c r="VXN83" s="2567"/>
      <c r="VXO83" s="2567"/>
      <c r="VXP83" s="2567"/>
      <c r="VXQ83" s="2567"/>
      <c r="VXR83" s="2567"/>
      <c r="VXS83" s="2567"/>
      <c r="VXT83" s="2567"/>
      <c r="VXU83" s="2567"/>
      <c r="VXV83" s="2567"/>
      <c r="VXW83" s="2567"/>
      <c r="VXX83" s="2567"/>
      <c r="VXY83" s="2567"/>
      <c r="VXZ83" s="2567"/>
      <c r="VYA83" s="2567"/>
      <c r="VYB83" s="2567"/>
      <c r="VYC83" s="2567"/>
      <c r="VYD83" s="2567"/>
      <c r="VYE83" s="2567"/>
      <c r="VYF83" s="2567"/>
      <c r="VYG83" s="2567"/>
      <c r="VYH83" s="2567"/>
      <c r="VYI83" s="2567"/>
      <c r="VYJ83" s="2567"/>
      <c r="VYK83" s="2567"/>
      <c r="VYL83" s="2567"/>
      <c r="VYM83" s="2567"/>
      <c r="VYN83" s="2567"/>
      <c r="VYO83" s="2567"/>
      <c r="VYP83" s="2567"/>
      <c r="VYQ83" s="2567"/>
      <c r="VYR83" s="2567"/>
      <c r="VYS83" s="2567"/>
      <c r="VYT83" s="2567"/>
      <c r="VYU83" s="2567"/>
      <c r="VYV83" s="2567"/>
      <c r="VYW83" s="2567"/>
      <c r="VYX83" s="2567"/>
      <c r="VYY83" s="2567"/>
      <c r="VYZ83" s="2567"/>
      <c r="VZA83" s="2567"/>
      <c r="VZB83" s="2567"/>
      <c r="VZC83" s="2567"/>
      <c r="VZD83" s="2567"/>
      <c r="VZE83" s="2567"/>
      <c r="VZF83" s="2567"/>
      <c r="VZG83" s="2567"/>
      <c r="VZH83" s="2567"/>
      <c r="VZI83" s="2567"/>
      <c r="VZJ83" s="2567"/>
      <c r="VZK83" s="2567"/>
      <c r="VZL83" s="2567"/>
      <c r="VZM83" s="2567"/>
      <c r="VZN83" s="2567"/>
      <c r="VZO83" s="2567"/>
      <c r="VZP83" s="2567"/>
      <c r="VZQ83" s="2567"/>
      <c r="VZR83" s="2567"/>
      <c r="VZS83" s="2567"/>
      <c r="VZT83" s="2567"/>
      <c r="VZU83" s="2567"/>
      <c r="VZV83" s="2567"/>
      <c r="VZW83" s="2567"/>
      <c r="VZX83" s="2567"/>
      <c r="VZY83" s="2567"/>
      <c r="VZZ83" s="2567"/>
      <c r="WAA83" s="2567"/>
      <c r="WAB83" s="2567"/>
      <c r="WAC83" s="2567"/>
      <c r="WAD83" s="2567"/>
      <c r="WAE83" s="2567"/>
      <c r="WAF83" s="2567"/>
      <c r="WAG83" s="2567"/>
      <c r="WAH83" s="2567"/>
      <c r="WAI83" s="2567"/>
      <c r="WAJ83" s="2567"/>
      <c r="WAK83" s="2567"/>
      <c r="WAL83" s="2567"/>
      <c r="WAM83" s="2567"/>
      <c r="WAN83" s="2567"/>
      <c r="WAO83" s="2567"/>
      <c r="WAP83" s="2567"/>
      <c r="WAQ83" s="2567"/>
      <c r="WAR83" s="2567"/>
      <c r="WAS83" s="2567"/>
      <c r="WAT83" s="2567"/>
      <c r="WAU83" s="2567"/>
      <c r="WAV83" s="2567"/>
      <c r="WAW83" s="2567"/>
      <c r="WAX83" s="2567"/>
      <c r="WAY83" s="2567"/>
      <c r="WAZ83" s="2567"/>
      <c r="WBA83" s="2567"/>
      <c r="WBB83" s="2567"/>
      <c r="WBC83" s="2567"/>
      <c r="WBD83" s="2567"/>
      <c r="WBE83" s="2567"/>
      <c r="WBF83" s="2567"/>
      <c r="WBG83" s="2567"/>
      <c r="WBH83" s="2567"/>
      <c r="WBI83" s="2567"/>
      <c r="WBJ83" s="2567"/>
      <c r="WBK83" s="2567"/>
      <c r="WBL83" s="2567"/>
      <c r="WBM83" s="2567"/>
      <c r="WBN83" s="2567"/>
      <c r="WBO83" s="2567"/>
      <c r="WBP83" s="2567"/>
      <c r="WBQ83" s="2567"/>
      <c r="WBR83" s="2567"/>
      <c r="WBS83" s="2567"/>
      <c r="WBT83" s="2567"/>
      <c r="WBU83" s="2567"/>
      <c r="WBV83" s="2567"/>
      <c r="WBW83" s="2567"/>
      <c r="WBX83" s="2567"/>
      <c r="WBY83" s="2567"/>
      <c r="WBZ83" s="2567"/>
      <c r="WCA83" s="2567"/>
      <c r="WCB83" s="2567"/>
      <c r="WCC83" s="2567"/>
      <c r="WCD83" s="2567"/>
      <c r="WCE83" s="2567"/>
      <c r="WCF83" s="2567"/>
      <c r="WCG83" s="2567"/>
      <c r="WCH83" s="2567"/>
      <c r="WCI83" s="2567"/>
      <c r="WCJ83" s="2567"/>
      <c r="WCK83" s="2567"/>
      <c r="WCL83" s="2567"/>
      <c r="WCM83" s="2567"/>
      <c r="WCN83" s="2567"/>
      <c r="WCO83" s="2567"/>
      <c r="WCP83" s="2567"/>
      <c r="WCQ83" s="2567"/>
      <c r="WCR83" s="2567"/>
      <c r="WCS83" s="2567"/>
      <c r="WCT83" s="2567"/>
      <c r="WCU83" s="2567"/>
      <c r="WCV83" s="2567"/>
      <c r="WCW83" s="2567"/>
      <c r="WCX83" s="2567"/>
      <c r="WCY83" s="2567"/>
      <c r="WCZ83" s="2567"/>
      <c r="WDA83" s="2567"/>
      <c r="WDB83" s="2567"/>
      <c r="WDC83" s="2567"/>
      <c r="WDD83" s="2567"/>
      <c r="WDE83" s="2567"/>
      <c r="WDF83" s="2567"/>
      <c r="WDG83" s="2567"/>
      <c r="WDH83" s="2567"/>
      <c r="WDI83" s="2567"/>
      <c r="WDJ83" s="2567"/>
      <c r="WDK83" s="2567"/>
      <c r="WDL83" s="2567"/>
      <c r="WDM83" s="2567"/>
      <c r="WDN83" s="2567"/>
      <c r="WDO83" s="2567"/>
      <c r="WDP83" s="2567"/>
      <c r="WDQ83" s="2567"/>
      <c r="WDR83" s="2567"/>
      <c r="WDS83" s="2567"/>
      <c r="WDT83" s="2567"/>
      <c r="WDU83" s="2567"/>
      <c r="WDV83" s="2567"/>
      <c r="WDW83" s="2567"/>
      <c r="WDX83" s="2567"/>
      <c r="WDY83" s="2567"/>
      <c r="WDZ83" s="2567"/>
      <c r="WEA83" s="2567"/>
      <c r="WEB83" s="2567"/>
      <c r="WEC83" s="2567"/>
      <c r="WED83" s="2567"/>
      <c r="WEE83" s="2567"/>
      <c r="WEF83" s="2567"/>
      <c r="WEG83" s="2567"/>
      <c r="WEH83" s="2567"/>
      <c r="WEI83" s="2567"/>
      <c r="WEJ83" s="2567"/>
      <c r="WEK83" s="2567"/>
      <c r="WEL83" s="2567"/>
      <c r="WEM83" s="2567"/>
      <c r="WEN83" s="2567"/>
      <c r="WEO83" s="2567"/>
      <c r="WEP83" s="2567"/>
      <c r="WEQ83" s="2567"/>
      <c r="WER83" s="2567"/>
      <c r="WES83" s="2567"/>
      <c r="WET83" s="2567"/>
      <c r="WEU83" s="2567"/>
      <c r="WEV83" s="2567"/>
      <c r="WEW83" s="2567"/>
      <c r="WEX83" s="2567"/>
      <c r="WEY83" s="2567"/>
      <c r="WEZ83" s="2567"/>
      <c r="WFA83" s="2567"/>
      <c r="WFB83" s="2567"/>
      <c r="WFC83" s="2567"/>
      <c r="WFD83" s="2567"/>
      <c r="WFE83" s="2567"/>
      <c r="WFF83" s="2567"/>
      <c r="WFG83" s="2567"/>
      <c r="WFH83" s="2567"/>
      <c r="WFI83" s="2567"/>
      <c r="WFJ83" s="2567"/>
      <c r="WFK83" s="2567"/>
      <c r="WFL83" s="2567"/>
      <c r="WFM83" s="2567"/>
      <c r="WFN83" s="2567"/>
      <c r="WFO83" s="2567"/>
      <c r="WFP83" s="2567"/>
      <c r="WFQ83" s="2567"/>
      <c r="WFR83" s="2567"/>
      <c r="WFS83" s="2567"/>
      <c r="WFT83" s="2567"/>
      <c r="WFU83" s="2567"/>
      <c r="WFV83" s="2567"/>
      <c r="WFW83" s="2567"/>
      <c r="WFX83" s="2567"/>
      <c r="WFY83" s="2567"/>
      <c r="WFZ83" s="2567"/>
      <c r="WGA83" s="2567"/>
      <c r="WGB83" s="2567"/>
      <c r="WGC83" s="2567"/>
      <c r="WGD83" s="2567"/>
      <c r="WGE83" s="2567"/>
      <c r="WGF83" s="2567"/>
      <c r="WGG83" s="2567"/>
      <c r="WGH83" s="2567"/>
      <c r="WGI83" s="2567"/>
      <c r="WGJ83" s="2567"/>
      <c r="WGK83" s="2567"/>
      <c r="WGL83" s="2567"/>
      <c r="WGM83" s="2567"/>
      <c r="WGN83" s="2567"/>
      <c r="WGO83" s="2567"/>
      <c r="WGP83" s="2567"/>
      <c r="WGQ83" s="2567"/>
      <c r="WGR83" s="2567"/>
      <c r="WGS83" s="2567"/>
      <c r="WGT83" s="2567"/>
      <c r="WGU83" s="2567"/>
      <c r="WGV83" s="2567"/>
      <c r="WGW83" s="2567"/>
      <c r="WGX83" s="2567"/>
      <c r="WGY83" s="2567"/>
      <c r="WGZ83" s="2567"/>
      <c r="WHA83" s="2567"/>
      <c r="WHB83" s="2567"/>
      <c r="WHC83" s="2567"/>
      <c r="WHD83" s="2567"/>
      <c r="WHE83" s="2567"/>
      <c r="WHF83" s="2567"/>
      <c r="WHG83" s="2567"/>
      <c r="WHH83" s="2567"/>
      <c r="WHI83" s="2567"/>
      <c r="WHJ83" s="2567"/>
      <c r="WHK83" s="2567"/>
      <c r="WHL83" s="2567"/>
      <c r="WHM83" s="2567"/>
      <c r="WHN83" s="2567"/>
      <c r="WHO83" s="2567"/>
      <c r="WHP83" s="2567"/>
      <c r="WHQ83" s="2567"/>
      <c r="WHR83" s="2567"/>
      <c r="WHS83" s="2567"/>
      <c r="WHT83" s="2567"/>
      <c r="WHU83" s="2567"/>
      <c r="WHV83" s="2567"/>
      <c r="WHW83" s="2567"/>
      <c r="WHX83" s="2567"/>
      <c r="WHY83" s="2567"/>
      <c r="WHZ83" s="2567"/>
      <c r="WIA83" s="2567"/>
      <c r="WIB83" s="2567"/>
      <c r="WIC83" s="2567"/>
      <c r="WID83" s="2567"/>
      <c r="WIE83" s="2567"/>
      <c r="WIF83" s="2567"/>
      <c r="WIG83" s="2567"/>
      <c r="WIH83" s="2567"/>
      <c r="WII83" s="2567"/>
      <c r="WIJ83" s="2567"/>
      <c r="WIK83" s="2567"/>
      <c r="WIL83" s="2567"/>
      <c r="WIM83" s="2567"/>
      <c r="WIN83" s="2567"/>
      <c r="WIO83" s="2567"/>
      <c r="WIP83" s="2567"/>
      <c r="WIQ83" s="2567"/>
      <c r="WIR83" s="2567"/>
      <c r="WIS83" s="2567"/>
      <c r="WIT83" s="2567"/>
      <c r="WIU83" s="2567"/>
      <c r="WIV83" s="2567"/>
      <c r="WIW83" s="2567"/>
      <c r="WIX83" s="2567"/>
      <c r="WIY83" s="2567"/>
      <c r="WIZ83" s="2567"/>
      <c r="WJA83" s="2567"/>
      <c r="WJB83" s="2567"/>
      <c r="WJC83" s="2567"/>
      <c r="WJD83" s="2567"/>
      <c r="WJE83" s="2567"/>
      <c r="WJF83" s="2567"/>
      <c r="WJG83" s="2567"/>
      <c r="WJH83" s="2567"/>
      <c r="WJI83" s="2567"/>
      <c r="WJJ83" s="2567"/>
      <c r="WJK83" s="2567"/>
      <c r="WJL83" s="2567"/>
      <c r="WJM83" s="2567"/>
      <c r="WJN83" s="2567"/>
      <c r="WJO83" s="2567"/>
      <c r="WJP83" s="2567"/>
      <c r="WJQ83" s="2567"/>
      <c r="WJR83" s="2567"/>
      <c r="WJS83" s="2567"/>
      <c r="WJT83" s="2567"/>
      <c r="WJU83" s="2567"/>
      <c r="WJV83" s="2567"/>
      <c r="WJW83" s="2567"/>
      <c r="WJX83" s="2567"/>
      <c r="WJY83" s="2567"/>
      <c r="WJZ83" s="2567"/>
      <c r="WKA83" s="2567"/>
      <c r="WKB83" s="2567"/>
      <c r="WKC83" s="2567"/>
      <c r="WKD83" s="2567"/>
      <c r="WKE83" s="2567"/>
      <c r="WKF83" s="2567"/>
      <c r="WKG83" s="2567"/>
      <c r="WKH83" s="2567"/>
      <c r="WKI83" s="2567"/>
      <c r="WKJ83" s="2567"/>
      <c r="WKK83" s="2567"/>
      <c r="WKL83" s="2567"/>
      <c r="WKM83" s="2567"/>
      <c r="WKN83" s="2567"/>
      <c r="WKO83" s="2567"/>
      <c r="WKP83" s="2567"/>
      <c r="WKQ83" s="2567"/>
      <c r="WKR83" s="2567"/>
      <c r="WKS83" s="2567"/>
      <c r="WKT83" s="2567"/>
      <c r="WKU83" s="2567"/>
      <c r="WKV83" s="2567"/>
      <c r="WKW83" s="2567"/>
      <c r="WKX83" s="2567"/>
      <c r="WKY83" s="2567"/>
      <c r="WKZ83" s="2567"/>
      <c r="WLA83" s="2567"/>
      <c r="WLB83" s="2567"/>
      <c r="WLC83" s="2567"/>
      <c r="WLD83" s="2567"/>
      <c r="WLE83" s="2567"/>
      <c r="WLF83" s="2567"/>
      <c r="WLG83" s="2567"/>
      <c r="WLH83" s="2567"/>
      <c r="WLI83" s="2567"/>
      <c r="WLJ83" s="2567"/>
      <c r="WLK83" s="2567"/>
      <c r="WLL83" s="2567"/>
      <c r="WLM83" s="2567"/>
      <c r="WLN83" s="2567"/>
      <c r="WLO83" s="2567"/>
      <c r="WLP83" s="2567"/>
      <c r="WLQ83" s="2567"/>
      <c r="WLR83" s="2567"/>
      <c r="WLS83" s="2567"/>
      <c r="WLT83" s="2567"/>
      <c r="WLU83" s="2567"/>
      <c r="WLV83" s="2567"/>
      <c r="WLW83" s="2567"/>
      <c r="WLX83" s="2567"/>
      <c r="WLY83" s="2567"/>
      <c r="WLZ83" s="2567"/>
      <c r="WMA83" s="2567"/>
      <c r="WMB83" s="2567"/>
      <c r="WMC83" s="2567"/>
      <c r="WMD83" s="2567"/>
      <c r="WME83" s="2567"/>
      <c r="WMF83" s="2567"/>
      <c r="WMG83" s="2567"/>
      <c r="WMH83" s="2567"/>
      <c r="WMI83" s="2567"/>
      <c r="WMJ83" s="2567"/>
      <c r="WMK83" s="2567"/>
      <c r="WML83" s="2567"/>
      <c r="WMM83" s="2567"/>
      <c r="WMN83" s="2567"/>
      <c r="WMO83" s="2567"/>
      <c r="WMP83" s="2567"/>
      <c r="WMQ83" s="2567"/>
      <c r="WMR83" s="2567"/>
      <c r="WMS83" s="2567"/>
      <c r="WMT83" s="2567"/>
      <c r="WMU83" s="2567"/>
      <c r="WMV83" s="2567"/>
      <c r="WMW83" s="2567"/>
      <c r="WMX83" s="2567"/>
      <c r="WMY83" s="2567"/>
      <c r="WMZ83" s="2567"/>
      <c r="WNA83" s="2567"/>
      <c r="WNB83" s="2567"/>
      <c r="WNC83" s="2567"/>
      <c r="WND83" s="2567"/>
      <c r="WNE83" s="2567"/>
      <c r="WNF83" s="2567"/>
      <c r="WNG83" s="2567"/>
      <c r="WNH83" s="2567"/>
      <c r="WNI83" s="2567"/>
      <c r="WNJ83" s="2567"/>
      <c r="WNK83" s="2567"/>
      <c r="WNL83" s="2567"/>
      <c r="WNM83" s="2567"/>
      <c r="WNN83" s="2567"/>
      <c r="WNO83" s="2567"/>
      <c r="WNP83" s="2567"/>
      <c r="WNQ83" s="2567"/>
      <c r="WNR83" s="2567"/>
      <c r="WNS83" s="2567"/>
      <c r="WNT83" s="2567"/>
      <c r="WNU83" s="2567"/>
      <c r="WNV83" s="2567"/>
      <c r="WNW83" s="2567"/>
      <c r="WNX83" s="2567"/>
      <c r="WNY83" s="2567"/>
      <c r="WNZ83" s="2567"/>
      <c r="WOA83" s="2567"/>
      <c r="WOB83" s="2567"/>
      <c r="WOC83" s="2567"/>
      <c r="WOD83" s="2567"/>
      <c r="WOE83" s="2567"/>
      <c r="WOF83" s="2567"/>
      <c r="WOG83" s="2567"/>
      <c r="WOH83" s="2567"/>
      <c r="WOI83" s="2567"/>
      <c r="WOJ83" s="2567"/>
      <c r="WOK83" s="2567"/>
      <c r="WOL83" s="2567"/>
      <c r="WOM83" s="2567"/>
      <c r="WON83" s="2567"/>
      <c r="WOO83" s="2567"/>
      <c r="WOP83" s="2567"/>
      <c r="WOQ83" s="2567"/>
      <c r="WOR83" s="2567"/>
      <c r="WOS83" s="2567"/>
      <c r="WOT83" s="2567"/>
      <c r="WOU83" s="2567"/>
      <c r="WOV83" s="2567"/>
      <c r="WOW83" s="2567"/>
      <c r="WOX83" s="2567"/>
      <c r="WOY83" s="2567"/>
      <c r="WOZ83" s="2567"/>
      <c r="WPA83" s="2567"/>
      <c r="WPB83" s="2567"/>
      <c r="WPC83" s="2567"/>
      <c r="WPD83" s="2567"/>
      <c r="WPE83" s="2567"/>
      <c r="WPF83" s="2567"/>
      <c r="WPG83" s="2567"/>
      <c r="WPH83" s="2567"/>
      <c r="WPI83" s="2567"/>
      <c r="WPJ83" s="2567"/>
      <c r="WPK83" s="2567"/>
      <c r="WPL83" s="2567"/>
      <c r="WPM83" s="2567"/>
      <c r="WPN83" s="2567"/>
      <c r="WPO83" s="2567"/>
      <c r="WPP83" s="2567"/>
      <c r="WPQ83" s="2567"/>
      <c r="WPR83" s="2567"/>
      <c r="WPS83" s="2567"/>
      <c r="WPT83" s="2567"/>
      <c r="WPU83" s="2567"/>
      <c r="WPV83" s="2567"/>
      <c r="WPW83" s="2567"/>
      <c r="WPX83" s="2567"/>
      <c r="WPY83" s="2567"/>
      <c r="WPZ83" s="2567"/>
      <c r="WQA83" s="2567"/>
      <c r="WQB83" s="2567"/>
      <c r="WQC83" s="2567"/>
      <c r="WQD83" s="2567"/>
      <c r="WQE83" s="2567"/>
      <c r="WQF83" s="2567"/>
      <c r="WQG83" s="2567"/>
      <c r="WQH83" s="2567"/>
      <c r="WQI83" s="2567"/>
      <c r="WQJ83" s="2567"/>
      <c r="WQK83" s="2567"/>
      <c r="WQL83" s="2567"/>
      <c r="WQM83" s="2567"/>
      <c r="WQN83" s="2567"/>
      <c r="WQO83" s="2567"/>
      <c r="WQP83" s="2567"/>
      <c r="WQQ83" s="2567"/>
      <c r="WQR83" s="2567"/>
      <c r="WQS83" s="2567"/>
      <c r="WQT83" s="2567"/>
      <c r="WQU83" s="2567"/>
      <c r="WQV83" s="2567"/>
      <c r="WQW83" s="2567"/>
      <c r="WQX83" s="2567"/>
      <c r="WQY83" s="2567"/>
      <c r="WQZ83" s="2567"/>
      <c r="WRA83" s="2567"/>
      <c r="WRB83" s="2567"/>
      <c r="WRC83" s="2567"/>
      <c r="WRD83" s="2567"/>
      <c r="WRE83" s="2567"/>
      <c r="WRF83" s="2567"/>
      <c r="WRG83" s="2567"/>
      <c r="WRH83" s="2567"/>
      <c r="WRI83" s="2567"/>
      <c r="WRJ83" s="2567"/>
      <c r="WRK83" s="2567"/>
      <c r="WRL83" s="2567"/>
      <c r="WRM83" s="2567"/>
      <c r="WRN83" s="2567"/>
      <c r="WRO83" s="2567"/>
      <c r="WRP83" s="2567"/>
      <c r="WRQ83" s="2567"/>
      <c r="WRR83" s="2567"/>
      <c r="WRS83" s="2567"/>
      <c r="WRT83" s="2567"/>
      <c r="WRU83" s="2567"/>
      <c r="WRV83" s="2567"/>
      <c r="WRW83" s="2567"/>
      <c r="WRX83" s="2567"/>
      <c r="WRY83" s="2567"/>
      <c r="WRZ83" s="2567"/>
      <c r="WSA83" s="2567"/>
      <c r="WSB83" s="2567"/>
      <c r="WSC83" s="2567"/>
      <c r="WSD83" s="2567"/>
      <c r="WSE83" s="2567"/>
      <c r="WSF83" s="2567"/>
      <c r="WSG83" s="2567"/>
      <c r="WSH83" s="2567"/>
      <c r="WSI83" s="2567"/>
      <c r="WSJ83" s="2567"/>
      <c r="WSK83" s="2567"/>
      <c r="WSL83" s="2567"/>
      <c r="WSM83" s="2567"/>
      <c r="WSN83" s="2567"/>
      <c r="WSO83" s="2567"/>
      <c r="WSP83" s="2567"/>
      <c r="WSQ83" s="2567"/>
      <c r="WSR83" s="2567"/>
      <c r="WSS83" s="2567"/>
      <c r="WST83" s="2567"/>
      <c r="WSU83" s="2567"/>
      <c r="WSV83" s="2567"/>
      <c r="WSW83" s="2567"/>
      <c r="WSX83" s="2567"/>
      <c r="WSY83" s="2567"/>
      <c r="WSZ83" s="2567"/>
      <c r="WTA83" s="2567"/>
      <c r="WTB83" s="2567"/>
      <c r="WTC83" s="2567"/>
      <c r="WTD83" s="2567"/>
      <c r="WTE83" s="2567"/>
      <c r="WTF83" s="2567"/>
      <c r="WTG83" s="2567"/>
      <c r="WTH83" s="2567"/>
      <c r="WTI83" s="2567"/>
      <c r="WTJ83" s="2567"/>
      <c r="WTK83" s="2567"/>
      <c r="WTL83" s="2567"/>
      <c r="WTM83" s="2567"/>
      <c r="WTN83" s="2567"/>
      <c r="WTO83" s="2567"/>
      <c r="WTP83" s="2567"/>
      <c r="WTQ83" s="2567"/>
      <c r="WTR83" s="2567"/>
      <c r="WTS83" s="2567"/>
      <c r="WTT83" s="2567"/>
      <c r="WTU83" s="2567"/>
      <c r="WTV83" s="2567"/>
      <c r="WTW83" s="2567"/>
      <c r="WTX83" s="2567"/>
      <c r="WTY83" s="2567"/>
      <c r="WTZ83" s="2567"/>
      <c r="WUA83" s="2567"/>
      <c r="WUB83" s="2567"/>
      <c r="WUC83" s="2567"/>
      <c r="WUD83" s="2567"/>
      <c r="WUE83" s="2567"/>
      <c r="WUF83" s="2567"/>
      <c r="WUG83" s="2567"/>
      <c r="WUH83" s="2567"/>
      <c r="WUI83" s="2567"/>
      <c r="WUJ83" s="2567"/>
      <c r="WUK83" s="2567"/>
      <c r="WUL83" s="2567"/>
      <c r="WUM83" s="2567"/>
      <c r="WUN83" s="2567"/>
      <c r="WUO83" s="2567"/>
      <c r="WUP83" s="2567"/>
      <c r="WUQ83" s="2567"/>
      <c r="WUR83" s="2567"/>
      <c r="WUS83" s="2567"/>
      <c r="WUT83" s="2567"/>
      <c r="WUU83" s="2567"/>
      <c r="WUV83" s="2567"/>
      <c r="WUW83" s="2567"/>
      <c r="WUX83" s="2567"/>
      <c r="WUY83" s="2567"/>
      <c r="WUZ83" s="2567"/>
      <c r="WVA83" s="2567"/>
      <c r="WVB83" s="2567"/>
      <c r="WVC83" s="2567"/>
      <c r="WVD83" s="2567"/>
      <c r="WVE83" s="2567"/>
      <c r="WVF83" s="2567"/>
      <c r="WVG83" s="2567"/>
      <c r="WVH83" s="2567"/>
      <c r="WVI83" s="2567"/>
      <c r="WVJ83" s="2567"/>
      <c r="WVK83" s="2567"/>
      <c r="WVL83" s="2567"/>
      <c r="WVM83" s="2567"/>
      <c r="WVN83" s="2567"/>
      <c r="WVO83" s="2567"/>
      <c r="WVP83" s="2567"/>
      <c r="WVQ83" s="2567"/>
      <c r="WVR83" s="2567"/>
      <c r="WVS83" s="2567"/>
      <c r="WVT83" s="2567"/>
      <c r="WVU83" s="2567"/>
      <c r="WVV83" s="2567"/>
      <c r="WVW83" s="2567"/>
      <c r="WVX83" s="2567"/>
      <c r="WVY83" s="2567"/>
      <c r="WVZ83" s="2567"/>
      <c r="WWA83" s="2567"/>
      <c r="WWB83" s="2567"/>
      <c r="WWC83" s="2567"/>
      <c r="WWD83" s="2567"/>
      <c r="WWE83" s="2567"/>
      <c r="WWF83" s="2567"/>
      <c r="WWG83" s="2567"/>
      <c r="WWH83" s="2567"/>
      <c r="WWI83" s="2567"/>
      <c r="WWJ83" s="2567"/>
      <c r="WWK83" s="2567"/>
      <c r="WWL83" s="2567"/>
      <c r="WWM83" s="2567"/>
      <c r="WWN83" s="2567"/>
      <c r="WWO83" s="2567"/>
      <c r="WWP83" s="2567"/>
      <c r="WWQ83" s="2567"/>
      <c r="WWR83" s="2567"/>
      <c r="WWS83" s="2567"/>
      <c r="WWT83" s="2567"/>
      <c r="WWU83" s="2567"/>
      <c r="WWV83" s="2567"/>
      <c r="WWW83" s="2567"/>
      <c r="WWX83" s="2567"/>
      <c r="WWY83" s="2567"/>
      <c r="WWZ83" s="2567"/>
      <c r="WXA83" s="2567"/>
      <c r="WXB83" s="2567"/>
      <c r="WXC83" s="2567"/>
      <c r="WXD83" s="2567"/>
      <c r="WXE83" s="2567"/>
      <c r="WXF83" s="2567"/>
      <c r="WXG83" s="2567"/>
      <c r="WXH83" s="2567"/>
      <c r="WXI83" s="2567"/>
      <c r="WXJ83" s="2567"/>
      <c r="WXK83" s="2567"/>
      <c r="WXL83" s="2567"/>
      <c r="WXM83" s="2567"/>
      <c r="WXN83" s="2567"/>
      <c r="WXO83" s="2567"/>
      <c r="WXP83" s="2567"/>
      <c r="WXQ83" s="2567"/>
      <c r="WXR83" s="2567"/>
      <c r="WXS83" s="2567"/>
      <c r="WXT83" s="2567"/>
      <c r="WXU83" s="2567"/>
      <c r="WXV83" s="2567"/>
      <c r="WXW83" s="2567"/>
      <c r="WXX83" s="2567"/>
      <c r="WXY83" s="2567"/>
      <c r="WXZ83" s="2567"/>
      <c r="WYA83" s="2567"/>
      <c r="WYB83" s="2567"/>
      <c r="WYC83" s="2567"/>
      <c r="WYD83" s="2567"/>
      <c r="WYE83" s="2567"/>
      <c r="WYF83" s="2567"/>
      <c r="WYG83" s="2567"/>
      <c r="WYH83" s="2567"/>
      <c r="WYI83" s="2567"/>
      <c r="WYJ83" s="2567"/>
      <c r="WYK83" s="2567"/>
      <c r="WYL83" s="2567"/>
      <c r="WYM83" s="2567"/>
      <c r="WYN83" s="2567"/>
      <c r="WYO83" s="2567"/>
      <c r="WYP83" s="2567"/>
      <c r="WYQ83" s="2567"/>
      <c r="WYR83" s="2567"/>
      <c r="WYS83" s="2567"/>
      <c r="WYT83" s="2567"/>
      <c r="WYU83" s="2567"/>
      <c r="WYV83" s="2567"/>
      <c r="WYW83" s="2567"/>
      <c r="WYX83" s="2567"/>
      <c r="WYY83" s="2567"/>
      <c r="WYZ83" s="2567"/>
      <c r="WZA83" s="2567"/>
      <c r="WZB83" s="2567"/>
      <c r="WZC83" s="2567"/>
      <c r="WZD83" s="2567"/>
      <c r="WZE83" s="2567"/>
      <c r="WZF83" s="2567"/>
      <c r="WZG83" s="2567"/>
      <c r="WZH83" s="2567"/>
      <c r="WZI83" s="2567"/>
      <c r="WZJ83" s="2567"/>
      <c r="WZK83" s="2567"/>
      <c r="WZL83" s="2567"/>
      <c r="WZM83" s="2567"/>
      <c r="WZN83" s="2567"/>
      <c r="WZO83" s="2567"/>
      <c r="WZP83" s="2567"/>
      <c r="WZQ83" s="2567"/>
      <c r="WZR83" s="2567"/>
      <c r="WZS83" s="2567"/>
      <c r="WZT83" s="2567"/>
      <c r="WZU83" s="2567"/>
      <c r="WZV83" s="2567"/>
      <c r="WZW83" s="2567"/>
      <c r="WZX83" s="2567"/>
      <c r="WZY83" s="2567"/>
      <c r="WZZ83" s="2567"/>
      <c r="XAA83" s="2567"/>
      <c r="XAB83" s="2567"/>
      <c r="XAC83" s="2567"/>
      <c r="XAD83" s="2567"/>
      <c r="XAE83" s="2567"/>
      <c r="XAF83" s="2567"/>
      <c r="XAG83" s="2567"/>
      <c r="XAH83" s="2567"/>
      <c r="XAI83" s="2567"/>
      <c r="XAJ83" s="2567"/>
      <c r="XAK83" s="2567"/>
      <c r="XAL83" s="2567"/>
      <c r="XAM83" s="2567"/>
      <c r="XAN83" s="2567"/>
      <c r="XAO83" s="2567"/>
      <c r="XAP83" s="2567"/>
      <c r="XAQ83" s="2567"/>
      <c r="XAR83" s="2567"/>
      <c r="XAS83" s="2567"/>
      <c r="XAT83" s="2567"/>
      <c r="XAU83" s="2567"/>
      <c r="XAV83" s="2567"/>
      <c r="XAW83" s="2567"/>
      <c r="XAX83" s="2567"/>
      <c r="XAY83" s="2567"/>
      <c r="XAZ83" s="2567"/>
      <c r="XBA83" s="2567"/>
      <c r="XBB83" s="2567"/>
      <c r="XBC83" s="2567"/>
      <c r="XBD83" s="2567"/>
      <c r="XBE83" s="2567"/>
      <c r="XBF83" s="2567"/>
      <c r="XBG83" s="2567"/>
      <c r="XBH83" s="2567"/>
      <c r="XBI83" s="2567"/>
      <c r="XBJ83" s="2567"/>
      <c r="XBK83" s="2567"/>
      <c r="XBL83" s="2567"/>
      <c r="XBM83" s="2567"/>
      <c r="XBN83" s="2567"/>
      <c r="XBO83" s="2567"/>
      <c r="XBP83" s="2567"/>
      <c r="XBQ83" s="2567"/>
      <c r="XBR83" s="2567"/>
      <c r="XBS83" s="2567"/>
      <c r="XBT83" s="2567"/>
      <c r="XBU83" s="2567"/>
      <c r="XBV83" s="2567"/>
      <c r="XBW83" s="2567"/>
      <c r="XBX83" s="2567"/>
      <c r="XBY83" s="2567"/>
      <c r="XBZ83" s="2567"/>
      <c r="XCA83" s="2567"/>
      <c r="XCB83" s="2567"/>
      <c r="XCC83" s="2567"/>
      <c r="XCD83" s="2567"/>
      <c r="XCE83" s="2567"/>
      <c r="XCF83" s="2567"/>
      <c r="XCG83" s="2567"/>
      <c r="XCH83" s="2567"/>
      <c r="XCI83" s="2567"/>
      <c r="XCJ83" s="2567"/>
      <c r="XCK83" s="2567"/>
      <c r="XCL83" s="2567"/>
      <c r="XCM83" s="2567"/>
      <c r="XCN83" s="2567"/>
      <c r="XCO83" s="2567"/>
      <c r="XCP83" s="2567"/>
      <c r="XCQ83" s="2567"/>
      <c r="XCR83" s="2567"/>
      <c r="XCS83" s="2567"/>
      <c r="XCT83" s="2567"/>
      <c r="XCU83" s="2567"/>
      <c r="XCV83" s="2567"/>
      <c r="XCW83" s="2567"/>
      <c r="XCX83" s="2567"/>
      <c r="XCY83" s="2567"/>
      <c r="XCZ83" s="2567"/>
      <c r="XDA83" s="2567"/>
      <c r="XDB83" s="2567"/>
      <c r="XDC83" s="2567"/>
      <c r="XDD83" s="2567"/>
      <c r="XDE83" s="2567"/>
      <c r="XDF83" s="2567"/>
      <c r="XDG83" s="2567"/>
      <c r="XDH83" s="2567"/>
      <c r="XDI83" s="2567"/>
      <c r="XDJ83" s="2567"/>
      <c r="XDK83" s="2567"/>
      <c r="XDL83" s="2567"/>
      <c r="XDM83" s="2567"/>
      <c r="XDN83" s="2567"/>
      <c r="XDO83" s="2567"/>
      <c r="XDP83" s="2567"/>
      <c r="XDQ83" s="2567"/>
      <c r="XDR83" s="2567"/>
      <c r="XDS83" s="2567"/>
      <c r="XDT83" s="2567"/>
      <c r="XDU83" s="2567"/>
      <c r="XDV83" s="2567"/>
      <c r="XDW83" s="2567"/>
      <c r="XDX83" s="2567"/>
      <c r="XDY83" s="2567"/>
      <c r="XDZ83" s="2567"/>
      <c r="XEA83" s="2567"/>
      <c r="XEB83" s="2567"/>
      <c r="XEC83" s="2567"/>
      <c r="XED83" s="2567"/>
      <c r="XEE83" s="2567"/>
      <c r="XEF83" s="2567"/>
      <c r="XEG83" s="2567"/>
      <c r="XEH83" s="2567"/>
      <c r="XEI83" s="2567"/>
      <c r="XEJ83" s="2567"/>
      <c r="XEK83" s="2567"/>
      <c r="XEL83" s="2567"/>
      <c r="XEM83" s="2567"/>
      <c r="XEN83" s="2567"/>
      <c r="XEO83" s="2567"/>
      <c r="XEP83" s="2567"/>
      <c r="XEQ83" s="2567"/>
      <c r="XER83" s="2567"/>
      <c r="XES83" s="2567"/>
      <c r="XET83" s="2567"/>
      <c r="XEU83" s="2567"/>
      <c r="XEV83" s="2567"/>
      <c r="XEW83" s="2567"/>
      <c r="XEX83" s="2567"/>
      <c r="XEY83" s="2567"/>
      <c r="XEZ83" s="2567"/>
      <c r="XFA83" s="2567"/>
      <c r="XFB83" s="2567"/>
      <c r="XFC83" s="2567"/>
      <c r="XFD83" s="2567"/>
    </row>
    <row r="84" spans="1:16384" s="2822" customFormat="1" ht="25.5" thickBot="1">
      <c r="A84" s="2499"/>
      <c r="B84" s="2499"/>
      <c r="C84" s="2499"/>
      <c r="D84" s="2499"/>
      <c r="E84" s="2499"/>
      <c r="F84" s="2499"/>
      <c r="G84" s="2499"/>
      <c r="H84" s="2499"/>
      <c r="I84" s="2499"/>
      <c r="J84" s="2499"/>
      <c r="K84" s="2499"/>
      <c r="L84" s="2499"/>
      <c r="M84" s="2499"/>
      <c r="N84" s="2827" t="str">
        <f>IF(Presentación!M10="","",Presentación!M10)</f>
        <v/>
      </c>
      <c r="O84" s="2828" t="str">
        <f>IF(Presentación!N10="","",Presentación!N10)</f>
        <v/>
      </c>
      <c r="P84" s="2499"/>
      <c r="Q84" s="4087" t="str">
        <f>IF(Presentación!M23="","",Presentación!N23)</f>
        <v/>
      </c>
      <c r="R84" s="4088"/>
      <c r="S84" s="4088" t="str">
        <f>IF(Presentación!O23="","",Presentación!P23)</f>
        <v/>
      </c>
      <c r="T84" s="4089"/>
      <c r="U84" s="2499"/>
      <c r="V84" s="2499"/>
      <c r="W84" s="2499"/>
      <c r="X84" s="2499"/>
      <c r="Y84" s="2499"/>
      <c r="Z84" s="2499"/>
      <c r="AA84" s="2499"/>
      <c r="AB84" s="2499"/>
      <c r="AC84" s="2499"/>
      <c r="AD84" s="2499"/>
      <c r="AE84" s="2499"/>
      <c r="AF84" s="2567"/>
      <c r="AG84" s="2567"/>
      <c r="AH84" s="2567"/>
      <c r="AI84" s="2567"/>
      <c r="AJ84" s="2567"/>
      <c r="AK84" s="2567"/>
      <c r="AL84" s="2567"/>
      <c r="AM84" s="2567"/>
      <c r="AN84" s="2567"/>
      <c r="AO84" s="2567"/>
      <c r="AP84" s="2567"/>
      <c r="AQ84" s="2567"/>
      <c r="AR84" s="2567"/>
      <c r="AS84" s="2567"/>
      <c r="AT84" s="2567"/>
      <c r="AU84" s="2567"/>
      <c r="AV84" s="2567"/>
      <c r="AW84" s="2499"/>
      <c r="AX84" s="2499"/>
      <c r="AY84" s="2499"/>
      <c r="AZ84" s="2499"/>
      <c r="BA84" s="2499"/>
      <c r="BB84" s="2499"/>
      <c r="BC84" s="2499"/>
      <c r="BD84" s="2499"/>
      <c r="BE84" s="2499"/>
      <c r="BF84" s="2499"/>
      <c r="BG84" s="2499"/>
      <c r="BH84" s="2499"/>
      <c r="BI84" s="2499"/>
      <c r="BJ84" s="2499"/>
      <c r="BK84" s="2499"/>
      <c r="BL84" s="2499"/>
      <c r="BM84" s="2499"/>
      <c r="BN84" s="2499"/>
      <c r="BO84" s="2499"/>
      <c r="BP84" s="2567"/>
      <c r="BQ84" s="2567"/>
      <c r="BR84" s="2567"/>
      <c r="BS84" s="2567"/>
      <c r="BT84" s="2567"/>
      <c r="BU84" s="2567"/>
      <c r="BV84" s="2567"/>
      <c r="BW84" s="2567"/>
      <c r="BX84" s="2567"/>
      <c r="BY84" s="2567"/>
      <c r="BZ84" s="2567"/>
      <c r="CA84" s="2567"/>
      <c r="CB84" s="2567"/>
      <c r="CC84" s="2567"/>
      <c r="CD84" s="2567"/>
      <c r="CE84" s="2567"/>
      <c r="CF84" s="2567"/>
      <c r="CG84" s="2567"/>
      <c r="CH84" s="2567"/>
      <c r="CI84" s="2567"/>
      <c r="CJ84" s="2567"/>
      <c r="CK84" s="2567"/>
      <c r="CL84" s="2567"/>
      <c r="CM84" s="2567"/>
      <c r="CN84" s="2567"/>
      <c r="CO84" s="2567"/>
      <c r="CP84" s="2567"/>
      <c r="CQ84" s="2567"/>
      <c r="CR84" s="2567"/>
      <c r="CS84" s="2567"/>
      <c r="CT84" s="2567"/>
      <c r="CU84" s="2567"/>
      <c r="CV84" s="2567"/>
      <c r="CW84" s="2567"/>
      <c r="CX84" s="2567"/>
      <c r="CY84" s="2567"/>
      <c r="CZ84" s="2567"/>
      <c r="DA84" s="2567"/>
      <c r="DB84" s="2567"/>
      <c r="DC84" s="2567"/>
      <c r="DD84" s="2567"/>
      <c r="DE84" s="2567"/>
      <c r="DF84" s="2567"/>
      <c r="DG84" s="2567"/>
      <c r="DH84" s="2567"/>
      <c r="DI84" s="2567"/>
      <c r="DJ84" s="2567"/>
      <c r="DK84" s="2567"/>
      <c r="DL84" s="2567"/>
      <c r="DM84" s="2567"/>
      <c r="DN84" s="2567"/>
      <c r="DO84" s="2567"/>
      <c r="DP84" s="2567"/>
      <c r="DQ84" s="2567"/>
      <c r="DR84" s="2567"/>
      <c r="DS84" s="2567"/>
      <c r="DT84" s="2567"/>
      <c r="DU84" s="2567"/>
      <c r="DV84" s="2567"/>
      <c r="DW84" s="2567"/>
      <c r="DX84" s="2567"/>
      <c r="DY84" s="2567"/>
      <c r="DZ84" s="2567"/>
      <c r="EA84" s="2567"/>
      <c r="EB84" s="2567"/>
      <c r="EC84" s="2567"/>
      <c r="ED84" s="2567"/>
      <c r="EE84" s="2567"/>
      <c r="EF84" s="2567"/>
      <c r="EG84" s="2567"/>
      <c r="EH84" s="2567"/>
      <c r="EI84" s="2567"/>
      <c r="EJ84" s="2567"/>
      <c r="EK84" s="2567"/>
      <c r="EL84" s="2567"/>
      <c r="EM84" s="2567"/>
      <c r="EN84" s="2567"/>
      <c r="EO84" s="2567"/>
      <c r="EP84" s="2567"/>
      <c r="EQ84" s="2567"/>
      <c r="ER84" s="2567"/>
      <c r="ES84" s="2567"/>
      <c r="ET84" s="2567"/>
      <c r="EU84" s="2567"/>
      <c r="EV84" s="2567"/>
      <c r="EW84" s="2567"/>
      <c r="EX84" s="2567"/>
      <c r="EY84" s="2567"/>
      <c r="EZ84" s="2567"/>
      <c r="FA84" s="2567"/>
      <c r="FB84" s="2567"/>
      <c r="FC84" s="2567"/>
      <c r="FD84" s="2567"/>
      <c r="FE84" s="2567"/>
      <c r="FF84" s="2567"/>
      <c r="FG84" s="2567"/>
      <c r="FH84" s="2567"/>
      <c r="FI84" s="2567"/>
      <c r="FJ84" s="2567"/>
      <c r="FK84" s="2567"/>
      <c r="FL84" s="2567"/>
      <c r="FM84" s="2567"/>
      <c r="FN84" s="2567"/>
      <c r="FO84" s="2567"/>
      <c r="FP84" s="2567"/>
      <c r="FQ84" s="2567"/>
      <c r="FR84" s="2567"/>
      <c r="FS84" s="2567"/>
      <c r="FT84" s="2567"/>
      <c r="FU84" s="2567"/>
      <c r="FV84" s="2567"/>
      <c r="FW84" s="2567"/>
      <c r="FX84" s="2567"/>
      <c r="FY84" s="2567"/>
      <c r="FZ84" s="2567"/>
      <c r="GA84" s="2567"/>
      <c r="GB84" s="2567"/>
      <c r="GC84" s="2567"/>
      <c r="GD84" s="2567"/>
      <c r="GE84" s="2567"/>
      <c r="GF84" s="2567"/>
      <c r="GG84" s="2567"/>
      <c r="GH84" s="2567"/>
      <c r="GI84" s="2567"/>
      <c r="GJ84" s="2567"/>
      <c r="GK84" s="2567"/>
      <c r="GL84" s="2567"/>
      <c r="GM84" s="2567"/>
      <c r="GN84" s="2567"/>
      <c r="GO84" s="2567"/>
      <c r="GP84" s="2567"/>
      <c r="GQ84" s="2567"/>
      <c r="GR84" s="2567"/>
      <c r="GS84" s="2567"/>
      <c r="GT84" s="2567"/>
      <c r="GU84" s="2567"/>
      <c r="GV84" s="2567"/>
      <c r="GW84" s="2567"/>
      <c r="GX84" s="2567"/>
      <c r="GY84" s="2567"/>
      <c r="GZ84" s="2567"/>
      <c r="HA84" s="2567"/>
      <c r="HB84" s="2567"/>
      <c r="HC84" s="2567"/>
      <c r="HD84" s="2567"/>
      <c r="HE84" s="2567"/>
      <c r="HF84" s="2567"/>
      <c r="HG84" s="2567"/>
      <c r="HH84" s="2567"/>
      <c r="HI84" s="2567"/>
      <c r="HJ84" s="2567"/>
      <c r="HK84" s="2567"/>
      <c r="HL84" s="2567"/>
      <c r="HM84" s="2567"/>
      <c r="HN84" s="2567"/>
      <c r="HO84" s="2567"/>
      <c r="HP84" s="2567"/>
      <c r="HQ84" s="2567"/>
      <c r="HR84" s="2567"/>
      <c r="HS84" s="2567"/>
      <c r="HT84" s="2567"/>
      <c r="HU84" s="2567"/>
      <c r="HV84" s="2567"/>
      <c r="HW84" s="2567"/>
      <c r="HX84" s="2567"/>
      <c r="HY84" s="2567"/>
      <c r="HZ84" s="2567"/>
      <c r="IA84" s="2567"/>
      <c r="IB84" s="2567"/>
      <c r="IC84" s="2567"/>
      <c r="ID84" s="2567"/>
      <c r="IE84" s="2567"/>
      <c r="IF84" s="2567"/>
      <c r="IG84" s="2567"/>
      <c r="IH84" s="2567"/>
      <c r="II84" s="2567"/>
      <c r="IJ84" s="2567"/>
      <c r="IK84" s="2567"/>
      <c r="IL84" s="2567"/>
      <c r="IM84" s="2567"/>
      <c r="IN84" s="2567"/>
      <c r="IO84" s="2567"/>
      <c r="IP84" s="2567"/>
      <c r="IQ84" s="2567"/>
      <c r="IR84" s="2567"/>
      <c r="IS84" s="2567"/>
      <c r="IT84" s="2567"/>
      <c r="IU84" s="2567"/>
      <c r="IV84" s="2567"/>
      <c r="IW84" s="2567"/>
      <c r="IX84" s="2567"/>
      <c r="IY84" s="2567"/>
      <c r="IZ84" s="2567"/>
      <c r="JA84" s="2567"/>
      <c r="JB84" s="2567"/>
      <c r="JC84" s="2567"/>
      <c r="JD84" s="2567"/>
      <c r="JE84" s="2567"/>
      <c r="JF84" s="2567"/>
      <c r="JG84" s="2567"/>
      <c r="JH84" s="2567"/>
      <c r="JI84" s="2567"/>
      <c r="JJ84" s="2567"/>
      <c r="JK84" s="2567"/>
      <c r="JL84" s="2567"/>
      <c r="JM84" s="2567"/>
      <c r="JN84" s="2567"/>
      <c r="JO84" s="2567"/>
      <c r="JP84" s="2567"/>
      <c r="JQ84" s="2567"/>
      <c r="JR84" s="2567"/>
      <c r="JS84" s="2567"/>
      <c r="JT84" s="2567"/>
      <c r="JU84" s="2567"/>
      <c r="JV84" s="2567"/>
      <c r="JW84" s="2567"/>
      <c r="JX84" s="2567"/>
      <c r="JY84" s="2567"/>
      <c r="JZ84" s="2567"/>
      <c r="KA84" s="2567"/>
      <c r="KB84" s="2567"/>
      <c r="KC84" s="2567"/>
      <c r="KD84" s="2567"/>
      <c r="KE84" s="2567"/>
      <c r="KF84" s="2567"/>
      <c r="KG84" s="2567"/>
      <c r="KH84" s="2567"/>
      <c r="KI84" s="2567"/>
      <c r="KJ84" s="2567"/>
      <c r="KK84" s="2567"/>
      <c r="KL84" s="2567"/>
      <c r="KM84" s="2567"/>
      <c r="KN84" s="2567"/>
      <c r="KO84" s="2567"/>
      <c r="KP84" s="2567"/>
      <c r="KQ84" s="2567"/>
      <c r="KR84" s="2567"/>
      <c r="KS84" s="2567"/>
      <c r="KT84" s="2567"/>
      <c r="KU84" s="2567"/>
      <c r="KV84" s="2567"/>
      <c r="KW84" s="2567"/>
      <c r="KX84" s="2567"/>
      <c r="KY84" s="2567"/>
      <c r="KZ84" s="2567"/>
      <c r="LA84" s="2567"/>
      <c r="LB84" s="2567"/>
      <c r="LC84" s="2567"/>
      <c r="LD84" s="2567"/>
      <c r="LE84" s="2567"/>
      <c r="LF84" s="2567"/>
      <c r="LG84" s="2567"/>
      <c r="LH84" s="2567"/>
      <c r="LI84" s="2567"/>
      <c r="LJ84" s="2567"/>
      <c r="LK84" s="2567"/>
      <c r="LL84" s="2567"/>
      <c r="LM84" s="2567"/>
      <c r="LN84" s="2567"/>
      <c r="LO84" s="2567"/>
      <c r="LP84" s="2567"/>
      <c r="LQ84" s="2567"/>
      <c r="LR84" s="2567"/>
      <c r="LS84" s="2567"/>
      <c r="LT84" s="2567"/>
      <c r="LU84" s="2567"/>
      <c r="LV84" s="2567"/>
      <c r="LW84" s="2567"/>
      <c r="LX84" s="2567"/>
      <c r="LY84" s="2567"/>
      <c r="LZ84" s="2567"/>
      <c r="MA84" s="2567"/>
      <c r="MB84" s="2567"/>
      <c r="MC84" s="2567"/>
      <c r="MD84" s="2567"/>
      <c r="ME84" s="2567"/>
      <c r="MF84" s="2567"/>
      <c r="MG84" s="2567"/>
      <c r="MH84" s="2567"/>
      <c r="MI84" s="2567"/>
      <c r="MJ84" s="2567"/>
      <c r="MK84" s="2567"/>
      <c r="ML84" s="2567"/>
      <c r="MM84" s="2567"/>
      <c r="MN84" s="2567"/>
      <c r="MO84" s="2567"/>
      <c r="MP84" s="2567"/>
      <c r="MQ84" s="2567"/>
      <c r="MR84" s="2567"/>
      <c r="MS84" s="2567"/>
      <c r="MT84" s="2567"/>
      <c r="MU84" s="2567"/>
      <c r="MV84" s="2567"/>
      <c r="MW84" s="2567"/>
      <c r="MX84" s="2567"/>
      <c r="MY84" s="2567"/>
      <c r="MZ84" s="2567"/>
      <c r="NA84" s="2567"/>
      <c r="NB84" s="2567"/>
      <c r="NC84" s="2567"/>
      <c r="ND84" s="2567"/>
      <c r="NE84" s="2567"/>
      <c r="NF84" s="2567"/>
      <c r="NG84" s="2567"/>
      <c r="NH84" s="2567"/>
      <c r="NI84" s="2567"/>
      <c r="NJ84" s="2567"/>
      <c r="NK84" s="2567"/>
      <c r="NL84" s="2567"/>
      <c r="NM84" s="2567"/>
      <c r="NN84" s="2567"/>
      <c r="NO84" s="2567"/>
      <c r="NP84" s="2567"/>
      <c r="NQ84" s="2567"/>
      <c r="NR84" s="2567"/>
      <c r="NS84" s="2567"/>
      <c r="NT84" s="2567"/>
      <c r="NU84" s="2567"/>
      <c r="NV84" s="2567"/>
      <c r="NW84" s="2567"/>
      <c r="NX84" s="2567"/>
      <c r="NY84" s="2567"/>
      <c r="NZ84" s="2567"/>
      <c r="OA84" s="2567"/>
      <c r="OB84" s="2567"/>
      <c r="OC84" s="2567"/>
      <c r="OD84" s="2567"/>
      <c r="OE84" s="2567"/>
      <c r="OF84" s="2567"/>
      <c r="OG84" s="2567"/>
      <c r="OH84" s="2567"/>
      <c r="OI84" s="2567"/>
      <c r="OJ84" s="2567"/>
      <c r="OK84" s="2567"/>
      <c r="OL84" s="2567"/>
      <c r="OM84" s="2567"/>
      <c r="ON84" s="2567"/>
      <c r="OO84" s="2567"/>
      <c r="OP84" s="2567"/>
      <c r="OQ84" s="2567"/>
      <c r="OR84" s="2567"/>
      <c r="OS84" s="2567"/>
      <c r="OT84" s="2567"/>
      <c r="OU84" s="2567"/>
      <c r="OV84" s="2567"/>
      <c r="OW84" s="2567"/>
      <c r="OX84" s="2567"/>
      <c r="OY84" s="2567"/>
      <c r="OZ84" s="2567"/>
      <c r="PA84" s="2567"/>
      <c r="PB84" s="2567"/>
      <c r="PC84" s="2567"/>
      <c r="PD84" s="2567"/>
      <c r="PE84" s="2567"/>
      <c r="PF84" s="2567"/>
      <c r="PG84" s="2567"/>
      <c r="PH84" s="2567"/>
      <c r="PI84" s="2567"/>
      <c r="PJ84" s="2567"/>
      <c r="PK84" s="2567"/>
      <c r="PL84" s="2567"/>
      <c r="PM84" s="2567"/>
      <c r="PN84" s="2567"/>
      <c r="PO84" s="2567"/>
      <c r="PP84" s="2567"/>
      <c r="PQ84" s="2567"/>
      <c r="PR84" s="2567"/>
      <c r="PS84" s="2567"/>
      <c r="PT84" s="2567"/>
      <c r="PU84" s="2567"/>
      <c r="PV84" s="2567"/>
      <c r="PW84" s="2567"/>
      <c r="PX84" s="2567"/>
      <c r="PY84" s="2567"/>
      <c r="PZ84" s="2567"/>
      <c r="QA84" s="2567"/>
      <c r="QB84" s="2567"/>
      <c r="QC84" s="2567"/>
      <c r="QD84" s="2567"/>
      <c r="QE84" s="2567"/>
      <c r="QF84" s="2567"/>
      <c r="QG84" s="2567"/>
      <c r="QH84" s="2567"/>
      <c r="QI84" s="2567"/>
      <c r="QJ84" s="2567"/>
      <c r="QK84" s="2567"/>
      <c r="QL84" s="2567"/>
      <c r="QM84" s="2567"/>
      <c r="QN84" s="2567"/>
      <c r="QO84" s="2567"/>
      <c r="QP84" s="2567"/>
      <c r="QQ84" s="2567"/>
      <c r="QR84" s="2567"/>
      <c r="QS84" s="2567"/>
      <c r="QT84" s="2567"/>
      <c r="QU84" s="2567"/>
      <c r="QV84" s="2567"/>
      <c r="QW84" s="2567"/>
      <c r="QX84" s="2567"/>
      <c r="QY84" s="2567"/>
      <c r="QZ84" s="2567"/>
      <c r="RA84" s="2567"/>
      <c r="RB84" s="2567"/>
      <c r="RC84" s="2567"/>
      <c r="RD84" s="2567"/>
      <c r="RE84" s="2567"/>
      <c r="RF84" s="2567"/>
      <c r="RG84" s="2567"/>
      <c r="RH84" s="2567"/>
      <c r="RI84" s="2567"/>
      <c r="RJ84" s="2567"/>
      <c r="RK84" s="2567"/>
      <c r="RL84" s="2567"/>
      <c r="RM84" s="2567"/>
      <c r="RN84" s="2567"/>
      <c r="RO84" s="2567"/>
      <c r="RP84" s="2567"/>
      <c r="RQ84" s="2567"/>
      <c r="RR84" s="2567"/>
      <c r="RS84" s="2567"/>
      <c r="RT84" s="2567"/>
      <c r="RU84" s="2567"/>
      <c r="RV84" s="2567"/>
      <c r="RW84" s="2567"/>
      <c r="RX84" s="2567"/>
      <c r="RY84" s="2567"/>
      <c r="RZ84" s="2567"/>
      <c r="SA84" s="2567"/>
      <c r="SB84" s="2567"/>
      <c r="SC84" s="2567"/>
      <c r="SD84" s="2567"/>
      <c r="SE84" s="2567"/>
      <c r="SF84" s="2567"/>
      <c r="SG84" s="2567"/>
      <c r="SH84" s="2567"/>
      <c r="SI84" s="2567"/>
      <c r="SJ84" s="2567"/>
      <c r="SK84" s="2567"/>
      <c r="SL84" s="2567"/>
      <c r="SM84" s="2567"/>
      <c r="SN84" s="2567"/>
      <c r="SO84" s="2567"/>
      <c r="SP84" s="2567"/>
      <c r="SQ84" s="2567"/>
      <c r="SR84" s="2567"/>
      <c r="SS84" s="2567"/>
      <c r="ST84" s="2567"/>
      <c r="SU84" s="2567"/>
      <c r="SV84" s="2567"/>
      <c r="SW84" s="2567"/>
      <c r="SX84" s="2567"/>
      <c r="SY84" s="2567"/>
      <c r="SZ84" s="2567"/>
      <c r="TA84" s="2567"/>
      <c r="TB84" s="2567"/>
      <c r="TC84" s="2567"/>
      <c r="TD84" s="2567"/>
      <c r="TE84" s="2567"/>
      <c r="TF84" s="2567"/>
      <c r="TG84" s="2567"/>
      <c r="TH84" s="2567"/>
      <c r="TI84" s="2567"/>
      <c r="TJ84" s="2567"/>
      <c r="TK84" s="2567"/>
      <c r="TL84" s="2567"/>
      <c r="TM84" s="2567"/>
      <c r="TN84" s="2567"/>
      <c r="TO84" s="2567"/>
      <c r="TP84" s="2567"/>
      <c r="TQ84" s="2567"/>
      <c r="TR84" s="2567"/>
      <c r="TS84" s="2567"/>
      <c r="TT84" s="2567"/>
      <c r="TU84" s="2567"/>
      <c r="TV84" s="2567"/>
      <c r="TW84" s="2567"/>
      <c r="TX84" s="2567"/>
      <c r="TY84" s="2567"/>
      <c r="TZ84" s="2567"/>
      <c r="UA84" s="2567"/>
      <c r="UB84" s="2567"/>
      <c r="UC84" s="2567"/>
      <c r="UD84" s="2567"/>
      <c r="UE84" s="2567"/>
      <c r="UF84" s="2567"/>
      <c r="UG84" s="2567"/>
      <c r="UH84" s="2567"/>
      <c r="UI84" s="2567"/>
      <c r="UJ84" s="2567"/>
      <c r="UK84" s="2567"/>
      <c r="UL84" s="2567"/>
      <c r="UM84" s="2567"/>
      <c r="UN84" s="2567"/>
      <c r="UO84" s="2567"/>
      <c r="UP84" s="2567"/>
      <c r="UQ84" s="2567"/>
      <c r="UR84" s="2567"/>
      <c r="US84" s="2567"/>
      <c r="UT84" s="2567"/>
      <c r="UU84" s="2567"/>
      <c r="UV84" s="2567"/>
      <c r="UW84" s="2567"/>
      <c r="UX84" s="2567"/>
      <c r="UY84" s="2567"/>
      <c r="UZ84" s="2567"/>
      <c r="VA84" s="2567"/>
      <c r="VB84" s="2567"/>
      <c r="VC84" s="2567"/>
      <c r="VD84" s="2567"/>
      <c r="VE84" s="2567"/>
      <c r="VF84" s="2567"/>
      <c r="VG84" s="2567"/>
      <c r="VH84" s="2567"/>
      <c r="VI84" s="2567"/>
      <c r="VJ84" s="2567"/>
      <c r="VK84" s="2567"/>
      <c r="VL84" s="2567"/>
      <c r="VM84" s="2567"/>
      <c r="VN84" s="2567"/>
      <c r="VO84" s="2567"/>
      <c r="VP84" s="2567"/>
      <c r="VQ84" s="2567"/>
      <c r="VR84" s="2567"/>
      <c r="VS84" s="2567"/>
      <c r="VT84" s="2567"/>
      <c r="VU84" s="2567"/>
      <c r="VV84" s="2567"/>
      <c r="VW84" s="2567"/>
      <c r="VX84" s="2567"/>
      <c r="VY84" s="2567"/>
      <c r="VZ84" s="2567"/>
      <c r="WA84" s="2567"/>
      <c r="WB84" s="2567"/>
      <c r="WC84" s="2567"/>
      <c r="WD84" s="2567"/>
      <c r="WE84" s="2567"/>
      <c r="WF84" s="2567"/>
      <c r="WG84" s="2567"/>
      <c r="WH84" s="2567"/>
      <c r="WI84" s="2567"/>
      <c r="WJ84" s="2567"/>
      <c r="WK84" s="2567"/>
      <c r="WL84" s="2567"/>
      <c r="WM84" s="2567"/>
      <c r="WN84" s="2567"/>
      <c r="WO84" s="2567"/>
      <c r="WP84" s="2567"/>
      <c r="WQ84" s="2567"/>
      <c r="WR84" s="2567"/>
      <c r="WS84" s="2567"/>
      <c r="WT84" s="2567"/>
      <c r="WU84" s="2567"/>
      <c r="WV84" s="2567"/>
      <c r="WW84" s="2567"/>
      <c r="WX84" s="2567"/>
      <c r="WY84" s="2567"/>
      <c r="WZ84" s="2567"/>
      <c r="XA84" s="2567"/>
      <c r="XB84" s="2567"/>
      <c r="XC84" s="2567"/>
      <c r="XD84" s="2567"/>
      <c r="XE84" s="2567"/>
      <c r="XF84" s="2567"/>
      <c r="XG84" s="2567"/>
      <c r="XH84" s="2567"/>
      <c r="XI84" s="2567"/>
      <c r="XJ84" s="2567"/>
      <c r="XK84" s="2567"/>
      <c r="XL84" s="2567"/>
      <c r="XM84" s="2567"/>
      <c r="XN84" s="2567"/>
      <c r="XO84" s="2567"/>
      <c r="XP84" s="2567"/>
      <c r="XQ84" s="2567"/>
      <c r="XR84" s="2567"/>
      <c r="XS84" s="2567"/>
      <c r="XT84" s="2567"/>
      <c r="XU84" s="2567"/>
      <c r="XV84" s="2567"/>
      <c r="XW84" s="2567"/>
      <c r="XX84" s="2567"/>
      <c r="XY84" s="2567"/>
      <c r="XZ84" s="2567"/>
      <c r="YA84" s="2567"/>
      <c r="YB84" s="2567"/>
      <c r="YC84" s="2567"/>
      <c r="YD84" s="2567"/>
      <c r="YE84" s="2567"/>
      <c r="YF84" s="2567"/>
      <c r="YG84" s="2567"/>
      <c r="YH84" s="2567"/>
      <c r="YI84" s="2567"/>
      <c r="YJ84" s="2567"/>
      <c r="YK84" s="2567"/>
      <c r="YL84" s="2567"/>
      <c r="YM84" s="2567"/>
      <c r="YN84" s="2567"/>
      <c r="YO84" s="2567"/>
      <c r="YP84" s="2567"/>
      <c r="YQ84" s="2567"/>
      <c r="YR84" s="2567"/>
      <c r="YS84" s="2567"/>
      <c r="YT84" s="2567"/>
      <c r="YU84" s="2567"/>
      <c r="YV84" s="2567"/>
      <c r="YW84" s="2567"/>
      <c r="YX84" s="2567"/>
      <c r="YY84" s="2567"/>
      <c r="YZ84" s="2567"/>
      <c r="ZA84" s="2567"/>
      <c r="ZB84" s="2567"/>
      <c r="ZC84" s="2567"/>
      <c r="ZD84" s="2567"/>
      <c r="ZE84" s="2567"/>
      <c r="ZF84" s="2567"/>
      <c r="ZG84" s="2567"/>
      <c r="ZH84" s="2567"/>
      <c r="ZI84" s="2567"/>
      <c r="ZJ84" s="2567"/>
      <c r="ZK84" s="2567"/>
      <c r="ZL84" s="2567"/>
      <c r="ZM84" s="2567"/>
      <c r="ZN84" s="2567"/>
      <c r="ZO84" s="2567"/>
      <c r="ZP84" s="2567"/>
      <c r="ZQ84" s="2567"/>
      <c r="ZR84" s="2567"/>
      <c r="ZS84" s="2567"/>
      <c r="ZT84" s="2567"/>
      <c r="ZU84" s="2567"/>
      <c r="ZV84" s="2567"/>
      <c r="ZW84" s="2567"/>
      <c r="ZX84" s="2567"/>
      <c r="ZY84" s="2567"/>
      <c r="ZZ84" s="2567"/>
      <c r="AAA84" s="2567"/>
      <c r="AAB84" s="2567"/>
      <c r="AAC84" s="2567"/>
      <c r="AAD84" s="2567"/>
      <c r="AAE84" s="2567"/>
      <c r="AAF84" s="2567"/>
      <c r="AAG84" s="2567"/>
      <c r="AAH84" s="2567"/>
      <c r="AAI84" s="2567"/>
      <c r="AAJ84" s="2567"/>
      <c r="AAK84" s="2567"/>
      <c r="AAL84" s="2567"/>
      <c r="AAM84" s="2567"/>
      <c r="AAN84" s="2567"/>
      <c r="AAO84" s="2567"/>
      <c r="AAP84" s="2567"/>
      <c r="AAQ84" s="2567"/>
      <c r="AAR84" s="2567"/>
      <c r="AAS84" s="2567"/>
      <c r="AAT84" s="2567"/>
      <c r="AAU84" s="2567"/>
      <c r="AAV84" s="2567"/>
      <c r="AAW84" s="2567"/>
      <c r="AAX84" s="2567"/>
      <c r="AAY84" s="2567"/>
      <c r="AAZ84" s="2567"/>
      <c r="ABA84" s="2567"/>
      <c r="ABB84" s="2567"/>
      <c r="ABC84" s="2567"/>
      <c r="ABD84" s="2567"/>
      <c r="ABE84" s="2567"/>
      <c r="ABF84" s="2567"/>
      <c r="ABG84" s="2567"/>
      <c r="ABH84" s="2567"/>
      <c r="ABI84" s="2567"/>
      <c r="ABJ84" s="2567"/>
      <c r="ABK84" s="2567"/>
      <c r="ABL84" s="2567"/>
      <c r="ABM84" s="2567"/>
      <c r="ABN84" s="2567"/>
      <c r="ABO84" s="2567"/>
      <c r="ABP84" s="2567"/>
      <c r="ABQ84" s="2567"/>
      <c r="ABR84" s="2567"/>
      <c r="ABS84" s="2567"/>
      <c r="ABT84" s="2567"/>
      <c r="ABU84" s="2567"/>
      <c r="ABV84" s="2567"/>
      <c r="ABW84" s="2567"/>
      <c r="ABX84" s="2567"/>
      <c r="ABY84" s="2567"/>
      <c r="ABZ84" s="2567"/>
      <c r="ACA84" s="2567"/>
      <c r="ACB84" s="2567"/>
      <c r="ACC84" s="2567"/>
      <c r="ACD84" s="2567"/>
      <c r="ACE84" s="2567"/>
      <c r="ACF84" s="2567"/>
      <c r="ACG84" s="2567"/>
      <c r="ACH84" s="2567"/>
      <c r="ACI84" s="2567"/>
      <c r="ACJ84" s="2567"/>
      <c r="ACK84" s="2567"/>
      <c r="ACL84" s="2567"/>
      <c r="ACM84" s="2567"/>
      <c r="ACN84" s="2567"/>
      <c r="ACO84" s="2567"/>
      <c r="ACP84" s="2567"/>
      <c r="ACQ84" s="2567"/>
      <c r="ACR84" s="2567"/>
      <c r="ACS84" s="2567"/>
      <c r="ACT84" s="2567"/>
      <c r="ACU84" s="2567"/>
      <c r="ACV84" s="2567"/>
      <c r="ACW84" s="2567"/>
      <c r="ACX84" s="2567"/>
      <c r="ACY84" s="2567"/>
      <c r="ACZ84" s="2567"/>
      <c r="ADA84" s="2567"/>
      <c r="ADB84" s="2567"/>
      <c r="ADC84" s="2567"/>
      <c r="ADD84" s="2567"/>
      <c r="ADE84" s="2567"/>
      <c r="ADF84" s="2567"/>
      <c r="ADG84" s="2567"/>
      <c r="ADH84" s="2567"/>
      <c r="ADI84" s="2567"/>
      <c r="ADJ84" s="2567"/>
      <c r="ADK84" s="2567"/>
      <c r="ADL84" s="2567"/>
      <c r="ADM84" s="2567"/>
      <c r="ADN84" s="2567"/>
      <c r="ADO84" s="2567"/>
      <c r="ADP84" s="2567"/>
      <c r="ADQ84" s="2567"/>
      <c r="ADR84" s="2567"/>
      <c r="ADS84" s="2567"/>
      <c r="ADT84" s="2567"/>
      <c r="ADU84" s="2567"/>
      <c r="ADV84" s="2567"/>
      <c r="ADW84" s="2567"/>
      <c r="ADX84" s="2567"/>
      <c r="ADY84" s="2567"/>
      <c r="ADZ84" s="2567"/>
      <c r="AEA84" s="2567"/>
      <c r="AEB84" s="2567"/>
      <c r="AEC84" s="2567"/>
      <c r="AED84" s="2567"/>
      <c r="AEE84" s="2567"/>
      <c r="AEF84" s="2567"/>
      <c r="AEG84" s="2567"/>
      <c r="AEH84" s="2567"/>
      <c r="AEI84" s="2567"/>
      <c r="AEJ84" s="2567"/>
      <c r="AEK84" s="2567"/>
      <c r="AEL84" s="2567"/>
      <c r="AEM84" s="2567"/>
      <c r="AEN84" s="2567"/>
      <c r="AEO84" s="2567"/>
      <c r="AEP84" s="2567"/>
      <c r="AEQ84" s="2567"/>
      <c r="AER84" s="2567"/>
      <c r="AES84" s="2567"/>
      <c r="AET84" s="2567"/>
      <c r="AEU84" s="2567"/>
      <c r="AEV84" s="2567"/>
      <c r="AEW84" s="2567"/>
      <c r="AEX84" s="2567"/>
      <c r="AEY84" s="2567"/>
      <c r="AEZ84" s="2567"/>
      <c r="AFA84" s="2567"/>
      <c r="AFB84" s="2567"/>
      <c r="AFC84" s="2567"/>
      <c r="AFD84" s="2567"/>
      <c r="AFE84" s="2567"/>
      <c r="AFF84" s="2567"/>
      <c r="AFG84" s="2567"/>
      <c r="AFH84" s="2567"/>
      <c r="AFI84" s="2567"/>
      <c r="AFJ84" s="2567"/>
      <c r="AFK84" s="2567"/>
      <c r="AFL84" s="2567"/>
      <c r="AFM84" s="2567"/>
      <c r="AFN84" s="2567"/>
      <c r="AFO84" s="2567"/>
      <c r="AFP84" s="2567"/>
      <c r="AFQ84" s="2567"/>
      <c r="AFR84" s="2567"/>
      <c r="AFS84" s="2567"/>
      <c r="AFT84" s="2567"/>
      <c r="AFU84" s="2567"/>
      <c r="AFV84" s="2567"/>
      <c r="AFW84" s="2567"/>
      <c r="AFX84" s="2567"/>
      <c r="AFY84" s="2567"/>
      <c r="AFZ84" s="2567"/>
      <c r="AGA84" s="2567"/>
      <c r="AGB84" s="2567"/>
      <c r="AGC84" s="2567"/>
      <c r="AGD84" s="2567"/>
      <c r="AGE84" s="2567"/>
      <c r="AGF84" s="2567"/>
      <c r="AGG84" s="2567"/>
      <c r="AGH84" s="2567"/>
      <c r="AGI84" s="2567"/>
      <c r="AGJ84" s="2567"/>
      <c r="AGK84" s="2567"/>
      <c r="AGL84" s="2567"/>
      <c r="AGM84" s="2567"/>
      <c r="AGN84" s="2567"/>
      <c r="AGO84" s="2567"/>
      <c r="AGP84" s="2567"/>
      <c r="AGQ84" s="2567"/>
      <c r="AGR84" s="2567"/>
      <c r="AGS84" s="2567"/>
      <c r="AGT84" s="2567"/>
      <c r="AGU84" s="2567"/>
      <c r="AGV84" s="2567"/>
      <c r="AGW84" s="2567"/>
      <c r="AGX84" s="2567"/>
      <c r="AGY84" s="2567"/>
      <c r="AGZ84" s="2567"/>
      <c r="AHA84" s="2567"/>
      <c r="AHB84" s="2567"/>
      <c r="AHC84" s="2567"/>
      <c r="AHD84" s="2567"/>
      <c r="AHE84" s="2567"/>
      <c r="AHF84" s="2567"/>
      <c r="AHG84" s="2567"/>
      <c r="AHH84" s="2567"/>
      <c r="AHI84" s="2567"/>
      <c r="AHJ84" s="2567"/>
      <c r="AHK84" s="2567"/>
      <c r="AHL84" s="2567"/>
      <c r="AHM84" s="2567"/>
      <c r="AHN84" s="2567"/>
      <c r="AHO84" s="2567"/>
      <c r="AHP84" s="2567"/>
      <c r="AHQ84" s="2567"/>
      <c r="AHR84" s="2567"/>
      <c r="AHS84" s="2567"/>
      <c r="AHT84" s="2567"/>
      <c r="AHU84" s="2567"/>
      <c r="AHV84" s="2567"/>
      <c r="AHW84" s="2567"/>
      <c r="AHX84" s="2567"/>
      <c r="AHY84" s="2567"/>
      <c r="AHZ84" s="2567"/>
      <c r="AIA84" s="2567"/>
      <c r="AIB84" s="2567"/>
      <c r="AIC84" s="2567"/>
      <c r="AID84" s="2567"/>
      <c r="AIE84" s="2567"/>
      <c r="AIF84" s="2567"/>
      <c r="AIG84" s="2567"/>
      <c r="AIH84" s="2567"/>
      <c r="AII84" s="2567"/>
      <c r="AIJ84" s="2567"/>
      <c r="AIK84" s="2567"/>
      <c r="AIL84" s="2567"/>
      <c r="AIM84" s="2567"/>
      <c r="AIN84" s="2567"/>
      <c r="AIO84" s="2567"/>
      <c r="AIP84" s="2567"/>
      <c r="AIQ84" s="2567"/>
      <c r="AIR84" s="2567"/>
      <c r="AIS84" s="2567"/>
      <c r="AIT84" s="2567"/>
      <c r="AIU84" s="2567"/>
      <c r="AIV84" s="2567"/>
      <c r="AIW84" s="2567"/>
      <c r="AIX84" s="2567"/>
      <c r="AIY84" s="2567"/>
      <c r="AIZ84" s="2567"/>
      <c r="AJA84" s="2567"/>
      <c r="AJB84" s="2567"/>
      <c r="AJC84" s="2567"/>
      <c r="AJD84" s="2567"/>
      <c r="AJE84" s="2567"/>
      <c r="AJF84" s="2567"/>
      <c r="AJG84" s="2567"/>
      <c r="AJH84" s="2567"/>
      <c r="AJI84" s="2567"/>
      <c r="AJJ84" s="2567"/>
      <c r="AJK84" s="2567"/>
      <c r="AJL84" s="2567"/>
      <c r="AJM84" s="2567"/>
      <c r="AJN84" s="2567"/>
      <c r="AJO84" s="2567"/>
      <c r="AJP84" s="2567"/>
      <c r="AJQ84" s="2567"/>
      <c r="AJR84" s="2567"/>
      <c r="AJS84" s="2567"/>
      <c r="AJT84" s="2567"/>
      <c r="AJU84" s="2567"/>
      <c r="AJV84" s="2567"/>
      <c r="AJW84" s="2567"/>
      <c r="AJX84" s="2567"/>
      <c r="AJY84" s="2567"/>
      <c r="AJZ84" s="2567"/>
      <c r="AKA84" s="2567"/>
      <c r="AKB84" s="2567"/>
      <c r="AKC84" s="2567"/>
      <c r="AKD84" s="2567"/>
      <c r="AKE84" s="2567"/>
      <c r="AKF84" s="2567"/>
      <c r="AKG84" s="2567"/>
      <c r="AKH84" s="2567"/>
      <c r="AKI84" s="2567"/>
      <c r="AKJ84" s="2567"/>
      <c r="AKK84" s="2567"/>
      <c r="AKL84" s="2567"/>
      <c r="AKM84" s="2567"/>
      <c r="AKN84" s="2567"/>
      <c r="AKO84" s="2567"/>
      <c r="AKP84" s="2567"/>
      <c r="AKQ84" s="2567"/>
      <c r="AKR84" s="2567"/>
      <c r="AKS84" s="2567"/>
      <c r="AKT84" s="2567"/>
      <c r="AKU84" s="2567"/>
      <c r="AKV84" s="2567"/>
      <c r="AKW84" s="2567"/>
      <c r="AKX84" s="2567"/>
      <c r="AKY84" s="2567"/>
      <c r="AKZ84" s="2567"/>
      <c r="ALA84" s="2567"/>
      <c r="ALB84" s="2567"/>
      <c r="ALC84" s="2567"/>
      <c r="ALD84" s="2567"/>
      <c r="ALE84" s="2567"/>
      <c r="ALF84" s="2567"/>
      <c r="ALG84" s="2567"/>
      <c r="ALH84" s="2567"/>
      <c r="ALI84" s="2567"/>
      <c r="ALJ84" s="2567"/>
      <c r="ALK84" s="2567"/>
      <c r="ALL84" s="2567"/>
      <c r="ALM84" s="2567"/>
      <c r="ALN84" s="2567"/>
      <c r="ALO84" s="2567"/>
      <c r="ALP84" s="2567"/>
      <c r="ALQ84" s="2567"/>
      <c r="ALR84" s="2567"/>
      <c r="ALS84" s="2567"/>
      <c r="ALT84" s="2567"/>
      <c r="ALU84" s="2567"/>
      <c r="ALV84" s="2567"/>
      <c r="ALW84" s="2567"/>
      <c r="ALX84" s="2567"/>
      <c r="ALY84" s="2567"/>
      <c r="ALZ84" s="2567"/>
      <c r="AMA84" s="2567"/>
      <c r="AMB84" s="2567"/>
      <c r="AMC84" s="2567"/>
      <c r="AMD84" s="2567"/>
      <c r="AME84" s="2567"/>
      <c r="AMF84" s="2567"/>
      <c r="AMG84" s="2567"/>
      <c r="AMH84" s="2567"/>
      <c r="AMI84" s="2567"/>
      <c r="AMJ84" s="2567"/>
      <c r="AMK84" s="2567"/>
      <c r="AML84" s="2567"/>
      <c r="AMM84" s="2567"/>
      <c r="AMN84" s="2567"/>
      <c r="AMO84" s="2567"/>
      <c r="AMP84" s="2567"/>
      <c r="AMQ84" s="2567"/>
      <c r="AMR84" s="2567"/>
      <c r="AMS84" s="2567"/>
      <c r="AMT84" s="2567"/>
      <c r="AMU84" s="2567"/>
      <c r="AMV84" s="2567"/>
      <c r="AMW84" s="2567"/>
      <c r="AMX84" s="2567"/>
      <c r="AMY84" s="2567"/>
      <c r="AMZ84" s="2567"/>
      <c r="ANA84" s="2567"/>
      <c r="ANB84" s="2567"/>
      <c r="ANC84" s="2567"/>
      <c r="AND84" s="2567"/>
      <c r="ANE84" s="2567"/>
      <c r="ANF84" s="2567"/>
      <c r="ANG84" s="2567"/>
      <c r="ANH84" s="2567"/>
      <c r="ANI84" s="2567"/>
      <c r="ANJ84" s="2567"/>
      <c r="ANK84" s="2567"/>
      <c r="ANL84" s="2567"/>
      <c r="ANM84" s="2567"/>
      <c r="ANN84" s="2567"/>
      <c r="ANO84" s="2567"/>
      <c r="ANP84" s="2567"/>
      <c r="ANQ84" s="2567"/>
      <c r="ANR84" s="2567"/>
      <c r="ANS84" s="2567"/>
      <c r="ANT84" s="2567"/>
      <c r="ANU84" s="2567"/>
      <c r="ANV84" s="2567"/>
      <c r="ANW84" s="2567"/>
      <c r="ANX84" s="2567"/>
      <c r="ANY84" s="2567"/>
      <c r="ANZ84" s="2567"/>
      <c r="AOA84" s="2567"/>
      <c r="AOB84" s="2567"/>
      <c r="AOC84" s="2567"/>
      <c r="AOD84" s="2567"/>
      <c r="AOE84" s="2567"/>
      <c r="AOF84" s="2567"/>
      <c r="AOG84" s="2567"/>
      <c r="AOH84" s="2567"/>
      <c r="AOI84" s="2567"/>
      <c r="AOJ84" s="2567"/>
      <c r="AOK84" s="2567"/>
      <c r="AOL84" s="2567"/>
      <c r="AOM84" s="2567"/>
      <c r="AON84" s="2567"/>
      <c r="AOO84" s="2567"/>
      <c r="AOP84" s="2567"/>
      <c r="AOQ84" s="2567"/>
      <c r="AOR84" s="2567"/>
      <c r="AOS84" s="2567"/>
      <c r="AOT84" s="2567"/>
      <c r="AOU84" s="2567"/>
      <c r="AOV84" s="2567"/>
      <c r="AOW84" s="2567"/>
      <c r="AOX84" s="2567"/>
      <c r="AOY84" s="2567"/>
      <c r="AOZ84" s="2567"/>
      <c r="APA84" s="2567"/>
      <c r="APB84" s="2567"/>
      <c r="APC84" s="2567"/>
      <c r="APD84" s="2567"/>
      <c r="APE84" s="2567"/>
      <c r="APF84" s="2567"/>
      <c r="APG84" s="2567"/>
      <c r="APH84" s="2567"/>
      <c r="API84" s="2567"/>
      <c r="APJ84" s="2567"/>
      <c r="APK84" s="2567"/>
      <c r="APL84" s="2567"/>
      <c r="APM84" s="2567"/>
      <c r="APN84" s="2567"/>
      <c r="APO84" s="2567"/>
      <c r="APP84" s="2567"/>
      <c r="APQ84" s="2567"/>
      <c r="APR84" s="2567"/>
      <c r="APS84" s="2567"/>
      <c r="APT84" s="2567"/>
      <c r="APU84" s="2567"/>
      <c r="APV84" s="2567"/>
      <c r="APW84" s="2567"/>
      <c r="APX84" s="2567"/>
      <c r="APY84" s="2567"/>
      <c r="APZ84" s="2567"/>
      <c r="AQA84" s="2567"/>
      <c r="AQB84" s="2567"/>
      <c r="AQC84" s="2567"/>
      <c r="AQD84" s="2567"/>
      <c r="AQE84" s="2567"/>
      <c r="AQF84" s="2567"/>
      <c r="AQG84" s="2567"/>
      <c r="AQH84" s="2567"/>
      <c r="AQI84" s="2567"/>
      <c r="AQJ84" s="2567"/>
      <c r="AQK84" s="2567"/>
      <c r="AQL84" s="2567"/>
      <c r="AQM84" s="2567"/>
      <c r="AQN84" s="2567"/>
      <c r="AQO84" s="2567"/>
      <c r="AQP84" s="2567"/>
      <c r="AQQ84" s="2567"/>
      <c r="AQR84" s="2567"/>
      <c r="AQS84" s="2567"/>
      <c r="AQT84" s="2567"/>
      <c r="AQU84" s="2567"/>
      <c r="AQV84" s="2567"/>
      <c r="AQW84" s="2567"/>
      <c r="AQX84" s="2567"/>
      <c r="AQY84" s="2567"/>
      <c r="AQZ84" s="2567"/>
      <c r="ARA84" s="2567"/>
      <c r="ARB84" s="2567"/>
      <c r="ARC84" s="2567"/>
      <c r="ARD84" s="2567"/>
      <c r="ARE84" s="2567"/>
      <c r="ARF84" s="2567"/>
      <c r="ARG84" s="2567"/>
      <c r="ARH84" s="2567"/>
      <c r="ARI84" s="2567"/>
      <c r="ARJ84" s="2567"/>
      <c r="ARK84" s="2567"/>
      <c r="ARL84" s="2567"/>
      <c r="ARM84" s="2567"/>
      <c r="ARN84" s="2567"/>
      <c r="ARO84" s="2567"/>
      <c r="ARP84" s="2567"/>
      <c r="ARQ84" s="2567"/>
      <c r="ARR84" s="2567"/>
      <c r="ARS84" s="2567"/>
      <c r="ART84" s="2567"/>
      <c r="ARU84" s="2567"/>
      <c r="ARV84" s="2567"/>
      <c r="ARW84" s="2567"/>
      <c r="ARX84" s="2567"/>
      <c r="ARY84" s="2567"/>
      <c r="ARZ84" s="2567"/>
      <c r="ASA84" s="2567"/>
      <c r="ASB84" s="2567"/>
      <c r="ASC84" s="2567"/>
      <c r="ASD84" s="2567"/>
      <c r="ASE84" s="2567"/>
      <c r="ASF84" s="2567"/>
      <c r="ASG84" s="2567"/>
      <c r="ASH84" s="2567"/>
      <c r="ASI84" s="2567"/>
      <c r="ASJ84" s="2567"/>
      <c r="ASK84" s="2567"/>
      <c r="ASL84" s="2567"/>
      <c r="ASM84" s="2567"/>
      <c r="ASN84" s="2567"/>
      <c r="ASO84" s="2567"/>
      <c r="ASP84" s="2567"/>
      <c r="ASQ84" s="2567"/>
      <c r="ASR84" s="2567"/>
      <c r="ASS84" s="2567"/>
      <c r="AST84" s="2567"/>
      <c r="ASU84" s="2567"/>
      <c r="ASV84" s="2567"/>
      <c r="ASW84" s="2567"/>
      <c r="ASX84" s="2567"/>
      <c r="ASY84" s="2567"/>
      <c r="ASZ84" s="2567"/>
      <c r="ATA84" s="2567"/>
      <c r="ATB84" s="2567"/>
      <c r="ATC84" s="2567"/>
      <c r="ATD84" s="2567"/>
      <c r="ATE84" s="2567"/>
      <c r="ATF84" s="2567"/>
      <c r="ATG84" s="2567"/>
      <c r="ATH84" s="2567"/>
      <c r="ATI84" s="2567"/>
      <c r="ATJ84" s="2567"/>
      <c r="ATK84" s="2567"/>
      <c r="ATL84" s="2567"/>
      <c r="ATM84" s="2567"/>
      <c r="ATN84" s="2567"/>
      <c r="ATO84" s="2567"/>
      <c r="ATP84" s="2567"/>
      <c r="ATQ84" s="2567"/>
      <c r="ATR84" s="2567"/>
      <c r="ATS84" s="2567"/>
      <c r="ATT84" s="2567"/>
      <c r="ATU84" s="2567"/>
      <c r="ATV84" s="2567"/>
      <c r="ATW84" s="2567"/>
      <c r="ATX84" s="2567"/>
      <c r="ATY84" s="2567"/>
      <c r="ATZ84" s="2567"/>
      <c r="AUA84" s="2567"/>
      <c r="AUB84" s="2567"/>
      <c r="AUC84" s="2567"/>
      <c r="AUD84" s="2567"/>
      <c r="AUE84" s="2567"/>
      <c r="AUF84" s="2567"/>
      <c r="AUG84" s="2567"/>
      <c r="AUH84" s="2567"/>
      <c r="AUI84" s="2567"/>
      <c r="AUJ84" s="2567"/>
      <c r="AUK84" s="2567"/>
      <c r="AUL84" s="2567"/>
      <c r="AUM84" s="2567"/>
      <c r="AUN84" s="2567"/>
      <c r="AUO84" s="2567"/>
      <c r="AUP84" s="2567"/>
      <c r="AUQ84" s="2567"/>
      <c r="AUR84" s="2567"/>
      <c r="AUS84" s="2567"/>
      <c r="AUT84" s="2567"/>
      <c r="AUU84" s="2567"/>
      <c r="AUV84" s="2567"/>
      <c r="AUW84" s="2567"/>
      <c r="AUX84" s="2567"/>
      <c r="AUY84" s="2567"/>
      <c r="AUZ84" s="2567"/>
      <c r="AVA84" s="2567"/>
      <c r="AVB84" s="2567"/>
      <c r="AVC84" s="2567"/>
      <c r="AVD84" s="2567"/>
      <c r="AVE84" s="2567"/>
      <c r="AVF84" s="2567"/>
      <c r="AVG84" s="2567"/>
      <c r="AVH84" s="2567"/>
      <c r="AVI84" s="2567"/>
      <c r="AVJ84" s="2567"/>
      <c r="AVK84" s="2567"/>
      <c r="AVL84" s="2567"/>
      <c r="AVM84" s="2567"/>
      <c r="AVN84" s="2567"/>
      <c r="AVO84" s="2567"/>
      <c r="AVP84" s="2567"/>
      <c r="AVQ84" s="2567"/>
      <c r="AVR84" s="2567"/>
      <c r="AVS84" s="2567"/>
      <c r="AVT84" s="2567"/>
      <c r="AVU84" s="2567"/>
      <c r="AVV84" s="2567"/>
      <c r="AVW84" s="2567"/>
      <c r="AVX84" s="2567"/>
      <c r="AVY84" s="2567"/>
      <c r="AVZ84" s="2567"/>
      <c r="AWA84" s="2567"/>
      <c r="AWB84" s="2567"/>
      <c r="AWC84" s="2567"/>
      <c r="AWD84" s="2567"/>
      <c r="AWE84" s="2567"/>
      <c r="AWF84" s="2567"/>
      <c r="AWG84" s="2567"/>
      <c r="AWH84" s="2567"/>
      <c r="AWI84" s="2567"/>
      <c r="AWJ84" s="2567"/>
      <c r="AWK84" s="2567"/>
      <c r="AWL84" s="2567"/>
      <c r="AWM84" s="2567"/>
      <c r="AWN84" s="2567"/>
      <c r="AWO84" s="2567"/>
      <c r="AWP84" s="2567"/>
      <c r="AWQ84" s="2567"/>
      <c r="AWR84" s="2567"/>
      <c r="AWS84" s="2567"/>
      <c r="AWT84" s="2567"/>
      <c r="AWU84" s="2567"/>
      <c r="AWV84" s="2567"/>
      <c r="AWW84" s="2567"/>
      <c r="AWX84" s="2567"/>
      <c r="AWY84" s="2567"/>
      <c r="AWZ84" s="2567"/>
      <c r="AXA84" s="2567"/>
      <c r="AXB84" s="2567"/>
      <c r="AXC84" s="2567"/>
      <c r="AXD84" s="2567"/>
      <c r="AXE84" s="2567"/>
      <c r="AXF84" s="2567"/>
      <c r="AXG84" s="2567"/>
      <c r="AXH84" s="2567"/>
      <c r="AXI84" s="2567"/>
      <c r="AXJ84" s="2567"/>
      <c r="AXK84" s="2567"/>
      <c r="AXL84" s="2567"/>
      <c r="AXM84" s="2567"/>
      <c r="AXN84" s="2567"/>
      <c r="AXO84" s="2567"/>
      <c r="AXP84" s="2567"/>
      <c r="AXQ84" s="2567"/>
      <c r="AXR84" s="2567"/>
      <c r="AXS84" s="2567"/>
      <c r="AXT84" s="2567"/>
      <c r="AXU84" s="2567"/>
      <c r="AXV84" s="2567"/>
      <c r="AXW84" s="2567"/>
      <c r="AXX84" s="2567"/>
      <c r="AXY84" s="2567"/>
      <c r="AXZ84" s="2567"/>
      <c r="AYA84" s="2567"/>
      <c r="AYB84" s="2567"/>
      <c r="AYC84" s="2567"/>
      <c r="AYD84" s="2567"/>
      <c r="AYE84" s="2567"/>
      <c r="AYF84" s="2567"/>
      <c r="AYG84" s="2567"/>
      <c r="AYH84" s="2567"/>
      <c r="AYI84" s="2567"/>
      <c r="AYJ84" s="2567"/>
      <c r="AYK84" s="2567"/>
      <c r="AYL84" s="2567"/>
      <c r="AYM84" s="2567"/>
      <c r="AYN84" s="2567"/>
      <c r="AYO84" s="2567"/>
      <c r="AYP84" s="2567"/>
      <c r="AYQ84" s="2567"/>
      <c r="AYR84" s="2567"/>
      <c r="AYS84" s="2567"/>
      <c r="AYT84" s="2567"/>
      <c r="AYU84" s="2567"/>
      <c r="AYV84" s="2567"/>
      <c r="AYW84" s="2567"/>
      <c r="AYX84" s="2567"/>
      <c r="AYY84" s="2567"/>
      <c r="AYZ84" s="2567"/>
      <c r="AZA84" s="2567"/>
      <c r="AZB84" s="2567"/>
      <c r="AZC84" s="2567"/>
      <c r="AZD84" s="2567"/>
      <c r="AZE84" s="2567"/>
      <c r="AZF84" s="2567"/>
      <c r="AZG84" s="2567"/>
      <c r="AZH84" s="2567"/>
      <c r="AZI84" s="2567"/>
      <c r="AZJ84" s="2567"/>
      <c r="AZK84" s="2567"/>
      <c r="AZL84" s="2567"/>
      <c r="AZM84" s="2567"/>
      <c r="AZN84" s="2567"/>
      <c r="AZO84" s="2567"/>
      <c r="AZP84" s="2567"/>
      <c r="AZQ84" s="2567"/>
      <c r="AZR84" s="2567"/>
      <c r="AZS84" s="2567"/>
      <c r="AZT84" s="2567"/>
      <c r="AZU84" s="2567"/>
      <c r="AZV84" s="2567"/>
      <c r="AZW84" s="2567"/>
      <c r="AZX84" s="2567"/>
      <c r="AZY84" s="2567"/>
      <c r="AZZ84" s="2567"/>
      <c r="BAA84" s="2567"/>
      <c r="BAB84" s="2567"/>
      <c r="BAC84" s="2567"/>
      <c r="BAD84" s="2567"/>
      <c r="BAE84" s="2567"/>
      <c r="BAF84" s="2567"/>
      <c r="BAG84" s="2567"/>
      <c r="BAH84" s="2567"/>
      <c r="BAI84" s="2567"/>
      <c r="BAJ84" s="2567"/>
      <c r="BAK84" s="2567"/>
      <c r="BAL84" s="2567"/>
      <c r="BAM84" s="2567"/>
      <c r="BAN84" s="2567"/>
      <c r="BAO84" s="2567"/>
      <c r="BAP84" s="2567"/>
      <c r="BAQ84" s="2567"/>
      <c r="BAR84" s="2567"/>
      <c r="BAS84" s="2567"/>
      <c r="BAT84" s="2567"/>
      <c r="BAU84" s="2567"/>
      <c r="BAV84" s="2567"/>
      <c r="BAW84" s="2567"/>
      <c r="BAX84" s="2567"/>
      <c r="BAY84" s="2567"/>
      <c r="BAZ84" s="2567"/>
      <c r="BBA84" s="2567"/>
      <c r="BBB84" s="2567"/>
      <c r="BBC84" s="2567"/>
      <c r="BBD84" s="2567"/>
      <c r="BBE84" s="2567"/>
      <c r="BBF84" s="2567"/>
      <c r="BBG84" s="2567"/>
      <c r="BBH84" s="2567"/>
      <c r="BBI84" s="2567"/>
      <c r="BBJ84" s="2567"/>
      <c r="BBK84" s="2567"/>
      <c r="BBL84" s="2567"/>
      <c r="BBM84" s="2567"/>
      <c r="BBN84" s="2567"/>
      <c r="BBO84" s="2567"/>
      <c r="BBP84" s="2567"/>
      <c r="BBQ84" s="2567"/>
      <c r="BBR84" s="2567"/>
      <c r="BBS84" s="2567"/>
      <c r="BBT84" s="2567"/>
      <c r="BBU84" s="2567"/>
      <c r="BBV84" s="2567"/>
      <c r="BBW84" s="2567"/>
      <c r="BBX84" s="2567"/>
      <c r="BBY84" s="2567"/>
      <c r="BBZ84" s="2567"/>
      <c r="BCA84" s="2567"/>
      <c r="BCB84" s="2567"/>
      <c r="BCC84" s="2567"/>
      <c r="BCD84" s="2567"/>
      <c r="BCE84" s="2567"/>
      <c r="BCF84" s="2567"/>
      <c r="BCG84" s="2567"/>
      <c r="BCH84" s="2567"/>
      <c r="BCI84" s="2567"/>
      <c r="BCJ84" s="2567"/>
      <c r="BCK84" s="2567"/>
      <c r="BCL84" s="2567"/>
      <c r="BCM84" s="2567"/>
      <c r="BCN84" s="2567"/>
      <c r="BCO84" s="2567"/>
      <c r="BCP84" s="2567"/>
      <c r="BCQ84" s="2567"/>
      <c r="BCR84" s="2567"/>
      <c r="BCS84" s="2567"/>
      <c r="BCT84" s="2567"/>
      <c r="BCU84" s="2567"/>
      <c r="BCV84" s="2567"/>
      <c r="BCW84" s="2567"/>
      <c r="BCX84" s="2567"/>
      <c r="BCY84" s="2567"/>
      <c r="BCZ84" s="2567"/>
      <c r="BDA84" s="2567"/>
      <c r="BDB84" s="2567"/>
      <c r="BDC84" s="2567"/>
      <c r="BDD84" s="2567"/>
      <c r="BDE84" s="2567"/>
      <c r="BDF84" s="2567"/>
      <c r="BDG84" s="2567"/>
      <c r="BDH84" s="2567"/>
      <c r="BDI84" s="2567"/>
      <c r="BDJ84" s="2567"/>
      <c r="BDK84" s="2567"/>
      <c r="BDL84" s="2567"/>
      <c r="BDM84" s="2567"/>
      <c r="BDN84" s="2567"/>
      <c r="BDO84" s="2567"/>
      <c r="BDP84" s="2567"/>
      <c r="BDQ84" s="2567"/>
      <c r="BDR84" s="2567"/>
      <c r="BDS84" s="2567"/>
      <c r="BDT84" s="2567"/>
      <c r="BDU84" s="2567"/>
      <c r="BDV84" s="2567"/>
      <c r="BDW84" s="2567"/>
      <c r="BDX84" s="2567"/>
      <c r="BDY84" s="2567"/>
      <c r="BDZ84" s="2567"/>
      <c r="BEA84" s="2567"/>
      <c r="BEB84" s="2567"/>
      <c r="BEC84" s="2567"/>
      <c r="BED84" s="2567"/>
      <c r="BEE84" s="2567"/>
      <c r="BEF84" s="2567"/>
      <c r="BEG84" s="2567"/>
      <c r="BEH84" s="2567"/>
      <c r="BEI84" s="2567"/>
      <c r="BEJ84" s="2567"/>
      <c r="BEK84" s="2567"/>
      <c r="BEL84" s="2567"/>
      <c r="BEM84" s="2567"/>
      <c r="BEN84" s="2567"/>
      <c r="BEO84" s="2567"/>
      <c r="BEP84" s="2567"/>
      <c r="BEQ84" s="2567"/>
      <c r="BER84" s="2567"/>
      <c r="BES84" s="2567"/>
      <c r="BET84" s="2567"/>
      <c r="BEU84" s="2567"/>
      <c r="BEV84" s="2567"/>
      <c r="BEW84" s="2567"/>
      <c r="BEX84" s="2567"/>
      <c r="BEY84" s="2567"/>
      <c r="BEZ84" s="2567"/>
      <c r="BFA84" s="2567"/>
      <c r="BFB84" s="2567"/>
      <c r="BFC84" s="2567"/>
      <c r="BFD84" s="2567"/>
      <c r="BFE84" s="2567"/>
      <c r="BFF84" s="2567"/>
      <c r="BFG84" s="2567"/>
      <c r="BFH84" s="2567"/>
      <c r="BFI84" s="2567"/>
      <c r="BFJ84" s="2567"/>
      <c r="BFK84" s="2567"/>
      <c r="BFL84" s="2567"/>
      <c r="BFM84" s="2567"/>
      <c r="BFN84" s="2567"/>
      <c r="BFO84" s="2567"/>
      <c r="BFP84" s="2567"/>
      <c r="BFQ84" s="2567"/>
      <c r="BFR84" s="2567"/>
      <c r="BFS84" s="2567"/>
      <c r="BFT84" s="2567"/>
      <c r="BFU84" s="2567"/>
      <c r="BFV84" s="2567"/>
      <c r="BFW84" s="2567"/>
      <c r="BFX84" s="2567"/>
      <c r="BFY84" s="2567"/>
      <c r="BFZ84" s="2567"/>
      <c r="BGA84" s="2567"/>
      <c r="BGB84" s="2567"/>
      <c r="BGC84" s="2567"/>
      <c r="BGD84" s="2567"/>
      <c r="BGE84" s="2567"/>
      <c r="BGF84" s="2567"/>
      <c r="BGG84" s="2567"/>
      <c r="BGH84" s="2567"/>
      <c r="BGI84" s="2567"/>
      <c r="BGJ84" s="2567"/>
      <c r="BGK84" s="2567"/>
      <c r="BGL84" s="2567"/>
      <c r="BGM84" s="2567"/>
      <c r="BGN84" s="2567"/>
      <c r="BGO84" s="2567"/>
      <c r="BGP84" s="2567"/>
      <c r="BGQ84" s="2567"/>
      <c r="BGR84" s="2567"/>
      <c r="BGS84" s="2567"/>
      <c r="BGT84" s="2567"/>
      <c r="BGU84" s="2567"/>
      <c r="BGV84" s="2567"/>
      <c r="BGW84" s="2567"/>
      <c r="BGX84" s="2567"/>
      <c r="BGY84" s="2567"/>
      <c r="BGZ84" s="2567"/>
      <c r="BHA84" s="2567"/>
      <c r="BHB84" s="2567"/>
      <c r="BHC84" s="2567"/>
      <c r="BHD84" s="2567"/>
      <c r="BHE84" s="2567"/>
      <c r="BHF84" s="2567"/>
      <c r="BHG84" s="2567"/>
      <c r="BHH84" s="2567"/>
      <c r="BHI84" s="2567"/>
      <c r="BHJ84" s="2567"/>
      <c r="BHK84" s="2567"/>
      <c r="BHL84" s="2567"/>
      <c r="BHM84" s="2567"/>
      <c r="BHN84" s="2567"/>
      <c r="BHO84" s="2567"/>
      <c r="BHP84" s="2567"/>
      <c r="BHQ84" s="2567"/>
      <c r="BHR84" s="2567"/>
      <c r="BHS84" s="2567"/>
      <c r="BHT84" s="2567"/>
      <c r="BHU84" s="2567"/>
      <c r="BHV84" s="2567"/>
      <c r="BHW84" s="2567"/>
      <c r="BHX84" s="2567"/>
      <c r="BHY84" s="2567"/>
      <c r="BHZ84" s="2567"/>
      <c r="BIA84" s="2567"/>
      <c r="BIB84" s="2567"/>
      <c r="BIC84" s="2567"/>
      <c r="BID84" s="2567"/>
      <c r="BIE84" s="2567"/>
      <c r="BIF84" s="2567"/>
      <c r="BIG84" s="2567"/>
      <c r="BIH84" s="2567"/>
      <c r="BII84" s="2567"/>
      <c r="BIJ84" s="2567"/>
      <c r="BIK84" s="2567"/>
      <c r="BIL84" s="2567"/>
      <c r="BIM84" s="2567"/>
      <c r="BIN84" s="2567"/>
      <c r="BIO84" s="2567"/>
      <c r="BIP84" s="2567"/>
      <c r="BIQ84" s="2567"/>
      <c r="BIR84" s="2567"/>
      <c r="BIS84" s="2567"/>
      <c r="BIT84" s="2567"/>
      <c r="BIU84" s="2567"/>
      <c r="BIV84" s="2567"/>
      <c r="BIW84" s="2567"/>
      <c r="BIX84" s="2567"/>
      <c r="BIY84" s="2567"/>
      <c r="BIZ84" s="2567"/>
      <c r="BJA84" s="2567"/>
      <c r="BJB84" s="2567"/>
      <c r="BJC84" s="2567"/>
      <c r="BJD84" s="2567"/>
      <c r="BJE84" s="2567"/>
      <c r="BJF84" s="2567"/>
      <c r="BJG84" s="2567"/>
      <c r="BJH84" s="2567"/>
      <c r="BJI84" s="2567"/>
      <c r="BJJ84" s="2567"/>
      <c r="BJK84" s="2567"/>
      <c r="BJL84" s="2567"/>
      <c r="BJM84" s="2567"/>
      <c r="BJN84" s="2567"/>
      <c r="BJO84" s="2567"/>
      <c r="BJP84" s="2567"/>
      <c r="BJQ84" s="2567"/>
      <c r="BJR84" s="2567"/>
      <c r="BJS84" s="2567"/>
      <c r="BJT84" s="2567"/>
      <c r="BJU84" s="2567"/>
      <c r="BJV84" s="2567"/>
      <c r="BJW84" s="2567"/>
      <c r="BJX84" s="2567"/>
      <c r="BJY84" s="2567"/>
      <c r="BJZ84" s="2567"/>
      <c r="BKA84" s="2567"/>
      <c r="BKB84" s="2567"/>
      <c r="BKC84" s="2567"/>
      <c r="BKD84" s="2567"/>
      <c r="BKE84" s="2567"/>
      <c r="BKF84" s="2567"/>
      <c r="BKG84" s="2567"/>
      <c r="BKH84" s="2567"/>
      <c r="BKI84" s="2567"/>
      <c r="BKJ84" s="2567"/>
      <c r="BKK84" s="2567"/>
      <c r="BKL84" s="2567"/>
      <c r="BKM84" s="2567"/>
      <c r="BKN84" s="2567"/>
      <c r="BKO84" s="2567"/>
      <c r="BKP84" s="2567"/>
      <c r="BKQ84" s="2567"/>
      <c r="BKR84" s="2567"/>
      <c r="BKS84" s="2567"/>
      <c r="BKT84" s="2567"/>
      <c r="BKU84" s="2567"/>
      <c r="BKV84" s="2567"/>
      <c r="BKW84" s="2567"/>
      <c r="BKX84" s="2567"/>
      <c r="BKY84" s="2567"/>
      <c r="BKZ84" s="2567"/>
      <c r="BLA84" s="2567"/>
      <c r="BLB84" s="2567"/>
      <c r="BLC84" s="2567"/>
      <c r="BLD84" s="2567"/>
      <c r="BLE84" s="2567"/>
      <c r="BLF84" s="2567"/>
      <c r="BLG84" s="2567"/>
      <c r="BLH84" s="2567"/>
      <c r="BLI84" s="2567"/>
      <c r="BLJ84" s="2567"/>
      <c r="BLK84" s="2567"/>
      <c r="BLL84" s="2567"/>
      <c r="BLM84" s="2567"/>
      <c r="BLN84" s="2567"/>
      <c r="BLO84" s="2567"/>
      <c r="BLP84" s="2567"/>
      <c r="BLQ84" s="2567"/>
      <c r="BLR84" s="2567"/>
      <c r="BLS84" s="2567"/>
      <c r="BLT84" s="2567"/>
      <c r="BLU84" s="2567"/>
      <c r="BLV84" s="2567"/>
      <c r="BLW84" s="2567"/>
      <c r="BLX84" s="2567"/>
      <c r="BLY84" s="2567"/>
      <c r="BLZ84" s="2567"/>
      <c r="BMA84" s="2567"/>
      <c r="BMB84" s="2567"/>
      <c r="BMC84" s="2567"/>
      <c r="BMD84" s="2567"/>
      <c r="BME84" s="2567"/>
      <c r="BMF84" s="2567"/>
      <c r="BMG84" s="2567"/>
      <c r="BMH84" s="2567"/>
      <c r="BMI84" s="2567"/>
      <c r="BMJ84" s="2567"/>
      <c r="BMK84" s="2567"/>
      <c r="BML84" s="2567"/>
      <c r="BMM84" s="2567"/>
      <c r="BMN84" s="2567"/>
      <c r="BMO84" s="2567"/>
      <c r="BMP84" s="2567"/>
      <c r="BMQ84" s="2567"/>
      <c r="BMR84" s="2567"/>
      <c r="BMS84" s="2567"/>
      <c r="BMT84" s="2567"/>
      <c r="BMU84" s="2567"/>
      <c r="BMV84" s="2567"/>
      <c r="BMW84" s="2567"/>
      <c r="BMX84" s="2567"/>
      <c r="BMY84" s="2567"/>
      <c r="BMZ84" s="2567"/>
      <c r="BNA84" s="2567"/>
      <c r="BNB84" s="2567"/>
      <c r="BNC84" s="2567"/>
      <c r="BND84" s="2567"/>
      <c r="BNE84" s="2567"/>
      <c r="BNF84" s="2567"/>
      <c r="BNG84" s="2567"/>
      <c r="BNH84" s="2567"/>
      <c r="BNI84" s="2567"/>
      <c r="BNJ84" s="2567"/>
      <c r="BNK84" s="2567"/>
      <c r="BNL84" s="2567"/>
      <c r="BNM84" s="2567"/>
      <c r="BNN84" s="2567"/>
      <c r="BNO84" s="2567"/>
      <c r="BNP84" s="2567"/>
      <c r="BNQ84" s="2567"/>
      <c r="BNR84" s="2567"/>
      <c r="BNS84" s="2567"/>
      <c r="BNT84" s="2567"/>
      <c r="BNU84" s="2567"/>
      <c r="BNV84" s="2567"/>
      <c r="BNW84" s="2567"/>
      <c r="BNX84" s="2567"/>
      <c r="BNY84" s="2567"/>
      <c r="BNZ84" s="2567"/>
      <c r="BOA84" s="2567"/>
      <c r="BOB84" s="2567"/>
      <c r="BOC84" s="2567"/>
      <c r="BOD84" s="2567"/>
      <c r="BOE84" s="2567"/>
      <c r="BOF84" s="2567"/>
      <c r="BOG84" s="2567"/>
      <c r="BOH84" s="2567"/>
      <c r="BOI84" s="2567"/>
      <c r="BOJ84" s="2567"/>
      <c r="BOK84" s="2567"/>
      <c r="BOL84" s="2567"/>
      <c r="BOM84" s="2567"/>
      <c r="BON84" s="2567"/>
      <c r="BOO84" s="2567"/>
      <c r="BOP84" s="2567"/>
      <c r="BOQ84" s="2567"/>
      <c r="BOR84" s="2567"/>
      <c r="BOS84" s="2567"/>
      <c r="BOT84" s="2567"/>
      <c r="BOU84" s="2567"/>
      <c r="BOV84" s="2567"/>
      <c r="BOW84" s="2567"/>
      <c r="BOX84" s="2567"/>
      <c r="BOY84" s="2567"/>
      <c r="BOZ84" s="2567"/>
      <c r="BPA84" s="2567"/>
      <c r="BPB84" s="2567"/>
      <c r="BPC84" s="2567"/>
      <c r="BPD84" s="2567"/>
      <c r="BPE84" s="2567"/>
      <c r="BPF84" s="2567"/>
      <c r="BPG84" s="2567"/>
      <c r="BPH84" s="2567"/>
      <c r="BPI84" s="2567"/>
      <c r="BPJ84" s="2567"/>
      <c r="BPK84" s="2567"/>
      <c r="BPL84" s="2567"/>
      <c r="BPM84" s="2567"/>
      <c r="BPN84" s="2567"/>
      <c r="BPO84" s="2567"/>
      <c r="BPP84" s="2567"/>
      <c r="BPQ84" s="2567"/>
      <c r="BPR84" s="2567"/>
      <c r="BPS84" s="2567"/>
      <c r="BPT84" s="2567"/>
      <c r="BPU84" s="2567"/>
      <c r="BPV84" s="2567"/>
      <c r="BPW84" s="2567"/>
      <c r="BPX84" s="2567"/>
      <c r="BPY84" s="2567"/>
      <c r="BPZ84" s="2567"/>
      <c r="BQA84" s="2567"/>
      <c r="BQB84" s="2567"/>
      <c r="BQC84" s="2567"/>
      <c r="BQD84" s="2567"/>
      <c r="BQE84" s="2567"/>
      <c r="BQF84" s="2567"/>
      <c r="BQG84" s="2567"/>
      <c r="BQH84" s="2567"/>
      <c r="BQI84" s="2567"/>
      <c r="BQJ84" s="2567"/>
      <c r="BQK84" s="2567"/>
      <c r="BQL84" s="2567"/>
      <c r="BQM84" s="2567"/>
      <c r="BQN84" s="2567"/>
      <c r="BQO84" s="2567"/>
      <c r="BQP84" s="2567"/>
      <c r="BQQ84" s="2567"/>
      <c r="BQR84" s="2567"/>
      <c r="BQS84" s="2567"/>
      <c r="BQT84" s="2567"/>
      <c r="BQU84" s="2567"/>
      <c r="BQV84" s="2567"/>
      <c r="BQW84" s="2567"/>
      <c r="BQX84" s="2567"/>
      <c r="BQY84" s="2567"/>
      <c r="BQZ84" s="2567"/>
      <c r="BRA84" s="2567"/>
      <c r="BRB84" s="2567"/>
      <c r="BRC84" s="2567"/>
      <c r="BRD84" s="2567"/>
      <c r="BRE84" s="2567"/>
      <c r="BRF84" s="2567"/>
      <c r="BRG84" s="2567"/>
      <c r="BRH84" s="2567"/>
      <c r="BRI84" s="2567"/>
      <c r="BRJ84" s="2567"/>
      <c r="BRK84" s="2567"/>
      <c r="BRL84" s="2567"/>
      <c r="BRM84" s="2567"/>
      <c r="BRN84" s="2567"/>
      <c r="BRO84" s="2567"/>
      <c r="BRP84" s="2567"/>
      <c r="BRQ84" s="2567"/>
      <c r="BRR84" s="2567"/>
      <c r="BRS84" s="2567"/>
      <c r="BRT84" s="2567"/>
      <c r="BRU84" s="2567"/>
      <c r="BRV84" s="2567"/>
      <c r="BRW84" s="2567"/>
      <c r="BRX84" s="2567"/>
      <c r="BRY84" s="2567"/>
      <c r="BRZ84" s="2567"/>
      <c r="BSA84" s="2567"/>
      <c r="BSB84" s="2567"/>
      <c r="BSC84" s="2567"/>
      <c r="BSD84" s="2567"/>
      <c r="BSE84" s="2567"/>
      <c r="BSF84" s="2567"/>
      <c r="BSG84" s="2567"/>
      <c r="BSH84" s="2567"/>
      <c r="BSI84" s="2567"/>
      <c r="BSJ84" s="2567"/>
      <c r="BSK84" s="2567"/>
      <c r="BSL84" s="2567"/>
      <c r="BSM84" s="2567"/>
      <c r="BSN84" s="2567"/>
      <c r="BSO84" s="2567"/>
      <c r="BSP84" s="2567"/>
      <c r="BSQ84" s="2567"/>
      <c r="BSR84" s="2567"/>
      <c r="BSS84" s="2567"/>
      <c r="BST84" s="2567"/>
      <c r="BSU84" s="2567"/>
      <c r="BSV84" s="2567"/>
      <c r="BSW84" s="2567"/>
      <c r="BSX84" s="2567"/>
      <c r="BSY84" s="2567"/>
      <c r="BSZ84" s="2567"/>
      <c r="BTA84" s="2567"/>
      <c r="BTB84" s="2567"/>
      <c r="BTC84" s="2567"/>
      <c r="BTD84" s="2567"/>
      <c r="BTE84" s="2567"/>
      <c r="BTF84" s="2567"/>
      <c r="BTG84" s="2567"/>
      <c r="BTH84" s="2567"/>
      <c r="BTI84" s="2567"/>
      <c r="BTJ84" s="2567"/>
      <c r="BTK84" s="2567"/>
      <c r="BTL84" s="2567"/>
      <c r="BTM84" s="2567"/>
      <c r="BTN84" s="2567"/>
      <c r="BTO84" s="2567"/>
      <c r="BTP84" s="2567"/>
      <c r="BTQ84" s="2567"/>
      <c r="BTR84" s="2567"/>
      <c r="BTS84" s="2567"/>
      <c r="BTT84" s="2567"/>
      <c r="BTU84" s="2567"/>
      <c r="BTV84" s="2567"/>
      <c r="BTW84" s="2567"/>
      <c r="BTX84" s="2567"/>
      <c r="BTY84" s="2567"/>
      <c r="BTZ84" s="2567"/>
      <c r="BUA84" s="2567"/>
      <c r="BUB84" s="2567"/>
      <c r="BUC84" s="2567"/>
      <c r="BUD84" s="2567"/>
      <c r="BUE84" s="2567"/>
      <c r="BUF84" s="2567"/>
      <c r="BUG84" s="2567"/>
      <c r="BUH84" s="2567"/>
      <c r="BUI84" s="2567"/>
      <c r="BUJ84" s="2567"/>
      <c r="BUK84" s="2567"/>
      <c r="BUL84" s="2567"/>
      <c r="BUM84" s="2567"/>
      <c r="BUN84" s="2567"/>
      <c r="BUO84" s="2567"/>
      <c r="BUP84" s="2567"/>
      <c r="BUQ84" s="2567"/>
      <c r="BUR84" s="2567"/>
      <c r="BUS84" s="2567"/>
      <c r="BUT84" s="2567"/>
      <c r="BUU84" s="2567"/>
      <c r="BUV84" s="2567"/>
      <c r="BUW84" s="2567"/>
      <c r="BUX84" s="2567"/>
      <c r="BUY84" s="2567"/>
      <c r="BUZ84" s="2567"/>
      <c r="BVA84" s="2567"/>
      <c r="BVB84" s="2567"/>
      <c r="BVC84" s="2567"/>
      <c r="BVD84" s="2567"/>
      <c r="BVE84" s="2567"/>
      <c r="BVF84" s="2567"/>
      <c r="BVG84" s="2567"/>
      <c r="BVH84" s="2567"/>
      <c r="BVI84" s="2567"/>
      <c r="BVJ84" s="2567"/>
      <c r="BVK84" s="2567"/>
      <c r="BVL84" s="2567"/>
      <c r="BVM84" s="2567"/>
      <c r="BVN84" s="2567"/>
      <c r="BVO84" s="2567"/>
      <c r="BVP84" s="2567"/>
      <c r="BVQ84" s="2567"/>
      <c r="BVR84" s="2567"/>
      <c r="BVS84" s="2567"/>
      <c r="BVT84" s="2567"/>
      <c r="BVU84" s="2567"/>
      <c r="BVV84" s="2567"/>
      <c r="BVW84" s="2567"/>
      <c r="BVX84" s="2567"/>
      <c r="BVY84" s="2567"/>
      <c r="BVZ84" s="2567"/>
      <c r="BWA84" s="2567"/>
      <c r="BWB84" s="2567"/>
      <c r="BWC84" s="2567"/>
      <c r="BWD84" s="2567"/>
      <c r="BWE84" s="2567"/>
      <c r="BWF84" s="2567"/>
      <c r="BWG84" s="2567"/>
      <c r="BWH84" s="2567"/>
      <c r="BWI84" s="2567"/>
      <c r="BWJ84" s="2567"/>
      <c r="BWK84" s="2567"/>
      <c r="BWL84" s="2567"/>
      <c r="BWM84" s="2567"/>
      <c r="BWN84" s="2567"/>
      <c r="BWO84" s="2567"/>
      <c r="BWP84" s="2567"/>
      <c r="BWQ84" s="2567"/>
      <c r="BWR84" s="2567"/>
      <c r="BWS84" s="2567"/>
      <c r="BWT84" s="2567"/>
      <c r="BWU84" s="2567"/>
      <c r="BWV84" s="2567"/>
      <c r="BWW84" s="2567"/>
      <c r="BWX84" s="2567"/>
      <c r="BWY84" s="2567"/>
      <c r="BWZ84" s="2567"/>
      <c r="BXA84" s="2567"/>
      <c r="BXB84" s="2567"/>
      <c r="BXC84" s="2567"/>
      <c r="BXD84" s="2567"/>
      <c r="BXE84" s="2567"/>
      <c r="BXF84" s="2567"/>
      <c r="BXG84" s="2567"/>
      <c r="BXH84" s="2567"/>
      <c r="BXI84" s="2567"/>
      <c r="BXJ84" s="2567"/>
      <c r="BXK84" s="2567"/>
      <c r="BXL84" s="2567"/>
      <c r="BXM84" s="2567"/>
      <c r="BXN84" s="2567"/>
      <c r="BXO84" s="2567"/>
      <c r="BXP84" s="2567"/>
      <c r="BXQ84" s="2567"/>
      <c r="BXR84" s="2567"/>
      <c r="BXS84" s="2567"/>
      <c r="BXT84" s="2567"/>
      <c r="BXU84" s="2567"/>
      <c r="BXV84" s="2567"/>
      <c r="BXW84" s="2567"/>
      <c r="BXX84" s="2567"/>
      <c r="BXY84" s="2567"/>
      <c r="BXZ84" s="2567"/>
      <c r="BYA84" s="2567"/>
      <c r="BYB84" s="2567"/>
      <c r="BYC84" s="2567"/>
      <c r="BYD84" s="2567"/>
      <c r="BYE84" s="2567"/>
      <c r="BYF84" s="2567"/>
      <c r="BYG84" s="2567"/>
      <c r="BYH84" s="2567"/>
      <c r="BYI84" s="2567"/>
      <c r="BYJ84" s="2567"/>
      <c r="BYK84" s="2567"/>
      <c r="BYL84" s="2567"/>
      <c r="BYM84" s="2567"/>
      <c r="BYN84" s="2567"/>
      <c r="BYO84" s="2567"/>
      <c r="BYP84" s="2567"/>
      <c r="BYQ84" s="2567"/>
      <c r="BYR84" s="2567"/>
      <c r="BYS84" s="2567"/>
      <c r="BYT84" s="2567"/>
      <c r="BYU84" s="2567"/>
      <c r="BYV84" s="2567"/>
      <c r="BYW84" s="2567"/>
      <c r="BYX84" s="2567"/>
      <c r="BYY84" s="2567"/>
      <c r="BYZ84" s="2567"/>
      <c r="BZA84" s="2567"/>
      <c r="BZB84" s="2567"/>
      <c r="BZC84" s="2567"/>
      <c r="BZD84" s="2567"/>
      <c r="BZE84" s="2567"/>
      <c r="BZF84" s="2567"/>
      <c r="BZG84" s="2567"/>
      <c r="BZH84" s="2567"/>
      <c r="BZI84" s="2567"/>
      <c r="BZJ84" s="2567"/>
      <c r="BZK84" s="2567"/>
      <c r="BZL84" s="2567"/>
      <c r="BZM84" s="2567"/>
      <c r="BZN84" s="2567"/>
      <c r="BZO84" s="2567"/>
      <c r="BZP84" s="2567"/>
      <c r="BZQ84" s="2567"/>
      <c r="BZR84" s="2567"/>
      <c r="BZS84" s="2567"/>
      <c r="BZT84" s="2567"/>
      <c r="BZU84" s="2567"/>
      <c r="BZV84" s="2567"/>
      <c r="BZW84" s="2567"/>
      <c r="BZX84" s="2567"/>
      <c r="BZY84" s="2567"/>
      <c r="BZZ84" s="2567"/>
      <c r="CAA84" s="2567"/>
      <c r="CAB84" s="2567"/>
      <c r="CAC84" s="2567"/>
      <c r="CAD84" s="2567"/>
      <c r="CAE84" s="2567"/>
      <c r="CAF84" s="2567"/>
      <c r="CAG84" s="2567"/>
      <c r="CAH84" s="2567"/>
      <c r="CAI84" s="2567"/>
      <c r="CAJ84" s="2567"/>
      <c r="CAK84" s="2567"/>
      <c r="CAL84" s="2567"/>
      <c r="CAM84" s="2567"/>
      <c r="CAN84" s="2567"/>
      <c r="CAO84" s="2567"/>
      <c r="CAP84" s="2567"/>
      <c r="CAQ84" s="2567"/>
      <c r="CAR84" s="2567"/>
      <c r="CAS84" s="2567"/>
      <c r="CAT84" s="2567"/>
      <c r="CAU84" s="2567"/>
      <c r="CAV84" s="2567"/>
      <c r="CAW84" s="2567"/>
      <c r="CAX84" s="2567"/>
      <c r="CAY84" s="2567"/>
      <c r="CAZ84" s="2567"/>
      <c r="CBA84" s="2567"/>
      <c r="CBB84" s="2567"/>
      <c r="CBC84" s="2567"/>
      <c r="CBD84" s="2567"/>
      <c r="CBE84" s="2567"/>
      <c r="CBF84" s="2567"/>
      <c r="CBG84" s="2567"/>
      <c r="CBH84" s="2567"/>
      <c r="CBI84" s="2567"/>
      <c r="CBJ84" s="2567"/>
      <c r="CBK84" s="2567"/>
      <c r="CBL84" s="2567"/>
      <c r="CBM84" s="2567"/>
      <c r="CBN84" s="2567"/>
      <c r="CBO84" s="2567"/>
      <c r="CBP84" s="2567"/>
      <c r="CBQ84" s="2567"/>
      <c r="CBR84" s="2567"/>
      <c r="CBS84" s="2567"/>
      <c r="CBT84" s="2567"/>
      <c r="CBU84" s="2567"/>
      <c r="CBV84" s="2567"/>
      <c r="CBW84" s="2567"/>
      <c r="CBX84" s="2567"/>
      <c r="CBY84" s="2567"/>
      <c r="CBZ84" s="2567"/>
      <c r="CCA84" s="2567"/>
      <c r="CCB84" s="2567"/>
      <c r="CCC84" s="2567"/>
      <c r="CCD84" s="2567"/>
      <c r="CCE84" s="2567"/>
      <c r="CCF84" s="2567"/>
      <c r="CCG84" s="2567"/>
      <c r="CCH84" s="2567"/>
      <c r="CCI84" s="2567"/>
      <c r="CCJ84" s="2567"/>
      <c r="CCK84" s="2567"/>
      <c r="CCL84" s="2567"/>
      <c r="CCM84" s="2567"/>
      <c r="CCN84" s="2567"/>
      <c r="CCO84" s="2567"/>
      <c r="CCP84" s="2567"/>
      <c r="CCQ84" s="2567"/>
      <c r="CCR84" s="2567"/>
      <c r="CCS84" s="2567"/>
      <c r="CCT84" s="2567"/>
      <c r="CCU84" s="2567"/>
      <c r="CCV84" s="2567"/>
      <c r="CCW84" s="2567"/>
      <c r="CCX84" s="2567"/>
      <c r="CCY84" s="2567"/>
      <c r="CCZ84" s="2567"/>
      <c r="CDA84" s="2567"/>
      <c r="CDB84" s="2567"/>
      <c r="CDC84" s="2567"/>
      <c r="CDD84" s="2567"/>
      <c r="CDE84" s="2567"/>
      <c r="CDF84" s="2567"/>
      <c r="CDG84" s="2567"/>
      <c r="CDH84" s="2567"/>
      <c r="CDI84" s="2567"/>
      <c r="CDJ84" s="2567"/>
      <c r="CDK84" s="2567"/>
      <c r="CDL84" s="2567"/>
      <c r="CDM84" s="2567"/>
      <c r="CDN84" s="2567"/>
      <c r="CDO84" s="2567"/>
      <c r="CDP84" s="2567"/>
      <c r="CDQ84" s="2567"/>
      <c r="CDR84" s="2567"/>
      <c r="CDS84" s="2567"/>
      <c r="CDT84" s="2567"/>
      <c r="CDU84" s="2567"/>
      <c r="CDV84" s="2567"/>
      <c r="CDW84" s="2567"/>
      <c r="CDX84" s="2567"/>
      <c r="CDY84" s="2567"/>
      <c r="CDZ84" s="2567"/>
      <c r="CEA84" s="2567"/>
      <c r="CEB84" s="2567"/>
      <c r="CEC84" s="2567"/>
      <c r="CED84" s="2567"/>
      <c r="CEE84" s="2567"/>
      <c r="CEF84" s="2567"/>
      <c r="CEG84" s="2567"/>
      <c r="CEH84" s="2567"/>
      <c r="CEI84" s="2567"/>
      <c r="CEJ84" s="2567"/>
      <c r="CEK84" s="2567"/>
      <c r="CEL84" s="2567"/>
      <c r="CEM84" s="2567"/>
      <c r="CEN84" s="2567"/>
      <c r="CEO84" s="2567"/>
      <c r="CEP84" s="2567"/>
      <c r="CEQ84" s="2567"/>
      <c r="CER84" s="2567"/>
      <c r="CES84" s="2567"/>
      <c r="CET84" s="2567"/>
      <c r="CEU84" s="2567"/>
      <c r="CEV84" s="2567"/>
      <c r="CEW84" s="2567"/>
      <c r="CEX84" s="2567"/>
      <c r="CEY84" s="2567"/>
      <c r="CEZ84" s="2567"/>
      <c r="CFA84" s="2567"/>
      <c r="CFB84" s="2567"/>
      <c r="CFC84" s="2567"/>
      <c r="CFD84" s="2567"/>
      <c r="CFE84" s="2567"/>
      <c r="CFF84" s="2567"/>
      <c r="CFG84" s="2567"/>
      <c r="CFH84" s="2567"/>
      <c r="CFI84" s="2567"/>
      <c r="CFJ84" s="2567"/>
      <c r="CFK84" s="2567"/>
      <c r="CFL84" s="2567"/>
      <c r="CFM84" s="2567"/>
      <c r="CFN84" s="2567"/>
      <c r="CFO84" s="2567"/>
      <c r="CFP84" s="2567"/>
      <c r="CFQ84" s="2567"/>
      <c r="CFR84" s="2567"/>
      <c r="CFS84" s="2567"/>
      <c r="CFT84" s="2567"/>
      <c r="CFU84" s="2567"/>
      <c r="CFV84" s="2567"/>
      <c r="CFW84" s="2567"/>
      <c r="CFX84" s="2567"/>
      <c r="CFY84" s="2567"/>
      <c r="CFZ84" s="2567"/>
      <c r="CGA84" s="2567"/>
      <c r="CGB84" s="2567"/>
      <c r="CGC84" s="2567"/>
      <c r="CGD84" s="2567"/>
      <c r="CGE84" s="2567"/>
      <c r="CGF84" s="2567"/>
      <c r="CGG84" s="2567"/>
      <c r="CGH84" s="2567"/>
      <c r="CGI84" s="2567"/>
      <c r="CGJ84" s="2567"/>
      <c r="CGK84" s="2567"/>
      <c r="CGL84" s="2567"/>
      <c r="CGM84" s="2567"/>
      <c r="CGN84" s="2567"/>
      <c r="CGO84" s="2567"/>
      <c r="CGP84" s="2567"/>
      <c r="CGQ84" s="2567"/>
      <c r="CGR84" s="2567"/>
      <c r="CGS84" s="2567"/>
      <c r="CGT84" s="2567"/>
      <c r="CGU84" s="2567"/>
      <c r="CGV84" s="2567"/>
      <c r="CGW84" s="2567"/>
      <c r="CGX84" s="2567"/>
      <c r="CGY84" s="2567"/>
      <c r="CGZ84" s="2567"/>
      <c r="CHA84" s="2567"/>
      <c r="CHB84" s="2567"/>
      <c r="CHC84" s="2567"/>
      <c r="CHD84" s="2567"/>
      <c r="CHE84" s="2567"/>
      <c r="CHF84" s="2567"/>
      <c r="CHG84" s="2567"/>
      <c r="CHH84" s="2567"/>
      <c r="CHI84" s="2567"/>
      <c r="CHJ84" s="2567"/>
      <c r="CHK84" s="2567"/>
      <c r="CHL84" s="2567"/>
      <c r="CHM84" s="2567"/>
      <c r="CHN84" s="2567"/>
      <c r="CHO84" s="2567"/>
      <c r="CHP84" s="2567"/>
      <c r="CHQ84" s="2567"/>
      <c r="CHR84" s="2567"/>
      <c r="CHS84" s="2567"/>
      <c r="CHT84" s="2567"/>
      <c r="CHU84" s="2567"/>
      <c r="CHV84" s="2567"/>
      <c r="CHW84" s="2567"/>
      <c r="CHX84" s="2567"/>
      <c r="CHY84" s="2567"/>
      <c r="CHZ84" s="2567"/>
      <c r="CIA84" s="2567"/>
      <c r="CIB84" s="2567"/>
      <c r="CIC84" s="2567"/>
      <c r="CID84" s="2567"/>
      <c r="CIE84" s="2567"/>
      <c r="CIF84" s="2567"/>
      <c r="CIG84" s="2567"/>
      <c r="CIH84" s="2567"/>
      <c r="CII84" s="2567"/>
      <c r="CIJ84" s="2567"/>
      <c r="CIK84" s="2567"/>
      <c r="CIL84" s="2567"/>
      <c r="CIM84" s="2567"/>
      <c r="CIN84" s="2567"/>
      <c r="CIO84" s="2567"/>
      <c r="CIP84" s="2567"/>
      <c r="CIQ84" s="2567"/>
      <c r="CIR84" s="2567"/>
      <c r="CIS84" s="2567"/>
      <c r="CIT84" s="2567"/>
      <c r="CIU84" s="2567"/>
      <c r="CIV84" s="2567"/>
      <c r="CIW84" s="2567"/>
      <c r="CIX84" s="2567"/>
      <c r="CIY84" s="2567"/>
      <c r="CIZ84" s="2567"/>
      <c r="CJA84" s="2567"/>
      <c r="CJB84" s="2567"/>
      <c r="CJC84" s="2567"/>
      <c r="CJD84" s="2567"/>
      <c r="CJE84" s="2567"/>
      <c r="CJF84" s="2567"/>
      <c r="CJG84" s="2567"/>
      <c r="CJH84" s="2567"/>
      <c r="CJI84" s="2567"/>
      <c r="CJJ84" s="2567"/>
      <c r="CJK84" s="2567"/>
      <c r="CJL84" s="2567"/>
      <c r="CJM84" s="2567"/>
      <c r="CJN84" s="2567"/>
      <c r="CJO84" s="2567"/>
      <c r="CJP84" s="2567"/>
      <c r="CJQ84" s="2567"/>
      <c r="CJR84" s="2567"/>
      <c r="CJS84" s="2567"/>
      <c r="CJT84" s="2567"/>
      <c r="CJU84" s="2567"/>
      <c r="CJV84" s="2567"/>
      <c r="CJW84" s="2567"/>
      <c r="CJX84" s="2567"/>
      <c r="CJY84" s="2567"/>
      <c r="CJZ84" s="2567"/>
      <c r="CKA84" s="2567"/>
      <c r="CKB84" s="2567"/>
      <c r="CKC84" s="2567"/>
      <c r="CKD84" s="2567"/>
      <c r="CKE84" s="2567"/>
      <c r="CKF84" s="2567"/>
      <c r="CKG84" s="2567"/>
      <c r="CKH84" s="2567"/>
      <c r="CKI84" s="2567"/>
      <c r="CKJ84" s="2567"/>
      <c r="CKK84" s="2567"/>
      <c r="CKL84" s="2567"/>
      <c r="CKM84" s="2567"/>
      <c r="CKN84" s="2567"/>
      <c r="CKO84" s="2567"/>
      <c r="CKP84" s="2567"/>
      <c r="CKQ84" s="2567"/>
      <c r="CKR84" s="2567"/>
      <c r="CKS84" s="2567"/>
      <c r="CKT84" s="2567"/>
      <c r="CKU84" s="2567"/>
      <c r="CKV84" s="2567"/>
      <c r="CKW84" s="2567"/>
      <c r="CKX84" s="2567"/>
      <c r="CKY84" s="2567"/>
      <c r="CKZ84" s="2567"/>
      <c r="CLA84" s="2567"/>
      <c r="CLB84" s="2567"/>
      <c r="CLC84" s="2567"/>
      <c r="CLD84" s="2567"/>
      <c r="CLE84" s="2567"/>
      <c r="CLF84" s="2567"/>
      <c r="CLG84" s="2567"/>
      <c r="CLH84" s="2567"/>
      <c r="CLI84" s="2567"/>
      <c r="CLJ84" s="2567"/>
      <c r="CLK84" s="2567"/>
      <c r="CLL84" s="2567"/>
      <c r="CLM84" s="2567"/>
      <c r="CLN84" s="2567"/>
      <c r="CLO84" s="2567"/>
      <c r="CLP84" s="2567"/>
      <c r="CLQ84" s="2567"/>
      <c r="CLR84" s="2567"/>
      <c r="CLS84" s="2567"/>
      <c r="CLT84" s="2567"/>
      <c r="CLU84" s="2567"/>
      <c r="CLV84" s="2567"/>
      <c r="CLW84" s="2567"/>
      <c r="CLX84" s="2567"/>
      <c r="CLY84" s="2567"/>
      <c r="CLZ84" s="2567"/>
      <c r="CMA84" s="2567"/>
      <c r="CMB84" s="2567"/>
      <c r="CMC84" s="2567"/>
      <c r="CMD84" s="2567"/>
      <c r="CME84" s="2567"/>
      <c r="CMF84" s="2567"/>
      <c r="CMG84" s="2567"/>
      <c r="CMH84" s="2567"/>
      <c r="CMI84" s="2567"/>
      <c r="CMJ84" s="2567"/>
      <c r="CMK84" s="2567"/>
      <c r="CML84" s="2567"/>
      <c r="CMM84" s="2567"/>
      <c r="CMN84" s="2567"/>
      <c r="CMO84" s="2567"/>
      <c r="CMP84" s="2567"/>
      <c r="CMQ84" s="2567"/>
      <c r="CMR84" s="2567"/>
      <c r="CMS84" s="2567"/>
      <c r="CMT84" s="2567"/>
      <c r="CMU84" s="2567"/>
      <c r="CMV84" s="2567"/>
      <c r="CMW84" s="2567"/>
      <c r="CMX84" s="2567"/>
      <c r="CMY84" s="2567"/>
      <c r="CMZ84" s="2567"/>
      <c r="CNA84" s="2567"/>
      <c r="CNB84" s="2567"/>
      <c r="CNC84" s="2567"/>
      <c r="CND84" s="2567"/>
      <c r="CNE84" s="2567"/>
      <c r="CNF84" s="2567"/>
      <c r="CNG84" s="2567"/>
      <c r="CNH84" s="2567"/>
      <c r="CNI84" s="2567"/>
      <c r="CNJ84" s="2567"/>
      <c r="CNK84" s="2567"/>
      <c r="CNL84" s="2567"/>
      <c r="CNM84" s="2567"/>
      <c r="CNN84" s="2567"/>
      <c r="CNO84" s="2567"/>
      <c r="CNP84" s="2567"/>
      <c r="CNQ84" s="2567"/>
      <c r="CNR84" s="2567"/>
      <c r="CNS84" s="2567"/>
      <c r="CNT84" s="2567"/>
      <c r="CNU84" s="2567"/>
      <c r="CNV84" s="2567"/>
      <c r="CNW84" s="2567"/>
      <c r="CNX84" s="2567"/>
      <c r="CNY84" s="2567"/>
      <c r="CNZ84" s="2567"/>
      <c r="COA84" s="2567"/>
      <c r="COB84" s="2567"/>
      <c r="COC84" s="2567"/>
      <c r="COD84" s="2567"/>
      <c r="COE84" s="2567"/>
      <c r="COF84" s="2567"/>
      <c r="COG84" s="2567"/>
      <c r="COH84" s="2567"/>
      <c r="COI84" s="2567"/>
      <c r="COJ84" s="2567"/>
      <c r="COK84" s="2567"/>
      <c r="COL84" s="2567"/>
      <c r="COM84" s="2567"/>
      <c r="CON84" s="2567"/>
      <c r="COO84" s="2567"/>
      <c r="COP84" s="2567"/>
      <c r="COQ84" s="2567"/>
      <c r="COR84" s="2567"/>
      <c r="COS84" s="2567"/>
      <c r="COT84" s="2567"/>
      <c r="COU84" s="2567"/>
      <c r="COV84" s="2567"/>
      <c r="COW84" s="2567"/>
      <c r="COX84" s="2567"/>
      <c r="COY84" s="2567"/>
      <c r="COZ84" s="2567"/>
      <c r="CPA84" s="2567"/>
      <c r="CPB84" s="2567"/>
      <c r="CPC84" s="2567"/>
      <c r="CPD84" s="2567"/>
      <c r="CPE84" s="2567"/>
      <c r="CPF84" s="2567"/>
      <c r="CPG84" s="2567"/>
      <c r="CPH84" s="2567"/>
      <c r="CPI84" s="2567"/>
      <c r="CPJ84" s="2567"/>
      <c r="CPK84" s="2567"/>
      <c r="CPL84" s="2567"/>
      <c r="CPM84" s="2567"/>
      <c r="CPN84" s="2567"/>
      <c r="CPO84" s="2567"/>
      <c r="CPP84" s="2567"/>
      <c r="CPQ84" s="2567"/>
      <c r="CPR84" s="2567"/>
      <c r="CPS84" s="2567"/>
      <c r="CPT84" s="2567"/>
      <c r="CPU84" s="2567"/>
      <c r="CPV84" s="2567"/>
      <c r="CPW84" s="2567"/>
      <c r="CPX84" s="2567"/>
      <c r="CPY84" s="2567"/>
      <c r="CPZ84" s="2567"/>
      <c r="CQA84" s="2567"/>
      <c r="CQB84" s="2567"/>
      <c r="CQC84" s="2567"/>
      <c r="CQD84" s="2567"/>
      <c r="CQE84" s="2567"/>
      <c r="CQF84" s="2567"/>
      <c r="CQG84" s="2567"/>
      <c r="CQH84" s="2567"/>
      <c r="CQI84" s="2567"/>
      <c r="CQJ84" s="2567"/>
      <c r="CQK84" s="2567"/>
      <c r="CQL84" s="2567"/>
      <c r="CQM84" s="2567"/>
      <c r="CQN84" s="2567"/>
      <c r="CQO84" s="2567"/>
      <c r="CQP84" s="2567"/>
      <c r="CQQ84" s="2567"/>
      <c r="CQR84" s="2567"/>
      <c r="CQS84" s="2567"/>
      <c r="CQT84" s="2567"/>
      <c r="CQU84" s="2567"/>
      <c r="CQV84" s="2567"/>
      <c r="CQW84" s="2567"/>
      <c r="CQX84" s="2567"/>
      <c r="CQY84" s="2567"/>
      <c r="CQZ84" s="2567"/>
      <c r="CRA84" s="2567"/>
      <c r="CRB84" s="2567"/>
      <c r="CRC84" s="2567"/>
      <c r="CRD84" s="2567"/>
      <c r="CRE84" s="2567"/>
      <c r="CRF84" s="2567"/>
      <c r="CRG84" s="2567"/>
      <c r="CRH84" s="2567"/>
      <c r="CRI84" s="2567"/>
      <c r="CRJ84" s="2567"/>
      <c r="CRK84" s="2567"/>
      <c r="CRL84" s="2567"/>
      <c r="CRM84" s="2567"/>
      <c r="CRN84" s="2567"/>
      <c r="CRO84" s="2567"/>
      <c r="CRP84" s="2567"/>
      <c r="CRQ84" s="2567"/>
      <c r="CRR84" s="2567"/>
      <c r="CRS84" s="2567"/>
      <c r="CRT84" s="2567"/>
      <c r="CRU84" s="2567"/>
      <c r="CRV84" s="2567"/>
      <c r="CRW84" s="2567"/>
      <c r="CRX84" s="2567"/>
      <c r="CRY84" s="2567"/>
      <c r="CRZ84" s="2567"/>
      <c r="CSA84" s="2567"/>
      <c r="CSB84" s="2567"/>
      <c r="CSC84" s="2567"/>
      <c r="CSD84" s="2567"/>
      <c r="CSE84" s="2567"/>
      <c r="CSF84" s="2567"/>
      <c r="CSG84" s="2567"/>
      <c r="CSH84" s="2567"/>
      <c r="CSI84" s="2567"/>
      <c r="CSJ84" s="2567"/>
      <c r="CSK84" s="2567"/>
      <c r="CSL84" s="2567"/>
      <c r="CSM84" s="2567"/>
      <c r="CSN84" s="2567"/>
      <c r="CSO84" s="2567"/>
      <c r="CSP84" s="2567"/>
      <c r="CSQ84" s="2567"/>
      <c r="CSR84" s="2567"/>
      <c r="CSS84" s="2567"/>
      <c r="CST84" s="2567"/>
      <c r="CSU84" s="2567"/>
      <c r="CSV84" s="2567"/>
      <c r="CSW84" s="2567"/>
      <c r="CSX84" s="2567"/>
      <c r="CSY84" s="2567"/>
      <c r="CSZ84" s="2567"/>
      <c r="CTA84" s="2567"/>
      <c r="CTB84" s="2567"/>
      <c r="CTC84" s="2567"/>
      <c r="CTD84" s="2567"/>
      <c r="CTE84" s="2567"/>
      <c r="CTF84" s="2567"/>
      <c r="CTG84" s="2567"/>
      <c r="CTH84" s="2567"/>
      <c r="CTI84" s="2567"/>
      <c r="CTJ84" s="2567"/>
      <c r="CTK84" s="2567"/>
      <c r="CTL84" s="2567"/>
      <c r="CTM84" s="2567"/>
      <c r="CTN84" s="2567"/>
      <c r="CTO84" s="2567"/>
      <c r="CTP84" s="2567"/>
      <c r="CTQ84" s="2567"/>
      <c r="CTR84" s="2567"/>
      <c r="CTS84" s="2567"/>
      <c r="CTT84" s="2567"/>
      <c r="CTU84" s="2567"/>
      <c r="CTV84" s="2567"/>
      <c r="CTW84" s="2567"/>
      <c r="CTX84" s="2567"/>
      <c r="CTY84" s="2567"/>
      <c r="CTZ84" s="2567"/>
      <c r="CUA84" s="2567"/>
      <c r="CUB84" s="2567"/>
      <c r="CUC84" s="2567"/>
      <c r="CUD84" s="2567"/>
      <c r="CUE84" s="2567"/>
      <c r="CUF84" s="2567"/>
      <c r="CUG84" s="2567"/>
      <c r="CUH84" s="2567"/>
      <c r="CUI84" s="2567"/>
      <c r="CUJ84" s="2567"/>
      <c r="CUK84" s="2567"/>
      <c r="CUL84" s="2567"/>
      <c r="CUM84" s="2567"/>
      <c r="CUN84" s="2567"/>
      <c r="CUO84" s="2567"/>
      <c r="CUP84" s="2567"/>
      <c r="CUQ84" s="2567"/>
      <c r="CUR84" s="2567"/>
      <c r="CUS84" s="2567"/>
      <c r="CUT84" s="2567"/>
      <c r="CUU84" s="2567"/>
      <c r="CUV84" s="2567"/>
      <c r="CUW84" s="2567"/>
      <c r="CUX84" s="2567"/>
      <c r="CUY84" s="2567"/>
      <c r="CUZ84" s="2567"/>
      <c r="CVA84" s="2567"/>
      <c r="CVB84" s="2567"/>
      <c r="CVC84" s="2567"/>
      <c r="CVD84" s="2567"/>
      <c r="CVE84" s="2567"/>
      <c r="CVF84" s="2567"/>
      <c r="CVG84" s="2567"/>
      <c r="CVH84" s="2567"/>
      <c r="CVI84" s="2567"/>
      <c r="CVJ84" s="2567"/>
      <c r="CVK84" s="2567"/>
      <c r="CVL84" s="2567"/>
      <c r="CVM84" s="2567"/>
      <c r="CVN84" s="2567"/>
      <c r="CVO84" s="2567"/>
      <c r="CVP84" s="2567"/>
      <c r="CVQ84" s="2567"/>
      <c r="CVR84" s="2567"/>
      <c r="CVS84" s="2567"/>
      <c r="CVT84" s="2567"/>
      <c r="CVU84" s="2567"/>
      <c r="CVV84" s="2567"/>
      <c r="CVW84" s="2567"/>
      <c r="CVX84" s="2567"/>
      <c r="CVY84" s="2567"/>
      <c r="CVZ84" s="2567"/>
      <c r="CWA84" s="2567"/>
      <c r="CWB84" s="2567"/>
      <c r="CWC84" s="2567"/>
      <c r="CWD84" s="2567"/>
      <c r="CWE84" s="2567"/>
      <c r="CWF84" s="2567"/>
      <c r="CWG84" s="2567"/>
      <c r="CWH84" s="2567"/>
      <c r="CWI84" s="2567"/>
      <c r="CWJ84" s="2567"/>
      <c r="CWK84" s="2567"/>
      <c r="CWL84" s="2567"/>
      <c r="CWM84" s="2567"/>
      <c r="CWN84" s="2567"/>
      <c r="CWO84" s="2567"/>
      <c r="CWP84" s="2567"/>
      <c r="CWQ84" s="2567"/>
      <c r="CWR84" s="2567"/>
      <c r="CWS84" s="2567"/>
      <c r="CWT84" s="2567"/>
      <c r="CWU84" s="2567"/>
      <c r="CWV84" s="2567"/>
      <c r="CWW84" s="2567"/>
      <c r="CWX84" s="2567"/>
      <c r="CWY84" s="2567"/>
      <c r="CWZ84" s="2567"/>
      <c r="CXA84" s="2567"/>
      <c r="CXB84" s="2567"/>
      <c r="CXC84" s="2567"/>
      <c r="CXD84" s="2567"/>
      <c r="CXE84" s="2567"/>
      <c r="CXF84" s="2567"/>
      <c r="CXG84" s="2567"/>
      <c r="CXH84" s="2567"/>
      <c r="CXI84" s="2567"/>
      <c r="CXJ84" s="2567"/>
      <c r="CXK84" s="2567"/>
      <c r="CXL84" s="2567"/>
      <c r="CXM84" s="2567"/>
      <c r="CXN84" s="2567"/>
      <c r="CXO84" s="2567"/>
      <c r="CXP84" s="2567"/>
      <c r="CXQ84" s="2567"/>
      <c r="CXR84" s="2567"/>
      <c r="CXS84" s="2567"/>
      <c r="CXT84" s="2567"/>
      <c r="CXU84" s="2567"/>
      <c r="CXV84" s="2567"/>
      <c r="CXW84" s="2567"/>
      <c r="CXX84" s="2567"/>
      <c r="CXY84" s="2567"/>
      <c r="CXZ84" s="2567"/>
      <c r="CYA84" s="2567"/>
      <c r="CYB84" s="2567"/>
      <c r="CYC84" s="2567"/>
      <c r="CYD84" s="2567"/>
      <c r="CYE84" s="2567"/>
      <c r="CYF84" s="2567"/>
      <c r="CYG84" s="2567"/>
      <c r="CYH84" s="2567"/>
      <c r="CYI84" s="2567"/>
      <c r="CYJ84" s="2567"/>
      <c r="CYK84" s="2567"/>
      <c r="CYL84" s="2567"/>
      <c r="CYM84" s="2567"/>
      <c r="CYN84" s="2567"/>
      <c r="CYO84" s="2567"/>
      <c r="CYP84" s="2567"/>
      <c r="CYQ84" s="2567"/>
      <c r="CYR84" s="2567"/>
      <c r="CYS84" s="2567"/>
      <c r="CYT84" s="2567"/>
      <c r="CYU84" s="2567"/>
      <c r="CYV84" s="2567"/>
      <c r="CYW84" s="2567"/>
      <c r="CYX84" s="2567"/>
      <c r="CYY84" s="2567"/>
      <c r="CYZ84" s="2567"/>
      <c r="CZA84" s="2567"/>
      <c r="CZB84" s="2567"/>
      <c r="CZC84" s="2567"/>
      <c r="CZD84" s="2567"/>
      <c r="CZE84" s="2567"/>
      <c r="CZF84" s="2567"/>
      <c r="CZG84" s="2567"/>
      <c r="CZH84" s="2567"/>
      <c r="CZI84" s="2567"/>
      <c r="CZJ84" s="2567"/>
      <c r="CZK84" s="2567"/>
      <c r="CZL84" s="2567"/>
      <c r="CZM84" s="2567"/>
      <c r="CZN84" s="2567"/>
      <c r="CZO84" s="2567"/>
      <c r="CZP84" s="2567"/>
      <c r="CZQ84" s="2567"/>
      <c r="CZR84" s="2567"/>
      <c r="CZS84" s="2567"/>
      <c r="CZT84" s="2567"/>
      <c r="CZU84" s="2567"/>
      <c r="CZV84" s="2567"/>
      <c r="CZW84" s="2567"/>
      <c r="CZX84" s="2567"/>
      <c r="CZY84" s="2567"/>
      <c r="CZZ84" s="2567"/>
      <c r="DAA84" s="2567"/>
      <c r="DAB84" s="2567"/>
      <c r="DAC84" s="2567"/>
      <c r="DAD84" s="2567"/>
      <c r="DAE84" s="2567"/>
      <c r="DAF84" s="2567"/>
      <c r="DAG84" s="2567"/>
      <c r="DAH84" s="2567"/>
      <c r="DAI84" s="2567"/>
      <c r="DAJ84" s="2567"/>
      <c r="DAK84" s="2567"/>
      <c r="DAL84" s="2567"/>
      <c r="DAM84" s="2567"/>
      <c r="DAN84" s="2567"/>
      <c r="DAO84" s="2567"/>
      <c r="DAP84" s="2567"/>
      <c r="DAQ84" s="2567"/>
      <c r="DAR84" s="2567"/>
      <c r="DAS84" s="2567"/>
      <c r="DAT84" s="2567"/>
      <c r="DAU84" s="2567"/>
      <c r="DAV84" s="2567"/>
      <c r="DAW84" s="2567"/>
      <c r="DAX84" s="2567"/>
      <c r="DAY84" s="2567"/>
      <c r="DAZ84" s="2567"/>
      <c r="DBA84" s="2567"/>
      <c r="DBB84" s="2567"/>
      <c r="DBC84" s="2567"/>
      <c r="DBD84" s="2567"/>
      <c r="DBE84" s="2567"/>
      <c r="DBF84" s="2567"/>
      <c r="DBG84" s="2567"/>
      <c r="DBH84" s="2567"/>
      <c r="DBI84" s="2567"/>
      <c r="DBJ84" s="2567"/>
      <c r="DBK84" s="2567"/>
      <c r="DBL84" s="2567"/>
      <c r="DBM84" s="2567"/>
      <c r="DBN84" s="2567"/>
      <c r="DBO84" s="2567"/>
      <c r="DBP84" s="2567"/>
      <c r="DBQ84" s="2567"/>
      <c r="DBR84" s="2567"/>
      <c r="DBS84" s="2567"/>
      <c r="DBT84" s="2567"/>
      <c r="DBU84" s="2567"/>
      <c r="DBV84" s="2567"/>
      <c r="DBW84" s="2567"/>
      <c r="DBX84" s="2567"/>
      <c r="DBY84" s="2567"/>
      <c r="DBZ84" s="2567"/>
      <c r="DCA84" s="2567"/>
      <c r="DCB84" s="2567"/>
      <c r="DCC84" s="2567"/>
      <c r="DCD84" s="2567"/>
      <c r="DCE84" s="2567"/>
      <c r="DCF84" s="2567"/>
      <c r="DCG84" s="2567"/>
      <c r="DCH84" s="2567"/>
      <c r="DCI84" s="2567"/>
      <c r="DCJ84" s="2567"/>
      <c r="DCK84" s="2567"/>
      <c r="DCL84" s="2567"/>
      <c r="DCM84" s="2567"/>
      <c r="DCN84" s="2567"/>
      <c r="DCO84" s="2567"/>
      <c r="DCP84" s="2567"/>
      <c r="DCQ84" s="2567"/>
      <c r="DCR84" s="2567"/>
      <c r="DCS84" s="2567"/>
      <c r="DCT84" s="2567"/>
      <c r="DCU84" s="2567"/>
      <c r="DCV84" s="2567"/>
      <c r="DCW84" s="2567"/>
      <c r="DCX84" s="2567"/>
      <c r="DCY84" s="2567"/>
      <c r="DCZ84" s="2567"/>
      <c r="DDA84" s="2567"/>
      <c r="DDB84" s="2567"/>
      <c r="DDC84" s="2567"/>
      <c r="DDD84" s="2567"/>
      <c r="DDE84" s="2567"/>
      <c r="DDF84" s="2567"/>
      <c r="DDG84" s="2567"/>
      <c r="DDH84" s="2567"/>
      <c r="DDI84" s="2567"/>
      <c r="DDJ84" s="2567"/>
      <c r="DDK84" s="2567"/>
      <c r="DDL84" s="2567"/>
      <c r="DDM84" s="2567"/>
      <c r="DDN84" s="2567"/>
      <c r="DDO84" s="2567"/>
      <c r="DDP84" s="2567"/>
      <c r="DDQ84" s="2567"/>
      <c r="DDR84" s="2567"/>
      <c r="DDS84" s="2567"/>
      <c r="DDT84" s="2567"/>
      <c r="DDU84" s="2567"/>
      <c r="DDV84" s="2567"/>
      <c r="DDW84" s="2567"/>
      <c r="DDX84" s="2567"/>
      <c r="DDY84" s="2567"/>
      <c r="DDZ84" s="2567"/>
      <c r="DEA84" s="2567"/>
      <c r="DEB84" s="2567"/>
      <c r="DEC84" s="2567"/>
      <c r="DED84" s="2567"/>
      <c r="DEE84" s="2567"/>
      <c r="DEF84" s="2567"/>
      <c r="DEG84" s="2567"/>
      <c r="DEH84" s="2567"/>
      <c r="DEI84" s="2567"/>
      <c r="DEJ84" s="2567"/>
      <c r="DEK84" s="2567"/>
      <c r="DEL84" s="2567"/>
      <c r="DEM84" s="2567"/>
      <c r="DEN84" s="2567"/>
      <c r="DEO84" s="2567"/>
      <c r="DEP84" s="2567"/>
      <c r="DEQ84" s="2567"/>
      <c r="DER84" s="2567"/>
      <c r="DES84" s="2567"/>
      <c r="DET84" s="2567"/>
      <c r="DEU84" s="2567"/>
      <c r="DEV84" s="2567"/>
      <c r="DEW84" s="2567"/>
      <c r="DEX84" s="2567"/>
      <c r="DEY84" s="2567"/>
      <c r="DEZ84" s="2567"/>
      <c r="DFA84" s="2567"/>
      <c r="DFB84" s="2567"/>
      <c r="DFC84" s="2567"/>
      <c r="DFD84" s="2567"/>
      <c r="DFE84" s="2567"/>
      <c r="DFF84" s="2567"/>
      <c r="DFG84" s="2567"/>
      <c r="DFH84" s="2567"/>
      <c r="DFI84" s="2567"/>
      <c r="DFJ84" s="2567"/>
      <c r="DFK84" s="2567"/>
      <c r="DFL84" s="2567"/>
      <c r="DFM84" s="2567"/>
      <c r="DFN84" s="2567"/>
      <c r="DFO84" s="2567"/>
      <c r="DFP84" s="2567"/>
      <c r="DFQ84" s="2567"/>
      <c r="DFR84" s="2567"/>
      <c r="DFS84" s="2567"/>
      <c r="DFT84" s="2567"/>
      <c r="DFU84" s="2567"/>
      <c r="DFV84" s="2567"/>
      <c r="DFW84" s="2567"/>
      <c r="DFX84" s="2567"/>
      <c r="DFY84" s="2567"/>
      <c r="DFZ84" s="2567"/>
      <c r="DGA84" s="2567"/>
      <c r="DGB84" s="2567"/>
      <c r="DGC84" s="2567"/>
      <c r="DGD84" s="2567"/>
      <c r="DGE84" s="2567"/>
      <c r="DGF84" s="2567"/>
      <c r="DGG84" s="2567"/>
      <c r="DGH84" s="2567"/>
      <c r="DGI84" s="2567"/>
      <c r="DGJ84" s="2567"/>
      <c r="DGK84" s="2567"/>
      <c r="DGL84" s="2567"/>
      <c r="DGM84" s="2567"/>
      <c r="DGN84" s="2567"/>
      <c r="DGO84" s="2567"/>
      <c r="DGP84" s="2567"/>
      <c r="DGQ84" s="2567"/>
      <c r="DGR84" s="2567"/>
      <c r="DGS84" s="2567"/>
      <c r="DGT84" s="2567"/>
      <c r="DGU84" s="2567"/>
      <c r="DGV84" s="2567"/>
      <c r="DGW84" s="2567"/>
      <c r="DGX84" s="2567"/>
      <c r="DGY84" s="2567"/>
      <c r="DGZ84" s="2567"/>
      <c r="DHA84" s="2567"/>
      <c r="DHB84" s="2567"/>
      <c r="DHC84" s="2567"/>
      <c r="DHD84" s="2567"/>
      <c r="DHE84" s="2567"/>
      <c r="DHF84" s="2567"/>
      <c r="DHG84" s="2567"/>
      <c r="DHH84" s="2567"/>
      <c r="DHI84" s="2567"/>
      <c r="DHJ84" s="2567"/>
      <c r="DHK84" s="2567"/>
      <c r="DHL84" s="2567"/>
      <c r="DHM84" s="2567"/>
      <c r="DHN84" s="2567"/>
      <c r="DHO84" s="2567"/>
      <c r="DHP84" s="2567"/>
      <c r="DHQ84" s="2567"/>
      <c r="DHR84" s="2567"/>
      <c r="DHS84" s="2567"/>
      <c r="DHT84" s="2567"/>
      <c r="DHU84" s="2567"/>
      <c r="DHV84" s="2567"/>
      <c r="DHW84" s="2567"/>
      <c r="DHX84" s="2567"/>
      <c r="DHY84" s="2567"/>
      <c r="DHZ84" s="2567"/>
      <c r="DIA84" s="2567"/>
      <c r="DIB84" s="2567"/>
      <c r="DIC84" s="2567"/>
      <c r="DID84" s="2567"/>
      <c r="DIE84" s="2567"/>
      <c r="DIF84" s="2567"/>
      <c r="DIG84" s="2567"/>
      <c r="DIH84" s="2567"/>
      <c r="DII84" s="2567"/>
      <c r="DIJ84" s="2567"/>
      <c r="DIK84" s="2567"/>
      <c r="DIL84" s="2567"/>
      <c r="DIM84" s="2567"/>
      <c r="DIN84" s="2567"/>
      <c r="DIO84" s="2567"/>
      <c r="DIP84" s="2567"/>
      <c r="DIQ84" s="2567"/>
      <c r="DIR84" s="2567"/>
      <c r="DIS84" s="2567"/>
      <c r="DIT84" s="2567"/>
      <c r="DIU84" s="2567"/>
      <c r="DIV84" s="2567"/>
      <c r="DIW84" s="2567"/>
      <c r="DIX84" s="2567"/>
      <c r="DIY84" s="2567"/>
      <c r="DIZ84" s="2567"/>
      <c r="DJA84" s="2567"/>
      <c r="DJB84" s="2567"/>
      <c r="DJC84" s="2567"/>
      <c r="DJD84" s="2567"/>
      <c r="DJE84" s="2567"/>
      <c r="DJF84" s="2567"/>
      <c r="DJG84" s="2567"/>
      <c r="DJH84" s="2567"/>
      <c r="DJI84" s="2567"/>
      <c r="DJJ84" s="2567"/>
      <c r="DJK84" s="2567"/>
      <c r="DJL84" s="2567"/>
      <c r="DJM84" s="2567"/>
      <c r="DJN84" s="2567"/>
      <c r="DJO84" s="2567"/>
      <c r="DJP84" s="2567"/>
      <c r="DJQ84" s="2567"/>
      <c r="DJR84" s="2567"/>
      <c r="DJS84" s="2567"/>
      <c r="DJT84" s="2567"/>
      <c r="DJU84" s="2567"/>
      <c r="DJV84" s="2567"/>
      <c r="DJW84" s="2567"/>
      <c r="DJX84" s="2567"/>
      <c r="DJY84" s="2567"/>
      <c r="DJZ84" s="2567"/>
      <c r="DKA84" s="2567"/>
      <c r="DKB84" s="2567"/>
      <c r="DKC84" s="2567"/>
      <c r="DKD84" s="2567"/>
      <c r="DKE84" s="2567"/>
      <c r="DKF84" s="2567"/>
      <c r="DKG84" s="2567"/>
      <c r="DKH84" s="2567"/>
      <c r="DKI84" s="2567"/>
      <c r="DKJ84" s="2567"/>
      <c r="DKK84" s="2567"/>
      <c r="DKL84" s="2567"/>
      <c r="DKM84" s="2567"/>
      <c r="DKN84" s="2567"/>
      <c r="DKO84" s="2567"/>
      <c r="DKP84" s="2567"/>
      <c r="DKQ84" s="2567"/>
      <c r="DKR84" s="2567"/>
      <c r="DKS84" s="2567"/>
      <c r="DKT84" s="2567"/>
      <c r="DKU84" s="2567"/>
      <c r="DKV84" s="2567"/>
      <c r="DKW84" s="2567"/>
      <c r="DKX84" s="2567"/>
      <c r="DKY84" s="2567"/>
      <c r="DKZ84" s="2567"/>
      <c r="DLA84" s="2567"/>
      <c r="DLB84" s="2567"/>
      <c r="DLC84" s="2567"/>
      <c r="DLD84" s="2567"/>
      <c r="DLE84" s="2567"/>
      <c r="DLF84" s="2567"/>
      <c r="DLG84" s="2567"/>
      <c r="DLH84" s="2567"/>
      <c r="DLI84" s="2567"/>
      <c r="DLJ84" s="2567"/>
      <c r="DLK84" s="2567"/>
      <c r="DLL84" s="2567"/>
      <c r="DLM84" s="2567"/>
      <c r="DLN84" s="2567"/>
      <c r="DLO84" s="2567"/>
      <c r="DLP84" s="2567"/>
      <c r="DLQ84" s="2567"/>
      <c r="DLR84" s="2567"/>
      <c r="DLS84" s="2567"/>
      <c r="DLT84" s="2567"/>
      <c r="DLU84" s="2567"/>
      <c r="DLV84" s="2567"/>
      <c r="DLW84" s="2567"/>
      <c r="DLX84" s="2567"/>
      <c r="DLY84" s="2567"/>
      <c r="DLZ84" s="2567"/>
      <c r="DMA84" s="2567"/>
      <c r="DMB84" s="2567"/>
      <c r="DMC84" s="2567"/>
      <c r="DMD84" s="2567"/>
      <c r="DME84" s="2567"/>
      <c r="DMF84" s="2567"/>
      <c r="DMG84" s="2567"/>
      <c r="DMH84" s="2567"/>
      <c r="DMI84" s="2567"/>
      <c r="DMJ84" s="2567"/>
      <c r="DMK84" s="2567"/>
      <c r="DML84" s="2567"/>
      <c r="DMM84" s="2567"/>
      <c r="DMN84" s="2567"/>
      <c r="DMO84" s="2567"/>
      <c r="DMP84" s="2567"/>
      <c r="DMQ84" s="2567"/>
      <c r="DMR84" s="2567"/>
      <c r="DMS84" s="2567"/>
      <c r="DMT84" s="2567"/>
      <c r="DMU84" s="2567"/>
      <c r="DMV84" s="2567"/>
      <c r="DMW84" s="2567"/>
      <c r="DMX84" s="2567"/>
      <c r="DMY84" s="2567"/>
      <c r="DMZ84" s="2567"/>
      <c r="DNA84" s="2567"/>
      <c r="DNB84" s="2567"/>
      <c r="DNC84" s="2567"/>
      <c r="DND84" s="2567"/>
      <c r="DNE84" s="2567"/>
      <c r="DNF84" s="2567"/>
      <c r="DNG84" s="2567"/>
      <c r="DNH84" s="2567"/>
      <c r="DNI84" s="2567"/>
      <c r="DNJ84" s="2567"/>
      <c r="DNK84" s="2567"/>
      <c r="DNL84" s="2567"/>
      <c r="DNM84" s="2567"/>
      <c r="DNN84" s="2567"/>
      <c r="DNO84" s="2567"/>
      <c r="DNP84" s="2567"/>
      <c r="DNQ84" s="2567"/>
      <c r="DNR84" s="2567"/>
      <c r="DNS84" s="2567"/>
      <c r="DNT84" s="2567"/>
      <c r="DNU84" s="2567"/>
      <c r="DNV84" s="2567"/>
      <c r="DNW84" s="2567"/>
      <c r="DNX84" s="2567"/>
      <c r="DNY84" s="2567"/>
      <c r="DNZ84" s="2567"/>
      <c r="DOA84" s="2567"/>
      <c r="DOB84" s="2567"/>
      <c r="DOC84" s="2567"/>
      <c r="DOD84" s="2567"/>
      <c r="DOE84" s="2567"/>
      <c r="DOF84" s="2567"/>
      <c r="DOG84" s="2567"/>
      <c r="DOH84" s="2567"/>
      <c r="DOI84" s="2567"/>
      <c r="DOJ84" s="2567"/>
      <c r="DOK84" s="2567"/>
      <c r="DOL84" s="2567"/>
      <c r="DOM84" s="2567"/>
      <c r="DON84" s="2567"/>
      <c r="DOO84" s="2567"/>
      <c r="DOP84" s="2567"/>
      <c r="DOQ84" s="2567"/>
      <c r="DOR84" s="2567"/>
      <c r="DOS84" s="2567"/>
      <c r="DOT84" s="2567"/>
      <c r="DOU84" s="2567"/>
      <c r="DOV84" s="2567"/>
      <c r="DOW84" s="2567"/>
      <c r="DOX84" s="2567"/>
      <c r="DOY84" s="2567"/>
      <c r="DOZ84" s="2567"/>
      <c r="DPA84" s="2567"/>
      <c r="DPB84" s="2567"/>
      <c r="DPC84" s="2567"/>
      <c r="DPD84" s="2567"/>
      <c r="DPE84" s="2567"/>
      <c r="DPF84" s="2567"/>
      <c r="DPG84" s="2567"/>
      <c r="DPH84" s="2567"/>
      <c r="DPI84" s="2567"/>
      <c r="DPJ84" s="2567"/>
      <c r="DPK84" s="2567"/>
      <c r="DPL84" s="2567"/>
      <c r="DPM84" s="2567"/>
      <c r="DPN84" s="2567"/>
      <c r="DPO84" s="2567"/>
      <c r="DPP84" s="2567"/>
      <c r="DPQ84" s="2567"/>
      <c r="DPR84" s="2567"/>
      <c r="DPS84" s="2567"/>
      <c r="DPT84" s="2567"/>
      <c r="DPU84" s="2567"/>
      <c r="DPV84" s="2567"/>
      <c r="DPW84" s="2567"/>
      <c r="DPX84" s="2567"/>
      <c r="DPY84" s="2567"/>
      <c r="DPZ84" s="2567"/>
      <c r="DQA84" s="2567"/>
      <c r="DQB84" s="2567"/>
      <c r="DQC84" s="2567"/>
      <c r="DQD84" s="2567"/>
      <c r="DQE84" s="2567"/>
      <c r="DQF84" s="2567"/>
      <c r="DQG84" s="2567"/>
      <c r="DQH84" s="2567"/>
      <c r="DQI84" s="2567"/>
      <c r="DQJ84" s="2567"/>
      <c r="DQK84" s="2567"/>
      <c r="DQL84" s="2567"/>
      <c r="DQM84" s="2567"/>
      <c r="DQN84" s="2567"/>
      <c r="DQO84" s="2567"/>
      <c r="DQP84" s="2567"/>
      <c r="DQQ84" s="2567"/>
      <c r="DQR84" s="2567"/>
      <c r="DQS84" s="2567"/>
      <c r="DQT84" s="2567"/>
      <c r="DQU84" s="2567"/>
      <c r="DQV84" s="2567"/>
      <c r="DQW84" s="2567"/>
      <c r="DQX84" s="2567"/>
      <c r="DQY84" s="2567"/>
      <c r="DQZ84" s="2567"/>
      <c r="DRA84" s="2567"/>
      <c r="DRB84" s="2567"/>
      <c r="DRC84" s="2567"/>
      <c r="DRD84" s="2567"/>
      <c r="DRE84" s="2567"/>
      <c r="DRF84" s="2567"/>
      <c r="DRG84" s="2567"/>
      <c r="DRH84" s="2567"/>
      <c r="DRI84" s="2567"/>
      <c r="DRJ84" s="2567"/>
      <c r="DRK84" s="2567"/>
      <c r="DRL84" s="2567"/>
      <c r="DRM84" s="2567"/>
      <c r="DRN84" s="2567"/>
      <c r="DRO84" s="2567"/>
      <c r="DRP84" s="2567"/>
      <c r="DRQ84" s="2567"/>
      <c r="DRR84" s="2567"/>
      <c r="DRS84" s="2567"/>
      <c r="DRT84" s="2567"/>
      <c r="DRU84" s="2567"/>
      <c r="DRV84" s="2567"/>
      <c r="DRW84" s="2567"/>
      <c r="DRX84" s="2567"/>
      <c r="DRY84" s="2567"/>
      <c r="DRZ84" s="2567"/>
      <c r="DSA84" s="2567"/>
      <c r="DSB84" s="2567"/>
      <c r="DSC84" s="2567"/>
      <c r="DSD84" s="2567"/>
      <c r="DSE84" s="2567"/>
      <c r="DSF84" s="2567"/>
      <c r="DSG84" s="2567"/>
      <c r="DSH84" s="2567"/>
      <c r="DSI84" s="2567"/>
      <c r="DSJ84" s="2567"/>
      <c r="DSK84" s="2567"/>
      <c r="DSL84" s="2567"/>
      <c r="DSM84" s="2567"/>
      <c r="DSN84" s="2567"/>
      <c r="DSO84" s="2567"/>
      <c r="DSP84" s="2567"/>
      <c r="DSQ84" s="2567"/>
      <c r="DSR84" s="2567"/>
      <c r="DSS84" s="2567"/>
      <c r="DST84" s="2567"/>
      <c r="DSU84" s="2567"/>
      <c r="DSV84" s="2567"/>
      <c r="DSW84" s="2567"/>
      <c r="DSX84" s="2567"/>
      <c r="DSY84" s="2567"/>
      <c r="DSZ84" s="2567"/>
      <c r="DTA84" s="2567"/>
      <c r="DTB84" s="2567"/>
      <c r="DTC84" s="2567"/>
      <c r="DTD84" s="2567"/>
      <c r="DTE84" s="2567"/>
      <c r="DTF84" s="2567"/>
      <c r="DTG84" s="2567"/>
      <c r="DTH84" s="2567"/>
      <c r="DTI84" s="2567"/>
      <c r="DTJ84" s="2567"/>
      <c r="DTK84" s="2567"/>
      <c r="DTL84" s="2567"/>
      <c r="DTM84" s="2567"/>
      <c r="DTN84" s="2567"/>
      <c r="DTO84" s="2567"/>
      <c r="DTP84" s="2567"/>
      <c r="DTQ84" s="2567"/>
      <c r="DTR84" s="2567"/>
      <c r="DTS84" s="2567"/>
      <c r="DTT84" s="2567"/>
      <c r="DTU84" s="2567"/>
      <c r="DTV84" s="2567"/>
      <c r="DTW84" s="2567"/>
      <c r="DTX84" s="2567"/>
      <c r="DTY84" s="2567"/>
      <c r="DTZ84" s="2567"/>
      <c r="DUA84" s="2567"/>
      <c r="DUB84" s="2567"/>
      <c r="DUC84" s="2567"/>
      <c r="DUD84" s="2567"/>
      <c r="DUE84" s="2567"/>
      <c r="DUF84" s="2567"/>
      <c r="DUG84" s="2567"/>
      <c r="DUH84" s="2567"/>
      <c r="DUI84" s="2567"/>
      <c r="DUJ84" s="2567"/>
      <c r="DUK84" s="2567"/>
      <c r="DUL84" s="2567"/>
      <c r="DUM84" s="2567"/>
      <c r="DUN84" s="2567"/>
      <c r="DUO84" s="2567"/>
      <c r="DUP84" s="2567"/>
      <c r="DUQ84" s="2567"/>
      <c r="DUR84" s="2567"/>
      <c r="DUS84" s="2567"/>
      <c r="DUT84" s="2567"/>
      <c r="DUU84" s="2567"/>
      <c r="DUV84" s="2567"/>
      <c r="DUW84" s="2567"/>
      <c r="DUX84" s="2567"/>
      <c r="DUY84" s="2567"/>
      <c r="DUZ84" s="2567"/>
      <c r="DVA84" s="2567"/>
      <c r="DVB84" s="2567"/>
      <c r="DVC84" s="2567"/>
      <c r="DVD84" s="2567"/>
      <c r="DVE84" s="2567"/>
      <c r="DVF84" s="2567"/>
      <c r="DVG84" s="2567"/>
      <c r="DVH84" s="2567"/>
      <c r="DVI84" s="2567"/>
      <c r="DVJ84" s="2567"/>
      <c r="DVK84" s="2567"/>
      <c r="DVL84" s="2567"/>
      <c r="DVM84" s="2567"/>
      <c r="DVN84" s="2567"/>
      <c r="DVO84" s="2567"/>
      <c r="DVP84" s="2567"/>
      <c r="DVQ84" s="2567"/>
      <c r="DVR84" s="2567"/>
      <c r="DVS84" s="2567"/>
      <c r="DVT84" s="2567"/>
      <c r="DVU84" s="2567"/>
      <c r="DVV84" s="2567"/>
      <c r="DVW84" s="2567"/>
      <c r="DVX84" s="2567"/>
      <c r="DVY84" s="2567"/>
      <c r="DVZ84" s="2567"/>
      <c r="DWA84" s="2567"/>
      <c r="DWB84" s="2567"/>
      <c r="DWC84" s="2567"/>
      <c r="DWD84" s="2567"/>
      <c r="DWE84" s="2567"/>
      <c r="DWF84" s="2567"/>
      <c r="DWG84" s="2567"/>
      <c r="DWH84" s="2567"/>
      <c r="DWI84" s="2567"/>
      <c r="DWJ84" s="2567"/>
      <c r="DWK84" s="2567"/>
      <c r="DWL84" s="2567"/>
      <c r="DWM84" s="2567"/>
      <c r="DWN84" s="2567"/>
      <c r="DWO84" s="2567"/>
      <c r="DWP84" s="2567"/>
      <c r="DWQ84" s="2567"/>
      <c r="DWR84" s="2567"/>
      <c r="DWS84" s="2567"/>
      <c r="DWT84" s="2567"/>
      <c r="DWU84" s="2567"/>
      <c r="DWV84" s="2567"/>
      <c r="DWW84" s="2567"/>
      <c r="DWX84" s="2567"/>
      <c r="DWY84" s="2567"/>
      <c r="DWZ84" s="2567"/>
      <c r="DXA84" s="2567"/>
      <c r="DXB84" s="2567"/>
      <c r="DXC84" s="2567"/>
      <c r="DXD84" s="2567"/>
      <c r="DXE84" s="2567"/>
      <c r="DXF84" s="2567"/>
      <c r="DXG84" s="2567"/>
      <c r="DXH84" s="2567"/>
      <c r="DXI84" s="2567"/>
      <c r="DXJ84" s="2567"/>
      <c r="DXK84" s="2567"/>
      <c r="DXL84" s="2567"/>
      <c r="DXM84" s="2567"/>
      <c r="DXN84" s="2567"/>
      <c r="DXO84" s="2567"/>
      <c r="DXP84" s="2567"/>
      <c r="DXQ84" s="2567"/>
      <c r="DXR84" s="2567"/>
      <c r="DXS84" s="2567"/>
      <c r="DXT84" s="2567"/>
      <c r="DXU84" s="2567"/>
      <c r="DXV84" s="2567"/>
      <c r="DXW84" s="2567"/>
      <c r="DXX84" s="2567"/>
      <c r="DXY84" s="2567"/>
      <c r="DXZ84" s="2567"/>
      <c r="DYA84" s="2567"/>
      <c r="DYB84" s="2567"/>
      <c r="DYC84" s="2567"/>
      <c r="DYD84" s="2567"/>
      <c r="DYE84" s="2567"/>
      <c r="DYF84" s="2567"/>
      <c r="DYG84" s="2567"/>
      <c r="DYH84" s="2567"/>
      <c r="DYI84" s="2567"/>
      <c r="DYJ84" s="2567"/>
      <c r="DYK84" s="2567"/>
      <c r="DYL84" s="2567"/>
      <c r="DYM84" s="2567"/>
      <c r="DYN84" s="2567"/>
      <c r="DYO84" s="2567"/>
      <c r="DYP84" s="2567"/>
      <c r="DYQ84" s="2567"/>
      <c r="DYR84" s="2567"/>
      <c r="DYS84" s="2567"/>
      <c r="DYT84" s="2567"/>
      <c r="DYU84" s="2567"/>
      <c r="DYV84" s="2567"/>
      <c r="DYW84" s="2567"/>
      <c r="DYX84" s="2567"/>
      <c r="DYY84" s="2567"/>
      <c r="DYZ84" s="2567"/>
      <c r="DZA84" s="2567"/>
      <c r="DZB84" s="2567"/>
      <c r="DZC84" s="2567"/>
      <c r="DZD84" s="2567"/>
      <c r="DZE84" s="2567"/>
      <c r="DZF84" s="2567"/>
      <c r="DZG84" s="2567"/>
      <c r="DZH84" s="2567"/>
      <c r="DZI84" s="2567"/>
      <c r="DZJ84" s="2567"/>
      <c r="DZK84" s="2567"/>
      <c r="DZL84" s="2567"/>
      <c r="DZM84" s="2567"/>
      <c r="DZN84" s="2567"/>
      <c r="DZO84" s="2567"/>
      <c r="DZP84" s="2567"/>
      <c r="DZQ84" s="2567"/>
      <c r="DZR84" s="2567"/>
      <c r="DZS84" s="2567"/>
      <c r="DZT84" s="2567"/>
      <c r="DZU84" s="2567"/>
      <c r="DZV84" s="2567"/>
      <c r="DZW84" s="2567"/>
      <c r="DZX84" s="2567"/>
      <c r="DZY84" s="2567"/>
      <c r="DZZ84" s="2567"/>
      <c r="EAA84" s="2567"/>
      <c r="EAB84" s="2567"/>
      <c r="EAC84" s="2567"/>
      <c r="EAD84" s="2567"/>
      <c r="EAE84" s="2567"/>
      <c r="EAF84" s="2567"/>
      <c r="EAG84" s="2567"/>
      <c r="EAH84" s="2567"/>
      <c r="EAI84" s="2567"/>
      <c r="EAJ84" s="2567"/>
      <c r="EAK84" s="2567"/>
      <c r="EAL84" s="2567"/>
      <c r="EAM84" s="2567"/>
      <c r="EAN84" s="2567"/>
      <c r="EAO84" s="2567"/>
      <c r="EAP84" s="2567"/>
      <c r="EAQ84" s="2567"/>
      <c r="EAR84" s="2567"/>
      <c r="EAS84" s="2567"/>
      <c r="EAT84" s="2567"/>
      <c r="EAU84" s="2567"/>
      <c r="EAV84" s="2567"/>
      <c r="EAW84" s="2567"/>
      <c r="EAX84" s="2567"/>
      <c r="EAY84" s="2567"/>
      <c r="EAZ84" s="2567"/>
      <c r="EBA84" s="2567"/>
      <c r="EBB84" s="2567"/>
      <c r="EBC84" s="2567"/>
      <c r="EBD84" s="2567"/>
      <c r="EBE84" s="2567"/>
      <c r="EBF84" s="2567"/>
      <c r="EBG84" s="2567"/>
      <c r="EBH84" s="2567"/>
      <c r="EBI84" s="2567"/>
      <c r="EBJ84" s="2567"/>
      <c r="EBK84" s="2567"/>
      <c r="EBL84" s="2567"/>
      <c r="EBM84" s="2567"/>
      <c r="EBN84" s="2567"/>
      <c r="EBO84" s="2567"/>
      <c r="EBP84" s="2567"/>
      <c r="EBQ84" s="2567"/>
      <c r="EBR84" s="2567"/>
      <c r="EBS84" s="2567"/>
      <c r="EBT84" s="2567"/>
      <c r="EBU84" s="2567"/>
      <c r="EBV84" s="2567"/>
      <c r="EBW84" s="2567"/>
      <c r="EBX84" s="2567"/>
      <c r="EBY84" s="2567"/>
      <c r="EBZ84" s="2567"/>
      <c r="ECA84" s="2567"/>
      <c r="ECB84" s="2567"/>
      <c r="ECC84" s="2567"/>
      <c r="ECD84" s="2567"/>
      <c r="ECE84" s="2567"/>
      <c r="ECF84" s="2567"/>
      <c r="ECG84" s="2567"/>
      <c r="ECH84" s="2567"/>
      <c r="ECI84" s="2567"/>
      <c r="ECJ84" s="2567"/>
      <c r="ECK84" s="2567"/>
      <c r="ECL84" s="2567"/>
      <c r="ECM84" s="2567"/>
      <c r="ECN84" s="2567"/>
      <c r="ECO84" s="2567"/>
      <c r="ECP84" s="2567"/>
      <c r="ECQ84" s="2567"/>
      <c r="ECR84" s="2567"/>
      <c r="ECS84" s="2567"/>
      <c r="ECT84" s="2567"/>
      <c r="ECU84" s="2567"/>
      <c r="ECV84" s="2567"/>
      <c r="ECW84" s="2567"/>
      <c r="ECX84" s="2567"/>
      <c r="ECY84" s="2567"/>
      <c r="ECZ84" s="2567"/>
      <c r="EDA84" s="2567"/>
      <c r="EDB84" s="2567"/>
      <c r="EDC84" s="2567"/>
      <c r="EDD84" s="2567"/>
      <c r="EDE84" s="2567"/>
      <c r="EDF84" s="2567"/>
      <c r="EDG84" s="2567"/>
      <c r="EDH84" s="2567"/>
      <c r="EDI84" s="2567"/>
      <c r="EDJ84" s="2567"/>
      <c r="EDK84" s="2567"/>
      <c r="EDL84" s="2567"/>
      <c r="EDM84" s="2567"/>
      <c r="EDN84" s="2567"/>
      <c r="EDO84" s="2567"/>
      <c r="EDP84" s="2567"/>
      <c r="EDQ84" s="2567"/>
      <c r="EDR84" s="2567"/>
      <c r="EDS84" s="2567"/>
      <c r="EDT84" s="2567"/>
      <c r="EDU84" s="2567"/>
      <c r="EDV84" s="2567"/>
      <c r="EDW84" s="2567"/>
      <c r="EDX84" s="2567"/>
      <c r="EDY84" s="2567"/>
      <c r="EDZ84" s="2567"/>
      <c r="EEA84" s="2567"/>
      <c r="EEB84" s="2567"/>
      <c r="EEC84" s="2567"/>
      <c r="EED84" s="2567"/>
      <c r="EEE84" s="2567"/>
      <c r="EEF84" s="2567"/>
      <c r="EEG84" s="2567"/>
      <c r="EEH84" s="2567"/>
      <c r="EEI84" s="2567"/>
      <c r="EEJ84" s="2567"/>
      <c r="EEK84" s="2567"/>
      <c r="EEL84" s="2567"/>
      <c r="EEM84" s="2567"/>
      <c r="EEN84" s="2567"/>
      <c r="EEO84" s="2567"/>
      <c r="EEP84" s="2567"/>
      <c r="EEQ84" s="2567"/>
      <c r="EER84" s="2567"/>
      <c r="EES84" s="2567"/>
      <c r="EET84" s="2567"/>
      <c r="EEU84" s="2567"/>
      <c r="EEV84" s="2567"/>
      <c r="EEW84" s="2567"/>
      <c r="EEX84" s="2567"/>
      <c r="EEY84" s="2567"/>
      <c r="EEZ84" s="2567"/>
      <c r="EFA84" s="2567"/>
      <c r="EFB84" s="2567"/>
      <c r="EFC84" s="2567"/>
      <c r="EFD84" s="2567"/>
      <c r="EFE84" s="2567"/>
      <c r="EFF84" s="2567"/>
      <c r="EFG84" s="2567"/>
      <c r="EFH84" s="2567"/>
      <c r="EFI84" s="2567"/>
      <c r="EFJ84" s="2567"/>
      <c r="EFK84" s="2567"/>
      <c r="EFL84" s="2567"/>
      <c r="EFM84" s="2567"/>
      <c r="EFN84" s="2567"/>
      <c r="EFO84" s="2567"/>
      <c r="EFP84" s="2567"/>
      <c r="EFQ84" s="2567"/>
      <c r="EFR84" s="2567"/>
      <c r="EFS84" s="2567"/>
      <c r="EFT84" s="2567"/>
      <c r="EFU84" s="2567"/>
      <c r="EFV84" s="2567"/>
      <c r="EFW84" s="2567"/>
      <c r="EFX84" s="2567"/>
      <c r="EFY84" s="2567"/>
      <c r="EFZ84" s="2567"/>
      <c r="EGA84" s="2567"/>
      <c r="EGB84" s="2567"/>
      <c r="EGC84" s="2567"/>
      <c r="EGD84" s="2567"/>
      <c r="EGE84" s="2567"/>
      <c r="EGF84" s="2567"/>
      <c r="EGG84" s="2567"/>
      <c r="EGH84" s="2567"/>
      <c r="EGI84" s="2567"/>
      <c r="EGJ84" s="2567"/>
      <c r="EGK84" s="2567"/>
      <c r="EGL84" s="2567"/>
      <c r="EGM84" s="2567"/>
      <c r="EGN84" s="2567"/>
      <c r="EGO84" s="2567"/>
      <c r="EGP84" s="2567"/>
      <c r="EGQ84" s="2567"/>
      <c r="EGR84" s="2567"/>
      <c r="EGS84" s="2567"/>
      <c r="EGT84" s="2567"/>
      <c r="EGU84" s="2567"/>
      <c r="EGV84" s="2567"/>
      <c r="EGW84" s="2567"/>
      <c r="EGX84" s="2567"/>
      <c r="EGY84" s="2567"/>
      <c r="EGZ84" s="2567"/>
      <c r="EHA84" s="2567"/>
      <c r="EHB84" s="2567"/>
      <c r="EHC84" s="2567"/>
      <c r="EHD84" s="2567"/>
      <c r="EHE84" s="2567"/>
      <c r="EHF84" s="2567"/>
      <c r="EHG84" s="2567"/>
      <c r="EHH84" s="2567"/>
      <c r="EHI84" s="2567"/>
      <c r="EHJ84" s="2567"/>
      <c r="EHK84" s="2567"/>
      <c r="EHL84" s="2567"/>
      <c r="EHM84" s="2567"/>
      <c r="EHN84" s="2567"/>
      <c r="EHO84" s="2567"/>
      <c r="EHP84" s="2567"/>
      <c r="EHQ84" s="2567"/>
      <c r="EHR84" s="2567"/>
      <c r="EHS84" s="2567"/>
      <c r="EHT84" s="2567"/>
      <c r="EHU84" s="2567"/>
      <c r="EHV84" s="2567"/>
      <c r="EHW84" s="2567"/>
      <c r="EHX84" s="2567"/>
      <c r="EHY84" s="2567"/>
      <c r="EHZ84" s="2567"/>
      <c r="EIA84" s="2567"/>
      <c r="EIB84" s="2567"/>
      <c r="EIC84" s="2567"/>
      <c r="EID84" s="2567"/>
      <c r="EIE84" s="2567"/>
      <c r="EIF84" s="2567"/>
      <c r="EIG84" s="2567"/>
      <c r="EIH84" s="2567"/>
      <c r="EII84" s="2567"/>
      <c r="EIJ84" s="2567"/>
      <c r="EIK84" s="2567"/>
      <c r="EIL84" s="2567"/>
      <c r="EIM84" s="2567"/>
      <c r="EIN84" s="2567"/>
      <c r="EIO84" s="2567"/>
      <c r="EIP84" s="2567"/>
      <c r="EIQ84" s="2567"/>
      <c r="EIR84" s="2567"/>
      <c r="EIS84" s="2567"/>
      <c r="EIT84" s="2567"/>
      <c r="EIU84" s="2567"/>
      <c r="EIV84" s="2567"/>
      <c r="EIW84" s="2567"/>
      <c r="EIX84" s="2567"/>
      <c r="EIY84" s="2567"/>
      <c r="EIZ84" s="2567"/>
      <c r="EJA84" s="2567"/>
      <c r="EJB84" s="2567"/>
      <c r="EJC84" s="2567"/>
      <c r="EJD84" s="2567"/>
      <c r="EJE84" s="2567"/>
      <c r="EJF84" s="2567"/>
      <c r="EJG84" s="2567"/>
      <c r="EJH84" s="2567"/>
      <c r="EJI84" s="2567"/>
      <c r="EJJ84" s="2567"/>
      <c r="EJK84" s="2567"/>
      <c r="EJL84" s="2567"/>
      <c r="EJM84" s="2567"/>
      <c r="EJN84" s="2567"/>
      <c r="EJO84" s="2567"/>
      <c r="EJP84" s="2567"/>
      <c r="EJQ84" s="2567"/>
      <c r="EJR84" s="2567"/>
      <c r="EJS84" s="2567"/>
      <c r="EJT84" s="2567"/>
      <c r="EJU84" s="2567"/>
      <c r="EJV84" s="2567"/>
      <c r="EJW84" s="2567"/>
      <c r="EJX84" s="2567"/>
      <c r="EJY84" s="2567"/>
      <c r="EJZ84" s="2567"/>
      <c r="EKA84" s="2567"/>
      <c r="EKB84" s="2567"/>
      <c r="EKC84" s="2567"/>
      <c r="EKD84" s="2567"/>
      <c r="EKE84" s="2567"/>
      <c r="EKF84" s="2567"/>
      <c r="EKG84" s="2567"/>
      <c r="EKH84" s="2567"/>
      <c r="EKI84" s="2567"/>
      <c r="EKJ84" s="2567"/>
      <c r="EKK84" s="2567"/>
      <c r="EKL84" s="2567"/>
      <c r="EKM84" s="2567"/>
      <c r="EKN84" s="2567"/>
      <c r="EKO84" s="2567"/>
      <c r="EKP84" s="2567"/>
      <c r="EKQ84" s="2567"/>
      <c r="EKR84" s="2567"/>
      <c r="EKS84" s="2567"/>
      <c r="EKT84" s="2567"/>
      <c r="EKU84" s="2567"/>
      <c r="EKV84" s="2567"/>
      <c r="EKW84" s="2567"/>
      <c r="EKX84" s="2567"/>
      <c r="EKY84" s="2567"/>
      <c r="EKZ84" s="2567"/>
      <c r="ELA84" s="2567"/>
      <c r="ELB84" s="2567"/>
      <c r="ELC84" s="2567"/>
      <c r="ELD84" s="2567"/>
      <c r="ELE84" s="2567"/>
      <c r="ELF84" s="2567"/>
      <c r="ELG84" s="2567"/>
      <c r="ELH84" s="2567"/>
      <c r="ELI84" s="2567"/>
      <c r="ELJ84" s="2567"/>
      <c r="ELK84" s="2567"/>
      <c r="ELL84" s="2567"/>
      <c r="ELM84" s="2567"/>
      <c r="ELN84" s="2567"/>
      <c r="ELO84" s="2567"/>
      <c r="ELP84" s="2567"/>
      <c r="ELQ84" s="2567"/>
      <c r="ELR84" s="2567"/>
      <c r="ELS84" s="2567"/>
      <c r="ELT84" s="2567"/>
      <c r="ELU84" s="2567"/>
      <c r="ELV84" s="2567"/>
      <c r="ELW84" s="2567"/>
      <c r="ELX84" s="2567"/>
      <c r="ELY84" s="2567"/>
      <c r="ELZ84" s="2567"/>
      <c r="EMA84" s="2567"/>
      <c r="EMB84" s="2567"/>
      <c r="EMC84" s="2567"/>
      <c r="EMD84" s="2567"/>
      <c r="EME84" s="2567"/>
      <c r="EMF84" s="2567"/>
      <c r="EMG84" s="2567"/>
      <c r="EMH84" s="2567"/>
      <c r="EMI84" s="2567"/>
      <c r="EMJ84" s="2567"/>
      <c r="EMK84" s="2567"/>
      <c r="EML84" s="2567"/>
      <c r="EMM84" s="2567"/>
      <c r="EMN84" s="2567"/>
      <c r="EMO84" s="2567"/>
      <c r="EMP84" s="2567"/>
      <c r="EMQ84" s="2567"/>
      <c r="EMR84" s="2567"/>
      <c r="EMS84" s="2567"/>
      <c r="EMT84" s="2567"/>
      <c r="EMU84" s="2567"/>
      <c r="EMV84" s="2567"/>
      <c r="EMW84" s="2567"/>
      <c r="EMX84" s="2567"/>
      <c r="EMY84" s="2567"/>
      <c r="EMZ84" s="2567"/>
      <c r="ENA84" s="2567"/>
      <c r="ENB84" s="2567"/>
      <c r="ENC84" s="2567"/>
      <c r="END84" s="2567"/>
      <c r="ENE84" s="2567"/>
      <c r="ENF84" s="2567"/>
      <c r="ENG84" s="2567"/>
      <c r="ENH84" s="2567"/>
      <c r="ENI84" s="2567"/>
      <c r="ENJ84" s="2567"/>
      <c r="ENK84" s="2567"/>
      <c r="ENL84" s="2567"/>
      <c r="ENM84" s="2567"/>
      <c r="ENN84" s="2567"/>
      <c r="ENO84" s="2567"/>
      <c r="ENP84" s="2567"/>
      <c r="ENQ84" s="2567"/>
      <c r="ENR84" s="2567"/>
      <c r="ENS84" s="2567"/>
      <c r="ENT84" s="2567"/>
      <c r="ENU84" s="2567"/>
      <c r="ENV84" s="2567"/>
      <c r="ENW84" s="2567"/>
      <c r="ENX84" s="2567"/>
      <c r="ENY84" s="2567"/>
      <c r="ENZ84" s="2567"/>
      <c r="EOA84" s="2567"/>
      <c r="EOB84" s="2567"/>
      <c r="EOC84" s="2567"/>
      <c r="EOD84" s="2567"/>
      <c r="EOE84" s="2567"/>
      <c r="EOF84" s="2567"/>
      <c r="EOG84" s="2567"/>
      <c r="EOH84" s="2567"/>
      <c r="EOI84" s="2567"/>
      <c r="EOJ84" s="2567"/>
      <c r="EOK84" s="2567"/>
      <c r="EOL84" s="2567"/>
      <c r="EOM84" s="2567"/>
      <c r="EON84" s="2567"/>
      <c r="EOO84" s="2567"/>
      <c r="EOP84" s="2567"/>
      <c r="EOQ84" s="2567"/>
      <c r="EOR84" s="2567"/>
      <c r="EOS84" s="2567"/>
      <c r="EOT84" s="2567"/>
      <c r="EOU84" s="2567"/>
      <c r="EOV84" s="2567"/>
      <c r="EOW84" s="2567"/>
      <c r="EOX84" s="2567"/>
      <c r="EOY84" s="2567"/>
      <c r="EOZ84" s="2567"/>
      <c r="EPA84" s="2567"/>
      <c r="EPB84" s="2567"/>
      <c r="EPC84" s="2567"/>
      <c r="EPD84" s="2567"/>
      <c r="EPE84" s="2567"/>
      <c r="EPF84" s="2567"/>
      <c r="EPG84" s="2567"/>
      <c r="EPH84" s="2567"/>
      <c r="EPI84" s="2567"/>
      <c r="EPJ84" s="2567"/>
      <c r="EPK84" s="2567"/>
      <c r="EPL84" s="2567"/>
      <c r="EPM84" s="2567"/>
      <c r="EPN84" s="2567"/>
      <c r="EPO84" s="2567"/>
      <c r="EPP84" s="2567"/>
      <c r="EPQ84" s="2567"/>
      <c r="EPR84" s="2567"/>
      <c r="EPS84" s="2567"/>
      <c r="EPT84" s="2567"/>
      <c r="EPU84" s="2567"/>
      <c r="EPV84" s="2567"/>
      <c r="EPW84" s="2567"/>
      <c r="EPX84" s="2567"/>
      <c r="EPY84" s="2567"/>
      <c r="EPZ84" s="2567"/>
      <c r="EQA84" s="2567"/>
      <c r="EQB84" s="2567"/>
      <c r="EQC84" s="2567"/>
      <c r="EQD84" s="2567"/>
      <c r="EQE84" s="2567"/>
      <c r="EQF84" s="2567"/>
      <c r="EQG84" s="2567"/>
      <c r="EQH84" s="2567"/>
      <c r="EQI84" s="2567"/>
      <c r="EQJ84" s="2567"/>
      <c r="EQK84" s="2567"/>
      <c r="EQL84" s="2567"/>
      <c r="EQM84" s="2567"/>
      <c r="EQN84" s="2567"/>
      <c r="EQO84" s="2567"/>
      <c r="EQP84" s="2567"/>
      <c r="EQQ84" s="2567"/>
      <c r="EQR84" s="2567"/>
      <c r="EQS84" s="2567"/>
      <c r="EQT84" s="2567"/>
      <c r="EQU84" s="2567"/>
      <c r="EQV84" s="2567"/>
      <c r="EQW84" s="2567"/>
      <c r="EQX84" s="2567"/>
      <c r="EQY84" s="2567"/>
      <c r="EQZ84" s="2567"/>
      <c r="ERA84" s="2567"/>
      <c r="ERB84" s="2567"/>
      <c r="ERC84" s="2567"/>
      <c r="ERD84" s="2567"/>
      <c r="ERE84" s="2567"/>
      <c r="ERF84" s="2567"/>
      <c r="ERG84" s="2567"/>
      <c r="ERH84" s="2567"/>
      <c r="ERI84" s="2567"/>
      <c r="ERJ84" s="2567"/>
      <c r="ERK84" s="2567"/>
      <c r="ERL84" s="2567"/>
      <c r="ERM84" s="2567"/>
      <c r="ERN84" s="2567"/>
      <c r="ERO84" s="2567"/>
      <c r="ERP84" s="2567"/>
      <c r="ERQ84" s="2567"/>
      <c r="ERR84" s="2567"/>
      <c r="ERS84" s="2567"/>
      <c r="ERT84" s="2567"/>
      <c r="ERU84" s="2567"/>
      <c r="ERV84" s="2567"/>
      <c r="ERW84" s="2567"/>
      <c r="ERX84" s="2567"/>
      <c r="ERY84" s="2567"/>
      <c r="ERZ84" s="2567"/>
      <c r="ESA84" s="2567"/>
      <c r="ESB84" s="2567"/>
      <c r="ESC84" s="2567"/>
      <c r="ESD84" s="2567"/>
      <c r="ESE84" s="2567"/>
      <c r="ESF84" s="2567"/>
      <c r="ESG84" s="2567"/>
      <c r="ESH84" s="2567"/>
      <c r="ESI84" s="2567"/>
      <c r="ESJ84" s="2567"/>
      <c r="ESK84" s="2567"/>
      <c r="ESL84" s="2567"/>
      <c r="ESM84" s="2567"/>
      <c r="ESN84" s="2567"/>
      <c r="ESO84" s="2567"/>
      <c r="ESP84" s="2567"/>
      <c r="ESQ84" s="2567"/>
      <c r="ESR84" s="2567"/>
      <c r="ESS84" s="2567"/>
      <c r="EST84" s="2567"/>
      <c r="ESU84" s="2567"/>
      <c r="ESV84" s="2567"/>
      <c r="ESW84" s="2567"/>
      <c r="ESX84" s="2567"/>
      <c r="ESY84" s="2567"/>
      <c r="ESZ84" s="2567"/>
      <c r="ETA84" s="2567"/>
      <c r="ETB84" s="2567"/>
      <c r="ETC84" s="2567"/>
      <c r="ETD84" s="2567"/>
      <c r="ETE84" s="2567"/>
      <c r="ETF84" s="2567"/>
      <c r="ETG84" s="2567"/>
      <c r="ETH84" s="2567"/>
      <c r="ETI84" s="2567"/>
      <c r="ETJ84" s="2567"/>
      <c r="ETK84" s="2567"/>
      <c r="ETL84" s="2567"/>
      <c r="ETM84" s="2567"/>
      <c r="ETN84" s="2567"/>
      <c r="ETO84" s="2567"/>
      <c r="ETP84" s="2567"/>
      <c r="ETQ84" s="2567"/>
      <c r="ETR84" s="2567"/>
      <c r="ETS84" s="2567"/>
      <c r="ETT84" s="2567"/>
      <c r="ETU84" s="2567"/>
      <c r="ETV84" s="2567"/>
      <c r="ETW84" s="2567"/>
      <c r="ETX84" s="2567"/>
      <c r="ETY84" s="2567"/>
      <c r="ETZ84" s="2567"/>
      <c r="EUA84" s="2567"/>
      <c r="EUB84" s="2567"/>
      <c r="EUC84" s="2567"/>
      <c r="EUD84" s="2567"/>
      <c r="EUE84" s="2567"/>
      <c r="EUF84" s="2567"/>
      <c r="EUG84" s="2567"/>
      <c r="EUH84" s="2567"/>
      <c r="EUI84" s="2567"/>
      <c r="EUJ84" s="2567"/>
      <c r="EUK84" s="2567"/>
      <c r="EUL84" s="2567"/>
      <c r="EUM84" s="2567"/>
      <c r="EUN84" s="2567"/>
      <c r="EUO84" s="2567"/>
      <c r="EUP84" s="2567"/>
      <c r="EUQ84" s="2567"/>
      <c r="EUR84" s="2567"/>
      <c r="EUS84" s="2567"/>
      <c r="EUT84" s="2567"/>
      <c r="EUU84" s="2567"/>
      <c r="EUV84" s="2567"/>
      <c r="EUW84" s="2567"/>
      <c r="EUX84" s="2567"/>
      <c r="EUY84" s="2567"/>
      <c r="EUZ84" s="2567"/>
      <c r="EVA84" s="2567"/>
      <c r="EVB84" s="2567"/>
      <c r="EVC84" s="2567"/>
      <c r="EVD84" s="2567"/>
      <c r="EVE84" s="2567"/>
      <c r="EVF84" s="2567"/>
      <c r="EVG84" s="2567"/>
      <c r="EVH84" s="2567"/>
      <c r="EVI84" s="2567"/>
      <c r="EVJ84" s="2567"/>
      <c r="EVK84" s="2567"/>
      <c r="EVL84" s="2567"/>
      <c r="EVM84" s="2567"/>
      <c r="EVN84" s="2567"/>
      <c r="EVO84" s="2567"/>
      <c r="EVP84" s="2567"/>
      <c r="EVQ84" s="2567"/>
      <c r="EVR84" s="2567"/>
      <c r="EVS84" s="2567"/>
      <c r="EVT84" s="2567"/>
      <c r="EVU84" s="2567"/>
      <c r="EVV84" s="2567"/>
      <c r="EVW84" s="2567"/>
      <c r="EVX84" s="2567"/>
      <c r="EVY84" s="2567"/>
      <c r="EVZ84" s="2567"/>
      <c r="EWA84" s="2567"/>
      <c r="EWB84" s="2567"/>
      <c r="EWC84" s="2567"/>
      <c r="EWD84" s="2567"/>
      <c r="EWE84" s="2567"/>
      <c r="EWF84" s="2567"/>
      <c r="EWG84" s="2567"/>
      <c r="EWH84" s="2567"/>
      <c r="EWI84" s="2567"/>
      <c r="EWJ84" s="2567"/>
      <c r="EWK84" s="2567"/>
      <c r="EWL84" s="2567"/>
      <c r="EWM84" s="2567"/>
      <c r="EWN84" s="2567"/>
      <c r="EWO84" s="2567"/>
      <c r="EWP84" s="2567"/>
      <c r="EWQ84" s="2567"/>
      <c r="EWR84" s="2567"/>
      <c r="EWS84" s="2567"/>
      <c r="EWT84" s="2567"/>
      <c r="EWU84" s="2567"/>
      <c r="EWV84" s="2567"/>
      <c r="EWW84" s="2567"/>
      <c r="EWX84" s="2567"/>
      <c r="EWY84" s="2567"/>
      <c r="EWZ84" s="2567"/>
      <c r="EXA84" s="2567"/>
      <c r="EXB84" s="2567"/>
      <c r="EXC84" s="2567"/>
      <c r="EXD84" s="2567"/>
      <c r="EXE84" s="2567"/>
      <c r="EXF84" s="2567"/>
      <c r="EXG84" s="2567"/>
      <c r="EXH84" s="2567"/>
      <c r="EXI84" s="2567"/>
      <c r="EXJ84" s="2567"/>
      <c r="EXK84" s="2567"/>
      <c r="EXL84" s="2567"/>
      <c r="EXM84" s="2567"/>
      <c r="EXN84" s="2567"/>
      <c r="EXO84" s="2567"/>
      <c r="EXP84" s="2567"/>
      <c r="EXQ84" s="2567"/>
      <c r="EXR84" s="2567"/>
      <c r="EXS84" s="2567"/>
      <c r="EXT84" s="2567"/>
      <c r="EXU84" s="2567"/>
      <c r="EXV84" s="2567"/>
      <c r="EXW84" s="2567"/>
      <c r="EXX84" s="2567"/>
      <c r="EXY84" s="2567"/>
      <c r="EXZ84" s="2567"/>
      <c r="EYA84" s="2567"/>
      <c r="EYB84" s="2567"/>
      <c r="EYC84" s="2567"/>
      <c r="EYD84" s="2567"/>
      <c r="EYE84" s="2567"/>
      <c r="EYF84" s="2567"/>
      <c r="EYG84" s="2567"/>
      <c r="EYH84" s="2567"/>
      <c r="EYI84" s="2567"/>
      <c r="EYJ84" s="2567"/>
      <c r="EYK84" s="2567"/>
      <c r="EYL84" s="2567"/>
      <c r="EYM84" s="2567"/>
      <c r="EYN84" s="2567"/>
      <c r="EYO84" s="2567"/>
      <c r="EYP84" s="2567"/>
      <c r="EYQ84" s="2567"/>
      <c r="EYR84" s="2567"/>
      <c r="EYS84" s="2567"/>
      <c r="EYT84" s="2567"/>
      <c r="EYU84" s="2567"/>
      <c r="EYV84" s="2567"/>
      <c r="EYW84" s="2567"/>
      <c r="EYX84" s="2567"/>
      <c r="EYY84" s="2567"/>
      <c r="EYZ84" s="2567"/>
      <c r="EZA84" s="2567"/>
      <c r="EZB84" s="2567"/>
      <c r="EZC84" s="2567"/>
      <c r="EZD84" s="2567"/>
      <c r="EZE84" s="2567"/>
      <c r="EZF84" s="2567"/>
      <c r="EZG84" s="2567"/>
      <c r="EZH84" s="2567"/>
      <c r="EZI84" s="2567"/>
      <c r="EZJ84" s="2567"/>
      <c r="EZK84" s="2567"/>
      <c r="EZL84" s="2567"/>
      <c r="EZM84" s="2567"/>
      <c r="EZN84" s="2567"/>
      <c r="EZO84" s="2567"/>
      <c r="EZP84" s="2567"/>
      <c r="EZQ84" s="2567"/>
      <c r="EZR84" s="2567"/>
      <c r="EZS84" s="2567"/>
      <c r="EZT84" s="2567"/>
      <c r="EZU84" s="2567"/>
      <c r="EZV84" s="2567"/>
      <c r="EZW84" s="2567"/>
      <c r="EZX84" s="2567"/>
      <c r="EZY84" s="2567"/>
      <c r="EZZ84" s="2567"/>
      <c r="FAA84" s="2567"/>
      <c r="FAB84" s="2567"/>
      <c r="FAC84" s="2567"/>
      <c r="FAD84" s="2567"/>
      <c r="FAE84" s="2567"/>
      <c r="FAF84" s="2567"/>
      <c r="FAG84" s="2567"/>
      <c r="FAH84" s="2567"/>
      <c r="FAI84" s="2567"/>
      <c r="FAJ84" s="2567"/>
      <c r="FAK84" s="2567"/>
      <c r="FAL84" s="2567"/>
      <c r="FAM84" s="2567"/>
      <c r="FAN84" s="2567"/>
      <c r="FAO84" s="2567"/>
      <c r="FAP84" s="2567"/>
      <c r="FAQ84" s="2567"/>
      <c r="FAR84" s="2567"/>
      <c r="FAS84" s="2567"/>
      <c r="FAT84" s="2567"/>
      <c r="FAU84" s="2567"/>
      <c r="FAV84" s="2567"/>
      <c r="FAW84" s="2567"/>
      <c r="FAX84" s="2567"/>
      <c r="FAY84" s="2567"/>
      <c r="FAZ84" s="2567"/>
      <c r="FBA84" s="2567"/>
      <c r="FBB84" s="2567"/>
      <c r="FBC84" s="2567"/>
      <c r="FBD84" s="2567"/>
      <c r="FBE84" s="2567"/>
      <c r="FBF84" s="2567"/>
      <c r="FBG84" s="2567"/>
      <c r="FBH84" s="2567"/>
      <c r="FBI84" s="2567"/>
      <c r="FBJ84" s="2567"/>
      <c r="FBK84" s="2567"/>
      <c r="FBL84" s="2567"/>
      <c r="FBM84" s="2567"/>
      <c r="FBN84" s="2567"/>
      <c r="FBO84" s="2567"/>
      <c r="FBP84" s="2567"/>
      <c r="FBQ84" s="2567"/>
      <c r="FBR84" s="2567"/>
      <c r="FBS84" s="2567"/>
      <c r="FBT84" s="2567"/>
      <c r="FBU84" s="2567"/>
      <c r="FBV84" s="2567"/>
      <c r="FBW84" s="2567"/>
      <c r="FBX84" s="2567"/>
      <c r="FBY84" s="2567"/>
      <c r="FBZ84" s="2567"/>
      <c r="FCA84" s="2567"/>
      <c r="FCB84" s="2567"/>
      <c r="FCC84" s="2567"/>
      <c r="FCD84" s="2567"/>
      <c r="FCE84" s="2567"/>
      <c r="FCF84" s="2567"/>
      <c r="FCG84" s="2567"/>
      <c r="FCH84" s="2567"/>
      <c r="FCI84" s="2567"/>
      <c r="FCJ84" s="2567"/>
      <c r="FCK84" s="2567"/>
      <c r="FCL84" s="2567"/>
      <c r="FCM84" s="2567"/>
      <c r="FCN84" s="2567"/>
      <c r="FCO84" s="2567"/>
      <c r="FCP84" s="2567"/>
      <c r="FCQ84" s="2567"/>
      <c r="FCR84" s="2567"/>
      <c r="FCS84" s="2567"/>
      <c r="FCT84" s="2567"/>
      <c r="FCU84" s="2567"/>
      <c r="FCV84" s="2567"/>
      <c r="FCW84" s="2567"/>
      <c r="FCX84" s="2567"/>
      <c r="FCY84" s="2567"/>
      <c r="FCZ84" s="2567"/>
      <c r="FDA84" s="2567"/>
      <c r="FDB84" s="2567"/>
      <c r="FDC84" s="2567"/>
      <c r="FDD84" s="2567"/>
      <c r="FDE84" s="2567"/>
      <c r="FDF84" s="2567"/>
      <c r="FDG84" s="2567"/>
      <c r="FDH84" s="2567"/>
      <c r="FDI84" s="2567"/>
      <c r="FDJ84" s="2567"/>
      <c r="FDK84" s="2567"/>
      <c r="FDL84" s="2567"/>
      <c r="FDM84" s="2567"/>
      <c r="FDN84" s="2567"/>
      <c r="FDO84" s="2567"/>
      <c r="FDP84" s="2567"/>
      <c r="FDQ84" s="2567"/>
      <c r="FDR84" s="2567"/>
      <c r="FDS84" s="2567"/>
      <c r="FDT84" s="2567"/>
      <c r="FDU84" s="2567"/>
      <c r="FDV84" s="2567"/>
      <c r="FDW84" s="2567"/>
      <c r="FDX84" s="2567"/>
      <c r="FDY84" s="2567"/>
      <c r="FDZ84" s="2567"/>
      <c r="FEA84" s="2567"/>
      <c r="FEB84" s="2567"/>
      <c r="FEC84" s="2567"/>
      <c r="FED84" s="2567"/>
      <c r="FEE84" s="2567"/>
      <c r="FEF84" s="2567"/>
      <c r="FEG84" s="2567"/>
      <c r="FEH84" s="2567"/>
      <c r="FEI84" s="2567"/>
      <c r="FEJ84" s="2567"/>
      <c r="FEK84" s="2567"/>
      <c r="FEL84" s="2567"/>
      <c r="FEM84" s="2567"/>
      <c r="FEN84" s="2567"/>
      <c r="FEO84" s="2567"/>
      <c r="FEP84" s="2567"/>
      <c r="FEQ84" s="2567"/>
      <c r="FER84" s="2567"/>
      <c r="FES84" s="2567"/>
      <c r="FET84" s="2567"/>
      <c r="FEU84" s="2567"/>
      <c r="FEV84" s="2567"/>
      <c r="FEW84" s="2567"/>
      <c r="FEX84" s="2567"/>
      <c r="FEY84" s="2567"/>
      <c r="FEZ84" s="2567"/>
      <c r="FFA84" s="2567"/>
      <c r="FFB84" s="2567"/>
      <c r="FFC84" s="2567"/>
      <c r="FFD84" s="2567"/>
      <c r="FFE84" s="2567"/>
      <c r="FFF84" s="2567"/>
      <c r="FFG84" s="2567"/>
      <c r="FFH84" s="2567"/>
      <c r="FFI84" s="2567"/>
      <c r="FFJ84" s="2567"/>
      <c r="FFK84" s="2567"/>
      <c r="FFL84" s="2567"/>
      <c r="FFM84" s="2567"/>
      <c r="FFN84" s="2567"/>
      <c r="FFO84" s="2567"/>
      <c r="FFP84" s="2567"/>
      <c r="FFQ84" s="2567"/>
      <c r="FFR84" s="2567"/>
      <c r="FFS84" s="2567"/>
      <c r="FFT84" s="2567"/>
      <c r="FFU84" s="2567"/>
      <c r="FFV84" s="2567"/>
      <c r="FFW84" s="2567"/>
      <c r="FFX84" s="2567"/>
      <c r="FFY84" s="2567"/>
      <c r="FFZ84" s="2567"/>
      <c r="FGA84" s="2567"/>
      <c r="FGB84" s="2567"/>
      <c r="FGC84" s="2567"/>
      <c r="FGD84" s="2567"/>
      <c r="FGE84" s="2567"/>
      <c r="FGF84" s="2567"/>
      <c r="FGG84" s="2567"/>
      <c r="FGH84" s="2567"/>
      <c r="FGI84" s="2567"/>
      <c r="FGJ84" s="2567"/>
      <c r="FGK84" s="2567"/>
      <c r="FGL84" s="2567"/>
      <c r="FGM84" s="2567"/>
      <c r="FGN84" s="2567"/>
      <c r="FGO84" s="2567"/>
      <c r="FGP84" s="2567"/>
      <c r="FGQ84" s="2567"/>
      <c r="FGR84" s="2567"/>
      <c r="FGS84" s="2567"/>
      <c r="FGT84" s="2567"/>
      <c r="FGU84" s="2567"/>
      <c r="FGV84" s="2567"/>
      <c r="FGW84" s="2567"/>
      <c r="FGX84" s="2567"/>
      <c r="FGY84" s="2567"/>
      <c r="FGZ84" s="2567"/>
      <c r="FHA84" s="2567"/>
      <c r="FHB84" s="2567"/>
      <c r="FHC84" s="2567"/>
      <c r="FHD84" s="2567"/>
      <c r="FHE84" s="2567"/>
      <c r="FHF84" s="2567"/>
      <c r="FHG84" s="2567"/>
      <c r="FHH84" s="2567"/>
      <c r="FHI84" s="2567"/>
      <c r="FHJ84" s="2567"/>
      <c r="FHK84" s="2567"/>
      <c r="FHL84" s="2567"/>
      <c r="FHM84" s="2567"/>
      <c r="FHN84" s="2567"/>
      <c r="FHO84" s="2567"/>
      <c r="FHP84" s="2567"/>
      <c r="FHQ84" s="2567"/>
      <c r="FHR84" s="2567"/>
      <c r="FHS84" s="2567"/>
      <c r="FHT84" s="2567"/>
      <c r="FHU84" s="2567"/>
      <c r="FHV84" s="2567"/>
      <c r="FHW84" s="2567"/>
      <c r="FHX84" s="2567"/>
      <c r="FHY84" s="2567"/>
      <c r="FHZ84" s="2567"/>
      <c r="FIA84" s="2567"/>
      <c r="FIB84" s="2567"/>
      <c r="FIC84" s="2567"/>
      <c r="FID84" s="2567"/>
      <c r="FIE84" s="2567"/>
      <c r="FIF84" s="2567"/>
      <c r="FIG84" s="2567"/>
      <c r="FIH84" s="2567"/>
      <c r="FII84" s="2567"/>
      <c r="FIJ84" s="2567"/>
      <c r="FIK84" s="2567"/>
      <c r="FIL84" s="2567"/>
      <c r="FIM84" s="2567"/>
      <c r="FIN84" s="2567"/>
      <c r="FIO84" s="2567"/>
      <c r="FIP84" s="2567"/>
      <c r="FIQ84" s="2567"/>
      <c r="FIR84" s="2567"/>
      <c r="FIS84" s="2567"/>
      <c r="FIT84" s="2567"/>
      <c r="FIU84" s="2567"/>
      <c r="FIV84" s="2567"/>
      <c r="FIW84" s="2567"/>
      <c r="FIX84" s="2567"/>
      <c r="FIY84" s="2567"/>
      <c r="FIZ84" s="2567"/>
      <c r="FJA84" s="2567"/>
      <c r="FJB84" s="2567"/>
      <c r="FJC84" s="2567"/>
      <c r="FJD84" s="2567"/>
      <c r="FJE84" s="2567"/>
      <c r="FJF84" s="2567"/>
      <c r="FJG84" s="2567"/>
      <c r="FJH84" s="2567"/>
      <c r="FJI84" s="2567"/>
      <c r="FJJ84" s="2567"/>
      <c r="FJK84" s="2567"/>
      <c r="FJL84" s="2567"/>
      <c r="FJM84" s="2567"/>
      <c r="FJN84" s="2567"/>
      <c r="FJO84" s="2567"/>
      <c r="FJP84" s="2567"/>
      <c r="FJQ84" s="2567"/>
      <c r="FJR84" s="2567"/>
      <c r="FJS84" s="2567"/>
      <c r="FJT84" s="2567"/>
      <c r="FJU84" s="2567"/>
      <c r="FJV84" s="2567"/>
      <c r="FJW84" s="2567"/>
      <c r="FJX84" s="2567"/>
      <c r="FJY84" s="2567"/>
      <c r="FJZ84" s="2567"/>
      <c r="FKA84" s="2567"/>
      <c r="FKB84" s="2567"/>
      <c r="FKC84" s="2567"/>
      <c r="FKD84" s="2567"/>
      <c r="FKE84" s="2567"/>
      <c r="FKF84" s="2567"/>
      <c r="FKG84" s="2567"/>
      <c r="FKH84" s="2567"/>
      <c r="FKI84" s="2567"/>
      <c r="FKJ84" s="2567"/>
      <c r="FKK84" s="2567"/>
      <c r="FKL84" s="2567"/>
      <c r="FKM84" s="2567"/>
      <c r="FKN84" s="2567"/>
      <c r="FKO84" s="2567"/>
      <c r="FKP84" s="2567"/>
      <c r="FKQ84" s="2567"/>
      <c r="FKR84" s="2567"/>
      <c r="FKS84" s="2567"/>
      <c r="FKT84" s="2567"/>
      <c r="FKU84" s="2567"/>
      <c r="FKV84" s="2567"/>
      <c r="FKW84" s="2567"/>
      <c r="FKX84" s="2567"/>
      <c r="FKY84" s="2567"/>
      <c r="FKZ84" s="2567"/>
      <c r="FLA84" s="2567"/>
      <c r="FLB84" s="2567"/>
      <c r="FLC84" s="2567"/>
      <c r="FLD84" s="2567"/>
      <c r="FLE84" s="2567"/>
      <c r="FLF84" s="2567"/>
      <c r="FLG84" s="2567"/>
      <c r="FLH84" s="2567"/>
      <c r="FLI84" s="2567"/>
      <c r="FLJ84" s="2567"/>
      <c r="FLK84" s="2567"/>
      <c r="FLL84" s="2567"/>
      <c r="FLM84" s="2567"/>
      <c r="FLN84" s="2567"/>
      <c r="FLO84" s="2567"/>
      <c r="FLP84" s="2567"/>
      <c r="FLQ84" s="2567"/>
      <c r="FLR84" s="2567"/>
      <c r="FLS84" s="2567"/>
      <c r="FLT84" s="2567"/>
      <c r="FLU84" s="2567"/>
      <c r="FLV84" s="2567"/>
      <c r="FLW84" s="2567"/>
      <c r="FLX84" s="2567"/>
      <c r="FLY84" s="2567"/>
      <c r="FLZ84" s="2567"/>
      <c r="FMA84" s="2567"/>
      <c r="FMB84" s="2567"/>
      <c r="FMC84" s="2567"/>
      <c r="FMD84" s="2567"/>
      <c r="FME84" s="2567"/>
      <c r="FMF84" s="2567"/>
      <c r="FMG84" s="2567"/>
      <c r="FMH84" s="2567"/>
      <c r="FMI84" s="2567"/>
      <c r="FMJ84" s="2567"/>
      <c r="FMK84" s="2567"/>
      <c r="FML84" s="2567"/>
      <c r="FMM84" s="2567"/>
      <c r="FMN84" s="2567"/>
      <c r="FMO84" s="2567"/>
      <c r="FMP84" s="2567"/>
      <c r="FMQ84" s="2567"/>
      <c r="FMR84" s="2567"/>
      <c r="FMS84" s="2567"/>
      <c r="FMT84" s="2567"/>
      <c r="FMU84" s="2567"/>
      <c r="FMV84" s="2567"/>
      <c r="FMW84" s="2567"/>
      <c r="FMX84" s="2567"/>
      <c r="FMY84" s="2567"/>
      <c r="FMZ84" s="2567"/>
      <c r="FNA84" s="2567"/>
      <c r="FNB84" s="2567"/>
      <c r="FNC84" s="2567"/>
      <c r="FND84" s="2567"/>
      <c r="FNE84" s="2567"/>
      <c r="FNF84" s="2567"/>
      <c r="FNG84" s="2567"/>
      <c r="FNH84" s="2567"/>
      <c r="FNI84" s="2567"/>
      <c r="FNJ84" s="2567"/>
      <c r="FNK84" s="2567"/>
      <c r="FNL84" s="2567"/>
      <c r="FNM84" s="2567"/>
      <c r="FNN84" s="2567"/>
      <c r="FNO84" s="2567"/>
      <c r="FNP84" s="2567"/>
      <c r="FNQ84" s="2567"/>
      <c r="FNR84" s="2567"/>
      <c r="FNS84" s="2567"/>
      <c r="FNT84" s="2567"/>
      <c r="FNU84" s="2567"/>
      <c r="FNV84" s="2567"/>
      <c r="FNW84" s="2567"/>
      <c r="FNX84" s="2567"/>
      <c r="FNY84" s="2567"/>
      <c r="FNZ84" s="2567"/>
      <c r="FOA84" s="2567"/>
      <c r="FOB84" s="2567"/>
      <c r="FOC84" s="2567"/>
      <c r="FOD84" s="2567"/>
      <c r="FOE84" s="2567"/>
      <c r="FOF84" s="2567"/>
      <c r="FOG84" s="2567"/>
      <c r="FOH84" s="2567"/>
      <c r="FOI84" s="2567"/>
      <c r="FOJ84" s="2567"/>
      <c r="FOK84" s="2567"/>
      <c r="FOL84" s="2567"/>
      <c r="FOM84" s="2567"/>
      <c r="FON84" s="2567"/>
      <c r="FOO84" s="2567"/>
      <c r="FOP84" s="2567"/>
      <c r="FOQ84" s="2567"/>
      <c r="FOR84" s="2567"/>
      <c r="FOS84" s="2567"/>
      <c r="FOT84" s="2567"/>
      <c r="FOU84" s="2567"/>
      <c r="FOV84" s="2567"/>
      <c r="FOW84" s="2567"/>
      <c r="FOX84" s="2567"/>
      <c r="FOY84" s="2567"/>
      <c r="FOZ84" s="2567"/>
      <c r="FPA84" s="2567"/>
      <c r="FPB84" s="2567"/>
      <c r="FPC84" s="2567"/>
      <c r="FPD84" s="2567"/>
      <c r="FPE84" s="2567"/>
      <c r="FPF84" s="2567"/>
      <c r="FPG84" s="2567"/>
      <c r="FPH84" s="2567"/>
      <c r="FPI84" s="2567"/>
      <c r="FPJ84" s="2567"/>
      <c r="FPK84" s="2567"/>
      <c r="FPL84" s="2567"/>
      <c r="FPM84" s="2567"/>
      <c r="FPN84" s="2567"/>
      <c r="FPO84" s="2567"/>
      <c r="FPP84" s="2567"/>
      <c r="FPQ84" s="2567"/>
      <c r="FPR84" s="2567"/>
      <c r="FPS84" s="2567"/>
      <c r="FPT84" s="2567"/>
      <c r="FPU84" s="2567"/>
      <c r="FPV84" s="2567"/>
      <c r="FPW84" s="2567"/>
      <c r="FPX84" s="2567"/>
      <c r="FPY84" s="2567"/>
      <c r="FPZ84" s="2567"/>
      <c r="FQA84" s="2567"/>
      <c r="FQB84" s="2567"/>
      <c r="FQC84" s="2567"/>
      <c r="FQD84" s="2567"/>
      <c r="FQE84" s="2567"/>
      <c r="FQF84" s="2567"/>
      <c r="FQG84" s="2567"/>
      <c r="FQH84" s="2567"/>
      <c r="FQI84" s="2567"/>
      <c r="FQJ84" s="2567"/>
      <c r="FQK84" s="2567"/>
      <c r="FQL84" s="2567"/>
      <c r="FQM84" s="2567"/>
      <c r="FQN84" s="2567"/>
      <c r="FQO84" s="2567"/>
      <c r="FQP84" s="2567"/>
      <c r="FQQ84" s="2567"/>
      <c r="FQR84" s="2567"/>
      <c r="FQS84" s="2567"/>
      <c r="FQT84" s="2567"/>
      <c r="FQU84" s="2567"/>
      <c r="FQV84" s="2567"/>
      <c r="FQW84" s="2567"/>
      <c r="FQX84" s="2567"/>
      <c r="FQY84" s="2567"/>
      <c r="FQZ84" s="2567"/>
      <c r="FRA84" s="2567"/>
      <c r="FRB84" s="2567"/>
      <c r="FRC84" s="2567"/>
      <c r="FRD84" s="2567"/>
      <c r="FRE84" s="2567"/>
      <c r="FRF84" s="2567"/>
      <c r="FRG84" s="2567"/>
      <c r="FRH84" s="2567"/>
      <c r="FRI84" s="2567"/>
      <c r="FRJ84" s="2567"/>
      <c r="FRK84" s="2567"/>
      <c r="FRL84" s="2567"/>
      <c r="FRM84" s="2567"/>
      <c r="FRN84" s="2567"/>
      <c r="FRO84" s="2567"/>
      <c r="FRP84" s="2567"/>
      <c r="FRQ84" s="2567"/>
      <c r="FRR84" s="2567"/>
      <c r="FRS84" s="2567"/>
      <c r="FRT84" s="2567"/>
      <c r="FRU84" s="2567"/>
      <c r="FRV84" s="2567"/>
      <c r="FRW84" s="2567"/>
      <c r="FRX84" s="2567"/>
      <c r="FRY84" s="2567"/>
      <c r="FRZ84" s="2567"/>
      <c r="FSA84" s="2567"/>
      <c r="FSB84" s="2567"/>
      <c r="FSC84" s="2567"/>
      <c r="FSD84" s="2567"/>
      <c r="FSE84" s="2567"/>
      <c r="FSF84" s="2567"/>
      <c r="FSG84" s="2567"/>
      <c r="FSH84" s="2567"/>
      <c r="FSI84" s="2567"/>
      <c r="FSJ84" s="2567"/>
      <c r="FSK84" s="2567"/>
      <c r="FSL84" s="2567"/>
      <c r="FSM84" s="2567"/>
      <c r="FSN84" s="2567"/>
      <c r="FSO84" s="2567"/>
      <c r="FSP84" s="2567"/>
      <c r="FSQ84" s="2567"/>
      <c r="FSR84" s="2567"/>
      <c r="FSS84" s="2567"/>
      <c r="FST84" s="2567"/>
      <c r="FSU84" s="2567"/>
      <c r="FSV84" s="2567"/>
      <c r="FSW84" s="2567"/>
      <c r="FSX84" s="2567"/>
      <c r="FSY84" s="2567"/>
      <c r="FSZ84" s="2567"/>
      <c r="FTA84" s="2567"/>
      <c r="FTB84" s="2567"/>
      <c r="FTC84" s="2567"/>
      <c r="FTD84" s="2567"/>
      <c r="FTE84" s="2567"/>
      <c r="FTF84" s="2567"/>
      <c r="FTG84" s="2567"/>
      <c r="FTH84" s="2567"/>
      <c r="FTI84" s="2567"/>
      <c r="FTJ84" s="2567"/>
      <c r="FTK84" s="2567"/>
      <c r="FTL84" s="2567"/>
      <c r="FTM84" s="2567"/>
      <c r="FTN84" s="2567"/>
      <c r="FTO84" s="2567"/>
      <c r="FTP84" s="2567"/>
      <c r="FTQ84" s="2567"/>
      <c r="FTR84" s="2567"/>
      <c r="FTS84" s="2567"/>
      <c r="FTT84" s="2567"/>
      <c r="FTU84" s="2567"/>
      <c r="FTV84" s="2567"/>
      <c r="FTW84" s="2567"/>
      <c r="FTX84" s="2567"/>
      <c r="FTY84" s="2567"/>
      <c r="FTZ84" s="2567"/>
      <c r="FUA84" s="2567"/>
      <c r="FUB84" s="2567"/>
      <c r="FUC84" s="2567"/>
      <c r="FUD84" s="2567"/>
      <c r="FUE84" s="2567"/>
      <c r="FUF84" s="2567"/>
      <c r="FUG84" s="2567"/>
      <c r="FUH84" s="2567"/>
      <c r="FUI84" s="2567"/>
      <c r="FUJ84" s="2567"/>
      <c r="FUK84" s="2567"/>
      <c r="FUL84" s="2567"/>
      <c r="FUM84" s="2567"/>
      <c r="FUN84" s="2567"/>
      <c r="FUO84" s="2567"/>
      <c r="FUP84" s="2567"/>
      <c r="FUQ84" s="2567"/>
      <c r="FUR84" s="2567"/>
      <c r="FUS84" s="2567"/>
      <c r="FUT84" s="2567"/>
      <c r="FUU84" s="2567"/>
      <c r="FUV84" s="2567"/>
      <c r="FUW84" s="2567"/>
      <c r="FUX84" s="2567"/>
      <c r="FUY84" s="2567"/>
      <c r="FUZ84" s="2567"/>
      <c r="FVA84" s="2567"/>
      <c r="FVB84" s="2567"/>
      <c r="FVC84" s="2567"/>
      <c r="FVD84" s="2567"/>
      <c r="FVE84" s="2567"/>
      <c r="FVF84" s="2567"/>
      <c r="FVG84" s="2567"/>
      <c r="FVH84" s="2567"/>
      <c r="FVI84" s="2567"/>
      <c r="FVJ84" s="2567"/>
      <c r="FVK84" s="2567"/>
      <c r="FVL84" s="2567"/>
      <c r="FVM84" s="2567"/>
      <c r="FVN84" s="2567"/>
      <c r="FVO84" s="2567"/>
      <c r="FVP84" s="2567"/>
      <c r="FVQ84" s="2567"/>
      <c r="FVR84" s="2567"/>
      <c r="FVS84" s="2567"/>
      <c r="FVT84" s="2567"/>
      <c r="FVU84" s="2567"/>
      <c r="FVV84" s="2567"/>
      <c r="FVW84" s="2567"/>
      <c r="FVX84" s="2567"/>
      <c r="FVY84" s="2567"/>
      <c r="FVZ84" s="2567"/>
      <c r="FWA84" s="2567"/>
      <c r="FWB84" s="2567"/>
      <c r="FWC84" s="2567"/>
      <c r="FWD84" s="2567"/>
      <c r="FWE84" s="2567"/>
      <c r="FWF84" s="2567"/>
      <c r="FWG84" s="2567"/>
      <c r="FWH84" s="2567"/>
      <c r="FWI84" s="2567"/>
      <c r="FWJ84" s="2567"/>
      <c r="FWK84" s="2567"/>
      <c r="FWL84" s="2567"/>
      <c r="FWM84" s="2567"/>
      <c r="FWN84" s="2567"/>
      <c r="FWO84" s="2567"/>
      <c r="FWP84" s="2567"/>
      <c r="FWQ84" s="2567"/>
      <c r="FWR84" s="2567"/>
      <c r="FWS84" s="2567"/>
      <c r="FWT84" s="2567"/>
      <c r="FWU84" s="2567"/>
      <c r="FWV84" s="2567"/>
      <c r="FWW84" s="2567"/>
      <c r="FWX84" s="2567"/>
      <c r="FWY84" s="2567"/>
      <c r="FWZ84" s="2567"/>
      <c r="FXA84" s="2567"/>
      <c r="FXB84" s="2567"/>
      <c r="FXC84" s="2567"/>
      <c r="FXD84" s="2567"/>
      <c r="FXE84" s="2567"/>
      <c r="FXF84" s="2567"/>
      <c r="FXG84" s="2567"/>
      <c r="FXH84" s="2567"/>
      <c r="FXI84" s="2567"/>
      <c r="FXJ84" s="2567"/>
      <c r="FXK84" s="2567"/>
      <c r="FXL84" s="2567"/>
      <c r="FXM84" s="2567"/>
      <c r="FXN84" s="2567"/>
      <c r="FXO84" s="2567"/>
      <c r="FXP84" s="2567"/>
      <c r="FXQ84" s="2567"/>
      <c r="FXR84" s="2567"/>
      <c r="FXS84" s="2567"/>
      <c r="FXT84" s="2567"/>
      <c r="FXU84" s="2567"/>
      <c r="FXV84" s="2567"/>
      <c r="FXW84" s="2567"/>
      <c r="FXX84" s="2567"/>
      <c r="FXY84" s="2567"/>
      <c r="FXZ84" s="2567"/>
      <c r="FYA84" s="2567"/>
      <c r="FYB84" s="2567"/>
      <c r="FYC84" s="2567"/>
      <c r="FYD84" s="2567"/>
      <c r="FYE84" s="2567"/>
      <c r="FYF84" s="2567"/>
      <c r="FYG84" s="2567"/>
      <c r="FYH84" s="2567"/>
      <c r="FYI84" s="2567"/>
      <c r="FYJ84" s="2567"/>
      <c r="FYK84" s="2567"/>
      <c r="FYL84" s="2567"/>
      <c r="FYM84" s="2567"/>
      <c r="FYN84" s="2567"/>
      <c r="FYO84" s="2567"/>
      <c r="FYP84" s="2567"/>
      <c r="FYQ84" s="2567"/>
      <c r="FYR84" s="2567"/>
      <c r="FYS84" s="2567"/>
      <c r="FYT84" s="2567"/>
      <c r="FYU84" s="2567"/>
      <c r="FYV84" s="2567"/>
      <c r="FYW84" s="2567"/>
      <c r="FYX84" s="2567"/>
      <c r="FYY84" s="2567"/>
      <c r="FYZ84" s="2567"/>
      <c r="FZA84" s="2567"/>
      <c r="FZB84" s="2567"/>
      <c r="FZC84" s="2567"/>
      <c r="FZD84" s="2567"/>
      <c r="FZE84" s="2567"/>
      <c r="FZF84" s="2567"/>
      <c r="FZG84" s="2567"/>
      <c r="FZH84" s="2567"/>
      <c r="FZI84" s="2567"/>
      <c r="FZJ84" s="2567"/>
      <c r="FZK84" s="2567"/>
      <c r="FZL84" s="2567"/>
      <c r="FZM84" s="2567"/>
      <c r="FZN84" s="2567"/>
      <c r="FZO84" s="2567"/>
      <c r="FZP84" s="2567"/>
      <c r="FZQ84" s="2567"/>
      <c r="FZR84" s="2567"/>
      <c r="FZS84" s="2567"/>
      <c r="FZT84" s="2567"/>
      <c r="FZU84" s="2567"/>
      <c r="FZV84" s="2567"/>
      <c r="FZW84" s="2567"/>
      <c r="FZX84" s="2567"/>
      <c r="FZY84" s="2567"/>
      <c r="FZZ84" s="2567"/>
      <c r="GAA84" s="2567"/>
      <c r="GAB84" s="2567"/>
      <c r="GAC84" s="2567"/>
      <c r="GAD84" s="2567"/>
      <c r="GAE84" s="2567"/>
      <c r="GAF84" s="2567"/>
      <c r="GAG84" s="2567"/>
      <c r="GAH84" s="2567"/>
      <c r="GAI84" s="2567"/>
      <c r="GAJ84" s="2567"/>
      <c r="GAK84" s="2567"/>
      <c r="GAL84" s="2567"/>
      <c r="GAM84" s="2567"/>
      <c r="GAN84" s="2567"/>
      <c r="GAO84" s="2567"/>
      <c r="GAP84" s="2567"/>
      <c r="GAQ84" s="2567"/>
      <c r="GAR84" s="2567"/>
      <c r="GAS84" s="2567"/>
      <c r="GAT84" s="2567"/>
      <c r="GAU84" s="2567"/>
      <c r="GAV84" s="2567"/>
      <c r="GAW84" s="2567"/>
      <c r="GAX84" s="2567"/>
      <c r="GAY84" s="2567"/>
      <c r="GAZ84" s="2567"/>
      <c r="GBA84" s="2567"/>
      <c r="GBB84" s="2567"/>
      <c r="GBC84" s="2567"/>
      <c r="GBD84" s="2567"/>
      <c r="GBE84" s="2567"/>
      <c r="GBF84" s="2567"/>
      <c r="GBG84" s="2567"/>
      <c r="GBH84" s="2567"/>
      <c r="GBI84" s="2567"/>
      <c r="GBJ84" s="2567"/>
      <c r="GBK84" s="2567"/>
      <c r="GBL84" s="2567"/>
      <c r="GBM84" s="2567"/>
      <c r="GBN84" s="2567"/>
      <c r="GBO84" s="2567"/>
      <c r="GBP84" s="2567"/>
      <c r="GBQ84" s="2567"/>
      <c r="GBR84" s="2567"/>
      <c r="GBS84" s="2567"/>
      <c r="GBT84" s="2567"/>
      <c r="GBU84" s="2567"/>
      <c r="GBV84" s="2567"/>
      <c r="GBW84" s="2567"/>
      <c r="GBX84" s="2567"/>
      <c r="GBY84" s="2567"/>
      <c r="GBZ84" s="2567"/>
      <c r="GCA84" s="2567"/>
      <c r="GCB84" s="2567"/>
      <c r="GCC84" s="2567"/>
      <c r="GCD84" s="2567"/>
      <c r="GCE84" s="2567"/>
      <c r="GCF84" s="2567"/>
      <c r="GCG84" s="2567"/>
      <c r="GCH84" s="2567"/>
      <c r="GCI84" s="2567"/>
      <c r="GCJ84" s="2567"/>
      <c r="GCK84" s="2567"/>
      <c r="GCL84" s="2567"/>
      <c r="GCM84" s="2567"/>
      <c r="GCN84" s="2567"/>
      <c r="GCO84" s="2567"/>
      <c r="GCP84" s="2567"/>
      <c r="GCQ84" s="2567"/>
      <c r="GCR84" s="2567"/>
      <c r="GCS84" s="2567"/>
      <c r="GCT84" s="2567"/>
      <c r="GCU84" s="2567"/>
      <c r="GCV84" s="2567"/>
      <c r="GCW84" s="2567"/>
      <c r="GCX84" s="2567"/>
      <c r="GCY84" s="2567"/>
      <c r="GCZ84" s="2567"/>
      <c r="GDA84" s="2567"/>
      <c r="GDB84" s="2567"/>
      <c r="GDC84" s="2567"/>
      <c r="GDD84" s="2567"/>
      <c r="GDE84" s="2567"/>
      <c r="GDF84" s="2567"/>
      <c r="GDG84" s="2567"/>
      <c r="GDH84" s="2567"/>
      <c r="GDI84" s="2567"/>
      <c r="GDJ84" s="2567"/>
      <c r="GDK84" s="2567"/>
      <c r="GDL84" s="2567"/>
      <c r="GDM84" s="2567"/>
      <c r="GDN84" s="2567"/>
      <c r="GDO84" s="2567"/>
      <c r="GDP84" s="2567"/>
      <c r="GDQ84" s="2567"/>
      <c r="GDR84" s="2567"/>
      <c r="GDS84" s="2567"/>
      <c r="GDT84" s="2567"/>
      <c r="GDU84" s="2567"/>
      <c r="GDV84" s="2567"/>
      <c r="GDW84" s="2567"/>
      <c r="GDX84" s="2567"/>
      <c r="GDY84" s="2567"/>
      <c r="GDZ84" s="2567"/>
      <c r="GEA84" s="2567"/>
      <c r="GEB84" s="2567"/>
      <c r="GEC84" s="2567"/>
      <c r="GED84" s="2567"/>
      <c r="GEE84" s="2567"/>
      <c r="GEF84" s="2567"/>
      <c r="GEG84" s="2567"/>
      <c r="GEH84" s="2567"/>
      <c r="GEI84" s="2567"/>
      <c r="GEJ84" s="2567"/>
      <c r="GEK84" s="2567"/>
      <c r="GEL84" s="2567"/>
      <c r="GEM84" s="2567"/>
      <c r="GEN84" s="2567"/>
      <c r="GEO84" s="2567"/>
      <c r="GEP84" s="2567"/>
      <c r="GEQ84" s="2567"/>
      <c r="GER84" s="2567"/>
      <c r="GES84" s="2567"/>
      <c r="GET84" s="2567"/>
      <c r="GEU84" s="2567"/>
      <c r="GEV84" s="2567"/>
      <c r="GEW84" s="2567"/>
      <c r="GEX84" s="2567"/>
      <c r="GEY84" s="2567"/>
      <c r="GEZ84" s="2567"/>
      <c r="GFA84" s="2567"/>
      <c r="GFB84" s="2567"/>
      <c r="GFC84" s="2567"/>
      <c r="GFD84" s="2567"/>
      <c r="GFE84" s="2567"/>
      <c r="GFF84" s="2567"/>
      <c r="GFG84" s="2567"/>
      <c r="GFH84" s="2567"/>
      <c r="GFI84" s="2567"/>
      <c r="GFJ84" s="2567"/>
      <c r="GFK84" s="2567"/>
      <c r="GFL84" s="2567"/>
      <c r="GFM84" s="2567"/>
      <c r="GFN84" s="2567"/>
      <c r="GFO84" s="2567"/>
      <c r="GFP84" s="2567"/>
      <c r="GFQ84" s="2567"/>
      <c r="GFR84" s="2567"/>
      <c r="GFS84" s="2567"/>
      <c r="GFT84" s="2567"/>
      <c r="GFU84" s="2567"/>
      <c r="GFV84" s="2567"/>
      <c r="GFW84" s="2567"/>
      <c r="GFX84" s="2567"/>
      <c r="GFY84" s="2567"/>
      <c r="GFZ84" s="2567"/>
      <c r="GGA84" s="2567"/>
      <c r="GGB84" s="2567"/>
      <c r="GGC84" s="2567"/>
      <c r="GGD84" s="2567"/>
      <c r="GGE84" s="2567"/>
      <c r="GGF84" s="2567"/>
      <c r="GGG84" s="2567"/>
      <c r="GGH84" s="2567"/>
      <c r="GGI84" s="2567"/>
      <c r="GGJ84" s="2567"/>
      <c r="GGK84" s="2567"/>
      <c r="GGL84" s="2567"/>
      <c r="GGM84" s="2567"/>
      <c r="GGN84" s="2567"/>
      <c r="GGO84" s="2567"/>
      <c r="GGP84" s="2567"/>
      <c r="GGQ84" s="2567"/>
      <c r="GGR84" s="2567"/>
      <c r="GGS84" s="2567"/>
      <c r="GGT84" s="2567"/>
      <c r="GGU84" s="2567"/>
      <c r="GGV84" s="2567"/>
      <c r="GGW84" s="2567"/>
      <c r="GGX84" s="2567"/>
      <c r="GGY84" s="2567"/>
      <c r="GGZ84" s="2567"/>
      <c r="GHA84" s="2567"/>
      <c r="GHB84" s="2567"/>
      <c r="GHC84" s="2567"/>
      <c r="GHD84" s="2567"/>
      <c r="GHE84" s="2567"/>
      <c r="GHF84" s="2567"/>
      <c r="GHG84" s="2567"/>
      <c r="GHH84" s="2567"/>
      <c r="GHI84" s="2567"/>
      <c r="GHJ84" s="2567"/>
      <c r="GHK84" s="2567"/>
      <c r="GHL84" s="2567"/>
      <c r="GHM84" s="2567"/>
      <c r="GHN84" s="2567"/>
      <c r="GHO84" s="2567"/>
      <c r="GHP84" s="2567"/>
      <c r="GHQ84" s="2567"/>
      <c r="GHR84" s="2567"/>
      <c r="GHS84" s="2567"/>
      <c r="GHT84" s="2567"/>
      <c r="GHU84" s="2567"/>
      <c r="GHV84" s="2567"/>
      <c r="GHW84" s="2567"/>
      <c r="GHX84" s="2567"/>
      <c r="GHY84" s="2567"/>
      <c r="GHZ84" s="2567"/>
      <c r="GIA84" s="2567"/>
      <c r="GIB84" s="2567"/>
      <c r="GIC84" s="2567"/>
      <c r="GID84" s="2567"/>
      <c r="GIE84" s="2567"/>
      <c r="GIF84" s="2567"/>
      <c r="GIG84" s="2567"/>
      <c r="GIH84" s="2567"/>
      <c r="GII84" s="2567"/>
      <c r="GIJ84" s="2567"/>
      <c r="GIK84" s="2567"/>
      <c r="GIL84" s="2567"/>
      <c r="GIM84" s="2567"/>
      <c r="GIN84" s="2567"/>
      <c r="GIO84" s="2567"/>
      <c r="GIP84" s="2567"/>
      <c r="GIQ84" s="2567"/>
      <c r="GIR84" s="2567"/>
      <c r="GIS84" s="2567"/>
      <c r="GIT84" s="2567"/>
      <c r="GIU84" s="2567"/>
      <c r="GIV84" s="2567"/>
      <c r="GIW84" s="2567"/>
      <c r="GIX84" s="2567"/>
      <c r="GIY84" s="2567"/>
      <c r="GIZ84" s="2567"/>
      <c r="GJA84" s="2567"/>
      <c r="GJB84" s="2567"/>
      <c r="GJC84" s="2567"/>
      <c r="GJD84" s="2567"/>
      <c r="GJE84" s="2567"/>
      <c r="GJF84" s="2567"/>
      <c r="GJG84" s="2567"/>
      <c r="GJH84" s="2567"/>
      <c r="GJI84" s="2567"/>
      <c r="GJJ84" s="2567"/>
      <c r="GJK84" s="2567"/>
      <c r="GJL84" s="2567"/>
      <c r="GJM84" s="2567"/>
      <c r="GJN84" s="2567"/>
      <c r="GJO84" s="2567"/>
      <c r="GJP84" s="2567"/>
      <c r="GJQ84" s="2567"/>
      <c r="GJR84" s="2567"/>
      <c r="GJS84" s="2567"/>
      <c r="GJT84" s="2567"/>
      <c r="GJU84" s="2567"/>
      <c r="GJV84" s="2567"/>
      <c r="GJW84" s="2567"/>
      <c r="GJX84" s="2567"/>
      <c r="GJY84" s="2567"/>
      <c r="GJZ84" s="2567"/>
      <c r="GKA84" s="2567"/>
      <c r="GKB84" s="2567"/>
      <c r="GKC84" s="2567"/>
      <c r="GKD84" s="2567"/>
      <c r="GKE84" s="2567"/>
      <c r="GKF84" s="2567"/>
      <c r="GKG84" s="2567"/>
      <c r="GKH84" s="2567"/>
      <c r="GKI84" s="2567"/>
      <c r="GKJ84" s="2567"/>
      <c r="GKK84" s="2567"/>
      <c r="GKL84" s="2567"/>
      <c r="GKM84" s="2567"/>
      <c r="GKN84" s="2567"/>
      <c r="GKO84" s="2567"/>
      <c r="GKP84" s="2567"/>
      <c r="GKQ84" s="2567"/>
      <c r="GKR84" s="2567"/>
      <c r="GKS84" s="2567"/>
      <c r="GKT84" s="2567"/>
      <c r="GKU84" s="2567"/>
      <c r="GKV84" s="2567"/>
      <c r="GKW84" s="2567"/>
      <c r="GKX84" s="2567"/>
      <c r="GKY84" s="2567"/>
      <c r="GKZ84" s="2567"/>
      <c r="GLA84" s="2567"/>
      <c r="GLB84" s="2567"/>
      <c r="GLC84" s="2567"/>
      <c r="GLD84" s="2567"/>
      <c r="GLE84" s="2567"/>
      <c r="GLF84" s="2567"/>
      <c r="GLG84" s="2567"/>
      <c r="GLH84" s="2567"/>
      <c r="GLI84" s="2567"/>
      <c r="GLJ84" s="2567"/>
      <c r="GLK84" s="2567"/>
      <c r="GLL84" s="2567"/>
      <c r="GLM84" s="2567"/>
      <c r="GLN84" s="2567"/>
      <c r="GLO84" s="2567"/>
      <c r="GLP84" s="2567"/>
      <c r="GLQ84" s="2567"/>
      <c r="GLR84" s="2567"/>
      <c r="GLS84" s="2567"/>
      <c r="GLT84" s="2567"/>
      <c r="GLU84" s="2567"/>
      <c r="GLV84" s="2567"/>
      <c r="GLW84" s="2567"/>
      <c r="GLX84" s="2567"/>
      <c r="GLY84" s="2567"/>
      <c r="GLZ84" s="2567"/>
      <c r="GMA84" s="2567"/>
      <c r="GMB84" s="2567"/>
      <c r="GMC84" s="2567"/>
      <c r="GMD84" s="2567"/>
      <c r="GME84" s="2567"/>
      <c r="GMF84" s="2567"/>
      <c r="GMG84" s="2567"/>
      <c r="GMH84" s="2567"/>
      <c r="GMI84" s="2567"/>
      <c r="GMJ84" s="2567"/>
      <c r="GMK84" s="2567"/>
      <c r="GML84" s="2567"/>
      <c r="GMM84" s="2567"/>
      <c r="GMN84" s="2567"/>
      <c r="GMO84" s="2567"/>
      <c r="GMP84" s="2567"/>
      <c r="GMQ84" s="2567"/>
      <c r="GMR84" s="2567"/>
      <c r="GMS84" s="2567"/>
      <c r="GMT84" s="2567"/>
      <c r="GMU84" s="2567"/>
      <c r="GMV84" s="2567"/>
      <c r="GMW84" s="2567"/>
      <c r="GMX84" s="2567"/>
      <c r="GMY84" s="2567"/>
      <c r="GMZ84" s="2567"/>
      <c r="GNA84" s="2567"/>
      <c r="GNB84" s="2567"/>
      <c r="GNC84" s="2567"/>
      <c r="GND84" s="2567"/>
      <c r="GNE84" s="2567"/>
      <c r="GNF84" s="2567"/>
      <c r="GNG84" s="2567"/>
      <c r="GNH84" s="2567"/>
      <c r="GNI84" s="2567"/>
      <c r="GNJ84" s="2567"/>
      <c r="GNK84" s="2567"/>
      <c r="GNL84" s="2567"/>
      <c r="GNM84" s="2567"/>
      <c r="GNN84" s="2567"/>
      <c r="GNO84" s="2567"/>
      <c r="GNP84" s="2567"/>
      <c r="GNQ84" s="2567"/>
      <c r="GNR84" s="2567"/>
      <c r="GNS84" s="2567"/>
      <c r="GNT84" s="2567"/>
      <c r="GNU84" s="2567"/>
      <c r="GNV84" s="2567"/>
      <c r="GNW84" s="2567"/>
      <c r="GNX84" s="2567"/>
      <c r="GNY84" s="2567"/>
      <c r="GNZ84" s="2567"/>
      <c r="GOA84" s="2567"/>
      <c r="GOB84" s="2567"/>
      <c r="GOC84" s="2567"/>
      <c r="GOD84" s="2567"/>
      <c r="GOE84" s="2567"/>
      <c r="GOF84" s="2567"/>
      <c r="GOG84" s="2567"/>
      <c r="GOH84" s="2567"/>
      <c r="GOI84" s="2567"/>
      <c r="GOJ84" s="2567"/>
      <c r="GOK84" s="2567"/>
      <c r="GOL84" s="2567"/>
      <c r="GOM84" s="2567"/>
      <c r="GON84" s="2567"/>
      <c r="GOO84" s="2567"/>
      <c r="GOP84" s="2567"/>
      <c r="GOQ84" s="2567"/>
      <c r="GOR84" s="2567"/>
      <c r="GOS84" s="2567"/>
      <c r="GOT84" s="2567"/>
      <c r="GOU84" s="2567"/>
      <c r="GOV84" s="2567"/>
      <c r="GOW84" s="2567"/>
      <c r="GOX84" s="2567"/>
      <c r="GOY84" s="2567"/>
      <c r="GOZ84" s="2567"/>
      <c r="GPA84" s="2567"/>
      <c r="GPB84" s="2567"/>
      <c r="GPC84" s="2567"/>
      <c r="GPD84" s="2567"/>
      <c r="GPE84" s="2567"/>
      <c r="GPF84" s="2567"/>
      <c r="GPG84" s="2567"/>
      <c r="GPH84" s="2567"/>
      <c r="GPI84" s="2567"/>
      <c r="GPJ84" s="2567"/>
      <c r="GPK84" s="2567"/>
      <c r="GPL84" s="2567"/>
      <c r="GPM84" s="2567"/>
      <c r="GPN84" s="2567"/>
      <c r="GPO84" s="2567"/>
      <c r="GPP84" s="2567"/>
      <c r="GPQ84" s="2567"/>
      <c r="GPR84" s="2567"/>
      <c r="GPS84" s="2567"/>
      <c r="GPT84" s="2567"/>
      <c r="GPU84" s="2567"/>
      <c r="GPV84" s="2567"/>
      <c r="GPW84" s="2567"/>
      <c r="GPX84" s="2567"/>
      <c r="GPY84" s="2567"/>
      <c r="GPZ84" s="2567"/>
      <c r="GQA84" s="2567"/>
      <c r="GQB84" s="2567"/>
      <c r="GQC84" s="2567"/>
      <c r="GQD84" s="2567"/>
      <c r="GQE84" s="2567"/>
      <c r="GQF84" s="2567"/>
      <c r="GQG84" s="2567"/>
      <c r="GQH84" s="2567"/>
      <c r="GQI84" s="2567"/>
      <c r="GQJ84" s="2567"/>
      <c r="GQK84" s="2567"/>
      <c r="GQL84" s="2567"/>
      <c r="GQM84" s="2567"/>
      <c r="GQN84" s="2567"/>
      <c r="GQO84" s="2567"/>
      <c r="GQP84" s="2567"/>
      <c r="GQQ84" s="2567"/>
      <c r="GQR84" s="2567"/>
      <c r="GQS84" s="2567"/>
      <c r="GQT84" s="2567"/>
      <c r="GQU84" s="2567"/>
      <c r="GQV84" s="2567"/>
      <c r="GQW84" s="2567"/>
      <c r="GQX84" s="2567"/>
      <c r="GQY84" s="2567"/>
      <c r="GQZ84" s="2567"/>
      <c r="GRA84" s="2567"/>
      <c r="GRB84" s="2567"/>
      <c r="GRC84" s="2567"/>
      <c r="GRD84" s="2567"/>
      <c r="GRE84" s="2567"/>
      <c r="GRF84" s="2567"/>
      <c r="GRG84" s="2567"/>
      <c r="GRH84" s="2567"/>
      <c r="GRI84" s="2567"/>
      <c r="GRJ84" s="2567"/>
      <c r="GRK84" s="2567"/>
      <c r="GRL84" s="2567"/>
      <c r="GRM84" s="2567"/>
      <c r="GRN84" s="2567"/>
      <c r="GRO84" s="2567"/>
      <c r="GRP84" s="2567"/>
      <c r="GRQ84" s="2567"/>
      <c r="GRR84" s="2567"/>
      <c r="GRS84" s="2567"/>
      <c r="GRT84" s="2567"/>
      <c r="GRU84" s="2567"/>
      <c r="GRV84" s="2567"/>
      <c r="GRW84" s="2567"/>
      <c r="GRX84" s="2567"/>
      <c r="GRY84" s="2567"/>
      <c r="GRZ84" s="2567"/>
      <c r="GSA84" s="2567"/>
      <c r="GSB84" s="2567"/>
      <c r="GSC84" s="2567"/>
      <c r="GSD84" s="2567"/>
      <c r="GSE84" s="2567"/>
      <c r="GSF84" s="2567"/>
      <c r="GSG84" s="2567"/>
      <c r="GSH84" s="2567"/>
      <c r="GSI84" s="2567"/>
      <c r="GSJ84" s="2567"/>
      <c r="GSK84" s="2567"/>
      <c r="GSL84" s="2567"/>
      <c r="GSM84" s="2567"/>
      <c r="GSN84" s="2567"/>
      <c r="GSO84" s="2567"/>
      <c r="GSP84" s="2567"/>
      <c r="GSQ84" s="2567"/>
      <c r="GSR84" s="2567"/>
      <c r="GSS84" s="2567"/>
      <c r="GST84" s="2567"/>
      <c r="GSU84" s="2567"/>
      <c r="GSV84" s="2567"/>
      <c r="GSW84" s="2567"/>
      <c r="GSX84" s="2567"/>
      <c r="GSY84" s="2567"/>
      <c r="GSZ84" s="2567"/>
      <c r="GTA84" s="2567"/>
      <c r="GTB84" s="2567"/>
      <c r="GTC84" s="2567"/>
      <c r="GTD84" s="2567"/>
      <c r="GTE84" s="2567"/>
      <c r="GTF84" s="2567"/>
      <c r="GTG84" s="2567"/>
      <c r="GTH84" s="2567"/>
      <c r="GTI84" s="2567"/>
      <c r="GTJ84" s="2567"/>
      <c r="GTK84" s="2567"/>
      <c r="GTL84" s="2567"/>
      <c r="GTM84" s="2567"/>
      <c r="GTN84" s="2567"/>
      <c r="GTO84" s="2567"/>
      <c r="GTP84" s="2567"/>
      <c r="GTQ84" s="2567"/>
      <c r="GTR84" s="2567"/>
      <c r="GTS84" s="2567"/>
      <c r="GTT84" s="2567"/>
      <c r="GTU84" s="2567"/>
      <c r="GTV84" s="2567"/>
      <c r="GTW84" s="2567"/>
      <c r="GTX84" s="2567"/>
      <c r="GTY84" s="2567"/>
      <c r="GTZ84" s="2567"/>
      <c r="GUA84" s="2567"/>
      <c r="GUB84" s="2567"/>
      <c r="GUC84" s="2567"/>
      <c r="GUD84" s="2567"/>
      <c r="GUE84" s="2567"/>
      <c r="GUF84" s="2567"/>
      <c r="GUG84" s="2567"/>
      <c r="GUH84" s="2567"/>
      <c r="GUI84" s="2567"/>
      <c r="GUJ84" s="2567"/>
      <c r="GUK84" s="2567"/>
      <c r="GUL84" s="2567"/>
      <c r="GUM84" s="2567"/>
      <c r="GUN84" s="2567"/>
      <c r="GUO84" s="2567"/>
      <c r="GUP84" s="2567"/>
      <c r="GUQ84" s="2567"/>
      <c r="GUR84" s="2567"/>
      <c r="GUS84" s="2567"/>
      <c r="GUT84" s="2567"/>
      <c r="GUU84" s="2567"/>
      <c r="GUV84" s="2567"/>
      <c r="GUW84" s="2567"/>
      <c r="GUX84" s="2567"/>
      <c r="GUY84" s="2567"/>
      <c r="GUZ84" s="2567"/>
      <c r="GVA84" s="2567"/>
      <c r="GVB84" s="2567"/>
      <c r="GVC84" s="2567"/>
      <c r="GVD84" s="2567"/>
      <c r="GVE84" s="2567"/>
      <c r="GVF84" s="2567"/>
      <c r="GVG84" s="2567"/>
      <c r="GVH84" s="2567"/>
      <c r="GVI84" s="2567"/>
      <c r="GVJ84" s="2567"/>
      <c r="GVK84" s="2567"/>
      <c r="GVL84" s="2567"/>
      <c r="GVM84" s="2567"/>
      <c r="GVN84" s="2567"/>
      <c r="GVO84" s="2567"/>
      <c r="GVP84" s="2567"/>
      <c r="GVQ84" s="2567"/>
      <c r="GVR84" s="2567"/>
      <c r="GVS84" s="2567"/>
      <c r="GVT84" s="2567"/>
      <c r="GVU84" s="2567"/>
      <c r="GVV84" s="2567"/>
      <c r="GVW84" s="2567"/>
      <c r="GVX84" s="2567"/>
      <c r="GVY84" s="2567"/>
      <c r="GVZ84" s="2567"/>
      <c r="GWA84" s="2567"/>
      <c r="GWB84" s="2567"/>
      <c r="GWC84" s="2567"/>
      <c r="GWD84" s="2567"/>
      <c r="GWE84" s="2567"/>
      <c r="GWF84" s="2567"/>
      <c r="GWG84" s="2567"/>
      <c r="GWH84" s="2567"/>
      <c r="GWI84" s="2567"/>
      <c r="GWJ84" s="2567"/>
      <c r="GWK84" s="2567"/>
      <c r="GWL84" s="2567"/>
      <c r="GWM84" s="2567"/>
      <c r="GWN84" s="2567"/>
      <c r="GWO84" s="2567"/>
      <c r="GWP84" s="2567"/>
      <c r="GWQ84" s="2567"/>
      <c r="GWR84" s="2567"/>
      <c r="GWS84" s="2567"/>
      <c r="GWT84" s="2567"/>
      <c r="GWU84" s="2567"/>
      <c r="GWV84" s="2567"/>
      <c r="GWW84" s="2567"/>
      <c r="GWX84" s="2567"/>
      <c r="GWY84" s="2567"/>
      <c r="GWZ84" s="2567"/>
      <c r="GXA84" s="2567"/>
      <c r="GXB84" s="2567"/>
      <c r="GXC84" s="2567"/>
      <c r="GXD84" s="2567"/>
      <c r="GXE84" s="2567"/>
      <c r="GXF84" s="2567"/>
      <c r="GXG84" s="2567"/>
      <c r="GXH84" s="2567"/>
      <c r="GXI84" s="2567"/>
      <c r="GXJ84" s="2567"/>
      <c r="GXK84" s="2567"/>
      <c r="GXL84" s="2567"/>
      <c r="GXM84" s="2567"/>
      <c r="GXN84" s="2567"/>
      <c r="GXO84" s="2567"/>
      <c r="GXP84" s="2567"/>
      <c r="GXQ84" s="2567"/>
      <c r="GXR84" s="2567"/>
      <c r="GXS84" s="2567"/>
      <c r="GXT84" s="2567"/>
      <c r="GXU84" s="2567"/>
      <c r="GXV84" s="2567"/>
      <c r="GXW84" s="2567"/>
      <c r="GXX84" s="2567"/>
      <c r="GXY84" s="2567"/>
      <c r="GXZ84" s="2567"/>
      <c r="GYA84" s="2567"/>
      <c r="GYB84" s="2567"/>
      <c r="GYC84" s="2567"/>
      <c r="GYD84" s="2567"/>
      <c r="GYE84" s="2567"/>
      <c r="GYF84" s="2567"/>
      <c r="GYG84" s="2567"/>
      <c r="GYH84" s="2567"/>
      <c r="GYI84" s="2567"/>
      <c r="GYJ84" s="2567"/>
      <c r="GYK84" s="2567"/>
      <c r="GYL84" s="2567"/>
      <c r="GYM84" s="2567"/>
      <c r="GYN84" s="2567"/>
      <c r="GYO84" s="2567"/>
      <c r="GYP84" s="2567"/>
      <c r="GYQ84" s="2567"/>
      <c r="GYR84" s="2567"/>
      <c r="GYS84" s="2567"/>
      <c r="GYT84" s="2567"/>
      <c r="GYU84" s="2567"/>
      <c r="GYV84" s="2567"/>
      <c r="GYW84" s="2567"/>
      <c r="GYX84" s="2567"/>
      <c r="GYY84" s="2567"/>
      <c r="GYZ84" s="2567"/>
      <c r="GZA84" s="2567"/>
      <c r="GZB84" s="2567"/>
      <c r="GZC84" s="2567"/>
      <c r="GZD84" s="2567"/>
      <c r="GZE84" s="2567"/>
      <c r="GZF84" s="2567"/>
      <c r="GZG84" s="2567"/>
      <c r="GZH84" s="2567"/>
      <c r="GZI84" s="2567"/>
      <c r="GZJ84" s="2567"/>
      <c r="GZK84" s="2567"/>
      <c r="GZL84" s="2567"/>
      <c r="GZM84" s="2567"/>
      <c r="GZN84" s="2567"/>
      <c r="GZO84" s="2567"/>
      <c r="GZP84" s="2567"/>
      <c r="GZQ84" s="2567"/>
      <c r="GZR84" s="2567"/>
      <c r="GZS84" s="2567"/>
      <c r="GZT84" s="2567"/>
      <c r="GZU84" s="2567"/>
      <c r="GZV84" s="2567"/>
      <c r="GZW84" s="2567"/>
      <c r="GZX84" s="2567"/>
      <c r="GZY84" s="2567"/>
      <c r="GZZ84" s="2567"/>
      <c r="HAA84" s="2567"/>
      <c r="HAB84" s="2567"/>
      <c r="HAC84" s="2567"/>
      <c r="HAD84" s="2567"/>
      <c r="HAE84" s="2567"/>
      <c r="HAF84" s="2567"/>
      <c r="HAG84" s="2567"/>
      <c r="HAH84" s="2567"/>
      <c r="HAI84" s="2567"/>
      <c r="HAJ84" s="2567"/>
      <c r="HAK84" s="2567"/>
      <c r="HAL84" s="2567"/>
      <c r="HAM84" s="2567"/>
      <c r="HAN84" s="2567"/>
      <c r="HAO84" s="2567"/>
      <c r="HAP84" s="2567"/>
      <c r="HAQ84" s="2567"/>
      <c r="HAR84" s="2567"/>
      <c r="HAS84" s="2567"/>
      <c r="HAT84" s="2567"/>
      <c r="HAU84" s="2567"/>
      <c r="HAV84" s="2567"/>
      <c r="HAW84" s="2567"/>
      <c r="HAX84" s="2567"/>
      <c r="HAY84" s="2567"/>
      <c r="HAZ84" s="2567"/>
      <c r="HBA84" s="2567"/>
      <c r="HBB84" s="2567"/>
      <c r="HBC84" s="2567"/>
      <c r="HBD84" s="2567"/>
      <c r="HBE84" s="2567"/>
      <c r="HBF84" s="2567"/>
      <c r="HBG84" s="2567"/>
      <c r="HBH84" s="2567"/>
      <c r="HBI84" s="2567"/>
      <c r="HBJ84" s="2567"/>
      <c r="HBK84" s="2567"/>
      <c r="HBL84" s="2567"/>
      <c r="HBM84" s="2567"/>
      <c r="HBN84" s="2567"/>
      <c r="HBO84" s="2567"/>
      <c r="HBP84" s="2567"/>
      <c r="HBQ84" s="2567"/>
      <c r="HBR84" s="2567"/>
      <c r="HBS84" s="2567"/>
      <c r="HBT84" s="2567"/>
      <c r="HBU84" s="2567"/>
      <c r="HBV84" s="2567"/>
      <c r="HBW84" s="2567"/>
      <c r="HBX84" s="2567"/>
      <c r="HBY84" s="2567"/>
      <c r="HBZ84" s="2567"/>
      <c r="HCA84" s="2567"/>
      <c r="HCB84" s="2567"/>
      <c r="HCC84" s="2567"/>
      <c r="HCD84" s="2567"/>
      <c r="HCE84" s="2567"/>
      <c r="HCF84" s="2567"/>
      <c r="HCG84" s="2567"/>
      <c r="HCH84" s="2567"/>
      <c r="HCI84" s="2567"/>
      <c r="HCJ84" s="2567"/>
      <c r="HCK84" s="2567"/>
      <c r="HCL84" s="2567"/>
      <c r="HCM84" s="2567"/>
      <c r="HCN84" s="2567"/>
      <c r="HCO84" s="2567"/>
      <c r="HCP84" s="2567"/>
      <c r="HCQ84" s="2567"/>
      <c r="HCR84" s="2567"/>
      <c r="HCS84" s="2567"/>
      <c r="HCT84" s="2567"/>
      <c r="HCU84" s="2567"/>
      <c r="HCV84" s="2567"/>
      <c r="HCW84" s="2567"/>
      <c r="HCX84" s="2567"/>
      <c r="HCY84" s="2567"/>
      <c r="HCZ84" s="2567"/>
      <c r="HDA84" s="2567"/>
      <c r="HDB84" s="2567"/>
      <c r="HDC84" s="2567"/>
      <c r="HDD84" s="2567"/>
      <c r="HDE84" s="2567"/>
      <c r="HDF84" s="2567"/>
      <c r="HDG84" s="2567"/>
      <c r="HDH84" s="2567"/>
      <c r="HDI84" s="2567"/>
      <c r="HDJ84" s="2567"/>
      <c r="HDK84" s="2567"/>
      <c r="HDL84" s="2567"/>
      <c r="HDM84" s="2567"/>
      <c r="HDN84" s="2567"/>
      <c r="HDO84" s="2567"/>
      <c r="HDP84" s="2567"/>
      <c r="HDQ84" s="2567"/>
      <c r="HDR84" s="2567"/>
      <c r="HDS84" s="2567"/>
      <c r="HDT84" s="2567"/>
      <c r="HDU84" s="2567"/>
      <c r="HDV84" s="2567"/>
      <c r="HDW84" s="2567"/>
      <c r="HDX84" s="2567"/>
      <c r="HDY84" s="2567"/>
      <c r="HDZ84" s="2567"/>
      <c r="HEA84" s="2567"/>
      <c r="HEB84" s="2567"/>
      <c r="HEC84" s="2567"/>
      <c r="HED84" s="2567"/>
      <c r="HEE84" s="2567"/>
      <c r="HEF84" s="2567"/>
      <c r="HEG84" s="2567"/>
      <c r="HEH84" s="2567"/>
      <c r="HEI84" s="2567"/>
      <c r="HEJ84" s="2567"/>
      <c r="HEK84" s="2567"/>
      <c r="HEL84" s="2567"/>
      <c r="HEM84" s="2567"/>
      <c r="HEN84" s="2567"/>
      <c r="HEO84" s="2567"/>
      <c r="HEP84" s="2567"/>
      <c r="HEQ84" s="2567"/>
      <c r="HER84" s="2567"/>
      <c r="HES84" s="2567"/>
      <c r="HET84" s="2567"/>
      <c r="HEU84" s="2567"/>
      <c r="HEV84" s="2567"/>
      <c r="HEW84" s="2567"/>
      <c r="HEX84" s="2567"/>
      <c r="HEY84" s="2567"/>
      <c r="HEZ84" s="2567"/>
      <c r="HFA84" s="2567"/>
      <c r="HFB84" s="2567"/>
      <c r="HFC84" s="2567"/>
      <c r="HFD84" s="2567"/>
      <c r="HFE84" s="2567"/>
      <c r="HFF84" s="2567"/>
      <c r="HFG84" s="2567"/>
      <c r="HFH84" s="2567"/>
      <c r="HFI84" s="2567"/>
      <c r="HFJ84" s="2567"/>
      <c r="HFK84" s="2567"/>
      <c r="HFL84" s="2567"/>
      <c r="HFM84" s="2567"/>
      <c r="HFN84" s="2567"/>
      <c r="HFO84" s="2567"/>
      <c r="HFP84" s="2567"/>
      <c r="HFQ84" s="2567"/>
      <c r="HFR84" s="2567"/>
      <c r="HFS84" s="2567"/>
      <c r="HFT84" s="2567"/>
      <c r="HFU84" s="2567"/>
      <c r="HFV84" s="2567"/>
      <c r="HFW84" s="2567"/>
      <c r="HFX84" s="2567"/>
      <c r="HFY84" s="2567"/>
      <c r="HFZ84" s="2567"/>
      <c r="HGA84" s="2567"/>
      <c r="HGB84" s="2567"/>
      <c r="HGC84" s="2567"/>
      <c r="HGD84" s="2567"/>
      <c r="HGE84" s="2567"/>
      <c r="HGF84" s="2567"/>
      <c r="HGG84" s="2567"/>
      <c r="HGH84" s="2567"/>
      <c r="HGI84" s="2567"/>
      <c r="HGJ84" s="2567"/>
      <c r="HGK84" s="2567"/>
      <c r="HGL84" s="2567"/>
      <c r="HGM84" s="2567"/>
      <c r="HGN84" s="2567"/>
      <c r="HGO84" s="2567"/>
      <c r="HGP84" s="2567"/>
      <c r="HGQ84" s="2567"/>
      <c r="HGR84" s="2567"/>
      <c r="HGS84" s="2567"/>
      <c r="HGT84" s="2567"/>
      <c r="HGU84" s="2567"/>
      <c r="HGV84" s="2567"/>
      <c r="HGW84" s="2567"/>
      <c r="HGX84" s="2567"/>
      <c r="HGY84" s="2567"/>
      <c r="HGZ84" s="2567"/>
      <c r="HHA84" s="2567"/>
      <c r="HHB84" s="2567"/>
      <c r="HHC84" s="2567"/>
      <c r="HHD84" s="2567"/>
      <c r="HHE84" s="2567"/>
      <c r="HHF84" s="2567"/>
      <c r="HHG84" s="2567"/>
      <c r="HHH84" s="2567"/>
      <c r="HHI84" s="2567"/>
      <c r="HHJ84" s="2567"/>
      <c r="HHK84" s="2567"/>
      <c r="HHL84" s="2567"/>
      <c r="HHM84" s="2567"/>
      <c r="HHN84" s="2567"/>
      <c r="HHO84" s="2567"/>
      <c r="HHP84" s="2567"/>
      <c r="HHQ84" s="2567"/>
      <c r="HHR84" s="2567"/>
      <c r="HHS84" s="2567"/>
      <c r="HHT84" s="2567"/>
      <c r="HHU84" s="2567"/>
      <c r="HHV84" s="2567"/>
      <c r="HHW84" s="2567"/>
      <c r="HHX84" s="2567"/>
      <c r="HHY84" s="2567"/>
      <c r="HHZ84" s="2567"/>
      <c r="HIA84" s="2567"/>
      <c r="HIB84" s="2567"/>
      <c r="HIC84" s="2567"/>
      <c r="HID84" s="2567"/>
      <c r="HIE84" s="2567"/>
      <c r="HIF84" s="2567"/>
      <c r="HIG84" s="2567"/>
      <c r="HIH84" s="2567"/>
      <c r="HII84" s="2567"/>
      <c r="HIJ84" s="2567"/>
      <c r="HIK84" s="2567"/>
      <c r="HIL84" s="2567"/>
      <c r="HIM84" s="2567"/>
      <c r="HIN84" s="2567"/>
      <c r="HIO84" s="2567"/>
      <c r="HIP84" s="2567"/>
      <c r="HIQ84" s="2567"/>
      <c r="HIR84" s="2567"/>
      <c r="HIS84" s="2567"/>
      <c r="HIT84" s="2567"/>
      <c r="HIU84" s="2567"/>
      <c r="HIV84" s="2567"/>
      <c r="HIW84" s="2567"/>
      <c r="HIX84" s="2567"/>
      <c r="HIY84" s="2567"/>
      <c r="HIZ84" s="2567"/>
      <c r="HJA84" s="2567"/>
      <c r="HJB84" s="2567"/>
      <c r="HJC84" s="2567"/>
      <c r="HJD84" s="2567"/>
      <c r="HJE84" s="2567"/>
      <c r="HJF84" s="2567"/>
      <c r="HJG84" s="2567"/>
      <c r="HJH84" s="2567"/>
      <c r="HJI84" s="2567"/>
      <c r="HJJ84" s="2567"/>
      <c r="HJK84" s="2567"/>
      <c r="HJL84" s="2567"/>
      <c r="HJM84" s="2567"/>
      <c r="HJN84" s="2567"/>
      <c r="HJO84" s="2567"/>
      <c r="HJP84" s="2567"/>
      <c r="HJQ84" s="2567"/>
      <c r="HJR84" s="2567"/>
      <c r="HJS84" s="2567"/>
      <c r="HJT84" s="2567"/>
      <c r="HJU84" s="2567"/>
      <c r="HJV84" s="2567"/>
      <c r="HJW84" s="2567"/>
      <c r="HJX84" s="2567"/>
      <c r="HJY84" s="2567"/>
      <c r="HJZ84" s="2567"/>
      <c r="HKA84" s="2567"/>
      <c r="HKB84" s="2567"/>
      <c r="HKC84" s="2567"/>
      <c r="HKD84" s="2567"/>
      <c r="HKE84" s="2567"/>
      <c r="HKF84" s="2567"/>
      <c r="HKG84" s="2567"/>
      <c r="HKH84" s="2567"/>
      <c r="HKI84" s="2567"/>
      <c r="HKJ84" s="2567"/>
      <c r="HKK84" s="2567"/>
      <c r="HKL84" s="2567"/>
      <c r="HKM84" s="2567"/>
      <c r="HKN84" s="2567"/>
      <c r="HKO84" s="2567"/>
      <c r="HKP84" s="2567"/>
      <c r="HKQ84" s="2567"/>
      <c r="HKR84" s="2567"/>
      <c r="HKS84" s="2567"/>
      <c r="HKT84" s="2567"/>
      <c r="HKU84" s="2567"/>
      <c r="HKV84" s="2567"/>
      <c r="HKW84" s="2567"/>
      <c r="HKX84" s="2567"/>
      <c r="HKY84" s="2567"/>
      <c r="HKZ84" s="2567"/>
      <c r="HLA84" s="2567"/>
      <c r="HLB84" s="2567"/>
      <c r="HLC84" s="2567"/>
      <c r="HLD84" s="2567"/>
      <c r="HLE84" s="2567"/>
      <c r="HLF84" s="2567"/>
      <c r="HLG84" s="2567"/>
      <c r="HLH84" s="2567"/>
      <c r="HLI84" s="2567"/>
      <c r="HLJ84" s="2567"/>
      <c r="HLK84" s="2567"/>
      <c r="HLL84" s="2567"/>
      <c r="HLM84" s="2567"/>
      <c r="HLN84" s="2567"/>
      <c r="HLO84" s="2567"/>
      <c r="HLP84" s="2567"/>
      <c r="HLQ84" s="2567"/>
      <c r="HLR84" s="2567"/>
      <c r="HLS84" s="2567"/>
      <c r="HLT84" s="2567"/>
      <c r="HLU84" s="2567"/>
      <c r="HLV84" s="2567"/>
      <c r="HLW84" s="2567"/>
      <c r="HLX84" s="2567"/>
      <c r="HLY84" s="2567"/>
      <c r="HLZ84" s="2567"/>
      <c r="HMA84" s="2567"/>
      <c r="HMB84" s="2567"/>
      <c r="HMC84" s="2567"/>
      <c r="HMD84" s="2567"/>
      <c r="HME84" s="2567"/>
      <c r="HMF84" s="2567"/>
      <c r="HMG84" s="2567"/>
      <c r="HMH84" s="2567"/>
      <c r="HMI84" s="2567"/>
      <c r="HMJ84" s="2567"/>
      <c r="HMK84" s="2567"/>
      <c r="HML84" s="2567"/>
      <c r="HMM84" s="2567"/>
      <c r="HMN84" s="2567"/>
      <c r="HMO84" s="2567"/>
      <c r="HMP84" s="2567"/>
      <c r="HMQ84" s="2567"/>
      <c r="HMR84" s="2567"/>
      <c r="HMS84" s="2567"/>
      <c r="HMT84" s="2567"/>
      <c r="HMU84" s="2567"/>
      <c r="HMV84" s="2567"/>
      <c r="HMW84" s="2567"/>
      <c r="HMX84" s="2567"/>
      <c r="HMY84" s="2567"/>
      <c r="HMZ84" s="2567"/>
      <c r="HNA84" s="2567"/>
      <c r="HNB84" s="2567"/>
      <c r="HNC84" s="2567"/>
      <c r="HND84" s="2567"/>
      <c r="HNE84" s="2567"/>
      <c r="HNF84" s="2567"/>
      <c r="HNG84" s="2567"/>
      <c r="HNH84" s="2567"/>
      <c r="HNI84" s="2567"/>
      <c r="HNJ84" s="2567"/>
      <c r="HNK84" s="2567"/>
      <c r="HNL84" s="2567"/>
      <c r="HNM84" s="2567"/>
      <c r="HNN84" s="2567"/>
      <c r="HNO84" s="2567"/>
      <c r="HNP84" s="2567"/>
      <c r="HNQ84" s="2567"/>
      <c r="HNR84" s="2567"/>
      <c r="HNS84" s="2567"/>
      <c r="HNT84" s="2567"/>
      <c r="HNU84" s="2567"/>
      <c r="HNV84" s="2567"/>
      <c r="HNW84" s="2567"/>
      <c r="HNX84" s="2567"/>
      <c r="HNY84" s="2567"/>
      <c r="HNZ84" s="2567"/>
      <c r="HOA84" s="2567"/>
      <c r="HOB84" s="2567"/>
      <c r="HOC84" s="2567"/>
      <c r="HOD84" s="2567"/>
      <c r="HOE84" s="2567"/>
      <c r="HOF84" s="2567"/>
      <c r="HOG84" s="2567"/>
      <c r="HOH84" s="2567"/>
      <c r="HOI84" s="2567"/>
      <c r="HOJ84" s="2567"/>
      <c r="HOK84" s="2567"/>
      <c r="HOL84" s="2567"/>
      <c r="HOM84" s="2567"/>
      <c r="HON84" s="2567"/>
      <c r="HOO84" s="2567"/>
      <c r="HOP84" s="2567"/>
      <c r="HOQ84" s="2567"/>
      <c r="HOR84" s="2567"/>
      <c r="HOS84" s="2567"/>
      <c r="HOT84" s="2567"/>
      <c r="HOU84" s="2567"/>
      <c r="HOV84" s="2567"/>
      <c r="HOW84" s="2567"/>
      <c r="HOX84" s="2567"/>
      <c r="HOY84" s="2567"/>
      <c r="HOZ84" s="2567"/>
      <c r="HPA84" s="2567"/>
      <c r="HPB84" s="2567"/>
      <c r="HPC84" s="2567"/>
      <c r="HPD84" s="2567"/>
      <c r="HPE84" s="2567"/>
      <c r="HPF84" s="2567"/>
      <c r="HPG84" s="2567"/>
      <c r="HPH84" s="2567"/>
      <c r="HPI84" s="2567"/>
      <c r="HPJ84" s="2567"/>
      <c r="HPK84" s="2567"/>
      <c r="HPL84" s="2567"/>
      <c r="HPM84" s="2567"/>
      <c r="HPN84" s="2567"/>
      <c r="HPO84" s="2567"/>
      <c r="HPP84" s="2567"/>
      <c r="HPQ84" s="2567"/>
      <c r="HPR84" s="2567"/>
      <c r="HPS84" s="2567"/>
      <c r="HPT84" s="2567"/>
      <c r="HPU84" s="2567"/>
      <c r="HPV84" s="2567"/>
      <c r="HPW84" s="2567"/>
      <c r="HPX84" s="2567"/>
      <c r="HPY84" s="2567"/>
      <c r="HPZ84" s="2567"/>
      <c r="HQA84" s="2567"/>
      <c r="HQB84" s="2567"/>
      <c r="HQC84" s="2567"/>
      <c r="HQD84" s="2567"/>
      <c r="HQE84" s="2567"/>
      <c r="HQF84" s="2567"/>
      <c r="HQG84" s="2567"/>
      <c r="HQH84" s="2567"/>
      <c r="HQI84" s="2567"/>
      <c r="HQJ84" s="2567"/>
      <c r="HQK84" s="2567"/>
      <c r="HQL84" s="2567"/>
      <c r="HQM84" s="2567"/>
      <c r="HQN84" s="2567"/>
      <c r="HQO84" s="2567"/>
      <c r="HQP84" s="2567"/>
      <c r="HQQ84" s="2567"/>
      <c r="HQR84" s="2567"/>
      <c r="HQS84" s="2567"/>
      <c r="HQT84" s="2567"/>
      <c r="HQU84" s="2567"/>
      <c r="HQV84" s="2567"/>
      <c r="HQW84" s="2567"/>
      <c r="HQX84" s="2567"/>
      <c r="HQY84" s="2567"/>
      <c r="HQZ84" s="2567"/>
      <c r="HRA84" s="2567"/>
      <c r="HRB84" s="2567"/>
      <c r="HRC84" s="2567"/>
      <c r="HRD84" s="2567"/>
      <c r="HRE84" s="2567"/>
      <c r="HRF84" s="2567"/>
      <c r="HRG84" s="2567"/>
      <c r="HRH84" s="2567"/>
      <c r="HRI84" s="2567"/>
      <c r="HRJ84" s="2567"/>
      <c r="HRK84" s="2567"/>
      <c r="HRL84" s="2567"/>
      <c r="HRM84" s="2567"/>
      <c r="HRN84" s="2567"/>
      <c r="HRO84" s="2567"/>
      <c r="HRP84" s="2567"/>
      <c r="HRQ84" s="2567"/>
      <c r="HRR84" s="2567"/>
      <c r="HRS84" s="2567"/>
      <c r="HRT84" s="2567"/>
      <c r="HRU84" s="2567"/>
      <c r="HRV84" s="2567"/>
      <c r="HRW84" s="2567"/>
      <c r="HRX84" s="2567"/>
      <c r="HRY84" s="2567"/>
      <c r="HRZ84" s="2567"/>
      <c r="HSA84" s="2567"/>
      <c r="HSB84" s="2567"/>
      <c r="HSC84" s="2567"/>
      <c r="HSD84" s="2567"/>
      <c r="HSE84" s="2567"/>
      <c r="HSF84" s="2567"/>
      <c r="HSG84" s="2567"/>
      <c r="HSH84" s="2567"/>
      <c r="HSI84" s="2567"/>
      <c r="HSJ84" s="2567"/>
      <c r="HSK84" s="2567"/>
      <c r="HSL84" s="2567"/>
      <c r="HSM84" s="2567"/>
      <c r="HSN84" s="2567"/>
      <c r="HSO84" s="2567"/>
      <c r="HSP84" s="2567"/>
      <c r="HSQ84" s="2567"/>
      <c r="HSR84" s="2567"/>
      <c r="HSS84" s="2567"/>
      <c r="HST84" s="2567"/>
      <c r="HSU84" s="2567"/>
      <c r="HSV84" s="2567"/>
      <c r="HSW84" s="2567"/>
      <c r="HSX84" s="2567"/>
      <c r="HSY84" s="2567"/>
      <c r="HSZ84" s="2567"/>
      <c r="HTA84" s="2567"/>
      <c r="HTB84" s="2567"/>
      <c r="HTC84" s="2567"/>
      <c r="HTD84" s="2567"/>
      <c r="HTE84" s="2567"/>
      <c r="HTF84" s="2567"/>
      <c r="HTG84" s="2567"/>
      <c r="HTH84" s="2567"/>
      <c r="HTI84" s="2567"/>
      <c r="HTJ84" s="2567"/>
      <c r="HTK84" s="2567"/>
      <c r="HTL84" s="2567"/>
      <c r="HTM84" s="2567"/>
      <c r="HTN84" s="2567"/>
      <c r="HTO84" s="2567"/>
      <c r="HTP84" s="2567"/>
      <c r="HTQ84" s="2567"/>
      <c r="HTR84" s="2567"/>
      <c r="HTS84" s="2567"/>
      <c r="HTT84" s="2567"/>
      <c r="HTU84" s="2567"/>
      <c r="HTV84" s="2567"/>
      <c r="HTW84" s="2567"/>
      <c r="HTX84" s="2567"/>
      <c r="HTY84" s="2567"/>
      <c r="HTZ84" s="2567"/>
      <c r="HUA84" s="2567"/>
      <c r="HUB84" s="2567"/>
      <c r="HUC84" s="2567"/>
      <c r="HUD84" s="2567"/>
      <c r="HUE84" s="2567"/>
      <c r="HUF84" s="2567"/>
      <c r="HUG84" s="2567"/>
      <c r="HUH84" s="2567"/>
      <c r="HUI84" s="2567"/>
      <c r="HUJ84" s="2567"/>
      <c r="HUK84" s="2567"/>
      <c r="HUL84" s="2567"/>
      <c r="HUM84" s="2567"/>
      <c r="HUN84" s="2567"/>
      <c r="HUO84" s="2567"/>
      <c r="HUP84" s="2567"/>
      <c r="HUQ84" s="2567"/>
      <c r="HUR84" s="2567"/>
      <c r="HUS84" s="2567"/>
      <c r="HUT84" s="2567"/>
      <c r="HUU84" s="2567"/>
      <c r="HUV84" s="2567"/>
      <c r="HUW84" s="2567"/>
      <c r="HUX84" s="2567"/>
      <c r="HUY84" s="2567"/>
      <c r="HUZ84" s="2567"/>
      <c r="HVA84" s="2567"/>
      <c r="HVB84" s="2567"/>
      <c r="HVC84" s="2567"/>
      <c r="HVD84" s="2567"/>
      <c r="HVE84" s="2567"/>
      <c r="HVF84" s="2567"/>
      <c r="HVG84" s="2567"/>
      <c r="HVH84" s="2567"/>
      <c r="HVI84" s="2567"/>
      <c r="HVJ84" s="2567"/>
      <c r="HVK84" s="2567"/>
      <c r="HVL84" s="2567"/>
      <c r="HVM84" s="2567"/>
      <c r="HVN84" s="2567"/>
      <c r="HVO84" s="2567"/>
      <c r="HVP84" s="2567"/>
      <c r="HVQ84" s="2567"/>
      <c r="HVR84" s="2567"/>
      <c r="HVS84" s="2567"/>
      <c r="HVT84" s="2567"/>
      <c r="HVU84" s="2567"/>
      <c r="HVV84" s="2567"/>
      <c r="HVW84" s="2567"/>
      <c r="HVX84" s="2567"/>
      <c r="HVY84" s="2567"/>
      <c r="HVZ84" s="2567"/>
      <c r="HWA84" s="2567"/>
      <c r="HWB84" s="2567"/>
      <c r="HWC84" s="2567"/>
      <c r="HWD84" s="2567"/>
      <c r="HWE84" s="2567"/>
      <c r="HWF84" s="2567"/>
      <c r="HWG84" s="2567"/>
      <c r="HWH84" s="2567"/>
      <c r="HWI84" s="2567"/>
      <c r="HWJ84" s="2567"/>
      <c r="HWK84" s="2567"/>
      <c r="HWL84" s="2567"/>
      <c r="HWM84" s="2567"/>
      <c r="HWN84" s="2567"/>
      <c r="HWO84" s="2567"/>
      <c r="HWP84" s="2567"/>
      <c r="HWQ84" s="2567"/>
      <c r="HWR84" s="2567"/>
      <c r="HWS84" s="2567"/>
      <c r="HWT84" s="2567"/>
      <c r="HWU84" s="2567"/>
      <c r="HWV84" s="2567"/>
      <c r="HWW84" s="2567"/>
      <c r="HWX84" s="2567"/>
      <c r="HWY84" s="2567"/>
      <c r="HWZ84" s="2567"/>
      <c r="HXA84" s="2567"/>
      <c r="HXB84" s="2567"/>
      <c r="HXC84" s="2567"/>
      <c r="HXD84" s="2567"/>
      <c r="HXE84" s="2567"/>
      <c r="HXF84" s="2567"/>
      <c r="HXG84" s="2567"/>
      <c r="HXH84" s="2567"/>
      <c r="HXI84" s="2567"/>
      <c r="HXJ84" s="2567"/>
      <c r="HXK84" s="2567"/>
      <c r="HXL84" s="2567"/>
      <c r="HXM84" s="2567"/>
      <c r="HXN84" s="2567"/>
      <c r="HXO84" s="2567"/>
      <c r="HXP84" s="2567"/>
      <c r="HXQ84" s="2567"/>
      <c r="HXR84" s="2567"/>
      <c r="HXS84" s="2567"/>
      <c r="HXT84" s="2567"/>
      <c r="HXU84" s="2567"/>
      <c r="HXV84" s="2567"/>
      <c r="HXW84" s="2567"/>
      <c r="HXX84" s="2567"/>
      <c r="HXY84" s="2567"/>
      <c r="HXZ84" s="2567"/>
      <c r="HYA84" s="2567"/>
      <c r="HYB84" s="2567"/>
      <c r="HYC84" s="2567"/>
      <c r="HYD84" s="2567"/>
      <c r="HYE84" s="2567"/>
      <c r="HYF84" s="2567"/>
      <c r="HYG84" s="2567"/>
      <c r="HYH84" s="2567"/>
      <c r="HYI84" s="2567"/>
      <c r="HYJ84" s="2567"/>
      <c r="HYK84" s="2567"/>
      <c r="HYL84" s="2567"/>
      <c r="HYM84" s="2567"/>
      <c r="HYN84" s="2567"/>
      <c r="HYO84" s="2567"/>
      <c r="HYP84" s="2567"/>
      <c r="HYQ84" s="2567"/>
      <c r="HYR84" s="2567"/>
      <c r="HYS84" s="2567"/>
      <c r="HYT84" s="2567"/>
      <c r="HYU84" s="2567"/>
      <c r="HYV84" s="2567"/>
      <c r="HYW84" s="2567"/>
      <c r="HYX84" s="2567"/>
      <c r="HYY84" s="2567"/>
      <c r="HYZ84" s="2567"/>
      <c r="HZA84" s="2567"/>
      <c r="HZB84" s="2567"/>
      <c r="HZC84" s="2567"/>
      <c r="HZD84" s="2567"/>
      <c r="HZE84" s="2567"/>
      <c r="HZF84" s="2567"/>
      <c r="HZG84" s="2567"/>
      <c r="HZH84" s="2567"/>
      <c r="HZI84" s="2567"/>
      <c r="HZJ84" s="2567"/>
      <c r="HZK84" s="2567"/>
      <c r="HZL84" s="2567"/>
      <c r="HZM84" s="2567"/>
      <c r="HZN84" s="2567"/>
      <c r="HZO84" s="2567"/>
      <c r="HZP84" s="2567"/>
      <c r="HZQ84" s="2567"/>
      <c r="HZR84" s="2567"/>
      <c r="HZS84" s="2567"/>
      <c r="HZT84" s="2567"/>
      <c r="HZU84" s="2567"/>
      <c r="HZV84" s="2567"/>
      <c r="HZW84" s="2567"/>
      <c r="HZX84" s="2567"/>
      <c r="HZY84" s="2567"/>
      <c r="HZZ84" s="2567"/>
      <c r="IAA84" s="2567"/>
      <c r="IAB84" s="2567"/>
      <c r="IAC84" s="2567"/>
      <c r="IAD84" s="2567"/>
      <c r="IAE84" s="2567"/>
      <c r="IAF84" s="2567"/>
      <c r="IAG84" s="2567"/>
      <c r="IAH84" s="2567"/>
      <c r="IAI84" s="2567"/>
      <c r="IAJ84" s="2567"/>
      <c r="IAK84" s="2567"/>
      <c r="IAL84" s="2567"/>
      <c r="IAM84" s="2567"/>
      <c r="IAN84" s="2567"/>
      <c r="IAO84" s="2567"/>
      <c r="IAP84" s="2567"/>
      <c r="IAQ84" s="2567"/>
      <c r="IAR84" s="2567"/>
      <c r="IAS84" s="2567"/>
      <c r="IAT84" s="2567"/>
      <c r="IAU84" s="2567"/>
      <c r="IAV84" s="2567"/>
      <c r="IAW84" s="2567"/>
      <c r="IAX84" s="2567"/>
      <c r="IAY84" s="2567"/>
      <c r="IAZ84" s="2567"/>
      <c r="IBA84" s="2567"/>
      <c r="IBB84" s="2567"/>
      <c r="IBC84" s="2567"/>
      <c r="IBD84" s="2567"/>
      <c r="IBE84" s="2567"/>
      <c r="IBF84" s="2567"/>
      <c r="IBG84" s="2567"/>
      <c r="IBH84" s="2567"/>
      <c r="IBI84" s="2567"/>
      <c r="IBJ84" s="2567"/>
      <c r="IBK84" s="2567"/>
      <c r="IBL84" s="2567"/>
      <c r="IBM84" s="2567"/>
      <c r="IBN84" s="2567"/>
      <c r="IBO84" s="2567"/>
      <c r="IBP84" s="2567"/>
      <c r="IBQ84" s="2567"/>
      <c r="IBR84" s="2567"/>
      <c r="IBS84" s="2567"/>
      <c r="IBT84" s="2567"/>
      <c r="IBU84" s="2567"/>
      <c r="IBV84" s="2567"/>
      <c r="IBW84" s="2567"/>
      <c r="IBX84" s="2567"/>
      <c r="IBY84" s="2567"/>
      <c r="IBZ84" s="2567"/>
      <c r="ICA84" s="2567"/>
      <c r="ICB84" s="2567"/>
      <c r="ICC84" s="2567"/>
      <c r="ICD84" s="2567"/>
      <c r="ICE84" s="2567"/>
      <c r="ICF84" s="2567"/>
      <c r="ICG84" s="2567"/>
      <c r="ICH84" s="2567"/>
      <c r="ICI84" s="2567"/>
      <c r="ICJ84" s="2567"/>
      <c r="ICK84" s="2567"/>
      <c r="ICL84" s="2567"/>
      <c r="ICM84" s="2567"/>
      <c r="ICN84" s="2567"/>
      <c r="ICO84" s="2567"/>
      <c r="ICP84" s="2567"/>
      <c r="ICQ84" s="2567"/>
      <c r="ICR84" s="2567"/>
      <c r="ICS84" s="2567"/>
      <c r="ICT84" s="2567"/>
      <c r="ICU84" s="2567"/>
      <c r="ICV84" s="2567"/>
      <c r="ICW84" s="2567"/>
      <c r="ICX84" s="2567"/>
      <c r="ICY84" s="2567"/>
      <c r="ICZ84" s="2567"/>
      <c r="IDA84" s="2567"/>
      <c r="IDB84" s="2567"/>
      <c r="IDC84" s="2567"/>
      <c r="IDD84" s="2567"/>
      <c r="IDE84" s="2567"/>
      <c r="IDF84" s="2567"/>
      <c r="IDG84" s="2567"/>
      <c r="IDH84" s="2567"/>
      <c r="IDI84" s="2567"/>
      <c r="IDJ84" s="2567"/>
      <c r="IDK84" s="2567"/>
      <c r="IDL84" s="2567"/>
      <c r="IDM84" s="2567"/>
      <c r="IDN84" s="2567"/>
      <c r="IDO84" s="2567"/>
      <c r="IDP84" s="2567"/>
      <c r="IDQ84" s="2567"/>
      <c r="IDR84" s="2567"/>
      <c r="IDS84" s="2567"/>
      <c r="IDT84" s="2567"/>
      <c r="IDU84" s="2567"/>
      <c r="IDV84" s="2567"/>
      <c r="IDW84" s="2567"/>
      <c r="IDX84" s="2567"/>
      <c r="IDY84" s="2567"/>
      <c r="IDZ84" s="2567"/>
      <c r="IEA84" s="2567"/>
      <c r="IEB84" s="2567"/>
      <c r="IEC84" s="2567"/>
      <c r="IED84" s="2567"/>
      <c r="IEE84" s="2567"/>
      <c r="IEF84" s="2567"/>
      <c r="IEG84" s="2567"/>
      <c r="IEH84" s="2567"/>
      <c r="IEI84" s="2567"/>
      <c r="IEJ84" s="2567"/>
      <c r="IEK84" s="2567"/>
      <c r="IEL84" s="2567"/>
      <c r="IEM84" s="2567"/>
      <c r="IEN84" s="2567"/>
      <c r="IEO84" s="2567"/>
      <c r="IEP84" s="2567"/>
      <c r="IEQ84" s="2567"/>
      <c r="IER84" s="2567"/>
      <c r="IES84" s="2567"/>
      <c r="IET84" s="2567"/>
      <c r="IEU84" s="2567"/>
      <c r="IEV84" s="2567"/>
      <c r="IEW84" s="2567"/>
      <c r="IEX84" s="2567"/>
      <c r="IEY84" s="2567"/>
      <c r="IEZ84" s="2567"/>
      <c r="IFA84" s="2567"/>
      <c r="IFB84" s="2567"/>
      <c r="IFC84" s="2567"/>
      <c r="IFD84" s="2567"/>
      <c r="IFE84" s="2567"/>
      <c r="IFF84" s="2567"/>
      <c r="IFG84" s="2567"/>
      <c r="IFH84" s="2567"/>
      <c r="IFI84" s="2567"/>
      <c r="IFJ84" s="2567"/>
      <c r="IFK84" s="2567"/>
      <c r="IFL84" s="2567"/>
      <c r="IFM84" s="2567"/>
      <c r="IFN84" s="2567"/>
      <c r="IFO84" s="2567"/>
      <c r="IFP84" s="2567"/>
      <c r="IFQ84" s="2567"/>
      <c r="IFR84" s="2567"/>
      <c r="IFS84" s="2567"/>
      <c r="IFT84" s="2567"/>
      <c r="IFU84" s="2567"/>
      <c r="IFV84" s="2567"/>
      <c r="IFW84" s="2567"/>
      <c r="IFX84" s="2567"/>
      <c r="IFY84" s="2567"/>
      <c r="IFZ84" s="2567"/>
      <c r="IGA84" s="2567"/>
      <c r="IGB84" s="2567"/>
      <c r="IGC84" s="2567"/>
      <c r="IGD84" s="2567"/>
      <c r="IGE84" s="2567"/>
      <c r="IGF84" s="2567"/>
      <c r="IGG84" s="2567"/>
      <c r="IGH84" s="2567"/>
      <c r="IGI84" s="2567"/>
      <c r="IGJ84" s="2567"/>
      <c r="IGK84" s="2567"/>
      <c r="IGL84" s="2567"/>
      <c r="IGM84" s="2567"/>
      <c r="IGN84" s="2567"/>
      <c r="IGO84" s="2567"/>
      <c r="IGP84" s="2567"/>
      <c r="IGQ84" s="2567"/>
      <c r="IGR84" s="2567"/>
      <c r="IGS84" s="2567"/>
      <c r="IGT84" s="2567"/>
      <c r="IGU84" s="2567"/>
      <c r="IGV84" s="2567"/>
      <c r="IGW84" s="2567"/>
      <c r="IGX84" s="2567"/>
      <c r="IGY84" s="2567"/>
      <c r="IGZ84" s="2567"/>
      <c r="IHA84" s="2567"/>
      <c r="IHB84" s="2567"/>
      <c r="IHC84" s="2567"/>
      <c r="IHD84" s="2567"/>
      <c r="IHE84" s="2567"/>
      <c r="IHF84" s="2567"/>
      <c r="IHG84" s="2567"/>
      <c r="IHH84" s="2567"/>
      <c r="IHI84" s="2567"/>
      <c r="IHJ84" s="2567"/>
      <c r="IHK84" s="2567"/>
      <c r="IHL84" s="2567"/>
      <c r="IHM84" s="2567"/>
      <c r="IHN84" s="2567"/>
      <c r="IHO84" s="2567"/>
      <c r="IHP84" s="2567"/>
      <c r="IHQ84" s="2567"/>
      <c r="IHR84" s="2567"/>
      <c r="IHS84" s="2567"/>
      <c r="IHT84" s="2567"/>
      <c r="IHU84" s="2567"/>
      <c r="IHV84" s="2567"/>
      <c r="IHW84" s="2567"/>
      <c r="IHX84" s="2567"/>
      <c r="IHY84" s="2567"/>
      <c r="IHZ84" s="2567"/>
      <c r="IIA84" s="2567"/>
      <c r="IIB84" s="2567"/>
      <c r="IIC84" s="2567"/>
      <c r="IID84" s="2567"/>
      <c r="IIE84" s="2567"/>
      <c r="IIF84" s="2567"/>
      <c r="IIG84" s="2567"/>
      <c r="IIH84" s="2567"/>
      <c r="III84" s="2567"/>
      <c r="IIJ84" s="2567"/>
      <c r="IIK84" s="2567"/>
      <c r="IIL84" s="2567"/>
      <c r="IIM84" s="2567"/>
      <c r="IIN84" s="2567"/>
      <c r="IIO84" s="2567"/>
      <c r="IIP84" s="2567"/>
      <c r="IIQ84" s="2567"/>
      <c r="IIR84" s="2567"/>
      <c r="IIS84" s="2567"/>
      <c r="IIT84" s="2567"/>
      <c r="IIU84" s="2567"/>
      <c r="IIV84" s="2567"/>
      <c r="IIW84" s="2567"/>
      <c r="IIX84" s="2567"/>
      <c r="IIY84" s="2567"/>
      <c r="IIZ84" s="2567"/>
      <c r="IJA84" s="2567"/>
      <c r="IJB84" s="2567"/>
      <c r="IJC84" s="2567"/>
      <c r="IJD84" s="2567"/>
      <c r="IJE84" s="2567"/>
      <c r="IJF84" s="2567"/>
      <c r="IJG84" s="2567"/>
      <c r="IJH84" s="2567"/>
      <c r="IJI84" s="2567"/>
      <c r="IJJ84" s="2567"/>
      <c r="IJK84" s="2567"/>
      <c r="IJL84" s="2567"/>
      <c r="IJM84" s="2567"/>
      <c r="IJN84" s="2567"/>
      <c r="IJO84" s="2567"/>
      <c r="IJP84" s="2567"/>
      <c r="IJQ84" s="2567"/>
      <c r="IJR84" s="2567"/>
      <c r="IJS84" s="2567"/>
      <c r="IJT84" s="2567"/>
      <c r="IJU84" s="2567"/>
      <c r="IJV84" s="2567"/>
      <c r="IJW84" s="2567"/>
      <c r="IJX84" s="2567"/>
      <c r="IJY84" s="2567"/>
      <c r="IJZ84" s="2567"/>
      <c r="IKA84" s="2567"/>
      <c r="IKB84" s="2567"/>
      <c r="IKC84" s="2567"/>
      <c r="IKD84" s="2567"/>
      <c r="IKE84" s="2567"/>
      <c r="IKF84" s="2567"/>
      <c r="IKG84" s="2567"/>
      <c r="IKH84" s="2567"/>
      <c r="IKI84" s="2567"/>
      <c r="IKJ84" s="2567"/>
      <c r="IKK84" s="2567"/>
      <c r="IKL84" s="2567"/>
      <c r="IKM84" s="2567"/>
      <c r="IKN84" s="2567"/>
      <c r="IKO84" s="2567"/>
      <c r="IKP84" s="2567"/>
      <c r="IKQ84" s="2567"/>
      <c r="IKR84" s="2567"/>
      <c r="IKS84" s="2567"/>
      <c r="IKT84" s="2567"/>
      <c r="IKU84" s="2567"/>
      <c r="IKV84" s="2567"/>
      <c r="IKW84" s="2567"/>
      <c r="IKX84" s="2567"/>
      <c r="IKY84" s="2567"/>
      <c r="IKZ84" s="2567"/>
      <c r="ILA84" s="2567"/>
      <c r="ILB84" s="2567"/>
      <c r="ILC84" s="2567"/>
      <c r="ILD84" s="2567"/>
      <c r="ILE84" s="2567"/>
      <c r="ILF84" s="2567"/>
      <c r="ILG84" s="2567"/>
      <c r="ILH84" s="2567"/>
      <c r="ILI84" s="2567"/>
      <c r="ILJ84" s="2567"/>
      <c r="ILK84" s="2567"/>
      <c r="ILL84" s="2567"/>
      <c r="ILM84" s="2567"/>
      <c r="ILN84" s="2567"/>
      <c r="ILO84" s="2567"/>
      <c r="ILP84" s="2567"/>
      <c r="ILQ84" s="2567"/>
      <c r="ILR84" s="2567"/>
      <c r="ILS84" s="2567"/>
      <c r="ILT84" s="2567"/>
      <c r="ILU84" s="2567"/>
      <c r="ILV84" s="2567"/>
      <c r="ILW84" s="2567"/>
      <c r="ILX84" s="2567"/>
      <c r="ILY84" s="2567"/>
      <c r="ILZ84" s="2567"/>
      <c r="IMA84" s="2567"/>
      <c r="IMB84" s="2567"/>
      <c r="IMC84" s="2567"/>
      <c r="IMD84" s="2567"/>
      <c r="IME84" s="2567"/>
      <c r="IMF84" s="2567"/>
      <c r="IMG84" s="2567"/>
      <c r="IMH84" s="2567"/>
      <c r="IMI84" s="2567"/>
      <c r="IMJ84" s="2567"/>
      <c r="IMK84" s="2567"/>
      <c r="IML84" s="2567"/>
      <c r="IMM84" s="2567"/>
      <c r="IMN84" s="2567"/>
      <c r="IMO84" s="2567"/>
      <c r="IMP84" s="2567"/>
      <c r="IMQ84" s="2567"/>
      <c r="IMR84" s="2567"/>
      <c r="IMS84" s="2567"/>
      <c r="IMT84" s="2567"/>
      <c r="IMU84" s="2567"/>
      <c r="IMV84" s="2567"/>
      <c r="IMW84" s="2567"/>
      <c r="IMX84" s="2567"/>
      <c r="IMY84" s="2567"/>
      <c r="IMZ84" s="2567"/>
      <c r="INA84" s="2567"/>
      <c r="INB84" s="2567"/>
      <c r="INC84" s="2567"/>
      <c r="IND84" s="2567"/>
      <c r="INE84" s="2567"/>
      <c r="INF84" s="2567"/>
      <c r="ING84" s="2567"/>
      <c r="INH84" s="2567"/>
      <c r="INI84" s="2567"/>
      <c r="INJ84" s="2567"/>
      <c r="INK84" s="2567"/>
      <c r="INL84" s="2567"/>
      <c r="INM84" s="2567"/>
      <c r="INN84" s="2567"/>
      <c r="INO84" s="2567"/>
      <c r="INP84" s="2567"/>
      <c r="INQ84" s="2567"/>
      <c r="INR84" s="2567"/>
      <c r="INS84" s="2567"/>
      <c r="INT84" s="2567"/>
      <c r="INU84" s="2567"/>
      <c r="INV84" s="2567"/>
      <c r="INW84" s="2567"/>
      <c r="INX84" s="2567"/>
      <c r="INY84" s="2567"/>
      <c r="INZ84" s="2567"/>
      <c r="IOA84" s="2567"/>
      <c r="IOB84" s="2567"/>
      <c r="IOC84" s="2567"/>
      <c r="IOD84" s="2567"/>
      <c r="IOE84" s="2567"/>
      <c r="IOF84" s="2567"/>
      <c r="IOG84" s="2567"/>
      <c r="IOH84" s="2567"/>
      <c r="IOI84" s="2567"/>
      <c r="IOJ84" s="2567"/>
      <c r="IOK84" s="2567"/>
      <c r="IOL84" s="2567"/>
      <c r="IOM84" s="2567"/>
      <c r="ION84" s="2567"/>
      <c r="IOO84" s="2567"/>
      <c r="IOP84" s="2567"/>
      <c r="IOQ84" s="2567"/>
      <c r="IOR84" s="2567"/>
      <c r="IOS84" s="2567"/>
      <c r="IOT84" s="2567"/>
      <c r="IOU84" s="2567"/>
      <c r="IOV84" s="2567"/>
      <c r="IOW84" s="2567"/>
      <c r="IOX84" s="2567"/>
      <c r="IOY84" s="2567"/>
      <c r="IOZ84" s="2567"/>
      <c r="IPA84" s="2567"/>
      <c r="IPB84" s="2567"/>
      <c r="IPC84" s="2567"/>
      <c r="IPD84" s="2567"/>
      <c r="IPE84" s="2567"/>
      <c r="IPF84" s="2567"/>
      <c r="IPG84" s="2567"/>
      <c r="IPH84" s="2567"/>
      <c r="IPI84" s="2567"/>
      <c r="IPJ84" s="2567"/>
      <c r="IPK84" s="2567"/>
      <c r="IPL84" s="2567"/>
      <c r="IPM84" s="2567"/>
      <c r="IPN84" s="2567"/>
      <c r="IPO84" s="2567"/>
      <c r="IPP84" s="2567"/>
      <c r="IPQ84" s="2567"/>
      <c r="IPR84" s="2567"/>
      <c r="IPS84" s="2567"/>
      <c r="IPT84" s="2567"/>
      <c r="IPU84" s="2567"/>
      <c r="IPV84" s="2567"/>
      <c r="IPW84" s="2567"/>
      <c r="IPX84" s="2567"/>
      <c r="IPY84" s="2567"/>
      <c r="IPZ84" s="2567"/>
      <c r="IQA84" s="2567"/>
      <c r="IQB84" s="2567"/>
      <c r="IQC84" s="2567"/>
      <c r="IQD84" s="2567"/>
      <c r="IQE84" s="2567"/>
      <c r="IQF84" s="2567"/>
      <c r="IQG84" s="2567"/>
      <c r="IQH84" s="2567"/>
      <c r="IQI84" s="2567"/>
      <c r="IQJ84" s="2567"/>
      <c r="IQK84" s="2567"/>
      <c r="IQL84" s="2567"/>
      <c r="IQM84" s="2567"/>
      <c r="IQN84" s="2567"/>
      <c r="IQO84" s="2567"/>
      <c r="IQP84" s="2567"/>
      <c r="IQQ84" s="2567"/>
      <c r="IQR84" s="2567"/>
      <c r="IQS84" s="2567"/>
      <c r="IQT84" s="2567"/>
      <c r="IQU84" s="2567"/>
      <c r="IQV84" s="2567"/>
      <c r="IQW84" s="2567"/>
      <c r="IQX84" s="2567"/>
      <c r="IQY84" s="2567"/>
      <c r="IQZ84" s="2567"/>
      <c r="IRA84" s="2567"/>
      <c r="IRB84" s="2567"/>
      <c r="IRC84" s="2567"/>
      <c r="IRD84" s="2567"/>
      <c r="IRE84" s="2567"/>
      <c r="IRF84" s="2567"/>
      <c r="IRG84" s="2567"/>
      <c r="IRH84" s="2567"/>
      <c r="IRI84" s="2567"/>
      <c r="IRJ84" s="2567"/>
      <c r="IRK84" s="2567"/>
      <c r="IRL84" s="2567"/>
      <c r="IRM84" s="2567"/>
      <c r="IRN84" s="2567"/>
      <c r="IRO84" s="2567"/>
      <c r="IRP84" s="2567"/>
      <c r="IRQ84" s="2567"/>
      <c r="IRR84" s="2567"/>
      <c r="IRS84" s="2567"/>
      <c r="IRT84" s="2567"/>
      <c r="IRU84" s="2567"/>
      <c r="IRV84" s="2567"/>
      <c r="IRW84" s="2567"/>
      <c r="IRX84" s="2567"/>
      <c r="IRY84" s="2567"/>
      <c r="IRZ84" s="2567"/>
      <c r="ISA84" s="2567"/>
      <c r="ISB84" s="2567"/>
      <c r="ISC84" s="2567"/>
      <c r="ISD84" s="2567"/>
      <c r="ISE84" s="2567"/>
      <c r="ISF84" s="2567"/>
      <c r="ISG84" s="2567"/>
      <c r="ISH84" s="2567"/>
      <c r="ISI84" s="2567"/>
      <c r="ISJ84" s="2567"/>
      <c r="ISK84" s="2567"/>
      <c r="ISL84" s="2567"/>
      <c r="ISM84" s="2567"/>
      <c r="ISN84" s="2567"/>
      <c r="ISO84" s="2567"/>
      <c r="ISP84" s="2567"/>
      <c r="ISQ84" s="2567"/>
      <c r="ISR84" s="2567"/>
      <c r="ISS84" s="2567"/>
      <c r="IST84" s="2567"/>
      <c r="ISU84" s="2567"/>
      <c r="ISV84" s="2567"/>
      <c r="ISW84" s="2567"/>
      <c r="ISX84" s="2567"/>
      <c r="ISY84" s="2567"/>
      <c r="ISZ84" s="2567"/>
      <c r="ITA84" s="2567"/>
      <c r="ITB84" s="2567"/>
      <c r="ITC84" s="2567"/>
      <c r="ITD84" s="2567"/>
      <c r="ITE84" s="2567"/>
      <c r="ITF84" s="2567"/>
      <c r="ITG84" s="2567"/>
      <c r="ITH84" s="2567"/>
      <c r="ITI84" s="2567"/>
      <c r="ITJ84" s="2567"/>
      <c r="ITK84" s="2567"/>
      <c r="ITL84" s="2567"/>
      <c r="ITM84" s="2567"/>
      <c r="ITN84" s="2567"/>
      <c r="ITO84" s="2567"/>
      <c r="ITP84" s="2567"/>
      <c r="ITQ84" s="2567"/>
      <c r="ITR84" s="2567"/>
      <c r="ITS84" s="2567"/>
      <c r="ITT84" s="2567"/>
      <c r="ITU84" s="2567"/>
      <c r="ITV84" s="2567"/>
      <c r="ITW84" s="2567"/>
      <c r="ITX84" s="2567"/>
      <c r="ITY84" s="2567"/>
      <c r="ITZ84" s="2567"/>
      <c r="IUA84" s="2567"/>
      <c r="IUB84" s="2567"/>
      <c r="IUC84" s="2567"/>
      <c r="IUD84" s="2567"/>
      <c r="IUE84" s="2567"/>
      <c r="IUF84" s="2567"/>
      <c r="IUG84" s="2567"/>
      <c r="IUH84" s="2567"/>
      <c r="IUI84" s="2567"/>
      <c r="IUJ84" s="2567"/>
      <c r="IUK84" s="2567"/>
      <c r="IUL84" s="2567"/>
      <c r="IUM84" s="2567"/>
      <c r="IUN84" s="2567"/>
      <c r="IUO84" s="2567"/>
      <c r="IUP84" s="2567"/>
      <c r="IUQ84" s="2567"/>
      <c r="IUR84" s="2567"/>
      <c r="IUS84" s="2567"/>
      <c r="IUT84" s="2567"/>
      <c r="IUU84" s="2567"/>
      <c r="IUV84" s="2567"/>
      <c r="IUW84" s="2567"/>
      <c r="IUX84" s="2567"/>
      <c r="IUY84" s="2567"/>
      <c r="IUZ84" s="2567"/>
      <c r="IVA84" s="2567"/>
      <c r="IVB84" s="2567"/>
      <c r="IVC84" s="2567"/>
      <c r="IVD84" s="2567"/>
      <c r="IVE84" s="2567"/>
      <c r="IVF84" s="2567"/>
      <c r="IVG84" s="2567"/>
      <c r="IVH84" s="2567"/>
      <c r="IVI84" s="2567"/>
      <c r="IVJ84" s="2567"/>
      <c r="IVK84" s="2567"/>
      <c r="IVL84" s="2567"/>
      <c r="IVM84" s="2567"/>
      <c r="IVN84" s="2567"/>
      <c r="IVO84" s="2567"/>
      <c r="IVP84" s="2567"/>
      <c r="IVQ84" s="2567"/>
      <c r="IVR84" s="2567"/>
      <c r="IVS84" s="2567"/>
      <c r="IVT84" s="2567"/>
      <c r="IVU84" s="2567"/>
      <c r="IVV84" s="2567"/>
      <c r="IVW84" s="2567"/>
      <c r="IVX84" s="2567"/>
      <c r="IVY84" s="2567"/>
      <c r="IVZ84" s="2567"/>
      <c r="IWA84" s="2567"/>
      <c r="IWB84" s="2567"/>
      <c r="IWC84" s="2567"/>
      <c r="IWD84" s="2567"/>
      <c r="IWE84" s="2567"/>
      <c r="IWF84" s="2567"/>
      <c r="IWG84" s="2567"/>
      <c r="IWH84" s="2567"/>
      <c r="IWI84" s="2567"/>
      <c r="IWJ84" s="2567"/>
      <c r="IWK84" s="2567"/>
      <c r="IWL84" s="2567"/>
      <c r="IWM84" s="2567"/>
      <c r="IWN84" s="2567"/>
      <c r="IWO84" s="2567"/>
      <c r="IWP84" s="2567"/>
      <c r="IWQ84" s="2567"/>
      <c r="IWR84" s="2567"/>
      <c r="IWS84" s="2567"/>
      <c r="IWT84" s="2567"/>
      <c r="IWU84" s="2567"/>
      <c r="IWV84" s="2567"/>
      <c r="IWW84" s="2567"/>
      <c r="IWX84" s="2567"/>
      <c r="IWY84" s="2567"/>
      <c r="IWZ84" s="2567"/>
      <c r="IXA84" s="2567"/>
      <c r="IXB84" s="2567"/>
      <c r="IXC84" s="2567"/>
      <c r="IXD84" s="2567"/>
      <c r="IXE84" s="2567"/>
      <c r="IXF84" s="2567"/>
      <c r="IXG84" s="2567"/>
      <c r="IXH84" s="2567"/>
      <c r="IXI84" s="2567"/>
      <c r="IXJ84" s="2567"/>
      <c r="IXK84" s="2567"/>
      <c r="IXL84" s="2567"/>
      <c r="IXM84" s="2567"/>
      <c r="IXN84" s="2567"/>
      <c r="IXO84" s="2567"/>
      <c r="IXP84" s="2567"/>
      <c r="IXQ84" s="2567"/>
      <c r="IXR84" s="2567"/>
      <c r="IXS84" s="2567"/>
      <c r="IXT84" s="2567"/>
      <c r="IXU84" s="2567"/>
      <c r="IXV84" s="2567"/>
      <c r="IXW84" s="2567"/>
      <c r="IXX84" s="2567"/>
      <c r="IXY84" s="2567"/>
      <c r="IXZ84" s="2567"/>
      <c r="IYA84" s="2567"/>
      <c r="IYB84" s="2567"/>
      <c r="IYC84" s="2567"/>
      <c r="IYD84" s="2567"/>
      <c r="IYE84" s="2567"/>
      <c r="IYF84" s="2567"/>
      <c r="IYG84" s="2567"/>
      <c r="IYH84" s="2567"/>
      <c r="IYI84" s="2567"/>
      <c r="IYJ84" s="2567"/>
      <c r="IYK84" s="2567"/>
      <c r="IYL84" s="2567"/>
      <c r="IYM84" s="2567"/>
      <c r="IYN84" s="2567"/>
      <c r="IYO84" s="2567"/>
      <c r="IYP84" s="2567"/>
      <c r="IYQ84" s="2567"/>
      <c r="IYR84" s="2567"/>
      <c r="IYS84" s="2567"/>
      <c r="IYT84" s="2567"/>
      <c r="IYU84" s="2567"/>
      <c r="IYV84" s="2567"/>
      <c r="IYW84" s="2567"/>
      <c r="IYX84" s="2567"/>
      <c r="IYY84" s="2567"/>
      <c r="IYZ84" s="2567"/>
      <c r="IZA84" s="2567"/>
      <c r="IZB84" s="2567"/>
      <c r="IZC84" s="2567"/>
      <c r="IZD84" s="2567"/>
      <c r="IZE84" s="2567"/>
      <c r="IZF84" s="2567"/>
      <c r="IZG84" s="2567"/>
      <c r="IZH84" s="2567"/>
      <c r="IZI84" s="2567"/>
      <c r="IZJ84" s="2567"/>
      <c r="IZK84" s="2567"/>
      <c r="IZL84" s="2567"/>
      <c r="IZM84" s="2567"/>
      <c r="IZN84" s="2567"/>
      <c r="IZO84" s="2567"/>
      <c r="IZP84" s="2567"/>
      <c r="IZQ84" s="2567"/>
      <c r="IZR84" s="2567"/>
      <c r="IZS84" s="2567"/>
      <c r="IZT84" s="2567"/>
      <c r="IZU84" s="2567"/>
      <c r="IZV84" s="2567"/>
      <c r="IZW84" s="2567"/>
      <c r="IZX84" s="2567"/>
      <c r="IZY84" s="2567"/>
      <c r="IZZ84" s="2567"/>
      <c r="JAA84" s="2567"/>
      <c r="JAB84" s="2567"/>
      <c r="JAC84" s="2567"/>
      <c r="JAD84" s="2567"/>
      <c r="JAE84" s="2567"/>
      <c r="JAF84" s="2567"/>
      <c r="JAG84" s="2567"/>
      <c r="JAH84" s="2567"/>
      <c r="JAI84" s="2567"/>
      <c r="JAJ84" s="2567"/>
      <c r="JAK84" s="2567"/>
      <c r="JAL84" s="2567"/>
      <c r="JAM84" s="2567"/>
      <c r="JAN84" s="2567"/>
      <c r="JAO84" s="2567"/>
      <c r="JAP84" s="2567"/>
      <c r="JAQ84" s="2567"/>
      <c r="JAR84" s="2567"/>
      <c r="JAS84" s="2567"/>
      <c r="JAT84" s="2567"/>
      <c r="JAU84" s="2567"/>
      <c r="JAV84" s="2567"/>
      <c r="JAW84" s="2567"/>
      <c r="JAX84" s="2567"/>
      <c r="JAY84" s="2567"/>
      <c r="JAZ84" s="2567"/>
      <c r="JBA84" s="2567"/>
      <c r="JBB84" s="2567"/>
      <c r="JBC84" s="2567"/>
      <c r="JBD84" s="2567"/>
      <c r="JBE84" s="2567"/>
      <c r="JBF84" s="2567"/>
      <c r="JBG84" s="2567"/>
      <c r="JBH84" s="2567"/>
      <c r="JBI84" s="2567"/>
      <c r="JBJ84" s="2567"/>
      <c r="JBK84" s="2567"/>
      <c r="JBL84" s="2567"/>
      <c r="JBM84" s="2567"/>
      <c r="JBN84" s="2567"/>
      <c r="JBO84" s="2567"/>
      <c r="JBP84" s="2567"/>
      <c r="JBQ84" s="2567"/>
      <c r="JBR84" s="2567"/>
      <c r="JBS84" s="2567"/>
      <c r="JBT84" s="2567"/>
      <c r="JBU84" s="2567"/>
      <c r="JBV84" s="2567"/>
      <c r="JBW84" s="2567"/>
      <c r="JBX84" s="2567"/>
      <c r="JBY84" s="2567"/>
      <c r="JBZ84" s="2567"/>
      <c r="JCA84" s="2567"/>
      <c r="JCB84" s="2567"/>
      <c r="JCC84" s="2567"/>
      <c r="JCD84" s="2567"/>
      <c r="JCE84" s="2567"/>
      <c r="JCF84" s="2567"/>
      <c r="JCG84" s="2567"/>
      <c r="JCH84" s="2567"/>
      <c r="JCI84" s="2567"/>
      <c r="JCJ84" s="2567"/>
      <c r="JCK84" s="2567"/>
      <c r="JCL84" s="2567"/>
      <c r="JCM84" s="2567"/>
      <c r="JCN84" s="2567"/>
      <c r="JCO84" s="2567"/>
      <c r="JCP84" s="2567"/>
      <c r="JCQ84" s="2567"/>
      <c r="JCR84" s="2567"/>
      <c r="JCS84" s="2567"/>
      <c r="JCT84" s="2567"/>
      <c r="JCU84" s="2567"/>
      <c r="JCV84" s="2567"/>
      <c r="JCW84" s="2567"/>
      <c r="JCX84" s="2567"/>
      <c r="JCY84" s="2567"/>
      <c r="JCZ84" s="2567"/>
      <c r="JDA84" s="2567"/>
      <c r="JDB84" s="2567"/>
      <c r="JDC84" s="2567"/>
      <c r="JDD84" s="2567"/>
      <c r="JDE84" s="2567"/>
      <c r="JDF84" s="2567"/>
      <c r="JDG84" s="2567"/>
      <c r="JDH84" s="2567"/>
      <c r="JDI84" s="2567"/>
      <c r="JDJ84" s="2567"/>
      <c r="JDK84" s="2567"/>
      <c r="JDL84" s="2567"/>
      <c r="JDM84" s="2567"/>
      <c r="JDN84" s="2567"/>
      <c r="JDO84" s="2567"/>
      <c r="JDP84" s="2567"/>
      <c r="JDQ84" s="2567"/>
      <c r="JDR84" s="2567"/>
      <c r="JDS84" s="2567"/>
      <c r="JDT84" s="2567"/>
      <c r="JDU84" s="2567"/>
      <c r="JDV84" s="2567"/>
      <c r="JDW84" s="2567"/>
      <c r="JDX84" s="2567"/>
      <c r="JDY84" s="2567"/>
      <c r="JDZ84" s="2567"/>
      <c r="JEA84" s="2567"/>
      <c r="JEB84" s="2567"/>
      <c r="JEC84" s="2567"/>
      <c r="JED84" s="2567"/>
      <c r="JEE84" s="2567"/>
      <c r="JEF84" s="2567"/>
      <c r="JEG84" s="2567"/>
      <c r="JEH84" s="2567"/>
      <c r="JEI84" s="2567"/>
      <c r="JEJ84" s="2567"/>
      <c r="JEK84" s="2567"/>
      <c r="JEL84" s="2567"/>
      <c r="JEM84" s="2567"/>
      <c r="JEN84" s="2567"/>
      <c r="JEO84" s="2567"/>
      <c r="JEP84" s="2567"/>
      <c r="JEQ84" s="2567"/>
      <c r="JER84" s="2567"/>
      <c r="JES84" s="2567"/>
      <c r="JET84" s="2567"/>
      <c r="JEU84" s="2567"/>
      <c r="JEV84" s="2567"/>
      <c r="JEW84" s="2567"/>
      <c r="JEX84" s="2567"/>
      <c r="JEY84" s="2567"/>
      <c r="JEZ84" s="2567"/>
      <c r="JFA84" s="2567"/>
      <c r="JFB84" s="2567"/>
      <c r="JFC84" s="2567"/>
      <c r="JFD84" s="2567"/>
      <c r="JFE84" s="2567"/>
      <c r="JFF84" s="2567"/>
      <c r="JFG84" s="2567"/>
      <c r="JFH84" s="2567"/>
      <c r="JFI84" s="2567"/>
      <c r="JFJ84" s="2567"/>
      <c r="JFK84" s="2567"/>
      <c r="JFL84" s="2567"/>
      <c r="JFM84" s="2567"/>
      <c r="JFN84" s="2567"/>
      <c r="JFO84" s="2567"/>
      <c r="JFP84" s="2567"/>
      <c r="JFQ84" s="2567"/>
      <c r="JFR84" s="2567"/>
      <c r="JFS84" s="2567"/>
      <c r="JFT84" s="2567"/>
      <c r="JFU84" s="2567"/>
      <c r="JFV84" s="2567"/>
      <c r="JFW84" s="2567"/>
      <c r="JFX84" s="2567"/>
      <c r="JFY84" s="2567"/>
      <c r="JFZ84" s="2567"/>
      <c r="JGA84" s="2567"/>
      <c r="JGB84" s="2567"/>
      <c r="JGC84" s="2567"/>
      <c r="JGD84" s="2567"/>
      <c r="JGE84" s="2567"/>
      <c r="JGF84" s="2567"/>
      <c r="JGG84" s="2567"/>
      <c r="JGH84" s="2567"/>
      <c r="JGI84" s="2567"/>
      <c r="JGJ84" s="2567"/>
      <c r="JGK84" s="2567"/>
      <c r="JGL84" s="2567"/>
      <c r="JGM84" s="2567"/>
      <c r="JGN84" s="2567"/>
      <c r="JGO84" s="2567"/>
      <c r="JGP84" s="2567"/>
      <c r="JGQ84" s="2567"/>
      <c r="JGR84" s="2567"/>
      <c r="JGS84" s="2567"/>
      <c r="JGT84" s="2567"/>
      <c r="JGU84" s="2567"/>
      <c r="JGV84" s="2567"/>
      <c r="JGW84" s="2567"/>
      <c r="JGX84" s="2567"/>
      <c r="JGY84" s="2567"/>
      <c r="JGZ84" s="2567"/>
      <c r="JHA84" s="2567"/>
      <c r="JHB84" s="2567"/>
      <c r="JHC84" s="2567"/>
      <c r="JHD84" s="2567"/>
      <c r="JHE84" s="2567"/>
      <c r="JHF84" s="2567"/>
      <c r="JHG84" s="2567"/>
      <c r="JHH84" s="2567"/>
      <c r="JHI84" s="2567"/>
      <c r="JHJ84" s="2567"/>
      <c r="JHK84" s="2567"/>
      <c r="JHL84" s="2567"/>
      <c r="JHM84" s="2567"/>
      <c r="JHN84" s="2567"/>
      <c r="JHO84" s="2567"/>
      <c r="JHP84" s="2567"/>
      <c r="JHQ84" s="2567"/>
      <c r="JHR84" s="2567"/>
      <c r="JHS84" s="2567"/>
      <c r="JHT84" s="2567"/>
      <c r="JHU84" s="2567"/>
      <c r="JHV84" s="2567"/>
      <c r="JHW84" s="2567"/>
      <c r="JHX84" s="2567"/>
      <c r="JHY84" s="2567"/>
      <c r="JHZ84" s="2567"/>
      <c r="JIA84" s="2567"/>
      <c r="JIB84" s="2567"/>
      <c r="JIC84" s="2567"/>
      <c r="JID84" s="2567"/>
      <c r="JIE84" s="2567"/>
      <c r="JIF84" s="2567"/>
      <c r="JIG84" s="2567"/>
      <c r="JIH84" s="2567"/>
      <c r="JII84" s="2567"/>
      <c r="JIJ84" s="2567"/>
      <c r="JIK84" s="2567"/>
      <c r="JIL84" s="2567"/>
      <c r="JIM84" s="2567"/>
      <c r="JIN84" s="2567"/>
      <c r="JIO84" s="2567"/>
      <c r="JIP84" s="2567"/>
      <c r="JIQ84" s="2567"/>
      <c r="JIR84" s="2567"/>
      <c r="JIS84" s="2567"/>
      <c r="JIT84" s="2567"/>
      <c r="JIU84" s="2567"/>
      <c r="JIV84" s="2567"/>
      <c r="JIW84" s="2567"/>
      <c r="JIX84" s="2567"/>
      <c r="JIY84" s="2567"/>
      <c r="JIZ84" s="2567"/>
      <c r="JJA84" s="2567"/>
      <c r="JJB84" s="2567"/>
      <c r="JJC84" s="2567"/>
      <c r="JJD84" s="2567"/>
      <c r="JJE84" s="2567"/>
      <c r="JJF84" s="2567"/>
      <c r="JJG84" s="2567"/>
      <c r="JJH84" s="2567"/>
      <c r="JJI84" s="2567"/>
      <c r="JJJ84" s="2567"/>
      <c r="JJK84" s="2567"/>
      <c r="JJL84" s="2567"/>
      <c r="JJM84" s="2567"/>
      <c r="JJN84" s="2567"/>
      <c r="JJO84" s="2567"/>
      <c r="JJP84" s="2567"/>
      <c r="JJQ84" s="2567"/>
      <c r="JJR84" s="2567"/>
      <c r="JJS84" s="2567"/>
      <c r="JJT84" s="2567"/>
      <c r="JJU84" s="2567"/>
      <c r="JJV84" s="2567"/>
      <c r="JJW84" s="2567"/>
      <c r="JJX84" s="2567"/>
      <c r="JJY84" s="2567"/>
      <c r="JJZ84" s="2567"/>
      <c r="JKA84" s="2567"/>
      <c r="JKB84" s="2567"/>
      <c r="JKC84" s="2567"/>
      <c r="JKD84" s="2567"/>
      <c r="JKE84" s="2567"/>
      <c r="JKF84" s="2567"/>
      <c r="JKG84" s="2567"/>
      <c r="JKH84" s="2567"/>
      <c r="JKI84" s="2567"/>
      <c r="JKJ84" s="2567"/>
      <c r="JKK84" s="2567"/>
      <c r="JKL84" s="2567"/>
      <c r="JKM84" s="2567"/>
      <c r="JKN84" s="2567"/>
      <c r="JKO84" s="2567"/>
      <c r="JKP84" s="2567"/>
      <c r="JKQ84" s="2567"/>
      <c r="JKR84" s="2567"/>
      <c r="JKS84" s="2567"/>
      <c r="JKT84" s="2567"/>
      <c r="JKU84" s="2567"/>
      <c r="JKV84" s="2567"/>
      <c r="JKW84" s="2567"/>
      <c r="JKX84" s="2567"/>
      <c r="JKY84" s="2567"/>
      <c r="JKZ84" s="2567"/>
      <c r="JLA84" s="2567"/>
      <c r="JLB84" s="2567"/>
      <c r="JLC84" s="2567"/>
      <c r="JLD84" s="2567"/>
      <c r="JLE84" s="2567"/>
      <c r="JLF84" s="2567"/>
      <c r="JLG84" s="2567"/>
      <c r="JLH84" s="2567"/>
      <c r="JLI84" s="2567"/>
      <c r="JLJ84" s="2567"/>
      <c r="JLK84" s="2567"/>
      <c r="JLL84" s="2567"/>
      <c r="JLM84" s="2567"/>
      <c r="JLN84" s="2567"/>
      <c r="JLO84" s="2567"/>
      <c r="JLP84" s="2567"/>
      <c r="JLQ84" s="2567"/>
      <c r="JLR84" s="2567"/>
      <c r="JLS84" s="2567"/>
      <c r="JLT84" s="2567"/>
      <c r="JLU84" s="2567"/>
      <c r="JLV84" s="2567"/>
      <c r="JLW84" s="2567"/>
      <c r="JLX84" s="2567"/>
      <c r="JLY84" s="2567"/>
      <c r="JLZ84" s="2567"/>
      <c r="JMA84" s="2567"/>
      <c r="JMB84" s="2567"/>
      <c r="JMC84" s="2567"/>
      <c r="JMD84" s="2567"/>
      <c r="JME84" s="2567"/>
      <c r="JMF84" s="2567"/>
      <c r="JMG84" s="2567"/>
      <c r="JMH84" s="2567"/>
      <c r="JMI84" s="2567"/>
      <c r="JMJ84" s="2567"/>
      <c r="JMK84" s="2567"/>
      <c r="JML84" s="2567"/>
      <c r="JMM84" s="2567"/>
      <c r="JMN84" s="2567"/>
      <c r="JMO84" s="2567"/>
      <c r="JMP84" s="2567"/>
      <c r="JMQ84" s="2567"/>
      <c r="JMR84" s="2567"/>
      <c r="JMS84" s="2567"/>
      <c r="JMT84" s="2567"/>
      <c r="JMU84" s="2567"/>
      <c r="JMV84" s="2567"/>
      <c r="JMW84" s="2567"/>
      <c r="JMX84" s="2567"/>
      <c r="JMY84" s="2567"/>
      <c r="JMZ84" s="2567"/>
      <c r="JNA84" s="2567"/>
      <c r="JNB84" s="2567"/>
      <c r="JNC84" s="2567"/>
      <c r="JND84" s="2567"/>
      <c r="JNE84" s="2567"/>
      <c r="JNF84" s="2567"/>
      <c r="JNG84" s="2567"/>
      <c r="JNH84" s="2567"/>
      <c r="JNI84" s="2567"/>
      <c r="JNJ84" s="2567"/>
      <c r="JNK84" s="2567"/>
      <c r="JNL84" s="2567"/>
      <c r="JNM84" s="2567"/>
      <c r="JNN84" s="2567"/>
      <c r="JNO84" s="2567"/>
      <c r="JNP84" s="2567"/>
      <c r="JNQ84" s="2567"/>
      <c r="JNR84" s="2567"/>
      <c r="JNS84" s="2567"/>
      <c r="JNT84" s="2567"/>
      <c r="JNU84" s="2567"/>
      <c r="JNV84" s="2567"/>
      <c r="JNW84" s="2567"/>
      <c r="JNX84" s="2567"/>
      <c r="JNY84" s="2567"/>
      <c r="JNZ84" s="2567"/>
      <c r="JOA84" s="2567"/>
      <c r="JOB84" s="2567"/>
      <c r="JOC84" s="2567"/>
      <c r="JOD84" s="2567"/>
      <c r="JOE84" s="2567"/>
      <c r="JOF84" s="2567"/>
      <c r="JOG84" s="2567"/>
      <c r="JOH84" s="2567"/>
      <c r="JOI84" s="2567"/>
      <c r="JOJ84" s="2567"/>
      <c r="JOK84" s="2567"/>
      <c r="JOL84" s="2567"/>
      <c r="JOM84" s="2567"/>
      <c r="JON84" s="2567"/>
      <c r="JOO84" s="2567"/>
      <c r="JOP84" s="2567"/>
      <c r="JOQ84" s="2567"/>
      <c r="JOR84" s="2567"/>
      <c r="JOS84" s="2567"/>
      <c r="JOT84" s="2567"/>
      <c r="JOU84" s="2567"/>
      <c r="JOV84" s="2567"/>
      <c r="JOW84" s="2567"/>
      <c r="JOX84" s="2567"/>
      <c r="JOY84" s="2567"/>
      <c r="JOZ84" s="2567"/>
      <c r="JPA84" s="2567"/>
      <c r="JPB84" s="2567"/>
      <c r="JPC84" s="2567"/>
      <c r="JPD84" s="2567"/>
      <c r="JPE84" s="2567"/>
      <c r="JPF84" s="2567"/>
      <c r="JPG84" s="2567"/>
      <c r="JPH84" s="2567"/>
      <c r="JPI84" s="2567"/>
      <c r="JPJ84" s="2567"/>
      <c r="JPK84" s="2567"/>
      <c r="JPL84" s="2567"/>
      <c r="JPM84" s="2567"/>
      <c r="JPN84" s="2567"/>
      <c r="JPO84" s="2567"/>
      <c r="JPP84" s="2567"/>
      <c r="JPQ84" s="2567"/>
      <c r="JPR84" s="2567"/>
      <c r="JPS84" s="2567"/>
      <c r="JPT84" s="2567"/>
      <c r="JPU84" s="2567"/>
      <c r="JPV84" s="2567"/>
      <c r="JPW84" s="2567"/>
      <c r="JPX84" s="2567"/>
      <c r="JPY84" s="2567"/>
      <c r="JPZ84" s="2567"/>
      <c r="JQA84" s="2567"/>
      <c r="JQB84" s="2567"/>
      <c r="JQC84" s="2567"/>
      <c r="JQD84" s="2567"/>
      <c r="JQE84" s="2567"/>
      <c r="JQF84" s="2567"/>
      <c r="JQG84" s="2567"/>
      <c r="JQH84" s="2567"/>
      <c r="JQI84" s="2567"/>
      <c r="JQJ84" s="2567"/>
      <c r="JQK84" s="2567"/>
      <c r="JQL84" s="2567"/>
      <c r="JQM84" s="2567"/>
      <c r="JQN84" s="2567"/>
      <c r="JQO84" s="2567"/>
      <c r="JQP84" s="2567"/>
      <c r="JQQ84" s="2567"/>
      <c r="JQR84" s="2567"/>
      <c r="JQS84" s="2567"/>
      <c r="JQT84" s="2567"/>
      <c r="JQU84" s="2567"/>
      <c r="JQV84" s="2567"/>
      <c r="JQW84" s="2567"/>
      <c r="JQX84" s="2567"/>
      <c r="JQY84" s="2567"/>
      <c r="JQZ84" s="2567"/>
      <c r="JRA84" s="2567"/>
      <c r="JRB84" s="2567"/>
      <c r="JRC84" s="2567"/>
      <c r="JRD84" s="2567"/>
      <c r="JRE84" s="2567"/>
      <c r="JRF84" s="2567"/>
      <c r="JRG84" s="2567"/>
      <c r="JRH84" s="2567"/>
      <c r="JRI84" s="2567"/>
      <c r="JRJ84" s="2567"/>
      <c r="JRK84" s="2567"/>
      <c r="JRL84" s="2567"/>
      <c r="JRM84" s="2567"/>
      <c r="JRN84" s="2567"/>
      <c r="JRO84" s="2567"/>
      <c r="JRP84" s="2567"/>
      <c r="JRQ84" s="2567"/>
      <c r="JRR84" s="2567"/>
      <c r="JRS84" s="2567"/>
      <c r="JRT84" s="2567"/>
      <c r="JRU84" s="2567"/>
      <c r="JRV84" s="2567"/>
      <c r="JRW84" s="2567"/>
      <c r="JRX84" s="2567"/>
      <c r="JRY84" s="2567"/>
      <c r="JRZ84" s="2567"/>
      <c r="JSA84" s="2567"/>
      <c r="JSB84" s="2567"/>
      <c r="JSC84" s="2567"/>
      <c r="JSD84" s="2567"/>
      <c r="JSE84" s="2567"/>
      <c r="JSF84" s="2567"/>
      <c r="JSG84" s="2567"/>
      <c r="JSH84" s="2567"/>
      <c r="JSI84" s="2567"/>
      <c r="JSJ84" s="2567"/>
      <c r="JSK84" s="2567"/>
      <c r="JSL84" s="2567"/>
      <c r="JSM84" s="2567"/>
      <c r="JSN84" s="2567"/>
      <c r="JSO84" s="2567"/>
      <c r="JSP84" s="2567"/>
      <c r="JSQ84" s="2567"/>
      <c r="JSR84" s="2567"/>
      <c r="JSS84" s="2567"/>
      <c r="JST84" s="2567"/>
      <c r="JSU84" s="2567"/>
      <c r="JSV84" s="2567"/>
      <c r="JSW84" s="2567"/>
      <c r="JSX84" s="2567"/>
      <c r="JSY84" s="2567"/>
      <c r="JSZ84" s="2567"/>
      <c r="JTA84" s="2567"/>
      <c r="JTB84" s="2567"/>
      <c r="JTC84" s="2567"/>
      <c r="JTD84" s="2567"/>
      <c r="JTE84" s="2567"/>
      <c r="JTF84" s="2567"/>
      <c r="JTG84" s="2567"/>
      <c r="JTH84" s="2567"/>
      <c r="JTI84" s="2567"/>
      <c r="JTJ84" s="2567"/>
      <c r="JTK84" s="2567"/>
      <c r="JTL84" s="2567"/>
      <c r="JTM84" s="2567"/>
      <c r="JTN84" s="2567"/>
      <c r="JTO84" s="2567"/>
      <c r="JTP84" s="2567"/>
      <c r="JTQ84" s="2567"/>
      <c r="JTR84" s="2567"/>
      <c r="JTS84" s="2567"/>
      <c r="JTT84" s="2567"/>
      <c r="JTU84" s="2567"/>
      <c r="JTV84" s="2567"/>
      <c r="JTW84" s="2567"/>
      <c r="JTX84" s="2567"/>
      <c r="JTY84" s="2567"/>
      <c r="JTZ84" s="2567"/>
      <c r="JUA84" s="2567"/>
      <c r="JUB84" s="2567"/>
      <c r="JUC84" s="2567"/>
      <c r="JUD84" s="2567"/>
      <c r="JUE84" s="2567"/>
      <c r="JUF84" s="2567"/>
      <c r="JUG84" s="2567"/>
      <c r="JUH84" s="2567"/>
      <c r="JUI84" s="2567"/>
      <c r="JUJ84" s="2567"/>
      <c r="JUK84" s="2567"/>
      <c r="JUL84" s="2567"/>
      <c r="JUM84" s="2567"/>
      <c r="JUN84" s="2567"/>
      <c r="JUO84" s="2567"/>
      <c r="JUP84" s="2567"/>
      <c r="JUQ84" s="2567"/>
      <c r="JUR84" s="2567"/>
      <c r="JUS84" s="2567"/>
      <c r="JUT84" s="2567"/>
      <c r="JUU84" s="2567"/>
      <c r="JUV84" s="2567"/>
      <c r="JUW84" s="2567"/>
      <c r="JUX84" s="2567"/>
      <c r="JUY84" s="2567"/>
      <c r="JUZ84" s="2567"/>
      <c r="JVA84" s="2567"/>
      <c r="JVB84" s="2567"/>
      <c r="JVC84" s="2567"/>
      <c r="JVD84" s="2567"/>
      <c r="JVE84" s="2567"/>
      <c r="JVF84" s="2567"/>
      <c r="JVG84" s="2567"/>
      <c r="JVH84" s="2567"/>
      <c r="JVI84" s="2567"/>
      <c r="JVJ84" s="2567"/>
      <c r="JVK84" s="2567"/>
      <c r="JVL84" s="2567"/>
      <c r="JVM84" s="2567"/>
      <c r="JVN84" s="2567"/>
      <c r="JVO84" s="2567"/>
      <c r="JVP84" s="2567"/>
      <c r="JVQ84" s="2567"/>
      <c r="JVR84" s="2567"/>
      <c r="JVS84" s="2567"/>
      <c r="JVT84" s="2567"/>
      <c r="JVU84" s="2567"/>
      <c r="JVV84" s="2567"/>
      <c r="JVW84" s="2567"/>
      <c r="JVX84" s="2567"/>
      <c r="JVY84" s="2567"/>
      <c r="JVZ84" s="2567"/>
      <c r="JWA84" s="2567"/>
      <c r="JWB84" s="2567"/>
      <c r="JWC84" s="2567"/>
      <c r="JWD84" s="2567"/>
      <c r="JWE84" s="2567"/>
      <c r="JWF84" s="2567"/>
      <c r="JWG84" s="2567"/>
      <c r="JWH84" s="2567"/>
      <c r="JWI84" s="2567"/>
      <c r="JWJ84" s="2567"/>
      <c r="JWK84" s="2567"/>
      <c r="JWL84" s="2567"/>
      <c r="JWM84" s="2567"/>
      <c r="JWN84" s="2567"/>
      <c r="JWO84" s="2567"/>
      <c r="JWP84" s="2567"/>
      <c r="JWQ84" s="2567"/>
      <c r="JWR84" s="2567"/>
      <c r="JWS84" s="2567"/>
      <c r="JWT84" s="2567"/>
      <c r="JWU84" s="2567"/>
      <c r="JWV84" s="2567"/>
      <c r="JWW84" s="2567"/>
      <c r="JWX84" s="2567"/>
      <c r="JWY84" s="2567"/>
      <c r="JWZ84" s="2567"/>
      <c r="JXA84" s="2567"/>
      <c r="JXB84" s="2567"/>
      <c r="JXC84" s="2567"/>
      <c r="JXD84" s="2567"/>
      <c r="JXE84" s="2567"/>
      <c r="JXF84" s="2567"/>
      <c r="JXG84" s="2567"/>
      <c r="JXH84" s="2567"/>
      <c r="JXI84" s="2567"/>
      <c r="JXJ84" s="2567"/>
      <c r="JXK84" s="2567"/>
      <c r="JXL84" s="2567"/>
      <c r="JXM84" s="2567"/>
      <c r="JXN84" s="2567"/>
      <c r="JXO84" s="2567"/>
      <c r="JXP84" s="2567"/>
      <c r="JXQ84" s="2567"/>
      <c r="JXR84" s="2567"/>
      <c r="JXS84" s="2567"/>
      <c r="JXT84" s="2567"/>
      <c r="JXU84" s="2567"/>
      <c r="JXV84" s="2567"/>
      <c r="JXW84" s="2567"/>
      <c r="JXX84" s="2567"/>
      <c r="JXY84" s="2567"/>
      <c r="JXZ84" s="2567"/>
      <c r="JYA84" s="2567"/>
      <c r="JYB84" s="2567"/>
      <c r="JYC84" s="2567"/>
      <c r="JYD84" s="2567"/>
      <c r="JYE84" s="2567"/>
      <c r="JYF84" s="2567"/>
      <c r="JYG84" s="2567"/>
      <c r="JYH84" s="2567"/>
      <c r="JYI84" s="2567"/>
      <c r="JYJ84" s="2567"/>
      <c r="JYK84" s="2567"/>
      <c r="JYL84" s="2567"/>
      <c r="JYM84" s="2567"/>
      <c r="JYN84" s="2567"/>
      <c r="JYO84" s="2567"/>
      <c r="JYP84" s="2567"/>
      <c r="JYQ84" s="2567"/>
      <c r="JYR84" s="2567"/>
      <c r="JYS84" s="2567"/>
      <c r="JYT84" s="2567"/>
      <c r="JYU84" s="2567"/>
      <c r="JYV84" s="2567"/>
      <c r="JYW84" s="2567"/>
      <c r="JYX84" s="2567"/>
      <c r="JYY84" s="2567"/>
      <c r="JYZ84" s="2567"/>
      <c r="JZA84" s="2567"/>
      <c r="JZB84" s="2567"/>
      <c r="JZC84" s="2567"/>
      <c r="JZD84" s="2567"/>
      <c r="JZE84" s="2567"/>
      <c r="JZF84" s="2567"/>
      <c r="JZG84" s="2567"/>
      <c r="JZH84" s="2567"/>
      <c r="JZI84" s="2567"/>
      <c r="JZJ84" s="2567"/>
      <c r="JZK84" s="2567"/>
      <c r="JZL84" s="2567"/>
      <c r="JZM84" s="2567"/>
      <c r="JZN84" s="2567"/>
      <c r="JZO84" s="2567"/>
      <c r="JZP84" s="2567"/>
      <c r="JZQ84" s="2567"/>
      <c r="JZR84" s="2567"/>
      <c r="JZS84" s="2567"/>
      <c r="JZT84" s="2567"/>
      <c r="JZU84" s="2567"/>
      <c r="JZV84" s="2567"/>
      <c r="JZW84" s="2567"/>
      <c r="JZX84" s="2567"/>
      <c r="JZY84" s="2567"/>
      <c r="JZZ84" s="2567"/>
      <c r="KAA84" s="2567"/>
      <c r="KAB84" s="2567"/>
      <c r="KAC84" s="2567"/>
      <c r="KAD84" s="2567"/>
      <c r="KAE84" s="2567"/>
      <c r="KAF84" s="2567"/>
      <c r="KAG84" s="2567"/>
      <c r="KAH84" s="2567"/>
      <c r="KAI84" s="2567"/>
      <c r="KAJ84" s="2567"/>
      <c r="KAK84" s="2567"/>
      <c r="KAL84" s="2567"/>
      <c r="KAM84" s="2567"/>
      <c r="KAN84" s="2567"/>
      <c r="KAO84" s="2567"/>
      <c r="KAP84" s="2567"/>
      <c r="KAQ84" s="2567"/>
      <c r="KAR84" s="2567"/>
      <c r="KAS84" s="2567"/>
      <c r="KAT84" s="2567"/>
      <c r="KAU84" s="2567"/>
      <c r="KAV84" s="2567"/>
      <c r="KAW84" s="2567"/>
      <c r="KAX84" s="2567"/>
      <c r="KAY84" s="2567"/>
      <c r="KAZ84" s="2567"/>
      <c r="KBA84" s="2567"/>
      <c r="KBB84" s="2567"/>
      <c r="KBC84" s="2567"/>
      <c r="KBD84" s="2567"/>
      <c r="KBE84" s="2567"/>
      <c r="KBF84" s="2567"/>
      <c r="KBG84" s="2567"/>
      <c r="KBH84" s="2567"/>
      <c r="KBI84" s="2567"/>
      <c r="KBJ84" s="2567"/>
      <c r="KBK84" s="2567"/>
      <c r="KBL84" s="2567"/>
      <c r="KBM84" s="2567"/>
      <c r="KBN84" s="2567"/>
      <c r="KBO84" s="2567"/>
      <c r="KBP84" s="2567"/>
      <c r="KBQ84" s="2567"/>
      <c r="KBR84" s="2567"/>
      <c r="KBS84" s="2567"/>
      <c r="KBT84" s="2567"/>
      <c r="KBU84" s="2567"/>
      <c r="KBV84" s="2567"/>
      <c r="KBW84" s="2567"/>
      <c r="KBX84" s="2567"/>
      <c r="KBY84" s="2567"/>
      <c r="KBZ84" s="2567"/>
      <c r="KCA84" s="2567"/>
      <c r="KCB84" s="2567"/>
      <c r="KCC84" s="2567"/>
      <c r="KCD84" s="2567"/>
      <c r="KCE84" s="2567"/>
      <c r="KCF84" s="2567"/>
      <c r="KCG84" s="2567"/>
      <c r="KCH84" s="2567"/>
      <c r="KCI84" s="2567"/>
      <c r="KCJ84" s="2567"/>
      <c r="KCK84" s="2567"/>
      <c r="KCL84" s="2567"/>
      <c r="KCM84" s="2567"/>
      <c r="KCN84" s="2567"/>
      <c r="KCO84" s="2567"/>
      <c r="KCP84" s="2567"/>
      <c r="KCQ84" s="2567"/>
      <c r="KCR84" s="2567"/>
      <c r="KCS84" s="2567"/>
      <c r="KCT84" s="2567"/>
      <c r="KCU84" s="2567"/>
      <c r="KCV84" s="2567"/>
      <c r="KCW84" s="2567"/>
      <c r="KCX84" s="2567"/>
      <c r="KCY84" s="2567"/>
      <c r="KCZ84" s="2567"/>
      <c r="KDA84" s="2567"/>
      <c r="KDB84" s="2567"/>
      <c r="KDC84" s="2567"/>
      <c r="KDD84" s="2567"/>
      <c r="KDE84" s="2567"/>
      <c r="KDF84" s="2567"/>
      <c r="KDG84" s="2567"/>
      <c r="KDH84" s="2567"/>
      <c r="KDI84" s="2567"/>
      <c r="KDJ84" s="2567"/>
      <c r="KDK84" s="2567"/>
      <c r="KDL84" s="2567"/>
      <c r="KDM84" s="2567"/>
      <c r="KDN84" s="2567"/>
      <c r="KDO84" s="2567"/>
      <c r="KDP84" s="2567"/>
      <c r="KDQ84" s="2567"/>
      <c r="KDR84" s="2567"/>
      <c r="KDS84" s="2567"/>
      <c r="KDT84" s="2567"/>
      <c r="KDU84" s="2567"/>
      <c r="KDV84" s="2567"/>
      <c r="KDW84" s="2567"/>
      <c r="KDX84" s="2567"/>
      <c r="KDY84" s="2567"/>
      <c r="KDZ84" s="2567"/>
      <c r="KEA84" s="2567"/>
      <c r="KEB84" s="2567"/>
      <c r="KEC84" s="2567"/>
      <c r="KED84" s="2567"/>
      <c r="KEE84" s="2567"/>
      <c r="KEF84" s="2567"/>
      <c r="KEG84" s="2567"/>
      <c r="KEH84" s="2567"/>
      <c r="KEI84" s="2567"/>
      <c r="KEJ84" s="2567"/>
      <c r="KEK84" s="2567"/>
      <c r="KEL84" s="2567"/>
      <c r="KEM84" s="2567"/>
      <c r="KEN84" s="2567"/>
      <c r="KEO84" s="2567"/>
      <c r="KEP84" s="2567"/>
      <c r="KEQ84" s="2567"/>
      <c r="KER84" s="2567"/>
      <c r="KES84" s="2567"/>
      <c r="KET84" s="2567"/>
      <c r="KEU84" s="2567"/>
      <c r="KEV84" s="2567"/>
      <c r="KEW84" s="2567"/>
      <c r="KEX84" s="2567"/>
      <c r="KEY84" s="2567"/>
      <c r="KEZ84" s="2567"/>
      <c r="KFA84" s="2567"/>
      <c r="KFB84" s="2567"/>
      <c r="KFC84" s="2567"/>
      <c r="KFD84" s="2567"/>
      <c r="KFE84" s="2567"/>
      <c r="KFF84" s="2567"/>
      <c r="KFG84" s="2567"/>
      <c r="KFH84" s="2567"/>
      <c r="KFI84" s="2567"/>
      <c r="KFJ84" s="2567"/>
      <c r="KFK84" s="2567"/>
      <c r="KFL84" s="2567"/>
      <c r="KFM84" s="2567"/>
      <c r="KFN84" s="2567"/>
      <c r="KFO84" s="2567"/>
      <c r="KFP84" s="2567"/>
      <c r="KFQ84" s="2567"/>
      <c r="KFR84" s="2567"/>
      <c r="KFS84" s="2567"/>
      <c r="KFT84" s="2567"/>
      <c r="KFU84" s="2567"/>
      <c r="KFV84" s="2567"/>
      <c r="KFW84" s="2567"/>
      <c r="KFX84" s="2567"/>
      <c r="KFY84" s="2567"/>
      <c r="KFZ84" s="2567"/>
      <c r="KGA84" s="2567"/>
      <c r="KGB84" s="2567"/>
      <c r="KGC84" s="2567"/>
      <c r="KGD84" s="2567"/>
      <c r="KGE84" s="2567"/>
      <c r="KGF84" s="2567"/>
      <c r="KGG84" s="2567"/>
      <c r="KGH84" s="2567"/>
      <c r="KGI84" s="2567"/>
      <c r="KGJ84" s="2567"/>
      <c r="KGK84" s="2567"/>
      <c r="KGL84" s="2567"/>
      <c r="KGM84" s="2567"/>
      <c r="KGN84" s="2567"/>
      <c r="KGO84" s="2567"/>
      <c r="KGP84" s="2567"/>
      <c r="KGQ84" s="2567"/>
      <c r="KGR84" s="2567"/>
      <c r="KGS84" s="2567"/>
      <c r="KGT84" s="2567"/>
      <c r="KGU84" s="2567"/>
      <c r="KGV84" s="2567"/>
      <c r="KGW84" s="2567"/>
      <c r="KGX84" s="2567"/>
      <c r="KGY84" s="2567"/>
      <c r="KGZ84" s="2567"/>
      <c r="KHA84" s="2567"/>
      <c r="KHB84" s="2567"/>
      <c r="KHC84" s="2567"/>
      <c r="KHD84" s="2567"/>
      <c r="KHE84" s="2567"/>
      <c r="KHF84" s="2567"/>
      <c r="KHG84" s="2567"/>
      <c r="KHH84" s="2567"/>
      <c r="KHI84" s="2567"/>
      <c r="KHJ84" s="2567"/>
      <c r="KHK84" s="2567"/>
      <c r="KHL84" s="2567"/>
      <c r="KHM84" s="2567"/>
      <c r="KHN84" s="2567"/>
      <c r="KHO84" s="2567"/>
      <c r="KHP84" s="2567"/>
      <c r="KHQ84" s="2567"/>
      <c r="KHR84" s="2567"/>
      <c r="KHS84" s="2567"/>
      <c r="KHT84" s="2567"/>
      <c r="KHU84" s="2567"/>
      <c r="KHV84" s="2567"/>
      <c r="KHW84" s="2567"/>
      <c r="KHX84" s="2567"/>
      <c r="KHY84" s="2567"/>
      <c r="KHZ84" s="2567"/>
      <c r="KIA84" s="2567"/>
      <c r="KIB84" s="2567"/>
      <c r="KIC84" s="2567"/>
      <c r="KID84" s="2567"/>
      <c r="KIE84" s="2567"/>
      <c r="KIF84" s="2567"/>
      <c r="KIG84" s="2567"/>
      <c r="KIH84" s="2567"/>
      <c r="KII84" s="2567"/>
      <c r="KIJ84" s="2567"/>
      <c r="KIK84" s="2567"/>
      <c r="KIL84" s="2567"/>
      <c r="KIM84" s="2567"/>
      <c r="KIN84" s="2567"/>
      <c r="KIO84" s="2567"/>
      <c r="KIP84" s="2567"/>
      <c r="KIQ84" s="2567"/>
      <c r="KIR84" s="2567"/>
      <c r="KIS84" s="2567"/>
      <c r="KIT84" s="2567"/>
      <c r="KIU84" s="2567"/>
      <c r="KIV84" s="2567"/>
      <c r="KIW84" s="2567"/>
      <c r="KIX84" s="2567"/>
      <c r="KIY84" s="2567"/>
      <c r="KIZ84" s="2567"/>
      <c r="KJA84" s="2567"/>
      <c r="KJB84" s="2567"/>
      <c r="KJC84" s="2567"/>
      <c r="KJD84" s="2567"/>
      <c r="KJE84" s="2567"/>
      <c r="KJF84" s="2567"/>
      <c r="KJG84" s="2567"/>
      <c r="KJH84" s="2567"/>
      <c r="KJI84" s="2567"/>
      <c r="KJJ84" s="2567"/>
      <c r="KJK84" s="2567"/>
      <c r="KJL84" s="2567"/>
      <c r="KJM84" s="2567"/>
      <c r="KJN84" s="2567"/>
      <c r="KJO84" s="2567"/>
      <c r="KJP84" s="2567"/>
      <c r="KJQ84" s="2567"/>
      <c r="KJR84" s="2567"/>
      <c r="KJS84" s="2567"/>
      <c r="KJT84" s="2567"/>
      <c r="KJU84" s="2567"/>
      <c r="KJV84" s="2567"/>
      <c r="KJW84" s="2567"/>
      <c r="KJX84" s="2567"/>
      <c r="KJY84" s="2567"/>
      <c r="KJZ84" s="2567"/>
      <c r="KKA84" s="2567"/>
      <c r="KKB84" s="2567"/>
      <c r="KKC84" s="2567"/>
      <c r="KKD84" s="2567"/>
      <c r="KKE84" s="2567"/>
      <c r="KKF84" s="2567"/>
      <c r="KKG84" s="2567"/>
      <c r="KKH84" s="2567"/>
      <c r="KKI84" s="2567"/>
      <c r="KKJ84" s="2567"/>
      <c r="KKK84" s="2567"/>
      <c r="KKL84" s="2567"/>
      <c r="KKM84" s="2567"/>
      <c r="KKN84" s="2567"/>
      <c r="KKO84" s="2567"/>
      <c r="KKP84" s="2567"/>
      <c r="KKQ84" s="2567"/>
      <c r="KKR84" s="2567"/>
      <c r="KKS84" s="2567"/>
      <c r="KKT84" s="2567"/>
      <c r="KKU84" s="2567"/>
      <c r="KKV84" s="2567"/>
      <c r="KKW84" s="2567"/>
      <c r="KKX84" s="2567"/>
      <c r="KKY84" s="2567"/>
      <c r="KKZ84" s="2567"/>
      <c r="KLA84" s="2567"/>
      <c r="KLB84" s="2567"/>
      <c r="KLC84" s="2567"/>
      <c r="KLD84" s="2567"/>
      <c r="KLE84" s="2567"/>
      <c r="KLF84" s="2567"/>
      <c r="KLG84" s="2567"/>
      <c r="KLH84" s="2567"/>
      <c r="KLI84" s="2567"/>
      <c r="KLJ84" s="2567"/>
      <c r="KLK84" s="2567"/>
      <c r="KLL84" s="2567"/>
      <c r="KLM84" s="2567"/>
      <c r="KLN84" s="2567"/>
      <c r="KLO84" s="2567"/>
      <c r="KLP84" s="2567"/>
      <c r="KLQ84" s="2567"/>
      <c r="KLR84" s="2567"/>
      <c r="KLS84" s="2567"/>
      <c r="KLT84" s="2567"/>
      <c r="KLU84" s="2567"/>
      <c r="KLV84" s="2567"/>
      <c r="KLW84" s="2567"/>
      <c r="KLX84" s="2567"/>
      <c r="KLY84" s="2567"/>
      <c r="KLZ84" s="2567"/>
      <c r="KMA84" s="2567"/>
      <c r="KMB84" s="2567"/>
      <c r="KMC84" s="2567"/>
      <c r="KMD84" s="2567"/>
      <c r="KME84" s="2567"/>
      <c r="KMF84" s="2567"/>
      <c r="KMG84" s="2567"/>
      <c r="KMH84" s="2567"/>
      <c r="KMI84" s="2567"/>
      <c r="KMJ84" s="2567"/>
      <c r="KMK84" s="2567"/>
      <c r="KML84" s="2567"/>
      <c r="KMM84" s="2567"/>
      <c r="KMN84" s="2567"/>
      <c r="KMO84" s="2567"/>
      <c r="KMP84" s="2567"/>
      <c r="KMQ84" s="2567"/>
      <c r="KMR84" s="2567"/>
      <c r="KMS84" s="2567"/>
      <c r="KMT84" s="2567"/>
      <c r="KMU84" s="2567"/>
      <c r="KMV84" s="2567"/>
      <c r="KMW84" s="2567"/>
      <c r="KMX84" s="2567"/>
      <c r="KMY84" s="2567"/>
      <c r="KMZ84" s="2567"/>
      <c r="KNA84" s="2567"/>
      <c r="KNB84" s="2567"/>
      <c r="KNC84" s="2567"/>
      <c r="KND84" s="2567"/>
      <c r="KNE84" s="2567"/>
      <c r="KNF84" s="2567"/>
      <c r="KNG84" s="2567"/>
      <c r="KNH84" s="2567"/>
      <c r="KNI84" s="2567"/>
      <c r="KNJ84" s="2567"/>
      <c r="KNK84" s="2567"/>
      <c r="KNL84" s="2567"/>
      <c r="KNM84" s="2567"/>
      <c r="KNN84" s="2567"/>
      <c r="KNO84" s="2567"/>
      <c r="KNP84" s="2567"/>
      <c r="KNQ84" s="2567"/>
      <c r="KNR84" s="2567"/>
      <c r="KNS84" s="2567"/>
      <c r="KNT84" s="2567"/>
      <c r="KNU84" s="2567"/>
      <c r="KNV84" s="2567"/>
      <c r="KNW84" s="2567"/>
      <c r="KNX84" s="2567"/>
      <c r="KNY84" s="2567"/>
      <c r="KNZ84" s="2567"/>
      <c r="KOA84" s="2567"/>
      <c r="KOB84" s="2567"/>
      <c r="KOC84" s="2567"/>
      <c r="KOD84" s="2567"/>
      <c r="KOE84" s="2567"/>
      <c r="KOF84" s="2567"/>
      <c r="KOG84" s="2567"/>
      <c r="KOH84" s="2567"/>
      <c r="KOI84" s="2567"/>
      <c r="KOJ84" s="2567"/>
      <c r="KOK84" s="2567"/>
      <c r="KOL84" s="2567"/>
      <c r="KOM84" s="2567"/>
      <c r="KON84" s="2567"/>
      <c r="KOO84" s="2567"/>
      <c r="KOP84" s="2567"/>
      <c r="KOQ84" s="2567"/>
      <c r="KOR84" s="2567"/>
      <c r="KOS84" s="2567"/>
      <c r="KOT84" s="2567"/>
      <c r="KOU84" s="2567"/>
      <c r="KOV84" s="2567"/>
      <c r="KOW84" s="2567"/>
      <c r="KOX84" s="2567"/>
      <c r="KOY84" s="2567"/>
      <c r="KOZ84" s="2567"/>
      <c r="KPA84" s="2567"/>
      <c r="KPB84" s="2567"/>
      <c r="KPC84" s="2567"/>
      <c r="KPD84" s="2567"/>
      <c r="KPE84" s="2567"/>
      <c r="KPF84" s="2567"/>
      <c r="KPG84" s="2567"/>
      <c r="KPH84" s="2567"/>
      <c r="KPI84" s="2567"/>
      <c r="KPJ84" s="2567"/>
      <c r="KPK84" s="2567"/>
      <c r="KPL84" s="2567"/>
      <c r="KPM84" s="2567"/>
      <c r="KPN84" s="2567"/>
      <c r="KPO84" s="2567"/>
      <c r="KPP84" s="2567"/>
      <c r="KPQ84" s="2567"/>
      <c r="KPR84" s="2567"/>
      <c r="KPS84" s="2567"/>
      <c r="KPT84" s="2567"/>
      <c r="KPU84" s="2567"/>
      <c r="KPV84" s="2567"/>
      <c r="KPW84" s="2567"/>
      <c r="KPX84" s="2567"/>
      <c r="KPY84" s="2567"/>
      <c r="KPZ84" s="2567"/>
      <c r="KQA84" s="2567"/>
      <c r="KQB84" s="2567"/>
      <c r="KQC84" s="2567"/>
      <c r="KQD84" s="2567"/>
      <c r="KQE84" s="2567"/>
      <c r="KQF84" s="2567"/>
      <c r="KQG84" s="2567"/>
      <c r="KQH84" s="2567"/>
      <c r="KQI84" s="2567"/>
      <c r="KQJ84" s="2567"/>
      <c r="KQK84" s="2567"/>
      <c r="KQL84" s="2567"/>
      <c r="KQM84" s="2567"/>
      <c r="KQN84" s="2567"/>
      <c r="KQO84" s="2567"/>
      <c r="KQP84" s="2567"/>
      <c r="KQQ84" s="2567"/>
      <c r="KQR84" s="2567"/>
      <c r="KQS84" s="2567"/>
      <c r="KQT84" s="2567"/>
      <c r="KQU84" s="2567"/>
      <c r="KQV84" s="2567"/>
      <c r="KQW84" s="2567"/>
      <c r="KQX84" s="2567"/>
      <c r="KQY84" s="2567"/>
      <c r="KQZ84" s="2567"/>
      <c r="KRA84" s="2567"/>
      <c r="KRB84" s="2567"/>
      <c r="KRC84" s="2567"/>
      <c r="KRD84" s="2567"/>
      <c r="KRE84" s="2567"/>
      <c r="KRF84" s="2567"/>
      <c r="KRG84" s="2567"/>
      <c r="KRH84" s="2567"/>
      <c r="KRI84" s="2567"/>
      <c r="KRJ84" s="2567"/>
      <c r="KRK84" s="2567"/>
      <c r="KRL84" s="2567"/>
      <c r="KRM84" s="2567"/>
      <c r="KRN84" s="2567"/>
      <c r="KRO84" s="2567"/>
      <c r="KRP84" s="2567"/>
      <c r="KRQ84" s="2567"/>
      <c r="KRR84" s="2567"/>
      <c r="KRS84" s="2567"/>
      <c r="KRT84" s="2567"/>
      <c r="KRU84" s="2567"/>
      <c r="KRV84" s="2567"/>
      <c r="KRW84" s="2567"/>
      <c r="KRX84" s="2567"/>
      <c r="KRY84" s="2567"/>
      <c r="KRZ84" s="2567"/>
      <c r="KSA84" s="2567"/>
      <c r="KSB84" s="2567"/>
      <c r="KSC84" s="2567"/>
      <c r="KSD84" s="2567"/>
      <c r="KSE84" s="2567"/>
      <c r="KSF84" s="2567"/>
      <c r="KSG84" s="2567"/>
      <c r="KSH84" s="2567"/>
      <c r="KSI84" s="2567"/>
      <c r="KSJ84" s="2567"/>
      <c r="KSK84" s="2567"/>
      <c r="KSL84" s="2567"/>
      <c r="KSM84" s="2567"/>
      <c r="KSN84" s="2567"/>
      <c r="KSO84" s="2567"/>
      <c r="KSP84" s="2567"/>
      <c r="KSQ84" s="2567"/>
      <c r="KSR84" s="2567"/>
      <c r="KSS84" s="2567"/>
      <c r="KST84" s="2567"/>
      <c r="KSU84" s="2567"/>
      <c r="KSV84" s="2567"/>
      <c r="KSW84" s="2567"/>
      <c r="KSX84" s="2567"/>
      <c r="KSY84" s="2567"/>
      <c r="KSZ84" s="2567"/>
      <c r="KTA84" s="2567"/>
      <c r="KTB84" s="2567"/>
      <c r="KTC84" s="2567"/>
      <c r="KTD84" s="2567"/>
      <c r="KTE84" s="2567"/>
      <c r="KTF84" s="2567"/>
      <c r="KTG84" s="2567"/>
      <c r="KTH84" s="2567"/>
      <c r="KTI84" s="2567"/>
      <c r="KTJ84" s="2567"/>
      <c r="KTK84" s="2567"/>
      <c r="KTL84" s="2567"/>
      <c r="KTM84" s="2567"/>
      <c r="KTN84" s="2567"/>
      <c r="KTO84" s="2567"/>
      <c r="KTP84" s="2567"/>
      <c r="KTQ84" s="2567"/>
      <c r="KTR84" s="2567"/>
      <c r="KTS84" s="2567"/>
      <c r="KTT84" s="2567"/>
      <c r="KTU84" s="2567"/>
      <c r="KTV84" s="2567"/>
      <c r="KTW84" s="2567"/>
      <c r="KTX84" s="2567"/>
      <c r="KTY84" s="2567"/>
      <c r="KTZ84" s="2567"/>
      <c r="KUA84" s="2567"/>
      <c r="KUB84" s="2567"/>
      <c r="KUC84" s="2567"/>
      <c r="KUD84" s="2567"/>
      <c r="KUE84" s="2567"/>
      <c r="KUF84" s="2567"/>
      <c r="KUG84" s="2567"/>
      <c r="KUH84" s="2567"/>
      <c r="KUI84" s="2567"/>
      <c r="KUJ84" s="2567"/>
      <c r="KUK84" s="2567"/>
      <c r="KUL84" s="2567"/>
      <c r="KUM84" s="2567"/>
      <c r="KUN84" s="2567"/>
      <c r="KUO84" s="2567"/>
      <c r="KUP84" s="2567"/>
      <c r="KUQ84" s="2567"/>
      <c r="KUR84" s="2567"/>
      <c r="KUS84" s="2567"/>
      <c r="KUT84" s="2567"/>
      <c r="KUU84" s="2567"/>
      <c r="KUV84" s="2567"/>
      <c r="KUW84" s="2567"/>
      <c r="KUX84" s="2567"/>
      <c r="KUY84" s="2567"/>
      <c r="KUZ84" s="2567"/>
      <c r="KVA84" s="2567"/>
      <c r="KVB84" s="2567"/>
      <c r="KVC84" s="2567"/>
      <c r="KVD84" s="2567"/>
      <c r="KVE84" s="2567"/>
      <c r="KVF84" s="2567"/>
      <c r="KVG84" s="2567"/>
      <c r="KVH84" s="2567"/>
      <c r="KVI84" s="2567"/>
      <c r="KVJ84" s="2567"/>
      <c r="KVK84" s="2567"/>
      <c r="KVL84" s="2567"/>
      <c r="KVM84" s="2567"/>
      <c r="KVN84" s="2567"/>
      <c r="KVO84" s="2567"/>
      <c r="KVP84" s="2567"/>
      <c r="KVQ84" s="2567"/>
      <c r="KVR84" s="2567"/>
      <c r="KVS84" s="2567"/>
      <c r="KVT84" s="2567"/>
      <c r="KVU84" s="2567"/>
      <c r="KVV84" s="2567"/>
      <c r="KVW84" s="2567"/>
      <c r="KVX84" s="2567"/>
      <c r="KVY84" s="2567"/>
      <c r="KVZ84" s="2567"/>
      <c r="KWA84" s="2567"/>
      <c r="KWB84" s="2567"/>
      <c r="KWC84" s="2567"/>
      <c r="KWD84" s="2567"/>
      <c r="KWE84" s="2567"/>
      <c r="KWF84" s="2567"/>
      <c r="KWG84" s="2567"/>
      <c r="KWH84" s="2567"/>
      <c r="KWI84" s="2567"/>
      <c r="KWJ84" s="2567"/>
      <c r="KWK84" s="2567"/>
      <c r="KWL84" s="2567"/>
      <c r="KWM84" s="2567"/>
      <c r="KWN84" s="2567"/>
      <c r="KWO84" s="2567"/>
      <c r="KWP84" s="2567"/>
      <c r="KWQ84" s="2567"/>
      <c r="KWR84" s="2567"/>
      <c r="KWS84" s="2567"/>
      <c r="KWT84" s="2567"/>
      <c r="KWU84" s="2567"/>
      <c r="KWV84" s="2567"/>
      <c r="KWW84" s="2567"/>
      <c r="KWX84" s="2567"/>
      <c r="KWY84" s="2567"/>
      <c r="KWZ84" s="2567"/>
      <c r="KXA84" s="2567"/>
      <c r="KXB84" s="2567"/>
      <c r="KXC84" s="2567"/>
      <c r="KXD84" s="2567"/>
      <c r="KXE84" s="2567"/>
      <c r="KXF84" s="2567"/>
      <c r="KXG84" s="2567"/>
      <c r="KXH84" s="2567"/>
      <c r="KXI84" s="2567"/>
      <c r="KXJ84" s="2567"/>
      <c r="KXK84" s="2567"/>
      <c r="KXL84" s="2567"/>
      <c r="KXM84" s="2567"/>
      <c r="KXN84" s="2567"/>
      <c r="KXO84" s="2567"/>
      <c r="KXP84" s="2567"/>
      <c r="KXQ84" s="2567"/>
      <c r="KXR84" s="2567"/>
      <c r="KXS84" s="2567"/>
      <c r="KXT84" s="2567"/>
      <c r="KXU84" s="2567"/>
      <c r="KXV84" s="2567"/>
      <c r="KXW84" s="2567"/>
      <c r="KXX84" s="2567"/>
      <c r="KXY84" s="2567"/>
      <c r="KXZ84" s="2567"/>
      <c r="KYA84" s="2567"/>
      <c r="KYB84" s="2567"/>
      <c r="KYC84" s="2567"/>
      <c r="KYD84" s="2567"/>
      <c r="KYE84" s="2567"/>
      <c r="KYF84" s="2567"/>
      <c r="KYG84" s="2567"/>
      <c r="KYH84" s="2567"/>
      <c r="KYI84" s="2567"/>
      <c r="KYJ84" s="2567"/>
      <c r="KYK84" s="2567"/>
      <c r="KYL84" s="2567"/>
      <c r="KYM84" s="2567"/>
      <c r="KYN84" s="2567"/>
      <c r="KYO84" s="2567"/>
      <c r="KYP84" s="2567"/>
      <c r="KYQ84" s="2567"/>
      <c r="KYR84" s="2567"/>
      <c r="KYS84" s="2567"/>
      <c r="KYT84" s="2567"/>
      <c r="KYU84" s="2567"/>
      <c r="KYV84" s="2567"/>
      <c r="KYW84" s="2567"/>
      <c r="KYX84" s="2567"/>
      <c r="KYY84" s="2567"/>
      <c r="KYZ84" s="2567"/>
      <c r="KZA84" s="2567"/>
      <c r="KZB84" s="2567"/>
      <c r="KZC84" s="2567"/>
      <c r="KZD84" s="2567"/>
      <c r="KZE84" s="2567"/>
      <c r="KZF84" s="2567"/>
      <c r="KZG84" s="2567"/>
      <c r="KZH84" s="2567"/>
      <c r="KZI84" s="2567"/>
      <c r="KZJ84" s="2567"/>
      <c r="KZK84" s="2567"/>
      <c r="KZL84" s="2567"/>
      <c r="KZM84" s="2567"/>
      <c r="KZN84" s="2567"/>
      <c r="KZO84" s="2567"/>
      <c r="KZP84" s="2567"/>
      <c r="KZQ84" s="2567"/>
      <c r="KZR84" s="2567"/>
      <c r="KZS84" s="2567"/>
      <c r="KZT84" s="2567"/>
      <c r="KZU84" s="2567"/>
      <c r="KZV84" s="2567"/>
      <c r="KZW84" s="2567"/>
      <c r="KZX84" s="2567"/>
      <c r="KZY84" s="2567"/>
      <c r="KZZ84" s="2567"/>
      <c r="LAA84" s="2567"/>
      <c r="LAB84" s="2567"/>
      <c r="LAC84" s="2567"/>
      <c r="LAD84" s="2567"/>
      <c r="LAE84" s="2567"/>
      <c r="LAF84" s="2567"/>
      <c r="LAG84" s="2567"/>
      <c r="LAH84" s="2567"/>
      <c r="LAI84" s="2567"/>
      <c r="LAJ84" s="2567"/>
      <c r="LAK84" s="2567"/>
      <c r="LAL84" s="2567"/>
      <c r="LAM84" s="2567"/>
      <c r="LAN84" s="2567"/>
      <c r="LAO84" s="2567"/>
      <c r="LAP84" s="2567"/>
      <c r="LAQ84" s="2567"/>
      <c r="LAR84" s="2567"/>
      <c r="LAS84" s="2567"/>
      <c r="LAT84" s="2567"/>
      <c r="LAU84" s="2567"/>
      <c r="LAV84" s="2567"/>
      <c r="LAW84" s="2567"/>
      <c r="LAX84" s="2567"/>
      <c r="LAY84" s="2567"/>
      <c r="LAZ84" s="2567"/>
      <c r="LBA84" s="2567"/>
      <c r="LBB84" s="2567"/>
      <c r="LBC84" s="2567"/>
      <c r="LBD84" s="2567"/>
      <c r="LBE84" s="2567"/>
      <c r="LBF84" s="2567"/>
      <c r="LBG84" s="2567"/>
      <c r="LBH84" s="2567"/>
      <c r="LBI84" s="2567"/>
      <c r="LBJ84" s="2567"/>
      <c r="LBK84" s="2567"/>
      <c r="LBL84" s="2567"/>
      <c r="LBM84" s="2567"/>
      <c r="LBN84" s="2567"/>
      <c r="LBO84" s="2567"/>
      <c r="LBP84" s="2567"/>
      <c r="LBQ84" s="2567"/>
      <c r="LBR84" s="2567"/>
      <c r="LBS84" s="2567"/>
      <c r="LBT84" s="2567"/>
      <c r="LBU84" s="2567"/>
      <c r="LBV84" s="2567"/>
      <c r="LBW84" s="2567"/>
      <c r="LBX84" s="2567"/>
      <c r="LBY84" s="2567"/>
      <c r="LBZ84" s="2567"/>
      <c r="LCA84" s="2567"/>
      <c r="LCB84" s="2567"/>
      <c r="LCC84" s="2567"/>
      <c r="LCD84" s="2567"/>
      <c r="LCE84" s="2567"/>
      <c r="LCF84" s="2567"/>
      <c r="LCG84" s="2567"/>
      <c r="LCH84" s="2567"/>
      <c r="LCI84" s="2567"/>
      <c r="LCJ84" s="2567"/>
      <c r="LCK84" s="2567"/>
      <c r="LCL84" s="2567"/>
      <c r="LCM84" s="2567"/>
      <c r="LCN84" s="2567"/>
      <c r="LCO84" s="2567"/>
      <c r="LCP84" s="2567"/>
      <c r="LCQ84" s="2567"/>
      <c r="LCR84" s="2567"/>
      <c r="LCS84" s="2567"/>
      <c r="LCT84" s="2567"/>
      <c r="LCU84" s="2567"/>
      <c r="LCV84" s="2567"/>
      <c r="LCW84" s="2567"/>
      <c r="LCX84" s="2567"/>
      <c r="LCY84" s="2567"/>
      <c r="LCZ84" s="2567"/>
      <c r="LDA84" s="2567"/>
      <c r="LDB84" s="2567"/>
      <c r="LDC84" s="2567"/>
      <c r="LDD84" s="2567"/>
      <c r="LDE84" s="2567"/>
      <c r="LDF84" s="2567"/>
      <c r="LDG84" s="2567"/>
      <c r="LDH84" s="2567"/>
      <c r="LDI84" s="2567"/>
      <c r="LDJ84" s="2567"/>
      <c r="LDK84" s="2567"/>
      <c r="LDL84" s="2567"/>
      <c r="LDM84" s="2567"/>
      <c r="LDN84" s="2567"/>
      <c r="LDO84" s="2567"/>
      <c r="LDP84" s="2567"/>
      <c r="LDQ84" s="2567"/>
      <c r="LDR84" s="2567"/>
      <c r="LDS84" s="2567"/>
      <c r="LDT84" s="2567"/>
      <c r="LDU84" s="2567"/>
      <c r="LDV84" s="2567"/>
      <c r="LDW84" s="2567"/>
      <c r="LDX84" s="2567"/>
      <c r="LDY84" s="2567"/>
      <c r="LDZ84" s="2567"/>
      <c r="LEA84" s="2567"/>
      <c r="LEB84" s="2567"/>
      <c r="LEC84" s="2567"/>
      <c r="LED84" s="2567"/>
      <c r="LEE84" s="2567"/>
      <c r="LEF84" s="2567"/>
      <c r="LEG84" s="2567"/>
      <c r="LEH84" s="2567"/>
      <c r="LEI84" s="2567"/>
      <c r="LEJ84" s="2567"/>
      <c r="LEK84" s="2567"/>
      <c r="LEL84" s="2567"/>
      <c r="LEM84" s="2567"/>
      <c r="LEN84" s="2567"/>
      <c r="LEO84" s="2567"/>
      <c r="LEP84" s="2567"/>
      <c r="LEQ84" s="2567"/>
      <c r="LER84" s="2567"/>
      <c r="LES84" s="2567"/>
      <c r="LET84" s="2567"/>
      <c r="LEU84" s="2567"/>
      <c r="LEV84" s="2567"/>
      <c r="LEW84" s="2567"/>
      <c r="LEX84" s="2567"/>
      <c r="LEY84" s="2567"/>
      <c r="LEZ84" s="2567"/>
      <c r="LFA84" s="2567"/>
      <c r="LFB84" s="2567"/>
      <c r="LFC84" s="2567"/>
      <c r="LFD84" s="2567"/>
      <c r="LFE84" s="2567"/>
      <c r="LFF84" s="2567"/>
      <c r="LFG84" s="2567"/>
      <c r="LFH84" s="2567"/>
      <c r="LFI84" s="2567"/>
      <c r="LFJ84" s="2567"/>
      <c r="LFK84" s="2567"/>
      <c r="LFL84" s="2567"/>
      <c r="LFM84" s="2567"/>
      <c r="LFN84" s="2567"/>
      <c r="LFO84" s="2567"/>
      <c r="LFP84" s="2567"/>
      <c r="LFQ84" s="2567"/>
      <c r="LFR84" s="2567"/>
      <c r="LFS84" s="2567"/>
      <c r="LFT84" s="2567"/>
      <c r="LFU84" s="2567"/>
      <c r="LFV84" s="2567"/>
      <c r="LFW84" s="2567"/>
      <c r="LFX84" s="2567"/>
      <c r="LFY84" s="2567"/>
      <c r="LFZ84" s="2567"/>
      <c r="LGA84" s="2567"/>
      <c r="LGB84" s="2567"/>
      <c r="LGC84" s="2567"/>
      <c r="LGD84" s="2567"/>
      <c r="LGE84" s="2567"/>
      <c r="LGF84" s="2567"/>
      <c r="LGG84" s="2567"/>
      <c r="LGH84" s="2567"/>
      <c r="LGI84" s="2567"/>
      <c r="LGJ84" s="2567"/>
      <c r="LGK84" s="2567"/>
      <c r="LGL84" s="2567"/>
      <c r="LGM84" s="2567"/>
      <c r="LGN84" s="2567"/>
      <c r="LGO84" s="2567"/>
      <c r="LGP84" s="2567"/>
      <c r="LGQ84" s="2567"/>
      <c r="LGR84" s="2567"/>
      <c r="LGS84" s="2567"/>
      <c r="LGT84" s="2567"/>
      <c r="LGU84" s="2567"/>
      <c r="LGV84" s="2567"/>
      <c r="LGW84" s="2567"/>
      <c r="LGX84" s="2567"/>
      <c r="LGY84" s="2567"/>
      <c r="LGZ84" s="2567"/>
      <c r="LHA84" s="2567"/>
      <c r="LHB84" s="2567"/>
      <c r="LHC84" s="2567"/>
      <c r="LHD84" s="2567"/>
      <c r="LHE84" s="2567"/>
      <c r="LHF84" s="2567"/>
      <c r="LHG84" s="2567"/>
      <c r="LHH84" s="2567"/>
      <c r="LHI84" s="2567"/>
      <c r="LHJ84" s="2567"/>
      <c r="LHK84" s="2567"/>
      <c r="LHL84" s="2567"/>
      <c r="LHM84" s="2567"/>
      <c r="LHN84" s="2567"/>
      <c r="LHO84" s="2567"/>
      <c r="LHP84" s="2567"/>
      <c r="LHQ84" s="2567"/>
      <c r="LHR84" s="2567"/>
      <c r="LHS84" s="2567"/>
      <c r="LHT84" s="2567"/>
      <c r="LHU84" s="2567"/>
      <c r="LHV84" s="2567"/>
      <c r="LHW84" s="2567"/>
      <c r="LHX84" s="2567"/>
      <c r="LHY84" s="2567"/>
      <c r="LHZ84" s="2567"/>
      <c r="LIA84" s="2567"/>
      <c r="LIB84" s="2567"/>
      <c r="LIC84" s="2567"/>
      <c r="LID84" s="2567"/>
      <c r="LIE84" s="2567"/>
      <c r="LIF84" s="2567"/>
      <c r="LIG84" s="2567"/>
      <c r="LIH84" s="2567"/>
      <c r="LII84" s="2567"/>
      <c r="LIJ84" s="2567"/>
      <c r="LIK84" s="2567"/>
      <c r="LIL84" s="2567"/>
      <c r="LIM84" s="2567"/>
      <c r="LIN84" s="2567"/>
      <c r="LIO84" s="2567"/>
      <c r="LIP84" s="2567"/>
      <c r="LIQ84" s="2567"/>
      <c r="LIR84" s="2567"/>
      <c r="LIS84" s="2567"/>
      <c r="LIT84" s="2567"/>
      <c r="LIU84" s="2567"/>
      <c r="LIV84" s="2567"/>
      <c r="LIW84" s="2567"/>
      <c r="LIX84" s="2567"/>
      <c r="LIY84" s="2567"/>
      <c r="LIZ84" s="2567"/>
      <c r="LJA84" s="2567"/>
      <c r="LJB84" s="2567"/>
      <c r="LJC84" s="2567"/>
      <c r="LJD84" s="2567"/>
      <c r="LJE84" s="2567"/>
      <c r="LJF84" s="2567"/>
      <c r="LJG84" s="2567"/>
      <c r="LJH84" s="2567"/>
      <c r="LJI84" s="2567"/>
      <c r="LJJ84" s="2567"/>
      <c r="LJK84" s="2567"/>
      <c r="LJL84" s="2567"/>
      <c r="LJM84" s="2567"/>
      <c r="LJN84" s="2567"/>
      <c r="LJO84" s="2567"/>
      <c r="LJP84" s="2567"/>
      <c r="LJQ84" s="2567"/>
      <c r="LJR84" s="2567"/>
      <c r="LJS84" s="2567"/>
      <c r="LJT84" s="2567"/>
      <c r="LJU84" s="2567"/>
      <c r="LJV84" s="2567"/>
      <c r="LJW84" s="2567"/>
      <c r="LJX84" s="2567"/>
      <c r="LJY84" s="2567"/>
      <c r="LJZ84" s="2567"/>
      <c r="LKA84" s="2567"/>
      <c r="LKB84" s="2567"/>
      <c r="LKC84" s="2567"/>
      <c r="LKD84" s="2567"/>
      <c r="LKE84" s="2567"/>
      <c r="LKF84" s="2567"/>
      <c r="LKG84" s="2567"/>
      <c r="LKH84" s="2567"/>
      <c r="LKI84" s="2567"/>
      <c r="LKJ84" s="2567"/>
      <c r="LKK84" s="2567"/>
      <c r="LKL84" s="2567"/>
      <c r="LKM84" s="2567"/>
      <c r="LKN84" s="2567"/>
      <c r="LKO84" s="2567"/>
      <c r="LKP84" s="2567"/>
      <c r="LKQ84" s="2567"/>
      <c r="LKR84" s="2567"/>
      <c r="LKS84" s="2567"/>
      <c r="LKT84" s="2567"/>
      <c r="LKU84" s="2567"/>
      <c r="LKV84" s="2567"/>
      <c r="LKW84" s="2567"/>
      <c r="LKX84" s="2567"/>
      <c r="LKY84" s="2567"/>
      <c r="LKZ84" s="2567"/>
      <c r="LLA84" s="2567"/>
      <c r="LLB84" s="2567"/>
      <c r="LLC84" s="2567"/>
      <c r="LLD84" s="2567"/>
      <c r="LLE84" s="2567"/>
      <c r="LLF84" s="2567"/>
      <c r="LLG84" s="2567"/>
      <c r="LLH84" s="2567"/>
      <c r="LLI84" s="2567"/>
      <c r="LLJ84" s="2567"/>
      <c r="LLK84" s="2567"/>
      <c r="LLL84" s="2567"/>
      <c r="LLM84" s="2567"/>
      <c r="LLN84" s="2567"/>
      <c r="LLO84" s="2567"/>
      <c r="LLP84" s="2567"/>
      <c r="LLQ84" s="2567"/>
      <c r="LLR84" s="2567"/>
      <c r="LLS84" s="2567"/>
      <c r="LLT84" s="2567"/>
      <c r="LLU84" s="2567"/>
      <c r="LLV84" s="2567"/>
      <c r="LLW84" s="2567"/>
      <c r="LLX84" s="2567"/>
      <c r="LLY84" s="2567"/>
      <c r="LLZ84" s="2567"/>
      <c r="LMA84" s="2567"/>
      <c r="LMB84" s="2567"/>
      <c r="LMC84" s="2567"/>
      <c r="LMD84" s="2567"/>
      <c r="LME84" s="2567"/>
      <c r="LMF84" s="2567"/>
      <c r="LMG84" s="2567"/>
      <c r="LMH84" s="2567"/>
      <c r="LMI84" s="2567"/>
      <c r="LMJ84" s="2567"/>
      <c r="LMK84" s="2567"/>
      <c r="LML84" s="2567"/>
      <c r="LMM84" s="2567"/>
      <c r="LMN84" s="2567"/>
      <c r="LMO84" s="2567"/>
      <c r="LMP84" s="2567"/>
      <c r="LMQ84" s="2567"/>
      <c r="LMR84" s="2567"/>
      <c r="LMS84" s="2567"/>
      <c r="LMT84" s="2567"/>
      <c r="LMU84" s="2567"/>
      <c r="LMV84" s="2567"/>
      <c r="LMW84" s="2567"/>
      <c r="LMX84" s="2567"/>
      <c r="LMY84" s="2567"/>
      <c r="LMZ84" s="2567"/>
      <c r="LNA84" s="2567"/>
      <c r="LNB84" s="2567"/>
      <c r="LNC84" s="2567"/>
      <c r="LND84" s="2567"/>
      <c r="LNE84" s="2567"/>
      <c r="LNF84" s="2567"/>
      <c r="LNG84" s="2567"/>
      <c r="LNH84" s="2567"/>
      <c r="LNI84" s="2567"/>
      <c r="LNJ84" s="2567"/>
      <c r="LNK84" s="2567"/>
      <c r="LNL84" s="2567"/>
      <c r="LNM84" s="2567"/>
      <c r="LNN84" s="2567"/>
      <c r="LNO84" s="2567"/>
      <c r="LNP84" s="2567"/>
      <c r="LNQ84" s="2567"/>
      <c r="LNR84" s="2567"/>
      <c r="LNS84" s="2567"/>
      <c r="LNT84" s="2567"/>
      <c r="LNU84" s="2567"/>
      <c r="LNV84" s="2567"/>
      <c r="LNW84" s="2567"/>
      <c r="LNX84" s="2567"/>
      <c r="LNY84" s="2567"/>
      <c r="LNZ84" s="2567"/>
      <c r="LOA84" s="2567"/>
      <c r="LOB84" s="2567"/>
      <c r="LOC84" s="2567"/>
      <c r="LOD84" s="2567"/>
      <c r="LOE84" s="2567"/>
      <c r="LOF84" s="2567"/>
      <c r="LOG84" s="2567"/>
      <c r="LOH84" s="2567"/>
      <c r="LOI84" s="2567"/>
      <c r="LOJ84" s="2567"/>
      <c r="LOK84" s="2567"/>
      <c r="LOL84" s="2567"/>
      <c r="LOM84" s="2567"/>
      <c r="LON84" s="2567"/>
      <c r="LOO84" s="2567"/>
      <c r="LOP84" s="2567"/>
      <c r="LOQ84" s="2567"/>
      <c r="LOR84" s="2567"/>
      <c r="LOS84" s="2567"/>
      <c r="LOT84" s="2567"/>
      <c r="LOU84" s="2567"/>
      <c r="LOV84" s="2567"/>
      <c r="LOW84" s="2567"/>
      <c r="LOX84" s="2567"/>
      <c r="LOY84" s="2567"/>
      <c r="LOZ84" s="2567"/>
      <c r="LPA84" s="2567"/>
      <c r="LPB84" s="2567"/>
      <c r="LPC84" s="2567"/>
      <c r="LPD84" s="2567"/>
      <c r="LPE84" s="2567"/>
      <c r="LPF84" s="2567"/>
      <c r="LPG84" s="2567"/>
      <c r="LPH84" s="2567"/>
      <c r="LPI84" s="2567"/>
      <c r="LPJ84" s="2567"/>
      <c r="LPK84" s="2567"/>
      <c r="LPL84" s="2567"/>
      <c r="LPM84" s="2567"/>
      <c r="LPN84" s="2567"/>
      <c r="LPO84" s="2567"/>
      <c r="LPP84" s="2567"/>
      <c r="LPQ84" s="2567"/>
      <c r="LPR84" s="2567"/>
      <c r="LPS84" s="2567"/>
      <c r="LPT84" s="2567"/>
      <c r="LPU84" s="2567"/>
      <c r="LPV84" s="2567"/>
      <c r="LPW84" s="2567"/>
      <c r="LPX84" s="2567"/>
      <c r="LPY84" s="2567"/>
      <c r="LPZ84" s="2567"/>
      <c r="LQA84" s="2567"/>
      <c r="LQB84" s="2567"/>
      <c r="LQC84" s="2567"/>
      <c r="LQD84" s="2567"/>
      <c r="LQE84" s="2567"/>
      <c r="LQF84" s="2567"/>
      <c r="LQG84" s="2567"/>
      <c r="LQH84" s="2567"/>
      <c r="LQI84" s="2567"/>
      <c r="LQJ84" s="2567"/>
      <c r="LQK84" s="2567"/>
      <c r="LQL84" s="2567"/>
      <c r="LQM84" s="2567"/>
      <c r="LQN84" s="2567"/>
      <c r="LQO84" s="2567"/>
      <c r="LQP84" s="2567"/>
      <c r="LQQ84" s="2567"/>
      <c r="LQR84" s="2567"/>
      <c r="LQS84" s="2567"/>
      <c r="LQT84" s="2567"/>
      <c r="LQU84" s="2567"/>
      <c r="LQV84" s="2567"/>
      <c r="LQW84" s="2567"/>
      <c r="LQX84" s="2567"/>
      <c r="LQY84" s="2567"/>
      <c r="LQZ84" s="2567"/>
      <c r="LRA84" s="2567"/>
      <c r="LRB84" s="2567"/>
      <c r="LRC84" s="2567"/>
      <c r="LRD84" s="2567"/>
      <c r="LRE84" s="2567"/>
      <c r="LRF84" s="2567"/>
      <c r="LRG84" s="2567"/>
      <c r="LRH84" s="2567"/>
      <c r="LRI84" s="2567"/>
      <c r="LRJ84" s="2567"/>
      <c r="LRK84" s="2567"/>
      <c r="LRL84" s="2567"/>
      <c r="LRM84" s="2567"/>
      <c r="LRN84" s="2567"/>
      <c r="LRO84" s="2567"/>
      <c r="LRP84" s="2567"/>
      <c r="LRQ84" s="2567"/>
      <c r="LRR84" s="2567"/>
      <c r="LRS84" s="2567"/>
      <c r="LRT84" s="2567"/>
      <c r="LRU84" s="2567"/>
      <c r="LRV84" s="2567"/>
      <c r="LRW84" s="2567"/>
      <c r="LRX84" s="2567"/>
      <c r="LRY84" s="2567"/>
      <c r="LRZ84" s="2567"/>
      <c r="LSA84" s="2567"/>
      <c r="LSB84" s="2567"/>
      <c r="LSC84" s="2567"/>
      <c r="LSD84" s="2567"/>
      <c r="LSE84" s="2567"/>
      <c r="LSF84" s="2567"/>
      <c r="LSG84" s="2567"/>
      <c r="LSH84" s="2567"/>
      <c r="LSI84" s="2567"/>
      <c r="LSJ84" s="2567"/>
      <c r="LSK84" s="2567"/>
      <c r="LSL84" s="2567"/>
      <c r="LSM84" s="2567"/>
      <c r="LSN84" s="2567"/>
      <c r="LSO84" s="2567"/>
      <c r="LSP84" s="2567"/>
      <c r="LSQ84" s="2567"/>
      <c r="LSR84" s="2567"/>
      <c r="LSS84" s="2567"/>
      <c r="LST84" s="2567"/>
      <c r="LSU84" s="2567"/>
      <c r="LSV84" s="2567"/>
      <c r="LSW84" s="2567"/>
      <c r="LSX84" s="2567"/>
      <c r="LSY84" s="2567"/>
      <c r="LSZ84" s="2567"/>
      <c r="LTA84" s="2567"/>
      <c r="LTB84" s="2567"/>
      <c r="LTC84" s="2567"/>
      <c r="LTD84" s="2567"/>
      <c r="LTE84" s="2567"/>
      <c r="LTF84" s="2567"/>
      <c r="LTG84" s="2567"/>
      <c r="LTH84" s="2567"/>
      <c r="LTI84" s="2567"/>
      <c r="LTJ84" s="2567"/>
      <c r="LTK84" s="2567"/>
      <c r="LTL84" s="2567"/>
      <c r="LTM84" s="2567"/>
      <c r="LTN84" s="2567"/>
      <c r="LTO84" s="2567"/>
      <c r="LTP84" s="2567"/>
      <c r="LTQ84" s="2567"/>
      <c r="LTR84" s="2567"/>
      <c r="LTS84" s="2567"/>
      <c r="LTT84" s="2567"/>
      <c r="LTU84" s="2567"/>
      <c r="LTV84" s="2567"/>
      <c r="LTW84" s="2567"/>
      <c r="LTX84" s="2567"/>
      <c r="LTY84" s="2567"/>
      <c r="LTZ84" s="2567"/>
      <c r="LUA84" s="2567"/>
      <c r="LUB84" s="2567"/>
      <c r="LUC84" s="2567"/>
      <c r="LUD84" s="2567"/>
      <c r="LUE84" s="2567"/>
      <c r="LUF84" s="2567"/>
      <c r="LUG84" s="2567"/>
      <c r="LUH84" s="2567"/>
      <c r="LUI84" s="2567"/>
      <c r="LUJ84" s="2567"/>
      <c r="LUK84" s="2567"/>
      <c r="LUL84" s="2567"/>
      <c r="LUM84" s="2567"/>
      <c r="LUN84" s="2567"/>
      <c r="LUO84" s="2567"/>
      <c r="LUP84" s="2567"/>
      <c r="LUQ84" s="2567"/>
      <c r="LUR84" s="2567"/>
      <c r="LUS84" s="2567"/>
      <c r="LUT84" s="2567"/>
      <c r="LUU84" s="2567"/>
      <c r="LUV84" s="2567"/>
      <c r="LUW84" s="2567"/>
      <c r="LUX84" s="2567"/>
      <c r="LUY84" s="2567"/>
      <c r="LUZ84" s="2567"/>
      <c r="LVA84" s="2567"/>
      <c r="LVB84" s="2567"/>
      <c r="LVC84" s="2567"/>
      <c r="LVD84" s="2567"/>
      <c r="LVE84" s="2567"/>
      <c r="LVF84" s="2567"/>
      <c r="LVG84" s="2567"/>
      <c r="LVH84" s="2567"/>
      <c r="LVI84" s="2567"/>
      <c r="LVJ84" s="2567"/>
      <c r="LVK84" s="2567"/>
      <c r="LVL84" s="2567"/>
      <c r="LVM84" s="2567"/>
      <c r="LVN84" s="2567"/>
      <c r="LVO84" s="2567"/>
      <c r="LVP84" s="2567"/>
      <c r="LVQ84" s="2567"/>
      <c r="LVR84" s="2567"/>
      <c r="LVS84" s="2567"/>
      <c r="LVT84" s="2567"/>
      <c r="LVU84" s="2567"/>
      <c r="LVV84" s="2567"/>
      <c r="LVW84" s="2567"/>
      <c r="LVX84" s="2567"/>
      <c r="LVY84" s="2567"/>
      <c r="LVZ84" s="2567"/>
      <c r="LWA84" s="2567"/>
      <c r="LWB84" s="2567"/>
      <c r="LWC84" s="2567"/>
      <c r="LWD84" s="2567"/>
      <c r="LWE84" s="2567"/>
      <c r="LWF84" s="2567"/>
      <c r="LWG84" s="2567"/>
      <c r="LWH84" s="2567"/>
      <c r="LWI84" s="2567"/>
      <c r="LWJ84" s="2567"/>
      <c r="LWK84" s="2567"/>
      <c r="LWL84" s="2567"/>
      <c r="LWM84" s="2567"/>
      <c r="LWN84" s="2567"/>
      <c r="LWO84" s="2567"/>
      <c r="LWP84" s="2567"/>
      <c r="LWQ84" s="2567"/>
      <c r="LWR84" s="2567"/>
      <c r="LWS84" s="2567"/>
      <c r="LWT84" s="2567"/>
      <c r="LWU84" s="2567"/>
      <c r="LWV84" s="2567"/>
      <c r="LWW84" s="2567"/>
      <c r="LWX84" s="2567"/>
      <c r="LWY84" s="2567"/>
      <c r="LWZ84" s="2567"/>
      <c r="LXA84" s="2567"/>
      <c r="LXB84" s="2567"/>
      <c r="LXC84" s="2567"/>
      <c r="LXD84" s="2567"/>
      <c r="LXE84" s="2567"/>
      <c r="LXF84" s="2567"/>
      <c r="LXG84" s="2567"/>
      <c r="LXH84" s="2567"/>
      <c r="LXI84" s="2567"/>
      <c r="LXJ84" s="2567"/>
      <c r="LXK84" s="2567"/>
      <c r="LXL84" s="2567"/>
      <c r="LXM84" s="2567"/>
      <c r="LXN84" s="2567"/>
      <c r="LXO84" s="2567"/>
      <c r="LXP84" s="2567"/>
      <c r="LXQ84" s="2567"/>
      <c r="LXR84" s="2567"/>
      <c r="LXS84" s="2567"/>
      <c r="LXT84" s="2567"/>
      <c r="LXU84" s="2567"/>
      <c r="LXV84" s="2567"/>
      <c r="LXW84" s="2567"/>
      <c r="LXX84" s="2567"/>
      <c r="LXY84" s="2567"/>
      <c r="LXZ84" s="2567"/>
      <c r="LYA84" s="2567"/>
      <c r="LYB84" s="2567"/>
      <c r="LYC84" s="2567"/>
      <c r="LYD84" s="2567"/>
      <c r="LYE84" s="2567"/>
      <c r="LYF84" s="2567"/>
      <c r="LYG84" s="2567"/>
      <c r="LYH84" s="2567"/>
      <c r="LYI84" s="2567"/>
      <c r="LYJ84" s="2567"/>
      <c r="LYK84" s="2567"/>
      <c r="LYL84" s="2567"/>
      <c r="LYM84" s="2567"/>
      <c r="LYN84" s="2567"/>
      <c r="LYO84" s="2567"/>
      <c r="LYP84" s="2567"/>
      <c r="LYQ84" s="2567"/>
      <c r="LYR84" s="2567"/>
      <c r="LYS84" s="2567"/>
      <c r="LYT84" s="2567"/>
      <c r="LYU84" s="2567"/>
      <c r="LYV84" s="2567"/>
      <c r="LYW84" s="2567"/>
      <c r="LYX84" s="2567"/>
      <c r="LYY84" s="2567"/>
      <c r="LYZ84" s="2567"/>
      <c r="LZA84" s="2567"/>
      <c r="LZB84" s="2567"/>
      <c r="LZC84" s="2567"/>
      <c r="LZD84" s="2567"/>
      <c r="LZE84" s="2567"/>
      <c r="LZF84" s="2567"/>
      <c r="LZG84" s="2567"/>
      <c r="LZH84" s="2567"/>
      <c r="LZI84" s="2567"/>
      <c r="LZJ84" s="2567"/>
      <c r="LZK84" s="2567"/>
      <c r="LZL84" s="2567"/>
      <c r="LZM84" s="2567"/>
      <c r="LZN84" s="2567"/>
      <c r="LZO84" s="2567"/>
      <c r="LZP84" s="2567"/>
      <c r="LZQ84" s="2567"/>
      <c r="LZR84" s="2567"/>
      <c r="LZS84" s="2567"/>
      <c r="LZT84" s="2567"/>
      <c r="LZU84" s="2567"/>
      <c r="LZV84" s="2567"/>
      <c r="LZW84" s="2567"/>
      <c r="LZX84" s="2567"/>
      <c r="LZY84" s="2567"/>
      <c r="LZZ84" s="2567"/>
      <c r="MAA84" s="2567"/>
      <c r="MAB84" s="2567"/>
      <c r="MAC84" s="2567"/>
      <c r="MAD84" s="2567"/>
      <c r="MAE84" s="2567"/>
      <c r="MAF84" s="2567"/>
      <c r="MAG84" s="2567"/>
      <c r="MAH84" s="2567"/>
      <c r="MAI84" s="2567"/>
      <c r="MAJ84" s="2567"/>
      <c r="MAK84" s="2567"/>
      <c r="MAL84" s="2567"/>
      <c r="MAM84" s="2567"/>
      <c r="MAN84" s="2567"/>
      <c r="MAO84" s="2567"/>
      <c r="MAP84" s="2567"/>
      <c r="MAQ84" s="2567"/>
      <c r="MAR84" s="2567"/>
      <c r="MAS84" s="2567"/>
      <c r="MAT84" s="2567"/>
      <c r="MAU84" s="2567"/>
      <c r="MAV84" s="2567"/>
      <c r="MAW84" s="2567"/>
      <c r="MAX84" s="2567"/>
      <c r="MAY84" s="2567"/>
      <c r="MAZ84" s="2567"/>
      <c r="MBA84" s="2567"/>
      <c r="MBB84" s="2567"/>
      <c r="MBC84" s="2567"/>
      <c r="MBD84" s="2567"/>
      <c r="MBE84" s="2567"/>
      <c r="MBF84" s="2567"/>
      <c r="MBG84" s="2567"/>
      <c r="MBH84" s="2567"/>
      <c r="MBI84" s="2567"/>
      <c r="MBJ84" s="2567"/>
      <c r="MBK84" s="2567"/>
      <c r="MBL84" s="2567"/>
      <c r="MBM84" s="2567"/>
      <c r="MBN84" s="2567"/>
      <c r="MBO84" s="2567"/>
      <c r="MBP84" s="2567"/>
      <c r="MBQ84" s="2567"/>
      <c r="MBR84" s="2567"/>
      <c r="MBS84" s="2567"/>
      <c r="MBT84" s="2567"/>
      <c r="MBU84" s="2567"/>
      <c r="MBV84" s="2567"/>
      <c r="MBW84" s="2567"/>
      <c r="MBX84" s="2567"/>
      <c r="MBY84" s="2567"/>
      <c r="MBZ84" s="2567"/>
      <c r="MCA84" s="2567"/>
      <c r="MCB84" s="2567"/>
      <c r="MCC84" s="2567"/>
      <c r="MCD84" s="2567"/>
      <c r="MCE84" s="2567"/>
      <c r="MCF84" s="2567"/>
      <c r="MCG84" s="2567"/>
      <c r="MCH84" s="2567"/>
      <c r="MCI84" s="2567"/>
      <c r="MCJ84" s="2567"/>
      <c r="MCK84" s="2567"/>
      <c r="MCL84" s="2567"/>
      <c r="MCM84" s="2567"/>
      <c r="MCN84" s="2567"/>
      <c r="MCO84" s="2567"/>
      <c r="MCP84" s="2567"/>
      <c r="MCQ84" s="2567"/>
      <c r="MCR84" s="2567"/>
      <c r="MCS84" s="2567"/>
      <c r="MCT84" s="2567"/>
      <c r="MCU84" s="2567"/>
      <c r="MCV84" s="2567"/>
      <c r="MCW84" s="2567"/>
      <c r="MCX84" s="2567"/>
      <c r="MCY84" s="2567"/>
      <c r="MCZ84" s="2567"/>
      <c r="MDA84" s="2567"/>
      <c r="MDB84" s="2567"/>
      <c r="MDC84" s="2567"/>
      <c r="MDD84" s="2567"/>
      <c r="MDE84" s="2567"/>
      <c r="MDF84" s="2567"/>
      <c r="MDG84" s="2567"/>
      <c r="MDH84" s="2567"/>
      <c r="MDI84" s="2567"/>
      <c r="MDJ84" s="2567"/>
      <c r="MDK84" s="2567"/>
      <c r="MDL84" s="2567"/>
      <c r="MDM84" s="2567"/>
      <c r="MDN84" s="2567"/>
      <c r="MDO84" s="2567"/>
      <c r="MDP84" s="2567"/>
      <c r="MDQ84" s="2567"/>
      <c r="MDR84" s="2567"/>
      <c r="MDS84" s="2567"/>
      <c r="MDT84" s="2567"/>
      <c r="MDU84" s="2567"/>
      <c r="MDV84" s="2567"/>
      <c r="MDW84" s="2567"/>
      <c r="MDX84" s="2567"/>
      <c r="MDY84" s="2567"/>
      <c r="MDZ84" s="2567"/>
      <c r="MEA84" s="2567"/>
      <c r="MEB84" s="2567"/>
      <c r="MEC84" s="2567"/>
      <c r="MED84" s="2567"/>
      <c r="MEE84" s="2567"/>
      <c r="MEF84" s="2567"/>
      <c r="MEG84" s="2567"/>
      <c r="MEH84" s="2567"/>
      <c r="MEI84" s="2567"/>
      <c r="MEJ84" s="2567"/>
      <c r="MEK84" s="2567"/>
      <c r="MEL84" s="2567"/>
      <c r="MEM84" s="2567"/>
      <c r="MEN84" s="2567"/>
      <c r="MEO84" s="2567"/>
      <c r="MEP84" s="2567"/>
      <c r="MEQ84" s="2567"/>
      <c r="MER84" s="2567"/>
      <c r="MES84" s="2567"/>
      <c r="MET84" s="2567"/>
      <c r="MEU84" s="2567"/>
      <c r="MEV84" s="2567"/>
      <c r="MEW84" s="2567"/>
      <c r="MEX84" s="2567"/>
      <c r="MEY84" s="2567"/>
      <c r="MEZ84" s="2567"/>
      <c r="MFA84" s="2567"/>
      <c r="MFB84" s="2567"/>
      <c r="MFC84" s="2567"/>
      <c r="MFD84" s="2567"/>
      <c r="MFE84" s="2567"/>
      <c r="MFF84" s="2567"/>
      <c r="MFG84" s="2567"/>
      <c r="MFH84" s="2567"/>
      <c r="MFI84" s="2567"/>
      <c r="MFJ84" s="2567"/>
      <c r="MFK84" s="2567"/>
      <c r="MFL84" s="2567"/>
      <c r="MFM84" s="2567"/>
      <c r="MFN84" s="2567"/>
      <c r="MFO84" s="2567"/>
      <c r="MFP84" s="2567"/>
      <c r="MFQ84" s="2567"/>
      <c r="MFR84" s="2567"/>
      <c r="MFS84" s="2567"/>
      <c r="MFT84" s="2567"/>
      <c r="MFU84" s="2567"/>
      <c r="MFV84" s="2567"/>
      <c r="MFW84" s="2567"/>
      <c r="MFX84" s="2567"/>
      <c r="MFY84" s="2567"/>
      <c r="MFZ84" s="2567"/>
      <c r="MGA84" s="2567"/>
      <c r="MGB84" s="2567"/>
      <c r="MGC84" s="2567"/>
      <c r="MGD84" s="2567"/>
      <c r="MGE84" s="2567"/>
      <c r="MGF84" s="2567"/>
      <c r="MGG84" s="2567"/>
      <c r="MGH84" s="2567"/>
      <c r="MGI84" s="2567"/>
      <c r="MGJ84" s="2567"/>
      <c r="MGK84" s="2567"/>
      <c r="MGL84" s="2567"/>
      <c r="MGM84" s="2567"/>
      <c r="MGN84" s="2567"/>
      <c r="MGO84" s="2567"/>
      <c r="MGP84" s="2567"/>
      <c r="MGQ84" s="2567"/>
      <c r="MGR84" s="2567"/>
      <c r="MGS84" s="2567"/>
      <c r="MGT84" s="2567"/>
      <c r="MGU84" s="2567"/>
      <c r="MGV84" s="2567"/>
      <c r="MGW84" s="2567"/>
      <c r="MGX84" s="2567"/>
      <c r="MGY84" s="2567"/>
      <c r="MGZ84" s="2567"/>
      <c r="MHA84" s="2567"/>
      <c r="MHB84" s="2567"/>
      <c r="MHC84" s="2567"/>
      <c r="MHD84" s="2567"/>
      <c r="MHE84" s="2567"/>
      <c r="MHF84" s="2567"/>
      <c r="MHG84" s="2567"/>
      <c r="MHH84" s="2567"/>
      <c r="MHI84" s="2567"/>
      <c r="MHJ84" s="2567"/>
      <c r="MHK84" s="2567"/>
      <c r="MHL84" s="2567"/>
      <c r="MHM84" s="2567"/>
      <c r="MHN84" s="2567"/>
      <c r="MHO84" s="2567"/>
      <c r="MHP84" s="2567"/>
      <c r="MHQ84" s="2567"/>
      <c r="MHR84" s="2567"/>
      <c r="MHS84" s="2567"/>
      <c r="MHT84" s="2567"/>
      <c r="MHU84" s="2567"/>
      <c r="MHV84" s="2567"/>
      <c r="MHW84" s="2567"/>
      <c r="MHX84" s="2567"/>
      <c r="MHY84" s="2567"/>
      <c r="MHZ84" s="2567"/>
      <c r="MIA84" s="2567"/>
      <c r="MIB84" s="2567"/>
      <c r="MIC84" s="2567"/>
      <c r="MID84" s="2567"/>
      <c r="MIE84" s="2567"/>
      <c r="MIF84" s="2567"/>
      <c r="MIG84" s="2567"/>
      <c r="MIH84" s="2567"/>
      <c r="MII84" s="2567"/>
      <c r="MIJ84" s="2567"/>
      <c r="MIK84" s="2567"/>
      <c r="MIL84" s="2567"/>
      <c r="MIM84" s="2567"/>
      <c r="MIN84" s="2567"/>
      <c r="MIO84" s="2567"/>
      <c r="MIP84" s="2567"/>
      <c r="MIQ84" s="2567"/>
      <c r="MIR84" s="2567"/>
      <c r="MIS84" s="2567"/>
      <c r="MIT84" s="2567"/>
      <c r="MIU84" s="2567"/>
      <c r="MIV84" s="2567"/>
      <c r="MIW84" s="2567"/>
      <c r="MIX84" s="2567"/>
      <c r="MIY84" s="2567"/>
      <c r="MIZ84" s="2567"/>
      <c r="MJA84" s="2567"/>
      <c r="MJB84" s="2567"/>
      <c r="MJC84" s="2567"/>
      <c r="MJD84" s="2567"/>
      <c r="MJE84" s="2567"/>
      <c r="MJF84" s="2567"/>
      <c r="MJG84" s="2567"/>
      <c r="MJH84" s="2567"/>
      <c r="MJI84" s="2567"/>
      <c r="MJJ84" s="2567"/>
      <c r="MJK84" s="2567"/>
      <c r="MJL84" s="2567"/>
      <c r="MJM84" s="2567"/>
      <c r="MJN84" s="2567"/>
      <c r="MJO84" s="2567"/>
      <c r="MJP84" s="2567"/>
      <c r="MJQ84" s="2567"/>
      <c r="MJR84" s="2567"/>
      <c r="MJS84" s="2567"/>
      <c r="MJT84" s="2567"/>
      <c r="MJU84" s="2567"/>
      <c r="MJV84" s="2567"/>
      <c r="MJW84" s="2567"/>
      <c r="MJX84" s="2567"/>
      <c r="MJY84" s="2567"/>
      <c r="MJZ84" s="2567"/>
      <c r="MKA84" s="2567"/>
      <c r="MKB84" s="2567"/>
      <c r="MKC84" s="2567"/>
      <c r="MKD84" s="2567"/>
      <c r="MKE84" s="2567"/>
      <c r="MKF84" s="2567"/>
      <c r="MKG84" s="2567"/>
      <c r="MKH84" s="2567"/>
      <c r="MKI84" s="2567"/>
      <c r="MKJ84" s="2567"/>
      <c r="MKK84" s="2567"/>
      <c r="MKL84" s="2567"/>
      <c r="MKM84" s="2567"/>
      <c r="MKN84" s="2567"/>
      <c r="MKO84" s="2567"/>
      <c r="MKP84" s="2567"/>
      <c r="MKQ84" s="2567"/>
      <c r="MKR84" s="2567"/>
      <c r="MKS84" s="2567"/>
      <c r="MKT84" s="2567"/>
      <c r="MKU84" s="2567"/>
      <c r="MKV84" s="2567"/>
      <c r="MKW84" s="2567"/>
      <c r="MKX84" s="2567"/>
      <c r="MKY84" s="2567"/>
      <c r="MKZ84" s="2567"/>
      <c r="MLA84" s="2567"/>
      <c r="MLB84" s="2567"/>
      <c r="MLC84" s="2567"/>
      <c r="MLD84" s="2567"/>
      <c r="MLE84" s="2567"/>
      <c r="MLF84" s="2567"/>
      <c r="MLG84" s="2567"/>
      <c r="MLH84" s="2567"/>
      <c r="MLI84" s="2567"/>
      <c r="MLJ84" s="2567"/>
      <c r="MLK84" s="2567"/>
      <c r="MLL84" s="2567"/>
      <c r="MLM84" s="2567"/>
      <c r="MLN84" s="2567"/>
      <c r="MLO84" s="2567"/>
      <c r="MLP84" s="2567"/>
      <c r="MLQ84" s="2567"/>
      <c r="MLR84" s="2567"/>
      <c r="MLS84" s="2567"/>
      <c r="MLT84" s="2567"/>
      <c r="MLU84" s="2567"/>
      <c r="MLV84" s="2567"/>
      <c r="MLW84" s="2567"/>
      <c r="MLX84" s="2567"/>
      <c r="MLY84" s="2567"/>
      <c r="MLZ84" s="2567"/>
      <c r="MMA84" s="2567"/>
      <c r="MMB84" s="2567"/>
      <c r="MMC84" s="2567"/>
      <c r="MMD84" s="2567"/>
      <c r="MME84" s="2567"/>
      <c r="MMF84" s="2567"/>
      <c r="MMG84" s="2567"/>
      <c r="MMH84" s="2567"/>
      <c r="MMI84" s="2567"/>
      <c r="MMJ84" s="2567"/>
      <c r="MMK84" s="2567"/>
      <c r="MML84" s="2567"/>
      <c r="MMM84" s="2567"/>
      <c r="MMN84" s="2567"/>
      <c r="MMO84" s="2567"/>
      <c r="MMP84" s="2567"/>
      <c r="MMQ84" s="2567"/>
      <c r="MMR84" s="2567"/>
      <c r="MMS84" s="2567"/>
      <c r="MMT84" s="2567"/>
      <c r="MMU84" s="2567"/>
      <c r="MMV84" s="2567"/>
      <c r="MMW84" s="2567"/>
      <c r="MMX84" s="2567"/>
      <c r="MMY84" s="2567"/>
      <c r="MMZ84" s="2567"/>
      <c r="MNA84" s="2567"/>
      <c r="MNB84" s="2567"/>
      <c r="MNC84" s="2567"/>
      <c r="MND84" s="2567"/>
      <c r="MNE84" s="2567"/>
      <c r="MNF84" s="2567"/>
      <c r="MNG84" s="2567"/>
      <c r="MNH84" s="2567"/>
      <c r="MNI84" s="2567"/>
      <c r="MNJ84" s="2567"/>
      <c r="MNK84" s="2567"/>
      <c r="MNL84" s="2567"/>
      <c r="MNM84" s="2567"/>
      <c r="MNN84" s="2567"/>
      <c r="MNO84" s="2567"/>
      <c r="MNP84" s="2567"/>
      <c r="MNQ84" s="2567"/>
      <c r="MNR84" s="2567"/>
      <c r="MNS84" s="2567"/>
      <c r="MNT84" s="2567"/>
      <c r="MNU84" s="2567"/>
      <c r="MNV84" s="2567"/>
      <c r="MNW84" s="2567"/>
      <c r="MNX84" s="2567"/>
      <c r="MNY84" s="2567"/>
      <c r="MNZ84" s="2567"/>
      <c r="MOA84" s="2567"/>
      <c r="MOB84" s="2567"/>
      <c r="MOC84" s="2567"/>
      <c r="MOD84" s="2567"/>
      <c r="MOE84" s="2567"/>
      <c r="MOF84" s="2567"/>
      <c r="MOG84" s="2567"/>
      <c r="MOH84" s="2567"/>
      <c r="MOI84" s="2567"/>
      <c r="MOJ84" s="2567"/>
      <c r="MOK84" s="2567"/>
      <c r="MOL84" s="2567"/>
      <c r="MOM84" s="2567"/>
      <c r="MON84" s="2567"/>
      <c r="MOO84" s="2567"/>
      <c r="MOP84" s="2567"/>
      <c r="MOQ84" s="2567"/>
      <c r="MOR84" s="2567"/>
      <c r="MOS84" s="2567"/>
      <c r="MOT84" s="2567"/>
      <c r="MOU84" s="2567"/>
      <c r="MOV84" s="2567"/>
      <c r="MOW84" s="2567"/>
      <c r="MOX84" s="2567"/>
      <c r="MOY84" s="2567"/>
      <c r="MOZ84" s="2567"/>
      <c r="MPA84" s="2567"/>
      <c r="MPB84" s="2567"/>
      <c r="MPC84" s="2567"/>
      <c r="MPD84" s="2567"/>
      <c r="MPE84" s="2567"/>
      <c r="MPF84" s="2567"/>
      <c r="MPG84" s="2567"/>
      <c r="MPH84" s="2567"/>
      <c r="MPI84" s="2567"/>
      <c r="MPJ84" s="2567"/>
      <c r="MPK84" s="2567"/>
      <c r="MPL84" s="2567"/>
      <c r="MPM84" s="2567"/>
      <c r="MPN84" s="2567"/>
      <c r="MPO84" s="2567"/>
      <c r="MPP84" s="2567"/>
      <c r="MPQ84" s="2567"/>
      <c r="MPR84" s="2567"/>
      <c r="MPS84" s="2567"/>
      <c r="MPT84" s="2567"/>
      <c r="MPU84" s="2567"/>
      <c r="MPV84" s="2567"/>
      <c r="MPW84" s="2567"/>
      <c r="MPX84" s="2567"/>
      <c r="MPY84" s="2567"/>
      <c r="MPZ84" s="2567"/>
      <c r="MQA84" s="2567"/>
      <c r="MQB84" s="2567"/>
      <c r="MQC84" s="2567"/>
      <c r="MQD84" s="2567"/>
      <c r="MQE84" s="2567"/>
      <c r="MQF84" s="2567"/>
      <c r="MQG84" s="2567"/>
      <c r="MQH84" s="2567"/>
      <c r="MQI84" s="2567"/>
      <c r="MQJ84" s="2567"/>
      <c r="MQK84" s="2567"/>
      <c r="MQL84" s="2567"/>
      <c r="MQM84" s="2567"/>
      <c r="MQN84" s="2567"/>
      <c r="MQO84" s="2567"/>
      <c r="MQP84" s="2567"/>
      <c r="MQQ84" s="2567"/>
      <c r="MQR84" s="2567"/>
      <c r="MQS84" s="2567"/>
      <c r="MQT84" s="2567"/>
      <c r="MQU84" s="2567"/>
      <c r="MQV84" s="2567"/>
      <c r="MQW84" s="2567"/>
      <c r="MQX84" s="2567"/>
      <c r="MQY84" s="2567"/>
      <c r="MQZ84" s="2567"/>
      <c r="MRA84" s="2567"/>
      <c r="MRB84" s="2567"/>
      <c r="MRC84" s="2567"/>
      <c r="MRD84" s="2567"/>
      <c r="MRE84" s="2567"/>
      <c r="MRF84" s="2567"/>
      <c r="MRG84" s="2567"/>
      <c r="MRH84" s="2567"/>
      <c r="MRI84" s="2567"/>
      <c r="MRJ84" s="2567"/>
      <c r="MRK84" s="2567"/>
      <c r="MRL84" s="2567"/>
      <c r="MRM84" s="2567"/>
      <c r="MRN84" s="2567"/>
      <c r="MRO84" s="2567"/>
      <c r="MRP84" s="2567"/>
      <c r="MRQ84" s="2567"/>
      <c r="MRR84" s="2567"/>
      <c r="MRS84" s="2567"/>
      <c r="MRT84" s="2567"/>
      <c r="MRU84" s="2567"/>
      <c r="MRV84" s="2567"/>
      <c r="MRW84" s="2567"/>
      <c r="MRX84" s="2567"/>
      <c r="MRY84" s="2567"/>
      <c r="MRZ84" s="2567"/>
      <c r="MSA84" s="2567"/>
      <c r="MSB84" s="2567"/>
      <c r="MSC84" s="2567"/>
      <c r="MSD84" s="2567"/>
      <c r="MSE84" s="2567"/>
      <c r="MSF84" s="2567"/>
      <c r="MSG84" s="2567"/>
      <c r="MSH84" s="2567"/>
      <c r="MSI84" s="2567"/>
      <c r="MSJ84" s="2567"/>
      <c r="MSK84" s="2567"/>
      <c r="MSL84" s="2567"/>
      <c r="MSM84" s="2567"/>
      <c r="MSN84" s="2567"/>
      <c r="MSO84" s="2567"/>
      <c r="MSP84" s="2567"/>
      <c r="MSQ84" s="2567"/>
      <c r="MSR84" s="2567"/>
      <c r="MSS84" s="2567"/>
      <c r="MST84" s="2567"/>
      <c r="MSU84" s="2567"/>
      <c r="MSV84" s="2567"/>
      <c r="MSW84" s="2567"/>
      <c r="MSX84" s="2567"/>
      <c r="MSY84" s="2567"/>
      <c r="MSZ84" s="2567"/>
      <c r="MTA84" s="2567"/>
      <c r="MTB84" s="2567"/>
      <c r="MTC84" s="2567"/>
      <c r="MTD84" s="2567"/>
      <c r="MTE84" s="2567"/>
      <c r="MTF84" s="2567"/>
      <c r="MTG84" s="2567"/>
      <c r="MTH84" s="2567"/>
      <c r="MTI84" s="2567"/>
      <c r="MTJ84" s="2567"/>
      <c r="MTK84" s="2567"/>
      <c r="MTL84" s="2567"/>
      <c r="MTM84" s="2567"/>
      <c r="MTN84" s="2567"/>
      <c r="MTO84" s="2567"/>
      <c r="MTP84" s="2567"/>
      <c r="MTQ84" s="2567"/>
      <c r="MTR84" s="2567"/>
      <c r="MTS84" s="2567"/>
      <c r="MTT84" s="2567"/>
      <c r="MTU84" s="2567"/>
      <c r="MTV84" s="2567"/>
      <c r="MTW84" s="2567"/>
      <c r="MTX84" s="2567"/>
      <c r="MTY84" s="2567"/>
      <c r="MTZ84" s="2567"/>
      <c r="MUA84" s="2567"/>
      <c r="MUB84" s="2567"/>
      <c r="MUC84" s="2567"/>
      <c r="MUD84" s="2567"/>
      <c r="MUE84" s="2567"/>
      <c r="MUF84" s="2567"/>
      <c r="MUG84" s="2567"/>
      <c r="MUH84" s="2567"/>
      <c r="MUI84" s="2567"/>
      <c r="MUJ84" s="2567"/>
      <c r="MUK84" s="2567"/>
      <c r="MUL84" s="2567"/>
      <c r="MUM84" s="2567"/>
      <c r="MUN84" s="2567"/>
      <c r="MUO84" s="2567"/>
      <c r="MUP84" s="2567"/>
      <c r="MUQ84" s="2567"/>
      <c r="MUR84" s="2567"/>
      <c r="MUS84" s="2567"/>
      <c r="MUT84" s="2567"/>
      <c r="MUU84" s="2567"/>
      <c r="MUV84" s="2567"/>
      <c r="MUW84" s="2567"/>
      <c r="MUX84" s="2567"/>
      <c r="MUY84" s="2567"/>
      <c r="MUZ84" s="2567"/>
      <c r="MVA84" s="2567"/>
      <c r="MVB84" s="2567"/>
      <c r="MVC84" s="2567"/>
      <c r="MVD84" s="2567"/>
      <c r="MVE84" s="2567"/>
      <c r="MVF84" s="2567"/>
      <c r="MVG84" s="2567"/>
      <c r="MVH84" s="2567"/>
      <c r="MVI84" s="2567"/>
      <c r="MVJ84" s="2567"/>
      <c r="MVK84" s="2567"/>
      <c r="MVL84" s="2567"/>
      <c r="MVM84" s="2567"/>
      <c r="MVN84" s="2567"/>
      <c r="MVO84" s="2567"/>
      <c r="MVP84" s="2567"/>
      <c r="MVQ84" s="2567"/>
      <c r="MVR84" s="2567"/>
      <c r="MVS84" s="2567"/>
      <c r="MVT84" s="2567"/>
      <c r="MVU84" s="2567"/>
      <c r="MVV84" s="2567"/>
      <c r="MVW84" s="2567"/>
      <c r="MVX84" s="2567"/>
      <c r="MVY84" s="2567"/>
      <c r="MVZ84" s="2567"/>
      <c r="MWA84" s="2567"/>
      <c r="MWB84" s="2567"/>
      <c r="MWC84" s="2567"/>
      <c r="MWD84" s="2567"/>
      <c r="MWE84" s="2567"/>
      <c r="MWF84" s="2567"/>
      <c r="MWG84" s="2567"/>
      <c r="MWH84" s="2567"/>
      <c r="MWI84" s="2567"/>
      <c r="MWJ84" s="2567"/>
      <c r="MWK84" s="2567"/>
      <c r="MWL84" s="2567"/>
      <c r="MWM84" s="2567"/>
      <c r="MWN84" s="2567"/>
      <c r="MWO84" s="2567"/>
      <c r="MWP84" s="2567"/>
      <c r="MWQ84" s="2567"/>
      <c r="MWR84" s="2567"/>
      <c r="MWS84" s="2567"/>
      <c r="MWT84" s="2567"/>
      <c r="MWU84" s="2567"/>
      <c r="MWV84" s="2567"/>
      <c r="MWW84" s="2567"/>
      <c r="MWX84" s="2567"/>
      <c r="MWY84" s="2567"/>
      <c r="MWZ84" s="2567"/>
      <c r="MXA84" s="2567"/>
      <c r="MXB84" s="2567"/>
      <c r="MXC84" s="2567"/>
      <c r="MXD84" s="2567"/>
      <c r="MXE84" s="2567"/>
      <c r="MXF84" s="2567"/>
      <c r="MXG84" s="2567"/>
      <c r="MXH84" s="2567"/>
      <c r="MXI84" s="2567"/>
      <c r="MXJ84" s="2567"/>
      <c r="MXK84" s="2567"/>
      <c r="MXL84" s="2567"/>
      <c r="MXM84" s="2567"/>
      <c r="MXN84" s="2567"/>
      <c r="MXO84" s="2567"/>
      <c r="MXP84" s="2567"/>
      <c r="MXQ84" s="2567"/>
      <c r="MXR84" s="2567"/>
      <c r="MXS84" s="2567"/>
      <c r="MXT84" s="2567"/>
      <c r="MXU84" s="2567"/>
      <c r="MXV84" s="2567"/>
      <c r="MXW84" s="2567"/>
      <c r="MXX84" s="2567"/>
      <c r="MXY84" s="2567"/>
      <c r="MXZ84" s="2567"/>
      <c r="MYA84" s="2567"/>
      <c r="MYB84" s="2567"/>
      <c r="MYC84" s="2567"/>
      <c r="MYD84" s="2567"/>
      <c r="MYE84" s="2567"/>
      <c r="MYF84" s="2567"/>
      <c r="MYG84" s="2567"/>
      <c r="MYH84" s="2567"/>
      <c r="MYI84" s="2567"/>
      <c r="MYJ84" s="2567"/>
      <c r="MYK84" s="2567"/>
      <c r="MYL84" s="2567"/>
      <c r="MYM84" s="2567"/>
      <c r="MYN84" s="2567"/>
      <c r="MYO84" s="2567"/>
      <c r="MYP84" s="2567"/>
      <c r="MYQ84" s="2567"/>
      <c r="MYR84" s="2567"/>
      <c r="MYS84" s="2567"/>
      <c r="MYT84" s="2567"/>
      <c r="MYU84" s="2567"/>
      <c r="MYV84" s="2567"/>
      <c r="MYW84" s="2567"/>
      <c r="MYX84" s="2567"/>
      <c r="MYY84" s="2567"/>
      <c r="MYZ84" s="2567"/>
      <c r="MZA84" s="2567"/>
      <c r="MZB84" s="2567"/>
      <c r="MZC84" s="2567"/>
      <c r="MZD84" s="2567"/>
      <c r="MZE84" s="2567"/>
      <c r="MZF84" s="2567"/>
      <c r="MZG84" s="2567"/>
      <c r="MZH84" s="2567"/>
      <c r="MZI84" s="2567"/>
      <c r="MZJ84" s="2567"/>
      <c r="MZK84" s="2567"/>
      <c r="MZL84" s="2567"/>
      <c r="MZM84" s="2567"/>
      <c r="MZN84" s="2567"/>
      <c r="MZO84" s="2567"/>
      <c r="MZP84" s="2567"/>
      <c r="MZQ84" s="2567"/>
      <c r="MZR84" s="2567"/>
      <c r="MZS84" s="2567"/>
      <c r="MZT84" s="2567"/>
      <c r="MZU84" s="2567"/>
      <c r="MZV84" s="2567"/>
      <c r="MZW84" s="2567"/>
      <c r="MZX84" s="2567"/>
      <c r="MZY84" s="2567"/>
      <c r="MZZ84" s="2567"/>
      <c r="NAA84" s="2567"/>
      <c r="NAB84" s="2567"/>
      <c r="NAC84" s="2567"/>
      <c r="NAD84" s="2567"/>
      <c r="NAE84" s="2567"/>
      <c r="NAF84" s="2567"/>
      <c r="NAG84" s="2567"/>
      <c r="NAH84" s="2567"/>
      <c r="NAI84" s="2567"/>
      <c r="NAJ84" s="2567"/>
      <c r="NAK84" s="2567"/>
      <c r="NAL84" s="2567"/>
      <c r="NAM84" s="2567"/>
      <c r="NAN84" s="2567"/>
      <c r="NAO84" s="2567"/>
      <c r="NAP84" s="2567"/>
      <c r="NAQ84" s="2567"/>
      <c r="NAR84" s="2567"/>
      <c r="NAS84" s="2567"/>
      <c r="NAT84" s="2567"/>
      <c r="NAU84" s="2567"/>
      <c r="NAV84" s="2567"/>
      <c r="NAW84" s="2567"/>
      <c r="NAX84" s="2567"/>
      <c r="NAY84" s="2567"/>
      <c r="NAZ84" s="2567"/>
      <c r="NBA84" s="2567"/>
      <c r="NBB84" s="2567"/>
      <c r="NBC84" s="2567"/>
      <c r="NBD84" s="2567"/>
      <c r="NBE84" s="2567"/>
      <c r="NBF84" s="2567"/>
      <c r="NBG84" s="2567"/>
      <c r="NBH84" s="2567"/>
      <c r="NBI84" s="2567"/>
      <c r="NBJ84" s="2567"/>
      <c r="NBK84" s="2567"/>
      <c r="NBL84" s="2567"/>
      <c r="NBM84" s="2567"/>
      <c r="NBN84" s="2567"/>
      <c r="NBO84" s="2567"/>
      <c r="NBP84" s="2567"/>
      <c r="NBQ84" s="2567"/>
      <c r="NBR84" s="2567"/>
      <c r="NBS84" s="2567"/>
      <c r="NBT84" s="2567"/>
      <c r="NBU84" s="2567"/>
      <c r="NBV84" s="2567"/>
      <c r="NBW84" s="2567"/>
      <c r="NBX84" s="2567"/>
      <c r="NBY84" s="2567"/>
      <c r="NBZ84" s="2567"/>
      <c r="NCA84" s="2567"/>
      <c r="NCB84" s="2567"/>
      <c r="NCC84" s="2567"/>
      <c r="NCD84" s="2567"/>
      <c r="NCE84" s="2567"/>
      <c r="NCF84" s="2567"/>
      <c r="NCG84" s="2567"/>
      <c r="NCH84" s="2567"/>
      <c r="NCI84" s="2567"/>
      <c r="NCJ84" s="2567"/>
      <c r="NCK84" s="2567"/>
      <c r="NCL84" s="2567"/>
      <c r="NCM84" s="2567"/>
      <c r="NCN84" s="2567"/>
      <c r="NCO84" s="2567"/>
      <c r="NCP84" s="2567"/>
      <c r="NCQ84" s="2567"/>
      <c r="NCR84" s="2567"/>
      <c r="NCS84" s="2567"/>
      <c r="NCT84" s="2567"/>
      <c r="NCU84" s="2567"/>
      <c r="NCV84" s="2567"/>
      <c r="NCW84" s="2567"/>
      <c r="NCX84" s="2567"/>
      <c r="NCY84" s="2567"/>
      <c r="NCZ84" s="2567"/>
      <c r="NDA84" s="2567"/>
      <c r="NDB84" s="2567"/>
      <c r="NDC84" s="2567"/>
      <c r="NDD84" s="2567"/>
      <c r="NDE84" s="2567"/>
      <c r="NDF84" s="2567"/>
      <c r="NDG84" s="2567"/>
      <c r="NDH84" s="2567"/>
      <c r="NDI84" s="2567"/>
      <c r="NDJ84" s="2567"/>
      <c r="NDK84" s="2567"/>
      <c r="NDL84" s="2567"/>
      <c r="NDM84" s="2567"/>
      <c r="NDN84" s="2567"/>
      <c r="NDO84" s="2567"/>
      <c r="NDP84" s="2567"/>
      <c r="NDQ84" s="2567"/>
      <c r="NDR84" s="2567"/>
      <c r="NDS84" s="2567"/>
      <c r="NDT84" s="2567"/>
      <c r="NDU84" s="2567"/>
      <c r="NDV84" s="2567"/>
      <c r="NDW84" s="2567"/>
      <c r="NDX84" s="2567"/>
      <c r="NDY84" s="2567"/>
      <c r="NDZ84" s="2567"/>
      <c r="NEA84" s="2567"/>
      <c r="NEB84" s="2567"/>
      <c r="NEC84" s="2567"/>
      <c r="NED84" s="2567"/>
      <c r="NEE84" s="2567"/>
      <c r="NEF84" s="2567"/>
      <c r="NEG84" s="2567"/>
      <c r="NEH84" s="2567"/>
      <c r="NEI84" s="2567"/>
      <c r="NEJ84" s="2567"/>
      <c r="NEK84" s="2567"/>
      <c r="NEL84" s="2567"/>
      <c r="NEM84" s="2567"/>
      <c r="NEN84" s="2567"/>
      <c r="NEO84" s="2567"/>
      <c r="NEP84" s="2567"/>
      <c r="NEQ84" s="2567"/>
      <c r="NER84" s="2567"/>
      <c r="NES84" s="2567"/>
      <c r="NET84" s="2567"/>
      <c r="NEU84" s="2567"/>
      <c r="NEV84" s="2567"/>
      <c r="NEW84" s="2567"/>
      <c r="NEX84" s="2567"/>
      <c r="NEY84" s="2567"/>
      <c r="NEZ84" s="2567"/>
      <c r="NFA84" s="2567"/>
      <c r="NFB84" s="2567"/>
      <c r="NFC84" s="2567"/>
      <c r="NFD84" s="2567"/>
      <c r="NFE84" s="2567"/>
      <c r="NFF84" s="2567"/>
      <c r="NFG84" s="2567"/>
      <c r="NFH84" s="2567"/>
      <c r="NFI84" s="2567"/>
      <c r="NFJ84" s="2567"/>
      <c r="NFK84" s="2567"/>
      <c r="NFL84" s="2567"/>
      <c r="NFM84" s="2567"/>
      <c r="NFN84" s="2567"/>
      <c r="NFO84" s="2567"/>
      <c r="NFP84" s="2567"/>
      <c r="NFQ84" s="2567"/>
      <c r="NFR84" s="2567"/>
      <c r="NFS84" s="2567"/>
      <c r="NFT84" s="2567"/>
      <c r="NFU84" s="2567"/>
      <c r="NFV84" s="2567"/>
      <c r="NFW84" s="2567"/>
      <c r="NFX84" s="2567"/>
      <c r="NFY84" s="2567"/>
      <c r="NFZ84" s="2567"/>
      <c r="NGA84" s="2567"/>
      <c r="NGB84" s="2567"/>
      <c r="NGC84" s="2567"/>
      <c r="NGD84" s="2567"/>
      <c r="NGE84" s="2567"/>
      <c r="NGF84" s="2567"/>
      <c r="NGG84" s="2567"/>
      <c r="NGH84" s="2567"/>
      <c r="NGI84" s="2567"/>
      <c r="NGJ84" s="2567"/>
      <c r="NGK84" s="2567"/>
      <c r="NGL84" s="2567"/>
      <c r="NGM84" s="2567"/>
      <c r="NGN84" s="2567"/>
      <c r="NGO84" s="2567"/>
      <c r="NGP84" s="2567"/>
      <c r="NGQ84" s="2567"/>
      <c r="NGR84" s="2567"/>
      <c r="NGS84" s="2567"/>
      <c r="NGT84" s="2567"/>
      <c r="NGU84" s="2567"/>
      <c r="NGV84" s="2567"/>
      <c r="NGW84" s="2567"/>
      <c r="NGX84" s="2567"/>
      <c r="NGY84" s="2567"/>
      <c r="NGZ84" s="2567"/>
      <c r="NHA84" s="2567"/>
      <c r="NHB84" s="2567"/>
      <c r="NHC84" s="2567"/>
      <c r="NHD84" s="2567"/>
      <c r="NHE84" s="2567"/>
      <c r="NHF84" s="2567"/>
      <c r="NHG84" s="2567"/>
      <c r="NHH84" s="2567"/>
      <c r="NHI84" s="2567"/>
      <c r="NHJ84" s="2567"/>
      <c r="NHK84" s="2567"/>
      <c r="NHL84" s="2567"/>
      <c r="NHM84" s="2567"/>
      <c r="NHN84" s="2567"/>
      <c r="NHO84" s="2567"/>
      <c r="NHP84" s="2567"/>
      <c r="NHQ84" s="2567"/>
      <c r="NHR84" s="2567"/>
      <c r="NHS84" s="2567"/>
      <c r="NHT84" s="2567"/>
      <c r="NHU84" s="2567"/>
      <c r="NHV84" s="2567"/>
      <c r="NHW84" s="2567"/>
      <c r="NHX84" s="2567"/>
      <c r="NHY84" s="2567"/>
      <c r="NHZ84" s="2567"/>
      <c r="NIA84" s="2567"/>
      <c r="NIB84" s="2567"/>
      <c r="NIC84" s="2567"/>
      <c r="NID84" s="2567"/>
      <c r="NIE84" s="2567"/>
      <c r="NIF84" s="2567"/>
      <c r="NIG84" s="2567"/>
      <c r="NIH84" s="2567"/>
      <c r="NII84" s="2567"/>
      <c r="NIJ84" s="2567"/>
      <c r="NIK84" s="2567"/>
      <c r="NIL84" s="2567"/>
      <c r="NIM84" s="2567"/>
      <c r="NIN84" s="2567"/>
      <c r="NIO84" s="2567"/>
      <c r="NIP84" s="2567"/>
      <c r="NIQ84" s="2567"/>
      <c r="NIR84" s="2567"/>
      <c r="NIS84" s="2567"/>
      <c r="NIT84" s="2567"/>
      <c r="NIU84" s="2567"/>
      <c r="NIV84" s="2567"/>
      <c r="NIW84" s="2567"/>
      <c r="NIX84" s="2567"/>
      <c r="NIY84" s="2567"/>
      <c r="NIZ84" s="2567"/>
      <c r="NJA84" s="2567"/>
      <c r="NJB84" s="2567"/>
      <c r="NJC84" s="2567"/>
      <c r="NJD84" s="2567"/>
      <c r="NJE84" s="2567"/>
      <c r="NJF84" s="2567"/>
      <c r="NJG84" s="2567"/>
      <c r="NJH84" s="2567"/>
      <c r="NJI84" s="2567"/>
      <c r="NJJ84" s="2567"/>
      <c r="NJK84" s="2567"/>
      <c r="NJL84" s="2567"/>
      <c r="NJM84" s="2567"/>
      <c r="NJN84" s="2567"/>
      <c r="NJO84" s="2567"/>
      <c r="NJP84" s="2567"/>
      <c r="NJQ84" s="2567"/>
      <c r="NJR84" s="2567"/>
      <c r="NJS84" s="2567"/>
      <c r="NJT84" s="2567"/>
      <c r="NJU84" s="2567"/>
      <c r="NJV84" s="2567"/>
      <c r="NJW84" s="2567"/>
      <c r="NJX84" s="2567"/>
      <c r="NJY84" s="2567"/>
      <c r="NJZ84" s="2567"/>
      <c r="NKA84" s="2567"/>
      <c r="NKB84" s="2567"/>
      <c r="NKC84" s="2567"/>
      <c r="NKD84" s="2567"/>
      <c r="NKE84" s="2567"/>
      <c r="NKF84" s="2567"/>
      <c r="NKG84" s="2567"/>
      <c r="NKH84" s="2567"/>
      <c r="NKI84" s="2567"/>
      <c r="NKJ84" s="2567"/>
      <c r="NKK84" s="2567"/>
      <c r="NKL84" s="2567"/>
      <c r="NKM84" s="2567"/>
      <c r="NKN84" s="2567"/>
      <c r="NKO84" s="2567"/>
      <c r="NKP84" s="2567"/>
      <c r="NKQ84" s="2567"/>
      <c r="NKR84" s="2567"/>
      <c r="NKS84" s="2567"/>
      <c r="NKT84" s="2567"/>
      <c r="NKU84" s="2567"/>
      <c r="NKV84" s="2567"/>
      <c r="NKW84" s="2567"/>
      <c r="NKX84" s="2567"/>
      <c r="NKY84" s="2567"/>
      <c r="NKZ84" s="2567"/>
      <c r="NLA84" s="2567"/>
      <c r="NLB84" s="2567"/>
      <c r="NLC84" s="2567"/>
      <c r="NLD84" s="2567"/>
      <c r="NLE84" s="2567"/>
      <c r="NLF84" s="2567"/>
      <c r="NLG84" s="2567"/>
      <c r="NLH84" s="2567"/>
      <c r="NLI84" s="2567"/>
      <c r="NLJ84" s="2567"/>
      <c r="NLK84" s="2567"/>
      <c r="NLL84" s="2567"/>
      <c r="NLM84" s="2567"/>
      <c r="NLN84" s="2567"/>
      <c r="NLO84" s="2567"/>
      <c r="NLP84" s="2567"/>
      <c r="NLQ84" s="2567"/>
      <c r="NLR84" s="2567"/>
      <c r="NLS84" s="2567"/>
      <c r="NLT84" s="2567"/>
      <c r="NLU84" s="2567"/>
      <c r="NLV84" s="2567"/>
      <c r="NLW84" s="2567"/>
      <c r="NLX84" s="2567"/>
      <c r="NLY84" s="2567"/>
      <c r="NLZ84" s="2567"/>
      <c r="NMA84" s="2567"/>
      <c r="NMB84" s="2567"/>
      <c r="NMC84" s="2567"/>
      <c r="NMD84" s="2567"/>
      <c r="NME84" s="2567"/>
      <c r="NMF84" s="2567"/>
      <c r="NMG84" s="2567"/>
      <c r="NMH84" s="2567"/>
      <c r="NMI84" s="2567"/>
      <c r="NMJ84" s="2567"/>
      <c r="NMK84" s="2567"/>
      <c r="NML84" s="2567"/>
      <c r="NMM84" s="2567"/>
      <c r="NMN84" s="2567"/>
      <c r="NMO84" s="2567"/>
      <c r="NMP84" s="2567"/>
      <c r="NMQ84" s="2567"/>
      <c r="NMR84" s="2567"/>
      <c r="NMS84" s="2567"/>
      <c r="NMT84" s="2567"/>
      <c r="NMU84" s="2567"/>
      <c r="NMV84" s="2567"/>
      <c r="NMW84" s="2567"/>
      <c r="NMX84" s="2567"/>
      <c r="NMY84" s="2567"/>
      <c r="NMZ84" s="2567"/>
      <c r="NNA84" s="2567"/>
      <c r="NNB84" s="2567"/>
      <c r="NNC84" s="2567"/>
      <c r="NND84" s="2567"/>
      <c r="NNE84" s="2567"/>
      <c r="NNF84" s="2567"/>
      <c r="NNG84" s="2567"/>
      <c r="NNH84" s="2567"/>
      <c r="NNI84" s="2567"/>
      <c r="NNJ84" s="2567"/>
      <c r="NNK84" s="2567"/>
      <c r="NNL84" s="2567"/>
      <c r="NNM84" s="2567"/>
      <c r="NNN84" s="2567"/>
      <c r="NNO84" s="2567"/>
      <c r="NNP84" s="2567"/>
      <c r="NNQ84" s="2567"/>
      <c r="NNR84" s="2567"/>
      <c r="NNS84" s="2567"/>
      <c r="NNT84" s="2567"/>
      <c r="NNU84" s="2567"/>
      <c r="NNV84" s="2567"/>
      <c r="NNW84" s="2567"/>
      <c r="NNX84" s="2567"/>
      <c r="NNY84" s="2567"/>
      <c r="NNZ84" s="2567"/>
      <c r="NOA84" s="2567"/>
      <c r="NOB84" s="2567"/>
      <c r="NOC84" s="2567"/>
      <c r="NOD84" s="2567"/>
      <c r="NOE84" s="2567"/>
      <c r="NOF84" s="2567"/>
      <c r="NOG84" s="2567"/>
      <c r="NOH84" s="2567"/>
      <c r="NOI84" s="2567"/>
      <c r="NOJ84" s="2567"/>
      <c r="NOK84" s="2567"/>
      <c r="NOL84" s="2567"/>
      <c r="NOM84" s="2567"/>
      <c r="NON84" s="2567"/>
      <c r="NOO84" s="2567"/>
      <c r="NOP84" s="2567"/>
      <c r="NOQ84" s="2567"/>
      <c r="NOR84" s="2567"/>
      <c r="NOS84" s="2567"/>
      <c r="NOT84" s="2567"/>
      <c r="NOU84" s="2567"/>
      <c r="NOV84" s="2567"/>
      <c r="NOW84" s="2567"/>
      <c r="NOX84" s="2567"/>
      <c r="NOY84" s="2567"/>
      <c r="NOZ84" s="2567"/>
      <c r="NPA84" s="2567"/>
      <c r="NPB84" s="2567"/>
      <c r="NPC84" s="2567"/>
      <c r="NPD84" s="2567"/>
      <c r="NPE84" s="2567"/>
      <c r="NPF84" s="2567"/>
      <c r="NPG84" s="2567"/>
      <c r="NPH84" s="2567"/>
      <c r="NPI84" s="2567"/>
      <c r="NPJ84" s="2567"/>
      <c r="NPK84" s="2567"/>
      <c r="NPL84" s="2567"/>
      <c r="NPM84" s="2567"/>
      <c r="NPN84" s="2567"/>
      <c r="NPO84" s="2567"/>
      <c r="NPP84" s="2567"/>
      <c r="NPQ84" s="2567"/>
      <c r="NPR84" s="2567"/>
      <c r="NPS84" s="2567"/>
      <c r="NPT84" s="2567"/>
      <c r="NPU84" s="2567"/>
      <c r="NPV84" s="2567"/>
      <c r="NPW84" s="2567"/>
      <c r="NPX84" s="2567"/>
      <c r="NPY84" s="2567"/>
      <c r="NPZ84" s="2567"/>
      <c r="NQA84" s="2567"/>
      <c r="NQB84" s="2567"/>
      <c r="NQC84" s="2567"/>
      <c r="NQD84" s="2567"/>
      <c r="NQE84" s="2567"/>
      <c r="NQF84" s="2567"/>
      <c r="NQG84" s="2567"/>
      <c r="NQH84" s="2567"/>
      <c r="NQI84" s="2567"/>
      <c r="NQJ84" s="2567"/>
      <c r="NQK84" s="2567"/>
      <c r="NQL84" s="2567"/>
      <c r="NQM84" s="2567"/>
      <c r="NQN84" s="2567"/>
      <c r="NQO84" s="2567"/>
      <c r="NQP84" s="2567"/>
      <c r="NQQ84" s="2567"/>
      <c r="NQR84" s="2567"/>
      <c r="NQS84" s="2567"/>
      <c r="NQT84" s="2567"/>
      <c r="NQU84" s="2567"/>
      <c r="NQV84" s="2567"/>
      <c r="NQW84" s="2567"/>
      <c r="NQX84" s="2567"/>
      <c r="NQY84" s="2567"/>
      <c r="NQZ84" s="2567"/>
      <c r="NRA84" s="2567"/>
      <c r="NRB84" s="2567"/>
      <c r="NRC84" s="2567"/>
      <c r="NRD84" s="2567"/>
      <c r="NRE84" s="2567"/>
      <c r="NRF84" s="2567"/>
      <c r="NRG84" s="2567"/>
      <c r="NRH84" s="2567"/>
      <c r="NRI84" s="2567"/>
      <c r="NRJ84" s="2567"/>
      <c r="NRK84" s="2567"/>
      <c r="NRL84" s="2567"/>
      <c r="NRM84" s="2567"/>
      <c r="NRN84" s="2567"/>
      <c r="NRO84" s="2567"/>
      <c r="NRP84" s="2567"/>
      <c r="NRQ84" s="2567"/>
      <c r="NRR84" s="2567"/>
      <c r="NRS84" s="2567"/>
      <c r="NRT84" s="2567"/>
      <c r="NRU84" s="2567"/>
      <c r="NRV84" s="2567"/>
      <c r="NRW84" s="2567"/>
      <c r="NRX84" s="2567"/>
      <c r="NRY84" s="2567"/>
      <c r="NRZ84" s="2567"/>
      <c r="NSA84" s="2567"/>
      <c r="NSB84" s="2567"/>
      <c r="NSC84" s="2567"/>
      <c r="NSD84" s="2567"/>
      <c r="NSE84" s="2567"/>
      <c r="NSF84" s="2567"/>
      <c r="NSG84" s="2567"/>
      <c r="NSH84" s="2567"/>
      <c r="NSI84" s="2567"/>
      <c r="NSJ84" s="2567"/>
      <c r="NSK84" s="2567"/>
      <c r="NSL84" s="2567"/>
      <c r="NSM84" s="2567"/>
      <c r="NSN84" s="2567"/>
      <c r="NSO84" s="2567"/>
      <c r="NSP84" s="2567"/>
      <c r="NSQ84" s="2567"/>
      <c r="NSR84" s="2567"/>
      <c r="NSS84" s="2567"/>
      <c r="NST84" s="2567"/>
      <c r="NSU84" s="2567"/>
      <c r="NSV84" s="2567"/>
      <c r="NSW84" s="2567"/>
      <c r="NSX84" s="2567"/>
      <c r="NSY84" s="2567"/>
      <c r="NSZ84" s="2567"/>
      <c r="NTA84" s="2567"/>
      <c r="NTB84" s="2567"/>
      <c r="NTC84" s="2567"/>
      <c r="NTD84" s="2567"/>
      <c r="NTE84" s="2567"/>
      <c r="NTF84" s="2567"/>
      <c r="NTG84" s="2567"/>
      <c r="NTH84" s="2567"/>
      <c r="NTI84" s="2567"/>
      <c r="NTJ84" s="2567"/>
      <c r="NTK84" s="2567"/>
      <c r="NTL84" s="2567"/>
      <c r="NTM84" s="2567"/>
      <c r="NTN84" s="2567"/>
      <c r="NTO84" s="2567"/>
      <c r="NTP84" s="2567"/>
      <c r="NTQ84" s="2567"/>
      <c r="NTR84" s="2567"/>
      <c r="NTS84" s="2567"/>
      <c r="NTT84" s="2567"/>
      <c r="NTU84" s="2567"/>
      <c r="NTV84" s="2567"/>
      <c r="NTW84" s="2567"/>
      <c r="NTX84" s="2567"/>
      <c r="NTY84" s="2567"/>
      <c r="NTZ84" s="2567"/>
      <c r="NUA84" s="2567"/>
      <c r="NUB84" s="2567"/>
      <c r="NUC84" s="2567"/>
      <c r="NUD84" s="2567"/>
      <c r="NUE84" s="2567"/>
      <c r="NUF84" s="2567"/>
      <c r="NUG84" s="2567"/>
      <c r="NUH84" s="2567"/>
      <c r="NUI84" s="2567"/>
      <c r="NUJ84" s="2567"/>
      <c r="NUK84" s="2567"/>
      <c r="NUL84" s="2567"/>
      <c r="NUM84" s="2567"/>
      <c r="NUN84" s="2567"/>
      <c r="NUO84" s="2567"/>
      <c r="NUP84" s="2567"/>
      <c r="NUQ84" s="2567"/>
      <c r="NUR84" s="2567"/>
      <c r="NUS84" s="2567"/>
      <c r="NUT84" s="2567"/>
      <c r="NUU84" s="2567"/>
      <c r="NUV84" s="2567"/>
      <c r="NUW84" s="2567"/>
      <c r="NUX84" s="2567"/>
      <c r="NUY84" s="2567"/>
      <c r="NUZ84" s="2567"/>
      <c r="NVA84" s="2567"/>
      <c r="NVB84" s="2567"/>
      <c r="NVC84" s="2567"/>
      <c r="NVD84" s="2567"/>
      <c r="NVE84" s="2567"/>
      <c r="NVF84" s="2567"/>
      <c r="NVG84" s="2567"/>
      <c r="NVH84" s="2567"/>
      <c r="NVI84" s="2567"/>
      <c r="NVJ84" s="2567"/>
      <c r="NVK84" s="2567"/>
      <c r="NVL84" s="2567"/>
      <c r="NVM84" s="2567"/>
      <c r="NVN84" s="2567"/>
      <c r="NVO84" s="2567"/>
      <c r="NVP84" s="2567"/>
      <c r="NVQ84" s="2567"/>
      <c r="NVR84" s="2567"/>
      <c r="NVS84" s="2567"/>
      <c r="NVT84" s="2567"/>
      <c r="NVU84" s="2567"/>
      <c r="NVV84" s="2567"/>
      <c r="NVW84" s="2567"/>
      <c r="NVX84" s="2567"/>
      <c r="NVY84" s="2567"/>
      <c r="NVZ84" s="2567"/>
      <c r="NWA84" s="2567"/>
      <c r="NWB84" s="2567"/>
      <c r="NWC84" s="2567"/>
      <c r="NWD84" s="2567"/>
      <c r="NWE84" s="2567"/>
      <c r="NWF84" s="2567"/>
      <c r="NWG84" s="2567"/>
      <c r="NWH84" s="2567"/>
      <c r="NWI84" s="2567"/>
      <c r="NWJ84" s="2567"/>
      <c r="NWK84" s="2567"/>
      <c r="NWL84" s="2567"/>
      <c r="NWM84" s="2567"/>
      <c r="NWN84" s="2567"/>
      <c r="NWO84" s="2567"/>
      <c r="NWP84" s="2567"/>
      <c r="NWQ84" s="2567"/>
      <c r="NWR84" s="2567"/>
      <c r="NWS84" s="2567"/>
      <c r="NWT84" s="2567"/>
      <c r="NWU84" s="2567"/>
      <c r="NWV84" s="2567"/>
      <c r="NWW84" s="2567"/>
      <c r="NWX84" s="2567"/>
      <c r="NWY84" s="2567"/>
      <c r="NWZ84" s="2567"/>
      <c r="NXA84" s="2567"/>
      <c r="NXB84" s="2567"/>
      <c r="NXC84" s="2567"/>
      <c r="NXD84" s="2567"/>
      <c r="NXE84" s="2567"/>
      <c r="NXF84" s="2567"/>
      <c r="NXG84" s="2567"/>
      <c r="NXH84" s="2567"/>
      <c r="NXI84" s="2567"/>
      <c r="NXJ84" s="2567"/>
      <c r="NXK84" s="2567"/>
      <c r="NXL84" s="2567"/>
      <c r="NXM84" s="2567"/>
      <c r="NXN84" s="2567"/>
      <c r="NXO84" s="2567"/>
      <c r="NXP84" s="2567"/>
      <c r="NXQ84" s="2567"/>
      <c r="NXR84" s="2567"/>
      <c r="NXS84" s="2567"/>
      <c r="NXT84" s="2567"/>
      <c r="NXU84" s="2567"/>
      <c r="NXV84" s="2567"/>
      <c r="NXW84" s="2567"/>
      <c r="NXX84" s="2567"/>
      <c r="NXY84" s="2567"/>
      <c r="NXZ84" s="2567"/>
      <c r="NYA84" s="2567"/>
      <c r="NYB84" s="2567"/>
      <c r="NYC84" s="2567"/>
      <c r="NYD84" s="2567"/>
      <c r="NYE84" s="2567"/>
      <c r="NYF84" s="2567"/>
      <c r="NYG84" s="2567"/>
      <c r="NYH84" s="2567"/>
      <c r="NYI84" s="2567"/>
      <c r="NYJ84" s="2567"/>
      <c r="NYK84" s="2567"/>
      <c r="NYL84" s="2567"/>
      <c r="NYM84" s="2567"/>
      <c r="NYN84" s="2567"/>
      <c r="NYO84" s="2567"/>
      <c r="NYP84" s="2567"/>
      <c r="NYQ84" s="2567"/>
      <c r="NYR84" s="2567"/>
      <c r="NYS84" s="2567"/>
      <c r="NYT84" s="2567"/>
      <c r="NYU84" s="2567"/>
      <c r="NYV84" s="2567"/>
      <c r="NYW84" s="2567"/>
      <c r="NYX84" s="2567"/>
      <c r="NYY84" s="2567"/>
      <c r="NYZ84" s="2567"/>
      <c r="NZA84" s="2567"/>
      <c r="NZB84" s="2567"/>
      <c r="NZC84" s="2567"/>
      <c r="NZD84" s="2567"/>
      <c r="NZE84" s="2567"/>
      <c r="NZF84" s="2567"/>
      <c r="NZG84" s="2567"/>
      <c r="NZH84" s="2567"/>
      <c r="NZI84" s="2567"/>
      <c r="NZJ84" s="2567"/>
      <c r="NZK84" s="2567"/>
      <c r="NZL84" s="2567"/>
      <c r="NZM84" s="2567"/>
      <c r="NZN84" s="2567"/>
      <c r="NZO84" s="2567"/>
      <c r="NZP84" s="2567"/>
      <c r="NZQ84" s="2567"/>
      <c r="NZR84" s="2567"/>
      <c r="NZS84" s="2567"/>
      <c r="NZT84" s="2567"/>
      <c r="NZU84" s="2567"/>
      <c r="NZV84" s="2567"/>
      <c r="NZW84" s="2567"/>
      <c r="NZX84" s="2567"/>
      <c r="NZY84" s="2567"/>
      <c r="NZZ84" s="2567"/>
      <c r="OAA84" s="2567"/>
      <c r="OAB84" s="2567"/>
      <c r="OAC84" s="2567"/>
      <c r="OAD84" s="2567"/>
      <c r="OAE84" s="2567"/>
      <c r="OAF84" s="2567"/>
      <c r="OAG84" s="2567"/>
      <c r="OAH84" s="2567"/>
      <c r="OAI84" s="2567"/>
      <c r="OAJ84" s="2567"/>
      <c r="OAK84" s="2567"/>
      <c r="OAL84" s="2567"/>
      <c r="OAM84" s="2567"/>
      <c r="OAN84" s="2567"/>
      <c r="OAO84" s="2567"/>
      <c r="OAP84" s="2567"/>
      <c r="OAQ84" s="2567"/>
      <c r="OAR84" s="2567"/>
      <c r="OAS84" s="2567"/>
      <c r="OAT84" s="2567"/>
      <c r="OAU84" s="2567"/>
      <c r="OAV84" s="2567"/>
      <c r="OAW84" s="2567"/>
      <c r="OAX84" s="2567"/>
      <c r="OAY84" s="2567"/>
      <c r="OAZ84" s="2567"/>
      <c r="OBA84" s="2567"/>
      <c r="OBB84" s="2567"/>
      <c r="OBC84" s="2567"/>
      <c r="OBD84" s="2567"/>
      <c r="OBE84" s="2567"/>
      <c r="OBF84" s="2567"/>
      <c r="OBG84" s="2567"/>
      <c r="OBH84" s="2567"/>
      <c r="OBI84" s="2567"/>
      <c r="OBJ84" s="2567"/>
      <c r="OBK84" s="2567"/>
      <c r="OBL84" s="2567"/>
      <c r="OBM84" s="2567"/>
      <c r="OBN84" s="2567"/>
      <c r="OBO84" s="2567"/>
      <c r="OBP84" s="2567"/>
      <c r="OBQ84" s="2567"/>
      <c r="OBR84" s="2567"/>
      <c r="OBS84" s="2567"/>
      <c r="OBT84" s="2567"/>
      <c r="OBU84" s="2567"/>
      <c r="OBV84" s="2567"/>
      <c r="OBW84" s="2567"/>
      <c r="OBX84" s="2567"/>
      <c r="OBY84" s="2567"/>
      <c r="OBZ84" s="2567"/>
      <c r="OCA84" s="2567"/>
      <c r="OCB84" s="2567"/>
      <c r="OCC84" s="2567"/>
      <c r="OCD84" s="2567"/>
      <c r="OCE84" s="2567"/>
      <c r="OCF84" s="2567"/>
      <c r="OCG84" s="2567"/>
      <c r="OCH84" s="2567"/>
      <c r="OCI84" s="2567"/>
      <c r="OCJ84" s="2567"/>
      <c r="OCK84" s="2567"/>
      <c r="OCL84" s="2567"/>
      <c r="OCM84" s="2567"/>
      <c r="OCN84" s="2567"/>
      <c r="OCO84" s="2567"/>
      <c r="OCP84" s="2567"/>
      <c r="OCQ84" s="2567"/>
      <c r="OCR84" s="2567"/>
      <c r="OCS84" s="2567"/>
      <c r="OCT84" s="2567"/>
      <c r="OCU84" s="2567"/>
      <c r="OCV84" s="2567"/>
      <c r="OCW84" s="2567"/>
      <c r="OCX84" s="2567"/>
      <c r="OCY84" s="2567"/>
      <c r="OCZ84" s="2567"/>
      <c r="ODA84" s="2567"/>
      <c r="ODB84" s="2567"/>
      <c r="ODC84" s="2567"/>
      <c r="ODD84" s="2567"/>
      <c r="ODE84" s="2567"/>
      <c r="ODF84" s="2567"/>
      <c r="ODG84" s="2567"/>
      <c r="ODH84" s="2567"/>
      <c r="ODI84" s="2567"/>
      <c r="ODJ84" s="2567"/>
      <c r="ODK84" s="2567"/>
      <c r="ODL84" s="2567"/>
      <c r="ODM84" s="2567"/>
      <c r="ODN84" s="2567"/>
      <c r="ODO84" s="2567"/>
      <c r="ODP84" s="2567"/>
      <c r="ODQ84" s="2567"/>
      <c r="ODR84" s="2567"/>
      <c r="ODS84" s="2567"/>
      <c r="ODT84" s="2567"/>
      <c r="ODU84" s="2567"/>
      <c r="ODV84" s="2567"/>
      <c r="ODW84" s="2567"/>
      <c r="ODX84" s="2567"/>
      <c r="ODY84" s="2567"/>
      <c r="ODZ84" s="2567"/>
      <c r="OEA84" s="2567"/>
      <c r="OEB84" s="2567"/>
      <c r="OEC84" s="2567"/>
      <c r="OED84" s="2567"/>
      <c r="OEE84" s="2567"/>
      <c r="OEF84" s="2567"/>
      <c r="OEG84" s="2567"/>
      <c r="OEH84" s="2567"/>
      <c r="OEI84" s="2567"/>
      <c r="OEJ84" s="2567"/>
      <c r="OEK84" s="2567"/>
      <c r="OEL84" s="2567"/>
      <c r="OEM84" s="2567"/>
      <c r="OEN84" s="2567"/>
      <c r="OEO84" s="2567"/>
      <c r="OEP84" s="2567"/>
      <c r="OEQ84" s="2567"/>
      <c r="OER84" s="2567"/>
      <c r="OES84" s="2567"/>
      <c r="OET84" s="2567"/>
      <c r="OEU84" s="2567"/>
      <c r="OEV84" s="2567"/>
      <c r="OEW84" s="2567"/>
      <c r="OEX84" s="2567"/>
      <c r="OEY84" s="2567"/>
      <c r="OEZ84" s="2567"/>
      <c r="OFA84" s="2567"/>
      <c r="OFB84" s="2567"/>
      <c r="OFC84" s="2567"/>
      <c r="OFD84" s="2567"/>
      <c r="OFE84" s="2567"/>
      <c r="OFF84" s="2567"/>
      <c r="OFG84" s="2567"/>
      <c r="OFH84" s="2567"/>
      <c r="OFI84" s="2567"/>
      <c r="OFJ84" s="2567"/>
      <c r="OFK84" s="2567"/>
      <c r="OFL84" s="2567"/>
      <c r="OFM84" s="2567"/>
      <c r="OFN84" s="2567"/>
      <c r="OFO84" s="2567"/>
      <c r="OFP84" s="2567"/>
      <c r="OFQ84" s="2567"/>
      <c r="OFR84" s="2567"/>
      <c r="OFS84" s="2567"/>
      <c r="OFT84" s="2567"/>
      <c r="OFU84" s="2567"/>
      <c r="OFV84" s="2567"/>
      <c r="OFW84" s="2567"/>
      <c r="OFX84" s="2567"/>
      <c r="OFY84" s="2567"/>
      <c r="OFZ84" s="2567"/>
      <c r="OGA84" s="2567"/>
      <c r="OGB84" s="2567"/>
      <c r="OGC84" s="2567"/>
      <c r="OGD84" s="2567"/>
      <c r="OGE84" s="2567"/>
      <c r="OGF84" s="2567"/>
      <c r="OGG84" s="2567"/>
      <c r="OGH84" s="2567"/>
      <c r="OGI84" s="2567"/>
      <c r="OGJ84" s="2567"/>
      <c r="OGK84" s="2567"/>
      <c r="OGL84" s="2567"/>
      <c r="OGM84" s="2567"/>
      <c r="OGN84" s="2567"/>
      <c r="OGO84" s="2567"/>
      <c r="OGP84" s="2567"/>
      <c r="OGQ84" s="2567"/>
      <c r="OGR84" s="2567"/>
      <c r="OGS84" s="2567"/>
      <c r="OGT84" s="2567"/>
      <c r="OGU84" s="2567"/>
      <c r="OGV84" s="2567"/>
      <c r="OGW84" s="2567"/>
      <c r="OGX84" s="2567"/>
      <c r="OGY84" s="2567"/>
      <c r="OGZ84" s="2567"/>
      <c r="OHA84" s="2567"/>
      <c r="OHB84" s="2567"/>
      <c r="OHC84" s="2567"/>
      <c r="OHD84" s="2567"/>
      <c r="OHE84" s="2567"/>
      <c r="OHF84" s="2567"/>
      <c r="OHG84" s="2567"/>
      <c r="OHH84" s="2567"/>
      <c r="OHI84" s="2567"/>
      <c r="OHJ84" s="2567"/>
      <c r="OHK84" s="2567"/>
      <c r="OHL84" s="2567"/>
      <c r="OHM84" s="2567"/>
      <c r="OHN84" s="2567"/>
      <c r="OHO84" s="2567"/>
      <c r="OHP84" s="2567"/>
      <c r="OHQ84" s="2567"/>
      <c r="OHR84" s="2567"/>
      <c r="OHS84" s="2567"/>
      <c r="OHT84" s="2567"/>
      <c r="OHU84" s="2567"/>
      <c r="OHV84" s="2567"/>
      <c r="OHW84" s="2567"/>
      <c r="OHX84" s="2567"/>
      <c r="OHY84" s="2567"/>
      <c r="OHZ84" s="2567"/>
      <c r="OIA84" s="2567"/>
      <c r="OIB84" s="2567"/>
      <c r="OIC84" s="2567"/>
      <c r="OID84" s="2567"/>
      <c r="OIE84" s="2567"/>
      <c r="OIF84" s="2567"/>
      <c r="OIG84" s="2567"/>
      <c r="OIH84" s="2567"/>
      <c r="OII84" s="2567"/>
      <c r="OIJ84" s="2567"/>
      <c r="OIK84" s="2567"/>
      <c r="OIL84" s="2567"/>
      <c r="OIM84" s="2567"/>
      <c r="OIN84" s="2567"/>
      <c r="OIO84" s="2567"/>
      <c r="OIP84" s="2567"/>
      <c r="OIQ84" s="2567"/>
      <c r="OIR84" s="2567"/>
      <c r="OIS84" s="2567"/>
      <c r="OIT84" s="2567"/>
      <c r="OIU84" s="2567"/>
      <c r="OIV84" s="2567"/>
      <c r="OIW84" s="2567"/>
      <c r="OIX84" s="2567"/>
      <c r="OIY84" s="2567"/>
      <c r="OIZ84" s="2567"/>
      <c r="OJA84" s="2567"/>
      <c r="OJB84" s="2567"/>
      <c r="OJC84" s="2567"/>
      <c r="OJD84" s="2567"/>
      <c r="OJE84" s="2567"/>
      <c r="OJF84" s="2567"/>
      <c r="OJG84" s="2567"/>
      <c r="OJH84" s="2567"/>
      <c r="OJI84" s="2567"/>
      <c r="OJJ84" s="2567"/>
      <c r="OJK84" s="2567"/>
      <c r="OJL84" s="2567"/>
      <c r="OJM84" s="2567"/>
      <c r="OJN84" s="2567"/>
      <c r="OJO84" s="2567"/>
      <c r="OJP84" s="2567"/>
      <c r="OJQ84" s="2567"/>
      <c r="OJR84" s="2567"/>
      <c r="OJS84" s="2567"/>
      <c r="OJT84" s="2567"/>
      <c r="OJU84" s="2567"/>
      <c r="OJV84" s="2567"/>
      <c r="OJW84" s="2567"/>
      <c r="OJX84" s="2567"/>
      <c r="OJY84" s="2567"/>
      <c r="OJZ84" s="2567"/>
      <c r="OKA84" s="2567"/>
      <c r="OKB84" s="2567"/>
      <c r="OKC84" s="2567"/>
      <c r="OKD84" s="2567"/>
      <c r="OKE84" s="2567"/>
      <c r="OKF84" s="2567"/>
      <c r="OKG84" s="2567"/>
      <c r="OKH84" s="2567"/>
      <c r="OKI84" s="2567"/>
      <c r="OKJ84" s="2567"/>
      <c r="OKK84" s="2567"/>
      <c r="OKL84" s="2567"/>
      <c r="OKM84" s="2567"/>
      <c r="OKN84" s="2567"/>
      <c r="OKO84" s="2567"/>
      <c r="OKP84" s="2567"/>
      <c r="OKQ84" s="2567"/>
      <c r="OKR84" s="2567"/>
      <c r="OKS84" s="2567"/>
      <c r="OKT84" s="2567"/>
      <c r="OKU84" s="2567"/>
      <c r="OKV84" s="2567"/>
      <c r="OKW84" s="2567"/>
      <c r="OKX84" s="2567"/>
      <c r="OKY84" s="2567"/>
      <c r="OKZ84" s="2567"/>
      <c r="OLA84" s="2567"/>
      <c r="OLB84" s="2567"/>
      <c r="OLC84" s="2567"/>
      <c r="OLD84" s="2567"/>
      <c r="OLE84" s="2567"/>
      <c r="OLF84" s="2567"/>
      <c r="OLG84" s="2567"/>
      <c r="OLH84" s="2567"/>
      <c r="OLI84" s="2567"/>
      <c r="OLJ84" s="2567"/>
      <c r="OLK84" s="2567"/>
      <c r="OLL84" s="2567"/>
      <c r="OLM84" s="2567"/>
      <c r="OLN84" s="2567"/>
      <c r="OLO84" s="2567"/>
      <c r="OLP84" s="2567"/>
      <c r="OLQ84" s="2567"/>
      <c r="OLR84" s="2567"/>
      <c r="OLS84" s="2567"/>
      <c r="OLT84" s="2567"/>
      <c r="OLU84" s="2567"/>
      <c r="OLV84" s="2567"/>
      <c r="OLW84" s="2567"/>
      <c r="OLX84" s="2567"/>
      <c r="OLY84" s="2567"/>
      <c r="OLZ84" s="2567"/>
      <c r="OMA84" s="2567"/>
      <c r="OMB84" s="2567"/>
      <c r="OMC84" s="2567"/>
      <c r="OMD84" s="2567"/>
      <c r="OME84" s="2567"/>
      <c r="OMF84" s="2567"/>
      <c r="OMG84" s="2567"/>
      <c r="OMH84" s="2567"/>
      <c r="OMI84" s="2567"/>
      <c r="OMJ84" s="2567"/>
      <c r="OMK84" s="2567"/>
      <c r="OML84" s="2567"/>
      <c r="OMM84" s="2567"/>
      <c r="OMN84" s="2567"/>
      <c r="OMO84" s="2567"/>
      <c r="OMP84" s="2567"/>
      <c r="OMQ84" s="2567"/>
      <c r="OMR84" s="2567"/>
      <c r="OMS84" s="2567"/>
      <c r="OMT84" s="2567"/>
      <c r="OMU84" s="2567"/>
      <c r="OMV84" s="2567"/>
      <c r="OMW84" s="2567"/>
      <c r="OMX84" s="2567"/>
      <c r="OMY84" s="2567"/>
      <c r="OMZ84" s="2567"/>
      <c r="ONA84" s="2567"/>
      <c r="ONB84" s="2567"/>
      <c r="ONC84" s="2567"/>
      <c r="OND84" s="2567"/>
      <c r="ONE84" s="2567"/>
      <c r="ONF84" s="2567"/>
      <c r="ONG84" s="2567"/>
      <c r="ONH84" s="2567"/>
      <c r="ONI84" s="2567"/>
      <c r="ONJ84" s="2567"/>
      <c r="ONK84" s="2567"/>
      <c r="ONL84" s="2567"/>
      <c r="ONM84" s="2567"/>
      <c r="ONN84" s="2567"/>
      <c r="ONO84" s="2567"/>
      <c r="ONP84" s="2567"/>
      <c r="ONQ84" s="2567"/>
      <c r="ONR84" s="2567"/>
      <c r="ONS84" s="2567"/>
      <c r="ONT84" s="2567"/>
      <c r="ONU84" s="2567"/>
      <c r="ONV84" s="2567"/>
      <c r="ONW84" s="2567"/>
      <c r="ONX84" s="2567"/>
      <c r="ONY84" s="2567"/>
      <c r="ONZ84" s="2567"/>
      <c r="OOA84" s="2567"/>
      <c r="OOB84" s="2567"/>
      <c r="OOC84" s="2567"/>
      <c r="OOD84" s="2567"/>
      <c r="OOE84" s="2567"/>
      <c r="OOF84" s="2567"/>
      <c r="OOG84" s="2567"/>
      <c r="OOH84" s="2567"/>
      <c r="OOI84" s="2567"/>
      <c r="OOJ84" s="2567"/>
      <c r="OOK84" s="2567"/>
      <c r="OOL84" s="2567"/>
      <c r="OOM84" s="2567"/>
      <c r="OON84" s="2567"/>
      <c r="OOO84" s="2567"/>
      <c r="OOP84" s="2567"/>
      <c r="OOQ84" s="2567"/>
      <c r="OOR84" s="2567"/>
      <c r="OOS84" s="2567"/>
      <c r="OOT84" s="2567"/>
      <c r="OOU84" s="2567"/>
      <c r="OOV84" s="2567"/>
      <c r="OOW84" s="2567"/>
      <c r="OOX84" s="2567"/>
      <c r="OOY84" s="2567"/>
      <c r="OOZ84" s="2567"/>
      <c r="OPA84" s="2567"/>
      <c r="OPB84" s="2567"/>
      <c r="OPC84" s="2567"/>
      <c r="OPD84" s="2567"/>
      <c r="OPE84" s="2567"/>
      <c r="OPF84" s="2567"/>
      <c r="OPG84" s="2567"/>
      <c r="OPH84" s="2567"/>
      <c r="OPI84" s="2567"/>
      <c r="OPJ84" s="2567"/>
      <c r="OPK84" s="2567"/>
      <c r="OPL84" s="2567"/>
      <c r="OPM84" s="2567"/>
      <c r="OPN84" s="2567"/>
      <c r="OPO84" s="2567"/>
      <c r="OPP84" s="2567"/>
      <c r="OPQ84" s="2567"/>
      <c r="OPR84" s="2567"/>
      <c r="OPS84" s="2567"/>
      <c r="OPT84" s="2567"/>
      <c r="OPU84" s="2567"/>
      <c r="OPV84" s="2567"/>
      <c r="OPW84" s="2567"/>
      <c r="OPX84" s="2567"/>
      <c r="OPY84" s="2567"/>
      <c r="OPZ84" s="2567"/>
      <c r="OQA84" s="2567"/>
      <c r="OQB84" s="2567"/>
      <c r="OQC84" s="2567"/>
      <c r="OQD84" s="2567"/>
      <c r="OQE84" s="2567"/>
      <c r="OQF84" s="2567"/>
      <c r="OQG84" s="2567"/>
      <c r="OQH84" s="2567"/>
      <c r="OQI84" s="2567"/>
      <c r="OQJ84" s="2567"/>
      <c r="OQK84" s="2567"/>
      <c r="OQL84" s="2567"/>
      <c r="OQM84" s="2567"/>
      <c r="OQN84" s="2567"/>
      <c r="OQO84" s="2567"/>
      <c r="OQP84" s="2567"/>
      <c r="OQQ84" s="2567"/>
      <c r="OQR84" s="2567"/>
      <c r="OQS84" s="2567"/>
      <c r="OQT84" s="2567"/>
      <c r="OQU84" s="2567"/>
      <c r="OQV84" s="2567"/>
      <c r="OQW84" s="2567"/>
      <c r="OQX84" s="2567"/>
      <c r="OQY84" s="2567"/>
      <c r="OQZ84" s="2567"/>
      <c r="ORA84" s="2567"/>
      <c r="ORB84" s="2567"/>
      <c r="ORC84" s="2567"/>
      <c r="ORD84" s="2567"/>
      <c r="ORE84" s="2567"/>
      <c r="ORF84" s="2567"/>
      <c r="ORG84" s="2567"/>
      <c r="ORH84" s="2567"/>
      <c r="ORI84" s="2567"/>
      <c r="ORJ84" s="2567"/>
      <c r="ORK84" s="2567"/>
      <c r="ORL84" s="2567"/>
      <c r="ORM84" s="2567"/>
      <c r="ORN84" s="2567"/>
      <c r="ORO84" s="2567"/>
      <c r="ORP84" s="2567"/>
      <c r="ORQ84" s="2567"/>
      <c r="ORR84" s="2567"/>
      <c r="ORS84" s="2567"/>
      <c r="ORT84" s="2567"/>
      <c r="ORU84" s="2567"/>
      <c r="ORV84" s="2567"/>
      <c r="ORW84" s="2567"/>
      <c r="ORX84" s="2567"/>
      <c r="ORY84" s="2567"/>
      <c r="ORZ84" s="2567"/>
      <c r="OSA84" s="2567"/>
      <c r="OSB84" s="2567"/>
      <c r="OSC84" s="2567"/>
      <c r="OSD84" s="2567"/>
      <c r="OSE84" s="2567"/>
      <c r="OSF84" s="2567"/>
      <c r="OSG84" s="2567"/>
      <c r="OSH84" s="2567"/>
      <c r="OSI84" s="2567"/>
      <c r="OSJ84" s="2567"/>
      <c r="OSK84" s="2567"/>
      <c r="OSL84" s="2567"/>
      <c r="OSM84" s="2567"/>
      <c r="OSN84" s="2567"/>
      <c r="OSO84" s="2567"/>
      <c r="OSP84" s="2567"/>
      <c r="OSQ84" s="2567"/>
      <c r="OSR84" s="2567"/>
      <c r="OSS84" s="2567"/>
      <c r="OST84" s="2567"/>
      <c r="OSU84" s="2567"/>
      <c r="OSV84" s="2567"/>
      <c r="OSW84" s="2567"/>
      <c r="OSX84" s="2567"/>
      <c r="OSY84" s="2567"/>
      <c r="OSZ84" s="2567"/>
      <c r="OTA84" s="2567"/>
      <c r="OTB84" s="2567"/>
      <c r="OTC84" s="2567"/>
      <c r="OTD84" s="2567"/>
      <c r="OTE84" s="2567"/>
      <c r="OTF84" s="2567"/>
      <c r="OTG84" s="2567"/>
      <c r="OTH84" s="2567"/>
      <c r="OTI84" s="2567"/>
      <c r="OTJ84" s="2567"/>
      <c r="OTK84" s="2567"/>
      <c r="OTL84" s="2567"/>
      <c r="OTM84" s="2567"/>
      <c r="OTN84" s="2567"/>
      <c r="OTO84" s="2567"/>
      <c r="OTP84" s="2567"/>
      <c r="OTQ84" s="2567"/>
      <c r="OTR84" s="2567"/>
      <c r="OTS84" s="2567"/>
      <c r="OTT84" s="2567"/>
      <c r="OTU84" s="2567"/>
      <c r="OTV84" s="2567"/>
      <c r="OTW84" s="2567"/>
      <c r="OTX84" s="2567"/>
      <c r="OTY84" s="2567"/>
      <c r="OTZ84" s="2567"/>
      <c r="OUA84" s="2567"/>
      <c r="OUB84" s="2567"/>
      <c r="OUC84" s="2567"/>
      <c r="OUD84" s="2567"/>
      <c r="OUE84" s="2567"/>
      <c r="OUF84" s="2567"/>
      <c r="OUG84" s="2567"/>
      <c r="OUH84" s="2567"/>
      <c r="OUI84" s="2567"/>
      <c r="OUJ84" s="2567"/>
      <c r="OUK84" s="2567"/>
      <c r="OUL84" s="2567"/>
      <c r="OUM84" s="2567"/>
      <c r="OUN84" s="2567"/>
      <c r="OUO84" s="2567"/>
      <c r="OUP84" s="2567"/>
      <c r="OUQ84" s="2567"/>
      <c r="OUR84" s="2567"/>
      <c r="OUS84" s="2567"/>
      <c r="OUT84" s="2567"/>
      <c r="OUU84" s="2567"/>
      <c r="OUV84" s="2567"/>
      <c r="OUW84" s="2567"/>
      <c r="OUX84" s="2567"/>
      <c r="OUY84" s="2567"/>
      <c r="OUZ84" s="2567"/>
      <c r="OVA84" s="2567"/>
      <c r="OVB84" s="2567"/>
      <c r="OVC84" s="2567"/>
      <c r="OVD84" s="2567"/>
      <c r="OVE84" s="2567"/>
      <c r="OVF84" s="2567"/>
      <c r="OVG84" s="2567"/>
      <c r="OVH84" s="2567"/>
      <c r="OVI84" s="2567"/>
      <c r="OVJ84" s="2567"/>
      <c r="OVK84" s="2567"/>
      <c r="OVL84" s="2567"/>
      <c r="OVM84" s="2567"/>
      <c r="OVN84" s="2567"/>
      <c r="OVO84" s="2567"/>
      <c r="OVP84" s="2567"/>
      <c r="OVQ84" s="2567"/>
      <c r="OVR84" s="2567"/>
      <c r="OVS84" s="2567"/>
      <c r="OVT84" s="2567"/>
      <c r="OVU84" s="2567"/>
      <c r="OVV84" s="2567"/>
      <c r="OVW84" s="2567"/>
      <c r="OVX84" s="2567"/>
      <c r="OVY84" s="2567"/>
      <c r="OVZ84" s="2567"/>
      <c r="OWA84" s="2567"/>
      <c r="OWB84" s="2567"/>
      <c r="OWC84" s="2567"/>
      <c r="OWD84" s="2567"/>
      <c r="OWE84" s="2567"/>
      <c r="OWF84" s="2567"/>
      <c r="OWG84" s="2567"/>
      <c r="OWH84" s="2567"/>
      <c r="OWI84" s="2567"/>
      <c r="OWJ84" s="2567"/>
      <c r="OWK84" s="2567"/>
      <c r="OWL84" s="2567"/>
      <c r="OWM84" s="2567"/>
      <c r="OWN84" s="2567"/>
      <c r="OWO84" s="2567"/>
      <c r="OWP84" s="2567"/>
      <c r="OWQ84" s="2567"/>
      <c r="OWR84" s="2567"/>
      <c r="OWS84" s="2567"/>
      <c r="OWT84" s="2567"/>
      <c r="OWU84" s="2567"/>
      <c r="OWV84" s="2567"/>
      <c r="OWW84" s="2567"/>
      <c r="OWX84" s="2567"/>
      <c r="OWY84" s="2567"/>
      <c r="OWZ84" s="2567"/>
      <c r="OXA84" s="2567"/>
      <c r="OXB84" s="2567"/>
      <c r="OXC84" s="2567"/>
      <c r="OXD84" s="2567"/>
      <c r="OXE84" s="2567"/>
      <c r="OXF84" s="2567"/>
      <c r="OXG84" s="2567"/>
      <c r="OXH84" s="2567"/>
      <c r="OXI84" s="2567"/>
      <c r="OXJ84" s="2567"/>
      <c r="OXK84" s="2567"/>
      <c r="OXL84" s="2567"/>
      <c r="OXM84" s="2567"/>
      <c r="OXN84" s="2567"/>
      <c r="OXO84" s="2567"/>
      <c r="OXP84" s="2567"/>
      <c r="OXQ84" s="2567"/>
      <c r="OXR84" s="2567"/>
      <c r="OXS84" s="2567"/>
      <c r="OXT84" s="2567"/>
      <c r="OXU84" s="2567"/>
      <c r="OXV84" s="2567"/>
      <c r="OXW84" s="2567"/>
      <c r="OXX84" s="2567"/>
      <c r="OXY84" s="2567"/>
      <c r="OXZ84" s="2567"/>
      <c r="OYA84" s="2567"/>
      <c r="OYB84" s="2567"/>
      <c r="OYC84" s="2567"/>
      <c r="OYD84" s="2567"/>
      <c r="OYE84" s="2567"/>
      <c r="OYF84" s="2567"/>
      <c r="OYG84" s="2567"/>
      <c r="OYH84" s="2567"/>
      <c r="OYI84" s="2567"/>
      <c r="OYJ84" s="2567"/>
      <c r="OYK84" s="2567"/>
      <c r="OYL84" s="2567"/>
      <c r="OYM84" s="2567"/>
      <c r="OYN84" s="2567"/>
      <c r="OYO84" s="2567"/>
      <c r="OYP84" s="2567"/>
      <c r="OYQ84" s="2567"/>
      <c r="OYR84" s="2567"/>
      <c r="OYS84" s="2567"/>
      <c r="OYT84" s="2567"/>
      <c r="OYU84" s="2567"/>
      <c r="OYV84" s="2567"/>
      <c r="OYW84" s="2567"/>
      <c r="OYX84" s="2567"/>
      <c r="OYY84" s="2567"/>
      <c r="OYZ84" s="2567"/>
      <c r="OZA84" s="2567"/>
      <c r="OZB84" s="2567"/>
      <c r="OZC84" s="2567"/>
      <c r="OZD84" s="2567"/>
      <c r="OZE84" s="2567"/>
      <c r="OZF84" s="2567"/>
      <c r="OZG84" s="2567"/>
      <c r="OZH84" s="2567"/>
      <c r="OZI84" s="2567"/>
      <c r="OZJ84" s="2567"/>
      <c r="OZK84" s="2567"/>
      <c r="OZL84" s="2567"/>
      <c r="OZM84" s="2567"/>
      <c r="OZN84" s="2567"/>
      <c r="OZO84" s="2567"/>
      <c r="OZP84" s="2567"/>
      <c r="OZQ84" s="2567"/>
      <c r="OZR84" s="2567"/>
      <c r="OZS84" s="2567"/>
      <c r="OZT84" s="2567"/>
      <c r="OZU84" s="2567"/>
      <c r="OZV84" s="2567"/>
      <c r="OZW84" s="2567"/>
      <c r="OZX84" s="2567"/>
      <c r="OZY84" s="2567"/>
      <c r="OZZ84" s="2567"/>
      <c r="PAA84" s="2567"/>
      <c r="PAB84" s="2567"/>
      <c r="PAC84" s="2567"/>
      <c r="PAD84" s="2567"/>
      <c r="PAE84" s="2567"/>
      <c r="PAF84" s="2567"/>
      <c r="PAG84" s="2567"/>
      <c r="PAH84" s="2567"/>
      <c r="PAI84" s="2567"/>
      <c r="PAJ84" s="2567"/>
      <c r="PAK84" s="2567"/>
      <c r="PAL84" s="2567"/>
      <c r="PAM84" s="2567"/>
      <c r="PAN84" s="2567"/>
      <c r="PAO84" s="2567"/>
      <c r="PAP84" s="2567"/>
      <c r="PAQ84" s="2567"/>
      <c r="PAR84" s="2567"/>
      <c r="PAS84" s="2567"/>
      <c r="PAT84" s="2567"/>
      <c r="PAU84" s="2567"/>
      <c r="PAV84" s="2567"/>
      <c r="PAW84" s="2567"/>
      <c r="PAX84" s="2567"/>
      <c r="PAY84" s="2567"/>
      <c r="PAZ84" s="2567"/>
      <c r="PBA84" s="2567"/>
      <c r="PBB84" s="2567"/>
      <c r="PBC84" s="2567"/>
      <c r="PBD84" s="2567"/>
      <c r="PBE84" s="2567"/>
      <c r="PBF84" s="2567"/>
      <c r="PBG84" s="2567"/>
      <c r="PBH84" s="2567"/>
      <c r="PBI84" s="2567"/>
      <c r="PBJ84" s="2567"/>
      <c r="PBK84" s="2567"/>
      <c r="PBL84" s="2567"/>
      <c r="PBM84" s="2567"/>
      <c r="PBN84" s="2567"/>
      <c r="PBO84" s="2567"/>
      <c r="PBP84" s="2567"/>
      <c r="PBQ84" s="2567"/>
      <c r="PBR84" s="2567"/>
      <c r="PBS84" s="2567"/>
      <c r="PBT84" s="2567"/>
      <c r="PBU84" s="2567"/>
      <c r="PBV84" s="2567"/>
      <c r="PBW84" s="2567"/>
      <c r="PBX84" s="2567"/>
      <c r="PBY84" s="2567"/>
      <c r="PBZ84" s="2567"/>
      <c r="PCA84" s="2567"/>
      <c r="PCB84" s="2567"/>
      <c r="PCC84" s="2567"/>
      <c r="PCD84" s="2567"/>
      <c r="PCE84" s="2567"/>
      <c r="PCF84" s="2567"/>
      <c r="PCG84" s="2567"/>
      <c r="PCH84" s="2567"/>
      <c r="PCI84" s="2567"/>
      <c r="PCJ84" s="2567"/>
      <c r="PCK84" s="2567"/>
      <c r="PCL84" s="2567"/>
      <c r="PCM84" s="2567"/>
      <c r="PCN84" s="2567"/>
      <c r="PCO84" s="2567"/>
      <c r="PCP84" s="2567"/>
      <c r="PCQ84" s="2567"/>
      <c r="PCR84" s="2567"/>
      <c r="PCS84" s="2567"/>
      <c r="PCT84" s="2567"/>
      <c r="PCU84" s="2567"/>
      <c r="PCV84" s="2567"/>
      <c r="PCW84" s="2567"/>
      <c r="PCX84" s="2567"/>
      <c r="PCY84" s="2567"/>
      <c r="PCZ84" s="2567"/>
      <c r="PDA84" s="2567"/>
      <c r="PDB84" s="2567"/>
      <c r="PDC84" s="2567"/>
      <c r="PDD84" s="2567"/>
      <c r="PDE84" s="2567"/>
      <c r="PDF84" s="2567"/>
      <c r="PDG84" s="2567"/>
      <c r="PDH84" s="2567"/>
      <c r="PDI84" s="2567"/>
      <c r="PDJ84" s="2567"/>
      <c r="PDK84" s="2567"/>
      <c r="PDL84" s="2567"/>
      <c r="PDM84" s="2567"/>
      <c r="PDN84" s="2567"/>
      <c r="PDO84" s="2567"/>
      <c r="PDP84" s="2567"/>
      <c r="PDQ84" s="2567"/>
      <c r="PDR84" s="2567"/>
      <c r="PDS84" s="2567"/>
      <c r="PDT84" s="2567"/>
      <c r="PDU84" s="2567"/>
      <c r="PDV84" s="2567"/>
      <c r="PDW84" s="2567"/>
      <c r="PDX84" s="2567"/>
      <c r="PDY84" s="2567"/>
      <c r="PDZ84" s="2567"/>
      <c r="PEA84" s="2567"/>
      <c r="PEB84" s="2567"/>
      <c r="PEC84" s="2567"/>
      <c r="PED84" s="2567"/>
      <c r="PEE84" s="2567"/>
      <c r="PEF84" s="2567"/>
      <c r="PEG84" s="2567"/>
      <c r="PEH84" s="2567"/>
      <c r="PEI84" s="2567"/>
      <c r="PEJ84" s="2567"/>
      <c r="PEK84" s="2567"/>
      <c r="PEL84" s="2567"/>
      <c r="PEM84" s="2567"/>
      <c r="PEN84" s="2567"/>
      <c r="PEO84" s="2567"/>
      <c r="PEP84" s="2567"/>
      <c r="PEQ84" s="2567"/>
      <c r="PER84" s="2567"/>
      <c r="PES84" s="2567"/>
      <c r="PET84" s="2567"/>
      <c r="PEU84" s="2567"/>
      <c r="PEV84" s="2567"/>
      <c r="PEW84" s="2567"/>
      <c r="PEX84" s="2567"/>
      <c r="PEY84" s="2567"/>
      <c r="PEZ84" s="2567"/>
      <c r="PFA84" s="2567"/>
      <c r="PFB84" s="2567"/>
      <c r="PFC84" s="2567"/>
      <c r="PFD84" s="2567"/>
      <c r="PFE84" s="2567"/>
      <c r="PFF84" s="2567"/>
      <c r="PFG84" s="2567"/>
      <c r="PFH84" s="2567"/>
      <c r="PFI84" s="2567"/>
      <c r="PFJ84" s="2567"/>
      <c r="PFK84" s="2567"/>
      <c r="PFL84" s="2567"/>
      <c r="PFM84" s="2567"/>
      <c r="PFN84" s="2567"/>
      <c r="PFO84" s="2567"/>
      <c r="PFP84" s="2567"/>
      <c r="PFQ84" s="2567"/>
      <c r="PFR84" s="2567"/>
      <c r="PFS84" s="2567"/>
      <c r="PFT84" s="2567"/>
      <c r="PFU84" s="2567"/>
      <c r="PFV84" s="2567"/>
      <c r="PFW84" s="2567"/>
      <c r="PFX84" s="2567"/>
      <c r="PFY84" s="2567"/>
      <c r="PFZ84" s="2567"/>
      <c r="PGA84" s="2567"/>
      <c r="PGB84" s="2567"/>
      <c r="PGC84" s="2567"/>
      <c r="PGD84" s="2567"/>
      <c r="PGE84" s="2567"/>
      <c r="PGF84" s="2567"/>
      <c r="PGG84" s="2567"/>
      <c r="PGH84" s="2567"/>
      <c r="PGI84" s="2567"/>
      <c r="PGJ84" s="2567"/>
      <c r="PGK84" s="2567"/>
      <c r="PGL84" s="2567"/>
      <c r="PGM84" s="2567"/>
      <c r="PGN84" s="2567"/>
      <c r="PGO84" s="2567"/>
      <c r="PGP84" s="2567"/>
      <c r="PGQ84" s="2567"/>
      <c r="PGR84" s="2567"/>
      <c r="PGS84" s="2567"/>
      <c r="PGT84" s="2567"/>
      <c r="PGU84" s="2567"/>
      <c r="PGV84" s="2567"/>
      <c r="PGW84" s="2567"/>
      <c r="PGX84" s="2567"/>
      <c r="PGY84" s="2567"/>
      <c r="PGZ84" s="2567"/>
      <c r="PHA84" s="2567"/>
      <c r="PHB84" s="2567"/>
      <c r="PHC84" s="2567"/>
      <c r="PHD84" s="2567"/>
      <c r="PHE84" s="2567"/>
      <c r="PHF84" s="2567"/>
      <c r="PHG84" s="2567"/>
      <c r="PHH84" s="2567"/>
      <c r="PHI84" s="2567"/>
      <c r="PHJ84" s="2567"/>
      <c r="PHK84" s="2567"/>
      <c r="PHL84" s="2567"/>
      <c r="PHM84" s="2567"/>
      <c r="PHN84" s="2567"/>
      <c r="PHO84" s="2567"/>
      <c r="PHP84" s="2567"/>
      <c r="PHQ84" s="2567"/>
      <c r="PHR84" s="2567"/>
      <c r="PHS84" s="2567"/>
      <c r="PHT84" s="2567"/>
      <c r="PHU84" s="2567"/>
      <c r="PHV84" s="2567"/>
      <c r="PHW84" s="2567"/>
      <c r="PHX84" s="2567"/>
      <c r="PHY84" s="2567"/>
      <c r="PHZ84" s="2567"/>
      <c r="PIA84" s="2567"/>
      <c r="PIB84" s="2567"/>
      <c r="PIC84" s="2567"/>
      <c r="PID84" s="2567"/>
      <c r="PIE84" s="2567"/>
      <c r="PIF84" s="2567"/>
      <c r="PIG84" s="2567"/>
      <c r="PIH84" s="2567"/>
      <c r="PII84" s="2567"/>
      <c r="PIJ84" s="2567"/>
      <c r="PIK84" s="2567"/>
      <c r="PIL84" s="2567"/>
      <c r="PIM84" s="2567"/>
      <c r="PIN84" s="2567"/>
      <c r="PIO84" s="2567"/>
      <c r="PIP84" s="2567"/>
      <c r="PIQ84" s="2567"/>
      <c r="PIR84" s="2567"/>
      <c r="PIS84" s="2567"/>
      <c r="PIT84" s="2567"/>
      <c r="PIU84" s="2567"/>
      <c r="PIV84" s="2567"/>
      <c r="PIW84" s="2567"/>
      <c r="PIX84" s="2567"/>
      <c r="PIY84" s="2567"/>
      <c r="PIZ84" s="2567"/>
      <c r="PJA84" s="2567"/>
      <c r="PJB84" s="2567"/>
      <c r="PJC84" s="2567"/>
      <c r="PJD84" s="2567"/>
      <c r="PJE84" s="2567"/>
      <c r="PJF84" s="2567"/>
      <c r="PJG84" s="2567"/>
      <c r="PJH84" s="2567"/>
      <c r="PJI84" s="2567"/>
      <c r="PJJ84" s="2567"/>
      <c r="PJK84" s="2567"/>
      <c r="PJL84" s="2567"/>
      <c r="PJM84" s="2567"/>
      <c r="PJN84" s="2567"/>
      <c r="PJO84" s="2567"/>
      <c r="PJP84" s="2567"/>
      <c r="PJQ84" s="2567"/>
      <c r="PJR84" s="2567"/>
      <c r="PJS84" s="2567"/>
      <c r="PJT84" s="2567"/>
      <c r="PJU84" s="2567"/>
      <c r="PJV84" s="2567"/>
      <c r="PJW84" s="2567"/>
      <c r="PJX84" s="2567"/>
      <c r="PJY84" s="2567"/>
      <c r="PJZ84" s="2567"/>
      <c r="PKA84" s="2567"/>
      <c r="PKB84" s="2567"/>
      <c r="PKC84" s="2567"/>
      <c r="PKD84" s="2567"/>
      <c r="PKE84" s="2567"/>
      <c r="PKF84" s="2567"/>
      <c r="PKG84" s="2567"/>
      <c r="PKH84" s="2567"/>
      <c r="PKI84" s="2567"/>
      <c r="PKJ84" s="2567"/>
      <c r="PKK84" s="2567"/>
      <c r="PKL84" s="2567"/>
      <c r="PKM84" s="2567"/>
      <c r="PKN84" s="2567"/>
      <c r="PKO84" s="2567"/>
      <c r="PKP84" s="2567"/>
      <c r="PKQ84" s="2567"/>
      <c r="PKR84" s="2567"/>
      <c r="PKS84" s="2567"/>
      <c r="PKT84" s="2567"/>
      <c r="PKU84" s="2567"/>
      <c r="PKV84" s="2567"/>
      <c r="PKW84" s="2567"/>
      <c r="PKX84" s="2567"/>
      <c r="PKY84" s="2567"/>
      <c r="PKZ84" s="2567"/>
      <c r="PLA84" s="2567"/>
      <c r="PLB84" s="2567"/>
      <c r="PLC84" s="2567"/>
      <c r="PLD84" s="2567"/>
      <c r="PLE84" s="2567"/>
      <c r="PLF84" s="2567"/>
      <c r="PLG84" s="2567"/>
      <c r="PLH84" s="2567"/>
      <c r="PLI84" s="2567"/>
      <c r="PLJ84" s="2567"/>
      <c r="PLK84" s="2567"/>
      <c r="PLL84" s="2567"/>
      <c r="PLM84" s="2567"/>
      <c r="PLN84" s="2567"/>
      <c r="PLO84" s="2567"/>
      <c r="PLP84" s="2567"/>
      <c r="PLQ84" s="2567"/>
      <c r="PLR84" s="2567"/>
      <c r="PLS84" s="2567"/>
      <c r="PLT84" s="2567"/>
      <c r="PLU84" s="2567"/>
      <c r="PLV84" s="2567"/>
      <c r="PLW84" s="2567"/>
      <c r="PLX84" s="2567"/>
      <c r="PLY84" s="2567"/>
      <c r="PLZ84" s="2567"/>
      <c r="PMA84" s="2567"/>
      <c r="PMB84" s="2567"/>
      <c r="PMC84" s="2567"/>
      <c r="PMD84" s="2567"/>
      <c r="PME84" s="2567"/>
      <c r="PMF84" s="2567"/>
      <c r="PMG84" s="2567"/>
      <c r="PMH84" s="2567"/>
      <c r="PMI84" s="2567"/>
      <c r="PMJ84" s="2567"/>
      <c r="PMK84" s="2567"/>
      <c r="PML84" s="2567"/>
      <c r="PMM84" s="2567"/>
      <c r="PMN84" s="2567"/>
      <c r="PMO84" s="2567"/>
      <c r="PMP84" s="2567"/>
      <c r="PMQ84" s="2567"/>
      <c r="PMR84" s="2567"/>
      <c r="PMS84" s="2567"/>
      <c r="PMT84" s="2567"/>
      <c r="PMU84" s="2567"/>
      <c r="PMV84" s="2567"/>
      <c r="PMW84" s="2567"/>
      <c r="PMX84" s="2567"/>
      <c r="PMY84" s="2567"/>
      <c r="PMZ84" s="2567"/>
      <c r="PNA84" s="2567"/>
      <c r="PNB84" s="2567"/>
      <c r="PNC84" s="2567"/>
      <c r="PND84" s="2567"/>
      <c r="PNE84" s="2567"/>
      <c r="PNF84" s="2567"/>
      <c r="PNG84" s="2567"/>
      <c r="PNH84" s="2567"/>
      <c r="PNI84" s="2567"/>
      <c r="PNJ84" s="2567"/>
      <c r="PNK84" s="2567"/>
      <c r="PNL84" s="2567"/>
      <c r="PNM84" s="2567"/>
      <c r="PNN84" s="2567"/>
      <c r="PNO84" s="2567"/>
      <c r="PNP84" s="2567"/>
      <c r="PNQ84" s="2567"/>
      <c r="PNR84" s="2567"/>
      <c r="PNS84" s="2567"/>
      <c r="PNT84" s="2567"/>
      <c r="PNU84" s="2567"/>
      <c r="PNV84" s="2567"/>
      <c r="PNW84" s="2567"/>
      <c r="PNX84" s="2567"/>
      <c r="PNY84" s="2567"/>
      <c r="PNZ84" s="2567"/>
      <c r="POA84" s="2567"/>
      <c r="POB84" s="2567"/>
      <c r="POC84" s="2567"/>
      <c r="POD84" s="2567"/>
      <c r="POE84" s="2567"/>
      <c r="POF84" s="2567"/>
      <c r="POG84" s="2567"/>
      <c r="POH84" s="2567"/>
      <c r="POI84" s="2567"/>
      <c r="POJ84" s="2567"/>
      <c r="POK84" s="2567"/>
      <c r="POL84" s="2567"/>
      <c r="POM84" s="2567"/>
      <c r="PON84" s="2567"/>
      <c r="POO84" s="2567"/>
      <c r="POP84" s="2567"/>
      <c r="POQ84" s="2567"/>
      <c r="POR84" s="2567"/>
      <c r="POS84" s="2567"/>
      <c r="POT84" s="2567"/>
      <c r="POU84" s="2567"/>
      <c r="POV84" s="2567"/>
      <c r="POW84" s="2567"/>
      <c r="POX84" s="2567"/>
      <c r="POY84" s="2567"/>
      <c r="POZ84" s="2567"/>
      <c r="PPA84" s="2567"/>
      <c r="PPB84" s="2567"/>
      <c r="PPC84" s="2567"/>
      <c r="PPD84" s="2567"/>
      <c r="PPE84" s="2567"/>
      <c r="PPF84" s="2567"/>
      <c r="PPG84" s="2567"/>
      <c r="PPH84" s="2567"/>
      <c r="PPI84" s="2567"/>
      <c r="PPJ84" s="2567"/>
      <c r="PPK84" s="2567"/>
      <c r="PPL84" s="2567"/>
      <c r="PPM84" s="2567"/>
      <c r="PPN84" s="2567"/>
      <c r="PPO84" s="2567"/>
      <c r="PPP84" s="2567"/>
      <c r="PPQ84" s="2567"/>
      <c r="PPR84" s="2567"/>
      <c r="PPS84" s="2567"/>
      <c r="PPT84" s="2567"/>
      <c r="PPU84" s="2567"/>
      <c r="PPV84" s="2567"/>
      <c r="PPW84" s="2567"/>
      <c r="PPX84" s="2567"/>
      <c r="PPY84" s="2567"/>
      <c r="PPZ84" s="2567"/>
      <c r="PQA84" s="2567"/>
      <c r="PQB84" s="2567"/>
      <c r="PQC84" s="2567"/>
      <c r="PQD84" s="2567"/>
      <c r="PQE84" s="2567"/>
      <c r="PQF84" s="2567"/>
      <c r="PQG84" s="2567"/>
      <c r="PQH84" s="2567"/>
      <c r="PQI84" s="2567"/>
      <c r="PQJ84" s="2567"/>
      <c r="PQK84" s="2567"/>
      <c r="PQL84" s="2567"/>
      <c r="PQM84" s="2567"/>
      <c r="PQN84" s="2567"/>
      <c r="PQO84" s="2567"/>
      <c r="PQP84" s="2567"/>
      <c r="PQQ84" s="2567"/>
      <c r="PQR84" s="2567"/>
      <c r="PQS84" s="2567"/>
      <c r="PQT84" s="2567"/>
      <c r="PQU84" s="2567"/>
      <c r="PQV84" s="2567"/>
      <c r="PQW84" s="2567"/>
      <c r="PQX84" s="2567"/>
      <c r="PQY84" s="2567"/>
      <c r="PQZ84" s="2567"/>
      <c r="PRA84" s="2567"/>
      <c r="PRB84" s="2567"/>
      <c r="PRC84" s="2567"/>
      <c r="PRD84" s="2567"/>
      <c r="PRE84" s="2567"/>
      <c r="PRF84" s="2567"/>
      <c r="PRG84" s="2567"/>
      <c r="PRH84" s="2567"/>
      <c r="PRI84" s="2567"/>
      <c r="PRJ84" s="2567"/>
      <c r="PRK84" s="2567"/>
      <c r="PRL84" s="2567"/>
      <c r="PRM84" s="2567"/>
      <c r="PRN84" s="2567"/>
      <c r="PRO84" s="2567"/>
      <c r="PRP84" s="2567"/>
      <c r="PRQ84" s="2567"/>
      <c r="PRR84" s="2567"/>
      <c r="PRS84" s="2567"/>
      <c r="PRT84" s="2567"/>
      <c r="PRU84" s="2567"/>
      <c r="PRV84" s="2567"/>
      <c r="PRW84" s="2567"/>
      <c r="PRX84" s="2567"/>
      <c r="PRY84" s="2567"/>
      <c r="PRZ84" s="2567"/>
      <c r="PSA84" s="2567"/>
      <c r="PSB84" s="2567"/>
      <c r="PSC84" s="2567"/>
      <c r="PSD84" s="2567"/>
      <c r="PSE84" s="2567"/>
      <c r="PSF84" s="2567"/>
      <c r="PSG84" s="2567"/>
      <c r="PSH84" s="2567"/>
      <c r="PSI84" s="2567"/>
      <c r="PSJ84" s="2567"/>
      <c r="PSK84" s="2567"/>
      <c r="PSL84" s="2567"/>
      <c r="PSM84" s="2567"/>
      <c r="PSN84" s="2567"/>
      <c r="PSO84" s="2567"/>
      <c r="PSP84" s="2567"/>
      <c r="PSQ84" s="2567"/>
      <c r="PSR84" s="2567"/>
      <c r="PSS84" s="2567"/>
      <c r="PST84" s="2567"/>
      <c r="PSU84" s="2567"/>
      <c r="PSV84" s="2567"/>
      <c r="PSW84" s="2567"/>
      <c r="PSX84" s="2567"/>
      <c r="PSY84" s="2567"/>
      <c r="PSZ84" s="2567"/>
      <c r="PTA84" s="2567"/>
      <c r="PTB84" s="2567"/>
      <c r="PTC84" s="2567"/>
      <c r="PTD84" s="2567"/>
      <c r="PTE84" s="2567"/>
      <c r="PTF84" s="2567"/>
      <c r="PTG84" s="2567"/>
      <c r="PTH84" s="2567"/>
      <c r="PTI84" s="2567"/>
      <c r="PTJ84" s="2567"/>
      <c r="PTK84" s="2567"/>
      <c r="PTL84" s="2567"/>
      <c r="PTM84" s="2567"/>
      <c r="PTN84" s="2567"/>
      <c r="PTO84" s="2567"/>
      <c r="PTP84" s="2567"/>
      <c r="PTQ84" s="2567"/>
      <c r="PTR84" s="2567"/>
      <c r="PTS84" s="2567"/>
      <c r="PTT84" s="2567"/>
      <c r="PTU84" s="2567"/>
      <c r="PTV84" s="2567"/>
      <c r="PTW84" s="2567"/>
      <c r="PTX84" s="2567"/>
      <c r="PTY84" s="2567"/>
      <c r="PTZ84" s="2567"/>
      <c r="PUA84" s="2567"/>
      <c r="PUB84" s="2567"/>
      <c r="PUC84" s="2567"/>
      <c r="PUD84" s="2567"/>
      <c r="PUE84" s="2567"/>
      <c r="PUF84" s="2567"/>
      <c r="PUG84" s="2567"/>
      <c r="PUH84" s="2567"/>
      <c r="PUI84" s="2567"/>
      <c r="PUJ84" s="2567"/>
      <c r="PUK84" s="2567"/>
      <c r="PUL84" s="2567"/>
      <c r="PUM84" s="2567"/>
      <c r="PUN84" s="2567"/>
      <c r="PUO84" s="2567"/>
      <c r="PUP84" s="2567"/>
      <c r="PUQ84" s="2567"/>
      <c r="PUR84" s="2567"/>
      <c r="PUS84" s="2567"/>
      <c r="PUT84" s="2567"/>
      <c r="PUU84" s="2567"/>
      <c r="PUV84" s="2567"/>
      <c r="PUW84" s="2567"/>
      <c r="PUX84" s="2567"/>
      <c r="PUY84" s="2567"/>
      <c r="PUZ84" s="2567"/>
      <c r="PVA84" s="2567"/>
      <c r="PVB84" s="2567"/>
      <c r="PVC84" s="2567"/>
      <c r="PVD84" s="2567"/>
      <c r="PVE84" s="2567"/>
      <c r="PVF84" s="2567"/>
      <c r="PVG84" s="2567"/>
      <c r="PVH84" s="2567"/>
      <c r="PVI84" s="2567"/>
      <c r="PVJ84" s="2567"/>
      <c r="PVK84" s="2567"/>
      <c r="PVL84" s="2567"/>
      <c r="PVM84" s="2567"/>
      <c r="PVN84" s="2567"/>
      <c r="PVO84" s="2567"/>
      <c r="PVP84" s="2567"/>
      <c r="PVQ84" s="2567"/>
      <c r="PVR84" s="2567"/>
      <c r="PVS84" s="2567"/>
      <c r="PVT84" s="2567"/>
      <c r="PVU84" s="2567"/>
      <c r="PVV84" s="2567"/>
      <c r="PVW84" s="2567"/>
      <c r="PVX84" s="2567"/>
      <c r="PVY84" s="2567"/>
      <c r="PVZ84" s="2567"/>
      <c r="PWA84" s="2567"/>
      <c r="PWB84" s="2567"/>
      <c r="PWC84" s="2567"/>
      <c r="PWD84" s="2567"/>
      <c r="PWE84" s="2567"/>
      <c r="PWF84" s="2567"/>
      <c r="PWG84" s="2567"/>
      <c r="PWH84" s="2567"/>
      <c r="PWI84" s="2567"/>
      <c r="PWJ84" s="2567"/>
      <c r="PWK84" s="2567"/>
      <c r="PWL84" s="2567"/>
      <c r="PWM84" s="2567"/>
      <c r="PWN84" s="2567"/>
      <c r="PWO84" s="2567"/>
      <c r="PWP84" s="2567"/>
      <c r="PWQ84" s="2567"/>
      <c r="PWR84" s="2567"/>
      <c r="PWS84" s="2567"/>
      <c r="PWT84" s="2567"/>
      <c r="PWU84" s="2567"/>
      <c r="PWV84" s="2567"/>
      <c r="PWW84" s="2567"/>
      <c r="PWX84" s="2567"/>
      <c r="PWY84" s="2567"/>
      <c r="PWZ84" s="2567"/>
      <c r="PXA84" s="2567"/>
      <c r="PXB84" s="2567"/>
      <c r="PXC84" s="2567"/>
      <c r="PXD84" s="2567"/>
      <c r="PXE84" s="2567"/>
      <c r="PXF84" s="2567"/>
      <c r="PXG84" s="2567"/>
      <c r="PXH84" s="2567"/>
      <c r="PXI84" s="2567"/>
      <c r="PXJ84" s="2567"/>
      <c r="PXK84" s="2567"/>
      <c r="PXL84" s="2567"/>
      <c r="PXM84" s="2567"/>
      <c r="PXN84" s="2567"/>
      <c r="PXO84" s="2567"/>
      <c r="PXP84" s="2567"/>
      <c r="PXQ84" s="2567"/>
      <c r="PXR84" s="2567"/>
      <c r="PXS84" s="2567"/>
      <c r="PXT84" s="2567"/>
      <c r="PXU84" s="2567"/>
      <c r="PXV84" s="2567"/>
      <c r="PXW84" s="2567"/>
      <c r="PXX84" s="2567"/>
      <c r="PXY84" s="2567"/>
      <c r="PXZ84" s="2567"/>
      <c r="PYA84" s="2567"/>
      <c r="PYB84" s="2567"/>
      <c r="PYC84" s="2567"/>
      <c r="PYD84" s="2567"/>
      <c r="PYE84" s="2567"/>
      <c r="PYF84" s="2567"/>
      <c r="PYG84" s="2567"/>
      <c r="PYH84" s="2567"/>
      <c r="PYI84" s="2567"/>
      <c r="PYJ84" s="2567"/>
      <c r="PYK84" s="2567"/>
      <c r="PYL84" s="2567"/>
      <c r="PYM84" s="2567"/>
      <c r="PYN84" s="2567"/>
      <c r="PYO84" s="2567"/>
      <c r="PYP84" s="2567"/>
      <c r="PYQ84" s="2567"/>
      <c r="PYR84" s="2567"/>
      <c r="PYS84" s="2567"/>
      <c r="PYT84" s="2567"/>
      <c r="PYU84" s="2567"/>
      <c r="PYV84" s="2567"/>
      <c r="PYW84" s="2567"/>
      <c r="PYX84" s="2567"/>
      <c r="PYY84" s="2567"/>
      <c r="PYZ84" s="2567"/>
      <c r="PZA84" s="2567"/>
      <c r="PZB84" s="2567"/>
      <c r="PZC84" s="2567"/>
      <c r="PZD84" s="2567"/>
      <c r="PZE84" s="2567"/>
      <c r="PZF84" s="2567"/>
      <c r="PZG84" s="2567"/>
      <c r="PZH84" s="2567"/>
      <c r="PZI84" s="2567"/>
      <c r="PZJ84" s="2567"/>
      <c r="PZK84" s="2567"/>
      <c r="PZL84" s="2567"/>
      <c r="PZM84" s="2567"/>
      <c r="PZN84" s="2567"/>
      <c r="PZO84" s="2567"/>
      <c r="PZP84" s="2567"/>
      <c r="PZQ84" s="2567"/>
      <c r="PZR84" s="2567"/>
      <c r="PZS84" s="2567"/>
      <c r="PZT84" s="2567"/>
      <c r="PZU84" s="2567"/>
      <c r="PZV84" s="2567"/>
      <c r="PZW84" s="2567"/>
      <c r="PZX84" s="2567"/>
      <c r="PZY84" s="2567"/>
      <c r="PZZ84" s="2567"/>
      <c r="QAA84" s="2567"/>
      <c r="QAB84" s="2567"/>
      <c r="QAC84" s="2567"/>
      <c r="QAD84" s="2567"/>
      <c r="QAE84" s="2567"/>
      <c r="QAF84" s="2567"/>
      <c r="QAG84" s="2567"/>
      <c r="QAH84" s="2567"/>
      <c r="QAI84" s="2567"/>
      <c r="QAJ84" s="2567"/>
      <c r="QAK84" s="2567"/>
      <c r="QAL84" s="2567"/>
      <c r="QAM84" s="2567"/>
      <c r="QAN84" s="2567"/>
      <c r="QAO84" s="2567"/>
      <c r="QAP84" s="2567"/>
      <c r="QAQ84" s="2567"/>
      <c r="QAR84" s="2567"/>
      <c r="QAS84" s="2567"/>
      <c r="QAT84" s="2567"/>
      <c r="QAU84" s="2567"/>
      <c r="QAV84" s="2567"/>
      <c r="QAW84" s="2567"/>
      <c r="QAX84" s="2567"/>
      <c r="QAY84" s="2567"/>
      <c r="QAZ84" s="2567"/>
      <c r="QBA84" s="2567"/>
      <c r="QBB84" s="2567"/>
      <c r="QBC84" s="2567"/>
      <c r="QBD84" s="2567"/>
      <c r="QBE84" s="2567"/>
      <c r="QBF84" s="2567"/>
      <c r="QBG84" s="2567"/>
      <c r="QBH84" s="2567"/>
      <c r="QBI84" s="2567"/>
      <c r="QBJ84" s="2567"/>
      <c r="QBK84" s="2567"/>
      <c r="QBL84" s="2567"/>
      <c r="QBM84" s="2567"/>
      <c r="QBN84" s="2567"/>
      <c r="QBO84" s="2567"/>
      <c r="QBP84" s="2567"/>
      <c r="QBQ84" s="2567"/>
      <c r="QBR84" s="2567"/>
      <c r="QBS84" s="2567"/>
      <c r="QBT84" s="2567"/>
      <c r="QBU84" s="2567"/>
      <c r="QBV84" s="2567"/>
      <c r="QBW84" s="2567"/>
      <c r="QBX84" s="2567"/>
      <c r="QBY84" s="2567"/>
      <c r="QBZ84" s="2567"/>
      <c r="QCA84" s="2567"/>
      <c r="QCB84" s="2567"/>
      <c r="QCC84" s="2567"/>
      <c r="QCD84" s="2567"/>
      <c r="QCE84" s="2567"/>
      <c r="QCF84" s="2567"/>
      <c r="QCG84" s="2567"/>
      <c r="QCH84" s="2567"/>
      <c r="QCI84" s="2567"/>
      <c r="QCJ84" s="2567"/>
      <c r="QCK84" s="2567"/>
      <c r="QCL84" s="2567"/>
      <c r="QCM84" s="2567"/>
      <c r="QCN84" s="2567"/>
      <c r="QCO84" s="2567"/>
      <c r="QCP84" s="2567"/>
      <c r="QCQ84" s="2567"/>
      <c r="QCR84" s="2567"/>
      <c r="QCS84" s="2567"/>
      <c r="QCT84" s="2567"/>
      <c r="QCU84" s="2567"/>
      <c r="QCV84" s="2567"/>
      <c r="QCW84" s="2567"/>
      <c r="QCX84" s="2567"/>
      <c r="QCY84" s="2567"/>
      <c r="QCZ84" s="2567"/>
      <c r="QDA84" s="2567"/>
      <c r="QDB84" s="2567"/>
      <c r="QDC84" s="2567"/>
      <c r="QDD84" s="2567"/>
      <c r="QDE84" s="2567"/>
      <c r="QDF84" s="2567"/>
      <c r="QDG84" s="2567"/>
      <c r="QDH84" s="2567"/>
      <c r="QDI84" s="2567"/>
      <c r="QDJ84" s="2567"/>
      <c r="QDK84" s="2567"/>
      <c r="QDL84" s="2567"/>
      <c r="QDM84" s="2567"/>
      <c r="QDN84" s="2567"/>
      <c r="QDO84" s="2567"/>
      <c r="QDP84" s="2567"/>
      <c r="QDQ84" s="2567"/>
      <c r="QDR84" s="2567"/>
      <c r="QDS84" s="2567"/>
      <c r="QDT84" s="2567"/>
      <c r="QDU84" s="2567"/>
      <c r="QDV84" s="2567"/>
      <c r="QDW84" s="2567"/>
      <c r="QDX84" s="2567"/>
      <c r="QDY84" s="2567"/>
      <c r="QDZ84" s="2567"/>
      <c r="QEA84" s="2567"/>
      <c r="QEB84" s="2567"/>
      <c r="QEC84" s="2567"/>
      <c r="QED84" s="2567"/>
      <c r="QEE84" s="2567"/>
      <c r="QEF84" s="2567"/>
      <c r="QEG84" s="2567"/>
      <c r="QEH84" s="2567"/>
      <c r="QEI84" s="2567"/>
      <c r="QEJ84" s="2567"/>
      <c r="QEK84" s="2567"/>
      <c r="QEL84" s="2567"/>
      <c r="QEM84" s="2567"/>
      <c r="QEN84" s="2567"/>
      <c r="QEO84" s="2567"/>
      <c r="QEP84" s="2567"/>
      <c r="QEQ84" s="2567"/>
      <c r="QER84" s="2567"/>
      <c r="QES84" s="2567"/>
      <c r="QET84" s="2567"/>
      <c r="QEU84" s="2567"/>
      <c r="QEV84" s="2567"/>
      <c r="QEW84" s="2567"/>
      <c r="QEX84" s="2567"/>
      <c r="QEY84" s="2567"/>
      <c r="QEZ84" s="2567"/>
      <c r="QFA84" s="2567"/>
      <c r="QFB84" s="2567"/>
      <c r="QFC84" s="2567"/>
      <c r="QFD84" s="2567"/>
      <c r="QFE84" s="2567"/>
      <c r="QFF84" s="2567"/>
      <c r="QFG84" s="2567"/>
      <c r="QFH84" s="2567"/>
      <c r="QFI84" s="2567"/>
      <c r="QFJ84" s="2567"/>
      <c r="QFK84" s="2567"/>
      <c r="QFL84" s="2567"/>
      <c r="QFM84" s="2567"/>
      <c r="QFN84" s="2567"/>
      <c r="QFO84" s="2567"/>
      <c r="QFP84" s="2567"/>
      <c r="QFQ84" s="2567"/>
      <c r="QFR84" s="2567"/>
      <c r="QFS84" s="2567"/>
      <c r="QFT84" s="2567"/>
      <c r="QFU84" s="2567"/>
      <c r="QFV84" s="2567"/>
      <c r="QFW84" s="2567"/>
      <c r="QFX84" s="2567"/>
      <c r="QFY84" s="2567"/>
      <c r="QFZ84" s="2567"/>
      <c r="QGA84" s="2567"/>
      <c r="QGB84" s="2567"/>
      <c r="QGC84" s="2567"/>
      <c r="QGD84" s="2567"/>
      <c r="QGE84" s="2567"/>
      <c r="QGF84" s="2567"/>
      <c r="QGG84" s="2567"/>
      <c r="QGH84" s="2567"/>
      <c r="QGI84" s="2567"/>
      <c r="QGJ84" s="2567"/>
      <c r="QGK84" s="2567"/>
      <c r="QGL84" s="2567"/>
      <c r="QGM84" s="2567"/>
      <c r="QGN84" s="2567"/>
      <c r="QGO84" s="2567"/>
      <c r="QGP84" s="2567"/>
      <c r="QGQ84" s="2567"/>
      <c r="QGR84" s="2567"/>
      <c r="QGS84" s="2567"/>
      <c r="QGT84" s="2567"/>
      <c r="QGU84" s="2567"/>
      <c r="QGV84" s="2567"/>
      <c r="QGW84" s="2567"/>
      <c r="QGX84" s="2567"/>
      <c r="QGY84" s="2567"/>
      <c r="QGZ84" s="2567"/>
      <c r="QHA84" s="2567"/>
      <c r="QHB84" s="2567"/>
      <c r="QHC84" s="2567"/>
      <c r="QHD84" s="2567"/>
      <c r="QHE84" s="2567"/>
      <c r="QHF84" s="2567"/>
      <c r="QHG84" s="2567"/>
      <c r="QHH84" s="2567"/>
      <c r="QHI84" s="2567"/>
      <c r="QHJ84" s="2567"/>
      <c r="QHK84" s="2567"/>
      <c r="QHL84" s="2567"/>
      <c r="QHM84" s="2567"/>
      <c r="QHN84" s="2567"/>
      <c r="QHO84" s="2567"/>
      <c r="QHP84" s="2567"/>
      <c r="QHQ84" s="2567"/>
      <c r="QHR84" s="2567"/>
      <c r="QHS84" s="2567"/>
      <c r="QHT84" s="2567"/>
      <c r="QHU84" s="2567"/>
      <c r="QHV84" s="2567"/>
      <c r="QHW84" s="2567"/>
      <c r="QHX84" s="2567"/>
      <c r="QHY84" s="2567"/>
      <c r="QHZ84" s="2567"/>
      <c r="QIA84" s="2567"/>
      <c r="QIB84" s="2567"/>
      <c r="QIC84" s="2567"/>
      <c r="QID84" s="2567"/>
      <c r="QIE84" s="2567"/>
      <c r="QIF84" s="2567"/>
      <c r="QIG84" s="2567"/>
      <c r="QIH84" s="2567"/>
      <c r="QII84" s="2567"/>
      <c r="QIJ84" s="2567"/>
      <c r="QIK84" s="2567"/>
      <c r="QIL84" s="2567"/>
      <c r="QIM84" s="2567"/>
      <c r="QIN84" s="2567"/>
      <c r="QIO84" s="2567"/>
      <c r="QIP84" s="2567"/>
      <c r="QIQ84" s="2567"/>
      <c r="QIR84" s="2567"/>
      <c r="QIS84" s="2567"/>
      <c r="QIT84" s="2567"/>
      <c r="QIU84" s="2567"/>
      <c r="QIV84" s="2567"/>
      <c r="QIW84" s="2567"/>
      <c r="QIX84" s="2567"/>
      <c r="QIY84" s="2567"/>
      <c r="QIZ84" s="2567"/>
      <c r="QJA84" s="2567"/>
      <c r="QJB84" s="2567"/>
      <c r="QJC84" s="2567"/>
      <c r="QJD84" s="2567"/>
      <c r="QJE84" s="2567"/>
      <c r="QJF84" s="2567"/>
      <c r="QJG84" s="2567"/>
      <c r="QJH84" s="2567"/>
      <c r="QJI84" s="2567"/>
      <c r="QJJ84" s="2567"/>
      <c r="QJK84" s="2567"/>
      <c r="QJL84" s="2567"/>
      <c r="QJM84" s="2567"/>
      <c r="QJN84" s="2567"/>
      <c r="QJO84" s="2567"/>
      <c r="QJP84" s="2567"/>
      <c r="QJQ84" s="2567"/>
      <c r="QJR84" s="2567"/>
      <c r="QJS84" s="2567"/>
      <c r="QJT84" s="2567"/>
      <c r="QJU84" s="2567"/>
      <c r="QJV84" s="2567"/>
      <c r="QJW84" s="2567"/>
      <c r="QJX84" s="2567"/>
      <c r="QJY84" s="2567"/>
      <c r="QJZ84" s="2567"/>
      <c r="QKA84" s="2567"/>
      <c r="QKB84" s="2567"/>
      <c r="QKC84" s="2567"/>
      <c r="QKD84" s="2567"/>
      <c r="QKE84" s="2567"/>
      <c r="QKF84" s="2567"/>
      <c r="QKG84" s="2567"/>
      <c r="QKH84" s="2567"/>
      <c r="QKI84" s="2567"/>
      <c r="QKJ84" s="2567"/>
      <c r="QKK84" s="2567"/>
      <c r="QKL84" s="2567"/>
      <c r="QKM84" s="2567"/>
      <c r="QKN84" s="2567"/>
      <c r="QKO84" s="2567"/>
      <c r="QKP84" s="2567"/>
      <c r="QKQ84" s="2567"/>
      <c r="QKR84" s="2567"/>
      <c r="QKS84" s="2567"/>
      <c r="QKT84" s="2567"/>
      <c r="QKU84" s="2567"/>
      <c r="QKV84" s="2567"/>
      <c r="QKW84" s="2567"/>
      <c r="QKX84" s="2567"/>
      <c r="QKY84" s="2567"/>
      <c r="QKZ84" s="2567"/>
      <c r="QLA84" s="2567"/>
      <c r="QLB84" s="2567"/>
      <c r="QLC84" s="2567"/>
      <c r="QLD84" s="2567"/>
      <c r="QLE84" s="2567"/>
      <c r="QLF84" s="2567"/>
      <c r="QLG84" s="2567"/>
      <c r="QLH84" s="2567"/>
      <c r="QLI84" s="2567"/>
      <c r="QLJ84" s="2567"/>
      <c r="QLK84" s="2567"/>
      <c r="QLL84" s="2567"/>
      <c r="QLM84" s="2567"/>
      <c r="QLN84" s="2567"/>
      <c r="QLO84" s="2567"/>
      <c r="QLP84" s="2567"/>
      <c r="QLQ84" s="2567"/>
      <c r="QLR84" s="2567"/>
      <c r="QLS84" s="2567"/>
      <c r="QLT84" s="2567"/>
      <c r="QLU84" s="2567"/>
      <c r="QLV84" s="2567"/>
      <c r="QLW84" s="2567"/>
      <c r="QLX84" s="2567"/>
      <c r="QLY84" s="2567"/>
      <c r="QLZ84" s="2567"/>
      <c r="QMA84" s="2567"/>
      <c r="QMB84" s="2567"/>
      <c r="QMC84" s="2567"/>
      <c r="QMD84" s="2567"/>
      <c r="QME84" s="2567"/>
      <c r="QMF84" s="2567"/>
      <c r="QMG84" s="2567"/>
      <c r="QMH84" s="2567"/>
      <c r="QMI84" s="2567"/>
      <c r="QMJ84" s="2567"/>
      <c r="QMK84" s="2567"/>
      <c r="QML84" s="2567"/>
      <c r="QMM84" s="2567"/>
      <c r="QMN84" s="2567"/>
      <c r="QMO84" s="2567"/>
      <c r="QMP84" s="2567"/>
      <c r="QMQ84" s="2567"/>
      <c r="QMR84" s="2567"/>
      <c r="QMS84" s="2567"/>
      <c r="QMT84" s="2567"/>
      <c r="QMU84" s="2567"/>
      <c r="QMV84" s="2567"/>
      <c r="QMW84" s="2567"/>
      <c r="QMX84" s="2567"/>
      <c r="QMY84" s="2567"/>
      <c r="QMZ84" s="2567"/>
      <c r="QNA84" s="2567"/>
      <c r="QNB84" s="2567"/>
      <c r="QNC84" s="2567"/>
      <c r="QND84" s="2567"/>
      <c r="QNE84" s="2567"/>
      <c r="QNF84" s="2567"/>
      <c r="QNG84" s="2567"/>
      <c r="QNH84" s="2567"/>
      <c r="QNI84" s="2567"/>
      <c r="QNJ84" s="2567"/>
      <c r="QNK84" s="2567"/>
      <c r="QNL84" s="2567"/>
      <c r="QNM84" s="2567"/>
      <c r="QNN84" s="2567"/>
      <c r="QNO84" s="2567"/>
      <c r="QNP84" s="2567"/>
      <c r="QNQ84" s="2567"/>
      <c r="QNR84" s="2567"/>
      <c r="QNS84" s="2567"/>
      <c r="QNT84" s="2567"/>
      <c r="QNU84" s="2567"/>
      <c r="QNV84" s="2567"/>
      <c r="QNW84" s="2567"/>
      <c r="QNX84" s="2567"/>
      <c r="QNY84" s="2567"/>
      <c r="QNZ84" s="2567"/>
      <c r="QOA84" s="2567"/>
      <c r="QOB84" s="2567"/>
      <c r="QOC84" s="2567"/>
      <c r="QOD84" s="2567"/>
      <c r="QOE84" s="2567"/>
      <c r="QOF84" s="2567"/>
      <c r="QOG84" s="2567"/>
      <c r="QOH84" s="2567"/>
      <c r="QOI84" s="2567"/>
      <c r="QOJ84" s="2567"/>
      <c r="QOK84" s="2567"/>
      <c r="QOL84" s="2567"/>
      <c r="QOM84" s="2567"/>
      <c r="QON84" s="2567"/>
      <c r="QOO84" s="2567"/>
      <c r="QOP84" s="2567"/>
      <c r="QOQ84" s="2567"/>
      <c r="QOR84" s="2567"/>
      <c r="QOS84" s="2567"/>
      <c r="QOT84" s="2567"/>
      <c r="QOU84" s="2567"/>
      <c r="QOV84" s="2567"/>
      <c r="QOW84" s="2567"/>
      <c r="QOX84" s="2567"/>
      <c r="QOY84" s="2567"/>
      <c r="QOZ84" s="2567"/>
      <c r="QPA84" s="2567"/>
      <c r="QPB84" s="2567"/>
      <c r="QPC84" s="2567"/>
      <c r="QPD84" s="2567"/>
      <c r="QPE84" s="2567"/>
      <c r="QPF84" s="2567"/>
      <c r="QPG84" s="2567"/>
      <c r="QPH84" s="2567"/>
      <c r="QPI84" s="2567"/>
      <c r="QPJ84" s="2567"/>
      <c r="QPK84" s="2567"/>
      <c r="QPL84" s="2567"/>
      <c r="QPM84" s="2567"/>
      <c r="QPN84" s="2567"/>
      <c r="QPO84" s="2567"/>
      <c r="QPP84" s="2567"/>
      <c r="QPQ84" s="2567"/>
      <c r="QPR84" s="2567"/>
      <c r="QPS84" s="2567"/>
      <c r="QPT84" s="2567"/>
      <c r="QPU84" s="2567"/>
      <c r="QPV84" s="2567"/>
      <c r="QPW84" s="2567"/>
      <c r="QPX84" s="2567"/>
      <c r="QPY84" s="2567"/>
      <c r="QPZ84" s="2567"/>
      <c r="QQA84" s="2567"/>
      <c r="QQB84" s="2567"/>
      <c r="QQC84" s="2567"/>
      <c r="QQD84" s="2567"/>
      <c r="QQE84" s="2567"/>
      <c r="QQF84" s="2567"/>
      <c r="QQG84" s="2567"/>
      <c r="QQH84" s="2567"/>
      <c r="QQI84" s="2567"/>
      <c r="QQJ84" s="2567"/>
      <c r="QQK84" s="2567"/>
      <c r="QQL84" s="2567"/>
      <c r="QQM84" s="2567"/>
      <c r="QQN84" s="2567"/>
      <c r="QQO84" s="2567"/>
      <c r="QQP84" s="2567"/>
      <c r="QQQ84" s="2567"/>
      <c r="QQR84" s="2567"/>
      <c r="QQS84" s="2567"/>
      <c r="QQT84" s="2567"/>
      <c r="QQU84" s="2567"/>
      <c r="QQV84" s="2567"/>
      <c r="QQW84" s="2567"/>
      <c r="QQX84" s="2567"/>
      <c r="QQY84" s="2567"/>
      <c r="QQZ84" s="2567"/>
      <c r="QRA84" s="2567"/>
      <c r="QRB84" s="2567"/>
      <c r="QRC84" s="2567"/>
      <c r="QRD84" s="2567"/>
      <c r="QRE84" s="2567"/>
      <c r="QRF84" s="2567"/>
      <c r="QRG84" s="2567"/>
      <c r="QRH84" s="2567"/>
      <c r="QRI84" s="2567"/>
      <c r="QRJ84" s="2567"/>
      <c r="QRK84" s="2567"/>
      <c r="QRL84" s="2567"/>
      <c r="QRM84" s="2567"/>
      <c r="QRN84" s="2567"/>
      <c r="QRO84" s="2567"/>
      <c r="QRP84" s="2567"/>
      <c r="QRQ84" s="2567"/>
      <c r="QRR84" s="2567"/>
      <c r="QRS84" s="2567"/>
      <c r="QRT84" s="2567"/>
      <c r="QRU84" s="2567"/>
      <c r="QRV84" s="2567"/>
      <c r="QRW84" s="2567"/>
      <c r="QRX84" s="2567"/>
      <c r="QRY84" s="2567"/>
      <c r="QRZ84" s="2567"/>
      <c r="QSA84" s="2567"/>
      <c r="QSB84" s="2567"/>
      <c r="QSC84" s="2567"/>
      <c r="QSD84" s="2567"/>
      <c r="QSE84" s="2567"/>
      <c r="QSF84" s="2567"/>
      <c r="QSG84" s="2567"/>
      <c r="QSH84" s="2567"/>
      <c r="QSI84" s="2567"/>
      <c r="QSJ84" s="2567"/>
      <c r="QSK84" s="2567"/>
      <c r="QSL84" s="2567"/>
      <c r="QSM84" s="2567"/>
      <c r="QSN84" s="2567"/>
      <c r="QSO84" s="2567"/>
      <c r="QSP84" s="2567"/>
      <c r="QSQ84" s="2567"/>
      <c r="QSR84" s="2567"/>
      <c r="QSS84" s="2567"/>
      <c r="QST84" s="2567"/>
      <c r="QSU84" s="2567"/>
      <c r="QSV84" s="2567"/>
      <c r="QSW84" s="2567"/>
      <c r="QSX84" s="2567"/>
      <c r="QSY84" s="2567"/>
      <c r="QSZ84" s="2567"/>
      <c r="QTA84" s="2567"/>
      <c r="QTB84" s="2567"/>
      <c r="QTC84" s="2567"/>
      <c r="QTD84" s="2567"/>
      <c r="QTE84" s="2567"/>
      <c r="QTF84" s="2567"/>
      <c r="QTG84" s="2567"/>
      <c r="QTH84" s="2567"/>
      <c r="QTI84" s="2567"/>
      <c r="QTJ84" s="2567"/>
      <c r="QTK84" s="2567"/>
      <c r="QTL84" s="2567"/>
      <c r="QTM84" s="2567"/>
      <c r="QTN84" s="2567"/>
      <c r="QTO84" s="2567"/>
      <c r="QTP84" s="2567"/>
      <c r="QTQ84" s="2567"/>
      <c r="QTR84" s="2567"/>
      <c r="QTS84" s="2567"/>
      <c r="QTT84" s="2567"/>
      <c r="QTU84" s="2567"/>
      <c r="QTV84" s="2567"/>
      <c r="QTW84" s="2567"/>
      <c r="QTX84" s="2567"/>
      <c r="QTY84" s="2567"/>
      <c r="QTZ84" s="2567"/>
      <c r="QUA84" s="2567"/>
      <c r="QUB84" s="2567"/>
      <c r="QUC84" s="2567"/>
      <c r="QUD84" s="2567"/>
      <c r="QUE84" s="2567"/>
      <c r="QUF84" s="2567"/>
      <c r="QUG84" s="2567"/>
      <c r="QUH84" s="2567"/>
      <c r="QUI84" s="2567"/>
      <c r="QUJ84" s="2567"/>
      <c r="QUK84" s="2567"/>
      <c r="QUL84" s="2567"/>
      <c r="QUM84" s="2567"/>
      <c r="QUN84" s="2567"/>
      <c r="QUO84" s="2567"/>
      <c r="QUP84" s="2567"/>
      <c r="QUQ84" s="2567"/>
      <c r="QUR84" s="2567"/>
      <c r="QUS84" s="2567"/>
      <c r="QUT84" s="2567"/>
      <c r="QUU84" s="2567"/>
      <c r="QUV84" s="2567"/>
      <c r="QUW84" s="2567"/>
      <c r="QUX84" s="2567"/>
      <c r="QUY84" s="2567"/>
      <c r="QUZ84" s="2567"/>
      <c r="QVA84" s="2567"/>
      <c r="QVB84" s="2567"/>
      <c r="QVC84" s="2567"/>
      <c r="QVD84" s="2567"/>
      <c r="QVE84" s="2567"/>
      <c r="QVF84" s="2567"/>
      <c r="QVG84" s="2567"/>
      <c r="QVH84" s="2567"/>
      <c r="QVI84" s="2567"/>
      <c r="QVJ84" s="2567"/>
      <c r="QVK84" s="2567"/>
      <c r="QVL84" s="2567"/>
      <c r="QVM84" s="2567"/>
      <c r="QVN84" s="2567"/>
      <c r="QVO84" s="2567"/>
      <c r="QVP84" s="2567"/>
      <c r="QVQ84" s="2567"/>
      <c r="QVR84" s="2567"/>
      <c r="QVS84" s="2567"/>
      <c r="QVT84" s="2567"/>
      <c r="QVU84" s="2567"/>
      <c r="QVV84" s="2567"/>
      <c r="QVW84" s="2567"/>
      <c r="QVX84" s="2567"/>
      <c r="QVY84" s="2567"/>
      <c r="QVZ84" s="2567"/>
      <c r="QWA84" s="2567"/>
      <c r="QWB84" s="2567"/>
      <c r="QWC84" s="2567"/>
      <c r="QWD84" s="2567"/>
      <c r="QWE84" s="2567"/>
      <c r="QWF84" s="2567"/>
      <c r="QWG84" s="2567"/>
      <c r="QWH84" s="2567"/>
      <c r="QWI84" s="2567"/>
      <c r="QWJ84" s="2567"/>
      <c r="QWK84" s="2567"/>
      <c r="QWL84" s="2567"/>
      <c r="QWM84" s="2567"/>
      <c r="QWN84" s="2567"/>
      <c r="QWO84" s="2567"/>
      <c r="QWP84" s="2567"/>
      <c r="QWQ84" s="2567"/>
      <c r="QWR84" s="2567"/>
      <c r="QWS84" s="2567"/>
      <c r="QWT84" s="2567"/>
      <c r="QWU84" s="2567"/>
      <c r="QWV84" s="2567"/>
      <c r="QWW84" s="2567"/>
      <c r="QWX84" s="2567"/>
      <c r="QWY84" s="2567"/>
      <c r="QWZ84" s="2567"/>
      <c r="QXA84" s="2567"/>
      <c r="QXB84" s="2567"/>
      <c r="QXC84" s="2567"/>
      <c r="QXD84" s="2567"/>
      <c r="QXE84" s="2567"/>
      <c r="QXF84" s="2567"/>
      <c r="QXG84" s="2567"/>
      <c r="QXH84" s="2567"/>
      <c r="QXI84" s="2567"/>
      <c r="QXJ84" s="2567"/>
      <c r="QXK84" s="2567"/>
      <c r="QXL84" s="2567"/>
      <c r="QXM84" s="2567"/>
      <c r="QXN84" s="2567"/>
      <c r="QXO84" s="2567"/>
      <c r="QXP84" s="2567"/>
      <c r="QXQ84" s="2567"/>
      <c r="QXR84" s="2567"/>
      <c r="QXS84" s="2567"/>
      <c r="QXT84" s="2567"/>
      <c r="QXU84" s="2567"/>
      <c r="QXV84" s="2567"/>
      <c r="QXW84" s="2567"/>
      <c r="QXX84" s="2567"/>
      <c r="QXY84" s="2567"/>
      <c r="QXZ84" s="2567"/>
      <c r="QYA84" s="2567"/>
      <c r="QYB84" s="2567"/>
      <c r="QYC84" s="2567"/>
      <c r="QYD84" s="2567"/>
      <c r="QYE84" s="2567"/>
      <c r="QYF84" s="2567"/>
      <c r="QYG84" s="2567"/>
      <c r="QYH84" s="2567"/>
      <c r="QYI84" s="2567"/>
      <c r="QYJ84" s="2567"/>
      <c r="QYK84" s="2567"/>
      <c r="QYL84" s="2567"/>
      <c r="QYM84" s="2567"/>
      <c r="QYN84" s="2567"/>
      <c r="QYO84" s="2567"/>
      <c r="QYP84" s="2567"/>
      <c r="QYQ84" s="2567"/>
      <c r="QYR84" s="2567"/>
      <c r="QYS84" s="2567"/>
      <c r="QYT84" s="2567"/>
      <c r="QYU84" s="2567"/>
      <c r="QYV84" s="2567"/>
      <c r="QYW84" s="2567"/>
      <c r="QYX84" s="2567"/>
      <c r="QYY84" s="2567"/>
      <c r="QYZ84" s="2567"/>
      <c r="QZA84" s="2567"/>
      <c r="QZB84" s="2567"/>
      <c r="QZC84" s="2567"/>
      <c r="QZD84" s="2567"/>
      <c r="QZE84" s="2567"/>
      <c r="QZF84" s="2567"/>
      <c r="QZG84" s="2567"/>
      <c r="QZH84" s="2567"/>
      <c r="QZI84" s="2567"/>
      <c r="QZJ84" s="2567"/>
      <c r="QZK84" s="2567"/>
      <c r="QZL84" s="2567"/>
      <c r="QZM84" s="2567"/>
      <c r="QZN84" s="2567"/>
      <c r="QZO84" s="2567"/>
      <c r="QZP84" s="2567"/>
      <c r="QZQ84" s="2567"/>
      <c r="QZR84" s="2567"/>
      <c r="QZS84" s="2567"/>
      <c r="QZT84" s="2567"/>
      <c r="QZU84" s="2567"/>
      <c r="QZV84" s="2567"/>
      <c r="QZW84" s="2567"/>
      <c r="QZX84" s="2567"/>
      <c r="QZY84" s="2567"/>
      <c r="QZZ84" s="2567"/>
      <c r="RAA84" s="2567"/>
      <c r="RAB84" s="2567"/>
      <c r="RAC84" s="2567"/>
      <c r="RAD84" s="2567"/>
      <c r="RAE84" s="2567"/>
      <c r="RAF84" s="2567"/>
      <c r="RAG84" s="2567"/>
      <c r="RAH84" s="2567"/>
      <c r="RAI84" s="2567"/>
      <c r="RAJ84" s="2567"/>
      <c r="RAK84" s="2567"/>
      <c r="RAL84" s="2567"/>
      <c r="RAM84" s="2567"/>
      <c r="RAN84" s="2567"/>
      <c r="RAO84" s="2567"/>
      <c r="RAP84" s="2567"/>
      <c r="RAQ84" s="2567"/>
      <c r="RAR84" s="2567"/>
      <c r="RAS84" s="2567"/>
      <c r="RAT84" s="2567"/>
      <c r="RAU84" s="2567"/>
      <c r="RAV84" s="2567"/>
      <c r="RAW84" s="2567"/>
      <c r="RAX84" s="2567"/>
      <c r="RAY84" s="2567"/>
      <c r="RAZ84" s="2567"/>
      <c r="RBA84" s="2567"/>
      <c r="RBB84" s="2567"/>
      <c r="RBC84" s="2567"/>
      <c r="RBD84" s="2567"/>
      <c r="RBE84" s="2567"/>
      <c r="RBF84" s="2567"/>
      <c r="RBG84" s="2567"/>
      <c r="RBH84" s="2567"/>
      <c r="RBI84" s="2567"/>
      <c r="RBJ84" s="2567"/>
      <c r="RBK84" s="2567"/>
      <c r="RBL84" s="2567"/>
      <c r="RBM84" s="2567"/>
      <c r="RBN84" s="2567"/>
      <c r="RBO84" s="2567"/>
      <c r="RBP84" s="2567"/>
      <c r="RBQ84" s="2567"/>
      <c r="RBR84" s="2567"/>
      <c r="RBS84" s="2567"/>
      <c r="RBT84" s="2567"/>
      <c r="RBU84" s="2567"/>
      <c r="RBV84" s="2567"/>
      <c r="RBW84" s="2567"/>
      <c r="RBX84" s="2567"/>
      <c r="RBY84" s="2567"/>
      <c r="RBZ84" s="2567"/>
      <c r="RCA84" s="2567"/>
      <c r="RCB84" s="2567"/>
      <c r="RCC84" s="2567"/>
      <c r="RCD84" s="2567"/>
      <c r="RCE84" s="2567"/>
      <c r="RCF84" s="2567"/>
      <c r="RCG84" s="2567"/>
      <c r="RCH84" s="2567"/>
      <c r="RCI84" s="2567"/>
      <c r="RCJ84" s="2567"/>
      <c r="RCK84" s="2567"/>
      <c r="RCL84" s="2567"/>
      <c r="RCM84" s="2567"/>
      <c r="RCN84" s="2567"/>
      <c r="RCO84" s="2567"/>
      <c r="RCP84" s="2567"/>
      <c r="RCQ84" s="2567"/>
      <c r="RCR84" s="2567"/>
      <c r="RCS84" s="2567"/>
      <c r="RCT84" s="2567"/>
      <c r="RCU84" s="2567"/>
      <c r="RCV84" s="2567"/>
      <c r="RCW84" s="2567"/>
      <c r="RCX84" s="2567"/>
      <c r="RCY84" s="2567"/>
      <c r="RCZ84" s="2567"/>
      <c r="RDA84" s="2567"/>
      <c r="RDB84" s="2567"/>
      <c r="RDC84" s="2567"/>
      <c r="RDD84" s="2567"/>
      <c r="RDE84" s="2567"/>
      <c r="RDF84" s="2567"/>
      <c r="RDG84" s="2567"/>
      <c r="RDH84" s="2567"/>
      <c r="RDI84" s="2567"/>
      <c r="RDJ84" s="2567"/>
      <c r="RDK84" s="2567"/>
      <c r="RDL84" s="2567"/>
      <c r="RDM84" s="2567"/>
      <c r="RDN84" s="2567"/>
      <c r="RDO84" s="2567"/>
      <c r="RDP84" s="2567"/>
      <c r="RDQ84" s="2567"/>
      <c r="RDR84" s="2567"/>
      <c r="RDS84" s="2567"/>
      <c r="RDT84" s="2567"/>
      <c r="RDU84" s="2567"/>
      <c r="RDV84" s="2567"/>
      <c r="RDW84" s="2567"/>
      <c r="RDX84" s="2567"/>
      <c r="RDY84" s="2567"/>
      <c r="RDZ84" s="2567"/>
      <c r="REA84" s="2567"/>
      <c r="REB84" s="2567"/>
      <c r="REC84" s="2567"/>
      <c r="RED84" s="2567"/>
      <c r="REE84" s="2567"/>
      <c r="REF84" s="2567"/>
      <c r="REG84" s="2567"/>
      <c r="REH84" s="2567"/>
      <c r="REI84" s="2567"/>
      <c r="REJ84" s="2567"/>
      <c r="REK84" s="2567"/>
      <c r="REL84" s="2567"/>
      <c r="REM84" s="2567"/>
      <c r="REN84" s="2567"/>
      <c r="REO84" s="2567"/>
      <c r="REP84" s="2567"/>
      <c r="REQ84" s="2567"/>
      <c r="RER84" s="2567"/>
      <c r="RES84" s="2567"/>
      <c r="RET84" s="2567"/>
      <c r="REU84" s="2567"/>
      <c r="REV84" s="2567"/>
      <c r="REW84" s="2567"/>
      <c r="REX84" s="2567"/>
      <c r="REY84" s="2567"/>
      <c r="REZ84" s="2567"/>
      <c r="RFA84" s="2567"/>
      <c r="RFB84" s="2567"/>
      <c r="RFC84" s="2567"/>
      <c r="RFD84" s="2567"/>
      <c r="RFE84" s="2567"/>
      <c r="RFF84" s="2567"/>
      <c r="RFG84" s="2567"/>
      <c r="RFH84" s="2567"/>
      <c r="RFI84" s="2567"/>
      <c r="RFJ84" s="2567"/>
      <c r="RFK84" s="2567"/>
      <c r="RFL84" s="2567"/>
      <c r="RFM84" s="2567"/>
      <c r="RFN84" s="2567"/>
      <c r="RFO84" s="2567"/>
      <c r="RFP84" s="2567"/>
      <c r="RFQ84" s="2567"/>
      <c r="RFR84" s="2567"/>
      <c r="RFS84" s="2567"/>
      <c r="RFT84" s="2567"/>
      <c r="RFU84" s="2567"/>
      <c r="RFV84" s="2567"/>
      <c r="RFW84" s="2567"/>
      <c r="RFX84" s="2567"/>
      <c r="RFY84" s="2567"/>
      <c r="RFZ84" s="2567"/>
      <c r="RGA84" s="2567"/>
      <c r="RGB84" s="2567"/>
      <c r="RGC84" s="2567"/>
      <c r="RGD84" s="2567"/>
      <c r="RGE84" s="2567"/>
      <c r="RGF84" s="2567"/>
      <c r="RGG84" s="2567"/>
      <c r="RGH84" s="2567"/>
      <c r="RGI84" s="2567"/>
      <c r="RGJ84" s="2567"/>
      <c r="RGK84" s="2567"/>
      <c r="RGL84" s="2567"/>
      <c r="RGM84" s="2567"/>
      <c r="RGN84" s="2567"/>
      <c r="RGO84" s="2567"/>
      <c r="RGP84" s="2567"/>
      <c r="RGQ84" s="2567"/>
      <c r="RGR84" s="2567"/>
      <c r="RGS84" s="2567"/>
      <c r="RGT84" s="2567"/>
      <c r="RGU84" s="2567"/>
      <c r="RGV84" s="2567"/>
      <c r="RGW84" s="2567"/>
      <c r="RGX84" s="2567"/>
      <c r="RGY84" s="2567"/>
      <c r="RGZ84" s="2567"/>
      <c r="RHA84" s="2567"/>
      <c r="RHB84" s="2567"/>
      <c r="RHC84" s="2567"/>
      <c r="RHD84" s="2567"/>
      <c r="RHE84" s="2567"/>
      <c r="RHF84" s="2567"/>
      <c r="RHG84" s="2567"/>
      <c r="RHH84" s="2567"/>
      <c r="RHI84" s="2567"/>
      <c r="RHJ84" s="2567"/>
      <c r="RHK84" s="2567"/>
      <c r="RHL84" s="2567"/>
      <c r="RHM84" s="2567"/>
      <c r="RHN84" s="2567"/>
      <c r="RHO84" s="2567"/>
      <c r="RHP84" s="2567"/>
      <c r="RHQ84" s="2567"/>
      <c r="RHR84" s="2567"/>
      <c r="RHS84" s="2567"/>
      <c r="RHT84" s="2567"/>
      <c r="RHU84" s="2567"/>
      <c r="RHV84" s="2567"/>
      <c r="RHW84" s="2567"/>
      <c r="RHX84" s="2567"/>
      <c r="RHY84" s="2567"/>
      <c r="RHZ84" s="2567"/>
      <c r="RIA84" s="2567"/>
      <c r="RIB84" s="2567"/>
      <c r="RIC84" s="2567"/>
      <c r="RID84" s="2567"/>
      <c r="RIE84" s="2567"/>
      <c r="RIF84" s="2567"/>
      <c r="RIG84" s="2567"/>
      <c r="RIH84" s="2567"/>
      <c r="RII84" s="2567"/>
      <c r="RIJ84" s="2567"/>
      <c r="RIK84" s="2567"/>
      <c r="RIL84" s="2567"/>
      <c r="RIM84" s="2567"/>
      <c r="RIN84" s="2567"/>
      <c r="RIO84" s="2567"/>
      <c r="RIP84" s="2567"/>
      <c r="RIQ84" s="2567"/>
      <c r="RIR84" s="2567"/>
      <c r="RIS84" s="2567"/>
      <c r="RIT84" s="2567"/>
      <c r="RIU84" s="2567"/>
      <c r="RIV84" s="2567"/>
      <c r="RIW84" s="2567"/>
      <c r="RIX84" s="2567"/>
      <c r="RIY84" s="2567"/>
      <c r="RIZ84" s="2567"/>
      <c r="RJA84" s="2567"/>
      <c r="RJB84" s="2567"/>
      <c r="RJC84" s="2567"/>
      <c r="RJD84" s="2567"/>
      <c r="RJE84" s="2567"/>
      <c r="RJF84" s="2567"/>
      <c r="RJG84" s="2567"/>
      <c r="RJH84" s="2567"/>
      <c r="RJI84" s="2567"/>
      <c r="RJJ84" s="2567"/>
      <c r="RJK84" s="2567"/>
      <c r="RJL84" s="2567"/>
      <c r="RJM84" s="2567"/>
      <c r="RJN84" s="2567"/>
      <c r="RJO84" s="2567"/>
      <c r="RJP84" s="2567"/>
      <c r="RJQ84" s="2567"/>
      <c r="RJR84" s="2567"/>
      <c r="RJS84" s="2567"/>
      <c r="RJT84" s="2567"/>
      <c r="RJU84" s="2567"/>
      <c r="RJV84" s="2567"/>
      <c r="RJW84" s="2567"/>
      <c r="RJX84" s="2567"/>
      <c r="RJY84" s="2567"/>
      <c r="RJZ84" s="2567"/>
      <c r="RKA84" s="2567"/>
      <c r="RKB84" s="2567"/>
      <c r="RKC84" s="2567"/>
      <c r="RKD84" s="2567"/>
      <c r="RKE84" s="2567"/>
      <c r="RKF84" s="2567"/>
      <c r="RKG84" s="2567"/>
      <c r="RKH84" s="2567"/>
      <c r="RKI84" s="2567"/>
      <c r="RKJ84" s="2567"/>
      <c r="RKK84" s="2567"/>
      <c r="RKL84" s="2567"/>
      <c r="RKM84" s="2567"/>
      <c r="RKN84" s="2567"/>
      <c r="RKO84" s="2567"/>
      <c r="RKP84" s="2567"/>
      <c r="RKQ84" s="2567"/>
      <c r="RKR84" s="2567"/>
      <c r="RKS84" s="2567"/>
      <c r="RKT84" s="2567"/>
      <c r="RKU84" s="2567"/>
      <c r="RKV84" s="2567"/>
      <c r="RKW84" s="2567"/>
      <c r="RKX84" s="2567"/>
      <c r="RKY84" s="2567"/>
      <c r="RKZ84" s="2567"/>
      <c r="RLA84" s="2567"/>
      <c r="RLB84" s="2567"/>
      <c r="RLC84" s="2567"/>
      <c r="RLD84" s="2567"/>
      <c r="RLE84" s="2567"/>
      <c r="RLF84" s="2567"/>
      <c r="RLG84" s="2567"/>
      <c r="RLH84" s="2567"/>
      <c r="RLI84" s="2567"/>
      <c r="RLJ84" s="2567"/>
      <c r="RLK84" s="2567"/>
      <c r="RLL84" s="2567"/>
      <c r="RLM84" s="2567"/>
      <c r="RLN84" s="2567"/>
      <c r="RLO84" s="2567"/>
      <c r="RLP84" s="2567"/>
      <c r="RLQ84" s="2567"/>
      <c r="RLR84" s="2567"/>
      <c r="RLS84" s="2567"/>
      <c r="RLT84" s="2567"/>
      <c r="RLU84" s="2567"/>
      <c r="RLV84" s="2567"/>
      <c r="RLW84" s="2567"/>
      <c r="RLX84" s="2567"/>
      <c r="RLY84" s="2567"/>
      <c r="RLZ84" s="2567"/>
      <c r="RMA84" s="2567"/>
      <c r="RMB84" s="2567"/>
      <c r="RMC84" s="2567"/>
      <c r="RMD84" s="2567"/>
      <c r="RME84" s="2567"/>
      <c r="RMF84" s="2567"/>
      <c r="RMG84" s="2567"/>
      <c r="RMH84" s="2567"/>
      <c r="RMI84" s="2567"/>
      <c r="RMJ84" s="2567"/>
      <c r="RMK84" s="2567"/>
      <c r="RML84" s="2567"/>
      <c r="RMM84" s="2567"/>
      <c r="RMN84" s="2567"/>
      <c r="RMO84" s="2567"/>
      <c r="RMP84" s="2567"/>
      <c r="RMQ84" s="2567"/>
      <c r="RMR84" s="2567"/>
      <c r="RMS84" s="2567"/>
      <c r="RMT84" s="2567"/>
      <c r="RMU84" s="2567"/>
      <c r="RMV84" s="2567"/>
      <c r="RMW84" s="2567"/>
      <c r="RMX84" s="2567"/>
      <c r="RMY84" s="2567"/>
      <c r="RMZ84" s="2567"/>
      <c r="RNA84" s="2567"/>
      <c r="RNB84" s="2567"/>
      <c r="RNC84" s="2567"/>
      <c r="RND84" s="2567"/>
      <c r="RNE84" s="2567"/>
      <c r="RNF84" s="2567"/>
      <c r="RNG84" s="2567"/>
      <c r="RNH84" s="2567"/>
      <c r="RNI84" s="2567"/>
      <c r="RNJ84" s="2567"/>
      <c r="RNK84" s="2567"/>
      <c r="RNL84" s="2567"/>
      <c r="RNM84" s="2567"/>
      <c r="RNN84" s="2567"/>
      <c r="RNO84" s="2567"/>
      <c r="RNP84" s="2567"/>
      <c r="RNQ84" s="2567"/>
      <c r="RNR84" s="2567"/>
      <c r="RNS84" s="2567"/>
      <c r="RNT84" s="2567"/>
      <c r="RNU84" s="2567"/>
      <c r="RNV84" s="2567"/>
      <c r="RNW84" s="2567"/>
      <c r="RNX84" s="2567"/>
      <c r="RNY84" s="2567"/>
      <c r="RNZ84" s="2567"/>
      <c r="ROA84" s="2567"/>
      <c r="ROB84" s="2567"/>
      <c r="ROC84" s="2567"/>
      <c r="ROD84" s="2567"/>
      <c r="ROE84" s="2567"/>
      <c r="ROF84" s="2567"/>
      <c r="ROG84" s="2567"/>
      <c r="ROH84" s="2567"/>
      <c r="ROI84" s="2567"/>
      <c r="ROJ84" s="2567"/>
      <c r="ROK84" s="2567"/>
      <c r="ROL84" s="2567"/>
      <c r="ROM84" s="2567"/>
      <c r="RON84" s="2567"/>
      <c r="ROO84" s="2567"/>
      <c r="ROP84" s="2567"/>
      <c r="ROQ84" s="2567"/>
      <c r="ROR84" s="2567"/>
      <c r="ROS84" s="2567"/>
      <c r="ROT84" s="2567"/>
      <c r="ROU84" s="2567"/>
      <c r="ROV84" s="2567"/>
      <c r="ROW84" s="2567"/>
      <c r="ROX84" s="2567"/>
      <c r="ROY84" s="2567"/>
      <c r="ROZ84" s="2567"/>
      <c r="RPA84" s="2567"/>
      <c r="RPB84" s="2567"/>
      <c r="RPC84" s="2567"/>
      <c r="RPD84" s="2567"/>
      <c r="RPE84" s="2567"/>
      <c r="RPF84" s="2567"/>
      <c r="RPG84" s="2567"/>
      <c r="RPH84" s="2567"/>
      <c r="RPI84" s="2567"/>
      <c r="RPJ84" s="2567"/>
      <c r="RPK84" s="2567"/>
      <c r="RPL84" s="2567"/>
      <c r="RPM84" s="2567"/>
      <c r="RPN84" s="2567"/>
      <c r="RPO84" s="2567"/>
      <c r="RPP84" s="2567"/>
      <c r="RPQ84" s="2567"/>
      <c r="RPR84" s="2567"/>
      <c r="RPS84" s="2567"/>
      <c r="RPT84" s="2567"/>
      <c r="RPU84" s="2567"/>
      <c r="RPV84" s="2567"/>
      <c r="RPW84" s="2567"/>
      <c r="RPX84" s="2567"/>
      <c r="RPY84" s="2567"/>
      <c r="RPZ84" s="2567"/>
      <c r="RQA84" s="2567"/>
      <c r="RQB84" s="2567"/>
      <c r="RQC84" s="2567"/>
      <c r="RQD84" s="2567"/>
      <c r="RQE84" s="2567"/>
      <c r="RQF84" s="2567"/>
      <c r="RQG84" s="2567"/>
      <c r="RQH84" s="2567"/>
      <c r="RQI84" s="2567"/>
      <c r="RQJ84" s="2567"/>
      <c r="RQK84" s="2567"/>
      <c r="RQL84" s="2567"/>
      <c r="RQM84" s="2567"/>
      <c r="RQN84" s="2567"/>
      <c r="RQO84" s="2567"/>
      <c r="RQP84" s="2567"/>
      <c r="RQQ84" s="2567"/>
      <c r="RQR84" s="2567"/>
      <c r="RQS84" s="2567"/>
      <c r="RQT84" s="2567"/>
      <c r="RQU84" s="2567"/>
      <c r="RQV84" s="2567"/>
      <c r="RQW84" s="2567"/>
      <c r="RQX84" s="2567"/>
      <c r="RQY84" s="2567"/>
      <c r="RQZ84" s="2567"/>
      <c r="RRA84" s="2567"/>
      <c r="RRB84" s="2567"/>
      <c r="RRC84" s="2567"/>
      <c r="RRD84" s="2567"/>
      <c r="RRE84" s="2567"/>
      <c r="RRF84" s="2567"/>
      <c r="RRG84" s="2567"/>
      <c r="RRH84" s="2567"/>
      <c r="RRI84" s="2567"/>
      <c r="RRJ84" s="2567"/>
      <c r="RRK84" s="2567"/>
      <c r="RRL84" s="2567"/>
      <c r="RRM84" s="2567"/>
      <c r="RRN84" s="2567"/>
      <c r="RRO84" s="2567"/>
      <c r="RRP84" s="2567"/>
      <c r="RRQ84" s="2567"/>
      <c r="RRR84" s="2567"/>
      <c r="RRS84" s="2567"/>
      <c r="RRT84" s="2567"/>
      <c r="RRU84" s="2567"/>
      <c r="RRV84" s="2567"/>
      <c r="RRW84" s="2567"/>
      <c r="RRX84" s="2567"/>
      <c r="RRY84" s="2567"/>
      <c r="RRZ84" s="2567"/>
      <c r="RSA84" s="2567"/>
      <c r="RSB84" s="2567"/>
      <c r="RSC84" s="2567"/>
      <c r="RSD84" s="2567"/>
      <c r="RSE84" s="2567"/>
      <c r="RSF84" s="2567"/>
      <c r="RSG84" s="2567"/>
      <c r="RSH84" s="2567"/>
      <c r="RSI84" s="2567"/>
      <c r="RSJ84" s="2567"/>
      <c r="RSK84" s="2567"/>
      <c r="RSL84" s="2567"/>
      <c r="RSM84" s="2567"/>
      <c r="RSN84" s="2567"/>
      <c r="RSO84" s="2567"/>
      <c r="RSP84" s="2567"/>
      <c r="RSQ84" s="2567"/>
      <c r="RSR84" s="2567"/>
      <c r="RSS84" s="2567"/>
      <c r="RST84" s="2567"/>
      <c r="RSU84" s="2567"/>
      <c r="RSV84" s="2567"/>
      <c r="RSW84" s="2567"/>
      <c r="RSX84" s="2567"/>
      <c r="RSY84" s="2567"/>
      <c r="RSZ84" s="2567"/>
      <c r="RTA84" s="2567"/>
      <c r="RTB84" s="2567"/>
      <c r="RTC84" s="2567"/>
      <c r="RTD84" s="2567"/>
      <c r="RTE84" s="2567"/>
      <c r="RTF84" s="2567"/>
      <c r="RTG84" s="2567"/>
      <c r="RTH84" s="2567"/>
      <c r="RTI84" s="2567"/>
      <c r="RTJ84" s="2567"/>
      <c r="RTK84" s="2567"/>
      <c r="RTL84" s="2567"/>
      <c r="RTM84" s="2567"/>
      <c r="RTN84" s="2567"/>
      <c r="RTO84" s="2567"/>
      <c r="RTP84" s="2567"/>
      <c r="RTQ84" s="2567"/>
      <c r="RTR84" s="2567"/>
      <c r="RTS84" s="2567"/>
      <c r="RTT84" s="2567"/>
      <c r="RTU84" s="2567"/>
      <c r="RTV84" s="2567"/>
      <c r="RTW84" s="2567"/>
      <c r="RTX84" s="2567"/>
      <c r="RTY84" s="2567"/>
      <c r="RTZ84" s="2567"/>
      <c r="RUA84" s="2567"/>
      <c r="RUB84" s="2567"/>
      <c r="RUC84" s="2567"/>
      <c r="RUD84" s="2567"/>
      <c r="RUE84" s="2567"/>
      <c r="RUF84" s="2567"/>
      <c r="RUG84" s="2567"/>
      <c r="RUH84" s="2567"/>
      <c r="RUI84" s="2567"/>
      <c r="RUJ84" s="2567"/>
      <c r="RUK84" s="2567"/>
      <c r="RUL84" s="2567"/>
      <c r="RUM84" s="2567"/>
      <c r="RUN84" s="2567"/>
      <c r="RUO84" s="2567"/>
      <c r="RUP84" s="2567"/>
      <c r="RUQ84" s="2567"/>
      <c r="RUR84" s="2567"/>
      <c r="RUS84" s="2567"/>
      <c r="RUT84" s="2567"/>
      <c r="RUU84" s="2567"/>
      <c r="RUV84" s="2567"/>
      <c r="RUW84" s="2567"/>
      <c r="RUX84" s="2567"/>
      <c r="RUY84" s="2567"/>
      <c r="RUZ84" s="2567"/>
      <c r="RVA84" s="2567"/>
      <c r="RVB84" s="2567"/>
      <c r="RVC84" s="2567"/>
      <c r="RVD84" s="2567"/>
      <c r="RVE84" s="2567"/>
      <c r="RVF84" s="2567"/>
      <c r="RVG84" s="2567"/>
      <c r="RVH84" s="2567"/>
      <c r="RVI84" s="2567"/>
      <c r="RVJ84" s="2567"/>
      <c r="RVK84" s="2567"/>
      <c r="RVL84" s="2567"/>
      <c r="RVM84" s="2567"/>
      <c r="RVN84" s="2567"/>
      <c r="RVO84" s="2567"/>
      <c r="RVP84" s="2567"/>
      <c r="RVQ84" s="2567"/>
      <c r="RVR84" s="2567"/>
      <c r="RVS84" s="2567"/>
      <c r="RVT84" s="2567"/>
      <c r="RVU84" s="2567"/>
      <c r="RVV84" s="2567"/>
      <c r="RVW84" s="2567"/>
      <c r="RVX84" s="2567"/>
      <c r="RVY84" s="2567"/>
      <c r="RVZ84" s="2567"/>
      <c r="RWA84" s="2567"/>
      <c r="RWB84" s="2567"/>
      <c r="RWC84" s="2567"/>
      <c r="RWD84" s="2567"/>
      <c r="RWE84" s="2567"/>
      <c r="RWF84" s="2567"/>
      <c r="RWG84" s="2567"/>
      <c r="RWH84" s="2567"/>
      <c r="RWI84" s="2567"/>
      <c r="RWJ84" s="2567"/>
      <c r="RWK84" s="2567"/>
      <c r="RWL84" s="2567"/>
      <c r="RWM84" s="2567"/>
      <c r="RWN84" s="2567"/>
      <c r="RWO84" s="2567"/>
      <c r="RWP84" s="2567"/>
      <c r="RWQ84" s="2567"/>
      <c r="RWR84" s="2567"/>
      <c r="RWS84" s="2567"/>
      <c r="RWT84" s="2567"/>
      <c r="RWU84" s="2567"/>
      <c r="RWV84" s="2567"/>
      <c r="RWW84" s="2567"/>
      <c r="RWX84" s="2567"/>
      <c r="RWY84" s="2567"/>
      <c r="RWZ84" s="2567"/>
      <c r="RXA84" s="2567"/>
      <c r="RXB84" s="2567"/>
      <c r="RXC84" s="2567"/>
      <c r="RXD84" s="2567"/>
      <c r="RXE84" s="2567"/>
      <c r="RXF84" s="2567"/>
      <c r="RXG84" s="2567"/>
      <c r="RXH84" s="2567"/>
      <c r="RXI84" s="2567"/>
      <c r="RXJ84" s="2567"/>
      <c r="RXK84" s="2567"/>
      <c r="RXL84" s="2567"/>
      <c r="RXM84" s="2567"/>
      <c r="RXN84" s="2567"/>
      <c r="RXO84" s="2567"/>
      <c r="RXP84" s="2567"/>
      <c r="RXQ84" s="2567"/>
      <c r="RXR84" s="2567"/>
      <c r="RXS84" s="2567"/>
      <c r="RXT84" s="2567"/>
      <c r="RXU84" s="2567"/>
      <c r="RXV84" s="2567"/>
      <c r="RXW84" s="2567"/>
      <c r="RXX84" s="2567"/>
      <c r="RXY84" s="2567"/>
      <c r="RXZ84" s="2567"/>
      <c r="RYA84" s="2567"/>
      <c r="RYB84" s="2567"/>
      <c r="RYC84" s="2567"/>
      <c r="RYD84" s="2567"/>
      <c r="RYE84" s="2567"/>
      <c r="RYF84" s="2567"/>
      <c r="RYG84" s="2567"/>
      <c r="RYH84" s="2567"/>
      <c r="RYI84" s="2567"/>
      <c r="RYJ84" s="2567"/>
      <c r="RYK84" s="2567"/>
      <c r="RYL84" s="2567"/>
      <c r="RYM84" s="2567"/>
      <c r="RYN84" s="2567"/>
      <c r="RYO84" s="2567"/>
      <c r="RYP84" s="2567"/>
      <c r="RYQ84" s="2567"/>
      <c r="RYR84" s="2567"/>
      <c r="RYS84" s="2567"/>
      <c r="RYT84" s="2567"/>
      <c r="RYU84" s="2567"/>
      <c r="RYV84" s="2567"/>
      <c r="RYW84" s="2567"/>
      <c r="RYX84" s="2567"/>
      <c r="RYY84" s="2567"/>
      <c r="RYZ84" s="2567"/>
      <c r="RZA84" s="2567"/>
      <c r="RZB84" s="2567"/>
      <c r="RZC84" s="2567"/>
      <c r="RZD84" s="2567"/>
      <c r="RZE84" s="2567"/>
      <c r="RZF84" s="2567"/>
      <c r="RZG84" s="2567"/>
      <c r="RZH84" s="2567"/>
      <c r="RZI84" s="2567"/>
      <c r="RZJ84" s="2567"/>
      <c r="RZK84" s="2567"/>
      <c r="RZL84" s="2567"/>
      <c r="RZM84" s="2567"/>
      <c r="RZN84" s="2567"/>
      <c r="RZO84" s="2567"/>
      <c r="RZP84" s="2567"/>
      <c r="RZQ84" s="2567"/>
      <c r="RZR84" s="2567"/>
      <c r="RZS84" s="2567"/>
      <c r="RZT84" s="2567"/>
      <c r="RZU84" s="2567"/>
      <c r="RZV84" s="2567"/>
      <c r="RZW84" s="2567"/>
      <c r="RZX84" s="2567"/>
      <c r="RZY84" s="2567"/>
      <c r="RZZ84" s="2567"/>
      <c r="SAA84" s="2567"/>
      <c r="SAB84" s="2567"/>
      <c r="SAC84" s="2567"/>
      <c r="SAD84" s="2567"/>
      <c r="SAE84" s="2567"/>
      <c r="SAF84" s="2567"/>
      <c r="SAG84" s="2567"/>
      <c r="SAH84" s="2567"/>
      <c r="SAI84" s="2567"/>
      <c r="SAJ84" s="2567"/>
      <c r="SAK84" s="2567"/>
      <c r="SAL84" s="2567"/>
      <c r="SAM84" s="2567"/>
      <c r="SAN84" s="2567"/>
      <c r="SAO84" s="2567"/>
      <c r="SAP84" s="2567"/>
      <c r="SAQ84" s="2567"/>
      <c r="SAR84" s="2567"/>
      <c r="SAS84" s="2567"/>
      <c r="SAT84" s="2567"/>
      <c r="SAU84" s="2567"/>
      <c r="SAV84" s="2567"/>
      <c r="SAW84" s="2567"/>
      <c r="SAX84" s="2567"/>
      <c r="SAY84" s="2567"/>
      <c r="SAZ84" s="2567"/>
      <c r="SBA84" s="2567"/>
      <c r="SBB84" s="2567"/>
      <c r="SBC84" s="2567"/>
      <c r="SBD84" s="2567"/>
      <c r="SBE84" s="2567"/>
      <c r="SBF84" s="2567"/>
      <c r="SBG84" s="2567"/>
      <c r="SBH84" s="2567"/>
      <c r="SBI84" s="2567"/>
      <c r="SBJ84" s="2567"/>
      <c r="SBK84" s="2567"/>
      <c r="SBL84" s="2567"/>
      <c r="SBM84" s="2567"/>
      <c r="SBN84" s="2567"/>
      <c r="SBO84" s="2567"/>
      <c r="SBP84" s="2567"/>
      <c r="SBQ84" s="2567"/>
      <c r="SBR84" s="2567"/>
      <c r="SBS84" s="2567"/>
      <c r="SBT84" s="2567"/>
      <c r="SBU84" s="2567"/>
      <c r="SBV84" s="2567"/>
      <c r="SBW84" s="2567"/>
      <c r="SBX84" s="2567"/>
      <c r="SBY84" s="2567"/>
      <c r="SBZ84" s="2567"/>
      <c r="SCA84" s="2567"/>
      <c r="SCB84" s="2567"/>
      <c r="SCC84" s="2567"/>
      <c r="SCD84" s="2567"/>
      <c r="SCE84" s="2567"/>
      <c r="SCF84" s="2567"/>
      <c r="SCG84" s="2567"/>
      <c r="SCH84" s="2567"/>
      <c r="SCI84" s="2567"/>
      <c r="SCJ84" s="2567"/>
      <c r="SCK84" s="2567"/>
      <c r="SCL84" s="2567"/>
      <c r="SCM84" s="2567"/>
      <c r="SCN84" s="2567"/>
      <c r="SCO84" s="2567"/>
      <c r="SCP84" s="2567"/>
      <c r="SCQ84" s="2567"/>
      <c r="SCR84" s="2567"/>
      <c r="SCS84" s="2567"/>
      <c r="SCT84" s="2567"/>
      <c r="SCU84" s="2567"/>
      <c r="SCV84" s="2567"/>
      <c r="SCW84" s="2567"/>
      <c r="SCX84" s="2567"/>
      <c r="SCY84" s="2567"/>
      <c r="SCZ84" s="2567"/>
      <c r="SDA84" s="2567"/>
      <c r="SDB84" s="2567"/>
      <c r="SDC84" s="2567"/>
      <c r="SDD84" s="2567"/>
      <c r="SDE84" s="2567"/>
      <c r="SDF84" s="2567"/>
      <c r="SDG84" s="2567"/>
      <c r="SDH84" s="2567"/>
      <c r="SDI84" s="2567"/>
      <c r="SDJ84" s="2567"/>
      <c r="SDK84" s="2567"/>
      <c r="SDL84" s="2567"/>
      <c r="SDM84" s="2567"/>
      <c r="SDN84" s="2567"/>
      <c r="SDO84" s="2567"/>
      <c r="SDP84" s="2567"/>
      <c r="SDQ84" s="2567"/>
      <c r="SDR84" s="2567"/>
      <c r="SDS84" s="2567"/>
      <c r="SDT84" s="2567"/>
      <c r="SDU84" s="2567"/>
      <c r="SDV84" s="2567"/>
      <c r="SDW84" s="2567"/>
      <c r="SDX84" s="2567"/>
      <c r="SDY84" s="2567"/>
      <c r="SDZ84" s="2567"/>
      <c r="SEA84" s="2567"/>
      <c r="SEB84" s="2567"/>
      <c r="SEC84" s="2567"/>
      <c r="SED84" s="2567"/>
      <c r="SEE84" s="2567"/>
      <c r="SEF84" s="2567"/>
      <c r="SEG84" s="2567"/>
      <c r="SEH84" s="2567"/>
      <c r="SEI84" s="2567"/>
      <c r="SEJ84" s="2567"/>
      <c r="SEK84" s="2567"/>
      <c r="SEL84" s="2567"/>
      <c r="SEM84" s="2567"/>
      <c r="SEN84" s="2567"/>
      <c r="SEO84" s="2567"/>
      <c r="SEP84" s="2567"/>
      <c r="SEQ84" s="2567"/>
      <c r="SER84" s="2567"/>
      <c r="SES84" s="2567"/>
      <c r="SET84" s="2567"/>
      <c r="SEU84" s="2567"/>
      <c r="SEV84" s="2567"/>
      <c r="SEW84" s="2567"/>
      <c r="SEX84" s="2567"/>
      <c r="SEY84" s="2567"/>
      <c r="SEZ84" s="2567"/>
      <c r="SFA84" s="2567"/>
      <c r="SFB84" s="2567"/>
      <c r="SFC84" s="2567"/>
      <c r="SFD84" s="2567"/>
      <c r="SFE84" s="2567"/>
      <c r="SFF84" s="2567"/>
      <c r="SFG84" s="2567"/>
      <c r="SFH84" s="2567"/>
      <c r="SFI84" s="2567"/>
      <c r="SFJ84" s="2567"/>
      <c r="SFK84" s="2567"/>
      <c r="SFL84" s="2567"/>
      <c r="SFM84" s="2567"/>
      <c r="SFN84" s="2567"/>
      <c r="SFO84" s="2567"/>
      <c r="SFP84" s="2567"/>
      <c r="SFQ84" s="2567"/>
      <c r="SFR84" s="2567"/>
      <c r="SFS84" s="2567"/>
      <c r="SFT84" s="2567"/>
      <c r="SFU84" s="2567"/>
      <c r="SFV84" s="2567"/>
      <c r="SFW84" s="2567"/>
      <c r="SFX84" s="2567"/>
      <c r="SFY84" s="2567"/>
      <c r="SFZ84" s="2567"/>
      <c r="SGA84" s="2567"/>
      <c r="SGB84" s="2567"/>
      <c r="SGC84" s="2567"/>
      <c r="SGD84" s="2567"/>
      <c r="SGE84" s="2567"/>
      <c r="SGF84" s="2567"/>
      <c r="SGG84" s="2567"/>
      <c r="SGH84" s="2567"/>
      <c r="SGI84" s="2567"/>
      <c r="SGJ84" s="2567"/>
      <c r="SGK84" s="2567"/>
      <c r="SGL84" s="2567"/>
      <c r="SGM84" s="2567"/>
      <c r="SGN84" s="2567"/>
      <c r="SGO84" s="2567"/>
      <c r="SGP84" s="2567"/>
      <c r="SGQ84" s="2567"/>
      <c r="SGR84" s="2567"/>
      <c r="SGS84" s="2567"/>
      <c r="SGT84" s="2567"/>
      <c r="SGU84" s="2567"/>
      <c r="SGV84" s="2567"/>
      <c r="SGW84" s="2567"/>
      <c r="SGX84" s="2567"/>
      <c r="SGY84" s="2567"/>
      <c r="SGZ84" s="2567"/>
      <c r="SHA84" s="2567"/>
      <c r="SHB84" s="2567"/>
      <c r="SHC84" s="2567"/>
      <c r="SHD84" s="2567"/>
      <c r="SHE84" s="2567"/>
      <c r="SHF84" s="2567"/>
      <c r="SHG84" s="2567"/>
      <c r="SHH84" s="2567"/>
      <c r="SHI84" s="2567"/>
      <c r="SHJ84" s="2567"/>
      <c r="SHK84" s="2567"/>
      <c r="SHL84" s="2567"/>
      <c r="SHM84" s="2567"/>
      <c r="SHN84" s="2567"/>
      <c r="SHO84" s="2567"/>
      <c r="SHP84" s="2567"/>
      <c r="SHQ84" s="2567"/>
      <c r="SHR84" s="2567"/>
      <c r="SHS84" s="2567"/>
      <c r="SHT84" s="2567"/>
      <c r="SHU84" s="2567"/>
      <c r="SHV84" s="2567"/>
      <c r="SHW84" s="2567"/>
      <c r="SHX84" s="2567"/>
      <c r="SHY84" s="2567"/>
      <c r="SHZ84" s="2567"/>
      <c r="SIA84" s="2567"/>
      <c r="SIB84" s="2567"/>
      <c r="SIC84" s="2567"/>
      <c r="SID84" s="2567"/>
      <c r="SIE84" s="2567"/>
      <c r="SIF84" s="2567"/>
      <c r="SIG84" s="2567"/>
      <c r="SIH84" s="2567"/>
      <c r="SII84" s="2567"/>
      <c r="SIJ84" s="2567"/>
      <c r="SIK84" s="2567"/>
      <c r="SIL84" s="2567"/>
      <c r="SIM84" s="2567"/>
      <c r="SIN84" s="2567"/>
      <c r="SIO84" s="2567"/>
      <c r="SIP84" s="2567"/>
      <c r="SIQ84" s="2567"/>
      <c r="SIR84" s="2567"/>
      <c r="SIS84" s="2567"/>
      <c r="SIT84" s="2567"/>
      <c r="SIU84" s="2567"/>
      <c r="SIV84" s="2567"/>
      <c r="SIW84" s="2567"/>
      <c r="SIX84" s="2567"/>
      <c r="SIY84" s="2567"/>
      <c r="SIZ84" s="2567"/>
      <c r="SJA84" s="2567"/>
      <c r="SJB84" s="2567"/>
      <c r="SJC84" s="2567"/>
      <c r="SJD84" s="2567"/>
      <c r="SJE84" s="2567"/>
      <c r="SJF84" s="2567"/>
      <c r="SJG84" s="2567"/>
      <c r="SJH84" s="2567"/>
      <c r="SJI84" s="2567"/>
      <c r="SJJ84" s="2567"/>
      <c r="SJK84" s="2567"/>
      <c r="SJL84" s="2567"/>
      <c r="SJM84" s="2567"/>
      <c r="SJN84" s="2567"/>
      <c r="SJO84" s="2567"/>
      <c r="SJP84" s="2567"/>
      <c r="SJQ84" s="2567"/>
      <c r="SJR84" s="2567"/>
      <c r="SJS84" s="2567"/>
      <c r="SJT84" s="2567"/>
      <c r="SJU84" s="2567"/>
      <c r="SJV84" s="2567"/>
      <c r="SJW84" s="2567"/>
      <c r="SJX84" s="2567"/>
      <c r="SJY84" s="2567"/>
      <c r="SJZ84" s="2567"/>
      <c r="SKA84" s="2567"/>
      <c r="SKB84" s="2567"/>
      <c r="SKC84" s="2567"/>
      <c r="SKD84" s="2567"/>
      <c r="SKE84" s="2567"/>
      <c r="SKF84" s="2567"/>
      <c r="SKG84" s="2567"/>
      <c r="SKH84" s="2567"/>
      <c r="SKI84" s="2567"/>
      <c r="SKJ84" s="2567"/>
      <c r="SKK84" s="2567"/>
      <c r="SKL84" s="2567"/>
      <c r="SKM84" s="2567"/>
      <c r="SKN84" s="2567"/>
      <c r="SKO84" s="2567"/>
      <c r="SKP84" s="2567"/>
      <c r="SKQ84" s="2567"/>
      <c r="SKR84" s="2567"/>
      <c r="SKS84" s="2567"/>
      <c r="SKT84" s="2567"/>
      <c r="SKU84" s="2567"/>
      <c r="SKV84" s="2567"/>
      <c r="SKW84" s="2567"/>
      <c r="SKX84" s="2567"/>
      <c r="SKY84" s="2567"/>
      <c r="SKZ84" s="2567"/>
      <c r="SLA84" s="2567"/>
      <c r="SLB84" s="2567"/>
      <c r="SLC84" s="2567"/>
      <c r="SLD84" s="2567"/>
      <c r="SLE84" s="2567"/>
      <c r="SLF84" s="2567"/>
      <c r="SLG84" s="2567"/>
      <c r="SLH84" s="2567"/>
      <c r="SLI84" s="2567"/>
      <c r="SLJ84" s="2567"/>
      <c r="SLK84" s="2567"/>
      <c r="SLL84" s="2567"/>
      <c r="SLM84" s="2567"/>
      <c r="SLN84" s="2567"/>
      <c r="SLO84" s="2567"/>
      <c r="SLP84" s="2567"/>
      <c r="SLQ84" s="2567"/>
      <c r="SLR84" s="2567"/>
      <c r="SLS84" s="2567"/>
      <c r="SLT84" s="2567"/>
      <c r="SLU84" s="2567"/>
      <c r="SLV84" s="2567"/>
      <c r="SLW84" s="2567"/>
      <c r="SLX84" s="2567"/>
      <c r="SLY84" s="2567"/>
      <c r="SLZ84" s="2567"/>
      <c r="SMA84" s="2567"/>
      <c r="SMB84" s="2567"/>
      <c r="SMC84" s="2567"/>
      <c r="SMD84" s="2567"/>
      <c r="SME84" s="2567"/>
      <c r="SMF84" s="2567"/>
      <c r="SMG84" s="2567"/>
      <c r="SMH84" s="2567"/>
      <c r="SMI84" s="2567"/>
      <c r="SMJ84" s="2567"/>
      <c r="SMK84" s="2567"/>
      <c r="SML84" s="2567"/>
      <c r="SMM84" s="2567"/>
      <c r="SMN84" s="2567"/>
      <c r="SMO84" s="2567"/>
      <c r="SMP84" s="2567"/>
      <c r="SMQ84" s="2567"/>
      <c r="SMR84" s="2567"/>
      <c r="SMS84" s="2567"/>
      <c r="SMT84" s="2567"/>
      <c r="SMU84" s="2567"/>
      <c r="SMV84" s="2567"/>
      <c r="SMW84" s="2567"/>
      <c r="SMX84" s="2567"/>
      <c r="SMY84" s="2567"/>
      <c r="SMZ84" s="2567"/>
      <c r="SNA84" s="2567"/>
      <c r="SNB84" s="2567"/>
      <c r="SNC84" s="2567"/>
      <c r="SND84" s="2567"/>
      <c r="SNE84" s="2567"/>
      <c r="SNF84" s="2567"/>
      <c r="SNG84" s="2567"/>
      <c r="SNH84" s="2567"/>
      <c r="SNI84" s="2567"/>
      <c r="SNJ84" s="2567"/>
      <c r="SNK84" s="2567"/>
      <c r="SNL84" s="2567"/>
      <c r="SNM84" s="2567"/>
      <c r="SNN84" s="2567"/>
      <c r="SNO84" s="2567"/>
      <c r="SNP84" s="2567"/>
      <c r="SNQ84" s="2567"/>
      <c r="SNR84" s="2567"/>
      <c r="SNS84" s="2567"/>
      <c r="SNT84" s="2567"/>
      <c r="SNU84" s="2567"/>
      <c r="SNV84" s="2567"/>
      <c r="SNW84" s="2567"/>
      <c r="SNX84" s="2567"/>
      <c r="SNY84" s="2567"/>
      <c r="SNZ84" s="2567"/>
      <c r="SOA84" s="2567"/>
      <c r="SOB84" s="2567"/>
      <c r="SOC84" s="2567"/>
      <c r="SOD84" s="2567"/>
      <c r="SOE84" s="2567"/>
      <c r="SOF84" s="2567"/>
      <c r="SOG84" s="2567"/>
      <c r="SOH84" s="2567"/>
      <c r="SOI84" s="2567"/>
      <c r="SOJ84" s="2567"/>
      <c r="SOK84" s="2567"/>
      <c r="SOL84" s="2567"/>
      <c r="SOM84" s="2567"/>
      <c r="SON84" s="2567"/>
      <c r="SOO84" s="2567"/>
      <c r="SOP84" s="2567"/>
      <c r="SOQ84" s="2567"/>
      <c r="SOR84" s="2567"/>
      <c r="SOS84" s="2567"/>
      <c r="SOT84" s="2567"/>
      <c r="SOU84" s="2567"/>
      <c r="SOV84" s="2567"/>
      <c r="SOW84" s="2567"/>
      <c r="SOX84" s="2567"/>
      <c r="SOY84" s="2567"/>
      <c r="SOZ84" s="2567"/>
      <c r="SPA84" s="2567"/>
      <c r="SPB84" s="2567"/>
      <c r="SPC84" s="2567"/>
      <c r="SPD84" s="2567"/>
      <c r="SPE84" s="2567"/>
      <c r="SPF84" s="2567"/>
      <c r="SPG84" s="2567"/>
      <c r="SPH84" s="2567"/>
      <c r="SPI84" s="2567"/>
      <c r="SPJ84" s="2567"/>
      <c r="SPK84" s="2567"/>
      <c r="SPL84" s="2567"/>
      <c r="SPM84" s="2567"/>
      <c r="SPN84" s="2567"/>
      <c r="SPO84" s="2567"/>
      <c r="SPP84" s="2567"/>
      <c r="SPQ84" s="2567"/>
      <c r="SPR84" s="2567"/>
      <c r="SPS84" s="2567"/>
      <c r="SPT84" s="2567"/>
      <c r="SPU84" s="2567"/>
      <c r="SPV84" s="2567"/>
      <c r="SPW84" s="2567"/>
      <c r="SPX84" s="2567"/>
      <c r="SPY84" s="2567"/>
      <c r="SPZ84" s="2567"/>
      <c r="SQA84" s="2567"/>
      <c r="SQB84" s="2567"/>
      <c r="SQC84" s="2567"/>
      <c r="SQD84" s="2567"/>
      <c r="SQE84" s="2567"/>
      <c r="SQF84" s="2567"/>
      <c r="SQG84" s="2567"/>
      <c r="SQH84" s="2567"/>
      <c r="SQI84" s="2567"/>
      <c r="SQJ84" s="2567"/>
      <c r="SQK84" s="2567"/>
      <c r="SQL84" s="2567"/>
      <c r="SQM84" s="2567"/>
      <c r="SQN84" s="2567"/>
      <c r="SQO84" s="2567"/>
      <c r="SQP84" s="2567"/>
      <c r="SQQ84" s="2567"/>
      <c r="SQR84" s="2567"/>
      <c r="SQS84" s="2567"/>
      <c r="SQT84" s="2567"/>
      <c r="SQU84" s="2567"/>
      <c r="SQV84" s="2567"/>
      <c r="SQW84" s="2567"/>
      <c r="SQX84" s="2567"/>
      <c r="SQY84" s="2567"/>
      <c r="SQZ84" s="2567"/>
      <c r="SRA84" s="2567"/>
      <c r="SRB84" s="2567"/>
      <c r="SRC84" s="2567"/>
      <c r="SRD84" s="2567"/>
      <c r="SRE84" s="2567"/>
      <c r="SRF84" s="2567"/>
      <c r="SRG84" s="2567"/>
      <c r="SRH84" s="2567"/>
      <c r="SRI84" s="2567"/>
      <c r="SRJ84" s="2567"/>
      <c r="SRK84" s="2567"/>
      <c r="SRL84" s="2567"/>
      <c r="SRM84" s="2567"/>
      <c r="SRN84" s="2567"/>
      <c r="SRO84" s="2567"/>
      <c r="SRP84" s="2567"/>
      <c r="SRQ84" s="2567"/>
      <c r="SRR84" s="2567"/>
      <c r="SRS84" s="2567"/>
      <c r="SRT84" s="2567"/>
      <c r="SRU84" s="2567"/>
      <c r="SRV84" s="2567"/>
      <c r="SRW84" s="2567"/>
      <c r="SRX84" s="2567"/>
      <c r="SRY84" s="2567"/>
      <c r="SRZ84" s="2567"/>
      <c r="SSA84" s="2567"/>
      <c r="SSB84" s="2567"/>
      <c r="SSC84" s="2567"/>
      <c r="SSD84" s="2567"/>
      <c r="SSE84" s="2567"/>
      <c r="SSF84" s="2567"/>
      <c r="SSG84" s="2567"/>
      <c r="SSH84" s="2567"/>
      <c r="SSI84" s="2567"/>
      <c r="SSJ84" s="2567"/>
      <c r="SSK84" s="2567"/>
      <c r="SSL84" s="2567"/>
      <c r="SSM84" s="2567"/>
      <c r="SSN84" s="2567"/>
      <c r="SSO84" s="2567"/>
      <c r="SSP84" s="2567"/>
      <c r="SSQ84" s="2567"/>
      <c r="SSR84" s="2567"/>
      <c r="SSS84" s="2567"/>
      <c r="SST84" s="2567"/>
      <c r="SSU84" s="2567"/>
      <c r="SSV84" s="2567"/>
      <c r="SSW84" s="2567"/>
      <c r="SSX84" s="2567"/>
      <c r="SSY84" s="2567"/>
      <c r="SSZ84" s="2567"/>
      <c r="STA84" s="2567"/>
      <c r="STB84" s="2567"/>
      <c r="STC84" s="2567"/>
      <c r="STD84" s="2567"/>
      <c r="STE84" s="2567"/>
      <c r="STF84" s="2567"/>
      <c r="STG84" s="2567"/>
      <c r="STH84" s="2567"/>
      <c r="STI84" s="2567"/>
      <c r="STJ84" s="2567"/>
      <c r="STK84" s="2567"/>
      <c r="STL84" s="2567"/>
      <c r="STM84" s="2567"/>
      <c r="STN84" s="2567"/>
      <c r="STO84" s="2567"/>
      <c r="STP84" s="2567"/>
      <c r="STQ84" s="2567"/>
      <c r="STR84" s="2567"/>
      <c r="STS84" s="2567"/>
      <c r="STT84" s="2567"/>
      <c r="STU84" s="2567"/>
      <c r="STV84" s="2567"/>
      <c r="STW84" s="2567"/>
      <c r="STX84" s="2567"/>
      <c r="STY84" s="2567"/>
      <c r="STZ84" s="2567"/>
      <c r="SUA84" s="2567"/>
      <c r="SUB84" s="2567"/>
      <c r="SUC84" s="2567"/>
      <c r="SUD84" s="2567"/>
      <c r="SUE84" s="2567"/>
      <c r="SUF84" s="2567"/>
      <c r="SUG84" s="2567"/>
      <c r="SUH84" s="2567"/>
      <c r="SUI84" s="2567"/>
      <c r="SUJ84" s="2567"/>
      <c r="SUK84" s="2567"/>
      <c r="SUL84" s="2567"/>
      <c r="SUM84" s="2567"/>
      <c r="SUN84" s="2567"/>
      <c r="SUO84" s="2567"/>
      <c r="SUP84" s="2567"/>
      <c r="SUQ84" s="2567"/>
      <c r="SUR84" s="2567"/>
      <c r="SUS84" s="2567"/>
      <c r="SUT84" s="2567"/>
      <c r="SUU84" s="2567"/>
      <c r="SUV84" s="2567"/>
      <c r="SUW84" s="2567"/>
      <c r="SUX84" s="2567"/>
      <c r="SUY84" s="2567"/>
      <c r="SUZ84" s="2567"/>
      <c r="SVA84" s="2567"/>
      <c r="SVB84" s="2567"/>
      <c r="SVC84" s="2567"/>
      <c r="SVD84" s="2567"/>
      <c r="SVE84" s="2567"/>
      <c r="SVF84" s="2567"/>
      <c r="SVG84" s="2567"/>
      <c r="SVH84" s="2567"/>
      <c r="SVI84" s="2567"/>
      <c r="SVJ84" s="2567"/>
      <c r="SVK84" s="2567"/>
      <c r="SVL84" s="2567"/>
      <c r="SVM84" s="2567"/>
      <c r="SVN84" s="2567"/>
      <c r="SVO84" s="2567"/>
      <c r="SVP84" s="2567"/>
      <c r="SVQ84" s="2567"/>
      <c r="SVR84" s="2567"/>
      <c r="SVS84" s="2567"/>
      <c r="SVT84" s="2567"/>
      <c r="SVU84" s="2567"/>
      <c r="SVV84" s="2567"/>
      <c r="SVW84" s="2567"/>
      <c r="SVX84" s="2567"/>
      <c r="SVY84" s="2567"/>
      <c r="SVZ84" s="2567"/>
      <c r="SWA84" s="2567"/>
      <c r="SWB84" s="2567"/>
      <c r="SWC84" s="2567"/>
      <c r="SWD84" s="2567"/>
      <c r="SWE84" s="2567"/>
      <c r="SWF84" s="2567"/>
      <c r="SWG84" s="2567"/>
      <c r="SWH84" s="2567"/>
      <c r="SWI84" s="2567"/>
      <c r="SWJ84" s="2567"/>
      <c r="SWK84" s="2567"/>
      <c r="SWL84" s="2567"/>
      <c r="SWM84" s="2567"/>
      <c r="SWN84" s="2567"/>
      <c r="SWO84" s="2567"/>
      <c r="SWP84" s="2567"/>
      <c r="SWQ84" s="2567"/>
      <c r="SWR84" s="2567"/>
      <c r="SWS84" s="2567"/>
      <c r="SWT84" s="2567"/>
      <c r="SWU84" s="2567"/>
      <c r="SWV84" s="2567"/>
      <c r="SWW84" s="2567"/>
      <c r="SWX84" s="2567"/>
      <c r="SWY84" s="2567"/>
      <c r="SWZ84" s="2567"/>
      <c r="SXA84" s="2567"/>
      <c r="SXB84" s="2567"/>
      <c r="SXC84" s="2567"/>
      <c r="SXD84" s="2567"/>
      <c r="SXE84" s="2567"/>
      <c r="SXF84" s="2567"/>
      <c r="SXG84" s="2567"/>
      <c r="SXH84" s="2567"/>
      <c r="SXI84" s="2567"/>
      <c r="SXJ84" s="2567"/>
      <c r="SXK84" s="2567"/>
      <c r="SXL84" s="2567"/>
      <c r="SXM84" s="2567"/>
      <c r="SXN84" s="2567"/>
      <c r="SXO84" s="2567"/>
      <c r="SXP84" s="2567"/>
      <c r="SXQ84" s="2567"/>
      <c r="SXR84" s="2567"/>
      <c r="SXS84" s="2567"/>
      <c r="SXT84" s="2567"/>
      <c r="SXU84" s="2567"/>
      <c r="SXV84" s="2567"/>
      <c r="SXW84" s="2567"/>
      <c r="SXX84" s="2567"/>
      <c r="SXY84" s="2567"/>
      <c r="SXZ84" s="2567"/>
      <c r="SYA84" s="2567"/>
      <c r="SYB84" s="2567"/>
      <c r="SYC84" s="2567"/>
      <c r="SYD84" s="2567"/>
      <c r="SYE84" s="2567"/>
      <c r="SYF84" s="2567"/>
      <c r="SYG84" s="2567"/>
      <c r="SYH84" s="2567"/>
      <c r="SYI84" s="2567"/>
      <c r="SYJ84" s="2567"/>
      <c r="SYK84" s="2567"/>
      <c r="SYL84" s="2567"/>
      <c r="SYM84" s="2567"/>
      <c r="SYN84" s="2567"/>
      <c r="SYO84" s="2567"/>
      <c r="SYP84" s="2567"/>
      <c r="SYQ84" s="2567"/>
      <c r="SYR84" s="2567"/>
      <c r="SYS84" s="2567"/>
      <c r="SYT84" s="2567"/>
      <c r="SYU84" s="2567"/>
      <c r="SYV84" s="2567"/>
      <c r="SYW84" s="2567"/>
      <c r="SYX84" s="2567"/>
      <c r="SYY84" s="2567"/>
      <c r="SYZ84" s="2567"/>
      <c r="SZA84" s="2567"/>
      <c r="SZB84" s="2567"/>
      <c r="SZC84" s="2567"/>
      <c r="SZD84" s="2567"/>
      <c r="SZE84" s="2567"/>
      <c r="SZF84" s="2567"/>
      <c r="SZG84" s="2567"/>
      <c r="SZH84" s="2567"/>
      <c r="SZI84" s="2567"/>
      <c r="SZJ84" s="2567"/>
      <c r="SZK84" s="2567"/>
      <c r="SZL84" s="2567"/>
      <c r="SZM84" s="2567"/>
      <c r="SZN84" s="2567"/>
      <c r="SZO84" s="2567"/>
      <c r="SZP84" s="2567"/>
      <c r="SZQ84" s="2567"/>
      <c r="SZR84" s="2567"/>
      <c r="SZS84" s="2567"/>
      <c r="SZT84" s="2567"/>
      <c r="SZU84" s="2567"/>
      <c r="SZV84" s="2567"/>
      <c r="SZW84" s="2567"/>
      <c r="SZX84" s="2567"/>
      <c r="SZY84" s="2567"/>
      <c r="SZZ84" s="2567"/>
      <c r="TAA84" s="2567"/>
      <c r="TAB84" s="2567"/>
      <c r="TAC84" s="2567"/>
      <c r="TAD84" s="2567"/>
      <c r="TAE84" s="2567"/>
      <c r="TAF84" s="2567"/>
      <c r="TAG84" s="2567"/>
      <c r="TAH84" s="2567"/>
      <c r="TAI84" s="2567"/>
      <c r="TAJ84" s="2567"/>
      <c r="TAK84" s="2567"/>
      <c r="TAL84" s="2567"/>
      <c r="TAM84" s="2567"/>
      <c r="TAN84" s="2567"/>
      <c r="TAO84" s="2567"/>
      <c r="TAP84" s="2567"/>
      <c r="TAQ84" s="2567"/>
      <c r="TAR84" s="2567"/>
      <c r="TAS84" s="2567"/>
      <c r="TAT84" s="2567"/>
      <c r="TAU84" s="2567"/>
      <c r="TAV84" s="2567"/>
      <c r="TAW84" s="2567"/>
      <c r="TAX84" s="2567"/>
      <c r="TAY84" s="2567"/>
      <c r="TAZ84" s="2567"/>
      <c r="TBA84" s="2567"/>
      <c r="TBB84" s="2567"/>
      <c r="TBC84" s="2567"/>
      <c r="TBD84" s="2567"/>
      <c r="TBE84" s="2567"/>
      <c r="TBF84" s="2567"/>
      <c r="TBG84" s="2567"/>
      <c r="TBH84" s="2567"/>
      <c r="TBI84" s="2567"/>
      <c r="TBJ84" s="2567"/>
      <c r="TBK84" s="2567"/>
      <c r="TBL84" s="2567"/>
      <c r="TBM84" s="2567"/>
      <c r="TBN84" s="2567"/>
      <c r="TBO84" s="2567"/>
      <c r="TBP84" s="2567"/>
      <c r="TBQ84" s="2567"/>
      <c r="TBR84" s="2567"/>
      <c r="TBS84" s="2567"/>
      <c r="TBT84" s="2567"/>
      <c r="TBU84" s="2567"/>
      <c r="TBV84" s="2567"/>
      <c r="TBW84" s="2567"/>
      <c r="TBX84" s="2567"/>
      <c r="TBY84" s="2567"/>
      <c r="TBZ84" s="2567"/>
      <c r="TCA84" s="2567"/>
      <c r="TCB84" s="2567"/>
      <c r="TCC84" s="2567"/>
      <c r="TCD84" s="2567"/>
      <c r="TCE84" s="2567"/>
      <c r="TCF84" s="2567"/>
      <c r="TCG84" s="2567"/>
      <c r="TCH84" s="2567"/>
      <c r="TCI84" s="2567"/>
      <c r="TCJ84" s="2567"/>
      <c r="TCK84" s="2567"/>
      <c r="TCL84" s="2567"/>
      <c r="TCM84" s="2567"/>
      <c r="TCN84" s="2567"/>
      <c r="TCO84" s="2567"/>
      <c r="TCP84" s="2567"/>
      <c r="TCQ84" s="2567"/>
      <c r="TCR84" s="2567"/>
      <c r="TCS84" s="2567"/>
      <c r="TCT84" s="2567"/>
      <c r="TCU84" s="2567"/>
      <c r="TCV84" s="2567"/>
      <c r="TCW84" s="2567"/>
      <c r="TCX84" s="2567"/>
      <c r="TCY84" s="2567"/>
      <c r="TCZ84" s="2567"/>
      <c r="TDA84" s="2567"/>
      <c r="TDB84" s="2567"/>
      <c r="TDC84" s="2567"/>
      <c r="TDD84" s="2567"/>
      <c r="TDE84" s="2567"/>
      <c r="TDF84" s="2567"/>
      <c r="TDG84" s="2567"/>
      <c r="TDH84" s="2567"/>
      <c r="TDI84" s="2567"/>
      <c r="TDJ84" s="2567"/>
      <c r="TDK84" s="2567"/>
      <c r="TDL84" s="2567"/>
      <c r="TDM84" s="2567"/>
      <c r="TDN84" s="2567"/>
      <c r="TDO84" s="2567"/>
      <c r="TDP84" s="2567"/>
      <c r="TDQ84" s="2567"/>
      <c r="TDR84" s="2567"/>
      <c r="TDS84" s="2567"/>
      <c r="TDT84" s="2567"/>
      <c r="TDU84" s="2567"/>
      <c r="TDV84" s="2567"/>
      <c r="TDW84" s="2567"/>
      <c r="TDX84" s="2567"/>
      <c r="TDY84" s="2567"/>
      <c r="TDZ84" s="2567"/>
      <c r="TEA84" s="2567"/>
      <c r="TEB84" s="2567"/>
      <c r="TEC84" s="2567"/>
      <c r="TED84" s="2567"/>
      <c r="TEE84" s="2567"/>
      <c r="TEF84" s="2567"/>
      <c r="TEG84" s="2567"/>
      <c r="TEH84" s="2567"/>
      <c r="TEI84" s="2567"/>
      <c r="TEJ84" s="2567"/>
      <c r="TEK84" s="2567"/>
      <c r="TEL84" s="2567"/>
      <c r="TEM84" s="2567"/>
      <c r="TEN84" s="2567"/>
      <c r="TEO84" s="2567"/>
      <c r="TEP84" s="2567"/>
      <c r="TEQ84" s="2567"/>
      <c r="TER84" s="2567"/>
      <c r="TES84" s="2567"/>
      <c r="TET84" s="2567"/>
      <c r="TEU84" s="2567"/>
      <c r="TEV84" s="2567"/>
      <c r="TEW84" s="2567"/>
      <c r="TEX84" s="2567"/>
      <c r="TEY84" s="2567"/>
      <c r="TEZ84" s="2567"/>
      <c r="TFA84" s="2567"/>
      <c r="TFB84" s="2567"/>
      <c r="TFC84" s="2567"/>
      <c r="TFD84" s="2567"/>
      <c r="TFE84" s="2567"/>
      <c r="TFF84" s="2567"/>
      <c r="TFG84" s="2567"/>
      <c r="TFH84" s="2567"/>
      <c r="TFI84" s="2567"/>
      <c r="TFJ84" s="2567"/>
      <c r="TFK84" s="2567"/>
      <c r="TFL84" s="2567"/>
      <c r="TFM84" s="2567"/>
      <c r="TFN84" s="2567"/>
      <c r="TFO84" s="2567"/>
      <c r="TFP84" s="2567"/>
      <c r="TFQ84" s="2567"/>
      <c r="TFR84" s="2567"/>
      <c r="TFS84" s="2567"/>
      <c r="TFT84" s="2567"/>
      <c r="TFU84" s="2567"/>
      <c r="TFV84" s="2567"/>
      <c r="TFW84" s="2567"/>
      <c r="TFX84" s="2567"/>
      <c r="TFY84" s="2567"/>
      <c r="TFZ84" s="2567"/>
      <c r="TGA84" s="2567"/>
      <c r="TGB84" s="2567"/>
      <c r="TGC84" s="2567"/>
      <c r="TGD84" s="2567"/>
      <c r="TGE84" s="2567"/>
      <c r="TGF84" s="2567"/>
      <c r="TGG84" s="2567"/>
      <c r="TGH84" s="2567"/>
      <c r="TGI84" s="2567"/>
      <c r="TGJ84" s="2567"/>
      <c r="TGK84" s="2567"/>
      <c r="TGL84" s="2567"/>
      <c r="TGM84" s="2567"/>
      <c r="TGN84" s="2567"/>
      <c r="TGO84" s="2567"/>
      <c r="TGP84" s="2567"/>
      <c r="TGQ84" s="2567"/>
      <c r="TGR84" s="2567"/>
      <c r="TGS84" s="2567"/>
      <c r="TGT84" s="2567"/>
      <c r="TGU84" s="2567"/>
      <c r="TGV84" s="2567"/>
      <c r="TGW84" s="2567"/>
      <c r="TGX84" s="2567"/>
      <c r="TGY84" s="2567"/>
      <c r="TGZ84" s="2567"/>
      <c r="THA84" s="2567"/>
      <c r="THB84" s="2567"/>
      <c r="THC84" s="2567"/>
      <c r="THD84" s="2567"/>
      <c r="THE84" s="2567"/>
      <c r="THF84" s="2567"/>
      <c r="THG84" s="2567"/>
      <c r="THH84" s="2567"/>
      <c r="THI84" s="2567"/>
      <c r="THJ84" s="2567"/>
      <c r="THK84" s="2567"/>
      <c r="THL84" s="2567"/>
      <c r="THM84" s="2567"/>
      <c r="THN84" s="2567"/>
      <c r="THO84" s="2567"/>
      <c r="THP84" s="2567"/>
      <c r="THQ84" s="2567"/>
      <c r="THR84" s="2567"/>
      <c r="THS84" s="2567"/>
      <c r="THT84" s="2567"/>
      <c r="THU84" s="2567"/>
      <c r="THV84" s="2567"/>
      <c r="THW84" s="2567"/>
      <c r="THX84" s="2567"/>
      <c r="THY84" s="2567"/>
      <c r="THZ84" s="2567"/>
      <c r="TIA84" s="2567"/>
      <c r="TIB84" s="2567"/>
      <c r="TIC84" s="2567"/>
      <c r="TID84" s="2567"/>
      <c r="TIE84" s="2567"/>
      <c r="TIF84" s="2567"/>
      <c r="TIG84" s="2567"/>
      <c r="TIH84" s="2567"/>
      <c r="TII84" s="2567"/>
      <c r="TIJ84" s="2567"/>
      <c r="TIK84" s="2567"/>
      <c r="TIL84" s="2567"/>
      <c r="TIM84" s="2567"/>
      <c r="TIN84" s="2567"/>
      <c r="TIO84" s="2567"/>
      <c r="TIP84" s="2567"/>
      <c r="TIQ84" s="2567"/>
      <c r="TIR84" s="2567"/>
      <c r="TIS84" s="2567"/>
      <c r="TIT84" s="2567"/>
      <c r="TIU84" s="2567"/>
      <c r="TIV84" s="2567"/>
      <c r="TIW84" s="2567"/>
      <c r="TIX84" s="2567"/>
      <c r="TIY84" s="2567"/>
      <c r="TIZ84" s="2567"/>
      <c r="TJA84" s="2567"/>
      <c r="TJB84" s="2567"/>
      <c r="TJC84" s="2567"/>
      <c r="TJD84" s="2567"/>
      <c r="TJE84" s="2567"/>
      <c r="TJF84" s="2567"/>
      <c r="TJG84" s="2567"/>
      <c r="TJH84" s="2567"/>
      <c r="TJI84" s="2567"/>
      <c r="TJJ84" s="2567"/>
      <c r="TJK84" s="2567"/>
      <c r="TJL84" s="2567"/>
      <c r="TJM84" s="2567"/>
      <c r="TJN84" s="2567"/>
      <c r="TJO84" s="2567"/>
      <c r="TJP84" s="2567"/>
      <c r="TJQ84" s="2567"/>
      <c r="TJR84" s="2567"/>
      <c r="TJS84" s="2567"/>
      <c r="TJT84" s="2567"/>
      <c r="TJU84" s="2567"/>
      <c r="TJV84" s="2567"/>
      <c r="TJW84" s="2567"/>
      <c r="TJX84" s="2567"/>
      <c r="TJY84" s="2567"/>
      <c r="TJZ84" s="2567"/>
      <c r="TKA84" s="2567"/>
      <c r="TKB84" s="2567"/>
      <c r="TKC84" s="2567"/>
      <c r="TKD84" s="2567"/>
      <c r="TKE84" s="2567"/>
      <c r="TKF84" s="2567"/>
      <c r="TKG84" s="2567"/>
      <c r="TKH84" s="2567"/>
      <c r="TKI84" s="2567"/>
      <c r="TKJ84" s="2567"/>
      <c r="TKK84" s="2567"/>
      <c r="TKL84" s="2567"/>
      <c r="TKM84" s="2567"/>
      <c r="TKN84" s="2567"/>
      <c r="TKO84" s="2567"/>
      <c r="TKP84" s="2567"/>
      <c r="TKQ84" s="2567"/>
      <c r="TKR84" s="2567"/>
      <c r="TKS84" s="2567"/>
      <c r="TKT84" s="2567"/>
      <c r="TKU84" s="2567"/>
      <c r="TKV84" s="2567"/>
      <c r="TKW84" s="2567"/>
      <c r="TKX84" s="2567"/>
      <c r="TKY84" s="2567"/>
      <c r="TKZ84" s="2567"/>
      <c r="TLA84" s="2567"/>
      <c r="TLB84" s="2567"/>
      <c r="TLC84" s="2567"/>
      <c r="TLD84" s="2567"/>
      <c r="TLE84" s="2567"/>
      <c r="TLF84" s="2567"/>
      <c r="TLG84" s="2567"/>
      <c r="TLH84" s="2567"/>
      <c r="TLI84" s="2567"/>
      <c r="TLJ84" s="2567"/>
      <c r="TLK84" s="2567"/>
      <c r="TLL84" s="2567"/>
      <c r="TLM84" s="2567"/>
      <c r="TLN84" s="2567"/>
      <c r="TLO84" s="2567"/>
      <c r="TLP84" s="2567"/>
      <c r="TLQ84" s="2567"/>
      <c r="TLR84" s="2567"/>
      <c r="TLS84" s="2567"/>
      <c r="TLT84" s="2567"/>
      <c r="TLU84" s="2567"/>
      <c r="TLV84" s="2567"/>
      <c r="TLW84" s="2567"/>
      <c r="TLX84" s="2567"/>
      <c r="TLY84" s="2567"/>
      <c r="TLZ84" s="2567"/>
      <c r="TMA84" s="2567"/>
      <c r="TMB84" s="2567"/>
      <c r="TMC84" s="2567"/>
      <c r="TMD84" s="2567"/>
      <c r="TME84" s="2567"/>
      <c r="TMF84" s="2567"/>
      <c r="TMG84" s="2567"/>
      <c r="TMH84" s="2567"/>
      <c r="TMI84" s="2567"/>
      <c r="TMJ84" s="2567"/>
      <c r="TMK84" s="2567"/>
      <c r="TML84" s="2567"/>
      <c r="TMM84" s="2567"/>
      <c r="TMN84" s="2567"/>
      <c r="TMO84" s="2567"/>
      <c r="TMP84" s="2567"/>
      <c r="TMQ84" s="2567"/>
      <c r="TMR84" s="2567"/>
      <c r="TMS84" s="2567"/>
      <c r="TMT84" s="2567"/>
      <c r="TMU84" s="2567"/>
      <c r="TMV84" s="2567"/>
      <c r="TMW84" s="2567"/>
      <c r="TMX84" s="2567"/>
      <c r="TMY84" s="2567"/>
      <c r="TMZ84" s="2567"/>
      <c r="TNA84" s="2567"/>
      <c r="TNB84" s="2567"/>
      <c r="TNC84" s="2567"/>
      <c r="TND84" s="2567"/>
      <c r="TNE84" s="2567"/>
      <c r="TNF84" s="2567"/>
      <c r="TNG84" s="2567"/>
      <c r="TNH84" s="2567"/>
      <c r="TNI84" s="2567"/>
      <c r="TNJ84" s="2567"/>
      <c r="TNK84" s="2567"/>
      <c r="TNL84" s="2567"/>
      <c r="TNM84" s="2567"/>
      <c r="TNN84" s="2567"/>
      <c r="TNO84" s="2567"/>
      <c r="TNP84" s="2567"/>
      <c r="TNQ84" s="2567"/>
      <c r="TNR84" s="2567"/>
      <c r="TNS84" s="2567"/>
      <c r="TNT84" s="2567"/>
      <c r="TNU84" s="2567"/>
      <c r="TNV84" s="2567"/>
      <c r="TNW84" s="2567"/>
      <c r="TNX84" s="2567"/>
      <c r="TNY84" s="2567"/>
      <c r="TNZ84" s="2567"/>
      <c r="TOA84" s="2567"/>
      <c r="TOB84" s="2567"/>
      <c r="TOC84" s="2567"/>
      <c r="TOD84" s="2567"/>
      <c r="TOE84" s="2567"/>
      <c r="TOF84" s="2567"/>
      <c r="TOG84" s="2567"/>
      <c r="TOH84" s="2567"/>
      <c r="TOI84" s="2567"/>
      <c r="TOJ84" s="2567"/>
      <c r="TOK84" s="2567"/>
      <c r="TOL84" s="2567"/>
      <c r="TOM84" s="2567"/>
      <c r="TON84" s="2567"/>
      <c r="TOO84" s="2567"/>
      <c r="TOP84" s="2567"/>
      <c r="TOQ84" s="2567"/>
      <c r="TOR84" s="2567"/>
      <c r="TOS84" s="2567"/>
      <c r="TOT84" s="2567"/>
      <c r="TOU84" s="2567"/>
      <c r="TOV84" s="2567"/>
      <c r="TOW84" s="2567"/>
      <c r="TOX84" s="2567"/>
      <c r="TOY84" s="2567"/>
      <c r="TOZ84" s="2567"/>
      <c r="TPA84" s="2567"/>
      <c r="TPB84" s="2567"/>
      <c r="TPC84" s="2567"/>
      <c r="TPD84" s="2567"/>
      <c r="TPE84" s="2567"/>
      <c r="TPF84" s="2567"/>
      <c r="TPG84" s="2567"/>
      <c r="TPH84" s="2567"/>
      <c r="TPI84" s="2567"/>
      <c r="TPJ84" s="2567"/>
      <c r="TPK84" s="2567"/>
      <c r="TPL84" s="2567"/>
      <c r="TPM84" s="2567"/>
      <c r="TPN84" s="2567"/>
      <c r="TPO84" s="2567"/>
      <c r="TPP84" s="2567"/>
      <c r="TPQ84" s="2567"/>
      <c r="TPR84" s="2567"/>
      <c r="TPS84" s="2567"/>
      <c r="TPT84" s="2567"/>
      <c r="TPU84" s="2567"/>
      <c r="TPV84" s="2567"/>
      <c r="TPW84" s="2567"/>
      <c r="TPX84" s="2567"/>
      <c r="TPY84" s="2567"/>
      <c r="TPZ84" s="2567"/>
      <c r="TQA84" s="2567"/>
      <c r="TQB84" s="2567"/>
      <c r="TQC84" s="2567"/>
      <c r="TQD84" s="2567"/>
      <c r="TQE84" s="2567"/>
      <c r="TQF84" s="2567"/>
      <c r="TQG84" s="2567"/>
      <c r="TQH84" s="2567"/>
      <c r="TQI84" s="2567"/>
      <c r="TQJ84" s="2567"/>
      <c r="TQK84" s="2567"/>
      <c r="TQL84" s="2567"/>
      <c r="TQM84" s="2567"/>
      <c r="TQN84" s="2567"/>
      <c r="TQO84" s="2567"/>
      <c r="TQP84" s="2567"/>
      <c r="TQQ84" s="2567"/>
      <c r="TQR84" s="2567"/>
      <c r="TQS84" s="2567"/>
      <c r="TQT84" s="2567"/>
      <c r="TQU84" s="2567"/>
      <c r="TQV84" s="2567"/>
      <c r="TQW84" s="2567"/>
      <c r="TQX84" s="2567"/>
      <c r="TQY84" s="2567"/>
      <c r="TQZ84" s="2567"/>
      <c r="TRA84" s="2567"/>
      <c r="TRB84" s="2567"/>
      <c r="TRC84" s="2567"/>
      <c r="TRD84" s="2567"/>
      <c r="TRE84" s="2567"/>
      <c r="TRF84" s="2567"/>
      <c r="TRG84" s="2567"/>
      <c r="TRH84" s="2567"/>
      <c r="TRI84" s="2567"/>
      <c r="TRJ84" s="2567"/>
      <c r="TRK84" s="2567"/>
      <c r="TRL84" s="2567"/>
      <c r="TRM84" s="2567"/>
      <c r="TRN84" s="2567"/>
      <c r="TRO84" s="2567"/>
      <c r="TRP84" s="2567"/>
      <c r="TRQ84" s="2567"/>
      <c r="TRR84" s="2567"/>
      <c r="TRS84" s="2567"/>
      <c r="TRT84" s="2567"/>
      <c r="TRU84" s="2567"/>
      <c r="TRV84" s="2567"/>
      <c r="TRW84" s="2567"/>
      <c r="TRX84" s="2567"/>
      <c r="TRY84" s="2567"/>
      <c r="TRZ84" s="2567"/>
      <c r="TSA84" s="2567"/>
      <c r="TSB84" s="2567"/>
      <c r="TSC84" s="2567"/>
      <c r="TSD84" s="2567"/>
      <c r="TSE84" s="2567"/>
      <c r="TSF84" s="2567"/>
      <c r="TSG84" s="2567"/>
      <c r="TSH84" s="2567"/>
      <c r="TSI84" s="2567"/>
      <c r="TSJ84" s="2567"/>
      <c r="TSK84" s="2567"/>
      <c r="TSL84" s="2567"/>
      <c r="TSM84" s="2567"/>
      <c r="TSN84" s="2567"/>
      <c r="TSO84" s="2567"/>
      <c r="TSP84" s="2567"/>
      <c r="TSQ84" s="2567"/>
      <c r="TSR84" s="2567"/>
      <c r="TSS84" s="2567"/>
      <c r="TST84" s="2567"/>
      <c r="TSU84" s="2567"/>
      <c r="TSV84" s="2567"/>
      <c r="TSW84" s="2567"/>
      <c r="TSX84" s="2567"/>
      <c r="TSY84" s="2567"/>
      <c r="TSZ84" s="2567"/>
      <c r="TTA84" s="2567"/>
      <c r="TTB84" s="2567"/>
      <c r="TTC84" s="2567"/>
      <c r="TTD84" s="2567"/>
      <c r="TTE84" s="2567"/>
      <c r="TTF84" s="2567"/>
      <c r="TTG84" s="2567"/>
      <c r="TTH84" s="2567"/>
      <c r="TTI84" s="2567"/>
      <c r="TTJ84" s="2567"/>
      <c r="TTK84" s="2567"/>
      <c r="TTL84" s="2567"/>
      <c r="TTM84" s="2567"/>
      <c r="TTN84" s="2567"/>
      <c r="TTO84" s="2567"/>
      <c r="TTP84" s="2567"/>
      <c r="TTQ84" s="2567"/>
      <c r="TTR84" s="2567"/>
      <c r="TTS84" s="2567"/>
      <c r="TTT84" s="2567"/>
      <c r="TTU84" s="2567"/>
      <c r="TTV84" s="2567"/>
      <c r="TTW84" s="2567"/>
      <c r="TTX84" s="2567"/>
      <c r="TTY84" s="2567"/>
      <c r="TTZ84" s="2567"/>
      <c r="TUA84" s="2567"/>
      <c r="TUB84" s="2567"/>
      <c r="TUC84" s="2567"/>
      <c r="TUD84" s="2567"/>
      <c r="TUE84" s="2567"/>
      <c r="TUF84" s="2567"/>
      <c r="TUG84" s="2567"/>
      <c r="TUH84" s="2567"/>
      <c r="TUI84" s="2567"/>
      <c r="TUJ84" s="2567"/>
      <c r="TUK84" s="2567"/>
      <c r="TUL84" s="2567"/>
      <c r="TUM84" s="2567"/>
      <c r="TUN84" s="2567"/>
      <c r="TUO84" s="2567"/>
      <c r="TUP84" s="2567"/>
      <c r="TUQ84" s="2567"/>
      <c r="TUR84" s="2567"/>
      <c r="TUS84" s="2567"/>
      <c r="TUT84" s="2567"/>
      <c r="TUU84" s="2567"/>
      <c r="TUV84" s="2567"/>
      <c r="TUW84" s="2567"/>
      <c r="TUX84" s="2567"/>
      <c r="TUY84" s="2567"/>
      <c r="TUZ84" s="2567"/>
      <c r="TVA84" s="2567"/>
      <c r="TVB84" s="2567"/>
      <c r="TVC84" s="2567"/>
      <c r="TVD84" s="2567"/>
      <c r="TVE84" s="2567"/>
      <c r="TVF84" s="2567"/>
      <c r="TVG84" s="2567"/>
      <c r="TVH84" s="2567"/>
      <c r="TVI84" s="2567"/>
      <c r="TVJ84" s="2567"/>
      <c r="TVK84" s="2567"/>
      <c r="TVL84" s="2567"/>
      <c r="TVM84" s="2567"/>
      <c r="TVN84" s="2567"/>
      <c r="TVO84" s="2567"/>
      <c r="TVP84" s="2567"/>
      <c r="TVQ84" s="2567"/>
      <c r="TVR84" s="2567"/>
      <c r="TVS84" s="2567"/>
      <c r="TVT84" s="2567"/>
      <c r="TVU84" s="2567"/>
      <c r="TVV84" s="2567"/>
      <c r="TVW84" s="2567"/>
      <c r="TVX84" s="2567"/>
      <c r="TVY84" s="2567"/>
      <c r="TVZ84" s="2567"/>
      <c r="TWA84" s="2567"/>
      <c r="TWB84" s="2567"/>
      <c r="TWC84" s="2567"/>
      <c r="TWD84" s="2567"/>
      <c r="TWE84" s="2567"/>
      <c r="TWF84" s="2567"/>
      <c r="TWG84" s="2567"/>
      <c r="TWH84" s="2567"/>
      <c r="TWI84" s="2567"/>
      <c r="TWJ84" s="2567"/>
      <c r="TWK84" s="2567"/>
      <c r="TWL84" s="2567"/>
      <c r="TWM84" s="2567"/>
      <c r="TWN84" s="2567"/>
      <c r="TWO84" s="2567"/>
      <c r="TWP84" s="2567"/>
      <c r="TWQ84" s="2567"/>
      <c r="TWR84" s="2567"/>
      <c r="TWS84" s="2567"/>
      <c r="TWT84" s="2567"/>
      <c r="TWU84" s="2567"/>
      <c r="TWV84" s="2567"/>
      <c r="TWW84" s="2567"/>
      <c r="TWX84" s="2567"/>
      <c r="TWY84" s="2567"/>
      <c r="TWZ84" s="2567"/>
      <c r="TXA84" s="2567"/>
      <c r="TXB84" s="2567"/>
      <c r="TXC84" s="2567"/>
      <c r="TXD84" s="2567"/>
      <c r="TXE84" s="2567"/>
      <c r="TXF84" s="2567"/>
      <c r="TXG84" s="2567"/>
      <c r="TXH84" s="2567"/>
      <c r="TXI84" s="2567"/>
      <c r="TXJ84" s="2567"/>
      <c r="TXK84" s="2567"/>
      <c r="TXL84" s="2567"/>
      <c r="TXM84" s="2567"/>
      <c r="TXN84" s="2567"/>
      <c r="TXO84" s="2567"/>
      <c r="TXP84" s="2567"/>
      <c r="TXQ84" s="2567"/>
      <c r="TXR84" s="2567"/>
      <c r="TXS84" s="2567"/>
      <c r="TXT84" s="2567"/>
      <c r="TXU84" s="2567"/>
      <c r="TXV84" s="2567"/>
      <c r="TXW84" s="2567"/>
      <c r="TXX84" s="2567"/>
      <c r="TXY84" s="2567"/>
      <c r="TXZ84" s="2567"/>
      <c r="TYA84" s="2567"/>
      <c r="TYB84" s="2567"/>
      <c r="TYC84" s="2567"/>
      <c r="TYD84" s="2567"/>
      <c r="TYE84" s="2567"/>
      <c r="TYF84" s="2567"/>
      <c r="TYG84" s="2567"/>
      <c r="TYH84" s="2567"/>
      <c r="TYI84" s="2567"/>
      <c r="TYJ84" s="2567"/>
      <c r="TYK84" s="2567"/>
      <c r="TYL84" s="2567"/>
      <c r="TYM84" s="2567"/>
      <c r="TYN84" s="2567"/>
      <c r="TYO84" s="2567"/>
      <c r="TYP84" s="2567"/>
      <c r="TYQ84" s="2567"/>
      <c r="TYR84" s="2567"/>
      <c r="TYS84" s="2567"/>
      <c r="TYT84" s="2567"/>
      <c r="TYU84" s="2567"/>
      <c r="TYV84" s="2567"/>
      <c r="TYW84" s="2567"/>
      <c r="TYX84" s="2567"/>
      <c r="TYY84" s="2567"/>
      <c r="TYZ84" s="2567"/>
      <c r="TZA84" s="2567"/>
      <c r="TZB84" s="2567"/>
      <c r="TZC84" s="2567"/>
      <c r="TZD84" s="2567"/>
      <c r="TZE84" s="2567"/>
      <c r="TZF84" s="2567"/>
      <c r="TZG84" s="2567"/>
      <c r="TZH84" s="2567"/>
      <c r="TZI84" s="2567"/>
      <c r="TZJ84" s="2567"/>
      <c r="TZK84" s="2567"/>
      <c r="TZL84" s="2567"/>
      <c r="TZM84" s="2567"/>
      <c r="TZN84" s="2567"/>
      <c r="TZO84" s="2567"/>
      <c r="TZP84" s="2567"/>
      <c r="TZQ84" s="2567"/>
      <c r="TZR84" s="2567"/>
      <c r="TZS84" s="2567"/>
      <c r="TZT84" s="2567"/>
      <c r="TZU84" s="2567"/>
      <c r="TZV84" s="2567"/>
      <c r="TZW84" s="2567"/>
      <c r="TZX84" s="2567"/>
      <c r="TZY84" s="2567"/>
      <c r="TZZ84" s="2567"/>
      <c r="UAA84" s="2567"/>
      <c r="UAB84" s="2567"/>
      <c r="UAC84" s="2567"/>
      <c r="UAD84" s="2567"/>
      <c r="UAE84" s="2567"/>
      <c r="UAF84" s="2567"/>
      <c r="UAG84" s="2567"/>
      <c r="UAH84" s="2567"/>
      <c r="UAI84" s="2567"/>
      <c r="UAJ84" s="2567"/>
      <c r="UAK84" s="2567"/>
      <c r="UAL84" s="2567"/>
      <c r="UAM84" s="2567"/>
      <c r="UAN84" s="2567"/>
      <c r="UAO84" s="2567"/>
      <c r="UAP84" s="2567"/>
      <c r="UAQ84" s="2567"/>
      <c r="UAR84" s="2567"/>
      <c r="UAS84" s="2567"/>
      <c r="UAT84" s="2567"/>
      <c r="UAU84" s="2567"/>
      <c r="UAV84" s="2567"/>
      <c r="UAW84" s="2567"/>
      <c r="UAX84" s="2567"/>
      <c r="UAY84" s="2567"/>
      <c r="UAZ84" s="2567"/>
      <c r="UBA84" s="2567"/>
      <c r="UBB84" s="2567"/>
      <c r="UBC84" s="2567"/>
      <c r="UBD84" s="2567"/>
      <c r="UBE84" s="2567"/>
      <c r="UBF84" s="2567"/>
      <c r="UBG84" s="2567"/>
      <c r="UBH84" s="2567"/>
      <c r="UBI84" s="2567"/>
      <c r="UBJ84" s="2567"/>
      <c r="UBK84" s="2567"/>
      <c r="UBL84" s="2567"/>
      <c r="UBM84" s="2567"/>
      <c r="UBN84" s="2567"/>
      <c r="UBO84" s="2567"/>
      <c r="UBP84" s="2567"/>
      <c r="UBQ84" s="2567"/>
      <c r="UBR84" s="2567"/>
      <c r="UBS84" s="2567"/>
      <c r="UBT84" s="2567"/>
      <c r="UBU84" s="2567"/>
      <c r="UBV84" s="2567"/>
      <c r="UBW84" s="2567"/>
      <c r="UBX84" s="2567"/>
      <c r="UBY84" s="2567"/>
      <c r="UBZ84" s="2567"/>
      <c r="UCA84" s="2567"/>
      <c r="UCB84" s="2567"/>
      <c r="UCC84" s="2567"/>
      <c r="UCD84" s="2567"/>
      <c r="UCE84" s="2567"/>
      <c r="UCF84" s="2567"/>
      <c r="UCG84" s="2567"/>
      <c r="UCH84" s="2567"/>
      <c r="UCI84" s="2567"/>
      <c r="UCJ84" s="2567"/>
      <c r="UCK84" s="2567"/>
      <c r="UCL84" s="2567"/>
      <c r="UCM84" s="2567"/>
      <c r="UCN84" s="2567"/>
      <c r="UCO84" s="2567"/>
      <c r="UCP84" s="2567"/>
      <c r="UCQ84" s="2567"/>
      <c r="UCR84" s="2567"/>
      <c r="UCS84" s="2567"/>
      <c r="UCT84" s="2567"/>
      <c r="UCU84" s="2567"/>
      <c r="UCV84" s="2567"/>
      <c r="UCW84" s="2567"/>
      <c r="UCX84" s="2567"/>
      <c r="UCY84" s="2567"/>
      <c r="UCZ84" s="2567"/>
      <c r="UDA84" s="2567"/>
      <c r="UDB84" s="2567"/>
      <c r="UDC84" s="2567"/>
      <c r="UDD84" s="2567"/>
      <c r="UDE84" s="2567"/>
      <c r="UDF84" s="2567"/>
      <c r="UDG84" s="2567"/>
      <c r="UDH84" s="2567"/>
      <c r="UDI84" s="2567"/>
      <c r="UDJ84" s="2567"/>
      <c r="UDK84" s="2567"/>
      <c r="UDL84" s="2567"/>
      <c r="UDM84" s="2567"/>
      <c r="UDN84" s="2567"/>
      <c r="UDO84" s="2567"/>
      <c r="UDP84" s="2567"/>
      <c r="UDQ84" s="2567"/>
      <c r="UDR84" s="2567"/>
      <c r="UDS84" s="2567"/>
      <c r="UDT84" s="2567"/>
      <c r="UDU84" s="2567"/>
      <c r="UDV84" s="2567"/>
      <c r="UDW84" s="2567"/>
      <c r="UDX84" s="2567"/>
      <c r="UDY84" s="2567"/>
      <c r="UDZ84" s="2567"/>
      <c r="UEA84" s="2567"/>
      <c r="UEB84" s="2567"/>
      <c r="UEC84" s="2567"/>
      <c r="UED84" s="2567"/>
      <c r="UEE84" s="2567"/>
      <c r="UEF84" s="2567"/>
      <c r="UEG84" s="2567"/>
      <c r="UEH84" s="2567"/>
      <c r="UEI84" s="2567"/>
      <c r="UEJ84" s="2567"/>
      <c r="UEK84" s="2567"/>
      <c r="UEL84" s="2567"/>
      <c r="UEM84" s="2567"/>
      <c r="UEN84" s="2567"/>
      <c r="UEO84" s="2567"/>
      <c r="UEP84" s="2567"/>
      <c r="UEQ84" s="2567"/>
      <c r="UER84" s="2567"/>
      <c r="UES84" s="2567"/>
      <c r="UET84" s="2567"/>
      <c r="UEU84" s="2567"/>
      <c r="UEV84" s="2567"/>
      <c r="UEW84" s="2567"/>
      <c r="UEX84" s="2567"/>
      <c r="UEY84" s="2567"/>
      <c r="UEZ84" s="2567"/>
      <c r="UFA84" s="2567"/>
      <c r="UFB84" s="2567"/>
      <c r="UFC84" s="2567"/>
      <c r="UFD84" s="2567"/>
      <c r="UFE84" s="2567"/>
      <c r="UFF84" s="2567"/>
      <c r="UFG84" s="2567"/>
      <c r="UFH84" s="2567"/>
      <c r="UFI84" s="2567"/>
      <c r="UFJ84" s="2567"/>
      <c r="UFK84" s="2567"/>
      <c r="UFL84" s="2567"/>
      <c r="UFM84" s="2567"/>
      <c r="UFN84" s="2567"/>
      <c r="UFO84" s="2567"/>
      <c r="UFP84" s="2567"/>
      <c r="UFQ84" s="2567"/>
      <c r="UFR84" s="2567"/>
      <c r="UFS84" s="2567"/>
      <c r="UFT84" s="2567"/>
      <c r="UFU84" s="2567"/>
      <c r="UFV84" s="2567"/>
      <c r="UFW84" s="2567"/>
      <c r="UFX84" s="2567"/>
      <c r="UFY84" s="2567"/>
      <c r="UFZ84" s="2567"/>
      <c r="UGA84" s="2567"/>
      <c r="UGB84" s="2567"/>
      <c r="UGC84" s="2567"/>
      <c r="UGD84" s="2567"/>
      <c r="UGE84" s="2567"/>
      <c r="UGF84" s="2567"/>
      <c r="UGG84" s="2567"/>
      <c r="UGH84" s="2567"/>
      <c r="UGI84" s="2567"/>
      <c r="UGJ84" s="2567"/>
      <c r="UGK84" s="2567"/>
      <c r="UGL84" s="2567"/>
      <c r="UGM84" s="2567"/>
      <c r="UGN84" s="2567"/>
      <c r="UGO84" s="2567"/>
      <c r="UGP84" s="2567"/>
      <c r="UGQ84" s="2567"/>
      <c r="UGR84" s="2567"/>
      <c r="UGS84" s="2567"/>
      <c r="UGT84" s="2567"/>
      <c r="UGU84" s="2567"/>
      <c r="UGV84" s="2567"/>
      <c r="UGW84" s="2567"/>
      <c r="UGX84" s="2567"/>
      <c r="UGY84" s="2567"/>
      <c r="UGZ84" s="2567"/>
      <c r="UHA84" s="2567"/>
      <c r="UHB84" s="2567"/>
      <c r="UHC84" s="2567"/>
      <c r="UHD84" s="2567"/>
      <c r="UHE84" s="2567"/>
      <c r="UHF84" s="2567"/>
      <c r="UHG84" s="2567"/>
      <c r="UHH84" s="2567"/>
      <c r="UHI84" s="2567"/>
      <c r="UHJ84" s="2567"/>
      <c r="UHK84" s="2567"/>
      <c r="UHL84" s="2567"/>
      <c r="UHM84" s="2567"/>
      <c r="UHN84" s="2567"/>
      <c r="UHO84" s="2567"/>
      <c r="UHP84" s="2567"/>
      <c r="UHQ84" s="2567"/>
      <c r="UHR84" s="2567"/>
      <c r="UHS84" s="2567"/>
      <c r="UHT84" s="2567"/>
      <c r="UHU84" s="2567"/>
      <c r="UHV84" s="2567"/>
      <c r="UHW84" s="2567"/>
      <c r="UHX84" s="2567"/>
      <c r="UHY84" s="2567"/>
      <c r="UHZ84" s="2567"/>
      <c r="UIA84" s="2567"/>
      <c r="UIB84" s="2567"/>
      <c r="UIC84" s="2567"/>
      <c r="UID84" s="2567"/>
      <c r="UIE84" s="2567"/>
      <c r="UIF84" s="2567"/>
      <c r="UIG84" s="2567"/>
      <c r="UIH84" s="2567"/>
      <c r="UII84" s="2567"/>
      <c r="UIJ84" s="2567"/>
      <c r="UIK84" s="2567"/>
      <c r="UIL84" s="2567"/>
      <c r="UIM84" s="2567"/>
      <c r="UIN84" s="2567"/>
      <c r="UIO84" s="2567"/>
      <c r="UIP84" s="2567"/>
      <c r="UIQ84" s="2567"/>
      <c r="UIR84" s="2567"/>
      <c r="UIS84" s="2567"/>
      <c r="UIT84" s="2567"/>
      <c r="UIU84" s="2567"/>
      <c r="UIV84" s="2567"/>
      <c r="UIW84" s="2567"/>
      <c r="UIX84" s="2567"/>
      <c r="UIY84" s="2567"/>
      <c r="UIZ84" s="2567"/>
      <c r="UJA84" s="2567"/>
      <c r="UJB84" s="2567"/>
      <c r="UJC84" s="2567"/>
      <c r="UJD84" s="2567"/>
      <c r="UJE84" s="2567"/>
      <c r="UJF84" s="2567"/>
      <c r="UJG84" s="2567"/>
      <c r="UJH84" s="2567"/>
      <c r="UJI84" s="2567"/>
      <c r="UJJ84" s="2567"/>
      <c r="UJK84" s="2567"/>
      <c r="UJL84" s="2567"/>
      <c r="UJM84" s="2567"/>
      <c r="UJN84" s="2567"/>
      <c r="UJO84" s="2567"/>
      <c r="UJP84" s="2567"/>
      <c r="UJQ84" s="2567"/>
      <c r="UJR84" s="2567"/>
      <c r="UJS84" s="2567"/>
      <c r="UJT84" s="2567"/>
      <c r="UJU84" s="2567"/>
      <c r="UJV84" s="2567"/>
      <c r="UJW84" s="2567"/>
      <c r="UJX84" s="2567"/>
      <c r="UJY84" s="2567"/>
      <c r="UJZ84" s="2567"/>
      <c r="UKA84" s="2567"/>
      <c r="UKB84" s="2567"/>
      <c r="UKC84" s="2567"/>
      <c r="UKD84" s="2567"/>
      <c r="UKE84" s="2567"/>
      <c r="UKF84" s="2567"/>
      <c r="UKG84" s="2567"/>
      <c r="UKH84" s="2567"/>
      <c r="UKI84" s="2567"/>
      <c r="UKJ84" s="2567"/>
      <c r="UKK84" s="2567"/>
      <c r="UKL84" s="2567"/>
      <c r="UKM84" s="2567"/>
      <c r="UKN84" s="2567"/>
      <c r="UKO84" s="2567"/>
      <c r="UKP84" s="2567"/>
      <c r="UKQ84" s="2567"/>
      <c r="UKR84" s="2567"/>
      <c r="UKS84" s="2567"/>
      <c r="UKT84" s="2567"/>
      <c r="UKU84" s="2567"/>
      <c r="UKV84" s="2567"/>
      <c r="UKW84" s="2567"/>
      <c r="UKX84" s="2567"/>
      <c r="UKY84" s="2567"/>
      <c r="UKZ84" s="2567"/>
      <c r="ULA84" s="2567"/>
      <c r="ULB84" s="2567"/>
      <c r="ULC84" s="2567"/>
      <c r="ULD84" s="2567"/>
      <c r="ULE84" s="2567"/>
      <c r="ULF84" s="2567"/>
      <c r="ULG84" s="2567"/>
      <c r="ULH84" s="2567"/>
      <c r="ULI84" s="2567"/>
      <c r="ULJ84" s="2567"/>
      <c r="ULK84" s="2567"/>
      <c r="ULL84" s="2567"/>
      <c r="ULM84" s="2567"/>
      <c r="ULN84" s="2567"/>
      <c r="ULO84" s="2567"/>
      <c r="ULP84" s="2567"/>
      <c r="ULQ84" s="2567"/>
      <c r="ULR84" s="2567"/>
      <c r="ULS84" s="2567"/>
      <c r="ULT84" s="2567"/>
      <c r="ULU84" s="2567"/>
      <c r="ULV84" s="2567"/>
      <c r="ULW84" s="2567"/>
      <c r="ULX84" s="2567"/>
      <c r="ULY84" s="2567"/>
      <c r="ULZ84" s="2567"/>
      <c r="UMA84" s="2567"/>
      <c r="UMB84" s="2567"/>
      <c r="UMC84" s="2567"/>
      <c r="UMD84" s="2567"/>
      <c r="UME84" s="2567"/>
      <c r="UMF84" s="2567"/>
      <c r="UMG84" s="2567"/>
      <c r="UMH84" s="2567"/>
      <c r="UMI84" s="2567"/>
      <c r="UMJ84" s="2567"/>
      <c r="UMK84" s="2567"/>
      <c r="UML84" s="2567"/>
      <c r="UMM84" s="2567"/>
      <c r="UMN84" s="2567"/>
      <c r="UMO84" s="2567"/>
      <c r="UMP84" s="2567"/>
      <c r="UMQ84" s="2567"/>
      <c r="UMR84" s="2567"/>
      <c r="UMS84" s="2567"/>
      <c r="UMT84" s="2567"/>
      <c r="UMU84" s="2567"/>
      <c r="UMV84" s="2567"/>
      <c r="UMW84" s="2567"/>
      <c r="UMX84" s="2567"/>
      <c r="UMY84" s="2567"/>
      <c r="UMZ84" s="2567"/>
      <c r="UNA84" s="2567"/>
      <c r="UNB84" s="2567"/>
      <c r="UNC84" s="2567"/>
      <c r="UND84" s="2567"/>
      <c r="UNE84" s="2567"/>
      <c r="UNF84" s="2567"/>
      <c r="UNG84" s="2567"/>
      <c r="UNH84" s="2567"/>
      <c r="UNI84" s="2567"/>
      <c r="UNJ84" s="2567"/>
      <c r="UNK84" s="2567"/>
      <c r="UNL84" s="2567"/>
      <c r="UNM84" s="2567"/>
      <c r="UNN84" s="2567"/>
      <c r="UNO84" s="2567"/>
      <c r="UNP84" s="2567"/>
      <c r="UNQ84" s="2567"/>
      <c r="UNR84" s="2567"/>
      <c r="UNS84" s="2567"/>
      <c r="UNT84" s="2567"/>
      <c r="UNU84" s="2567"/>
      <c r="UNV84" s="2567"/>
      <c r="UNW84" s="2567"/>
      <c r="UNX84" s="2567"/>
      <c r="UNY84" s="2567"/>
      <c r="UNZ84" s="2567"/>
      <c r="UOA84" s="2567"/>
      <c r="UOB84" s="2567"/>
      <c r="UOC84" s="2567"/>
      <c r="UOD84" s="2567"/>
      <c r="UOE84" s="2567"/>
      <c r="UOF84" s="2567"/>
      <c r="UOG84" s="2567"/>
      <c r="UOH84" s="2567"/>
      <c r="UOI84" s="2567"/>
      <c r="UOJ84" s="2567"/>
      <c r="UOK84" s="2567"/>
      <c r="UOL84" s="2567"/>
      <c r="UOM84" s="2567"/>
      <c r="UON84" s="2567"/>
      <c r="UOO84" s="2567"/>
      <c r="UOP84" s="2567"/>
      <c r="UOQ84" s="2567"/>
      <c r="UOR84" s="2567"/>
      <c r="UOS84" s="2567"/>
      <c r="UOT84" s="2567"/>
      <c r="UOU84" s="2567"/>
      <c r="UOV84" s="2567"/>
      <c r="UOW84" s="2567"/>
      <c r="UOX84" s="2567"/>
      <c r="UOY84" s="2567"/>
      <c r="UOZ84" s="2567"/>
      <c r="UPA84" s="2567"/>
      <c r="UPB84" s="2567"/>
      <c r="UPC84" s="2567"/>
      <c r="UPD84" s="2567"/>
      <c r="UPE84" s="2567"/>
      <c r="UPF84" s="2567"/>
      <c r="UPG84" s="2567"/>
      <c r="UPH84" s="2567"/>
      <c r="UPI84" s="2567"/>
      <c r="UPJ84" s="2567"/>
      <c r="UPK84" s="2567"/>
      <c r="UPL84" s="2567"/>
      <c r="UPM84" s="2567"/>
      <c r="UPN84" s="2567"/>
      <c r="UPO84" s="2567"/>
      <c r="UPP84" s="2567"/>
      <c r="UPQ84" s="2567"/>
      <c r="UPR84" s="2567"/>
      <c r="UPS84" s="2567"/>
      <c r="UPT84" s="2567"/>
      <c r="UPU84" s="2567"/>
      <c r="UPV84" s="2567"/>
      <c r="UPW84" s="2567"/>
      <c r="UPX84" s="2567"/>
      <c r="UPY84" s="2567"/>
      <c r="UPZ84" s="2567"/>
      <c r="UQA84" s="2567"/>
      <c r="UQB84" s="2567"/>
      <c r="UQC84" s="2567"/>
      <c r="UQD84" s="2567"/>
      <c r="UQE84" s="2567"/>
      <c r="UQF84" s="2567"/>
      <c r="UQG84" s="2567"/>
      <c r="UQH84" s="2567"/>
      <c r="UQI84" s="2567"/>
      <c r="UQJ84" s="2567"/>
      <c r="UQK84" s="2567"/>
      <c r="UQL84" s="2567"/>
      <c r="UQM84" s="2567"/>
      <c r="UQN84" s="2567"/>
      <c r="UQO84" s="2567"/>
      <c r="UQP84" s="2567"/>
      <c r="UQQ84" s="2567"/>
      <c r="UQR84" s="2567"/>
      <c r="UQS84" s="2567"/>
      <c r="UQT84" s="2567"/>
      <c r="UQU84" s="2567"/>
      <c r="UQV84" s="2567"/>
      <c r="UQW84" s="2567"/>
      <c r="UQX84" s="2567"/>
      <c r="UQY84" s="2567"/>
      <c r="UQZ84" s="2567"/>
      <c r="URA84" s="2567"/>
      <c r="URB84" s="2567"/>
      <c r="URC84" s="2567"/>
      <c r="URD84" s="2567"/>
      <c r="URE84" s="2567"/>
      <c r="URF84" s="2567"/>
      <c r="URG84" s="2567"/>
      <c r="URH84" s="2567"/>
      <c r="URI84" s="2567"/>
      <c r="URJ84" s="2567"/>
      <c r="URK84" s="2567"/>
      <c r="URL84" s="2567"/>
      <c r="URM84" s="2567"/>
      <c r="URN84" s="2567"/>
      <c r="URO84" s="2567"/>
      <c r="URP84" s="2567"/>
      <c r="URQ84" s="2567"/>
      <c r="URR84" s="2567"/>
      <c r="URS84" s="2567"/>
      <c r="URT84" s="2567"/>
      <c r="URU84" s="2567"/>
      <c r="URV84" s="2567"/>
      <c r="URW84" s="2567"/>
      <c r="URX84" s="2567"/>
      <c r="URY84" s="2567"/>
      <c r="URZ84" s="2567"/>
      <c r="USA84" s="2567"/>
      <c r="USB84" s="2567"/>
      <c r="USC84" s="2567"/>
      <c r="USD84" s="2567"/>
      <c r="USE84" s="2567"/>
      <c r="USF84" s="2567"/>
      <c r="USG84" s="2567"/>
      <c r="USH84" s="2567"/>
      <c r="USI84" s="2567"/>
      <c r="USJ84" s="2567"/>
      <c r="USK84" s="2567"/>
      <c r="USL84" s="2567"/>
      <c r="USM84" s="2567"/>
      <c r="USN84" s="2567"/>
      <c r="USO84" s="2567"/>
      <c r="USP84" s="2567"/>
      <c r="USQ84" s="2567"/>
      <c r="USR84" s="2567"/>
      <c r="USS84" s="2567"/>
      <c r="UST84" s="2567"/>
      <c r="USU84" s="2567"/>
      <c r="USV84" s="2567"/>
      <c r="USW84" s="2567"/>
      <c r="USX84" s="2567"/>
      <c r="USY84" s="2567"/>
      <c r="USZ84" s="2567"/>
      <c r="UTA84" s="2567"/>
      <c r="UTB84" s="2567"/>
      <c r="UTC84" s="2567"/>
      <c r="UTD84" s="2567"/>
      <c r="UTE84" s="2567"/>
      <c r="UTF84" s="2567"/>
      <c r="UTG84" s="2567"/>
      <c r="UTH84" s="2567"/>
      <c r="UTI84" s="2567"/>
      <c r="UTJ84" s="2567"/>
      <c r="UTK84" s="2567"/>
      <c r="UTL84" s="2567"/>
      <c r="UTM84" s="2567"/>
      <c r="UTN84" s="2567"/>
      <c r="UTO84" s="2567"/>
      <c r="UTP84" s="2567"/>
      <c r="UTQ84" s="2567"/>
      <c r="UTR84" s="2567"/>
      <c r="UTS84" s="2567"/>
      <c r="UTT84" s="2567"/>
      <c r="UTU84" s="2567"/>
      <c r="UTV84" s="2567"/>
      <c r="UTW84" s="2567"/>
      <c r="UTX84" s="2567"/>
      <c r="UTY84" s="2567"/>
      <c r="UTZ84" s="2567"/>
      <c r="UUA84" s="2567"/>
      <c r="UUB84" s="2567"/>
      <c r="UUC84" s="2567"/>
      <c r="UUD84" s="2567"/>
      <c r="UUE84" s="2567"/>
      <c r="UUF84" s="2567"/>
      <c r="UUG84" s="2567"/>
      <c r="UUH84" s="2567"/>
      <c r="UUI84" s="2567"/>
      <c r="UUJ84" s="2567"/>
      <c r="UUK84" s="2567"/>
      <c r="UUL84" s="2567"/>
      <c r="UUM84" s="2567"/>
      <c r="UUN84" s="2567"/>
      <c r="UUO84" s="2567"/>
      <c r="UUP84" s="2567"/>
      <c r="UUQ84" s="2567"/>
      <c r="UUR84" s="2567"/>
      <c r="UUS84" s="2567"/>
      <c r="UUT84" s="2567"/>
      <c r="UUU84" s="2567"/>
      <c r="UUV84" s="2567"/>
      <c r="UUW84" s="2567"/>
      <c r="UUX84" s="2567"/>
      <c r="UUY84" s="2567"/>
      <c r="UUZ84" s="2567"/>
      <c r="UVA84" s="2567"/>
      <c r="UVB84" s="2567"/>
      <c r="UVC84" s="2567"/>
      <c r="UVD84" s="2567"/>
      <c r="UVE84" s="2567"/>
      <c r="UVF84" s="2567"/>
      <c r="UVG84" s="2567"/>
      <c r="UVH84" s="2567"/>
      <c r="UVI84" s="2567"/>
      <c r="UVJ84" s="2567"/>
      <c r="UVK84" s="2567"/>
      <c r="UVL84" s="2567"/>
      <c r="UVM84" s="2567"/>
      <c r="UVN84" s="2567"/>
      <c r="UVO84" s="2567"/>
      <c r="UVP84" s="2567"/>
      <c r="UVQ84" s="2567"/>
      <c r="UVR84" s="2567"/>
      <c r="UVS84" s="2567"/>
      <c r="UVT84" s="2567"/>
      <c r="UVU84" s="2567"/>
      <c r="UVV84" s="2567"/>
      <c r="UVW84" s="2567"/>
      <c r="UVX84" s="2567"/>
      <c r="UVY84" s="2567"/>
      <c r="UVZ84" s="2567"/>
      <c r="UWA84" s="2567"/>
      <c r="UWB84" s="2567"/>
      <c r="UWC84" s="2567"/>
      <c r="UWD84" s="2567"/>
      <c r="UWE84" s="2567"/>
      <c r="UWF84" s="2567"/>
      <c r="UWG84" s="2567"/>
      <c r="UWH84" s="2567"/>
      <c r="UWI84" s="2567"/>
      <c r="UWJ84" s="2567"/>
      <c r="UWK84" s="2567"/>
      <c r="UWL84" s="2567"/>
      <c r="UWM84" s="2567"/>
      <c r="UWN84" s="2567"/>
      <c r="UWO84" s="2567"/>
      <c r="UWP84" s="2567"/>
      <c r="UWQ84" s="2567"/>
      <c r="UWR84" s="2567"/>
      <c r="UWS84" s="2567"/>
      <c r="UWT84" s="2567"/>
      <c r="UWU84" s="2567"/>
      <c r="UWV84" s="2567"/>
      <c r="UWW84" s="2567"/>
      <c r="UWX84" s="2567"/>
      <c r="UWY84" s="2567"/>
      <c r="UWZ84" s="2567"/>
      <c r="UXA84" s="2567"/>
      <c r="UXB84" s="2567"/>
      <c r="UXC84" s="2567"/>
      <c r="UXD84" s="2567"/>
      <c r="UXE84" s="2567"/>
      <c r="UXF84" s="2567"/>
      <c r="UXG84" s="2567"/>
      <c r="UXH84" s="2567"/>
      <c r="UXI84" s="2567"/>
      <c r="UXJ84" s="2567"/>
      <c r="UXK84" s="2567"/>
      <c r="UXL84" s="2567"/>
      <c r="UXM84" s="2567"/>
      <c r="UXN84" s="2567"/>
      <c r="UXO84" s="2567"/>
      <c r="UXP84" s="2567"/>
      <c r="UXQ84" s="2567"/>
      <c r="UXR84" s="2567"/>
      <c r="UXS84" s="2567"/>
      <c r="UXT84" s="2567"/>
      <c r="UXU84" s="2567"/>
      <c r="UXV84" s="2567"/>
      <c r="UXW84" s="2567"/>
      <c r="UXX84" s="2567"/>
      <c r="UXY84" s="2567"/>
      <c r="UXZ84" s="2567"/>
      <c r="UYA84" s="2567"/>
      <c r="UYB84" s="2567"/>
      <c r="UYC84" s="2567"/>
      <c r="UYD84" s="2567"/>
      <c r="UYE84" s="2567"/>
      <c r="UYF84" s="2567"/>
      <c r="UYG84" s="2567"/>
      <c r="UYH84" s="2567"/>
      <c r="UYI84" s="2567"/>
      <c r="UYJ84" s="2567"/>
      <c r="UYK84" s="2567"/>
      <c r="UYL84" s="2567"/>
      <c r="UYM84" s="2567"/>
      <c r="UYN84" s="2567"/>
      <c r="UYO84" s="2567"/>
      <c r="UYP84" s="2567"/>
      <c r="UYQ84" s="2567"/>
      <c r="UYR84" s="2567"/>
      <c r="UYS84" s="2567"/>
      <c r="UYT84" s="2567"/>
      <c r="UYU84" s="2567"/>
      <c r="UYV84" s="2567"/>
      <c r="UYW84" s="2567"/>
      <c r="UYX84" s="2567"/>
      <c r="UYY84" s="2567"/>
      <c r="UYZ84" s="2567"/>
      <c r="UZA84" s="2567"/>
      <c r="UZB84" s="2567"/>
      <c r="UZC84" s="2567"/>
      <c r="UZD84" s="2567"/>
      <c r="UZE84" s="2567"/>
      <c r="UZF84" s="2567"/>
      <c r="UZG84" s="2567"/>
      <c r="UZH84" s="2567"/>
      <c r="UZI84" s="2567"/>
      <c r="UZJ84" s="2567"/>
      <c r="UZK84" s="2567"/>
      <c r="UZL84" s="2567"/>
      <c r="UZM84" s="2567"/>
      <c r="UZN84" s="2567"/>
      <c r="UZO84" s="2567"/>
      <c r="UZP84" s="2567"/>
      <c r="UZQ84" s="2567"/>
      <c r="UZR84" s="2567"/>
      <c r="UZS84" s="2567"/>
      <c r="UZT84" s="2567"/>
      <c r="UZU84" s="2567"/>
      <c r="UZV84" s="2567"/>
      <c r="UZW84" s="2567"/>
      <c r="UZX84" s="2567"/>
      <c r="UZY84" s="2567"/>
      <c r="UZZ84" s="2567"/>
      <c r="VAA84" s="2567"/>
      <c r="VAB84" s="2567"/>
      <c r="VAC84" s="2567"/>
      <c r="VAD84" s="2567"/>
      <c r="VAE84" s="2567"/>
      <c r="VAF84" s="2567"/>
      <c r="VAG84" s="2567"/>
      <c r="VAH84" s="2567"/>
      <c r="VAI84" s="2567"/>
      <c r="VAJ84" s="2567"/>
      <c r="VAK84" s="2567"/>
      <c r="VAL84" s="2567"/>
      <c r="VAM84" s="2567"/>
      <c r="VAN84" s="2567"/>
      <c r="VAO84" s="2567"/>
      <c r="VAP84" s="2567"/>
      <c r="VAQ84" s="2567"/>
      <c r="VAR84" s="2567"/>
      <c r="VAS84" s="2567"/>
      <c r="VAT84" s="2567"/>
      <c r="VAU84" s="2567"/>
      <c r="VAV84" s="2567"/>
      <c r="VAW84" s="2567"/>
      <c r="VAX84" s="2567"/>
      <c r="VAY84" s="2567"/>
      <c r="VAZ84" s="2567"/>
      <c r="VBA84" s="2567"/>
      <c r="VBB84" s="2567"/>
      <c r="VBC84" s="2567"/>
      <c r="VBD84" s="2567"/>
      <c r="VBE84" s="2567"/>
      <c r="VBF84" s="2567"/>
      <c r="VBG84" s="2567"/>
      <c r="VBH84" s="2567"/>
      <c r="VBI84" s="2567"/>
      <c r="VBJ84" s="2567"/>
      <c r="VBK84" s="2567"/>
      <c r="VBL84" s="2567"/>
      <c r="VBM84" s="2567"/>
      <c r="VBN84" s="2567"/>
      <c r="VBO84" s="2567"/>
      <c r="VBP84" s="2567"/>
      <c r="VBQ84" s="2567"/>
      <c r="VBR84" s="2567"/>
      <c r="VBS84" s="2567"/>
      <c r="VBT84" s="2567"/>
      <c r="VBU84" s="2567"/>
      <c r="VBV84" s="2567"/>
      <c r="VBW84" s="2567"/>
      <c r="VBX84" s="2567"/>
      <c r="VBY84" s="2567"/>
      <c r="VBZ84" s="2567"/>
      <c r="VCA84" s="2567"/>
      <c r="VCB84" s="2567"/>
      <c r="VCC84" s="2567"/>
      <c r="VCD84" s="2567"/>
      <c r="VCE84" s="2567"/>
      <c r="VCF84" s="2567"/>
      <c r="VCG84" s="2567"/>
      <c r="VCH84" s="2567"/>
      <c r="VCI84" s="2567"/>
      <c r="VCJ84" s="2567"/>
      <c r="VCK84" s="2567"/>
      <c r="VCL84" s="2567"/>
      <c r="VCM84" s="2567"/>
      <c r="VCN84" s="2567"/>
      <c r="VCO84" s="2567"/>
      <c r="VCP84" s="2567"/>
      <c r="VCQ84" s="2567"/>
      <c r="VCR84" s="2567"/>
      <c r="VCS84" s="2567"/>
      <c r="VCT84" s="2567"/>
      <c r="VCU84" s="2567"/>
      <c r="VCV84" s="2567"/>
      <c r="VCW84" s="2567"/>
      <c r="VCX84" s="2567"/>
      <c r="VCY84" s="2567"/>
      <c r="VCZ84" s="2567"/>
      <c r="VDA84" s="2567"/>
      <c r="VDB84" s="2567"/>
      <c r="VDC84" s="2567"/>
      <c r="VDD84" s="2567"/>
      <c r="VDE84" s="2567"/>
      <c r="VDF84" s="2567"/>
      <c r="VDG84" s="2567"/>
      <c r="VDH84" s="2567"/>
      <c r="VDI84" s="2567"/>
      <c r="VDJ84" s="2567"/>
      <c r="VDK84" s="2567"/>
      <c r="VDL84" s="2567"/>
      <c r="VDM84" s="2567"/>
      <c r="VDN84" s="2567"/>
      <c r="VDO84" s="2567"/>
      <c r="VDP84" s="2567"/>
      <c r="VDQ84" s="2567"/>
      <c r="VDR84" s="2567"/>
      <c r="VDS84" s="2567"/>
      <c r="VDT84" s="2567"/>
      <c r="VDU84" s="2567"/>
      <c r="VDV84" s="2567"/>
      <c r="VDW84" s="2567"/>
      <c r="VDX84" s="2567"/>
      <c r="VDY84" s="2567"/>
      <c r="VDZ84" s="2567"/>
      <c r="VEA84" s="2567"/>
      <c r="VEB84" s="2567"/>
      <c r="VEC84" s="2567"/>
      <c r="VED84" s="2567"/>
      <c r="VEE84" s="2567"/>
      <c r="VEF84" s="2567"/>
      <c r="VEG84" s="2567"/>
      <c r="VEH84" s="2567"/>
      <c r="VEI84" s="2567"/>
      <c r="VEJ84" s="2567"/>
      <c r="VEK84" s="2567"/>
      <c r="VEL84" s="2567"/>
      <c r="VEM84" s="2567"/>
      <c r="VEN84" s="2567"/>
      <c r="VEO84" s="2567"/>
      <c r="VEP84" s="2567"/>
      <c r="VEQ84" s="2567"/>
      <c r="VER84" s="2567"/>
      <c r="VES84" s="2567"/>
      <c r="VET84" s="2567"/>
      <c r="VEU84" s="2567"/>
      <c r="VEV84" s="2567"/>
      <c r="VEW84" s="2567"/>
      <c r="VEX84" s="2567"/>
      <c r="VEY84" s="2567"/>
      <c r="VEZ84" s="2567"/>
      <c r="VFA84" s="2567"/>
      <c r="VFB84" s="2567"/>
      <c r="VFC84" s="2567"/>
      <c r="VFD84" s="2567"/>
      <c r="VFE84" s="2567"/>
      <c r="VFF84" s="2567"/>
      <c r="VFG84" s="2567"/>
      <c r="VFH84" s="2567"/>
      <c r="VFI84" s="2567"/>
      <c r="VFJ84" s="2567"/>
      <c r="VFK84" s="2567"/>
      <c r="VFL84" s="2567"/>
      <c r="VFM84" s="2567"/>
      <c r="VFN84" s="2567"/>
      <c r="VFO84" s="2567"/>
      <c r="VFP84" s="2567"/>
      <c r="VFQ84" s="2567"/>
      <c r="VFR84" s="2567"/>
      <c r="VFS84" s="2567"/>
      <c r="VFT84" s="2567"/>
      <c r="VFU84" s="2567"/>
      <c r="VFV84" s="2567"/>
      <c r="VFW84" s="2567"/>
      <c r="VFX84" s="2567"/>
      <c r="VFY84" s="2567"/>
      <c r="VFZ84" s="2567"/>
      <c r="VGA84" s="2567"/>
      <c r="VGB84" s="2567"/>
      <c r="VGC84" s="2567"/>
      <c r="VGD84" s="2567"/>
      <c r="VGE84" s="2567"/>
      <c r="VGF84" s="2567"/>
      <c r="VGG84" s="2567"/>
      <c r="VGH84" s="2567"/>
      <c r="VGI84" s="2567"/>
      <c r="VGJ84" s="2567"/>
      <c r="VGK84" s="2567"/>
      <c r="VGL84" s="2567"/>
      <c r="VGM84" s="2567"/>
      <c r="VGN84" s="2567"/>
      <c r="VGO84" s="2567"/>
      <c r="VGP84" s="2567"/>
      <c r="VGQ84" s="2567"/>
      <c r="VGR84" s="2567"/>
      <c r="VGS84" s="2567"/>
      <c r="VGT84" s="2567"/>
      <c r="VGU84" s="2567"/>
      <c r="VGV84" s="2567"/>
      <c r="VGW84" s="2567"/>
      <c r="VGX84" s="2567"/>
      <c r="VGY84" s="2567"/>
      <c r="VGZ84" s="2567"/>
      <c r="VHA84" s="2567"/>
      <c r="VHB84" s="2567"/>
      <c r="VHC84" s="2567"/>
      <c r="VHD84" s="2567"/>
      <c r="VHE84" s="2567"/>
      <c r="VHF84" s="2567"/>
      <c r="VHG84" s="2567"/>
      <c r="VHH84" s="2567"/>
      <c r="VHI84" s="2567"/>
      <c r="VHJ84" s="2567"/>
      <c r="VHK84" s="2567"/>
      <c r="VHL84" s="2567"/>
      <c r="VHM84" s="2567"/>
      <c r="VHN84" s="2567"/>
      <c r="VHO84" s="2567"/>
      <c r="VHP84" s="2567"/>
      <c r="VHQ84" s="2567"/>
      <c r="VHR84" s="2567"/>
      <c r="VHS84" s="2567"/>
      <c r="VHT84" s="2567"/>
      <c r="VHU84" s="2567"/>
      <c r="VHV84" s="2567"/>
      <c r="VHW84" s="2567"/>
      <c r="VHX84" s="2567"/>
      <c r="VHY84" s="2567"/>
      <c r="VHZ84" s="2567"/>
      <c r="VIA84" s="2567"/>
      <c r="VIB84" s="2567"/>
      <c r="VIC84" s="2567"/>
      <c r="VID84" s="2567"/>
      <c r="VIE84" s="2567"/>
      <c r="VIF84" s="2567"/>
      <c r="VIG84" s="2567"/>
      <c r="VIH84" s="2567"/>
      <c r="VII84" s="2567"/>
      <c r="VIJ84" s="2567"/>
      <c r="VIK84" s="2567"/>
      <c r="VIL84" s="2567"/>
      <c r="VIM84" s="2567"/>
      <c r="VIN84" s="2567"/>
      <c r="VIO84" s="2567"/>
      <c r="VIP84" s="2567"/>
      <c r="VIQ84" s="2567"/>
      <c r="VIR84" s="2567"/>
      <c r="VIS84" s="2567"/>
      <c r="VIT84" s="2567"/>
      <c r="VIU84" s="2567"/>
      <c r="VIV84" s="2567"/>
      <c r="VIW84" s="2567"/>
      <c r="VIX84" s="2567"/>
      <c r="VIY84" s="2567"/>
      <c r="VIZ84" s="2567"/>
      <c r="VJA84" s="2567"/>
      <c r="VJB84" s="2567"/>
      <c r="VJC84" s="2567"/>
      <c r="VJD84" s="2567"/>
      <c r="VJE84" s="2567"/>
      <c r="VJF84" s="2567"/>
      <c r="VJG84" s="2567"/>
      <c r="VJH84" s="2567"/>
      <c r="VJI84" s="2567"/>
      <c r="VJJ84" s="2567"/>
      <c r="VJK84" s="2567"/>
      <c r="VJL84" s="2567"/>
      <c r="VJM84" s="2567"/>
      <c r="VJN84" s="2567"/>
      <c r="VJO84" s="2567"/>
      <c r="VJP84" s="2567"/>
      <c r="VJQ84" s="2567"/>
      <c r="VJR84" s="2567"/>
      <c r="VJS84" s="2567"/>
      <c r="VJT84" s="2567"/>
      <c r="VJU84" s="2567"/>
      <c r="VJV84" s="2567"/>
      <c r="VJW84" s="2567"/>
      <c r="VJX84" s="2567"/>
      <c r="VJY84" s="2567"/>
      <c r="VJZ84" s="2567"/>
      <c r="VKA84" s="2567"/>
      <c r="VKB84" s="2567"/>
      <c r="VKC84" s="2567"/>
      <c r="VKD84" s="2567"/>
      <c r="VKE84" s="2567"/>
      <c r="VKF84" s="2567"/>
      <c r="VKG84" s="2567"/>
      <c r="VKH84" s="2567"/>
      <c r="VKI84" s="2567"/>
      <c r="VKJ84" s="2567"/>
      <c r="VKK84" s="2567"/>
      <c r="VKL84" s="2567"/>
      <c r="VKM84" s="2567"/>
      <c r="VKN84" s="2567"/>
      <c r="VKO84" s="2567"/>
      <c r="VKP84" s="2567"/>
      <c r="VKQ84" s="2567"/>
      <c r="VKR84" s="2567"/>
      <c r="VKS84" s="2567"/>
      <c r="VKT84" s="2567"/>
      <c r="VKU84" s="2567"/>
      <c r="VKV84" s="2567"/>
      <c r="VKW84" s="2567"/>
      <c r="VKX84" s="2567"/>
      <c r="VKY84" s="2567"/>
      <c r="VKZ84" s="2567"/>
      <c r="VLA84" s="2567"/>
      <c r="VLB84" s="2567"/>
      <c r="VLC84" s="2567"/>
      <c r="VLD84" s="2567"/>
      <c r="VLE84" s="2567"/>
      <c r="VLF84" s="2567"/>
      <c r="VLG84" s="2567"/>
      <c r="VLH84" s="2567"/>
      <c r="VLI84" s="2567"/>
      <c r="VLJ84" s="2567"/>
      <c r="VLK84" s="2567"/>
      <c r="VLL84" s="2567"/>
      <c r="VLM84" s="2567"/>
      <c r="VLN84" s="2567"/>
      <c r="VLO84" s="2567"/>
      <c r="VLP84" s="2567"/>
      <c r="VLQ84" s="2567"/>
      <c r="VLR84" s="2567"/>
      <c r="VLS84" s="2567"/>
      <c r="VLT84" s="2567"/>
      <c r="VLU84" s="2567"/>
      <c r="VLV84" s="2567"/>
      <c r="VLW84" s="2567"/>
      <c r="VLX84" s="2567"/>
      <c r="VLY84" s="2567"/>
      <c r="VLZ84" s="2567"/>
      <c r="VMA84" s="2567"/>
      <c r="VMB84" s="2567"/>
      <c r="VMC84" s="2567"/>
      <c r="VMD84" s="2567"/>
      <c r="VME84" s="2567"/>
      <c r="VMF84" s="2567"/>
      <c r="VMG84" s="2567"/>
      <c r="VMH84" s="2567"/>
      <c r="VMI84" s="2567"/>
      <c r="VMJ84" s="2567"/>
      <c r="VMK84" s="2567"/>
      <c r="VML84" s="2567"/>
      <c r="VMM84" s="2567"/>
      <c r="VMN84" s="2567"/>
      <c r="VMO84" s="2567"/>
      <c r="VMP84" s="2567"/>
      <c r="VMQ84" s="2567"/>
      <c r="VMR84" s="2567"/>
      <c r="VMS84" s="2567"/>
      <c r="VMT84" s="2567"/>
      <c r="VMU84" s="2567"/>
      <c r="VMV84" s="2567"/>
      <c r="VMW84" s="2567"/>
      <c r="VMX84" s="2567"/>
      <c r="VMY84" s="2567"/>
      <c r="VMZ84" s="2567"/>
      <c r="VNA84" s="2567"/>
      <c r="VNB84" s="2567"/>
      <c r="VNC84" s="2567"/>
      <c r="VND84" s="2567"/>
      <c r="VNE84" s="2567"/>
      <c r="VNF84" s="2567"/>
      <c r="VNG84" s="2567"/>
      <c r="VNH84" s="2567"/>
      <c r="VNI84" s="2567"/>
      <c r="VNJ84" s="2567"/>
      <c r="VNK84" s="2567"/>
      <c r="VNL84" s="2567"/>
      <c r="VNM84" s="2567"/>
      <c r="VNN84" s="2567"/>
      <c r="VNO84" s="2567"/>
      <c r="VNP84" s="2567"/>
      <c r="VNQ84" s="2567"/>
      <c r="VNR84" s="2567"/>
      <c r="VNS84" s="2567"/>
      <c r="VNT84" s="2567"/>
      <c r="VNU84" s="2567"/>
      <c r="VNV84" s="2567"/>
      <c r="VNW84" s="2567"/>
      <c r="VNX84" s="2567"/>
      <c r="VNY84" s="2567"/>
      <c r="VNZ84" s="2567"/>
      <c r="VOA84" s="2567"/>
      <c r="VOB84" s="2567"/>
      <c r="VOC84" s="2567"/>
      <c r="VOD84" s="2567"/>
      <c r="VOE84" s="2567"/>
      <c r="VOF84" s="2567"/>
      <c r="VOG84" s="2567"/>
      <c r="VOH84" s="2567"/>
      <c r="VOI84" s="2567"/>
      <c r="VOJ84" s="2567"/>
      <c r="VOK84" s="2567"/>
      <c r="VOL84" s="2567"/>
      <c r="VOM84" s="2567"/>
      <c r="VON84" s="2567"/>
      <c r="VOO84" s="2567"/>
      <c r="VOP84" s="2567"/>
      <c r="VOQ84" s="2567"/>
      <c r="VOR84" s="2567"/>
      <c r="VOS84" s="2567"/>
      <c r="VOT84" s="2567"/>
      <c r="VOU84" s="2567"/>
      <c r="VOV84" s="2567"/>
      <c r="VOW84" s="2567"/>
      <c r="VOX84" s="2567"/>
      <c r="VOY84" s="2567"/>
      <c r="VOZ84" s="2567"/>
      <c r="VPA84" s="2567"/>
      <c r="VPB84" s="2567"/>
      <c r="VPC84" s="2567"/>
      <c r="VPD84" s="2567"/>
      <c r="VPE84" s="2567"/>
      <c r="VPF84" s="2567"/>
      <c r="VPG84" s="2567"/>
      <c r="VPH84" s="2567"/>
      <c r="VPI84" s="2567"/>
      <c r="VPJ84" s="2567"/>
      <c r="VPK84" s="2567"/>
      <c r="VPL84" s="2567"/>
      <c r="VPM84" s="2567"/>
      <c r="VPN84" s="2567"/>
      <c r="VPO84" s="2567"/>
      <c r="VPP84" s="2567"/>
      <c r="VPQ84" s="2567"/>
      <c r="VPR84" s="2567"/>
      <c r="VPS84" s="2567"/>
      <c r="VPT84" s="2567"/>
      <c r="VPU84" s="2567"/>
      <c r="VPV84" s="2567"/>
      <c r="VPW84" s="2567"/>
      <c r="VPX84" s="2567"/>
      <c r="VPY84" s="2567"/>
      <c r="VPZ84" s="2567"/>
      <c r="VQA84" s="2567"/>
      <c r="VQB84" s="2567"/>
      <c r="VQC84" s="2567"/>
      <c r="VQD84" s="2567"/>
      <c r="VQE84" s="2567"/>
      <c r="VQF84" s="2567"/>
      <c r="VQG84" s="2567"/>
      <c r="VQH84" s="2567"/>
      <c r="VQI84" s="2567"/>
      <c r="VQJ84" s="2567"/>
      <c r="VQK84" s="2567"/>
      <c r="VQL84" s="2567"/>
      <c r="VQM84" s="2567"/>
      <c r="VQN84" s="2567"/>
      <c r="VQO84" s="2567"/>
      <c r="VQP84" s="2567"/>
      <c r="VQQ84" s="2567"/>
      <c r="VQR84" s="2567"/>
      <c r="VQS84" s="2567"/>
      <c r="VQT84" s="2567"/>
      <c r="VQU84" s="2567"/>
      <c r="VQV84" s="2567"/>
      <c r="VQW84" s="2567"/>
      <c r="VQX84" s="2567"/>
      <c r="VQY84" s="2567"/>
      <c r="VQZ84" s="2567"/>
      <c r="VRA84" s="2567"/>
      <c r="VRB84" s="2567"/>
      <c r="VRC84" s="2567"/>
      <c r="VRD84" s="2567"/>
      <c r="VRE84" s="2567"/>
      <c r="VRF84" s="2567"/>
      <c r="VRG84" s="2567"/>
      <c r="VRH84" s="2567"/>
      <c r="VRI84" s="2567"/>
      <c r="VRJ84" s="2567"/>
      <c r="VRK84" s="2567"/>
      <c r="VRL84" s="2567"/>
      <c r="VRM84" s="2567"/>
      <c r="VRN84" s="2567"/>
      <c r="VRO84" s="2567"/>
      <c r="VRP84" s="2567"/>
      <c r="VRQ84" s="2567"/>
      <c r="VRR84" s="2567"/>
      <c r="VRS84" s="2567"/>
      <c r="VRT84" s="2567"/>
      <c r="VRU84" s="2567"/>
      <c r="VRV84" s="2567"/>
      <c r="VRW84" s="2567"/>
      <c r="VRX84" s="2567"/>
      <c r="VRY84" s="2567"/>
      <c r="VRZ84" s="2567"/>
      <c r="VSA84" s="2567"/>
      <c r="VSB84" s="2567"/>
      <c r="VSC84" s="2567"/>
      <c r="VSD84" s="2567"/>
      <c r="VSE84" s="2567"/>
      <c r="VSF84" s="2567"/>
      <c r="VSG84" s="2567"/>
      <c r="VSH84" s="2567"/>
      <c r="VSI84" s="2567"/>
      <c r="VSJ84" s="2567"/>
      <c r="VSK84" s="2567"/>
      <c r="VSL84" s="2567"/>
      <c r="VSM84" s="2567"/>
      <c r="VSN84" s="2567"/>
      <c r="VSO84" s="2567"/>
      <c r="VSP84" s="2567"/>
      <c r="VSQ84" s="2567"/>
      <c r="VSR84" s="2567"/>
      <c r="VSS84" s="2567"/>
      <c r="VST84" s="2567"/>
      <c r="VSU84" s="2567"/>
      <c r="VSV84" s="2567"/>
      <c r="VSW84" s="2567"/>
      <c r="VSX84" s="2567"/>
      <c r="VSY84" s="2567"/>
      <c r="VSZ84" s="2567"/>
      <c r="VTA84" s="2567"/>
      <c r="VTB84" s="2567"/>
      <c r="VTC84" s="2567"/>
      <c r="VTD84" s="2567"/>
      <c r="VTE84" s="2567"/>
      <c r="VTF84" s="2567"/>
      <c r="VTG84" s="2567"/>
      <c r="VTH84" s="2567"/>
      <c r="VTI84" s="2567"/>
      <c r="VTJ84" s="2567"/>
      <c r="VTK84" s="2567"/>
      <c r="VTL84" s="2567"/>
      <c r="VTM84" s="2567"/>
      <c r="VTN84" s="2567"/>
      <c r="VTO84" s="2567"/>
      <c r="VTP84" s="2567"/>
      <c r="VTQ84" s="2567"/>
      <c r="VTR84" s="2567"/>
      <c r="VTS84" s="2567"/>
      <c r="VTT84" s="2567"/>
      <c r="VTU84" s="2567"/>
      <c r="VTV84" s="2567"/>
      <c r="VTW84" s="2567"/>
      <c r="VTX84" s="2567"/>
      <c r="VTY84" s="2567"/>
      <c r="VTZ84" s="2567"/>
      <c r="VUA84" s="2567"/>
      <c r="VUB84" s="2567"/>
      <c r="VUC84" s="2567"/>
      <c r="VUD84" s="2567"/>
      <c r="VUE84" s="2567"/>
      <c r="VUF84" s="2567"/>
      <c r="VUG84" s="2567"/>
      <c r="VUH84" s="2567"/>
      <c r="VUI84" s="2567"/>
      <c r="VUJ84" s="2567"/>
      <c r="VUK84" s="2567"/>
      <c r="VUL84" s="2567"/>
      <c r="VUM84" s="2567"/>
      <c r="VUN84" s="2567"/>
      <c r="VUO84" s="2567"/>
      <c r="VUP84" s="2567"/>
      <c r="VUQ84" s="2567"/>
      <c r="VUR84" s="2567"/>
      <c r="VUS84" s="2567"/>
      <c r="VUT84" s="2567"/>
      <c r="VUU84" s="2567"/>
      <c r="VUV84" s="2567"/>
      <c r="VUW84" s="2567"/>
      <c r="VUX84" s="2567"/>
      <c r="VUY84" s="2567"/>
      <c r="VUZ84" s="2567"/>
      <c r="VVA84" s="2567"/>
      <c r="VVB84" s="2567"/>
      <c r="VVC84" s="2567"/>
      <c r="VVD84" s="2567"/>
      <c r="VVE84" s="2567"/>
      <c r="VVF84" s="2567"/>
      <c r="VVG84" s="2567"/>
      <c r="VVH84" s="2567"/>
      <c r="VVI84" s="2567"/>
      <c r="VVJ84" s="2567"/>
      <c r="VVK84" s="2567"/>
      <c r="VVL84" s="2567"/>
      <c r="VVM84" s="2567"/>
      <c r="VVN84" s="2567"/>
      <c r="VVO84" s="2567"/>
      <c r="VVP84" s="2567"/>
      <c r="VVQ84" s="2567"/>
      <c r="VVR84" s="2567"/>
      <c r="VVS84" s="2567"/>
      <c r="VVT84" s="2567"/>
      <c r="VVU84" s="2567"/>
      <c r="VVV84" s="2567"/>
      <c r="VVW84" s="2567"/>
      <c r="VVX84" s="2567"/>
      <c r="VVY84" s="2567"/>
      <c r="VVZ84" s="2567"/>
      <c r="VWA84" s="2567"/>
      <c r="VWB84" s="2567"/>
      <c r="VWC84" s="2567"/>
      <c r="VWD84" s="2567"/>
      <c r="VWE84" s="2567"/>
      <c r="VWF84" s="2567"/>
      <c r="VWG84" s="2567"/>
      <c r="VWH84" s="2567"/>
      <c r="VWI84" s="2567"/>
      <c r="VWJ84" s="2567"/>
      <c r="VWK84" s="2567"/>
      <c r="VWL84" s="2567"/>
      <c r="VWM84" s="2567"/>
      <c r="VWN84" s="2567"/>
      <c r="VWO84" s="2567"/>
      <c r="VWP84" s="2567"/>
      <c r="VWQ84" s="2567"/>
      <c r="VWR84" s="2567"/>
      <c r="VWS84" s="2567"/>
      <c r="VWT84" s="2567"/>
      <c r="VWU84" s="2567"/>
      <c r="VWV84" s="2567"/>
      <c r="VWW84" s="2567"/>
      <c r="VWX84" s="2567"/>
      <c r="VWY84" s="2567"/>
      <c r="VWZ84" s="2567"/>
      <c r="VXA84" s="2567"/>
      <c r="VXB84" s="2567"/>
      <c r="VXC84" s="2567"/>
      <c r="VXD84" s="2567"/>
      <c r="VXE84" s="2567"/>
      <c r="VXF84" s="2567"/>
      <c r="VXG84" s="2567"/>
      <c r="VXH84" s="2567"/>
      <c r="VXI84" s="2567"/>
      <c r="VXJ84" s="2567"/>
      <c r="VXK84" s="2567"/>
      <c r="VXL84" s="2567"/>
      <c r="VXM84" s="2567"/>
      <c r="VXN84" s="2567"/>
      <c r="VXO84" s="2567"/>
      <c r="VXP84" s="2567"/>
      <c r="VXQ84" s="2567"/>
      <c r="VXR84" s="2567"/>
      <c r="VXS84" s="2567"/>
      <c r="VXT84" s="2567"/>
      <c r="VXU84" s="2567"/>
      <c r="VXV84" s="2567"/>
      <c r="VXW84" s="2567"/>
      <c r="VXX84" s="2567"/>
      <c r="VXY84" s="2567"/>
      <c r="VXZ84" s="2567"/>
      <c r="VYA84" s="2567"/>
      <c r="VYB84" s="2567"/>
      <c r="VYC84" s="2567"/>
      <c r="VYD84" s="2567"/>
      <c r="VYE84" s="2567"/>
      <c r="VYF84" s="2567"/>
      <c r="VYG84" s="2567"/>
      <c r="VYH84" s="2567"/>
      <c r="VYI84" s="2567"/>
      <c r="VYJ84" s="2567"/>
      <c r="VYK84" s="2567"/>
      <c r="VYL84" s="2567"/>
      <c r="VYM84" s="2567"/>
      <c r="VYN84" s="2567"/>
      <c r="VYO84" s="2567"/>
      <c r="VYP84" s="2567"/>
      <c r="VYQ84" s="2567"/>
      <c r="VYR84" s="2567"/>
      <c r="VYS84" s="2567"/>
      <c r="VYT84" s="2567"/>
      <c r="VYU84" s="2567"/>
      <c r="VYV84" s="2567"/>
      <c r="VYW84" s="2567"/>
      <c r="VYX84" s="2567"/>
      <c r="VYY84" s="2567"/>
      <c r="VYZ84" s="2567"/>
      <c r="VZA84" s="2567"/>
      <c r="VZB84" s="2567"/>
      <c r="VZC84" s="2567"/>
      <c r="VZD84" s="2567"/>
      <c r="VZE84" s="2567"/>
      <c r="VZF84" s="2567"/>
      <c r="VZG84" s="2567"/>
      <c r="VZH84" s="2567"/>
      <c r="VZI84" s="2567"/>
      <c r="VZJ84" s="2567"/>
      <c r="VZK84" s="2567"/>
      <c r="VZL84" s="2567"/>
      <c r="VZM84" s="2567"/>
      <c r="VZN84" s="2567"/>
      <c r="VZO84" s="2567"/>
      <c r="VZP84" s="2567"/>
      <c r="VZQ84" s="2567"/>
      <c r="VZR84" s="2567"/>
      <c r="VZS84" s="2567"/>
      <c r="VZT84" s="2567"/>
      <c r="VZU84" s="2567"/>
      <c r="VZV84" s="2567"/>
      <c r="VZW84" s="2567"/>
      <c r="VZX84" s="2567"/>
      <c r="VZY84" s="2567"/>
      <c r="VZZ84" s="2567"/>
      <c r="WAA84" s="2567"/>
      <c r="WAB84" s="2567"/>
      <c r="WAC84" s="2567"/>
      <c r="WAD84" s="2567"/>
      <c r="WAE84" s="2567"/>
      <c r="WAF84" s="2567"/>
      <c r="WAG84" s="2567"/>
      <c r="WAH84" s="2567"/>
      <c r="WAI84" s="2567"/>
      <c r="WAJ84" s="2567"/>
      <c r="WAK84" s="2567"/>
      <c r="WAL84" s="2567"/>
      <c r="WAM84" s="2567"/>
      <c r="WAN84" s="2567"/>
      <c r="WAO84" s="2567"/>
      <c r="WAP84" s="2567"/>
      <c r="WAQ84" s="2567"/>
      <c r="WAR84" s="2567"/>
      <c r="WAS84" s="2567"/>
      <c r="WAT84" s="2567"/>
      <c r="WAU84" s="2567"/>
      <c r="WAV84" s="2567"/>
      <c r="WAW84" s="2567"/>
      <c r="WAX84" s="2567"/>
      <c r="WAY84" s="2567"/>
      <c r="WAZ84" s="2567"/>
      <c r="WBA84" s="2567"/>
      <c r="WBB84" s="2567"/>
      <c r="WBC84" s="2567"/>
      <c r="WBD84" s="2567"/>
      <c r="WBE84" s="2567"/>
      <c r="WBF84" s="2567"/>
      <c r="WBG84" s="2567"/>
      <c r="WBH84" s="2567"/>
      <c r="WBI84" s="2567"/>
      <c r="WBJ84" s="2567"/>
      <c r="WBK84" s="2567"/>
      <c r="WBL84" s="2567"/>
      <c r="WBM84" s="2567"/>
      <c r="WBN84" s="2567"/>
      <c r="WBO84" s="2567"/>
      <c r="WBP84" s="2567"/>
      <c r="WBQ84" s="2567"/>
      <c r="WBR84" s="2567"/>
      <c r="WBS84" s="2567"/>
      <c r="WBT84" s="2567"/>
      <c r="WBU84" s="2567"/>
      <c r="WBV84" s="2567"/>
      <c r="WBW84" s="2567"/>
      <c r="WBX84" s="2567"/>
      <c r="WBY84" s="2567"/>
      <c r="WBZ84" s="2567"/>
      <c r="WCA84" s="2567"/>
      <c r="WCB84" s="2567"/>
      <c r="WCC84" s="2567"/>
      <c r="WCD84" s="2567"/>
      <c r="WCE84" s="2567"/>
      <c r="WCF84" s="2567"/>
      <c r="WCG84" s="2567"/>
      <c r="WCH84" s="2567"/>
      <c r="WCI84" s="2567"/>
      <c r="WCJ84" s="2567"/>
      <c r="WCK84" s="2567"/>
      <c r="WCL84" s="2567"/>
      <c r="WCM84" s="2567"/>
      <c r="WCN84" s="2567"/>
      <c r="WCO84" s="2567"/>
      <c r="WCP84" s="2567"/>
      <c r="WCQ84" s="2567"/>
      <c r="WCR84" s="2567"/>
      <c r="WCS84" s="2567"/>
      <c r="WCT84" s="2567"/>
      <c r="WCU84" s="2567"/>
      <c r="WCV84" s="2567"/>
      <c r="WCW84" s="2567"/>
      <c r="WCX84" s="2567"/>
      <c r="WCY84" s="2567"/>
      <c r="WCZ84" s="2567"/>
      <c r="WDA84" s="2567"/>
      <c r="WDB84" s="2567"/>
      <c r="WDC84" s="2567"/>
      <c r="WDD84" s="2567"/>
      <c r="WDE84" s="2567"/>
      <c r="WDF84" s="2567"/>
      <c r="WDG84" s="2567"/>
      <c r="WDH84" s="2567"/>
      <c r="WDI84" s="2567"/>
      <c r="WDJ84" s="2567"/>
      <c r="WDK84" s="2567"/>
      <c r="WDL84" s="2567"/>
      <c r="WDM84" s="2567"/>
      <c r="WDN84" s="2567"/>
      <c r="WDO84" s="2567"/>
      <c r="WDP84" s="2567"/>
      <c r="WDQ84" s="2567"/>
      <c r="WDR84" s="2567"/>
      <c r="WDS84" s="2567"/>
      <c r="WDT84" s="2567"/>
      <c r="WDU84" s="2567"/>
      <c r="WDV84" s="2567"/>
      <c r="WDW84" s="2567"/>
      <c r="WDX84" s="2567"/>
      <c r="WDY84" s="2567"/>
      <c r="WDZ84" s="2567"/>
      <c r="WEA84" s="2567"/>
      <c r="WEB84" s="2567"/>
      <c r="WEC84" s="2567"/>
      <c r="WED84" s="2567"/>
      <c r="WEE84" s="2567"/>
      <c r="WEF84" s="2567"/>
      <c r="WEG84" s="2567"/>
      <c r="WEH84" s="2567"/>
      <c r="WEI84" s="2567"/>
      <c r="WEJ84" s="2567"/>
      <c r="WEK84" s="2567"/>
      <c r="WEL84" s="2567"/>
      <c r="WEM84" s="2567"/>
      <c r="WEN84" s="2567"/>
      <c r="WEO84" s="2567"/>
      <c r="WEP84" s="2567"/>
      <c r="WEQ84" s="2567"/>
      <c r="WER84" s="2567"/>
      <c r="WES84" s="2567"/>
      <c r="WET84" s="2567"/>
      <c r="WEU84" s="2567"/>
      <c r="WEV84" s="2567"/>
      <c r="WEW84" s="2567"/>
      <c r="WEX84" s="2567"/>
      <c r="WEY84" s="2567"/>
      <c r="WEZ84" s="2567"/>
      <c r="WFA84" s="2567"/>
      <c r="WFB84" s="2567"/>
      <c r="WFC84" s="2567"/>
      <c r="WFD84" s="2567"/>
      <c r="WFE84" s="2567"/>
      <c r="WFF84" s="2567"/>
      <c r="WFG84" s="2567"/>
      <c r="WFH84" s="2567"/>
      <c r="WFI84" s="2567"/>
      <c r="WFJ84" s="2567"/>
      <c r="WFK84" s="2567"/>
      <c r="WFL84" s="2567"/>
      <c r="WFM84" s="2567"/>
      <c r="WFN84" s="2567"/>
      <c r="WFO84" s="2567"/>
      <c r="WFP84" s="2567"/>
      <c r="WFQ84" s="2567"/>
      <c r="WFR84" s="2567"/>
      <c r="WFS84" s="2567"/>
      <c r="WFT84" s="2567"/>
      <c r="WFU84" s="2567"/>
      <c r="WFV84" s="2567"/>
      <c r="WFW84" s="2567"/>
      <c r="WFX84" s="2567"/>
      <c r="WFY84" s="2567"/>
      <c r="WFZ84" s="2567"/>
      <c r="WGA84" s="2567"/>
      <c r="WGB84" s="2567"/>
      <c r="WGC84" s="2567"/>
      <c r="WGD84" s="2567"/>
      <c r="WGE84" s="2567"/>
      <c r="WGF84" s="2567"/>
      <c r="WGG84" s="2567"/>
      <c r="WGH84" s="2567"/>
      <c r="WGI84" s="2567"/>
      <c r="WGJ84" s="2567"/>
      <c r="WGK84" s="2567"/>
      <c r="WGL84" s="2567"/>
      <c r="WGM84" s="2567"/>
      <c r="WGN84" s="2567"/>
      <c r="WGO84" s="2567"/>
      <c r="WGP84" s="2567"/>
      <c r="WGQ84" s="2567"/>
      <c r="WGR84" s="2567"/>
      <c r="WGS84" s="2567"/>
      <c r="WGT84" s="2567"/>
      <c r="WGU84" s="2567"/>
      <c r="WGV84" s="2567"/>
      <c r="WGW84" s="2567"/>
      <c r="WGX84" s="2567"/>
      <c r="WGY84" s="2567"/>
      <c r="WGZ84" s="2567"/>
      <c r="WHA84" s="2567"/>
      <c r="WHB84" s="2567"/>
      <c r="WHC84" s="2567"/>
      <c r="WHD84" s="2567"/>
      <c r="WHE84" s="2567"/>
      <c r="WHF84" s="2567"/>
      <c r="WHG84" s="2567"/>
      <c r="WHH84" s="2567"/>
      <c r="WHI84" s="2567"/>
      <c r="WHJ84" s="2567"/>
      <c r="WHK84" s="2567"/>
      <c r="WHL84" s="2567"/>
      <c r="WHM84" s="2567"/>
      <c r="WHN84" s="2567"/>
      <c r="WHO84" s="2567"/>
      <c r="WHP84" s="2567"/>
      <c r="WHQ84" s="2567"/>
      <c r="WHR84" s="2567"/>
      <c r="WHS84" s="2567"/>
      <c r="WHT84" s="2567"/>
      <c r="WHU84" s="2567"/>
      <c r="WHV84" s="2567"/>
      <c r="WHW84" s="2567"/>
      <c r="WHX84" s="2567"/>
      <c r="WHY84" s="2567"/>
      <c r="WHZ84" s="2567"/>
      <c r="WIA84" s="2567"/>
      <c r="WIB84" s="2567"/>
      <c r="WIC84" s="2567"/>
      <c r="WID84" s="2567"/>
      <c r="WIE84" s="2567"/>
      <c r="WIF84" s="2567"/>
      <c r="WIG84" s="2567"/>
      <c r="WIH84" s="2567"/>
      <c r="WII84" s="2567"/>
      <c r="WIJ84" s="2567"/>
      <c r="WIK84" s="2567"/>
      <c r="WIL84" s="2567"/>
      <c r="WIM84" s="2567"/>
      <c r="WIN84" s="2567"/>
      <c r="WIO84" s="2567"/>
      <c r="WIP84" s="2567"/>
      <c r="WIQ84" s="2567"/>
      <c r="WIR84" s="2567"/>
      <c r="WIS84" s="2567"/>
      <c r="WIT84" s="2567"/>
      <c r="WIU84" s="2567"/>
      <c r="WIV84" s="2567"/>
      <c r="WIW84" s="2567"/>
      <c r="WIX84" s="2567"/>
      <c r="WIY84" s="2567"/>
      <c r="WIZ84" s="2567"/>
      <c r="WJA84" s="2567"/>
      <c r="WJB84" s="2567"/>
      <c r="WJC84" s="2567"/>
      <c r="WJD84" s="2567"/>
      <c r="WJE84" s="2567"/>
      <c r="WJF84" s="2567"/>
      <c r="WJG84" s="2567"/>
      <c r="WJH84" s="2567"/>
      <c r="WJI84" s="2567"/>
      <c r="WJJ84" s="2567"/>
      <c r="WJK84" s="2567"/>
      <c r="WJL84" s="2567"/>
      <c r="WJM84" s="2567"/>
      <c r="WJN84" s="2567"/>
      <c r="WJO84" s="2567"/>
      <c r="WJP84" s="2567"/>
      <c r="WJQ84" s="2567"/>
      <c r="WJR84" s="2567"/>
      <c r="WJS84" s="2567"/>
      <c r="WJT84" s="2567"/>
      <c r="WJU84" s="2567"/>
      <c r="WJV84" s="2567"/>
      <c r="WJW84" s="2567"/>
      <c r="WJX84" s="2567"/>
      <c r="WJY84" s="2567"/>
      <c r="WJZ84" s="2567"/>
      <c r="WKA84" s="2567"/>
      <c r="WKB84" s="2567"/>
      <c r="WKC84" s="2567"/>
      <c r="WKD84" s="2567"/>
      <c r="WKE84" s="2567"/>
      <c r="WKF84" s="2567"/>
      <c r="WKG84" s="2567"/>
      <c r="WKH84" s="2567"/>
      <c r="WKI84" s="2567"/>
      <c r="WKJ84" s="2567"/>
      <c r="WKK84" s="2567"/>
      <c r="WKL84" s="2567"/>
      <c r="WKM84" s="2567"/>
      <c r="WKN84" s="2567"/>
      <c r="WKO84" s="2567"/>
      <c r="WKP84" s="2567"/>
      <c r="WKQ84" s="2567"/>
      <c r="WKR84" s="2567"/>
      <c r="WKS84" s="2567"/>
      <c r="WKT84" s="2567"/>
      <c r="WKU84" s="2567"/>
      <c r="WKV84" s="2567"/>
      <c r="WKW84" s="2567"/>
      <c r="WKX84" s="2567"/>
      <c r="WKY84" s="2567"/>
      <c r="WKZ84" s="2567"/>
      <c r="WLA84" s="2567"/>
      <c r="WLB84" s="2567"/>
      <c r="WLC84" s="2567"/>
      <c r="WLD84" s="2567"/>
      <c r="WLE84" s="2567"/>
      <c r="WLF84" s="2567"/>
      <c r="WLG84" s="2567"/>
      <c r="WLH84" s="2567"/>
      <c r="WLI84" s="2567"/>
      <c r="WLJ84" s="2567"/>
      <c r="WLK84" s="2567"/>
      <c r="WLL84" s="2567"/>
      <c r="WLM84" s="2567"/>
      <c r="WLN84" s="2567"/>
      <c r="WLO84" s="2567"/>
      <c r="WLP84" s="2567"/>
      <c r="WLQ84" s="2567"/>
      <c r="WLR84" s="2567"/>
      <c r="WLS84" s="2567"/>
      <c r="WLT84" s="2567"/>
      <c r="WLU84" s="2567"/>
      <c r="WLV84" s="2567"/>
      <c r="WLW84" s="2567"/>
      <c r="WLX84" s="2567"/>
      <c r="WLY84" s="2567"/>
      <c r="WLZ84" s="2567"/>
      <c r="WMA84" s="2567"/>
      <c r="WMB84" s="2567"/>
      <c r="WMC84" s="2567"/>
      <c r="WMD84" s="2567"/>
      <c r="WME84" s="2567"/>
      <c r="WMF84" s="2567"/>
      <c r="WMG84" s="2567"/>
      <c r="WMH84" s="2567"/>
      <c r="WMI84" s="2567"/>
      <c r="WMJ84" s="2567"/>
      <c r="WMK84" s="2567"/>
      <c r="WML84" s="2567"/>
      <c r="WMM84" s="2567"/>
      <c r="WMN84" s="2567"/>
      <c r="WMO84" s="2567"/>
      <c r="WMP84" s="2567"/>
      <c r="WMQ84" s="2567"/>
      <c r="WMR84" s="2567"/>
      <c r="WMS84" s="2567"/>
      <c r="WMT84" s="2567"/>
      <c r="WMU84" s="2567"/>
      <c r="WMV84" s="2567"/>
      <c r="WMW84" s="2567"/>
      <c r="WMX84" s="2567"/>
      <c r="WMY84" s="2567"/>
      <c r="WMZ84" s="2567"/>
      <c r="WNA84" s="2567"/>
      <c r="WNB84" s="2567"/>
      <c r="WNC84" s="2567"/>
      <c r="WND84" s="2567"/>
      <c r="WNE84" s="2567"/>
      <c r="WNF84" s="2567"/>
      <c r="WNG84" s="2567"/>
      <c r="WNH84" s="2567"/>
      <c r="WNI84" s="2567"/>
      <c r="WNJ84" s="2567"/>
      <c r="WNK84" s="2567"/>
      <c r="WNL84" s="2567"/>
      <c r="WNM84" s="2567"/>
      <c r="WNN84" s="2567"/>
      <c r="WNO84" s="2567"/>
      <c r="WNP84" s="2567"/>
      <c r="WNQ84" s="2567"/>
      <c r="WNR84" s="2567"/>
      <c r="WNS84" s="2567"/>
      <c r="WNT84" s="2567"/>
      <c r="WNU84" s="2567"/>
      <c r="WNV84" s="2567"/>
      <c r="WNW84" s="2567"/>
      <c r="WNX84" s="2567"/>
      <c r="WNY84" s="2567"/>
      <c r="WNZ84" s="2567"/>
      <c r="WOA84" s="2567"/>
      <c r="WOB84" s="2567"/>
      <c r="WOC84" s="2567"/>
      <c r="WOD84" s="2567"/>
      <c r="WOE84" s="2567"/>
      <c r="WOF84" s="2567"/>
      <c r="WOG84" s="2567"/>
      <c r="WOH84" s="2567"/>
      <c r="WOI84" s="2567"/>
      <c r="WOJ84" s="2567"/>
      <c r="WOK84" s="2567"/>
      <c r="WOL84" s="2567"/>
      <c r="WOM84" s="2567"/>
      <c r="WON84" s="2567"/>
      <c r="WOO84" s="2567"/>
      <c r="WOP84" s="2567"/>
      <c r="WOQ84" s="2567"/>
      <c r="WOR84" s="2567"/>
      <c r="WOS84" s="2567"/>
      <c r="WOT84" s="2567"/>
      <c r="WOU84" s="2567"/>
      <c r="WOV84" s="2567"/>
      <c r="WOW84" s="2567"/>
      <c r="WOX84" s="2567"/>
      <c r="WOY84" s="2567"/>
      <c r="WOZ84" s="2567"/>
      <c r="WPA84" s="2567"/>
      <c r="WPB84" s="2567"/>
      <c r="WPC84" s="2567"/>
      <c r="WPD84" s="2567"/>
      <c r="WPE84" s="2567"/>
      <c r="WPF84" s="2567"/>
      <c r="WPG84" s="2567"/>
      <c r="WPH84" s="2567"/>
      <c r="WPI84" s="2567"/>
      <c r="WPJ84" s="2567"/>
      <c r="WPK84" s="2567"/>
      <c r="WPL84" s="2567"/>
      <c r="WPM84" s="2567"/>
      <c r="WPN84" s="2567"/>
      <c r="WPO84" s="2567"/>
      <c r="WPP84" s="2567"/>
      <c r="WPQ84" s="2567"/>
      <c r="WPR84" s="2567"/>
      <c r="WPS84" s="2567"/>
      <c r="WPT84" s="2567"/>
      <c r="WPU84" s="2567"/>
      <c r="WPV84" s="2567"/>
      <c r="WPW84" s="2567"/>
      <c r="WPX84" s="2567"/>
      <c r="WPY84" s="2567"/>
      <c r="WPZ84" s="2567"/>
      <c r="WQA84" s="2567"/>
      <c r="WQB84" s="2567"/>
      <c r="WQC84" s="2567"/>
      <c r="WQD84" s="2567"/>
      <c r="WQE84" s="2567"/>
      <c r="WQF84" s="2567"/>
      <c r="WQG84" s="2567"/>
      <c r="WQH84" s="2567"/>
      <c r="WQI84" s="2567"/>
      <c r="WQJ84" s="2567"/>
      <c r="WQK84" s="2567"/>
      <c r="WQL84" s="2567"/>
      <c r="WQM84" s="2567"/>
      <c r="WQN84" s="2567"/>
      <c r="WQO84" s="2567"/>
      <c r="WQP84" s="2567"/>
      <c r="WQQ84" s="2567"/>
      <c r="WQR84" s="2567"/>
      <c r="WQS84" s="2567"/>
      <c r="WQT84" s="2567"/>
      <c r="WQU84" s="2567"/>
      <c r="WQV84" s="2567"/>
      <c r="WQW84" s="2567"/>
      <c r="WQX84" s="2567"/>
      <c r="WQY84" s="2567"/>
      <c r="WQZ84" s="2567"/>
      <c r="WRA84" s="2567"/>
      <c r="WRB84" s="2567"/>
      <c r="WRC84" s="2567"/>
      <c r="WRD84" s="2567"/>
      <c r="WRE84" s="2567"/>
      <c r="WRF84" s="2567"/>
      <c r="WRG84" s="2567"/>
      <c r="WRH84" s="2567"/>
      <c r="WRI84" s="2567"/>
      <c r="WRJ84" s="2567"/>
      <c r="WRK84" s="2567"/>
      <c r="WRL84" s="2567"/>
      <c r="WRM84" s="2567"/>
      <c r="WRN84" s="2567"/>
      <c r="WRO84" s="2567"/>
      <c r="WRP84" s="2567"/>
      <c r="WRQ84" s="2567"/>
      <c r="WRR84" s="2567"/>
      <c r="WRS84" s="2567"/>
      <c r="WRT84" s="2567"/>
      <c r="WRU84" s="2567"/>
      <c r="WRV84" s="2567"/>
      <c r="WRW84" s="2567"/>
      <c r="WRX84" s="2567"/>
      <c r="WRY84" s="2567"/>
      <c r="WRZ84" s="2567"/>
      <c r="WSA84" s="2567"/>
      <c r="WSB84" s="2567"/>
      <c r="WSC84" s="2567"/>
      <c r="WSD84" s="2567"/>
      <c r="WSE84" s="2567"/>
      <c r="WSF84" s="2567"/>
      <c r="WSG84" s="2567"/>
      <c r="WSH84" s="2567"/>
      <c r="WSI84" s="2567"/>
      <c r="WSJ84" s="2567"/>
      <c r="WSK84" s="2567"/>
      <c r="WSL84" s="2567"/>
      <c r="WSM84" s="2567"/>
      <c r="WSN84" s="2567"/>
      <c r="WSO84" s="2567"/>
      <c r="WSP84" s="2567"/>
      <c r="WSQ84" s="2567"/>
      <c r="WSR84" s="2567"/>
      <c r="WSS84" s="2567"/>
      <c r="WST84" s="2567"/>
      <c r="WSU84" s="2567"/>
      <c r="WSV84" s="2567"/>
      <c r="WSW84" s="2567"/>
      <c r="WSX84" s="2567"/>
      <c r="WSY84" s="2567"/>
      <c r="WSZ84" s="2567"/>
      <c r="WTA84" s="2567"/>
      <c r="WTB84" s="2567"/>
      <c r="WTC84" s="2567"/>
      <c r="WTD84" s="2567"/>
      <c r="WTE84" s="2567"/>
      <c r="WTF84" s="2567"/>
      <c r="WTG84" s="2567"/>
      <c r="WTH84" s="2567"/>
      <c r="WTI84" s="2567"/>
      <c r="WTJ84" s="2567"/>
      <c r="WTK84" s="2567"/>
      <c r="WTL84" s="2567"/>
      <c r="WTM84" s="2567"/>
      <c r="WTN84" s="2567"/>
      <c r="WTO84" s="2567"/>
      <c r="WTP84" s="2567"/>
      <c r="WTQ84" s="2567"/>
      <c r="WTR84" s="2567"/>
      <c r="WTS84" s="2567"/>
      <c r="WTT84" s="2567"/>
      <c r="WTU84" s="2567"/>
      <c r="WTV84" s="2567"/>
      <c r="WTW84" s="2567"/>
      <c r="WTX84" s="2567"/>
      <c r="WTY84" s="2567"/>
      <c r="WTZ84" s="2567"/>
      <c r="WUA84" s="2567"/>
      <c r="WUB84" s="2567"/>
      <c r="WUC84" s="2567"/>
      <c r="WUD84" s="2567"/>
      <c r="WUE84" s="2567"/>
      <c r="WUF84" s="2567"/>
      <c r="WUG84" s="2567"/>
      <c r="WUH84" s="2567"/>
      <c r="WUI84" s="2567"/>
      <c r="WUJ84" s="2567"/>
      <c r="WUK84" s="2567"/>
      <c r="WUL84" s="2567"/>
      <c r="WUM84" s="2567"/>
      <c r="WUN84" s="2567"/>
      <c r="WUO84" s="2567"/>
      <c r="WUP84" s="2567"/>
      <c r="WUQ84" s="2567"/>
      <c r="WUR84" s="2567"/>
      <c r="WUS84" s="2567"/>
      <c r="WUT84" s="2567"/>
      <c r="WUU84" s="2567"/>
      <c r="WUV84" s="2567"/>
      <c r="WUW84" s="2567"/>
      <c r="WUX84" s="2567"/>
      <c r="WUY84" s="2567"/>
      <c r="WUZ84" s="2567"/>
      <c r="WVA84" s="2567"/>
      <c r="WVB84" s="2567"/>
      <c r="WVC84" s="2567"/>
      <c r="WVD84" s="2567"/>
      <c r="WVE84" s="2567"/>
      <c r="WVF84" s="2567"/>
      <c r="WVG84" s="2567"/>
      <c r="WVH84" s="2567"/>
      <c r="WVI84" s="2567"/>
      <c r="WVJ84" s="2567"/>
      <c r="WVK84" s="2567"/>
      <c r="WVL84" s="2567"/>
      <c r="WVM84" s="2567"/>
      <c r="WVN84" s="2567"/>
      <c r="WVO84" s="2567"/>
      <c r="WVP84" s="2567"/>
      <c r="WVQ84" s="2567"/>
      <c r="WVR84" s="2567"/>
      <c r="WVS84" s="2567"/>
      <c r="WVT84" s="2567"/>
      <c r="WVU84" s="2567"/>
      <c r="WVV84" s="2567"/>
      <c r="WVW84" s="2567"/>
      <c r="WVX84" s="2567"/>
      <c r="WVY84" s="2567"/>
      <c r="WVZ84" s="2567"/>
      <c r="WWA84" s="2567"/>
      <c r="WWB84" s="2567"/>
      <c r="WWC84" s="2567"/>
      <c r="WWD84" s="2567"/>
      <c r="WWE84" s="2567"/>
      <c r="WWF84" s="2567"/>
      <c r="WWG84" s="2567"/>
      <c r="WWH84" s="2567"/>
      <c r="WWI84" s="2567"/>
      <c r="WWJ84" s="2567"/>
      <c r="WWK84" s="2567"/>
      <c r="WWL84" s="2567"/>
      <c r="WWM84" s="2567"/>
      <c r="WWN84" s="2567"/>
      <c r="WWO84" s="2567"/>
      <c r="WWP84" s="2567"/>
      <c r="WWQ84" s="2567"/>
      <c r="WWR84" s="2567"/>
      <c r="WWS84" s="2567"/>
      <c r="WWT84" s="2567"/>
      <c r="WWU84" s="2567"/>
      <c r="WWV84" s="2567"/>
      <c r="WWW84" s="2567"/>
      <c r="WWX84" s="2567"/>
      <c r="WWY84" s="2567"/>
      <c r="WWZ84" s="2567"/>
      <c r="WXA84" s="2567"/>
      <c r="WXB84" s="2567"/>
      <c r="WXC84" s="2567"/>
      <c r="WXD84" s="2567"/>
      <c r="WXE84" s="2567"/>
      <c r="WXF84" s="2567"/>
      <c r="WXG84" s="2567"/>
      <c r="WXH84" s="2567"/>
      <c r="WXI84" s="2567"/>
      <c r="WXJ84" s="2567"/>
      <c r="WXK84" s="2567"/>
      <c r="WXL84" s="2567"/>
      <c r="WXM84" s="2567"/>
      <c r="WXN84" s="2567"/>
      <c r="WXO84" s="2567"/>
      <c r="WXP84" s="2567"/>
      <c r="WXQ84" s="2567"/>
      <c r="WXR84" s="2567"/>
      <c r="WXS84" s="2567"/>
      <c r="WXT84" s="2567"/>
      <c r="WXU84" s="2567"/>
      <c r="WXV84" s="2567"/>
      <c r="WXW84" s="2567"/>
      <c r="WXX84" s="2567"/>
      <c r="WXY84" s="2567"/>
      <c r="WXZ84" s="2567"/>
      <c r="WYA84" s="2567"/>
      <c r="WYB84" s="2567"/>
      <c r="WYC84" s="2567"/>
      <c r="WYD84" s="2567"/>
      <c r="WYE84" s="2567"/>
      <c r="WYF84" s="2567"/>
      <c r="WYG84" s="2567"/>
      <c r="WYH84" s="2567"/>
      <c r="WYI84" s="2567"/>
      <c r="WYJ84" s="2567"/>
      <c r="WYK84" s="2567"/>
      <c r="WYL84" s="2567"/>
      <c r="WYM84" s="2567"/>
      <c r="WYN84" s="2567"/>
      <c r="WYO84" s="2567"/>
      <c r="WYP84" s="2567"/>
      <c r="WYQ84" s="2567"/>
      <c r="WYR84" s="2567"/>
      <c r="WYS84" s="2567"/>
      <c r="WYT84" s="2567"/>
      <c r="WYU84" s="2567"/>
      <c r="WYV84" s="2567"/>
      <c r="WYW84" s="2567"/>
      <c r="WYX84" s="2567"/>
      <c r="WYY84" s="2567"/>
      <c r="WYZ84" s="2567"/>
      <c r="WZA84" s="2567"/>
      <c r="WZB84" s="2567"/>
      <c r="WZC84" s="2567"/>
      <c r="WZD84" s="2567"/>
      <c r="WZE84" s="2567"/>
      <c r="WZF84" s="2567"/>
      <c r="WZG84" s="2567"/>
      <c r="WZH84" s="2567"/>
      <c r="WZI84" s="2567"/>
      <c r="WZJ84" s="2567"/>
      <c r="WZK84" s="2567"/>
      <c r="WZL84" s="2567"/>
      <c r="WZM84" s="2567"/>
      <c r="WZN84" s="2567"/>
      <c r="WZO84" s="2567"/>
      <c r="WZP84" s="2567"/>
      <c r="WZQ84" s="2567"/>
      <c r="WZR84" s="2567"/>
      <c r="WZS84" s="2567"/>
      <c r="WZT84" s="2567"/>
      <c r="WZU84" s="2567"/>
      <c r="WZV84" s="2567"/>
      <c r="WZW84" s="2567"/>
      <c r="WZX84" s="2567"/>
      <c r="WZY84" s="2567"/>
      <c r="WZZ84" s="2567"/>
      <c r="XAA84" s="2567"/>
      <c r="XAB84" s="2567"/>
      <c r="XAC84" s="2567"/>
      <c r="XAD84" s="2567"/>
      <c r="XAE84" s="2567"/>
      <c r="XAF84" s="2567"/>
      <c r="XAG84" s="2567"/>
      <c r="XAH84" s="2567"/>
      <c r="XAI84" s="2567"/>
      <c r="XAJ84" s="2567"/>
      <c r="XAK84" s="2567"/>
      <c r="XAL84" s="2567"/>
      <c r="XAM84" s="2567"/>
      <c r="XAN84" s="2567"/>
      <c r="XAO84" s="2567"/>
      <c r="XAP84" s="2567"/>
      <c r="XAQ84" s="2567"/>
      <c r="XAR84" s="2567"/>
      <c r="XAS84" s="2567"/>
      <c r="XAT84" s="2567"/>
      <c r="XAU84" s="2567"/>
      <c r="XAV84" s="2567"/>
      <c r="XAW84" s="2567"/>
      <c r="XAX84" s="2567"/>
      <c r="XAY84" s="2567"/>
      <c r="XAZ84" s="2567"/>
      <c r="XBA84" s="2567"/>
      <c r="XBB84" s="2567"/>
      <c r="XBC84" s="2567"/>
      <c r="XBD84" s="2567"/>
      <c r="XBE84" s="2567"/>
      <c r="XBF84" s="2567"/>
      <c r="XBG84" s="2567"/>
      <c r="XBH84" s="2567"/>
      <c r="XBI84" s="2567"/>
      <c r="XBJ84" s="2567"/>
      <c r="XBK84" s="2567"/>
      <c r="XBL84" s="2567"/>
      <c r="XBM84" s="2567"/>
      <c r="XBN84" s="2567"/>
      <c r="XBO84" s="2567"/>
      <c r="XBP84" s="2567"/>
      <c r="XBQ84" s="2567"/>
      <c r="XBR84" s="2567"/>
      <c r="XBS84" s="2567"/>
      <c r="XBT84" s="2567"/>
      <c r="XBU84" s="2567"/>
      <c r="XBV84" s="2567"/>
      <c r="XBW84" s="2567"/>
      <c r="XBX84" s="2567"/>
      <c r="XBY84" s="2567"/>
      <c r="XBZ84" s="2567"/>
      <c r="XCA84" s="2567"/>
      <c r="XCB84" s="2567"/>
      <c r="XCC84" s="2567"/>
      <c r="XCD84" s="2567"/>
      <c r="XCE84" s="2567"/>
      <c r="XCF84" s="2567"/>
      <c r="XCG84" s="2567"/>
      <c r="XCH84" s="2567"/>
      <c r="XCI84" s="2567"/>
      <c r="XCJ84" s="2567"/>
      <c r="XCK84" s="2567"/>
      <c r="XCL84" s="2567"/>
      <c r="XCM84" s="2567"/>
      <c r="XCN84" s="2567"/>
      <c r="XCO84" s="2567"/>
      <c r="XCP84" s="2567"/>
      <c r="XCQ84" s="2567"/>
      <c r="XCR84" s="2567"/>
      <c r="XCS84" s="2567"/>
      <c r="XCT84" s="2567"/>
      <c r="XCU84" s="2567"/>
      <c r="XCV84" s="2567"/>
      <c r="XCW84" s="2567"/>
      <c r="XCX84" s="2567"/>
      <c r="XCY84" s="2567"/>
      <c r="XCZ84" s="2567"/>
      <c r="XDA84" s="2567"/>
      <c r="XDB84" s="2567"/>
      <c r="XDC84" s="2567"/>
      <c r="XDD84" s="2567"/>
      <c r="XDE84" s="2567"/>
      <c r="XDF84" s="2567"/>
      <c r="XDG84" s="2567"/>
      <c r="XDH84" s="2567"/>
      <c r="XDI84" s="2567"/>
      <c r="XDJ84" s="2567"/>
      <c r="XDK84" s="2567"/>
      <c r="XDL84" s="2567"/>
      <c r="XDM84" s="2567"/>
      <c r="XDN84" s="2567"/>
      <c r="XDO84" s="2567"/>
      <c r="XDP84" s="2567"/>
      <c r="XDQ84" s="2567"/>
      <c r="XDR84" s="2567"/>
      <c r="XDS84" s="2567"/>
      <c r="XDT84" s="2567"/>
      <c r="XDU84" s="2567"/>
      <c r="XDV84" s="2567"/>
      <c r="XDW84" s="2567"/>
      <c r="XDX84" s="2567"/>
      <c r="XDY84" s="2567"/>
      <c r="XDZ84" s="2567"/>
      <c r="XEA84" s="2567"/>
      <c r="XEB84" s="2567"/>
      <c r="XEC84" s="2567"/>
      <c r="XED84" s="2567"/>
      <c r="XEE84" s="2567"/>
      <c r="XEF84" s="2567"/>
      <c r="XEG84" s="2567"/>
      <c r="XEH84" s="2567"/>
      <c r="XEI84" s="2567"/>
      <c r="XEJ84" s="2567"/>
      <c r="XEK84" s="2567"/>
      <c r="XEL84" s="2567"/>
      <c r="XEM84" s="2567"/>
      <c r="XEN84" s="2567"/>
      <c r="XEO84" s="2567"/>
      <c r="XEP84" s="2567"/>
      <c r="XEQ84" s="2567"/>
      <c r="XER84" s="2567"/>
      <c r="XES84" s="2567"/>
      <c r="XET84" s="2567"/>
      <c r="XEU84" s="2567"/>
      <c r="XEV84" s="2567"/>
      <c r="XEW84" s="2567"/>
      <c r="XEX84" s="2567"/>
      <c r="XEY84" s="2567"/>
      <c r="XEZ84" s="2567"/>
      <c r="XFA84" s="2567"/>
      <c r="XFB84" s="2567"/>
      <c r="XFC84" s="2567"/>
      <c r="XFD84" s="2567"/>
    </row>
    <row r="85" spans="1:16384" ht="25.5" thickBot="1">
      <c r="B85" s="2829" t="s">
        <v>1760</v>
      </c>
      <c r="C85" s="2829" t="str">
        <f>Presentación!A5</f>
        <v/>
      </c>
      <c r="D85" s="2499"/>
      <c r="E85" s="2499"/>
      <c r="F85" s="2499"/>
      <c r="G85" s="2499"/>
      <c r="H85" s="2499"/>
      <c r="I85" s="2499"/>
      <c r="J85" s="2499"/>
      <c r="N85" s="2827" t="str">
        <f>IF(Presentación!M11="","",Presentación!M11)</f>
        <v/>
      </c>
      <c r="O85" s="2828" t="str">
        <f>IF(Presentación!N11="","",Presentación!N11)</f>
        <v/>
      </c>
      <c r="P85" s="2499"/>
      <c r="Q85" s="4087" t="str">
        <f>IF(Presentación!M24="","",Presentación!N24)</f>
        <v/>
      </c>
      <c r="R85" s="4088"/>
      <c r="S85" s="4088" t="str">
        <f>IF(Presentación!O24="","",Presentación!P24)</f>
        <v/>
      </c>
      <c r="T85" s="4089"/>
      <c r="U85" s="2499"/>
      <c r="V85" s="2499"/>
      <c r="W85" s="2499"/>
      <c r="X85" s="2499"/>
      <c r="Y85" s="2499"/>
      <c r="Z85" s="2499"/>
      <c r="AA85" s="2499"/>
      <c r="AB85" s="2499"/>
      <c r="AC85" s="2499"/>
      <c r="AD85" s="2499"/>
      <c r="BQ85" s="725"/>
    </row>
    <row r="86" spans="1:16384" ht="25.5" thickBot="1">
      <c r="B86" s="2830" t="s">
        <v>1761</v>
      </c>
      <c r="C86" s="2831" t="str">
        <f>Presentación!A6</f>
        <v>Documento No. 0</v>
      </c>
      <c r="D86" s="2499"/>
      <c r="E86" s="2499"/>
      <c r="F86" s="2499"/>
      <c r="G86" s="2499"/>
      <c r="H86" s="2499"/>
      <c r="I86" s="2499"/>
      <c r="J86" s="2499"/>
      <c r="N86" s="2827" t="str">
        <f>IF(Presentación!M12="","",Presentación!M12)</f>
        <v/>
      </c>
      <c r="O86" s="2828" t="str">
        <f>IF(Presentación!N12="","",Presentación!N12)</f>
        <v/>
      </c>
      <c r="P86" s="2499"/>
      <c r="Q86" s="4087" t="str">
        <f>IF(Presentación!M25="","",Presentación!N25)</f>
        <v/>
      </c>
      <c r="R86" s="4088"/>
      <c r="S86" s="4088" t="str">
        <f>IF(Presentación!O25="","",Presentación!P25)</f>
        <v/>
      </c>
      <c r="T86" s="4089"/>
      <c r="U86" s="2499"/>
      <c r="V86" s="2499"/>
      <c r="W86" s="2499"/>
      <c r="X86" s="2499"/>
      <c r="Y86" s="2499"/>
      <c r="Z86" s="2499"/>
      <c r="AA86" s="2499"/>
      <c r="AB86" s="2499"/>
      <c r="AC86" s="2499"/>
      <c r="AD86" s="2499"/>
      <c r="BQ86" s="725"/>
    </row>
    <row r="87" spans="1:16384" ht="35.5" thickBot="1">
      <c r="B87" s="2830" t="s">
        <v>1762</v>
      </c>
      <c r="C87" s="2830" t="s">
        <v>1763</v>
      </c>
      <c r="D87" s="2499"/>
      <c r="E87" s="2499"/>
      <c r="F87" s="2499"/>
      <c r="G87" s="2499"/>
      <c r="H87" s="2499"/>
      <c r="I87" s="2499"/>
      <c r="J87" s="2499"/>
      <c r="N87" s="2827" t="str">
        <f>IF(Presentación!M13="","",Presentación!M13)</f>
        <v/>
      </c>
      <c r="O87" s="2828" t="str">
        <f>IF(Presentación!N13="","",Presentación!N13)</f>
        <v/>
      </c>
      <c r="P87" s="2499"/>
      <c r="Q87" s="4087" t="str">
        <f>IF(Presentación!M26="","",Presentación!N26)</f>
        <v/>
      </c>
      <c r="R87" s="4088"/>
      <c r="S87" s="4088" t="str">
        <f>IF(Presentación!O26="","",Presentación!P26)</f>
        <v/>
      </c>
      <c r="T87" s="4089"/>
      <c r="U87" s="2499"/>
      <c r="V87" s="2499"/>
      <c r="W87" s="2499"/>
      <c r="X87" s="2499"/>
      <c r="Y87" s="2499"/>
      <c r="Z87" s="2499"/>
      <c r="AA87" s="2499"/>
      <c r="AB87" s="2499"/>
      <c r="AC87" s="2499"/>
      <c r="AD87" s="2499"/>
      <c r="BQ87" s="725"/>
    </row>
    <row r="88" spans="1:16384" ht="25.5" thickBot="1">
      <c r="B88" s="2830" t="s">
        <v>23</v>
      </c>
      <c r="C88" s="2830"/>
      <c r="D88" s="2499"/>
      <c r="E88" s="2499"/>
      <c r="F88" s="2499"/>
      <c r="G88" s="2499"/>
      <c r="H88" s="2499"/>
      <c r="I88" s="2499"/>
      <c r="J88" s="2499"/>
      <c r="N88" s="2827" t="str">
        <f>IF(Presentación!M14="","",Presentación!M14)</f>
        <v/>
      </c>
      <c r="O88" s="2828" t="str">
        <f>IF(Presentación!N14="","",Presentación!N14)</f>
        <v/>
      </c>
      <c r="P88" s="2499"/>
      <c r="Q88" s="4087" t="str">
        <f>IF(Presentación!M27="","",Presentación!N27)</f>
        <v/>
      </c>
      <c r="R88" s="4088"/>
      <c r="S88" s="4088" t="str">
        <f>IF(Presentación!O27="","",Presentación!P27)</f>
        <v/>
      </c>
      <c r="T88" s="4089"/>
      <c r="U88" s="2499"/>
      <c r="V88" s="2499"/>
      <c r="W88" s="2499"/>
      <c r="X88" s="2499"/>
      <c r="Y88" s="2499"/>
      <c r="Z88" s="2499"/>
      <c r="AA88" s="2499"/>
      <c r="AB88" s="2499"/>
      <c r="AC88" s="2499"/>
      <c r="AD88" s="2499"/>
      <c r="BQ88" s="725"/>
    </row>
    <row r="89" spans="1:16384" ht="25.5" thickBot="1">
      <c r="B89" s="2830" t="s">
        <v>1621</v>
      </c>
      <c r="C89" s="2830"/>
      <c r="D89" s="2499"/>
      <c r="E89" s="2499"/>
      <c r="F89" s="2499"/>
      <c r="G89" s="2499"/>
      <c r="H89" s="2499"/>
      <c r="I89" s="2499"/>
      <c r="J89" s="2499"/>
      <c r="N89" s="2827" t="str">
        <f>IF(Presentación!M15="","",Presentación!M15)</f>
        <v/>
      </c>
      <c r="O89" s="2828" t="str">
        <f>IF(Presentación!N15="","",Presentación!N15)</f>
        <v/>
      </c>
      <c r="P89" s="2499"/>
      <c r="Q89" s="4087" t="str">
        <f>IF(Presentación!M28="","",Presentación!N28)</f>
        <v/>
      </c>
      <c r="R89" s="4088"/>
      <c r="S89" s="4088" t="str">
        <f>IF(Presentación!O28="","",Presentación!P28)</f>
        <v/>
      </c>
      <c r="T89" s="4089"/>
      <c r="U89" s="2499"/>
      <c r="V89" s="2499"/>
      <c r="W89" s="2499"/>
      <c r="X89" s="2499"/>
      <c r="Y89" s="2499"/>
      <c r="Z89" s="2499"/>
      <c r="AA89" s="2499"/>
      <c r="AB89" s="2499"/>
      <c r="AC89" s="2499"/>
      <c r="AD89" s="2499"/>
    </row>
    <row r="90" spans="1:16384" ht="27.75" customHeight="1" thickBot="1">
      <c r="B90" s="2830" t="s">
        <v>1764</v>
      </c>
      <c r="C90" s="2830"/>
      <c r="D90" s="2499"/>
      <c r="E90" s="2499"/>
      <c r="F90" s="2499"/>
      <c r="G90" s="2499"/>
      <c r="H90" s="2499"/>
      <c r="I90" s="2499"/>
      <c r="J90" s="2499"/>
      <c r="N90" s="2827" t="str">
        <f>IF(Presentación!M16="","",Presentación!M16)</f>
        <v/>
      </c>
      <c r="O90" s="2828" t="str">
        <f>IF(Presentación!N16="","",Presentación!N16)</f>
        <v/>
      </c>
      <c r="P90" s="2499"/>
      <c r="Q90" s="4087" t="str">
        <f>IF(Presentación!M29="","",Presentación!N29)</f>
        <v/>
      </c>
      <c r="R90" s="4088"/>
      <c r="S90" s="4088" t="str">
        <f>IF(Presentación!O29="","",Presentación!P29)</f>
        <v/>
      </c>
      <c r="T90" s="4089"/>
      <c r="U90" s="2499"/>
      <c r="V90" s="2499"/>
      <c r="W90" s="2499"/>
      <c r="X90" s="2499"/>
      <c r="Y90" s="2499"/>
      <c r="Z90" s="2499"/>
      <c r="AA90" s="2499"/>
      <c r="AB90" s="2499"/>
      <c r="AC90" s="2499"/>
      <c r="AD90" s="2499"/>
    </row>
    <row r="91" spans="1:16384" ht="27.75" customHeight="1" thickBot="1">
      <c r="B91" s="2830" t="s">
        <v>1765</v>
      </c>
      <c r="C91" s="2832"/>
      <c r="D91" s="2499"/>
      <c r="E91" s="2499"/>
      <c r="F91" s="2499"/>
      <c r="G91" s="2499"/>
      <c r="H91" s="2499"/>
      <c r="I91" s="2499"/>
      <c r="J91" s="2499"/>
      <c r="N91" s="2833" t="s">
        <v>228</v>
      </c>
      <c r="O91" s="2834">
        <v>1</v>
      </c>
      <c r="P91" s="2499"/>
      <c r="Q91" s="4090" t="str">
        <f>IF(Presentación!M30="","",Presentación!N30)</f>
        <v/>
      </c>
      <c r="R91" s="4091"/>
      <c r="S91" s="4091" t="str">
        <f>IF(Presentación!O30="","",Presentación!P30)</f>
        <v/>
      </c>
      <c r="T91" s="4092"/>
      <c r="U91" s="2499"/>
      <c r="V91" s="2499"/>
      <c r="W91" s="2499"/>
      <c r="X91" s="2499"/>
      <c r="Y91" s="2499"/>
      <c r="Z91" s="2499"/>
      <c r="AA91" s="2499"/>
      <c r="AB91" s="2499"/>
      <c r="AC91" s="2499"/>
      <c r="AD91" s="2499"/>
    </row>
    <row r="92" spans="1:16384" ht="27.75" customHeight="1">
      <c r="B92" s="2499"/>
      <c r="C92" s="2499"/>
      <c r="D92" s="2499"/>
      <c r="E92" s="2499"/>
      <c r="F92" s="2499"/>
      <c r="G92" s="2499"/>
      <c r="H92" s="2499"/>
      <c r="I92" s="2499"/>
      <c r="J92" s="2499"/>
      <c r="N92" s="2499"/>
      <c r="O92" s="2499"/>
      <c r="P92" s="2499"/>
      <c r="Q92" s="2499"/>
      <c r="R92" s="2499"/>
      <c r="S92" s="2499"/>
      <c r="T92" s="2499"/>
      <c r="U92" s="2499"/>
      <c r="V92" s="2499"/>
      <c r="W92" s="2499"/>
      <c r="X92" s="2499"/>
      <c r="Y92" s="2499"/>
      <c r="Z92" s="2499"/>
      <c r="AA92" s="2499"/>
      <c r="AB92" s="2499"/>
      <c r="AC92" s="2499"/>
      <c r="AD92" s="2499"/>
    </row>
    <row r="93" spans="1:16384" ht="27.75" customHeight="1">
      <c r="B93" s="2835" t="s">
        <v>1766</v>
      </c>
      <c r="C93" s="2836"/>
      <c r="D93" s="2836"/>
      <c r="E93" s="2836"/>
      <c r="F93" s="2836"/>
      <c r="G93" s="2836"/>
      <c r="H93" s="2836"/>
      <c r="I93" s="2836"/>
      <c r="J93" s="2836"/>
      <c r="N93" s="2499"/>
      <c r="O93" s="2499"/>
      <c r="P93" s="2499"/>
      <c r="Q93" s="2499"/>
      <c r="R93" s="2499"/>
      <c r="S93" s="2499"/>
      <c r="T93" s="2499"/>
      <c r="U93" s="2499"/>
      <c r="V93" s="2499"/>
      <c r="W93" s="2499"/>
      <c r="X93" s="2499"/>
      <c r="Y93" s="2499"/>
      <c r="Z93" s="2499"/>
      <c r="AA93" s="2499"/>
      <c r="AB93" s="2499"/>
      <c r="AC93" s="2499"/>
      <c r="AD93" s="2499"/>
    </row>
    <row r="94" spans="1:16384" ht="27.75" customHeight="1">
      <c r="B94" s="4075" t="str">
        <f>B6</f>
        <v/>
      </c>
      <c r="C94" s="4076"/>
      <c r="D94" s="4076"/>
      <c r="E94" s="4076"/>
      <c r="F94" s="4076"/>
      <c r="G94" s="4076"/>
      <c r="H94" s="4076"/>
      <c r="I94" s="4076"/>
      <c r="J94" s="4077"/>
      <c r="N94" s="2837" t="s">
        <v>1767</v>
      </c>
      <c r="O94" s="2499"/>
      <c r="P94" s="2499"/>
      <c r="Q94" s="2499"/>
      <c r="R94" s="2499"/>
      <c r="S94" s="2499"/>
      <c r="T94" s="2499"/>
      <c r="U94" s="2499"/>
      <c r="V94" s="2499"/>
      <c r="W94" s="2499"/>
      <c r="X94" s="2499"/>
      <c r="Y94" s="2499"/>
      <c r="Z94" s="2499"/>
      <c r="AA94" s="2499"/>
      <c r="AB94" s="2499"/>
      <c r="AC94" s="2499"/>
      <c r="AD94" s="2499"/>
      <c r="BQ94" s="725"/>
    </row>
    <row r="95" spans="1:16384" ht="27.75" customHeight="1">
      <c r="B95" s="2508"/>
      <c r="C95" s="2508"/>
      <c r="D95" s="2508"/>
      <c r="E95" s="2508"/>
      <c r="F95" s="2508"/>
      <c r="G95" s="2508"/>
      <c r="H95" s="2508"/>
      <c r="I95" s="2508"/>
      <c r="J95" s="2508"/>
      <c r="N95" s="2838" t="str">
        <f>N10</f>
        <v xml:space="preserve">  (Cifras en $ MM)</v>
      </c>
      <c r="O95" s="2499"/>
      <c r="P95" s="2499"/>
      <c r="Q95" s="2499"/>
      <c r="R95" s="2499"/>
      <c r="S95" s="2499"/>
      <c r="T95" s="2499"/>
      <c r="U95" s="2499"/>
      <c r="V95" s="2499"/>
      <c r="W95" s="2499"/>
      <c r="X95" s="2499"/>
      <c r="Y95" s="2499"/>
      <c r="Z95" s="2499"/>
      <c r="AA95" s="2499"/>
      <c r="AB95" s="2499"/>
      <c r="AC95" s="2499"/>
      <c r="AD95" s="2499"/>
      <c r="BQ95" s="725"/>
    </row>
    <row r="96" spans="1:16384" ht="27.75" customHeight="1">
      <c r="B96" s="4093" t="s">
        <v>899</v>
      </c>
      <c r="C96" s="4094"/>
      <c r="D96" s="4094"/>
      <c r="E96" s="4095"/>
      <c r="F96" s="2508"/>
      <c r="G96" s="4096" t="s">
        <v>1592</v>
      </c>
      <c r="H96" s="4097"/>
      <c r="I96" s="4097"/>
      <c r="J96" s="4098"/>
      <c r="N96" s="2523" t="s">
        <v>1595</v>
      </c>
      <c r="O96" s="2524">
        <f t="shared" ref="O96:AC96" si="20">P11</f>
        <v>2021</v>
      </c>
      <c r="P96" s="2524">
        <f t="shared" si="20"/>
        <v>2022</v>
      </c>
      <c r="Q96" s="2524">
        <f t="shared" si="20"/>
        <v>2023</v>
      </c>
      <c r="R96" s="2524">
        <f t="shared" si="20"/>
        <v>2024</v>
      </c>
      <c r="S96" s="2524">
        <f t="shared" si="20"/>
        <v>2025</v>
      </c>
      <c r="T96" s="2524">
        <f t="shared" si="20"/>
        <v>2026</v>
      </c>
      <c r="U96" s="2524">
        <f t="shared" si="20"/>
        <v>2027</v>
      </c>
      <c r="V96" s="2524">
        <f t="shared" si="20"/>
        <v>2028</v>
      </c>
      <c r="W96" s="2524">
        <f t="shared" si="20"/>
        <v>2029</v>
      </c>
      <c r="X96" s="2524">
        <f t="shared" si="20"/>
        <v>2030</v>
      </c>
      <c r="Y96" s="2524">
        <f t="shared" si="20"/>
        <v>2031</v>
      </c>
      <c r="Z96" s="2524">
        <f t="shared" si="20"/>
        <v>2032</v>
      </c>
      <c r="AA96" s="2524">
        <f t="shared" si="20"/>
        <v>2033</v>
      </c>
      <c r="AB96" s="2524">
        <f t="shared" si="20"/>
        <v>2034</v>
      </c>
      <c r="AC96" s="2524">
        <f t="shared" si="20"/>
        <v>2035</v>
      </c>
      <c r="AD96" s="2499"/>
      <c r="BQ96" s="725"/>
    </row>
    <row r="97" spans="2:69" ht="28">
      <c r="B97" s="2513"/>
      <c r="C97" s="2514" t="str">
        <f>IF(('Balances y Proyecciones'!Q17)&lt;&gt;360,CONCATENATE((LEFT('Balances y Proyecciones'!H16,3))," ",RIGHT('Balances y Proyecciones'!H15,2)),CONCATENATE((LEFT('Balances y Proyecciones'!E16,3))," ",RIGHT('Balances y Proyecciones'!E15,2)))</f>
        <v>Dic 17</v>
      </c>
      <c r="D97" s="2514" t="str">
        <f>IF(('Balances y Proyecciones'!Q17)&lt;&gt;360,CONCATENATE((LEFT('Balances y Proyecciones'!N16,3))," ",RIGHT('Balances y Proyecciones'!N15,2)),CONCATENATE((LEFT('Balances y Proyecciones'!H16,3))," ",RIGHT('Balances y Proyecciones'!H15,2)))</f>
        <v>Dic 18</v>
      </c>
      <c r="E97" s="2839" t="str">
        <f>IF(('Balances y Proyecciones'!Q17)&lt;&gt;360,CONCATENATE((LEFT('Balances y Proyecciones'!Q16,3))," ",RIGHT('Balances y Proyecciones'!Q15,2)),CONCATENATE((LEFT('Balances y Proyecciones'!N16,3))," ",RIGHT('Balances y Proyecciones'!N15,2)))</f>
        <v>Dic 19</v>
      </c>
      <c r="F97" s="2508"/>
      <c r="G97" s="2513"/>
      <c r="H97" s="2514" t="str">
        <f>IF(('Balances y Proyecciones'!Q17)&lt;&gt;360,CONCATENATE((LEFT('Balances y Proyecciones'!H16,3))," ",RIGHT('Balances y Proyecciones'!H15,2)),CONCATENATE((LEFT('Balances y Proyecciones'!E16,3))," ",RIGHT('Balances y Proyecciones'!E15,2)))</f>
        <v>Dic 17</v>
      </c>
      <c r="I97" s="2514" t="str">
        <f>IF(('Balances y Proyecciones'!Q17)&lt;&gt;360,CONCATENATE((LEFT('Balances y Proyecciones'!N16,3))," ",RIGHT('Balances y Proyecciones'!N15,2)),CONCATENATE((LEFT('Balances y Proyecciones'!H16,3))," ",RIGHT('Balances y Proyecciones'!H15,2)))</f>
        <v>Dic 18</v>
      </c>
      <c r="J97" s="2840" t="str">
        <f>IF(('Balances y Proyecciones'!Q17)&lt;&gt;360,CONCATENATE((LEFT('Balances y Proyecciones'!Q16,3))," ",RIGHT('Balances y Proyecciones'!Q15,2)),CONCATENATE((LEFT('Balances y Proyecciones'!N16,3))," ",RIGHT('Balances y Proyecciones'!N15,2)))</f>
        <v>Dic 19</v>
      </c>
      <c r="N97" s="2531" t="s">
        <v>1596</v>
      </c>
      <c r="O97" s="2532">
        <f>+'Flujo de Caja Proyecto'!B12</f>
        <v>0</v>
      </c>
      <c r="P97" s="2532">
        <f>+'Flujo de Caja Proyecto'!D12</f>
        <v>0</v>
      </c>
      <c r="Q97" s="2532">
        <f>+'Flujo de Caja Proyecto'!G12</f>
        <v>0</v>
      </c>
      <c r="R97" s="2532">
        <f>+'Flujo de Caja Proyecto'!J12</f>
        <v>0</v>
      </c>
      <c r="S97" s="2532">
        <f>+'Flujo de Caja Proyecto'!M12</f>
        <v>0</v>
      </c>
      <c r="T97" s="2532">
        <f>+'Flujo de Caja Proyecto'!P12</f>
        <v>0</v>
      </c>
      <c r="U97" s="2532">
        <f>+'Flujo de Caja Proyecto'!S12</f>
        <v>0</v>
      </c>
      <c r="V97" s="2532">
        <f>+'Flujo de Caja Proyecto'!V12</f>
        <v>0</v>
      </c>
      <c r="W97" s="2532">
        <f>+'Flujo de Caja Proyecto'!Y12</f>
        <v>0</v>
      </c>
      <c r="X97" s="2532">
        <f>+'Flujo de Caja Proyecto'!AB12</f>
        <v>0</v>
      </c>
      <c r="Y97" s="2532">
        <f>+'Flujo de Caja Proyecto'!AE12</f>
        <v>0</v>
      </c>
      <c r="Z97" s="2532">
        <f>+'Flujo de Caja Proyecto'!AH12</f>
        <v>0</v>
      </c>
      <c r="AA97" s="2532">
        <f>+'Flujo de Caja Proyecto'!AK12</f>
        <v>0</v>
      </c>
      <c r="AB97" s="2532">
        <f>+'Flujo de Caja Proyecto'!AN12</f>
        <v>0</v>
      </c>
      <c r="AC97" s="2841">
        <f>+'Flujo de Caja Proyecto'!AQ12</f>
        <v>0</v>
      </c>
      <c r="AD97" s="2499"/>
      <c r="BQ97" s="725"/>
    </row>
    <row r="98" spans="2:69" ht="27.5">
      <c r="B98" s="2515" t="s">
        <v>1697</v>
      </c>
      <c r="C98" s="2692" t="s">
        <v>1768</v>
      </c>
      <c r="D98" s="2692" t="s">
        <v>1768</v>
      </c>
      <c r="E98" s="2693" t="s">
        <v>1768</v>
      </c>
      <c r="F98" s="2508"/>
      <c r="G98" s="2516" t="s">
        <v>1593</v>
      </c>
      <c r="H98" s="2526">
        <f>IF(('Balances y Proyecciones'!Q17)&lt;&gt;360,'Balances y Proyecciones'!H71,'Balances y Proyecciones'!E71)</f>
        <v>0</v>
      </c>
      <c r="I98" s="2526">
        <f>IF(('Balances y Proyecciones'!Q17)&lt;&gt;360,'Balances y Proyecciones'!N71,'Balances y Proyecciones'!H71)</f>
        <v>0</v>
      </c>
      <c r="J98" s="2527">
        <f>IF(('Balances y Proyecciones'!Q17)&lt;&gt;360,'Balances y Proyecciones'!Q71,'Balances y Proyecciones'!N71)</f>
        <v>0</v>
      </c>
      <c r="N98" s="2535" t="s">
        <v>1597</v>
      </c>
      <c r="O98" s="2536"/>
      <c r="P98" s="2842" t="e">
        <f t="shared" ref="P98:AC98" si="21">P97/O97-1</f>
        <v>#DIV/0!</v>
      </c>
      <c r="Q98" s="2842" t="e">
        <f t="shared" si="21"/>
        <v>#DIV/0!</v>
      </c>
      <c r="R98" s="2842" t="e">
        <f t="shared" si="21"/>
        <v>#DIV/0!</v>
      </c>
      <c r="S98" s="2842" t="e">
        <f t="shared" si="21"/>
        <v>#DIV/0!</v>
      </c>
      <c r="T98" s="2842" t="e">
        <f t="shared" si="21"/>
        <v>#DIV/0!</v>
      </c>
      <c r="U98" s="2842" t="e">
        <f t="shared" si="21"/>
        <v>#DIV/0!</v>
      </c>
      <c r="V98" s="2842" t="e">
        <f t="shared" si="21"/>
        <v>#DIV/0!</v>
      </c>
      <c r="W98" s="2842" t="e">
        <f t="shared" si="21"/>
        <v>#DIV/0!</v>
      </c>
      <c r="X98" s="2842" t="e">
        <f t="shared" si="21"/>
        <v>#DIV/0!</v>
      </c>
      <c r="Y98" s="2842" t="e">
        <f t="shared" si="21"/>
        <v>#DIV/0!</v>
      </c>
      <c r="Z98" s="2842" t="e">
        <f t="shared" si="21"/>
        <v>#DIV/0!</v>
      </c>
      <c r="AA98" s="2842" t="e">
        <f t="shared" si="21"/>
        <v>#DIV/0!</v>
      </c>
      <c r="AB98" s="2842" t="e">
        <f t="shared" si="21"/>
        <v>#DIV/0!</v>
      </c>
      <c r="AC98" s="2843" t="e">
        <f t="shared" si="21"/>
        <v>#DIV/0!</v>
      </c>
      <c r="AD98" s="2499"/>
      <c r="BQ98" s="725"/>
    </row>
    <row r="99" spans="2:69" ht="28">
      <c r="B99" s="2520" t="s">
        <v>541</v>
      </c>
      <c r="C99" s="2521"/>
      <c r="D99" s="2521"/>
      <c r="E99" s="2522"/>
      <c r="F99" s="2508"/>
      <c r="G99" s="2516" t="s">
        <v>1594</v>
      </c>
      <c r="H99" s="2526">
        <f>IF(('Balances y Proyecciones'!Q17)&lt;&gt;360,-'Balances y Proyecciones'!H72-'Balances y Proyecciones'!H74,-'Balances y Proyecciones'!E72-'Balances y Proyecciones'!E74)</f>
        <v>0</v>
      </c>
      <c r="I99" s="2526">
        <f>IF(('Balances y Proyecciones'!Q17)&lt;&gt;360,-'Balances y Proyecciones'!N72-'Balances y Proyecciones'!N74,-'Balances y Proyecciones'!H72-'Balances y Proyecciones'!H74)</f>
        <v>0</v>
      </c>
      <c r="J99" s="2527">
        <f>IF(('Balances y Proyecciones'!Q17)&lt;&gt;360,-'Balances y Proyecciones'!Q72-'Balances y Proyecciones'!Q74,-'Balances y Proyecciones'!N72-'Balances y Proyecciones'!N74)</f>
        <v>0</v>
      </c>
      <c r="N99" s="2537" t="s">
        <v>881</v>
      </c>
      <c r="O99" s="2532">
        <f>+'Flujo de Caja Proyecto'!B16</f>
        <v>0</v>
      </c>
      <c r="P99" s="2532">
        <f>+'Flujo de Caja Proyecto'!D16</f>
        <v>0</v>
      </c>
      <c r="Q99" s="2532">
        <f>+'Flujo de Caja Proyecto'!G16</f>
        <v>0</v>
      </c>
      <c r="R99" s="2532">
        <f>+'Flujo de Caja Proyecto'!J16</f>
        <v>0</v>
      </c>
      <c r="S99" s="2532">
        <f>+'Flujo de Caja Proyecto'!M16</f>
        <v>0</v>
      </c>
      <c r="T99" s="2532">
        <f>+'Flujo de Caja Proyecto'!P16</f>
        <v>0</v>
      </c>
      <c r="U99" s="2532">
        <f>+'Flujo de Caja Proyecto'!S16</f>
        <v>0</v>
      </c>
      <c r="V99" s="2532">
        <f>+'Flujo de Caja Proyecto'!V16</f>
        <v>0</v>
      </c>
      <c r="W99" s="2532">
        <f>+'Flujo de Caja Proyecto'!Y16</f>
        <v>0</v>
      </c>
      <c r="X99" s="2532">
        <f>+'Flujo de Caja Proyecto'!AB16</f>
        <v>0</v>
      </c>
      <c r="Y99" s="2532">
        <f>+'Flujo de Caja Proyecto'!AE16</f>
        <v>0</v>
      </c>
      <c r="Z99" s="2532">
        <f>+'Flujo de Caja Proyecto'!AH16</f>
        <v>0</v>
      </c>
      <c r="AA99" s="2532">
        <f>+'Flujo de Caja Proyecto'!AK16</f>
        <v>0</v>
      </c>
      <c r="AB99" s="2532">
        <f>+'Flujo de Caja Proyecto'!AN16</f>
        <v>0</v>
      </c>
      <c r="AC99" s="2841">
        <f>+'Flujo de Caja Proyecto'!AQ16</f>
        <v>0</v>
      </c>
      <c r="AD99" s="2499"/>
      <c r="BQ99" s="725"/>
    </row>
    <row r="100" spans="2:69" ht="28">
      <c r="B100" s="2516" t="s">
        <v>543</v>
      </c>
      <c r="C100" s="2526">
        <f>IF(('Balances y Proyecciones'!Q17)&lt;&gt;360,'Balances y Proyecciones'!H18,'Balances y Proyecciones'!E18)</f>
        <v>0</v>
      </c>
      <c r="D100" s="2526">
        <f>IF(('Balances y Proyecciones'!Q17)&lt;&gt;360,'Balances y Proyecciones'!N18,'Balances y Proyecciones'!H18)</f>
        <v>0</v>
      </c>
      <c r="E100" s="2527">
        <f>IF(('Balances y Proyecciones'!Q17)&lt;&gt;360,'Balances y Proyecciones'!Q18,'Balances y Proyecciones'!N18)</f>
        <v>0</v>
      </c>
      <c r="F100" s="2508"/>
      <c r="G100" s="2528" t="s">
        <v>1480</v>
      </c>
      <c r="H100" s="2542">
        <f>+H98+H99</f>
        <v>0</v>
      </c>
      <c r="I100" s="2542">
        <f>+I98+I99</f>
        <v>0</v>
      </c>
      <c r="J100" s="2543">
        <f>+J98+J99</f>
        <v>0</v>
      </c>
      <c r="N100" s="2535" t="s">
        <v>882</v>
      </c>
      <c r="O100" s="2842" t="e">
        <f t="shared" ref="O100:AC100" si="22">O99/O97</f>
        <v>#DIV/0!</v>
      </c>
      <c r="P100" s="2842" t="e">
        <f t="shared" si="22"/>
        <v>#DIV/0!</v>
      </c>
      <c r="Q100" s="2842" t="e">
        <f t="shared" si="22"/>
        <v>#DIV/0!</v>
      </c>
      <c r="R100" s="2842" t="e">
        <f t="shared" si="22"/>
        <v>#DIV/0!</v>
      </c>
      <c r="S100" s="2842" t="e">
        <f t="shared" si="22"/>
        <v>#DIV/0!</v>
      </c>
      <c r="T100" s="2842" t="e">
        <f t="shared" si="22"/>
        <v>#DIV/0!</v>
      </c>
      <c r="U100" s="2842" t="e">
        <f t="shared" si="22"/>
        <v>#DIV/0!</v>
      </c>
      <c r="V100" s="2842" t="e">
        <f t="shared" si="22"/>
        <v>#DIV/0!</v>
      </c>
      <c r="W100" s="2842" t="e">
        <f t="shared" si="22"/>
        <v>#DIV/0!</v>
      </c>
      <c r="X100" s="2842" t="e">
        <f t="shared" si="22"/>
        <v>#DIV/0!</v>
      </c>
      <c r="Y100" s="2842" t="e">
        <f t="shared" si="22"/>
        <v>#DIV/0!</v>
      </c>
      <c r="Z100" s="2842" t="e">
        <f t="shared" si="22"/>
        <v>#DIV/0!</v>
      </c>
      <c r="AA100" s="2842" t="e">
        <f t="shared" si="22"/>
        <v>#DIV/0!</v>
      </c>
      <c r="AB100" s="2842" t="e">
        <f t="shared" si="22"/>
        <v>#DIV/0!</v>
      </c>
      <c r="AC100" s="2843" t="e">
        <f t="shared" si="22"/>
        <v>#DIV/0!</v>
      </c>
      <c r="AD100" s="2499"/>
      <c r="BQ100" s="725"/>
    </row>
    <row r="101" spans="2:69" ht="28">
      <c r="B101" s="2516" t="s">
        <v>107</v>
      </c>
      <c r="C101" s="2526">
        <f>IF(('Balances y Proyecciones'!Q17)&lt;&gt;360,'Balances y Proyecciones'!H19+'Balances y Proyecciones'!H20,'Balances y Proyecciones'!E19+'Balances y Proyecciones'!E20)</f>
        <v>0</v>
      </c>
      <c r="D101" s="2526">
        <f>IF(('Balances y Proyecciones'!Q17)&lt;&gt;360,'Balances y Proyecciones'!N19+'Balances y Proyecciones'!N20,'Balances y Proyecciones'!H19+'Balances y Proyecciones'!H20)</f>
        <v>0</v>
      </c>
      <c r="E101" s="2527">
        <f>IF(('Balances y Proyecciones'!Q17)&lt;&gt;360,'Balances y Proyecciones'!Q19+'Balances y Proyecciones'!Q20,'Balances y Proyecciones'!N19+'Balances y Proyecciones'!N20)</f>
        <v>0</v>
      </c>
      <c r="F101" s="2508"/>
      <c r="G101" s="2528" t="s">
        <v>881</v>
      </c>
      <c r="H101" s="2542">
        <f>IF(('Balances y Proyecciones'!Q17)&lt;&gt;360,'Balances y Proyecciones'!H93,'Balances y Proyecciones'!E93)</f>
        <v>0</v>
      </c>
      <c r="I101" s="2542">
        <f>IF(('Balances y Proyecciones'!Q17)&lt;&gt;360,'Balances y Proyecciones'!N93,'Balances y Proyecciones'!H93)</f>
        <v>0</v>
      </c>
      <c r="J101" s="2543">
        <f>IF(('Balances y Proyecciones'!Q17)&lt;&gt;360,'Balances y Proyecciones'!Q93,'Balances y Proyecciones'!N93)</f>
        <v>0</v>
      </c>
      <c r="N101" s="2537" t="s">
        <v>1602</v>
      </c>
      <c r="O101" s="2532">
        <f>+'Flujo de Caja Proyecto'!B18</f>
        <v>0</v>
      </c>
      <c r="P101" s="2532">
        <f>+'Flujo de Caja Proyecto'!D18</f>
        <v>0</v>
      </c>
      <c r="Q101" s="2532">
        <f>+'Flujo de Caja Proyecto'!G18</f>
        <v>0</v>
      </c>
      <c r="R101" s="2532">
        <f>+'Flujo de Caja Proyecto'!J18</f>
        <v>0</v>
      </c>
      <c r="S101" s="2532">
        <f>+'Flujo de Caja Proyecto'!M18</f>
        <v>0</v>
      </c>
      <c r="T101" s="2532">
        <f>+'Flujo de Caja Proyecto'!P18</f>
        <v>0</v>
      </c>
      <c r="U101" s="2532">
        <f>+'Flujo de Caja Proyecto'!S18</f>
        <v>0</v>
      </c>
      <c r="V101" s="2532">
        <f>+'Flujo de Caja Proyecto'!V18</f>
        <v>0</v>
      </c>
      <c r="W101" s="2532">
        <f>+'Flujo de Caja Proyecto'!Y18</f>
        <v>0</v>
      </c>
      <c r="X101" s="2532">
        <f>+'Flujo de Caja Proyecto'!AB18</f>
        <v>0</v>
      </c>
      <c r="Y101" s="2532">
        <f>+'Flujo de Caja Proyecto'!AE18</f>
        <v>0</v>
      </c>
      <c r="Z101" s="2532">
        <f>+'Flujo de Caja Proyecto'!AH18</f>
        <v>0</v>
      </c>
      <c r="AA101" s="2532">
        <f>+'Flujo de Caja Proyecto'!AK18</f>
        <v>0</v>
      </c>
      <c r="AB101" s="2532">
        <f>+'Flujo de Caja Proyecto'!AN18</f>
        <v>0</v>
      </c>
      <c r="AC101" s="2841">
        <f>+'Flujo de Caja Proyecto'!AQ18</f>
        <v>0</v>
      </c>
      <c r="AD101" s="2499"/>
      <c r="BQ101" s="725"/>
    </row>
    <row r="102" spans="2:69" ht="27.5">
      <c r="B102" s="2516" t="s">
        <v>1598</v>
      </c>
      <c r="C102" s="2526">
        <f>IF(('Balances y Proyecciones'!Q17)&lt;&gt;360,'Balances y Proyecciones'!H21+'Balances y Proyecciones'!H22,'Balances y Proyecciones'!E21+'Balances y Proyecciones'!E22)</f>
        <v>0</v>
      </c>
      <c r="D102" s="2526">
        <f>IF(('Balances y Proyecciones'!Q17)&lt;&gt;360,'Balances y Proyecciones'!N21+'Balances y Proyecciones'!N22,'Balances y Proyecciones'!H21+'Balances y Proyecciones'!H22)</f>
        <v>0</v>
      </c>
      <c r="E102" s="2527">
        <f>IF(('Balances y Proyecciones'!Q17)&lt;&gt;360,'Balances y Proyecciones'!Q21+'Balances y Proyecciones'!Q22,'Balances y Proyecciones'!N21+'Balances y Proyecciones'!N22)</f>
        <v>0</v>
      </c>
      <c r="F102" s="2508"/>
      <c r="G102" s="2516" t="s">
        <v>1497</v>
      </c>
      <c r="H102" s="2526">
        <f>IF(('Balances y Proyecciones'!Q17)&lt;&gt;360,-'Balances y Proyecciones'!H76,-'Balances y Proyecciones'!E76)</f>
        <v>0</v>
      </c>
      <c r="I102" s="2526">
        <f>IF(('Balances y Proyecciones'!Q17)&lt;&gt;360,-'Balances y Proyecciones'!N76,-'Balances y Proyecciones'!H76)</f>
        <v>0</v>
      </c>
      <c r="J102" s="2527">
        <f>IF(('Balances y Proyecciones'!Q17)&lt;&gt;360,-'Balances y Proyecciones'!Q76,-'Balances y Proyecciones'!N76)</f>
        <v>0</v>
      </c>
      <c r="N102" s="2537" t="s">
        <v>811</v>
      </c>
      <c r="O102" s="2532">
        <f>+'Flujo de Caja Proyecto'!B19</f>
        <v>0</v>
      </c>
      <c r="P102" s="2532">
        <f>+'Flujo de Caja Proyecto'!D19</f>
        <v>0</v>
      </c>
      <c r="Q102" s="2532">
        <f>+'Flujo de Caja Proyecto'!G19</f>
        <v>0</v>
      </c>
      <c r="R102" s="2532">
        <f>+'Flujo de Caja Proyecto'!J19</f>
        <v>0</v>
      </c>
      <c r="S102" s="2532">
        <f>+'Flujo de Caja Proyecto'!M19</f>
        <v>0</v>
      </c>
      <c r="T102" s="2532">
        <f>+'Flujo de Caja Proyecto'!P19</f>
        <v>0</v>
      </c>
      <c r="U102" s="2532">
        <f>+'Flujo de Caja Proyecto'!S19</f>
        <v>0</v>
      </c>
      <c r="V102" s="2532">
        <f>+'Flujo de Caja Proyecto'!V19</f>
        <v>0</v>
      </c>
      <c r="W102" s="2532">
        <f>+'Flujo de Caja Proyecto'!Y19</f>
        <v>0</v>
      </c>
      <c r="X102" s="2532">
        <f>+'Flujo de Caja Proyecto'!AB19</f>
        <v>0</v>
      </c>
      <c r="Y102" s="2532">
        <f>+'Flujo de Caja Proyecto'!AE19</f>
        <v>0</v>
      </c>
      <c r="Z102" s="2532">
        <f>+'Flujo de Caja Proyecto'!AH19</f>
        <v>0</v>
      </c>
      <c r="AA102" s="2532">
        <f>+'Flujo de Caja Proyecto'!AK19</f>
        <v>0</v>
      </c>
      <c r="AB102" s="2532">
        <f>+'Flujo de Caja Proyecto'!AN19</f>
        <v>0</v>
      </c>
      <c r="AC102" s="2841">
        <f>+'Flujo de Caja Proyecto'!AQ19</f>
        <v>0</v>
      </c>
      <c r="AD102" s="2499"/>
      <c r="BQ102" s="725"/>
    </row>
    <row r="103" spans="2:69" ht="27.5">
      <c r="B103" s="2516" t="s">
        <v>1769</v>
      </c>
      <c r="C103" s="2526">
        <f>IF(('Balances y Proyecciones'!Q17)&lt;&gt;360,'Estados Financieros'!F40,'Estados Financieros'!E40)</f>
        <v>0</v>
      </c>
      <c r="D103" s="2526">
        <f>IF(('Balances y Proyecciones'!Q17)&lt;&gt;360,'Estados Financieros'!G40,'Estados Financieros'!F40)</f>
        <v>0</v>
      </c>
      <c r="E103" s="2527">
        <f>IF(('Balances y Proyecciones'!Q17)&lt;&gt;360,'Estados Financieros'!H40,'Estados Financieros'!G40)</f>
        <v>0</v>
      </c>
      <c r="F103" s="2508"/>
      <c r="G103" s="2516" t="s">
        <v>1600</v>
      </c>
      <c r="H103" s="2844">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0</v>
      </c>
      <c r="I103" s="2844">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0</v>
      </c>
      <c r="J103" s="2845">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0</v>
      </c>
      <c r="N103" s="2537" t="s">
        <v>1771</v>
      </c>
      <c r="O103" s="2532">
        <f>+'Flujo de Caja Proyecto'!B23</f>
        <v>0</v>
      </c>
      <c r="P103" s="2532">
        <f>+'Flujo de Caja Proyecto'!D23</f>
        <v>0</v>
      </c>
      <c r="Q103" s="2532">
        <f>+'Flujo de Caja Proyecto'!G23</f>
        <v>0</v>
      </c>
      <c r="R103" s="2532">
        <f>+'Flujo de Caja Proyecto'!J23</f>
        <v>0</v>
      </c>
      <c r="S103" s="2532">
        <f>+'Flujo de Caja Proyecto'!M23</f>
        <v>0</v>
      </c>
      <c r="T103" s="2532">
        <f>+'Flujo de Caja Proyecto'!P23</f>
        <v>0</v>
      </c>
      <c r="U103" s="2532">
        <f>+'Flujo de Caja Proyecto'!S23</f>
        <v>0</v>
      </c>
      <c r="V103" s="2532">
        <f>+'Flujo de Caja Proyecto'!V23</f>
        <v>0</v>
      </c>
      <c r="W103" s="2532">
        <f>+'Flujo de Caja Proyecto'!Y23</f>
        <v>0</v>
      </c>
      <c r="X103" s="2532">
        <f>+'Flujo de Caja Proyecto'!AB23</f>
        <v>0</v>
      </c>
      <c r="Y103" s="2532">
        <f>+'Flujo de Caja Proyecto'!AE23</f>
        <v>0</v>
      </c>
      <c r="Z103" s="2532">
        <f>+'Flujo de Caja Proyecto'!AH23</f>
        <v>0</v>
      </c>
      <c r="AA103" s="2532">
        <f>+'Flujo de Caja Proyecto'!AK23</f>
        <v>0</v>
      </c>
      <c r="AB103" s="2532">
        <f>+'Flujo de Caja Proyecto'!AN23</f>
        <v>0</v>
      </c>
      <c r="AC103" s="2841">
        <f>+'Flujo de Caja Proyecto'!AQ23</f>
        <v>0</v>
      </c>
      <c r="AD103" s="2499"/>
      <c r="BQ103" s="725"/>
    </row>
    <row r="104" spans="2:69" ht="28">
      <c r="B104" s="2516" t="s">
        <v>1770</v>
      </c>
      <c r="C104" s="2526">
        <f>IF(('Balances y Proyecciones'!Q17)&lt;&gt;360,'Estados Financieros'!F46,'Estados Financieros'!E46)</f>
        <v>0</v>
      </c>
      <c r="D104" s="2526">
        <f>IF(('Balances y Proyecciones'!Q17)&lt;&gt;360,'Estados Financieros'!G46,'Estados Financieros'!F46)</f>
        <v>0</v>
      </c>
      <c r="E104" s="2527">
        <f>IF(('Balances y Proyecciones'!Q17)&lt;&gt;360,'Estados Financieros'!H46,'Estados Financieros'!G46)</f>
        <v>0</v>
      </c>
      <c r="F104" s="2508"/>
      <c r="G104" s="2516" t="s">
        <v>1601</v>
      </c>
      <c r="H104" s="2844">
        <f>IF(('Balances y Proyecciones'!Q17)&lt;&gt;360,'Balances y Proyecciones'!H78,'Balances y Proyecciones'!E78)</f>
        <v>0</v>
      </c>
      <c r="I104" s="2844">
        <f>IF(('Balances y Proyecciones'!Q17)&lt;&gt;360,'Balances y Proyecciones'!N78,'Balances y Proyecciones'!H78)</f>
        <v>0</v>
      </c>
      <c r="J104" s="2845">
        <f>IF(('Balances y Proyecciones'!Q17)&lt;&gt;360,'Balances y Proyecciones'!Q78,'Balances y Proyecciones'!N78)</f>
        <v>0</v>
      </c>
      <c r="N104" s="2549" t="s">
        <v>1610</v>
      </c>
      <c r="O104" s="2550">
        <f t="shared" ref="O104:AC104" si="23">+O99+O101+O102+O103</f>
        <v>0</v>
      </c>
      <c r="P104" s="2550">
        <f t="shared" si="23"/>
        <v>0</v>
      </c>
      <c r="Q104" s="2550">
        <f t="shared" si="23"/>
        <v>0</v>
      </c>
      <c r="R104" s="2550">
        <f t="shared" si="23"/>
        <v>0</v>
      </c>
      <c r="S104" s="2550">
        <f t="shared" si="23"/>
        <v>0</v>
      </c>
      <c r="T104" s="2550">
        <f t="shared" si="23"/>
        <v>0</v>
      </c>
      <c r="U104" s="2550">
        <f t="shared" si="23"/>
        <v>0</v>
      </c>
      <c r="V104" s="2550">
        <f t="shared" si="23"/>
        <v>0</v>
      </c>
      <c r="W104" s="2550">
        <f t="shared" si="23"/>
        <v>0</v>
      </c>
      <c r="X104" s="2550">
        <f t="shared" si="23"/>
        <v>0</v>
      </c>
      <c r="Y104" s="2550">
        <f t="shared" si="23"/>
        <v>0</v>
      </c>
      <c r="Z104" s="2550">
        <f t="shared" si="23"/>
        <v>0</v>
      </c>
      <c r="AA104" s="2550">
        <f t="shared" si="23"/>
        <v>0</v>
      </c>
      <c r="AB104" s="2550">
        <f t="shared" si="23"/>
        <v>0</v>
      </c>
      <c r="AC104" s="2846">
        <f t="shared" si="23"/>
        <v>0</v>
      </c>
      <c r="AD104" s="2499"/>
      <c r="BQ104" s="725"/>
    </row>
    <row r="105" spans="2:69" ht="27.5">
      <c r="B105" s="2516" t="s">
        <v>1772</v>
      </c>
      <c r="C105" s="2526">
        <f>IF(('Balances y Proyecciones'!Q17)&lt;&gt;360,'Estados Financieros'!F54-'Estados Financieros'!F40-'Estados Financieros'!F42-'Estados Financieros'!F46-'Estados Financieros'!F47,'Estados Financieros'!E54-'Estados Financieros'!E40-'Estados Financieros'!E42-'Estados Financieros'!E46-'Estados Financieros'!E47)</f>
        <v>0</v>
      </c>
      <c r="D105" s="2526">
        <f>IF(('Balances y Proyecciones'!Q17)&lt;&gt;360,'Estados Financieros'!G54-'Estados Financieros'!G40-'Estados Financieros'!G42-'Estados Financieros'!G46-'Estados Financieros'!G47,'Estados Financieros'!F54-'Estados Financieros'!F40-'Estados Financieros'!F42-'Estados Financieros'!F46-'Estados Financieros'!F47)</f>
        <v>0</v>
      </c>
      <c r="E105" s="2527">
        <f>IF(('Balances y Proyecciones'!Q17)&lt;&gt;360,'Estados Financieros'!H54-'Estados Financieros'!H40-'Estados Financieros'!H42-'Estados Financieros'!H46-'Estados Financieros'!H47,'Estados Financieros'!G54-'Estados Financieros'!G40-'Estados Financieros'!G42-'Estados Financieros'!G46-'Estados Financieros'!G47)</f>
        <v>0</v>
      </c>
      <c r="F105" s="2508"/>
      <c r="G105" s="2516" t="s">
        <v>811</v>
      </c>
      <c r="H105" s="2844">
        <f>IF(('Balances y Proyecciones'!Q17)&lt;&gt;360,-'Balances y Proyecciones'!H88,-'Balances y Proyecciones'!E88)</f>
        <v>0</v>
      </c>
      <c r="I105" s="2844">
        <f>IF(('Balances y Proyecciones'!Q17)&lt;&gt;360,-'Balances y Proyecciones'!N88,-'Balances y Proyecciones'!H88)</f>
        <v>0</v>
      </c>
      <c r="J105" s="2845">
        <f>IF(('Balances y Proyecciones'!Q17)&lt;&gt;360,-'Balances y Proyecciones'!Q88,-'Balances y Proyecciones'!N88)</f>
        <v>0</v>
      </c>
      <c r="N105" s="2537" t="s">
        <v>1774</v>
      </c>
      <c r="O105" s="2532">
        <f>+'Flujo de Caja Proyecto'!B25</f>
        <v>0</v>
      </c>
      <c r="P105" s="2532">
        <f>+'Flujo de Caja Proyecto'!D25</f>
        <v>0</v>
      </c>
      <c r="Q105" s="2532">
        <f>+'Flujo de Caja Proyecto'!G25</f>
        <v>0</v>
      </c>
      <c r="R105" s="2532">
        <f>+'Flujo de Caja Proyecto'!J25</f>
        <v>0</v>
      </c>
      <c r="S105" s="2532">
        <f>+'Flujo de Caja Proyecto'!M25</f>
        <v>0</v>
      </c>
      <c r="T105" s="2532">
        <f>+'Flujo de Caja Proyecto'!P25</f>
        <v>0</v>
      </c>
      <c r="U105" s="2532">
        <f>+'Flujo de Caja Proyecto'!S25</f>
        <v>0</v>
      </c>
      <c r="V105" s="2532">
        <f>+'Flujo de Caja Proyecto'!V25</f>
        <v>0</v>
      </c>
      <c r="W105" s="2532">
        <f>+'Flujo de Caja Proyecto'!Y25</f>
        <v>0</v>
      </c>
      <c r="X105" s="2532">
        <f>+'Flujo de Caja Proyecto'!AB25</f>
        <v>0</v>
      </c>
      <c r="Y105" s="2532">
        <f>+'Flujo de Caja Proyecto'!AE25</f>
        <v>0</v>
      </c>
      <c r="Z105" s="2532">
        <f>+'Flujo de Caja Proyecto'!AH25</f>
        <v>0</v>
      </c>
      <c r="AA105" s="2532">
        <f>+'Flujo de Caja Proyecto'!AK25</f>
        <v>0</v>
      </c>
      <c r="AB105" s="2532">
        <f>+'Flujo de Caja Proyecto'!AN25</f>
        <v>0</v>
      </c>
      <c r="AC105" s="2841">
        <f>+'Flujo de Caja Proyecto'!AQ25</f>
        <v>0</v>
      </c>
      <c r="AD105" s="2499"/>
      <c r="BQ105" s="725"/>
    </row>
    <row r="106" spans="2:69" ht="28">
      <c r="B106" s="2516" t="s">
        <v>1773</v>
      </c>
      <c r="C106" s="2526">
        <f>IF(('Balances y Proyecciones'!Q17)&lt;&gt;360,'Estados Financieros'!F42+'Estados Financieros'!F47,'Estados Financieros'!E42+'Estados Financieros'!E47)</f>
        <v>0</v>
      </c>
      <c r="D106" s="2526">
        <f>IF(('Balances y Proyecciones'!Q17)&lt;&gt;360,'Estados Financieros'!G42+'Estados Financieros'!G47,'Estados Financieros'!F42+'Estados Financieros'!F47)</f>
        <v>0</v>
      </c>
      <c r="E106" s="2527">
        <f>IF(('Balances y Proyecciones'!Q17)&lt;&gt;360,'Estados Financieros'!H42+'Estados Financieros'!H47,'Estados Financieros'!G42+'Estados Financieros'!G47)</f>
        <v>0</v>
      </c>
      <c r="F106" s="2508"/>
      <c r="G106" s="2544" t="s">
        <v>1487</v>
      </c>
      <c r="H106" s="2847">
        <f>+H100+H102+H103+H104+H105</f>
        <v>0</v>
      </c>
      <c r="I106" s="2847">
        <f>+I100+I102+I103+I104+I105</f>
        <v>0</v>
      </c>
      <c r="J106" s="2848">
        <f>+J100+J102+J103+J104+J105</f>
        <v>0</v>
      </c>
      <c r="N106" s="2537" t="s">
        <v>1615</v>
      </c>
      <c r="O106" s="2532">
        <f>+'Flujo de Caja Proyecto'!B24</f>
        <v>0</v>
      </c>
      <c r="P106" s="2532">
        <f>+'Flujo de Caja Proyecto'!D24</f>
        <v>0</v>
      </c>
      <c r="Q106" s="2532">
        <f>+'Flujo de Caja Proyecto'!G24</f>
        <v>0</v>
      </c>
      <c r="R106" s="2532">
        <f>+'Flujo de Caja Proyecto'!J24</f>
        <v>0</v>
      </c>
      <c r="S106" s="2532">
        <f>+'Flujo de Caja Proyecto'!M24</f>
        <v>0</v>
      </c>
      <c r="T106" s="2532">
        <f>+'Flujo de Caja Proyecto'!P24</f>
        <v>0</v>
      </c>
      <c r="U106" s="2532">
        <f>+'Flujo de Caja Proyecto'!S24</f>
        <v>0</v>
      </c>
      <c r="V106" s="2532">
        <f>+'Flujo de Caja Proyecto'!V24</f>
        <v>0</v>
      </c>
      <c r="W106" s="2532">
        <f>+'Flujo de Caja Proyecto'!Y24</f>
        <v>0</v>
      </c>
      <c r="X106" s="2532">
        <f>+'Flujo de Caja Proyecto'!AB24</f>
        <v>0</v>
      </c>
      <c r="Y106" s="2532">
        <f>+'Flujo de Caja Proyecto'!AE24</f>
        <v>0</v>
      </c>
      <c r="Z106" s="2532">
        <f>+'Flujo de Caja Proyecto'!AH24</f>
        <v>0</v>
      </c>
      <c r="AA106" s="2532">
        <f>+'Flujo de Caja Proyecto'!AK24</f>
        <v>0</v>
      </c>
      <c r="AB106" s="2532">
        <f>+'Flujo de Caja Proyecto'!AN24</f>
        <v>0</v>
      </c>
      <c r="AC106" s="2841">
        <f>+'Flujo de Caja Proyecto'!AQ24</f>
        <v>0</v>
      </c>
      <c r="AD106" s="2499"/>
      <c r="BQ106" s="725"/>
    </row>
    <row r="107" spans="2:69" ht="28">
      <c r="B107" s="2516" t="s">
        <v>663</v>
      </c>
      <c r="C107" s="2526">
        <f>IF(('Balances y Proyecciones'!Q17)&lt;&gt;360,'Estados Financieros'!F81+'Estados Financieros'!F89+'Estados Financieros'!F95,'Estados Financieros'!E81+'Estados Financieros'!E89+'Estados Financieros'!E95)</f>
        <v>0</v>
      </c>
      <c r="D107" s="2526">
        <f>IF(('Balances y Proyecciones'!Q17)&lt;&gt;360,'Estados Financieros'!G81+'Estados Financieros'!G89+'Estados Financieros'!G95,'Estados Financieros'!F81+'Estados Financieros'!F89+'Estados Financieros'!F95)</f>
        <v>0</v>
      </c>
      <c r="E107" s="2527">
        <f>IF(('Balances y Proyecciones'!Q17)&lt;&gt;360,'Estados Financieros'!H81+'Estados Financieros'!H89+'Estados Financieros'!H95,'Estados Financieros'!G81+'Estados Financieros'!G89+'Estados Financieros'!G95)</f>
        <v>0</v>
      </c>
      <c r="F107" s="2508"/>
      <c r="N107" s="2549" t="s">
        <v>1617</v>
      </c>
      <c r="O107" s="2550">
        <f t="shared" ref="O107:AC107" si="24">+O104+O105+O106</f>
        <v>0</v>
      </c>
      <c r="P107" s="2550">
        <f t="shared" si="24"/>
        <v>0</v>
      </c>
      <c r="Q107" s="2550">
        <f t="shared" si="24"/>
        <v>0</v>
      </c>
      <c r="R107" s="2550">
        <f t="shared" si="24"/>
        <v>0</v>
      </c>
      <c r="S107" s="2550">
        <f t="shared" si="24"/>
        <v>0</v>
      </c>
      <c r="T107" s="2550">
        <f t="shared" si="24"/>
        <v>0</v>
      </c>
      <c r="U107" s="2550">
        <f t="shared" si="24"/>
        <v>0</v>
      </c>
      <c r="V107" s="2550">
        <f t="shared" si="24"/>
        <v>0</v>
      </c>
      <c r="W107" s="2550">
        <f t="shared" si="24"/>
        <v>0</v>
      </c>
      <c r="X107" s="2550">
        <f t="shared" si="24"/>
        <v>0</v>
      </c>
      <c r="Y107" s="2550">
        <f t="shared" si="24"/>
        <v>0</v>
      </c>
      <c r="Z107" s="2550">
        <f t="shared" si="24"/>
        <v>0</v>
      </c>
      <c r="AA107" s="2550">
        <f t="shared" si="24"/>
        <v>0</v>
      </c>
      <c r="AB107" s="2550">
        <f t="shared" si="24"/>
        <v>0</v>
      </c>
      <c r="AC107" s="2846">
        <f t="shared" si="24"/>
        <v>0</v>
      </c>
      <c r="AD107" s="2499"/>
      <c r="BQ107" s="725"/>
    </row>
    <row r="108" spans="2:69" ht="28">
      <c r="B108" s="2528" t="s">
        <v>1603</v>
      </c>
      <c r="C108" s="2542">
        <f>SUM(C100:C107)</f>
        <v>0</v>
      </c>
      <c r="D108" s="2542">
        <f>SUM(D100:D107)</f>
        <v>0</v>
      </c>
      <c r="E108" s="2543">
        <f>SUM(E100:E107)</f>
        <v>0</v>
      </c>
      <c r="F108" s="2508"/>
      <c r="G108" s="2523" t="s">
        <v>1607</v>
      </c>
      <c r="H108" s="2548"/>
      <c r="I108" s="2548"/>
      <c r="J108" s="2744"/>
      <c r="N108" s="2537" t="s">
        <v>1497</v>
      </c>
      <c r="O108" s="2532">
        <f ca="1">+'Flujo de Caja Proyecto'!B35</f>
        <v>0</v>
      </c>
      <c r="P108" s="2532">
        <f ca="1">+'Flujo de Caja Proyecto'!D35</f>
        <v>0</v>
      </c>
      <c r="Q108" s="2532">
        <f ca="1">+'Flujo de Caja Proyecto'!G35</f>
        <v>0</v>
      </c>
      <c r="R108" s="2532">
        <f ca="1">+'Flujo de Caja Proyecto'!J35</f>
        <v>0</v>
      </c>
      <c r="S108" s="2532">
        <f ca="1">+'Flujo de Caja Proyecto'!M35</f>
        <v>0</v>
      </c>
      <c r="T108" s="2532">
        <f ca="1">+'Flujo de Caja Proyecto'!P35</f>
        <v>0</v>
      </c>
      <c r="U108" s="2532">
        <f ca="1">+'Flujo de Caja Proyecto'!S35</f>
        <v>0</v>
      </c>
      <c r="V108" s="2532">
        <f ca="1">+'Flujo de Caja Proyecto'!V35</f>
        <v>0</v>
      </c>
      <c r="W108" s="2532">
        <f ca="1">+'Flujo de Caja Proyecto'!Y35</f>
        <v>0</v>
      </c>
      <c r="X108" s="2532">
        <f ca="1">+'Flujo de Caja Proyecto'!AB35</f>
        <v>0</v>
      </c>
      <c r="Y108" s="2532">
        <f ca="1">+'Flujo de Caja Proyecto'!AE35</f>
        <v>0</v>
      </c>
      <c r="Z108" s="2532">
        <f ca="1">+'Flujo de Caja Proyecto'!AH35</f>
        <v>0</v>
      </c>
      <c r="AA108" s="2532">
        <f ca="1">+'Flujo de Caja Proyecto'!AK35</f>
        <v>0</v>
      </c>
      <c r="AB108" s="2532">
        <f ca="1">+'Flujo de Caja Proyecto'!AN35</f>
        <v>0</v>
      </c>
      <c r="AC108" s="2841">
        <f ca="1">+'Flujo de Caja Proyecto'!AQ35</f>
        <v>0</v>
      </c>
      <c r="AD108" s="2499"/>
      <c r="BQ108" s="725"/>
    </row>
    <row r="109" spans="2:69" ht="28">
      <c r="B109" s="2516" t="s">
        <v>1604</v>
      </c>
      <c r="C109" s="2526">
        <f>IF(('Balances y Proyecciones'!Q17)&lt;&gt;360,'Balances y Proyecciones'!H28+'Balances y Proyecciones'!H29,'Balances y Proyecciones'!E28+'Balances y Proyecciones'!E29)</f>
        <v>0</v>
      </c>
      <c r="D109" s="2526">
        <f>IF(('Balances y Proyecciones'!Q17)&lt;&gt;360,'Balances y Proyecciones'!N28+'Balances y Proyecciones'!N29,'Balances y Proyecciones'!H28+'Balances y Proyecciones'!H29)</f>
        <v>0</v>
      </c>
      <c r="E109" s="2527">
        <f>IF(('Balances y Proyecciones'!Q17)&lt;&gt;360,'Balances y Proyecciones'!Q28+'Balances y Proyecciones'!Q29,'Balances y Proyecciones'!N28+'Balances y Proyecciones'!N29)</f>
        <v>0</v>
      </c>
      <c r="F109" s="2508"/>
      <c r="G109" s="2513"/>
      <c r="H109" s="2514" t="str">
        <f>IF(('Balances y Proyecciones'!Q17)&lt;&gt;360,CONCATENATE((LEFT('Balances y Proyecciones'!H16,3))," ",RIGHT('Balances y Proyecciones'!H15,2)),CONCATENATE((LEFT('Balances y Proyecciones'!E16,3))," ",RIGHT('Balances y Proyecciones'!E15,2)))</f>
        <v>Dic 17</v>
      </c>
      <c r="I109" s="2514" t="str">
        <f>IF(('Balances y Proyecciones'!Q17)&lt;&gt;360,CONCATENATE((LEFT('Balances y Proyecciones'!N16,3))," ",RIGHT('Balances y Proyecciones'!N15,2)),CONCATENATE((LEFT('Balances y Proyecciones'!H16,3))," ",RIGHT('Balances y Proyecciones'!H15,2)))</f>
        <v>Dic 18</v>
      </c>
      <c r="J109" s="2512" t="str">
        <f>IF(('Balances y Proyecciones'!Q17)&lt;&gt;360,CONCATENATE((LEFT('Balances y Proyecciones'!Q16,3))," ",RIGHT('Balances y Proyecciones'!Q15,2)),CONCATENATE((LEFT('Balances y Proyecciones'!N16,3))," ",RIGHT('Balances y Proyecciones'!N15,2)))</f>
        <v>Dic 19</v>
      </c>
      <c r="N109" s="2537" t="s">
        <v>1620</v>
      </c>
      <c r="O109" s="2532">
        <f>+'Flujo de Caja Proyecto'!B36+'Flujo de Caja Proyecto'!B37+'Flujo de Caja Proyecto'!B38</f>
        <v>0</v>
      </c>
      <c r="P109" s="2532">
        <f ca="1">+'Flujo de Caja Proyecto'!D36+'Flujo de Caja Proyecto'!D37+'Flujo de Caja Proyecto'!D38</f>
        <v>0</v>
      </c>
      <c r="Q109" s="2532">
        <f ca="1">+'Flujo de Caja Proyecto'!G36+'Flujo de Caja Proyecto'!G37+'Flujo de Caja Proyecto'!G38</f>
        <v>0</v>
      </c>
      <c r="R109" s="2532">
        <f ca="1">+'Flujo de Caja Proyecto'!J36+'Flujo de Caja Proyecto'!J37+'Flujo de Caja Proyecto'!J38</f>
        <v>0</v>
      </c>
      <c r="S109" s="2532">
        <f ca="1">+'Flujo de Caja Proyecto'!M36+'Flujo de Caja Proyecto'!M37+'Flujo de Caja Proyecto'!M38</f>
        <v>0</v>
      </c>
      <c r="T109" s="2532">
        <f ca="1">+'Flujo de Caja Proyecto'!P36+'Flujo de Caja Proyecto'!P37+'Flujo de Caja Proyecto'!P38</f>
        <v>0</v>
      </c>
      <c r="U109" s="2532">
        <f ca="1">+'Flujo de Caja Proyecto'!S36+'Flujo de Caja Proyecto'!S37+'Flujo de Caja Proyecto'!S38</f>
        <v>0</v>
      </c>
      <c r="V109" s="2532">
        <f ca="1">+'Flujo de Caja Proyecto'!V36+'Flujo de Caja Proyecto'!V37+'Flujo de Caja Proyecto'!V38</f>
        <v>0</v>
      </c>
      <c r="W109" s="2532">
        <f ca="1">+'Flujo de Caja Proyecto'!Y36+'Flujo de Caja Proyecto'!Y37+'Flujo de Caja Proyecto'!Y38</f>
        <v>0</v>
      </c>
      <c r="X109" s="2532">
        <f ca="1">+'Flujo de Caja Proyecto'!AB36+'Flujo de Caja Proyecto'!AB37+'Flujo de Caja Proyecto'!AB38</f>
        <v>0</v>
      </c>
      <c r="Y109" s="2532">
        <f ca="1">+'Flujo de Caja Proyecto'!AE36+'Flujo de Caja Proyecto'!AE37+'Flujo de Caja Proyecto'!AE38</f>
        <v>0</v>
      </c>
      <c r="Z109" s="2532">
        <f ca="1">+'Flujo de Caja Proyecto'!AH36+'Flujo de Caja Proyecto'!AH37+'Flujo de Caja Proyecto'!AH38</f>
        <v>0</v>
      </c>
      <c r="AA109" s="2532">
        <f ca="1">+'Flujo de Caja Proyecto'!AK36+'Flujo de Caja Proyecto'!AK37+'Flujo de Caja Proyecto'!AK38</f>
        <v>0</v>
      </c>
      <c r="AB109" s="2532">
        <f ca="1">+'Flujo de Caja Proyecto'!AN36+'Flujo de Caja Proyecto'!AN37+'Flujo de Caja Proyecto'!AN38</f>
        <v>0</v>
      </c>
      <c r="AC109" s="2841">
        <f ca="1">+'Flujo de Caja Proyecto'!AQ36+'Flujo de Caja Proyecto'!AQ37+'Flujo de Caja Proyecto'!AQ38</f>
        <v>0</v>
      </c>
      <c r="AD109" s="2499"/>
      <c r="BQ109" s="725"/>
    </row>
    <row r="110" spans="2:69" ht="28">
      <c r="B110" s="2516" t="s">
        <v>1491</v>
      </c>
      <c r="C110" s="2526">
        <f>IF(('Balances y Proyecciones'!Q17)&lt;&gt;360,'Balances y Proyecciones'!H27,'Balances y Proyecciones'!E27)</f>
        <v>0</v>
      </c>
      <c r="D110" s="2526">
        <f>IF(('Balances y Proyecciones'!Q17)&lt;&gt;360,'Balances y Proyecciones'!N27,'Balances y Proyecciones'!H27)</f>
        <v>0</v>
      </c>
      <c r="E110" s="2527">
        <f>IF(('Balances y Proyecciones'!Q17)&lt;&gt;360,'Balances y Proyecciones'!Q27,'Balances y Proyecciones'!N27)</f>
        <v>0</v>
      </c>
      <c r="F110" s="2508"/>
      <c r="G110" s="2551" t="s">
        <v>1612</v>
      </c>
      <c r="H110" s="2552"/>
      <c r="I110" s="2552"/>
      <c r="J110" s="2553"/>
      <c r="N110" s="2537" t="s">
        <v>1622</v>
      </c>
      <c r="O110" s="2532">
        <f ca="1">+'Flujo de Caja Proyecto'!B29</f>
        <v>0</v>
      </c>
      <c r="P110" s="2532">
        <f ca="1">+'Flujo de Caja Proyecto'!D29</f>
        <v>0</v>
      </c>
      <c r="Q110" s="2532">
        <f ca="1">+'Flujo de Caja Proyecto'!G29</f>
        <v>0</v>
      </c>
      <c r="R110" s="2532">
        <f ca="1">+'Flujo de Caja Proyecto'!J29</f>
        <v>0</v>
      </c>
      <c r="S110" s="2532">
        <f ca="1">+'Flujo de Caja Proyecto'!M29</f>
        <v>0</v>
      </c>
      <c r="T110" s="2532">
        <f ca="1">+'Flujo de Caja Proyecto'!P29</f>
        <v>0</v>
      </c>
      <c r="U110" s="2532">
        <f ca="1">+'Flujo de Caja Proyecto'!S29</f>
        <v>0</v>
      </c>
      <c r="V110" s="2532">
        <f ca="1">+'Flujo de Caja Proyecto'!V29</f>
        <v>0</v>
      </c>
      <c r="W110" s="2532">
        <f ca="1">+'Flujo de Caja Proyecto'!Y29</f>
        <v>0</v>
      </c>
      <c r="X110" s="2532">
        <f ca="1">+'Flujo de Caja Proyecto'!AB29</f>
        <v>0</v>
      </c>
      <c r="Y110" s="2532">
        <f ca="1">+'Flujo de Caja Proyecto'!AE29</f>
        <v>0</v>
      </c>
      <c r="Z110" s="2532">
        <f ca="1">+'Flujo de Caja Proyecto'!AH29</f>
        <v>0</v>
      </c>
      <c r="AA110" s="2532">
        <f ca="1">+'Flujo de Caja Proyecto'!AK29</f>
        <v>0</v>
      </c>
      <c r="AB110" s="2532">
        <f ca="1">+'Flujo de Caja Proyecto'!AN29</f>
        <v>0</v>
      </c>
      <c r="AC110" s="2841">
        <f ca="1">+'Flujo de Caja Proyecto'!AQ29</f>
        <v>0</v>
      </c>
      <c r="AD110" s="2499"/>
      <c r="BQ110" s="725"/>
    </row>
    <row r="111" spans="2:69" ht="27.5">
      <c r="B111" s="2516" t="s">
        <v>1606</v>
      </c>
      <c r="C111" s="2526">
        <f>IF(('Balances y Proyecciones'!Q17)&lt;&gt;360,'Balances y Proyecciones'!H31+'Balances y Proyecciones'!H30,'Balances y Proyecciones'!E31+'Balances y Proyecciones'!E30)</f>
        <v>0</v>
      </c>
      <c r="D111" s="2526">
        <f>IF(('Balances y Proyecciones'!Q17)&lt;&gt;360,'Balances y Proyecciones'!N31+'Balances y Proyecciones'!N30,'Balances y Proyecciones'!H31+'Balances y Proyecciones'!H30)</f>
        <v>0</v>
      </c>
      <c r="E111" s="2527">
        <f>IF(('Balances y Proyecciones'!Q17)&lt;&gt;360,'Balances y Proyecciones'!Q31+'Balances y Proyecciones'!Q30,'Balances y Proyecciones'!N31+'Balances y Proyecciones'!N30)</f>
        <v>0</v>
      </c>
      <c r="F111" s="2508"/>
      <c r="G111" s="2516" t="s">
        <v>880</v>
      </c>
      <c r="H111" s="2554">
        <f>IF(('Balances y Proyecciones'!Q17)&lt;&gt;360,'Balances y Proyecciones'!AS718,'Balances y Proyecciones'!AP718)</f>
        <v>0</v>
      </c>
      <c r="I111" s="2554">
        <f>IF(('Balances y Proyecciones'!Q17)&lt;&gt;360,'Balances y Proyecciones'!AY718,'Balances y Proyecciones'!AS718)</f>
        <v>0</v>
      </c>
      <c r="J111" s="2555">
        <f>IF(('Balances y Proyecciones'!Q17)&lt;&gt;360,'Balances y Proyecciones'!BB718,'Balances y Proyecciones'!AY718)</f>
        <v>0</v>
      </c>
      <c r="N111" s="2537" t="s">
        <v>1625</v>
      </c>
      <c r="O111" s="2532">
        <f ca="1">+'Flujo de Caja Proyecto'!B30+'Flujo de Caja Proyecto'!B31</f>
        <v>0</v>
      </c>
      <c r="P111" s="2532">
        <f ca="1">+'Flujo de Caja Proyecto'!D30+'Flujo de Caja Proyecto'!D31</f>
        <v>0</v>
      </c>
      <c r="Q111" s="2532">
        <f ca="1">+'Flujo de Caja Proyecto'!G30+'Flujo de Caja Proyecto'!G31</f>
        <v>0</v>
      </c>
      <c r="R111" s="2532">
        <f ca="1">+'Flujo de Caja Proyecto'!J30+'Flujo de Caja Proyecto'!J31</f>
        <v>0</v>
      </c>
      <c r="S111" s="2532">
        <f ca="1">+'Flujo de Caja Proyecto'!M30+'Flujo de Caja Proyecto'!M31</f>
        <v>0</v>
      </c>
      <c r="T111" s="2532">
        <f ca="1">+'Flujo de Caja Proyecto'!P30+'Flujo de Caja Proyecto'!P31</f>
        <v>0</v>
      </c>
      <c r="U111" s="2532">
        <f ca="1">+'Flujo de Caja Proyecto'!S30+'Flujo de Caja Proyecto'!S31</f>
        <v>0</v>
      </c>
      <c r="V111" s="2532">
        <f ca="1">+'Flujo de Caja Proyecto'!V30+'Flujo de Caja Proyecto'!V31</f>
        <v>0</v>
      </c>
      <c r="W111" s="2532">
        <f ca="1">+'Flujo de Caja Proyecto'!Y30+'Flujo de Caja Proyecto'!Y31</f>
        <v>0</v>
      </c>
      <c r="X111" s="2532">
        <f ca="1">+'Flujo de Caja Proyecto'!AB30+'Flujo de Caja Proyecto'!AB31</f>
        <v>0</v>
      </c>
      <c r="Y111" s="2532">
        <f>+'Flujo de Caja Proyecto'!BE30+'Flujo de Caja Proyecto'!BE31</f>
        <v>0</v>
      </c>
      <c r="Z111" s="2532">
        <f ca="1">+'Flujo de Caja Proyecto'!AH30+'Flujo de Caja Proyecto'!AH31</f>
        <v>0</v>
      </c>
      <c r="AA111" s="2532">
        <f ca="1">+'Flujo de Caja Proyecto'!AK30+'Flujo de Caja Proyecto'!AK31</f>
        <v>0</v>
      </c>
      <c r="AB111" s="2532">
        <f ca="1">+'Flujo de Caja Proyecto'!AN30+'Flujo de Caja Proyecto'!AN31</f>
        <v>0</v>
      </c>
      <c r="AC111" s="2841">
        <f ca="1">+'Flujo de Caja Proyecto'!AQ30+'Flujo de Caja Proyecto'!AQ31</f>
        <v>0</v>
      </c>
      <c r="AD111" s="2499"/>
      <c r="BQ111" s="725"/>
    </row>
    <row r="112" spans="2:69" ht="28">
      <c r="B112" s="2516" t="s">
        <v>1609</v>
      </c>
      <c r="C112" s="2526">
        <f>IF(('Balances y Proyecciones'!Q17)&lt;&gt;360,'Balances y Proyecciones'!H32,'Balances y Proyecciones'!E32)</f>
        <v>0</v>
      </c>
      <c r="D112" s="2526">
        <f>IF(('Balances y Proyecciones'!Q17)&lt;&gt;360,'Balances y Proyecciones'!N32,'Balances y Proyecciones'!H32)</f>
        <v>0</v>
      </c>
      <c r="E112" s="2527">
        <f>IF(('Balances y Proyecciones'!Q17)&lt;&gt;360,'Balances y Proyecciones'!Q32,'Balances y Proyecciones'!N32)</f>
        <v>0</v>
      </c>
      <c r="F112" s="2508"/>
      <c r="G112" s="2516" t="s">
        <v>1616</v>
      </c>
      <c r="H112" s="2554">
        <f>IF(('Balances y Proyecciones'!Q17)&lt;&gt;360,'Balances y Proyecciones'!AS719,'Balances y Proyecciones'!AP719)</f>
        <v>0</v>
      </c>
      <c r="I112" s="2554">
        <f>IF(('Balances y Proyecciones'!Q17)&lt;&gt;360,'Balances y Proyecciones'!AY719,'Balances y Proyecciones'!AS719)</f>
        <v>0</v>
      </c>
      <c r="J112" s="2555">
        <f>IF(('Balances y Proyecciones'!Q17)&lt;&gt;360,'Balances y Proyecciones'!BB719,'Balances y Proyecciones'!AY719)</f>
        <v>0</v>
      </c>
      <c r="N112" s="2549" t="s">
        <v>1628</v>
      </c>
      <c r="O112" s="2550">
        <f t="shared" ref="O112:AC112" ca="1" si="25">+O107+O108+O109+O110+O111</f>
        <v>0</v>
      </c>
      <c r="P112" s="2550">
        <f t="shared" ca="1" si="25"/>
        <v>0</v>
      </c>
      <c r="Q112" s="2550">
        <f t="shared" ca="1" si="25"/>
        <v>0</v>
      </c>
      <c r="R112" s="2550">
        <f t="shared" ca="1" si="25"/>
        <v>0</v>
      </c>
      <c r="S112" s="2550">
        <f t="shared" ca="1" si="25"/>
        <v>0</v>
      </c>
      <c r="T112" s="2550">
        <f t="shared" ca="1" si="25"/>
        <v>0</v>
      </c>
      <c r="U112" s="2550">
        <f t="shared" ca="1" si="25"/>
        <v>0</v>
      </c>
      <c r="V112" s="2550">
        <f t="shared" ca="1" si="25"/>
        <v>0</v>
      </c>
      <c r="W112" s="2550">
        <f t="shared" ca="1" si="25"/>
        <v>0</v>
      </c>
      <c r="X112" s="2550">
        <f t="shared" ca="1" si="25"/>
        <v>0</v>
      </c>
      <c r="Y112" s="2550">
        <f t="shared" ca="1" si="25"/>
        <v>0</v>
      </c>
      <c r="Z112" s="2550">
        <f t="shared" ca="1" si="25"/>
        <v>0</v>
      </c>
      <c r="AA112" s="2550">
        <f t="shared" ca="1" si="25"/>
        <v>0</v>
      </c>
      <c r="AB112" s="2550">
        <f t="shared" ca="1" si="25"/>
        <v>0</v>
      </c>
      <c r="AC112" s="2846">
        <f t="shared" ca="1" si="25"/>
        <v>0</v>
      </c>
      <c r="AD112" s="2499"/>
      <c r="BQ112" s="725"/>
    </row>
    <row r="113" spans="2:69" ht="27.5">
      <c r="B113" s="2516" t="s">
        <v>1611</v>
      </c>
      <c r="C113" s="2526">
        <f>IF(('Balances y Proyecciones'!Q17)&lt;&gt;360,'Balances y Proyecciones'!H33,'Balances y Proyecciones'!E33)</f>
        <v>0</v>
      </c>
      <c r="D113" s="2526">
        <f>IF(('Balances y Proyecciones'!Q17)&lt;&gt;360,'Balances y Proyecciones'!N33,'Balances y Proyecciones'!H33)</f>
        <v>0</v>
      </c>
      <c r="E113" s="2527">
        <f>IF(('Balances y Proyecciones'!Q17)&lt;&gt;360,'Balances y Proyecciones'!Q33,'Balances y Proyecciones'!N33)</f>
        <v>0</v>
      </c>
      <c r="F113" s="2508"/>
      <c r="G113" s="2516" t="s">
        <v>883</v>
      </c>
      <c r="H113" s="2554">
        <f>IF(('Balances y Proyecciones'!Q17)&lt;&gt;360,'Balances y Proyecciones'!AS721,'Balances y Proyecciones'!AP721)</f>
        <v>0</v>
      </c>
      <c r="I113" s="2554">
        <f>IF(('Balances y Proyecciones'!Q17)&lt;&gt;360,'Balances y Proyecciones'!AY721,'Balances y Proyecciones'!AS721)</f>
        <v>0</v>
      </c>
      <c r="J113" s="2555">
        <f>IF(('Balances y Proyecciones'!$Q$17)&lt;&gt;360,'Balances y Proyecciones'!$BB$721,'Balances y Proyecciones'!$AY$721)</f>
        <v>0</v>
      </c>
      <c r="N113" s="2537" t="s">
        <v>529</v>
      </c>
      <c r="O113" s="2532">
        <f>+'Flujo de Caja Proyecto'!B43</f>
        <v>0</v>
      </c>
      <c r="P113" s="2532">
        <f>+'Flujo de Caja Proyecto'!D43</f>
        <v>0</v>
      </c>
      <c r="Q113" s="2532">
        <f>+'Flujo de Caja Proyecto'!G43</f>
        <v>0</v>
      </c>
      <c r="R113" s="2532">
        <f>+'Flujo de Caja Proyecto'!J43</f>
        <v>0</v>
      </c>
      <c r="S113" s="2532">
        <f>+'Flujo de Caja Proyecto'!M43</f>
        <v>0</v>
      </c>
      <c r="T113" s="2532">
        <f>+'Flujo de Caja Proyecto'!P43</f>
        <v>0</v>
      </c>
      <c r="U113" s="2532">
        <f>+'Flujo de Caja Proyecto'!S43</f>
        <v>0</v>
      </c>
      <c r="V113" s="2532">
        <f>+'Flujo de Caja Proyecto'!V43</f>
        <v>0</v>
      </c>
      <c r="W113" s="2532">
        <f>+'Flujo de Caja Proyecto'!Y43</f>
        <v>0</v>
      </c>
      <c r="X113" s="2532">
        <f>+'Flujo de Caja Proyecto'!AB43</f>
        <v>0</v>
      </c>
      <c r="Y113" s="2532">
        <f>+'Flujo de Caja Proyecto'!AE43</f>
        <v>0</v>
      </c>
      <c r="Z113" s="2532">
        <f>+'Flujo de Caja Proyecto'!AH43</f>
        <v>0</v>
      </c>
      <c r="AA113" s="2532">
        <f>+'Flujo de Caja Proyecto'!AK43</f>
        <v>0</v>
      </c>
      <c r="AB113" s="2532">
        <f>+'Flujo de Caja Proyecto'!AN43</f>
        <v>0</v>
      </c>
      <c r="AC113" s="2841">
        <f>+'Flujo de Caja Proyecto'!AQ43</f>
        <v>0</v>
      </c>
      <c r="AD113" s="2499"/>
      <c r="BQ113" s="725"/>
    </row>
    <row r="114" spans="2:69" ht="28">
      <c r="B114" s="2528" t="s">
        <v>1614</v>
      </c>
      <c r="C114" s="2542">
        <f>SUM(C109:C113)</f>
        <v>0</v>
      </c>
      <c r="D114" s="2542">
        <f>SUM(D109:D113)</f>
        <v>0</v>
      </c>
      <c r="E114" s="2543">
        <f>SUM(E109:E113)</f>
        <v>0</v>
      </c>
      <c r="F114" s="2508"/>
      <c r="G114" s="2516" t="s">
        <v>1619</v>
      </c>
      <c r="H114" s="2554">
        <f>IF('Balances y Proyecciones'!$Q$17=360,'Balances y Proyecciones'!$AP$757,'Balances y Proyecciones'!$AS$757)</f>
        <v>0</v>
      </c>
      <c r="I114" s="2554">
        <f>IF('Balances y Proyecciones'!Q17=360,'Balances y Proyecciones'!AS757,'Balances y Proyecciones'!AY757)</f>
        <v>0</v>
      </c>
      <c r="J114" s="2555">
        <f>IF('Balances y Proyecciones'!$Q$17=360,'Balances y Proyecciones'!$AY$757,'Balances y Proyecciones'!$BB$757)</f>
        <v>0</v>
      </c>
      <c r="N114" s="2549" t="s">
        <v>1636</v>
      </c>
      <c r="O114" s="2550">
        <f t="shared" ref="O114:AC114" ca="1" si="26">+O112+O113</f>
        <v>0</v>
      </c>
      <c r="P114" s="2550">
        <f t="shared" ca="1" si="26"/>
        <v>0</v>
      </c>
      <c r="Q114" s="2550">
        <f t="shared" ca="1" si="26"/>
        <v>0</v>
      </c>
      <c r="R114" s="2550">
        <f t="shared" ca="1" si="26"/>
        <v>0</v>
      </c>
      <c r="S114" s="2550">
        <f t="shared" ca="1" si="26"/>
        <v>0</v>
      </c>
      <c r="T114" s="2550">
        <f t="shared" ca="1" si="26"/>
        <v>0</v>
      </c>
      <c r="U114" s="2550">
        <f t="shared" ca="1" si="26"/>
        <v>0</v>
      </c>
      <c r="V114" s="2550">
        <f t="shared" ca="1" si="26"/>
        <v>0</v>
      </c>
      <c r="W114" s="2550">
        <f t="shared" ca="1" si="26"/>
        <v>0</v>
      </c>
      <c r="X114" s="2550">
        <f t="shared" ca="1" si="26"/>
        <v>0</v>
      </c>
      <c r="Y114" s="2550">
        <f t="shared" ca="1" si="26"/>
        <v>0</v>
      </c>
      <c r="Z114" s="2550">
        <f t="shared" ca="1" si="26"/>
        <v>0</v>
      </c>
      <c r="AA114" s="2550">
        <f t="shared" ca="1" si="26"/>
        <v>0</v>
      </c>
      <c r="AB114" s="2550">
        <f t="shared" ca="1" si="26"/>
        <v>0</v>
      </c>
      <c r="AC114" s="2550">
        <f t="shared" ca="1" si="26"/>
        <v>0</v>
      </c>
      <c r="AD114" s="2499"/>
      <c r="BQ114" s="725"/>
    </row>
    <row r="115" spans="2:69" ht="28">
      <c r="B115" s="2556" t="s">
        <v>671</v>
      </c>
      <c r="C115" s="2557">
        <f>+C108+C114</f>
        <v>0</v>
      </c>
      <c r="D115" s="2557">
        <f>+D108+D114</f>
        <v>0</v>
      </c>
      <c r="E115" s="2558">
        <f>+E108+E114</f>
        <v>0</v>
      </c>
      <c r="F115" s="2508"/>
      <c r="G115" s="2551" t="s">
        <v>1621</v>
      </c>
      <c r="H115" s="2552"/>
      <c r="I115" s="2552"/>
      <c r="J115" s="2553"/>
      <c r="N115" s="2537" t="s">
        <v>1503</v>
      </c>
      <c r="O115" s="2532">
        <f>+'Flujo de Caja Proyecto'!B44</f>
        <v>0</v>
      </c>
      <c r="P115" s="2532">
        <f t="shared" ref="P115:AC115" ca="1" si="27">+O116</f>
        <v>0</v>
      </c>
      <c r="Q115" s="2532">
        <f t="shared" ca="1" si="27"/>
        <v>0</v>
      </c>
      <c r="R115" s="2532">
        <f t="shared" ca="1" si="27"/>
        <v>0</v>
      </c>
      <c r="S115" s="2532">
        <f t="shared" ca="1" si="27"/>
        <v>0</v>
      </c>
      <c r="T115" s="2532">
        <f t="shared" ca="1" si="27"/>
        <v>0</v>
      </c>
      <c r="U115" s="2532">
        <f t="shared" ca="1" si="27"/>
        <v>0</v>
      </c>
      <c r="V115" s="2532">
        <f t="shared" ca="1" si="27"/>
        <v>0</v>
      </c>
      <c r="W115" s="2532">
        <f t="shared" ca="1" si="27"/>
        <v>0</v>
      </c>
      <c r="X115" s="2532">
        <f t="shared" ca="1" si="27"/>
        <v>0</v>
      </c>
      <c r="Y115" s="2532">
        <f t="shared" ca="1" si="27"/>
        <v>0</v>
      </c>
      <c r="Z115" s="2532">
        <f t="shared" ca="1" si="27"/>
        <v>0</v>
      </c>
      <c r="AA115" s="2532">
        <f t="shared" ca="1" si="27"/>
        <v>0</v>
      </c>
      <c r="AB115" s="2532">
        <f t="shared" ca="1" si="27"/>
        <v>0</v>
      </c>
      <c r="AC115" s="2532">
        <f t="shared" ca="1" si="27"/>
        <v>0</v>
      </c>
      <c r="AD115" s="2499"/>
      <c r="BQ115" s="725"/>
    </row>
    <row r="116" spans="2:69" ht="28">
      <c r="B116" s="2551" t="s">
        <v>678</v>
      </c>
      <c r="C116" s="2526"/>
      <c r="D116" s="2526"/>
      <c r="E116" s="2527"/>
      <c r="F116" s="2508"/>
      <c r="G116" s="2538" t="s">
        <v>1624</v>
      </c>
      <c r="H116" s="2554" t="str">
        <f>IF(('Balances y Proyecciones'!Q17)&lt;&gt;360,'Balances y Proyecciones'!AS714,'Balances y Proyecciones'!AP714)</f>
        <v>N/A</v>
      </c>
      <c r="I116" s="2554" t="str">
        <f>IF(('Balances y Proyecciones'!Q17)&lt;&gt;360,'Balances y Proyecciones'!AY714,'Balances y Proyecciones'!AS714)</f>
        <v>N/A</v>
      </c>
      <c r="J116" s="2555" t="str">
        <f>IF(('Balances y Proyecciones'!Q17)&lt;&gt;360,'Balances y Proyecciones'!BB714,'Balances y Proyecciones'!AY714)</f>
        <v>N/A</v>
      </c>
      <c r="N116" s="2549" t="s">
        <v>1504</v>
      </c>
      <c r="O116" s="2550">
        <f t="shared" ref="O116:AC116" ca="1" si="28">+O114+O115</f>
        <v>0</v>
      </c>
      <c r="P116" s="2550">
        <f t="shared" ca="1" si="28"/>
        <v>0</v>
      </c>
      <c r="Q116" s="2550">
        <f t="shared" ca="1" si="28"/>
        <v>0</v>
      </c>
      <c r="R116" s="2550">
        <f t="shared" ca="1" si="28"/>
        <v>0</v>
      </c>
      <c r="S116" s="2550">
        <f t="shared" ca="1" si="28"/>
        <v>0</v>
      </c>
      <c r="T116" s="2550">
        <f t="shared" ca="1" si="28"/>
        <v>0</v>
      </c>
      <c r="U116" s="2550">
        <f t="shared" ca="1" si="28"/>
        <v>0</v>
      </c>
      <c r="V116" s="2550">
        <f t="shared" ca="1" si="28"/>
        <v>0</v>
      </c>
      <c r="W116" s="2550">
        <f t="shared" ca="1" si="28"/>
        <v>0</v>
      </c>
      <c r="X116" s="2550">
        <f t="shared" ca="1" si="28"/>
        <v>0</v>
      </c>
      <c r="Y116" s="2550">
        <f t="shared" ca="1" si="28"/>
        <v>0</v>
      </c>
      <c r="Z116" s="2550">
        <f t="shared" ca="1" si="28"/>
        <v>0</v>
      </c>
      <c r="AA116" s="2550">
        <f t="shared" ca="1" si="28"/>
        <v>0</v>
      </c>
      <c r="AB116" s="2550">
        <f t="shared" ca="1" si="28"/>
        <v>0</v>
      </c>
      <c r="AC116" s="2550">
        <f t="shared" ca="1" si="28"/>
        <v>0</v>
      </c>
      <c r="AD116" s="2499"/>
      <c r="BQ116" s="725"/>
    </row>
    <row r="117" spans="2:69" ht="27.5">
      <c r="B117" s="2516" t="s">
        <v>1618</v>
      </c>
      <c r="C117" s="2526">
        <f>IF(('Balances y Proyecciones'!Q17)&lt;&gt;360,'Balances y Proyecciones'!H36+'Balances y Proyecciones'!H37+'Balances y Proyecciones'!H38+'Balances y Proyecciones'!H39,'Balances y Proyecciones'!E36+'Balances y Proyecciones'!E37+'Balances y Proyecciones'!E38+'Balances y Proyecciones'!E39)</f>
        <v>0</v>
      </c>
      <c r="D117" s="2526">
        <f>IF(('Balances y Proyecciones'!Q17)&lt;&gt;360,'Balances y Proyecciones'!N36+'Balances y Proyecciones'!N37+'Balances y Proyecciones'!N38+'Balances y Proyecciones'!N39,'Balances y Proyecciones'!H36+'Balances y Proyecciones'!H37+'Balances y Proyecciones'!H38+'Balances y Proyecciones'!H39)</f>
        <v>0</v>
      </c>
      <c r="E117" s="2527">
        <f>IF(('Balances y Proyecciones'!Q17)&lt;&gt;360,'Balances y Proyecciones'!Q36+'Balances y Proyecciones'!Q37+'Balances y Proyecciones'!Q38+'Balances y Proyecciones'!Q39,'Balances y Proyecciones'!N36+'Balances y Proyecciones'!N37+'Balances y Proyecciones'!N38+'Balances y Proyecciones'!N39)</f>
        <v>0</v>
      </c>
      <c r="F117" s="2508"/>
      <c r="G117" s="2516" t="s">
        <v>1627</v>
      </c>
      <c r="H117" s="2561">
        <f>IF(('Balances y Proyecciones'!Q17)&lt;&gt;360,'Balances y Proyecciones'!AS725,'Balances y Proyecciones'!AP725)</f>
        <v>0</v>
      </c>
      <c r="I117" s="2561">
        <f>IF(('Balances y Proyecciones'!Q17)&lt;&gt;360,'Balances y Proyecciones'!AY725,'Balances y Proyecciones'!AS725)</f>
        <v>0</v>
      </c>
      <c r="J117" s="2562">
        <f>IF(('Balances y Proyecciones'!Q17)&lt;&gt;360,'Balances y Proyecciones'!BB725,'Balances y Proyecciones'!AY725)</f>
        <v>0</v>
      </c>
      <c r="N117" s="2537" t="s">
        <v>1643</v>
      </c>
      <c r="O117" s="2532">
        <f ca="1">+'Flujo de Caja Proyecto'!B50</f>
        <v>0</v>
      </c>
      <c r="P117" s="2532">
        <f ca="1">+'Flujo de Caja Proyecto'!D50</f>
        <v>0</v>
      </c>
      <c r="Q117" s="2532">
        <f ca="1">+'Flujo de Caja Proyecto'!G50</f>
        <v>0</v>
      </c>
      <c r="R117" s="2532">
        <f ca="1">+'Flujo de Caja Proyecto'!J50</f>
        <v>0</v>
      </c>
      <c r="S117" s="2532">
        <f ca="1">+'Flujo de Caja Proyecto'!M50</f>
        <v>0</v>
      </c>
      <c r="T117" s="2532">
        <f ca="1">+'Flujo de Caja Proyecto'!P50</f>
        <v>0</v>
      </c>
      <c r="U117" s="2532">
        <f ca="1">+'Flujo de Caja Proyecto'!S50</f>
        <v>0</v>
      </c>
      <c r="V117" s="2532">
        <f ca="1">+'Flujo de Caja Proyecto'!V50</f>
        <v>0</v>
      </c>
      <c r="W117" s="2532">
        <f ca="1">+'Flujo de Caja Proyecto'!Y50</f>
        <v>0</v>
      </c>
      <c r="X117" s="2532">
        <f ca="1">+'Flujo de Caja Proyecto'!AB50</f>
        <v>0</v>
      </c>
      <c r="Y117" s="2532">
        <f ca="1">+'Flujo de Caja Proyecto'!AE50</f>
        <v>0</v>
      </c>
      <c r="Z117" s="2532">
        <f ca="1">+'Flujo de Caja Proyecto'!AH50</f>
        <v>0</v>
      </c>
      <c r="AA117" s="2532">
        <f ca="1">+'Flujo de Caja Proyecto'!AK50</f>
        <v>0</v>
      </c>
      <c r="AB117" s="2532">
        <f ca="1">+'Flujo de Caja Proyecto'!AN50</f>
        <v>0</v>
      </c>
      <c r="AC117" s="2841">
        <f ca="1">+'Flujo de Caja Proyecto'!AQ50</f>
        <v>0</v>
      </c>
      <c r="AD117" s="2499"/>
      <c r="BQ117" s="725"/>
    </row>
    <row r="118" spans="2:69" ht="27.5">
      <c r="B118" s="2516" t="s">
        <v>108</v>
      </c>
      <c r="C118" s="2526">
        <f>IF(('Balances y Proyecciones'!Q17)&lt;&gt;360,'Balances y Proyecciones'!H40,'Balances y Proyecciones'!E40)</f>
        <v>0</v>
      </c>
      <c r="D118" s="2526">
        <f>IF(('Balances y Proyecciones'!Q17)&lt;&gt;360,'Balances y Proyecciones'!N40,'Balances y Proyecciones'!H40)</f>
        <v>0</v>
      </c>
      <c r="E118" s="2527">
        <f>IF(('Balances y Proyecciones'!Q17)&lt;&gt;360,'Balances y Proyecciones'!Q40,'Balances y Proyecciones'!N40)</f>
        <v>0</v>
      </c>
      <c r="F118" s="2508"/>
      <c r="G118" s="2516" t="s">
        <v>1775</v>
      </c>
      <c r="H118" s="2561">
        <f>IF(('Balances y Proyecciones'!Q17)&lt;&gt;360,'Balances y Proyecciones'!AS727,'Balances y Proyecciones'!AP727)</f>
        <v>0</v>
      </c>
      <c r="I118" s="2561">
        <f>IF(('Balances y Proyecciones'!Q17)&lt;&gt;360,'Balances y Proyecciones'!AY727,'Balances y Proyecciones'!AS727)</f>
        <v>0</v>
      </c>
      <c r="J118" s="2562">
        <f>IF(('Balances y Proyecciones'!Q17)&lt;&gt;360,'Balances y Proyecciones'!BB727,'Balances y Proyecciones'!AY727)</f>
        <v>0</v>
      </c>
      <c r="N118" s="2537" t="s">
        <v>1776</v>
      </c>
      <c r="O118" s="2849" t="str">
        <f ca="1">+'Flujo de Caja Proyecto'!B59</f>
        <v/>
      </c>
      <c r="P118" s="2849" t="str">
        <f ca="1">+'Flujo de Caja Proyecto'!D59</f>
        <v/>
      </c>
      <c r="Q118" s="2849" t="str">
        <f ca="1">+'Flujo de Caja Proyecto'!G59</f>
        <v/>
      </c>
      <c r="R118" s="2849" t="str">
        <f ca="1">+'Flujo de Caja Proyecto'!J59</f>
        <v/>
      </c>
      <c r="S118" s="2849" t="str">
        <f ca="1">+'Flujo de Caja Proyecto'!M59</f>
        <v/>
      </c>
      <c r="T118" s="2849" t="str">
        <f ca="1">+'Flujo de Caja Proyecto'!P59</f>
        <v/>
      </c>
      <c r="U118" s="2849" t="str">
        <f ca="1">+'Flujo de Caja Proyecto'!S59</f>
        <v/>
      </c>
      <c r="V118" s="2849" t="str">
        <f ca="1">+'Flujo de Caja Proyecto'!V59</f>
        <v/>
      </c>
      <c r="W118" s="2849" t="str">
        <f ca="1">+'Flujo de Caja Proyecto'!Y59</f>
        <v/>
      </c>
      <c r="X118" s="2849" t="str">
        <f ca="1">+'Flujo de Caja Proyecto'!AB59</f>
        <v/>
      </c>
      <c r="Y118" s="2849" t="str">
        <f ca="1">+'Flujo de Caja Proyecto'!AE59</f>
        <v/>
      </c>
      <c r="Z118" s="2849" t="str">
        <f ca="1">+'Flujo de Caja Proyecto'!AH59</f>
        <v/>
      </c>
      <c r="AA118" s="2849" t="str">
        <f ca="1">+'Flujo de Caja Proyecto'!AK59</f>
        <v/>
      </c>
      <c r="AB118" s="2849" t="str">
        <f ca="1">+'Flujo de Caja Proyecto'!AN59</f>
        <v/>
      </c>
      <c r="AC118" s="2850" t="str">
        <f ca="1">+'Flujo de Caja Proyecto'!AQ59</f>
        <v/>
      </c>
      <c r="AD118" s="2499"/>
      <c r="BQ118" s="725"/>
    </row>
    <row r="119" spans="2:69" ht="27.5">
      <c r="B119" s="2516" t="s">
        <v>1623</v>
      </c>
      <c r="C119" s="2526">
        <f>IF(('Balances y Proyecciones'!Q17)&lt;&gt;360,'Balances y Proyecciones'!H44,'Balances y Proyecciones'!E44)</f>
        <v>0</v>
      </c>
      <c r="D119" s="2526">
        <f>IF(('Balances y Proyecciones'!Q17)&lt;&gt;360,'Balances y Proyecciones'!N44,'Balances y Proyecciones'!H44)</f>
        <v>0</v>
      </c>
      <c r="E119" s="2527">
        <f>IF(('Balances y Proyecciones'!Q17)&lt;&gt;360,'Balances y Proyecciones'!Q44,'Balances y Proyecciones'!N44)</f>
        <v>0</v>
      </c>
      <c r="F119" s="2508"/>
      <c r="G119" s="2516" t="s">
        <v>1633</v>
      </c>
      <c r="H119" s="2561">
        <f>+H117+H118</f>
        <v>0</v>
      </c>
      <c r="I119" s="2561">
        <f>+I117+I118</f>
        <v>0</v>
      </c>
      <c r="J119" s="2562">
        <f>+J117+J118</f>
        <v>0</v>
      </c>
      <c r="N119" s="2537" t="s">
        <v>1778</v>
      </c>
      <c r="O119" s="2849" t="str">
        <f ca="1">+'Flujo de Caja Proyecto'!B58</f>
        <v/>
      </c>
      <c r="P119" s="2849" t="str">
        <f ca="1">+'Flujo de Caja Proyecto'!D58</f>
        <v/>
      </c>
      <c r="Q119" s="2849" t="str">
        <f ca="1">+'Flujo de Caja Proyecto'!G58</f>
        <v/>
      </c>
      <c r="R119" s="2849" t="str">
        <f ca="1">+'Flujo de Caja Proyecto'!J58</f>
        <v/>
      </c>
      <c r="S119" s="2849" t="str">
        <f ca="1">+'Flujo de Caja Proyecto'!M58</f>
        <v/>
      </c>
      <c r="T119" s="2849" t="str">
        <f ca="1">+'Flujo de Caja Proyecto'!P58</f>
        <v/>
      </c>
      <c r="U119" s="2849" t="str">
        <f ca="1">+'Flujo de Caja Proyecto'!S58</f>
        <v/>
      </c>
      <c r="V119" s="2849" t="str">
        <f ca="1">+'Flujo de Caja Proyecto'!V58</f>
        <v/>
      </c>
      <c r="W119" s="2849" t="str">
        <f ca="1">+'Flujo de Caja Proyecto'!Y58</f>
        <v/>
      </c>
      <c r="X119" s="2849" t="str">
        <f ca="1">+'Flujo de Caja Proyecto'!AB58</f>
        <v/>
      </c>
      <c r="Y119" s="2849" t="str">
        <f ca="1">+'Flujo de Caja Proyecto'!AE58</f>
        <v/>
      </c>
      <c r="Z119" s="2849" t="str">
        <f ca="1">+'Flujo de Caja Proyecto'!AH58</f>
        <v/>
      </c>
      <c r="AA119" s="2849" t="str">
        <f ca="1">+'Flujo de Caja Proyecto'!AK58</f>
        <v/>
      </c>
      <c r="AB119" s="2849" t="str">
        <f ca="1">+'Flujo de Caja Proyecto'!AN58</f>
        <v/>
      </c>
      <c r="AC119" s="2850" t="str">
        <f ca="1">+'Flujo de Caja Proyecto'!AQ58</f>
        <v/>
      </c>
      <c r="AD119" s="2499"/>
      <c r="BQ119" s="725"/>
    </row>
    <row r="120" spans="2:69" ht="27.5">
      <c r="B120" s="2516" t="s">
        <v>1777</v>
      </c>
      <c r="C120" s="2526">
        <f>IF(('Balances y Proyecciones'!Q17)&lt;&gt;360,'Estados Financieros'!F252,'Estados Financieros'!E252)</f>
        <v>0</v>
      </c>
      <c r="D120" s="2526">
        <f>IF(('Balances y Proyecciones'!Q17)&lt;&gt;360,'Estados Financieros'!G252,'Estados Financieros'!F252)</f>
        <v>0</v>
      </c>
      <c r="E120" s="2527">
        <f>IF(('Balances y Proyecciones'!Q17)&lt;&gt;360,'Estados Financieros'!H252,'Estados Financieros'!G252)</f>
        <v>0</v>
      </c>
      <c r="F120" s="2508"/>
      <c r="G120" s="2516" t="s">
        <v>1635</v>
      </c>
      <c r="H120" s="2561">
        <f>IF(('Balances y Proyecciones'!Q17)&lt;&gt;360,'Balances y Proyecciones'!AS730,'Balances y Proyecciones'!AP730)</f>
        <v>0</v>
      </c>
      <c r="I120" s="2561">
        <f>IF(('Balances y Proyecciones'!Q17)&lt;&gt;360,'Balances y Proyecciones'!AY730,'Balances y Proyecciones'!AS730)</f>
        <v>0</v>
      </c>
      <c r="J120" s="2562">
        <f>IF(('Balances y Proyecciones'!Q17)&lt;&gt;360,'Balances y Proyecciones'!BB730,'Balances y Proyecciones'!AY730)</f>
        <v>0</v>
      </c>
      <c r="N120" s="2851" t="s">
        <v>1779</v>
      </c>
      <c r="O120" s="2852" t="str">
        <f ca="1">+'Flujo de Caja Proyecto'!B56</f>
        <v/>
      </c>
      <c r="P120" s="2852" t="str">
        <f ca="1">+'Flujo de Caja Proyecto'!D56</f>
        <v/>
      </c>
      <c r="Q120" s="2852" t="str">
        <f ca="1">+'Flujo de Caja Proyecto'!G56</f>
        <v/>
      </c>
      <c r="R120" s="2852" t="str">
        <f ca="1">+'Flujo de Caja Proyecto'!J56</f>
        <v/>
      </c>
      <c r="S120" s="2852" t="str">
        <f ca="1">+'Flujo de Caja Proyecto'!M56</f>
        <v/>
      </c>
      <c r="T120" s="2852" t="str">
        <f ca="1">+'Flujo de Caja Proyecto'!P56</f>
        <v/>
      </c>
      <c r="U120" s="2852" t="str">
        <f ca="1">+'Flujo de Caja Proyecto'!S56</f>
        <v/>
      </c>
      <c r="V120" s="2853" t="str">
        <f ca="1">+'Flujo de Caja Proyecto'!V56</f>
        <v/>
      </c>
      <c r="W120" s="2852" t="str">
        <f ca="1">+'Flujo de Caja Proyecto'!Y56</f>
        <v/>
      </c>
      <c r="X120" s="2852" t="str">
        <f ca="1">+'Flujo de Caja Proyecto'!AB56</f>
        <v/>
      </c>
      <c r="Y120" s="2854">
        <f ca="1">+'Flujo de Caja Proyecto'!AE37</f>
        <v>0</v>
      </c>
      <c r="Z120" s="2854">
        <f ca="1">+'Flujo de Caja Proyecto'!AH37</f>
        <v>0</v>
      </c>
      <c r="AA120" s="2854">
        <f ca="1">+'Flujo de Caja Proyecto'!AK37</f>
        <v>0</v>
      </c>
      <c r="AB120" s="2854">
        <f ca="1">+'Flujo de Caja Proyecto'!AN37</f>
        <v>0</v>
      </c>
      <c r="AC120" s="2855">
        <f ca="1">+'Flujo de Caja Proyecto'!AQ37</f>
        <v>0</v>
      </c>
      <c r="AD120" s="2499"/>
      <c r="BQ120" s="725"/>
    </row>
    <row r="121" spans="2:69" ht="27.5">
      <c r="B121" s="2516" t="s">
        <v>1626</v>
      </c>
      <c r="C121" s="2526">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Proyecciones'!E47)-C120</f>
        <v>0</v>
      </c>
      <c r="D121" s="2526">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Proyecciones'!H47)-D120</f>
        <v>0</v>
      </c>
      <c r="E121" s="2527">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Proyecciones'!N47)-E120</f>
        <v>0</v>
      </c>
      <c r="F121" s="2508"/>
      <c r="G121" s="2516" t="s">
        <v>1639</v>
      </c>
      <c r="H121" s="2561">
        <f>+H119-H120</f>
        <v>0</v>
      </c>
      <c r="I121" s="2561">
        <f>+I119-I120</f>
        <v>0</v>
      </c>
      <c r="J121" s="2562">
        <f>+J119-J120</f>
        <v>0</v>
      </c>
      <c r="N121"/>
      <c r="O121"/>
      <c r="P121"/>
      <c r="Q121"/>
      <c r="R121"/>
      <c r="S121"/>
      <c r="T121"/>
      <c r="U121"/>
      <c r="V121"/>
      <c r="W121"/>
      <c r="X121"/>
      <c r="Y121"/>
      <c r="Z121"/>
      <c r="AA121"/>
      <c r="AB121"/>
      <c r="AC121"/>
      <c r="AD121"/>
      <c r="BQ121" s="725"/>
    </row>
    <row r="122" spans="2:69" ht="28">
      <c r="B122" s="2528" t="s">
        <v>1630</v>
      </c>
      <c r="C122" s="2542">
        <f>SUM(C117:C121)</f>
        <v>0</v>
      </c>
      <c r="D122" s="2542">
        <f>SUM(D117:D121)</f>
        <v>0</v>
      </c>
      <c r="E122" s="2543">
        <f>SUM(E117:E121)</f>
        <v>0</v>
      </c>
      <c r="F122" s="2508"/>
      <c r="G122" s="2551" t="s">
        <v>1641</v>
      </c>
      <c r="H122" s="2552"/>
      <c r="I122" s="2552"/>
      <c r="J122" s="2553"/>
      <c r="N122" s="2856" t="s">
        <v>1780</v>
      </c>
      <c r="O122" s="2857">
        <f ca="1">+'Flujo de Caja Proyecto'!B46</f>
        <v>0</v>
      </c>
      <c r="P122" s="2857">
        <f ca="1">+'Flujo de Caja Proyecto'!D46</f>
        <v>0</v>
      </c>
      <c r="Q122" s="2857">
        <f ca="1">+'Flujo de Caja Proyecto'!G46</f>
        <v>0</v>
      </c>
      <c r="R122" s="2857">
        <f ca="1">+'Flujo de Caja Proyecto'!J46</f>
        <v>0</v>
      </c>
      <c r="S122" s="2857">
        <f ca="1">+'Flujo de Caja Proyecto'!M46</f>
        <v>0</v>
      </c>
      <c r="T122" s="2857">
        <f ca="1">+'Flujo de Caja Proyecto'!P46</f>
        <v>0</v>
      </c>
      <c r="U122" s="2857">
        <f ca="1">+'Flujo de Caja Proyecto'!S46</f>
        <v>0</v>
      </c>
      <c r="V122" s="2857">
        <f ca="1">+'Flujo de Caja Proyecto'!V46</f>
        <v>0</v>
      </c>
      <c r="W122" s="2857">
        <f ca="1">+'Flujo de Caja Proyecto'!Y46</f>
        <v>0</v>
      </c>
      <c r="X122" s="2857">
        <f ca="1">+'Flujo de Caja Proyecto'!AB46</f>
        <v>0</v>
      </c>
      <c r="Y122" s="2857">
        <f ca="1">+'Flujo de Caja Proyecto'!AE33</f>
        <v>0</v>
      </c>
      <c r="Z122" s="2857">
        <f ca="1">+'Flujo de Caja Proyecto'!AH33</f>
        <v>0</v>
      </c>
      <c r="AA122" s="2857">
        <f ca="1">+'Flujo de Caja Proyecto'!AK33</f>
        <v>0</v>
      </c>
      <c r="AB122" s="2857">
        <f ca="1">+'Flujo de Caja Proyecto'!AN33</f>
        <v>0</v>
      </c>
      <c r="AC122" s="2858">
        <f ca="1">+'Flujo de Caja Proyecto'!AQ33</f>
        <v>0</v>
      </c>
      <c r="AD122" s="2499"/>
    </row>
    <row r="123" spans="2:69" ht="27.5">
      <c r="B123" s="2516" t="s">
        <v>1632</v>
      </c>
      <c r="C123" s="2526">
        <f>IF(('Balances y Proyecciones'!Q17)&lt;&gt;360,'Balances y Proyecciones'!H49+'Balances y Proyecciones'!H50+'Balances y Proyecciones'!H51,'Balances y Proyecciones'!E49+'Balances y Proyecciones'!E50+'Balances y Proyecciones'!E51)</f>
        <v>0</v>
      </c>
      <c r="D123" s="2526">
        <f>IF(('Balances y Proyecciones'!Q17)&lt;&gt;360,'Balances y Proyecciones'!N49+'Balances y Proyecciones'!N50+'Balances y Proyecciones'!N51,'Balances y Proyecciones'!H49+'Balances y Proyecciones'!H50+'Balances y Proyecciones'!H51)</f>
        <v>0</v>
      </c>
      <c r="E123" s="2527">
        <f>IF(('Balances y Proyecciones'!Q17)&lt;&gt;360,'Balances y Proyecciones'!Q49+'Balances y Proyecciones'!Q50+'Balances y Proyecciones'!Q51,'Balances y Proyecciones'!N49+'Balances y Proyecciones'!N50+'Balances y Proyecciones'!N51)</f>
        <v>0</v>
      </c>
      <c r="F123" s="2508"/>
      <c r="G123" s="2516" t="s">
        <v>1642</v>
      </c>
      <c r="H123" s="2554">
        <f>IF(('Balances y Proyecciones'!Q17)&lt;&gt;360,'Balances y Proyecciones'!AS751,'Balances y Proyecciones'!AP751)</f>
        <v>0</v>
      </c>
      <c r="I123" s="2554">
        <f>IF(('Balances y Proyecciones'!Q17)&lt;&gt;360,'Balances y Proyecciones'!AY751,'Balances y Proyecciones'!AS751)</f>
        <v>0</v>
      </c>
      <c r="J123" s="2555">
        <f>IF(('Balances y Proyecciones'!Q17)&lt;&gt;360,'Balances y Proyecciones'!BB751,'Balances y Proyecciones'!AY751)</f>
        <v>0</v>
      </c>
      <c r="N123" s="2499"/>
      <c r="O123" s="2499"/>
      <c r="P123" s="2499"/>
      <c r="Q123" s="2499"/>
      <c r="R123" s="2499"/>
      <c r="S123" s="2499"/>
      <c r="T123" s="2499"/>
      <c r="U123" s="2499"/>
      <c r="V123" s="2499"/>
      <c r="W123" s="2499"/>
      <c r="X123" s="2499"/>
      <c r="Y123" s="2499"/>
      <c r="Z123" s="2499"/>
      <c r="AA123" s="2499"/>
      <c r="AB123" s="2499"/>
      <c r="AC123" s="2499"/>
      <c r="AD123" s="2499"/>
    </row>
    <row r="124" spans="2:69" ht="27.5">
      <c r="B124" s="2578" t="s">
        <v>1781</v>
      </c>
      <c r="C124" s="2526">
        <f>IF(('Balances y Proyecciones'!Q17)&lt;&gt;360,'Estados Financieros'!F277,'Estados Financieros'!E277)</f>
        <v>0</v>
      </c>
      <c r="D124" s="2526">
        <f>IF(('Balances y Proyecciones'!Q17)&lt;&gt;360,'Estados Financieros'!G277,'Estados Financieros'!F277)</f>
        <v>0</v>
      </c>
      <c r="E124" s="2527">
        <f>IF(('Balances y Proyecciones'!Q17)&lt;&gt;360,'Estados Financieros'!H277,'Estados Financieros'!G277)</f>
        <v>0</v>
      </c>
      <c r="F124" s="2508"/>
      <c r="G124" s="2516" t="s">
        <v>1646</v>
      </c>
      <c r="H124" s="2554" t="e">
        <f>IF(('Balances y Proyecciones'!Q17)&lt;&gt;360,(('Balances y Proyecciones'!AS704+'Balances y Proyecciones'!AS657)/'Balances y Proyecciones'!AS703),(('Balances y Proyecciones'!AP704+'Balances y Proyecciones'!AP657)/'Balances y Proyecciones'!AP703))</f>
        <v>#DIV/0!</v>
      </c>
      <c r="I124" s="2554" t="e">
        <f>IF(('Balances y Proyecciones'!Q17)&lt;&gt;360,(('Balances y Proyecciones'!AY704+'Balances y Proyecciones'!AY657)/'Balances y Proyecciones'!AY703),(('Balances y Proyecciones'!AS704+'Balances y Proyecciones'!AS657)/'Balances y Proyecciones'!AS703))</f>
        <v>#DIV/0!</v>
      </c>
      <c r="J124" s="2555" t="e">
        <f>IF(('Balances y Proyecciones'!Q17)&lt;&gt;360,(('Balances y Proyecciones'!BB704+'Balances y Proyecciones'!BB657)/'Balances y Proyecciones'!BB703),(('Balances y Proyecciones'!AY704+'Balances y Proyecciones'!AY657)/'Balances y Proyecciones'!AY703))</f>
        <v>#DIV/0!</v>
      </c>
      <c r="N124" s="2499"/>
      <c r="O124" s="2499"/>
      <c r="P124" s="2499"/>
      <c r="Q124" s="2499"/>
      <c r="R124" s="2499"/>
      <c r="S124" s="2499"/>
      <c r="T124" s="2499"/>
      <c r="U124" s="2499"/>
      <c r="V124" s="2499"/>
      <c r="W124" s="2499"/>
      <c r="X124" s="2499"/>
      <c r="Y124" s="2499"/>
      <c r="Z124" s="2499"/>
      <c r="AA124" s="2499"/>
      <c r="AB124" s="2499"/>
      <c r="AC124" s="2499"/>
      <c r="AD124" s="2499"/>
    </row>
    <row r="125" spans="2:69" ht="27.5">
      <c r="B125" s="2516" t="s">
        <v>1782</v>
      </c>
      <c r="C125" s="2526">
        <f>IF(('Balances y Proyecciones'!Q17)&lt;&gt;360,'Estados Financieros'!F321,'Estados Financieros'!E321)</f>
        <v>0</v>
      </c>
      <c r="D125" s="2526">
        <f>IF(('Balances y Proyecciones'!Q17)&lt;&gt;360,'Estados Financieros'!G321,'Estados Financieros'!F321)</f>
        <v>0</v>
      </c>
      <c r="E125" s="2527">
        <f>IF(('Balances y Proyecciones'!Q17)&lt;&gt;360,'Estados Financieros'!H321,'Estados Financieros'!G321)</f>
        <v>0</v>
      </c>
      <c r="F125" s="2508"/>
      <c r="G125" s="2516" t="s">
        <v>915</v>
      </c>
      <c r="H125" s="2598">
        <f>IF(('Balances y Proyecciones'!Q17)&lt;&gt;360,'Balances y Proyecciones'!AS743,'Balances y Proyecciones'!AP743)</f>
        <v>0</v>
      </c>
      <c r="I125" s="2598">
        <f>IF(('Balances y Proyecciones'!Q17)&lt;&gt;360,'Balances y Proyecciones'!AY743,'Balances y Proyecciones'!AS743)</f>
        <v>0</v>
      </c>
      <c r="J125" s="2599">
        <f>IF(('Balances y Proyecciones'!Q17)&lt;&gt;360,'Balances y Proyecciones'!BB743,'Balances y Proyecciones'!AY743)</f>
        <v>0</v>
      </c>
      <c r="N125" s="2499"/>
      <c r="O125" s="2499"/>
      <c r="P125" s="2499"/>
      <c r="Q125" s="2499"/>
      <c r="R125" s="2499"/>
      <c r="S125" s="2499"/>
      <c r="T125" s="2499"/>
      <c r="U125" s="2499"/>
      <c r="V125" s="2499"/>
      <c r="W125" s="2499"/>
      <c r="X125" s="2499"/>
      <c r="Y125" s="2499"/>
      <c r="Z125" s="2499"/>
      <c r="AA125" s="2499"/>
      <c r="AB125" s="2499"/>
      <c r="AC125" s="2499"/>
      <c r="AD125" s="2499"/>
    </row>
    <row r="126" spans="2:69" ht="27.5">
      <c r="B126" s="2516" t="s">
        <v>1783</v>
      </c>
      <c r="C126" s="2526">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Proyecciones'!E57)-C124-C125</f>
        <v>0</v>
      </c>
      <c r="D126" s="2526">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Proyecciones'!H57)-D124-D125</f>
        <v>0</v>
      </c>
      <c r="E126" s="2527">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Proyecciones'!N57)-E124-E125</f>
        <v>0</v>
      </c>
      <c r="F126" s="2508"/>
      <c r="G126" s="2516" t="s">
        <v>910</v>
      </c>
      <c r="H126" s="2598">
        <f>IF(('Balances y Proyecciones'!Q17)&lt;&gt;360,'Balances y Proyecciones'!AS745,'Balances y Proyecciones'!AP745)</f>
        <v>0</v>
      </c>
      <c r="I126" s="2598">
        <f>IF(('Balances y Proyecciones'!Q17)&lt;&gt;360,'Balances y Proyecciones'!AY745,'Balances y Proyecciones'!AS745)</f>
        <v>0</v>
      </c>
      <c r="J126" s="2599">
        <f>IF(('Balances y Proyecciones'!Q17)&lt;&gt;360,'Balances y Proyecciones'!BB745,'Balances y Proyecciones'!AY745)</f>
        <v>0</v>
      </c>
      <c r="N126" s="2499"/>
      <c r="O126" s="2499"/>
      <c r="P126" s="2499"/>
      <c r="Q126" s="2499"/>
      <c r="R126" s="2499"/>
      <c r="S126" s="2499"/>
      <c r="T126" s="2499"/>
      <c r="U126" s="2499"/>
      <c r="V126" s="2499"/>
      <c r="W126" s="2499"/>
      <c r="X126" s="2499"/>
      <c r="Y126" s="2499"/>
      <c r="Z126" s="2499"/>
      <c r="AA126" s="2499"/>
      <c r="AB126" s="2499"/>
      <c r="AC126" s="2499"/>
      <c r="AD126" s="2499"/>
    </row>
    <row r="127" spans="2:69" ht="28">
      <c r="B127" s="2528" t="s">
        <v>1638</v>
      </c>
      <c r="C127" s="2542">
        <f>SUM(C123:C126)</f>
        <v>0</v>
      </c>
      <c r="D127" s="2542">
        <f>SUM(D123:D126)</f>
        <v>0</v>
      </c>
      <c r="E127" s="2543">
        <f>SUM(E123:E126)</f>
        <v>0</v>
      </c>
      <c r="F127" s="2508"/>
      <c r="G127" s="2516" t="s">
        <v>911</v>
      </c>
      <c r="H127" s="2598">
        <f>IF(('Balances y Proyecciones'!Q17)&lt;&gt;360,'Balances y Proyecciones'!AS746,'Balances y Proyecciones'!AP746)</f>
        <v>0</v>
      </c>
      <c r="I127" s="2598">
        <f>IF(('Balances y Proyecciones'!Q78)&lt;&gt;360,'Balances y Proyecciones'!AY746,'Balances y Proyecciones'!AS746)</f>
        <v>0</v>
      </c>
      <c r="J127" s="2599">
        <f>IF(('Balances y Proyecciones'!Q17)&lt;&gt;360,'Balances y Proyecciones'!BB746,'Balances y Proyecciones'!AY746)</f>
        <v>0</v>
      </c>
      <c r="N127" s="2499"/>
      <c r="O127" s="2499"/>
      <c r="P127" s="2499"/>
      <c r="Q127" s="2499"/>
      <c r="R127" s="2499"/>
      <c r="S127" s="2499"/>
      <c r="T127" s="2499"/>
      <c r="U127" s="2499"/>
      <c r="V127" s="2499"/>
      <c r="W127" s="2499"/>
      <c r="X127" s="2499"/>
      <c r="Y127" s="2499"/>
      <c r="Z127" s="2499"/>
      <c r="AA127" s="2499"/>
      <c r="AB127" s="2499"/>
      <c r="AC127" s="2499"/>
      <c r="AD127" s="2499"/>
    </row>
    <row r="128" spans="2:69" ht="28">
      <c r="B128" s="2556" t="s">
        <v>763</v>
      </c>
      <c r="C128" s="2557">
        <f>+C122+C127</f>
        <v>0</v>
      </c>
      <c r="D128" s="2557">
        <f>+D122+D127</f>
        <v>0</v>
      </c>
      <c r="E128" s="2558">
        <f>+E122+E127</f>
        <v>0</v>
      </c>
      <c r="F128" s="2552"/>
      <c r="G128" s="2551" t="s">
        <v>1666</v>
      </c>
      <c r="H128" s="2598"/>
      <c r="I128" s="2598"/>
      <c r="J128" s="2599"/>
      <c r="N128" s="2499"/>
      <c r="O128" s="2499"/>
      <c r="P128" s="2499"/>
      <c r="Q128" s="2499"/>
      <c r="R128" s="2499"/>
      <c r="S128" s="2499"/>
      <c r="T128" s="2499"/>
      <c r="U128" s="2499"/>
      <c r="V128" s="2499"/>
      <c r="W128" s="2499"/>
      <c r="X128" s="2499"/>
      <c r="Y128" s="2499"/>
      <c r="Z128" s="2499"/>
      <c r="AA128" s="2499"/>
      <c r="AB128" s="2499"/>
      <c r="AC128" s="2499"/>
      <c r="AD128" s="2499"/>
    </row>
    <row r="129" spans="2:30" ht="28">
      <c r="B129" s="2551" t="s">
        <v>764</v>
      </c>
      <c r="C129" s="2526"/>
      <c r="D129" s="2526"/>
      <c r="E129" s="2527"/>
      <c r="F129" s="2508"/>
      <c r="G129" s="2516" t="s">
        <v>1669</v>
      </c>
      <c r="H129" s="2598">
        <f>IF(('Balances y Proyecciones'!Q17)&lt;&gt;360,'Balances y Proyecciones'!AS737,'Balances y Proyecciones'!AP737)</f>
        <v>0</v>
      </c>
      <c r="I129" s="2598">
        <f>IF(('Balances y Proyecciones'!Q17)&lt;&gt;360,'Balances y Proyecciones'!AY737,'Balances y Proyecciones'!AS737)</f>
        <v>0</v>
      </c>
      <c r="J129" s="2599">
        <f>IF(('Balances y Proyecciones'!Q17)&lt;&gt;360,'Balances y Proyecciones'!BB737,'Balances y Proyecciones'!AY737)</f>
        <v>0</v>
      </c>
      <c r="N129" s="2499"/>
      <c r="O129" s="2499"/>
      <c r="P129" s="2499"/>
      <c r="Q129" s="2499"/>
      <c r="R129" s="2499"/>
      <c r="S129" s="2499"/>
      <c r="T129" s="2499"/>
      <c r="U129" s="2499"/>
      <c r="V129" s="2499"/>
      <c r="W129" s="2499"/>
      <c r="X129" s="2499"/>
      <c r="Y129" s="2499"/>
      <c r="Z129" s="2499"/>
      <c r="AA129" s="2499"/>
      <c r="AB129" s="2499"/>
      <c r="AC129" s="2499"/>
      <c r="AD129" s="2499"/>
    </row>
    <row r="130" spans="2:30" ht="27.5">
      <c r="B130" s="2516" t="s">
        <v>1645</v>
      </c>
      <c r="C130" s="2526">
        <f>IF(('Balances y Proyecciones'!Q17)&lt;&gt;360,'Balances y Proyecciones'!H60,'Balances y Proyecciones'!E60)</f>
        <v>0</v>
      </c>
      <c r="D130" s="2526">
        <f>IF(('Balances y Proyecciones'!Q17)&lt;&gt;360,'Balances y Proyecciones'!N60,'Balances y Proyecciones'!H60)</f>
        <v>0</v>
      </c>
      <c r="E130" s="2527">
        <f>IF(('Balances y Proyecciones'!Q17)&lt;&gt;360,'Balances y Proyecciones'!Q60,'Balances y Proyecciones'!N60)</f>
        <v>0</v>
      </c>
      <c r="F130" s="2508"/>
      <c r="G130" s="2644"/>
      <c r="H130" s="2859"/>
      <c r="I130" s="2859"/>
      <c r="J130" s="2860"/>
      <c r="N130" s="2499"/>
      <c r="O130" s="2499"/>
      <c r="P130" s="2499"/>
      <c r="Q130" s="2499"/>
      <c r="R130" s="2499"/>
      <c r="S130" s="2499"/>
      <c r="T130" s="2499"/>
      <c r="U130" s="2499"/>
      <c r="V130" s="2499"/>
      <c r="W130" s="2499"/>
      <c r="X130" s="2499"/>
      <c r="Y130" s="2499"/>
      <c r="Z130" s="2499"/>
      <c r="AA130" s="2499"/>
      <c r="AB130" s="2499"/>
      <c r="AC130" s="2499"/>
      <c r="AD130" s="2499"/>
    </row>
    <row r="131" spans="2:30" ht="27.5">
      <c r="B131" s="2516" t="s">
        <v>1651</v>
      </c>
      <c r="C131" s="2526">
        <f>IF(('Balances y Proyecciones'!Q17)&lt;&gt;360,'Balances y Proyecciones'!H61,'Balances y Proyecciones'!E61)</f>
        <v>0</v>
      </c>
      <c r="D131" s="2526">
        <f>IF(('Balances y Proyecciones'!Q17)&lt;&gt;360,'Balances y Proyecciones'!N61,'Balances y Proyecciones'!H61)</f>
        <v>0</v>
      </c>
      <c r="E131" s="2527">
        <f>IF(('Balances y Proyecciones'!Q17)&lt;&gt;360,'Balances y Proyecciones'!Q61,'Balances y Proyecciones'!N61)</f>
        <v>0</v>
      </c>
      <c r="F131" s="2508"/>
      <c r="G131" s="2506"/>
      <c r="H131" s="2506"/>
      <c r="I131" s="2506"/>
      <c r="J131" s="2506"/>
      <c r="N131" s="2499"/>
      <c r="O131" s="2499"/>
      <c r="P131" s="2499"/>
      <c r="Q131" s="2499"/>
      <c r="R131" s="2499"/>
      <c r="S131" s="2499"/>
      <c r="T131" s="2499"/>
      <c r="U131" s="2499"/>
      <c r="V131" s="2499"/>
      <c r="W131" s="2499"/>
      <c r="X131" s="2499"/>
      <c r="Y131" s="2499"/>
      <c r="Z131" s="2499"/>
      <c r="AA131" s="2499"/>
      <c r="AB131" s="2499"/>
      <c r="AC131" s="2499"/>
      <c r="AD131" s="2499"/>
    </row>
    <row r="132" spans="2:30" ht="27.5">
      <c r="B132" s="2516" t="s">
        <v>1656</v>
      </c>
      <c r="C132" s="2526">
        <f>IF(('Balances y Proyecciones'!Q17)&lt;&gt;360,'Balances y Proyecciones'!H62+'Balances y Proyecciones'!H66,'Balances y Proyecciones'!E62+'Balances y Proyecciones'!E66)</f>
        <v>0</v>
      </c>
      <c r="D132" s="2526">
        <f>IF(('Balances y Proyecciones'!Q17)&lt;&gt;360,'Balances y Proyecciones'!N62+'Balances y Proyecciones'!N66,'Balances y Proyecciones'!H62+'Balances y Proyecciones'!H66)</f>
        <v>0</v>
      </c>
      <c r="E132" s="2527">
        <f>IF(('Balances y Proyecciones'!Q17)&lt;&gt;360,'Balances y Proyecciones'!Q62+'Balances y Proyecciones'!Q66,'Balances y Proyecciones'!N62+'Balances y Proyecciones'!N66)</f>
        <v>0</v>
      </c>
      <c r="F132" s="2508"/>
      <c r="G132" s="2506"/>
      <c r="H132" s="2506"/>
      <c r="I132" s="2506"/>
      <c r="J132" s="2506"/>
      <c r="N132" s="2499"/>
      <c r="O132" s="2499"/>
      <c r="P132" s="2499"/>
      <c r="Q132" s="2499"/>
      <c r="R132" s="2499"/>
      <c r="S132" s="2499"/>
      <c r="T132" s="2499"/>
      <c r="U132" s="2499"/>
      <c r="V132" s="2499"/>
      <c r="W132" s="2499"/>
      <c r="X132" s="2499"/>
      <c r="Y132" s="2499"/>
      <c r="Z132" s="2499"/>
      <c r="AA132" s="2499"/>
      <c r="AB132" s="2499"/>
      <c r="AC132" s="2499"/>
      <c r="AD132" s="2499"/>
    </row>
    <row r="133" spans="2:30" ht="27.5">
      <c r="B133" s="2516" t="s">
        <v>1662</v>
      </c>
      <c r="C133" s="2526">
        <f>IF(('Balances y Proyecciones'!Q17)&lt;&gt;360,'Balances y Proyecciones'!H63+'Balances y Proyecciones'!H64+'Balances y Proyecciones'!H65,'Balances y Proyecciones'!E63+'Balances y Proyecciones'!E64+'Balances y Proyecciones'!E65)</f>
        <v>0</v>
      </c>
      <c r="D133" s="2526">
        <f>IF(('Balances y Proyecciones'!Q17)&lt;&gt;360,'Balances y Proyecciones'!N63+'Balances y Proyecciones'!N64+'Balances y Proyecciones'!N65,'Balances y Proyecciones'!H63+'Balances y Proyecciones'!H64+'Balances y Proyecciones'!H65)</f>
        <v>0</v>
      </c>
      <c r="E133" s="2527">
        <f>IF(('Balances y Proyecciones'!Q17)&lt;&gt;360,'Balances y Proyecciones'!Q63+'Balances y Proyecciones'!Q64+'Balances y Proyecciones'!Q65,'Balances y Proyecciones'!N63+'Balances y Proyecciones'!N64+'Balances y Proyecciones'!N65)</f>
        <v>0</v>
      </c>
      <c r="F133" s="2508"/>
      <c r="G133" s="2506"/>
      <c r="H133" s="2506"/>
      <c r="I133" s="2506"/>
      <c r="J133" s="2506"/>
      <c r="N133" s="2499"/>
      <c r="O133" s="2499"/>
      <c r="P133" s="2499"/>
      <c r="Q133" s="2499"/>
      <c r="R133" s="2499"/>
      <c r="S133" s="2499"/>
      <c r="T133" s="2499"/>
      <c r="U133" s="2499"/>
      <c r="V133" s="2499"/>
      <c r="W133" s="2499"/>
      <c r="X133" s="2499"/>
      <c r="Y133" s="2499"/>
      <c r="Z133" s="2499"/>
      <c r="AA133" s="2499"/>
      <c r="AB133" s="2499"/>
      <c r="AC133" s="2499"/>
      <c r="AD133" s="2499"/>
    </row>
    <row r="134" spans="2:30" ht="27.5">
      <c r="B134" s="2516" t="s">
        <v>1611</v>
      </c>
      <c r="C134" s="2526">
        <f>IF(('Balances y Proyecciones'!Q17)&lt;&gt;360,'Balances y Proyecciones'!H33,'Balances y Proyecciones'!E33)</f>
        <v>0</v>
      </c>
      <c r="D134" s="2526">
        <f>IF(('Balances y Proyecciones'!Q17)&lt;&gt;360,'Balances y Proyecciones'!N33,'Balances y Proyecciones'!H33)</f>
        <v>0</v>
      </c>
      <c r="E134" s="2527">
        <f>IF(('Balances y Proyecciones'!Q17)&lt;&gt;360,'Balances y Proyecciones'!Q33,'Balances y Proyecciones'!N33)</f>
        <v>0</v>
      </c>
      <c r="F134" s="2508"/>
      <c r="G134" s="2506"/>
      <c r="H134" s="2506"/>
      <c r="I134" s="2506"/>
      <c r="J134" s="2506"/>
      <c r="N134" s="2499"/>
      <c r="O134" s="2499"/>
      <c r="P134" s="2499"/>
      <c r="Q134" s="2499"/>
      <c r="R134" s="2499"/>
      <c r="S134" s="2499"/>
      <c r="T134" s="2499"/>
      <c r="U134" s="2499"/>
      <c r="V134" s="2499"/>
      <c r="W134" s="2499"/>
      <c r="X134" s="2499"/>
      <c r="Y134" s="2499"/>
      <c r="Z134" s="2499"/>
      <c r="AA134" s="2499"/>
      <c r="AB134" s="2499"/>
      <c r="AC134" s="2499"/>
      <c r="AD134" s="2499"/>
    </row>
    <row r="135" spans="2:30" ht="28">
      <c r="B135" s="2642" t="s">
        <v>793</v>
      </c>
      <c r="C135" s="2823">
        <f>+SUM(C130:C134)</f>
        <v>0</v>
      </c>
      <c r="D135" s="2823">
        <f>+SUM(D130:D134)</f>
        <v>0</v>
      </c>
      <c r="E135" s="2823">
        <f>+SUM(E130:E134)</f>
        <v>0</v>
      </c>
      <c r="F135" s="2508"/>
      <c r="G135" s="2506"/>
      <c r="H135" s="2506"/>
      <c r="I135" s="2506"/>
      <c r="J135" s="2506"/>
      <c r="N135" s="2499"/>
      <c r="O135" s="2499"/>
      <c r="P135" s="2499"/>
      <c r="Q135" s="2499"/>
      <c r="R135" s="2499"/>
      <c r="S135" s="2499"/>
      <c r="T135" s="2499"/>
      <c r="U135" s="2499"/>
      <c r="V135" s="2499"/>
      <c r="W135" s="2499"/>
      <c r="X135" s="2499"/>
      <c r="Y135" s="2499"/>
      <c r="Z135" s="2499"/>
      <c r="AA135" s="2499"/>
      <c r="AB135" s="2499"/>
      <c r="AC135" s="2499"/>
      <c r="AD135" s="2499"/>
    </row>
    <row r="136" spans="2:30" ht="11.5">
      <c r="F136" s="2499"/>
      <c r="G136" s="2499"/>
      <c r="H136" s="2499"/>
      <c r="I136" s="2499"/>
      <c r="J136" s="2499"/>
      <c r="N136" s="2499"/>
      <c r="O136" s="2499"/>
      <c r="P136" s="2499"/>
      <c r="Q136" s="2499"/>
      <c r="R136" s="2499"/>
      <c r="S136" s="2499"/>
      <c r="T136" s="2499"/>
      <c r="U136" s="2499"/>
      <c r="V136" s="2499"/>
      <c r="W136" s="2499"/>
      <c r="X136" s="2499"/>
      <c r="Y136" s="2499"/>
      <c r="Z136" s="2499"/>
      <c r="AA136" s="2499"/>
      <c r="AB136" s="2499"/>
      <c r="AC136" s="2499"/>
      <c r="AD136" s="2499"/>
    </row>
    <row r="137" spans="2:30" ht="11.5">
      <c r="B137" s="2499"/>
      <c r="C137" s="2499"/>
      <c r="D137" s="2499"/>
      <c r="E137" s="2499"/>
      <c r="F137" s="2499"/>
      <c r="G137" s="2499"/>
      <c r="H137" s="2499"/>
      <c r="I137" s="2499"/>
      <c r="J137" s="2499"/>
      <c r="N137" s="2499"/>
      <c r="O137" s="2499"/>
      <c r="P137" s="2499"/>
      <c r="Q137" s="2499"/>
      <c r="R137" s="2499"/>
      <c r="S137" s="2499"/>
      <c r="T137" s="2499"/>
      <c r="U137" s="2499"/>
      <c r="V137" s="2499"/>
      <c r="W137" s="2499"/>
      <c r="X137" s="2499"/>
      <c r="Y137" s="2499"/>
      <c r="Z137" s="2499"/>
      <c r="AA137" s="2499"/>
      <c r="AB137" s="2499"/>
      <c r="AC137" s="2499"/>
      <c r="AD137" s="2499"/>
    </row>
    <row r="138" spans="2:30" ht="11.5">
      <c r="B138" s="2499"/>
      <c r="C138" s="2499"/>
      <c r="D138" s="2499"/>
      <c r="E138" s="2499"/>
      <c r="F138" s="2499"/>
      <c r="G138" s="2499"/>
      <c r="H138" s="2499"/>
      <c r="I138" s="2499"/>
      <c r="J138" s="2499"/>
      <c r="N138" s="2499"/>
      <c r="O138" s="2499"/>
      <c r="P138" s="2499"/>
      <c r="Q138" s="2499"/>
      <c r="R138" s="2499"/>
      <c r="S138" s="2499"/>
      <c r="T138" s="2499"/>
      <c r="U138" s="2499"/>
      <c r="V138" s="2499"/>
      <c r="W138" s="2499"/>
      <c r="X138" s="2499"/>
      <c r="Y138" s="2499"/>
      <c r="Z138" s="2499"/>
      <c r="AA138" s="2499"/>
      <c r="AB138" s="2499"/>
      <c r="AC138" s="2499"/>
      <c r="AD138" s="2499"/>
    </row>
    <row r="139" spans="2:30" ht="28">
      <c r="B139" s="4075" t="str">
        <f>B94</f>
        <v/>
      </c>
      <c r="C139" s="4076"/>
      <c r="D139" s="4076"/>
      <c r="E139" s="4076"/>
      <c r="F139" s="4076"/>
      <c r="G139" s="4076"/>
      <c r="H139" s="4076"/>
      <c r="I139" s="4076"/>
      <c r="J139" s="4077"/>
      <c r="N139" s="2499"/>
      <c r="O139" s="2499"/>
      <c r="P139" s="2499"/>
      <c r="Q139" s="2499"/>
      <c r="R139" s="2499"/>
      <c r="S139" s="2499"/>
      <c r="T139" s="2499"/>
      <c r="U139" s="2499"/>
      <c r="V139" s="2499"/>
      <c r="W139" s="2499"/>
      <c r="X139" s="2499"/>
      <c r="Y139" s="2499"/>
      <c r="Z139" s="2499"/>
      <c r="AA139" s="2499"/>
      <c r="AB139" s="2499"/>
      <c r="AC139" s="2499"/>
      <c r="AD139" s="2499"/>
    </row>
    <row r="140" spans="2:30" ht="27.5">
      <c r="B140" s="2508"/>
      <c r="C140" s="2508"/>
      <c r="D140" s="2508"/>
      <c r="E140" s="2508"/>
      <c r="F140" s="2508"/>
      <c r="G140" s="2508"/>
      <c r="H140" s="2508"/>
      <c r="I140" s="2508"/>
      <c r="J140" s="2508"/>
      <c r="N140" s="2499"/>
      <c r="O140" s="2499"/>
      <c r="P140" s="2499"/>
      <c r="Q140" s="2499"/>
      <c r="R140" s="2499"/>
      <c r="S140" s="2499"/>
      <c r="T140" s="2499"/>
      <c r="U140" s="2499"/>
      <c r="V140" s="2499"/>
      <c r="W140" s="2499"/>
      <c r="X140" s="2499"/>
      <c r="Y140" s="2499"/>
      <c r="Z140" s="2499"/>
      <c r="AA140" s="2499"/>
      <c r="AB140" s="2499"/>
      <c r="AC140" s="2499"/>
      <c r="AD140" s="2499"/>
    </row>
    <row r="141" spans="2:30" ht="28">
      <c r="B141" s="2510" t="s">
        <v>899</v>
      </c>
      <c r="C141" s="2511"/>
      <c r="D141" s="2511"/>
      <c r="E141" s="2512"/>
      <c r="F141" s="2508"/>
      <c r="G141" s="2510" t="s">
        <v>1592</v>
      </c>
      <c r="H141" s="2511"/>
      <c r="I141" s="2511"/>
      <c r="J141" s="2512"/>
      <c r="N141" s="2499"/>
      <c r="O141" s="2499"/>
      <c r="P141" s="2499"/>
      <c r="Q141" s="2499"/>
      <c r="R141" s="2499"/>
      <c r="S141" s="2499"/>
      <c r="T141" s="2499"/>
      <c r="U141" s="2499"/>
      <c r="V141" s="2499"/>
      <c r="W141" s="2499"/>
      <c r="X141" s="2499"/>
      <c r="Y141" s="2499"/>
      <c r="Z141" s="2499"/>
      <c r="AA141" s="2499"/>
      <c r="AB141" s="2499"/>
      <c r="AC141" s="2499"/>
      <c r="AD141" s="2499"/>
    </row>
    <row r="142" spans="2:30" ht="28">
      <c r="B142" s="2513"/>
      <c r="C142" s="2548" t="str">
        <f>IF('Balances y Proyecciones'!$K$16="Diciembre","N.A",CONCATENATE(LEFT('Balances y Proyecciones'!$K$16,3)," ",CONCATENATE(RIGHT('Balances y Proyecciones'!$K$15,2))))</f>
        <v>Jun 19</v>
      </c>
      <c r="D142" s="2678"/>
      <c r="E142" s="2512" t="str">
        <f>IF('Balances y Proyecciones'!$K$16="Diciembre","N.A",CONCATENATE(LEFT('Balances y Proyecciones'!$K$16,3)," ",CONCATENATE(RIGHT('Balances y Proyecciones'!$Q$15,2))))</f>
        <v>Jun 20</v>
      </c>
      <c r="F142" s="2508"/>
      <c r="G142" s="2513"/>
      <c r="H142" s="2514" t="str">
        <f>$C$48</f>
        <v>Jun 19</v>
      </c>
      <c r="I142" s="2678"/>
      <c r="J142" s="2512" t="str">
        <f>$E$48</f>
        <v>Jun 20</v>
      </c>
      <c r="N142" s="2499"/>
      <c r="O142" s="2499"/>
      <c r="P142" s="2499"/>
      <c r="Q142" s="2499"/>
      <c r="R142" s="2499"/>
      <c r="S142" s="2499"/>
      <c r="T142" s="2499"/>
      <c r="U142" s="2499"/>
      <c r="V142" s="2499"/>
      <c r="W142" s="2499"/>
      <c r="X142" s="2499"/>
      <c r="Y142" s="2499"/>
      <c r="Z142" s="2499"/>
      <c r="AA142" s="2499"/>
      <c r="AB142" s="2499"/>
      <c r="AC142" s="2499"/>
      <c r="AD142" s="2499"/>
    </row>
    <row r="143" spans="2:30" ht="27.5">
      <c r="B143" s="2515" t="s">
        <v>1697</v>
      </c>
      <c r="C143" s="2691" t="str">
        <f>IF(Resumen!$C$48=0,"N.D",Resumen!$C$48)</f>
        <v>N.D</v>
      </c>
      <c r="D143" s="2692"/>
      <c r="E143" s="2693" t="str">
        <f>IF(Resumen!$E$48=0,"N.D",Resumen!$E$48)</f>
        <v>N.D</v>
      </c>
      <c r="F143" s="2508"/>
      <c r="G143" s="2516" t="s">
        <v>1593</v>
      </c>
      <c r="H143" s="2526">
        <f>IF(('Balances y Proyecciones'!Q17)&lt;&gt;360,'Balances y Proyecciones'!K71,'Balances y Proyecciones'!K71)</f>
        <v>0</v>
      </c>
      <c r="I143" s="2526"/>
      <c r="J143" s="2845">
        <f>IF(('Balances y Proyecciones'!Q17)&lt;&gt;360,'Balances y Proyecciones'!Q71,'Balances y Proyecciones'!Q71)</f>
        <v>0</v>
      </c>
      <c r="N143" s="2499"/>
      <c r="O143" s="2499"/>
      <c r="P143" s="2499"/>
      <c r="Q143" s="2499"/>
      <c r="R143" s="2499"/>
      <c r="S143" s="2499"/>
      <c r="T143" s="2499"/>
      <c r="U143" s="2499"/>
      <c r="V143" s="2499"/>
      <c r="W143" s="2499"/>
      <c r="X143" s="2499"/>
      <c r="Y143" s="2499"/>
      <c r="Z143" s="2499"/>
      <c r="AA143" s="2499"/>
      <c r="AB143" s="2499"/>
      <c r="AC143" s="2499"/>
      <c r="AD143" s="2499"/>
    </row>
    <row r="144" spans="2:30" ht="28">
      <c r="B144" s="2520" t="s">
        <v>541</v>
      </c>
      <c r="C144" s="2521"/>
      <c r="D144" s="2521"/>
      <c r="E144" s="2522"/>
      <c r="F144" s="2508"/>
      <c r="G144" s="2516" t="s">
        <v>1594</v>
      </c>
      <c r="H144" s="2526">
        <f>IF(('Balances y Proyecciones'!Q17)&lt;&gt;360,-'Balances y Proyecciones'!K72-'Balances y Proyecciones'!K74,-'Balances y Proyecciones'!K72-'Balances y Proyecciones'!K74)</f>
        <v>0</v>
      </c>
      <c r="I144" s="2526"/>
      <c r="J144" s="2845">
        <f>IF(('Balances y Proyecciones'!Q17)&lt;&gt;360,-'Balances y Proyecciones'!Q72-'Balances y Proyecciones'!Q74,-'Balances y Proyecciones'!Q72-'Balances y Proyecciones'!Q74)</f>
        <v>0</v>
      </c>
      <c r="N144" s="2499"/>
      <c r="O144" s="2499"/>
      <c r="P144" s="2499"/>
      <c r="Q144" s="2499"/>
      <c r="R144" s="2499"/>
      <c r="S144" s="2499"/>
      <c r="T144" s="2499"/>
      <c r="U144" s="2499"/>
      <c r="V144" s="2499"/>
      <c r="W144" s="2499"/>
      <c r="X144" s="2499"/>
      <c r="Y144" s="2499"/>
      <c r="Z144" s="2499"/>
      <c r="AA144" s="2499"/>
      <c r="AB144" s="2499"/>
      <c r="AC144" s="2499"/>
      <c r="AD144" s="2499"/>
    </row>
    <row r="145" spans="2:30" ht="28">
      <c r="B145" s="2516" t="s">
        <v>543</v>
      </c>
      <c r="C145" s="2526">
        <f>IF(('Balances y Proyecciones'!Q17)&lt;&gt;360,'Balances y Proyecciones'!K18,'Balances y Proyecciones'!K18)</f>
        <v>0</v>
      </c>
      <c r="D145" s="2526"/>
      <c r="E145" s="2527">
        <f>IF(('Balances y Proyecciones'!Q17)&lt;&gt;360,'Balances y Proyecciones'!Q18,'Balances y Proyecciones'!Q18)</f>
        <v>0</v>
      </c>
      <c r="F145" s="2508"/>
      <c r="G145" s="2528" t="s">
        <v>1480</v>
      </c>
      <c r="H145" s="2542">
        <f>H143+H144</f>
        <v>0</v>
      </c>
      <c r="I145" s="2542"/>
      <c r="J145" s="2543">
        <f>J143+J144</f>
        <v>0</v>
      </c>
      <c r="N145" s="2499"/>
      <c r="O145" s="2499"/>
      <c r="P145" s="2499"/>
      <c r="Q145" s="2499"/>
      <c r="R145" s="2499"/>
      <c r="S145" s="2499"/>
      <c r="T145" s="2499"/>
      <c r="U145" s="2499"/>
      <c r="V145" s="2499"/>
      <c r="W145" s="2499"/>
      <c r="X145" s="2499"/>
      <c r="Y145" s="2499"/>
      <c r="Z145" s="2499"/>
      <c r="AA145" s="2499"/>
      <c r="AB145" s="2499"/>
      <c r="AC145" s="2499"/>
      <c r="AD145" s="2499"/>
    </row>
    <row r="146" spans="2:30" ht="28">
      <c r="B146" s="2516" t="s">
        <v>107</v>
      </c>
      <c r="C146" s="2526">
        <f>IF(('Balances y Proyecciones'!Q17)&lt;&gt;360,'Balances y Proyecciones'!K19+'Balances y Proyecciones'!K20,'Balances y Proyecciones'!K19+'Balances y Proyecciones'!K20)</f>
        <v>0</v>
      </c>
      <c r="D146" s="2526"/>
      <c r="E146" s="2527">
        <f>IF(('Balances y Proyecciones'!Q17)&lt;&gt;360,'Balances y Proyecciones'!Q19+'Balances y Proyecciones'!Q20,'Balances y Proyecciones'!Q19+'Balances y Proyecciones'!Q20)</f>
        <v>0</v>
      </c>
      <c r="F146" s="2508"/>
      <c r="G146" s="2528" t="s">
        <v>881</v>
      </c>
      <c r="H146" s="2542">
        <f>IF(('Balances y Proyecciones'!Q110)&lt;&gt;360,'Balances y Proyecciones'!K186,'Balances y Proyecciones'!K186)</f>
        <v>0</v>
      </c>
      <c r="I146" s="2542"/>
      <c r="J146" s="2543">
        <f>IF(('Balances y Proyecciones'!Q110)&lt;&gt;360,'Balances y Proyecciones'!Q186,'Balances y Proyecciones'!Q186)</f>
        <v>0</v>
      </c>
      <c r="N146" s="2499"/>
      <c r="O146" s="2499"/>
      <c r="P146" s="2499"/>
      <c r="Q146" s="2499"/>
      <c r="R146" s="2499"/>
      <c r="S146" s="2499"/>
      <c r="T146" s="2499"/>
      <c r="U146" s="2499"/>
      <c r="V146" s="2499"/>
      <c r="W146" s="2499"/>
      <c r="X146" s="2499"/>
      <c r="Y146" s="2499"/>
      <c r="Z146" s="2499"/>
      <c r="AA146" s="2499"/>
      <c r="AB146" s="2499"/>
      <c r="AC146" s="2499"/>
      <c r="AD146" s="2499"/>
    </row>
    <row r="147" spans="2:30" ht="27.5">
      <c r="B147" s="2516" t="s">
        <v>1598</v>
      </c>
      <c r="C147" s="2526">
        <f>IF(('Balances y Proyecciones'!Q17)&lt;&gt;360,'Balances y Proyecciones'!K21+'Balances y Proyecciones'!K22,'Balances y Proyecciones'!K21+'Balances y Proyecciones'!K22)</f>
        <v>0</v>
      </c>
      <c r="D147" s="2526"/>
      <c r="E147" s="2527">
        <f>IF(('Balances y Proyecciones'!Q17)&lt;&gt;360,'Balances y Proyecciones'!Q21+'Balances y Proyecciones'!Q22,'Balances y Proyecciones'!Q21+'Balances y Proyecciones'!Q22)</f>
        <v>0</v>
      </c>
      <c r="F147" s="2508"/>
      <c r="G147" s="2516" t="s">
        <v>1497</v>
      </c>
      <c r="H147" s="2526">
        <f>IF(('Balances y Proyecciones'!Q17)&lt;&gt;360,-'Balances y Proyecciones'!K76,-'Balances y Proyecciones'!K76)</f>
        <v>0</v>
      </c>
      <c r="I147" s="2526"/>
      <c r="J147" s="2845">
        <f>IF(('Balances y Proyecciones'!Q17)&lt;&gt;360,-'Balances y Proyecciones'!Q76,-'Balances y Proyecciones'!Q76)</f>
        <v>0</v>
      </c>
      <c r="N147" s="2499"/>
      <c r="O147" s="2499"/>
      <c r="P147" s="2499"/>
      <c r="Q147" s="2499"/>
      <c r="R147" s="2499"/>
      <c r="S147" s="2499"/>
      <c r="T147" s="2499"/>
      <c r="U147" s="2499"/>
      <c r="V147" s="2499"/>
      <c r="W147" s="2499"/>
      <c r="X147" s="2499"/>
      <c r="Y147" s="2499"/>
      <c r="Z147" s="2499"/>
      <c r="AA147" s="2499"/>
      <c r="AB147" s="2499"/>
      <c r="AC147" s="2499"/>
      <c r="AD147" s="2499"/>
    </row>
    <row r="148" spans="2:30" ht="27.5">
      <c r="B148" s="2516" t="s">
        <v>1769</v>
      </c>
      <c r="C148" s="2526">
        <f>+'Estados Financieros'!I40</f>
        <v>0</v>
      </c>
      <c r="D148" s="2820"/>
      <c r="E148" s="2527">
        <f>+'Estados Financieros'!H40</f>
        <v>0</v>
      </c>
      <c r="F148" s="2508"/>
      <c r="G148" s="2516" t="s">
        <v>1600</v>
      </c>
      <c r="H148" s="2526">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0</v>
      </c>
      <c r="I148" s="2844"/>
      <c r="J148" s="2845">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0</v>
      </c>
      <c r="N148" s="2499"/>
      <c r="O148" s="2499"/>
      <c r="P148" s="2499"/>
      <c r="Q148" s="2499"/>
      <c r="R148" s="2499"/>
      <c r="S148" s="2499"/>
      <c r="T148" s="2499"/>
      <c r="U148" s="2499"/>
      <c r="V148" s="2499"/>
      <c r="W148" s="2499"/>
      <c r="X148" s="2499"/>
      <c r="Y148" s="2499"/>
      <c r="Z148" s="2499"/>
      <c r="AA148" s="2499"/>
      <c r="AB148" s="2499"/>
      <c r="AC148" s="2499"/>
      <c r="AD148" s="2499"/>
    </row>
    <row r="149" spans="2:30" ht="27.5">
      <c r="B149" s="2516" t="s">
        <v>1770</v>
      </c>
      <c r="C149" s="2526">
        <f>+'Estados Financieros'!I46</f>
        <v>0</v>
      </c>
      <c r="D149" s="2820"/>
      <c r="E149" s="2527">
        <f>+'Estados Financieros'!H46</f>
        <v>0</v>
      </c>
      <c r="F149" s="2508"/>
      <c r="G149" s="2516" t="s">
        <v>1601</v>
      </c>
      <c r="H149" s="2844">
        <f>IF(('Balances y Proyecciones'!Q17)&lt;&gt;360,'Balances y Proyecciones'!K78,'Balances y Proyecciones'!K78)</f>
        <v>0</v>
      </c>
      <c r="I149" s="2844"/>
      <c r="J149" s="2845">
        <f>IF(('Balances y Proyecciones'!Q17)&lt;&gt;360,'Balances y Proyecciones'!Q78,'Balances y Proyecciones'!Q78)</f>
        <v>0</v>
      </c>
      <c r="N149" s="2499"/>
      <c r="O149" s="2499"/>
      <c r="P149" s="2499"/>
      <c r="Q149" s="2499"/>
      <c r="R149" s="2499"/>
      <c r="S149" s="2499"/>
      <c r="T149" s="2499"/>
      <c r="U149" s="2499"/>
      <c r="V149" s="2499"/>
      <c r="W149" s="2499"/>
      <c r="X149" s="2499"/>
      <c r="Y149" s="2499"/>
      <c r="Z149" s="2499"/>
      <c r="AA149" s="2499"/>
      <c r="AB149" s="2499"/>
      <c r="AC149" s="2499"/>
      <c r="AD149" s="2499"/>
    </row>
    <row r="150" spans="2:30" ht="27.5">
      <c r="B150" s="2516" t="s">
        <v>1772</v>
      </c>
      <c r="C150" s="2526">
        <f>+'Estados Financieros'!I54-'Estados Financieros'!I40-'Estados Financieros'!I42-'Estados Financieros'!I46-'Estados Financieros'!I47</f>
        <v>0</v>
      </c>
      <c r="D150" s="2820"/>
      <c r="E150" s="2527">
        <f>+'Estados Financieros'!H54-'Estados Financieros'!H40-'Estados Financieros'!H42-'Estados Financieros'!H46-'Estados Financieros'!H47</f>
        <v>0</v>
      </c>
      <c r="F150" s="2508"/>
      <c r="G150" s="2516" t="s">
        <v>811</v>
      </c>
      <c r="H150" s="2526">
        <f>IF(('Balances y Proyecciones'!Q17)&lt;&gt;360,-'Balances y Proyecciones'!K88,-'Balances y Proyecciones'!K88)</f>
        <v>0</v>
      </c>
      <c r="I150" s="2844"/>
      <c r="J150" s="2845">
        <f>IF(('Balances y Proyecciones'!Q17)&lt;&gt;360,-'Balances y Proyecciones'!Q88,-'Balances y Proyecciones'!Q88)</f>
        <v>0</v>
      </c>
      <c r="N150" s="2499"/>
      <c r="O150" s="2499"/>
      <c r="P150" s="2499"/>
      <c r="Q150" s="2499"/>
      <c r="R150" s="2499"/>
      <c r="S150" s="2499"/>
      <c r="T150" s="2499"/>
      <c r="U150" s="2499"/>
      <c r="V150" s="2499"/>
      <c r="W150" s="2499"/>
      <c r="X150" s="2499"/>
      <c r="Y150" s="2499"/>
      <c r="Z150" s="2499"/>
      <c r="AA150" s="2499"/>
      <c r="AB150" s="2499"/>
      <c r="AC150" s="2499"/>
      <c r="AD150" s="2499"/>
    </row>
    <row r="151" spans="2:30" ht="28">
      <c r="B151" s="2516" t="s">
        <v>1773</v>
      </c>
      <c r="C151" s="2526">
        <f>+'Estados Financieros'!I42+'Estados Financieros'!I47</f>
        <v>0</v>
      </c>
      <c r="D151" s="2526"/>
      <c r="E151" s="2527">
        <f>+'Estados Financieros'!H42+'Estados Financieros'!H47</f>
        <v>0</v>
      </c>
      <c r="F151" s="2508"/>
      <c r="G151" s="2544" t="s">
        <v>1487</v>
      </c>
      <c r="H151" s="2847">
        <f>H145+H147+H148+H149+H150</f>
        <v>0</v>
      </c>
      <c r="I151" s="2847"/>
      <c r="J151" s="2848">
        <f>J145+J147+J148+J149+J150</f>
        <v>0</v>
      </c>
      <c r="N151" s="2499"/>
      <c r="O151" s="2499"/>
      <c r="P151" s="2499"/>
      <c r="Q151" s="2499"/>
      <c r="R151" s="2499"/>
      <c r="S151" s="2499"/>
      <c r="T151" s="2499"/>
      <c r="U151" s="2499"/>
      <c r="V151" s="2499"/>
      <c r="W151" s="2499"/>
      <c r="X151" s="2499"/>
      <c r="Y151" s="2499"/>
      <c r="Z151" s="2499"/>
      <c r="AA151" s="2499"/>
      <c r="AB151" s="2499"/>
      <c r="AC151" s="2499"/>
      <c r="AD151" s="2499"/>
    </row>
    <row r="152" spans="2:30" ht="27.5">
      <c r="B152" s="2516" t="s">
        <v>663</v>
      </c>
      <c r="C152" s="2526">
        <f>+'Estados Financieros'!I81+'Estados Financieros'!I89+'Estados Financieros'!I95</f>
        <v>0</v>
      </c>
      <c r="D152" s="2526"/>
      <c r="E152" s="2527">
        <f>+'Estados Financieros'!H81+'Estados Financieros'!H89+'Estados Financieros'!H95</f>
        <v>0</v>
      </c>
      <c r="F152" s="2508"/>
      <c r="H152" s="2499"/>
      <c r="I152" s="2499"/>
      <c r="J152" s="2499"/>
      <c r="N152" s="2499"/>
      <c r="O152" s="2499"/>
      <c r="P152" s="2499"/>
      <c r="Q152" s="2499"/>
      <c r="R152" s="2499"/>
      <c r="S152" s="2499"/>
      <c r="T152" s="2499"/>
      <c r="U152" s="2499"/>
      <c r="V152" s="2499"/>
      <c r="W152" s="2499"/>
      <c r="X152" s="2499"/>
      <c r="Y152" s="2499"/>
      <c r="Z152" s="2499"/>
      <c r="AA152" s="2499"/>
      <c r="AB152" s="2499"/>
      <c r="AC152" s="2499"/>
      <c r="AD152" s="2499"/>
    </row>
    <row r="153" spans="2:30" ht="28">
      <c r="B153" s="2528" t="s">
        <v>1603</v>
      </c>
      <c r="C153" s="2542">
        <f>SUM(C145:C152)</f>
        <v>0</v>
      </c>
      <c r="D153" s="2542"/>
      <c r="E153" s="2543">
        <f>SUM(E145:E152)</f>
        <v>0</v>
      </c>
      <c r="F153" s="2508"/>
      <c r="G153" s="2523" t="s">
        <v>1607</v>
      </c>
      <c r="H153" s="2548"/>
      <c r="I153" s="2548"/>
      <c r="J153" s="2744"/>
      <c r="N153" s="2499"/>
      <c r="O153" s="2499"/>
      <c r="P153" s="2499"/>
      <c r="Q153" s="2499"/>
      <c r="R153" s="2499"/>
      <c r="S153" s="2499"/>
      <c r="T153" s="2499"/>
      <c r="U153" s="2499"/>
      <c r="V153" s="2499"/>
      <c r="W153" s="2499"/>
      <c r="X153" s="2499"/>
      <c r="Y153" s="2499"/>
      <c r="Z153" s="2499"/>
      <c r="AA153" s="2499"/>
      <c r="AB153" s="2499"/>
      <c r="AC153" s="2499"/>
      <c r="AD153" s="2499"/>
    </row>
    <row r="154" spans="2:30" ht="28">
      <c r="B154" s="2516" t="s">
        <v>1604</v>
      </c>
      <c r="C154" s="2526">
        <f>IF(('Balances y Proyecciones'!Q17)&lt;&gt;360,'Balances y Proyecciones'!K28+'Balances y Proyecciones'!K29,'Balances y Proyecciones'!K28+'Balances y Proyecciones'!K29)</f>
        <v>0</v>
      </c>
      <c r="D154" s="2526"/>
      <c r="E154" s="2527">
        <f>IF(('Balances y Proyecciones'!Q17)&lt;&gt;360,'Balances y Proyecciones'!Q28+'Balances y Proyecciones'!Q29,'Balances y Proyecciones'!Q28+'Balances y Proyecciones'!Q29)</f>
        <v>0</v>
      </c>
      <c r="F154" s="2508"/>
      <c r="G154" s="2513"/>
      <c r="H154" s="2514" t="str">
        <f>$C$48</f>
        <v>Jun 19</v>
      </c>
      <c r="I154" s="2514"/>
      <c r="J154" s="2512" t="str">
        <f>$E$48</f>
        <v>Jun 20</v>
      </c>
      <c r="N154" s="2499"/>
      <c r="O154" s="2499"/>
      <c r="P154" s="2499"/>
      <c r="Q154" s="2499"/>
      <c r="R154" s="2499"/>
      <c r="S154" s="2499"/>
      <c r="T154" s="2499"/>
      <c r="U154" s="2499"/>
      <c r="V154" s="2499"/>
      <c r="W154" s="2499"/>
      <c r="X154" s="2499"/>
      <c r="Y154" s="2499"/>
      <c r="Z154" s="2499"/>
      <c r="AA154" s="2499"/>
      <c r="AB154" s="2499"/>
      <c r="AC154" s="2499"/>
      <c r="AD154" s="2499"/>
    </row>
    <row r="155" spans="2:30" ht="27.5">
      <c r="B155" s="2516" t="s">
        <v>1491</v>
      </c>
      <c r="C155" s="2526">
        <f>IF(('Balances y Proyecciones'!Q17)&lt;&gt;360,'Balances y Proyecciones'!K27,'Balances y Proyecciones'!K27)</f>
        <v>0</v>
      </c>
      <c r="D155" s="2526"/>
      <c r="E155" s="2527">
        <f>IF(('Balances y Proyecciones'!Q17)&lt;&gt;360,'Balances y Proyecciones'!Q27,'Balances y Proyecciones'!Q27)</f>
        <v>0</v>
      </c>
      <c r="F155" s="2508"/>
      <c r="G155" s="2633"/>
      <c r="H155" s="2499"/>
      <c r="I155" s="2499"/>
      <c r="J155" s="2634"/>
      <c r="N155" s="2499"/>
      <c r="O155" s="2499"/>
      <c r="P155" s="2499"/>
      <c r="Q155" s="2499"/>
      <c r="R155" s="2499"/>
      <c r="S155" s="2499"/>
      <c r="T155" s="2499"/>
      <c r="U155" s="2499"/>
      <c r="V155" s="2499"/>
      <c r="W155" s="2499"/>
      <c r="X155" s="2499"/>
      <c r="Y155" s="2499"/>
      <c r="Z155" s="2499"/>
      <c r="AA155" s="2499"/>
      <c r="AB155" s="2499"/>
      <c r="AC155" s="2499"/>
      <c r="AD155" s="2499"/>
    </row>
    <row r="156" spans="2:30" ht="28">
      <c r="B156" s="2516" t="s">
        <v>1606</v>
      </c>
      <c r="C156" s="2526">
        <f>IF(('Balances y Proyecciones'!Q17)&lt;&gt;360,'Balances y Proyecciones'!K31+'Balances y Proyecciones'!K30,'Balances y Proyecciones'!K31+'Balances y Proyecciones'!K30)</f>
        <v>0</v>
      </c>
      <c r="D156" s="2743"/>
      <c r="E156" s="2527">
        <f>IF(('Balances y Proyecciones'!Q17)&lt;&gt;360,'Balances y Proyecciones'!Q31+'Balances y Proyecciones'!Q30,'Balances y Proyecciones'!Q31+'Balances y Proyecciones'!Q30)</f>
        <v>0</v>
      </c>
      <c r="F156" s="2508"/>
      <c r="G156" s="2551" t="s">
        <v>1612</v>
      </c>
      <c r="H156" s="2552"/>
      <c r="I156" s="2552"/>
      <c r="J156" s="2553"/>
      <c r="N156" s="2499"/>
      <c r="O156" s="2499"/>
      <c r="P156" s="2499"/>
      <c r="Q156" s="2499"/>
      <c r="R156" s="2499"/>
      <c r="S156" s="2499"/>
      <c r="T156" s="2499"/>
      <c r="U156" s="2499"/>
      <c r="V156" s="2499"/>
      <c r="W156" s="2499"/>
      <c r="X156" s="2499"/>
      <c r="Y156" s="2499"/>
      <c r="Z156" s="2499"/>
      <c r="AA156" s="2499"/>
      <c r="AB156" s="2499"/>
      <c r="AC156" s="2499"/>
      <c r="AD156" s="2499"/>
    </row>
    <row r="157" spans="2:30" ht="27.5">
      <c r="B157" s="2516" t="s">
        <v>1609</v>
      </c>
      <c r="C157" s="2526">
        <f>IF(('Balances y Proyecciones'!Q17)&lt;&gt;360,'Balances y Proyecciones'!K32,'Balances y Proyecciones'!K32)</f>
        <v>0</v>
      </c>
      <c r="D157" s="2526"/>
      <c r="E157" s="2527">
        <f>IF(('Balances y Proyecciones'!Q17)&lt;&gt;360,'Balances y Proyecciones'!Q32,'Balances y Proyecciones'!Q32)</f>
        <v>0</v>
      </c>
      <c r="F157" s="2508"/>
      <c r="G157" s="2516" t="s">
        <v>880</v>
      </c>
      <c r="H157" s="2554">
        <f>IF(('Balances y Proyecciones'!Q17)&lt;&gt;360,'Balances y Proyecciones'!AV718,'Balances y Proyecciones'!AV718)</f>
        <v>0</v>
      </c>
      <c r="I157" s="2554"/>
      <c r="J157" s="2555">
        <f>IF(('Balances y Proyecciones'!Q17)&lt;&gt;360,'Balances y Proyecciones'!BB718,'Balances y Proyecciones'!BB718)</f>
        <v>0</v>
      </c>
      <c r="N157" s="2499"/>
      <c r="O157" s="2499"/>
      <c r="P157" s="2499"/>
      <c r="Q157" s="2499"/>
      <c r="R157" s="2499"/>
      <c r="S157" s="2499"/>
      <c r="T157" s="2499"/>
      <c r="U157" s="2499"/>
      <c r="V157" s="2499"/>
      <c r="W157" s="2499"/>
      <c r="X157" s="2499"/>
      <c r="Y157" s="2499"/>
      <c r="Z157" s="2499"/>
      <c r="AA157" s="2499"/>
      <c r="AB157" s="2499"/>
      <c r="AC157" s="2499"/>
      <c r="AD157" s="2499"/>
    </row>
    <row r="158" spans="2:30" ht="27.5">
      <c r="B158" s="2516" t="s">
        <v>1611</v>
      </c>
      <c r="C158" s="2526">
        <f>IF(('Balances y Proyecciones'!Q17)&lt;&gt;360,'Balances y Proyecciones'!K33,'Balances y Proyecciones'!K33)</f>
        <v>0</v>
      </c>
      <c r="D158" s="2526"/>
      <c r="E158" s="2527">
        <f>IF(('Balances y Proyecciones'!Q17)&lt;&gt;360,'Balances y Proyecciones'!Q33,'Balances y Proyecciones'!Q33)</f>
        <v>0</v>
      </c>
      <c r="F158" s="2508"/>
      <c r="G158" s="2516" t="s">
        <v>1616</v>
      </c>
      <c r="H158" s="2554">
        <f>IF(('Balances y Proyecciones'!Q17)&lt;&gt;360,'Balances y Proyecciones'!AV719,'Balances y Proyecciones'!AV719)</f>
        <v>0</v>
      </c>
      <c r="I158" s="2554"/>
      <c r="J158" s="2555">
        <f>IF(('Balances y Proyecciones'!Q17)&lt;&gt;360,'Balances y Proyecciones'!BB719,'Balances y Proyecciones'!BB719)</f>
        <v>0</v>
      </c>
      <c r="N158" s="2499"/>
      <c r="O158" s="2499"/>
      <c r="P158" s="2499"/>
      <c r="Q158" s="2499"/>
      <c r="R158" s="2499"/>
      <c r="S158" s="2499"/>
      <c r="T158" s="2499"/>
      <c r="U158" s="2499"/>
      <c r="V158" s="2499"/>
      <c r="W158" s="2499"/>
      <c r="X158" s="2499"/>
      <c r="Y158" s="2499"/>
      <c r="Z158" s="2499"/>
      <c r="AA158" s="2499"/>
      <c r="AB158" s="2499"/>
      <c r="AC158" s="2499"/>
      <c r="AD158" s="2499"/>
    </row>
    <row r="159" spans="2:30" ht="28">
      <c r="B159" s="2528" t="s">
        <v>1614</v>
      </c>
      <c r="C159" s="2542">
        <f>SUM(C154:C158)</f>
        <v>0</v>
      </c>
      <c r="D159" s="2542"/>
      <c r="E159" s="2543">
        <f>SUM(E154:E158)</f>
        <v>0</v>
      </c>
      <c r="F159" s="2508"/>
      <c r="G159" s="2516" t="s">
        <v>883</v>
      </c>
      <c r="H159" s="2554">
        <f>IF(('Balances y Proyecciones'!Q17)&lt;&gt;360,'Balances y Proyecciones'!AV721,'Balances y Proyecciones'!AV721)</f>
        <v>0</v>
      </c>
      <c r="I159" s="2554"/>
      <c r="J159" s="2555">
        <f>IF(('Balances y Proyecciones'!Q17)&lt;&gt;360,'Balances y Proyecciones'!BB721,'Balances y Proyecciones'!BB721)</f>
        <v>0</v>
      </c>
      <c r="N159" s="2499"/>
      <c r="O159" s="2499"/>
      <c r="P159" s="2499"/>
      <c r="Q159" s="2499"/>
      <c r="R159" s="2499"/>
      <c r="S159" s="2499"/>
      <c r="T159" s="2499"/>
      <c r="U159" s="2499"/>
      <c r="V159" s="2499"/>
      <c r="W159" s="2499"/>
      <c r="X159" s="2499"/>
      <c r="Y159" s="2499"/>
      <c r="Z159" s="2499"/>
      <c r="AA159" s="2499"/>
      <c r="AB159" s="2499"/>
      <c r="AC159" s="2499"/>
      <c r="AD159" s="2499"/>
    </row>
    <row r="160" spans="2:30" ht="28">
      <c r="B160" s="2556" t="s">
        <v>671</v>
      </c>
      <c r="C160" s="2557">
        <f>C153+C159</f>
        <v>0</v>
      </c>
      <c r="D160" s="2557"/>
      <c r="E160" s="2558">
        <f>E153+E159</f>
        <v>0</v>
      </c>
      <c r="F160" s="2508"/>
      <c r="G160" s="2516" t="s">
        <v>1619</v>
      </c>
      <c r="H160" s="2554">
        <f>IF('Balances y Proyecciones'!$Q$17=360,'Balances y Proyecciones'!$AV$757,'Balances y Proyecciones'!$AV$757)</f>
        <v>0</v>
      </c>
      <c r="I160" s="2771"/>
      <c r="J160" s="2555">
        <f>IF('Balances y Proyecciones'!$Q$17=360,'Balances y Proyecciones'!$BB$757,'Balances y Proyecciones'!$BB$757)</f>
        <v>0</v>
      </c>
      <c r="N160" s="2499"/>
      <c r="O160" s="2499"/>
      <c r="P160" s="2499"/>
      <c r="Q160" s="2499"/>
      <c r="R160" s="2499"/>
      <c r="S160" s="2499"/>
      <c r="T160" s="2499"/>
      <c r="U160" s="2499"/>
      <c r="V160" s="2499"/>
      <c r="W160" s="2499"/>
      <c r="X160" s="2499"/>
      <c r="Y160" s="2499"/>
      <c r="Z160" s="2499"/>
      <c r="AA160" s="2499"/>
      <c r="AB160" s="2499"/>
      <c r="AC160" s="2499"/>
      <c r="AD160" s="2499"/>
    </row>
    <row r="161" spans="2:30" ht="28">
      <c r="B161" s="2551" t="s">
        <v>678</v>
      </c>
      <c r="C161" s="2526"/>
      <c r="D161" s="2526"/>
      <c r="E161" s="2527"/>
      <c r="F161" s="2508"/>
      <c r="G161" s="2551" t="s">
        <v>1621</v>
      </c>
      <c r="H161" s="2552"/>
      <c r="I161" s="2552"/>
      <c r="J161" s="2553"/>
      <c r="N161" s="2499"/>
      <c r="O161" s="2499"/>
      <c r="P161" s="2499"/>
      <c r="Q161" s="2499"/>
      <c r="R161" s="2499"/>
      <c r="S161" s="2499"/>
      <c r="T161" s="2499"/>
      <c r="U161" s="2499"/>
      <c r="V161" s="2499"/>
      <c r="W161" s="2499"/>
      <c r="X161" s="2499"/>
      <c r="Y161" s="2499"/>
      <c r="Z161" s="2499"/>
      <c r="AA161" s="2499"/>
      <c r="AB161" s="2499"/>
      <c r="AC161" s="2499"/>
      <c r="AD161" s="2499"/>
    </row>
    <row r="162" spans="2:30" ht="27.5">
      <c r="B162" s="2516" t="s">
        <v>1618</v>
      </c>
      <c r="C162" s="2526">
        <f>IF(('Balances y Proyecciones'!Q17)&lt;&gt;360,'Balances y Proyecciones'!K36+'Balances y Proyecciones'!K37+'Balances y Proyecciones'!K38+'Balances y Proyecciones'!K39,'Balances y Proyecciones'!K36+'Balances y Proyecciones'!K37+'Balances y Proyecciones'!K38+'Balances y Proyecciones'!K39)</f>
        <v>0</v>
      </c>
      <c r="D162" s="2526"/>
      <c r="E162" s="2527">
        <f>IF(('Balances y Proyecciones'!Q17)&lt;&gt;360,'Balances y Proyecciones'!Q60,'Balances y Proyecciones'!Q60)</f>
        <v>0</v>
      </c>
      <c r="F162" s="2508"/>
      <c r="G162" s="2538" t="s">
        <v>1624</v>
      </c>
      <c r="H162" s="2554" t="s">
        <v>1740</v>
      </c>
      <c r="I162" s="2554"/>
      <c r="J162" s="2555" t="e">
        <f>J49/H49-1</f>
        <v>#DIV/0!</v>
      </c>
      <c r="N162" s="2499"/>
      <c r="O162" s="2499"/>
      <c r="P162" s="2499"/>
      <c r="Q162" s="2499"/>
      <c r="R162" s="2499"/>
      <c r="S162" s="2499"/>
      <c r="T162" s="2499"/>
      <c r="U162" s="2499"/>
      <c r="V162" s="2499"/>
      <c r="W162" s="2499"/>
      <c r="X162" s="2499"/>
      <c r="Y162" s="2499"/>
      <c r="Z162" s="2499"/>
      <c r="AA162" s="2499"/>
      <c r="AB162" s="2499"/>
      <c r="AC162" s="2499"/>
      <c r="AD162" s="2499"/>
    </row>
    <row r="163" spans="2:30" ht="27.5">
      <c r="B163" s="2516" t="s">
        <v>108</v>
      </c>
      <c r="C163" s="2526">
        <f>IF(('Balances y Proyecciones'!Q17)&lt;&gt;360,'Balances y Proyecciones'!K40,'Balances y Proyecciones'!K40)</f>
        <v>0</v>
      </c>
      <c r="D163" s="2526"/>
      <c r="E163" s="2527">
        <f>IF(('Balances y Proyecciones'!Q17)&lt;&gt;360,'Balances y Proyecciones'!Q40,'Balances y Proyecciones'!Q40)</f>
        <v>0</v>
      </c>
      <c r="F163" s="2508"/>
      <c r="G163" s="2516" t="s">
        <v>1627</v>
      </c>
      <c r="H163" s="2561">
        <f>IF(('Balances y Proyecciones'!Q17)&lt;&gt;360,'Balances y Proyecciones'!AV725,'Balances y Proyecciones'!AV725)</f>
        <v>0</v>
      </c>
      <c r="I163" s="2561"/>
      <c r="J163" s="2562">
        <f>IF(('Balances y Proyecciones'!Q17)&lt;&gt;360,'Balances y Proyecciones'!BB725,'Balances y Proyecciones'!BB725)</f>
        <v>0</v>
      </c>
      <c r="N163" s="2499"/>
      <c r="O163" s="2499"/>
      <c r="P163" s="2499"/>
      <c r="Q163" s="2499"/>
      <c r="R163" s="2499"/>
      <c r="S163" s="2499"/>
      <c r="T163" s="2499"/>
      <c r="U163" s="2499"/>
      <c r="V163" s="2499"/>
      <c r="W163" s="2499"/>
      <c r="X163" s="2499"/>
      <c r="Y163" s="2499"/>
      <c r="Z163" s="2499"/>
      <c r="AA163" s="2499"/>
      <c r="AB163" s="2499"/>
      <c r="AC163" s="2499"/>
      <c r="AD163" s="2499"/>
    </row>
    <row r="164" spans="2:30" ht="27.5">
      <c r="B164" s="2516" t="s">
        <v>1623</v>
      </c>
      <c r="C164" s="2526">
        <f>IF(('Balances y Proyecciones'!Q17)&lt;&gt;360,'Balances y Proyecciones'!K44,'Balances y Proyecciones'!K44)</f>
        <v>0</v>
      </c>
      <c r="D164" s="2526"/>
      <c r="E164" s="2527">
        <f>IF(('Balances y Proyecciones'!Q17)&lt;&gt;360,'Balances y Proyecciones'!Q44,'Balances y Proyecciones'!Q44)</f>
        <v>0</v>
      </c>
      <c r="F164" s="2508"/>
      <c r="G164" s="2516" t="s">
        <v>1631</v>
      </c>
      <c r="H164" s="2561">
        <f>IF(('Balances y Proyecciones'!Q17)&lt;&gt;360,'Balances y Proyecciones'!AV727,'Balances y Proyecciones'!AV727)</f>
        <v>0</v>
      </c>
      <c r="I164" s="2561"/>
      <c r="J164" s="2562">
        <f>IF(('Balances y Proyecciones'!Q17)&lt;&gt;360,'Balances y Proyecciones'!BB727,'Balances y Proyecciones'!BB727)</f>
        <v>0</v>
      </c>
      <c r="N164" s="2499"/>
      <c r="O164" s="2499"/>
      <c r="P164" s="2499"/>
      <c r="Q164" s="2499"/>
      <c r="R164" s="2499"/>
      <c r="S164" s="2499"/>
      <c r="T164" s="2499"/>
      <c r="U164" s="2499"/>
      <c r="V164" s="2499"/>
      <c r="W164" s="2499"/>
      <c r="X164" s="2499"/>
      <c r="Y164" s="2499"/>
      <c r="Z164" s="2499"/>
      <c r="AA164" s="2499"/>
      <c r="AB164" s="2499"/>
      <c r="AC164" s="2499"/>
      <c r="AD164" s="2499"/>
    </row>
    <row r="165" spans="2:30" ht="27.5">
      <c r="B165" s="2516" t="s">
        <v>1777</v>
      </c>
      <c r="C165" s="2526">
        <f>+'Estados Financieros'!I252</f>
        <v>0</v>
      </c>
      <c r="D165" s="2526"/>
      <c r="E165" s="2527">
        <f>+'Estados Financieros'!H252</f>
        <v>0</v>
      </c>
      <c r="F165" s="2552"/>
      <c r="G165" s="2516" t="s">
        <v>1633</v>
      </c>
      <c r="H165" s="2561">
        <f>H163+H164</f>
        <v>0</v>
      </c>
      <c r="I165" s="2561"/>
      <c r="J165" s="2562">
        <f>J163+J164</f>
        <v>0</v>
      </c>
      <c r="N165" s="2499"/>
      <c r="O165" s="2499"/>
      <c r="P165" s="2499"/>
      <c r="Q165" s="2499"/>
      <c r="R165" s="2499"/>
      <c r="S165" s="2499"/>
      <c r="T165" s="2499"/>
      <c r="U165" s="2499"/>
      <c r="V165" s="2499"/>
      <c r="W165" s="2499"/>
      <c r="X165" s="2499"/>
      <c r="Y165" s="2499"/>
      <c r="Z165" s="2499"/>
      <c r="AA165" s="2499"/>
      <c r="AB165" s="2499"/>
      <c r="AC165" s="2499"/>
      <c r="AD165" s="2499"/>
    </row>
    <row r="166" spans="2:30" ht="27.5">
      <c r="B166" s="2516" t="s">
        <v>1626</v>
      </c>
      <c r="C166" s="2526">
        <f>+'Estados Financieros'!I231+'Estados Financieros'!I239+'Estados Financieros'!I250+('Estados Financieros'!I258-'Estados Financieros'!I252)+'Estados Financieros'!I265</f>
        <v>0</v>
      </c>
      <c r="D166" s="2526"/>
      <c r="E166" s="2527">
        <f>+'Estados Financieros'!H231+'Estados Financieros'!H239+'Estados Financieros'!H250+('Estados Financieros'!H258-'Estados Financieros'!H252)+'Estados Financieros'!H265</f>
        <v>0</v>
      </c>
      <c r="F166" s="2508"/>
      <c r="G166" s="2516" t="s">
        <v>1635</v>
      </c>
      <c r="H166" s="2561">
        <f>IF(('Balances y Proyecciones'!Q17)&lt;&gt;360,'Balances y Proyecciones'!AV730,'Balances y Proyecciones'!AV730)</f>
        <v>0</v>
      </c>
      <c r="I166" s="2561"/>
      <c r="J166" s="2562">
        <f>IF(('Balances y Proyecciones'!Q17)&lt;&gt;360,'Balances y Proyecciones'!BB730,'Balances y Proyecciones'!BB730)</f>
        <v>0</v>
      </c>
      <c r="N166" s="2499"/>
      <c r="O166" s="2499"/>
      <c r="P166" s="2499"/>
      <c r="Q166" s="2499"/>
      <c r="R166" s="2499"/>
      <c r="S166" s="2499"/>
      <c r="T166" s="2499"/>
      <c r="U166" s="2499"/>
      <c r="V166" s="2499"/>
      <c r="W166" s="2499"/>
      <c r="X166" s="2499"/>
      <c r="Y166" s="2499"/>
      <c r="Z166" s="2499"/>
      <c r="AA166" s="2499"/>
      <c r="AB166" s="2499"/>
      <c r="AC166" s="2499"/>
      <c r="AD166" s="2499"/>
    </row>
    <row r="167" spans="2:30" ht="28">
      <c r="B167" s="2528" t="s">
        <v>1630</v>
      </c>
      <c r="C167" s="2542">
        <f>SUM(C162:C166)</f>
        <v>0</v>
      </c>
      <c r="D167" s="2542"/>
      <c r="E167" s="2543">
        <f>SUM(E162:E166)</f>
        <v>0</v>
      </c>
      <c r="F167" s="2508"/>
      <c r="G167" s="2516" t="s">
        <v>1639</v>
      </c>
      <c r="H167" s="2561">
        <f>H165-H166</f>
        <v>0</v>
      </c>
      <c r="I167" s="2561"/>
      <c r="J167" s="2562">
        <f>J165-J166</f>
        <v>0</v>
      </c>
      <c r="N167" s="2499"/>
      <c r="O167" s="2499"/>
      <c r="P167" s="2499"/>
      <c r="Q167" s="2499"/>
      <c r="R167" s="2499"/>
      <c r="S167" s="2499"/>
      <c r="T167" s="2499"/>
      <c r="U167" s="2499"/>
      <c r="V167" s="2499"/>
      <c r="W167" s="2499"/>
      <c r="X167" s="2499"/>
      <c r="Y167" s="2499"/>
      <c r="Z167" s="2499"/>
      <c r="AA167" s="2499"/>
      <c r="AB167" s="2499"/>
      <c r="AC167" s="2499"/>
      <c r="AD167" s="2499"/>
    </row>
    <row r="168" spans="2:30" ht="28">
      <c r="B168" s="2516" t="s">
        <v>1632</v>
      </c>
      <c r="C168" s="2526">
        <f>IF(('Balances y Proyecciones'!Q17)&lt;&gt;360,'Balances y Proyecciones'!K49+'Balances y Proyecciones'!K50+'Balances y Proyecciones'!K51,'Balances y Proyecciones'!K49+'Balances y Proyecciones'!K50+'Balances y Proyecciones'!K51)</f>
        <v>0</v>
      </c>
      <c r="D168" s="2526"/>
      <c r="E168" s="2527">
        <f>IF(('Balances y Proyecciones'!Q17)&lt;&gt;360,'Balances y Proyecciones'!Q36+'Balances y Proyecciones'!Q37+'Balances y Proyecciones'!Q38+'Balances y Proyecciones'!Q39,'Balances y Proyecciones'!Q36+'Balances y Proyecciones'!Q37+'Balances y Proyecciones'!Q38+'Balances y Proyecciones'!Q39)</f>
        <v>0</v>
      </c>
      <c r="F168" s="2508"/>
      <c r="G168" s="2551" t="s">
        <v>1641</v>
      </c>
      <c r="H168" s="2552"/>
      <c r="I168" s="2552"/>
      <c r="J168" s="2553"/>
      <c r="N168" s="2499"/>
      <c r="O168" s="2499"/>
      <c r="P168" s="2499"/>
      <c r="Q168" s="2499"/>
      <c r="R168" s="2499"/>
      <c r="S168" s="2499"/>
      <c r="T168" s="2499"/>
      <c r="U168" s="2499"/>
      <c r="V168" s="2499"/>
      <c r="W168" s="2499"/>
      <c r="X168" s="2499"/>
      <c r="Y168" s="2499"/>
      <c r="Z168" s="2499"/>
      <c r="AA168" s="2499"/>
      <c r="AB168" s="2499"/>
      <c r="AC168" s="2499"/>
      <c r="AD168" s="2499"/>
    </row>
    <row r="169" spans="2:30" ht="27.5">
      <c r="B169" s="2578" t="s">
        <v>1781</v>
      </c>
      <c r="C169" s="2526">
        <f>+'Estados Financieros'!I277</f>
        <v>0</v>
      </c>
      <c r="D169" s="2526"/>
      <c r="E169" s="2527">
        <f>+'Estados Financieros'!H277</f>
        <v>0</v>
      </c>
      <c r="F169" s="2508"/>
      <c r="G169" s="2516" t="s">
        <v>1642</v>
      </c>
      <c r="H169" s="2554">
        <f>IF(('Balances y Proyecciones'!Q17)&lt;&gt;360,'Balances y Proyecciones'!AV751,'Balances y Proyecciones'!AV751)</f>
        <v>0</v>
      </c>
      <c r="I169" s="2554"/>
      <c r="J169" s="2555">
        <f>IF(('Balances y Proyecciones'!Q17)&lt;&gt;360,'Balances y Proyecciones'!BB751,'Balances y Proyecciones'!BB751)</f>
        <v>0</v>
      </c>
      <c r="N169" s="2499"/>
      <c r="O169" s="2499"/>
      <c r="P169" s="2499"/>
      <c r="Q169" s="2499"/>
      <c r="R169" s="2499"/>
      <c r="S169" s="2499"/>
      <c r="T169" s="2499"/>
      <c r="U169" s="2499"/>
      <c r="V169" s="2499"/>
      <c r="W169" s="2499"/>
      <c r="X169" s="2499"/>
      <c r="Y169" s="2499"/>
      <c r="Z169" s="2499"/>
      <c r="AA169" s="2499"/>
      <c r="AB169" s="2499"/>
      <c r="AC169" s="2499"/>
      <c r="AD169" s="2499"/>
    </row>
    <row r="170" spans="2:30" ht="27.5">
      <c r="B170" s="2516" t="s">
        <v>1782</v>
      </c>
      <c r="C170" s="2526">
        <f>+'Estados Financieros'!I321</f>
        <v>0</v>
      </c>
      <c r="D170" s="2526"/>
      <c r="E170" s="2527">
        <f>+'Estados Financieros'!H321</f>
        <v>0</v>
      </c>
      <c r="F170" s="2508"/>
      <c r="G170" s="2516" t="s">
        <v>1646</v>
      </c>
      <c r="H170" s="2554" t="e">
        <f>IF(('Balances y Proyecciones'!Q17)&lt;&gt;360,(('Balances y Proyecciones'!AV704+'Balances y Proyecciones'!AV657)/'Balances y Proyecciones'!AV703),(('Balances y Proyecciones'!AV704+'Balances y Proyecciones'!AV657)/'Balances y Proyecciones'!AV703))</f>
        <v>#DIV/0!</v>
      </c>
      <c r="I170" s="2554"/>
      <c r="J170" s="2555">
        <f>IF(('Balances y Proyecciones'!Q17)&lt;&gt;360,'Balances y Proyecciones'!BB743,'Balances y Proyecciones'!BB743)</f>
        <v>0</v>
      </c>
      <c r="N170" s="2499"/>
      <c r="O170" s="2499"/>
      <c r="P170" s="2499"/>
      <c r="Q170" s="2499"/>
      <c r="R170" s="2499"/>
      <c r="S170" s="2499"/>
      <c r="T170" s="2499"/>
      <c r="U170" s="2499"/>
      <c r="V170" s="2499"/>
      <c r="W170" s="2499"/>
      <c r="X170" s="2499"/>
      <c r="Y170" s="2499"/>
      <c r="Z170" s="2499"/>
      <c r="AA170" s="2499"/>
      <c r="AB170" s="2499"/>
      <c r="AC170" s="2499"/>
      <c r="AD170" s="2499"/>
    </row>
    <row r="171" spans="2:30" ht="27.5">
      <c r="B171" s="2516" t="s">
        <v>1783</v>
      </c>
      <c r="C171" s="2526">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Proyecciones'!K57)-C169-C170</f>
        <v>0</v>
      </c>
      <c r="D171" s="2526"/>
      <c r="E171" s="2527">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Proyecciones'!Q57)-E169-E170</f>
        <v>0</v>
      </c>
      <c r="F171" s="2508"/>
      <c r="G171" s="2516" t="s">
        <v>915</v>
      </c>
      <c r="H171" s="2554">
        <f>IF(('Balances y Proyecciones'!Q17)&lt;&gt;360,'Balances y Proyecciones'!AV743,'Balances y Proyecciones'!AV743)</f>
        <v>0</v>
      </c>
      <c r="I171" s="2554"/>
      <c r="J171" s="2555">
        <f>IF(('Balances y Proyecciones'!Q17)&lt;&gt;360,'Balances y Proyecciones'!BB745,'Balances y Proyecciones'!BB745)</f>
        <v>0</v>
      </c>
      <c r="N171" s="2499"/>
      <c r="O171" s="2499"/>
      <c r="P171" s="2499"/>
      <c r="Q171" s="2499"/>
      <c r="R171" s="2499"/>
      <c r="S171" s="2499"/>
      <c r="T171" s="2499"/>
      <c r="U171" s="2499"/>
      <c r="V171" s="2499"/>
      <c r="W171" s="2499"/>
      <c r="X171" s="2499"/>
      <c r="Y171" s="2499"/>
      <c r="Z171" s="2499"/>
      <c r="AA171" s="2499"/>
      <c r="AB171" s="2499"/>
      <c r="AC171" s="2499"/>
      <c r="AD171" s="2499"/>
    </row>
    <row r="172" spans="2:30" ht="28">
      <c r="B172" s="2528" t="s">
        <v>1638</v>
      </c>
      <c r="C172" s="2542">
        <f>SUM(C168:C171)</f>
        <v>0</v>
      </c>
      <c r="D172" s="2542"/>
      <c r="E172" s="2543">
        <f>SUM(E168:E171)</f>
        <v>0</v>
      </c>
      <c r="F172" s="2508"/>
      <c r="G172" s="2516" t="s">
        <v>910</v>
      </c>
      <c r="H172" s="2598">
        <f>IF(('Balances y Proyecciones'!Q17)&lt;&gt;360,'Balances y Proyecciones'!AV745,'Balances y Proyecciones'!AV745)</f>
        <v>0</v>
      </c>
      <c r="I172" s="2598"/>
      <c r="J172" s="2599">
        <f>IF(('Balances y Proyecciones'!Q17)&lt;&gt;360,'Balances y Proyecciones'!BB745,'Balances y Proyecciones'!BB745)</f>
        <v>0</v>
      </c>
      <c r="N172" s="2499"/>
      <c r="O172" s="2499"/>
      <c r="P172" s="2499"/>
      <c r="Q172" s="2499"/>
      <c r="R172" s="2499"/>
      <c r="S172" s="2499"/>
      <c r="T172" s="2499"/>
      <c r="U172" s="2499"/>
      <c r="V172" s="2499"/>
      <c r="W172" s="2499"/>
      <c r="X172" s="2499"/>
      <c r="Y172" s="2499"/>
      <c r="Z172" s="2499"/>
      <c r="AA172" s="2499"/>
      <c r="AB172" s="2499"/>
      <c r="AC172" s="2499"/>
      <c r="AD172" s="2499"/>
    </row>
    <row r="173" spans="2:30" ht="28">
      <c r="B173" s="2556" t="s">
        <v>763</v>
      </c>
      <c r="C173" s="2557">
        <f>C167+C172</f>
        <v>0</v>
      </c>
      <c r="D173" s="2557"/>
      <c r="E173" s="2558">
        <f>E167+E172</f>
        <v>0</v>
      </c>
      <c r="F173" s="2508"/>
      <c r="G173" s="2516" t="s">
        <v>1754</v>
      </c>
      <c r="H173" s="2598">
        <f>IF(('Balances y Proyecciones'!Q17)&lt;&gt;360,'Balances y Proyecciones'!AV746,'Balances y Proyecciones'!AV746)</f>
        <v>0</v>
      </c>
      <c r="I173" s="2598"/>
      <c r="J173" s="2599">
        <f>IF(('Balances y Proyecciones'!Q17)&lt;&gt;360,'Balances y Proyecciones'!BB746,'Balances y Proyecciones'!BB746)</f>
        <v>0</v>
      </c>
      <c r="N173" s="2499"/>
      <c r="O173" s="2499"/>
      <c r="P173" s="2499"/>
      <c r="Q173" s="2499"/>
      <c r="R173" s="2499"/>
      <c r="S173" s="2499"/>
      <c r="T173" s="2499"/>
      <c r="U173" s="2499"/>
      <c r="V173" s="2499"/>
      <c r="W173" s="2499"/>
      <c r="X173" s="2499"/>
      <c r="Y173" s="2499"/>
      <c r="Z173" s="2499"/>
      <c r="AA173" s="2499"/>
      <c r="AB173" s="2499"/>
      <c r="AC173" s="2499"/>
      <c r="AD173" s="2499"/>
    </row>
    <row r="174" spans="2:30" ht="28">
      <c r="B174" s="2551" t="s">
        <v>764</v>
      </c>
      <c r="C174" s="2526"/>
      <c r="D174" s="2526"/>
      <c r="E174" s="2527"/>
      <c r="G174" s="2551" t="s">
        <v>1666</v>
      </c>
      <c r="H174" s="2598"/>
      <c r="I174" s="2598"/>
      <c r="J174" s="2599"/>
      <c r="N174" s="2499"/>
      <c r="O174" s="2499"/>
      <c r="P174" s="2499"/>
      <c r="Q174" s="2499"/>
      <c r="R174" s="2499"/>
      <c r="S174" s="2499"/>
      <c r="T174" s="2499"/>
      <c r="U174" s="2499"/>
      <c r="V174" s="2499"/>
      <c r="W174" s="2499"/>
      <c r="X174" s="2499"/>
      <c r="Y174" s="2499"/>
      <c r="Z174" s="2499"/>
      <c r="AA174" s="2499"/>
      <c r="AB174" s="2499"/>
      <c r="AC174" s="2499"/>
      <c r="AD174" s="2499"/>
    </row>
    <row r="175" spans="2:30" ht="27.5">
      <c r="B175" s="2516" t="s">
        <v>1645</v>
      </c>
      <c r="C175" s="2526">
        <f>IF(('Balances y Proyecciones'!Q17)&lt;&gt;360,'Balances y Proyecciones'!K60,'Balances y Proyecciones'!K60)</f>
        <v>0</v>
      </c>
      <c r="D175" s="2526"/>
      <c r="E175" s="2527">
        <f>IF(('Balances y Proyecciones'!Q17)&lt;&gt;360,'Balances y Proyecciones'!Q60,'Balances y Proyecciones'!Q60)</f>
        <v>0</v>
      </c>
      <c r="G175" s="2516" t="s">
        <v>1669</v>
      </c>
      <c r="H175" s="2598">
        <f>IF(('Balances y Proyecciones'!Q17)&lt;&gt;360,'Balances y Proyecciones'!AV737,'Balances y Proyecciones'!AV737)</f>
        <v>0</v>
      </c>
      <c r="I175" s="2598"/>
      <c r="J175" s="2599">
        <f>IF(('Balances y Proyecciones'!Q17)&lt;&gt;360,'Balances y Proyecciones'!BB737,'Balances y Proyecciones'!BB737)</f>
        <v>0</v>
      </c>
      <c r="N175" s="2499"/>
      <c r="O175" s="2499"/>
      <c r="P175" s="2499"/>
      <c r="Q175" s="2499"/>
      <c r="R175" s="2499"/>
      <c r="S175" s="2499"/>
      <c r="T175" s="2499"/>
      <c r="U175" s="2499"/>
      <c r="V175" s="2499"/>
      <c r="W175" s="2499"/>
      <c r="X175" s="2499"/>
      <c r="Y175" s="2499"/>
      <c r="Z175" s="2499"/>
      <c r="AA175" s="2499"/>
      <c r="AB175" s="2499"/>
      <c r="AC175" s="2499"/>
      <c r="AD175" s="2499"/>
    </row>
    <row r="176" spans="2:30" ht="27.5">
      <c r="B176" s="2516" t="s">
        <v>1651</v>
      </c>
      <c r="C176" s="2526">
        <f>IF(('Balances y Proyecciones'!Q17)&lt;&gt;360,'Balances y Proyecciones'!K61,'Balances y Proyecciones'!K61)</f>
        <v>0</v>
      </c>
      <c r="D176" s="2526"/>
      <c r="E176" s="2527">
        <f>IF(('Balances y Proyecciones'!Q17)&lt;&gt;360,'Balances y Proyecciones'!Q61,'Balances y Proyecciones'!Q61)</f>
        <v>0</v>
      </c>
      <c r="F176" s="2499"/>
      <c r="G176" s="2644"/>
      <c r="H176" s="2861"/>
      <c r="I176" s="2861"/>
      <c r="J176" s="2862"/>
      <c r="N176" s="2499"/>
      <c r="O176" s="2506"/>
      <c r="P176" s="2499"/>
      <c r="Q176" s="2499"/>
      <c r="R176" s="2499"/>
      <c r="S176" s="2499"/>
      <c r="T176" s="2499"/>
      <c r="U176" s="2499"/>
      <c r="V176" s="2499"/>
      <c r="W176" s="2499"/>
      <c r="X176" s="2499"/>
      <c r="Y176" s="2499"/>
      <c r="Z176" s="2499"/>
      <c r="AA176" s="2499"/>
      <c r="AB176" s="2499"/>
      <c r="AC176" s="2499"/>
      <c r="AD176" s="2499"/>
    </row>
    <row r="177" spans="2:30" ht="27.5">
      <c r="B177" s="2516" t="s">
        <v>1656</v>
      </c>
      <c r="C177" s="2526">
        <f>IF(('Balances y Proyecciones'!Q17)&lt;&gt;360,'Balances y Proyecciones'!K62+'Balances y Proyecciones'!K66,'Balances y Proyecciones'!K62+'Balances y Proyecciones'!K66)</f>
        <v>0</v>
      </c>
      <c r="D177" s="2526"/>
      <c r="E177" s="2527">
        <f>IF(('Balances y Proyecciones'!Q17)&lt;&gt;360,'Balances y Proyecciones'!Q62+'Balances y Proyecciones'!Q66,'Balances y Proyecciones'!Q62+'Balances y Proyecciones'!Q66)</f>
        <v>0</v>
      </c>
      <c r="F177" s="2499"/>
      <c r="G177" s="2499"/>
      <c r="H177" s="2499"/>
      <c r="I177" s="2499"/>
      <c r="J177" s="2499"/>
      <c r="N177" s="2499"/>
      <c r="O177" s="2499"/>
      <c r="P177" s="2499"/>
      <c r="Q177" s="2499"/>
      <c r="R177" s="2499"/>
      <c r="S177" s="2499"/>
      <c r="T177" s="2499"/>
      <c r="U177" s="2499"/>
      <c r="V177" s="2499"/>
      <c r="W177" s="2499"/>
      <c r="X177" s="2499"/>
      <c r="Y177" s="2499"/>
      <c r="Z177" s="2499"/>
      <c r="AA177" s="2499"/>
      <c r="AB177" s="2499"/>
      <c r="AC177" s="2499"/>
      <c r="AD177" s="2499"/>
    </row>
    <row r="178" spans="2:30" ht="27.5">
      <c r="B178" s="2516" t="s">
        <v>1662</v>
      </c>
      <c r="C178" s="2526">
        <f>IF(('Balances y Proyecciones'!Q17)&lt;&gt;360,'Balances y Proyecciones'!K63+'Balances y Proyecciones'!K64+'Balances y Proyecciones'!K65,'Balances y Proyecciones'!K63+'Balances y Proyecciones'!K64+'Balances y Proyecciones'!K65)</f>
        <v>0</v>
      </c>
      <c r="D178" s="2526"/>
      <c r="E178" s="2527">
        <f>IF(('Balances y Proyecciones'!Q17)&lt;&gt;360,'Balances y Proyecciones'!Q63+'Balances y Proyecciones'!Q64+'Balances y Proyecciones'!Q65,'Balances y Proyecciones'!Q63+'Balances y Proyecciones'!Q64+'Balances y Proyecciones'!Q65)</f>
        <v>0</v>
      </c>
      <c r="F178" s="2499"/>
      <c r="G178" s="2499"/>
      <c r="H178" s="2499"/>
      <c r="I178" s="2499"/>
      <c r="J178" s="2499"/>
      <c r="N178" s="2499"/>
      <c r="O178" s="2499"/>
      <c r="P178" s="2499"/>
      <c r="Q178" s="2499"/>
      <c r="R178" s="2499"/>
      <c r="S178" s="2499"/>
      <c r="T178" s="2499"/>
      <c r="U178" s="2499"/>
      <c r="V178" s="2499"/>
      <c r="W178" s="2499"/>
      <c r="X178" s="2499"/>
      <c r="Y178" s="2499"/>
      <c r="Z178" s="2499"/>
      <c r="AA178" s="2499"/>
      <c r="AB178" s="2499"/>
      <c r="AC178" s="2499"/>
      <c r="AD178" s="2499"/>
    </row>
    <row r="179" spans="2:30" ht="27.5">
      <c r="B179" s="2516" t="s">
        <v>1611</v>
      </c>
      <c r="C179" s="2526">
        <f>IF(('Balances y Proyecciones'!Q17)&lt;&gt;360,'Balances y Proyecciones'!K33,'Balances y Proyecciones'!K33)</f>
        <v>0</v>
      </c>
      <c r="D179" s="2526"/>
      <c r="E179" s="2527">
        <f>IF(('Balances y Proyecciones'!Q17)&lt;&gt;360,'Balances y Proyecciones'!Q33,'Balances y Proyecciones'!Q33)</f>
        <v>0</v>
      </c>
      <c r="F179" s="2499"/>
      <c r="G179" s="2499"/>
      <c r="H179" s="2499"/>
      <c r="I179" s="2499"/>
      <c r="J179" s="2499"/>
      <c r="N179" s="2499"/>
      <c r="O179" s="2499"/>
      <c r="P179" s="2499"/>
      <c r="Q179" s="2499"/>
      <c r="R179" s="2499"/>
      <c r="S179" s="2499"/>
      <c r="T179" s="2499"/>
      <c r="U179" s="2499"/>
      <c r="V179" s="2499"/>
      <c r="W179" s="2499"/>
      <c r="X179" s="2499"/>
      <c r="Y179" s="2499"/>
      <c r="Z179" s="2499"/>
      <c r="AA179" s="2499"/>
      <c r="AB179" s="2499"/>
      <c r="AC179" s="2499"/>
      <c r="AD179" s="2499"/>
    </row>
    <row r="180" spans="2:30" ht="28">
      <c r="B180" s="2642" t="s">
        <v>793</v>
      </c>
      <c r="C180" s="2823">
        <f>SUM(C175:C179)</f>
        <v>0</v>
      </c>
      <c r="D180" s="2823"/>
      <c r="E180" s="2824">
        <f>SUM(E175:E179)</f>
        <v>0</v>
      </c>
      <c r="F180" s="2499"/>
      <c r="G180" s="2499"/>
      <c r="H180" s="2499"/>
      <c r="I180" s="2499"/>
      <c r="J180" s="2499"/>
      <c r="N180" s="2499"/>
      <c r="O180" s="2499"/>
      <c r="P180" s="2499"/>
      <c r="Q180" s="2499"/>
      <c r="R180" s="2499"/>
      <c r="S180" s="2499"/>
      <c r="T180" s="2499"/>
      <c r="U180" s="2499"/>
      <c r="V180" s="2499"/>
      <c r="W180" s="2499"/>
      <c r="X180" s="2499"/>
      <c r="Y180" s="2499"/>
      <c r="Z180" s="2499"/>
      <c r="AA180" s="2499"/>
      <c r="AB180" s="2499"/>
      <c r="AC180" s="2499"/>
      <c r="AD180" s="2499"/>
    </row>
    <row r="181" spans="2:30" ht="11.5">
      <c r="F181" s="2499"/>
      <c r="G181" s="2499"/>
      <c r="H181" s="2499"/>
      <c r="I181" s="2499"/>
      <c r="J181" s="2499"/>
      <c r="N181" s="2499"/>
      <c r="O181" s="2499"/>
      <c r="P181" s="2499"/>
      <c r="Q181" s="2499"/>
      <c r="R181" s="2499"/>
      <c r="S181" s="2499"/>
      <c r="T181" s="2499"/>
      <c r="U181" s="2499"/>
      <c r="V181" s="2499"/>
      <c r="W181" s="2499"/>
      <c r="X181" s="2499"/>
      <c r="Y181" s="2499"/>
      <c r="Z181" s="2499"/>
      <c r="AA181" s="2499"/>
      <c r="AB181" s="2499"/>
      <c r="AC181" s="2499"/>
      <c r="AD181" s="2499"/>
    </row>
    <row r="182" spans="2:30" ht="11.5">
      <c r="B182" s="2499"/>
      <c r="C182" s="2499"/>
      <c r="D182" s="2499"/>
      <c r="E182" s="2499"/>
      <c r="F182" s="2499"/>
      <c r="G182" s="2499"/>
      <c r="H182" s="2499"/>
      <c r="I182" s="2499"/>
      <c r="J182" s="2499"/>
      <c r="N182" s="2499"/>
      <c r="O182" s="2499"/>
      <c r="P182" s="2499"/>
      <c r="Q182" s="2499"/>
      <c r="R182" s="2499"/>
      <c r="S182" s="2499"/>
      <c r="T182" s="2499"/>
      <c r="U182" s="2499"/>
      <c r="V182" s="2499"/>
      <c r="W182" s="2499"/>
      <c r="X182" s="2499"/>
      <c r="Y182" s="2499"/>
      <c r="Z182" s="2499"/>
      <c r="AA182" s="2499"/>
      <c r="AB182" s="2499"/>
      <c r="AC182" s="2499"/>
      <c r="AD182" s="2499"/>
    </row>
    <row r="183" spans="2:30" ht="28">
      <c r="B183" s="2835" t="s">
        <v>1784</v>
      </c>
      <c r="C183" s="2836"/>
      <c r="D183" s="2836"/>
      <c r="E183" s="2836"/>
      <c r="F183" s="2836"/>
      <c r="G183" s="2863"/>
      <c r="H183" s="2863"/>
      <c r="I183" s="2863"/>
      <c r="J183" s="2863"/>
      <c r="N183" s="2499"/>
      <c r="O183" s="2499"/>
      <c r="P183" s="2499"/>
      <c r="Q183" s="2499"/>
      <c r="R183" s="2499"/>
      <c r="S183" s="2499"/>
      <c r="T183" s="2499"/>
      <c r="U183" s="2499"/>
      <c r="V183" s="2499"/>
      <c r="W183" s="2499"/>
      <c r="X183" s="2499"/>
      <c r="Y183" s="2499"/>
      <c r="Z183" s="2499"/>
      <c r="AA183" s="2499"/>
      <c r="AB183" s="2499"/>
      <c r="AC183" s="2499"/>
      <c r="AD183" s="2499"/>
    </row>
    <row r="184" spans="2:30" ht="25">
      <c r="B184" s="2864" t="s">
        <v>1785</v>
      </c>
      <c r="C184" s="4078" t="str">
        <f>+B6</f>
        <v/>
      </c>
      <c r="D184" s="4079"/>
      <c r="E184" s="4080"/>
      <c r="F184" s="2499"/>
      <c r="G184" s="2865"/>
      <c r="H184" s="4078" t="s">
        <v>1786</v>
      </c>
      <c r="I184" s="4079"/>
      <c r="J184" s="4080"/>
      <c r="N184" s="2499"/>
      <c r="O184" s="2499"/>
      <c r="P184" s="2499"/>
      <c r="Q184" s="2499"/>
      <c r="R184" s="2499"/>
      <c r="S184" s="2499"/>
      <c r="T184" s="2499"/>
      <c r="U184" s="2499"/>
      <c r="V184" s="2499"/>
      <c r="W184" s="2499"/>
      <c r="X184" s="2499"/>
      <c r="Y184" s="2499"/>
      <c r="Z184" s="2499"/>
      <c r="AA184" s="2499"/>
      <c r="AB184" s="2499"/>
      <c r="AC184" s="2499"/>
      <c r="AD184" s="2499"/>
    </row>
    <row r="185" spans="2:30" ht="25">
      <c r="B185" s="2866" t="s">
        <v>1787</v>
      </c>
      <c r="C185" s="2867" t="str">
        <f>+C9</f>
        <v>Dic 17</v>
      </c>
      <c r="D185" s="2867" t="str">
        <f>+D9</f>
        <v>Dic 18</v>
      </c>
      <c r="E185" s="2867" t="str">
        <f>+E9</f>
        <v>Dic 19</v>
      </c>
      <c r="F185" s="2499"/>
      <c r="G185" s="2865"/>
      <c r="H185" s="2867" t="str">
        <f>+C185</f>
        <v>Dic 17</v>
      </c>
      <c r="I185" s="2867" t="str">
        <f>+D185</f>
        <v>Dic 18</v>
      </c>
      <c r="J185" s="2867" t="str">
        <f>+E185</f>
        <v>Dic 19</v>
      </c>
      <c r="N185" s="4081" t="str">
        <f>N285&amp;CHAR(10)&amp;"Cifras en $ MM"</f>
        <v xml:space="preserve">
Cifras en $ MM</v>
      </c>
      <c r="O185" s="4082"/>
      <c r="P185" s="4082"/>
      <c r="Q185" s="4082"/>
      <c r="R185" s="4082"/>
      <c r="S185" s="4083"/>
    </row>
    <row r="186" spans="2:30" ht="25">
      <c r="B186" s="2868" t="s">
        <v>1788</v>
      </c>
      <c r="C186" s="2869">
        <f t="shared" ref="C186:E190" si="29">+C12</f>
        <v>0</v>
      </c>
      <c r="D186" s="2869">
        <f t="shared" si="29"/>
        <v>0</v>
      </c>
      <c r="E186" s="2870">
        <f t="shared" si="29"/>
        <v>0</v>
      </c>
      <c r="F186" s="2499"/>
      <c r="G186" s="2865"/>
      <c r="H186" s="2871"/>
      <c r="I186" s="2871"/>
      <c r="J186" s="2872"/>
      <c r="N186" s="4084"/>
      <c r="O186" s="4085"/>
      <c r="P186" s="4085"/>
      <c r="Q186" s="4085"/>
      <c r="R186" s="4085"/>
      <c r="S186" s="4086"/>
    </row>
    <row r="187" spans="2:30" ht="25">
      <c r="B187" s="2868" t="s">
        <v>107</v>
      </c>
      <c r="C187" s="2873">
        <f t="shared" si="29"/>
        <v>0</v>
      </c>
      <c r="D187" s="2873">
        <f t="shared" si="29"/>
        <v>0</v>
      </c>
      <c r="E187" s="2874">
        <f t="shared" si="29"/>
        <v>0</v>
      </c>
      <c r="F187" s="2499"/>
      <c r="G187" s="2865"/>
      <c r="H187" s="2875"/>
      <c r="I187" s="2875"/>
      <c r="J187" s="2876"/>
      <c r="N187" s="2877" t="s">
        <v>1691</v>
      </c>
      <c r="O187" s="2878" t="s">
        <v>987</v>
      </c>
      <c r="P187" s="2879" t="s">
        <v>1692</v>
      </c>
      <c r="Q187" s="2880" t="s">
        <v>1693</v>
      </c>
      <c r="R187" s="2879" t="s">
        <v>1694</v>
      </c>
      <c r="S187" s="2881" t="s">
        <v>1695</v>
      </c>
    </row>
    <row r="188" spans="2:30" ht="25">
      <c r="B188" s="2868" t="s">
        <v>528</v>
      </c>
      <c r="C188" s="2873">
        <f t="shared" si="29"/>
        <v>0</v>
      </c>
      <c r="D188" s="2873">
        <f t="shared" si="29"/>
        <v>0</v>
      </c>
      <c r="E188" s="2874">
        <f t="shared" si="29"/>
        <v>0</v>
      </c>
      <c r="F188" s="2499"/>
      <c r="G188" s="2865"/>
      <c r="H188" s="2875"/>
      <c r="I188" s="2875"/>
      <c r="J188" s="2876"/>
      <c r="N188" s="2882"/>
      <c r="O188" s="2883"/>
      <c r="P188" s="2884"/>
      <c r="Q188" s="2884"/>
      <c r="R188" s="2884"/>
      <c r="S188" s="2884"/>
    </row>
    <row r="189" spans="2:30" ht="25">
      <c r="B189" s="2868" t="s">
        <v>1789</v>
      </c>
      <c r="C189" s="2873">
        <f t="shared" si="29"/>
        <v>0</v>
      </c>
      <c r="D189" s="2873">
        <f t="shared" si="29"/>
        <v>0</v>
      </c>
      <c r="E189" s="2874">
        <f t="shared" si="29"/>
        <v>0</v>
      </c>
      <c r="F189" s="2499"/>
      <c r="G189" s="2499"/>
      <c r="H189" s="2875"/>
      <c r="I189" s="2875"/>
      <c r="J189" s="2876"/>
      <c r="N189" s="2885"/>
      <c r="O189" s="2886"/>
      <c r="P189" s="2887"/>
      <c r="Q189" s="2887"/>
      <c r="R189" s="2887"/>
      <c r="S189" s="2887"/>
    </row>
    <row r="190" spans="2:30" ht="25">
      <c r="B190" s="2868" t="s">
        <v>1790</v>
      </c>
      <c r="C190" s="2873">
        <f t="shared" si="29"/>
        <v>0</v>
      </c>
      <c r="D190" s="2873">
        <f t="shared" si="29"/>
        <v>0</v>
      </c>
      <c r="E190" s="2874">
        <f t="shared" si="29"/>
        <v>0</v>
      </c>
      <c r="F190" s="2499"/>
      <c r="G190" s="2499"/>
      <c r="H190" s="2875"/>
      <c r="I190" s="2875"/>
      <c r="J190" s="2876"/>
      <c r="N190" s="2885"/>
      <c r="O190" s="2886"/>
      <c r="P190" s="2887"/>
      <c r="Q190" s="2887"/>
      <c r="R190" s="2887"/>
      <c r="S190" s="2887"/>
    </row>
    <row r="191" spans="2:30" ht="25">
      <c r="B191" s="2888" t="s">
        <v>1791</v>
      </c>
      <c r="C191" s="2889">
        <f t="shared" ref="C191:E195" si="30">+C18</f>
        <v>0</v>
      </c>
      <c r="D191" s="2889">
        <f t="shared" si="30"/>
        <v>0</v>
      </c>
      <c r="E191" s="2890">
        <f t="shared" si="30"/>
        <v>0</v>
      </c>
      <c r="F191" s="2499"/>
      <c r="G191" s="2865"/>
      <c r="H191" s="2891"/>
      <c r="I191" s="2891"/>
      <c r="J191" s="2892"/>
      <c r="N191" s="2885"/>
      <c r="O191" s="2886"/>
      <c r="P191" s="2887"/>
      <c r="Q191" s="2887"/>
      <c r="R191" s="2887"/>
      <c r="S191" s="2887"/>
    </row>
    <row r="192" spans="2:30" ht="25">
      <c r="B192" s="2868" t="s">
        <v>1792</v>
      </c>
      <c r="C192" s="2873">
        <f t="shared" si="30"/>
        <v>0</v>
      </c>
      <c r="D192" s="2873">
        <f t="shared" si="30"/>
        <v>0</v>
      </c>
      <c r="E192" s="2874">
        <f t="shared" si="30"/>
        <v>0</v>
      </c>
      <c r="F192" s="2499"/>
      <c r="G192" s="2499"/>
      <c r="H192" s="2875"/>
      <c r="I192" s="2875"/>
      <c r="J192" s="2876"/>
      <c r="N192" s="2885"/>
      <c r="O192" s="2893"/>
      <c r="P192" s="2887"/>
      <c r="Q192" s="2887"/>
      <c r="R192" s="2887"/>
      <c r="S192" s="2887"/>
    </row>
    <row r="193" spans="2:19" ht="25">
      <c r="B193" s="2868" t="s">
        <v>1793</v>
      </c>
      <c r="C193" s="2873">
        <f t="shared" si="30"/>
        <v>0</v>
      </c>
      <c r="D193" s="2873">
        <f t="shared" si="30"/>
        <v>0</v>
      </c>
      <c r="E193" s="2874">
        <f t="shared" si="30"/>
        <v>0</v>
      </c>
      <c r="F193" s="2499"/>
      <c r="G193" s="2865"/>
      <c r="H193" s="2875"/>
      <c r="I193" s="2875"/>
      <c r="J193" s="2876"/>
      <c r="N193" s="2885"/>
      <c r="O193" s="2893"/>
      <c r="P193" s="2887"/>
      <c r="Q193" s="2887"/>
      <c r="R193" s="2887"/>
      <c r="S193" s="2887"/>
    </row>
    <row r="194" spans="2:19" ht="25">
      <c r="B194" s="2868" t="s">
        <v>1794</v>
      </c>
      <c r="C194" s="2873">
        <f t="shared" si="30"/>
        <v>0</v>
      </c>
      <c r="D194" s="2873">
        <f t="shared" si="30"/>
        <v>0</v>
      </c>
      <c r="E194" s="2874">
        <f t="shared" si="30"/>
        <v>0</v>
      </c>
      <c r="F194" s="2499"/>
      <c r="G194" s="2865"/>
      <c r="H194" s="2875"/>
      <c r="I194" s="2875"/>
      <c r="J194" s="2876"/>
      <c r="N194" s="2885"/>
      <c r="O194" s="2886"/>
      <c r="P194" s="2887"/>
      <c r="Q194" s="2887"/>
      <c r="R194" s="2887"/>
      <c r="S194" s="2887"/>
    </row>
    <row r="195" spans="2:19" ht="25">
      <c r="B195" s="2868" t="s">
        <v>1611</v>
      </c>
      <c r="C195" s="2873">
        <f t="shared" si="30"/>
        <v>0</v>
      </c>
      <c r="D195" s="2873">
        <f t="shared" si="30"/>
        <v>0</v>
      </c>
      <c r="E195" s="2874">
        <f t="shared" si="30"/>
        <v>0</v>
      </c>
      <c r="F195" s="2499"/>
      <c r="G195" s="2865"/>
      <c r="H195" s="2875"/>
      <c r="I195" s="2875"/>
      <c r="J195" s="2876"/>
      <c r="N195" s="2885"/>
      <c r="O195" s="2886"/>
      <c r="P195" s="2887"/>
      <c r="Q195" s="2887"/>
      <c r="R195" s="2887"/>
      <c r="S195" s="2887"/>
    </row>
    <row r="196" spans="2:19" ht="25">
      <c r="B196" s="2894" t="s">
        <v>1795</v>
      </c>
      <c r="C196" s="2895">
        <f>SUM(C186:C195)</f>
        <v>0</v>
      </c>
      <c r="D196" s="2895">
        <f>SUM(D186:D195)</f>
        <v>0</v>
      </c>
      <c r="E196" s="2896">
        <f>SUM(E186:E195)</f>
        <v>0</v>
      </c>
      <c r="F196" s="2499"/>
      <c r="G196" s="2865"/>
      <c r="H196" s="2895">
        <f>SUM(H186:H195)</f>
        <v>0</v>
      </c>
      <c r="I196" s="2895">
        <f>SUM(I186:I195)</f>
        <v>0</v>
      </c>
      <c r="J196" s="2896">
        <f>SUM(J186:J195)</f>
        <v>0</v>
      </c>
      <c r="N196" s="2885"/>
      <c r="O196" s="2886"/>
      <c r="P196" s="2887"/>
      <c r="Q196" s="2887"/>
      <c r="R196" s="2887"/>
      <c r="S196" s="2887"/>
    </row>
    <row r="197" spans="2:19" ht="25">
      <c r="B197" s="2897" t="s">
        <v>1796</v>
      </c>
      <c r="C197" s="2869">
        <f t="shared" ref="C197:E200" si="31">+C26</f>
        <v>0</v>
      </c>
      <c r="D197" s="2869">
        <f t="shared" si="31"/>
        <v>0</v>
      </c>
      <c r="E197" s="2870">
        <f t="shared" si="31"/>
        <v>0</v>
      </c>
      <c r="F197" s="2499"/>
      <c r="G197" s="2865"/>
      <c r="H197" s="2871"/>
      <c r="I197" s="2871"/>
      <c r="J197" s="2872"/>
      <c r="N197" s="2885"/>
      <c r="O197" s="2886"/>
      <c r="P197" s="2887"/>
      <c r="Q197" s="2887"/>
      <c r="R197" s="2887"/>
      <c r="S197" s="2887"/>
    </row>
    <row r="198" spans="2:19" ht="25">
      <c r="B198" s="2868" t="s">
        <v>108</v>
      </c>
      <c r="C198" s="2873">
        <f t="shared" si="31"/>
        <v>0</v>
      </c>
      <c r="D198" s="2873">
        <f t="shared" si="31"/>
        <v>0</v>
      </c>
      <c r="E198" s="2874">
        <f t="shared" si="31"/>
        <v>0</v>
      </c>
      <c r="F198" s="2499"/>
      <c r="G198" s="2865"/>
      <c r="H198" s="2875"/>
      <c r="I198" s="2875"/>
      <c r="J198" s="2876"/>
      <c r="N198" s="2898" t="s">
        <v>1798</v>
      </c>
      <c r="O198" s="2899"/>
      <c r="P198" s="2900">
        <f>SUM(P188:P197)</f>
        <v>0</v>
      </c>
      <c r="Q198" s="2900">
        <f>SUM(Q188:Q197)</f>
        <v>0</v>
      </c>
      <c r="R198" s="2900">
        <f>SUM(R188:R197)</f>
        <v>0</v>
      </c>
      <c r="S198" s="2900">
        <f>SUM(S188:S197)</f>
        <v>0</v>
      </c>
    </row>
    <row r="199" spans="2:19" ht="25">
      <c r="B199" s="2868" t="s">
        <v>1797</v>
      </c>
      <c r="C199" s="2873">
        <f t="shared" si="31"/>
        <v>0</v>
      </c>
      <c r="D199" s="2873">
        <f t="shared" si="31"/>
        <v>0</v>
      </c>
      <c r="E199" s="2874">
        <f t="shared" si="31"/>
        <v>0</v>
      </c>
      <c r="F199" s="2499"/>
      <c r="G199" s="2865"/>
      <c r="H199" s="2875"/>
      <c r="I199" s="2875"/>
      <c r="J199" s="2876"/>
      <c r="N199"/>
      <c r="O199"/>
      <c r="P199"/>
      <c r="Q199"/>
      <c r="R199"/>
      <c r="S199"/>
    </row>
    <row r="200" spans="2:19" ht="25">
      <c r="B200" s="2868" t="s">
        <v>1799</v>
      </c>
      <c r="C200" s="2873">
        <f t="shared" si="31"/>
        <v>0</v>
      </c>
      <c r="D200" s="2873">
        <f t="shared" si="31"/>
        <v>0</v>
      </c>
      <c r="E200" s="2874">
        <f t="shared" si="31"/>
        <v>0</v>
      </c>
      <c r="F200" s="2499"/>
      <c r="G200" s="2499"/>
      <c r="H200" s="2875"/>
      <c r="I200" s="2875"/>
      <c r="J200" s="2876"/>
      <c r="N200"/>
      <c r="O200"/>
      <c r="P200"/>
      <c r="Q200"/>
      <c r="R200"/>
      <c r="S200"/>
    </row>
    <row r="201" spans="2:19" ht="25">
      <c r="B201" s="2888" t="s">
        <v>1800</v>
      </c>
      <c r="C201" s="2889">
        <f t="shared" ref="C201:E202" si="32">+C31</f>
        <v>0</v>
      </c>
      <c r="D201" s="2889">
        <f t="shared" si="32"/>
        <v>0</v>
      </c>
      <c r="E201" s="2890">
        <f t="shared" si="32"/>
        <v>0</v>
      </c>
      <c r="F201" s="2499"/>
      <c r="G201" s="2499"/>
      <c r="H201" s="2891"/>
      <c r="I201" s="2891"/>
      <c r="J201" s="2892"/>
      <c r="N201"/>
      <c r="O201"/>
      <c r="P201"/>
      <c r="Q201"/>
      <c r="R201"/>
      <c r="S201"/>
    </row>
    <row r="202" spans="2:19" ht="25">
      <c r="B202" s="2868" t="s">
        <v>1801</v>
      </c>
      <c r="C202" s="2873">
        <f t="shared" si="32"/>
        <v>0</v>
      </c>
      <c r="D202" s="2873">
        <f t="shared" si="32"/>
        <v>0</v>
      </c>
      <c r="E202" s="2874">
        <f t="shared" si="32"/>
        <v>0</v>
      </c>
      <c r="F202" s="2499"/>
      <c r="G202" s="2865"/>
      <c r="H202" s="2875"/>
      <c r="I202" s="2875"/>
      <c r="J202" s="2876"/>
      <c r="N202"/>
      <c r="O202"/>
      <c r="P202"/>
      <c r="Q202"/>
      <c r="R202"/>
      <c r="S202"/>
    </row>
    <row r="203" spans="2:19" ht="25">
      <c r="B203" s="2894" t="s">
        <v>1802</v>
      </c>
      <c r="C203" s="2895">
        <f>SUM(C197:C202)</f>
        <v>0</v>
      </c>
      <c r="D203" s="2895">
        <f>SUM(D197:D202)</f>
        <v>0</v>
      </c>
      <c r="E203" s="2896">
        <f>SUM(E197:E202)</f>
        <v>0</v>
      </c>
      <c r="F203" s="2499"/>
      <c r="G203" s="2865"/>
      <c r="H203" s="2895">
        <f>SUM(H197)</f>
        <v>0</v>
      </c>
      <c r="I203" s="2895">
        <f>SUM(I197)</f>
        <v>0</v>
      </c>
      <c r="J203" s="2896">
        <f>SUM(J197)</f>
        <v>0</v>
      </c>
      <c r="N203"/>
      <c r="O203"/>
      <c r="P203"/>
      <c r="Q203"/>
      <c r="R203"/>
      <c r="S203"/>
    </row>
    <row r="204" spans="2:19" ht="25">
      <c r="B204" s="2868" t="s">
        <v>1645</v>
      </c>
      <c r="C204" s="2873">
        <f t="shared" ref="C204:E208" si="33">+C36</f>
        <v>0</v>
      </c>
      <c r="D204" s="2873">
        <f t="shared" si="33"/>
        <v>0</v>
      </c>
      <c r="E204" s="2874">
        <f t="shared" si="33"/>
        <v>0</v>
      </c>
      <c r="F204" s="2499"/>
      <c r="G204" s="2865"/>
      <c r="H204" s="2875"/>
      <c r="I204" s="2875"/>
      <c r="J204" s="2876"/>
      <c r="N204"/>
      <c r="O204"/>
      <c r="P204"/>
      <c r="Q204"/>
      <c r="R204"/>
      <c r="S204"/>
    </row>
    <row r="205" spans="2:19" ht="25">
      <c r="B205" s="2868" t="s">
        <v>1803</v>
      </c>
      <c r="C205" s="2873">
        <f t="shared" si="33"/>
        <v>0</v>
      </c>
      <c r="D205" s="2873">
        <f t="shared" si="33"/>
        <v>0</v>
      </c>
      <c r="E205" s="2874">
        <f t="shared" si="33"/>
        <v>0</v>
      </c>
      <c r="F205" s="2499"/>
      <c r="G205" s="2865"/>
      <c r="H205" s="2875"/>
      <c r="I205" s="2875"/>
      <c r="J205" s="2876"/>
      <c r="N205"/>
      <c r="O205"/>
      <c r="P205"/>
      <c r="Q205"/>
      <c r="R205"/>
      <c r="S205"/>
    </row>
    <row r="206" spans="2:19" ht="25">
      <c r="B206" s="2868" t="s">
        <v>1656</v>
      </c>
      <c r="C206" s="2873">
        <f t="shared" si="33"/>
        <v>0</v>
      </c>
      <c r="D206" s="2873">
        <f t="shared" si="33"/>
        <v>0</v>
      </c>
      <c r="E206" s="2874">
        <f t="shared" si="33"/>
        <v>0</v>
      </c>
      <c r="F206" s="2499"/>
      <c r="G206" s="2865"/>
      <c r="H206" s="2875"/>
      <c r="I206" s="2875"/>
      <c r="J206" s="2876"/>
      <c r="N206"/>
      <c r="O206"/>
      <c r="P206"/>
      <c r="Q206"/>
      <c r="R206"/>
      <c r="S206"/>
    </row>
    <row r="207" spans="2:19" ht="25">
      <c r="B207" s="2868" t="s">
        <v>1662</v>
      </c>
      <c r="C207" s="2873">
        <f t="shared" si="33"/>
        <v>0</v>
      </c>
      <c r="D207" s="2873">
        <f t="shared" si="33"/>
        <v>0</v>
      </c>
      <c r="E207" s="2874">
        <f t="shared" si="33"/>
        <v>0</v>
      </c>
      <c r="F207" s="2499"/>
      <c r="G207" s="2865"/>
      <c r="H207" s="2875"/>
      <c r="I207" s="2875"/>
      <c r="J207" s="2876"/>
      <c r="N207"/>
      <c r="O207"/>
      <c r="P207"/>
      <c r="Q207"/>
      <c r="R207"/>
      <c r="S207"/>
    </row>
    <row r="208" spans="2:19" ht="25">
      <c r="B208" s="2868" t="s">
        <v>1611</v>
      </c>
      <c r="C208" s="2873">
        <f t="shared" si="33"/>
        <v>0</v>
      </c>
      <c r="D208" s="2873">
        <f t="shared" si="33"/>
        <v>0</v>
      </c>
      <c r="E208" s="2874">
        <f t="shared" si="33"/>
        <v>0</v>
      </c>
      <c r="F208" s="2499"/>
      <c r="G208" s="2865"/>
      <c r="H208" s="2875"/>
      <c r="I208" s="2875"/>
      <c r="J208" s="2876"/>
      <c r="N208"/>
      <c r="O208"/>
      <c r="P208"/>
      <c r="Q208"/>
      <c r="R208"/>
      <c r="S208"/>
    </row>
    <row r="209" spans="2:19" ht="25">
      <c r="B209" s="2894" t="s">
        <v>1804</v>
      </c>
      <c r="C209" s="2895">
        <f>SUM(C204:C208)</f>
        <v>0</v>
      </c>
      <c r="D209" s="2895">
        <f>SUM(D204:D208)</f>
        <v>0</v>
      </c>
      <c r="E209" s="2896">
        <f>SUM(E204:E208)</f>
        <v>0</v>
      </c>
      <c r="F209" s="2499"/>
      <c r="G209" s="2865"/>
      <c r="H209" s="2895">
        <f>SUM(H204:H208)</f>
        <v>0</v>
      </c>
      <c r="I209" s="2895">
        <f>SUM(I204:I208)</f>
        <v>0</v>
      </c>
      <c r="J209" s="2896">
        <f>SUM(J204:J208)</f>
        <v>0</v>
      </c>
      <c r="N209"/>
      <c r="O209"/>
      <c r="P209"/>
      <c r="Q209"/>
      <c r="R209"/>
      <c r="S209"/>
    </row>
    <row r="210" spans="2:19" ht="25">
      <c r="B210" s="2901"/>
      <c r="C210" s="2902"/>
      <c r="D210" s="2902"/>
      <c r="E210" s="2902"/>
      <c r="F210" s="2499"/>
      <c r="G210" s="2865"/>
      <c r="H210" s="2902"/>
      <c r="I210" s="2902"/>
      <c r="J210" s="2902"/>
      <c r="N210"/>
      <c r="O210"/>
      <c r="P210"/>
      <c r="Q210"/>
      <c r="R210"/>
      <c r="S210"/>
    </row>
    <row r="211" spans="2:19" ht="25">
      <c r="B211" s="2897" t="s">
        <v>1593</v>
      </c>
      <c r="C211" s="2870">
        <f>+H10</f>
        <v>0</v>
      </c>
      <c r="D211" s="2870">
        <f>+I10</f>
        <v>0</v>
      </c>
      <c r="E211" s="2870">
        <f>+J10</f>
        <v>0</v>
      </c>
      <c r="F211" s="2499"/>
      <c r="G211" s="2865"/>
      <c r="H211" s="2870"/>
      <c r="I211" s="2870"/>
      <c r="J211" s="2870"/>
      <c r="N211"/>
      <c r="O211"/>
      <c r="P211"/>
      <c r="Q211"/>
      <c r="R211"/>
      <c r="S211"/>
    </row>
    <row r="212" spans="2:19" ht="25">
      <c r="B212" s="2868" t="s">
        <v>1805</v>
      </c>
      <c r="C212" s="2903" t="str">
        <f>+H28</f>
        <v>N/A</v>
      </c>
      <c r="D212" s="2903" t="str">
        <f>+I28</f>
        <v>N/A</v>
      </c>
      <c r="E212" s="2903" t="str">
        <f>+J28</f>
        <v>N/A</v>
      </c>
      <c r="F212" s="2499"/>
      <c r="G212" s="2865"/>
      <c r="H212" s="2874"/>
      <c r="I212" s="2874"/>
      <c r="J212" s="2874"/>
      <c r="N212"/>
      <c r="O212"/>
      <c r="P212"/>
      <c r="Q212"/>
      <c r="R212"/>
      <c r="S212"/>
    </row>
    <row r="213" spans="2:19" ht="25">
      <c r="B213" s="2868" t="s">
        <v>880</v>
      </c>
      <c r="C213" s="2903">
        <f>+H23</f>
        <v>0</v>
      </c>
      <c r="D213" s="2903">
        <f>+I23</f>
        <v>0</v>
      </c>
      <c r="E213" s="2903">
        <f>+J23</f>
        <v>0</v>
      </c>
      <c r="F213" s="2499"/>
      <c r="G213" s="2865"/>
      <c r="H213" s="2903"/>
      <c r="I213" s="2903"/>
      <c r="J213" s="2903"/>
      <c r="N213"/>
      <c r="O213"/>
      <c r="P213"/>
      <c r="Q213"/>
      <c r="R213"/>
      <c r="S213"/>
    </row>
    <row r="214" spans="2:19" ht="25">
      <c r="B214" s="2868" t="s">
        <v>881</v>
      </c>
      <c r="C214" s="2874">
        <f>+H13</f>
        <v>0</v>
      </c>
      <c r="D214" s="2874">
        <f>+I13</f>
        <v>0</v>
      </c>
      <c r="E214" s="2874">
        <f>+J13</f>
        <v>0</v>
      </c>
      <c r="F214" s="2499"/>
      <c r="G214" s="2865"/>
      <c r="H214" s="2874"/>
      <c r="I214" s="2874"/>
      <c r="J214" s="2874"/>
      <c r="N214"/>
      <c r="O214"/>
      <c r="P214"/>
      <c r="Q214"/>
      <c r="R214"/>
      <c r="S214"/>
    </row>
    <row r="215" spans="2:19" ht="25">
      <c r="B215" s="2868" t="s">
        <v>882</v>
      </c>
      <c r="C215" s="2903">
        <f>+H24</f>
        <v>0</v>
      </c>
      <c r="D215" s="2903">
        <f>+I24</f>
        <v>0</v>
      </c>
      <c r="E215" s="2903">
        <f>+J24</f>
        <v>0</v>
      </c>
      <c r="F215" s="2499"/>
      <c r="G215" s="2865"/>
      <c r="H215" s="2903"/>
      <c r="I215" s="2903"/>
      <c r="J215" s="2903"/>
      <c r="N215"/>
      <c r="O215"/>
      <c r="P215"/>
      <c r="Q215"/>
      <c r="R215"/>
      <c r="S215"/>
    </row>
    <row r="216" spans="2:19" ht="25">
      <c r="B216" s="2894" t="s">
        <v>1487</v>
      </c>
      <c r="C216" s="2895">
        <f>+H18</f>
        <v>0</v>
      </c>
      <c r="D216" s="2895">
        <f>+I18</f>
        <v>0</v>
      </c>
      <c r="E216" s="2896">
        <f>+J18</f>
        <v>0</v>
      </c>
      <c r="F216" s="2499"/>
      <c r="G216" s="2865"/>
      <c r="H216" s="2895"/>
      <c r="I216" s="2895"/>
      <c r="J216" s="2896"/>
      <c r="N216"/>
      <c r="O216"/>
      <c r="P216"/>
      <c r="Q216"/>
      <c r="R216"/>
      <c r="S216"/>
    </row>
    <row r="217" spans="2:19" ht="25">
      <c r="B217" s="2897" t="s">
        <v>1806</v>
      </c>
      <c r="C217" s="2904">
        <f>+H26</f>
        <v>0</v>
      </c>
      <c r="D217" s="2904">
        <f>+I26</f>
        <v>0</v>
      </c>
      <c r="E217" s="2904">
        <f>+J26</f>
        <v>0</v>
      </c>
      <c r="F217" s="2499"/>
      <c r="G217" s="2865"/>
      <c r="H217" s="2904"/>
      <c r="I217" s="2904"/>
      <c r="J217" s="2904"/>
      <c r="N217"/>
      <c r="O217"/>
      <c r="P217"/>
      <c r="Q217"/>
      <c r="R217"/>
      <c r="S217"/>
    </row>
    <row r="218" spans="2:19" ht="25">
      <c r="B218" s="2868" t="s">
        <v>1512</v>
      </c>
      <c r="C218" s="2905">
        <f t="shared" ref="C218:E219" si="34">+H29</f>
        <v>0</v>
      </c>
      <c r="D218" s="2905">
        <f t="shared" si="34"/>
        <v>0</v>
      </c>
      <c r="E218" s="2905">
        <f t="shared" si="34"/>
        <v>0</v>
      </c>
      <c r="F218" s="2499"/>
      <c r="G218" s="2865"/>
      <c r="H218" s="2905"/>
      <c r="I218" s="2905"/>
      <c r="J218" s="2905"/>
      <c r="N218"/>
      <c r="O218"/>
      <c r="P218"/>
      <c r="Q218"/>
      <c r="R218"/>
      <c r="S218"/>
    </row>
    <row r="219" spans="2:19" ht="25">
      <c r="B219" s="2868" t="s">
        <v>1775</v>
      </c>
      <c r="C219" s="2905">
        <f t="shared" si="34"/>
        <v>0</v>
      </c>
      <c r="D219" s="2905">
        <f t="shared" si="34"/>
        <v>0</v>
      </c>
      <c r="E219" s="2905">
        <f t="shared" si="34"/>
        <v>0</v>
      </c>
      <c r="F219" s="2499"/>
      <c r="G219" s="2865"/>
      <c r="H219" s="2905"/>
      <c r="I219" s="2905"/>
      <c r="J219" s="2905"/>
      <c r="N219"/>
      <c r="O219"/>
      <c r="P219"/>
      <c r="Q219"/>
      <c r="R219"/>
      <c r="S219"/>
    </row>
    <row r="220" spans="2:19" ht="25">
      <c r="B220" s="2868" t="s">
        <v>1514</v>
      </c>
      <c r="C220" s="2905">
        <f>+H32</f>
        <v>0</v>
      </c>
      <c r="D220" s="2905">
        <f>+I32</f>
        <v>0</v>
      </c>
      <c r="E220" s="2905">
        <f>+J32</f>
        <v>0</v>
      </c>
      <c r="F220" s="2499"/>
      <c r="G220" s="2865"/>
      <c r="H220" s="2905"/>
      <c r="I220" s="2905"/>
      <c r="J220" s="2905"/>
      <c r="N220"/>
      <c r="O220"/>
      <c r="P220"/>
      <c r="Q220"/>
      <c r="R220"/>
      <c r="S220"/>
    </row>
    <row r="221" spans="2:19" ht="25">
      <c r="B221" s="2868" t="s">
        <v>1511</v>
      </c>
      <c r="C221" s="2903">
        <f>+H35</f>
        <v>0</v>
      </c>
      <c r="D221" s="2903">
        <f>+I35</f>
        <v>0</v>
      </c>
      <c r="E221" s="2903">
        <f>+J35</f>
        <v>0</v>
      </c>
      <c r="F221" s="2499"/>
      <c r="G221" s="2865"/>
      <c r="H221" s="2903"/>
      <c r="I221" s="2903"/>
      <c r="J221" s="2903"/>
      <c r="N221"/>
      <c r="O221"/>
      <c r="P221"/>
      <c r="Q221"/>
      <c r="R221"/>
      <c r="S221"/>
    </row>
    <row r="222" spans="2:19" ht="25">
      <c r="B222" s="2868" t="s">
        <v>910</v>
      </c>
      <c r="C222" s="2906">
        <f>+H38</f>
        <v>0</v>
      </c>
      <c r="D222" s="2906">
        <f>+I38</f>
        <v>0</v>
      </c>
      <c r="E222" s="2906">
        <f>+J38</f>
        <v>0</v>
      </c>
      <c r="F222" s="2499"/>
      <c r="G222" s="2865"/>
      <c r="H222" s="2906"/>
      <c r="I222" s="2906"/>
      <c r="J222" s="2906"/>
      <c r="N222"/>
      <c r="O222"/>
      <c r="P222"/>
      <c r="Q222"/>
      <c r="R222"/>
      <c r="S222"/>
    </row>
    <row r="223" spans="2:19" ht="25">
      <c r="B223" s="2907" t="s">
        <v>1669</v>
      </c>
      <c r="C223" s="2908">
        <f>+H41</f>
        <v>0</v>
      </c>
      <c r="D223" s="2908">
        <f>+I41</f>
        <v>0</v>
      </c>
      <c r="E223" s="2908">
        <f>+J41</f>
        <v>0</v>
      </c>
      <c r="F223" s="2499"/>
      <c r="G223" s="2865"/>
      <c r="H223" s="2908"/>
      <c r="I223" s="2908"/>
      <c r="J223" s="2908"/>
      <c r="N223"/>
      <c r="O223"/>
      <c r="P223"/>
      <c r="Q223"/>
      <c r="R223"/>
      <c r="S223"/>
    </row>
    <row r="224" spans="2:19" ht="14.5">
      <c r="B224" s="2499"/>
      <c r="C224" s="2499"/>
      <c r="D224" s="2499"/>
      <c r="E224" s="2499"/>
      <c r="F224" s="2499"/>
      <c r="G224" s="2499"/>
      <c r="H224" s="2499"/>
      <c r="I224" s="2499"/>
      <c r="J224" s="2499"/>
      <c r="N224"/>
      <c r="O224"/>
      <c r="P224"/>
      <c r="Q224"/>
      <c r="R224"/>
      <c r="S224"/>
    </row>
    <row r="225" spans="2:19" ht="14.5">
      <c r="B225" s="2499"/>
      <c r="C225" s="2499"/>
      <c r="D225" s="2499"/>
      <c r="E225" s="2499"/>
      <c r="F225" s="2499"/>
      <c r="G225" s="2499"/>
      <c r="H225" s="2499"/>
      <c r="I225" s="2499"/>
      <c r="J225" s="2499"/>
      <c r="N225"/>
      <c r="O225"/>
      <c r="P225"/>
      <c r="Q225"/>
      <c r="R225"/>
      <c r="S225"/>
    </row>
    <row r="226" spans="2:19" ht="14.5">
      <c r="B226" s="2499"/>
      <c r="C226" s="2499"/>
      <c r="D226" s="2499"/>
      <c r="E226" s="2499"/>
      <c r="F226" s="2499"/>
      <c r="G226" s="2499"/>
      <c r="H226" s="2499"/>
      <c r="I226" s="2499"/>
      <c r="J226" s="2499"/>
      <c r="N226"/>
      <c r="O226"/>
      <c r="P226"/>
      <c r="Q226"/>
      <c r="R226"/>
      <c r="S226"/>
    </row>
    <row r="227" spans="2:19" ht="14.5">
      <c r="N227"/>
      <c r="O227"/>
      <c r="P227"/>
      <c r="Q227"/>
      <c r="R227"/>
      <c r="S227"/>
    </row>
    <row r="228" spans="2:19" ht="14.5">
      <c r="N228"/>
      <c r="O228"/>
      <c r="P228"/>
      <c r="Q228"/>
      <c r="R228"/>
      <c r="S228"/>
    </row>
    <row r="229" spans="2:19" ht="14.5">
      <c r="N229"/>
      <c r="O229"/>
      <c r="P229"/>
      <c r="Q229"/>
      <c r="R229"/>
      <c r="S229"/>
    </row>
    <row r="230" spans="2:19" ht="14.5">
      <c r="N230"/>
      <c r="O230"/>
      <c r="P230"/>
      <c r="Q230"/>
      <c r="R230"/>
      <c r="S230"/>
    </row>
    <row r="231" spans="2:19" ht="14.5">
      <c r="N231"/>
      <c r="O231"/>
      <c r="P231"/>
      <c r="Q231"/>
      <c r="R231"/>
      <c r="S231"/>
    </row>
    <row r="232" spans="2:19" ht="14.5">
      <c r="N232"/>
      <c r="O232"/>
      <c r="P232"/>
      <c r="Q232"/>
      <c r="R232"/>
      <c r="S232"/>
    </row>
    <row r="233" spans="2:19" ht="14.5">
      <c r="N233"/>
      <c r="O233"/>
      <c r="P233"/>
      <c r="Q233"/>
      <c r="R233"/>
      <c r="S233"/>
    </row>
    <row r="234" spans="2:19" ht="14.5">
      <c r="N234"/>
      <c r="O234"/>
      <c r="P234"/>
      <c r="Q234"/>
      <c r="R234"/>
      <c r="S234"/>
    </row>
    <row r="235" spans="2:19" ht="14.5">
      <c r="N235"/>
      <c r="O235"/>
      <c r="P235"/>
      <c r="Q235"/>
      <c r="R235"/>
      <c r="S235"/>
    </row>
    <row r="236" spans="2:19" ht="14.5">
      <c r="N236"/>
      <c r="O236"/>
      <c r="P236"/>
      <c r="Q236"/>
      <c r="R236"/>
      <c r="S236"/>
    </row>
    <row r="237" spans="2:19" ht="14.5">
      <c r="N237"/>
      <c r="O237"/>
      <c r="P237"/>
      <c r="Q237"/>
      <c r="R237"/>
      <c r="S237"/>
    </row>
    <row r="238" spans="2:19" ht="14.5">
      <c r="N238"/>
      <c r="O238"/>
      <c r="P238"/>
      <c r="Q238"/>
      <c r="R238"/>
      <c r="S238"/>
    </row>
    <row r="239" spans="2:19" ht="14.5">
      <c r="N239"/>
      <c r="O239"/>
      <c r="P239"/>
      <c r="Q239"/>
      <c r="R239"/>
      <c r="S239"/>
    </row>
    <row r="240" spans="2:19" ht="14.5">
      <c r="N240"/>
      <c r="O240"/>
      <c r="P240"/>
      <c r="Q240"/>
      <c r="R240"/>
      <c r="S240"/>
    </row>
    <row r="241" spans="14:19" ht="14.5">
      <c r="N241"/>
      <c r="O241"/>
      <c r="P241"/>
      <c r="Q241"/>
      <c r="R241"/>
      <c r="S241"/>
    </row>
    <row r="242" spans="14:19" ht="14.5">
      <c r="N242"/>
      <c r="O242"/>
      <c r="P242"/>
      <c r="Q242"/>
      <c r="R242"/>
      <c r="S242"/>
    </row>
    <row r="243" spans="14:19" ht="14.5">
      <c r="N243"/>
      <c r="O243"/>
      <c r="P243"/>
      <c r="Q243"/>
      <c r="R243"/>
      <c r="S243"/>
    </row>
    <row r="244" spans="14:19" ht="14.5">
      <c r="N244"/>
      <c r="O244"/>
      <c r="P244"/>
      <c r="Q244"/>
      <c r="R244"/>
      <c r="S244"/>
    </row>
    <row r="245" spans="14:19" ht="14.5">
      <c r="N245"/>
      <c r="O245"/>
      <c r="P245"/>
      <c r="Q245"/>
      <c r="R245"/>
      <c r="S245"/>
    </row>
    <row r="246" spans="14:19" ht="14.5">
      <c r="N246"/>
      <c r="O246"/>
      <c r="P246"/>
      <c r="Q246"/>
      <c r="R246"/>
      <c r="S246"/>
    </row>
    <row r="247" spans="14:19" ht="14.5">
      <c r="N247"/>
      <c r="O247"/>
      <c r="P247"/>
      <c r="Q247"/>
      <c r="R247"/>
      <c r="S247"/>
    </row>
    <row r="248" spans="14:19" ht="14.5">
      <c r="N248"/>
      <c r="O248"/>
      <c r="P248"/>
      <c r="Q248"/>
      <c r="R248"/>
      <c r="S248"/>
    </row>
    <row r="249" spans="14:19" ht="14.5">
      <c r="N249"/>
      <c r="O249"/>
      <c r="P249"/>
      <c r="Q249"/>
      <c r="R249"/>
      <c r="S249"/>
    </row>
    <row r="250" spans="14:19" ht="14.5">
      <c r="N250"/>
      <c r="O250"/>
      <c r="P250"/>
      <c r="Q250"/>
      <c r="R250"/>
      <c r="S250"/>
    </row>
    <row r="251" spans="14:19" ht="14.5">
      <c r="N251"/>
      <c r="O251"/>
      <c r="P251"/>
      <c r="Q251"/>
      <c r="R251"/>
      <c r="S251"/>
    </row>
    <row r="252" spans="14:19" ht="14.5">
      <c r="N252"/>
      <c r="O252"/>
      <c r="P252"/>
      <c r="Q252"/>
      <c r="R252"/>
      <c r="S252"/>
    </row>
    <row r="253" spans="14:19" ht="14.5">
      <c r="N253"/>
      <c r="O253"/>
      <c r="P253"/>
      <c r="Q253"/>
      <c r="R253"/>
      <c r="S253"/>
    </row>
    <row r="254" spans="14:19" ht="14.5">
      <c r="N254"/>
      <c r="O254"/>
      <c r="P254"/>
      <c r="Q254"/>
      <c r="R254"/>
      <c r="S254"/>
    </row>
    <row r="255" spans="14:19" ht="14.5">
      <c r="N255"/>
      <c r="O255"/>
      <c r="P255"/>
      <c r="Q255"/>
      <c r="R255"/>
      <c r="S255"/>
    </row>
    <row r="256" spans="14:19" ht="14.5">
      <c r="N256"/>
      <c r="O256"/>
      <c r="P256"/>
      <c r="Q256"/>
      <c r="R256"/>
      <c r="S256"/>
    </row>
    <row r="257" spans="14:19" ht="14.5">
      <c r="N257"/>
      <c r="O257"/>
      <c r="P257"/>
      <c r="Q257"/>
      <c r="R257"/>
      <c r="S257"/>
    </row>
    <row r="258" spans="14:19" ht="14.5">
      <c r="N258"/>
      <c r="O258"/>
      <c r="P258"/>
      <c r="Q258"/>
      <c r="R258"/>
      <c r="S258"/>
    </row>
    <row r="259" spans="14:19" ht="14.5">
      <c r="N259"/>
      <c r="O259"/>
      <c r="P259"/>
      <c r="Q259"/>
      <c r="R259"/>
      <c r="S259"/>
    </row>
    <row r="260" spans="14:19" ht="14.5">
      <c r="N260"/>
      <c r="O260"/>
      <c r="P260"/>
      <c r="Q260"/>
      <c r="R260"/>
      <c r="S260"/>
    </row>
    <row r="261" spans="14:19" ht="14.5">
      <c r="N261"/>
      <c r="O261"/>
      <c r="P261"/>
      <c r="Q261"/>
      <c r="R261"/>
      <c r="S261"/>
    </row>
    <row r="262" spans="14:19" ht="14.5">
      <c r="N262"/>
      <c r="O262"/>
      <c r="P262"/>
      <c r="Q262"/>
      <c r="R262"/>
      <c r="S262"/>
    </row>
    <row r="263" spans="14:19" ht="14.5">
      <c r="N263"/>
      <c r="O263"/>
      <c r="P263"/>
      <c r="Q263"/>
      <c r="R263"/>
      <c r="S263"/>
    </row>
    <row r="264" spans="14:19" ht="14.5">
      <c r="N264"/>
      <c r="O264"/>
      <c r="P264"/>
      <c r="Q264"/>
      <c r="R264"/>
      <c r="S264"/>
    </row>
    <row r="265" spans="14:19" ht="14.5">
      <c r="N265"/>
      <c r="O265"/>
      <c r="P265"/>
      <c r="Q265"/>
      <c r="R265"/>
      <c r="S265"/>
    </row>
    <row r="266" spans="14:19" ht="14.5">
      <c r="N266"/>
      <c r="O266"/>
      <c r="P266"/>
      <c r="Q266"/>
      <c r="R266"/>
      <c r="S266"/>
    </row>
    <row r="267" spans="14:19" ht="14.5">
      <c r="N267"/>
      <c r="O267"/>
      <c r="P267"/>
      <c r="Q267"/>
      <c r="R267"/>
      <c r="S267"/>
    </row>
    <row r="268" spans="14:19" ht="14.5">
      <c r="N268"/>
      <c r="O268"/>
      <c r="P268"/>
      <c r="Q268"/>
      <c r="R268"/>
      <c r="S268"/>
    </row>
    <row r="269" spans="14:19" ht="14.5">
      <c r="N269"/>
      <c r="O269"/>
      <c r="P269"/>
      <c r="Q269"/>
      <c r="R269"/>
      <c r="S269"/>
    </row>
    <row r="270" spans="14:19" ht="14.5">
      <c r="N270"/>
      <c r="O270"/>
      <c r="P270"/>
      <c r="Q270"/>
      <c r="R270"/>
      <c r="S270"/>
    </row>
    <row r="271" spans="14:19" ht="14.5">
      <c r="N271"/>
      <c r="O271"/>
      <c r="P271"/>
      <c r="Q271"/>
      <c r="R271"/>
      <c r="S271"/>
    </row>
    <row r="272" spans="14:19" ht="14.5">
      <c r="N272"/>
      <c r="O272"/>
      <c r="P272"/>
      <c r="Q272"/>
      <c r="R272"/>
      <c r="S272"/>
    </row>
    <row r="273" spans="14:19" ht="14.5">
      <c r="N273"/>
      <c r="O273"/>
      <c r="P273"/>
      <c r="Q273"/>
      <c r="R273"/>
      <c r="S273"/>
    </row>
    <row r="274" spans="14:19" ht="14.5">
      <c r="N274"/>
      <c r="O274"/>
      <c r="P274"/>
      <c r="Q274"/>
      <c r="R274"/>
      <c r="S274"/>
    </row>
    <row r="275" spans="14:19" ht="14.5">
      <c r="N275"/>
      <c r="O275"/>
      <c r="P275"/>
      <c r="Q275"/>
      <c r="R275"/>
      <c r="S275"/>
    </row>
    <row r="276" spans="14:19" ht="14.5">
      <c r="N276"/>
      <c r="O276"/>
      <c r="P276"/>
      <c r="Q276"/>
      <c r="R276"/>
      <c r="S276"/>
    </row>
    <row r="277" spans="14:19" ht="14.5">
      <c r="N277"/>
      <c r="O277"/>
      <c r="P277"/>
      <c r="Q277"/>
      <c r="R277"/>
      <c r="S277"/>
    </row>
    <row r="278" spans="14:19" ht="14.5">
      <c r="N278"/>
      <c r="O278"/>
      <c r="P278"/>
      <c r="Q278"/>
      <c r="R278"/>
      <c r="S278"/>
    </row>
    <row r="279" spans="14:19" ht="14.5">
      <c r="N279"/>
      <c r="O279"/>
      <c r="P279"/>
      <c r="Q279"/>
      <c r="R279"/>
      <c r="S279"/>
    </row>
    <row r="280" spans="14:19" ht="14.5">
      <c r="N280"/>
      <c r="O280"/>
      <c r="P280"/>
      <c r="Q280"/>
      <c r="R280"/>
      <c r="S280"/>
    </row>
    <row r="281" spans="14:19" ht="14.5">
      <c r="N281"/>
      <c r="O281"/>
      <c r="P281"/>
      <c r="Q281"/>
      <c r="R281"/>
      <c r="S281"/>
    </row>
    <row r="282" spans="14:19" ht="14.5">
      <c r="N282"/>
      <c r="O282"/>
      <c r="P282"/>
      <c r="Q282"/>
      <c r="R282"/>
      <c r="S282"/>
    </row>
    <row r="283" spans="14:19" ht="14.5">
      <c r="N283"/>
      <c r="O283"/>
      <c r="P283"/>
      <c r="Q283"/>
      <c r="R283"/>
      <c r="S283"/>
    </row>
    <row r="284" spans="14:19" ht="14.5">
      <c r="N284"/>
      <c r="O284"/>
      <c r="P284"/>
      <c r="Q284"/>
      <c r="R284"/>
      <c r="S284"/>
    </row>
    <row r="285" spans="14:19" ht="14.5">
      <c r="N285"/>
      <c r="O285"/>
      <c r="P285"/>
      <c r="Q285"/>
      <c r="R285"/>
      <c r="S285"/>
    </row>
    <row r="286" spans="14:19" ht="14.5">
      <c r="N286"/>
      <c r="O286"/>
      <c r="P286"/>
      <c r="Q286"/>
      <c r="R286"/>
      <c r="S286"/>
    </row>
    <row r="287" spans="14:19" ht="14.5">
      <c r="N287"/>
      <c r="O287"/>
      <c r="P287"/>
      <c r="Q287"/>
      <c r="R287"/>
      <c r="S287"/>
    </row>
    <row r="288" spans="14:19" ht="14.5">
      <c r="N288"/>
      <c r="O288"/>
      <c r="P288"/>
      <c r="Q288"/>
      <c r="R288"/>
      <c r="S288"/>
    </row>
    <row r="289" spans="14:19" ht="14.5">
      <c r="N289"/>
      <c r="O289"/>
      <c r="P289"/>
      <c r="Q289"/>
      <c r="R289"/>
      <c r="S289"/>
    </row>
    <row r="290" spans="14:19" ht="14.5">
      <c r="N290"/>
      <c r="O290"/>
      <c r="P290"/>
      <c r="Q290"/>
      <c r="R290"/>
      <c r="S290"/>
    </row>
    <row r="291" spans="14:19" ht="14.5">
      <c r="N291"/>
      <c r="O291"/>
      <c r="P291"/>
      <c r="Q291"/>
      <c r="R291"/>
      <c r="S291"/>
    </row>
    <row r="292" spans="14:19" ht="14.5">
      <c r="N292"/>
      <c r="O292"/>
      <c r="P292"/>
      <c r="Q292"/>
      <c r="R292"/>
      <c r="S292"/>
    </row>
    <row r="293" spans="14:19" ht="14.5">
      <c r="N293"/>
      <c r="O293"/>
      <c r="P293"/>
      <c r="Q293"/>
      <c r="R293"/>
      <c r="S293"/>
    </row>
    <row r="294" spans="14:19" ht="14.5">
      <c r="N294"/>
      <c r="O294"/>
      <c r="P294"/>
      <c r="Q294"/>
      <c r="R294"/>
      <c r="S294"/>
    </row>
    <row r="295" spans="14:19" ht="11.5"/>
    <row r="311" spans="14:19" ht="27.75" customHeight="1">
      <c r="N311" s="2499"/>
      <c r="O311" s="2499"/>
      <c r="P311" s="2499"/>
      <c r="Q311" s="2499"/>
      <c r="R311" s="2499"/>
      <c r="S311" s="2499"/>
    </row>
    <row r="312" spans="14:19" ht="11.5"/>
    <row r="1048563" spans="3:7" ht="27.5">
      <c r="C1048563" s="2506" t="s">
        <v>1807</v>
      </c>
      <c r="D1048563" s="2499"/>
      <c r="E1048563" s="2909"/>
      <c r="G1048563" s="2506" t="s">
        <v>1808</v>
      </c>
    </row>
    <row r="1048564" spans="3:7" ht="27.5">
      <c r="C1048564" s="2499"/>
      <c r="D1048564" s="2499"/>
      <c r="E1048564" s="2909"/>
      <c r="G1048564" s="2506" t="s">
        <v>2161</v>
      </c>
    </row>
    <row r="1048565" spans="3:7" ht="27.5">
      <c r="C1048565" s="2499"/>
      <c r="D1048565" s="2499"/>
      <c r="E1048565" s="2909"/>
      <c r="G1048565" s="2506" t="s">
        <v>1809</v>
      </c>
    </row>
    <row r="1048566" spans="3:7" ht="27.5">
      <c r="C1048566" s="2499"/>
      <c r="D1048566" s="2499"/>
      <c r="E1048566" s="2909"/>
      <c r="G1048566" s="2506" t="s">
        <v>1810</v>
      </c>
    </row>
    <row r="1048567" spans="3:7" ht="27.5">
      <c r="C1048567" s="2499"/>
      <c r="D1048567" s="2499"/>
      <c r="E1048567" s="2909"/>
      <c r="G1048567" s="2506" t="s">
        <v>1811</v>
      </c>
    </row>
    <row r="1048568" spans="3:7" ht="27.5">
      <c r="C1048568" s="2499"/>
      <c r="D1048568" s="2499"/>
      <c r="E1048568" s="2909"/>
    </row>
    <row r="1048569" spans="3:7" ht="27.5">
      <c r="C1048569" s="2499"/>
      <c r="D1048569" s="2499"/>
      <c r="E1048569" s="2909"/>
      <c r="G1048569" s="2506" t="s">
        <v>1812</v>
      </c>
    </row>
    <row r="1048570" spans="3:7" ht="27.5">
      <c r="C1048570" s="2499"/>
      <c r="D1048570" s="2499"/>
      <c r="E1048570" s="2909"/>
      <c r="G1048570" s="2506" t="s">
        <v>1813</v>
      </c>
    </row>
    <row r="1048571" spans="3:7" ht="27.5">
      <c r="C1048571" s="2499"/>
      <c r="D1048571" s="2499"/>
      <c r="E1048571" s="2909"/>
      <c r="G1048571" s="2506" t="s">
        <v>1814</v>
      </c>
    </row>
    <row r="1048572" spans="3:7" ht="27.5">
      <c r="C1048572" s="2499"/>
      <c r="D1048572" s="2499"/>
      <c r="E1048572" s="2909"/>
    </row>
  </sheetData>
  <mergeCells count="169">
    <mergeCell ref="B5:J5"/>
    <mergeCell ref="B6:J6"/>
    <mergeCell ref="AG29:AU30"/>
    <mergeCell ref="AI38:AM42"/>
    <mergeCell ref="N43:S43"/>
    <mergeCell ref="B45:J45"/>
    <mergeCell ref="AH45:AS45"/>
    <mergeCell ref="N47:O47"/>
    <mergeCell ref="AI48:AK48"/>
    <mergeCell ref="P45:S45"/>
    <mergeCell ref="BI46:BK46"/>
    <mergeCell ref="AI47:AK47"/>
    <mergeCell ref="AW47:AY47"/>
    <mergeCell ref="BA47:BC47"/>
    <mergeCell ref="BE47:BG47"/>
    <mergeCell ref="BI47:BK47"/>
    <mergeCell ref="AI46:AK46"/>
    <mergeCell ref="AN46:AO46"/>
    <mergeCell ref="AW46:AY46"/>
    <mergeCell ref="BA46:BC46"/>
    <mergeCell ref="BE46:BG46"/>
    <mergeCell ref="N49:O49"/>
    <mergeCell ref="N50:O50"/>
    <mergeCell ref="AW51:AY51"/>
    <mergeCell ref="BA51:BC51"/>
    <mergeCell ref="BE51:BG51"/>
    <mergeCell ref="BI51:BK51"/>
    <mergeCell ref="N48:O48"/>
    <mergeCell ref="AI49:AK49"/>
    <mergeCell ref="AW49:AY49"/>
    <mergeCell ref="BA49:BC49"/>
    <mergeCell ref="BE49:BG49"/>
    <mergeCell ref="BI49:BK49"/>
    <mergeCell ref="AW48:AY48"/>
    <mergeCell ref="BA48:BC48"/>
    <mergeCell ref="BE48:BG48"/>
    <mergeCell ref="BI48:BK48"/>
    <mergeCell ref="BM51:BO51"/>
    <mergeCell ref="N51:O51"/>
    <mergeCell ref="AI52:AI53"/>
    <mergeCell ref="AJ52:AJ53"/>
    <mergeCell ref="AK52:AK53"/>
    <mergeCell ref="AL52:AL53"/>
    <mergeCell ref="AM52:AM53"/>
    <mergeCell ref="AW52:AY52"/>
    <mergeCell ref="BA52:BC52"/>
    <mergeCell ref="BE52:BG52"/>
    <mergeCell ref="BI52:BK52"/>
    <mergeCell ref="BM52:BO52"/>
    <mergeCell ref="N52:O52"/>
    <mergeCell ref="N54:O54"/>
    <mergeCell ref="P54:S54"/>
    <mergeCell ref="AW55:AY55"/>
    <mergeCell ref="BA55:BC55"/>
    <mergeCell ref="BE55:BG55"/>
    <mergeCell ref="BI55:BK55"/>
    <mergeCell ref="BM55:BO55"/>
    <mergeCell ref="N53:O53"/>
    <mergeCell ref="AI54:AI55"/>
    <mergeCell ref="AJ54:AJ55"/>
    <mergeCell ref="AK54:AK55"/>
    <mergeCell ref="AL54:AL55"/>
    <mergeCell ref="AM54:AM55"/>
    <mergeCell ref="AW54:AY54"/>
    <mergeCell ref="BA54:BC54"/>
    <mergeCell ref="BE54:BG54"/>
    <mergeCell ref="AK56:AK57"/>
    <mergeCell ref="AL56:AL57"/>
    <mergeCell ref="AM56:AM57"/>
    <mergeCell ref="AW56:AY56"/>
    <mergeCell ref="BA56:BC56"/>
    <mergeCell ref="BE56:BG56"/>
    <mergeCell ref="BI56:BK56"/>
    <mergeCell ref="BI54:BK54"/>
    <mergeCell ref="BM54:BO54"/>
    <mergeCell ref="N57:R57"/>
    <mergeCell ref="AI58:AI59"/>
    <mergeCell ref="AJ58:AJ59"/>
    <mergeCell ref="AK58:AK59"/>
    <mergeCell ref="AL58:AL59"/>
    <mergeCell ref="AM58:AM59"/>
    <mergeCell ref="BM56:BO56"/>
    <mergeCell ref="AW57:AY57"/>
    <mergeCell ref="BA57:BC57"/>
    <mergeCell ref="BE57:BG57"/>
    <mergeCell ref="BI57:BK57"/>
    <mergeCell ref="BM57:BO57"/>
    <mergeCell ref="AW58:AY58"/>
    <mergeCell ref="BA58:BC58"/>
    <mergeCell ref="BE58:BG58"/>
    <mergeCell ref="BI58:BK58"/>
    <mergeCell ref="BM58:BO58"/>
    <mergeCell ref="AW59:AY59"/>
    <mergeCell ref="BA59:BC59"/>
    <mergeCell ref="BE59:BG59"/>
    <mergeCell ref="BI59:BK59"/>
    <mergeCell ref="BM59:BO59"/>
    <mergeCell ref="AI56:AI57"/>
    <mergeCell ref="AJ56:AJ57"/>
    <mergeCell ref="CH59:CM59"/>
    <mergeCell ref="N59:N60"/>
    <mergeCell ref="O59:P59"/>
    <mergeCell ref="Q59:Q60"/>
    <mergeCell ref="R59:R60"/>
    <mergeCell ref="AI60:AI61"/>
    <mergeCell ref="AJ60:AJ61"/>
    <mergeCell ref="AK60:AK61"/>
    <mergeCell ref="AL60:AL61"/>
    <mergeCell ref="AM60:AM61"/>
    <mergeCell ref="AW60:AY60"/>
    <mergeCell ref="BA60:BC60"/>
    <mergeCell ref="BE60:BG60"/>
    <mergeCell ref="BI60:BK60"/>
    <mergeCell ref="BM60:BO60"/>
    <mergeCell ref="AW61:AY61"/>
    <mergeCell ref="BA61:BC61"/>
    <mergeCell ref="BE61:BG61"/>
    <mergeCell ref="BI61:BK61"/>
    <mergeCell ref="BM61:BO61"/>
    <mergeCell ref="AR71:AT71"/>
    <mergeCell ref="N80:O80"/>
    <mergeCell ref="Q80:T80"/>
    <mergeCell ref="BA62:BC62"/>
    <mergeCell ref="BE62:BG62"/>
    <mergeCell ref="BI62:BK62"/>
    <mergeCell ref="BM62:BO62"/>
    <mergeCell ref="AW63:AY63"/>
    <mergeCell ref="BA63:BC63"/>
    <mergeCell ref="BE63:BG63"/>
    <mergeCell ref="BI63:BK63"/>
    <mergeCell ref="BM63:BO63"/>
    <mergeCell ref="AI62:AI63"/>
    <mergeCell ref="AJ62:AJ63"/>
    <mergeCell ref="AK62:AK63"/>
    <mergeCell ref="AL62:AL63"/>
    <mergeCell ref="AM62:AM63"/>
    <mergeCell ref="AW62:AY62"/>
    <mergeCell ref="Q81:R81"/>
    <mergeCell ref="S81:T81"/>
    <mergeCell ref="Q82:R82"/>
    <mergeCell ref="S82:T82"/>
    <mergeCell ref="Q83:R83"/>
    <mergeCell ref="S83:T83"/>
    <mergeCell ref="AJ67:AM67"/>
    <mergeCell ref="AJ68:AM68"/>
    <mergeCell ref="AJ69:AM69"/>
    <mergeCell ref="Q87:R87"/>
    <mergeCell ref="S87:T87"/>
    <mergeCell ref="Q88:R88"/>
    <mergeCell ref="S88:T88"/>
    <mergeCell ref="Q89:R89"/>
    <mergeCell ref="S89:T89"/>
    <mergeCell ref="Q84:R84"/>
    <mergeCell ref="S84:T84"/>
    <mergeCell ref="Q85:R85"/>
    <mergeCell ref="S85:T85"/>
    <mergeCell ref="Q86:R86"/>
    <mergeCell ref="S86:T86"/>
    <mergeCell ref="B139:J139"/>
    <mergeCell ref="C184:E184"/>
    <mergeCell ref="H184:J184"/>
    <mergeCell ref="N185:S186"/>
    <mergeCell ref="Q90:R90"/>
    <mergeCell ref="S90:T90"/>
    <mergeCell ref="Q91:R91"/>
    <mergeCell ref="S91:T91"/>
    <mergeCell ref="B94:J94"/>
    <mergeCell ref="B96:E96"/>
    <mergeCell ref="G96:J96"/>
  </mergeCells>
  <conditionalFormatting sqref="AP67:AS69 AP52:AS52 AP56:AS56 AP54:AS54 AP58:AS58 AP60:AS60 AP62:AS62">
    <cfRule type="cellIs" dxfId="23" priority="27" operator="equal">
      <formula>"x"</formula>
    </cfRule>
  </conditionalFormatting>
  <conditionalFormatting sqref="AP53:AS53 AP55:AS55 AP57:AS57 AP59:AS59 AP61:AS61 AP63:AS63">
    <cfRule type="cellIs" dxfId="22" priority="25" operator="equal">
      <formula>"X"</formula>
    </cfRule>
    <cfRule type="cellIs" dxfId="21" priority="26" operator="equal">
      <formula>"x"</formula>
    </cfRule>
  </conditionalFormatting>
  <conditionalFormatting sqref="AP38:AS42">
    <cfRule type="cellIs" dxfId="20" priority="20" operator="equal">
      <formula>4</formula>
    </cfRule>
    <cfRule type="cellIs" dxfId="19" priority="21" operator="equal">
      <formula>3</formula>
    </cfRule>
    <cfRule type="cellIs" dxfId="18" priority="22" operator="equal">
      <formula>2</formula>
    </cfRule>
    <cfRule type="cellIs" dxfId="17" priority="23" operator="equal">
      <formula>1</formula>
    </cfRule>
    <cfRule type="cellIs" dxfId="16" priority="24" operator="equal">
      <formula>"X"</formula>
    </cfRule>
  </conditionalFormatting>
  <conditionalFormatting sqref="AP47:AS49">
    <cfRule type="cellIs" dxfId="15" priority="10" operator="equal">
      <formula>4</formula>
    </cfRule>
    <cfRule type="cellIs" dxfId="14" priority="11" operator="equal">
      <formula>3</formula>
    </cfRule>
    <cfRule type="cellIs" dxfId="13" priority="12" operator="equal">
      <formula>2</formula>
    </cfRule>
    <cfRule type="cellIs" dxfId="12" priority="13" operator="equal">
      <formula>1</formula>
    </cfRule>
  </conditionalFormatting>
  <conditionalFormatting sqref="AP52:AS52 AP53:AR53 AP54:AS54 AP55:AR55 AP56:AS56 AP57:AR57 AP58:AS58 AP59:AR59 AP60:AS60 AP61:AR61 AP63:AR63 AP62:AS62">
    <cfRule type="cellIs" dxfId="11" priority="6" operator="equal">
      <formula>4</formula>
    </cfRule>
    <cfRule type="cellIs" dxfId="10" priority="7" operator="equal">
      <formula>3</formula>
    </cfRule>
    <cfRule type="cellIs" dxfId="9" priority="8" operator="equal">
      <formula>2</formula>
    </cfRule>
    <cfRule type="cellIs" dxfId="8" priority="9" operator="equal">
      <formula>1</formula>
    </cfRule>
  </conditionalFormatting>
  <conditionalFormatting sqref="AP67:AS68 AP69 AS69">
    <cfRule type="cellIs" dxfId="7" priority="4" operator="equal">
      <formula>1</formula>
    </cfRule>
  </conditionalFormatting>
  <conditionalFormatting sqref="AP67:AS68 AP69 AS69">
    <cfRule type="cellIs" dxfId="6" priority="3" operator="equal">
      <formula>2</formula>
    </cfRule>
  </conditionalFormatting>
  <conditionalFormatting sqref="AP67:AS68 AP69 AS69">
    <cfRule type="cellIs" dxfId="5" priority="2" operator="equal">
      <formula>3</formula>
    </cfRule>
  </conditionalFormatting>
  <conditionalFormatting sqref="AP67:AS68 AP69 AS69">
    <cfRule type="cellIs" dxfId="4" priority="1" operator="equal">
      <formula>4</formula>
    </cfRule>
  </conditionalFormatting>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sheetPr codeName="Hoja43"/>
  <dimension ref="A1:T421"/>
  <sheetViews>
    <sheetView showGridLines="0" showRowColHeaders="0" workbookViewId="0"/>
  </sheetViews>
  <sheetFormatPr baseColWidth="10" defaultColWidth="0" defaultRowHeight="10" customHeight="1" zeroHeight="1"/>
  <cols>
    <col min="1" max="1" width="3.26953125" style="2912" customWidth="1"/>
    <col min="2" max="2" width="42.453125" style="2912" customWidth="1"/>
    <col min="3" max="3" width="14.1796875" style="2912" customWidth="1"/>
    <col min="4" max="4" width="14.7265625" style="2912" customWidth="1"/>
    <col min="5" max="5" width="11.7265625" style="2912" bestFit="1" customWidth="1"/>
    <col min="6" max="7" width="17.81640625" style="2912" customWidth="1"/>
    <col min="8" max="8" width="15.81640625" style="2912" customWidth="1"/>
    <col min="9" max="9" width="14.1796875" style="2912" customWidth="1"/>
    <col min="10" max="10" width="2.81640625" style="2912" customWidth="1"/>
    <col min="11" max="11" width="4.26953125" style="2912" customWidth="1"/>
    <col min="12" max="12" width="14.7265625" style="2912" hidden="1" customWidth="1"/>
    <col min="13" max="13" width="14.1796875" style="2912" hidden="1" customWidth="1"/>
    <col min="14" max="20" width="0" style="2912" hidden="1" customWidth="1"/>
    <col min="21" max="16384" width="9.81640625" style="2912" hidden="1"/>
  </cols>
  <sheetData>
    <row r="1" spans="1:18" ht="10.5">
      <c r="A1" s="2910"/>
      <c r="B1" s="2911"/>
      <c r="C1" s="2911"/>
      <c r="D1" s="2911"/>
      <c r="E1" s="2911"/>
      <c r="F1" s="2911"/>
      <c r="M1" s="2913" t="s">
        <v>1815</v>
      </c>
      <c r="Q1" s="2913" t="s">
        <v>1816</v>
      </c>
    </row>
    <row r="2" spans="1:18" ht="10.5">
      <c r="A2" s="2910"/>
      <c r="B2" s="2911"/>
      <c r="C2" s="2911"/>
      <c r="D2" s="2911"/>
      <c r="E2" s="2911"/>
      <c r="F2" s="2911"/>
      <c r="M2" s="2912" t="str">
        <f ca="1">CELL("DIRECCION",A71)&amp;":"&amp;CELL("DIRECCION",A130)</f>
        <v>$A$71:$A$130</v>
      </c>
      <c r="O2" s="2912" t="str">
        <f ca="1">CELL("DIRECCION",A71)&amp;":"&amp;CELL("DIRECCION",F118)</f>
        <v>$A$71:$F$118</v>
      </c>
      <c r="Q2" s="2912">
        <v>4</v>
      </c>
      <c r="R2" s="2912" t="str">
        <f>IF(ISERROR(VLOOKUP(Q2,$Q$3:$R$3,2,0))=TRUE,"",VLOOKUP(Q2,$Q$3:$R$3,2,0))</f>
        <v/>
      </c>
    </row>
    <row r="3" spans="1:18">
      <c r="Q3" s="2912">
        <v>2</v>
      </c>
      <c r="R3" s="2912" t="str">
        <f ca="1">CELL("DIRECCION",J90)</f>
        <v>$J$90</v>
      </c>
    </row>
    <row r="4" spans="1:18" s="2918" customFormat="1" ht="11.5">
      <c r="A4" s="2914" t="s">
        <v>1817</v>
      </c>
      <c r="B4" s="2915" t="s">
        <v>1818</v>
      </c>
      <c r="C4" s="2916"/>
      <c r="D4" s="2916"/>
      <c r="E4" s="2916"/>
      <c r="F4" s="2916"/>
      <c r="G4" s="2916"/>
      <c r="H4" s="2916"/>
      <c r="I4" s="2916"/>
      <c r="J4" s="2916"/>
      <c r="K4" s="2917"/>
    </row>
    <row r="5" spans="1:18" s="2918" customFormat="1" ht="11.5">
      <c r="A5" s="2919"/>
      <c r="B5" s="2920"/>
      <c r="C5" s="2917"/>
      <c r="D5" s="2917"/>
      <c r="E5" s="2917"/>
      <c r="F5" s="2917"/>
      <c r="G5" s="2917"/>
      <c r="H5" s="2917"/>
      <c r="I5" s="2917"/>
      <c r="J5" s="2917"/>
      <c r="K5" s="2917"/>
    </row>
    <row r="6" spans="1:18" s="2918" customFormat="1" ht="11.5">
      <c r="A6" s="2919"/>
      <c r="B6" s="2920"/>
      <c r="C6" s="2917"/>
      <c r="D6" s="2917"/>
      <c r="E6" s="2917"/>
      <c r="F6" s="2917"/>
      <c r="G6" s="2917"/>
      <c r="H6" s="2917"/>
      <c r="I6" s="2917"/>
      <c r="J6" s="2917"/>
      <c r="K6" s="2917"/>
    </row>
    <row r="7" spans="1:18" s="2918" customFormat="1" ht="11.5">
      <c r="A7" s="2919"/>
      <c r="B7" s="2921"/>
      <c r="C7" s="2917"/>
      <c r="D7" s="2917"/>
      <c r="E7" s="2917"/>
      <c r="F7" s="2917"/>
      <c r="G7" s="2917"/>
      <c r="H7" s="2917"/>
      <c r="I7" s="2917"/>
      <c r="J7" s="2917"/>
      <c r="K7" s="2917"/>
    </row>
    <row r="8" spans="1:18" s="2918" customFormat="1" ht="11.5">
      <c r="A8" s="2919"/>
      <c r="B8" s="2922"/>
      <c r="C8" s="2923"/>
      <c r="D8" s="2923"/>
      <c r="E8" s="2923"/>
      <c r="F8" s="2923"/>
      <c r="G8" s="2923"/>
      <c r="H8" s="2923"/>
      <c r="I8" s="2923"/>
      <c r="J8" s="2923"/>
      <c r="K8" s="2917"/>
    </row>
    <row r="9" spans="1:18" s="2918" customFormat="1" ht="11.5">
      <c r="A9" s="2924" t="s">
        <v>1819</v>
      </c>
      <c r="B9" s="2925" t="s">
        <v>1820</v>
      </c>
      <c r="C9" s="2926"/>
      <c r="D9" s="2926"/>
      <c r="E9" s="2926"/>
      <c r="F9" s="2927"/>
      <c r="G9" s="2928"/>
      <c r="H9" s="2929"/>
      <c r="I9" s="2930"/>
      <c r="J9" s="2931"/>
      <c r="K9" s="2917"/>
    </row>
    <row r="10" spans="1:18" s="2918" customFormat="1" ht="14.5">
      <c r="A10" s="2932"/>
      <c r="B10" s="2933" t="s">
        <v>1821</v>
      </c>
      <c r="C10" s="2926"/>
      <c r="D10" s="2926"/>
      <c r="E10" s="2926"/>
      <c r="F10" s="2934" t="s">
        <v>1822</v>
      </c>
      <c r="G10" s="2935"/>
      <c r="H10" s="2926"/>
      <c r="I10" s="2926"/>
      <c r="J10" s="2931"/>
      <c r="K10"/>
    </row>
    <row r="11" spans="1:18" s="2918" customFormat="1" ht="14.5">
      <c r="A11" s="2932"/>
      <c r="B11" s="2936"/>
      <c r="C11" s="2926"/>
      <c r="D11" s="2926"/>
      <c r="E11" s="2926"/>
      <c r="F11" s="2926"/>
      <c r="G11" s="2926"/>
      <c r="H11" s="2926"/>
      <c r="I11" s="2926"/>
      <c r="J11" s="2931"/>
      <c r="K11"/>
    </row>
    <row r="12" spans="1:18" ht="23">
      <c r="A12" s="2937"/>
      <c r="B12" s="2938" t="s">
        <v>933</v>
      </c>
      <c r="C12" s="2939" t="s">
        <v>1823</v>
      </c>
      <c r="D12" s="2939" t="s">
        <v>1824</v>
      </c>
      <c r="E12" s="2939" t="s">
        <v>1825</v>
      </c>
      <c r="F12" s="2939" t="s">
        <v>1826</v>
      </c>
      <c r="G12" s="2939" t="s">
        <v>1827</v>
      </c>
      <c r="H12" s="2939" t="s">
        <v>1828</v>
      </c>
      <c r="I12" s="2939" t="s">
        <v>25</v>
      </c>
      <c r="J12" s="2940"/>
      <c r="K12"/>
    </row>
    <row r="13" spans="1:18" s="2918" customFormat="1" ht="14.5">
      <c r="A13" s="2941">
        <v>111</v>
      </c>
      <c r="B13" s="2942"/>
      <c r="C13" s="2943"/>
      <c r="D13" s="2944"/>
      <c r="E13" s="2945"/>
      <c r="F13" s="2943"/>
      <c r="G13" s="2945"/>
      <c r="H13" s="2946"/>
      <c r="I13" s="2947"/>
      <c r="J13" s="2940"/>
      <c r="K13"/>
    </row>
    <row r="14" spans="1:18" ht="14.5">
      <c r="A14" s="2941">
        <v>112</v>
      </c>
      <c r="B14" s="2948"/>
      <c r="C14" s="2949"/>
      <c r="D14" s="2950"/>
      <c r="E14" s="2951"/>
      <c r="F14" s="2949"/>
      <c r="G14" s="2951"/>
      <c r="H14" s="2952"/>
      <c r="I14" s="2953"/>
      <c r="J14" s="2940"/>
      <c r="K14"/>
    </row>
    <row r="15" spans="1:18" ht="14.5">
      <c r="A15" s="2941">
        <v>113</v>
      </c>
      <c r="B15" s="2948"/>
      <c r="C15" s="2949"/>
      <c r="D15" s="2950"/>
      <c r="E15" s="2951"/>
      <c r="F15" s="2949"/>
      <c r="G15" s="2951"/>
      <c r="H15" s="2952"/>
      <c r="I15" s="2953"/>
      <c r="J15" s="2940"/>
      <c r="K15"/>
    </row>
    <row r="16" spans="1:18" ht="14.5">
      <c r="A16" s="2941">
        <v>114</v>
      </c>
      <c r="B16" s="2948"/>
      <c r="C16" s="2954"/>
      <c r="D16" s="2955"/>
      <c r="E16" s="2956"/>
      <c r="F16" s="2954"/>
      <c r="G16" s="2956"/>
      <c r="H16" s="2952"/>
      <c r="I16" s="2953"/>
      <c r="J16" s="2940"/>
      <c r="K16"/>
    </row>
    <row r="17" spans="1:11" ht="14.5">
      <c r="A17" s="2941">
        <v>115</v>
      </c>
      <c r="B17" s="2948"/>
      <c r="C17" s="2954"/>
      <c r="D17" s="2955"/>
      <c r="E17" s="2956"/>
      <c r="F17" s="2954"/>
      <c r="G17" s="2956"/>
      <c r="H17" s="2952"/>
      <c r="I17" s="2953"/>
      <c r="J17" s="2940"/>
      <c r="K17"/>
    </row>
    <row r="18" spans="1:11" ht="14.5">
      <c r="A18" s="2941">
        <v>116</v>
      </c>
      <c r="B18" s="2948"/>
      <c r="C18" s="2954"/>
      <c r="D18" s="2955"/>
      <c r="E18" s="2956"/>
      <c r="F18" s="2954"/>
      <c r="G18" s="2956"/>
      <c r="H18" s="2952"/>
      <c r="I18" s="2953"/>
      <c r="J18" s="2940"/>
      <c r="K18"/>
    </row>
    <row r="19" spans="1:11" ht="14.5">
      <c r="A19" s="2941">
        <v>117</v>
      </c>
      <c r="B19" s="2948"/>
      <c r="C19" s="2954"/>
      <c r="D19" s="2955"/>
      <c r="E19" s="2956"/>
      <c r="F19" s="2954"/>
      <c r="G19" s="2956"/>
      <c r="H19" s="2952"/>
      <c r="I19" s="2953"/>
      <c r="J19" s="2940"/>
      <c r="K19"/>
    </row>
    <row r="20" spans="1:11" ht="14.5">
      <c r="A20" s="2941">
        <v>118</v>
      </c>
      <c r="B20" s="2948"/>
      <c r="C20" s="2954"/>
      <c r="D20" s="2955"/>
      <c r="E20" s="2956"/>
      <c r="F20" s="2954"/>
      <c r="G20" s="2956"/>
      <c r="H20" s="2952"/>
      <c r="I20" s="2953"/>
      <c r="J20" s="2940"/>
      <c r="K20"/>
    </row>
    <row r="21" spans="1:11" ht="14.5">
      <c r="A21" s="2941">
        <v>119</v>
      </c>
      <c r="B21" s="2948"/>
      <c r="C21" s="2954"/>
      <c r="D21" s="2955"/>
      <c r="E21" s="2956"/>
      <c r="F21" s="2954"/>
      <c r="G21" s="2956"/>
      <c r="H21" s="2952"/>
      <c r="I21" s="2953"/>
      <c r="J21" s="2957"/>
      <c r="K21"/>
    </row>
    <row r="22" spans="1:11" ht="14.5">
      <c r="A22" s="2941">
        <v>120</v>
      </c>
      <c r="B22" s="2948"/>
      <c r="C22" s="2954"/>
      <c r="D22" s="2955"/>
      <c r="E22" s="2956"/>
      <c r="F22" s="2954"/>
      <c r="G22" s="2956"/>
      <c r="H22" s="2952"/>
      <c r="I22" s="2953"/>
      <c r="J22" s="2957"/>
      <c r="K22"/>
    </row>
    <row r="23" spans="1:11" ht="14.5">
      <c r="A23" s="2941">
        <v>121</v>
      </c>
      <c r="B23" s="2948"/>
      <c r="C23" s="2954"/>
      <c r="D23" s="2955"/>
      <c r="E23" s="2956"/>
      <c r="F23" s="2954"/>
      <c r="G23" s="2956"/>
      <c r="H23" s="2952"/>
      <c r="I23" s="2953"/>
      <c r="J23" s="2957"/>
      <c r="K23"/>
    </row>
    <row r="24" spans="1:11" ht="14.5">
      <c r="A24" s="2941">
        <v>122</v>
      </c>
      <c r="B24" s="2948"/>
      <c r="C24" s="2954"/>
      <c r="D24" s="2955"/>
      <c r="E24" s="2956"/>
      <c r="F24" s="2954"/>
      <c r="G24" s="2956"/>
      <c r="H24" s="2952"/>
      <c r="I24" s="2953"/>
      <c r="J24" s="2957"/>
      <c r="K24"/>
    </row>
    <row r="25" spans="1:11" ht="14.5">
      <c r="A25" s="2941">
        <v>123</v>
      </c>
      <c r="B25" s="2948"/>
      <c r="C25" s="2954"/>
      <c r="D25" s="2955"/>
      <c r="E25" s="2956"/>
      <c r="F25" s="2954"/>
      <c r="G25" s="2956"/>
      <c r="H25" s="2952"/>
      <c r="I25" s="2953"/>
      <c r="J25" s="2957"/>
      <c r="K25"/>
    </row>
    <row r="26" spans="1:11" ht="14.5">
      <c r="A26" s="2941">
        <v>124</v>
      </c>
      <c r="B26" s="2948"/>
      <c r="C26" s="2954"/>
      <c r="D26" s="2955"/>
      <c r="E26" s="2956"/>
      <c r="F26" s="2954"/>
      <c r="G26" s="2956"/>
      <c r="H26" s="2952"/>
      <c r="I26" s="2953"/>
      <c r="J26" s="2957"/>
      <c r="K26"/>
    </row>
    <row r="27" spans="1:11" ht="14.5">
      <c r="A27" s="2941">
        <v>125</v>
      </c>
      <c r="B27" s="2948"/>
      <c r="C27" s="2954"/>
      <c r="D27" s="2955"/>
      <c r="E27" s="2956"/>
      <c r="F27" s="2954"/>
      <c r="G27" s="2956"/>
      <c r="H27" s="2952"/>
      <c r="I27" s="2953"/>
      <c r="J27" s="2957"/>
      <c r="K27"/>
    </row>
    <row r="28" spans="1:11" ht="14.5">
      <c r="A28" s="2941"/>
      <c r="B28" s="2958" t="s">
        <v>1829</v>
      </c>
      <c r="C28" s="2959">
        <f>SUM(C13:C27)</f>
        <v>0</v>
      </c>
      <c r="D28" s="2960">
        <f>SUM(D13:D27)</f>
        <v>0</v>
      </c>
      <c r="E28" s="2959"/>
      <c r="F28" s="2959">
        <f>SUM(F13:F27)</f>
        <v>0</v>
      </c>
      <c r="G28" s="2959">
        <f>SUM(G13:G27)</f>
        <v>0</v>
      </c>
      <c r="H28" s="2961">
        <f>SUM(H13:H27)</f>
        <v>0</v>
      </c>
      <c r="I28" s="2961">
        <f>SUM(I13:I27)</f>
        <v>0</v>
      </c>
      <c r="J28" s="2962"/>
      <c r="K28"/>
    </row>
    <row r="29" spans="1:11" s="2918" customFormat="1" ht="14.5">
      <c r="A29" s="2963"/>
      <c r="B29" s="2964"/>
      <c r="C29" s="2926"/>
      <c r="D29" s="2926"/>
      <c r="E29" s="2926"/>
      <c r="F29" s="2965"/>
      <c r="G29" s="2966"/>
      <c r="H29" s="2967"/>
      <c r="I29" s="2930"/>
      <c r="J29" s="2931"/>
      <c r="K29"/>
    </row>
    <row r="30" spans="1:11" s="2918" customFormat="1" ht="14.5">
      <c r="A30" s="2968"/>
      <c r="B30" s="2933" t="s">
        <v>1821</v>
      </c>
      <c r="C30" s="2926"/>
      <c r="D30" s="2926"/>
      <c r="E30" s="2926"/>
      <c r="F30" s="2934" t="s">
        <v>1822</v>
      </c>
      <c r="G30" s="2935"/>
      <c r="H30" s="2926"/>
      <c r="I30" s="2926"/>
      <c r="J30" s="2931"/>
      <c r="K30"/>
    </row>
    <row r="31" spans="1:11" s="2918" customFormat="1" ht="14.5">
      <c r="A31" s="2968"/>
      <c r="B31" s="2936"/>
      <c r="C31" s="2926"/>
      <c r="D31" s="2926"/>
      <c r="E31" s="2926"/>
      <c r="F31" s="2926"/>
      <c r="G31" s="2926"/>
      <c r="H31" s="2926"/>
      <c r="I31" s="2926"/>
      <c r="J31" s="2931"/>
      <c r="K31"/>
    </row>
    <row r="32" spans="1:11" ht="23">
      <c r="A32" s="2968"/>
      <c r="B32" s="2938" t="s">
        <v>933</v>
      </c>
      <c r="C32" s="2939" t="s">
        <v>1823</v>
      </c>
      <c r="D32" s="2939" t="s">
        <v>1824</v>
      </c>
      <c r="E32" s="2939" t="s">
        <v>1825</v>
      </c>
      <c r="F32" s="2939" t="s">
        <v>1826</v>
      </c>
      <c r="G32" s="2939" t="s">
        <v>1827</v>
      </c>
      <c r="H32" s="2939" t="s">
        <v>1828</v>
      </c>
      <c r="I32" s="2939" t="s">
        <v>25</v>
      </c>
      <c r="J32" s="2940"/>
      <c r="K32"/>
    </row>
    <row r="33" spans="1:11" s="2918" customFormat="1" ht="14.5">
      <c r="A33" s="2941">
        <v>221</v>
      </c>
      <c r="B33" s="2942"/>
      <c r="C33" s="2943"/>
      <c r="D33" s="2944"/>
      <c r="E33" s="2945"/>
      <c r="F33" s="2943"/>
      <c r="G33" s="2945"/>
      <c r="H33" s="2946"/>
      <c r="I33" s="2947"/>
      <c r="J33" s="2940"/>
      <c r="K33"/>
    </row>
    <row r="34" spans="1:11" ht="14.5">
      <c r="A34" s="2941">
        <v>222</v>
      </c>
      <c r="B34" s="2948"/>
      <c r="C34" s="2949"/>
      <c r="D34" s="2950"/>
      <c r="E34" s="2951"/>
      <c r="F34" s="2949"/>
      <c r="G34" s="2951"/>
      <c r="H34" s="2952"/>
      <c r="I34" s="2953"/>
      <c r="J34" s="2940"/>
      <c r="K34"/>
    </row>
    <row r="35" spans="1:11" ht="14.5">
      <c r="A35" s="2941">
        <v>223</v>
      </c>
      <c r="B35" s="2948"/>
      <c r="C35" s="2949"/>
      <c r="D35" s="2950"/>
      <c r="E35" s="2951"/>
      <c r="F35" s="2949"/>
      <c r="G35" s="2951"/>
      <c r="H35" s="2952"/>
      <c r="I35" s="2953"/>
      <c r="J35" s="2940"/>
      <c r="K35"/>
    </row>
    <row r="36" spans="1:11" ht="14.5">
      <c r="A36" s="2941">
        <v>224</v>
      </c>
      <c r="B36" s="2948"/>
      <c r="C36" s="2954"/>
      <c r="D36" s="2955"/>
      <c r="E36" s="2956"/>
      <c r="F36" s="2954"/>
      <c r="G36" s="2956"/>
      <c r="H36" s="2952"/>
      <c r="I36" s="2953"/>
      <c r="J36" s="2940"/>
      <c r="K36"/>
    </row>
    <row r="37" spans="1:11" ht="14.5">
      <c r="A37" s="2941">
        <v>225</v>
      </c>
      <c r="B37" s="2948"/>
      <c r="C37" s="2954"/>
      <c r="D37" s="2955"/>
      <c r="E37" s="2956"/>
      <c r="F37" s="2954"/>
      <c r="G37" s="2956"/>
      <c r="H37" s="2952"/>
      <c r="I37" s="2953"/>
      <c r="J37" s="2940"/>
      <c r="K37"/>
    </row>
    <row r="38" spans="1:11" ht="14.5">
      <c r="A38" s="2941">
        <v>226</v>
      </c>
      <c r="B38" s="2948"/>
      <c r="C38" s="2954"/>
      <c r="D38" s="2955"/>
      <c r="E38" s="2956"/>
      <c r="F38" s="2954"/>
      <c r="G38" s="2956"/>
      <c r="H38" s="2952"/>
      <c r="I38" s="2953"/>
      <c r="J38" s="2940"/>
      <c r="K38"/>
    </row>
    <row r="39" spans="1:11" ht="14.5">
      <c r="A39" s="2941">
        <v>227</v>
      </c>
      <c r="B39" s="2948"/>
      <c r="C39" s="2954"/>
      <c r="D39" s="2955"/>
      <c r="E39" s="2956"/>
      <c r="F39" s="2954"/>
      <c r="G39" s="2956"/>
      <c r="H39" s="2952"/>
      <c r="I39" s="2953"/>
      <c r="J39" s="2940"/>
      <c r="K39"/>
    </row>
    <row r="40" spans="1:11" ht="14.5">
      <c r="A40" s="2941">
        <v>228</v>
      </c>
      <c r="B40" s="2948"/>
      <c r="C40" s="2954"/>
      <c r="D40" s="2955"/>
      <c r="E40" s="2956"/>
      <c r="F40" s="2954"/>
      <c r="G40" s="2956"/>
      <c r="H40" s="2952"/>
      <c r="I40" s="2953"/>
      <c r="J40" s="2940"/>
      <c r="K40"/>
    </row>
    <row r="41" spans="1:11" ht="14.5">
      <c r="A41" s="2941">
        <v>229</v>
      </c>
      <c r="B41" s="2948"/>
      <c r="C41" s="2954"/>
      <c r="D41" s="2955"/>
      <c r="E41" s="2956"/>
      <c r="F41" s="2954"/>
      <c r="G41" s="2956"/>
      <c r="H41" s="2952"/>
      <c r="I41" s="2953"/>
      <c r="J41" s="2957"/>
      <c r="K41"/>
    </row>
    <row r="42" spans="1:11" ht="14.5">
      <c r="A42" s="2941">
        <v>230</v>
      </c>
      <c r="B42" s="2948"/>
      <c r="C42" s="2954"/>
      <c r="D42" s="2955"/>
      <c r="E42" s="2956"/>
      <c r="F42" s="2954"/>
      <c r="G42" s="2956"/>
      <c r="H42" s="2952"/>
      <c r="I42" s="2953"/>
      <c r="J42" s="2957"/>
      <c r="K42"/>
    </row>
    <row r="43" spans="1:11" ht="14.5">
      <c r="A43" s="2941">
        <v>231</v>
      </c>
      <c r="B43" s="2948"/>
      <c r="C43" s="2954"/>
      <c r="D43" s="2955"/>
      <c r="E43" s="2956"/>
      <c r="F43" s="2954"/>
      <c r="G43" s="2956"/>
      <c r="H43" s="2952"/>
      <c r="I43" s="2953"/>
      <c r="J43" s="2957"/>
      <c r="K43"/>
    </row>
    <row r="44" spans="1:11" ht="14.5">
      <c r="A44" s="2941">
        <v>232</v>
      </c>
      <c r="B44" s="2948"/>
      <c r="C44" s="2954"/>
      <c r="D44" s="2955"/>
      <c r="E44" s="2956"/>
      <c r="F44" s="2954"/>
      <c r="G44" s="2956"/>
      <c r="H44" s="2952"/>
      <c r="I44" s="2953"/>
      <c r="J44" s="2957"/>
      <c r="K44"/>
    </row>
    <row r="45" spans="1:11" ht="14.5">
      <c r="A45" s="2941">
        <v>233</v>
      </c>
      <c r="B45" s="2948"/>
      <c r="C45" s="2954"/>
      <c r="D45" s="2955"/>
      <c r="E45" s="2956"/>
      <c r="F45" s="2954"/>
      <c r="G45" s="2956"/>
      <c r="H45" s="2952"/>
      <c r="I45" s="2953"/>
      <c r="J45" s="2957"/>
      <c r="K45"/>
    </row>
    <row r="46" spans="1:11" ht="14.5">
      <c r="A46" s="2941">
        <v>234</v>
      </c>
      <c r="B46" s="2948"/>
      <c r="C46" s="2954"/>
      <c r="D46" s="2955"/>
      <c r="E46" s="2956"/>
      <c r="F46" s="2954"/>
      <c r="G46" s="2956"/>
      <c r="H46" s="2952"/>
      <c r="I46" s="2953"/>
      <c r="J46" s="2957"/>
      <c r="K46"/>
    </row>
    <row r="47" spans="1:11" ht="14.5">
      <c r="A47" s="2941">
        <v>235</v>
      </c>
      <c r="B47" s="2948"/>
      <c r="C47" s="2954"/>
      <c r="D47" s="2955"/>
      <c r="E47" s="2956"/>
      <c r="F47" s="2954"/>
      <c r="G47" s="2956"/>
      <c r="H47" s="2952"/>
      <c r="I47" s="2953"/>
      <c r="J47" s="2957"/>
      <c r="K47"/>
    </row>
    <row r="48" spans="1:11" ht="14.5">
      <c r="A48" s="2941"/>
      <c r="B48" s="2958" t="s">
        <v>1829</v>
      </c>
      <c r="C48" s="2959">
        <f>SUM(C33:C47)</f>
        <v>0</v>
      </c>
      <c r="D48" s="2960">
        <f>SUM(D33:D47)</f>
        <v>0</v>
      </c>
      <c r="E48" s="2959"/>
      <c r="F48" s="2959">
        <f>SUM(F33:F47)</f>
        <v>0</v>
      </c>
      <c r="G48" s="2959">
        <f>SUM(G33:G47)</f>
        <v>0</v>
      </c>
      <c r="H48" s="2961">
        <f>SUM(H33:H47)</f>
        <v>0</v>
      </c>
      <c r="I48" s="2961">
        <f>SUM(I33:I47)</f>
        <v>0</v>
      </c>
      <c r="J48" s="2962"/>
      <c r="K48"/>
    </row>
    <row r="49" spans="1:11" s="2918" customFormat="1" ht="14.5">
      <c r="A49" s="2963"/>
      <c r="B49" s="2964"/>
      <c r="C49" s="2926"/>
      <c r="D49" s="2926"/>
      <c r="E49" s="2926"/>
      <c r="F49" s="2965"/>
      <c r="G49" s="2966"/>
      <c r="H49" s="2967"/>
      <c r="I49" s="2930"/>
      <c r="J49" s="2931"/>
      <c r="K49"/>
    </row>
    <row r="50" spans="1:11" s="2918" customFormat="1" ht="14.5">
      <c r="A50" s="2968"/>
      <c r="B50" s="2933" t="s">
        <v>1821</v>
      </c>
      <c r="C50" s="2926"/>
      <c r="D50" s="2926"/>
      <c r="E50" s="2926"/>
      <c r="F50" s="2934" t="s">
        <v>1822</v>
      </c>
      <c r="G50" s="2935"/>
      <c r="H50" s="2926"/>
      <c r="I50" s="2926"/>
      <c r="J50" s="2931"/>
      <c r="K50"/>
    </row>
    <row r="51" spans="1:11" s="2918" customFormat="1" ht="14.5">
      <c r="A51" s="2968"/>
      <c r="B51" s="2936"/>
      <c r="C51" s="2926"/>
      <c r="D51" s="2926"/>
      <c r="E51" s="2926"/>
      <c r="F51" s="2926"/>
      <c r="G51" s="2926"/>
      <c r="H51" s="2926"/>
      <c r="I51" s="2926"/>
      <c r="J51" s="2931"/>
      <c r="K51"/>
    </row>
    <row r="52" spans="1:11" ht="23">
      <c r="A52" s="2968"/>
      <c r="B52" s="2938" t="s">
        <v>933</v>
      </c>
      <c r="C52" s="2939" t="s">
        <v>1823</v>
      </c>
      <c r="D52" s="2939" t="s">
        <v>1824</v>
      </c>
      <c r="E52" s="2939" t="s">
        <v>1825</v>
      </c>
      <c r="F52" s="2939" t="s">
        <v>1826</v>
      </c>
      <c r="G52" s="2939" t="s">
        <v>1827</v>
      </c>
      <c r="H52" s="2939" t="s">
        <v>1828</v>
      </c>
      <c r="I52" s="2939" t="s">
        <v>25</v>
      </c>
      <c r="J52" s="2940"/>
      <c r="K52"/>
    </row>
    <row r="53" spans="1:11" s="2918" customFormat="1" ht="14.5">
      <c r="A53" s="2941">
        <v>331</v>
      </c>
      <c r="B53" s="2942"/>
      <c r="C53" s="2943"/>
      <c r="D53" s="2944"/>
      <c r="E53" s="2945"/>
      <c r="F53" s="2943"/>
      <c r="G53" s="2945"/>
      <c r="H53" s="2946"/>
      <c r="I53" s="2947"/>
      <c r="J53" s="2940"/>
      <c r="K53"/>
    </row>
    <row r="54" spans="1:11" ht="14.5">
      <c r="A54" s="2941">
        <v>332</v>
      </c>
      <c r="B54" s="2948"/>
      <c r="C54" s="2949"/>
      <c r="D54" s="2950"/>
      <c r="E54" s="2951"/>
      <c r="F54" s="2949"/>
      <c r="G54" s="2951"/>
      <c r="H54" s="2952"/>
      <c r="I54" s="2953"/>
      <c r="J54" s="2940"/>
      <c r="K54"/>
    </row>
    <row r="55" spans="1:11" ht="14.5">
      <c r="A55" s="2941">
        <v>333</v>
      </c>
      <c r="B55" s="2948"/>
      <c r="C55" s="2949"/>
      <c r="D55" s="2950"/>
      <c r="E55" s="2951"/>
      <c r="F55" s="2949"/>
      <c r="G55" s="2951"/>
      <c r="H55" s="2952"/>
      <c r="I55" s="2953"/>
      <c r="J55" s="2940"/>
      <c r="K55"/>
    </row>
    <row r="56" spans="1:11" ht="14.5">
      <c r="A56" s="2941">
        <v>334</v>
      </c>
      <c r="B56" s="2948"/>
      <c r="C56" s="2954"/>
      <c r="D56" s="2955"/>
      <c r="E56" s="2956"/>
      <c r="F56" s="2954"/>
      <c r="G56" s="2956"/>
      <c r="H56" s="2952"/>
      <c r="I56" s="2953"/>
      <c r="J56" s="2940"/>
      <c r="K56"/>
    </row>
    <row r="57" spans="1:11" ht="14.5">
      <c r="A57" s="2941">
        <v>335</v>
      </c>
      <c r="B57" s="2948"/>
      <c r="C57" s="2954"/>
      <c r="D57" s="2955"/>
      <c r="E57" s="2956"/>
      <c r="F57" s="2954"/>
      <c r="G57" s="2956"/>
      <c r="H57" s="2952"/>
      <c r="I57" s="2953"/>
      <c r="J57" s="2940"/>
      <c r="K57"/>
    </row>
    <row r="58" spans="1:11" ht="14.5">
      <c r="A58" s="2941">
        <v>336</v>
      </c>
      <c r="B58" s="2948"/>
      <c r="C58" s="2954"/>
      <c r="D58" s="2955"/>
      <c r="E58" s="2956"/>
      <c r="F58" s="2954"/>
      <c r="G58" s="2956"/>
      <c r="H58" s="2952"/>
      <c r="I58" s="2953"/>
      <c r="J58" s="2940"/>
      <c r="K58"/>
    </row>
    <row r="59" spans="1:11" ht="14.5">
      <c r="A59" s="2941">
        <v>337</v>
      </c>
      <c r="B59" s="2948"/>
      <c r="C59" s="2954"/>
      <c r="D59" s="2955"/>
      <c r="E59" s="2956"/>
      <c r="F59" s="2954"/>
      <c r="G59" s="2956"/>
      <c r="H59" s="2952"/>
      <c r="I59" s="2953"/>
      <c r="J59" s="2940"/>
      <c r="K59"/>
    </row>
    <row r="60" spans="1:11" ht="14.5">
      <c r="A60" s="2941">
        <v>338</v>
      </c>
      <c r="B60" s="2948"/>
      <c r="C60" s="2954"/>
      <c r="D60" s="2955"/>
      <c r="E60" s="2956"/>
      <c r="F60" s="2954"/>
      <c r="G60" s="2956"/>
      <c r="H60" s="2952"/>
      <c r="I60" s="2953"/>
      <c r="J60" s="2940"/>
      <c r="K60"/>
    </row>
    <row r="61" spans="1:11" ht="14.5">
      <c r="A61" s="2941">
        <v>339</v>
      </c>
      <c r="B61" s="2948"/>
      <c r="C61" s="2954"/>
      <c r="D61" s="2955"/>
      <c r="E61" s="2956"/>
      <c r="F61" s="2954"/>
      <c r="G61" s="2956"/>
      <c r="H61" s="2952"/>
      <c r="I61" s="2953"/>
      <c r="J61" s="2957"/>
      <c r="K61"/>
    </row>
    <row r="62" spans="1:11" ht="14.5">
      <c r="A62" s="2941">
        <v>340</v>
      </c>
      <c r="B62" s="2948"/>
      <c r="C62" s="2954"/>
      <c r="D62" s="2955"/>
      <c r="E62" s="2956"/>
      <c r="F62" s="2954"/>
      <c r="G62" s="2956"/>
      <c r="H62" s="2952"/>
      <c r="I62" s="2953"/>
      <c r="J62" s="2957"/>
      <c r="K62"/>
    </row>
    <row r="63" spans="1:11" ht="14.5">
      <c r="A63" s="2941">
        <v>341</v>
      </c>
      <c r="B63" s="2948"/>
      <c r="C63" s="2954"/>
      <c r="D63" s="2955"/>
      <c r="E63" s="2956"/>
      <c r="F63" s="2954"/>
      <c r="G63" s="2956"/>
      <c r="H63" s="2952"/>
      <c r="I63" s="2953"/>
      <c r="J63" s="2957"/>
      <c r="K63"/>
    </row>
    <row r="64" spans="1:11" ht="14.5">
      <c r="A64" s="2941">
        <v>342</v>
      </c>
      <c r="B64" s="2948"/>
      <c r="C64" s="2954"/>
      <c r="D64" s="2955"/>
      <c r="E64" s="2956"/>
      <c r="F64" s="2954"/>
      <c r="G64" s="2956"/>
      <c r="H64" s="2952"/>
      <c r="I64" s="2953"/>
      <c r="J64" s="2957"/>
      <c r="K64"/>
    </row>
    <row r="65" spans="1:11" ht="14.5">
      <c r="A65" s="2941">
        <v>343</v>
      </c>
      <c r="B65" s="2948"/>
      <c r="C65" s="2954"/>
      <c r="D65" s="2955"/>
      <c r="E65" s="2956"/>
      <c r="F65" s="2954"/>
      <c r="G65" s="2956"/>
      <c r="H65" s="2952"/>
      <c r="I65" s="2953"/>
      <c r="J65" s="2957"/>
      <c r="K65"/>
    </row>
    <row r="66" spans="1:11" ht="14.5">
      <c r="A66" s="2941">
        <v>344</v>
      </c>
      <c r="B66" s="2948"/>
      <c r="C66" s="2954"/>
      <c r="D66" s="2955"/>
      <c r="E66" s="2956"/>
      <c r="F66" s="2954"/>
      <c r="G66" s="2956"/>
      <c r="H66" s="2952"/>
      <c r="I66" s="2953"/>
      <c r="J66" s="2957"/>
      <c r="K66"/>
    </row>
    <row r="67" spans="1:11" ht="14.5">
      <c r="A67" s="2941">
        <v>345</v>
      </c>
      <c r="B67" s="2948"/>
      <c r="C67" s="2954"/>
      <c r="D67" s="2955"/>
      <c r="E67" s="2956"/>
      <c r="F67" s="2954"/>
      <c r="G67" s="2956"/>
      <c r="H67" s="2952"/>
      <c r="I67" s="2953"/>
      <c r="J67" s="2957"/>
      <c r="K67"/>
    </row>
    <row r="68" spans="1:11" ht="14.5">
      <c r="A68" s="2969"/>
      <c r="B68" s="2958" t="s">
        <v>1829</v>
      </c>
      <c r="C68" s="2959">
        <f>SUM(C53:C67)</f>
        <v>0</v>
      </c>
      <c r="D68" s="2960">
        <f>SUM(D53:D67)</f>
        <v>0</v>
      </c>
      <c r="E68" s="2959"/>
      <c r="F68" s="2959">
        <f>SUM(F53:F67)</f>
        <v>0</v>
      </c>
      <c r="G68" s="2959">
        <f>SUM(G53:G67)</f>
        <v>0</v>
      </c>
      <c r="H68" s="2961">
        <f>SUM(H53:H67)</f>
        <v>0</v>
      </c>
      <c r="I68" s="2961">
        <f>SUM(I53:I67)</f>
        <v>0</v>
      </c>
      <c r="J68" s="2962"/>
      <c r="K68"/>
    </row>
    <row r="69" spans="1:11" s="2918" customFormat="1" ht="14.5">
      <c r="A69" s="2970"/>
      <c r="B69" s="2971"/>
      <c r="C69" s="2971"/>
      <c r="D69" s="2971"/>
      <c r="E69" s="2972"/>
      <c r="F69" s="2973"/>
      <c r="G69" s="2974"/>
      <c r="H69" s="2975"/>
      <c r="I69" s="2975"/>
      <c r="J69" s="2976"/>
      <c r="K69"/>
    </row>
    <row r="70" spans="1:11" s="2918" customFormat="1" ht="14.5">
      <c r="A70" s="176"/>
      <c r="B70" s="176"/>
      <c r="C70" s="176"/>
      <c r="D70" s="176"/>
      <c r="E70" s="176"/>
      <c r="F70" s="176"/>
      <c r="G70" s="176"/>
      <c r="H70" s="176"/>
      <c r="I70" s="176"/>
      <c r="J70" s="176"/>
      <c r="K70"/>
    </row>
    <row r="71" spans="1:11" s="2918" customFormat="1">
      <c r="A71" s="1106"/>
      <c r="B71" s="1106"/>
      <c r="C71" s="1106"/>
      <c r="D71" s="1106"/>
      <c r="E71" s="1106"/>
      <c r="F71" s="1106"/>
      <c r="G71" s="1106"/>
      <c r="H71" s="1106"/>
      <c r="I71" s="1106"/>
      <c r="J71" s="1106"/>
    </row>
    <row r="72" spans="1:11">
      <c r="A72" s="1969"/>
      <c r="B72" s="1969"/>
      <c r="C72" s="1969"/>
      <c r="D72" s="1969"/>
      <c r="E72" s="1969"/>
      <c r="F72" s="1969"/>
      <c r="G72" s="1969"/>
      <c r="H72" s="1969"/>
      <c r="I72" s="1969"/>
      <c r="J72" s="1969"/>
    </row>
    <row r="73" spans="1:11">
      <c r="A73" s="1969"/>
      <c r="B73" s="1969"/>
      <c r="C73" s="1969"/>
      <c r="D73" s="1969"/>
      <c r="E73" s="1969"/>
      <c r="F73" s="1969"/>
      <c r="G73" s="1969"/>
      <c r="H73" s="1969"/>
      <c r="I73" s="1969"/>
      <c r="J73" s="1969"/>
    </row>
    <row r="74" spans="1:11">
      <c r="A74" s="1969"/>
      <c r="B74" s="1969"/>
      <c r="C74" s="1969"/>
      <c r="D74" s="1969"/>
      <c r="E74" s="1969"/>
      <c r="F74" s="1969"/>
      <c r="G74" s="1969"/>
      <c r="H74" s="1969"/>
      <c r="I74" s="1969"/>
      <c r="J74" s="1969"/>
    </row>
    <row r="75" spans="1:11" ht="15.5">
      <c r="A75" s="2977" t="s">
        <v>1830</v>
      </c>
      <c r="B75" s="1969"/>
      <c r="C75" s="1969"/>
      <c r="D75" s="1969"/>
      <c r="E75" s="1969"/>
      <c r="F75" s="1969"/>
      <c r="G75" s="1969"/>
      <c r="H75" s="1969"/>
      <c r="I75" s="1969"/>
      <c r="J75" s="1969"/>
    </row>
    <row r="76" spans="1:11" ht="15.5">
      <c r="A76" s="2978"/>
      <c r="B76" s="1969"/>
      <c r="C76" s="1969"/>
      <c r="D76" s="1969"/>
      <c r="E76" s="1969"/>
      <c r="F76" s="1969"/>
      <c r="G76" s="1969"/>
      <c r="H76" s="1969"/>
      <c r="I76" s="1969"/>
      <c r="J76" s="1969"/>
    </row>
    <row r="77" spans="1:11" ht="10.5">
      <c r="A77" s="4197">
        <f ca="1">NOW()</f>
        <v>45203.393931018516</v>
      </c>
      <c r="B77" s="4197"/>
      <c r="C77" s="1969"/>
      <c r="D77" s="1969"/>
      <c r="E77" s="1969"/>
      <c r="F77" s="1969"/>
      <c r="G77" s="1969"/>
      <c r="H77" s="1969"/>
      <c r="I77" s="1969"/>
      <c r="J77" s="1969"/>
    </row>
    <row r="78" spans="1:11">
      <c r="A78" s="1969"/>
      <c r="B78" s="1969"/>
      <c r="C78" s="1969"/>
      <c r="D78" s="1969"/>
      <c r="E78" s="1969"/>
      <c r="F78" s="1969"/>
      <c r="G78" s="1969"/>
      <c r="H78" s="1969"/>
      <c r="I78" s="1969"/>
      <c r="J78" s="1969"/>
    </row>
    <row r="79" spans="1:11" ht="10.5">
      <c r="A79" s="2979" t="s">
        <v>1831</v>
      </c>
      <c r="B79" s="1969"/>
      <c r="C79" s="1969"/>
      <c r="D79" s="1969"/>
      <c r="E79" s="1969"/>
      <c r="F79" s="2979" t="s">
        <v>1832</v>
      </c>
      <c r="G79" s="1969"/>
      <c r="H79" s="1969"/>
      <c r="I79" s="1969"/>
      <c r="J79" s="1969"/>
    </row>
    <row r="80" spans="1:11" ht="15.5">
      <c r="A80" s="2980"/>
      <c r="B80" s="2981"/>
      <c r="C80" s="2982"/>
      <c r="D80" s="2982"/>
      <c r="E80" s="1969"/>
      <c r="F80" s="2980"/>
      <c r="G80" s="2981"/>
      <c r="H80" s="2981"/>
      <c r="I80" s="2981"/>
      <c r="J80" s="2982"/>
    </row>
    <row r="81" spans="1:10" ht="15.5">
      <c r="A81" s="2983" t="s">
        <v>1833</v>
      </c>
      <c r="B81" s="2984"/>
      <c r="C81" s="2985"/>
      <c r="D81" s="2986"/>
      <c r="E81" s="1969"/>
      <c r="F81" s="2983" t="s">
        <v>1833</v>
      </c>
      <c r="G81" s="539"/>
      <c r="H81" s="2984"/>
      <c r="I81" s="2987"/>
      <c r="J81" s="2988"/>
    </row>
    <row r="82" spans="1:10" ht="15.5">
      <c r="A82" s="2983" t="s">
        <v>1834</v>
      </c>
      <c r="B82" s="2984"/>
      <c r="C82" s="2985"/>
      <c r="D82" s="2986"/>
      <c r="E82" s="1969"/>
      <c r="F82" s="2983" t="s">
        <v>1834</v>
      </c>
      <c r="G82" s="539"/>
      <c r="H82" s="2984"/>
      <c r="I82" s="2987"/>
      <c r="J82" s="2988"/>
    </row>
    <row r="83" spans="1:10" ht="15.5">
      <c r="A83" s="2983" t="s">
        <v>1835</v>
      </c>
      <c r="B83" s="539"/>
      <c r="C83" s="2985"/>
      <c r="D83" s="2986"/>
      <c r="E83" s="1969"/>
      <c r="F83" s="2983" t="s">
        <v>1835</v>
      </c>
      <c r="G83" s="539"/>
      <c r="H83" s="2984"/>
      <c r="I83" s="2987"/>
      <c r="J83" s="2988"/>
    </row>
    <row r="84" spans="1:10" ht="15.5">
      <c r="A84" s="2989" t="s">
        <v>1836</v>
      </c>
      <c r="B84" s="539"/>
      <c r="C84" s="2985">
        <f>SUM(C81:C83)</f>
        <v>0</v>
      </c>
      <c r="D84" s="2986"/>
      <c r="E84" s="1969"/>
      <c r="F84" s="2989" t="s">
        <v>1836</v>
      </c>
      <c r="G84" s="539"/>
      <c r="H84" s="2984"/>
      <c r="I84" s="2985">
        <f>SUM(I81:I83)</f>
        <v>0</v>
      </c>
      <c r="J84" s="2988"/>
    </row>
    <row r="85" spans="1:10" ht="15.5">
      <c r="A85" s="2983" t="s">
        <v>1661</v>
      </c>
      <c r="B85" s="539"/>
      <c r="C85" s="2990"/>
      <c r="D85" s="2991"/>
      <c r="E85" s="1969"/>
      <c r="F85" s="2983" t="s">
        <v>1661</v>
      </c>
      <c r="G85" s="539"/>
      <c r="H85" s="2984"/>
      <c r="I85" s="2990"/>
      <c r="J85" s="2988"/>
    </row>
    <row r="86" spans="1:10" ht="15.5">
      <c r="A86" s="2989" t="s">
        <v>1837</v>
      </c>
      <c r="B86" s="539"/>
      <c r="C86" s="2985">
        <f>C84-C85</f>
        <v>0</v>
      </c>
      <c r="D86" s="2986"/>
      <c r="E86" s="1969"/>
      <c r="F86" s="2989" t="s">
        <v>1837</v>
      </c>
      <c r="G86" s="539"/>
      <c r="H86" s="2984"/>
      <c r="I86" s="2985">
        <f>I84-I85</f>
        <v>0</v>
      </c>
      <c r="J86" s="2988"/>
    </row>
    <row r="87" spans="1:10" ht="15.5">
      <c r="A87" s="2983"/>
      <c r="B87" s="539"/>
      <c r="C87" s="2985"/>
      <c r="D87" s="2986"/>
      <c r="E87" s="1969"/>
      <c r="F87" s="2983"/>
      <c r="G87" s="539"/>
      <c r="H87" s="2984"/>
      <c r="I87" s="2985"/>
      <c r="J87" s="2988"/>
    </row>
    <row r="88" spans="1:10" ht="15.5">
      <c r="A88" s="2983" t="s">
        <v>1838</v>
      </c>
      <c r="B88" s="539"/>
      <c r="C88" s="2985"/>
      <c r="D88" s="2986"/>
      <c r="E88" s="1969"/>
      <c r="F88" s="2983" t="s">
        <v>1838</v>
      </c>
      <c r="G88" s="539"/>
      <c r="H88" s="2984"/>
      <c r="I88" s="2985"/>
      <c r="J88" s="2988"/>
    </row>
    <row r="89" spans="1:10" ht="15.5">
      <c r="A89" s="2983" t="s">
        <v>1839</v>
      </c>
      <c r="B89" s="539"/>
      <c r="C89" s="2985"/>
      <c r="D89" s="2986"/>
      <c r="E89" s="1969"/>
      <c r="F89" s="2983" t="s">
        <v>1839</v>
      </c>
      <c r="G89" s="539"/>
      <c r="H89" s="2984"/>
      <c r="I89" s="2985"/>
      <c r="J89" s="2988"/>
    </row>
    <row r="90" spans="1:10" ht="15.5">
      <c r="A90" s="2992" t="s">
        <v>1840</v>
      </c>
      <c r="B90" s="2993"/>
      <c r="C90" s="2994"/>
      <c r="D90" s="2995"/>
      <c r="E90" s="1969"/>
      <c r="F90" s="2992" t="s">
        <v>1840</v>
      </c>
      <c r="G90" s="2993"/>
      <c r="H90" s="2996"/>
      <c r="I90" s="2994"/>
      <c r="J90" s="2997"/>
    </row>
    <row r="91" spans="1:10">
      <c r="A91" s="1969"/>
      <c r="B91" s="1969"/>
      <c r="C91" s="1969"/>
      <c r="D91" s="1969"/>
      <c r="E91" s="1969"/>
      <c r="F91" s="1969"/>
      <c r="G91" s="1969"/>
      <c r="H91" s="1969"/>
      <c r="I91" s="1969"/>
      <c r="J91" s="1969"/>
    </row>
    <row r="92" spans="1:10" ht="10.5">
      <c r="A92" s="2979" t="s">
        <v>1841</v>
      </c>
      <c r="B92" s="1969"/>
      <c r="C92" s="1969"/>
      <c r="D92" s="1969"/>
      <c r="E92" s="1969"/>
      <c r="F92" s="2979" t="s">
        <v>1842</v>
      </c>
      <c r="G92" s="1969"/>
      <c r="H92" s="1969"/>
      <c r="I92" s="1969"/>
      <c r="J92" s="1969"/>
    </row>
    <row r="93" spans="1:10" ht="15.5">
      <c r="A93" s="2980"/>
      <c r="B93" s="2981"/>
      <c r="C93" s="2982"/>
      <c r="D93" s="2982"/>
      <c r="E93" s="1969"/>
      <c r="F93" s="2980"/>
      <c r="G93" s="2981"/>
      <c r="H93" s="2981"/>
      <c r="I93" s="2981"/>
      <c r="J93" s="2982"/>
    </row>
    <row r="94" spans="1:10" ht="15.5">
      <c r="A94" s="2983" t="s">
        <v>1833</v>
      </c>
      <c r="B94" s="2984"/>
      <c r="C94" s="2985"/>
      <c r="D94" s="2986"/>
      <c r="E94" s="1969"/>
      <c r="F94" s="2983" t="s">
        <v>1833</v>
      </c>
      <c r="G94" s="539"/>
      <c r="H94" s="2984"/>
      <c r="I94" s="2987"/>
      <c r="J94" s="2988"/>
    </row>
    <row r="95" spans="1:10" ht="15.5">
      <c r="A95" s="2983" t="s">
        <v>1834</v>
      </c>
      <c r="B95" s="2984"/>
      <c r="C95" s="2985"/>
      <c r="D95" s="2986"/>
      <c r="E95" s="1969"/>
      <c r="F95" s="2983" t="s">
        <v>1834</v>
      </c>
      <c r="G95" s="539"/>
      <c r="H95" s="2984"/>
      <c r="I95" s="2987"/>
      <c r="J95" s="2988"/>
    </row>
    <row r="96" spans="1:10" ht="15.5">
      <c r="A96" s="2983" t="s">
        <v>1835</v>
      </c>
      <c r="B96" s="539"/>
      <c r="C96" s="2985"/>
      <c r="D96" s="2986"/>
      <c r="E96" s="1969"/>
      <c r="F96" s="2983" t="s">
        <v>1835</v>
      </c>
      <c r="G96" s="539"/>
      <c r="H96" s="2984"/>
      <c r="I96" s="2987"/>
      <c r="J96" s="2988"/>
    </row>
    <row r="97" spans="1:10" ht="15.5">
      <c r="A97" s="2989" t="s">
        <v>1836</v>
      </c>
      <c r="B97" s="539"/>
      <c r="C97" s="2985">
        <f>SUM(C94:C96)</f>
        <v>0</v>
      </c>
      <c r="D97" s="2986"/>
      <c r="E97" s="1969"/>
      <c r="F97" s="2989" t="s">
        <v>1836</v>
      </c>
      <c r="G97" s="539"/>
      <c r="H97" s="2984"/>
      <c r="I97" s="2985">
        <f>SUM(I94:I96)</f>
        <v>0</v>
      </c>
      <c r="J97" s="2988"/>
    </row>
    <row r="98" spans="1:10" ht="15.5">
      <c r="A98" s="2983" t="s">
        <v>1661</v>
      </c>
      <c r="B98" s="539"/>
      <c r="C98" s="2990"/>
      <c r="D98" s="2991"/>
      <c r="E98" s="1969"/>
      <c r="F98" s="2983" t="s">
        <v>1661</v>
      </c>
      <c r="G98" s="539"/>
      <c r="H98" s="2984"/>
      <c r="I98" s="2990"/>
      <c r="J98" s="2988"/>
    </row>
    <row r="99" spans="1:10" ht="15.5">
      <c r="A99" s="2989" t="s">
        <v>1837</v>
      </c>
      <c r="B99" s="539"/>
      <c r="C99" s="2985">
        <f>C97-C98</f>
        <v>0</v>
      </c>
      <c r="D99" s="2986"/>
      <c r="E99" s="1969"/>
      <c r="F99" s="2989" t="s">
        <v>1837</v>
      </c>
      <c r="G99" s="539"/>
      <c r="H99" s="2984"/>
      <c r="I99" s="2985">
        <f>I97-I98</f>
        <v>0</v>
      </c>
      <c r="J99" s="2988"/>
    </row>
    <row r="100" spans="1:10" ht="15.5">
      <c r="A100" s="2983"/>
      <c r="B100" s="539"/>
      <c r="C100" s="2985"/>
      <c r="D100" s="2986"/>
      <c r="E100" s="1969"/>
      <c r="F100" s="2983"/>
      <c r="G100" s="539"/>
      <c r="H100" s="2984"/>
      <c r="I100" s="2985"/>
      <c r="J100" s="2988"/>
    </row>
    <row r="101" spans="1:10" ht="15.5">
      <c r="A101" s="2983" t="s">
        <v>1838</v>
      </c>
      <c r="B101" s="539"/>
      <c r="C101" s="2985"/>
      <c r="D101" s="2986"/>
      <c r="E101" s="1969"/>
      <c r="F101" s="2983" t="s">
        <v>1838</v>
      </c>
      <c r="G101" s="539"/>
      <c r="H101" s="2984"/>
      <c r="I101" s="2985"/>
      <c r="J101" s="2988"/>
    </row>
    <row r="102" spans="1:10" ht="15.5">
      <c r="A102" s="2983" t="s">
        <v>1839</v>
      </c>
      <c r="B102" s="539"/>
      <c r="C102" s="2985"/>
      <c r="D102" s="2986"/>
      <c r="E102" s="1969"/>
      <c r="F102" s="2983" t="s">
        <v>1839</v>
      </c>
      <c r="G102" s="539"/>
      <c r="H102" s="2984"/>
      <c r="I102" s="2985"/>
      <c r="J102" s="2988"/>
    </row>
    <row r="103" spans="1:10" ht="15.5">
      <c r="A103" s="2992" t="s">
        <v>1840</v>
      </c>
      <c r="B103" s="2993"/>
      <c r="C103" s="2994"/>
      <c r="D103" s="2995"/>
      <c r="E103" s="1969"/>
      <c r="F103" s="2992" t="s">
        <v>1840</v>
      </c>
      <c r="G103" s="2993"/>
      <c r="H103" s="2996"/>
      <c r="I103" s="2994"/>
      <c r="J103" s="2997"/>
    </row>
    <row r="104" spans="1:10">
      <c r="A104" s="1969"/>
      <c r="B104" s="1969"/>
      <c r="C104" s="1969"/>
      <c r="D104" s="1969"/>
      <c r="E104" s="1969"/>
      <c r="F104" s="1969"/>
      <c r="G104" s="1969"/>
      <c r="H104" s="1969"/>
      <c r="I104" s="1969"/>
      <c r="J104" s="1969"/>
    </row>
    <row r="105" spans="1:10" ht="10.5">
      <c r="A105" s="2979" t="s">
        <v>1843</v>
      </c>
      <c r="B105" s="1969"/>
      <c r="C105" s="1969"/>
      <c r="D105" s="1969"/>
      <c r="E105" s="1969"/>
      <c r="F105" s="2979" t="s">
        <v>1844</v>
      </c>
      <c r="G105" s="1969"/>
      <c r="H105" s="1969"/>
      <c r="I105" s="1969"/>
      <c r="J105" s="1969"/>
    </row>
    <row r="106" spans="1:10" ht="15.5">
      <c r="A106" s="2980"/>
      <c r="B106" s="2981"/>
      <c r="C106" s="2982"/>
      <c r="D106" s="2982"/>
      <c r="E106" s="1969"/>
      <c r="F106" s="2980"/>
      <c r="G106" s="2981"/>
      <c r="H106" s="2981"/>
      <c r="I106" s="2981"/>
      <c r="J106" s="2982"/>
    </row>
    <row r="107" spans="1:10" ht="15.5">
      <c r="A107" s="2983" t="s">
        <v>1833</v>
      </c>
      <c r="B107" s="2984"/>
      <c r="C107" s="2985"/>
      <c r="D107" s="2986"/>
      <c r="E107" s="1969"/>
      <c r="F107" s="2983" t="s">
        <v>1833</v>
      </c>
      <c r="G107" s="539"/>
      <c r="H107" s="2984"/>
      <c r="I107" s="2987"/>
      <c r="J107" s="2988"/>
    </row>
    <row r="108" spans="1:10" ht="15.5">
      <c r="A108" s="2983" t="s">
        <v>1834</v>
      </c>
      <c r="B108" s="2984"/>
      <c r="C108" s="2985"/>
      <c r="D108" s="2986"/>
      <c r="E108" s="1969"/>
      <c r="F108" s="2983" t="s">
        <v>1834</v>
      </c>
      <c r="G108" s="539"/>
      <c r="H108" s="2984"/>
      <c r="I108" s="2987"/>
      <c r="J108" s="2988"/>
    </row>
    <row r="109" spans="1:10" ht="15.5">
      <c r="A109" s="2983" t="s">
        <v>1835</v>
      </c>
      <c r="B109" s="539"/>
      <c r="C109" s="2985"/>
      <c r="D109" s="2986"/>
      <c r="E109" s="1969"/>
      <c r="F109" s="2983" t="s">
        <v>1835</v>
      </c>
      <c r="G109" s="539"/>
      <c r="H109" s="2984"/>
      <c r="I109" s="2987"/>
      <c r="J109" s="2988"/>
    </row>
    <row r="110" spans="1:10" ht="15.5">
      <c r="A110" s="2989" t="s">
        <v>1836</v>
      </c>
      <c r="B110" s="539"/>
      <c r="C110" s="2985">
        <f>SUM(C107:C109)</f>
        <v>0</v>
      </c>
      <c r="D110" s="2986"/>
      <c r="E110" s="1969"/>
      <c r="F110" s="2989" t="s">
        <v>1836</v>
      </c>
      <c r="G110" s="539"/>
      <c r="H110" s="2984"/>
      <c r="I110" s="2985">
        <f>SUM(I107:I109)</f>
        <v>0</v>
      </c>
      <c r="J110" s="2988"/>
    </row>
    <row r="111" spans="1:10" ht="15.5">
      <c r="A111" s="2983" t="s">
        <v>1661</v>
      </c>
      <c r="B111" s="539"/>
      <c r="C111" s="2990"/>
      <c r="D111" s="2991"/>
      <c r="E111" s="1969"/>
      <c r="F111" s="2983" t="s">
        <v>1661</v>
      </c>
      <c r="G111" s="539"/>
      <c r="H111" s="2984"/>
      <c r="I111" s="2990"/>
      <c r="J111" s="2988"/>
    </row>
    <row r="112" spans="1:10" ht="15.5">
      <c r="A112" s="2989" t="s">
        <v>1837</v>
      </c>
      <c r="B112" s="539"/>
      <c r="C112" s="2985">
        <f>C110-C111</f>
        <v>0</v>
      </c>
      <c r="D112" s="2986"/>
      <c r="E112" s="1969"/>
      <c r="F112" s="2989" t="s">
        <v>1837</v>
      </c>
      <c r="G112" s="539"/>
      <c r="H112" s="2984"/>
      <c r="I112" s="2985">
        <f>I110-I111</f>
        <v>0</v>
      </c>
      <c r="J112" s="2988"/>
    </row>
    <row r="113" spans="1:10" ht="15.5">
      <c r="A113" s="2983"/>
      <c r="B113" s="539"/>
      <c r="C113" s="2985"/>
      <c r="D113" s="2986"/>
      <c r="E113" s="1969"/>
      <c r="F113" s="2983"/>
      <c r="G113" s="539"/>
      <c r="H113" s="2984"/>
      <c r="I113" s="2985"/>
      <c r="J113" s="2988"/>
    </row>
    <row r="114" spans="1:10" ht="15.5">
      <c r="A114" s="2983" t="s">
        <v>1838</v>
      </c>
      <c r="B114" s="539"/>
      <c r="C114" s="2985"/>
      <c r="D114" s="2986"/>
      <c r="E114" s="1969"/>
      <c r="F114" s="2983" t="s">
        <v>1838</v>
      </c>
      <c r="G114" s="539"/>
      <c r="H114" s="2984"/>
      <c r="I114" s="2985"/>
      <c r="J114" s="2988"/>
    </row>
    <row r="115" spans="1:10" ht="15.5">
      <c r="A115" s="2983" t="s">
        <v>1839</v>
      </c>
      <c r="B115" s="539"/>
      <c r="C115" s="2985"/>
      <c r="D115" s="2986"/>
      <c r="E115" s="1969"/>
      <c r="F115" s="2983" t="s">
        <v>1839</v>
      </c>
      <c r="G115" s="539"/>
      <c r="H115" s="2984"/>
      <c r="I115" s="2985"/>
      <c r="J115" s="2988"/>
    </row>
    <row r="116" spans="1:10" ht="15.5">
      <c r="A116" s="2992" t="s">
        <v>1840</v>
      </c>
      <c r="B116" s="2993"/>
      <c r="C116" s="2994"/>
      <c r="D116" s="2995"/>
      <c r="E116" s="1969"/>
      <c r="F116" s="2992" t="s">
        <v>1840</v>
      </c>
      <c r="G116" s="2993"/>
      <c r="H116" s="2996"/>
      <c r="I116" s="2994"/>
      <c r="J116" s="2997"/>
    </row>
    <row r="117" spans="1:10">
      <c r="A117" s="1969"/>
      <c r="B117" s="1969"/>
      <c r="C117" s="1969"/>
      <c r="D117" s="1969"/>
      <c r="E117" s="1969"/>
      <c r="F117" s="1969"/>
      <c r="G117" s="1969"/>
      <c r="H117" s="1969"/>
      <c r="I117" s="1969"/>
      <c r="J117" s="1969"/>
    </row>
    <row r="118" spans="1:10" ht="10.5">
      <c r="A118" s="2979" t="s">
        <v>1845</v>
      </c>
      <c r="B118" s="1969"/>
      <c r="C118" s="1969"/>
      <c r="D118" s="1969"/>
      <c r="E118" s="1969"/>
      <c r="F118" s="2979" t="s">
        <v>1846</v>
      </c>
      <c r="G118" s="1969"/>
      <c r="H118" s="1969"/>
      <c r="I118" s="1969"/>
      <c r="J118" s="1969"/>
    </row>
    <row r="119" spans="1:10" ht="15.5">
      <c r="A119" s="2980"/>
      <c r="B119" s="2981"/>
      <c r="C119" s="2982"/>
      <c r="D119" s="2982"/>
      <c r="E119" s="1969"/>
      <c r="F119" s="2980"/>
      <c r="G119" s="2981"/>
      <c r="H119" s="2981"/>
      <c r="I119" s="2981"/>
      <c r="J119" s="2982"/>
    </row>
    <row r="120" spans="1:10" ht="15.5">
      <c r="A120" s="2983" t="s">
        <v>1833</v>
      </c>
      <c r="B120" s="2984"/>
      <c r="C120" s="2985"/>
      <c r="D120" s="2986"/>
      <c r="E120" s="1969"/>
      <c r="F120" s="2983" t="s">
        <v>1833</v>
      </c>
      <c r="G120" s="539"/>
      <c r="H120" s="2984"/>
      <c r="I120" s="2987"/>
      <c r="J120" s="2988"/>
    </row>
    <row r="121" spans="1:10" ht="15.5">
      <c r="A121" s="2983" t="s">
        <v>1834</v>
      </c>
      <c r="B121" s="2984"/>
      <c r="C121" s="2985"/>
      <c r="D121" s="2986"/>
      <c r="E121" s="1969"/>
      <c r="F121" s="2983" t="s">
        <v>1834</v>
      </c>
      <c r="G121" s="539"/>
      <c r="H121" s="2984"/>
      <c r="I121" s="2987"/>
      <c r="J121" s="2988"/>
    </row>
    <row r="122" spans="1:10" ht="15.5">
      <c r="A122" s="2983" t="s">
        <v>1835</v>
      </c>
      <c r="B122" s="539"/>
      <c r="C122" s="2985"/>
      <c r="D122" s="2986"/>
      <c r="E122" s="1969"/>
      <c r="F122" s="2983" t="s">
        <v>1835</v>
      </c>
      <c r="G122" s="539"/>
      <c r="H122" s="2984"/>
      <c r="I122" s="2987"/>
      <c r="J122" s="2988"/>
    </row>
    <row r="123" spans="1:10" ht="15.5">
      <c r="A123" s="2989" t="s">
        <v>1836</v>
      </c>
      <c r="B123" s="539"/>
      <c r="C123" s="2985">
        <f>SUM(C120:C122)</f>
        <v>0</v>
      </c>
      <c r="D123" s="2986"/>
      <c r="E123" s="1969"/>
      <c r="F123" s="2989" t="s">
        <v>1836</v>
      </c>
      <c r="G123" s="539"/>
      <c r="H123" s="2984"/>
      <c r="I123" s="2985">
        <f>SUM(I120:I122)</f>
        <v>0</v>
      </c>
      <c r="J123" s="2988"/>
    </row>
    <row r="124" spans="1:10" ht="15.5">
      <c r="A124" s="2983" t="s">
        <v>1661</v>
      </c>
      <c r="B124" s="539"/>
      <c r="C124" s="2990"/>
      <c r="D124" s="2991"/>
      <c r="E124" s="1969"/>
      <c r="F124" s="2983" t="s">
        <v>1661</v>
      </c>
      <c r="G124" s="539"/>
      <c r="H124" s="2984"/>
      <c r="I124" s="2990"/>
      <c r="J124" s="2988"/>
    </row>
    <row r="125" spans="1:10" ht="15.5">
      <c r="A125" s="2989" t="s">
        <v>1837</v>
      </c>
      <c r="B125" s="539"/>
      <c r="C125" s="2985">
        <f>C123-C124</f>
        <v>0</v>
      </c>
      <c r="D125" s="2986"/>
      <c r="E125" s="1969"/>
      <c r="F125" s="2989" t="s">
        <v>1837</v>
      </c>
      <c r="G125" s="539"/>
      <c r="H125" s="2984"/>
      <c r="I125" s="2985">
        <f>I123-I124</f>
        <v>0</v>
      </c>
      <c r="J125" s="2988"/>
    </row>
    <row r="126" spans="1:10" ht="15.5">
      <c r="A126" s="2983"/>
      <c r="B126" s="539"/>
      <c r="C126" s="2985"/>
      <c r="D126" s="2986"/>
      <c r="E126" s="1969"/>
      <c r="F126" s="2983"/>
      <c r="G126" s="539"/>
      <c r="H126" s="2984"/>
      <c r="I126" s="2985"/>
      <c r="J126" s="2988"/>
    </row>
    <row r="127" spans="1:10" ht="15.5">
      <c r="A127" s="2983" t="s">
        <v>1838</v>
      </c>
      <c r="B127" s="539"/>
      <c r="C127" s="2985"/>
      <c r="D127" s="2986"/>
      <c r="E127" s="1969"/>
      <c r="F127" s="2983" t="s">
        <v>1838</v>
      </c>
      <c r="G127" s="539"/>
      <c r="H127" s="2984"/>
      <c r="I127" s="2985"/>
      <c r="J127" s="2988"/>
    </row>
    <row r="128" spans="1:10" ht="15.5">
      <c r="A128" s="2983" t="s">
        <v>1839</v>
      </c>
      <c r="B128" s="539"/>
      <c r="C128" s="2985"/>
      <c r="D128" s="2986"/>
      <c r="E128" s="1969"/>
      <c r="F128" s="2983" t="s">
        <v>1839</v>
      </c>
      <c r="G128" s="539"/>
      <c r="H128" s="2984"/>
      <c r="I128" s="2985"/>
      <c r="J128" s="2988"/>
    </row>
    <row r="129" spans="1:10" ht="15.5">
      <c r="A129" s="2992" t="s">
        <v>1840</v>
      </c>
      <c r="B129" s="2993"/>
      <c r="C129" s="2994"/>
      <c r="D129" s="2995"/>
      <c r="E129" s="1969"/>
      <c r="F129" s="2992" t="s">
        <v>1840</v>
      </c>
      <c r="G129" s="2993"/>
      <c r="H129" s="2996"/>
      <c r="I129" s="2994"/>
      <c r="J129" s="2997"/>
    </row>
    <row r="130" spans="1:10"/>
    <row r="131" spans="1:10"/>
    <row r="132" spans="1:10"/>
    <row r="133" spans="1:10"/>
    <row r="134" spans="1:10"/>
    <row r="135" spans="1:10"/>
    <row r="136" spans="1:10"/>
    <row r="137" spans="1:10"/>
    <row r="138" spans="1:10"/>
    <row r="139" spans="1:10"/>
    <row r="140" spans="1:10"/>
    <row r="141" spans="1:10"/>
    <row r="142" spans="1:10"/>
    <row r="143" spans="1:10"/>
    <row r="144" spans="1:10">
      <c r="H144" s="2998" t="s">
        <v>1847</v>
      </c>
      <c r="J144" s="2912" t="s">
        <v>1848</v>
      </c>
    </row>
    <row r="145" spans="1:11">
      <c r="H145" s="2999" t="s">
        <v>1849</v>
      </c>
      <c r="J145" s="2912" t="s">
        <v>1850</v>
      </c>
    </row>
    <row r="146" spans="1:11">
      <c r="H146" s="539" t="s">
        <v>1851</v>
      </c>
      <c r="J146" s="3000" t="s">
        <v>1852</v>
      </c>
    </row>
    <row r="147" spans="1:11">
      <c r="H147" s="2912" t="s">
        <v>1853</v>
      </c>
      <c r="J147" s="3000" t="s">
        <v>1854</v>
      </c>
    </row>
    <row r="148" spans="1:11" ht="11.5">
      <c r="A148" s="3001"/>
      <c r="B148" s="3001"/>
      <c r="C148" s="3002"/>
      <c r="D148" s="3003"/>
      <c r="E148" s="2999"/>
      <c r="H148" s="3000" t="s">
        <v>1855</v>
      </c>
      <c r="J148" s="3000" t="s">
        <v>1856</v>
      </c>
      <c r="K148" s="2998"/>
    </row>
    <row r="149" spans="1:11" ht="13">
      <c r="A149" s="2913"/>
      <c r="B149" s="3004"/>
      <c r="C149" s="3002"/>
      <c r="D149" s="3005"/>
      <c r="E149" s="3005"/>
      <c r="F149" s="3006"/>
      <c r="H149" s="2912" t="s">
        <v>1857</v>
      </c>
      <c r="J149" s="2912" t="s">
        <v>1858</v>
      </c>
      <c r="K149" s="3000"/>
    </row>
    <row r="150" spans="1:11" ht="11.5">
      <c r="B150" s="3001"/>
      <c r="C150" s="3002"/>
      <c r="F150" s="3006"/>
      <c r="G150" s="3003"/>
      <c r="H150" s="2999" t="s">
        <v>1859</v>
      </c>
      <c r="I150" s="3007"/>
      <c r="J150" s="2912" t="s">
        <v>1860</v>
      </c>
    </row>
    <row r="151" spans="1:11" ht="11.5">
      <c r="B151" s="2999"/>
      <c r="C151" s="3002"/>
      <c r="E151" s="3008"/>
      <c r="F151" s="3006"/>
      <c r="G151" s="3003"/>
      <c r="H151" s="2912" t="s">
        <v>1861</v>
      </c>
      <c r="I151" s="3001"/>
      <c r="J151" s="2912" t="s">
        <v>1862</v>
      </c>
      <c r="K151" s="2999"/>
    </row>
    <row r="152" spans="1:11" ht="11.5">
      <c r="B152" s="2999"/>
      <c r="C152" s="3002"/>
      <c r="E152" s="3008"/>
      <c r="F152" s="3006"/>
      <c r="G152" s="3003"/>
      <c r="H152" s="2999" t="s">
        <v>1863</v>
      </c>
      <c r="I152" s="3003"/>
      <c r="J152" s="2912" t="s">
        <v>1864</v>
      </c>
      <c r="K152" s="2999"/>
    </row>
    <row r="153" spans="1:11" ht="11.5">
      <c r="B153" s="2999"/>
      <c r="C153" s="3002"/>
      <c r="E153" s="3008"/>
      <c r="F153" s="3006"/>
      <c r="G153" s="3003"/>
      <c r="I153" s="3003"/>
      <c r="J153" s="2912" t="s">
        <v>1865</v>
      </c>
      <c r="K153" s="2999"/>
    </row>
    <row r="154" spans="1:11" ht="11.5">
      <c r="B154" s="2999"/>
      <c r="C154" s="3002"/>
      <c r="E154" s="3008"/>
      <c r="F154" s="3006"/>
      <c r="G154" s="3003"/>
      <c r="I154" s="3003"/>
      <c r="J154" s="3000" t="s">
        <v>1866</v>
      </c>
    </row>
    <row r="155" spans="1:11" ht="11.5">
      <c r="B155" s="3009"/>
      <c r="C155" s="3002"/>
      <c r="E155" s="3008"/>
      <c r="F155" s="3006"/>
      <c r="G155" s="3003"/>
      <c r="H155" s="3003"/>
      <c r="I155" s="3003"/>
      <c r="J155" s="3000" t="s">
        <v>1867</v>
      </c>
    </row>
    <row r="156" spans="1:11" ht="11.5">
      <c r="B156" s="3003"/>
      <c r="C156" s="3002"/>
      <c r="E156" s="3008"/>
      <c r="F156" s="3006"/>
      <c r="G156" s="3001"/>
      <c r="H156" s="2998" t="s">
        <v>1868</v>
      </c>
      <c r="I156" s="3007"/>
      <c r="J156" s="2912" t="s">
        <v>1869</v>
      </c>
    </row>
    <row r="157" spans="1:11" ht="11.5">
      <c r="B157" s="3003"/>
      <c r="C157" s="3002"/>
      <c r="E157" s="3008"/>
      <c r="F157" s="3006"/>
      <c r="G157" s="3003"/>
      <c r="H157" s="2998" t="s">
        <v>1870</v>
      </c>
      <c r="I157" s="3007"/>
      <c r="J157" s="3000" t="s">
        <v>1871</v>
      </c>
    </row>
    <row r="158" spans="1:11" ht="11.5">
      <c r="B158" s="3003"/>
      <c r="C158" s="3002"/>
      <c r="E158" s="3008"/>
      <c r="F158" s="3006"/>
      <c r="G158" s="3003"/>
      <c r="H158" s="2998" t="s">
        <v>1872</v>
      </c>
      <c r="I158" s="3007"/>
      <c r="J158" s="3000" t="s">
        <v>1873</v>
      </c>
    </row>
    <row r="159" spans="1:11" ht="11.5">
      <c r="B159" s="3001"/>
      <c r="C159" s="3002"/>
      <c r="E159" s="3008"/>
      <c r="F159" s="3006"/>
      <c r="G159" s="3003"/>
      <c r="H159" s="3003"/>
      <c r="I159" s="3007"/>
      <c r="J159" s="3000" t="s">
        <v>1874</v>
      </c>
    </row>
    <row r="160" spans="1:11" ht="11.5">
      <c r="B160" s="3001"/>
      <c r="C160" s="3002"/>
      <c r="E160" s="3008"/>
      <c r="F160" s="3006"/>
      <c r="H160" s="3003" t="s">
        <v>1875</v>
      </c>
      <c r="I160" s="3007"/>
      <c r="J160" s="3000" t="s">
        <v>1876</v>
      </c>
    </row>
    <row r="161" spans="2:10" ht="11.5">
      <c r="B161" s="3010"/>
      <c r="C161" s="3006"/>
      <c r="E161" s="3008"/>
      <c r="F161" s="3006"/>
      <c r="G161" s="731"/>
      <c r="H161" s="3001" t="s">
        <v>1877</v>
      </c>
      <c r="I161" s="3007"/>
      <c r="J161" s="3000" t="s">
        <v>1878</v>
      </c>
    </row>
    <row r="162" spans="2:10" ht="11.5">
      <c r="E162" s="3008"/>
      <c r="H162" s="3007" t="s">
        <v>1879</v>
      </c>
      <c r="I162" s="3011"/>
      <c r="J162" s="2912" t="s">
        <v>1880</v>
      </c>
    </row>
    <row r="163" spans="2:10">
      <c r="E163" s="3008"/>
      <c r="H163" s="2912" t="s">
        <v>1881</v>
      </c>
      <c r="J163" s="2912" t="s">
        <v>1882</v>
      </c>
    </row>
    <row r="164" spans="2:10">
      <c r="E164" s="3008"/>
      <c r="H164" s="2912" t="s">
        <v>1883</v>
      </c>
      <c r="J164" s="3000" t="s">
        <v>1884</v>
      </c>
    </row>
    <row r="165" spans="2:10">
      <c r="E165" s="3008"/>
      <c r="H165" s="2912" t="s">
        <v>1885</v>
      </c>
      <c r="J165" s="3000" t="s">
        <v>1886</v>
      </c>
    </row>
    <row r="166" spans="2:10">
      <c r="E166" s="3008"/>
      <c r="J166" s="2912" t="s">
        <v>1887</v>
      </c>
    </row>
    <row r="167" spans="2:10">
      <c r="E167" s="3008"/>
      <c r="J167" s="2912" t="s">
        <v>1888</v>
      </c>
    </row>
    <row r="168" spans="2:10">
      <c r="E168" s="3008"/>
      <c r="J168" s="3000" t="s">
        <v>1889</v>
      </c>
    </row>
    <row r="169" spans="2:10">
      <c r="E169" s="3008"/>
      <c r="J169" s="2912" t="s">
        <v>1890</v>
      </c>
    </row>
    <row r="170" spans="2:10">
      <c r="E170" s="3008"/>
      <c r="J170" s="2912" t="s">
        <v>1891</v>
      </c>
    </row>
    <row r="171" spans="2:10">
      <c r="E171" s="3008"/>
      <c r="J171" s="2912" t="s">
        <v>1892</v>
      </c>
    </row>
    <row r="172" spans="2:10">
      <c r="E172" s="3008"/>
      <c r="J172" s="2912" t="s">
        <v>1893</v>
      </c>
    </row>
    <row r="173" spans="2:10">
      <c r="E173" s="3008"/>
      <c r="J173" s="2912" t="s">
        <v>1894</v>
      </c>
    </row>
    <row r="174" spans="2:10">
      <c r="E174" s="3008"/>
      <c r="J174" s="2912" t="s">
        <v>1895</v>
      </c>
    </row>
    <row r="175" spans="2:10">
      <c r="E175" s="3008"/>
      <c r="J175" s="2912" t="s">
        <v>1896</v>
      </c>
    </row>
    <row r="176" spans="2:10">
      <c r="E176" s="3008"/>
      <c r="J176" s="2912" t="s">
        <v>1897</v>
      </c>
    </row>
    <row r="177" spans="5:10">
      <c r="E177" s="3008"/>
      <c r="J177" s="2912" t="s">
        <v>1898</v>
      </c>
    </row>
    <row r="178" spans="5:10">
      <c r="J178" s="2912" t="s">
        <v>1899</v>
      </c>
    </row>
    <row r="179" spans="5:10">
      <c r="J179" s="2912" t="s">
        <v>1900</v>
      </c>
    </row>
    <row r="180" spans="5:10">
      <c r="J180" s="2912" t="s">
        <v>1901</v>
      </c>
    </row>
    <row r="181" spans="5:10">
      <c r="J181" s="2912" t="s">
        <v>1902</v>
      </c>
    </row>
    <row r="182" spans="5:10">
      <c r="J182" s="2912" t="s">
        <v>1903</v>
      </c>
    </row>
    <row r="183" spans="5:10">
      <c r="J183" s="2912" t="s">
        <v>1904</v>
      </c>
    </row>
    <row r="184" spans="5:10">
      <c r="J184" s="2999" t="s">
        <v>1905</v>
      </c>
    </row>
    <row r="185" spans="5:10">
      <c r="J185" s="2912" t="s">
        <v>1906</v>
      </c>
    </row>
    <row r="186" spans="5:10">
      <c r="J186" s="2912" t="s">
        <v>1907</v>
      </c>
    </row>
    <row r="187" spans="5:10">
      <c r="J187" s="2999" t="s">
        <v>1908</v>
      </c>
    </row>
    <row r="188" spans="5:10">
      <c r="J188" s="2912" t="s">
        <v>1909</v>
      </c>
    </row>
    <row r="189" spans="5:10">
      <c r="J189" s="2912" t="s">
        <v>1910</v>
      </c>
    </row>
    <row r="190" spans="5:10">
      <c r="J190" s="3000" t="s">
        <v>1911</v>
      </c>
    </row>
    <row r="191" spans="5:10">
      <c r="J191" s="2999" t="s">
        <v>1912</v>
      </c>
    </row>
    <row r="192" spans="5:10">
      <c r="J192" s="2999" t="s">
        <v>1913</v>
      </c>
    </row>
    <row r="193" spans="10:10">
      <c r="J193" s="2999" t="s">
        <v>1914</v>
      </c>
    </row>
    <row r="194" spans="10:10">
      <c r="J194" s="2999" t="s">
        <v>1915</v>
      </c>
    </row>
    <row r="195" spans="10:10">
      <c r="J195" s="2999" t="s">
        <v>1916</v>
      </c>
    </row>
    <row r="196" spans="10:10">
      <c r="J196" s="2999" t="s">
        <v>1917</v>
      </c>
    </row>
    <row r="197" spans="10:10">
      <c r="J197" s="2999" t="s">
        <v>1918</v>
      </c>
    </row>
    <row r="198" spans="10:10">
      <c r="J198" s="2912" t="s">
        <v>1919</v>
      </c>
    </row>
    <row r="199" spans="10:10">
      <c r="J199" s="2912" t="s">
        <v>1920</v>
      </c>
    </row>
    <row r="200" spans="10:10">
      <c r="J200" s="2912" t="s">
        <v>1921</v>
      </c>
    </row>
    <row r="201" spans="10:10">
      <c r="J201" s="2912" t="s">
        <v>1922</v>
      </c>
    </row>
    <row r="202" spans="10:10">
      <c r="J202" s="3000" t="s">
        <v>1923</v>
      </c>
    </row>
    <row r="203" spans="10:10">
      <c r="J203" s="2999" t="s">
        <v>1924</v>
      </c>
    </row>
    <row r="204" spans="10:10">
      <c r="J204" s="2998" t="s">
        <v>1925</v>
      </c>
    </row>
    <row r="205" spans="10:10">
      <c r="J205" s="2998" t="s">
        <v>1926</v>
      </c>
    </row>
    <row r="206" spans="10:10">
      <c r="J206" s="2998" t="s">
        <v>1927</v>
      </c>
    </row>
    <row r="207" spans="10:10">
      <c r="J207" s="2998" t="s">
        <v>1928</v>
      </c>
    </row>
    <row r="208" spans="10:10">
      <c r="J208" s="2998" t="s">
        <v>1929</v>
      </c>
    </row>
    <row r="209" spans="10:10">
      <c r="J209" s="2998" t="s">
        <v>1930</v>
      </c>
    </row>
    <row r="210" spans="10:10">
      <c r="J210" s="2998" t="s">
        <v>1931</v>
      </c>
    </row>
    <row r="211" spans="10:10">
      <c r="J211" s="2998" t="s">
        <v>1932</v>
      </c>
    </row>
    <row r="212" spans="10:10">
      <c r="J212" s="2998" t="s">
        <v>1933</v>
      </c>
    </row>
    <row r="213" spans="10:10">
      <c r="J213" s="2998" t="s">
        <v>1934</v>
      </c>
    </row>
    <row r="214" spans="10:10">
      <c r="J214" s="2998" t="s">
        <v>1935</v>
      </c>
    </row>
    <row r="215" spans="10:10">
      <c r="J215" s="2998" t="s">
        <v>1936</v>
      </c>
    </row>
    <row r="216" spans="10:10">
      <c r="J216" s="2998" t="s">
        <v>1937</v>
      </c>
    </row>
    <row r="217" spans="10:10">
      <c r="J217" s="2998" t="s">
        <v>1938</v>
      </c>
    </row>
    <row r="218" spans="10:10">
      <c r="J218" s="2998" t="s">
        <v>1939</v>
      </c>
    </row>
    <row r="219" spans="10:10">
      <c r="J219" s="2998" t="s">
        <v>1940</v>
      </c>
    </row>
    <row r="220" spans="10:10">
      <c r="J220" s="2998" t="s">
        <v>1941</v>
      </c>
    </row>
    <row r="221" spans="10:10">
      <c r="J221" s="2998" t="s">
        <v>1942</v>
      </c>
    </row>
    <row r="222" spans="10:10">
      <c r="J222" s="2998" t="s">
        <v>1943</v>
      </c>
    </row>
    <row r="223" spans="10:10">
      <c r="J223" s="2998" t="s">
        <v>1944</v>
      </c>
    </row>
    <row r="224" spans="10:10">
      <c r="J224" s="2912" t="s">
        <v>1945</v>
      </c>
    </row>
    <row r="225" spans="10:10">
      <c r="J225" s="2998" t="s">
        <v>1946</v>
      </c>
    </row>
    <row r="226" spans="10:10">
      <c r="J226" s="2998" t="s">
        <v>1947</v>
      </c>
    </row>
    <row r="227" spans="10:10">
      <c r="J227" s="2998" t="s">
        <v>1948</v>
      </c>
    </row>
    <row r="228" spans="10:10">
      <c r="J228" s="2998" t="s">
        <v>1949</v>
      </c>
    </row>
    <row r="229" spans="10:10">
      <c r="J229" s="2998" t="s">
        <v>1950</v>
      </c>
    </row>
    <row r="230" spans="10:10">
      <c r="J230" s="2998" t="s">
        <v>1951</v>
      </c>
    </row>
    <row r="231" spans="10:10">
      <c r="J231" s="2998" t="s">
        <v>1952</v>
      </c>
    </row>
    <row r="232" spans="10:10">
      <c r="J232" s="2998" t="s">
        <v>1953</v>
      </c>
    </row>
    <row r="233" spans="10:10">
      <c r="J233" s="2998" t="s">
        <v>1954</v>
      </c>
    </row>
    <row r="234" spans="10:10">
      <c r="J234" s="2998" t="s">
        <v>1955</v>
      </c>
    </row>
    <row r="235" spans="10:10">
      <c r="J235" s="2998" t="s">
        <v>1956</v>
      </c>
    </row>
    <row r="236" spans="10:10">
      <c r="J236" s="2912" t="s">
        <v>1957</v>
      </c>
    </row>
    <row r="237" spans="10:10">
      <c r="J237" s="2912" t="s">
        <v>1958</v>
      </c>
    </row>
    <row r="238" spans="10:10">
      <c r="J238" s="2912" t="s">
        <v>1959</v>
      </c>
    </row>
    <row r="239" spans="10:10">
      <c r="J239" s="2912" t="s">
        <v>1960</v>
      </c>
    </row>
    <row r="240" spans="10:10">
      <c r="J240" s="2912" t="s">
        <v>1961</v>
      </c>
    </row>
    <row r="241" spans="10:10">
      <c r="J241" s="2912" t="s">
        <v>1962</v>
      </c>
    </row>
    <row r="242" spans="10:10">
      <c r="J242" s="2912" t="s">
        <v>1963</v>
      </c>
    </row>
    <row r="243" spans="10:10">
      <c r="J243" s="2912" t="s">
        <v>1964</v>
      </c>
    </row>
    <row r="244" spans="10:10">
      <c r="J244" s="2912" t="s">
        <v>1965</v>
      </c>
    </row>
    <row r="245" spans="10:10">
      <c r="J245" s="2912" t="s">
        <v>1966</v>
      </c>
    </row>
    <row r="246" spans="10:10">
      <c r="J246" s="2912" t="s">
        <v>1967</v>
      </c>
    </row>
    <row r="247" spans="10:10">
      <c r="J247" s="2912" t="s">
        <v>1968</v>
      </c>
    </row>
    <row r="248" spans="10:10">
      <c r="J248" s="2912" t="s">
        <v>1969</v>
      </c>
    </row>
    <row r="249" spans="10:10">
      <c r="J249" s="2912" t="s">
        <v>1970</v>
      </c>
    </row>
    <row r="250" spans="10:10">
      <c r="J250" s="2912" t="s">
        <v>1971</v>
      </c>
    </row>
    <row r="251" spans="10:10">
      <c r="J251" s="2912" t="s">
        <v>1972</v>
      </c>
    </row>
    <row r="252" spans="10:10">
      <c r="J252" s="2912" t="s">
        <v>1973</v>
      </c>
    </row>
    <row r="253" spans="10:10">
      <c r="J253" s="2912" t="s">
        <v>1974</v>
      </c>
    </row>
    <row r="254" spans="10:10">
      <c r="J254" s="2912" t="s">
        <v>1975</v>
      </c>
    </row>
    <row r="255" spans="10:10">
      <c r="J255" s="2912" t="s">
        <v>1976</v>
      </c>
    </row>
    <row r="256" spans="10:10">
      <c r="J256" s="2912" t="s">
        <v>1977</v>
      </c>
    </row>
    <row r="257" spans="10:10">
      <c r="J257" s="2912" t="s">
        <v>1978</v>
      </c>
    </row>
    <row r="258" spans="10:10">
      <c r="J258" s="2912" t="s">
        <v>1979</v>
      </c>
    </row>
    <row r="259" spans="10:10">
      <c r="J259" s="2912" t="s">
        <v>1980</v>
      </c>
    </row>
    <row r="260" spans="10:10">
      <c r="J260" s="2912" t="s">
        <v>1981</v>
      </c>
    </row>
    <row r="261" spans="10:10">
      <c r="J261" s="2912" t="s">
        <v>1982</v>
      </c>
    </row>
    <row r="262" spans="10:10">
      <c r="J262" s="2912" t="s">
        <v>1983</v>
      </c>
    </row>
    <row r="263" spans="10:10">
      <c r="J263" s="3000" t="s">
        <v>1984</v>
      </c>
    </row>
    <row r="264" spans="10:10">
      <c r="J264" s="3000" t="s">
        <v>1985</v>
      </c>
    </row>
    <row r="265" spans="10:10">
      <c r="J265" s="3000" t="s">
        <v>1986</v>
      </c>
    </row>
    <row r="266" spans="10:10">
      <c r="J266" s="3000"/>
    </row>
    <row r="267" spans="10:10">
      <c r="J267" s="3000"/>
    </row>
    <row r="268" spans="10:10">
      <c r="J268" s="3000"/>
    </row>
    <row r="269" spans="10:10">
      <c r="J269" s="3000"/>
    </row>
    <row r="270" spans="10:10">
      <c r="J270" s="3000"/>
    </row>
    <row r="271" spans="10:10">
      <c r="J271" s="3000"/>
    </row>
    <row r="272" spans="10:10">
      <c r="J272" s="3000"/>
    </row>
    <row r="273" spans="8:10">
      <c r="J273" s="3000"/>
    </row>
    <row r="274" spans="8:10"/>
    <row r="275" spans="8:10">
      <c r="H275" s="3012"/>
      <c r="I275" s="3012"/>
      <c r="J275" s="3012"/>
    </row>
    <row r="276" spans="8:10">
      <c r="H276" s="3012"/>
      <c r="I276" s="3012"/>
      <c r="J276" s="3012"/>
    </row>
    <row r="277" spans="8:10">
      <c r="H277" s="3013"/>
      <c r="I277" s="3013"/>
      <c r="J277" s="3013"/>
    </row>
    <row r="278" spans="8:10">
      <c r="H278" s="3012"/>
      <c r="I278" s="3012"/>
      <c r="J278" s="3012"/>
    </row>
    <row r="279" spans="8:10">
      <c r="H279" s="3012"/>
      <c r="I279" s="3012"/>
      <c r="J279" s="3012"/>
    </row>
    <row r="280" spans="8:10"/>
    <row r="281" spans="8:10"/>
    <row r="282" spans="8:10"/>
    <row r="283" spans="8:10"/>
    <row r="284" spans="8:10"/>
    <row r="285" spans="8:10"/>
    <row r="286" spans="8:10"/>
    <row r="287" spans="8:10"/>
    <row r="288" spans="8:10"/>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spans="1:1"/>
    <row r="418" spans="1:1"/>
    <row r="419" spans="1:1"/>
    <row r="420" spans="1:1"/>
    <row r="421" spans="1:1">
      <c r="A421" s="3014"/>
    </row>
  </sheetData>
  <sheetProtection password="D5B5" sheet="1" objects="1" scenarios="1"/>
  <mergeCells count="1">
    <mergeCell ref="A77:B77"/>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Hoja44"/>
  <dimension ref="A1:J400"/>
  <sheetViews>
    <sheetView showGridLines="0" showRowColHeaders="0" workbookViewId="0"/>
  </sheetViews>
  <sheetFormatPr baseColWidth="10" defaultColWidth="8.81640625" defaultRowHeight="12.75" customHeight="1" zeroHeight="1"/>
  <cols>
    <col min="1" max="1" width="5.7265625" style="3032" customWidth="1"/>
    <col min="2" max="2" width="43.54296875" style="3032" customWidth="1"/>
    <col min="3" max="3" width="33.7265625" style="3032" customWidth="1"/>
    <col min="4" max="9" width="7.54296875" style="3032" customWidth="1"/>
    <col min="10" max="10" width="22" style="3032" customWidth="1"/>
    <col min="11" max="11" width="5.81640625" style="3032" customWidth="1"/>
    <col min="12" max="253" width="9.81640625" style="3032" customWidth="1"/>
    <col min="254" max="254" width="4.54296875" style="3032" customWidth="1"/>
    <col min="255" max="255" width="2.1796875" style="3032" customWidth="1"/>
    <col min="256" max="16384" width="8.81640625" style="3032"/>
  </cols>
  <sheetData>
    <row r="1" spans="1:10" s="3018" customFormat="1" ht="28" customHeight="1">
      <c r="A1" s="3015"/>
      <c r="B1" s="3016"/>
      <c r="C1" s="3016"/>
      <c r="D1" s="3016"/>
      <c r="E1" s="3016"/>
      <c r="F1" s="3016"/>
      <c r="G1" s="3016"/>
      <c r="H1" s="3016"/>
      <c r="I1" s="3016"/>
      <c r="J1" s="3017" t="str">
        <f>Presentación!A5</f>
        <v/>
      </c>
    </row>
    <row r="2" spans="1:10" s="3018" customFormat="1" ht="13">
      <c r="A2" s="3019" t="s">
        <v>1987</v>
      </c>
      <c r="B2" s="3020" t="s">
        <v>1988</v>
      </c>
      <c r="C2" s="3021"/>
      <c r="D2" s="3021"/>
      <c r="E2" s="3021"/>
      <c r="F2" s="3021"/>
      <c r="G2" s="3021"/>
      <c r="H2" s="3021"/>
      <c r="I2" s="3021"/>
      <c r="J2" s="3022"/>
    </row>
    <row r="3" spans="1:10" s="3018" customFormat="1" ht="13">
      <c r="A3" s="3023" t="s">
        <v>1397</v>
      </c>
      <c r="B3" s="3024" t="s">
        <v>1989</v>
      </c>
      <c r="C3" s="3016"/>
      <c r="D3" s="3016"/>
      <c r="E3" s="3016"/>
      <c r="F3" s="3016"/>
      <c r="G3" s="3016"/>
      <c r="H3" s="3016"/>
      <c r="I3" s="3016"/>
      <c r="J3" s="3025"/>
    </row>
    <row r="4" spans="1:10" s="3018" customFormat="1" ht="13">
      <c r="A4" s="3019"/>
      <c r="B4" s="3020"/>
      <c r="C4" s="3021"/>
      <c r="D4" s="3021"/>
      <c r="E4" s="3021"/>
      <c r="F4" s="3021"/>
      <c r="G4" s="3021"/>
      <c r="H4" s="3021"/>
      <c r="I4" s="3021"/>
      <c r="J4" s="3022"/>
    </row>
    <row r="5" spans="1:10" s="3018" customFormat="1" ht="13">
      <c r="A5" s="3019"/>
      <c r="B5" s="3020"/>
      <c r="C5" s="3021"/>
      <c r="D5" s="3021"/>
      <c r="E5" s="3021"/>
      <c r="F5" s="3021"/>
      <c r="G5" s="3021"/>
      <c r="H5" s="3021"/>
      <c r="I5" s="3021"/>
      <c r="J5" s="3022"/>
    </row>
    <row r="6" spans="1:10" s="3018" customFormat="1" ht="13">
      <c r="A6" s="3019"/>
      <c r="B6" s="3020"/>
      <c r="C6" s="3021"/>
      <c r="D6" s="3021"/>
      <c r="E6" s="3021"/>
      <c r="F6" s="3021"/>
      <c r="G6" s="3021"/>
      <c r="H6" s="3021"/>
      <c r="I6" s="3021"/>
      <c r="J6" s="3022"/>
    </row>
    <row r="7" spans="1:10" s="3018" customFormat="1" ht="13">
      <c r="A7" s="3019"/>
      <c r="B7" s="3020"/>
      <c r="C7" s="3021"/>
      <c r="D7" s="3021"/>
      <c r="E7" s="3021"/>
      <c r="F7" s="3021"/>
      <c r="G7" s="3021"/>
      <c r="H7" s="3021"/>
      <c r="I7" s="3021"/>
      <c r="J7" s="3022"/>
    </row>
    <row r="8" spans="1:10" s="3018" customFormat="1" ht="13">
      <c r="A8" s="3019"/>
      <c r="B8" s="3020"/>
      <c r="C8" s="3021"/>
      <c r="D8" s="3021"/>
      <c r="E8" s="3021"/>
      <c r="F8" s="3021"/>
      <c r="G8" s="3021"/>
      <c r="H8" s="3021"/>
      <c r="I8" s="3021"/>
      <c r="J8" s="3022"/>
    </row>
    <row r="9" spans="1:10" s="3018" customFormat="1" ht="13">
      <c r="A9" s="3019"/>
      <c r="B9" s="3020"/>
      <c r="C9" s="3021"/>
      <c r="D9" s="3021"/>
      <c r="E9" s="3021"/>
      <c r="F9" s="3021"/>
      <c r="G9" s="3021"/>
      <c r="H9" s="3021"/>
      <c r="I9" s="3021"/>
      <c r="J9" s="3022"/>
    </row>
    <row r="10" spans="1:10" s="3018" customFormat="1" ht="13">
      <c r="A10" s="3019"/>
      <c r="B10" s="3020"/>
      <c r="C10" s="3021"/>
      <c r="D10" s="3021"/>
      <c r="E10" s="3021"/>
      <c r="F10" s="3021"/>
      <c r="G10" s="3021"/>
      <c r="H10" s="3021"/>
      <c r="I10" s="3021"/>
      <c r="J10" s="3022"/>
    </row>
    <row r="11" spans="1:10" s="3018" customFormat="1" ht="13">
      <c r="A11" s="3019"/>
      <c r="B11" s="3020"/>
      <c r="C11" s="3021"/>
      <c r="D11" s="3021"/>
      <c r="E11" s="3021"/>
      <c r="F11" s="3021"/>
      <c r="G11" s="3021"/>
      <c r="H11" s="3021"/>
      <c r="I11" s="3021"/>
      <c r="J11" s="3022"/>
    </row>
    <row r="12" spans="1:10" s="3018" customFormat="1" ht="13">
      <c r="A12" s="3019"/>
      <c r="B12" s="3020"/>
      <c r="C12" s="3021"/>
      <c r="D12" s="3021"/>
      <c r="E12" s="3021"/>
      <c r="F12" s="3021"/>
      <c r="G12" s="3021"/>
      <c r="H12" s="3021"/>
      <c r="I12" s="3021"/>
      <c r="J12" s="3022"/>
    </row>
    <row r="13" spans="1:10" s="3018" customFormat="1" ht="13">
      <c r="A13" s="3019"/>
      <c r="B13" s="3020"/>
      <c r="C13" s="3021"/>
      <c r="D13" s="3021"/>
      <c r="E13" s="3021"/>
      <c r="F13" s="3021"/>
      <c r="G13" s="3021"/>
      <c r="H13" s="3021"/>
      <c r="I13" s="3021"/>
      <c r="J13" s="3022"/>
    </row>
    <row r="14" spans="1:10" s="3018" customFormat="1" ht="13">
      <c r="A14" s="3019"/>
      <c r="B14" s="3020"/>
      <c r="C14" s="3021"/>
      <c r="D14" s="3021"/>
      <c r="E14" s="3021"/>
      <c r="F14" s="3021"/>
      <c r="G14" s="3021"/>
      <c r="H14" s="3021"/>
      <c r="I14" s="3021"/>
      <c r="J14" s="3022"/>
    </row>
    <row r="15" spans="1:10" s="3018" customFormat="1" ht="13">
      <c r="A15" s="3019"/>
      <c r="B15" s="3020"/>
      <c r="C15" s="3021"/>
      <c r="D15" s="3021"/>
      <c r="E15" s="3021"/>
      <c r="F15" s="3021"/>
      <c r="G15" s="3021"/>
      <c r="H15" s="3021"/>
      <c r="I15" s="3021"/>
      <c r="J15" s="3022"/>
    </row>
    <row r="16" spans="1:10" s="3018" customFormat="1" ht="13">
      <c r="A16" s="3019"/>
      <c r="B16" s="3020"/>
      <c r="C16" s="3021"/>
      <c r="D16" s="3021"/>
      <c r="E16" s="3021"/>
      <c r="F16" s="3021"/>
      <c r="G16" s="3021"/>
      <c r="H16" s="3021"/>
      <c r="I16" s="3021"/>
      <c r="J16" s="3022"/>
    </row>
    <row r="17" spans="1:10" s="3018" customFormat="1" ht="13">
      <c r="A17" s="3019"/>
      <c r="B17" s="3020"/>
      <c r="C17" s="3021"/>
      <c r="D17" s="3021"/>
      <c r="E17" s="3021"/>
      <c r="F17" s="3021"/>
      <c r="G17" s="3021"/>
      <c r="H17" s="3021"/>
      <c r="I17" s="3021"/>
      <c r="J17" s="3022"/>
    </row>
    <row r="18" spans="1:10" s="3018" customFormat="1" ht="13">
      <c r="A18" s="3019"/>
      <c r="B18" s="3020"/>
      <c r="C18" s="3021"/>
      <c r="D18" s="3021"/>
      <c r="E18" s="3021"/>
      <c r="F18" s="3021"/>
      <c r="G18" s="3021"/>
      <c r="H18" s="3021"/>
      <c r="I18" s="3021"/>
      <c r="J18" s="3022"/>
    </row>
    <row r="19" spans="1:10" s="3018" customFormat="1" ht="13">
      <c r="A19" s="3019"/>
      <c r="B19" s="3020"/>
      <c r="C19" s="3021"/>
      <c r="D19" s="3021"/>
      <c r="E19" s="3021"/>
      <c r="F19" s="3021"/>
      <c r="G19" s="3021"/>
      <c r="H19" s="3021"/>
      <c r="I19" s="3021"/>
      <c r="J19" s="3022"/>
    </row>
    <row r="20" spans="1:10" s="3018" customFormat="1" ht="13">
      <c r="A20" s="3019"/>
      <c r="B20" s="3020"/>
      <c r="C20" s="3021"/>
      <c r="D20" s="3021"/>
      <c r="E20" s="3021"/>
      <c r="F20" s="3021"/>
      <c r="G20" s="3021"/>
      <c r="H20" s="3021"/>
      <c r="I20" s="3021"/>
      <c r="J20" s="3022"/>
    </row>
    <row r="21" spans="1:10" s="3018" customFormat="1" ht="13">
      <c r="A21" s="3023" t="s">
        <v>1398</v>
      </c>
      <c r="B21" s="3024" t="s">
        <v>1990</v>
      </c>
      <c r="C21" s="3016"/>
      <c r="D21" s="3016"/>
      <c r="E21" s="3016"/>
      <c r="F21" s="3016"/>
      <c r="G21" s="3016"/>
      <c r="H21" s="3016"/>
      <c r="I21" s="3016"/>
      <c r="J21" s="3025"/>
    </row>
    <row r="22" spans="1:10" s="3018" customFormat="1" ht="13">
      <c r="A22" s="3019"/>
      <c r="B22" s="3020"/>
      <c r="C22" s="3021"/>
      <c r="D22" s="3021"/>
      <c r="E22" s="3021"/>
      <c r="F22" s="3021"/>
      <c r="G22" s="3021"/>
      <c r="H22" s="3021"/>
      <c r="I22" s="3021"/>
      <c r="J22" s="3022"/>
    </row>
    <row r="23" spans="1:10" s="3018" customFormat="1" ht="13">
      <c r="A23" s="3019"/>
      <c r="B23" s="3020"/>
      <c r="C23" s="3021"/>
      <c r="D23" s="3021"/>
      <c r="E23" s="3021"/>
      <c r="F23" s="3021"/>
      <c r="G23" s="3021"/>
      <c r="H23" s="3021"/>
      <c r="I23" s="3021"/>
      <c r="J23" s="3022"/>
    </row>
    <row r="24" spans="1:10" s="3018" customFormat="1" ht="13">
      <c r="A24" s="3019"/>
      <c r="B24" s="3020"/>
      <c r="C24" s="3021"/>
      <c r="D24" s="3021"/>
      <c r="E24" s="3021"/>
      <c r="F24" s="3021"/>
      <c r="G24" s="3021"/>
      <c r="H24" s="3021"/>
      <c r="I24" s="3021"/>
      <c r="J24" s="3022"/>
    </row>
    <row r="25" spans="1:10" s="3018" customFormat="1" ht="13">
      <c r="A25" s="3019"/>
      <c r="B25" s="3020"/>
      <c r="C25" s="3021"/>
      <c r="D25" s="3021"/>
      <c r="E25" s="3021"/>
      <c r="F25" s="3021"/>
      <c r="G25" s="3021"/>
      <c r="H25" s="3021"/>
      <c r="I25" s="3021"/>
      <c r="J25" s="3022"/>
    </row>
    <row r="26" spans="1:10" s="3018" customFormat="1" ht="13">
      <c r="A26" s="3019"/>
      <c r="B26" s="3020"/>
      <c r="C26" s="3021"/>
      <c r="D26" s="3021"/>
      <c r="E26" s="3021"/>
      <c r="F26" s="3021"/>
      <c r="G26" s="3021"/>
      <c r="H26" s="3021"/>
      <c r="I26" s="3021"/>
      <c r="J26" s="3022"/>
    </row>
    <row r="27" spans="1:10" s="3018" customFormat="1" ht="13">
      <c r="A27" s="3019"/>
      <c r="B27" s="3020"/>
      <c r="C27" s="3021"/>
      <c r="D27" s="3021"/>
      <c r="E27" s="3021"/>
      <c r="F27" s="3021"/>
      <c r="G27" s="3021"/>
      <c r="H27" s="3021"/>
      <c r="I27" s="3021"/>
      <c r="J27" s="3022"/>
    </row>
    <row r="28" spans="1:10" s="3018" customFormat="1" ht="13">
      <c r="A28" s="3019"/>
      <c r="B28" s="3020"/>
      <c r="C28" s="3021"/>
      <c r="D28" s="3021"/>
      <c r="E28" s="3021"/>
      <c r="F28" s="3021"/>
      <c r="G28" s="3021"/>
      <c r="H28" s="3021"/>
      <c r="I28" s="3021"/>
      <c r="J28" s="3022"/>
    </row>
    <row r="29" spans="1:10" s="3018" customFormat="1" ht="13">
      <c r="A29" s="3019"/>
      <c r="B29" s="3020"/>
      <c r="C29" s="3021"/>
      <c r="D29" s="3021"/>
      <c r="E29" s="3021"/>
      <c r="F29" s="3021"/>
      <c r="G29" s="3021"/>
      <c r="H29" s="3021"/>
      <c r="I29" s="3021"/>
      <c r="J29" s="3022"/>
    </row>
    <row r="30" spans="1:10" s="3018" customFormat="1" ht="13">
      <c r="A30" s="3019"/>
      <c r="B30" s="3020"/>
      <c r="C30" s="3021"/>
      <c r="D30" s="3021"/>
      <c r="E30" s="3021"/>
      <c r="F30" s="3021"/>
      <c r="G30" s="3021"/>
      <c r="H30" s="3021"/>
      <c r="I30" s="3021"/>
      <c r="J30" s="3022"/>
    </row>
    <row r="31" spans="1:10" s="3018" customFormat="1" ht="13">
      <c r="A31" s="3019"/>
      <c r="B31" s="3020"/>
      <c r="C31" s="3021"/>
      <c r="D31" s="3021"/>
      <c r="E31" s="3021"/>
      <c r="F31" s="3021"/>
      <c r="G31" s="3021"/>
      <c r="H31" s="3021"/>
      <c r="I31" s="3021"/>
      <c r="J31" s="3022"/>
    </row>
    <row r="32" spans="1:10" s="3018" customFormat="1" ht="13">
      <c r="A32" s="3019"/>
      <c r="B32" s="3020"/>
      <c r="C32" s="3021"/>
      <c r="D32" s="3021"/>
      <c r="E32" s="3021"/>
      <c r="F32" s="3021"/>
      <c r="G32" s="3021"/>
      <c r="H32" s="3021"/>
      <c r="I32" s="3021"/>
      <c r="J32" s="3022"/>
    </row>
    <row r="33" spans="1:10" s="3018" customFormat="1" ht="13">
      <c r="A33" s="3019"/>
      <c r="B33" s="3020"/>
      <c r="C33" s="3021"/>
      <c r="D33" s="3021"/>
      <c r="E33" s="3021"/>
      <c r="F33" s="3021"/>
      <c r="G33" s="3021"/>
      <c r="H33" s="3021"/>
      <c r="I33" s="3021"/>
      <c r="J33" s="3022"/>
    </row>
    <row r="34" spans="1:10" s="3018" customFormat="1" ht="13">
      <c r="A34" s="3019"/>
      <c r="B34" s="3020"/>
      <c r="C34" s="3021"/>
      <c r="D34" s="3021"/>
      <c r="E34" s="3021"/>
      <c r="F34" s="3021"/>
      <c r="G34" s="3021"/>
      <c r="H34" s="3021"/>
      <c r="I34" s="3021"/>
      <c r="J34" s="3022"/>
    </row>
    <row r="35" spans="1:10" s="3018" customFormat="1" ht="13">
      <c r="A35" s="3019"/>
      <c r="B35" s="3020"/>
      <c r="C35" s="3021"/>
      <c r="D35" s="3021"/>
      <c r="E35" s="3021"/>
      <c r="F35" s="3021"/>
      <c r="G35" s="3021"/>
      <c r="H35" s="3021"/>
      <c r="I35" s="3021"/>
      <c r="J35" s="3022"/>
    </row>
    <row r="36" spans="1:10" s="3018" customFormat="1" ht="13">
      <c r="A36" s="3019"/>
      <c r="B36" s="3020"/>
      <c r="C36" s="3021"/>
      <c r="D36" s="3021"/>
      <c r="E36" s="3021"/>
      <c r="F36" s="3021"/>
      <c r="G36" s="3021"/>
      <c r="H36" s="3021"/>
      <c r="I36" s="3021"/>
      <c r="J36" s="3022"/>
    </row>
    <row r="37" spans="1:10" s="3018" customFormat="1" ht="13">
      <c r="A37" s="3019"/>
      <c r="B37" s="3020"/>
      <c r="C37" s="3021"/>
      <c r="D37" s="3021"/>
      <c r="E37" s="3021"/>
      <c r="F37" s="3021"/>
      <c r="G37" s="3021"/>
      <c r="H37" s="3021"/>
      <c r="I37" s="3021"/>
      <c r="J37" s="3022"/>
    </row>
    <row r="38" spans="1:10" s="3018" customFormat="1" ht="13">
      <c r="A38" s="3019"/>
      <c r="B38" s="3020"/>
      <c r="C38" s="3021"/>
      <c r="D38" s="3021"/>
      <c r="E38" s="3021"/>
      <c r="F38" s="3021"/>
      <c r="G38" s="3021"/>
      <c r="H38" s="3021"/>
      <c r="I38" s="3021"/>
      <c r="J38" s="3022"/>
    </row>
    <row r="39" spans="1:10" s="3018" customFormat="1" ht="13">
      <c r="A39" s="3019"/>
      <c r="B39" s="3020"/>
      <c r="C39" s="3021"/>
      <c r="D39" s="3021"/>
      <c r="E39" s="3021"/>
      <c r="F39" s="3021"/>
      <c r="G39" s="3021"/>
      <c r="H39" s="3021"/>
      <c r="I39" s="3021"/>
      <c r="J39" s="3022"/>
    </row>
    <row r="40" spans="1:10" s="3018" customFormat="1" ht="13">
      <c r="A40" s="3019"/>
      <c r="B40" s="3020"/>
      <c r="C40" s="3021"/>
      <c r="D40" s="3021"/>
      <c r="E40" s="3021"/>
      <c r="F40" s="3021"/>
      <c r="G40" s="3021"/>
      <c r="H40" s="3021"/>
      <c r="I40" s="3021"/>
      <c r="J40" s="3022"/>
    </row>
    <row r="41" spans="1:10" s="3018" customFormat="1" ht="13">
      <c r="A41" s="3019"/>
      <c r="B41" s="3020"/>
      <c r="C41" s="3021"/>
      <c r="D41" s="3021"/>
      <c r="E41" s="3021"/>
      <c r="F41" s="3021"/>
      <c r="G41" s="3021"/>
      <c r="H41" s="3021"/>
      <c r="I41" s="3021"/>
      <c r="J41" s="3022"/>
    </row>
    <row r="42" spans="1:10" s="3018" customFormat="1" ht="13">
      <c r="A42" s="3019"/>
      <c r="B42" s="3020"/>
      <c r="C42" s="3021"/>
      <c r="D42" s="3021"/>
      <c r="E42" s="3021"/>
      <c r="F42" s="3021"/>
      <c r="G42" s="3021"/>
      <c r="H42" s="3021"/>
      <c r="I42" s="3021"/>
      <c r="J42" s="3022"/>
    </row>
    <row r="43" spans="1:10" s="3018" customFormat="1" ht="13">
      <c r="A43" s="3019"/>
      <c r="B43" s="3020"/>
      <c r="C43" s="3021"/>
      <c r="D43" s="3021"/>
      <c r="E43" s="3021"/>
      <c r="F43" s="3021"/>
      <c r="G43" s="3021"/>
      <c r="H43" s="3021"/>
      <c r="I43" s="3021"/>
      <c r="J43" s="3022"/>
    </row>
    <row r="44" spans="1:10" s="3018" customFormat="1" ht="13">
      <c r="A44" s="3019"/>
      <c r="B44" s="3020"/>
      <c r="C44" s="3021"/>
      <c r="D44" s="3021"/>
      <c r="E44" s="3021"/>
      <c r="F44" s="3021"/>
      <c r="G44" s="3021"/>
      <c r="H44" s="3021"/>
      <c r="I44" s="3021"/>
      <c r="J44" s="3022"/>
    </row>
    <row r="45" spans="1:10" s="3018" customFormat="1" ht="13">
      <c r="A45" s="3019"/>
      <c r="B45" s="3020"/>
      <c r="C45" s="3021"/>
      <c r="D45" s="3021"/>
      <c r="E45" s="3021"/>
      <c r="F45" s="3021"/>
      <c r="G45" s="3021"/>
      <c r="H45" s="3021"/>
      <c r="I45" s="3021"/>
      <c r="J45" s="3022"/>
    </row>
    <row r="46" spans="1:10" s="3018" customFormat="1" ht="13">
      <c r="A46" s="3019"/>
      <c r="B46" s="3020"/>
      <c r="C46" s="3021"/>
      <c r="D46" s="3021"/>
      <c r="E46" s="3021"/>
      <c r="F46" s="3021"/>
      <c r="G46" s="3021"/>
      <c r="H46" s="3021"/>
      <c r="I46" s="3021"/>
      <c r="J46" s="3022"/>
    </row>
    <row r="47" spans="1:10" s="3018" customFormat="1" ht="13">
      <c r="A47" s="3026" t="s">
        <v>1991</v>
      </c>
      <c r="B47" s="3024" t="s">
        <v>1992</v>
      </c>
      <c r="C47" s="3016"/>
      <c r="D47" s="3016"/>
      <c r="E47" s="3016"/>
      <c r="F47" s="3016"/>
      <c r="G47" s="3016"/>
      <c r="H47" s="3016"/>
      <c r="I47" s="3016"/>
      <c r="J47" s="3027"/>
    </row>
    <row r="48" spans="1:10" s="3018" customFormat="1" ht="13">
      <c r="A48" s="3019"/>
      <c r="B48" s="3020"/>
      <c r="C48" s="3021"/>
      <c r="D48" s="3021"/>
      <c r="E48" s="3021"/>
      <c r="F48" s="3021"/>
      <c r="G48" s="3021"/>
      <c r="H48" s="3021"/>
      <c r="I48" s="3021"/>
      <c r="J48" s="3022"/>
    </row>
    <row r="49" spans="1:10" s="3018" customFormat="1" ht="13">
      <c r="A49" s="3019"/>
      <c r="B49" s="3020"/>
      <c r="C49" s="3021"/>
      <c r="D49" s="3021"/>
      <c r="E49" s="3021"/>
      <c r="F49" s="3021"/>
      <c r="G49" s="3021"/>
      <c r="H49" s="3021"/>
      <c r="I49" s="3021"/>
      <c r="J49" s="3022"/>
    </row>
    <row r="50" spans="1:10" s="3018" customFormat="1" ht="13">
      <c r="A50" s="3019"/>
      <c r="B50" s="3020"/>
      <c r="C50" s="3021"/>
      <c r="D50" s="3021"/>
      <c r="E50" s="3021"/>
      <c r="F50" s="3021"/>
      <c r="G50" s="3021"/>
      <c r="H50" s="3021"/>
      <c r="I50" s="3021"/>
      <c r="J50" s="3022"/>
    </row>
    <row r="51" spans="1:10" s="3018" customFormat="1" ht="13">
      <c r="A51" s="3019"/>
      <c r="B51" s="3020"/>
      <c r="C51" s="3021"/>
      <c r="D51" s="3021"/>
      <c r="E51" s="3021"/>
      <c r="F51" s="3021"/>
      <c r="G51" s="3021"/>
      <c r="H51" s="3021"/>
      <c r="I51" s="3021"/>
      <c r="J51" s="3022"/>
    </row>
    <row r="52" spans="1:10" s="3018" customFormat="1" ht="13">
      <c r="A52" s="3019"/>
      <c r="B52" s="3020"/>
      <c r="C52" s="3021"/>
      <c r="D52" s="3021"/>
      <c r="E52" s="3021"/>
      <c r="F52" s="3021"/>
      <c r="G52" s="3021"/>
      <c r="H52" s="3021"/>
      <c r="I52" s="3021"/>
      <c r="J52" s="3022"/>
    </row>
    <row r="53" spans="1:10" s="3018" customFormat="1" ht="13">
      <c r="A53" s="3019"/>
      <c r="B53" s="3020"/>
      <c r="C53" s="3021"/>
      <c r="D53" s="3021"/>
      <c r="E53" s="3021"/>
      <c r="F53" s="3021"/>
      <c r="G53" s="3021"/>
      <c r="H53" s="3021"/>
      <c r="I53" s="3021"/>
      <c r="J53" s="3022"/>
    </row>
    <row r="54" spans="1:10" s="3018" customFormat="1" ht="13">
      <c r="A54" s="3019"/>
      <c r="B54" s="3020"/>
      <c r="C54" s="3021"/>
      <c r="D54" s="3021"/>
      <c r="E54" s="3021"/>
      <c r="F54" s="3021"/>
      <c r="G54" s="3021"/>
      <c r="H54" s="3021"/>
      <c r="I54" s="3021"/>
      <c r="J54" s="3022"/>
    </row>
    <row r="55" spans="1:10" s="3018" customFormat="1" ht="13">
      <c r="A55" s="3019"/>
      <c r="B55" s="3020"/>
      <c r="C55" s="3021"/>
      <c r="D55" s="3021"/>
      <c r="E55" s="3021"/>
      <c r="F55" s="3021"/>
      <c r="G55" s="3021"/>
      <c r="H55" s="3021"/>
      <c r="I55" s="3021"/>
      <c r="J55" s="3022"/>
    </row>
    <row r="56" spans="1:10" s="3018" customFormat="1" ht="13">
      <c r="A56" s="3019"/>
      <c r="B56" s="3020"/>
      <c r="C56" s="3021"/>
      <c r="D56" s="3021"/>
      <c r="E56" s="3021"/>
      <c r="F56" s="3021"/>
      <c r="G56" s="3021"/>
      <c r="H56" s="3021"/>
      <c r="I56" s="3021"/>
      <c r="J56" s="3022"/>
    </row>
    <row r="57" spans="1:10" s="3018" customFormat="1" ht="13">
      <c r="A57" s="3019"/>
      <c r="B57" s="3020"/>
      <c r="C57" s="3021"/>
      <c r="D57" s="3021"/>
      <c r="E57" s="3021"/>
      <c r="F57" s="3021"/>
      <c r="G57" s="3021"/>
      <c r="H57" s="3021"/>
      <c r="I57" s="3021"/>
      <c r="J57" s="3022"/>
    </row>
    <row r="58" spans="1:10" s="3018" customFormat="1" ht="13">
      <c r="A58" s="3019"/>
      <c r="B58" s="3020"/>
      <c r="C58" s="3021"/>
      <c r="D58" s="3021"/>
      <c r="E58" s="3021"/>
      <c r="F58" s="3021"/>
      <c r="G58" s="3021"/>
      <c r="H58" s="3021"/>
      <c r="I58" s="3021"/>
      <c r="J58" s="3022"/>
    </row>
    <row r="59" spans="1:10" s="3018" customFormat="1" ht="13">
      <c r="A59" s="3019"/>
      <c r="B59" s="3020"/>
      <c r="C59" s="3021"/>
      <c r="D59" s="3021"/>
      <c r="E59" s="3021"/>
      <c r="F59" s="3021"/>
      <c r="G59" s="3021"/>
      <c r="H59" s="3021"/>
      <c r="I59" s="3021"/>
      <c r="J59" s="3022"/>
    </row>
    <row r="60" spans="1:10" s="3018" customFormat="1" ht="13">
      <c r="A60" s="3019"/>
      <c r="B60" s="3020"/>
      <c r="C60" s="3021"/>
      <c r="D60" s="3021"/>
      <c r="E60" s="3021"/>
      <c r="F60" s="3021"/>
      <c r="G60" s="3021"/>
      <c r="H60" s="3021"/>
      <c r="I60" s="3021"/>
      <c r="J60" s="3022"/>
    </row>
    <row r="61" spans="1:10" s="3018" customFormat="1" ht="13">
      <c r="A61" s="3019"/>
      <c r="B61" s="3020"/>
      <c r="C61" s="3021"/>
      <c r="D61" s="3021"/>
      <c r="E61" s="3021"/>
      <c r="F61" s="3021"/>
      <c r="G61" s="3021"/>
      <c r="H61" s="3021"/>
      <c r="I61" s="3021"/>
      <c r="J61" s="3022"/>
    </row>
    <row r="62" spans="1:10" s="3018" customFormat="1" ht="13">
      <c r="A62" s="3019"/>
      <c r="B62" s="3020"/>
      <c r="C62" s="3021"/>
      <c r="D62" s="3021"/>
      <c r="E62" s="3021"/>
      <c r="F62" s="3021"/>
      <c r="G62" s="3021"/>
      <c r="H62" s="3021"/>
      <c r="I62" s="3021"/>
      <c r="J62" s="3022"/>
    </row>
    <row r="63" spans="1:10" s="3018" customFormat="1" ht="13">
      <c r="A63" s="3019"/>
      <c r="B63" s="3020"/>
      <c r="C63" s="3021"/>
      <c r="D63" s="3021"/>
      <c r="E63" s="3021"/>
      <c r="F63" s="3021"/>
      <c r="G63" s="3021"/>
      <c r="H63" s="3021"/>
      <c r="I63" s="3021"/>
      <c r="J63" s="3022"/>
    </row>
    <row r="64" spans="1:10" s="3018" customFormat="1" ht="13">
      <c r="A64" s="3019"/>
      <c r="B64" s="3020"/>
      <c r="C64" s="3021"/>
      <c r="D64" s="3021"/>
      <c r="E64" s="3021"/>
      <c r="F64" s="3021"/>
      <c r="G64" s="3021"/>
      <c r="H64" s="3021"/>
      <c r="I64" s="3021"/>
      <c r="J64" s="3022"/>
    </row>
    <row r="65" spans="1:10" s="3018" customFormat="1" ht="13">
      <c r="A65" s="3019"/>
      <c r="B65" s="3020"/>
      <c r="C65" s="3021"/>
      <c r="D65" s="3021"/>
      <c r="E65" s="3021"/>
      <c r="F65" s="3021"/>
      <c r="G65" s="3021"/>
      <c r="H65" s="3021"/>
      <c r="I65" s="3021"/>
      <c r="J65" s="3022"/>
    </row>
    <row r="66" spans="1:10" s="3018" customFormat="1" ht="13">
      <c r="A66" s="3019"/>
      <c r="B66" s="3020"/>
      <c r="C66" s="3021"/>
      <c r="D66" s="3021"/>
      <c r="E66" s="3021"/>
      <c r="F66" s="3021"/>
      <c r="G66" s="3021"/>
      <c r="H66" s="3021"/>
      <c r="I66" s="3021"/>
      <c r="J66" s="3022"/>
    </row>
    <row r="67" spans="1:10" s="3018" customFormat="1" ht="13">
      <c r="A67" s="3019"/>
      <c r="B67" s="3020"/>
      <c r="C67" s="3021"/>
      <c r="D67" s="3021"/>
      <c r="E67" s="3021"/>
      <c r="F67" s="3021"/>
      <c r="G67" s="3021"/>
      <c r="H67" s="3021"/>
      <c r="I67" s="3021"/>
      <c r="J67" s="3022"/>
    </row>
    <row r="68" spans="1:10" s="3018" customFormat="1" ht="13">
      <c r="A68" s="3019"/>
      <c r="B68" s="3020"/>
      <c r="C68" s="3021"/>
      <c r="D68" s="3021"/>
      <c r="E68" s="3021"/>
      <c r="F68" s="3021"/>
      <c r="G68" s="3021"/>
      <c r="H68" s="3021"/>
      <c r="I68" s="3021"/>
      <c r="J68" s="3022"/>
    </row>
    <row r="69" spans="1:10" s="3018" customFormat="1" ht="13">
      <c r="A69" s="3019"/>
      <c r="B69" s="3020"/>
      <c r="C69" s="3021"/>
      <c r="D69" s="3021"/>
      <c r="E69" s="3021"/>
      <c r="F69" s="3021"/>
      <c r="G69" s="3021"/>
      <c r="H69" s="3021"/>
      <c r="I69" s="3021"/>
      <c r="J69" s="3022"/>
    </row>
    <row r="70" spans="1:10" s="3018" customFormat="1" ht="13">
      <c r="A70" s="3019"/>
      <c r="B70" s="3020"/>
      <c r="C70" s="3021"/>
      <c r="D70" s="3021"/>
      <c r="E70" s="3021"/>
      <c r="F70" s="3021"/>
      <c r="G70" s="3021"/>
      <c r="H70" s="3021"/>
      <c r="I70" s="3021"/>
      <c r="J70" s="3022"/>
    </row>
    <row r="71" spans="1:10" s="3018" customFormat="1" ht="13">
      <c r="A71" s="3019"/>
      <c r="B71" s="3020"/>
      <c r="C71" s="3021"/>
      <c r="D71" s="3021"/>
      <c r="E71" s="3021"/>
      <c r="F71" s="3021"/>
      <c r="G71" s="3021"/>
      <c r="H71" s="3021"/>
      <c r="I71" s="3021"/>
      <c r="J71" s="3022"/>
    </row>
    <row r="72" spans="1:10" s="3018" customFormat="1" ht="13">
      <c r="A72" s="3019"/>
      <c r="B72" s="3020"/>
      <c r="C72" s="3021"/>
      <c r="D72" s="3021"/>
      <c r="E72" s="3021"/>
      <c r="F72" s="3021"/>
      <c r="G72" s="3021"/>
      <c r="H72" s="3021"/>
      <c r="I72" s="3021"/>
      <c r="J72" s="3022"/>
    </row>
    <row r="73" spans="1:10" s="3018" customFormat="1" ht="13">
      <c r="A73" s="3019"/>
      <c r="B73" s="3020"/>
      <c r="C73" s="3021"/>
      <c r="D73" s="3021"/>
      <c r="E73" s="3021"/>
      <c r="F73" s="3021"/>
      <c r="G73" s="3021"/>
      <c r="H73" s="3021"/>
      <c r="I73" s="3021"/>
      <c r="J73" s="3022"/>
    </row>
    <row r="74" spans="1:10" s="3018" customFormat="1" ht="13">
      <c r="A74" s="3019"/>
      <c r="B74" s="3020"/>
      <c r="C74" s="3021"/>
      <c r="D74" s="3021"/>
      <c r="E74" s="3021"/>
      <c r="F74" s="3021"/>
      <c r="G74" s="3021"/>
      <c r="H74" s="3021"/>
      <c r="I74" s="3021"/>
      <c r="J74" s="3022"/>
    </row>
    <row r="75" spans="1:10" s="3018" customFormat="1" ht="13">
      <c r="A75" s="3019"/>
      <c r="B75" s="3020"/>
      <c r="C75" s="3021"/>
      <c r="D75" s="3021"/>
      <c r="E75" s="3021"/>
      <c r="F75" s="3021"/>
      <c r="G75" s="3021"/>
      <c r="H75" s="3021"/>
      <c r="I75" s="3021"/>
      <c r="J75" s="3022"/>
    </row>
    <row r="76" spans="1:10" s="3018" customFormat="1" ht="13">
      <c r="A76" s="3019"/>
      <c r="B76" s="3020"/>
      <c r="C76" s="3021"/>
      <c r="D76" s="3021"/>
      <c r="E76" s="3021"/>
      <c r="F76" s="3021"/>
      <c r="G76" s="3021"/>
      <c r="H76" s="3021"/>
      <c r="I76" s="3021"/>
      <c r="J76" s="3022"/>
    </row>
    <row r="77" spans="1:10" s="3018" customFormat="1" ht="13">
      <c r="A77" s="3019"/>
      <c r="B77" s="3020"/>
      <c r="C77" s="3021"/>
      <c r="D77" s="3021"/>
      <c r="E77" s="3021"/>
      <c r="F77" s="3021"/>
      <c r="G77" s="3021"/>
      <c r="H77" s="3021"/>
      <c r="I77" s="3021"/>
      <c r="J77" s="3022"/>
    </row>
    <row r="78" spans="1:10" s="3018" customFormat="1" ht="13">
      <c r="A78" s="3019"/>
      <c r="B78" s="3020"/>
      <c r="C78" s="3021"/>
      <c r="D78" s="3021"/>
      <c r="E78" s="3021"/>
      <c r="F78" s="3021"/>
      <c r="G78" s="3021"/>
      <c r="H78" s="3021"/>
      <c r="I78" s="3021"/>
      <c r="J78" s="3022"/>
    </row>
    <row r="79" spans="1:10" s="3018" customFormat="1" ht="13">
      <c r="A79" s="3019"/>
      <c r="B79" s="3020"/>
      <c r="C79" s="3021"/>
      <c r="D79" s="3021"/>
      <c r="E79" s="3021"/>
      <c r="F79" s="3021"/>
      <c r="G79" s="3021"/>
      <c r="H79" s="3021"/>
      <c r="I79" s="3021"/>
      <c r="J79" s="3022"/>
    </row>
    <row r="80" spans="1:10" s="3018" customFormat="1" ht="13">
      <c r="A80" s="3019"/>
      <c r="B80" s="3020"/>
      <c r="C80" s="3021"/>
      <c r="D80" s="3021"/>
      <c r="E80" s="3021"/>
      <c r="F80" s="3021"/>
      <c r="G80" s="3021"/>
      <c r="H80" s="3021"/>
      <c r="I80" s="3021"/>
      <c r="J80" s="3022"/>
    </row>
    <row r="81" spans="1:10" s="3018" customFormat="1" ht="13">
      <c r="A81" s="3023" t="s">
        <v>1993</v>
      </c>
      <c r="B81" s="3024" t="s">
        <v>1994</v>
      </c>
      <c r="C81" s="3016"/>
      <c r="D81" s="3016"/>
      <c r="E81" s="3016"/>
      <c r="F81" s="3016"/>
      <c r="G81" s="3016"/>
      <c r="H81" s="3016"/>
      <c r="I81" s="3016"/>
      <c r="J81" s="3025"/>
    </row>
    <row r="82" spans="1:10" s="3018" customFormat="1" ht="13">
      <c r="A82" s="3019"/>
      <c r="B82" s="3020"/>
      <c r="C82" s="3021"/>
      <c r="D82" s="3021"/>
      <c r="E82" s="3021"/>
      <c r="F82" s="3021"/>
      <c r="G82" s="3021"/>
      <c r="H82" s="3021"/>
      <c r="I82" s="3021"/>
      <c r="J82" s="3022"/>
    </row>
    <row r="83" spans="1:10" s="3018" customFormat="1" ht="13">
      <c r="A83" s="3019"/>
      <c r="B83" s="3020"/>
      <c r="C83" s="3021"/>
      <c r="D83" s="3021"/>
      <c r="E83" s="3021"/>
      <c r="F83" s="3021"/>
      <c r="G83" s="3021"/>
      <c r="H83" s="3021"/>
      <c r="I83" s="3021"/>
      <c r="J83" s="3022"/>
    </row>
    <row r="84" spans="1:10" s="3018" customFormat="1" ht="13">
      <c r="A84" s="3019"/>
      <c r="B84" s="3020"/>
      <c r="C84" s="3021"/>
      <c r="D84" s="3021"/>
      <c r="E84" s="3021"/>
      <c r="F84" s="3021"/>
      <c r="G84" s="3021"/>
      <c r="H84" s="3021"/>
      <c r="I84" s="3021"/>
      <c r="J84" s="3022"/>
    </row>
    <row r="85" spans="1:10" s="3018" customFormat="1" ht="13">
      <c r="A85" s="3019"/>
      <c r="B85" s="3020"/>
      <c r="C85" s="3021"/>
      <c r="D85" s="3021"/>
      <c r="E85" s="3021"/>
      <c r="F85" s="3021"/>
      <c r="G85" s="3021"/>
      <c r="H85" s="3021"/>
      <c r="I85" s="3021"/>
      <c r="J85" s="3022"/>
    </row>
    <row r="86" spans="1:10" s="3018" customFormat="1" ht="13">
      <c r="A86" s="3019"/>
      <c r="B86" s="3020"/>
      <c r="C86" s="3021"/>
      <c r="D86" s="3021"/>
      <c r="E86" s="3021"/>
      <c r="F86" s="3021"/>
      <c r="G86" s="3021"/>
      <c r="H86" s="3021"/>
      <c r="I86" s="3021"/>
      <c r="J86" s="3022"/>
    </row>
    <row r="87" spans="1:10" s="3018" customFormat="1" ht="13">
      <c r="A87" s="3019"/>
      <c r="B87" s="3020"/>
      <c r="C87" s="3021"/>
      <c r="D87" s="3021"/>
      <c r="E87" s="3021"/>
      <c r="F87" s="3021"/>
      <c r="G87" s="3021"/>
      <c r="H87" s="3021"/>
      <c r="I87" s="3021"/>
      <c r="J87" s="3022"/>
    </row>
    <row r="88" spans="1:10" s="3018" customFormat="1" ht="13">
      <c r="A88" s="3019"/>
      <c r="B88" s="3020"/>
      <c r="C88" s="3021"/>
      <c r="D88" s="3021"/>
      <c r="E88" s="3021"/>
      <c r="F88" s="3021"/>
      <c r="G88" s="3021"/>
      <c r="H88" s="3021"/>
      <c r="I88" s="3021"/>
      <c r="J88" s="3022"/>
    </row>
    <row r="89" spans="1:10" s="3018" customFormat="1" ht="13">
      <c r="A89" s="3019"/>
      <c r="B89" s="3020"/>
      <c r="C89" s="3021"/>
      <c r="D89" s="3021"/>
      <c r="E89" s="3021"/>
      <c r="F89" s="3021"/>
      <c r="G89" s="3021"/>
      <c r="H89" s="3021"/>
      <c r="I89" s="3021"/>
      <c r="J89" s="3022"/>
    </row>
    <row r="90" spans="1:10" s="3018" customFormat="1" ht="13">
      <c r="A90" s="3019"/>
      <c r="B90" s="3020"/>
      <c r="C90" s="3021"/>
      <c r="D90" s="3021"/>
      <c r="E90" s="3021"/>
      <c r="F90" s="3021"/>
      <c r="G90" s="3021"/>
      <c r="H90" s="3021"/>
      <c r="I90" s="3021"/>
      <c r="J90" s="3022"/>
    </row>
    <row r="91" spans="1:10" s="3018" customFormat="1" ht="13">
      <c r="A91" s="3019"/>
      <c r="B91" s="3020"/>
      <c r="C91" s="3021"/>
      <c r="D91" s="3021"/>
      <c r="E91" s="3021"/>
      <c r="F91" s="3021"/>
      <c r="G91" s="3021"/>
      <c r="H91" s="3021"/>
      <c r="I91" s="3021"/>
      <c r="J91" s="3022"/>
    </row>
    <row r="92" spans="1:10" s="3018" customFormat="1" ht="13">
      <c r="A92" s="3019"/>
      <c r="B92" s="3020"/>
      <c r="C92" s="3021"/>
      <c r="D92" s="3021"/>
      <c r="E92" s="3021"/>
      <c r="F92" s="3021"/>
      <c r="G92" s="3021"/>
      <c r="H92" s="3021"/>
      <c r="I92" s="3021"/>
      <c r="J92" s="3022"/>
    </row>
    <row r="93" spans="1:10" s="3018" customFormat="1" ht="13">
      <c r="A93" s="3019"/>
      <c r="B93" s="3020"/>
      <c r="C93" s="3021"/>
      <c r="D93" s="3021"/>
      <c r="E93" s="3021"/>
      <c r="F93" s="3021"/>
      <c r="G93" s="3021"/>
      <c r="H93" s="3021"/>
      <c r="I93" s="3021"/>
      <c r="J93" s="3022"/>
    </row>
    <row r="94" spans="1:10" s="3018" customFormat="1" ht="13">
      <c r="A94" s="3019"/>
      <c r="B94" s="3020"/>
      <c r="C94" s="3021"/>
      <c r="D94" s="3021"/>
      <c r="E94" s="3021"/>
      <c r="F94" s="3021"/>
      <c r="G94" s="3021"/>
      <c r="H94" s="3021"/>
      <c r="I94" s="3021"/>
      <c r="J94" s="3022"/>
    </row>
    <row r="95" spans="1:10" s="3018" customFormat="1" ht="13">
      <c r="A95" s="3019"/>
      <c r="B95" s="3020"/>
      <c r="C95" s="3021"/>
      <c r="D95" s="3021"/>
      <c r="E95" s="3021"/>
      <c r="F95" s="3021"/>
      <c r="G95" s="3021"/>
      <c r="H95" s="3021"/>
      <c r="I95" s="3021"/>
      <c r="J95" s="3022"/>
    </row>
    <row r="96" spans="1:10" s="3018" customFormat="1" ht="13">
      <c r="A96" s="3019"/>
      <c r="B96" s="3020"/>
      <c r="C96" s="3021"/>
      <c r="D96" s="3021"/>
      <c r="E96" s="3021"/>
      <c r="F96" s="3021"/>
      <c r="G96" s="3021"/>
      <c r="H96" s="3021"/>
      <c r="I96" s="3021"/>
      <c r="J96" s="3022"/>
    </row>
    <row r="97" spans="1:10" s="3018" customFormat="1" ht="13">
      <c r="A97" s="3019"/>
      <c r="B97" s="3020"/>
      <c r="C97" s="3021"/>
      <c r="D97" s="3021"/>
      <c r="E97" s="3021"/>
      <c r="F97" s="3021"/>
      <c r="G97" s="3021"/>
      <c r="H97" s="3021"/>
      <c r="I97" s="3021"/>
      <c r="J97" s="3022"/>
    </row>
    <row r="98" spans="1:10" s="3018" customFormat="1" ht="13">
      <c r="A98" s="3019"/>
      <c r="B98" s="3020"/>
      <c r="C98" s="3021"/>
      <c r="D98" s="3021"/>
      <c r="E98" s="3021"/>
      <c r="F98" s="3021"/>
      <c r="G98" s="3021"/>
      <c r="H98" s="3021"/>
      <c r="I98" s="3021"/>
      <c r="J98" s="3022"/>
    </row>
    <row r="99" spans="1:10" s="3018" customFormat="1" ht="13">
      <c r="A99" s="3019"/>
      <c r="B99" s="3020"/>
      <c r="C99" s="3021"/>
      <c r="D99" s="3021"/>
      <c r="E99" s="3021"/>
      <c r="F99" s="3021"/>
      <c r="G99" s="3021"/>
      <c r="H99" s="3021"/>
      <c r="I99" s="3021"/>
      <c r="J99" s="3022"/>
    </row>
    <row r="100" spans="1:10" s="3018" customFormat="1" ht="13">
      <c r="A100" s="3019"/>
      <c r="B100" s="3020"/>
      <c r="C100" s="3021"/>
      <c r="D100" s="3021"/>
      <c r="E100" s="3021"/>
      <c r="F100" s="3021"/>
      <c r="G100" s="3021"/>
      <c r="H100" s="3021"/>
      <c r="I100" s="3021"/>
      <c r="J100" s="3022"/>
    </row>
    <row r="101" spans="1:10" s="3018" customFormat="1" ht="13">
      <c r="A101" s="3019"/>
      <c r="B101" s="3020"/>
      <c r="C101" s="3021"/>
      <c r="D101" s="3021"/>
      <c r="E101" s="3021"/>
      <c r="F101" s="3021"/>
      <c r="G101" s="3021"/>
      <c r="H101" s="3021"/>
      <c r="I101" s="3021"/>
      <c r="J101" s="3022"/>
    </row>
    <row r="102" spans="1:10" s="3018" customFormat="1" ht="13">
      <c r="A102" s="3019"/>
      <c r="B102" s="3020"/>
      <c r="C102" s="3021"/>
      <c r="D102" s="3021"/>
      <c r="E102" s="3021"/>
      <c r="F102" s="3021"/>
      <c r="G102" s="3021"/>
      <c r="H102" s="3021"/>
      <c r="I102" s="3021"/>
      <c r="J102" s="3022"/>
    </row>
    <row r="103" spans="1:10" s="3018" customFormat="1" ht="13">
      <c r="A103" s="3019"/>
      <c r="B103" s="3020"/>
      <c r="C103" s="3021"/>
      <c r="D103" s="3021"/>
      <c r="E103" s="3021"/>
      <c r="F103" s="3021"/>
      <c r="G103" s="3021"/>
      <c r="H103" s="3021"/>
      <c r="I103" s="3021"/>
      <c r="J103" s="3022"/>
    </row>
    <row r="104" spans="1:10" s="3018" customFormat="1" ht="13">
      <c r="A104" s="3019"/>
      <c r="B104" s="3020"/>
      <c r="C104" s="3021"/>
      <c r="D104" s="3021"/>
      <c r="E104" s="3021"/>
      <c r="F104" s="3021"/>
      <c r="G104" s="3021"/>
      <c r="H104" s="3021"/>
      <c r="I104" s="3021"/>
      <c r="J104" s="3022"/>
    </row>
    <row r="105" spans="1:10" s="3018" customFormat="1" ht="13">
      <c r="A105" s="3019"/>
      <c r="B105" s="3020"/>
      <c r="C105" s="3021"/>
      <c r="D105" s="3021"/>
      <c r="E105" s="3021"/>
      <c r="F105" s="3021"/>
      <c r="G105" s="3021"/>
      <c r="H105" s="3021"/>
      <c r="I105" s="3021"/>
      <c r="J105" s="3022"/>
    </row>
    <row r="106" spans="1:10" s="3018" customFormat="1" ht="13">
      <c r="A106" s="3019"/>
      <c r="B106" s="3020"/>
      <c r="C106" s="3021"/>
      <c r="D106" s="3021"/>
      <c r="E106" s="3021"/>
      <c r="F106" s="3021"/>
      <c r="G106" s="3021"/>
      <c r="H106" s="3021"/>
      <c r="I106" s="3021"/>
      <c r="J106" s="3022"/>
    </row>
    <row r="107" spans="1:10" s="3018" customFormat="1" ht="13">
      <c r="A107" s="3019"/>
      <c r="B107" s="3020"/>
      <c r="C107" s="3021"/>
      <c r="D107" s="3021"/>
      <c r="E107" s="3021"/>
      <c r="F107" s="3021"/>
      <c r="G107" s="3021"/>
      <c r="H107" s="3021"/>
      <c r="I107" s="3021"/>
      <c r="J107" s="3022"/>
    </row>
    <row r="108" spans="1:10" s="3018" customFormat="1" ht="13">
      <c r="A108" s="3019"/>
      <c r="B108" s="3020"/>
      <c r="C108" s="3021"/>
      <c r="D108" s="3021"/>
      <c r="E108" s="3021"/>
      <c r="F108" s="3021"/>
      <c r="G108" s="3021"/>
      <c r="H108" s="3021"/>
      <c r="I108" s="3021"/>
      <c r="J108" s="3022"/>
    </row>
    <row r="109" spans="1:10" s="3018" customFormat="1" ht="13">
      <c r="A109" s="3026" t="s">
        <v>1995</v>
      </c>
      <c r="B109" s="3024" t="s">
        <v>1996</v>
      </c>
      <c r="C109" s="3016"/>
      <c r="D109" s="3016"/>
      <c r="E109" s="3016"/>
      <c r="F109" s="3016"/>
      <c r="G109" s="3016"/>
      <c r="H109" s="3016"/>
      <c r="I109" s="3016"/>
      <c r="J109" s="3027"/>
    </row>
    <row r="110" spans="1:10" ht="13">
      <c r="A110" s="3028"/>
      <c r="B110" s="3029"/>
      <c r="C110" s="3030"/>
      <c r="D110" s="3030"/>
      <c r="E110" s="3030"/>
      <c r="F110" s="3030"/>
      <c r="G110" s="3030"/>
      <c r="H110" s="3030"/>
      <c r="I110" s="3030"/>
      <c r="J110" s="3031"/>
    </row>
    <row r="111" spans="1:10" ht="12.5">
      <c r="A111" s="3033"/>
      <c r="B111" s="3033"/>
      <c r="C111" s="3034"/>
      <c r="D111" s="3034"/>
      <c r="E111" s="3034"/>
      <c r="F111" s="3034"/>
      <c r="G111" s="3034"/>
      <c r="H111" s="3034"/>
      <c r="I111" s="3034"/>
      <c r="J111" s="3035"/>
    </row>
    <row r="112" spans="1:10" ht="12.5">
      <c r="A112" s="3033"/>
      <c r="B112" s="3033"/>
      <c r="C112" s="3034"/>
      <c r="D112" s="3034"/>
      <c r="E112" s="3034"/>
      <c r="F112" s="3034"/>
      <c r="G112" s="3034"/>
      <c r="H112" s="3034"/>
      <c r="I112" s="3034"/>
      <c r="J112" s="3035"/>
    </row>
    <row r="113" spans="1:10" ht="12.5">
      <c r="A113" s="3033"/>
      <c r="B113" s="3033"/>
      <c r="C113" s="3034"/>
      <c r="D113" s="3034"/>
      <c r="E113" s="3034"/>
      <c r="F113" s="3034"/>
      <c r="G113" s="3034"/>
      <c r="H113" s="3034"/>
      <c r="I113" s="3034"/>
      <c r="J113" s="3035"/>
    </row>
    <row r="114" spans="1:10" ht="13">
      <c r="A114" s="3036"/>
      <c r="B114" s="3037"/>
      <c r="C114" s="3038"/>
      <c r="D114" s="3038"/>
      <c r="E114" s="3038"/>
      <c r="F114" s="3038"/>
      <c r="G114" s="3038"/>
      <c r="H114" s="3038"/>
      <c r="I114" s="3038"/>
      <c r="J114" s="3039"/>
    </row>
    <row r="115" spans="1:10" ht="12.5">
      <c r="A115" s="3040"/>
      <c r="B115" s="3040"/>
      <c r="C115" s="3038"/>
      <c r="D115" s="3038"/>
      <c r="E115" s="3038"/>
      <c r="F115" s="3038"/>
      <c r="G115" s="3038"/>
      <c r="H115" s="3038"/>
      <c r="I115" s="3038"/>
      <c r="J115" s="3039"/>
    </row>
    <row r="116" spans="1:10" ht="12.5">
      <c r="A116" s="3033"/>
      <c r="B116" s="3033"/>
      <c r="C116" s="3034"/>
      <c r="D116" s="3034"/>
      <c r="E116" s="3034"/>
      <c r="F116" s="3034"/>
      <c r="G116" s="3034"/>
      <c r="H116" s="3034"/>
      <c r="I116" s="3034"/>
      <c r="J116" s="3035"/>
    </row>
    <row r="117" spans="1:10" ht="12.5">
      <c r="A117" s="3033"/>
      <c r="B117" s="3033"/>
      <c r="C117" s="3034"/>
      <c r="D117" s="3034"/>
      <c r="E117" s="3034"/>
      <c r="F117" s="3034"/>
      <c r="G117" s="3034"/>
      <c r="H117" s="3034"/>
      <c r="I117" s="3034"/>
      <c r="J117" s="3035"/>
    </row>
    <row r="118" spans="1:10" ht="13">
      <c r="A118" s="3036"/>
      <c r="B118" s="3037"/>
      <c r="C118" s="3038"/>
      <c r="D118" s="3038"/>
      <c r="E118" s="3038"/>
      <c r="F118" s="3038"/>
      <c r="G118" s="3038"/>
      <c r="H118" s="3038"/>
      <c r="I118" s="3038"/>
      <c r="J118" s="3039"/>
    </row>
    <row r="119" spans="1:10" ht="12.5">
      <c r="A119" s="3040"/>
      <c r="B119" s="3040"/>
      <c r="C119" s="3038"/>
      <c r="D119" s="3038"/>
      <c r="E119" s="3038"/>
      <c r="F119" s="3038"/>
      <c r="G119" s="3038"/>
      <c r="H119" s="3038"/>
      <c r="I119" s="3038"/>
      <c r="J119" s="3039"/>
    </row>
    <row r="120" spans="1:10" ht="12.5">
      <c r="A120" s="3040"/>
      <c r="B120" s="3040"/>
      <c r="C120" s="3038"/>
      <c r="D120" s="3038"/>
      <c r="E120" s="3038"/>
      <c r="F120" s="3038"/>
      <c r="G120" s="3038"/>
      <c r="H120" s="3038"/>
      <c r="I120" s="3038"/>
      <c r="J120" s="3039"/>
    </row>
    <row r="121" spans="1:10" ht="12.5">
      <c r="A121" s="3040"/>
      <c r="B121" s="3040"/>
      <c r="C121" s="3038"/>
      <c r="D121" s="3038"/>
      <c r="E121" s="3038"/>
      <c r="F121" s="3038"/>
      <c r="G121" s="3038"/>
      <c r="H121" s="3038"/>
      <c r="I121" s="3038"/>
      <c r="J121" s="3039"/>
    </row>
    <row r="122" spans="1:10" ht="12.5">
      <c r="A122" s="3040"/>
      <c r="B122" s="3040"/>
      <c r="C122" s="3038"/>
      <c r="D122" s="3038"/>
      <c r="E122" s="3038"/>
      <c r="F122" s="3038"/>
      <c r="G122" s="3038"/>
      <c r="H122" s="3038"/>
      <c r="I122" s="3038"/>
      <c r="J122" s="3039"/>
    </row>
    <row r="123" spans="1:10" ht="12.5">
      <c r="A123" s="3040"/>
      <c r="B123" s="3040"/>
      <c r="C123" s="3038"/>
      <c r="D123" s="3038"/>
      <c r="E123" s="3038"/>
      <c r="F123" s="3038"/>
      <c r="G123" s="3038"/>
      <c r="H123" s="3038"/>
      <c r="I123" s="3038"/>
      <c r="J123" s="3039"/>
    </row>
    <row r="124" spans="1:10" ht="12.5">
      <c r="A124" s="3040"/>
      <c r="B124" s="3040"/>
      <c r="C124" s="3038"/>
      <c r="D124" s="3038"/>
      <c r="E124" s="3038"/>
      <c r="F124" s="3038"/>
      <c r="G124" s="3038"/>
      <c r="H124" s="3038"/>
      <c r="I124" s="3038"/>
      <c r="J124" s="3039"/>
    </row>
    <row r="125" spans="1:10" ht="12.5">
      <c r="A125" s="3040"/>
      <c r="B125" s="3040"/>
      <c r="C125" s="3038"/>
      <c r="D125" s="3038"/>
      <c r="E125" s="3038"/>
      <c r="F125" s="3038"/>
      <c r="G125" s="3038"/>
      <c r="H125" s="3038"/>
      <c r="I125" s="3038"/>
      <c r="J125" s="3039"/>
    </row>
    <row r="126" spans="1:10" ht="12.5">
      <c r="A126" s="3040"/>
      <c r="B126" s="3040"/>
      <c r="C126" s="3038"/>
      <c r="D126" s="3038"/>
      <c r="E126" s="3038"/>
      <c r="F126" s="3038"/>
      <c r="G126" s="3038"/>
      <c r="H126" s="3038"/>
      <c r="I126" s="3038"/>
      <c r="J126" s="3039"/>
    </row>
    <row r="127" spans="1:10" ht="12.5">
      <c r="A127" s="3040"/>
      <c r="B127" s="3040"/>
      <c r="C127" s="3038"/>
      <c r="D127" s="3038"/>
      <c r="E127" s="3038"/>
      <c r="F127" s="3038"/>
      <c r="G127" s="3038"/>
      <c r="H127" s="3038"/>
      <c r="I127" s="3038"/>
      <c r="J127" s="3039"/>
    </row>
    <row r="128" spans="1:10" ht="12.5">
      <c r="A128" s="3040"/>
      <c r="B128" s="3040"/>
      <c r="C128" s="3038"/>
      <c r="D128" s="3038"/>
      <c r="E128" s="3038"/>
      <c r="F128" s="3038"/>
      <c r="G128" s="3038"/>
      <c r="H128" s="3038"/>
      <c r="I128" s="3038"/>
      <c r="J128" s="3039"/>
    </row>
    <row r="129" spans="1:10" ht="12.5">
      <c r="A129" s="3040"/>
      <c r="B129" s="3040"/>
      <c r="C129" s="3038"/>
      <c r="D129" s="3038"/>
      <c r="E129" s="3038"/>
      <c r="F129" s="3038"/>
      <c r="G129" s="3038"/>
      <c r="H129" s="3038"/>
      <c r="I129" s="3038"/>
      <c r="J129" s="3039"/>
    </row>
    <row r="130" spans="1:10" ht="12.5">
      <c r="A130" s="3040"/>
      <c r="B130" s="3040"/>
      <c r="C130" s="3038"/>
      <c r="D130" s="3038"/>
      <c r="E130" s="3038"/>
      <c r="F130" s="3038"/>
      <c r="G130" s="3038"/>
      <c r="H130" s="3038"/>
      <c r="I130" s="3038"/>
      <c r="J130" s="3039"/>
    </row>
    <row r="131" spans="1:10" ht="12.5">
      <c r="A131" s="3040"/>
      <c r="B131" s="3040"/>
      <c r="C131" s="3038"/>
      <c r="D131" s="3038"/>
      <c r="E131" s="3038"/>
      <c r="F131" s="3038"/>
      <c r="G131" s="3038"/>
      <c r="H131" s="3038"/>
      <c r="I131" s="3038"/>
      <c r="J131" s="3039"/>
    </row>
    <row r="132" spans="1:10" ht="12.5">
      <c r="A132" s="3040"/>
      <c r="B132" s="3040"/>
      <c r="C132" s="3038"/>
      <c r="D132" s="3038"/>
      <c r="E132" s="3038"/>
      <c r="F132" s="3038"/>
      <c r="G132" s="3038"/>
      <c r="H132" s="3038"/>
      <c r="I132" s="3038"/>
      <c r="J132" s="3039"/>
    </row>
    <row r="133" spans="1:10" ht="12.5">
      <c r="A133" s="3040"/>
      <c r="B133" s="3040"/>
      <c r="C133" s="3038"/>
      <c r="D133" s="3038"/>
      <c r="E133" s="3038"/>
      <c r="F133" s="3038"/>
      <c r="G133" s="3038"/>
      <c r="H133" s="3038"/>
      <c r="I133" s="3038"/>
      <c r="J133" s="3039"/>
    </row>
    <row r="134" spans="1:10" ht="12.5">
      <c r="A134" s="3040"/>
      <c r="B134" s="3040"/>
      <c r="C134" s="3038"/>
      <c r="D134" s="3038"/>
      <c r="E134" s="3038"/>
      <c r="F134" s="3038"/>
      <c r="G134" s="3038"/>
      <c r="H134" s="3038"/>
      <c r="I134" s="3038"/>
      <c r="J134" s="3039"/>
    </row>
    <row r="135" spans="1:10" ht="12.5">
      <c r="A135" s="3040"/>
      <c r="B135" s="3040"/>
      <c r="C135" s="3038"/>
      <c r="D135" s="3038"/>
      <c r="E135" s="3038"/>
      <c r="F135" s="3038"/>
      <c r="G135" s="3038"/>
      <c r="H135" s="3038"/>
      <c r="I135" s="3038"/>
      <c r="J135" s="3039"/>
    </row>
    <row r="136" spans="1:10" ht="12.5">
      <c r="A136" s="3040"/>
      <c r="B136" s="3040"/>
      <c r="C136" s="3038"/>
      <c r="D136" s="3038"/>
      <c r="E136" s="3038"/>
      <c r="F136" s="3038"/>
      <c r="G136" s="3038"/>
      <c r="H136" s="3038"/>
      <c r="I136" s="3038"/>
      <c r="J136" s="3039"/>
    </row>
    <row r="137" spans="1:10" ht="12.5">
      <c r="A137" s="3040"/>
      <c r="B137" s="3040"/>
      <c r="C137" s="3038"/>
      <c r="D137" s="3038"/>
      <c r="E137" s="3038"/>
      <c r="F137" s="3038"/>
      <c r="G137" s="3038"/>
      <c r="H137" s="3038"/>
      <c r="I137" s="3038"/>
      <c r="J137" s="3039"/>
    </row>
    <row r="138" spans="1:10" ht="12.5">
      <c r="A138" s="3040"/>
      <c r="B138" s="3040"/>
      <c r="C138" s="3038"/>
      <c r="D138" s="3038"/>
      <c r="E138" s="3038"/>
      <c r="F138" s="3038"/>
      <c r="G138" s="3038"/>
      <c r="H138" s="3038"/>
      <c r="I138" s="3038"/>
      <c r="J138" s="3039"/>
    </row>
    <row r="139" spans="1:10" ht="12.5">
      <c r="A139" s="3040"/>
      <c r="B139" s="3040"/>
      <c r="C139" s="3038"/>
      <c r="D139" s="3038"/>
      <c r="E139" s="3038"/>
      <c r="F139" s="3038"/>
      <c r="G139" s="3038"/>
      <c r="H139" s="3038"/>
      <c r="I139" s="3038"/>
      <c r="J139" s="3039"/>
    </row>
    <row r="140" spans="1:10" ht="13">
      <c r="A140" s="3036"/>
      <c r="B140" s="3037"/>
      <c r="C140" s="3038"/>
      <c r="D140" s="3038"/>
      <c r="E140" s="3038"/>
      <c r="F140" s="3038"/>
      <c r="G140" s="3038"/>
      <c r="H140" s="3038"/>
      <c r="I140" s="3038"/>
      <c r="J140" s="3039"/>
    </row>
    <row r="141" spans="1:10" ht="13">
      <c r="A141" s="3036"/>
      <c r="B141" s="3037"/>
      <c r="C141" s="3038"/>
      <c r="D141" s="3038"/>
      <c r="E141" s="3038"/>
      <c r="F141" s="3038"/>
      <c r="G141" s="3038"/>
      <c r="H141" s="3038"/>
      <c r="I141" s="3038"/>
      <c r="J141" s="3039"/>
    </row>
    <row r="142" spans="1:10" ht="13">
      <c r="A142" s="3036"/>
      <c r="B142" s="3037"/>
      <c r="C142" s="3038"/>
      <c r="D142" s="3038"/>
      <c r="E142" s="3038"/>
      <c r="F142" s="3038"/>
      <c r="G142" s="3038"/>
      <c r="H142" s="3038"/>
      <c r="I142" s="3038"/>
      <c r="J142" s="3039"/>
    </row>
    <row r="143" spans="1:10" ht="13">
      <c r="A143" s="3036"/>
      <c r="B143" s="3037"/>
      <c r="C143" s="3038"/>
      <c r="D143" s="3038"/>
      <c r="E143" s="3038"/>
      <c r="F143" s="3038"/>
      <c r="G143" s="3038"/>
      <c r="H143" s="3038"/>
      <c r="I143" s="3038"/>
      <c r="J143" s="3039"/>
    </row>
    <row r="144" spans="1:10" ht="13">
      <c r="A144" s="3036"/>
      <c r="B144" s="3037"/>
      <c r="C144" s="3038"/>
      <c r="D144" s="3038"/>
      <c r="E144" s="3038"/>
      <c r="F144" s="3038"/>
      <c r="G144" s="3038"/>
      <c r="H144" s="3038"/>
      <c r="I144" s="3038"/>
      <c r="J144" s="3039"/>
    </row>
    <row r="145" spans="1:10" ht="13">
      <c r="A145" s="3036"/>
      <c r="B145" s="3040"/>
      <c r="C145" s="3038"/>
      <c r="D145" s="3038"/>
      <c r="E145" s="3038"/>
      <c r="F145" s="3038"/>
      <c r="G145" s="3038"/>
      <c r="H145" s="3038"/>
      <c r="I145" s="3038"/>
      <c r="J145" s="3039"/>
    </row>
    <row r="146" spans="1:10" ht="13">
      <c r="A146" s="3036"/>
      <c r="B146" s="3040"/>
      <c r="C146" s="3038"/>
      <c r="D146" s="3038"/>
      <c r="E146" s="3038"/>
      <c r="F146" s="3038"/>
      <c r="G146" s="3038"/>
      <c r="H146" s="3038"/>
      <c r="I146" s="3038"/>
      <c r="J146" s="3039"/>
    </row>
    <row r="147" spans="1:10" ht="13">
      <c r="A147" s="3036"/>
      <c r="B147" s="3040"/>
      <c r="C147" s="3038"/>
      <c r="D147" s="3038"/>
      <c r="E147" s="3038"/>
      <c r="F147" s="3038"/>
      <c r="G147" s="3038"/>
      <c r="H147" s="3038"/>
      <c r="I147" s="3038"/>
      <c r="J147" s="3039"/>
    </row>
    <row r="148" spans="1:10" ht="12.5">
      <c r="A148" s="3040"/>
      <c r="B148" s="3040"/>
      <c r="C148" s="3038"/>
      <c r="D148" s="3038"/>
      <c r="E148" s="3038"/>
      <c r="F148" s="3038"/>
      <c r="G148" s="3038"/>
      <c r="H148" s="3038"/>
      <c r="I148" s="3038"/>
      <c r="J148" s="3039"/>
    </row>
    <row r="149" spans="1:10" ht="12.5">
      <c r="A149" s="3041"/>
      <c r="B149" s="3041"/>
      <c r="C149" s="3042"/>
      <c r="D149" s="3042"/>
      <c r="E149" s="3042"/>
      <c r="F149" s="3042"/>
      <c r="G149" s="3042"/>
      <c r="H149" s="3042"/>
      <c r="I149" s="3042"/>
      <c r="J149" s="3043"/>
    </row>
    <row r="150" spans="1:10" s="3018" customFormat="1" ht="13">
      <c r="A150" s="3026" t="s">
        <v>1997</v>
      </c>
      <c r="B150" s="3024" t="s">
        <v>1998</v>
      </c>
      <c r="C150" s="3016"/>
      <c r="D150" s="3016"/>
      <c r="E150" s="3016"/>
      <c r="F150" s="3016"/>
      <c r="G150" s="3016"/>
      <c r="H150" s="3016"/>
      <c r="I150" s="3016"/>
      <c r="J150" s="3027"/>
    </row>
    <row r="151" spans="1:10" ht="13">
      <c r="A151" s="3044"/>
      <c r="B151" s="3045"/>
      <c r="C151" s="3034"/>
      <c r="D151" s="3034"/>
      <c r="E151" s="3034"/>
      <c r="F151" s="3034"/>
      <c r="G151" s="3034"/>
      <c r="H151" s="3034"/>
      <c r="I151" s="3034"/>
      <c r="J151" s="3035"/>
    </row>
    <row r="152" spans="1:10" ht="12.5">
      <c r="A152" s="3046"/>
      <c r="B152" s="3047"/>
      <c r="C152" s="3034"/>
      <c r="D152" s="3034"/>
      <c r="E152" s="3034"/>
      <c r="F152" s="3034"/>
      <c r="G152" s="3034"/>
      <c r="H152" s="3034"/>
      <c r="I152" s="3034"/>
      <c r="J152" s="3035"/>
    </row>
    <row r="153" spans="1:10" ht="12.5">
      <c r="A153" s="3046"/>
      <c r="B153" s="3047"/>
      <c r="C153" s="3034"/>
      <c r="D153" s="3034"/>
      <c r="E153" s="3034"/>
      <c r="F153" s="3034"/>
      <c r="G153" s="3034"/>
      <c r="H153" s="3034"/>
      <c r="I153" s="3034"/>
      <c r="J153" s="3035"/>
    </row>
    <row r="154" spans="1:10" ht="12.5">
      <c r="A154" s="3046"/>
      <c r="B154" s="3047"/>
      <c r="C154" s="3034"/>
      <c r="D154" s="3034"/>
      <c r="E154" s="3034"/>
      <c r="F154" s="3034"/>
      <c r="G154" s="3034"/>
      <c r="H154" s="3034"/>
      <c r="I154" s="3034"/>
      <c r="J154" s="3035"/>
    </row>
    <row r="155" spans="1:10" ht="12.5">
      <c r="A155" s="3046"/>
      <c r="B155" s="3047"/>
      <c r="C155" s="3034"/>
      <c r="D155" s="3034"/>
      <c r="E155" s="3034"/>
      <c r="F155" s="3034"/>
      <c r="G155" s="3034"/>
      <c r="H155" s="3034"/>
      <c r="I155" s="3034"/>
      <c r="J155" s="3035"/>
    </row>
    <row r="156" spans="1:10" ht="12.5">
      <c r="A156" s="3046"/>
      <c r="B156" s="3047"/>
      <c r="C156" s="3034"/>
      <c r="D156" s="3034"/>
      <c r="E156" s="3034"/>
      <c r="F156" s="3034"/>
      <c r="G156" s="3034"/>
      <c r="H156" s="3034"/>
      <c r="I156" s="3034"/>
      <c r="J156" s="3035"/>
    </row>
    <row r="157" spans="1:10" ht="12.5">
      <c r="A157" s="3046"/>
      <c r="B157" s="3047"/>
      <c r="C157" s="3034"/>
      <c r="D157" s="3034"/>
      <c r="E157" s="3034"/>
      <c r="F157" s="3034"/>
      <c r="G157" s="3034"/>
      <c r="H157" s="3034"/>
      <c r="I157" s="3034"/>
      <c r="J157" s="3035"/>
    </row>
    <row r="158" spans="1:10" ht="12.5">
      <c r="A158" s="3046"/>
      <c r="B158" s="3047"/>
      <c r="C158" s="3034"/>
      <c r="D158" s="3034"/>
      <c r="E158" s="3034"/>
      <c r="F158" s="3034"/>
      <c r="G158" s="3034"/>
      <c r="H158" s="3034"/>
      <c r="I158" s="3034"/>
      <c r="J158" s="3035"/>
    </row>
    <row r="159" spans="1:10" ht="12.5">
      <c r="A159" s="3046"/>
      <c r="B159" s="3047"/>
      <c r="C159" s="3034"/>
      <c r="D159" s="3034"/>
      <c r="E159" s="3034"/>
      <c r="F159" s="3034"/>
      <c r="G159" s="3034"/>
      <c r="H159" s="3034"/>
      <c r="I159" s="3034"/>
      <c r="J159" s="3035"/>
    </row>
    <row r="160" spans="1:10" ht="12.5">
      <c r="A160" s="3046"/>
      <c r="B160" s="3047"/>
      <c r="C160" s="3034"/>
      <c r="D160" s="3034"/>
      <c r="E160" s="3034"/>
      <c r="F160" s="3034"/>
      <c r="G160" s="3034"/>
      <c r="H160" s="3034"/>
      <c r="I160" s="3034"/>
      <c r="J160" s="3035"/>
    </row>
    <row r="161" spans="1:10" s="3018" customFormat="1" ht="13">
      <c r="A161" s="3026" t="s">
        <v>1999</v>
      </c>
      <c r="B161" s="3024" t="s">
        <v>2000</v>
      </c>
      <c r="C161" s="3016"/>
      <c r="D161" s="3016"/>
      <c r="E161" s="3016"/>
      <c r="F161" s="3016"/>
      <c r="G161" s="3016"/>
      <c r="H161" s="3016"/>
      <c r="I161" s="3016"/>
      <c r="J161" s="3027"/>
    </row>
    <row r="162" spans="1:10" ht="12.5">
      <c r="A162" s="3046"/>
      <c r="B162" s="3047"/>
      <c r="C162" s="3034"/>
      <c r="D162" s="3034"/>
      <c r="E162" s="3034"/>
      <c r="F162" s="3034"/>
      <c r="G162" s="3034"/>
      <c r="H162" s="3034"/>
      <c r="I162" s="3034"/>
      <c r="J162" s="3035"/>
    </row>
    <row r="163" spans="1:10" ht="12.5">
      <c r="A163" s="3046"/>
      <c r="B163" s="3047"/>
      <c r="C163" s="3034"/>
      <c r="D163" s="3034"/>
      <c r="E163" s="3034"/>
      <c r="F163" s="3034"/>
      <c r="G163" s="3034"/>
      <c r="H163" s="3034"/>
      <c r="I163" s="3034"/>
      <c r="J163" s="3035"/>
    </row>
    <row r="164" spans="1:10" ht="12.5">
      <c r="A164" s="3046"/>
      <c r="B164" s="3047"/>
      <c r="C164" s="3034"/>
      <c r="D164" s="3034"/>
      <c r="E164" s="3034"/>
      <c r="F164" s="3034"/>
      <c r="G164" s="3034"/>
      <c r="H164" s="3034"/>
      <c r="I164" s="3034"/>
      <c r="J164" s="3035"/>
    </row>
    <row r="165" spans="1:10" ht="12.5">
      <c r="A165" s="3046"/>
      <c r="B165" s="3047"/>
      <c r="C165" s="3034"/>
      <c r="D165" s="3034"/>
      <c r="E165" s="3034"/>
      <c r="F165" s="3034"/>
      <c r="G165" s="3034"/>
      <c r="H165" s="3034"/>
      <c r="I165" s="3034"/>
      <c r="J165" s="3035"/>
    </row>
    <row r="166" spans="1:10" ht="12.5">
      <c r="A166" s="3046"/>
      <c r="B166" s="3047"/>
      <c r="C166" s="3034"/>
      <c r="D166" s="3034"/>
      <c r="E166" s="3034"/>
      <c r="F166" s="3034"/>
      <c r="G166" s="3034"/>
      <c r="H166" s="3034"/>
      <c r="I166" s="3034"/>
      <c r="J166" s="3035"/>
    </row>
    <row r="167" spans="1:10" ht="12.5">
      <c r="A167" s="3046"/>
      <c r="B167" s="3047"/>
      <c r="C167" s="3034"/>
      <c r="D167" s="3034"/>
      <c r="E167" s="3034"/>
      <c r="F167" s="3034"/>
      <c r="G167" s="3034"/>
      <c r="H167" s="3034"/>
      <c r="I167" s="3034"/>
      <c r="J167" s="3035"/>
    </row>
    <row r="168" spans="1:10" ht="12.5">
      <c r="A168" s="3046"/>
      <c r="B168" s="3047"/>
      <c r="C168" s="3034"/>
      <c r="D168" s="3034"/>
      <c r="E168" s="3034"/>
      <c r="F168" s="3034"/>
      <c r="G168" s="3034"/>
      <c r="H168" s="3034"/>
      <c r="I168" s="3034"/>
      <c r="J168" s="3035"/>
    </row>
    <row r="169" spans="1:10" ht="12.5">
      <c r="A169" s="3046"/>
      <c r="B169" s="3047"/>
      <c r="C169" s="3034"/>
      <c r="D169" s="3034"/>
      <c r="E169" s="3034"/>
      <c r="F169" s="3034"/>
      <c r="G169" s="3034"/>
      <c r="H169" s="3034"/>
      <c r="I169" s="3034"/>
      <c r="J169" s="3035"/>
    </row>
    <row r="170" spans="1:10" ht="12.5">
      <c r="A170" s="3046"/>
      <c r="B170" s="3047"/>
      <c r="C170" s="3034"/>
      <c r="D170" s="3034"/>
      <c r="E170" s="3034"/>
      <c r="F170" s="3034"/>
      <c r="G170" s="3034"/>
      <c r="H170" s="3034"/>
      <c r="I170" s="3034"/>
      <c r="J170" s="3035"/>
    </row>
    <row r="171" spans="1:10" ht="12.5">
      <c r="A171" s="3046"/>
      <c r="B171" s="3047"/>
      <c r="C171" s="3034"/>
      <c r="D171" s="3034"/>
      <c r="E171" s="3034"/>
      <c r="F171" s="3034"/>
      <c r="G171" s="3034"/>
      <c r="H171" s="3034"/>
      <c r="I171" s="3034"/>
      <c r="J171" s="3035"/>
    </row>
    <row r="172" spans="1:10" ht="12.5">
      <c r="A172" s="3046"/>
      <c r="B172" s="3047"/>
      <c r="C172" s="3034"/>
      <c r="D172" s="3034"/>
      <c r="E172" s="3034"/>
      <c r="F172" s="3034"/>
      <c r="G172" s="3034"/>
      <c r="H172" s="3034"/>
      <c r="I172" s="3034"/>
      <c r="J172" s="3035"/>
    </row>
    <row r="173" spans="1:10" ht="12.5">
      <c r="A173" s="3046"/>
      <c r="B173" s="3047"/>
      <c r="C173" s="3034"/>
      <c r="D173" s="3034"/>
      <c r="E173" s="3034"/>
      <c r="F173" s="3034"/>
      <c r="G173" s="3034"/>
      <c r="H173" s="3034"/>
      <c r="I173" s="3034"/>
      <c r="J173" s="3035"/>
    </row>
    <row r="174" spans="1:10" s="3018" customFormat="1" ht="13">
      <c r="A174" s="3026" t="s">
        <v>2001</v>
      </c>
      <c r="B174" s="3024" t="s">
        <v>2002</v>
      </c>
      <c r="C174" s="3016"/>
      <c r="D174" s="3016"/>
      <c r="E174" s="3016"/>
      <c r="F174" s="3016"/>
      <c r="G174" s="3016"/>
      <c r="H174" s="3016"/>
      <c r="I174" s="3016"/>
      <c r="J174" s="3027"/>
    </row>
    <row r="175" spans="1:10" ht="13">
      <c r="A175" s="3044"/>
      <c r="B175" s="3045"/>
      <c r="C175" s="3034"/>
      <c r="D175" s="3034"/>
      <c r="E175" s="3034"/>
      <c r="F175" s="3034"/>
      <c r="G175" s="3034"/>
      <c r="H175" s="3034"/>
      <c r="I175" s="3034"/>
      <c r="J175" s="3035"/>
    </row>
    <row r="176" spans="1:10" ht="13">
      <c r="A176" s="3044"/>
      <c r="B176" s="3045"/>
      <c r="C176" s="3034"/>
      <c r="D176" s="3034"/>
      <c r="E176" s="3034"/>
      <c r="F176" s="3034"/>
      <c r="G176" s="3034"/>
      <c r="H176" s="3034"/>
      <c r="I176" s="3034"/>
      <c r="J176" s="3035"/>
    </row>
    <row r="177" spans="1:10" ht="13">
      <c r="A177" s="3044"/>
      <c r="B177" s="3045"/>
      <c r="C177" s="3034"/>
      <c r="D177" s="3034"/>
      <c r="E177" s="3034"/>
      <c r="F177" s="3034"/>
      <c r="G177" s="3034"/>
      <c r="H177" s="3034"/>
      <c r="I177" s="3034"/>
      <c r="J177" s="3035"/>
    </row>
    <row r="178" spans="1:10" ht="13">
      <c r="A178" s="3044"/>
      <c r="B178" s="3034"/>
      <c r="C178" s="3034"/>
      <c r="D178" s="3034"/>
      <c r="E178" s="3034"/>
      <c r="F178" s="3034"/>
      <c r="G178" s="3034"/>
      <c r="H178" s="3034"/>
      <c r="I178" s="3034"/>
      <c r="J178" s="3035"/>
    </row>
    <row r="179" spans="1:10" ht="13">
      <c r="A179" s="3044"/>
      <c r="B179" s="3034"/>
      <c r="C179" s="3034"/>
      <c r="D179" s="3034"/>
      <c r="E179" s="3034"/>
      <c r="F179" s="3034"/>
      <c r="G179" s="3034"/>
      <c r="H179" s="3034"/>
      <c r="I179" s="3034"/>
      <c r="J179" s="3035"/>
    </row>
    <row r="180" spans="1:10" ht="12.5">
      <c r="A180" s="3046"/>
      <c r="B180" s="3047"/>
      <c r="C180" s="3034"/>
      <c r="D180" s="3034"/>
      <c r="E180" s="3034"/>
      <c r="F180" s="3034"/>
      <c r="G180" s="3034"/>
      <c r="H180" s="3034"/>
      <c r="I180" s="3034"/>
      <c r="J180" s="3035"/>
    </row>
    <row r="181" spans="1:10" ht="12.5">
      <c r="A181" s="3048"/>
      <c r="B181" s="3049"/>
      <c r="C181" s="3050"/>
      <c r="D181" s="3050"/>
      <c r="E181" s="3050"/>
      <c r="F181" s="3050"/>
      <c r="G181" s="3050"/>
      <c r="H181" s="3050"/>
      <c r="I181" s="3050"/>
      <c r="J181" s="3051"/>
    </row>
    <row r="182" spans="1:10" ht="13">
      <c r="A182" s="3023" t="s">
        <v>2003</v>
      </c>
      <c r="B182" s="3024" t="s">
        <v>2004</v>
      </c>
      <c r="C182" s="3016"/>
      <c r="D182" s="3016"/>
      <c r="E182" s="3016"/>
      <c r="F182" s="3016"/>
      <c r="G182" s="3016"/>
      <c r="H182" s="3016"/>
      <c r="I182" s="3016"/>
      <c r="J182" s="3027"/>
    </row>
    <row r="183" spans="1:10" ht="13">
      <c r="A183" s="3052"/>
      <c r="B183" s="3053"/>
      <c r="C183" s="3030"/>
      <c r="D183" s="3030"/>
      <c r="E183" s="3030"/>
      <c r="F183" s="3030"/>
      <c r="G183" s="3030"/>
      <c r="H183" s="3030"/>
      <c r="I183" s="3030"/>
      <c r="J183" s="3031"/>
    </row>
    <row r="184" spans="1:10" ht="12.5">
      <c r="A184" s="3054"/>
      <c r="B184" s="3033"/>
      <c r="C184" s="3034"/>
      <c r="D184" s="3034"/>
      <c r="E184" s="3034"/>
      <c r="F184" s="3034"/>
      <c r="G184" s="3034"/>
      <c r="H184" s="3034"/>
      <c r="I184" s="3034"/>
      <c r="J184" s="3035"/>
    </row>
    <row r="185" spans="1:10" ht="12.5">
      <c r="A185" s="3054"/>
      <c r="B185" s="3033"/>
      <c r="C185" s="3034"/>
      <c r="D185" s="3034"/>
      <c r="E185" s="3034"/>
      <c r="F185" s="3034"/>
      <c r="G185" s="3034"/>
      <c r="H185" s="3034"/>
      <c r="I185" s="3034"/>
      <c r="J185" s="3035"/>
    </row>
    <row r="186" spans="1:10" ht="12.5">
      <c r="A186" s="3054"/>
      <c r="B186" s="3033"/>
      <c r="C186" s="3034"/>
      <c r="D186" s="3034"/>
      <c r="E186" s="3034"/>
      <c r="F186" s="3034"/>
      <c r="G186" s="3034"/>
      <c r="H186" s="3034"/>
      <c r="I186" s="3034"/>
      <c r="J186" s="3035"/>
    </row>
    <row r="187" spans="1:10" ht="12.5">
      <c r="A187" s="3054"/>
      <c r="B187" s="3033"/>
      <c r="C187" s="3034"/>
      <c r="D187" s="3034"/>
      <c r="E187" s="3034"/>
      <c r="F187" s="3034"/>
      <c r="G187" s="3034"/>
      <c r="H187" s="3034"/>
      <c r="I187" s="3034"/>
      <c r="J187" s="3035"/>
    </row>
    <row r="188" spans="1:10" ht="12.5">
      <c r="A188" s="3054"/>
      <c r="B188" s="3033"/>
      <c r="C188" s="3034"/>
      <c r="D188" s="3034"/>
      <c r="E188" s="3034"/>
      <c r="F188" s="3034"/>
      <c r="G188" s="3034"/>
      <c r="H188" s="3034"/>
      <c r="I188" s="3034"/>
      <c r="J188" s="3035"/>
    </row>
    <row r="189" spans="1:10" ht="12.5">
      <c r="A189" s="3054"/>
      <c r="B189" s="3033"/>
      <c r="C189" s="3034"/>
      <c r="D189" s="3034"/>
      <c r="E189" s="3034"/>
      <c r="F189" s="3034"/>
      <c r="G189" s="3034"/>
      <c r="H189" s="3034"/>
      <c r="I189" s="3034"/>
      <c r="J189" s="3035"/>
    </row>
    <row r="190" spans="1:10" ht="12.5">
      <c r="A190" s="3054"/>
      <c r="B190" s="3033"/>
      <c r="C190" s="3034"/>
      <c r="D190" s="3034"/>
      <c r="E190" s="3034"/>
      <c r="F190" s="3034"/>
      <c r="G190" s="3034"/>
      <c r="H190" s="3034"/>
      <c r="I190" s="3034"/>
      <c r="J190" s="3035"/>
    </row>
    <row r="191" spans="1:10" ht="12.5">
      <c r="A191" s="3054"/>
      <c r="B191" s="3033"/>
      <c r="C191" s="3034"/>
      <c r="D191" s="3034"/>
      <c r="E191" s="3034"/>
      <c r="F191" s="3034"/>
      <c r="G191" s="3034"/>
      <c r="H191" s="3034"/>
      <c r="I191" s="3034"/>
      <c r="J191" s="3035"/>
    </row>
    <row r="192" spans="1:10" ht="12.5">
      <c r="A192" s="3054"/>
      <c r="B192" s="3033"/>
      <c r="C192" s="3034"/>
      <c r="D192" s="3034"/>
      <c r="E192" s="3034"/>
      <c r="F192" s="3034"/>
      <c r="G192" s="3034"/>
      <c r="H192" s="3034"/>
      <c r="I192" s="3034"/>
      <c r="J192" s="3035"/>
    </row>
    <row r="193" spans="1:10" ht="12.5">
      <c r="A193" s="3054"/>
      <c r="B193" s="3033"/>
      <c r="C193" s="3034"/>
      <c r="D193" s="3034"/>
      <c r="E193" s="3034"/>
      <c r="F193" s="3034"/>
      <c r="G193" s="3034"/>
      <c r="H193" s="3034"/>
      <c r="I193" s="3034"/>
      <c r="J193" s="3035"/>
    </row>
    <row r="194" spans="1:10" ht="12.5">
      <c r="A194" s="3054"/>
      <c r="B194" s="3033"/>
      <c r="C194" s="3034"/>
      <c r="D194" s="3034"/>
      <c r="E194" s="3034"/>
      <c r="F194" s="3034"/>
      <c r="G194" s="3034"/>
      <c r="H194" s="3034"/>
      <c r="I194" s="3034"/>
      <c r="J194" s="3035"/>
    </row>
    <row r="195" spans="1:10" ht="12.5">
      <c r="A195" s="3054"/>
      <c r="B195" s="3033"/>
      <c r="C195" s="3034"/>
      <c r="D195" s="3034"/>
      <c r="E195" s="3034"/>
      <c r="F195" s="3034"/>
      <c r="G195" s="3034"/>
      <c r="H195" s="3034"/>
      <c r="I195" s="3034"/>
      <c r="J195" s="3035"/>
    </row>
    <row r="196" spans="1:10" ht="12.5">
      <c r="A196" s="3054"/>
      <c r="B196" s="3033"/>
      <c r="C196" s="3034"/>
      <c r="D196" s="3034"/>
      <c r="E196" s="3034"/>
      <c r="F196" s="3034"/>
      <c r="G196" s="3034"/>
      <c r="H196" s="3034"/>
      <c r="I196" s="3034"/>
      <c r="J196" s="3035"/>
    </row>
    <row r="197" spans="1:10" ht="12.5">
      <c r="A197" s="3054"/>
      <c r="B197" s="3033"/>
      <c r="C197" s="3034"/>
      <c r="D197" s="3034"/>
      <c r="E197" s="3034"/>
      <c r="F197" s="3034"/>
      <c r="G197" s="3034"/>
      <c r="H197" s="3034"/>
      <c r="I197" s="3034"/>
      <c r="J197" s="3035"/>
    </row>
    <row r="198" spans="1:10" ht="12.5">
      <c r="A198" s="3054"/>
      <c r="B198" s="3033"/>
      <c r="C198" s="3034"/>
      <c r="D198" s="3034"/>
      <c r="E198" s="3034"/>
      <c r="F198" s="3034"/>
      <c r="G198" s="3034"/>
      <c r="H198" s="3034"/>
      <c r="I198" s="3034"/>
      <c r="J198" s="3035"/>
    </row>
    <row r="199" spans="1:10" ht="12.5">
      <c r="A199" s="3054"/>
      <c r="B199" s="3033"/>
      <c r="C199" s="3034"/>
      <c r="D199" s="3034"/>
      <c r="E199" s="3034"/>
      <c r="F199" s="3034"/>
      <c r="G199" s="3034"/>
      <c r="H199" s="3034"/>
      <c r="I199" s="3034"/>
      <c r="J199" s="3035"/>
    </row>
    <row r="200" spans="1:10" ht="12.5">
      <c r="A200" s="3054"/>
      <c r="B200" s="3033"/>
      <c r="C200" s="3034"/>
      <c r="D200" s="3034"/>
      <c r="E200" s="3034"/>
      <c r="F200" s="3034"/>
      <c r="G200" s="3034"/>
      <c r="H200" s="3034"/>
      <c r="I200" s="3034"/>
      <c r="J200" s="3035"/>
    </row>
    <row r="201" spans="1:10" ht="12.5">
      <c r="A201" s="3054"/>
      <c r="B201" s="3033"/>
      <c r="C201" s="3034"/>
      <c r="D201" s="3034"/>
      <c r="E201" s="3034"/>
      <c r="F201" s="3034"/>
      <c r="G201" s="3034"/>
      <c r="H201" s="3034"/>
      <c r="I201" s="3034"/>
      <c r="J201" s="3035"/>
    </row>
    <row r="202" spans="1:10" ht="12.5">
      <c r="A202" s="3054"/>
      <c r="B202" s="3033"/>
      <c r="C202" s="3034"/>
      <c r="D202" s="3034"/>
      <c r="E202" s="3034"/>
      <c r="F202" s="3034"/>
      <c r="G202" s="3034"/>
      <c r="H202" s="3034"/>
      <c r="I202" s="3034"/>
      <c r="J202" s="3035"/>
    </row>
    <row r="203" spans="1:10" ht="12.5">
      <c r="A203" s="3054"/>
      <c r="B203" s="3033"/>
      <c r="C203" s="3034"/>
      <c r="D203" s="3034"/>
      <c r="E203" s="3034"/>
      <c r="F203" s="3034"/>
      <c r="G203" s="3034"/>
      <c r="H203" s="3034"/>
      <c r="I203" s="3034"/>
      <c r="J203" s="3035"/>
    </row>
    <row r="204" spans="1:10" ht="12.5">
      <c r="A204" s="3055"/>
      <c r="B204" s="3056"/>
      <c r="C204" s="3050"/>
      <c r="D204" s="3050"/>
      <c r="E204" s="3050"/>
      <c r="F204" s="3050"/>
      <c r="G204" s="3050"/>
      <c r="H204" s="3050"/>
      <c r="I204" s="3050"/>
      <c r="J204" s="3051"/>
    </row>
    <row r="205" spans="1:10" ht="12.5">
      <c r="A205" s="3057"/>
      <c r="B205" s="3030"/>
      <c r="C205" s="3030"/>
      <c r="D205" s="3030"/>
      <c r="E205" s="3030"/>
      <c r="F205" s="3030"/>
      <c r="G205" s="3030"/>
      <c r="H205" s="3030"/>
      <c r="I205" s="3030"/>
      <c r="J205" s="3031"/>
    </row>
    <row r="206" spans="1:10" ht="12.5">
      <c r="A206" s="3033"/>
      <c r="B206" s="3034"/>
      <c r="C206" s="3034"/>
      <c r="D206" s="3034"/>
      <c r="E206" s="3034"/>
      <c r="F206" s="3034"/>
      <c r="G206" s="3034"/>
      <c r="H206" s="3034"/>
      <c r="I206" s="3034"/>
      <c r="J206" s="3035"/>
    </row>
    <row r="207" spans="1:10" ht="12.5">
      <c r="A207" s="3033"/>
      <c r="B207" s="3034"/>
      <c r="C207" s="3034"/>
      <c r="D207" s="3034"/>
      <c r="E207" s="3034"/>
      <c r="F207" s="3034"/>
      <c r="G207" s="3034"/>
      <c r="H207" s="3034"/>
      <c r="I207" s="3034"/>
      <c r="J207" s="3035"/>
    </row>
    <row r="208" spans="1:10" ht="12.5">
      <c r="A208" s="3033"/>
      <c r="B208" s="3034"/>
      <c r="C208" s="3034"/>
      <c r="D208" s="3034"/>
      <c r="E208" s="3034"/>
      <c r="F208" s="3034"/>
      <c r="G208" s="3034"/>
      <c r="H208" s="3034"/>
      <c r="I208" s="3034"/>
      <c r="J208" s="3035"/>
    </row>
    <row r="209" spans="1:10" ht="12.5">
      <c r="A209" s="3033"/>
      <c r="B209" s="3034"/>
      <c r="C209" s="3034"/>
      <c r="D209" s="3034"/>
      <c r="E209" s="3034"/>
      <c r="F209" s="3034"/>
      <c r="G209" s="3034"/>
      <c r="H209" s="3034"/>
      <c r="I209" s="3034"/>
      <c r="J209" s="3035"/>
    </row>
    <row r="210" spans="1:10" ht="12.5">
      <c r="A210" s="3033"/>
      <c r="B210" s="3034"/>
      <c r="C210" s="3034"/>
      <c r="D210" s="3034"/>
      <c r="E210" s="3034"/>
      <c r="F210" s="3034"/>
      <c r="G210" s="3034"/>
      <c r="H210" s="3034"/>
      <c r="I210" s="3034"/>
      <c r="J210" s="3035"/>
    </row>
    <row r="211" spans="1:10" ht="12.5">
      <c r="A211" s="3033"/>
      <c r="B211" s="3034"/>
      <c r="C211" s="3034"/>
      <c r="D211" s="3034"/>
      <c r="E211" s="3034"/>
      <c r="F211" s="3034"/>
      <c r="G211" s="3034"/>
      <c r="H211" s="3034"/>
      <c r="I211" s="3034"/>
      <c r="J211" s="3035"/>
    </row>
    <row r="212" spans="1:10" ht="12.5">
      <c r="A212" s="3033"/>
      <c r="B212" s="3034"/>
      <c r="C212" s="3034"/>
      <c r="D212" s="3034"/>
      <c r="E212" s="3034"/>
      <c r="F212" s="3034"/>
      <c r="G212" s="3034"/>
      <c r="H212" s="3034"/>
      <c r="I212" s="3034"/>
      <c r="J212" s="3035"/>
    </row>
    <row r="213" spans="1:10" ht="12.5">
      <c r="A213" s="3033"/>
      <c r="B213" s="3034"/>
      <c r="C213" s="3034"/>
      <c r="D213" s="3034"/>
      <c r="E213" s="3034"/>
      <c r="F213" s="3034"/>
      <c r="G213" s="3034"/>
      <c r="H213" s="3034"/>
      <c r="I213" s="3034"/>
      <c r="J213" s="3035"/>
    </row>
    <row r="214" spans="1:10" ht="12.5">
      <c r="A214" s="3056"/>
      <c r="B214" s="3050"/>
      <c r="C214" s="3050"/>
      <c r="D214" s="3050"/>
      <c r="E214" s="3050"/>
      <c r="F214" s="3050"/>
      <c r="G214" s="3050"/>
      <c r="H214" s="3050"/>
      <c r="I214" s="3050"/>
      <c r="J214" s="3051"/>
    </row>
    <row r="215" spans="1:10" ht="12.5"/>
    <row r="216" spans="1:10" ht="12.5"/>
    <row r="217" spans="1:10" ht="12.5"/>
    <row r="218" spans="1:10" ht="12.5"/>
    <row r="219" spans="1:10" ht="12.5"/>
    <row r="220" spans="1:10" ht="12.5"/>
    <row r="221" spans="1:10" ht="12.5"/>
    <row r="222" spans="1:10" ht="12.5"/>
    <row r="223" spans="1:10" ht="12.5"/>
    <row r="224" spans="1:10" ht="12.5"/>
    <row r="225" ht="12.5"/>
    <row r="226" ht="12.5"/>
    <row r="227" ht="12.5"/>
    <row r="228" ht="12.5"/>
    <row r="229" ht="12.5"/>
    <row r="230" ht="12.5"/>
    <row r="231" ht="12.5"/>
    <row r="232" ht="12.5"/>
    <row r="233" ht="12.5"/>
    <row r="234" ht="12.5"/>
    <row r="235" ht="12.5"/>
    <row r="236" ht="12.5"/>
    <row r="237" ht="12.5"/>
    <row r="238" ht="12.5"/>
    <row r="239" ht="12.5"/>
    <row r="240" ht="12.5"/>
    <row r="241" ht="12.5"/>
    <row r="242" ht="12.5"/>
    <row r="243" ht="12.5"/>
    <row r="244" ht="12.5"/>
    <row r="245" ht="12.5"/>
    <row r="246" ht="12.5"/>
    <row r="247" ht="12.5"/>
    <row r="248" ht="12.5"/>
    <row r="249" ht="12.5"/>
    <row r="250" ht="12.5"/>
    <row r="251" ht="12.5"/>
    <row r="252" ht="12.5"/>
    <row r="253" ht="12.5"/>
    <row r="254" ht="12.5"/>
    <row r="255" ht="12.5"/>
    <row r="256" ht="12.5"/>
    <row r="257" ht="12.5"/>
    <row r="258" ht="12.5"/>
    <row r="259" ht="12.5"/>
    <row r="260" ht="12.5"/>
    <row r="261" ht="12.5"/>
    <row r="262" ht="12.5"/>
    <row r="263" ht="12.5"/>
    <row r="264" ht="12.5"/>
    <row r="265" ht="12.5"/>
    <row r="266" ht="12.5"/>
    <row r="267" ht="12.5"/>
    <row r="268" ht="12.5"/>
    <row r="269" ht="12.5"/>
    <row r="270" ht="12.5"/>
    <row r="271" ht="12.5"/>
    <row r="272" ht="12.5"/>
    <row r="273" ht="12.5"/>
    <row r="274" ht="12.5"/>
    <row r="275" ht="12.5"/>
    <row r="276" ht="12.5"/>
    <row r="277" ht="12.5"/>
    <row r="278" ht="12.5"/>
    <row r="279" ht="12.5"/>
    <row r="280" ht="12.5"/>
    <row r="281" ht="12.5"/>
    <row r="282" ht="12.5"/>
    <row r="283" ht="12.5"/>
    <row r="284" ht="12.5"/>
    <row r="285" ht="12.5"/>
    <row r="286" ht="12.5"/>
    <row r="287" ht="12.5"/>
    <row r="288" ht="12.5"/>
    <row r="289" ht="12.5"/>
    <row r="290" ht="12.5"/>
    <row r="291" ht="12.5"/>
    <row r="292" ht="12.5"/>
    <row r="293" ht="12.5"/>
    <row r="294" ht="12.5"/>
    <row r="295" ht="12.5"/>
    <row r="296" ht="12.5"/>
    <row r="297" ht="12.5"/>
    <row r="298" ht="12.5"/>
    <row r="299" ht="12.5"/>
    <row r="300" ht="12.5"/>
    <row r="301" ht="12.5"/>
    <row r="302" ht="12.5"/>
    <row r="303" ht="12.5"/>
    <row r="304" ht="12.5"/>
    <row r="305" ht="12.5"/>
    <row r="306" ht="12.5"/>
    <row r="307" ht="12.5"/>
    <row r="308" ht="12.5"/>
    <row r="309" ht="12.5"/>
    <row r="310" ht="12.5"/>
    <row r="311" ht="12.5"/>
    <row r="312" ht="12.5"/>
    <row r="313" ht="12.5"/>
    <row r="314" ht="12.5"/>
    <row r="315" ht="12.5"/>
    <row r="316" ht="12.5"/>
    <row r="317" ht="12.5"/>
    <row r="318" ht="12.5"/>
    <row r="319" ht="12.5"/>
    <row r="320" ht="12.5"/>
    <row r="321" ht="12.5"/>
    <row r="322" ht="12.5"/>
    <row r="323" ht="12.5"/>
    <row r="324" ht="12.5"/>
    <row r="325" ht="12.5"/>
    <row r="326" ht="12.5"/>
    <row r="327" ht="12.5"/>
    <row r="328" ht="12.5"/>
    <row r="329" ht="12.5"/>
    <row r="330" ht="12.5"/>
    <row r="331" ht="12.5"/>
    <row r="332" ht="12.5"/>
    <row r="333" ht="12.5"/>
    <row r="334" ht="12.5"/>
    <row r="335" ht="12.5"/>
    <row r="336" ht="12.5"/>
    <row r="337" ht="12.5"/>
    <row r="338" ht="12.5"/>
    <row r="339" ht="12.5"/>
    <row r="340" ht="12.5"/>
    <row r="341" ht="12.5"/>
    <row r="342" ht="12.5"/>
    <row r="343" ht="12.5"/>
    <row r="344" ht="12.5"/>
    <row r="345" ht="12.5"/>
    <row r="346" ht="12.5"/>
    <row r="347" ht="12.5"/>
    <row r="348" ht="12.5"/>
    <row r="349" ht="12.5"/>
    <row r="350" ht="12.5"/>
    <row r="351" ht="12.5"/>
    <row r="352" ht="12.5"/>
    <row r="353" ht="12.5"/>
    <row r="354" ht="12.5"/>
    <row r="355" ht="12.5"/>
    <row r="356" ht="12.5"/>
    <row r="357" ht="12.5"/>
    <row r="358" ht="12.5"/>
    <row r="359" ht="12.5"/>
    <row r="360" ht="12.5"/>
    <row r="361" ht="12.5"/>
    <row r="362" ht="12.5"/>
    <row r="363" ht="12.5"/>
    <row r="364" ht="12.5"/>
    <row r="365" ht="12.5"/>
    <row r="366" ht="12.5"/>
    <row r="367" ht="12.5"/>
    <row r="368" ht="12.5"/>
    <row r="369" ht="12.5"/>
    <row r="370" ht="12.5"/>
    <row r="371" ht="12.5"/>
    <row r="372" ht="12.5"/>
    <row r="373" ht="12.5"/>
    <row r="374" ht="12.5"/>
    <row r="375" ht="12.5"/>
    <row r="376" ht="12.5"/>
    <row r="377" ht="12.5"/>
    <row r="378" ht="12.5"/>
    <row r="379" ht="12.5"/>
    <row r="380" ht="12.5"/>
    <row r="381" ht="12.5"/>
    <row r="382" ht="12.5"/>
    <row r="383" ht="12.5"/>
    <row r="384" ht="12.5"/>
    <row r="385" ht="12.5"/>
    <row r="386" ht="12.5"/>
    <row r="387" ht="12.5"/>
    <row r="388" ht="12.5"/>
    <row r="389" ht="12.5"/>
    <row r="390" ht="12.5"/>
    <row r="391" ht="12.5"/>
    <row r="392" ht="12.5"/>
    <row r="393" ht="12.5"/>
    <row r="394" ht="12.5"/>
    <row r="395" ht="12.5"/>
    <row r="396" ht="12.5"/>
    <row r="397" ht="12.5"/>
    <row r="398" ht="12.5"/>
    <row r="399" ht="12.5"/>
    <row r="400" ht="12.5"/>
  </sheetData>
  <sheetProtection password="D5B5" sheet="1" objects="1" scenarios="1"/>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Hoja45"/>
  <dimension ref="A1:AV950"/>
  <sheetViews>
    <sheetView showGridLines="0" showRowColHeaders="0" zoomScale="80" zoomScaleNormal="80" workbookViewId="0"/>
  </sheetViews>
  <sheetFormatPr baseColWidth="10" defaultRowHeight="12.75" customHeight="1" zeroHeight="1"/>
  <cols>
    <col min="1" max="1" width="50.81640625" style="24" customWidth="1"/>
    <col min="2" max="2" width="17.81640625" style="24" customWidth="1"/>
    <col min="3" max="3" width="8.7265625" style="24" customWidth="1"/>
    <col min="4" max="4" width="17.81640625" style="24" customWidth="1"/>
    <col min="5" max="6" width="8.7265625" style="24" customWidth="1"/>
    <col min="7" max="7" width="17.81640625" style="24" customWidth="1"/>
    <col min="8" max="9" width="8.7265625" style="24" customWidth="1"/>
    <col min="10" max="10" width="17.81640625" style="24" customWidth="1"/>
    <col min="11" max="12" width="8.7265625" style="24" customWidth="1"/>
    <col min="13" max="13" width="17.81640625" style="24" customWidth="1"/>
    <col min="14" max="15" width="8.7265625" style="24" customWidth="1"/>
    <col min="16" max="16" width="17.81640625" style="24" customWidth="1"/>
    <col min="17" max="18" width="8.7265625" style="24" customWidth="1"/>
    <col min="19" max="19" width="17.81640625" style="24" customWidth="1"/>
    <col min="20" max="21" width="8.7265625" style="24" customWidth="1"/>
    <col min="22" max="22" width="17.81640625" style="24" customWidth="1"/>
    <col min="23" max="24" width="8.7265625" style="24" customWidth="1"/>
    <col min="25" max="25" width="17.81640625" style="24" customWidth="1"/>
    <col min="26" max="27" width="8.7265625" style="24" customWidth="1"/>
    <col min="28" max="28" width="17.81640625" style="24" customWidth="1"/>
    <col min="29" max="30" width="8.7265625" style="24" customWidth="1"/>
    <col min="31" max="31" width="17.81640625" style="24" customWidth="1"/>
    <col min="32" max="33" width="8.7265625" style="24" customWidth="1"/>
    <col min="34" max="34" width="17.81640625" style="24" customWidth="1"/>
    <col min="35" max="36" width="8.7265625" style="24" customWidth="1"/>
    <col min="37" max="37" width="17.81640625" style="24" customWidth="1"/>
    <col min="38" max="39" width="8.7265625" style="24" customWidth="1"/>
    <col min="40" max="40" width="17.81640625" style="24" customWidth="1"/>
    <col min="41" max="42" width="8.7265625" style="24" customWidth="1"/>
    <col min="43" max="43" width="17.81640625" style="24" customWidth="1"/>
    <col min="44" max="45" width="8.7265625" style="24" customWidth="1"/>
    <col min="46" max="46" width="17.81640625" style="24" customWidth="1"/>
    <col min="47" max="48" width="8.7265625" style="24" customWidth="1"/>
    <col min="49" max="256" width="10.90625" style="24"/>
    <col min="257" max="257" width="50.81640625" style="24" customWidth="1"/>
    <col min="258" max="258" width="17.81640625" style="24" customWidth="1"/>
    <col min="259" max="259" width="8.7265625" style="24" customWidth="1"/>
    <col min="260" max="260" width="17.81640625" style="24" customWidth="1"/>
    <col min="261" max="262" width="8.7265625" style="24" customWidth="1"/>
    <col min="263" max="263" width="17.81640625" style="24" customWidth="1"/>
    <col min="264" max="265" width="8.7265625" style="24" customWidth="1"/>
    <col min="266" max="266" width="17.81640625" style="24" customWidth="1"/>
    <col min="267" max="268" width="8.7265625" style="24" customWidth="1"/>
    <col min="269" max="269" width="17.81640625" style="24" customWidth="1"/>
    <col min="270" max="271" width="8.7265625" style="24" customWidth="1"/>
    <col min="272" max="272" width="17.81640625" style="24" customWidth="1"/>
    <col min="273" max="274" width="8.7265625" style="24" customWidth="1"/>
    <col min="275" max="275" width="17.81640625" style="24" customWidth="1"/>
    <col min="276" max="277" width="8.7265625" style="24" customWidth="1"/>
    <col min="278" max="278" width="17.81640625" style="24" customWidth="1"/>
    <col min="279" max="280" width="8.7265625" style="24" customWidth="1"/>
    <col min="281" max="281" width="17.81640625" style="24" customWidth="1"/>
    <col min="282" max="283" width="8.7265625" style="24" customWidth="1"/>
    <col min="284" max="284" width="17.81640625" style="24" customWidth="1"/>
    <col min="285" max="286" width="8.7265625" style="24" customWidth="1"/>
    <col min="287" max="287" width="17.81640625" style="24" customWidth="1"/>
    <col min="288" max="289" width="8.7265625" style="24" customWidth="1"/>
    <col min="290" max="290" width="17.81640625" style="24" customWidth="1"/>
    <col min="291" max="292" width="8.7265625" style="24" customWidth="1"/>
    <col min="293" max="293" width="17.81640625" style="24" customWidth="1"/>
    <col min="294" max="295" width="8.7265625" style="24" customWidth="1"/>
    <col min="296" max="296" width="17.81640625" style="24" customWidth="1"/>
    <col min="297" max="298" width="8.7265625" style="24" customWidth="1"/>
    <col min="299" max="299" width="17.81640625" style="24" customWidth="1"/>
    <col min="300" max="301" width="8.7265625" style="24" customWidth="1"/>
    <col min="302" max="302" width="17.81640625" style="24" customWidth="1"/>
    <col min="303" max="304" width="8.7265625" style="24" customWidth="1"/>
    <col min="305" max="512" width="10.90625" style="24"/>
    <col min="513" max="513" width="50.81640625" style="24" customWidth="1"/>
    <col min="514" max="514" width="17.81640625" style="24" customWidth="1"/>
    <col min="515" max="515" width="8.7265625" style="24" customWidth="1"/>
    <col min="516" max="516" width="17.81640625" style="24" customWidth="1"/>
    <col min="517" max="518" width="8.7265625" style="24" customWidth="1"/>
    <col min="519" max="519" width="17.81640625" style="24" customWidth="1"/>
    <col min="520" max="521" width="8.7265625" style="24" customWidth="1"/>
    <col min="522" max="522" width="17.81640625" style="24" customWidth="1"/>
    <col min="523" max="524" width="8.7265625" style="24" customWidth="1"/>
    <col min="525" max="525" width="17.81640625" style="24" customWidth="1"/>
    <col min="526" max="527" width="8.7265625" style="24" customWidth="1"/>
    <col min="528" max="528" width="17.81640625" style="24" customWidth="1"/>
    <col min="529" max="530" width="8.7265625" style="24" customWidth="1"/>
    <col min="531" max="531" width="17.81640625" style="24" customWidth="1"/>
    <col min="532" max="533" width="8.7265625" style="24" customWidth="1"/>
    <col min="534" max="534" width="17.81640625" style="24" customWidth="1"/>
    <col min="535" max="536" width="8.7265625" style="24" customWidth="1"/>
    <col min="537" max="537" width="17.81640625" style="24" customWidth="1"/>
    <col min="538" max="539" width="8.7265625" style="24" customWidth="1"/>
    <col min="540" max="540" width="17.81640625" style="24" customWidth="1"/>
    <col min="541" max="542" width="8.7265625" style="24" customWidth="1"/>
    <col min="543" max="543" width="17.81640625" style="24" customWidth="1"/>
    <col min="544" max="545" width="8.7265625" style="24" customWidth="1"/>
    <col min="546" max="546" width="17.81640625" style="24" customWidth="1"/>
    <col min="547" max="548" width="8.7265625" style="24" customWidth="1"/>
    <col min="549" max="549" width="17.81640625" style="24" customWidth="1"/>
    <col min="550" max="551" width="8.7265625" style="24" customWidth="1"/>
    <col min="552" max="552" width="17.81640625" style="24" customWidth="1"/>
    <col min="553" max="554" width="8.7265625" style="24" customWidth="1"/>
    <col min="555" max="555" width="17.81640625" style="24" customWidth="1"/>
    <col min="556" max="557" width="8.7265625" style="24" customWidth="1"/>
    <col min="558" max="558" width="17.81640625" style="24" customWidth="1"/>
    <col min="559" max="560" width="8.7265625" style="24" customWidth="1"/>
    <col min="561" max="768" width="10.90625" style="24"/>
    <col min="769" max="769" width="50.81640625" style="24" customWidth="1"/>
    <col min="770" max="770" width="17.81640625" style="24" customWidth="1"/>
    <col min="771" max="771" width="8.7265625" style="24" customWidth="1"/>
    <col min="772" max="772" width="17.81640625" style="24" customWidth="1"/>
    <col min="773" max="774" width="8.7265625" style="24" customWidth="1"/>
    <col min="775" max="775" width="17.81640625" style="24" customWidth="1"/>
    <col min="776" max="777" width="8.7265625" style="24" customWidth="1"/>
    <col min="778" max="778" width="17.81640625" style="24" customWidth="1"/>
    <col min="779" max="780" width="8.7265625" style="24" customWidth="1"/>
    <col min="781" max="781" width="17.81640625" style="24" customWidth="1"/>
    <col min="782" max="783" width="8.7265625" style="24" customWidth="1"/>
    <col min="784" max="784" width="17.81640625" style="24" customWidth="1"/>
    <col min="785" max="786" width="8.7265625" style="24" customWidth="1"/>
    <col min="787" max="787" width="17.81640625" style="24" customWidth="1"/>
    <col min="788" max="789" width="8.7265625" style="24" customWidth="1"/>
    <col min="790" max="790" width="17.81640625" style="24" customWidth="1"/>
    <col min="791" max="792" width="8.7265625" style="24" customWidth="1"/>
    <col min="793" max="793" width="17.81640625" style="24" customWidth="1"/>
    <col min="794" max="795" width="8.7265625" style="24" customWidth="1"/>
    <col min="796" max="796" width="17.81640625" style="24" customWidth="1"/>
    <col min="797" max="798" width="8.7265625" style="24" customWidth="1"/>
    <col min="799" max="799" width="17.81640625" style="24" customWidth="1"/>
    <col min="800" max="801" width="8.7265625" style="24" customWidth="1"/>
    <col min="802" max="802" width="17.81640625" style="24" customWidth="1"/>
    <col min="803" max="804" width="8.7265625" style="24" customWidth="1"/>
    <col min="805" max="805" width="17.81640625" style="24" customWidth="1"/>
    <col min="806" max="807" width="8.7265625" style="24" customWidth="1"/>
    <col min="808" max="808" width="17.81640625" style="24" customWidth="1"/>
    <col min="809" max="810" width="8.7265625" style="24" customWidth="1"/>
    <col min="811" max="811" width="17.81640625" style="24" customWidth="1"/>
    <col min="812" max="813" width="8.7265625" style="24" customWidth="1"/>
    <col min="814" max="814" width="17.81640625" style="24" customWidth="1"/>
    <col min="815" max="816" width="8.7265625" style="24" customWidth="1"/>
    <col min="817" max="1024" width="10.90625" style="24"/>
    <col min="1025" max="1025" width="50.81640625" style="24" customWidth="1"/>
    <col min="1026" max="1026" width="17.81640625" style="24" customWidth="1"/>
    <col min="1027" max="1027" width="8.7265625" style="24" customWidth="1"/>
    <col min="1028" max="1028" width="17.81640625" style="24" customWidth="1"/>
    <col min="1029" max="1030" width="8.7265625" style="24" customWidth="1"/>
    <col min="1031" max="1031" width="17.81640625" style="24" customWidth="1"/>
    <col min="1032" max="1033" width="8.7265625" style="24" customWidth="1"/>
    <col min="1034" max="1034" width="17.81640625" style="24" customWidth="1"/>
    <col min="1035" max="1036" width="8.7265625" style="24" customWidth="1"/>
    <col min="1037" max="1037" width="17.81640625" style="24" customWidth="1"/>
    <col min="1038" max="1039" width="8.7265625" style="24" customWidth="1"/>
    <col min="1040" max="1040" width="17.81640625" style="24" customWidth="1"/>
    <col min="1041" max="1042" width="8.7265625" style="24" customWidth="1"/>
    <col min="1043" max="1043" width="17.81640625" style="24" customWidth="1"/>
    <col min="1044" max="1045" width="8.7265625" style="24" customWidth="1"/>
    <col min="1046" max="1046" width="17.81640625" style="24" customWidth="1"/>
    <col min="1047" max="1048" width="8.7265625" style="24" customWidth="1"/>
    <col min="1049" max="1049" width="17.81640625" style="24" customWidth="1"/>
    <col min="1050" max="1051" width="8.7265625" style="24" customWidth="1"/>
    <col min="1052" max="1052" width="17.81640625" style="24" customWidth="1"/>
    <col min="1053" max="1054" width="8.7265625" style="24" customWidth="1"/>
    <col min="1055" max="1055" width="17.81640625" style="24" customWidth="1"/>
    <col min="1056" max="1057" width="8.7265625" style="24" customWidth="1"/>
    <col min="1058" max="1058" width="17.81640625" style="24" customWidth="1"/>
    <col min="1059" max="1060" width="8.7265625" style="24" customWidth="1"/>
    <col min="1061" max="1061" width="17.81640625" style="24" customWidth="1"/>
    <col min="1062" max="1063" width="8.7265625" style="24" customWidth="1"/>
    <col min="1064" max="1064" width="17.81640625" style="24" customWidth="1"/>
    <col min="1065" max="1066" width="8.7265625" style="24" customWidth="1"/>
    <col min="1067" max="1067" width="17.81640625" style="24" customWidth="1"/>
    <col min="1068" max="1069" width="8.7265625" style="24" customWidth="1"/>
    <col min="1070" max="1070" width="17.81640625" style="24" customWidth="1"/>
    <col min="1071" max="1072" width="8.7265625" style="24" customWidth="1"/>
    <col min="1073" max="1280" width="10.90625" style="24"/>
    <col min="1281" max="1281" width="50.81640625" style="24" customWidth="1"/>
    <col min="1282" max="1282" width="17.81640625" style="24" customWidth="1"/>
    <col min="1283" max="1283" width="8.7265625" style="24" customWidth="1"/>
    <col min="1284" max="1284" width="17.81640625" style="24" customWidth="1"/>
    <col min="1285" max="1286" width="8.7265625" style="24" customWidth="1"/>
    <col min="1287" max="1287" width="17.81640625" style="24" customWidth="1"/>
    <col min="1288" max="1289" width="8.7265625" style="24" customWidth="1"/>
    <col min="1290" max="1290" width="17.81640625" style="24" customWidth="1"/>
    <col min="1291" max="1292" width="8.7265625" style="24" customWidth="1"/>
    <col min="1293" max="1293" width="17.81640625" style="24" customWidth="1"/>
    <col min="1294" max="1295" width="8.7265625" style="24" customWidth="1"/>
    <col min="1296" max="1296" width="17.81640625" style="24" customWidth="1"/>
    <col min="1297" max="1298" width="8.7265625" style="24" customWidth="1"/>
    <col min="1299" max="1299" width="17.81640625" style="24" customWidth="1"/>
    <col min="1300" max="1301" width="8.7265625" style="24" customWidth="1"/>
    <col min="1302" max="1302" width="17.81640625" style="24" customWidth="1"/>
    <col min="1303" max="1304" width="8.7265625" style="24" customWidth="1"/>
    <col min="1305" max="1305" width="17.81640625" style="24" customWidth="1"/>
    <col min="1306" max="1307" width="8.7265625" style="24" customWidth="1"/>
    <col min="1308" max="1308" width="17.81640625" style="24" customWidth="1"/>
    <col min="1309" max="1310" width="8.7265625" style="24" customWidth="1"/>
    <col min="1311" max="1311" width="17.81640625" style="24" customWidth="1"/>
    <col min="1312" max="1313" width="8.7265625" style="24" customWidth="1"/>
    <col min="1314" max="1314" width="17.81640625" style="24" customWidth="1"/>
    <col min="1315" max="1316" width="8.7265625" style="24" customWidth="1"/>
    <col min="1317" max="1317" width="17.81640625" style="24" customWidth="1"/>
    <col min="1318" max="1319" width="8.7265625" style="24" customWidth="1"/>
    <col min="1320" max="1320" width="17.81640625" style="24" customWidth="1"/>
    <col min="1321" max="1322" width="8.7265625" style="24" customWidth="1"/>
    <col min="1323" max="1323" width="17.81640625" style="24" customWidth="1"/>
    <col min="1324" max="1325" width="8.7265625" style="24" customWidth="1"/>
    <col min="1326" max="1326" width="17.81640625" style="24" customWidth="1"/>
    <col min="1327" max="1328" width="8.7265625" style="24" customWidth="1"/>
    <col min="1329" max="1536" width="10.90625" style="24"/>
    <col min="1537" max="1537" width="50.81640625" style="24" customWidth="1"/>
    <col min="1538" max="1538" width="17.81640625" style="24" customWidth="1"/>
    <col min="1539" max="1539" width="8.7265625" style="24" customWidth="1"/>
    <col min="1540" max="1540" width="17.81640625" style="24" customWidth="1"/>
    <col min="1541" max="1542" width="8.7265625" style="24" customWidth="1"/>
    <col min="1543" max="1543" width="17.81640625" style="24" customWidth="1"/>
    <col min="1544" max="1545" width="8.7265625" style="24" customWidth="1"/>
    <col min="1546" max="1546" width="17.81640625" style="24" customWidth="1"/>
    <col min="1547" max="1548" width="8.7265625" style="24" customWidth="1"/>
    <col min="1549" max="1549" width="17.81640625" style="24" customWidth="1"/>
    <col min="1550" max="1551" width="8.7265625" style="24" customWidth="1"/>
    <col min="1552" max="1552" width="17.81640625" style="24" customWidth="1"/>
    <col min="1553" max="1554" width="8.7265625" style="24" customWidth="1"/>
    <col min="1555" max="1555" width="17.81640625" style="24" customWidth="1"/>
    <col min="1556" max="1557" width="8.7265625" style="24" customWidth="1"/>
    <col min="1558" max="1558" width="17.81640625" style="24" customWidth="1"/>
    <col min="1559" max="1560" width="8.7265625" style="24" customWidth="1"/>
    <col min="1561" max="1561" width="17.81640625" style="24" customWidth="1"/>
    <col min="1562" max="1563" width="8.7265625" style="24" customWidth="1"/>
    <col min="1564" max="1564" width="17.81640625" style="24" customWidth="1"/>
    <col min="1565" max="1566" width="8.7265625" style="24" customWidth="1"/>
    <col min="1567" max="1567" width="17.81640625" style="24" customWidth="1"/>
    <col min="1568" max="1569" width="8.7265625" style="24" customWidth="1"/>
    <col min="1570" max="1570" width="17.81640625" style="24" customWidth="1"/>
    <col min="1571" max="1572" width="8.7265625" style="24" customWidth="1"/>
    <col min="1573" max="1573" width="17.81640625" style="24" customWidth="1"/>
    <col min="1574" max="1575" width="8.7265625" style="24" customWidth="1"/>
    <col min="1576" max="1576" width="17.81640625" style="24" customWidth="1"/>
    <col min="1577" max="1578" width="8.7265625" style="24" customWidth="1"/>
    <col min="1579" max="1579" width="17.81640625" style="24" customWidth="1"/>
    <col min="1580" max="1581" width="8.7265625" style="24" customWidth="1"/>
    <col min="1582" max="1582" width="17.81640625" style="24" customWidth="1"/>
    <col min="1583" max="1584" width="8.7265625" style="24" customWidth="1"/>
    <col min="1585" max="1792" width="10.90625" style="24"/>
    <col min="1793" max="1793" width="50.81640625" style="24" customWidth="1"/>
    <col min="1794" max="1794" width="17.81640625" style="24" customWidth="1"/>
    <col min="1795" max="1795" width="8.7265625" style="24" customWidth="1"/>
    <col min="1796" max="1796" width="17.81640625" style="24" customWidth="1"/>
    <col min="1797" max="1798" width="8.7265625" style="24" customWidth="1"/>
    <col min="1799" max="1799" width="17.81640625" style="24" customWidth="1"/>
    <col min="1800" max="1801" width="8.7265625" style="24" customWidth="1"/>
    <col min="1802" max="1802" width="17.81640625" style="24" customWidth="1"/>
    <col min="1803" max="1804" width="8.7265625" style="24" customWidth="1"/>
    <col min="1805" max="1805" width="17.81640625" style="24" customWidth="1"/>
    <col min="1806" max="1807" width="8.7265625" style="24" customWidth="1"/>
    <col min="1808" max="1808" width="17.81640625" style="24" customWidth="1"/>
    <col min="1809" max="1810" width="8.7265625" style="24" customWidth="1"/>
    <col min="1811" max="1811" width="17.81640625" style="24" customWidth="1"/>
    <col min="1812" max="1813" width="8.7265625" style="24" customWidth="1"/>
    <col min="1814" max="1814" width="17.81640625" style="24" customWidth="1"/>
    <col min="1815" max="1816" width="8.7265625" style="24" customWidth="1"/>
    <col min="1817" max="1817" width="17.81640625" style="24" customWidth="1"/>
    <col min="1818" max="1819" width="8.7265625" style="24" customWidth="1"/>
    <col min="1820" max="1820" width="17.81640625" style="24" customWidth="1"/>
    <col min="1821" max="1822" width="8.7265625" style="24" customWidth="1"/>
    <col min="1823" max="1823" width="17.81640625" style="24" customWidth="1"/>
    <col min="1824" max="1825" width="8.7265625" style="24" customWidth="1"/>
    <col min="1826" max="1826" width="17.81640625" style="24" customWidth="1"/>
    <col min="1827" max="1828" width="8.7265625" style="24" customWidth="1"/>
    <col min="1829" max="1829" width="17.81640625" style="24" customWidth="1"/>
    <col min="1830" max="1831" width="8.7265625" style="24" customWidth="1"/>
    <col min="1832" max="1832" width="17.81640625" style="24" customWidth="1"/>
    <col min="1833" max="1834" width="8.7265625" style="24" customWidth="1"/>
    <col min="1835" max="1835" width="17.81640625" style="24" customWidth="1"/>
    <col min="1836" max="1837" width="8.7265625" style="24" customWidth="1"/>
    <col min="1838" max="1838" width="17.81640625" style="24" customWidth="1"/>
    <col min="1839" max="1840" width="8.7265625" style="24" customWidth="1"/>
    <col min="1841" max="2048" width="10.90625" style="24"/>
    <col min="2049" max="2049" width="50.81640625" style="24" customWidth="1"/>
    <col min="2050" max="2050" width="17.81640625" style="24" customWidth="1"/>
    <col min="2051" max="2051" width="8.7265625" style="24" customWidth="1"/>
    <col min="2052" max="2052" width="17.81640625" style="24" customWidth="1"/>
    <col min="2053" max="2054" width="8.7265625" style="24" customWidth="1"/>
    <col min="2055" max="2055" width="17.81640625" style="24" customWidth="1"/>
    <col min="2056" max="2057" width="8.7265625" style="24" customWidth="1"/>
    <col min="2058" max="2058" width="17.81640625" style="24" customWidth="1"/>
    <col min="2059" max="2060" width="8.7265625" style="24" customWidth="1"/>
    <col min="2061" max="2061" width="17.81640625" style="24" customWidth="1"/>
    <col min="2062" max="2063" width="8.7265625" style="24" customWidth="1"/>
    <col min="2064" max="2064" width="17.81640625" style="24" customWidth="1"/>
    <col min="2065" max="2066" width="8.7265625" style="24" customWidth="1"/>
    <col min="2067" max="2067" width="17.81640625" style="24" customWidth="1"/>
    <col min="2068" max="2069" width="8.7265625" style="24" customWidth="1"/>
    <col min="2070" max="2070" width="17.81640625" style="24" customWidth="1"/>
    <col min="2071" max="2072" width="8.7265625" style="24" customWidth="1"/>
    <col min="2073" max="2073" width="17.81640625" style="24" customWidth="1"/>
    <col min="2074" max="2075" width="8.7265625" style="24" customWidth="1"/>
    <col min="2076" max="2076" width="17.81640625" style="24" customWidth="1"/>
    <col min="2077" max="2078" width="8.7265625" style="24" customWidth="1"/>
    <col min="2079" max="2079" width="17.81640625" style="24" customWidth="1"/>
    <col min="2080" max="2081" width="8.7265625" style="24" customWidth="1"/>
    <col min="2082" max="2082" width="17.81640625" style="24" customWidth="1"/>
    <col min="2083" max="2084" width="8.7265625" style="24" customWidth="1"/>
    <col min="2085" max="2085" width="17.81640625" style="24" customWidth="1"/>
    <col min="2086" max="2087" width="8.7265625" style="24" customWidth="1"/>
    <col min="2088" max="2088" width="17.81640625" style="24" customWidth="1"/>
    <col min="2089" max="2090" width="8.7265625" style="24" customWidth="1"/>
    <col min="2091" max="2091" width="17.81640625" style="24" customWidth="1"/>
    <col min="2092" max="2093" width="8.7265625" style="24" customWidth="1"/>
    <col min="2094" max="2094" width="17.81640625" style="24" customWidth="1"/>
    <col min="2095" max="2096" width="8.7265625" style="24" customWidth="1"/>
    <col min="2097" max="2304" width="10.90625" style="24"/>
    <col min="2305" max="2305" width="50.81640625" style="24" customWidth="1"/>
    <col min="2306" max="2306" width="17.81640625" style="24" customWidth="1"/>
    <col min="2307" max="2307" width="8.7265625" style="24" customWidth="1"/>
    <col min="2308" max="2308" width="17.81640625" style="24" customWidth="1"/>
    <col min="2309" max="2310" width="8.7265625" style="24" customWidth="1"/>
    <col min="2311" max="2311" width="17.81640625" style="24" customWidth="1"/>
    <col min="2312" max="2313" width="8.7265625" style="24" customWidth="1"/>
    <col min="2314" max="2314" width="17.81640625" style="24" customWidth="1"/>
    <col min="2315" max="2316" width="8.7265625" style="24" customWidth="1"/>
    <col min="2317" max="2317" width="17.81640625" style="24" customWidth="1"/>
    <col min="2318" max="2319" width="8.7265625" style="24" customWidth="1"/>
    <col min="2320" max="2320" width="17.81640625" style="24" customWidth="1"/>
    <col min="2321" max="2322" width="8.7265625" style="24" customWidth="1"/>
    <col min="2323" max="2323" width="17.81640625" style="24" customWidth="1"/>
    <col min="2324" max="2325" width="8.7265625" style="24" customWidth="1"/>
    <col min="2326" max="2326" width="17.81640625" style="24" customWidth="1"/>
    <col min="2327" max="2328" width="8.7265625" style="24" customWidth="1"/>
    <col min="2329" max="2329" width="17.81640625" style="24" customWidth="1"/>
    <col min="2330" max="2331" width="8.7265625" style="24" customWidth="1"/>
    <col min="2332" max="2332" width="17.81640625" style="24" customWidth="1"/>
    <col min="2333" max="2334" width="8.7265625" style="24" customWidth="1"/>
    <col min="2335" max="2335" width="17.81640625" style="24" customWidth="1"/>
    <col min="2336" max="2337" width="8.7265625" style="24" customWidth="1"/>
    <col min="2338" max="2338" width="17.81640625" style="24" customWidth="1"/>
    <col min="2339" max="2340" width="8.7265625" style="24" customWidth="1"/>
    <col min="2341" max="2341" width="17.81640625" style="24" customWidth="1"/>
    <col min="2342" max="2343" width="8.7265625" style="24" customWidth="1"/>
    <col min="2344" max="2344" width="17.81640625" style="24" customWidth="1"/>
    <col min="2345" max="2346" width="8.7265625" style="24" customWidth="1"/>
    <col min="2347" max="2347" width="17.81640625" style="24" customWidth="1"/>
    <col min="2348" max="2349" width="8.7265625" style="24" customWidth="1"/>
    <col min="2350" max="2350" width="17.81640625" style="24" customWidth="1"/>
    <col min="2351" max="2352" width="8.7265625" style="24" customWidth="1"/>
    <col min="2353" max="2560" width="10.90625" style="24"/>
    <col min="2561" max="2561" width="50.81640625" style="24" customWidth="1"/>
    <col min="2562" max="2562" width="17.81640625" style="24" customWidth="1"/>
    <col min="2563" max="2563" width="8.7265625" style="24" customWidth="1"/>
    <col min="2564" max="2564" width="17.81640625" style="24" customWidth="1"/>
    <col min="2565" max="2566" width="8.7265625" style="24" customWidth="1"/>
    <col min="2567" max="2567" width="17.81640625" style="24" customWidth="1"/>
    <col min="2568" max="2569" width="8.7265625" style="24" customWidth="1"/>
    <col min="2570" max="2570" width="17.81640625" style="24" customWidth="1"/>
    <col min="2571" max="2572" width="8.7265625" style="24" customWidth="1"/>
    <col min="2573" max="2573" width="17.81640625" style="24" customWidth="1"/>
    <col min="2574" max="2575" width="8.7265625" style="24" customWidth="1"/>
    <col min="2576" max="2576" width="17.81640625" style="24" customWidth="1"/>
    <col min="2577" max="2578" width="8.7265625" style="24" customWidth="1"/>
    <col min="2579" max="2579" width="17.81640625" style="24" customWidth="1"/>
    <col min="2580" max="2581" width="8.7265625" style="24" customWidth="1"/>
    <col min="2582" max="2582" width="17.81640625" style="24" customWidth="1"/>
    <col min="2583" max="2584" width="8.7265625" style="24" customWidth="1"/>
    <col min="2585" max="2585" width="17.81640625" style="24" customWidth="1"/>
    <col min="2586" max="2587" width="8.7265625" style="24" customWidth="1"/>
    <col min="2588" max="2588" width="17.81640625" style="24" customWidth="1"/>
    <col min="2589" max="2590" width="8.7265625" style="24" customWidth="1"/>
    <col min="2591" max="2591" width="17.81640625" style="24" customWidth="1"/>
    <col min="2592" max="2593" width="8.7265625" style="24" customWidth="1"/>
    <col min="2594" max="2594" width="17.81640625" style="24" customWidth="1"/>
    <col min="2595" max="2596" width="8.7265625" style="24" customWidth="1"/>
    <col min="2597" max="2597" width="17.81640625" style="24" customWidth="1"/>
    <col min="2598" max="2599" width="8.7265625" style="24" customWidth="1"/>
    <col min="2600" max="2600" width="17.81640625" style="24" customWidth="1"/>
    <col min="2601" max="2602" width="8.7265625" style="24" customWidth="1"/>
    <col min="2603" max="2603" width="17.81640625" style="24" customWidth="1"/>
    <col min="2604" max="2605" width="8.7265625" style="24" customWidth="1"/>
    <col min="2606" max="2606" width="17.81640625" style="24" customWidth="1"/>
    <col min="2607" max="2608" width="8.7265625" style="24" customWidth="1"/>
    <col min="2609" max="2816" width="10.90625" style="24"/>
    <col min="2817" max="2817" width="50.81640625" style="24" customWidth="1"/>
    <col min="2818" max="2818" width="17.81640625" style="24" customWidth="1"/>
    <col min="2819" max="2819" width="8.7265625" style="24" customWidth="1"/>
    <col min="2820" max="2820" width="17.81640625" style="24" customWidth="1"/>
    <col min="2821" max="2822" width="8.7265625" style="24" customWidth="1"/>
    <col min="2823" max="2823" width="17.81640625" style="24" customWidth="1"/>
    <col min="2824" max="2825" width="8.7265625" style="24" customWidth="1"/>
    <col min="2826" max="2826" width="17.81640625" style="24" customWidth="1"/>
    <col min="2827" max="2828" width="8.7265625" style="24" customWidth="1"/>
    <col min="2829" max="2829" width="17.81640625" style="24" customWidth="1"/>
    <col min="2830" max="2831" width="8.7265625" style="24" customWidth="1"/>
    <col min="2832" max="2832" width="17.81640625" style="24" customWidth="1"/>
    <col min="2833" max="2834" width="8.7265625" style="24" customWidth="1"/>
    <col min="2835" max="2835" width="17.81640625" style="24" customWidth="1"/>
    <col min="2836" max="2837" width="8.7265625" style="24" customWidth="1"/>
    <col min="2838" max="2838" width="17.81640625" style="24" customWidth="1"/>
    <col min="2839" max="2840" width="8.7265625" style="24" customWidth="1"/>
    <col min="2841" max="2841" width="17.81640625" style="24" customWidth="1"/>
    <col min="2842" max="2843" width="8.7265625" style="24" customWidth="1"/>
    <col min="2844" max="2844" width="17.81640625" style="24" customWidth="1"/>
    <col min="2845" max="2846" width="8.7265625" style="24" customWidth="1"/>
    <col min="2847" max="2847" width="17.81640625" style="24" customWidth="1"/>
    <col min="2848" max="2849" width="8.7265625" style="24" customWidth="1"/>
    <col min="2850" max="2850" width="17.81640625" style="24" customWidth="1"/>
    <col min="2851" max="2852" width="8.7265625" style="24" customWidth="1"/>
    <col min="2853" max="2853" width="17.81640625" style="24" customWidth="1"/>
    <col min="2854" max="2855" width="8.7265625" style="24" customWidth="1"/>
    <col min="2856" max="2856" width="17.81640625" style="24" customWidth="1"/>
    <col min="2857" max="2858" width="8.7265625" style="24" customWidth="1"/>
    <col min="2859" max="2859" width="17.81640625" style="24" customWidth="1"/>
    <col min="2860" max="2861" width="8.7265625" style="24" customWidth="1"/>
    <col min="2862" max="2862" width="17.81640625" style="24" customWidth="1"/>
    <col min="2863" max="2864" width="8.7265625" style="24" customWidth="1"/>
    <col min="2865" max="3072" width="10.90625" style="24"/>
    <col min="3073" max="3073" width="50.81640625" style="24" customWidth="1"/>
    <col min="3074" max="3074" width="17.81640625" style="24" customWidth="1"/>
    <col min="3075" max="3075" width="8.7265625" style="24" customWidth="1"/>
    <col min="3076" max="3076" width="17.81640625" style="24" customWidth="1"/>
    <col min="3077" max="3078" width="8.7265625" style="24" customWidth="1"/>
    <col min="3079" max="3079" width="17.81640625" style="24" customWidth="1"/>
    <col min="3080" max="3081" width="8.7265625" style="24" customWidth="1"/>
    <col min="3082" max="3082" width="17.81640625" style="24" customWidth="1"/>
    <col min="3083" max="3084" width="8.7265625" style="24" customWidth="1"/>
    <col min="3085" max="3085" width="17.81640625" style="24" customWidth="1"/>
    <col min="3086" max="3087" width="8.7265625" style="24" customWidth="1"/>
    <col min="3088" max="3088" width="17.81640625" style="24" customWidth="1"/>
    <col min="3089" max="3090" width="8.7265625" style="24" customWidth="1"/>
    <col min="3091" max="3091" width="17.81640625" style="24" customWidth="1"/>
    <col min="3092" max="3093" width="8.7265625" style="24" customWidth="1"/>
    <col min="3094" max="3094" width="17.81640625" style="24" customWidth="1"/>
    <col min="3095" max="3096" width="8.7265625" style="24" customWidth="1"/>
    <col min="3097" max="3097" width="17.81640625" style="24" customWidth="1"/>
    <col min="3098" max="3099" width="8.7265625" style="24" customWidth="1"/>
    <col min="3100" max="3100" width="17.81640625" style="24" customWidth="1"/>
    <col min="3101" max="3102" width="8.7265625" style="24" customWidth="1"/>
    <col min="3103" max="3103" width="17.81640625" style="24" customWidth="1"/>
    <col min="3104" max="3105" width="8.7265625" style="24" customWidth="1"/>
    <col min="3106" max="3106" width="17.81640625" style="24" customWidth="1"/>
    <col min="3107" max="3108" width="8.7265625" style="24" customWidth="1"/>
    <col min="3109" max="3109" width="17.81640625" style="24" customWidth="1"/>
    <col min="3110" max="3111" width="8.7265625" style="24" customWidth="1"/>
    <col min="3112" max="3112" width="17.81640625" style="24" customWidth="1"/>
    <col min="3113" max="3114" width="8.7265625" style="24" customWidth="1"/>
    <col min="3115" max="3115" width="17.81640625" style="24" customWidth="1"/>
    <col min="3116" max="3117" width="8.7265625" style="24" customWidth="1"/>
    <col min="3118" max="3118" width="17.81640625" style="24" customWidth="1"/>
    <col min="3119" max="3120" width="8.7265625" style="24" customWidth="1"/>
    <col min="3121" max="3328" width="10.90625" style="24"/>
    <col min="3329" max="3329" width="50.81640625" style="24" customWidth="1"/>
    <col min="3330" max="3330" width="17.81640625" style="24" customWidth="1"/>
    <col min="3331" max="3331" width="8.7265625" style="24" customWidth="1"/>
    <col min="3332" max="3332" width="17.81640625" style="24" customWidth="1"/>
    <col min="3333" max="3334" width="8.7265625" style="24" customWidth="1"/>
    <col min="3335" max="3335" width="17.81640625" style="24" customWidth="1"/>
    <col min="3336" max="3337" width="8.7265625" style="24" customWidth="1"/>
    <col min="3338" max="3338" width="17.81640625" style="24" customWidth="1"/>
    <col min="3339" max="3340" width="8.7265625" style="24" customWidth="1"/>
    <col min="3341" max="3341" width="17.81640625" style="24" customWidth="1"/>
    <col min="3342" max="3343" width="8.7265625" style="24" customWidth="1"/>
    <col min="3344" max="3344" width="17.81640625" style="24" customWidth="1"/>
    <col min="3345" max="3346" width="8.7265625" style="24" customWidth="1"/>
    <col min="3347" max="3347" width="17.81640625" style="24" customWidth="1"/>
    <col min="3348" max="3349" width="8.7265625" style="24" customWidth="1"/>
    <col min="3350" max="3350" width="17.81640625" style="24" customWidth="1"/>
    <col min="3351" max="3352" width="8.7265625" style="24" customWidth="1"/>
    <col min="3353" max="3353" width="17.81640625" style="24" customWidth="1"/>
    <col min="3354" max="3355" width="8.7265625" style="24" customWidth="1"/>
    <col min="3356" max="3356" width="17.81640625" style="24" customWidth="1"/>
    <col min="3357" max="3358" width="8.7265625" style="24" customWidth="1"/>
    <col min="3359" max="3359" width="17.81640625" style="24" customWidth="1"/>
    <col min="3360" max="3361" width="8.7265625" style="24" customWidth="1"/>
    <col min="3362" max="3362" width="17.81640625" style="24" customWidth="1"/>
    <col min="3363" max="3364" width="8.7265625" style="24" customWidth="1"/>
    <col min="3365" max="3365" width="17.81640625" style="24" customWidth="1"/>
    <col min="3366" max="3367" width="8.7265625" style="24" customWidth="1"/>
    <col min="3368" max="3368" width="17.81640625" style="24" customWidth="1"/>
    <col min="3369" max="3370" width="8.7265625" style="24" customWidth="1"/>
    <col min="3371" max="3371" width="17.81640625" style="24" customWidth="1"/>
    <col min="3372" max="3373" width="8.7265625" style="24" customWidth="1"/>
    <col min="3374" max="3374" width="17.81640625" style="24" customWidth="1"/>
    <col min="3375" max="3376" width="8.7265625" style="24" customWidth="1"/>
    <col min="3377" max="3584" width="10.90625" style="24"/>
    <col min="3585" max="3585" width="50.81640625" style="24" customWidth="1"/>
    <col min="3586" max="3586" width="17.81640625" style="24" customWidth="1"/>
    <col min="3587" max="3587" width="8.7265625" style="24" customWidth="1"/>
    <col min="3588" max="3588" width="17.81640625" style="24" customWidth="1"/>
    <col min="3589" max="3590" width="8.7265625" style="24" customWidth="1"/>
    <col min="3591" max="3591" width="17.81640625" style="24" customWidth="1"/>
    <col min="3592" max="3593" width="8.7265625" style="24" customWidth="1"/>
    <col min="3594" max="3594" width="17.81640625" style="24" customWidth="1"/>
    <col min="3595" max="3596" width="8.7265625" style="24" customWidth="1"/>
    <col min="3597" max="3597" width="17.81640625" style="24" customWidth="1"/>
    <col min="3598" max="3599" width="8.7265625" style="24" customWidth="1"/>
    <col min="3600" max="3600" width="17.81640625" style="24" customWidth="1"/>
    <col min="3601" max="3602" width="8.7265625" style="24" customWidth="1"/>
    <col min="3603" max="3603" width="17.81640625" style="24" customWidth="1"/>
    <col min="3604" max="3605" width="8.7265625" style="24" customWidth="1"/>
    <col min="3606" max="3606" width="17.81640625" style="24" customWidth="1"/>
    <col min="3607" max="3608" width="8.7265625" style="24" customWidth="1"/>
    <col min="3609" max="3609" width="17.81640625" style="24" customWidth="1"/>
    <col min="3610" max="3611" width="8.7265625" style="24" customWidth="1"/>
    <col min="3612" max="3612" width="17.81640625" style="24" customWidth="1"/>
    <col min="3613" max="3614" width="8.7265625" style="24" customWidth="1"/>
    <col min="3615" max="3615" width="17.81640625" style="24" customWidth="1"/>
    <col min="3616" max="3617" width="8.7265625" style="24" customWidth="1"/>
    <col min="3618" max="3618" width="17.81640625" style="24" customWidth="1"/>
    <col min="3619" max="3620" width="8.7265625" style="24" customWidth="1"/>
    <col min="3621" max="3621" width="17.81640625" style="24" customWidth="1"/>
    <col min="3622" max="3623" width="8.7265625" style="24" customWidth="1"/>
    <col min="3624" max="3624" width="17.81640625" style="24" customWidth="1"/>
    <col min="3625" max="3626" width="8.7265625" style="24" customWidth="1"/>
    <col min="3627" max="3627" width="17.81640625" style="24" customWidth="1"/>
    <col min="3628" max="3629" width="8.7265625" style="24" customWidth="1"/>
    <col min="3630" max="3630" width="17.81640625" style="24" customWidth="1"/>
    <col min="3631" max="3632" width="8.7265625" style="24" customWidth="1"/>
    <col min="3633" max="3840" width="10.90625" style="24"/>
    <col min="3841" max="3841" width="50.81640625" style="24" customWidth="1"/>
    <col min="3842" max="3842" width="17.81640625" style="24" customWidth="1"/>
    <col min="3843" max="3843" width="8.7265625" style="24" customWidth="1"/>
    <col min="3844" max="3844" width="17.81640625" style="24" customWidth="1"/>
    <col min="3845" max="3846" width="8.7265625" style="24" customWidth="1"/>
    <col min="3847" max="3847" width="17.81640625" style="24" customWidth="1"/>
    <col min="3848" max="3849" width="8.7265625" style="24" customWidth="1"/>
    <col min="3850" max="3850" width="17.81640625" style="24" customWidth="1"/>
    <col min="3851" max="3852" width="8.7265625" style="24" customWidth="1"/>
    <col min="3853" max="3853" width="17.81640625" style="24" customWidth="1"/>
    <col min="3854" max="3855" width="8.7265625" style="24" customWidth="1"/>
    <col min="3856" max="3856" width="17.81640625" style="24" customWidth="1"/>
    <col min="3857" max="3858" width="8.7265625" style="24" customWidth="1"/>
    <col min="3859" max="3859" width="17.81640625" style="24" customWidth="1"/>
    <col min="3860" max="3861" width="8.7265625" style="24" customWidth="1"/>
    <col min="3862" max="3862" width="17.81640625" style="24" customWidth="1"/>
    <col min="3863" max="3864" width="8.7265625" style="24" customWidth="1"/>
    <col min="3865" max="3865" width="17.81640625" style="24" customWidth="1"/>
    <col min="3866" max="3867" width="8.7265625" style="24" customWidth="1"/>
    <col min="3868" max="3868" width="17.81640625" style="24" customWidth="1"/>
    <col min="3869" max="3870" width="8.7265625" style="24" customWidth="1"/>
    <col min="3871" max="3871" width="17.81640625" style="24" customWidth="1"/>
    <col min="3872" max="3873" width="8.7265625" style="24" customWidth="1"/>
    <col min="3874" max="3874" width="17.81640625" style="24" customWidth="1"/>
    <col min="3875" max="3876" width="8.7265625" style="24" customWidth="1"/>
    <col min="3877" max="3877" width="17.81640625" style="24" customWidth="1"/>
    <col min="3878" max="3879" width="8.7265625" style="24" customWidth="1"/>
    <col min="3880" max="3880" width="17.81640625" style="24" customWidth="1"/>
    <col min="3881" max="3882" width="8.7265625" style="24" customWidth="1"/>
    <col min="3883" max="3883" width="17.81640625" style="24" customWidth="1"/>
    <col min="3884" max="3885" width="8.7265625" style="24" customWidth="1"/>
    <col min="3886" max="3886" width="17.81640625" style="24" customWidth="1"/>
    <col min="3887" max="3888" width="8.7265625" style="24" customWidth="1"/>
    <col min="3889" max="4096" width="10.90625" style="24"/>
    <col min="4097" max="4097" width="50.81640625" style="24" customWidth="1"/>
    <col min="4098" max="4098" width="17.81640625" style="24" customWidth="1"/>
    <col min="4099" max="4099" width="8.7265625" style="24" customWidth="1"/>
    <col min="4100" max="4100" width="17.81640625" style="24" customWidth="1"/>
    <col min="4101" max="4102" width="8.7265625" style="24" customWidth="1"/>
    <col min="4103" max="4103" width="17.81640625" style="24" customWidth="1"/>
    <col min="4104" max="4105" width="8.7265625" style="24" customWidth="1"/>
    <col min="4106" max="4106" width="17.81640625" style="24" customWidth="1"/>
    <col min="4107" max="4108" width="8.7265625" style="24" customWidth="1"/>
    <col min="4109" max="4109" width="17.81640625" style="24" customWidth="1"/>
    <col min="4110" max="4111" width="8.7265625" style="24" customWidth="1"/>
    <col min="4112" max="4112" width="17.81640625" style="24" customWidth="1"/>
    <col min="4113" max="4114" width="8.7265625" style="24" customWidth="1"/>
    <col min="4115" max="4115" width="17.81640625" style="24" customWidth="1"/>
    <col min="4116" max="4117" width="8.7265625" style="24" customWidth="1"/>
    <col min="4118" max="4118" width="17.81640625" style="24" customWidth="1"/>
    <col min="4119" max="4120" width="8.7265625" style="24" customWidth="1"/>
    <col min="4121" max="4121" width="17.81640625" style="24" customWidth="1"/>
    <col min="4122" max="4123" width="8.7265625" style="24" customWidth="1"/>
    <col min="4124" max="4124" width="17.81640625" style="24" customWidth="1"/>
    <col min="4125" max="4126" width="8.7265625" style="24" customWidth="1"/>
    <col min="4127" max="4127" width="17.81640625" style="24" customWidth="1"/>
    <col min="4128" max="4129" width="8.7265625" style="24" customWidth="1"/>
    <col min="4130" max="4130" width="17.81640625" style="24" customWidth="1"/>
    <col min="4131" max="4132" width="8.7265625" style="24" customWidth="1"/>
    <col min="4133" max="4133" width="17.81640625" style="24" customWidth="1"/>
    <col min="4134" max="4135" width="8.7265625" style="24" customWidth="1"/>
    <col min="4136" max="4136" width="17.81640625" style="24" customWidth="1"/>
    <col min="4137" max="4138" width="8.7265625" style="24" customWidth="1"/>
    <col min="4139" max="4139" width="17.81640625" style="24" customWidth="1"/>
    <col min="4140" max="4141" width="8.7265625" style="24" customWidth="1"/>
    <col min="4142" max="4142" width="17.81640625" style="24" customWidth="1"/>
    <col min="4143" max="4144" width="8.7265625" style="24" customWidth="1"/>
    <col min="4145" max="4352" width="10.90625" style="24"/>
    <col min="4353" max="4353" width="50.81640625" style="24" customWidth="1"/>
    <col min="4354" max="4354" width="17.81640625" style="24" customWidth="1"/>
    <col min="4355" max="4355" width="8.7265625" style="24" customWidth="1"/>
    <col min="4356" max="4356" width="17.81640625" style="24" customWidth="1"/>
    <col min="4357" max="4358" width="8.7265625" style="24" customWidth="1"/>
    <col min="4359" max="4359" width="17.81640625" style="24" customWidth="1"/>
    <col min="4360" max="4361" width="8.7265625" style="24" customWidth="1"/>
    <col min="4362" max="4362" width="17.81640625" style="24" customWidth="1"/>
    <col min="4363" max="4364" width="8.7265625" style="24" customWidth="1"/>
    <col min="4365" max="4365" width="17.81640625" style="24" customWidth="1"/>
    <col min="4366" max="4367" width="8.7265625" style="24" customWidth="1"/>
    <col min="4368" max="4368" width="17.81640625" style="24" customWidth="1"/>
    <col min="4369" max="4370" width="8.7265625" style="24" customWidth="1"/>
    <col min="4371" max="4371" width="17.81640625" style="24" customWidth="1"/>
    <col min="4372" max="4373" width="8.7265625" style="24" customWidth="1"/>
    <col min="4374" max="4374" width="17.81640625" style="24" customWidth="1"/>
    <col min="4375" max="4376" width="8.7265625" style="24" customWidth="1"/>
    <col min="4377" max="4377" width="17.81640625" style="24" customWidth="1"/>
    <col min="4378" max="4379" width="8.7265625" style="24" customWidth="1"/>
    <col min="4380" max="4380" width="17.81640625" style="24" customWidth="1"/>
    <col min="4381" max="4382" width="8.7265625" style="24" customWidth="1"/>
    <col min="4383" max="4383" width="17.81640625" style="24" customWidth="1"/>
    <col min="4384" max="4385" width="8.7265625" style="24" customWidth="1"/>
    <col min="4386" max="4386" width="17.81640625" style="24" customWidth="1"/>
    <col min="4387" max="4388" width="8.7265625" style="24" customWidth="1"/>
    <col min="4389" max="4389" width="17.81640625" style="24" customWidth="1"/>
    <col min="4390" max="4391" width="8.7265625" style="24" customWidth="1"/>
    <col min="4392" max="4392" width="17.81640625" style="24" customWidth="1"/>
    <col min="4393" max="4394" width="8.7265625" style="24" customWidth="1"/>
    <col min="4395" max="4395" width="17.81640625" style="24" customWidth="1"/>
    <col min="4396" max="4397" width="8.7265625" style="24" customWidth="1"/>
    <col min="4398" max="4398" width="17.81640625" style="24" customWidth="1"/>
    <col min="4399" max="4400" width="8.7265625" style="24" customWidth="1"/>
    <col min="4401" max="4608" width="10.90625" style="24"/>
    <col min="4609" max="4609" width="50.81640625" style="24" customWidth="1"/>
    <col min="4610" max="4610" width="17.81640625" style="24" customWidth="1"/>
    <col min="4611" max="4611" width="8.7265625" style="24" customWidth="1"/>
    <col min="4612" max="4612" width="17.81640625" style="24" customWidth="1"/>
    <col min="4613" max="4614" width="8.7265625" style="24" customWidth="1"/>
    <col min="4615" max="4615" width="17.81640625" style="24" customWidth="1"/>
    <col min="4616" max="4617" width="8.7265625" style="24" customWidth="1"/>
    <col min="4618" max="4618" width="17.81640625" style="24" customWidth="1"/>
    <col min="4619" max="4620" width="8.7265625" style="24" customWidth="1"/>
    <col min="4621" max="4621" width="17.81640625" style="24" customWidth="1"/>
    <col min="4622" max="4623" width="8.7265625" style="24" customWidth="1"/>
    <col min="4624" max="4624" width="17.81640625" style="24" customWidth="1"/>
    <col min="4625" max="4626" width="8.7265625" style="24" customWidth="1"/>
    <col min="4627" max="4627" width="17.81640625" style="24" customWidth="1"/>
    <col min="4628" max="4629" width="8.7265625" style="24" customWidth="1"/>
    <col min="4630" max="4630" width="17.81640625" style="24" customWidth="1"/>
    <col min="4631" max="4632" width="8.7265625" style="24" customWidth="1"/>
    <col min="4633" max="4633" width="17.81640625" style="24" customWidth="1"/>
    <col min="4634" max="4635" width="8.7265625" style="24" customWidth="1"/>
    <col min="4636" max="4636" width="17.81640625" style="24" customWidth="1"/>
    <col min="4637" max="4638" width="8.7265625" style="24" customWidth="1"/>
    <col min="4639" max="4639" width="17.81640625" style="24" customWidth="1"/>
    <col min="4640" max="4641" width="8.7265625" style="24" customWidth="1"/>
    <col min="4642" max="4642" width="17.81640625" style="24" customWidth="1"/>
    <col min="4643" max="4644" width="8.7265625" style="24" customWidth="1"/>
    <col min="4645" max="4645" width="17.81640625" style="24" customWidth="1"/>
    <col min="4646" max="4647" width="8.7265625" style="24" customWidth="1"/>
    <col min="4648" max="4648" width="17.81640625" style="24" customWidth="1"/>
    <col min="4649" max="4650" width="8.7265625" style="24" customWidth="1"/>
    <col min="4651" max="4651" width="17.81640625" style="24" customWidth="1"/>
    <col min="4652" max="4653" width="8.7265625" style="24" customWidth="1"/>
    <col min="4654" max="4654" width="17.81640625" style="24" customWidth="1"/>
    <col min="4655" max="4656" width="8.7265625" style="24" customWidth="1"/>
    <col min="4657" max="4864" width="10.90625" style="24"/>
    <col min="4865" max="4865" width="50.81640625" style="24" customWidth="1"/>
    <col min="4866" max="4866" width="17.81640625" style="24" customWidth="1"/>
    <col min="4867" max="4867" width="8.7265625" style="24" customWidth="1"/>
    <col min="4868" max="4868" width="17.81640625" style="24" customWidth="1"/>
    <col min="4869" max="4870" width="8.7265625" style="24" customWidth="1"/>
    <col min="4871" max="4871" width="17.81640625" style="24" customWidth="1"/>
    <col min="4872" max="4873" width="8.7265625" style="24" customWidth="1"/>
    <col min="4874" max="4874" width="17.81640625" style="24" customWidth="1"/>
    <col min="4875" max="4876" width="8.7265625" style="24" customWidth="1"/>
    <col min="4877" max="4877" width="17.81640625" style="24" customWidth="1"/>
    <col min="4878" max="4879" width="8.7265625" style="24" customWidth="1"/>
    <col min="4880" max="4880" width="17.81640625" style="24" customWidth="1"/>
    <col min="4881" max="4882" width="8.7265625" style="24" customWidth="1"/>
    <col min="4883" max="4883" width="17.81640625" style="24" customWidth="1"/>
    <col min="4884" max="4885" width="8.7265625" style="24" customWidth="1"/>
    <col min="4886" max="4886" width="17.81640625" style="24" customWidth="1"/>
    <col min="4887" max="4888" width="8.7265625" style="24" customWidth="1"/>
    <col min="4889" max="4889" width="17.81640625" style="24" customWidth="1"/>
    <col min="4890" max="4891" width="8.7265625" style="24" customWidth="1"/>
    <col min="4892" max="4892" width="17.81640625" style="24" customWidth="1"/>
    <col min="4893" max="4894" width="8.7265625" style="24" customWidth="1"/>
    <col min="4895" max="4895" width="17.81640625" style="24" customWidth="1"/>
    <col min="4896" max="4897" width="8.7265625" style="24" customWidth="1"/>
    <col min="4898" max="4898" width="17.81640625" style="24" customWidth="1"/>
    <col min="4899" max="4900" width="8.7265625" style="24" customWidth="1"/>
    <col min="4901" max="4901" width="17.81640625" style="24" customWidth="1"/>
    <col min="4902" max="4903" width="8.7265625" style="24" customWidth="1"/>
    <col min="4904" max="4904" width="17.81640625" style="24" customWidth="1"/>
    <col min="4905" max="4906" width="8.7265625" style="24" customWidth="1"/>
    <col min="4907" max="4907" width="17.81640625" style="24" customWidth="1"/>
    <col min="4908" max="4909" width="8.7265625" style="24" customWidth="1"/>
    <col min="4910" max="4910" width="17.81640625" style="24" customWidth="1"/>
    <col min="4911" max="4912" width="8.7265625" style="24" customWidth="1"/>
    <col min="4913" max="5120" width="10.90625" style="24"/>
    <col min="5121" max="5121" width="50.81640625" style="24" customWidth="1"/>
    <col min="5122" max="5122" width="17.81640625" style="24" customWidth="1"/>
    <col min="5123" max="5123" width="8.7265625" style="24" customWidth="1"/>
    <col min="5124" max="5124" width="17.81640625" style="24" customWidth="1"/>
    <col min="5125" max="5126" width="8.7265625" style="24" customWidth="1"/>
    <col min="5127" max="5127" width="17.81640625" style="24" customWidth="1"/>
    <col min="5128" max="5129" width="8.7265625" style="24" customWidth="1"/>
    <col min="5130" max="5130" width="17.81640625" style="24" customWidth="1"/>
    <col min="5131" max="5132" width="8.7265625" style="24" customWidth="1"/>
    <col min="5133" max="5133" width="17.81640625" style="24" customWidth="1"/>
    <col min="5134" max="5135" width="8.7265625" style="24" customWidth="1"/>
    <col min="5136" max="5136" width="17.81640625" style="24" customWidth="1"/>
    <col min="5137" max="5138" width="8.7265625" style="24" customWidth="1"/>
    <col min="5139" max="5139" width="17.81640625" style="24" customWidth="1"/>
    <col min="5140" max="5141" width="8.7265625" style="24" customWidth="1"/>
    <col min="5142" max="5142" width="17.81640625" style="24" customWidth="1"/>
    <col min="5143" max="5144" width="8.7265625" style="24" customWidth="1"/>
    <col min="5145" max="5145" width="17.81640625" style="24" customWidth="1"/>
    <col min="5146" max="5147" width="8.7265625" style="24" customWidth="1"/>
    <col min="5148" max="5148" width="17.81640625" style="24" customWidth="1"/>
    <col min="5149" max="5150" width="8.7265625" style="24" customWidth="1"/>
    <col min="5151" max="5151" width="17.81640625" style="24" customWidth="1"/>
    <col min="5152" max="5153" width="8.7265625" style="24" customWidth="1"/>
    <col min="5154" max="5154" width="17.81640625" style="24" customWidth="1"/>
    <col min="5155" max="5156" width="8.7265625" style="24" customWidth="1"/>
    <col min="5157" max="5157" width="17.81640625" style="24" customWidth="1"/>
    <col min="5158" max="5159" width="8.7265625" style="24" customWidth="1"/>
    <col min="5160" max="5160" width="17.81640625" style="24" customWidth="1"/>
    <col min="5161" max="5162" width="8.7265625" style="24" customWidth="1"/>
    <col min="5163" max="5163" width="17.81640625" style="24" customWidth="1"/>
    <col min="5164" max="5165" width="8.7265625" style="24" customWidth="1"/>
    <col min="5166" max="5166" width="17.81640625" style="24" customWidth="1"/>
    <col min="5167" max="5168" width="8.7265625" style="24" customWidth="1"/>
    <col min="5169" max="5376" width="10.90625" style="24"/>
    <col min="5377" max="5377" width="50.81640625" style="24" customWidth="1"/>
    <col min="5378" max="5378" width="17.81640625" style="24" customWidth="1"/>
    <col min="5379" max="5379" width="8.7265625" style="24" customWidth="1"/>
    <col min="5380" max="5380" width="17.81640625" style="24" customWidth="1"/>
    <col min="5381" max="5382" width="8.7265625" style="24" customWidth="1"/>
    <col min="5383" max="5383" width="17.81640625" style="24" customWidth="1"/>
    <col min="5384" max="5385" width="8.7265625" style="24" customWidth="1"/>
    <col min="5386" max="5386" width="17.81640625" style="24" customWidth="1"/>
    <col min="5387" max="5388" width="8.7265625" style="24" customWidth="1"/>
    <col min="5389" max="5389" width="17.81640625" style="24" customWidth="1"/>
    <col min="5390" max="5391" width="8.7265625" style="24" customWidth="1"/>
    <col min="5392" max="5392" width="17.81640625" style="24" customWidth="1"/>
    <col min="5393" max="5394" width="8.7265625" style="24" customWidth="1"/>
    <col min="5395" max="5395" width="17.81640625" style="24" customWidth="1"/>
    <col min="5396" max="5397" width="8.7265625" style="24" customWidth="1"/>
    <col min="5398" max="5398" width="17.81640625" style="24" customWidth="1"/>
    <col min="5399" max="5400" width="8.7265625" style="24" customWidth="1"/>
    <col min="5401" max="5401" width="17.81640625" style="24" customWidth="1"/>
    <col min="5402" max="5403" width="8.7265625" style="24" customWidth="1"/>
    <col min="5404" max="5404" width="17.81640625" style="24" customWidth="1"/>
    <col min="5405" max="5406" width="8.7265625" style="24" customWidth="1"/>
    <col min="5407" max="5407" width="17.81640625" style="24" customWidth="1"/>
    <col min="5408" max="5409" width="8.7265625" style="24" customWidth="1"/>
    <col min="5410" max="5410" width="17.81640625" style="24" customWidth="1"/>
    <col min="5411" max="5412" width="8.7265625" style="24" customWidth="1"/>
    <col min="5413" max="5413" width="17.81640625" style="24" customWidth="1"/>
    <col min="5414" max="5415" width="8.7265625" style="24" customWidth="1"/>
    <col min="5416" max="5416" width="17.81640625" style="24" customWidth="1"/>
    <col min="5417" max="5418" width="8.7265625" style="24" customWidth="1"/>
    <col min="5419" max="5419" width="17.81640625" style="24" customWidth="1"/>
    <col min="5420" max="5421" width="8.7265625" style="24" customWidth="1"/>
    <col min="5422" max="5422" width="17.81640625" style="24" customWidth="1"/>
    <col min="5423" max="5424" width="8.7265625" style="24" customWidth="1"/>
    <col min="5425" max="5632" width="10.90625" style="24"/>
    <col min="5633" max="5633" width="50.81640625" style="24" customWidth="1"/>
    <col min="5634" max="5634" width="17.81640625" style="24" customWidth="1"/>
    <col min="5635" max="5635" width="8.7265625" style="24" customWidth="1"/>
    <col min="5636" max="5636" width="17.81640625" style="24" customWidth="1"/>
    <col min="5637" max="5638" width="8.7265625" style="24" customWidth="1"/>
    <col min="5639" max="5639" width="17.81640625" style="24" customWidth="1"/>
    <col min="5640" max="5641" width="8.7265625" style="24" customWidth="1"/>
    <col min="5642" max="5642" width="17.81640625" style="24" customWidth="1"/>
    <col min="5643" max="5644" width="8.7265625" style="24" customWidth="1"/>
    <col min="5645" max="5645" width="17.81640625" style="24" customWidth="1"/>
    <col min="5646" max="5647" width="8.7265625" style="24" customWidth="1"/>
    <col min="5648" max="5648" width="17.81640625" style="24" customWidth="1"/>
    <col min="5649" max="5650" width="8.7265625" style="24" customWidth="1"/>
    <col min="5651" max="5651" width="17.81640625" style="24" customWidth="1"/>
    <col min="5652" max="5653" width="8.7265625" style="24" customWidth="1"/>
    <col min="5654" max="5654" width="17.81640625" style="24" customWidth="1"/>
    <col min="5655" max="5656" width="8.7265625" style="24" customWidth="1"/>
    <col min="5657" max="5657" width="17.81640625" style="24" customWidth="1"/>
    <col min="5658" max="5659" width="8.7265625" style="24" customWidth="1"/>
    <col min="5660" max="5660" width="17.81640625" style="24" customWidth="1"/>
    <col min="5661" max="5662" width="8.7265625" style="24" customWidth="1"/>
    <col min="5663" max="5663" width="17.81640625" style="24" customWidth="1"/>
    <col min="5664" max="5665" width="8.7265625" style="24" customWidth="1"/>
    <col min="5666" max="5666" width="17.81640625" style="24" customWidth="1"/>
    <col min="5667" max="5668" width="8.7265625" style="24" customWidth="1"/>
    <col min="5669" max="5669" width="17.81640625" style="24" customWidth="1"/>
    <col min="5670" max="5671" width="8.7265625" style="24" customWidth="1"/>
    <col min="5672" max="5672" width="17.81640625" style="24" customWidth="1"/>
    <col min="5673" max="5674" width="8.7265625" style="24" customWidth="1"/>
    <col min="5675" max="5675" width="17.81640625" style="24" customWidth="1"/>
    <col min="5676" max="5677" width="8.7265625" style="24" customWidth="1"/>
    <col min="5678" max="5678" width="17.81640625" style="24" customWidth="1"/>
    <col min="5679" max="5680" width="8.7265625" style="24" customWidth="1"/>
    <col min="5681" max="5888" width="10.90625" style="24"/>
    <col min="5889" max="5889" width="50.81640625" style="24" customWidth="1"/>
    <col min="5890" max="5890" width="17.81640625" style="24" customWidth="1"/>
    <col min="5891" max="5891" width="8.7265625" style="24" customWidth="1"/>
    <col min="5892" max="5892" width="17.81640625" style="24" customWidth="1"/>
    <col min="5893" max="5894" width="8.7265625" style="24" customWidth="1"/>
    <col min="5895" max="5895" width="17.81640625" style="24" customWidth="1"/>
    <col min="5896" max="5897" width="8.7265625" style="24" customWidth="1"/>
    <col min="5898" max="5898" width="17.81640625" style="24" customWidth="1"/>
    <col min="5899" max="5900" width="8.7265625" style="24" customWidth="1"/>
    <col min="5901" max="5901" width="17.81640625" style="24" customWidth="1"/>
    <col min="5902" max="5903" width="8.7265625" style="24" customWidth="1"/>
    <col min="5904" max="5904" width="17.81640625" style="24" customWidth="1"/>
    <col min="5905" max="5906" width="8.7265625" style="24" customWidth="1"/>
    <col min="5907" max="5907" width="17.81640625" style="24" customWidth="1"/>
    <col min="5908" max="5909" width="8.7265625" style="24" customWidth="1"/>
    <col min="5910" max="5910" width="17.81640625" style="24" customWidth="1"/>
    <col min="5911" max="5912" width="8.7265625" style="24" customWidth="1"/>
    <col min="5913" max="5913" width="17.81640625" style="24" customWidth="1"/>
    <col min="5914" max="5915" width="8.7265625" style="24" customWidth="1"/>
    <col min="5916" max="5916" width="17.81640625" style="24" customWidth="1"/>
    <col min="5917" max="5918" width="8.7265625" style="24" customWidth="1"/>
    <col min="5919" max="5919" width="17.81640625" style="24" customWidth="1"/>
    <col min="5920" max="5921" width="8.7265625" style="24" customWidth="1"/>
    <col min="5922" max="5922" width="17.81640625" style="24" customWidth="1"/>
    <col min="5923" max="5924" width="8.7265625" style="24" customWidth="1"/>
    <col min="5925" max="5925" width="17.81640625" style="24" customWidth="1"/>
    <col min="5926" max="5927" width="8.7265625" style="24" customWidth="1"/>
    <col min="5928" max="5928" width="17.81640625" style="24" customWidth="1"/>
    <col min="5929" max="5930" width="8.7265625" style="24" customWidth="1"/>
    <col min="5931" max="5931" width="17.81640625" style="24" customWidth="1"/>
    <col min="5932" max="5933" width="8.7265625" style="24" customWidth="1"/>
    <col min="5934" max="5934" width="17.81640625" style="24" customWidth="1"/>
    <col min="5935" max="5936" width="8.7265625" style="24" customWidth="1"/>
    <col min="5937" max="6144" width="10.90625" style="24"/>
    <col min="6145" max="6145" width="50.81640625" style="24" customWidth="1"/>
    <col min="6146" max="6146" width="17.81640625" style="24" customWidth="1"/>
    <col min="6147" max="6147" width="8.7265625" style="24" customWidth="1"/>
    <col min="6148" max="6148" width="17.81640625" style="24" customWidth="1"/>
    <col min="6149" max="6150" width="8.7265625" style="24" customWidth="1"/>
    <col min="6151" max="6151" width="17.81640625" style="24" customWidth="1"/>
    <col min="6152" max="6153" width="8.7265625" style="24" customWidth="1"/>
    <col min="6154" max="6154" width="17.81640625" style="24" customWidth="1"/>
    <col min="6155" max="6156" width="8.7265625" style="24" customWidth="1"/>
    <col min="6157" max="6157" width="17.81640625" style="24" customWidth="1"/>
    <col min="6158" max="6159" width="8.7265625" style="24" customWidth="1"/>
    <col min="6160" max="6160" width="17.81640625" style="24" customWidth="1"/>
    <col min="6161" max="6162" width="8.7265625" style="24" customWidth="1"/>
    <col min="6163" max="6163" width="17.81640625" style="24" customWidth="1"/>
    <col min="6164" max="6165" width="8.7265625" style="24" customWidth="1"/>
    <col min="6166" max="6166" width="17.81640625" style="24" customWidth="1"/>
    <col min="6167" max="6168" width="8.7265625" style="24" customWidth="1"/>
    <col min="6169" max="6169" width="17.81640625" style="24" customWidth="1"/>
    <col min="6170" max="6171" width="8.7265625" style="24" customWidth="1"/>
    <col min="6172" max="6172" width="17.81640625" style="24" customWidth="1"/>
    <col min="6173" max="6174" width="8.7265625" style="24" customWidth="1"/>
    <col min="6175" max="6175" width="17.81640625" style="24" customWidth="1"/>
    <col min="6176" max="6177" width="8.7265625" style="24" customWidth="1"/>
    <col min="6178" max="6178" width="17.81640625" style="24" customWidth="1"/>
    <col min="6179" max="6180" width="8.7265625" style="24" customWidth="1"/>
    <col min="6181" max="6181" width="17.81640625" style="24" customWidth="1"/>
    <col min="6182" max="6183" width="8.7265625" style="24" customWidth="1"/>
    <col min="6184" max="6184" width="17.81640625" style="24" customWidth="1"/>
    <col min="6185" max="6186" width="8.7265625" style="24" customWidth="1"/>
    <col min="6187" max="6187" width="17.81640625" style="24" customWidth="1"/>
    <col min="6188" max="6189" width="8.7265625" style="24" customWidth="1"/>
    <col min="6190" max="6190" width="17.81640625" style="24" customWidth="1"/>
    <col min="6191" max="6192" width="8.7265625" style="24" customWidth="1"/>
    <col min="6193" max="6400" width="10.90625" style="24"/>
    <col min="6401" max="6401" width="50.81640625" style="24" customWidth="1"/>
    <col min="6402" max="6402" width="17.81640625" style="24" customWidth="1"/>
    <col min="6403" max="6403" width="8.7265625" style="24" customWidth="1"/>
    <col min="6404" max="6404" width="17.81640625" style="24" customWidth="1"/>
    <col min="6405" max="6406" width="8.7265625" style="24" customWidth="1"/>
    <col min="6407" max="6407" width="17.81640625" style="24" customWidth="1"/>
    <col min="6408" max="6409" width="8.7265625" style="24" customWidth="1"/>
    <col min="6410" max="6410" width="17.81640625" style="24" customWidth="1"/>
    <col min="6411" max="6412" width="8.7265625" style="24" customWidth="1"/>
    <col min="6413" max="6413" width="17.81640625" style="24" customWidth="1"/>
    <col min="6414" max="6415" width="8.7265625" style="24" customWidth="1"/>
    <col min="6416" max="6416" width="17.81640625" style="24" customWidth="1"/>
    <col min="6417" max="6418" width="8.7265625" style="24" customWidth="1"/>
    <col min="6419" max="6419" width="17.81640625" style="24" customWidth="1"/>
    <col min="6420" max="6421" width="8.7265625" style="24" customWidth="1"/>
    <col min="6422" max="6422" width="17.81640625" style="24" customWidth="1"/>
    <col min="6423" max="6424" width="8.7265625" style="24" customWidth="1"/>
    <col min="6425" max="6425" width="17.81640625" style="24" customWidth="1"/>
    <col min="6426" max="6427" width="8.7265625" style="24" customWidth="1"/>
    <col min="6428" max="6428" width="17.81640625" style="24" customWidth="1"/>
    <col min="6429" max="6430" width="8.7265625" style="24" customWidth="1"/>
    <col min="6431" max="6431" width="17.81640625" style="24" customWidth="1"/>
    <col min="6432" max="6433" width="8.7265625" style="24" customWidth="1"/>
    <col min="6434" max="6434" width="17.81640625" style="24" customWidth="1"/>
    <col min="6435" max="6436" width="8.7265625" style="24" customWidth="1"/>
    <col min="6437" max="6437" width="17.81640625" style="24" customWidth="1"/>
    <col min="6438" max="6439" width="8.7265625" style="24" customWidth="1"/>
    <col min="6440" max="6440" width="17.81640625" style="24" customWidth="1"/>
    <col min="6441" max="6442" width="8.7265625" style="24" customWidth="1"/>
    <col min="6443" max="6443" width="17.81640625" style="24" customWidth="1"/>
    <col min="6444" max="6445" width="8.7265625" style="24" customWidth="1"/>
    <col min="6446" max="6446" width="17.81640625" style="24" customWidth="1"/>
    <col min="6447" max="6448" width="8.7265625" style="24" customWidth="1"/>
    <col min="6449" max="6656" width="10.90625" style="24"/>
    <col min="6657" max="6657" width="50.81640625" style="24" customWidth="1"/>
    <col min="6658" max="6658" width="17.81640625" style="24" customWidth="1"/>
    <col min="6659" max="6659" width="8.7265625" style="24" customWidth="1"/>
    <col min="6660" max="6660" width="17.81640625" style="24" customWidth="1"/>
    <col min="6661" max="6662" width="8.7265625" style="24" customWidth="1"/>
    <col min="6663" max="6663" width="17.81640625" style="24" customWidth="1"/>
    <col min="6664" max="6665" width="8.7265625" style="24" customWidth="1"/>
    <col min="6666" max="6666" width="17.81640625" style="24" customWidth="1"/>
    <col min="6667" max="6668" width="8.7265625" style="24" customWidth="1"/>
    <col min="6669" max="6669" width="17.81640625" style="24" customWidth="1"/>
    <col min="6670" max="6671" width="8.7265625" style="24" customWidth="1"/>
    <col min="6672" max="6672" width="17.81640625" style="24" customWidth="1"/>
    <col min="6673" max="6674" width="8.7265625" style="24" customWidth="1"/>
    <col min="6675" max="6675" width="17.81640625" style="24" customWidth="1"/>
    <col min="6676" max="6677" width="8.7265625" style="24" customWidth="1"/>
    <col min="6678" max="6678" width="17.81640625" style="24" customWidth="1"/>
    <col min="6679" max="6680" width="8.7265625" style="24" customWidth="1"/>
    <col min="6681" max="6681" width="17.81640625" style="24" customWidth="1"/>
    <col min="6682" max="6683" width="8.7265625" style="24" customWidth="1"/>
    <col min="6684" max="6684" width="17.81640625" style="24" customWidth="1"/>
    <col min="6685" max="6686" width="8.7265625" style="24" customWidth="1"/>
    <col min="6687" max="6687" width="17.81640625" style="24" customWidth="1"/>
    <col min="6688" max="6689" width="8.7265625" style="24" customWidth="1"/>
    <col min="6690" max="6690" width="17.81640625" style="24" customWidth="1"/>
    <col min="6691" max="6692" width="8.7265625" style="24" customWidth="1"/>
    <col min="6693" max="6693" width="17.81640625" style="24" customWidth="1"/>
    <col min="6694" max="6695" width="8.7265625" style="24" customWidth="1"/>
    <col min="6696" max="6696" width="17.81640625" style="24" customWidth="1"/>
    <col min="6697" max="6698" width="8.7265625" style="24" customWidth="1"/>
    <col min="6699" max="6699" width="17.81640625" style="24" customWidth="1"/>
    <col min="6700" max="6701" width="8.7265625" style="24" customWidth="1"/>
    <col min="6702" max="6702" width="17.81640625" style="24" customWidth="1"/>
    <col min="6703" max="6704" width="8.7265625" style="24" customWidth="1"/>
    <col min="6705" max="6912" width="10.90625" style="24"/>
    <col min="6913" max="6913" width="50.81640625" style="24" customWidth="1"/>
    <col min="6914" max="6914" width="17.81640625" style="24" customWidth="1"/>
    <col min="6915" max="6915" width="8.7265625" style="24" customWidth="1"/>
    <col min="6916" max="6916" width="17.81640625" style="24" customWidth="1"/>
    <col min="6917" max="6918" width="8.7265625" style="24" customWidth="1"/>
    <col min="6919" max="6919" width="17.81640625" style="24" customWidth="1"/>
    <col min="6920" max="6921" width="8.7265625" style="24" customWidth="1"/>
    <col min="6922" max="6922" width="17.81640625" style="24" customWidth="1"/>
    <col min="6923" max="6924" width="8.7265625" style="24" customWidth="1"/>
    <col min="6925" max="6925" width="17.81640625" style="24" customWidth="1"/>
    <col min="6926" max="6927" width="8.7265625" style="24" customWidth="1"/>
    <col min="6928" max="6928" width="17.81640625" style="24" customWidth="1"/>
    <col min="6929" max="6930" width="8.7265625" style="24" customWidth="1"/>
    <col min="6931" max="6931" width="17.81640625" style="24" customWidth="1"/>
    <col min="6932" max="6933" width="8.7265625" style="24" customWidth="1"/>
    <col min="6934" max="6934" width="17.81640625" style="24" customWidth="1"/>
    <col min="6935" max="6936" width="8.7265625" style="24" customWidth="1"/>
    <col min="6937" max="6937" width="17.81640625" style="24" customWidth="1"/>
    <col min="6938" max="6939" width="8.7265625" style="24" customWidth="1"/>
    <col min="6940" max="6940" width="17.81640625" style="24" customWidth="1"/>
    <col min="6941" max="6942" width="8.7265625" style="24" customWidth="1"/>
    <col min="6943" max="6943" width="17.81640625" style="24" customWidth="1"/>
    <col min="6944" max="6945" width="8.7265625" style="24" customWidth="1"/>
    <col min="6946" max="6946" width="17.81640625" style="24" customWidth="1"/>
    <col min="6947" max="6948" width="8.7265625" style="24" customWidth="1"/>
    <col min="6949" max="6949" width="17.81640625" style="24" customWidth="1"/>
    <col min="6950" max="6951" width="8.7265625" style="24" customWidth="1"/>
    <col min="6952" max="6952" width="17.81640625" style="24" customWidth="1"/>
    <col min="6953" max="6954" width="8.7265625" style="24" customWidth="1"/>
    <col min="6955" max="6955" width="17.81640625" style="24" customWidth="1"/>
    <col min="6956" max="6957" width="8.7265625" style="24" customWidth="1"/>
    <col min="6958" max="6958" width="17.81640625" style="24" customWidth="1"/>
    <col min="6959" max="6960" width="8.7265625" style="24" customWidth="1"/>
    <col min="6961" max="7168" width="10.90625" style="24"/>
    <col min="7169" max="7169" width="50.81640625" style="24" customWidth="1"/>
    <col min="7170" max="7170" width="17.81640625" style="24" customWidth="1"/>
    <col min="7171" max="7171" width="8.7265625" style="24" customWidth="1"/>
    <col min="7172" max="7172" width="17.81640625" style="24" customWidth="1"/>
    <col min="7173" max="7174" width="8.7265625" style="24" customWidth="1"/>
    <col min="7175" max="7175" width="17.81640625" style="24" customWidth="1"/>
    <col min="7176" max="7177" width="8.7265625" style="24" customWidth="1"/>
    <col min="7178" max="7178" width="17.81640625" style="24" customWidth="1"/>
    <col min="7179" max="7180" width="8.7265625" style="24" customWidth="1"/>
    <col min="7181" max="7181" width="17.81640625" style="24" customWidth="1"/>
    <col min="7182" max="7183" width="8.7265625" style="24" customWidth="1"/>
    <col min="7184" max="7184" width="17.81640625" style="24" customWidth="1"/>
    <col min="7185" max="7186" width="8.7265625" style="24" customWidth="1"/>
    <col min="7187" max="7187" width="17.81640625" style="24" customWidth="1"/>
    <col min="7188" max="7189" width="8.7265625" style="24" customWidth="1"/>
    <col min="7190" max="7190" width="17.81640625" style="24" customWidth="1"/>
    <col min="7191" max="7192" width="8.7265625" style="24" customWidth="1"/>
    <col min="7193" max="7193" width="17.81640625" style="24" customWidth="1"/>
    <col min="7194" max="7195" width="8.7265625" style="24" customWidth="1"/>
    <col min="7196" max="7196" width="17.81640625" style="24" customWidth="1"/>
    <col min="7197" max="7198" width="8.7265625" style="24" customWidth="1"/>
    <col min="7199" max="7199" width="17.81640625" style="24" customWidth="1"/>
    <col min="7200" max="7201" width="8.7265625" style="24" customWidth="1"/>
    <col min="7202" max="7202" width="17.81640625" style="24" customWidth="1"/>
    <col min="7203" max="7204" width="8.7265625" style="24" customWidth="1"/>
    <col min="7205" max="7205" width="17.81640625" style="24" customWidth="1"/>
    <col min="7206" max="7207" width="8.7265625" style="24" customWidth="1"/>
    <col min="7208" max="7208" width="17.81640625" style="24" customWidth="1"/>
    <col min="7209" max="7210" width="8.7265625" style="24" customWidth="1"/>
    <col min="7211" max="7211" width="17.81640625" style="24" customWidth="1"/>
    <col min="7212" max="7213" width="8.7265625" style="24" customWidth="1"/>
    <col min="7214" max="7214" width="17.81640625" style="24" customWidth="1"/>
    <col min="7215" max="7216" width="8.7265625" style="24" customWidth="1"/>
    <col min="7217" max="7424" width="10.90625" style="24"/>
    <col min="7425" max="7425" width="50.81640625" style="24" customWidth="1"/>
    <col min="7426" max="7426" width="17.81640625" style="24" customWidth="1"/>
    <col min="7427" max="7427" width="8.7265625" style="24" customWidth="1"/>
    <col min="7428" max="7428" width="17.81640625" style="24" customWidth="1"/>
    <col min="7429" max="7430" width="8.7265625" style="24" customWidth="1"/>
    <col min="7431" max="7431" width="17.81640625" style="24" customWidth="1"/>
    <col min="7432" max="7433" width="8.7265625" style="24" customWidth="1"/>
    <col min="7434" max="7434" width="17.81640625" style="24" customWidth="1"/>
    <col min="7435" max="7436" width="8.7265625" style="24" customWidth="1"/>
    <col min="7437" max="7437" width="17.81640625" style="24" customWidth="1"/>
    <col min="7438" max="7439" width="8.7265625" style="24" customWidth="1"/>
    <col min="7440" max="7440" width="17.81640625" style="24" customWidth="1"/>
    <col min="7441" max="7442" width="8.7265625" style="24" customWidth="1"/>
    <col min="7443" max="7443" width="17.81640625" style="24" customWidth="1"/>
    <col min="7444" max="7445" width="8.7265625" style="24" customWidth="1"/>
    <col min="7446" max="7446" width="17.81640625" style="24" customWidth="1"/>
    <col min="7447" max="7448" width="8.7265625" style="24" customWidth="1"/>
    <col min="7449" max="7449" width="17.81640625" style="24" customWidth="1"/>
    <col min="7450" max="7451" width="8.7265625" style="24" customWidth="1"/>
    <col min="7452" max="7452" width="17.81640625" style="24" customWidth="1"/>
    <col min="7453" max="7454" width="8.7265625" style="24" customWidth="1"/>
    <col min="7455" max="7455" width="17.81640625" style="24" customWidth="1"/>
    <col min="7456" max="7457" width="8.7265625" style="24" customWidth="1"/>
    <col min="7458" max="7458" width="17.81640625" style="24" customWidth="1"/>
    <col min="7459" max="7460" width="8.7265625" style="24" customWidth="1"/>
    <col min="7461" max="7461" width="17.81640625" style="24" customWidth="1"/>
    <col min="7462" max="7463" width="8.7265625" style="24" customWidth="1"/>
    <col min="7464" max="7464" width="17.81640625" style="24" customWidth="1"/>
    <col min="7465" max="7466" width="8.7265625" style="24" customWidth="1"/>
    <col min="7467" max="7467" width="17.81640625" style="24" customWidth="1"/>
    <col min="7468" max="7469" width="8.7265625" style="24" customWidth="1"/>
    <col min="7470" max="7470" width="17.81640625" style="24" customWidth="1"/>
    <col min="7471" max="7472" width="8.7265625" style="24" customWidth="1"/>
    <col min="7473" max="7680" width="10.90625" style="24"/>
    <col min="7681" max="7681" width="50.81640625" style="24" customWidth="1"/>
    <col min="7682" max="7682" width="17.81640625" style="24" customWidth="1"/>
    <col min="7683" max="7683" width="8.7265625" style="24" customWidth="1"/>
    <col min="7684" max="7684" width="17.81640625" style="24" customWidth="1"/>
    <col min="7685" max="7686" width="8.7265625" style="24" customWidth="1"/>
    <col min="7687" max="7687" width="17.81640625" style="24" customWidth="1"/>
    <col min="7688" max="7689" width="8.7265625" style="24" customWidth="1"/>
    <col min="7690" max="7690" width="17.81640625" style="24" customWidth="1"/>
    <col min="7691" max="7692" width="8.7265625" style="24" customWidth="1"/>
    <col min="7693" max="7693" width="17.81640625" style="24" customWidth="1"/>
    <col min="7694" max="7695" width="8.7265625" style="24" customWidth="1"/>
    <col min="7696" max="7696" width="17.81640625" style="24" customWidth="1"/>
    <col min="7697" max="7698" width="8.7265625" style="24" customWidth="1"/>
    <col min="7699" max="7699" width="17.81640625" style="24" customWidth="1"/>
    <col min="7700" max="7701" width="8.7265625" style="24" customWidth="1"/>
    <col min="7702" max="7702" width="17.81640625" style="24" customWidth="1"/>
    <col min="7703" max="7704" width="8.7265625" style="24" customWidth="1"/>
    <col min="7705" max="7705" width="17.81640625" style="24" customWidth="1"/>
    <col min="7706" max="7707" width="8.7265625" style="24" customWidth="1"/>
    <col min="7708" max="7708" width="17.81640625" style="24" customWidth="1"/>
    <col min="7709" max="7710" width="8.7265625" style="24" customWidth="1"/>
    <col min="7711" max="7711" width="17.81640625" style="24" customWidth="1"/>
    <col min="7712" max="7713" width="8.7265625" style="24" customWidth="1"/>
    <col min="7714" max="7714" width="17.81640625" style="24" customWidth="1"/>
    <col min="7715" max="7716" width="8.7265625" style="24" customWidth="1"/>
    <col min="7717" max="7717" width="17.81640625" style="24" customWidth="1"/>
    <col min="7718" max="7719" width="8.7265625" style="24" customWidth="1"/>
    <col min="7720" max="7720" width="17.81640625" style="24" customWidth="1"/>
    <col min="7721" max="7722" width="8.7265625" style="24" customWidth="1"/>
    <col min="7723" max="7723" width="17.81640625" style="24" customWidth="1"/>
    <col min="7724" max="7725" width="8.7265625" style="24" customWidth="1"/>
    <col min="7726" max="7726" width="17.81640625" style="24" customWidth="1"/>
    <col min="7727" max="7728" width="8.7265625" style="24" customWidth="1"/>
    <col min="7729" max="7936" width="10.90625" style="24"/>
    <col min="7937" max="7937" width="50.81640625" style="24" customWidth="1"/>
    <col min="7938" max="7938" width="17.81640625" style="24" customWidth="1"/>
    <col min="7939" max="7939" width="8.7265625" style="24" customWidth="1"/>
    <col min="7940" max="7940" width="17.81640625" style="24" customWidth="1"/>
    <col min="7941" max="7942" width="8.7265625" style="24" customWidth="1"/>
    <col min="7943" max="7943" width="17.81640625" style="24" customWidth="1"/>
    <col min="7944" max="7945" width="8.7265625" style="24" customWidth="1"/>
    <col min="7946" max="7946" width="17.81640625" style="24" customWidth="1"/>
    <col min="7947" max="7948" width="8.7265625" style="24" customWidth="1"/>
    <col min="7949" max="7949" width="17.81640625" style="24" customWidth="1"/>
    <col min="7950" max="7951" width="8.7265625" style="24" customWidth="1"/>
    <col min="7952" max="7952" width="17.81640625" style="24" customWidth="1"/>
    <col min="7953" max="7954" width="8.7265625" style="24" customWidth="1"/>
    <col min="7955" max="7955" width="17.81640625" style="24" customWidth="1"/>
    <col min="7956" max="7957" width="8.7265625" style="24" customWidth="1"/>
    <col min="7958" max="7958" width="17.81640625" style="24" customWidth="1"/>
    <col min="7959" max="7960" width="8.7265625" style="24" customWidth="1"/>
    <col min="7961" max="7961" width="17.81640625" style="24" customWidth="1"/>
    <col min="7962" max="7963" width="8.7265625" style="24" customWidth="1"/>
    <col min="7964" max="7964" width="17.81640625" style="24" customWidth="1"/>
    <col min="7965" max="7966" width="8.7265625" style="24" customWidth="1"/>
    <col min="7967" max="7967" width="17.81640625" style="24" customWidth="1"/>
    <col min="7968" max="7969" width="8.7265625" style="24" customWidth="1"/>
    <col min="7970" max="7970" width="17.81640625" style="24" customWidth="1"/>
    <col min="7971" max="7972" width="8.7265625" style="24" customWidth="1"/>
    <col min="7973" max="7973" width="17.81640625" style="24" customWidth="1"/>
    <col min="7974" max="7975" width="8.7265625" style="24" customWidth="1"/>
    <col min="7976" max="7976" width="17.81640625" style="24" customWidth="1"/>
    <col min="7977" max="7978" width="8.7265625" style="24" customWidth="1"/>
    <col min="7979" max="7979" width="17.81640625" style="24" customWidth="1"/>
    <col min="7980" max="7981" width="8.7265625" style="24" customWidth="1"/>
    <col min="7982" max="7982" width="17.81640625" style="24" customWidth="1"/>
    <col min="7983" max="7984" width="8.7265625" style="24" customWidth="1"/>
    <col min="7985" max="8192" width="10.90625" style="24"/>
    <col min="8193" max="8193" width="50.81640625" style="24" customWidth="1"/>
    <col min="8194" max="8194" width="17.81640625" style="24" customWidth="1"/>
    <col min="8195" max="8195" width="8.7265625" style="24" customWidth="1"/>
    <col min="8196" max="8196" width="17.81640625" style="24" customWidth="1"/>
    <col min="8197" max="8198" width="8.7265625" style="24" customWidth="1"/>
    <col min="8199" max="8199" width="17.81640625" style="24" customWidth="1"/>
    <col min="8200" max="8201" width="8.7265625" style="24" customWidth="1"/>
    <col min="8202" max="8202" width="17.81640625" style="24" customWidth="1"/>
    <col min="8203" max="8204" width="8.7265625" style="24" customWidth="1"/>
    <col min="8205" max="8205" width="17.81640625" style="24" customWidth="1"/>
    <col min="8206" max="8207" width="8.7265625" style="24" customWidth="1"/>
    <col min="8208" max="8208" width="17.81640625" style="24" customWidth="1"/>
    <col min="8209" max="8210" width="8.7265625" style="24" customWidth="1"/>
    <col min="8211" max="8211" width="17.81640625" style="24" customWidth="1"/>
    <col min="8212" max="8213" width="8.7265625" style="24" customWidth="1"/>
    <col min="8214" max="8214" width="17.81640625" style="24" customWidth="1"/>
    <col min="8215" max="8216" width="8.7265625" style="24" customWidth="1"/>
    <col min="8217" max="8217" width="17.81640625" style="24" customWidth="1"/>
    <col min="8218" max="8219" width="8.7265625" style="24" customWidth="1"/>
    <col min="8220" max="8220" width="17.81640625" style="24" customWidth="1"/>
    <col min="8221" max="8222" width="8.7265625" style="24" customWidth="1"/>
    <col min="8223" max="8223" width="17.81640625" style="24" customWidth="1"/>
    <col min="8224" max="8225" width="8.7265625" style="24" customWidth="1"/>
    <col min="8226" max="8226" width="17.81640625" style="24" customWidth="1"/>
    <col min="8227" max="8228" width="8.7265625" style="24" customWidth="1"/>
    <col min="8229" max="8229" width="17.81640625" style="24" customWidth="1"/>
    <col min="8230" max="8231" width="8.7265625" style="24" customWidth="1"/>
    <col min="8232" max="8232" width="17.81640625" style="24" customWidth="1"/>
    <col min="8233" max="8234" width="8.7265625" style="24" customWidth="1"/>
    <col min="8235" max="8235" width="17.81640625" style="24" customWidth="1"/>
    <col min="8236" max="8237" width="8.7265625" style="24" customWidth="1"/>
    <col min="8238" max="8238" width="17.81640625" style="24" customWidth="1"/>
    <col min="8239" max="8240" width="8.7265625" style="24" customWidth="1"/>
    <col min="8241" max="8448" width="10.90625" style="24"/>
    <col min="8449" max="8449" width="50.81640625" style="24" customWidth="1"/>
    <col min="8450" max="8450" width="17.81640625" style="24" customWidth="1"/>
    <col min="8451" max="8451" width="8.7265625" style="24" customWidth="1"/>
    <col min="8452" max="8452" width="17.81640625" style="24" customWidth="1"/>
    <col min="8453" max="8454" width="8.7265625" style="24" customWidth="1"/>
    <col min="8455" max="8455" width="17.81640625" style="24" customWidth="1"/>
    <col min="8456" max="8457" width="8.7265625" style="24" customWidth="1"/>
    <col min="8458" max="8458" width="17.81640625" style="24" customWidth="1"/>
    <col min="8459" max="8460" width="8.7265625" style="24" customWidth="1"/>
    <col min="8461" max="8461" width="17.81640625" style="24" customWidth="1"/>
    <col min="8462" max="8463" width="8.7265625" style="24" customWidth="1"/>
    <col min="8464" max="8464" width="17.81640625" style="24" customWidth="1"/>
    <col min="8465" max="8466" width="8.7265625" style="24" customWidth="1"/>
    <col min="8467" max="8467" width="17.81640625" style="24" customWidth="1"/>
    <col min="8468" max="8469" width="8.7265625" style="24" customWidth="1"/>
    <col min="8470" max="8470" width="17.81640625" style="24" customWidth="1"/>
    <col min="8471" max="8472" width="8.7265625" style="24" customWidth="1"/>
    <col min="8473" max="8473" width="17.81640625" style="24" customWidth="1"/>
    <col min="8474" max="8475" width="8.7265625" style="24" customWidth="1"/>
    <col min="8476" max="8476" width="17.81640625" style="24" customWidth="1"/>
    <col min="8477" max="8478" width="8.7265625" style="24" customWidth="1"/>
    <col min="8479" max="8479" width="17.81640625" style="24" customWidth="1"/>
    <col min="8480" max="8481" width="8.7265625" style="24" customWidth="1"/>
    <col min="8482" max="8482" width="17.81640625" style="24" customWidth="1"/>
    <col min="8483" max="8484" width="8.7265625" style="24" customWidth="1"/>
    <col min="8485" max="8485" width="17.81640625" style="24" customWidth="1"/>
    <col min="8486" max="8487" width="8.7265625" style="24" customWidth="1"/>
    <col min="8488" max="8488" width="17.81640625" style="24" customWidth="1"/>
    <col min="8489" max="8490" width="8.7265625" style="24" customWidth="1"/>
    <col min="8491" max="8491" width="17.81640625" style="24" customWidth="1"/>
    <col min="8492" max="8493" width="8.7265625" style="24" customWidth="1"/>
    <col min="8494" max="8494" width="17.81640625" style="24" customWidth="1"/>
    <col min="8495" max="8496" width="8.7265625" style="24" customWidth="1"/>
    <col min="8497" max="8704" width="10.90625" style="24"/>
    <col min="8705" max="8705" width="50.81640625" style="24" customWidth="1"/>
    <col min="8706" max="8706" width="17.81640625" style="24" customWidth="1"/>
    <col min="8707" max="8707" width="8.7265625" style="24" customWidth="1"/>
    <col min="8708" max="8708" width="17.81640625" style="24" customWidth="1"/>
    <col min="8709" max="8710" width="8.7265625" style="24" customWidth="1"/>
    <col min="8711" max="8711" width="17.81640625" style="24" customWidth="1"/>
    <col min="8712" max="8713" width="8.7265625" style="24" customWidth="1"/>
    <col min="8714" max="8714" width="17.81640625" style="24" customWidth="1"/>
    <col min="8715" max="8716" width="8.7265625" style="24" customWidth="1"/>
    <col min="8717" max="8717" width="17.81640625" style="24" customWidth="1"/>
    <col min="8718" max="8719" width="8.7265625" style="24" customWidth="1"/>
    <col min="8720" max="8720" width="17.81640625" style="24" customWidth="1"/>
    <col min="8721" max="8722" width="8.7265625" style="24" customWidth="1"/>
    <col min="8723" max="8723" width="17.81640625" style="24" customWidth="1"/>
    <col min="8724" max="8725" width="8.7265625" style="24" customWidth="1"/>
    <col min="8726" max="8726" width="17.81640625" style="24" customWidth="1"/>
    <col min="8727" max="8728" width="8.7265625" style="24" customWidth="1"/>
    <col min="8729" max="8729" width="17.81640625" style="24" customWidth="1"/>
    <col min="8730" max="8731" width="8.7265625" style="24" customWidth="1"/>
    <col min="8732" max="8732" width="17.81640625" style="24" customWidth="1"/>
    <col min="8733" max="8734" width="8.7265625" style="24" customWidth="1"/>
    <col min="8735" max="8735" width="17.81640625" style="24" customWidth="1"/>
    <col min="8736" max="8737" width="8.7265625" style="24" customWidth="1"/>
    <col min="8738" max="8738" width="17.81640625" style="24" customWidth="1"/>
    <col min="8739" max="8740" width="8.7265625" style="24" customWidth="1"/>
    <col min="8741" max="8741" width="17.81640625" style="24" customWidth="1"/>
    <col min="8742" max="8743" width="8.7265625" style="24" customWidth="1"/>
    <col min="8744" max="8744" width="17.81640625" style="24" customWidth="1"/>
    <col min="8745" max="8746" width="8.7265625" style="24" customWidth="1"/>
    <col min="8747" max="8747" width="17.81640625" style="24" customWidth="1"/>
    <col min="8748" max="8749" width="8.7265625" style="24" customWidth="1"/>
    <col min="8750" max="8750" width="17.81640625" style="24" customWidth="1"/>
    <col min="8751" max="8752" width="8.7265625" style="24" customWidth="1"/>
    <col min="8753" max="8960" width="10.90625" style="24"/>
    <col min="8961" max="8961" width="50.81640625" style="24" customWidth="1"/>
    <col min="8962" max="8962" width="17.81640625" style="24" customWidth="1"/>
    <col min="8963" max="8963" width="8.7265625" style="24" customWidth="1"/>
    <col min="8964" max="8964" width="17.81640625" style="24" customWidth="1"/>
    <col min="8965" max="8966" width="8.7265625" style="24" customWidth="1"/>
    <col min="8967" max="8967" width="17.81640625" style="24" customWidth="1"/>
    <col min="8968" max="8969" width="8.7265625" style="24" customWidth="1"/>
    <col min="8970" max="8970" width="17.81640625" style="24" customWidth="1"/>
    <col min="8971" max="8972" width="8.7265625" style="24" customWidth="1"/>
    <col min="8973" max="8973" width="17.81640625" style="24" customWidth="1"/>
    <col min="8974" max="8975" width="8.7265625" style="24" customWidth="1"/>
    <col min="8976" max="8976" width="17.81640625" style="24" customWidth="1"/>
    <col min="8977" max="8978" width="8.7265625" style="24" customWidth="1"/>
    <col min="8979" max="8979" width="17.81640625" style="24" customWidth="1"/>
    <col min="8980" max="8981" width="8.7265625" style="24" customWidth="1"/>
    <col min="8982" max="8982" width="17.81640625" style="24" customWidth="1"/>
    <col min="8983" max="8984" width="8.7265625" style="24" customWidth="1"/>
    <col min="8985" max="8985" width="17.81640625" style="24" customWidth="1"/>
    <col min="8986" max="8987" width="8.7265625" style="24" customWidth="1"/>
    <col min="8988" max="8988" width="17.81640625" style="24" customWidth="1"/>
    <col min="8989" max="8990" width="8.7265625" style="24" customWidth="1"/>
    <col min="8991" max="8991" width="17.81640625" style="24" customWidth="1"/>
    <col min="8992" max="8993" width="8.7265625" style="24" customWidth="1"/>
    <col min="8994" max="8994" width="17.81640625" style="24" customWidth="1"/>
    <col min="8995" max="8996" width="8.7265625" style="24" customWidth="1"/>
    <col min="8997" max="8997" width="17.81640625" style="24" customWidth="1"/>
    <col min="8998" max="8999" width="8.7265625" style="24" customWidth="1"/>
    <col min="9000" max="9000" width="17.81640625" style="24" customWidth="1"/>
    <col min="9001" max="9002" width="8.7265625" style="24" customWidth="1"/>
    <col min="9003" max="9003" width="17.81640625" style="24" customWidth="1"/>
    <col min="9004" max="9005" width="8.7265625" style="24" customWidth="1"/>
    <col min="9006" max="9006" width="17.81640625" style="24" customWidth="1"/>
    <col min="9007" max="9008" width="8.7265625" style="24" customWidth="1"/>
    <col min="9009" max="9216" width="10.90625" style="24"/>
    <col min="9217" max="9217" width="50.81640625" style="24" customWidth="1"/>
    <col min="9218" max="9218" width="17.81640625" style="24" customWidth="1"/>
    <col min="9219" max="9219" width="8.7265625" style="24" customWidth="1"/>
    <col min="9220" max="9220" width="17.81640625" style="24" customWidth="1"/>
    <col min="9221" max="9222" width="8.7265625" style="24" customWidth="1"/>
    <col min="9223" max="9223" width="17.81640625" style="24" customWidth="1"/>
    <col min="9224" max="9225" width="8.7265625" style="24" customWidth="1"/>
    <col min="9226" max="9226" width="17.81640625" style="24" customWidth="1"/>
    <col min="9227" max="9228" width="8.7265625" style="24" customWidth="1"/>
    <col min="9229" max="9229" width="17.81640625" style="24" customWidth="1"/>
    <col min="9230" max="9231" width="8.7265625" style="24" customWidth="1"/>
    <col min="9232" max="9232" width="17.81640625" style="24" customWidth="1"/>
    <col min="9233" max="9234" width="8.7265625" style="24" customWidth="1"/>
    <col min="9235" max="9235" width="17.81640625" style="24" customWidth="1"/>
    <col min="9236" max="9237" width="8.7265625" style="24" customWidth="1"/>
    <col min="9238" max="9238" width="17.81640625" style="24" customWidth="1"/>
    <col min="9239" max="9240" width="8.7265625" style="24" customWidth="1"/>
    <col min="9241" max="9241" width="17.81640625" style="24" customWidth="1"/>
    <col min="9242" max="9243" width="8.7265625" style="24" customWidth="1"/>
    <col min="9244" max="9244" width="17.81640625" style="24" customWidth="1"/>
    <col min="9245" max="9246" width="8.7265625" style="24" customWidth="1"/>
    <col min="9247" max="9247" width="17.81640625" style="24" customWidth="1"/>
    <col min="9248" max="9249" width="8.7265625" style="24" customWidth="1"/>
    <col min="9250" max="9250" width="17.81640625" style="24" customWidth="1"/>
    <col min="9251" max="9252" width="8.7265625" style="24" customWidth="1"/>
    <col min="9253" max="9253" width="17.81640625" style="24" customWidth="1"/>
    <col min="9254" max="9255" width="8.7265625" style="24" customWidth="1"/>
    <col min="9256" max="9256" width="17.81640625" style="24" customWidth="1"/>
    <col min="9257" max="9258" width="8.7265625" style="24" customWidth="1"/>
    <col min="9259" max="9259" width="17.81640625" style="24" customWidth="1"/>
    <col min="9260" max="9261" width="8.7265625" style="24" customWidth="1"/>
    <col min="9262" max="9262" width="17.81640625" style="24" customWidth="1"/>
    <col min="9263" max="9264" width="8.7265625" style="24" customWidth="1"/>
    <col min="9265" max="9472" width="10.90625" style="24"/>
    <col min="9473" max="9473" width="50.81640625" style="24" customWidth="1"/>
    <col min="9474" max="9474" width="17.81640625" style="24" customWidth="1"/>
    <col min="9475" max="9475" width="8.7265625" style="24" customWidth="1"/>
    <col min="9476" max="9476" width="17.81640625" style="24" customWidth="1"/>
    <col min="9477" max="9478" width="8.7265625" style="24" customWidth="1"/>
    <col min="9479" max="9479" width="17.81640625" style="24" customWidth="1"/>
    <col min="9480" max="9481" width="8.7265625" style="24" customWidth="1"/>
    <col min="9482" max="9482" width="17.81640625" style="24" customWidth="1"/>
    <col min="9483" max="9484" width="8.7265625" style="24" customWidth="1"/>
    <col min="9485" max="9485" width="17.81640625" style="24" customWidth="1"/>
    <col min="9486" max="9487" width="8.7265625" style="24" customWidth="1"/>
    <col min="9488" max="9488" width="17.81640625" style="24" customWidth="1"/>
    <col min="9489" max="9490" width="8.7265625" style="24" customWidth="1"/>
    <col min="9491" max="9491" width="17.81640625" style="24" customWidth="1"/>
    <col min="9492" max="9493" width="8.7265625" style="24" customWidth="1"/>
    <col min="9494" max="9494" width="17.81640625" style="24" customWidth="1"/>
    <col min="9495" max="9496" width="8.7265625" style="24" customWidth="1"/>
    <col min="9497" max="9497" width="17.81640625" style="24" customWidth="1"/>
    <col min="9498" max="9499" width="8.7265625" style="24" customWidth="1"/>
    <col min="9500" max="9500" width="17.81640625" style="24" customWidth="1"/>
    <col min="9501" max="9502" width="8.7265625" style="24" customWidth="1"/>
    <col min="9503" max="9503" width="17.81640625" style="24" customWidth="1"/>
    <col min="9504" max="9505" width="8.7265625" style="24" customWidth="1"/>
    <col min="9506" max="9506" width="17.81640625" style="24" customWidth="1"/>
    <col min="9507" max="9508" width="8.7265625" style="24" customWidth="1"/>
    <col min="9509" max="9509" width="17.81640625" style="24" customWidth="1"/>
    <col min="9510" max="9511" width="8.7265625" style="24" customWidth="1"/>
    <col min="9512" max="9512" width="17.81640625" style="24" customWidth="1"/>
    <col min="9513" max="9514" width="8.7265625" style="24" customWidth="1"/>
    <col min="9515" max="9515" width="17.81640625" style="24" customWidth="1"/>
    <col min="9516" max="9517" width="8.7265625" style="24" customWidth="1"/>
    <col min="9518" max="9518" width="17.81640625" style="24" customWidth="1"/>
    <col min="9519" max="9520" width="8.7265625" style="24" customWidth="1"/>
    <col min="9521" max="9728" width="10.90625" style="24"/>
    <col min="9729" max="9729" width="50.81640625" style="24" customWidth="1"/>
    <col min="9730" max="9730" width="17.81640625" style="24" customWidth="1"/>
    <col min="9731" max="9731" width="8.7265625" style="24" customWidth="1"/>
    <col min="9732" max="9732" width="17.81640625" style="24" customWidth="1"/>
    <col min="9733" max="9734" width="8.7265625" style="24" customWidth="1"/>
    <col min="9735" max="9735" width="17.81640625" style="24" customWidth="1"/>
    <col min="9736" max="9737" width="8.7265625" style="24" customWidth="1"/>
    <col min="9738" max="9738" width="17.81640625" style="24" customWidth="1"/>
    <col min="9739" max="9740" width="8.7265625" style="24" customWidth="1"/>
    <col min="9741" max="9741" width="17.81640625" style="24" customWidth="1"/>
    <col min="9742" max="9743" width="8.7265625" style="24" customWidth="1"/>
    <col min="9744" max="9744" width="17.81640625" style="24" customWidth="1"/>
    <col min="9745" max="9746" width="8.7265625" style="24" customWidth="1"/>
    <col min="9747" max="9747" width="17.81640625" style="24" customWidth="1"/>
    <col min="9748" max="9749" width="8.7265625" style="24" customWidth="1"/>
    <col min="9750" max="9750" width="17.81640625" style="24" customWidth="1"/>
    <col min="9751" max="9752" width="8.7265625" style="24" customWidth="1"/>
    <col min="9753" max="9753" width="17.81640625" style="24" customWidth="1"/>
    <col min="9754" max="9755" width="8.7265625" style="24" customWidth="1"/>
    <col min="9756" max="9756" width="17.81640625" style="24" customWidth="1"/>
    <col min="9757" max="9758" width="8.7265625" style="24" customWidth="1"/>
    <col min="9759" max="9759" width="17.81640625" style="24" customWidth="1"/>
    <col min="9760" max="9761" width="8.7265625" style="24" customWidth="1"/>
    <col min="9762" max="9762" width="17.81640625" style="24" customWidth="1"/>
    <col min="9763" max="9764" width="8.7265625" style="24" customWidth="1"/>
    <col min="9765" max="9765" width="17.81640625" style="24" customWidth="1"/>
    <col min="9766" max="9767" width="8.7265625" style="24" customWidth="1"/>
    <col min="9768" max="9768" width="17.81640625" style="24" customWidth="1"/>
    <col min="9769" max="9770" width="8.7265625" style="24" customWidth="1"/>
    <col min="9771" max="9771" width="17.81640625" style="24" customWidth="1"/>
    <col min="9772" max="9773" width="8.7265625" style="24" customWidth="1"/>
    <col min="9774" max="9774" width="17.81640625" style="24" customWidth="1"/>
    <col min="9775" max="9776" width="8.7265625" style="24" customWidth="1"/>
    <col min="9777" max="9984" width="10.90625" style="24"/>
    <col min="9985" max="9985" width="50.81640625" style="24" customWidth="1"/>
    <col min="9986" max="9986" width="17.81640625" style="24" customWidth="1"/>
    <col min="9987" max="9987" width="8.7265625" style="24" customWidth="1"/>
    <col min="9988" max="9988" width="17.81640625" style="24" customWidth="1"/>
    <col min="9989" max="9990" width="8.7265625" style="24" customWidth="1"/>
    <col min="9991" max="9991" width="17.81640625" style="24" customWidth="1"/>
    <col min="9992" max="9993" width="8.7265625" style="24" customWidth="1"/>
    <col min="9994" max="9994" width="17.81640625" style="24" customWidth="1"/>
    <col min="9995" max="9996" width="8.7265625" style="24" customWidth="1"/>
    <col min="9997" max="9997" width="17.81640625" style="24" customWidth="1"/>
    <col min="9998" max="9999" width="8.7265625" style="24" customWidth="1"/>
    <col min="10000" max="10000" width="17.81640625" style="24" customWidth="1"/>
    <col min="10001" max="10002" width="8.7265625" style="24" customWidth="1"/>
    <col min="10003" max="10003" width="17.81640625" style="24" customWidth="1"/>
    <col min="10004" max="10005" width="8.7265625" style="24" customWidth="1"/>
    <col min="10006" max="10006" width="17.81640625" style="24" customWidth="1"/>
    <col min="10007" max="10008" width="8.7265625" style="24" customWidth="1"/>
    <col min="10009" max="10009" width="17.81640625" style="24" customWidth="1"/>
    <col min="10010" max="10011" width="8.7265625" style="24" customWidth="1"/>
    <col min="10012" max="10012" width="17.81640625" style="24" customWidth="1"/>
    <col min="10013" max="10014" width="8.7265625" style="24" customWidth="1"/>
    <col min="10015" max="10015" width="17.81640625" style="24" customWidth="1"/>
    <col min="10016" max="10017" width="8.7265625" style="24" customWidth="1"/>
    <col min="10018" max="10018" width="17.81640625" style="24" customWidth="1"/>
    <col min="10019" max="10020" width="8.7265625" style="24" customWidth="1"/>
    <col min="10021" max="10021" width="17.81640625" style="24" customWidth="1"/>
    <col min="10022" max="10023" width="8.7265625" style="24" customWidth="1"/>
    <col min="10024" max="10024" width="17.81640625" style="24" customWidth="1"/>
    <col min="10025" max="10026" width="8.7265625" style="24" customWidth="1"/>
    <col min="10027" max="10027" width="17.81640625" style="24" customWidth="1"/>
    <col min="10028" max="10029" width="8.7265625" style="24" customWidth="1"/>
    <col min="10030" max="10030" width="17.81640625" style="24" customWidth="1"/>
    <col min="10031" max="10032" width="8.7265625" style="24" customWidth="1"/>
    <col min="10033" max="10240" width="10.90625" style="24"/>
    <col min="10241" max="10241" width="50.81640625" style="24" customWidth="1"/>
    <col min="10242" max="10242" width="17.81640625" style="24" customWidth="1"/>
    <col min="10243" max="10243" width="8.7265625" style="24" customWidth="1"/>
    <col min="10244" max="10244" width="17.81640625" style="24" customWidth="1"/>
    <col min="10245" max="10246" width="8.7265625" style="24" customWidth="1"/>
    <col min="10247" max="10247" width="17.81640625" style="24" customWidth="1"/>
    <col min="10248" max="10249" width="8.7265625" style="24" customWidth="1"/>
    <col min="10250" max="10250" width="17.81640625" style="24" customWidth="1"/>
    <col min="10251" max="10252" width="8.7265625" style="24" customWidth="1"/>
    <col min="10253" max="10253" width="17.81640625" style="24" customWidth="1"/>
    <col min="10254" max="10255" width="8.7265625" style="24" customWidth="1"/>
    <col min="10256" max="10256" width="17.81640625" style="24" customWidth="1"/>
    <col min="10257" max="10258" width="8.7265625" style="24" customWidth="1"/>
    <col min="10259" max="10259" width="17.81640625" style="24" customWidth="1"/>
    <col min="10260" max="10261" width="8.7265625" style="24" customWidth="1"/>
    <col min="10262" max="10262" width="17.81640625" style="24" customWidth="1"/>
    <col min="10263" max="10264" width="8.7265625" style="24" customWidth="1"/>
    <col min="10265" max="10265" width="17.81640625" style="24" customWidth="1"/>
    <col min="10266" max="10267" width="8.7265625" style="24" customWidth="1"/>
    <col min="10268" max="10268" width="17.81640625" style="24" customWidth="1"/>
    <col min="10269" max="10270" width="8.7265625" style="24" customWidth="1"/>
    <col min="10271" max="10271" width="17.81640625" style="24" customWidth="1"/>
    <col min="10272" max="10273" width="8.7265625" style="24" customWidth="1"/>
    <col min="10274" max="10274" width="17.81640625" style="24" customWidth="1"/>
    <col min="10275" max="10276" width="8.7265625" style="24" customWidth="1"/>
    <col min="10277" max="10277" width="17.81640625" style="24" customWidth="1"/>
    <col min="10278" max="10279" width="8.7265625" style="24" customWidth="1"/>
    <col min="10280" max="10280" width="17.81640625" style="24" customWidth="1"/>
    <col min="10281" max="10282" width="8.7265625" style="24" customWidth="1"/>
    <col min="10283" max="10283" width="17.81640625" style="24" customWidth="1"/>
    <col min="10284" max="10285" width="8.7265625" style="24" customWidth="1"/>
    <col min="10286" max="10286" width="17.81640625" style="24" customWidth="1"/>
    <col min="10287" max="10288" width="8.7265625" style="24" customWidth="1"/>
    <col min="10289" max="10496" width="10.90625" style="24"/>
    <col min="10497" max="10497" width="50.81640625" style="24" customWidth="1"/>
    <col min="10498" max="10498" width="17.81640625" style="24" customWidth="1"/>
    <col min="10499" max="10499" width="8.7265625" style="24" customWidth="1"/>
    <col min="10500" max="10500" width="17.81640625" style="24" customWidth="1"/>
    <col min="10501" max="10502" width="8.7265625" style="24" customWidth="1"/>
    <col min="10503" max="10503" width="17.81640625" style="24" customWidth="1"/>
    <col min="10504" max="10505" width="8.7265625" style="24" customWidth="1"/>
    <col min="10506" max="10506" width="17.81640625" style="24" customWidth="1"/>
    <col min="10507" max="10508" width="8.7265625" style="24" customWidth="1"/>
    <col min="10509" max="10509" width="17.81640625" style="24" customWidth="1"/>
    <col min="10510" max="10511" width="8.7265625" style="24" customWidth="1"/>
    <col min="10512" max="10512" width="17.81640625" style="24" customWidth="1"/>
    <col min="10513" max="10514" width="8.7265625" style="24" customWidth="1"/>
    <col min="10515" max="10515" width="17.81640625" style="24" customWidth="1"/>
    <col min="10516" max="10517" width="8.7265625" style="24" customWidth="1"/>
    <col min="10518" max="10518" width="17.81640625" style="24" customWidth="1"/>
    <col min="10519" max="10520" width="8.7265625" style="24" customWidth="1"/>
    <col min="10521" max="10521" width="17.81640625" style="24" customWidth="1"/>
    <col min="10522" max="10523" width="8.7265625" style="24" customWidth="1"/>
    <col min="10524" max="10524" width="17.81640625" style="24" customWidth="1"/>
    <col min="10525" max="10526" width="8.7265625" style="24" customWidth="1"/>
    <col min="10527" max="10527" width="17.81640625" style="24" customWidth="1"/>
    <col min="10528" max="10529" width="8.7265625" style="24" customWidth="1"/>
    <col min="10530" max="10530" width="17.81640625" style="24" customWidth="1"/>
    <col min="10531" max="10532" width="8.7265625" style="24" customWidth="1"/>
    <col min="10533" max="10533" width="17.81640625" style="24" customWidth="1"/>
    <col min="10534" max="10535" width="8.7265625" style="24" customWidth="1"/>
    <col min="10536" max="10536" width="17.81640625" style="24" customWidth="1"/>
    <col min="10537" max="10538" width="8.7265625" style="24" customWidth="1"/>
    <col min="10539" max="10539" width="17.81640625" style="24" customWidth="1"/>
    <col min="10540" max="10541" width="8.7265625" style="24" customWidth="1"/>
    <col min="10542" max="10542" width="17.81640625" style="24" customWidth="1"/>
    <col min="10543" max="10544" width="8.7265625" style="24" customWidth="1"/>
    <col min="10545" max="10752" width="10.90625" style="24"/>
    <col min="10753" max="10753" width="50.81640625" style="24" customWidth="1"/>
    <col min="10754" max="10754" width="17.81640625" style="24" customWidth="1"/>
    <col min="10755" max="10755" width="8.7265625" style="24" customWidth="1"/>
    <col min="10756" max="10756" width="17.81640625" style="24" customWidth="1"/>
    <col min="10757" max="10758" width="8.7265625" style="24" customWidth="1"/>
    <col min="10759" max="10759" width="17.81640625" style="24" customWidth="1"/>
    <col min="10760" max="10761" width="8.7265625" style="24" customWidth="1"/>
    <col min="10762" max="10762" width="17.81640625" style="24" customWidth="1"/>
    <col min="10763" max="10764" width="8.7265625" style="24" customWidth="1"/>
    <col min="10765" max="10765" width="17.81640625" style="24" customWidth="1"/>
    <col min="10766" max="10767" width="8.7265625" style="24" customWidth="1"/>
    <col min="10768" max="10768" width="17.81640625" style="24" customWidth="1"/>
    <col min="10769" max="10770" width="8.7265625" style="24" customWidth="1"/>
    <col min="10771" max="10771" width="17.81640625" style="24" customWidth="1"/>
    <col min="10772" max="10773" width="8.7265625" style="24" customWidth="1"/>
    <col min="10774" max="10774" width="17.81640625" style="24" customWidth="1"/>
    <col min="10775" max="10776" width="8.7265625" style="24" customWidth="1"/>
    <col min="10777" max="10777" width="17.81640625" style="24" customWidth="1"/>
    <col min="10778" max="10779" width="8.7265625" style="24" customWidth="1"/>
    <col min="10780" max="10780" width="17.81640625" style="24" customWidth="1"/>
    <col min="10781" max="10782" width="8.7265625" style="24" customWidth="1"/>
    <col min="10783" max="10783" width="17.81640625" style="24" customWidth="1"/>
    <col min="10784" max="10785" width="8.7265625" style="24" customWidth="1"/>
    <col min="10786" max="10786" width="17.81640625" style="24" customWidth="1"/>
    <col min="10787" max="10788" width="8.7265625" style="24" customWidth="1"/>
    <col min="10789" max="10789" width="17.81640625" style="24" customWidth="1"/>
    <col min="10790" max="10791" width="8.7265625" style="24" customWidth="1"/>
    <col min="10792" max="10792" width="17.81640625" style="24" customWidth="1"/>
    <col min="10793" max="10794" width="8.7265625" style="24" customWidth="1"/>
    <col min="10795" max="10795" width="17.81640625" style="24" customWidth="1"/>
    <col min="10796" max="10797" width="8.7265625" style="24" customWidth="1"/>
    <col min="10798" max="10798" width="17.81640625" style="24" customWidth="1"/>
    <col min="10799" max="10800" width="8.7265625" style="24" customWidth="1"/>
    <col min="10801" max="11008" width="10.90625" style="24"/>
    <col min="11009" max="11009" width="50.81640625" style="24" customWidth="1"/>
    <col min="11010" max="11010" width="17.81640625" style="24" customWidth="1"/>
    <col min="11011" max="11011" width="8.7265625" style="24" customWidth="1"/>
    <col min="11012" max="11012" width="17.81640625" style="24" customWidth="1"/>
    <col min="11013" max="11014" width="8.7265625" style="24" customWidth="1"/>
    <col min="11015" max="11015" width="17.81640625" style="24" customWidth="1"/>
    <col min="11016" max="11017" width="8.7265625" style="24" customWidth="1"/>
    <col min="11018" max="11018" width="17.81640625" style="24" customWidth="1"/>
    <col min="11019" max="11020" width="8.7265625" style="24" customWidth="1"/>
    <col min="11021" max="11021" width="17.81640625" style="24" customWidth="1"/>
    <col min="11022" max="11023" width="8.7265625" style="24" customWidth="1"/>
    <col min="11024" max="11024" width="17.81640625" style="24" customWidth="1"/>
    <col min="11025" max="11026" width="8.7265625" style="24" customWidth="1"/>
    <col min="11027" max="11027" width="17.81640625" style="24" customWidth="1"/>
    <col min="11028" max="11029" width="8.7265625" style="24" customWidth="1"/>
    <col min="11030" max="11030" width="17.81640625" style="24" customWidth="1"/>
    <col min="11031" max="11032" width="8.7265625" style="24" customWidth="1"/>
    <col min="11033" max="11033" width="17.81640625" style="24" customWidth="1"/>
    <col min="11034" max="11035" width="8.7265625" style="24" customWidth="1"/>
    <col min="11036" max="11036" width="17.81640625" style="24" customWidth="1"/>
    <col min="11037" max="11038" width="8.7265625" style="24" customWidth="1"/>
    <col min="11039" max="11039" width="17.81640625" style="24" customWidth="1"/>
    <col min="11040" max="11041" width="8.7265625" style="24" customWidth="1"/>
    <col min="11042" max="11042" width="17.81640625" style="24" customWidth="1"/>
    <col min="11043" max="11044" width="8.7265625" style="24" customWidth="1"/>
    <col min="11045" max="11045" width="17.81640625" style="24" customWidth="1"/>
    <col min="11046" max="11047" width="8.7265625" style="24" customWidth="1"/>
    <col min="11048" max="11048" width="17.81640625" style="24" customWidth="1"/>
    <col min="11049" max="11050" width="8.7265625" style="24" customWidth="1"/>
    <col min="11051" max="11051" width="17.81640625" style="24" customWidth="1"/>
    <col min="11052" max="11053" width="8.7265625" style="24" customWidth="1"/>
    <col min="11054" max="11054" width="17.81640625" style="24" customWidth="1"/>
    <col min="11055" max="11056" width="8.7265625" style="24" customWidth="1"/>
    <col min="11057" max="11264" width="10.90625" style="24"/>
    <col min="11265" max="11265" width="50.81640625" style="24" customWidth="1"/>
    <col min="11266" max="11266" width="17.81640625" style="24" customWidth="1"/>
    <col min="11267" max="11267" width="8.7265625" style="24" customWidth="1"/>
    <col min="11268" max="11268" width="17.81640625" style="24" customWidth="1"/>
    <col min="11269" max="11270" width="8.7265625" style="24" customWidth="1"/>
    <col min="11271" max="11271" width="17.81640625" style="24" customWidth="1"/>
    <col min="11272" max="11273" width="8.7265625" style="24" customWidth="1"/>
    <col min="11274" max="11274" width="17.81640625" style="24" customWidth="1"/>
    <col min="11275" max="11276" width="8.7265625" style="24" customWidth="1"/>
    <col min="11277" max="11277" width="17.81640625" style="24" customWidth="1"/>
    <col min="11278" max="11279" width="8.7265625" style="24" customWidth="1"/>
    <col min="11280" max="11280" width="17.81640625" style="24" customWidth="1"/>
    <col min="11281" max="11282" width="8.7265625" style="24" customWidth="1"/>
    <col min="11283" max="11283" width="17.81640625" style="24" customWidth="1"/>
    <col min="11284" max="11285" width="8.7265625" style="24" customWidth="1"/>
    <col min="11286" max="11286" width="17.81640625" style="24" customWidth="1"/>
    <col min="11287" max="11288" width="8.7265625" style="24" customWidth="1"/>
    <col min="11289" max="11289" width="17.81640625" style="24" customWidth="1"/>
    <col min="11290" max="11291" width="8.7265625" style="24" customWidth="1"/>
    <col min="11292" max="11292" width="17.81640625" style="24" customWidth="1"/>
    <col min="11293" max="11294" width="8.7265625" style="24" customWidth="1"/>
    <col min="11295" max="11295" width="17.81640625" style="24" customWidth="1"/>
    <col min="11296" max="11297" width="8.7265625" style="24" customWidth="1"/>
    <col min="11298" max="11298" width="17.81640625" style="24" customWidth="1"/>
    <col min="11299" max="11300" width="8.7265625" style="24" customWidth="1"/>
    <col min="11301" max="11301" width="17.81640625" style="24" customWidth="1"/>
    <col min="11302" max="11303" width="8.7265625" style="24" customWidth="1"/>
    <col min="11304" max="11304" width="17.81640625" style="24" customWidth="1"/>
    <col min="11305" max="11306" width="8.7265625" style="24" customWidth="1"/>
    <col min="11307" max="11307" width="17.81640625" style="24" customWidth="1"/>
    <col min="11308" max="11309" width="8.7265625" style="24" customWidth="1"/>
    <col min="11310" max="11310" width="17.81640625" style="24" customWidth="1"/>
    <col min="11311" max="11312" width="8.7265625" style="24" customWidth="1"/>
    <col min="11313" max="11520" width="10.90625" style="24"/>
    <col min="11521" max="11521" width="50.81640625" style="24" customWidth="1"/>
    <col min="11522" max="11522" width="17.81640625" style="24" customWidth="1"/>
    <col min="11523" max="11523" width="8.7265625" style="24" customWidth="1"/>
    <col min="11524" max="11524" width="17.81640625" style="24" customWidth="1"/>
    <col min="11525" max="11526" width="8.7265625" style="24" customWidth="1"/>
    <col min="11527" max="11527" width="17.81640625" style="24" customWidth="1"/>
    <col min="11528" max="11529" width="8.7265625" style="24" customWidth="1"/>
    <col min="11530" max="11530" width="17.81640625" style="24" customWidth="1"/>
    <col min="11531" max="11532" width="8.7265625" style="24" customWidth="1"/>
    <col min="11533" max="11533" width="17.81640625" style="24" customWidth="1"/>
    <col min="11534" max="11535" width="8.7265625" style="24" customWidth="1"/>
    <col min="11536" max="11536" width="17.81640625" style="24" customWidth="1"/>
    <col min="11537" max="11538" width="8.7265625" style="24" customWidth="1"/>
    <col min="11539" max="11539" width="17.81640625" style="24" customWidth="1"/>
    <col min="11540" max="11541" width="8.7265625" style="24" customWidth="1"/>
    <col min="11542" max="11542" width="17.81640625" style="24" customWidth="1"/>
    <col min="11543" max="11544" width="8.7265625" style="24" customWidth="1"/>
    <col min="11545" max="11545" width="17.81640625" style="24" customWidth="1"/>
    <col min="11546" max="11547" width="8.7265625" style="24" customWidth="1"/>
    <col min="11548" max="11548" width="17.81640625" style="24" customWidth="1"/>
    <col min="11549" max="11550" width="8.7265625" style="24" customWidth="1"/>
    <col min="11551" max="11551" width="17.81640625" style="24" customWidth="1"/>
    <col min="11552" max="11553" width="8.7265625" style="24" customWidth="1"/>
    <col min="11554" max="11554" width="17.81640625" style="24" customWidth="1"/>
    <col min="11555" max="11556" width="8.7265625" style="24" customWidth="1"/>
    <col min="11557" max="11557" width="17.81640625" style="24" customWidth="1"/>
    <col min="11558" max="11559" width="8.7265625" style="24" customWidth="1"/>
    <col min="11560" max="11560" width="17.81640625" style="24" customWidth="1"/>
    <col min="11561" max="11562" width="8.7265625" style="24" customWidth="1"/>
    <col min="11563" max="11563" width="17.81640625" style="24" customWidth="1"/>
    <col min="11564" max="11565" width="8.7265625" style="24" customWidth="1"/>
    <col min="11566" max="11566" width="17.81640625" style="24" customWidth="1"/>
    <col min="11567" max="11568" width="8.7265625" style="24" customWidth="1"/>
    <col min="11569" max="11776" width="10.90625" style="24"/>
    <col min="11777" max="11777" width="50.81640625" style="24" customWidth="1"/>
    <col min="11778" max="11778" width="17.81640625" style="24" customWidth="1"/>
    <col min="11779" max="11779" width="8.7265625" style="24" customWidth="1"/>
    <col min="11780" max="11780" width="17.81640625" style="24" customWidth="1"/>
    <col min="11781" max="11782" width="8.7265625" style="24" customWidth="1"/>
    <col min="11783" max="11783" width="17.81640625" style="24" customWidth="1"/>
    <col min="11784" max="11785" width="8.7265625" style="24" customWidth="1"/>
    <col min="11786" max="11786" width="17.81640625" style="24" customWidth="1"/>
    <col min="11787" max="11788" width="8.7265625" style="24" customWidth="1"/>
    <col min="11789" max="11789" width="17.81640625" style="24" customWidth="1"/>
    <col min="11790" max="11791" width="8.7265625" style="24" customWidth="1"/>
    <col min="11792" max="11792" width="17.81640625" style="24" customWidth="1"/>
    <col min="11793" max="11794" width="8.7265625" style="24" customWidth="1"/>
    <col min="11795" max="11795" width="17.81640625" style="24" customWidth="1"/>
    <col min="11796" max="11797" width="8.7265625" style="24" customWidth="1"/>
    <col min="11798" max="11798" width="17.81640625" style="24" customWidth="1"/>
    <col min="11799" max="11800" width="8.7265625" style="24" customWidth="1"/>
    <col min="11801" max="11801" width="17.81640625" style="24" customWidth="1"/>
    <col min="11802" max="11803" width="8.7265625" style="24" customWidth="1"/>
    <col min="11804" max="11804" width="17.81640625" style="24" customWidth="1"/>
    <col min="11805" max="11806" width="8.7265625" style="24" customWidth="1"/>
    <col min="11807" max="11807" width="17.81640625" style="24" customWidth="1"/>
    <col min="11808" max="11809" width="8.7265625" style="24" customWidth="1"/>
    <col min="11810" max="11810" width="17.81640625" style="24" customWidth="1"/>
    <col min="11811" max="11812" width="8.7265625" style="24" customWidth="1"/>
    <col min="11813" max="11813" width="17.81640625" style="24" customWidth="1"/>
    <col min="11814" max="11815" width="8.7265625" style="24" customWidth="1"/>
    <col min="11816" max="11816" width="17.81640625" style="24" customWidth="1"/>
    <col min="11817" max="11818" width="8.7265625" style="24" customWidth="1"/>
    <col min="11819" max="11819" width="17.81640625" style="24" customWidth="1"/>
    <col min="11820" max="11821" width="8.7265625" style="24" customWidth="1"/>
    <col min="11822" max="11822" width="17.81640625" style="24" customWidth="1"/>
    <col min="11823" max="11824" width="8.7265625" style="24" customWidth="1"/>
    <col min="11825" max="12032" width="10.90625" style="24"/>
    <col min="12033" max="12033" width="50.81640625" style="24" customWidth="1"/>
    <col min="12034" max="12034" width="17.81640625" style="24" customWidth="1"/>
    <col min="12035" max="12035" width="8.7265625" style="24" customWidth="1"/>
    <col min="12036" max="12036" width="17.81640625" style="24" customWidth="1"/>
    <col min="12037" max="12038" width="8.7265625" style="24" customWidth="1"/>
    <col min="12039" max="12039" width="17.81640625" style="24" customWidth="1"/>
    <col min="12040" max="12041" width="8.7265625" style="24" customWidth="1"/>
    <col min="12042" max="12042" width="17.81640625" style="24" customWidth="1"/>
    <col min="12043" max="12044" width="8.7265625" style="24" customWidth="1"/>
    <col min="12045" max="12045" width="17.81640625" style="24" customWidth="1"/>
    <col min="12046" max="12047" width="8.7265625" style="24" customWidth="1"/>
    <col min="12048" max="12048" width="17.81640625" style="24" customWidth="1"/>
    <col min="12049" max="12050" width="8.7265625" style="24" customWidth="1"/>
    <col min="12051" max="12051" width="17.81640625" style="24" customWidth="1"/>
    <col min="12052" max="12053" width="8.7265625" style="24" customWidth="1"/>
    <col min="12054" max="12054" width="17.81640625" style="24" customWidth="1"/>
    <col min="12055" max="12056" width="8.7265625" style="24" customWidth="1"/>
    <col min="12057" max="12057" width="17.81640625" style="24" customWidth="1"/>
    <col min="12058" max="12059" width="8.7265625" style="24" customWidth="1"/>
    <col min="12060" max="12060" width="17.81640625" style="24" customWidth="1"/>
    <col min="12061" max="12062" width="8.7265625" style="24" customWidth="1"/>
    <col min="12063" max="12063" width="17.81640625" style="24" customWidth="1"/>
    <col min="12064" max="12065" width="8.7265625" style="24" customWidth="1"/>
    <col min="12066" max="12066" width="17.81640625" style="24" customWidth="1"/>
    <col min="12067" max="12068" width="8.7265625" style="24" customWidth="1"/>
    <col min="12069" max="12069" width="17.81640625" style="24" customWidth="1"/>
    <col min="12070" max="12071" width="8.7265625" style="24" customWidth="1"/>
    <col min="12072" max="12072" width="17.81640625" style="24" customWidth="1"/>
    <col min="12073" max="12074" width="8.7265625" style="24" customWidth="1"/>
    <col min="12075" max="12075" width="17.81640625" style="24" customWidth="1"/>
    <col min="12076" max="12077" width="8.7265625" style="24" customWidth="1"/>
    <col min="12078" max="12078" width="17.81640625" style="24" customWidth="1"/>
    <col min="12079" max="12080" width="8.7265625" style="24" customWidth="1"/>
    <col min="12081" max="12288" width="10.90625" style="24"/>
    <col min="12289" max="12289" width="50.81640625" style="24" customWidth="1"/>
    <col min="12290" max="12290" width="17.81640625" style="24" customWidth="1"/>
    <col min="12291" max="12291" width="8.7265625" style="24" customWidth="1"/>
    <col min="12292" max="12292" width="17.81640625" style="24" customWidth="1"/>
    <col min="12293" max="12294" width="8.7265625" style="24" customWidth="1"/>
    <col min="12295" max="12295" width="17.81640625" style="24" customWidth="1"/>
    <col min="12296" max="12297" width="8.7265625" style="24" customWidth="1"/>
    <col min="12298" max="12298" width="17.81640625" style="24" customWidth="1"/>
    <col min="12299" max="12300" width="8.7265625" style="24" customWidth="1"/>
    <col min="12301" max="12301" width="17.81640625" style="24" customWidth="1"/>
    <col min="12302" max="12303" width="8.7265625" style="24" customWidth="1"/>
    <col min="12304" max="12304" width="17.81640625" style="24" customWidth="1"/>
    <col min="12305" max="12306" width="8.7265625" style="24" customWidth="1"/>
    <col min="12307" max="12307" width="17.81640625" style="24" customWidth="1"/>
    <col min="12308" max="12309" width="8.7265625" style="24" customWidth="1"/>
    <col min="12310" max="12310" width="17.81640625" style="24" customWidth="1"/>
    <col min="12311" max="12312" width="8.7265625" style="24" customWidth="1"/>
    <col min="12313" max="12313" width="17.81640625" style="24" customWidth="1"/>
    <col min="12314" max="12315" width="8.7265625" style="24" customWidth="1"/>
    <col min="12316" max="12316" width="17.81640625" style="24" customWidth="1"/>
    <col min="12317" max="12318" width="8.7265625" style="24" customWidth="1"/>
    <col min="12319" max="12319" width="17.81640625" style="24" customWidth="1"/>
    <col min="12320" max="12321" width="8.7265625" style="24" customWidth="1"/>
    <col min="12322" max="12322" width="17.81640625" style="24" customWidth="1"/>
    <col min="12323" max="12324" width="8.7265625" style="24" customWidth="1"/>
    <col min="12325" max="12325" width="17.81640625" style="24" customWidth="1"/>
    <col min="12326" max="12327" width="8.7265625" style="24" customWidth="1"/>
    <col min="12328" max="12328" width="17.81640625" style="24" customWidth="1"/>
    <col min="12329" max="12330" width="8.7265625" style="24" customWidth="1"/>
    <col min="12331" max="12331" width="17.81640625" style="24" customWidth="1"/>
    <col min="12332" max="12333" width="8.7265625" style="24" customWidth="1"/>
    <col min="12334" max="12334" width="17.81640625" style="24" customWidth="1"/>
    <col min="12335" max="12336" width="8.7265625" style="24" customWidth="1"/>
    <col min="12337" max="12544" width="10.90625" style="24"/>
    <col min="12545" max="12545" width="50.81640625" style="24" customWidth="1"/>
    <col min="12546" max="12546" width="17.81640625" style="24" customWidth="1"/>
    <col min="12547" max="12547" width="8.7265625" style="24" customWidth="1"/>
    <col min="12548" max="12548" width="17.81640625" style="24" customWidth="1"/>
    <col min="12549" max="12550" width="8.7265625" style="24" customWidth="1"/>
    <col min="12551" max="12551" width="17.81640625" style="24" customWidth="1"/>
    <col min="12552" max="12553" width="8.7265625" style="24" customWidth="1"/>
    <col min="12554" max="12554" width="17.81640625" style="24" customWidth="1"/>
    <col min="12555" max="12556" width="8.7265625" style="24" customWidth="1"/>
    <col min="12557" max="12557" width="17.81640625" style="24" customWidth="1"/>
    <col min="12558" max="12559" width="8.7265625" style="24" customWidth="1"/>
    <col min="12560" max="12560" width="17.81640625" style="24" customWidth="1"/>
    <col min="12561" max="12562" width="8.7265625" style="24" customWidth="1"/>
    <col min="12563" max="12563" width="17.81640625" style="24" customWidth="1"/>
    <col min="12564" max="12565" width="8.7265625" style="24" customWidth="1"/>
    <col min="12566" max="12566" width="17.81640625" style="24" customWidth="1"/>
    <col min="12567" max="12568" width="8.7265625" style="24" customWidth="1"/>
    <col min="12569" max="12569" width="17.81640625" style="24" customWidth="1"/>
    <col min="12570" max="12571" width="8.7265625" style="24" customWidth="1"/>
    <col min="12572" max="12572" width="17.81640625" style="24" customWidth="1"/>
    <col min="12573" max="12574" width="8.7265625" style="24" customWidth="1"/>
    <col min="12575" max="12575" width="17.81640625" style="24" customWidth="1"/>
    <col min="12576" max="12577" width="8.7265625" style="24" customWidth="1"/>
    <col min="12578" max="12578" width="17.81640625" style="24" customWidth="1"/>
    <col min="12579" max="12580" width="8.7265625" style="24" customWidth="1"/>
    <col min="12581" max="12581" width="17.81640625" style="24" customWidth="1"/>
    <col min="12582" max="12583" width="8.7265625" style="24" customWidth="1"/>
    <col min="12584" max="12584" width="17.81640625" style="24" customWidth="1"/>
    <col min="12585" max="12586" width="8.7265625" style="24" customWidth="1"/>
    <col min="12587" max="12587" width="17.81640625" style="24" customWidth="1"/>
    <col min="12588" max="12589" width="8.7265625" style="24" customWidth="1"/>
    <col min="12590" max="12590" width="17.81640625" style="24" customWidth="1"/>
    <col min="12591" max="12592" width="8.7265625" style="24" customWidth="1"/>
    <col min="12593" max="12800" width="10.90625" style="24"/>
    <col min="12801" max="12801" width="50.81640625" style="24" customWidth="1"/>
    <col min="12802" max="12802" width="17.81640625" style="24" customWidth="1"/>
    <col min="12803" max="12803" width="8.7265625" style="24" customWidth="1"/>
    <col min="12804" max="12804" width="17.81640625" style="24" customWidth="1"/>
    <col min="12805" max="12806" width="8.7265625" style="24" customWidth="1"/>
    <col min="12807" max="12807" width="17.81640625" style="24" customWidth="1"/>
    <col min="12808" max="12809" width="8.7265625" style="24" customWidth="1"/>
    <col min="12810" max="12810" width="17.81640625" style="24" customWidth="1"/>
    <col min="12811" max="12812" width="8.7265625" style="24" customWidth="1"/>
    <col min="12813" max="12813" width="17.81640625" style="24" customWidth="1"/>
    <col min="12814" max="12815" width="8.7265625" style="24" customWidth="1"/>
    <col min="12816" max="12816" width="17.81640625" style="24" customWidth="1"/>
    <col min="12817" max="12818" width="8.7265625" style="24" customWidth="1"/>
    <col min="12819" max="12819" width="17.81640625" style="24" customWidth="1"/>
    <col min="12820" max="12821" width="8.7265625" style="24" customWidth="1"/>
    <col min="12822" max="12822" width="17.81640625" style="24" customWidth="1"/>
    <col min="12823" max="12824" width="8.7265625" style="24" customWidth="1"/>
    <col min="12825" max="12825" width="17.81640625" style="24" customWidth="1"/>
    <col min="12826" max="12827" width="8.7265625" style="24" customWidth="1"/>
    <col min="12828" max="12828" width="17.81640625" style="24" customWidth="1"/>
    <col min="12829" max="12830" width="8.7265625" style="24" customWidth="1"/>
    <col min="12831" max="12831" width="17.81640625" style="24" customWidth="1"/>
    <col min="12832" max="12833" width="8.7265625" style="24" customWidth="1"/>
    <col min="12834" max="12834" width="17.81640625" style="24" customWidth="1"/>
    <col min="12835" max="12836" width="8.7265625" style="24" customWidth="1"/>
    <col min="12837" max="12837" width="17.81640625" style="24" customWidth="1"/>
    <col min="12838" max="12839" width="8.7265625" style="24" customWidth="1"/>
    <col min="12840" max="12840" width="17.81640625" style="24" customWidth="1"/>
    <col min="12841" max="12842" width="8.7265625" style="24" customWidth="1"/>
    <col min="12843" max="12843" width="17.81640625" style="24" customWidth="1"/>
    <col min="12844" max="12845" width="8.7265625" style="24" customWidth="1"/>
    <col min="12846" max="12846" width="17.81640625" style="24" customWidth="1"/>
    <col min="12847" max="12848" width="8.7265625" style="24" customWidth="1"/>
    <col min="12849" max="13056" width="10.90625" style="24"/>
    <col min="13057" max="13057" width="50.81640625" style="24" customWidth="1"/>
    <col min="13058" max="13058" width="17.81640625" style="24" customWidth="1"/>
    <col min="13059" max="13059" width="8.7265625" style="24" customWidth="1"/>
    <col min="13060" max="13060" width="17.81640625" style="24" customWidth="1"/>
    <col min="13061" max="13062" width="8.7265625" style="24" customWidth="1"/>
    <col min="13063" max="13063" width="17.81640625" style="24" customWidth="1"/>
    <col min="13064" max="13065" width="8.7265625" style="24" customWidth="1"/>
    <col min="13066" max="13066" width="17.81640625" style="24" customWidth="1"/>
    <col min="13067" max="13068" width="8.7265625" style="24" customWidth="1"/>
    <col min="13069" max="13069" width="17.81640625" style="24" customWidth="1"/>
    <col min="13070" max="13071" width="8.7265625" style="24" customWidth="1"/>
    <col min="13072" max="13072" width="17.81640625" style="24" customWidth="1"/>
    <col min="13073" max="13074" width="8.7265625" style="24" customWidth="1"/>
    <col min="13075" max="13075" width="17.81640625" style="24" customWidth="1"/>
    <col min="13076" max="13077" width="8.7265625" style="24" customWidth="1"/>
    <col min="13078" max="13078" width="17.81640625" style="24" customWidth="1"/>
    <col min="13079" max="13080" width="8.7265625" style="24" customWidth="1"/>
    <col min="13081" max="13081" width="17.81640625" style="24" customWidth="1"/>
    <col min="13082" max="13083" width="8.7265625" style="24" customWidth="1"/>
    <col min="13084" max="13084" width="17.81640625" style="24" customWidth="1"/>
    <col min="13085" max="13086" width="8.7265625" style="24" customWidth="1"/>
    <col min="13087" max="13087" width="17.81640625" style="24" customWidth="1"/>
    <col min="13088" max="13089" width="8.7265625" style="24" customWidth="1"/>
    <col min="13090" max="13090" width="17.81640625" style="24" customWidth="1"/>
    <col min="13091" max="13092" width="8.7265625" style="24" customWidth="1"/>
    <col min="13093" max="13093" width="17.81640625" style="24" customWidth="1"/>
    <col min="13094" max="13095" width="8.7265625" style="24" customWidth="1"/>
    <col min="13096" max="13096" width="17.81640625" style="24" customWidth="1"/>
    <col min="13097" max="13098" width="8.7265625" style="24" customWidth="1"/>
    <col min="13099" max="13099" width="17.81640625" style="24" customWidth="1"/>
    <col min="13100" max="13101" width="8.7265625" style="24" customWidth="1"/>
    <col min="13102" max="13102" width="17.81640625" style="24" customWidth="1"/>
    <col min="13103" max="13104" width="8.7265625" style="24" customWidth="1"/>
    <col min="13105" max="13312" width="10.90625" style="24"/>
    <col min="13313" max="13313" width="50.81640625" style="24" customWidth="1"/>
    <col min="13314" max="13314" width="17.81640625" style="24" customWidth="1"/>
    <col min="13315" max="13315" width="8.7265625" style="24" customWidth="1"/>
    <col min="13316" max="13316" width="17.81640625" style="24" customWidth="1"/>
    <col min="13317" max="13318" width="8.7265625" style="24" customWidth="1"/>
    <col min="13319" max="13319" width="17.81640625" style="24" customWidth="1"/>
    <col min="13320" max="13321" width="8.7265625" style="24" customWidth="1"/>
    <col min="13322" max="13322" width="17.81640625" style="24" customWidth="1"/>
    <col min="13323" max="13324" width="8.7265625" style="24" customWidth="1"/>
    <col min="13325" max="13325" width="17.81640625" style="24" customWidth="1"/>
    <col min="13326" max="13327" width="8.7265625" style="24" customWidth="1"/>
    <col min="13328" max="13328" width="17.81640625" style="24" customWidth="1"/>
    <col min="13329" max="13330" width="8.7265625" style="24" customWidth="1"/>
    <col min="13331" max="13331" width="17.81640625" style="24" customWidth="1"/>
    <col min="13332" max="13333" width="8.7265625" style="24" customWidth="1"/>
    <col min="13334" max="13334" width="17.81640625" style="24" customWidth="1"/>
    <col min="13335" max="13336" width="8.7265625" style="24" customWidth="1"/>
    <col min="13337" max="13337" width="17.81640625" style="24" customWidth="1"/>
    <col min="13338" max="13339" width="8.7265625" style="24" customWidth="1"/>
    <col min="13340" max="13340" width="17.81640625" style="24" customWidth="1"/>
    <col min="13341" max="13342" width="8.7265625" style="24" customWidth="1"/>
    <col min="13343" max="13343" width="17.81640625" style="24" customWidth="1"/>
    <col min="13344" max="13345" width="8.7265625" style="24" customWidth="1"/>
    <col min="13346" max="13346" width="17.81640625" style="24" customWidth="1"/>
    <col min="13347" max="13348" width="8.7265625" style="24" customWidth="1"/>
    <col min="13349" max="13349" width="17.81640625" style="24" customWidth="1"/>
    <col min="13350" max="13351" width="8.7265625" style="24" customWidth="1"/>
    <col min="13352" max="13352" width="17.81640625" style="24" customWidth="1"/>
    <col min="13353" max="13354" width="8.7265625" style="24" customWidth="1"/>
    <col min="13355" max="13355" width="17.81640625" style="24" customWidth="1"/>
    <col min="13356" max="13357" width="8.7265625" style="24" customWidth="1"/>
    <col min="13358" max="13358" width="17.81640625" style="24" customWidth="1"/>
    <col min="13359" max="13360" width="8.7265625" style="24" customWidth="1"/>
    <col min="13361" max="13568" width="10.90625" style="24"/>
    <col min="13569" max="13569" width="50.81640625" style="24" customWidth="1"/>
    <col min="13570" max="13570" width="17.81640625" style="24" customWidth="1"/>
    <col min="13571" max="13571" width="8.7265625" style="24" customWidth="1"/>
    <col min="13572" max="13572" width="17.81640625" style="24" customWidth="1"/>
    <col min="13573" max="13574" width="8.7265625" style="24" customWidth="1"/>
    <col min="13575" max="13575" width="17.81640625" style="24" customWidth="1"/>
    <col min="13576" max="13577" width="8.7265625" style="24" customWidth="1"/>
    <col min="13578" max="13578" width="17.81640625" style="24" customWidth="1"/>
    <col min="13579" max="13580" width="8.7265625" style="24" customWidth="1"/>
    <col min="13581" max="13581" width="17.81640625" style="24" customWidth="1"/>
    <col min="13582" max="13583" width="8.7265625" style="24" customWidth="1"/>
    <col min="13584" max="13584" width="17.81640625" style="24" customWidth="1"/>
    <col min="13585" max="13586" width="8.7265625" style="24" customWidth="1"/>
    <col min="13587" max="13587" width="17.81640625" style="24" customWidth="1"/>
    <col min="13588" max="13589" width="8.7265625" style="24" customWidth="1"/>
    <col min="13590" max="13590" width="17.81640625" style="24" customWidth="1"/>
    <col min="13591" max="13592" width="8.7265625" style="24" customWidth="1"/>
    <col min="13593" max="13593" width="17.81640625" style="24" customWidth="1"/>
    <col min="13594" max="13595" width="8.7265625" style="24" customWidth="1"/>
    <col min="13596" max="13596" width="17.81640625" style="24" customWidth="1"/>
    <col min="13597" max="13598" width="8.7265625" style="24" customWidth="1"/>
    <col min="13599" max="13599" width="17.81640625" style="24" customWidth="1"/>
    <col min="13600" max="13601" width="8.7265625" style="24" customWidth="1"/>
    <col min="13602" max="13602" width="17.81640625" style="24" customWidth="1"/>
    <col min="13603" max="13604" width="8.7265625" style="24" customWidth="1"/>
    <col min="13605" max="13605" width="17.81640625" style="24" customWidth="1"/>
    <col min="13606" max="13607" width="8.7265625" style="24" customWidth="1"/>
    <col min="13608" max="13608" width="17.81640625" style="24" customWidth="1"/>
    <col min="13609" max="13610" width="8.7265625" style="24" customWidth="1"/>
    <col min="13611" max="13611" width="17.81640625" style="24" customWidth="1"/>
    <col min="13612" max="13613" width="8.7265625" style="24" customWidth="1"/>
    <col min="13614" max="13614" width="17.81640625" style="24" customWidth="1"/>
    <col min="13615" max="13616" width="8.7265625" style="24" customWidth="1"/>
    <col min="13617" max="13824" width="10.90625" style="24"/>
    <col min="13825" max="13825" width="50.81640625" style="24" customWidth="1"/>
    <col min="13826" max="13826" width="17.81640625" style="24" customWidth="1"/>
    <col min="13827" max="13827" width="8.7265625" style="24" customWidth="1"/>
    <col min="13828" max="13828" width="17.81640625" style="24" customWidth="1"/>
    <col min="13829" max="13830" width="8.7265625" style="24" customWidth="1"/>
    <col min="13831" max="13831" width="17.81640625" style="24" customWidth="1"/>
    <col min="13832" max="13833" width="8.7265625" style="24" customWidth="1"/>
    <col min="13834" max="13834" width="17.81640625" style="24" customWidth="1"/>
    <col min="13835" max="13836" width="8.7265625" style="24" customWidth="1"/>
    <col min="13837" max="13837" width="17.81640625" style="24" customWidth="1"/>
    <col min="13838" max="13839" width="8.7265625" style="24" customWidth="1"/>
    <col min="13840" max="13840" width="17.81640625" style="24" customWidth="1"/>
    <col min="13841" max="13842" width="8.7265625" style="24" customWidth="1"/>
    <col min="13843" max="13843" width="17.81640625" style="24" customWidth="1"/>
    <col min="13844" max="13845" width="8.7265625" style="24" customWidth="1"/>
    <col min="13846" max="13846" width="17.81640625" style="24" customWidth="1"/>
    <col min="13847" max="13848" width="8.7265625" style="24" customWidth="1"/>
    <col min="13849" max="13849" width="17.81640625" style="24" customWidth="1"/>
    <col min="13850" max="13851" width="8.7265625" style="24" customWidth="1"/>
    <col min="13852" max="13852" width="17.81640625" style="24" customWidth="1"/>
    <col min="13853" max="13854" width="8.7265625" style="24" customWidth="1"/>
    <col min="13855" max="13855" width="17.81640625" style="24" customWidth="1"/>
    <col min="13856" max="13857" width="8.7265625" style="24" customWidth="1"/>
    <col min="13858" max="13858" width="17.81640625" style="24" customWidth="1"/>
    <col min="13859" max="13860" width="8.7265625" style="24" customWidth="1"/>
    <col min="13861" max="13861" width="17.81640625" style="24" customWidth="1"/>
    <col min="13862" max="13863" width="8.7265625" style="24" customWidth="1"/>
    <col min="13864" max="13864" width="17.81640625" style="24" customWidth="1"/>
    <col min="13865" max="13866" width="8.7265625" style="24" customWidth="1"/>
    <col min="13867" max="13867" width="17.81640625" style="24" customWidth="1"/>
    <col min="13868" max="13869" width="8.7265625" style="24" customWidth="1"/>
    <col min="13870" max="13870" width="17.81640625" style="24" customWidth="1"/>
    <col min="13871" max="13872" width="8.7265625" style="24" customWidth="1"/>
    <col min="13873" max="14080" width="10.90625" style="24"/>
    <col min="14081" max="14081" width="50.81640625" style="24" customWidth="1"/>
    <col min="14082" max="14082" width="17.81640625" style="24" customWidth="1"/>
    <col min="14083" max="14083" width="8.7265625" style="24" customWidth="1"/>
    <col min="14084" max="14084" width="17.81640625" style="24" customWidth="1"/>
    <col min="14085" max="14086" width="8.7265625" style="24" customWidth="1"/>
    <col min="14087" max="14087" width="17.81640625" style="24" customWidth="1"/>
    <col min="14088" max="14089" width="8.7265625" style="24" customWidth="1"/>
    <col min="14090" max="14090" width="17.81640625" style="24" customWidth="1"/>
    <col min="14091" max="14092" width="8.7265625" style="24" customWidth="1"/>
    <col min="14093" max="14093" width="17.81640625" style="24" customWidth="1"/>
    <col min="14094" max="14095" width="8.7265625" style="24" customWidth="1"/>
    <col min="14096" max="14096" width="17.81640625" style="24" customWidth="1"/>
    <col min="14097" max="14098" width="8.7265625" style="24" customWidth="1"/>
    <col min="14099" max="14099" width="17.81640625" style="24" customWidth="1"/>
    <col min="14100" max="14101" width="8.7265625" style="24" customWidth="1"/>
    <col min="14102" max="14102" width="17.81640625" style="24" customWidth="1"/>
    <col min="14103" max="14104" width="8.7265625" style="24" customWidth="1"/>
    <col min="14105" max="14105" width="17.81640625" style="24" customWidth="1"/>
    <col min="14106" max="14107" width="8.7265625" style="24" customWidth="1"/>
    <col min="14108" max="14108" width="17.81640625" style="24" customWidth="1"/>
    <col min="14109" max="14110" width="8.7265625" style="24" customWidth="1"/>
    <col min="14111" max="14111" width="17.81640625" style="24" customWidth="1"/>
    <col min="14112" max="14113" width="8.7265625" style="24" customWidth="1"/>
    <col min="14114" max="14114" width="17.81640625" style="24" customWidth="1"/>
    <col min="14115" max="14116" width="8.7265625" style="24" customWidth="1"/>
    <col min="14117" max="14117" width="17.81640625" style="24" customWidth="1"/>
    <col min="14118" max="14119" width="8.7265625" style="24" customWidth="1"/>
    <col min="14120" max="14120" width="17.81640625" style="24" customWidth="1"/>
    <col min="14121" max="14122" width="8.7265625" style="24" customWidth="1"/>
    <col min="14123" max="14123" width="17.81640625" style="24" customWidth="1"/>
    <col min="14124" max="14125" width="8.7265625" style="24" customWidth="1"/>
    <col min="14126" max="14126" width="17.81640625" style="24" customWidth="1"/>
    <col min="14127" max="14128" width="8.7265625" style="24" customWidth="1"/>
    <col min="14129" max="14336" width="10.90625" style="24"/>
    <col min="14337" max="14337" width="50.81640625" style="24" customWidth="1"/>
    <col min="14338" max="14338" width="17.81640625" style="24" customWidth="1"/>
    <col min="14339" max="14339" width="8.7265625" style="24" customWidth="1"/>
    <col min="14340" max="14340" width="17.81640625" style="24" customWidth="1"/>
    <col min="14341" max="14342" width="8.7265625" style="24" customWidth="1"/>
    <col min="14343" max="14343" width="17.81640625" style="24" customWidth="1"/>
    <col min="14344" max="14345" width="8.7265625" style="24" customWidth="1"/>
    <col min="14346" max="14346" width="17.81640625" style="24" customWidth="1"/>
    <col min="14347" max="14348" width="8.7265625" style="24" customWidth="1"/>
    <col min="14349" max="14349" width="17.81640625" style="24" customWidth="1"/>
    <col min="14350" max="14351" width="8.7265625" style="24" customWidth="1"/>
    <col min="14352" max="14352" width="17.81640625" style="24" customWidth="1"/>
    <col min="14353" max="14354" width="8.7265625" style="24" customWidth="1"/>
    <col min="14355" max="14355" width="17.81640625" style="24" customWidth="1"/>
    <col min="14356" max="14357" width="8.7265625" style="24" customWidth="1"/>
    <col min="14358" max="14358" width="17.81640625" style="24" customWidth="1"/>
    <col min="14359" max="14360" width="8.7265625" style="24" customWidth="1"/>
    <col min="14361" max="14361" width="17.81640625" style="24" customWidth="1"/>
    <col min="14362" max="14363" width="8.7265625" style="24" customWidth="1"/>
    <col min="14364" max="14364" width="17.81640625" style="24" customWidth="1"/>
    <col min="14365" max="14366" width="8.7265625" style="24" customWidth="1"/>
    <col min="14367" max="14367" width="17.81640625" style="24" customWidth="1"/>
    <col min="14368" max="14369" width="8.7265625" style="24" customWidth="1"/>
    <col min="14370" max="14370" width="17.81640625" style="24" customWidth="1"/>
    <col min="14371" max="14372" width="8.7265625" style="24" customWidth="1"/>
    <col min="14373" max="14373" width="17.81640625" style="24" customWidth="1"/>
    <col min="14374" max="14375" width="8.7265625" style="24" customWidth="1"/>
    <col min="14376" max="14376" width="17.81640625" style="24" customWidth="1"/>
    <col min="14377" max="14378" width="8.7265625" style="24" customWidth="1"/>
    <col min="14379" max="14379" width="17.81640625" style="24" customWidth="1"/>
    <col min="14380" max="14381" width="8.7265625" style="24" customWidth="1"/>
    <col min="14382" max="14382" width="17.81640625" style="24" customWidth="1"/>
    <col min="14383" max="14384" width="8.7265625" style="24" customWidth="1"/>
    <col min="14385" max="14592" width="10.90625" style="24"/>
    <col min="14593" max="14593" width="50.81640625" style="24" customWidth="1"/>
    <col min="14594" max="14594" width="17.81640625" style="24" customWidth="1"/>
    <col min="14595" max="14595" width="8.7265625" style="24" customWidth="1"/>
    <col min="14596" max="14596" width="17.81640625" style="24" customWidth="1"/>
    <col min="14597" max="14598" width="8.7265625" style="24" customWidth="1"/>
    <col min="14599" max="14599" width="17.81640625" style="24" customWidth="1"/>
    <col min="14600" max="14601" width="8.7265625" style="24" customWidth="1"/>
    <col min="14602" max="14602" width="17.81640625" style="24" customWidth="1"/>
    <col min="14603" max="14604" width="8.7265625" style="24" customWidth="1"/>
    <col min="14605" max="14605" width="17.81640625" style="24" customWidth="1"/>
    <col min="14606" max="14607" width="8.7265625" style="24" customWidth="1"/>
    <col min="14608" max="14608" width="17.81640625" style="24" customWidth="1"/>
    <col min="14609" max="14610" width="8.7265625" style="24" customWidth="1"/>
    <col min="14611" max="14611" width="17.81640625" style="24" customWidth="1"/>
    <col min="14612" max="14613" width="8.7265625" style="24" customWidth="1"/>
    <col min="14614" max="14614" width="17.81640625" style="24" customWidth="1"/>
    <col min="14615" max="14616" width="8.7265625" style="24" customWidth="1"/>
    <col min="14617" max="14617" width="17.81640625" style="24" customWidth="1"/>
    <col min="14618" max="14619" width="8.7265625" style="24" customWidth="1"/>
    <col min="14620" max="14620" width="17.81640625" style="24" customWidth="1"/>
    <col min="14621" max="14622" width="8.7265625" style="24" customWidth="1"/>
    <col min="14623" max="14623" width="17.81640625" style="24" customWidth="1"/>
    <col min="14624" max="14625" width="8.7265625" style="24" customWidth="1"/>
    <col min="14626" max="14626" width="17.81640625" style="24" customWidth="1"/>
    <col min="14627" max="14628" width="8.7265625" style="24" customWidth="1"/>
    <col min="14629" max="14629" width="17.81640625" style="24" customWidth="1"/>
    <col min="14630" max="14631" width="8.7265625" style="24" customWidth="1"/>
    <col min="14632" max="14632" width="17.81640625" style="24" customWidth="1"/>
    <col min="14633" max="14634" width="8.7265625" style="24" customWidth="1"/>
    <col min="14635" max="14635" width="17.81640625" style="24" customWidth="1"/>
    <col min="14636" max="14637" width="8.7265625" style="24" customWidth="1"/>
    <col min="14638" max="14638" width="17.81640625" style="24" customWidth="1"/>
    <col min="14639" max="14640" width="8.7265625" style="24" customWidth="1"/>
    <col min="14641" max="14848" width="10.90625" style="24"/>
    <col min="14849" max="14849" width="50.81640625" style="24" customWidth="1"/>
    <col min="14850" max="14850" width="17.81640625" style="24" customWidth="1"/>
    <col min="14851" max="14851" width="8.7265625" style="24" customWidth="1"/>
    <col min="14852" max="14852" width="17.81640625" style="24" customWidth="1"/>
    <col min="14853" max="14854" width="8.7265625" style="24" customWidth="1"/>
    <col min="14855" max="14855" width="17.81640625" style="24" customWidth="1"/>
    <col min="14856" max="14857" width="8.7265625" style="24" customWidth="1"/>
    <col min="14858" max="14858" width="17.81640625" style="24" customWidth="1"/>
    <col min="14859" max="14860" width="8.7265625" style="24" customWidth="1"/>
    <col min="14861" max="14861" width="17.81640625" style="24" customWidth="1"/>
    <col min="14862" max="14863" width="8.7265625" style="24" customWidth="1"/>
    <col min="14864" max="14864" width="17.81640625" style="24" customWidth="1"/>
    <col min="14865" max="14866" width="8.7265625" style="24" customWidth="1"/>
    <col min="14867" max="14867" width="17.81640625" style="24" customWidth="1"/>
    <col min="14868" max="14869" width="8.7265625" style="24" customWidth="1"/>
    <col min="14870" max="14870" width="17.81640625" style="24" customWidth="1"/>
    <col min="14871" max="14872" width="8.7265625" style="24" customWidth="1"/>
    <col min="14873" max="14873" width="17.81640625" style="24" customWidth="1"/>
    <col min="14874" max="14875" width="8.7265625" style="24" customWidth="1"/>
    <col min="14876" max="14876" width="17.81640625" style="24" customWidth="1"/>
    <col min="14877" max="14878" width="8.7265625" style="24" customWidth="1"/>
    <col min="14879" max="14879" width="17.81640625" style="24" customWidth="1"/>
    <col min="14880" max="14881" width="8.7265625" style="24" customWidth="1"/>
    <col min="14882" max="14882" width="17.81640625" style="24" customWidth="1"/>
    <col min="14883" max="14884" width="8.7265625" style="24" customWidth="1"/>
    <col min="14885" max="14885" width="17.81640625" style="24" customWidth="1"/>
    <col min="14886" max="14887" width="8.7265625" style="24" customWidth="1"/>
    <col min="14888" max="14888" width="17.81640625" style="24" customWidth="1"/>
    <col min="14889" max="14890" width="8.7265625" style="24" customWidth="1"/>
    <col min="14891" max="14891" width="17.81640625" style="24" customWidth="1"/>
    <col min="14892" max="14893" width="8.7265625" style="24" customWidth="1"/>
    <col min="14894" max="14894" width="17.81640625" style="24" customWidth="1"/>
    <col min="14895" max="14896" width="8.7265625" style="24" customWidth="1"/>
    <col min="14897" max="15104" width="10.90625" style="24"/>
    <col min="15105" max="15105" width="50.81640625" style="24" customWidth="1"/>
    <col min="15106" max="15106" width="17.81640625" style="24" customWidth="1"/>
    <col min="15107" max="15107" width="8.7265625" style="24" customWidth="1"/>
    <col min="15108" max="15108" width="17.81640625" style="24" customWidth="1"/>
    <col min="15109" max="15110" width="8.7265625" style="24" customWidth="1"/>
    <col min="15111" max="15111" width="17.81640625" style="24" customWidth="1"/>
    <col min="15112" max="15113" width="8.7265625" style="24" customWidth="1"/>
    <col min="15114" max="15114" width="17.81640625" style="24" customWidth="1"/>
    <col min="15115" max="15116" width="8.7265625" style="24" customWidth="1"/>
    <col min="15117" max="15117" width="17.81640625" style="24" customWidth="1"/>
    <col min="15118" max="15119" width="8.7265625" style="24" customWidth="1"/>
    <col min="15120" max="15120" width="17.81640625" style="24" customWidth="1"/>
    <col min="15121" max="15122" width="8.7265625" style="24" customWidth="1"/>
    <col min="15123" max="15123" width="17.81640625" style="24" customWidth="1"/>
    <col min="15124" max="15125" width="8.7265625" style="24" customWidth="1"/>
    <col min="15126" max="15126" width="17.81640625" style="24" customWidth="1"/>
    <col min="15127" max="15128" width="8.7265625" style="24" customWidth="1"/>
    <col min="15129" max="15129" width="17.81640625" style="24" customWidth="1"/>
    <col min="15130" max="15131" width="8.7265625" style="24" customWidth="1"/>
    <col min="15132" max="15132" width="17.81640625" style="24" customWidth="1"/>
    <col min="15133" max="15134" width="8.7265625" style="24" customWidth="1"/>
    <col min="15135" max="15135" width="17.81640625" style="24" customWidth="1"/>
    <col min="15136" max="15137" width="8.7265625" style="24" customWidth="1"/>
    <col min="15138" max="15138" width="17.81640625" style="24" customWidth="1"/>
    <col min="15139" max="15140" width="8.7265625" style="24" customWidth="1"/>
    <col min="15141" max="15141" width="17.81640625" style="24" customWidth="1"/>
    <col min="15142" max="15143" width="8.7265625" style="24" customWidth="1"/>
    <col min="15144" max="15144" width="17.81640625" style="24" customWidth="1"/>
    <col min="15145" max="15146" width="8.7265625" style="24" customWidth="1"/>
    <col min="15147" max="15147" width="17.81640625" style="24" customWidth="1"/>
    <col min="15148" max="15149" width="8.7265625" style="24" customWidth="1"/>
    <col min="15150" max="15150" width="17.81640625" style="24" customWidth="1"/>
    <col min="15151" max="15152" width="8.7265625" style="24" customWidth="1"/>
    <col min="15153" max="15360" width="10.90625" style="24"/>
    <col min="15361" max="15361" width="50.81640625" style="24" customWidth="1"/>
    <col min="15362" max="15362" width="17.81640625" style="24" customWidth="1"/>
    <col min="15363" max="15363" width="8.7265625" style="24" customWidth="1"/>
    <col min="15364" max="15364" width="17.81640625" style="24" customWidth="1"/>
    <col min="15365" max="15366" width="8.7265625" style="24" customWidth="1"/>
    <col min="15367" max="15367" width="17.81640625" style="24" customWidth="1"/>
    <col min="15368" max="15369" width="8.7265625" style="24" customWidth="1"/>
    <col min="15370" max="15370" width="17.81640625" style="24" customWidth="1"/>
    <col min="15371" max="15372" width="8.7265625" style="24" customWidth="1"/>
    <col min="15373" max="15373" width="17.81640625" style="24" customWidth="1"/>
    <col min="15374" max="15375" width="8.7265625" style="24" customWidth="1"/>
    <col min="15376" max="15376" width="17.81640625" style="24" customWidth="1"/>
    <col min="15377" max="15378" width="8.7265625" style="24" customWidth="1"/>
    <col min="15379" max="15379" width="17.81640625" style="24" customWidth="1"/>
    <col min="15380" max="15381" width="8.7265625" style="24" customWidth="1"/>
    <col min="15382" max="15382" width="17.81640625" style="24" customWidth="1"/>
    <col min="15383" max="15384" width="8.7265625" style="24" customWidth="1"/>
    <col min="15385" max="15385" width="17.81640625" style="24" customWidth="1"/>
    <col min="15386" max="15387" width="8.7265625" style="24" customWidth="1"/>
    <col min="15388" max="15388" width="17.81640625" style="24" customWidth="1"/>
    <col min="15389" max="15390" width="8.7265625" style="24" customWidth="1"/>
    <col min="15391" max="15391" width="17.81640625" style="24" customWidth="1"/>
    <col min="15392" max="15393" width="8.7265625" style="24" customWidth="1"/>
    <col min="15394" max="15394" width="17.81640625" style="24" customWidth="1"/>
    <col min="15395" max="15396" width="8.7265625" style="24" customWidth="1"/>
    <col min="15397" max="15397" width="17.81640625" style="24" customWidth="1"/>
    <col min="15398" max="15399" width="8.7265625" style="24" customWidth="1"/>
    <col min="15400" max="15400" width="17.81640625" style="24" customWidth="1"/>
    <col min="15401" max="15402" width="8.7265625" style="24" customWidth="1"/>
    <col min="15403" max="15403" width="17.81640625" style="24" customWidth="1"/>
    <col min="15404" max="15405" width="8.7265625" style="24" customWidth="1"/>
    <col min="15406" max="15406" width="17.81640625" style="24" customWidth="1"/>
    <col min="15407" max="15408" width="8.7265625" style="24" customWidth="1"/>
    <col min="15409" max="15616" width="10.90625" style="24"/>
    <col min="15617" max="15617" width="50.81640625" style="24" customWidth="1"/>
    <col min="15618" max="15618" width="17.81640625" style="24" customWidth="1"/>
    <col min="15619" max="15619" width="8.7265625" style="24" customWidth="1"/>
    <col min="15620" max="15620" width="17.81640625" style="24" customWidth="1"/>
    <col min="15621" max="15622" width="8.7265625" style="24" customWidth="1"/>
    <col min="15623" max="15623" width="17.81640625" style="24" customWidth="1"/>
    <col min="15624" max="15625" width="8.7265625" style="24" customWidth="1"/>
    <col min="15626" max="15626" width="17.81640625" style="24" customWidth="1"/>
    <col min="15627" max="15628" width="8.7265625" style="24" customWidth="1"/>
    <col min="15629" max="15629" width="17.81640625" style="24" customWidth="1"/>
    <col min="15630" max="15631" width="8.7265625" style="24" customWidth="1"/>
    <col min="15632" max="15632" width="17.81640625" style="24" customWidth="1"/>
    <col min="15633" max="15634" width="8.7265625" style="24" customWidth="1"/>
    <col min="15635" max="15635" width="17.81640625" style="24" customWidth="1"/>
    <col min="15636" max="15637" width="8.7265625" style="24" customWidth="1"/>
    <col min="15638" max="15638" width="17.81640625" style="24" customWidth="1"/>
    <col min="15639" max="15640" width="8.7265625" style="24" customWidth="1"/>
    <col min="15641" max="15641" width="17.81640625" style="24" customWidth="1"/>
    <col min="15642" max="15643" width="8.7265625" style="24" customWidth="1"/>
    <col min="15644" max="15644" width="17.81640625" style="24" customWidth="1"/>
    <col min="15645" max="15646" width="8.7265625" style="24" customWidth="1"/>
    <col min="15647" max="15647" width="17.81640625" style="24" customWidth="1"/>
    <col min="15648" max="15649" width="8.7265625" style="24" customWidth="1"/>
    <col min="15650" max="15650" width="17.81640625" style="24" customWidth="1"/>
    <col min="15651" max="15652" width="8.7265625" style="24" customWidth="1"/>
    <col min="15653" max="15653" width="17.81640625" style="24" customWidth="1"/>
    <col min="15654" max="15655" width="8.7265625" style="24" customWidth="1"/>
    <col min="15656" max="15656" width="17.81640625" style="24" customWidth="1"/>
    <col min="15657" max="15658" width="8.7265625" style="24" customWidth="1"/>
    <col min="15659" max="15659" width="17.81640625" style="24" customWidth="1"/>
    <col min="15660" max="15661" width="8.7265625" style="24" customWidth="1"/>
    <col min="15662" max="15662" width="17.81640625" style="24" customWidth="1"/>
    <col min="15663" max="15664" width="8.7265625" style="24" customWidth="1"/>
    <col min="15665" max="15872" width="10.90625" style="24"/>
    <col min="15873" max="15873" width="50.81640625" style="24" customWidth="1"/>
    <col min="15874" max="15874" width="17.81640625" style="24" customWidth="1"/>
    <col min="15875" max="15875" width="8.7265625" style="24" customWidth="1"/>
    <col min="15876" max="15876" width="17.81640625" style="24" customWidth="1"/>
    <col min="15877" max="15878" width="8.7265625" style="24" customWidth="1"/>
    <col min="15879" max="15879" width="17.81640625" style="24" customWidth="1"/>
    <col min="15880" max="15881" width="8.7265625" style="24" customWidth="1"/>
    <col min="15882" max="15882" width="17.81640625" style="24" customWidth="1"/>
    <col min="15883" max="15884" width="8.7265625" style="24" customWidth="1"/>
    <col min="15885" max="15885" width="17.81640625" style="24" customWidth="1"/>
    <col min="15886" max="15887" width="8.7265625" style="24" customWidth="1"/>
    <col min="15888" max="15888" width="17.81640625" style="24" customWidth="1"/>
    <col min="15889" max="15890" width="8.7265625" style="24" customWidth="1"/>
    <col min="15891" max="15891" width="17.81640625" style="24" customWidth="1"/>
    <col min="15892" max="15893" width="8.7265625" style="24" customWidth="1"/>
    <col min="15894" max="15894" width="17.81640625" style="24" customWidth="1"/>
    <col min="15895" max="15896" width="8.7265625" style="24" customWidth="1"/>
    <col min="15897" max="15897" width="17.81640625" style="24" customWidth="1"/>
    <col min="15898" max="15899" width="8.7265625" style="24" customWidth="1"/>
    <col min="15900" max="15900" width="17.81640625" style="24" customWidth="1"/>
    <col min="15901" max="15902" width="8.7265625" style="24" customWidth="1"/>
    <col min="15903" max="15903" width="17.81640625" style="24" customWidth="1"/>
    <col min="15904" max="15905" width="8.7265625" style="24" customWidth="1"/>
    <col min="15906" max="15906" width="17.81640625" style="24" customWidth="1"/>
    <col min="15907" max="15908" width="8.7265625" style="24" customWidth="1"/>
    <col min="15909" max="15909" width="17.81640625" style="24" customWidth="1"/>
    <col min="15910" max="15911" width="8.7265625" style="24" customWidth="1"/>
    <col min="15912" max="15912" width="17.81640625" style="24" customWidth="1"/>
    <col min="15913" max="15914" width="8.7265625" style="24" customWidth="1"/>
    <col min="15915" max="15915" width="17.81640625" style="24" customWidth="1"/>
    <col min="15916" max="15917" width="8.7265625" style="24" customWidth="1"/>
    <col min="15918" max="15918" width="17.81640625" style="24" customWidth="1"/>
    <col min="15919" max="15920" width="8.7265625" style="24" customWidth="1"/>
    <col min="15921" max="16128" width="10.90625" style="24"/>
    <col min="16129" max="16129" width="50.81640625" style="24" customWidth="1"/>
    <col min="16130" max="16130" width="17.81640625" style="24" customWidth="1"/>
    <col min="16131" max="16131" width="8.7265625" style="24" customWidth="1"/>
    <col min="16132" max="16132" width="17.81640625" style="24" customWidth="1"/>
    <col min="16133" max="16134" width="8.7265625" style="24" customWidth="1"/>
    <col min="16135" max="16135" width="17.81640625" style="24" customWidth="1"/>
    <col min="16136" max="16137" width="8.7265625" style="24" customWidth="1"/>
    <col min="16138" max="16138" width="17.81640625" style="24" customWidth="1"/>
    <col min="16139" max="16140" width="8.7265625" style="24" customWidth="1"/>
    <col min="16141" max="16141" width="17.81640625" style="24" customWidth="1"/>
    <col min="16142" max="16143" width="8.7265625" style="24" customWidth="1"/>
    <col min="16144" max="16144" width="17.81640625" style="24" customWidth="1"/>
    <col min="16145" max="16146" width="8.7265625" style="24" customWidth="1"/>
    <col min="16147" max="16147" width="17.81640625" style="24" customWidth="1"/>
    <col min="16148" max="16149" width="8.7265625" style="24" customWidth="1"/>
    <col min="16150" max="16150" width="17.81640625" style="24" customWidth="1"/>
    <col min="16151" max="16152" width="8.7265625" style="24" customWidth="1"/>
    <col min="16153" max="16153" width="17.81640625" style="24" customWidth="1"/>
    <col min="16154" max="16155" width="8.7265625" style="24" customWidth="1"/>
    <col min="16156" max="16156" width="17.81640625" style="24" customWidth="1"/>
    <col min="16157" max="16158" width="8.7265625" style="24" customWidth="1"/>
    <col min="16159" max="16159" width="17.81640625" style="24" customWidth="1"/>
    <col min="16160" max="16161" width="8.7265625" style="24" customWidth="1"/>
    <col min="16162" max="16162" width="17.81640625" style="24" customWidth="1"/>
    <col min="16163" max="16164" width="8.7265625" style="24" customWidth="1"/>
    <col min="16165" max="16165" width="17.81640625" style="24" customWidth="1"/>
    <col min="16166" max="16167" width="8.7265625" style="24" customWidth="1"/>
    <col min="16168" max="16168" width="17.81640625" style="24" customWidth="1"/>
    <col min="16169" max="16170" width="8.7265625" style="24" customWidth="1"/>
    <col min="16171" max="16171" width="17.81640625" style="24" customWidth="1"/>
    <col min="16172" max="16173" width="8.7265625" style="24" customWidth="1"/>
    <col min="16174" max="16174" width="17.81640625" style="24" customWidth="1"/>
    <col min="16175" max="16176" width="8.7265625" style="24" customWidth="1"/>
    <col min="16177" max="16384" width="10.90625" style="24"/>
  </cols>
  <sheetData>
    <row r="1" spans="1:48" ht="12.5">
      <c r="A1" s="3058" t="s">
        <v>2005</v>
      </c>
      <c r="B1" s="3059"/>
      <c r="C1" s="3059"/>
      <c r="D1" s="3059"/>
      <c r="E1" s="3060"/>
    </row>
    <row r="2" spans="1:48" ht="12.5">
      <c r="A2" s="3061"/>
      <c r="B2" s="3062" t="s">
        <v>2006</v>
      </c>
      <c r="C2" s="3063"/>
      <c r="D2" s="3063"/>
      <c r="E2" s="3064"/>
    </row>
    <row r="3" spans="1:48" ht="12.5">
      <c r="A3" s="3065" t="s">
        <v>2007</v>
      </c>
      <c r="B3" s="3066" t="s">
        <v>2008</v>
      </c>
      <c r="C3" s="3066" t="s">
        <v>2009</v>
      </c>
      <c r="D3" s="3063"/>
      <c r="E3" s="3064"/>
    </row>
    <row r="4" spans="1:48" ht="12.5">
      <c r="A4" s="3067"/>
      <c r="B4" s="3068"/>
      <c r="C4" s="3069"/>
      <c r="D4" s="3063"/>
      <c r="E4" s="3064"/>
    </row>
    <row r="5" spans="1:48" ht="12.5">
      <c r="A5" s="3070"/>
      <c r="B5" s="3071"/>
      <c r="C5" s="3072"/>
      <c r="D5" s="3063"/>
      <c r="E5" s="3064"/>
    </row>
    <row r="6" spans="1:48" ht="12.5">
      <c r="A6" s="3070"/>
      <c r="B6" s="3071"/>
      <c r="C6" s="3072"/>
      <c r="D6" s="3063"/>
      <c r="E6" s="3064"/>
    </row>
    <row r="7" spans="1:48" ht="12.5">
      <c r="A7" s="3073"/>
      <c r="B7" s="3074"/>
      <c r="C7" s="3075"/>
      <c r="D7" s="3063"/>
      <c r="E7" s="3064"/>
    </row>
    <row r="8" spans="1:48" ht="13" thickBot="1">
      <c r="A8" s="3076"/>
      <c r="B8" s="3077"/>
      <c r="C8" s="3077"/>
      <c r="D8" s="3077"/>
      <c r="E8" s="3078"/>
    </row>
    <row r="9" spans="1:48" ht="12.5"/>
    <row r="10" spans="1:48" ht="18">
      <c r="A10" s="3079" t="str">
        <f>C326</f>
        <v>PROYECTO  - FLUJO DE CAJA PROYECTADO</v>
      </c>
      <c r="B10" s="3080"/>
      <c r="C10" s="3080"/>
      <c r="D10" s="3080"/>
      <c r="E10" s="3080"/>
      <c r="F10" s="3080"/>
      <c r="G10" s="3080"/>
      <c r="H10" s="3080"/>
      <c r="I10" s="3080"/>
      <c r="J10" s="3080"/>
      <c r="K10" s="3080"/>
      <c r="L10" s="3080"/>
      <c r="M10" s="3080"/>
      <c r="N10" s="3080"/>
      <c r="O10" s="3080"/>
      <c r="P10" s="3080"/>
      <c r="Q10" s="3080"/>
      <c r="R10" s="3080"/>
      <c r="S10" s="3080"/>
      <c r="T10" s="3080"/>
      <c r="U10" s="3080"/>
      <c r="V10" s="3080"/>
      <c r="W10" s="3080"/>
      <c r="X10" s="3080"/>
      <c r="Y10" s="3080"/>
      <c r="Z10" s="3080"/>
      <c r="AA10" s="3080"/>
      <c r="AB10" s="3080"/>
      <c r="AC10" s="3080"/>
      <c r="AD10" s="3080"/>
      <c r="AE10" s="3080"/>
      <c r="AF10" s="3080"/>
      <c r="AG10" s="3080"/>
    </row>
    <row r="11" spans="1:48" ht="15.5">
      <c r="A11" s="3081" t="s">
        <v>536</v>
      </c>
      <c r="B11" s="3082">
        <f ca="1">YEAR(NOW())</f>
        <v>2023</v>
      </c>
      <c r="C11" s="3083" t="s">
        <v>1258</v>
      </c>
      <c r="D11" s="3082">
        <f ca="1">B11+1</f>
        <v>2024</v>
      </c>
      <c r="E11" s="3084" t="s">
        <v>1258</v>
      </c>
      <c r="F11" s="3083" t="s">
        <v>1259</v>
      </c>
      <c r="G11" s="3082">
        <f ca="1">D11+1</f>
        <v>2025</v>
      </c>
      <c r="H11" s="3084" t="s">
        <v>1258</v>
      </c>
      <c r="I11" s="3083" t="s">
        <v>1259</v>
      </c>
      <c r="J11" s="3082">
        <f ca="1">G11+1</f>
        <v>2026</v>
      </c>
      <c r="K11" s="3084" t="s">
        <v>1258</v>
      </c>
      <c r="L11" s="3083" t="s">
        <v>1259</v>
      </c>
      <c r="M11" s="3082">
        <f ca="1">J11+1</f>
        <v>2027</v>
      </c>
      <c r="N11" s="3084" t="s">
        <v>1258</v>
      </c>
      <c r="O11" s="3083" t="s">
        <v>1259</v>
      </c>
      <c r="P11" s="3082">
        <f ca="1">M11+1</f>
        <v>2028</v>
      </c>
      <c r="Q11" s="3084" t="s">
        <v>1258</v>
      </c>
      <c r="R11" s="3083" t="s">
        <v>1259</v>
      </c>
      <c r="S11" s="3082">
        <f ca="1">P11+1</f>
        <v>2029</v>
      </c>
      <c r="T11" s="3084" t="s">
        <v>1258</v>
      </c>
      <c r="U11" s="3083" t="s">
        <v>1259</v>
      </c>
      <c r="V11" s="3082">
        <f ca="1">S11+1</f>
        <v>2030</v>
      </c>
      <c r="W11" s="3084" t="s">
        <v>1258</v>
      </c>
      <c r="X11" s="3083" t="s">
        <v>1259</v>
      </c>
      <c r="Y11" s="3082">
        <f ca="1">V11+1</f>
        <v>2031</v>
      </c>
      <c r="Z11" s="3084" t="s">
        <v>1258</v>
      </c>
      <c r="AA11" s="3083" t="s">
        <v>1259</v>
      </c>
      <c r="AB11" s="3082">
        <f ca="1">Y11+1</f>
        <v>2032</v>
      </c>
      <c r="AC11" s="3084" t="s">
        <v>1258</v>
      </c>
      <c r="AD11" s="3083" t="s">
        <v>1259</v>
      </c>
      <c r="AE11" s="3082">
        <f ca="1">AB11+1</f>
        <v>2033</v>
      </c>
      <c r="AF11" s="3084" t="s">
        <v>1258</v>
      </c>
      <c r="AG11" s="3083" t="s">
        <v>1259</v>
      </c>
      <c r="AH11" s="3082">
        <f ca="1">AE11+1</f>
        <v>2034</v>
      </c>
      <c r="AI11" s="3084" t="s">
        <v>1258</v>
      </c>
      <c r="AJ11" s="3083" t="s">
        <v>1259</v>
      </c>
      <c r="AK11" s="3082">
        <f ca="1">AH11+1</f>
        <v>2035</v>
      </c>
      <c r="AL11" s="3084" t="s">
        <v>1258</v>
      </c>
      <c r="AM11" s="3083" t="s">
        <v>1259</v>
      </c>
      <c r="AN11" s="3082">
        <f ca="1">AK11+1</f>
        <v>2036</v>
      </c>
      <c r="AO11" s="3084" t="s">
        <v>1258</v>
      </c>
      <c r="AP11" s="3083" t="s">
        <v>1259</v>
      </c>
      <c r="AQ11" s="3082">
        <f ca="1">AN11+1</f>
        <v>2037</v>
      </c>
      <c r="AR11" s="3084" t="s">
        <v>1258</v>
      </c>
      <c r="AS11" s="3083" t="s">
        <v>1259</v>
      </c>
      <c r="AT11" s="3082">
        <f ca="1">AQ11+1</f>
        <v>2038</v>
      </c>
      <c r="AU11" s="3084" t="s">
        <v>1258</v>
      </c>
      <c r="AV11" s="3083" t="s">
        <v>1259</v>
      </c>
    </row>
    <row r="12" spans="1:48" ht="15.5">
      <c r="A12" s="3085" t="s">
        <v>2010</v>
      </c>
      <c r="B12" s="3086">
        <f>B208</f>
        <v>0</v>
      </c>
      <c r="C12" s="3087" t="str">
        <f>IF(B$12=0,"",ABS(B12)/B$12)</f>
        <v/>
      </c>
      <c r="D12" s="3086">
        <f>B12*(1+D208)</f>
        <v>0</v>
      </c>
      <c r="E12" s="3088" t="str">
        <f>IF(D$12=0,"",ABS(D12)/D$12)</f>
        <v/>
      </c>
      <c r="F12" s="3087" t="str">
        <f>IF(B12=0,"",IF(ABS((D12/B12)-1)&gt;10000%,"N/A",(D12/B12)-1))</f>
        <v/>
      </c>
      <c r="G12" s="3086">
        <f>D12*(1+G208)</f>
        <v>0</v>
      </c>
      <c r="H12" s="3088" t="str">
        <f>IF(G$12=0,"",ABS(G12)/G$12)</f>
        <v/>
      </c>
      <c r="I12" s="3087" t="str">
        <f>IF(D12=0,"",IF(ABS((G12/D12)-1)&gt;10000%,"N/A",(G12/D12)-1))</f>
        <v/>
      </c>
      <c r="J12" s="3086">
        <f>G12*(1+J208)</f>
        <v>0</v>
      </c>
      <c r="K12" s="3088" t="str">
        <f>IF(J$12=0,"",ABS(J12)/J$12)</f>
        <v/>
      </c>
      <c r="L12" s="3087" t="str">
        <f>IF(G12=0,"",IF(ABS((J12/G12)-1)&gt;10000%,"N/A",(J12/G12)-1))</f>
        <v/>
      </c>
      <c r="M12" s="3086">
        <f>J12*(1+M208)</f>
        <v>0</v>
      </c>
      <c r="N12" s="3088" t="str">
        <f>IF(M$12=0,"",ABS(M12)/M$12)</f>
        <v/>
      </c>
      <c r="O12" s="3087" t="str">
        <f>IF(J12=0,"",IF(ABS((M12/J12)-1)&gt;10000%,"N/A",(M12/J12)-1))</f>
        <v/>
      </c>
      <c r="P12" s="3086">
        <f>M12*(1+P208)</f>
        <v>0</v>
      </c>
      <c r="Q12" s="3088" t="str">
        <f>IF(P$12=0,"",ABS(P12)/P$12)</f>
        <v/>
      </c>
      <c r="R12" s="3087" t="str">
        <f>IF(M12=0,"",IF(ABS((P12/M12)-1)&gt;10000%,"N/A",(P12/M12)-1))</f>
        <v/>
      </c>
      <c r="S12" s="3086">
        <f>P12*(1+S208)</f>
        <v>0</v>
      </c>
      <c r="T12" s="3088" t="str">
        <f>IF(S$12=0,"",ABS(S12)/S$12)</f>
        <v/>
      </c>
      <c r="U12" s="3087" t="str">
        <f>IF(P12=0,"",IF(ABS((S12/P12)-1)&gt;10000%,"N/A",(S12/P12)-1))</f>
        <v/>
      </c>
      <c r="V12" s="3086">
        <f>S12*(1+V208)</f>
        <v>0</v>
      </c>
      <c r="W12" s="3088" t="str">
        <f>IF(V$12=0,"",ABS(V12)/V$12)</f>
        <v/>
      </c>
      <c r="X12" s="3087" t="str">
        <f>IF(S12=0,"",IF(ABS((V12/S12)-1)&gt;10000%,"N/A",(V12/S12)-1))</f>
        <v/>
      </c>
      <c r="Y12" s="3086">
        <f>V12*(1+Y208)</f>
        <v>0</v>
      </c>
      <c r="Z12" s="3088" t="str">
        <f>IF(Y$12=0,"",ABS(Y12)/Y$12)</f>
        <v/>
      </c>
      <c r="AA12" s="3087" t="str">
        <f>IF(V12=0,"",IF(ABS((Y12/V12)-1)&gt;10000%,"N/A",(Y12/V12)-1))</f>
        <v/>
      </c>
      <c r="AB12" s="3086">
        <f>Y12*(1+AB208)</f>
        <v>0</v>
      </c>
      <c r="AC12" s="3088" t="str">
        <f>IF(AB$12=0,"",ABS(AB12)/AB$12)</f>
        <v/>
      </c>
      <c r="AD12" s="3087" t="str">
        <f>IF(Y12=0,"",IF(ABS((AB12/Y12)-1)&gt;10000%,"N/A",(AB12/Y12)-1))</f>
        <v/>
      </c>
      <c r="AE12" s="3086">
        <f>AB12*(1+AE208)</f>
        <v>0</v>
      </c>
      <c r="AF12" s="3088" t="str">
        <f>IF(AE$12=0,"",ABS(AE12)/AE$12)</f>
        <v/>
      </c>
      <c r="AG12" s="3087" t="str">
        <f>IF(AB12=0,"",IF(ABS((AE12/AB12)-1)&gt;10000%,"N/A",(AE12/AB12)-1))</f>
        <v/>
      </c>
      <c r="AH12" s="3086">
        <f>AE12*(1+AH208)</f>
        <v>0</v>
      </c>
      <c r="AI12" s="3088" t="str">
        <f>IF(AH$12=0,"",ABS(AH12)/AH$12)</f>
        <v/>
      </c>
      <c r="AJ12" s="3087" t="str">
        <f>IF(AE12=0,"",IF(ABS((AH12/AE12)-1)&gt;10000%,"N/A",(AH12/AE12)-1))</f>
        <v/>
      </c>
      <c r="AK12" s="3086">
        <f>AH12*(1+AK208)</f>
        <v>0</v>
      </c>
      <c r="AL12" s="3088" t="str">
        <f>IF(AK$12=0,"",ABS(AK12)/AK$12)</f>
        <v/>
      </c>
      <c r="AM12" s="3087" t="str">
        <f>IF(AH12=0,"",IF(ABS((AK12/AH12)-1)&gt;10000%,"N/A",(AK12/AH12)-1))</f>
        <v/>
      </c>
      <c r="AN12" s="3086">
        <f>AK12*(1+AN208)</f>
        <v>0</v>
      </c>
      <c r="AO12" s="3088" t="str">
        <f>IF(AN$12=0,"",ABS(AN12)/AN$12)</f>
        <v/>
      </c>
      <c r="AP12" s="3087" t="str">
        <f>IF(AK12=0,"",IF(ABS((AN12/AK12)-1)&gt;10000%,"N/A",(AN12/AK12)-1))</f>
        <v/>
      </c>
      <c r="AQ12" s="3086">
        <f>AN12*(1+AQ208)</f>
        <v>0</v>
      </c>
      <c r="AR12" s="3088" t="str">
        <f>IF(AQ$12=0,"",ABS(AQ12)/AQ$12)</f>
        <v/>
      </c>
      <c r="AS12" s="3087" t="str">
        <f>IF(AN12=0,"",IF(ABS((AQ12/AN12)-1)&gt;10000%,"N/A",(AQ12/AN12)-1))</f>
        <v/>
      </c>
      <c r="AT12" s="3086">
        <f>AQ12*(1+AT208)</f>
        <v>0</v>
      </c>
      <c r="AU12" s="3088" t="str">
        <f>IF(AT$12=0,"",ABS(AT12)/AT$12)</f>
        <v/>
      </c>
      <c r="AV12" s="3087" t="str">
        <f>IF(AQ12=0,"",IF(ABS((AT12/AQ12)-1)&gt;10000%,"N/A",(AT12/AQ12)-1))</f>
        <v/>
      </c>
    </row>
    <row r="13" spans="1:48" ht="15.5">
      <c r="A13" s="3089" t="s">
        <v>2011</v>
      </c>
      <c r="B13" s="3086">
        <f>-(B12*(1-B209))</f>
        <v>0</v>
      </c>
      <c r="C13" s="3087" t="str">
        <f>IF(B$12=0,"",ABS(B13)/B$12)</f>
        <v/>
      </c>
      <c r="D13" s="3086">
        <f>-(D12*(1-D209))</f>
        <v>0</v>
      </c>
      <c r="E13" s="3088" t="str">
        <f>IF(D$12=0,"",ABS(D13)/D$12)</f>
        <v/>
      </c>
      <c r="F13" s="3087" t="str">
        <f>IF(B13=0,"",IF(ABS((D13/B13)-1)&gt;10000%,"N/A",(D13/B13)-1))</f>
        <v/>
      </c>
      <c r="G13" s="3086">
        <f>-(G12*(1-G209))</f>
        <v>0</v>
      </c>
      <c r="H13" s="3088" t="str">
        <f>IF(G$12=0,"",ABS(G13)/G$12)</f>
        <v/>
      </c>
      <c r="I13" s="3087" t="str">
        <f>IF(D13=0,"",IF(ABS((G13/D13)-1)&gt;10000%,"N/A",(G13/D13)-1))</f>
        <v/>
      </c>
      <c r="J13" s="3086">
        <f>-(J12*(1-J209))</f>
        <v>0</v>
      </c>
      <c r="K13" s="3088" t="str">
        <f>IF(J$12=0,"",ABS(J13)/J$12)</f>
        <v/>
      </c>
      <c r="L13" s="3087" t="str">
        <f>IF(G13=0,"",IF(ABS((J13/G13)-1)&gt;10000%,"N/A",(J13/G13)-1))</f>
        <v/>
      </c>
      <c r="M13" s="3086">
        <f>-(M12*(1-M209))</f>
        <v>0</v>
      </c>
      <c r="N13" s="3088" t="str">
        <f>IF(M$12=0,"",ABS(M13)/M$12)</f>
        <v/>
      </c>
      <c r="O13" s="3087" t="str">
        <f>IF(J13=0,"",IF(ABS((M13/J13)-1)&gt;10000%,"N/A",(M13/J13)-1))</f>
        <v/>
      </c>
      <c r="P13" s="3086">
        <f>-(P12*(1-P209))</f>
        <v>0</v>
      </c>
      <c r="Q13" s="3088" t="str">
        <f>IF(P$12=0,"",ABS(P13)/P$12)</f>
        <v/>
      </c>
      <c r="R13" s="3087" t="str">
        <f>IF(M13=0,"",IF(ABS((P13/M13)-1)&gt;10000%,"N/A",(P13/M13)-1))</f>
        <v/>
      </c>
      <c r="S13" s="3086">
        <f>-(S12*(1-S209))</f>
        <v>0</v>
      </c>
      <c r="T13" s="3088" t="str">
        <f>IF(S$12=0,"",ABS(S13)/S$12)</f>
        <v/>
      </c>
      <c r="U13" s="3087" t="str">
        <f>IF(P13=0,"",IF(ABS((S13/P13)-1)&gt;10000%,"N/A",(S13/P13)-1))</f>
        <v/>
      </c>
      <c r="V13" s="3086">
        <f>-(V12*(1-V209))</f>
        <v>0</v>
      </c>
      <c r="W13" s="3088" t="str">
        <f>IF(V$12=0,"",ABS(V13)/V$12)</f>
        <v/>
      </c>
      <c r="X13" s="3087" t="str">
        <f>IF(S13=0,"",IF(ABS((V13/S13)-1)&gt;10000%,"N/A",(V13/S13)-1))</f>
        <v/>
      </c>
      <c r="Y13" s="3086">
        <f>-(Y12*(1-Y209))</f>
        <v>0</v>
      </c>
      <c r="Z13" s="3088" t="str">
        <f>IF(Y$12=0,"",ABS(Y13)/Y$12)</f>
        <v/>
      </c>
      <c r="AA13" s="3087" t="str">
        <f>IF(V13=0,"",IF(ABS((Y13/V13)-1)&gt;10000%,"N/A",(Y13/V13)-1))</f>
        <v/>
      </c>
      <c r="AB13" s="3086">
        <f>-(AB12*(1-AB209))</f>
        <v>0</v>
      </c>
      <c r="AC13" s="3088" t="str">
        <f>IF(AB$12=0,"",ABS(AB13)/AB$12)</f>
        <v/>
      </c>
      <c r="AD13" s="3087" t="str">
        <f>IF(Y13=0,"",IF(ABS((AB13/Y13)-1)&gt;10000%,"N/A",(AB13/Y13)-1))</f>
        <v/>
      </c>
      <c r="AE13" s="3086">
        <f>-(AE12*(1-AE209))</f>
        <v>0</v>
      </c>
      <c r="AF13" s="3088" t="str">
        <f>IF(AE$12=0,"",ABS(AE13)/AE$12)</f>
        <v/>
      </c>
      <c r="AG13" s="3087" t="str">
        <f>IF(AB13=0,"",IF(ABS((AE13/AB13)-1)&gt;10000%,"N/A",(AE13/AB13)-1))</f>
        <v/>
      </c>
      <c r="AH13" s="3086">
        <f>-(AH12*(1-AH209))</f>
        <v>0</v>
      </c>
      <c r="AI13" s="3088" t="str">
        <f>IF(AH$12=0,"",ABS(AH13)/AH$12)</f>
        <v/>
      </c>
      <c r="AJ13" s="3087" t="str">
        <f>IF(AE13=0,"",IF(ABS((AH13/AE13)-1)&gt;10000%,"N/A",(AH13/AE13)-1))</f>
        <v/>
      </c>
      <c r="AK13" s="3086">
        <f>-(AK12*(1-AK209))</f>
        <v>0</v>
      </c>
      <c r="AL13" s="3088" t="str">
        <f>IF(AK$12=0,"",ABS(AK13)/AK$12)</f>
        <v/>
      </c>
      <c r="AM13" s="3087" t="str">
        <f>IF(AH13=0,"",IF(ABS((AK13/AH13)-1)&gt;10000%,"N/A",(AK13/AH13)-1))</f>
        <v/>
      </c>
      <c r="AN13" s="3086">
        <f>-(AN12*(1-AN209))</f>
        <v>0</v>
      </c>
      <c r="AO13" s="3088" t="str">
        <f>IF(AN$12=0,"",ABS(AN13)/AN$12)</f>
        <v/>
      </c>
      <c r="AP13" s="3087" t="str">
        <f>IF(AK13=0,"",IF(ABS((AN13/AK13)-1)&gt;10000%,"N/A",(AN13/AK13)-1))</f>
        <v/>
      </c>
      <c r="AQ13" s="3086">
        <f>-(AQ12*(1-AQ209))</f>
        <v>0</v>
      </c>
      <c r="AR13" s="3088" t="str">
        <f>IF(AQ$12=0,"",ABS(AQ13)/AQ$12)</f>
        <v/>
      </c>
      <c r="AS13" s="3087" t="str">
        <f>IF(AN13=0,"",IF(ABS((AQ13/AN13)-1)&gt;10000%,"N/A",(AQ13/AN13)-1))</f>
        <v/>
      </c>
      <c r="AT13" s="3086">
        <f>-(AT12*(1-AT209))</f>
        <v>0</v>
      </c>
      <c r="AU13" s="3088" t="str">
        <f>IF(AT$12=0,"",ABS(AT13)/AT$12)</f>
        <v/>
      </c>
      <c r="AV13" s="3087" t="str">
        <f>IF(AQ13=0,"",IF(ABS((AT13/AQ13)-1)&gt;10000%,"N/A",(AT13/AQ13)-1))</f>
        <v/>
      </c>
    </row>
    <row r="14" spans="1:48" ht="15.5">
      <c r="A14" s="3089" t="s">
        <v>2012</v>
      </c>
      <c r="B14" s="3086">
        <f>-B13*B210</f>
        <v>0</v>
      </c>
      <c r="C14" s="3087" t="str">
        <f>IF(B$12=0,"",ABS(B14)/B$12)</f>
        <v/>
      </c>
      <c r="D14" s="3086">
        <f>-D13*D210</f>
        <v>0</v>
      </c>
      <c r="E14" s="3088" t="str">
        <f>IF(D$12=0,"",ABS(D14)/D$12)</f>
        <v/>
      </c>
      <c r="F14" s="3087" t="str">
        <f>IF(B14=0,"",IF(ABS((D14/B14)-1)&gt;10000%,"N/A",(D14/B14)-1))</f>
        <v/>
      </c>
      <c r="G14" s="3086">
        <f>-G13*G210</f>
        <v>0</v>
      </c>
      <c r="H14" s="3088" t="str">
        <f>IF(G$12=0,"",ABS(G14)/G$12)</f>
        <v/>
      </c>
      <c r="I14" s="3087" t="str">
        <f>IF(D14=0,"",IF(ABS((G14/D14)-1)&gt;10000%,"N/A",(G14/D14)-1))</f>
        <v/>
      </c>
      <c r="J14" s="3086">
        <f>-J13*J210</f>
        <v>0</v>
      </c>
      <c r="K14" s="3088" t="str">
        <f>IF(J$12=0,"",ABS(J14)/J$12)</f>
        <v/>
      </c>
      <c r="L14" s="3087" t="str">
        <f>IF(G14=0,"",IF(ABS((J14/G14)-1)&gt;10000%,"N/A",(J14/G14)-1))</f>
        <v/>
      </c>
      <c r="M14" s="3086">
        <f>-M13*M210</f>
        <v>0</v>
      </c>
      <c r="N14" s="3088" t="str">
        <f>IF(M$12=0,"",ABS(M14)/M$12)</f>
        <v/>
      </c>
      <c r="O14" s="3087" t="str">
        <f>IF(J14=0,"",IF(ABS((M14/J14)-1)&gt;10000%,"N/A",(M14/J14)-1))</f>
        <v/>
      </c>
      <c r="P14" s="3086">
        <f>-P13*P210</f>
        <v>0</v>
      </c>
      <c r="Q14" s="3088" t="str">
        <f>IF(P$12=0,"",ABS(P14)/P$12)</f>
        <v/>
      </c>
      <c r="R14" s="3087" t="str">
        <f>IF(M14=0,"",IF(ABS((P14/M14)-1)&gt;10000%,"N/A",(P14/M14)-1))</f>
        <v/>
      </c>
      <c r="S14" s="3086">
        <f>-S13*S210</f>
        <v>0</v>
      </c>
      <c r="T14" s="3088" t="str">
        <f>IF(S$12=0,"",ABS(S14)/S$12)</f>
        <v/>
      </c>
      <c r="U14" s="3087" t="str">
        <f>IF(P14=0,"",IF(ABS((S14/P14)-1)&gt;10000%,"N/A",(S14/P14)-1))</f>
        <v/>
      </c>
      <c r="V14" s="3086">
        <f>-V13*V210</f>
        <v>0</v>
      </c>
      <c r="W14" s="3088" t="str">
        <f>IF(V$12=0,"",ABS(V14)/V$12)</f>
        <v/>
      </c>
      <c r="X14" s="3087" t="str">
        <f>IF(S14=0,"",IF(ABS((V14/S14)-1)&gt;10000%,"N/A",(V14/S14)-1))</f>
        <v/>
      </c>
      <c r="Y14" s="3086">
        <f>-Y13*Y210</f>
        <v>0</v>
      </c>
      <c r="Z14" s="3088" t="str">
        <f>IF(Y$12=0,"",ABS(Y14)/Y$12)</f>
        <v/>
      </c>
      <c r="AA14" s="3087" t="str">
        <f>IF(V14=0,"",IF(ABS((Y14/V14)-1)&gt;10000%,"N/A",(Y14/V14)-1))</f>
        <v/>
      </c>
      <c r="AB14" s="3086">
        <f>-AB13*AB210</f>
        <v>0</v>
      </c>
      <c r="AC14" s="3088" t="str">
        <f>IF(AB$12=0,"",ABS(AB14)/AB$12)</f>
        <v/>
      </c>
      <c r="AD14" s="3087" t="str">
        <f>IF(Y14=0,"",IF(ABS((AB14/Y14)-1)&gt;10000%,"N/A",(AB14/Y14)-1))</f>
        <v/>
      </c>
      <c r="AE14" s="3086">
        <f>-AE13*AE210</f>
        <v>0</v>
      </c>
      <c r="AF14" s="3088" t="str">
        <f>IF(AE$12=0,"",ABS(AE14)/AE$12)</f>
        <v/>
      </c>
      <c r="AG14" s="3087" t="str">
        <f>IF(AB14=0,"",IF(ABS((AE14/AB14)-1)&gt;10000%,"N/A",(AE14/AB14)-1))</f>
        <v/>
      </c>
      <c r="AH14" s="3086">
        <f>-AH13*AH210</f>
        <v>0</v>
      </c>
      <c r="AI14" s="3088" t="str">
        <f>IF(AH$12=0,"",ABS(AH14)/AH$12)</f>
        <v/>
      </c>
      <c r="AJ14" s="3087" t="str">
        <f>IF(AE14=0,"",IF(ABS((AH14/AE14)-1)&gt;10000%,"N/A",(AH14/AE14)-1))</f>
        <v/>
      </c>
      <c r="AK14" s="3086">
        <f>-AK13*AK210</f>
        <v>0</v>
      </c>
      <c r="AL14" s="3088" t="str">
        <f>IF(AK$12=0,"",ABS(AK14)/AK$12)</f>
        <v/>
      </c>
      <c r="AM14" s="3087" t="str">
        <f>IF(AH14=0,"",IF(ABS((AK14/AH14)-1)&gt;10000%,"N/A",(AK14/AH14)-1))</f>
        <v/>
      </c>
      <c r="AN14" s="3086">
        <f>-AN13*AN210</f>
        <v>0</v>
      </c>
      <c r="AO14" s="3088" t="str">
        <f>IF(AN$12=0,"",ABS(AN14)/AN$12)</f>
        <v/>
      </c>
      <c r="AP14" s="3087" t="str">
        <f>IF(AK14=0,"",IF(ABS((AN14/AK14)-1)&gt;10000%,"N/A",(AN14/AK14)-1))</f>
        <v/>
      </c>
      <c r="AQ14" s="3086">
        <f>-AQ13*AQ210</f>
        <v>0</v>
      </c>
      <c r="AR14" s="3088" t="str">
        <f>IF(AQ$12=0,"",ABS(AQ14)/AQ$12)</f>
        <v/>
      </c>
      <c r="AS14" s="3087" t="str">
        <f>IF(AN14=0,"",IF(ABS((AQ14/AN14)-1)&gt;10000%,"N/A",(AQ14/AN14)-1))</f>
        <v/>
      </c>
      <c r="AT14" s="3086">
        <f>-AT13*AT210</f>
        <v>0</v>
      </c>
      <c r="AU14" s="3088" t="str">
        <f>IF(AT$12=0,"",ABS(AT14)/AT$12)</f>
        <v/>
      </c>
      <c r="AV14" s="3087" t="str">
        <f>IF(AQ14=0,"",IF(ABS((AT14/AQ14)-1)&gt;10000%,"N/A",(AT14/AQ14)-1))</f>
        <v/>
      </c>
    </row>
    <row r="15" spans="1:48" ht="12.5">
      <c r="A15" s="3090"/>
      <c r="B15" s="3091"/>
      <c r="C15" s="3092"/>
      <c r="D15" s="3091"/>
      <c r="E15" s="3093"/>
      <c r="F15" s="3092"/>
      <c r="G15" s="3091"/>
      <c r="H15" s="3093"/>
      <c r="I15" s="3092"/>
      <c r="J15" s="3091"/>
      <c r="K15" s="3093"/>
      <c r="L15" s="3092"/>
      <c r="M15" s="3091"/>
      <c r="N15" s="3093"/>
      <c r="O15" s="3092"/>
      <c r="P15" s="3091"/>
      <c r="Q15" s="3093"/>
      <c r="R15" s="3092"/>
      <c r="S15" s="3091"/>
      <c r="T15" s="3093"/>
      <c r="U15" s="3092"/>
      <c r="V15" s="3091"/>
      <c r="W15" s="3093"/>
      <c r="X15" s="3092"/>
      <c r="Y15" s="3091"/>
      <c r="Z15" s="3093"/>
      <c r="AA15" s="3092"/>
      <c r="AB15" s="3091"/>
      <c r="AC15" s="3093"/>
      <c r="AD15" s="3092"/>
      <c r="AE15" s="3091"/>
      <c r="AF15" s="3093"/>
      <c r="AG15" s="3092"/>
      <c r="AH15" s="3091"/>
      <c r="AI15" s="3093"/>
      <c r="AJ15" s="3092"/>
      <c r="AK15" s="3091"/>
      <c r="AL15" s="3093"/>
      <c r="AM15" s="3092"/>
      <c r="AN15" s="3091"/>
      <c r="AO15" s="3093"/>
      <c r="AP15" s="3092"/>
      <c r="AQ15" s="3091"/>
      <c r="AR15" s="3093"/>
      <c r="AS15" s="3092"/>
      <c r="AT15" s="3091"/>
      <c r="AU15" s="3093"/>
      <c r="AV15" s="3092"/>
    </row>
    <row r="16" spans="1:48" ht="15.5">
      <c r="A16" s="3094" t="s">
        <v>881</v>
      </c>
      <c r="B16" s="3095">
        <f>SUM(B12:B14)</f>
        <v>0</v>
      </c>
      <c r="C16" s="3096" t="str">
        <f>IF(B$12=0,"",ABS(B16)/B$12)</f>
        <v/>
      </c>
      <c r="D16" s="3095">
        <f>SUM(D12:D14)</f>
        <v>0</v>
      </c>
      <c r="E16" s="3097" t="str">
        <f>IF(D$12=0,"",ABS(D16)/D$12)</f>
        <v/>
      </c>
      <c r="F16" s="3096" t="str">
        <f>IF(B16=0,"",IF(ABS((D16/B16)-1)&gt;10000%,"N/A",(D16/B16)-1))</f>
        <v/>
      </c>
      <c r="G16" s="3095">
        <f>SUM(G12:G14)</f>
        <v>0</v>
      </c>
      <c r="H16" s="3097" t="str">
        <f>IF(G$12=0,"",ABS(G16)/G$12)</f>
        <v/>
      </c>
      <c r="I16" s="3096" t="str">
        <f>IF(D16=0,"",IF(ABS((G16/D16)-1)&gt;10000%,"N/A",(G16/D16)-1))</f>
        <v/>
      </c>
      <c r="J16" s="3095">
        <f>SUM(J12:J14)</f>
        <v>0</v>
      </c>
      <c r="K16" s="3097" t="str">
        <f>IF(J$12=0,"",ABS(J16)/J$12)</f>
        <v/>
      </c>
      <c r="L16" s="3096" t="str">
        <f>IF(G16=0,"",IF(ABS((J16/G16)-1)&gt;10000%,"N/A",(J16/G16)-1))</f>
        <v/>
      </c>
      <c r="M16" s="3095">
        <f>SUM(M12:M14)</f>
        <v>0</v>
      </c>
      <c r="N16" s="3097" t="str">
        <f>IF(M$12=0,"",ABS(M16)/M$12)</f>
        <v/>
      </c>
      <c r="O16" s="3096" t="str">
        <f>IF(J16=0,"",IF(ABS((M16/J16)-1)&gt;10000%,"N/A",(M16/J16)-1))</f>
        <v/>
      </c>
      <c r="P16" s="3095">
        <f>SUM(P12:P14)</f>
        <v>0</v>
      </c>
      <c r="Q16" s="3097" t="str">
        <f>IF(P$12=0,"",ABS(P16)/P$12)</f>
        <v/>
      </c>
      <c r="R16" s="3096" t="str">
        <f>IF(M16=0,"",IF(ABS((P16/M16)-1)&gt;10000%,"N/A",(P16/M16)-1))</f>
        <v/>
      </c>
      <c r="S16" s="3095">
        <f>SUM(S12:S14)</f>
        <v>0</v>
      </c>
      <c r="T16" s="3097" t="str">
        <f>IF(S$12=0,"",ABS(S16)/S$12)</f>
        <v/>
      </c>
      <c r="U16" s="3096" t="str">
        <f>IF(P16=0,"",IF(ABS((S16/P16)-1)&gt;10000%,"N/A",(S16/P16)-1))</f>
        <v/>
      </c>
      <c r="V16" s="3095">
        <f>SUM(V12:V14)</f>
        <v>0</v>
      </c>
      <c r="W16" s="3097" t="str">
        <f>IF(V$12=0,"",ABS(V16)/V$12)</f>
        <v/>
      </c>
      <c r="X16" s="3096" t="str">
        <f>IF(S16=0,"",IF(ABS((V16/S16)-1)&gt;10000%,"N/A",(V16/S16)-1))</f>
        <v/>
      </c>
      <c r="Y16" s="3095">
        <f>SUM(Y12:Y14)</f>
        <v>0</v>
      </c>
      <c r="Z16" s="3097" t="str">
        <f>IF(Y$12=0,"",ABS(Y16)/Y$12)</f>
        <v/>
      </c>
      <c r="AA16" s="3096" t="str">
        <f>IF(V16=0,"",IF(ABS((Y16/V16)-1)&gt;10000%,"N/A",(Y16/V16)-1))</f>
        <v/>
      </c>
      <c r="AB16" s="3095">
        <f>SUM(AB12:AB14)</f>
        <v>0</v>
      </c>
      <c r="AC16" s="3097" t="str">
        <f>IF(AB$12=0,"",ABS(AB16)/AB$12)</f>
        <v/>
      </c>
      <c r="AD16" s="3096" t="str">
        <f>IF(Y16=0,"",IF(ABS((AB16/Y16)-1)&gt;10000%,"N/A",(AB16/Y16)-1))</f>
        <v/>
      </c>
      <c r="AE16" s="3095">
        <f>SUM(AE12:AE14)</f>
        <v>0</v>
      </c>
      <c r="AF16" s="3097" t="str">
        <f>IF(AE$12=0,"",ABS(AE16)/AE$12)</f>
        <v/>
      </c>
      <c r="AG16" s="3096" t="str">
        <f>IF(AB16=0,"",IF(ABS((AE16/AB16)-1)&gt;10000%,"N/A",(AE16/AB16)-1))</f>
        <v/>
      </c>
      <c r="AH16" s="3095">
        <f>SUM(AH12:AH14)</f>
        <v>0</v>
      </c>
      <c r="AI16" s="3097" t="str">
        <f>IF(AH$12=0,"",ABS(AH16)/AH$12)</f>
        <v/>
      </c>
      <c r="AJ16" s="3096" t="str">
        <f>IF(AE16=0,"",IF(ABS((AH16/AE16)-1)&gt;10000%,"N/A",(AH16/AE16)-1))</f>
        <v/>
      </c>
      <c r="AK16" s="3095">
        <f>SUM(AK12:AK14)</f>
        <v>0</v>
      </c>
      <c r="AL16" s="3097" t="str">
        <f>IF(AK$12=0,"",ABS(AK16)/AK$12)</f>
        <v/>
      </c>
      <c r="AM16" s="3096" t="str">
        <f>IF(AH16=0,"",IF(ABS((AK16/AH16)-1)&gt;10000%,"N/A",(AK16/AH16)-1))</f>
        <v/>
      </c>
      <c r="AN16" s="3095">
        <f>SUM(AN12:AN14)</f>
        <v>0</v>
      </c>
      <c r="AO16" s="3097" t="str">
        <f>IF(AN$12=0,"",ABS(AN16)/AN$12)</f>
        <v/>
      </c>
      <c r="AP16" s="3096" t="str">
        <f>IF(AK16=0,"",IF(ABS((AN16/AK16)-1)&gt;10000%,"N/A",(AN16/AK16)-1))</f>
        <v/>
      </c>
      <c r="AQ16" s="3095">
        <f>SUM(AQ12:AQ14)</f>
        <v>0</v>
      </c>
      <c r="AR16" s="3097" t="str">
        <f>IF(AQ$12=0,"",ABS(AQ16)/AQ$12)</f>
        <v/>
      </c>
      <c r="AS16" s="3096" t="str">
        <f>IF(AN16=0,"",IF(ABS((AQ16/AN16)-1)&gt;10000%,"N/A",(AQ16/AN16)-1))</f>
        <v/>
      </c>
      <c r="AT16" s="3095">
        <f>SUM(AT12:AT14)</f>
        <v>0</v>
      </c>
      <c r="AU16" s="3097" t="str">
        <f>IF(AT$12=0,"",ABS(AT16)/AT$12)</f>
        <v/>
      </c>
      <c r="AV16" s="3096" t="str">
        <f>IF(AQ16=0,"",IF(ABS((AT16/AQ16)-1)&gt;10000%,"N/A",(AT16/AQ16)-1))</f>
        <v/>
      </c>
    </row>
    <row r="17" spans="1:48" ht="12.5">
      <c r="A17" s="3090"/>
      <c r="B17" s="3091"/>
      <c r="C17" s="3092"/>
      <c r="D17" s="3091"/>
      <c r="E17" s="3093"/>
      <c r="F17" s="3092"/>
      <c r="G17" s="3091"/>
      <c r="H17" s="3093"/>
      <c r="I17" s="3092"/>
      <c r="J17" s="3091"/>
      <c r="K17" s="3093"/>
      <c r="L17" s="3092"/>
      <c r="M17" s="3091"/>
      <c r="N17" s="3093"/>
      <c r="O17" s="3092"/>
      <c r="P17" s="3091"/>
      <c r="Q17" s="3093"/>
      <c r="R17" s="3092"/>
      <c r="S17" s="3091"/>
      <c r="T17" s="3093"/>
      <c r="U17" s="3092"/>
      <c r="V17" s="3091"/>
      <c r="W17" s="3093"/>
      <c r="X17" s="3092"/>
      <c r="Y17" s="3091"/>
      <c r="Z17" s="3093"/>
      <c r="AA17" s="3092"/>
      <c r="AB17" s="3091"/>
      <c r="AC17" s="3093"/>
      <c r="AD17" s="3092"/>
      <c r="AE17" s="3091"/>
      <c r="AF17" s="3093"/>
      <c r="AG17" s="3092"/>
      <c r="AH17" s="3091"/>
      <c r="AI17" s="3093"/>
      <c r="AJ17" s="3092"/>
      <c r="AK17" s="3091"/>
      <c r="AL17" s="3093"/>
      <c r="AM17" s="3092"/>
      <c r="AN17" s="3091"/>
      <c r="AO17" s="3093"/>
      <c r="AP17" s="3092"/>
      <c r="AQ17" s="3091"/>
      <c r="AR17" s="3093"/>
      <c r="AS17" s="3092"/>
      <c r="AT17" s="3091"/>
      <c r="AU17" s="3093"/>
      <c r="AV17" s="3092"/>
    </row>
    <row r="18" spans="1:48" ht="15.5">
      <c r="A18" s="3089" t="s">
        <v>2013</v>
      </c>
      <c r="B18" s="3086">
        <f>-(B12*B211)</f>
        <v>0</v>
      </c>
      <c r="C18" s="3087" t="str">
        <f>IF(B$12=0,"",ABS(B18)/B$12)</f>
        <v/>
      </c>
      <c r="D18" s="3086">
        <f>-(D12*D211)</f>
        <v>0</v>
      </c>
      <c r="E18" s="3088" t="str">
        <f>IF(D$12=0,"",ABS(D18)/D$12)</f>
        <v/>
      </c>
      <c r="F18" s="3087" t="str">
        <f>IF(B18=0,"",IF(ABS((D18/B18)-1)&gt;10000%,"N/A",(D18/B18)-1))</f>
        <v/>
      </c>
      <c r="G18" s="3086">
        <f>-(G12*G211)</f>
        <v>0</v>
      </c>
      <c r="H18" s="3088" t="str">
        <f>IF(G$12=0,"",ABS(G18)/G$12)</f>
        <v/>
      </c>
      <c r="I18" s="3087" t="str">
        <f>IF(D18=0,"",IF(ABS((G18/D18)-1)&gt;10000%,"N/A",(G18/D18)-1))</f>
        <v/>
      </c>
      <c r="J18" s="3086">
        <f>-(J12*J211)</f>
        <v>0</v>
      </c>
      <c r="K18" s="3088" t="str">
        <f>IF(J$12=0,"",ABS(J18)/J$12)</f>
        <v/>
      </c>
      <c r="L18" s="3087" t="str">
        <f>IF(G18=0,"",IF(ABS((J18/G18)-1)&gt;10000%,"N/A",(J18/G18)-1))</f>
        <v/>
      </c>
      <c r="M18" s="3086">
        <f>-(M12*M211)</f>
        <v>0</v>
      </c>
      <c r="N18" s="3088" t="str">
        <f>IF(M$12=0,"",ABS(M18)/M$12)</f>
        <v/>
      </c>
      <c r="O18" s="3087" t="str">
        <f>IF(J18=0,"",IF(ABS((M18/J18)-1)&gt;10000%,"N/A",(M18/J18)-1))</f>
        <v/>
      </c>
      <c r="P18" s="3086">
        <f>-(P12*P211)</f>
        <v>0</v>
      </c>
      <c r="Q18" s="3088" t="str">
        <f>IF(P$12=0,"",ABS(P18)/P$12)</f>
        <v/>
      </c>
      <c r="R18" s="3087" t="str">
        <f>IF(M18=0,"",IF(ABS((P18/M18)-1)&gt;10000%,"N/A",(P18/M18)-1))</f>
        <v/>
      </c>
      <c r="S18" s="3086">
        <f>-(S12*S211)</f>
        <v>0</v>
      </c>
      <c r="T18" s="3088" t="str">
        <f>IF(S$12=0,"",ABS(S18)/S$12)</f>
        <v/>
      </c>
      <c r="U18" s="3087" t="str">
        <f>IF(P18=0,"",IF(ABS((S18/P18)-1)&gt;10000%,"N/A",(S18/P18)-1))</f>
        <v/>
      </c>
      <c r="V18" s="3086">
        <f>-(V12*V211)</f>
        <v>0</v>
      </c>
      <c r="W18" s="3088" t="str">
        <f>IF(V$12=0,"",ABS(V18)/V$12)</f>
        <v/>
      </c>
      <c r="X18" s="3087" t="str">
        <f>IF(S18=0,"",IF(ABS((V18/S18)-1)&gt;10000%,"N/A",(V18/S18)-1))</f>
        <v/>
      </c>
      <c r="Y18" s="3086">
        <f>-(Y12*Y211)</f>
        <v>0</v>
      </c>
      <c r="Z18" s="3088" t="str">
        <f>IF(Y$12=0,"",ABS(Y18)/Y$12)</f>
        <v/>
      </c>
      <c r="AA18" s="3087" t="str">
        <f>IF(V18=0,"",IF(ABS((Y18/V18)-1)&gt;10000%,"N/A",(Y18/V18)-1))</f>
        <v/>
      </c>
      <c r="AB18" s="3086">
        <f>-(AB12*AB211)</f>
        <v>0</v>
      </c>
      <c r="AC18" s="3088" t="str">
        <f>IF(AB$12=0,"",ABS(AB18)/AB$12)</f>
        <v/>
      </c>
      <c r="AD18" s="3087" t="str">
        <f>IF(Y18=0,"",IF(ABS((AB18/Y18)-1)&gt;10000%,"N/A",(AB18/Y18)-1))</f>
        <v/>
      </c>
      <c r="AE18" s="3086">
        <f>-(AE12*AE211)</f>
        <v>0</v>
      </c>
      <c r="AF18" s="3088" t="str">
        <f>IF(AE$12=0,"",ABS(AE18)/AE$12)</f>
        <v/>
      </c>
      <c r="AG18" s="3087" t="str">
        <f>IF(AB18=0,"",IF(ABS((AE18/AB18)-1)&gt;10000%,"N/A",(AE18/AB18)-1))</f>
        <v/>
      </c>
      <c r="AH18" s="3086">
        <f>-(AH12*AH211)</f>
        <v>0</v>
      </c>
      <c r="AI18" s="3088" t="str">
        <f>IF(AH$12=0,"",ABS(AH18)/AH$12)</f>
        <v/>
      </c>
      <c r="AJ18" s="3087" t="str">
        <f>IF(AE18=0,"",IF(ABS((AH18/AE18)-1)&gt;10000%,"N/A",(AH18/AE18)-1))</f>
        <v/>
      </c>
      <c r="AK18" s="3086">
        <f>-(AK12*AK211)</f>
        <v>0</v>
      </c>
      <c r="AL18" s="3088" t="str">
        <f>IF(AK$12=0,"",ABS(AK18)/AK$12)</f>
        <v/>
      </c>
      <c r="AM18" s="3087" t="str">
        <f>IF(AH18=0,"",IF(ABS((AK18/AH18)-1)&gt;10000%,"N/A",(AK18/AH18)-1))</f>
        <v/>
      </c>
      <c r="AN18" s="3086">
        <f>-(AN12*AN211)</f>
        <v>0</v>
      </c>
      <c r="AO18" s="3088" t="str">
        <f>IF(AN$12=0,"",ABS(AN18)/AN$12)</f>
        <v/>
      </c>
      <c r="AP18" s="3087" t="str">
        <f>IF(AK18=0,"",IF(ABS((AN18/AK18)-1)&gt;10000%,"N/A",(AN18/AK18)-1))</f>
        <v/>
      </c>
      <c r="AQ18" s="3086">
        <f>-(AQ12*AQ211)</f>
        <v>0</v>
      </c>
      <c r="AR18" s="3088" t="str">
        <f>IF(AQ$12=0,"",ABS(AQ18)/AQ$12)</f>
        <v/>
      </c>
      <c r="AS18" s="3087" t="str">
        <f>IF(AN18=0,"",IF(ABS((AQ18/AN18)-1)&gt;10000%,"N/A",(AQ18/AN18)-1))</f>
        <v/>
      </c>
      <c r="AT18" s="3086">
        <f>-(AT12*AT211)</f>
        <v>0</v>
      </c>
      <c r="AU18" s="3088" t="str">
        <f>IF(AT$12=0,"",ABS(AT18)/AT$12)</f>
        <v/>
      </c>
      <c r="AV18" s="3087" t="str">
        <f>IF(AQ18=0,"",IF(ABS((AT18/AQ18)-1)&gt;10000%,"N/A",(AT18/AQ18)-1))</f>
        <v/>
      </c>
    </row>
    <row r="19" spans="1:48" ht="15.5">
      <c r="A19" s="3089" t="s">
        <v>2014</v>
      </c>
      <c r="B19" s="3086">
        <f>-(B12*B212)</f>
        <v>0</v>
      </c>
      <c r="C19" s="3087" t="str">
        <f>IF(B$12=0,"",ABS(B19)/B$12)</f>
        <v/>
      </c>
      <c r="D19" s="3086">
        <f>-(D12*D212)</f>
        <v>0</v>
      </c>
      <c r="E19" s="3088" t="str">
        <f>IF(D$12=0,"",ABS(D19)/D$12)</f>
        <v/>
      </c>
      <c r="F19" s="3087" t="str">
        <f>IF(B19=0,"",IF(ABS((D19/B19)-1)&gt;10000%,"N/A",(D19/B19)-1))</f>
        <v/>
      </c>
      <c r="G19" s="3086">
        <f>-(G12*G212)</f>
        <v>0</v>
      </c>
      <c r="H19" s="3088" t="str">
        <f>IF(G$12=0,"",ABS(G19)/G$12)</f>
        <v/>
      </c>
      <c r="I19" s="3087" t="str">
        <f>IF(D19=0,"",IF(ABS((G19/D19)-1)&gt;10000%,"N/A",(G19/D19)-1))</f>
        <v/>
      </c>
      <c r="J19" s="3086">
        <f>-(J12*J212)</f>
        <v>0</v>
      </c>
      <c r="K19" s="3088" t="str">
        <f>IF(J$12=0,"",ABS(J19)/J$12)</f>
        <v/>
      </c>
      <c r="L19" s="3087" t="str">
        <f>IF(G19=0,"",IF(ABS((J19/G19)-1)&gt;10000%,"N/A",(J19/G19)-1))</f>
        <v/>
      </c>
      <c r="M19" s="3086">
        <f>-(M12*M212)</f>
        <v>0</v>
      </c>
      <c r="N19" s="3088" t="str">
        <f>IF(M$12=0,"",ABS(M19)/M$12)</f>
        <v/>
      </c>
      <c r="O19" s="3087" t="str">
        <f>IF(J19=0,"",IF(ABS((M19/J19)-1)&gt;10000%,"N/A",(M19/J19)-1))</f>
        <v/>
      </c>
      <c r="P19" s="3086">
        <f>-(P12*P212)</f>
        <v>0</v>
      </c>
      <c r="Q19" s="3088" t="str">
        <f>IF(P$12=0,"",ABS(P19)/P$12)</f>
        <v/>
      </c>
      <c r="R19" s="3087" t="str">
        <f>IF(M19=0,"",IF(ABS((P19/M19)-1)&gt;10000%,"N/A",(P19/M19)-1))</f>
        <v/>
      </c>
      <c r="S19" s="3086">
        <f>-(S12*S212)</f>
        <v>0</v>
      </c>
      <c r="T19" s="3088" t="str">
        <f>IF(S$12=0,"",ABS(S19)/S$12)</f>
        <v/>
      </c>
      <c r="U19" s="3087" t="str">
        <f>IF(P19=0,"",IF(ABS((S19/P19)-1)&gt;10000%,"N/A",(S19/P19)-1))</f>
        <v/>
      </c>
      <c r="V19" s="3086">
        <f>-(V12*V212)</f>
        <v>0</v>
      </c>
      <c r="W19" s="3088" t="str">
        <f>IF(V$12=0,"",ABS(V19)/V$12)</f>
        <v/>
      </c>
      <c r="X19" s="3087" t="str">
        <f>IF(S19=0,"",IF(ABS((V19/S19)-1)&gt;10000%,"N/A",(V19/S19)-1))</f>
        <v/>
      </c>
      <c r="Y19" s="3086">
        <f>-(Y12*Y212)</f>
        <v>0</v>
      </c>
      <c r="Z19" s="3088" t="str">
        <f>IF(Y$12=0,"",ABS(Y19)/Y$12)</f>
        <v/>
      </c>
      <c r="AA19" s="3087" t="str">
        <f>IF(V19=0,"",IF(ABS((Y19/V19)-1)&gt;10000%,"N/A",(Y19/V19)-1))</f>
        <v/>
      </c>
      <c r="AB19" s="3086">
        <f>-(AB12*AB212)</f>
        <v>0</v>
      </c>
      <c r="AC19" s="3088" t="str">
        <f>IF(AB$12=0,"",ABS(AB19)/AB$12)</f>
        <v/>
      </c>
      <c r="AD19" s="3087" t="str">
        <f>IF(Y19=0,"",IF(ABS((AB19/Y19)-1)&gt;10000%,"N/A",(AB19/Y19)-1))</f>
        <v/>
      </c>
      <c r="AE19" s="3086">
        <f>-(AE12*AE212)</f>
        <v>0</v>
      </c>
      <c r="AF19" s="3088" t="str">
        <f>IF(AE$12=0,"",ABS(AE19)/AE$12)</f>
        <v/>
      </c>
      <c r="AG19" s="3087" t="str">
        <f>IF(AB19=0,"",IF(ABS((AE19/AB19)-1)&gt;10000%,"N/A",(AE19/AB19)-1))</f>
        <v/>
      </c>
      <c r="AH19" s="3086">
        <f>-(AH12*AH212)</f>
        <v>0</v>
      </c>
      <c r="AI19" s="3088" t="str">
        <f>IF(AH$12=0,"",ABS(AH19)/AH$12)</f>
        <v/>
      </c>
      <c r="AJ19" s="3087" t="str">
        <f>IF(AE19=0,"",IF(ABS((AH19/AE19)-1)&gt;10000%,"N/A",(AH19/AE19)-1))</f>
        <v/>
      </c>
      <c r="AK19" s="3086">
        <f>-(AK12*AK212)</f>
        <v>0</v>
      </c>
      <c r="AL19" s="3088" t="str">
        <f>IF(AK$12=0,"",ABS(AK19)/AK$12)</f>
        <v/>
      </c>
      <c r="AM19" s="3087" t="str">
        <f>IF(AH19=0,"",IF(ABS((AK19/AH19)-1)&gt;10000%,"N/A",(AK19/AH19)-1))</f>
        <v/>
      </c>
      <c r="AN19" s="3086">
        <f>-(AN12*AN212)</f>
        <v>0</v>
      </c>
      <c r="AO19" s="3088" t="str">
        <f>IF(AN$12=0,"",ABS(AN19)/AN$12)</f>
        <v/>
      </c>
      <c r="AP19" s="3087" t="str">
        <f>IF(AK19=0,"",IF(ABS((AN19/AK19)-1)&gt;10000%,"N/A",(AN19/AK19)-1))</f>
        <v/>
      </c>
      <c r="AQ19" s="3086">
        <f>-(AQ12*AQ212)</f>
        <v>0</v>
      </c>
      <c r="AR19" s="3088" t="str">
        <f>IF(AQ$12=0,"",ABS(AQ19)/AQ$12)</f>
        <v/>
      </c>
      <c r="AS19" s="3087" t="str">
        <f>IF(AN19=0,"",IF(ABS((AQ19/AN19)-1)&gt;10000%,"N/A",(AQ19/AN19)-1))</f>
        <v/>
      </c>
      <c r="AT19" s="3086">
        <f>-(AT12*AT212)</f>
        <v>0</v>
      </c>
      <c r="AU19" s="3088" t="str">
        <f>IF(AT$12=0,"",ABS(AT19)/AT$12)</f>
        <v/>
      </c>
      <c r="AV19" s="3087" t="str">
        <f>IF(AQ19=0,"",IF(ABS((AT19/AQ19)-1)&gt;10000%,"N/A",(AT19/AQ19)-1))</f>
        <v/>
      </c>
    </row>
    <row r="20" spans="1:48" ht="12.5">
      <c r="A20" s="3090"/>
      <c r="B20" s="3091"/>
      <c r="C20" s="3092"/>
      <c r="D20" s="3091"/>
      <c r="E20" s="3093"/>
      <c r="F20" s="3092"/>
      <c r="G20" s="3091"/>
      <c r="H20" s="3093"/>
      <c r="I20" s="3092"/>
      <c r="J20" s="3091"/>
      <c r="K20" s="3093"/>
      <c r="L20" s="3092"/>
      <c r="M20" s="3091"/>
      <c r="N20" s="3093"/>
      <c r="O20" s="3092"/>
      <c r="P20" s="3091"/>
      <c r="Q20" s="3093"/>
      <c r="R20" s="3092"/>
      <c r="S20" s="3091"/>
      <c r="T20" s="3093"/>
      <c r="U20" s="3092"/>
      <c r="V20" s="3091"/>
      <c r="W20" s="3093"/>
      <c r="X20" s="3092"/>
      <c r="Y20" s="3091"/>
      <c r="Z20" s="3093"/>
      <c r="AA20" s="3092"/>
      <c r="AB20" s="3091"/>
      <c r="AC20" s="3093"/>
      <c r="AD20" s="3092"/>
      <c r="AE20" s="3091"/>
      <c r="AF20" s="3093"/>
      <c r="AG20" s="3092"/>
      <c r="AH20" s="3091"/>
      <c r="AI20" s="3093"/>
      <c r="AJ20" s="3092"/>
      <c r="AK20" s="3091"/>
      <c r="AL20" s="3093"/>
      <c r="AM20" s="3092"/>
      <c r="AN20" s="3091"/>
      <c r="AO20" s="3093"/>
      <c r="AP20" s="3092"/>
      <c r="AQ20" s="3091"/>
      <c r="AR20" s="3093"/>
      <c r="AS20" s="3092"/>
      <c r="AT20" s="3091"/>
      <c r="AU20" s="3093"/>
      <c r="AV20" s="3092"/>
    </row>
    <row r="21" spans="1:48" ht="15.5">
      <c r="A21" s="3094" t="s">
        <v>2015</v>
      </c>
      <c r="B21" s="3095">
        <f>SUM(B16,B18:B19)</f>
        <v>0</v>
      </c>
      <c r="C21" s="3096" t="str">
        <f>IF(B$12=0,"",ABS(B21)/B$12)</f>
        <v/>
      </c>
      <c r="D21" s="3095">
        <f>SUM(D16,D18:D19)</f>
        <v>0</v>
      </c>
      <c r="E21" s="3097" t="str">
        <f>IF(D$12=0,"",ABS(D21)/D$12)</f>
        <v/>
      </c>
      <c r="F21" s="3096" t="str">
        <f>IF(B21=0,"",IF(ABS((D21/B21)-1)&gt;10000%,"N/A",(D21/B21)-1))</f>
        <v/>
      </c>
      <c r="G21" s="3095">
        <f>SUM(G16,G18:G19)</f>
        <v>0</v>
      </c>
      <c r="H21" s="3097" t="str">
        <f>IF(G$12=0,"",ABS(G21)/G$12)</f>
        <v/>
      </c>
      <c r="I21" s="3096" t="str">
        <f>IF(D21=0,"",IF(ABS((G21/D21)-1)&gt;10000%,"N/A",(G21/D21)-1))</f>
        <v/>
      </c>
      <c r="J21" s="3095">
        <f>SUM(J16,J18:J19)</f>
        <v>0</v>
      </c>
      <c r="K21" s="3097" t="str">
        <f>IF(J$12=0,"",ABS(J21)/J$12)</f>
        <v/>
      </c>
      <c r="L21" s="3096" t="str">
        <f>IF(G21=0,"",IF(ABS((J21/G21)-1)&gt;10000%,"N/A",(J21/G21)-1))</f>
        <v/>
      </c>
      <c r="M21" s="3095">
        <f>SUM(M16,M18:M19)</f>
        <v>0</v>
      </c>
      <c r="N21" s="3097" t="str">
        <f>IF(M$12=0,"",ABS(M21)/M$12)</f>
        <v/>
      </c>
      <c r="O21" s="3096" t="str">
        <f>IF(J21=0,"",IF(ABS((M21/J21)-1)&gt;10000%,"N/A",(M21/J21)-1))</f>
        <v/>
      </c>
      <c r="P21" s="3098">
        <f>SUM(P16,P18:P19)</f>
        <v>0</v>
      </c>
      <c r="Q21" s="3097" t="str">
        <f>IF(P$12=0,"",ABS(P21)/P$12)</f>
        <v/>
      </c>
      <c r="R21" s="3096" t="str">
        <f>IF(M21=0,"",IF(ABS((P21/M21)-1)&gt;10000%,"N/A",(P21/M21)-1))</f>
        <v/>
      </c>
      <c r="S21" s="3095">
        <f>SUM(S16,S18:S19)</f>
        <v>0</v>
      </c>
      <c r="T21" s="3097" t="str">
        <f>IF(S$12=0,"",ABS(S21)/S$12)</f>
        <v/>
      </c>
      <c r="U21" s="3096" t="str">
        <f>IF(P21=0,"",IF(ABS((S21/P21)-1)&gt;10000%,"N/A",(S21/P21)-1))</f>
        <v/>
      </c>
      <c r="V21" s="3095">
        <f>SUM(V16,V18:V19)</f>
        <v>0</v>
      </c>
      <c r="W21" s="3097" t="str">
        <f>IF(V$12=0,"",ABS(V21)/V$12)</f>
        <v/>
      </c>
      <c r="X21" s="3096" t="str">
        <f>IF(S21=0,"",IF(ABS((V21/S21)-1)&gt;10000%,"N/A",(V21/S21)-1))</f>
        <v/>
      </c>
      <c r="Y21" s="3095">
        <f>SUM(Y16,Y18:Y19)</f>
        <v>0</v>
      </c>
      <c r="Z21" s="3097" t="str">
        <f>IF(Y$12=0,"",ABS(Y21)/Y$12)</f>
        <v/>
      </c>
      <c r="AA21" s="3096" t="str">
        <f>IF(V21=0,"",IF(ABS((Y21/V21)-1)&gt;10000%,"N/A",(Y21/V21)-1))</f>
        <v/>
      </c>
      <c r="AB21" s="3095">
        <f>SUM(AB16,AB18:AB19)</f>
        <v>0</v>
      </c>
      <c r="AC21" s="3097" t="str">
        <f>IF(AB$12=0,"",ABS(AB21)/AB$12)</f>
        <v/>
      </c>
      <c r="AD21" s="3096" t="str">
        <f>IF(Y21=0,"",IF(ABS((AB21/Y21)-1)&gt;10000%,"N/A",(AB21/Y21)-1))</f>
        <v/>
      </c>
      <c r="AE21" s="3095">
        <f>SUM(AE16,AE18:AE19)</f>
        <v>0</v>
      </c>
      <c r="AF21" s="3097" t="str">
        <f>IF(AE$12=0,"",ABS(AE21)/AE$12)</f>
        <v/>
      </c>
      <c r="AG21" s="3096" t="str">
        <f>IF(AB21=0,"",IF(ABS((AE21/AB21)-1)&gt;10000%,"N/A",(AE21/AB21)-1))</f>
        <v/>
      </c>
      <c r="AH21" s="3095">
        <f>SUM(AH16,AH18:AH19)</f>
        <v>0</v>
      </c>
      <c r="AI21" s="3097" t="str">
        <f>IF(AH$12=0,"",ABS(AH21)/AH$12)</f>
        <v/>
      </c>
      <c r="AJ21" s="3096" t="str">
        <f>IF(AE21=0,"",IF(ABS((AH21/AE21)-1)&gt;10000%,"N/A",(AH21/AE21)-1))</f>
        <v/>
      </c>
      <c r="AK21" s="3095">
        <f>SUM(AK16,AK18:AK19)</f>
        <v>0</v>
      </c>
      <c r="AL21" s="3097" t="str">
        <f>IF(AK$12=0,"",ABS(AK21)/AK$12)</f>
        <v/>
      </c>
      <c r="AM21" s="3096" t="str">
        <f>IF(AH21=0,"",IF(ABS((AK21/AH21)-1)&gt;10000%,"N/A",(AK21/AH21)-1))</f>
        <v/>
      </c>
      <c r="AN21" s="3095">
        <f>SUM(AN16,AN18:AN19)</f>
        <v>0</v>
      </c>
      <c r="AO21" s="3097" t="str">
        <f>IF(AN$12=0,"",ABS(AN21)/AN$12)</f>
        <v/>
      </c>
      <c r="AP21" s="3096" t="str">
        <f>IF(AK21=0,"",IF(ABS((AN21/AK21)-1)&gt;10000%,"N/A",(AN21/AK21)-1))</f>
        <v/>
      </c>
      <c r="AQ21" s="3095">
        <f>SUM(AQ16,AQ18:AQ19)</f>
        <v>0</v>
      </c>
      <c r="AR21" s="3097" t="str">
        <f>IF(AQ$12=0,"",ABS(AQ21)/AQ$12)</f>
        <v/>
      </c>
      <c r="AS21" s="3096" t="str">
        <f>IF(AN21=0,"",IF(ABS((AQ21/AN21)-1)&gt;10000%,"N/A",(AQ21/AN21)-1))</f>
        <v/>
      </c>
      <c r="AT21" s="3095">
        <f>SUM(AT16,AT18:AT19)</f>
        <v>0</v>
      </c>
      <c r="AU21" s="3097" t="str">
        <f>IF(AT$12=0,"",ABS(AT21)/AT$12)</f>
        <v/>
      </c>
      <c r="AV21" s="3096" t="str">
        <f>IF(AQ21=0,"",IF(ABS((AT21/AQ21)-1)&gt;10000%,"N/A",(AT21/AQ21)-1))</f>
        <v/>
      </c>
    </row>
    <row r="22" spans="1:48" ht="12.5">
      <c r="A22" s="3090"/>
      <c r="B22" s="3091"/>
      <c r="C22" s="3092"/>
      <c r="D22" s="3091"/>
      <c r="E22" s="3093"/>
      <c r="F22" s="3092"/>
      <c r="G22" s="3091"/>
      <c r="H22" s="3093"/>
      <c r="I22" s="3092"/>
      <c r="J22" s="3091"/>
      <c r="K22" s="3093"/>
      <c r="L22" s="3092"/>
      <c r="M22" s="3091"/>
      <c r="N22" s="3093"/>
      <c r="O22" s="3092"/>
      <c r="P22" s="3091"/>
      <c r="Q22" s="3093"/>
      <c r="R22" s="3092"/>
      <c r="S22" s="3091"/>
      <c r="T22" s="3093"/>
      <c r="U22" s="3092"/>
      <c r="V22" s="3091"/>
      <c r="W22" s="3093"/>
      <c r="X22" s="3092"/>
      <c r="Y22" s="3091"/>
      <c r="Z22" s="3093"/>
      <c r="AA22" s="3092"/>
      <c r="AB22" s="3091"/>
      <c r="AC22" s="3093"/>
      <c r="AD22" s="3092"/>
      <c r="AE22" s="3091"/>
      <c r="AF22" s="3093"/>
      <c r="AG22" s="3092"/>
      <c r="AH22" s="3091"/>
      <c r="AI22" s="3093"/>
      <c r="AJ22" s="3092"/>
      <c r="AK22" s="3091"/>
      <c r="AL22" s="3093"/>
      <c r="AM22" s="3092"/>
      <c r="AN22" s="3091"/>
      <c r="AO22" s="3093"/>
      <c r="AP22" s="3092"/>
      <c r="AQ22" s="3091"/>
      <c r="AR22" s="3093"/>
      <c r="AS22" s="3092"/>
      <c r="AT22" s="3091"/>
      <c r="AU22" s="3093"/>
      <c r="AV22" s="3092"/>
    </row>
    <row r="23" spans="1:48" ht="15.5">
      <c r="A23" s="3089" t="s">
        <v>2016</v>
      </c>
      <c r="B23" s="3086">
        <f>-B216</f>
        <v>0</v>
      </c>
      <c r="C23" s="3087" t="str">
        <f>IF(B$12=0,"",ABS(B23)/B$12)</f>
        <v/>
      </c>
      <c r="D23" s="3086">
        <f>-D216</f>
        <v>0</v>
      </c>
      <c r="E23" s="3088" t="str">
        <f>IF(D$12=0,"",ABS(D23)/D$12)</f>
        <v/>
      </c>
      <c r="F23" s="3087" t="str">
        <f>IF(B23=0,"",IF(ABS((D23/B23)-1)&gt;10000%,"N/A",(D23/B23)-1))</f>
        <v/>
      </c>
      <c r="G23" s="3086">
        <f>-G216</f>
        <v>0</v>
      </c>
      <c r="H23" s="3088" t="str">
        <f>IF(G$12=0,"",ABS(G23)/G$12)</f>
        <v/>
      </c>
      <c r="I23" s="3087" t="str">
        <f>IF(D23=0,"",IF(ABS((G23/D23)-1)&gt;10000%,"N/A",(G23/D23)-1))</f>
        <v/>
      </c>
      <c r="J23" s="3086">
        <f>-J216</f>
        <v>0</v>
      </c>
      <c r="K23" s="3088" t="str">
        <f>IF(J$12=0,"",ABS(J23)/J$12)</f>
        <v/>
      </c>
      <c r="L23" s="3087" t="str">
        <f>IF(G23=0,"",IF(ABS((J23/G23)-1)&gt;10000%,"N/A",(J23/G23)-1))</f>
        <v/>
      </c>
      <c r="M23" s="3086">
        <f>-M216</f>
        <v>0</v>
      </c>
      <c r="N23" s="3088" t="str">
        <f>IF(M$12=0,"",ABS(M23)/M$12)</f>
        <v/>
      </c>
      <c r="O23" s="3087" t="str">
        <f>IF(J23=0,"",IF(ABS((M23/J23)-1)&gt;10000%,"N/A",(M23/J23)-1))</f>
        <v/>
      </c>
      <c r="P23" s="3086">
        <f>-P216</f>
        <v>0</v>
      </c>
      <c r="Q23" s="3088" t="str">
        <f>IF(P$12=0,"",ABS(P23)/P$12)</f>
        <v/>
      </c>
      <c r="R23" s="3087" t="str">
        <f>IF(M23=0,"",IF(ABS((P23/M23)-1)&gt;10000%,"N/A",(P23/M23)-1))</f>
        <v/>
      </c>
      <c r="S23" s="3086">
        <f>-S216</f>
        <v>0</v>
      </c>
      <c r="T23" s="3088" t="str">
        <f>IF(S$12=0,"",ABS(S23)/S$12)</f>
        <v/>
      </c>
      <c r="U23" s="3087" t="str">
        <f>IF(P23=0,"",IF(ABS((S23/P23)-1)&gt;10000%,"N/A",(S23/P23)-1))</f>
        <v/>
      </c>
      <c r="V23" s="3086">
        <f>-V216</f>
        <v>0</v>
      </c>
      <c r="W23" s="3088" t="str">
        <f>IF(V$12=0,"",ABS(V23)/V$12)</f>
        <v/>
      </c>
      <c r="X23" s="3087" t="str">
        <f>IF(S23=0,"",IF(ABS((V23/S23)-1)&gt;10000%,"N/A",(V23/S23)-1))</f>
        <v/>
      </c>
      <c r="Y23" s="3086">
        <f>-Y216</f>
        <v>0</v>
      </c>
      <c r="Z23" s="3088" t="str">
        <f>IF(Y$12=0,"",ABS(Y23)/Y$12)</f>
        <v/>
      </c>
      <c r="AA23" s="3087" t="str">
        <f>IF(V23=0,"",IF(ABS((Y23/V23)-1)&gt;10000%,"N/A",(Y23/V23)-1))</f>
        <v/>
      </c>
      <c r="AB23" s="3086">
        <f>-AB216</f>
        <v>0</v>
      </c>
      <c r="AC23" s="3088" t="str">
        <f>IF(AB$12=0,"",ABS(AB23)/AB$12)</f>
        <v/>
      </c>
      <c r="AD23" s="3087" t="str">
        <f>IF(Y23=0,"",IF(ABS((AB23/Y23)-1)&gt;10000%,"N/A",(AB23/Y23)-1))</f>
        <v/>
      </c>
      <c r="AE23" s="3086">
        <f>-AE216</f>
        <v>0</v>
      </c>
      <c r="AF23" s="3088" t="str">
        <f>IF(AE$12=0,"",ABS(AE23)/AE$12)</f>
        <v/>
      </c>
      <c r="AG23" s="3087" t="str">
        <f>IF(AB23=0,"",IF(ABS((AE23/AB23)-1)&gt;10000%,"N/A",(AE23/AB23)-1))</f>
        <v/>
      </c>
      <c r="AH23" s="3086">
        <f>-AH216</f>
        <v>0</v>
      </c>
      <c r="AI23" s="3088" t="str">
        <f>IF(AH$12=0,"",ABS(AH23)/AH$12)</f>
        <v/>
      </c>
      <c r="AJ23" s="3087" t="str">
        <f>IF(AE23=0,"",IF(ABS((AH23/AE23)-1)&gt;10000%,"N/A",(AH23/AE23)-1))</f>
        <v/>
      </c>
      <c r="AK23" s="3086">
        <f>-AK216</f>
        <v>0</v>
      </c>
      <c r="AL23" s="3088" t="str">
        <f>IF(AK$12=0,"",ABS(AK23)/AK$12)</f>
        <v/>
      </c>
      <c r="AM23" s="3087" t="str">
        <f>IF(AH23=0,"",IF(ABS((AK23/AH23)-1)&gt;10000%,"N/A",(AK23/AH23)-1))</f>
        <v/>
      </c>
      <c r="AN23" s="3086">
        <f>-AN216</f>
        <v>0</v>
      </c>
      <c r="AO23" s="3088" t="str">
        <f>IF(AN$12=0,"",ABS(AN23)/AN$12)</f>
        <v/>
      </c>
      <c r="AP23" s="3087" t="str">
        <f>IF(AK23=0,"",IF(ABS((AN23/AK23)-1)&gt;10000%,"N/A",(AN23/AK23)-1))</f>
        <v/>
      </c>
      <c r="AQ23" s="3086">
        <f>-AQ216</f>
        <v>0</v>
      </c>
      <c r="AR23" s="3088" t="str">
        <f>IF(AQ$12=0,"",ABS(AQ23)/AQ$12)</f>
        <v/>
      </c>
      <c r="AS23" s="3087" t="str">
        <f>IF(AN23=0,"",IF(ABS((AQ23/AN23)-1)&gt;10000%,"N/A",(AQ23/AN23)-1))</f>
        <v/>
      </c>
      <c r="AT23" s="3086">
        <f>-AT216</f>
        <v>0</v>
      </c>
      <c r="AU23" s="3088" t="str">
        <f>IF(AT$12=0,"",ABS(AT23)/AT$12)</f>
        <v/>
      </c>
      <c r="AV23" s="3087" t="str">
        <f>IF(AQ23=0,"",IF(ABS((AT23/AQ23)-1)&gt;10000%,"N/A",(AT23/AQ23)-1))</f>
        <v/>
      </c>
    </row>
    <row r="24" spans="1:48" ht="15.5">
      <c r="A24" s="3089" t="s">
        <v>2017</v>
      </c>
      <c r="B24" s="3086">
        <f>B12*B217</f>
        <v>0</v>
      </c>
      <c r="C24" s="3087" t="str">
        <f>IF(B$12=0,"",ABS(B24)/B$12)</f>
        <v/>
      </c>
      <c r="D24" s="3086">
        <f>D12*D217</f>
        <v>0</v>
      </c>
      <c r="E24" s="3088" t="str">
        <f>IF(D$12=0,"",ABS(D24)/D$12)</f>
        <v/>
      </c>
      <c r="F24" s="3087" t="str">
        <f>IF(B24=0,"",IF(ABS((D24/B24)-1)&gt;10000%,"N/A",(D24/B24)-1))</f>
        <v/>
      </c>
      <c r="G24" s="3086">
        <f>G12*G217</f>
        <v>0</v>
      </c>
      <c r="H24" s="3088" t="str">
        <f>IF(G$12=0,"",ABS(G24)/G$12)</f>
        <v/>
      </c>
      <c r="I24" s="3087" t="str">
        <f>IF(D24=0,"",IF(ABS((G24/D24)-1)&gt;10000%,"N/A",(G24/D24)-1))</f>
        <v/>
      </c>
      <c r="J24" s="3086">
        <f>J12*J217</f>
        <v>0</v>
      </c>
      <c r="K24" s="3088" t="str">
        <f>IF(J$12=0,"",ABS(J24)/J$12)</f>
        <v/>
      </c>
      <c r="L24" s="3087" t="str">
        <f>IF(G24=0,"",IF(ABS((J24/G24)-1)&gt;10000%,"N/A",(J24/G24)-1))</f>
        <v/>
      </c>
      <c r="M24" s="3086">
        <f>M12*M217</f>
        <v>0</v>
      </c>
      <c r="N24" s="3088" t="str">
        <f>IF(M$12=0,"",ABS(M24)/M$12)</f>
        <v/>
      </c>
      <c r="O24" s="3087" t="str">
        <f>IF(J24=0,"",IF(ABS((M24/J24)-1)&gt;10000%,"N/A",(M24/J24)-1))</f>
        <v/>
      </c>
      <c r="P24" s="3086">
        <f>P12*P217</f>
        <v>0</v>
      </c>
      <c r="Q24" s="3088" t="str">
        <f>IF(P$12=0,"",ABS(P24)/P$12)</f>
        <v/>
      </c>
      <c r="R24" s="3087" t="str">
        <f>IF(M24=0,"",IF(ABS((P24/M24)-1)&gt;10000%,"N/A",(P24/M24)-1))</f>
        <v/>
      </c>
      <c r="S24" s="3086">
        <f>S12*S217</f>
        <v>0</v>
      </c>
      <c r="T24" s="3088" t="str">
        <f>IF(S$12=0,"",ABS(S24)/S$12)</f>
        <v/>
      </c>
      <c r="U24" s="3087" t="str">
        <f>IF(P24=0,"",IF(ABS((S24/P24)-1)&gt;10000%,"N/A",(S24/P24)-1))</f>
        <v/>
      </c>
      <c r="V24" s="3086">
        <f>V12*V217</f>
        <v>0</v>
      </c>
      <c r="W24" s="3088" t="str">
        <f>IF(V$12=0,"",ABS(V24)/V$12)</f>
        <v/>
      </c>
      <c r="X24" s="3087" t="str">
        <f>IF(S24=0,"",IF(ABS((V24/S24)-1)&gt;10000%,"N/A",(V24/S24)-1))</f>
        <v/>
      </c>
      <c r="Y24" s="3086">
        <f>Y12*Y217</f>
        <v>0</v>
      </c>
      <c r="Z24" s="3088" t="str">
        <f>IF(Y$12=0,"",ABS(Y24)/Y$12)</f>
        <v/>
      </c>
      <c r="AA24" s="3087" t="str">
        <f>IF(V24=0,"",IF(ABS((Y24/V24)-1)&gt;10000%,"N/A",(Y24/V24)-1))</f>
        <v/>
      </c>
      <c r="AB24" s="3086">
        <f>AB12*AB217</f>
        <v>0</v>
      </c>
      <c r="AC24" s="3088" t="str">
        <f>IF(AB$12=0,"",ABS(AB24)/AB$12)</f>
        <v/>
      </c>
      <c r="AD24" s="3087" t="str">
        <f>IF(Y24=0,"",IF(ABS((AB24/Y24)-1)&gt;10000%,"N/A",(AB24/Y24)-1))</f>
        <v/>
      </c>
      <c r="AE24" s="3086">
        <f>AE12*AE217</f>
        <v>0</v>
      </c>
      <c r="AF24" s="3088" t="str">
        <f>IF(AE$12=0,"",ABS(AE24)/AE$12)</f>
        <v/>
      </c>
      <c r="AG24" s="3087" t="str">
        <f>IF(AB24=0,"",IF(ABS((AE24/AB24)-1)&gt;10000%,"N/A",(AE24/AB24)-1))</f>
        <v/>
      </c>
      <c r="AH24" s="3086">
        <f>AH12*AH217</f>
        <v>0</v>
      </c>
      <c r="AI24" s="3088" t="str">
        <f>IF(AH$12=0,"",ABS(AH24)/AH$12)</f>
        <v/>
      </c>
      <c r="AJ24" s="3087" t="str">
        <f>IF(AE24=0,"",IF(ABS((AH24/AE24)-1)&gt;10000%,"N/A",(AH24/AE24)-1))</f>
        <v/>
      </c>
      <c r="AK24" s="3086">
        <f>AK12*AK217</f>
        <v>0</v>
      </c>
      <c r="AL24" s="3088" t="str">
        <f>IF(AK$12=0,"",ABS(AK24)/AK$12)</f>
        <v/>
      </c>
      <c r="AM24" s="3087" t="str">
        <f>IF(AH24=0,"",IF(ABS((AK24/AH24)-1)&gt;10000%,"N/A",(AK24/AH24)-1))</f>
        <v/>
      </c>
      <c r="AN24" s="3086">
        <f>AN12*AN217</f>
        <v>0</v>
      </c>
      <c r="AO24" s="3088" t="str">
        <f>IF(AN$12=0,"",ABS(AN24)/AN$12)</f>
        <v/>
      </c>
      <c r="AP24" s="3087" t="str">
        <f>IF(AK24=0,"",IF(ABS((AN24/AK24)-1)&gt;10000%,"N/A",(AN24/AK24)-1))</f>
        <v/>
      </c>
      <c r="AQ24" s="3086">
        <f>AQ12*AQ217</f>
        <v>0</v>
      </c>
      <c r="AR24" s="3088" t="str">
        <f>IF(AQ$12=0,"",ABS(AQ24)/AQ$12)</f>
        <v/>
      </c>
      <c r="AS24" s="3087" t="str">
        <f>IF(AN24=0,"",IF(ABS((AQ24/AN24)-1)&gt;10000%,"N/A",(AQ24/AN24)-1))</f>
        <v/>
      </c>
      <c r="AT24" s="3086">
        <f>AT12*AT217</f>
        <v>0</v>
      </c>
      <c r="AU24" s="3088" t="str">
        <f>IF(AT$12=0,"",ABS(AT24)/AT$12)</f>
        <v/>
      </c>
      <c r="AV24" s="3087" t="str">
        <f>IF(AQ24=0,"",IF(ABS((AT24/AQ24)-1)&gt;10000%,"N/A",(AT24/AQ24)-1))</f>
        <v/>
      </c>
    </row>
    <row r="25" spans="1:48" ht="15.5">
      <c r="A25" s="3089" t="s">
        <v>2018</v>
      </c>
      <c r="B25" s="3086">
        <f>B218</f>
        <v>0</v>
      </c>
      <c r="C25" s="3087" t="str">
        <f>IF(B$12=0,"",ABS(B25)/B$12)</f>
        <v/>
      </c>
      <c r="D25" s="3086">
        <f>D218</f>
        <v>0</v>
      </c>
      <c r="E25" s="3088" t="str">
        <f>IF(D$12=0,"",ABS(D25)/D$12)</f>
        <v/>
      </c>
      <c r="F25" s="3087" t="str">
        <f>IF(B25=0,"",IF(ABS((D25/B25)-1)&gt;10000%,"N/A",(D25/B25)-1))</f>
        <v/>
      </c>
      <c r="G25" s="3086">
        <f>G218</f>
        <v>0</v>
      </c>
      <c r="H25" s="3088" t="str">
        <f>IF(G$12=0,"",ABS(G25)/G$12)</f>
        <v/>
      </c>
      <c r="I25" s="3087" t="str">
        <f>IF(D25=0,"",IF(ABS((G25/D25)-1)&gt;10000%,"N/A",(G25/D25)-1))</f>
        <v/>
      </c>
      <c r="J25" s="3086">
        <f>J218</f>
        <v>0</v>
      </c>
      <c r="K25" s="3088" t="str">
        <f>IF(J$12=0,"",ABS(J25)/J$12)</f>
        <v/>
      </c>
      <c r="L25" s="3087" t="str">
        <f>IF(G25=0,"",IF(ABS((J25/G25)-1)&gt;10000%,"N/A",(J25/G25)-1))</f>
        <v/>
      </c>
      <c r="M25" s="3086">
        <f>M218</f>
        <v>0</v>
      </c>
      <c r="N25" s="3088" t="str">
        <f>IF(M$12=0,"",ABS(M25)/M$12)</f>
        <v/>
      </c>
      <c r="O25" s="3087" t="str">
        <f>IF(J25=0,"",IF(ABS((M25/J25)-1)&gt;10000%,"N/A",(M25/J25)-1))</f>
        <v/>
      </c>
      <c r="P25" s="3086">
        <f>P218</f>
        <v>0</v>
      </c>
      <c r="Q25" s="3088" t="str">
        <f>IF(P$12=0,"",ABS(P25)/P$12)</f>
        <v/>
      </c>
      <c r="R25" s="3087" t="str">
        <f>IF(M25=0,"",IF(ABS((P25/M25)-1)&gt;10000%,"N/A",(P25/M25)-1))</f>
        <v/>
      </c>
      <c r="S25" s="3086">
        <f>S218</f>
        <v>0</v>
      </c>
      <c r="T25" s="3088" t="str">
        <f>IF(S$12=0,"",ABS(S25)/S$12)</f>
        <v/>
      </c>
      <c r="U25" s="3087" t="str">
        <f>IF(P25=0,"",IF(ABS((S25/P25)-1)&gt;10000%,"N/A",(S25/P25)-1))</f>
        <v/>
      </c>
      <c r="V25" s="3086">
        <f>V218</f>
        <v>0</v>
      </c>
      <c r="W25" s="3088" t="str">
        <f>IF(V$12=0,"",ABS(V25)/V$12)</f>
        <v/>
      </c>
      <c r="X25" s="3087" t="str">
        <f>IF(S25=0,"",IF(ABS((V25/S25)-1)&gt;10000%,"N/A",(V25/S25)-1))</f>
        <v/>
      </c>
      <c r="Y25" s="3086">
        <f>Y218</f>
        <v>0</v>
      </c>
      <c r="Z25" s="3088" t="str">
        <f>IF(Y$12=0,"",ABS(Y25)/Y$12)</f>
        <v/>
      </c>
      <c r="AA25" s="3087" t="str">
        <f>IF(V25=0,"",IF(ABS((Y25/V25)-1)&gt;10000%,"N/A",(Y25/V25)-1))</f>
        <v/>
      </c>
      <c r="AB25" s="3086">
        <f>AB218</f>
        <v>0</v>
      </c>
      <c r="AC25" s="3088" t="str">
        <f>IF(AB$12=0,"",ABS(AB25)/AB$12)</f>
        <v/>
      </c>
      <c r="AD25" s="3087" t="str">
        <f>IF(Y25=0,"",IF(ABS((AB25/Y25)-1)&gt;10000%,"N/A",(AB25/Y25)-1))</f>
        <v/>
      </c>
      <c r="AE25" s="3086">
        <f>AE218</f>
        <v>0</v>
      </c>
      <c r="AF25" s="3088" t="str">
        <f>IF(AE$12=0,"",ABS(AE25)/AE$12)</f>
        <v/>
      </c>
      <c r="AG25" s="3087" t="str">
        <f>IF(AB25=0,"",IF(ABS((AE25/AB25)-1)&gt;10000%,"N/A",(AE25/AB25)-1))</f>
        <v/>
      </c>
      <c r="AH25" s="3086">
        <f>AH218</f>
        <v>0</v>
      </c>
      <c r="AI25" s="3088" t="str">
        <f>IF(AH$12=0,"",ABS(AH25)/AH$12)</f>
        <v/>
      </c>
      <c r="AJ25" s="3087" t="str">
        <f>IF(AE25=0,"",IF(ABS((AH25/AE25)-1)&gt;10000%,"N/A",(AH25/AE25)-1))</f>
        <v/>
      </c>
      <c r="AK25" s="3086">
        <f>AK218</f>
        <v>0</v>
      </c>
      <c r="AL25" s="3088" t="str">
        <f>IF(AK$12=0,"",ABS(AK25)/AK$12)</f>
        <v/>
      </c>
      <c r="AM25" s="3087" t="str">
        <f>IF(AH25=0,"",IF(ABS((AK25/AH25)-1)&gt;10000%,"N/A",(AK25/AH25)-1))</f>
        <v/>
      </c>
      <c r="AN25" s="3086">
        <f>AN218</f>
        <v>0</v>
      </c>
      <c r="AO25" s="3088" t="str">
        <f>IF(AN$12=0,"",ABS(AN25)/AN$12)</f>
        <v/>
      </c>
      <c r="AP25" s="3087" t="str">
        <f>IF(AK25=0,"",IF(ABS((AN25/AK25)-1)&gt;10000%,"N/A",(AN25/AK25)-1))</f>
        <v/>
      </c>
      <c r="AQ25" s="3086">
        <f>AQ218</f>
        <v>0</v>
      </c>
      <c r="AR25" s="3088" t="str">
        <f>IF(AQ$12=0,"",ABS(AQ25)/AQ$12)</f>
        <v/>
      </c>
      <c r="AS25" s="3087" t="str">
        <f>IF(AN25=0,"",IF(ABS((AQ25/AN25)-1)&gt;10000%,"N/A",(AQ25/AN25)-1))</f>
        <v/>
      </c>
      <c r="AT25" s="3086">
        <f>AT218</f>
        <v>0</v>
      </c>
      <c r="AU25" s="3088" t="str">
        <f>IF(AT$12=0,"",ABS(AT25)/AT$12)</f>
        <v/>
      </c>
      <c r="AV25" s="3087" t="str">
        <f>IF(AQ25=0,"",IF(ABS((AT25/AQ25)-1)&gt;10000%,"N/A",(AT25/AQ25)-1))</f>
        <v/>
      </c>
    </row>
    <row r="26" spans="1:48" ht="12.5">
      <c r="A26" s="3090"/>
      <c r="B26" s="3091"/>
      <c r="C26" s="3092"/>
      <c r="D26" s="3091"/>
      <c r="E26" s="3093"/>
      <c r="F26" s="3092"/>
      <c r="G26" s="3091"/>
      <c r="H26" s="3093"/>
      <c r="I26" s="3092"/>
      <c r="J26" s="3091"/>
      <c r="K26" s="3093"/>
      <c r="L26" s="3092"/>
      <c r="M26" s="3091"/>
      <c r="N26" s="3093"/>
      <c r="O26" s="3092"/>
      <c r="P26" s="3091"/>
      <c r="Q26" s="3093"/>
      <c r="R26" s="3092"/>
      <c r="S26" s="3091"/>
      <c r="T26" s="3093"/>
      <c r="U26" s="3092"/>
      <c r="V26" s="3091"/>
      <c r="W26" s="3093"/>
      <c r="X26" s="3092"/>
      <c r="Y26" s="3091"/>
      <c r="Z26" s="3093"/>
      <c r="AA26" s="3092"/>
      <c r="AB26" s="3091"/>
      <c r="AC26" s="3093"/>
      <c r="AD26" s="3092"/>
      <c r="AE26" s="3091"/>
      <c r="AF26" s="3093"/>
      <c r="AG26" s="3092"/>
      <c r="AH26" s="3091"/>
      <c r="AI26" s="3093"/>
      <c r="AJ26" s="3092"/>
      <c r="AK26" s="3091"/>
      <c r="AL26" s="3093"/>
      <c r="AM26" s="3092"/>
      <c r="AN26" s="3091"/>
      <c r="AO26" s="3093"/>
      <c r="AP26" s="3092"/>
      <c r="AQ26" s="3091"/>
      <c r="AR26" s="3093"/>
      <c r="AS26" s="3092"/>
      <c r="AT26" s="3091"/>
      <c r="AU26" s="3093"/>
      <c r="AV26" s="3092"/>
    </row>
    <row r="27" spans="1:48" ht="15.5">
      <c r="A27" s="3094" t="s">
        <v>2019</v>
      </c>
      <c r="B27" s="3095">
        <f>SUM(B21,B23:B25)</f>
        <v>0</v>
      </c>
      <c r="C27" s="3096" t="str">
        <f>IF(B$12=0,"",ABS(B27)/B$12)</f>
        <v/>
      </c>
      <c r="D27" s="3095">
        <f>SUM(D21,D23:D25)</f>
        <v>0</v>
      </c>
      <c r="E27" s="3097" t="str">
        <f>IF(D$12=0,"",ABS(D27)/D$12)</f>
        <v/>
      </c>
      <c r="F27" s="3096" t="str">
        <f>IF(B27=0,"",IF(ABS((D27/B27)-1)&gt;10000%,"N/A",(D27/B27)-1))</f>
        <v/>
      </c>
      <c r="G27" s="3095">
        <f>SUM(G21,G23:G25)</f>
        <v>0</v>
      </c>
      <c r="H27" s="3097" t="str">
        <f>IF(G$12=0,"",ABS(G27)/G$12)</f>
        <v/>
      </c>
      <c r="I27" s="3096" t="str">
        <f>IF(D27=0,"",IF(ABS((G27/D27)-1)&gt;10000%,"N/A",(G27/D27)-1))</f>
        <v/>
      </c>
      <c r="J27" s="3095">
        <f>SUM(J21,J23:J25)</f>
        <v>0</v>
      </c>
      <c r="K27" s="3097" t="str">
        <f>IF(J$12=0,"",ABS(J27)/J$12)</f>
        <v/>
      </c>
      <c r="L27" s="3096" t="str">
        <f>IF(G27=0,"",IF(ABS((J27/G27)-1)&gt;10000%,"N/A",(J27/G27)-1))</f>
        <v/>
      </c>
      <c r="M27" s="3095">
        <f>SUM(M21,M23:M25)</f>
        <v>0</v>
      </c>
      <c r="N27" s="3097" t="str">
        <f>IF(M$12=0,"",ABS(M27)/M$12)</f>
        <v/>
      </c>
      <c r="O27" s="3096" t="str">
        <f>IF(J27=0,"",IF(ABS((M27/J27)-1)&gt;10000%,"N/A",(M27/J27)-1))</f>
        <v/>
      </c>
      <c r="P27" s="3095">
        <f>SUM(P21,P23:P25)</f>
        <v>0</v>
      </c>
      <c r="Q27" s="3097" t="str">
        <f>IF(P$12=0,"",ABS(P27)/P$12)</f>
        <v/>
      </c>
      <c r="R27" s="3096" t="str">
        <f>IF(M27=0,"",IF(ABS((P27/M27)-1)&gt;10000%,"N/A",(P27/M27)-1))</f>
        <v/>
      </c>
      <c r="S27" s="3095">
        <f>SUM(S21,S23:S25)</f>
        <v>0</v>
      </c>
      <c r="T27" s="3097" t="str">
        <f>IF(S$12=0,"",ABS(S27)/S$12)</f>
        <v/>
      </c>
      <c r="U27" s="3096" t="str">
        <f>IF(P27=0,"",IF(ABS((S27/P27)-1)&gt;10000%,"N/A",(S27/P27)-1))</f>
        <v/>
      </c>
      <c r="V27" s="3095">
        <f>SUM(V21,V23:V25)</f>
        <v>0</v>
      </c>
      <c r="W27" s="3097" t="str">
        <f>IF(V$12=0,"",ABS(V27)/V$12)</f>
        <v/>
      </c>
      <c r="X27" s="3096" t="str">
        <f>IF(S27=0,"",IF(ABS((V27/S27)-1)&gt;10000%,"N/A",(V27/S27)-1))</f>
        <v/>
      </c>
      <c r="Y27" s="3095">
        <f>SUM(Y21,Y23:Y25)</f>
        <v>0</v>
      </c>
      <c r="Z27" s="3097" t="str">
        <f>IF(Y$12=0,"",ABS(Y27)/Y$12)</f>
        <v/>
      </c>
      <c r="AA27" s="3096" t="str">
        <f>IF(V27=0,"",IF(ABS((Y27/V27)-1)&gt;10000%,"N/A",(Y27/V27)-1))</f>
        <v/>
      </c>
      <c r="AB27" s="3095">
        <f>SUM(AB21,AB23:AB25)</f>
        <v>0</v>
      </c>
      <c r="AC27" s="3097" t="str">
        <f>IF(AB$12=0,"",ABS(AB27)/AB$12)</f>
        <v/>
      </c>
      <c r="AD27" s="3096" t="str">
        <f>IF(Y27=0,"",IF(ABS((AB27/Y27)-1)&gt;10000%,"N/A",(AB27/Y27)-1))</f>
        <v/>
      </c>
      <c r="AE27" s="3095">
        <f>SUM(AE21,AE23:AE25)</f>
        <v>0</v>
      </c>
      <c r="AF27" s="3097" t="str">
        <f>IF(AE$12=0,"",ABS(AE27)/AE$12)</f>
        <v/>
      </c>
      <c r="AG27" s="3096" t="str">
        <f>IF(AB27=0,"",IF(ABS((AE27/AB27)-1)&gt;10000%,"N/A",(AE27/AB27)-1))</f>
        <v/>
      </c>
      <c r="AH27" s="3095">
        <f>SUM(AH21,AH23:AH25)</f>
        <v>0</v>
      </c>
      <c r="AI27" s="3097" t="str">
        <f>IF(AH$12=0,"",ABS(AH27)/AH$12)</f>
        <v/>
      </c>
      <c r="AJ27" s="3096" t="str">
        <f>IF(AE27=0,"",IF(ABS((AH27/AE27)-1)&gt;10000%,"N/A",(AH27/AE27)-1))</f>
        <v/>
      </c>
      <c r="AK27" s="3095">
        <f>SUM(AK21,AK23:AK25)</f>
        <v>0</v>
      </c>
      <c r="AL27" s="3097" t="str">
        <f>IF(AK$12=0,"",ABS(AK27)/AK$12)</f>
        <v/>
      </c>
      <c r="AM27" s="3096" t="str">
        <f>IF(AH27=0,"",IF(ABS((AK27/AH27)-1)&gt;10000%,"N/A",(AK27/AH27)-1))</f>
        <v/>
      </c>
      <c r="AN27" s="3095">
        <f>SUM(AN21,AN23:AN25)</f>
        <v>0</v>
      </c>
      <c r="AO27" s="3097" t="str">
        <f>IF(AN$12=0,"",ABS(AN27)/AN$12)</f>
        <v/>
      </c>
      <c r="AP27" s="3096" t="str">
        <f>IF(AK27=0,"",IF(ABS((AN27/AK27)-1)&gt;10000%,"N/A",(AN27/AK27)-1))</f>
        <v/>
      </c>
      <c r="AQ27" s="3095">
        <f>SUM(AQ21,AQ23:AQ25)</f>
        <v>0</v>
      </c>
      <c r="AR27" s="3097" t="str">
        <f>IF(AQ$12=0,"",ABS(AQ27)/AQ$12)</f>
        <v/>
      </c>
      <c r="AS27" s="3096" t="str">
        <f>IF(AN27=0,"",IF(ABS((AQ27/AN27)-1)&gt;10000%,"N/A",(AQ27/AN27)-1))</f>
        <v/>
      </c>
      <c r="AT27" s="3095">
        <f>SUM(AT21,AT23:AT25)</f>
        <v>0</v>
      </c>
      <c r="AU27" s="3097" t="str">
        <f>IF(AT$12=0,"",ABS(AT27)/AT$12)</f>
        <v/>
      </c>
      <c r="AV27" s="3096" t="str">
        <f>IF(AQ27=0,"",IF(ABS((AT27/AQ27)-1)&gt;10000%,"N/A",(AT27/AQ27)-1))</f>
        <v/>
      </c>
    </row>
    <row r="28" spans="1:48" ht="12.5">
      <c r="A28" s="3090"/>
      <c r="B28" s="3091"/>
      <c r="C28" s="3092"/>
      <c r="D28" s="3091"/>
      <c r="E28" s="3093"/>
      <c r="F28" s="3092"/>
      <c r="G28" s="3091"/>
      <c r="H28" s="3093"/>
      <c r="I28" s="3092"/>
      <c r="J28" s="3091"/>
      <c r="K28" s="3093"/>
      <c r="L28" s="3092"/>
      <c r="M28" s="3091"/>
      <c r="N28" s="3093"/>
      <c r="O28" s="3092"/>
      <c r="P28" s="3091"/>
      <c r="Q28" s="3093"/>
      <c r="R28" s="3092"/>
      <c r="S28" s="3091"/>
      <c r="T28" s="3093"/>
      <c r="U28" s="3092"/>
      <c r="V28" s="3091"/>
      <c r="W28" s="3093"/>
      <c r="X28" s="3092"/>
      <c r="Y28" s="3091"/>
      <c r="Z28" s="3093"/>
      <c r="AA28" s="3092"/>
      <c r="AB28" s="3091"/>
      <c r="AC28" s="3093"/>
      <c r="AD28" s="3092"/>
      <c r="AE28" s="3091"/>
      <c r="AF28" s="3093"/>
      <c r="AG28" s="3092"/>
      <c r="AH28" s="3091"/>
      <c r="AI28" s="3093"/>
      <c r="AJ28" s="3092"/>
      <c r="AK28" s="3091"/>
      <c r="AL28" s="3093"/>
      <c r="AM28" s="3092"/>
      <c r="AN28" s="3091"/>
      <c r="AO28" s="3093"/>
      <c r="AP28" s="3092"/>
      <c r="AQ28" s="3091"/>
      <c r="AR28" s="3093"/>
      <c r="AS28" s="3092"/>
      <c r="AT28" s="3091"/>
      <c r="AU28" s="3093"/>
      <c r="AV28" s="3092"/>
    </row>
    <row r="29" spans="1:48" ht="15.5">
      <c r="A29" s="3089" t="s">
        <v>2020</v>
      </c>
      <c r="B29" s="3086">
        <f ca="1">B47</f>
        <v>0</v>
      </c>
      <c r="C29" s="3087" t="str">
        <f>IF(B$12=0,"",ABS(B29)/B$12)</f>
        <v/>
      </c>
      <c r="D29" s="3086">
        <f ca="1">IF(D47-B47&gt;=0,D47-B47,0)</f>
        <v>0</v>
      </c>
      <c r="E29" s="3088" t="str">
        <f>IF(D$12=0,"",ABS(D29)/D$12)</f>
        <v/>
      </c>
      <c r="F29" s="3087" t="str">
        <f ca="1">IF(B29=0,"",IF(ABS((D29/B29)-1)&gt;10000%,"N/A",(D29/B29)-1))</f>
        <v/>
      </c>
      <c r="G29" s="3086">
        <f ca="1">IF(G47-D47&gt;=0,G47-D47,0)</f>
        <v>0</v>
      </c>
      <c r="H29" s="3088" t="str">
        <f>IF(G$12=0,"",ABS(G29)/G$12)</f>
        <v/>
      </c>
      <c r="I29" s="3087" t="str">
        <f ca="1">IF(D29=0,"",IF(ABS((G29/D29)-1)&gt;10000%,"N/A",(G29/D29)-1))</f>
        <v/>
      </c>
      <c r="J29" s="3086">
        <f ca="1">IF(J47-G47&gt;=0,J47-G47,0)</f>
        <v>0</v>
      </c>
      <c r="K29" s="3088" t="str">
        <f>IF(J$12=0,"",ABS(J29)/J$12)</f>
        <v/>
      </c>
      <c r="L29" s="3087" t="str">
        <f ca="1">IF(G29=0,"",IF(ABS((J29/G29)-1)&gt;10000%,"N/A",(J29/G29)-1))</f>
        <v/>
      </c>
      <c r="M29" s="3086">
        <f ca="1">IF(M47-J47&gt;=0,M47-J47,0)</f>
        <v>0</v>
      </c>
      <c r="N29" s="3088" t="str">
        <f>IF(M$12=0,"",ABS(M29)/M$12)</f>
        <v/>
      </c>
      <c r="O29" s="3087" t="str">
        <f ca="1">IF(J29=0,"",IF(ABS((M29/J29)-1)&gt;10000%,"N/A",(M29/J29)-1))</f>
        <v/>
      </c>
      <c r="P29" s="3086">
        <f ca="1">IF(P47-M47&gt;=0,P47-M47,0)</f>
        <v>0</v>
      </c>
      <c r="Q29" s="3088" t="str">
        <f>IF(P$12=0,"",ABS(P29)/P$12)</f>
        <v/>
      </c>
      <c r="R29" s="3087" t="str">
        <f ca="1">IF(M29=0,"",IF(ABS((P29/M29)-1)&gt;10000%,"N/A",(P29/M29)-1))</f>
        <v/>
      </c>
      <c r="S29" s="3086">
        <f ca="1">IF(S47-P47&gt;=0,S47-P47,0)</f>
        <v>0</v>
      </c>
      <c r="T29" s="3088" t="str">
        <f>IF(S$12=0,"",ABS(S29)/S$12)</f>
        <v/>
      </c>
      <c r="U29" s="3087" t="str">
        <f ca="1">IF(P29=0,"",IF(ABS((S29/P29)-1)&gt;10000%,"N/A",(S29/P29)-1))</f>
        <v/>
      </c>
      <c r="V29" s="3086">
        <f ca="1">IF(V47-S47&gt;=0,V47-S47,0)</f>
        <v>0</v>
      </c>
      <c r="W29" s="3088" t="str">
        <f>IF(V$12=0,"",ABS(V29)/V$12)</f>
        <v/>
      </c>
      <c r="X29" s="3087" t="str">
        <f ca="1">IF(S29=0,"",IF(ABS((V29/S29)-1)&gt;10000%,"N/A",(V29/S29)-1))</f>
        <v/>
      </c>
      <c r="Y29" s="3086">
        <f ca="1">IF(Y47-V47&gt;=0,Y47-V47,0)</f>
        <v>0</v>
      </c>
      <c r="Z29" s="3088" t="str">
        <f>IF(Y$12=0,"",ABS(Y29)/Y$12)</f>
        <v/>
      </c>
      <c r="AA29" s="3087" t="str">
        <f ca="1">IF(V29=0,"",IF(ABS((Y29/V29)-1)&gt;10000%,"N/A",(Y29/V29)-1))</f>
        <v/>
      </c>
      <c r="AB29" s="3086">
        <f ca="1">IF(AB47-Y47&gt;=0,AB47-Y47,0)</f>
        <v>0</v>
      </c>
      <c r="AC29" s="3088" t="str">
        <f>IF(AB$12=0,"",ABS(AB29)/AB$12)</f>
        <v/>
      </c>
      <c r="AD29" s="3087" t="str">
        <f ca="1">IF(Y29=0,"",IF(ABS((AB29/Y29)-1)&gt;10000%,"N/A",(AB29/Y29)-1))</f>
        <v/>
      </c>
      <c r="AE29" s="3086">
        <f ca="1">IF(AE47-AB47&gt;=0,AE47-AB47,0)</f>
        <v>0</v>
      </c>
      <c r="AF29" s="3088" t="str">
        <f>IF(AE$12=0,"",ABS(AE29)/AE$12)</f>
        <v/>
      </c>
      <c r="AG29" s="3087" t="str">
        <f ca="1">IF(AB29=0,"",IF(ABS((AE29/AB29)-1)&gt;10000%,"N/A",(AE29/AB29)-1))</f>
        <v/>
      </c>
      <c r="AH29" s="3086">
        <f ca="1">IF(AH47-AE47&gt;=0,AH47-AE47,0)</f>
        <v>0</v>
      </c>
      <c r="AI29" s="3088" t="str">
        <f>IF(AH$12=0,"",ABS(AH29)/AH$12)</f>
        <v/>
      </c>
      <c r="AJ29" s="3087" t="str">
        <f ca="1">IF(AE29=0,"",IF(ABS((AH29/AE29)-1)&gt;10000%,"N/A",(AH29/AE29)-1))</f>
        <v/>
      </c>
      <c r="AK29" s="3086">
        <f ca="1">IF(AK47-AH47&gt;=0,AK47-AH47,0)</f>
        <v>0</v>
      </c>
      <c r="AL29" s="3088" t="str">
        <f>IF(AK$12=0,"",ABS(AK29)/AK$12)</f>
        <v/>
      </c>
      <c r="AM29" s="3087" t="str">
        <f ca="1">IF(AH29=0,"",IF(ABS((AK29/AH29)-1)&gt;10000%,"N/A",(AK29/AH29)-1))</f>
        <v/>
      </c>
      <c r="AN29" s="3086">
        <f ca="1">IF(AN47-AK47&gt;=0,AN47-AK47,0)</f>
        <v>0</v>
      </c>
      <c r="AO29" s="3088" t="str">
        <f>IF(AN$12=0,"",ABS(AN29)/AN$12)</f>
        <v/>
      </c>
      <c r="AP29" s="3087" t="str">
        <f ca="1">IF(AK29=0,"",IF(ABS((AN29/AK29)-1)&gt;10000%,"N/A",(AN29/AK29)-1))</f>
        <v/>
      </c>
      <c r="AQ29" s="3086">
        <f ca="1">IF(AQ47-AN47&gt;=0,AQ47-AN47,0)</f>
        <v>0</v>
      </c>
      <c r="AR29" s="3088" t="str">
        <f>IF(AQ$12=0,"",ABS(AQ29)/AQ$12)</f>
        <v/>
      </c>
      <c r="AS29" s="3087" t="str">
        <f ca="1">IF(AN29=0,"",IF(ABS((AQ29/AN29)-1)&gt;10000%,"N/A",(AQ29/AN29)-1))</f>
        <v/>
      </c>
      <c r="AT29" s="3086">
        <f ca="1">IF(AT47-AQ47&gt;=0,AT47-AQ47,0)</f>
        <v>0</v>
      </c>
      <c r="AU29" s="3088" t="str">
        <f>IF(AT$12=0,"",ABS(AT29)/AT$12)</f>
        <v/>
      </c>
      <c r="AV29" s="3087" t="str">
        <f ca="1">IF(AQ29=0,"",IF(ABS((AT29/AQ29)-1)&gt;10000%,"N/A",(AT29/AQ29)-1))</f>
        <v/>
      </c>
    </row>
    <row r="30" spans="1:48" ht="15.5">
      <c r="A30" s="3089" t="s">
        <v>2021</v>
      </c>
      <c r="B30" s="3086">
        <f ca="1">IF($B$80=B11,$B$76,0)+IF($B$93=B11,$B$89,0)+IF($B$106=B11,$B$102,0)+IF($B$119=B11,$B$115,0)+IF($B$132=B11,$B$128,0)</f>
        <v>0</v>
      </c>
      <c r="C30" s="3087" t="str">
        <f>IF(B$12=0,"",ABS(B30)/B$12)</f>
        <v/>
      </c>
      <c r="D30" s="3086">
        <f ca="1">IF($B$80=D11,$B$76,0)+IF($B$93=D11,$B$89,0)+IF($B$106=D11,$B$102,0)+IF($B$119=D11,$B$115,0)+IF($B$132=D11,$B$128,0)</f>
        <v>0</v>
      </c>
      <c r="E30" s="3088" t="str">
        <f>IF(D$12=0,"",ABS(D30)/D$12)</f>
        <v/>
      </c>
      <c r="F30" s="3087" t="str">
        <f ca="1">IF(B30=0,"",IF(ABS((D30/B30)-1)&gt;10000%,"N/A",(D30/B30)-1))</f>
        <v/>
      </c>
      <c r="G30" s="3086">
        <f ca="1">IF($B$80=G11,$B$76,0)+IF($B$93=G11,$B$89,0)+IF($B$106=G11,$B$102,0)+IF($B$119=G11,$B$115,0)+IF($B$132=G11,$B$128,0)</f>
        <v>0</v>
      </c>
      <c r="H30" s="3088" t="str">
        <f>IF(G$12=0,"",ABS(G30)/G$12)</f>
        <v/>
      </c>
      <c r="I30" s="3087" t="str">
        <f ca="1">IF(D30=0,"",IF(ABS((G30/D30)-1)&gt;10000%,"N/A",(G30/D30)-1))</f>
        <v/>
      </c>
      <c r="J30" s="3086">
        <f ca="1">IF($B$80=J11,$B$76,0)+IF($B$93=J11,$B$89,0)+IF($B$106=J11,$B$102,0)+IF($B$119=J11,$B$115,0)+IF($B$132=J11,$B$128,0)</f>
        <v>0</v>
      </c>
      <c r="K30" s="3088" t="str">
        <f>IF(J$12=0,"",ABS(J30)/J$12)</f>
        <v/>
      </c>
      <c r="L30" s="3087" t="str">
        <f ca="1">IF(G30=0,"",IF(ABS((J30/G30)-1)&gt;10000%,"N/A",(J30/G30)-1))</f>
        <v/>
      </c>
      <c r="M30" s="3086">
        <f ca="1">IF($B$80=M11,$B$76,0)+IF($B$93=M11,$B$89,0)+IF($B$106=M11,$B$102,0)+IF($B$119=M11,$B$115,0)+IF($B$132=M11,$B$128,0)</f>
        <v>0</v>
      </c>
      <c r="N30" s="3088" t="str">
        <f>IF(M$12=0,"",ABS(M30)/M$12)</f>
        <v/>
      </c>
      <c r="O30" s="3087" t="str">
        <f ca="1">IF(J30=0,"",IF(ABS((M30/J30)-1)&gt;10000%,"N/A",(M30/J30)-1))</f>
        <v/>
      </c>
      <c r="P30" s="3086">
        <f ca="1">IF($B$80=P11,$B$76,0)+IF($B$93=P11,$B$89,0)+IF($B$106=P11,$B$102,0)+IF($B$119=P11,$B$115,0)+IF($B$132=P11,$B$128,0)</f>
        <v>0</v>
      </c>
      <c r="Q30" s="3088" t="str">
        <f>IF(P$12=0,"",ABS(P30)/P$12)</f>
        <v/>
      </c>
      <c r="R30" s="3087" t="str">
        <f ca="1">IF(M30=0,"",IF(ABS((P30/M30)-1)&gt;10000%,"N/A",(P30/M30)-1))</f>
        <v/>
      </c>
      <c r="S30" s="3086">
        <f ca="1">IF($B$80=S11,$B$76,0)+IF($B$93=S11,$B$89,0)+IF($B$106=S11,$B$102,0)+IF($B$119=S11,$B$115,0)+IF($B$132=S11,$B$128,0)</f>
        <v>0</v>
      </c>
      <c r="T30" s="3088" t="str">
        <f>IF(S$12=0,"",ABS(S30)/S$12)</f>
        <v/>
      </c>
      <c r="U30" s="3087" t="str">
        <f ca="1">IF(P30=0,"",IF(ABS((S30/P30)-1)&gt;10000%,"N/A",(S30/P30)-1))</f>
        <v/>
      </c>
      <c r="V30" s="3086">
        <f ca="1">IF($B$80=V11,$B$76,0)+IF($B$93=V11,$B$89,0)+IF($B$106=V11,$B$102,0)+IF($B$119=V11,$B$115,0)+IF($B$132=V11,$B$128,0)</f>
        <v>0</v>
      </c>
      <c r="W30" s="3088" t="str">
        <f>IF(V$12=0,"",ABS(V30)/V$12)</f>
        <v/>
      </c>
      <c r="X30" s="3087" t="str">
        <f ca="1">IF(S30=0,"",IF(ABS((V30/S30)-1)&gt;10000%,"N/A",(V30/S30)-1))</f>
        <v/>
      </c>
      <c r="Y30" s="3086">
        <f ca="1">IF($B$80=Y11,$B$76,0)+IF($B$93=Y11,$B$89,0)+IF($B$106=Y11,$B$102,0)+IF($B$119=Y11,$B$115,0)+IF($B$132=Y11,$B$128,0)</f>
        <v>0</v>
      </c>
      <c r="Z30" s="3088" t="str">
        <f>IF(Y$12=0,"",ABS(Y30)/Y$12)</f>
        <v/>
      </c>
      <c r="AA30" s="3087" t="str">
        <f ca="1">IF(V30=0,"",IF(ABS((Y30/V30)-1)&gt;10000%,"N/A",(Y30/V30)-1))</f>
        <v/>
      </c>
      <c r="AB30" s="3086">
        <f ca="1">IF($B$80=AB11,$B$76,0)+IF($B$93=AB11,$B$89,0)+IF($B$106=AB11,$B$102,0)+IF($B$119=AB11,$B$115,0)+IF($B$132=AB11,$B$128,0)</f>
        <v>0</v>
      </c>
      <c r="AC30" s="3088" t="str">
        <f>IF(AB$12=0,"",ABS(AB30)/AB$12)</f>
        <v/>
      </c>
      <c r="AD30" s="3087" t="str">
        <f ca="1">IF(Y30=0,"",IF(ABS((AB30/Y30)-1)&gt;10000%,"N/A",(AB30/Y30)-1))</f>
        <v/>
      </c>
      <c r="AE30" s="3086">
        <f ca="1">IF($B$80=AE11,$B$76,0)+IF($B$93=AE11,$B$89,0)+IF($B$106=AE11,$B$102,0)+IF($B$119=AE11,$B$115,0)+IF($B$132=AE11,$B$128,0)</f>
        <v>0</v>
      </c>
      <c r="AF30" s="3088" t="str">
        <f>IF(AE$12=0,"",ABS(AE30)/AE$12)</f>
        <v/>
      </c>
      <c r="AG30" s="3087" t="str">
        <f ca="1">IF(AB30=0,"",IF(ABS((AE30/AB30)-1)&gt;10000%,"N/A",(AE30/AB30)-1))</f>
        <v/>
      </c>
      <c r="AH30" s="3086">
        <f ca="1">IF($B$80=AH11,$B$76,0)+IF($B$93=AH11,$B$89,0)+IF($B$106=AH11,$B$102,0)+IF($B$119=AH11,$B$115,0)+IF($B$132=AH11,$B$128,0)</f>
        <v>0</v>
      </c>
      <c r="AI30" s="3088" t="str">
        <f>IF(AH$12=0,"",ABS(AH30)/AH$12)</f>
        <v/>
      </c>
      <c r="AJ30" s="3087" t="str">
        <f ca="1">IF(AE30=0,"",IF(ABS((AH30/AE30)-1)&gt;10000%,"N/A",(AH30/AE30)-1))</f>
        <v/>
      </c>
      <c r="AK30" s="3086">
        <f ca="1">IF($B$80=AK11,$B$76,0)+IF($B$93=AK11,$B$89,0)+IF($B$106=AK11,$B$102,0)+IF($B$119=AK11,$B$115,0)+IF($B$132=AK11,$B$128,0)</f>
        <v>0</v>
      </c>
      <c r="AL30" s="3088" t="str">
        <f>IF(AK$12=0,"",ABS(AK30)/AK$12)</f>
        <v/>
      </c>
      <c r="AM30" s="3087" t="str">
        <f ca="1">IF(AH30=0,"",IF(ABS((AK30/AH30)-1)&gt;10000%,"N/A",(AK30/AH30)-1))</f>
        <v/>
      </c>
      <c r="AN30" s="3086">
        <f ca="1">IF($B$80=AN11,$B$76,0)+IF($B$93=AN11,$B$89,0)+IF($B$106=AN11,$B$102,0)+IF($B$119=AN11,$B$115,0)+IF($B$132=AN11,$B$128,0)</f>
        <v>0</v>
      </c>
      <c r="AO30" s="3088" t="str">
        <f>IF(AN$12=0,"",ABS(AN30)/AN$12)</f>
        <v/>
      </c>
      <c r="AP30" s="3087" t="str">
        <f ca="1">IF(AK30=0,"",IF(ABS((AN30/AK30)-1)&gt;10000%,"N/A",(AN30/AK30)-1))</f>
        <v/>
      </c>
      <c r="AQ30" s="3086">
        <f ca="1">IF($B$80=AQ11,$B$76,0)+IF($B$93=AQ11,$B$89,0)+IF($B$106=AQ11,$B$102,0)+IF($B$119=AQ11,$B$115,0)+IF($B$132=AQ11,$B$128,0)</f>
        <v>0</v>
      </c>
      <c r="AR30" s="3088" t="str">
        <f>IF(AQ$12=0,"",ABS(AQ30)/AQ$12)</f>
        <v/>
      </c>
      <c r="AS30" s="3087" t="str">
        <f ca="1">IF(AN30=0,"",IF(ABS((AQ30/AN30)-1)&gt;10000%,"N/A",(AQ30/AN30)-1))</f>
        <v/>
      </c>
      <c r="AT30" s="3086">
        <f ca="1">IF($B$80=AT11,$B$76,0)+IF($B$93=AT11,$B$89,0)+IF($B$106=AT11,$B$102,0)+IF($B$119=AT11,$B$115,0)+IF($B$132=AT11,$B$128,0)</f>
        <v>0</v>
      </c>
      <c r="AU30" s="3088" t="str">
        <f>IF(AT$12=0,"",ABS(AT30)/AT$12)</f>
        <v/>
      </c>
      <c r="AV30" s="3087" t="str">
        <f ca="1">IF(AQ30=0,"",IF(ABS((AT30/AQ30)-1)&gt;10000%,"N/A",(AT30/AQ30)-1))</f>
        <v/>
      </c>
    </row>
    <row r="31" spans="1:48" ht="15.5">
      <c r="A31" s="3089" t="s">
        <v>2022</v>
      </c>
      <c r="B31" s="3086">
        <f ca="1">IF($B$152=B11,$B$148,0)+IF($B$165=B11,$B$161,0)+IF($B$178=B11,$B$174,0)+IF($B$191=B11,$B$187,0)</f>
        <v>0</v>
      </c>
      <c r="C31" s="3087" t="str">
        <f>IF(B$12=0,"",ABS(B31)/B$12)</f>
        <v/>
      </c>
      <c r="D31" s="3086">
        <f ca="1">IF($B$152=D11,$B$148,0)+IF($B$165=D11,$B$161,0)+IF($B$178=D11,$B$174,0)+IF($B$191=D11,$B$187,0)</f>
        <v>0</v>
      </c>
      <c r="E31" s="3088" t="str">
        <f>IF(D$12=0,"",ABS(D31)/D$12)</f>
        <v/>
      </c>
      <c r="F31" s="3087" t="str">
        <f ca="1">IF(B31=0,"",IF(ABS((D31/B31)-1)&gt;10000%,"N/A",(D31/B31)-1))</f>
        <v/>
      </c>
      <c r="G31" s="3086">
        <f ca="1">IF($B$152=G11,$B$148,0)+IF($B$165=G11,$B$161,0)+IF($B$178=G11,$B$174,0)+IF($B$191=G11,$B$187,0)</f>
        <v>0</v>
      </c>
      <c r="H31" s="3088" t="str">
        <f>IF(G$12=0,"",ABS(G31)/G$12)</f>
        <v/>
      </c>
      <c r="I31" s="3087" t="str">
        <f ca="1">IF(D31=0,"",IF(ABS((G31/D31)-1)&gt;10000%,"N/A",(G31/D31)-1))</f>
        <v/>
      </c>
      <c r="J31" s="3086">
        <f ca="1">IF($B$152=J11,$B$148,0)+IF($B$165=J11,$B$161,0)+IF($B$178=J11,$B$174,0)+IF($B$191=J11,$B$187,0)</f>
        <v>0</v>
      </c>
      <c r="K31" s="3088" t="str">
        <f>IF(J$12=0,"",ABS(J31)/J$12)</f>
        <v/>
      </c>
      <c r="L31" s="3087" t="str">
        <f ca="1">IF(G31=0,"",IF(ABS((J31/G31)-1)&gt;10000%,"N/A",(J31/G31)-1))</f>
        <v/>
      </c>
      <c r="M31" s="3086">
        <f ca="1">IF($B$152=M11,$B$148,0)+IF($B$165=M11,$B$161,0)+IF($B$178=M11,$B$174,0)+IF($B$191=M11,$B$187,0)</f>
        <v>0</v>
      </c>
      <c r="N31" s="3088" t="str">
        <f>IF(M$12=0,"",ABS(M31)/M$12)</f>
        <v/>
      </c>
      <c r="O31" s="3087" t="str">
        <f ca="1">IF(J31=0,"",IF(ABS((M31/J31)-1)&gt;10000%,"N/A",(M31/J31)-1))</f>
        <v/>
      </c>
      <c r="P31" s="3086">
        <f ca="1">IF($B$152=P11,$B$148,0)+IF($B$165=P11,$B$161,0)+IF($B$178=P11,$B$174,0)+IF($B$191=P11,$B$187,0)</f>
        <v>0</v>
      </c>
      <c r="Q31" s="3088" t="str">
        <f>IF(P$12=0,"",ABS(P31)/P$12)</f>
        <v/>
      </c>
      <c r="R31" s="3087" t="str">
        <f ca="1">IF(M31=0,"",IF(ABS((P31/M31)-1)&gt;10000%,"N/A",(P31/M31)-1))</f>
        <v/>
      </c>
      <c r="S31" s="3086">
        <f ca="1">IF($B$152=S11,$B$148,0)+IF($B$165=S11,$B$161,0)+IF($B$178=S11,$B$174,0)+IF($B$191=S11,$B$187,0)</f>
        <v>0</v>
      </c>
      <c r="T31" s="3088" t="str">
        <f>IF(S$12=0,"",ABS(S31)/S$12)</f>
        <v/>
      </c>
      <c r="U31" s="3087" t="str">
        <f ca="1">IF(P31=0,"",IF(ABS((S31/P31)-1)&gt;10000%,"N/A",(S31/P31)-1))</f>
        <v/>
      </c>
      <c r="V31" s="3086">
        <f ca="1">IF($B$152=V11,$B$148,0)+IF($B$165=V11,$B$161,0)+IF($B$178=V11,$B$174,0)+IF($B$191=V11,$B$187,0)</f>
        <v>0</v>
      </c>
      <c r="W31" s="3088" t="str">
        <f>IF(V$12=0,"",ABS(V31)/V$12)</f>
        <v/>
      </c>
      <c r="X31" s="3087" t="str">
        <f ca="1">IF(S31=0,"",IF(ABS((V31/S31)-1)&gt;10000%,"N/A",(V31/S31)-1))</f>
        <v/>
      </c>
      <c r="Y31" s="3086">
        <f ca="1">IF($B$152=Y11,$B$148,0)+IF($B$165=Y11,$B$161,0)+IF($B$178=Y11,$B$174,0)+IF($B$191=Y11,$B$187,0)</f>
        <v>0</v>
      </c>
      <c r="Z31" s="3088" t="str">
        <f>IF(Y$12=0,"",ABS(Y31)/Y$12)</f>
        <v/>
      </c>
      <c r="AA31" s="3087" t="str">
        <f ca="1">IF(V31=0,"",IF(ABS((Y31/V31)-1)&gt;10000%,"N/A",(Y31/V31)-1))</f>
        <v/>
      </c>
      <c r="AB31" s="3086">
        <f ca="1">IF($B$152=AB11,$B$148,0)+IF($B$165=AB11,$B$161,0)+IF($B$178=AB11,$B$174,0)+IF($B$191=AB11,$B$187,0)</f>
        <v>0</v>
      </c>
      <c r="AC31" s="3088" t="str">
        <f>IF(AB$12=0,"",ABS(AB31)/AB$12)</f>
        <v/>
      </c>
      <c r="AD31" s="3087" t="str">
        <f ca="1">IF(Y31=0,"",IF(ABS((AB31/Y31)-1)&gt;10000%,"N/A",(AB31/Y31)-1))</f>
        <v/>
      </c>
      <c r="AE31" s="3086">
        <f ca="1">IF($B$152=AE11,$B$148,0)+IF($B$165=AE11,$B$161,0)+IF($B$178=AE11,$B$174,0)+IF($B$191=AE11,$B$187,0)</f>
        <v>0</v>
      </c>
      <c r="AF31" s="3088" t="str">
        <f>IF(AE$12=0,"",ABS(AE31)/AE$12)</f>
        <v/>
      </c>
      <c r="AG31" s="3087" t="str">
        <f ca="1">IF(AB31=0,"",IF(ABS((AE31/AB31)-1)&gt;10000%,"N/A",(AE31/AB31)-1))</f>
        <v/>
      </c>
      <c r="AH31" s="3086">
        <f ca="1">IF($B$152=AH11,$B$148,0)+IF($B$165=AH11,$B$161,0)+IF($B$178=AH11,$B$174,0)+IF($B$191=AH11,$B$187,0)</f>
        <v>0</v>
      </c>
      <c r="AI31" s="3088" t="str">
        <f>IF(AH$12=0,"",ABS(AH31)/AH$12)</f>
        <v/>
      </c>
      <c r="AJ31" s="3087" t="str">
        <f ca="1">IF(AE31=0,"",IF(ABS((AH31/AE31)-1)&gt;10000%,"N/A",(AH31/AE31)-1))</f>
        <v/>
      </c>
      <c r="AK31" s="3086">
        <f ca="1">IF($B$152=AK11,$B$148,0)+IF($B$165=AK11,$B$161,0)+IF($B$178=AK11,$B$174,0)+IF($B$191=AK11,$B$187,0)</f>
        <v>0</v>
      </c>
      <c r="AL31" s="3088" t="str">
        <f>IF(AK$12=0,"",ABS(AK31)/AK$12)</f>
        <v/>
      </c>
      <c r="AM31" s="3087" t="str">
        <f ca="1">IF(AH31=0,"",IF(ABS((AK31/AH31)-1)&gt;10000%,"N/A",(AK31/AH31)-1))</f>
        <v/>
      </c>
      <c r="AN31" s="3086">
        <f ca="1">IF($B$152=AN11,$B$148,0)+IF($B$165=AN11,$B$161,0)+IF($B$178=AN11,$B$174,0)+IF($B$191=AN11,$B$187,0)</f>
        <v>0</v>
      </c>
      <c r="AO31" s="3088" t="str">
        <f>IF(AN$12=0,"",ABS(AN31)/AN$12)</f>
        <v/>
      </c>
      <c r="AP31" s="3087" t="str">
        <f ca="1">IF(AK31=0,"",IF(ABS((AN31/AK31)-1)&gt;10000%,"N/A",(AN31/AK31)-1))</f>
        <v/>
      </c>
      <c r="AQ31" s="3086">
        <f ca="1">IF($B$152=AQ11,$B$148,0)+IF($B$165=AQ11,$B$161,0)+IF($B$178=AQ11,$B$174,0)+IF($B$191=AQ11,$B$187,0)</f>
        <v>0</v>
      </c>
      <c r="AR31" s="3088" t="str">
        <f>IF(AQ$12=0,"",ABS(AQ31)/AQ$12)</f>
        <v/>
      </c>
      <c r="AS31" s="3087" t="str">
        <f ca="1">IF(AN31=0,"",IF(ABS((AQ31/AN31)-1)&gt;10000%,"N/A",(AQ31/AN31)-1))</f>
        <v/>
      </c>
      <c r="AT31" s="3086">
        <f ca="1">IF($B$152=AT11,$B$148,0)+IF($B$165=AT11,$B$161,0)+IF($B$178=AT11,$B$174,0)+IF($B$191=AT11,$B$187,0)</f>
        <v>0</v>
      </c>
      <c r="AU31" s="3088" t="str">
        <f>IF(AT$12=0,"",ABS(AT31)/AT$12)</f>
        <v/>
      </c>
      <c r="AV31" s="3087" t="str">
        <f ca="1">IF(AQ31=0,"",IF(ABS((AT31/AQ31)-1)&gt;10000%,"N/A",(AT31/AQ31)-1))</f>
        <v/>
      </c>
    </row>
    <row r="32" spans="1:48" ht="12.5">
      <c r="A32" s="3090"/>
      <c r="B32" s="3091"/>
      <c r="C32" s="3092"/>
      <c r="D32" s="3091"/>
      <c r="E32" s="3093"/>
      <c r="F32" s="3092"/>
      <c r="G32" s="3091"/>
      <c r="H32" s="3093"/>
      <c r="I32" s="3092"/>
      <c r="J32" s="3091"/>
      <c r="K32" s="3093"/>
      <c r="L32" s="3092"/>
      <c r="M32" s="3091"/>
      <c r="N32" s="3093"/>
      <c r="O32" s="3092"/>
      <c r="P32" s="3091"/>
      <c r="Q32" s="3093"/>
      <c r="R32" s="3092"/>
      <c r="S32" s="3091"/>
      <c r="T32" s="3093"/>
      <c r="U32" s="3092"/>
      <c r="V32" s="3091"/>
      <c r="W32" s="3093"/>
      <c r="X32" s="3092"/>
      <c r="Y32" s="3091"/>
      <c r="Z32" s="3093"/>
      <c r="AA32" s="3092"/>
      <c r="AB32" s="3091"/>
      <c r="AC32" s="3093"/>
      <c r="AD32" s="3092"/>
      <c r="AE32" s="3091"/>
      <c r="AF32" s="3093"/>
      <c r="AG32" s="3092"/>
      <c r="AH32" s="3091"/>
      <c r="AI32" s="3093"/>
      <c r="AJ32" s="3092"/>
      <c r="AK32" s="3091"/>
      <c r="AL32" s="3093"/>
      <c r="AM32" s="3092"/>
      <c r="AN32" s="3091"/>
      <c r="AO32" s="3093"/>
      <c r="AP32" s="3092"/>
      <c r="AQ32" s="3091"/>
      <c r="AR32" s="3093"/>
      <c r="AS32" s="3092"/>
      <c r="AT32" s="3091"/>
      <c r="AU32" s="3093"/>
      <c r="AV32" s="3092"/>
    </row>
    <row r="33" spans="1:48" ht="15.5">
      <c r="A33" s="3094" t="s">
        <v>2023</v>
      </c>
      <c r="B33" s="3095">
        <f ca="1">SUM(B27,B29:B31)</f>
        <v>0</v>
      </c>
      <c r="C33" s="3096" t="str">
        <f>IF(B$12=0,"",ABS(B33)/B$12)</f>
        <v/>
      </c>
      <c r="D33" s="3095">
        <f ca="1">SUM(D27,D29:D31)</f>
        <v>0</v>
      </c>
      <c r="E33" s="3097" t="str">
        <f>IF(D$12=0,"",ABS(D33)/D$12)</f>
        <v/>
      </c>
      <c r="F33" s="3096" t="str">
        <f ca="1">IF(B33=0,"",IF(ABS((D33/B33)-1)&gt;10000%,"N/A",(D33/B33)-1))</f>
        <v/>
      </c>
      <c r="G33" s="3095">
        <f ca="1">SUM(G27,G29:G31)</f>
        <v>0</v>
      </c>
      <c r="H33" s="3097" t="str">
        <f>IF(G$12=0,"",ABS(G33)/G$12)</f>
        <v/>
      </c>
      <c r="I33" s="3096" t="str">
        <f ca="1">IF(D33=0,"",IF(ABS((G33/D33)-1)&gt;10000%,"N/A",(G33/D33)-1))</f>
        <v/>
      </c>
      <c r="J33" s="3095">
        <f ca="1">SUM(J27,J29:J31)</f>
        <v>0</v>
      </c>
      <c r="K33" s="3097" t="str">
        <f>IF(J$12=0,"",ABS(J33)/J$12)</f>
        <v/>
      </c>
      <c r="L33" s="3096" t="str">
        <f ca="1">IF(G33=0,"",IF(ABS((J33/G33)-1)&gt;10000%,"N/A",(J33/G33)-1))</f>
        <v/>
      </c>
      <c r="M33" s="3095">
        <f ca="1">SUM(M27,M29:M31)</f>
        <v>0</v>
      </c>
      <c r="N33" s="3097" t="str">
        <f>IF(M$12=0,"",ABS(M33)/M$12)</f>
        <v/>
      </c>
      <c r="O33" s="3096" t="str">
        <f ca="1">IF(J33=0,"",IF(ABS((M33/J33)-1)&gt;10000%,"N/A",(M33/J33)-1))</f>
        <v/>
      </c>
      <c r="P33" s="3095">
        <f ca="1">SUM(P27,P29:P31)</f>
        <v>0</v>
      </c>
      <c r="Q33" s="3097" t="str">
        <f>IF(P$12=0,"",ABS(P33)/P$12)</f>
        <v/>
      </c>
      <c r="R33" s="3096" t="str">
        <f ca="1">IF(M33=0,"",IF(ABS((P33/M33)-1)&gt;10000%,"N/A",(P33/M33)-1))</f>
        <v/>
      </c>
      <c r="S33" s="3095">
        <f ca="1">SUM(S27,S29:S31)</f>
        <v>0</v>
      </c>
      <c r="T33" s="3097" t="str">
        <f>IF(S$12=0,"",ABS(S33)/S$12)</f>
        <v/>
      </c>
      <c r="U33" s="3096" t="str">
        <f ca="1">IF(P33=0,"",IF(ABS((S33/P33)-1)&gt;10000%,"N/A",(S33/P33)-1))</f>
        <v/>
      </c>
      <c r="V33" s="3095">
        <f ca="1">SUM(V27,V29:V31)</f>
        <v>0</v>
      </c>
      <c r="W33" s="3097" t="str">
        <f>IF(V$12=0,"",ABS(V33)/V$12)</f>
        <v/>
      </c>
      <c r="X33" s="3096" t="str">
        <f ca="1">IF(S33=0,"",IF(ABS((V33/S33)-1)&gt;10000%,"N/A",(V33/S33)-1))</f>
        <v/>
      </c>
      <c r="Y33" s="3095">
        <f ca="1">SUM(Y27,Y29:Y31)</f>
        <v>0</v>
      </c>
      <c r="Z33" s="3097" t="str">
        <f>IF(Y$12=0,"",ABS(Y33)/Y$12)</f>
        <v/>
      </c>
      <c r="AA33" s="3096" t="str">
        <f ca="1">IF(V33=0,"",IF(ABS((Y33/V33)-1)&gt;10000%,"N/A",(Y33/V33)-1))</f>
        <v/>
      </c>
      <c r="AB33" s="3095">
        <f ca="1">SUM(AB27,AB29:AB31)</f>
        <v>0</v>
      </c>
      <c r="AC33" s="3097" t="str">
        <f>IF(AB$12=0,"",ABS(AB33)/AB$12)</f>
        <v/>
      </c>
      <c r="AD33" s="3096" t="str">
        <f ca="1">IF(Y33=0,"",IF(ABS((AB33/Y33)-1)&gt;10000%,"N/A",(AB33/Y33)-1))</f>
        <v/>
      </c>
      <c r="AE33" s="3095">
        <f ca="1">SUM(AE27,AE29:AE31)</f>
        <v>0</v>
      </c>
      <c r="AF33" s="3097" t="str">
        <f>IF(AE$12=0,"",ABS(AE33)/AE$12)</f>
        <v/>
      </c>
      <c r="AG33" s="3096" t="str">
        <f ca="1">IF(AB33=0,"",IF(ABS((AE33/AB33)-1)&gt;10000%,"N/A",(AE33/AB33)-1))</f>
        <v/>
      </c>
      <c r="AH33" s="3095">
        <f ca="1">SUM(AH27,AH29:AH31)</f>
        <v>0</v>
      </c>
      <c r="AI33" s="3097" t="str">
        <f>IF(AH$12=0,"",ABS(AH33)/AH$12)</f>
        <v/>
      </c>
      <c r="AJ33" s="3096" t="str">
        <f ca="1">IF(AE33=0,"",IF(ABS((AH33/AE33)-1)&gt;10000%,"N/A",(AH33/AE33)-1))</f>
        <v/>
      </c>
      <c r="AK33" s="3095">
        <f ca="1">SUM(AK27,AK29:AK31)</f>
        <v>0</v>
      </c>
      <c r="AL33" s="3097" t="str">
        <f>IF(AK$12=0,"",ABS(AK33)/AK$12)</f>
        <v/>
      </c>
      <c r="AM33" s="3096" t="str">
        <f ca="1">IF(AH33=0,"",IF(ABS((AK33/AH33)-1)&gt;10000%,"N/A",(AK33/AH33)-1))</f>
        <v/>
      </c>
      <c r="AN33" s="3095">
        <f ca="1">SUM(AN27,AN29:AN31)</f>
        <v>0</v>
      </c>
      <c r="AO33" s="3097" t="str">
        <f>IF(AN$12=0,"",ABS(AN33)/AN$12)</f>
        <v/>
      </c>
      <c r="AP33" s="3096" t="str">
        <f ca="1">IF(AK33=0,"",IF(ABS((AN33/AK33)-1)&gt;10000%,"N/A",(AN33/AK33)-1))</f>
        <v/>
      </c>
      <c r="AQ33" s="3095">
        <f ca="1">SUM(AQ27,AQ29:AQ31)</f>
        <v>0</v>
      </c>
      <c r="AR33" s="3097" t="str">
        <f>IF(AQ$12=0,"",ABS(AQ33)/AQ$12)</f>
        <v/>
      </c>
      <c r="AS33" s="3096" t="str">
        <f ca="1">IF(AN33=0,"",IF(ABS((AQ33/AN33)-1)&gt;10000%,"N/A",(AQ33/AN33)-1))</f>
        <v/>
      </c>
      <c r="AT33" s="3095">
        <f ca="1">SUM(AT27,AT29:AT31)</f>
        <v>0</v>
      </c>
      <c r="AU33" s="3097" t="str">
        <f>IF(AT$12=0,"",ABS(AT33)/AT$12)</f>
        <v/>
      </c>
      <c r="AV33" s="3096" t="str">
        <f ca="1">IF(AQ33=0,"",IF(ABS((AT33/AQ33)-1)&gt;10000%,"N/A",(AT33/AQ33)-1))</f>
        <v/>
      </c>
    </row>
    <row r="34" spans="1:48" ht="12.5">
      <c r="A34" s="3090"/>
      <c r="B34" s="3091"/>
      <c r="C34" s="3092"/>
      <c r="D34" s="3091"/>
      <c r="E34" s="3093"/>
      <c r="F34" s="3092"/>
      <c r="G34" s="3091"/>
      <c r="H34" s="3093"/>
      <c r="I34" s="3092"/>
      <c r="J34" s="3091"/>
      <c r="K34" s="3093"/>
      <c r="L34" s="3092"/>
      <c r="M34" s="3091"/>
      <c r="N34" s="3093"/>
      <c r="O34" s="3092"/>
      <c r="P34" s="3091"/>
      <c r="Q34" s="3093"/>
      <c r="R34" s="3092"/>
      <c r="S34" s="3091"/>
      <c r="T34" s="3093"/>
      <c r="U34" s="3092"/>
      <c r="V34" s="3091"/>
      <c r="W34" s="3093"/>
      <c r="X34" s="3092"/>
      <c r="Y34" s="3091"/>
      <c r="Z34" s="3093"/>
      <c r="AA34" s="3092"/>
      <c r="AB34" s="3091"/>
      <c r="AC34" s="3093"/>
      <c r="AD34" s="3092"/>
      <c r="AE34" s="3091"/>
      <c r="AF34" s="3093"/>
      <c r="AG34" s="3092"/>
      <c r="AH34" s="3091"/>
      <c r="AI34" s="3093"/>
      <c r="AJ34" s="3092"/>
      <c r="AK34" s="3091"/>
      <c r="AL34" s="3093"/>
      <c r="AM34" s="3092"/>
      <c r="AN34" s="3091"/>
      <c r="AO34" s="3093"/>
      <c r="AP34" s="3092"/>
      <c r="AQ34" s="3091"/>
      <c r="AR34" s="3093"/>
      <c r="AS34" s="3092"/>
      <c r="AT34" s="3091"/>
      <c r="AU34" s="3093"/>
      <c r="AV34" s="3092"/>
    </row>
    <row r="35" spans="1:48" ht="15.5">
      <c r="A35" s="3089" t="s">
        <v>2024</v>
      </c>
      <c r="B35" s="3086">
        <f ca="1">-SUM(B142,B201)</f>
        <v>0</v>
      </c>
      <c r="C35" s="3087" t="str">
        <f>IF(B$12=0,"",ABS(B35)/B$12)</f>
        <v/>
      </c>
      <c r="D35" s="3086">
        <f ca="1">-SUM(D142,D201,D223)</f>
        <v>0</v>
      </c>
      <c r="E35" s="3088" t="str">
        <f>IF(D$12=0,"",ABS(D35)/D$12)</f>
        <v/>
      </c>
      <c r="F35" s="3087" t="str">
        <f ca="1">IF(B35=0,"",IF(ABS((D35/B35)-1)&gt;10000%,"N/A",(D35/B35)-1))</f>
        <v/>
      </c>
      <c r="G35" s="3086">
        <f ca="1">-SUM(G142,G201,G223)</f>
        <v>0</v>
      </c>
      <c r="H35" s="3088" t="str">
        <f>IF(G$12=0,"",ABS(G35)/G$12)</f>
        <v/>
      </c>
      <c r="I35" s="3087" t="str">
        <f ca="1">IF(D35=0,"",IF(ABS((G35/D35)-1)&gt;10000%,"N/A",(G35/D35)-1))</f>
        <v/>
      </c>
      <c r="J35" s="3086">
        <f ca="1">-SUM(J142,J201,J223)</f>
        <v>0</v>
      </c>
      <c r="K35" s="3088" t="str">
        <f>IF(J$12=0,"",ABS(J35)/J$12)</f>
        <v/>
      </c>
      <c r="L35" s="3087" t="str">
        <f ca="1">IF(G35=0,"",IF(ABS((J35/G35)-1)&gt;10000%,"N/A",(J35/G35)-1))</f>
        <v/>
      </c>
      <c r="M35" s="3086">
        <f ca="1">-SUM(M142,M201,M223)</f>
        <v>0</v>
      </c>
      <c r="N35" s="3088" t="str">
        <f>IF(M$12=0,"",ABS(M35)/M$12)</f>
        <v/>
      </c>
      <c r="O35" s="3087" t="str">
        <f ca="1">IF(J35=0,"",IF(ABS((M35/J35)-1)&gt;10000%,"N/A",(M35/J35)-1))</f>
        <v/>
      </c>
      <c r="P35" s="3086">
        <f ca="1">-SUM(P142,P201,P223)</f>
        <v>0</v>
      </c>
      <c r="Q35" s="3088" t="str">
        <f>IF(P$12=0,"",ABS(P35)/P$12)</f>
        <v/>
      </c>
      <c r="R35" s="3087" t="str">
        <f ca="1">IF(M35=0,"",IF(ABS((P35/M35)-1)&gt;10000%,"N/A",(P35/M35)-1))</f>
        <v/>
      </c>
      <c r="S35" s="3086">
        <f ca="1">-SUM(S142,S201,S223)</f>
        <v>0</v>
      </c>
      <c r="T35" s="3088" t="str">
        <f>IF(S$12=0,"",ABS(S35)/S$12)</f>
        <v/>
      </c>
      <c r="U35" s="3087" t="str">
        <f ca="1">IF(P35=0,"",IF(ABS((S35/P35)-1)&gt;10000%,"N/A",(S35/P35)-1))</f>
        <v/>
      </c>
      <c r="V35" s="3086">
        <f ca="1">-SUM(V142,V201,V223)</f>
        <v>0</v>
      </c>
      <c r="W35" s="3088" t="str">
        <f>IF(V$12=0,"",ABS(V35)/V$12)</f>
        <v/>
      </c>
      <c r="X35" s="3087" t="str">
        <f ca="1">IF(S35=0,"",IF(ABS((V35/S35)-1)&gt;10000%,"N/A",(V35/S35)-1))</f>
        <v/>
      </c>
      <c r="Y35" s="3086">
        <f ca="1">-SUM(Y142,Y201,Y223)</f>
        <v>0</v>
      </c>
      <c r="Z35" s="3088" t="str">
        <f>IF(Y$12=0,"",ABS(Y35)/Y$12)</f>
        <v/>
      </c>
      <c r="AA35" s="3087" t="str">
        <f ca="1">IF(V35=0,"",IF(ABS((Y35/V35)-1)&gt;10000%,"N/A",(Y35/V35)-1))</f>
        <v/>
      </c>
      <c r="AB35" s="3086">
        <f ca="1">-SUM(AB142,AB201,AB223)</f>
        <v>0</v>
      </c>
      <c r="AC35" s="3088" t="str">
        <f>IF(AB$12=0,"",ABS(AB35)/AB$12)</f>
        <v/>
      </c>
      <c r="AD35" s="3087" t="str">
        <f ca="1">IF(Y35=0,"",IF(ABS((AB35/Y35)-1)&gt;10000%,"N/A",(AB35/Y35)-1))</f>
        <v/>
      </c>
      <c r="AE35" s="3086">
        <f ca="1">-SUM(AE142,AE201,AE223)</f>
        <v>0</v>
      </c>
      <c r="AF35" s="3088" t="str">
        <f>IF(AE$12=0,"",ABS(AE35)/AE$12)</f>
        <v/>
      </c>
      <c r="AG35" s="3087" t="str">
        <f ca="1">IF(AB35=0,"",IF(ABS((AE35/AB35)-1)&gt;10000%,"N/A",(AE35/AB35)-1))</f>
        <v/>
      </c>
      <c r="AH35" s="3086">
        <f ca="1">-SUM(AH142,AH201,AH223)</f>
        <v>0</v>
      </c>
      <c r="AI35" s="3088" t="str">
        <f>IF(AH$12=0,"",ABS(AH35)/AH$12)</f>
        <v/>
      </c>
      <c r="AJ35" s="3087" t="str">
        <f ca="1">IF(AE35=0,"",IF(ABS((AH35/AE35)-1)&gt;10000%,"N/A",(AH35/AE35)-1))</f>
        <v/>
      </c>
      <c r="AK35" s="3086">
        <f ca="1">-SUM(AK142,AK201,AK223)</f>
        <v>0</v>
      </c>
      <c r="AL35" s="3088" t="str">
        <f>IF(AK$12=0,"",ABS(AK35)/AK$12)</f>
        <v/>
      </c>
      <c r="AM35" s="3087" t="str">
        <f ca="1">IF(AH35=0,"",IF(ABS((AK35/AH35)-1)&gt;10000%,"N/A",(AK35/AH35)-1))</f>
        <v/>
      </c>
      <c r="AN35" s="3086">
        <f ca="1">-SUM(AN142,AN201,AN223)</f>
        <v>0</v>
      </c>
      <c r="AO35" s="3088" t="str">
        <f>IF(AN$12=0,"",ABS(AN35)/AN$12)</f>
        <v/>
      </c>
      <c r="AP35" s="3087" t="str">
        <f ca="1">IF(AK35=0,"",IF(ABS((AN35/AK35)-1)&gt;10000%,"N/A",(AN35/AK35)-1))</f>
        <v/>
      </c>
      <c r="AQ35" s="3086">
        <f ca="1">-SUM(AQ142,AQ201,AQ223)</f>
        <v>0</v>
      </c>
      <c r="AR35" s="3088" t="str">
        <f>IF(AQ$12=0,"",ABS(AQ35)/AQ$12)</f>
        <v/>
      </c>
      <c r="AS35" s="3087" t="str">
        <f ca="1">IF(AN35=0,"",IF(ABS((AQ35/AN35)-1)&gt;10000%,"N/A",(AQ35/AN35)-1))</f>
        <v/>
      </c>
      <c r="AT35" s="3086">
        <f ca="1">-SUM(AT142,AT201,AT223)</f>
        <v>0</v>
      </c>
      <c r="AU35" s="3088" t="str">
        <f>IF(AT$12=0,"",ABS(AT35)/AT$12)</f>
        <v/>
      </c>
      <c r="AV35" s="3087" t="str">
        <f ca="1">IF(AQ35=0,"",IF(ABS((AT35/AQ35)-1)&gt;10000%,"N/A",(AT35/AQ35)-1))</f>
        <v/>
      </c>
    </row>
    <row r="36" spans="1:48" ht="15.5">
      <c r="A36" s="3089" t="s">
        <v>2025</v>
      </c>
      <c r="B36" s="3086"/>
      <c r="C36" s="3087" t="str">
        <f>IF(B$12=0,"",ABS(B36)/B$12)</f>
        <v/>
      </c>
      <c r="D36" s="3086">
        <f ca="1">IF(D47-B47&lt;0,D47-B47,0)</f>
        <v>0</v>
      </c>
      <c r="E36" s="3088" t="str">
        <f>IF(D$12=0,"",ABS(D36)/D$12)</f>
        <v/>
      </c>
      <c r="F36" s="3087" t="str">
        <f>IF(B36=0,"",IF(ABS((D36/B36)-1)&gt;10000%,"N/A",(D36/B36)-1))</f>
        <v/>
      </c>
      <c r="G36" s="3086">
        <f ca="1">IF(G47-D47&lt;0,G47-D47,0)</f>
        <v>0</v>
      </c>
      <c r="H36" s="3088" t="str">
        <f>IF(G$12=0,"",ABS(G36)/G$12)</f>
        <v/>
      </c>
      <c r="I36" s="3087" t="str">
        <f ca="1">IF(D36=0,"",IF(ABS((G36/D36)-1)&gt;10000%,"N/A",(G36/D36)-1))</f>
        <v/>
      </c>
      <c r="J36" s="3086">
        <f ca="1">IF(J47-G47&lt;0,J47-G47,0)</f>
        <v>0</v>
      </c>
      <c r="K36" s="3088" t="str">
        <f>IF(J$12=0,"",ABS(J36)/J$12)</f>
        <v/>
      </c>
      <c r="L36" s="3087" t="str">
        <f ca="1">IF(G36=0,"",IF(ABS((J36/G36)-1)&gt;10000%,"N/A",(J36/G36)-1))</f>
        <v/>
      </c>
      <c r="M36" s="3086">
        <f ca="1">IF(M47-J47&lt;0,M47-J47,0)</f>
        <v>0</v>
      </c>
      <c r="N36" s="3088" t="str">
        <f>IF(M$12=0,"",ABS(M36)/M$12)</f>
        <v/>
      </c>
      <c r="O36" s="3087" t="str">
        <f ca="1">IF(J36=0,"",IF(ABS((M36/J36)-1)&gt;10000%,"N/A",(M36/J36)-1))</f>
        <v/>
      </c>
      <c r="P36" s="3086">
        <f ca="1">IF(P47-M47&lt;0,P47-M47,0)</f>
        <v>0</v>
      </c>
      <c r="Q36" s="3088" t="str">
        <f>IF(P$12=0,"",ABS(P36)/P$12)</f>
        <v/>
      </c>
      <c r="R36" s="3087" t="str">
        <f ca="1">IF(M36=0,"",IF(ABS((P36/M36)-1)&gt;10000%,"N/A",(P36/M36)-1))</f>
        <v/>
      </c>
      <c r="S36" s="3086">
        <f ca="1">IF(S47-P47&lt;0,S47-P47,0)</f>
        <v>0</v>
      </c>
      <c r="T36" s="3088" t="str">
        <f>IF(S$12=0,"",ABS(S36)/S$12)</f>
        <v/>
      </c>
      <c r="U36" s="3087" t="str">
        <f ca="1">IF(P36=0,"",IF(ABS((S36/P36)-1)&gt;10000%,"N/A",(S36/P36)-1))</f>
        <v/>
      </c>
      <c r="V36" s="3086">
        <f ca="1">IF(V47-S47&lt;0,V47-S47,0)</f>
        <v>0</v>
      </c>
      <c r="W36" s="3088" t="str">
        <f>IF(V$12=0,"",ABS(V36)/V$12)</f>
        <v/>
      </c>
      <c r="X36" s="3087" t="str">
        <f ca="1">IF(S36=0,"",IF(ABS((V36/S36)-1)&gt;10000%,"N/A",(V36/S36)-1))</f>
        <v/>
      </c>
      <c r="Y36" s="3086">
        <f ca="1">IF(Y47-V47&lt;0,Y47-V47,0)</f>
        <v>0</v>
      </c>
      <c r="Z36" s="3088" t="str">
        <f>IF(Y$12=0,"",ABS(Y36)/Y$12)</f>
        <v/>
      </c>
      <c r="AA36" s="3087" t="str">
        <f ca="1">IF(V36=0,"",IF(ABS((Y36/V36)-1)&gt;10000%,"N/A",(Y36/V36)-1))</f>
        <v/>
      </c>
      <c r="AB36" s="3086">
        <f ca="1">IF(AB47-Y47&lt;0,AB47-Y47,0)</f>
        <v>0</v>
      </c>
      <c r="AC36" s="3088" t="str">
        <f>IF(AB$12=0,"",ABS(AB36)/AB$12)</f>
        <v/>
      </c>
      <c r="AD36" s="3087" t="str">
        <f ca="1">IF(Y36=0,"",IF(ABS((AB36/Y36)-1)&gt;10000%,"N/A",(AB36/Y36)-1))</f>
        <v/>
      </c>
      <c r="AE36" s="3086">
        <f ca="1">IF(AE47-AB47&lt;0,AE47-AB47,0)</f>
        <v>0</v>
      </c>
      <c r="AF36" s="3088" t="str">
        <f>IF(AE$12=0,"",ABS(AE36)/AE$12)</f>
        <v/>
      </c>
      <c r="AG36" s="3087" t="str">
        <f ca="1">IF(AB36=0,"",IF(ABS((AE36/AB36)-1)&gt;10000%,"N/A",(AE36/AB36)-1))</f>
        <v/>
      </c>
      <c r="AH36" s="3086">
        <f ca="1">IF(AH47-AE47&lt;0,AH47-AE47,0)</f>
        <v>0</v>
      </c>
      <c r="AI36" s="3088" t="str">
        <f>IF(AH$12=0,"",ABS(AH36)/AH$12)</f>
        <v/>
      </c>
      <c r="AJ36" s="3087" t="str">
        <f ca="1">IF(AE36=0,"",IF(ABS((AH36/AE36)-1)&gt;10000%,"N/A",(AH36/AE36)-1))</f>
        <v/>
      </c>
      <c r="AK36" s="3086">
        <f ca="1">IF(AK47-AH47&lt;0,AK47-AH47,0)</f>
        <v>0</v>
      </c>
      <c r="AL36" s="3088" t="str">
        <f>IF(AK$12=0,"",ABS(AK36)/AK$12)</f>
        <v/>
      </c>
      <c r="AM36" s="3087" t="str">
        <f ca="1">IF(AH36=0,"",IF(ABS((AK36/AH36)-1)&gt;10000%,"N/A",(AK36/AH36)-1))</f>
        <v/>
      </c>
      <c r="AN36" s="3086">
        <f ca="1">IF(AN47-AK47&lt;0,AN47-AK47,0)</f>
        <v>0</v>
      </c>
      <c r="AO36" s="3088" t="str">
        <f>IF(AN$12=0,"",ABS(AN36)/AN$12)</f>
        <v/>
      </c>
      <c r="AP36" s="3087" t="str">
        <f ca="1">IF(AK36=0,"",IF(ABS((AN36/AK36)-1)&gt;10000%,"N/A",(AN36/AK36)-1))</f>
        <v/>
      </c>
      <c r="AQ36" s="3086">
        <f ca="1">IF(AQ47-AN47&lt;0,AQ47-AN47,0)</f>
        <v>0</v>
      </c>
      <c r="AR36" s="3088" t="str">
        <f>IF(AQ$12=0,"",ABS(AQ36)/AQ$12)</f>
        <v/>
      </c>
      <c r="AS36" s="3087" t="str">
        <f ca="1">IF(AN36=0,"",IF(ABS((AQ36/AN36)-1)&gt;10000%,"N/A",(AQ36/AN36)-1))</f>
        <v/>
      </c>
      <c r="AT36" s="3086">
        <f ca="1">IF(AT47-AQ47&lt;0,AT47-AQ47,0)</f>
        <v>0</v>
      </c>
      <c r="AU36" s="3088" t="str">
        <f>IF(AT$12=0,"",ABS(AT36)/AT$12)</f>
        <v/>
      </c>
      <c r="AV36" s="3087" t="str">
        <f ca="1">IF(AQ36=0,"",IF(ABS((AT36/AQ36)-1)&gt;10000%,"N/A",(AT36/AQ36)-1))</f>
        <v/>
      </c>
    </row>
    <row r="37" spans="1:48" ht="15.5">
      <c r="A37" s="3089" t="s">
        <v>2026</v>
      </c>
      <c r="B37" s="3086">
        <f>-B140</f>
        <v>0</v>
      </c>
      <c r="C37" s="3087" t="str">
        <f>IF(B$12=0,"",ABS(B37)/B$12)</f>
        <v/>
      </c>
      <c r="D37" s="3086">
        <f ca="1">-D140</f>
        <v>0</v>
      </c>
      <c r="E37" s="3088" t="str">
        <f>IF(D$12=0,"",ABS(D37)/D$12)</f>
        <v/>
      </c>
      <c r="F37" s="3087" t="str">
        <f>IF(B37=0,"",IF(ABS((D37/B37)-1)&gt;10000%,"N/A",(D37/B37)-1))</f>
        <v/>
      </c>
      <c r="G37" s="3086">
        <f ca="1">-G140</f>
        <v>0</v>
      </c>
      <c r="H37" s="3088" t="str">
        <f>IF(G$12=0,"",ABS(G37)/G$12)</f>
        <v/>
      </c>
      <c r="I37" s="3087" t="str">
        <f ca="1">IF(D37=0,"",IF(ABS((G37/D37)-1)&gt;10000%,"N/A",(G37/D37)-1))</f>
        <v/>
      </c>
      <c r="J37" s="3086">
        <f ca="1">-J140</f>
        <v>0</v>
      </c>
      <c r="K37" s="3088" t="str">
        <f>IF(J$12=0,"",ABS(J37)/J$12)</f>
        <v/>
      </c>
      <c r="L37" s="3087" t="str">
        <f ca="1">IF(G37=0,"",IF(ABS((J37/G37)-1)&gt;10000%,"N/A",(J37/G37)-1))</f>
        <v/>
      </c>
      <c r="M37" s="3086">
        <f ca="1">-M140</f>
        <v>0</v>
      </c>
      <c r="N37" s="3088" t="str">
        <f>IF(M$12=0,"",ABS(M37)/M$12)</f>
        <v/>
      </c>
      <c r="O37" s="3087" t="str">
        <f ca="1">IF(J37=0,"",IF(ABS((M37/J37)-1)&gt;10000%,"N/A",(M37/J37)-1))</f>
        <v/>
      </c>
      <c r="P37" s="3086">
        <f ca="1">-P140</f>
        <v>0</v>
      </c>
      <c r="Q37" s="3088" t="str">
        <f>IF(P$12=0,"",ABS(P37)/P$12)</f>
        <v/>
      </c>
      <c r="R37" s="3087" t="str">
        <f ca="1">IF(M37=0,"",IF(ABS((P37/M37)-1)&gt;10000%,"N/A",(P37/M37)-1))</f>
        <v/>
      </c>
      <c r="S37" s="3086">
        <f ca="1">-S140</f>
        <v>0</v>
      </c>
      <c r="T37" s="3088" t="str">
        <f>IF(S$12=0,"",ABS(S37)/S$12)</f>
        <v/>
      </c>
      <c r="U37" s="3087" t="str">
        <f ca="1">IF(P37=0,"",IF(ABS((S37/P37)-1)&gt;10000%,"N/A",(S37/P37)-1))</f>
        <v/>
      </c>
      <c r="V37" s="3086">
        <f ca="1">-V140</f>
        <v>0</v>
      </c>
      <c r="W37" s="3088" t="str">
        <f>IF(V$12=0,"",ABS(V37)/V$12)</f>
        <v/>
      </c>
      <c r="X37" s="3087" t="str">
        <f ca="1">IF(S37=0,"",IF(ABS((V37/S37)-1)&gt;10000%,"N/A",(V37/S37)-1))</f>
        <v/>
      </c>
      <c r="Y37" s="3086">
        <f ca="1">-Y140</f>
        <v>0</v>
      </c>
      <c r="Z37" s="3088" t="str">
        <f>IF(Y$12=0,"",ABS(Y37)/Y$12)</f>
        <v/>
      </c>
      <c r="AA37" s="3087" t="str">
        <f ca="1">IF(V37=0,"",IF(ABS((Y37/V37)-1)&gt;10000%,"N/A",(Y37/V37)-1))</f>
        <v/>
      </c>
      <c r="AB37" s="3086">
        <f ca="1">-AB140</f>
        <v>0</v>
      </c>
      <c r="AC37" s="3088" t="str">
        <f>IF(AB$12=0,"",ABS(AB37)/AB$12)</f>
        <v/>
      </c>
      <c r="AD37" s="3087" t="str">
        <f ca="1">IF(Y37=0,"",IF(ABS((AB37/Y37)-1)&gt;10000%,"N/A",(AB37/Y37)-1))</f>
        <v/>
      </c>
      <c r="AE37" s="3086">
        <f ca="1">-AE140</f>
        <v>0</v>
      </c>
      <c r="AF37" s="3088" t="str">
        <f>IF(AE$12=0,"",ABS(AE37)/AE$12)</f>
        <v/>
      </c>
      <c r="AG37" s="3087" t="str">
        <f ca="1">IF(AB37=0,"",IF(ABS((AE37/AB37)-1)&gt;10000%,"N/A",(AE37/AB37)-1))</f>
        <v/>
      </c>
      <c r="AH37" s="3086">
        <f ca="1">-AH140</f>
        <v>0</v>
      </c>
      <c r="AI37" s="3088" t="str">
        <f>IF(AH$12=0,"",ABS(AH37)/AH$12)</f>
        <v/>
      </c>
      <c r="AJ37" s="3087" t="str">
        <f ca="1">IF(AE37=0,"",IF(ABS((AH37/AE37)-1)&gt;10000%,"N/A",(AH37/AE37)-1))</f>
        <v/>
      </c>
      <c r="AK37" s="3086">
        <f ca="1">-AK140</f>
        <v>0</v>
      </c>
      <c r="AL37" s="3088" t="str">
        <f>IF(AK$12=0,"",ABS(AK37)/AK$12)</f>
        <v/>
      </c>
      <c r="AM37" s="3087" t="str">
        <f ca="1">IF(AH37=0,"",IF(ABS((AK37/AH37)-1)&gt;10000%,"N/A",(AK37/AH37)-1))</f>
        <v/>
      </c>
      <c r="AN37" s="3086">
        <f ca="1">-AN140</f>
        <v>0</v>
      </c>
      <c r="AO37" s="3088" t="str">
        <f>IF(AN$12=0,"",ABS(AN37)/AN$12)</f>
        <v/>
      </c>
      <c r="AP37" s="3087" t="str">
        <f ca="1">IF(AK37=0,"",IF(ABS((AN37/AK37)-1)&gt;10000%,"N/A",(AN37/AK37)-1))</f>
        <v/>
      </c>
      <c r="AQ37" s="3086">
        <f ca="1">-AQ140</f>
        <v>0</v>
      </c>
      <c r="AR37" s="3088" t="str">
        <f>IF(AQ$12=0,"",ABS(AQ37)/AQ$12)</f>
        <v/>
      </c>
      <c r="AS37" s="3087" t="str">
        <f ca="1">IF(AN37=0,"",IF(ABS((AQ37/AN37)-1)&gt;10000%,"N/A",(AQ37/AN37)-1))</f>
        <v/>
      </c>
      <c r="AT37" s="3086">
        <f ca="1">-AT140</f>
        <v>0</v>
      </c>
      <c r="AU37" s="3088" t="str">
        <f>IF(AT$12=0,"",ABS(AT37)/AT$12)</f>
        <v/>
      </c>
      <c r="AV37" s="3087" t="str">
        <f ca="1">IF(AQ37=0,"",IF(ABS((AT37/AQ37)-1)&gt;10000%,"N/A",(AT37/AQ37)-1))</f>
        <v/>
      </c>
    </row>
    <row r="38" spans="1:48" ht="15.5">
      <c r="A38" s="3089" t="s">
        <v>2027</v>
      </c>
      <c r="B38" s="3086">
        <f>-B199</f>
        <v>0</v>
      </c>
      <c r="C38" s="3087" t="str">
        <f>IF(B$12=0,"",ABS(B38)/B$12)</f>
        <v/>
      </c>
      <c r="D38" s="3086">
        <f ca="1">-D199</f>
        <v>0</v>
      </c>
      <c r="E38" s="3088" t="str">
        <f>IF(D$12=0,"",ABS(D38)/D$12)</f>
        <v/>
      </c>
      <c r="F38" s="3087" t="str">
        <f>IF(B38=0,"",IF(ABS((D38/B38)-1)&gt;10000%,"N/A",(D38/B38)-1))</f>
        <v/>
      </c>
      <c r="G38" s="3086">
        <f ca="1">-G199</f>
        <v>0</v>
      </c>
      <c r="H38" s="3088" t="str">
        <f>IF(G$12=0,"",ABS(G38)/G$12)</f>
        <v/>
      </c>
      <c r="I38" s="3087" t="str">
        <f ca="1">IF(D38=0,"",IF(ABS((G38/D38)-1)&gt;10000%,"N/A",(G38/D38)-1))</f>
        <v/>
      </c>
      <c r="J38" s="3086">
        <f ca="1">-J199</f>
        <v>0</v>
      </c>
      <c r="K38" s="3088" t="str">
        <f>IF(J$12=0,"",ABS(J38)/J$12)</f>
        <v/>
      </c>
      <c r="L38" s="3087" t="str">
        <f ca="1">IF(G38=0,"",IF(ABS((J38/G38)-1)&gt;10000%,"N/A",(J38/G38)-1))</f>
        <v/>
      </c>
      <c r="M38" s="3086">
        <f ca="1">-M199</f>
        <v>0</v>
      </c>
      <c r="N38" s="3088" t="str">
        <f>IF(M$12=0,"",ABS(M38)/M$12)</f>
        <v/>
      </c>
      <c r="O38" s="3087" t="str">
        <f ca="1">IF(J38=0,"",IF(ABS((M38/J38)-1)&gt;10000%,"N/A",(M38/J38)-1))</f>
        <v/>
      </c>
      <c r="P38" s="3086">
        <f ca="1">-P199</f>
        <v>0</v>
      </c>
      <c r="Q38" s="3088" t="str">
        <f>IF(P$12=0,"",ABS(P38)/P$12)</f>
        <v/>
      </c>
      <c r="R38" s="3087" t="str">
        <f ca="1">IF(M38=0,"",IF(ABS((P38/M38)-1)&gt;10000%,"N/A",(P38/M38)-1))</f>
        <v/>
      </c>
      <c r="S38" s="3086">
        <f ca="1">-S199</f>
        <v>0</v>
      </c>
      <c r="T38" s="3088" t="str">
        <f>IF(S$12=0,"",ABS(S38)/S$12)</f>
        <v/>
      </c>
      <c r="U38" s="3087" t="str">
        <f ca="1">IF(P38=0,"",IF(ABS((S38/P38)-1)&gt;10000%,"N/A",(S38/P38)-1))</f>
        <v/>
      </c>
      <c r="V38" s="3086">
        <f ca="1">-V199</f>
        <v>0</v>
      </c>
      <c r="W38" s="3088" t="str">
        <f>IF(V$12=0,"",ABS(V38)/V$12)</f>
        <v/>
      </c>
      <c r="X38" s="3087" t="str">
        <f ca="1">IF(S38=0,"",IF(ABS((V38/S38)-1)&gt;10000%,"N/A",(V38/S38)-1))</f>
        <v/>
      </c>
      <c r="Y38" s="3086">
        <f ca="1">-Y199</f>
        <v>0</v>
      </c>
      <c r="Z38" s="3088" t="str">
        <f>IF(Y$12=0,"",ABS(Y38)/Y$12)</f>
        <v/>
      </c>
      <c r="AA38" s="3087" t="str">
        <f ca="1">IF(V38=0,"",IF(ABS((Y38/V38)-1)&gt;10000%,"N/A",(Y38/V38)-1))</f>
        <v/>
      </c>
      <c r="AB38" s="3086">
        <f ca="1">-AB199</f>
        <v>0</v>
      </c>
      <c r="AC38" s="3088" t="str">
        <f>IF(AB$12=0,"",ABS(AB38)/AB$12)</f>
        <v/>
      </c>
      <c r="AD38" s="3087" t="str">
        <f ca="1">IF(Y38=0,"",IF(ABS((AB38/Y38)-1)&gt;10000%,"N/A",(AB38/Y38)-1))</f>
        <v/>
      </c>
      <c r="AE38" s="3086">
        <f ca="1">-AE199</f>
        <v>0</v>
      </c>
      <c r="AF38" s="3088" t="str">
        <f>IF(AE$12=0,"",ABS(AE38)/AE$12)</f>
        <v/>
      </c>
      <c r="AG38" s="3087" t="str">
        <f ca="1">IF(AB38=0,"",IF(ABS((AE38/AB38)-1)&gt;10000%,"N/A",(AE38/AB38)-1))</f>
        <v/>
      </c>
      <c r="AH38" s="3086">
        <f ca="1">-AH199</f>
        <v>0</v>
      </c>
      <c r="AI38" s="3088" t="str">
        <f>IF(AH$12=0,"",ABS(AH38)/AH$12)</f>
        <v/>
      </c>
      <c r="AJ38" s="3087" t="str">
        <f ca="1">IF(AE38=0,"",IF(ABS((AH38/AE38)-1)&gt;10000%,"N/A",(AH38/AE38)-1))</f>
        <v/>
      </c>
      <c r="AK38" s="3086">
        <f ca="1">-AK199</f>
        <v>0</v>
      </c>
      <c r="AL38" s="3088" t="str">
        <f>IF(AK$12=0,"",ABS(AK38)/AK$12)</f>
        <v/>
      </c>
      <c r="AM38" s="3087" t="str">
        <f ca="1">IF(AH38=0,"",IF(ABS((AK38/AH38)-1)&gt;10000%,"N/A",(AK38/AH38)-1))</f>
        <v/>
      </c>
      <c r="AN38" s="3086">
        <f ca="1">-AN199</f>
        <v>0</v>
      </c>
      <c r="AO38" s="3088" t="str">
        <f>IF(AN$12=0,"",ABS(AN38)/AN$12)</f>
        <v/>
      </c>
      <c r="AP38" s="3087" t="str">
        <f ca="1">IF(AK38=0,"",IF(ABS((AN38/AK38)-1)&gt;10000%,"N/A",(AN38/AK38)-1))</f>
        <v/>
      </c>
      <c r="AQ38" s="3086">
        <f ca="1">-AQ199</f>
        <v>0</v>
      </c>
      <c r="AR38" s="3088" t="str">
        <f>IF(AQ$12=0,"",ABS(AQ38)/AQ$12)</f>
        <v/>
      </c>
      <c r="AS38" s="3087" t="str">
        <f ca="1">IF(AN38=0,"",IF(ABS((AQ38/AN38)-1)&gt;10000%,"N/A",(AQ38/AN38)-1))</f>
        <v/>
      </c>
      <c r="AT38" s="3086">
        <f ca="1">-AT199</f>
        <v>0</v>
      </c>
      <c r="AU38" s="3088" t="str">
        <f>IF(AT$12=0,"",ABS(AT38)/AT$12)</f>
        <v/>
      </c>
      <c r="AV38" s="3087" t="str">
        <f ca="1">IF(AQ38=0,"",IF(ABS((AT38/AQ38)-1)&gt;10000%,"N/A",(AT38/AQ38)-1))</f>
        <v/>
      </c>
    </row>
    <row r="39" spans="1:48" ht="12.5">
      <c r="A39" s="3090"/>
      <c r="B39" s="3091"/>
      <c r="C39" s="3092"/>
      <c r="D39" s="3091"/>
      <c r="E39" s="3093"/>
      <c r="F39" s="3092"/>
      <c r="G39" s="3091"/>
      <c r="H39" s="3093"/>
      <c r="I39" s="3092"/>
      <c r="J39" s="3091"/>
      <c r="K39" s="3093"/>
      <c r="L39" s="3092"/>
      <c r="M39" s="3091"/>
      <c r="N39" s="3093"/>
      <c r="O39" s="3092"/>
      <c r="P39" s="3091"/>
      <c r="Q39" s="3093"/>
      <c r="R39" s="3092"/>
      <c r="S39" s="3091"/>
      <c r="T39" s="3093"/>
      <c r="U39" s="3092"/>
      <c r="V39" s="3091"/>
      <c r="W39" s="3093"/>
      <c r="X39" s="3092"/>
      <c r="Y39" s="3091"/>
      <c r="Z39" s="3093"/>
      <c r="AA39" s="3092"/>
      <c r="AB39" s="3091"/>
      <c r="AC39" s="3093"/>
      <c r="AD39" s="3092"/>
      <c r="AE39" s="3091"/>
      <c r="AF39" s="3093"/>
      <c r="AG39" s="3092"/>
      <c r="AH39" s="3091"/>
      <c r="AI39" s="3093"/>
      <c r="AJ39" s="3092"/>
      <c r="AK39" s="3091"/>
      <c r="AL39" s="3093"/>
      <c r="AM39" s="3092"/>
      <c r="AN39" s="3091"/>
      <c r="AO39" s="3093"/>
      <c r="AP39" s="3092"/>
      <c r="AQ39" s="3091"/>
      <c r="AR39" s="3093"/>
      <c r="AS39" s="3092"/>
      <c r="AT39" s="3091"/>
      <c r="AU39" s="3093"/>
      <c r="AV39" s="3092"/>
    </row>
    <row r="40" spans="1:48" ht="15.5">
      <c r="A40" s="3099" t="s">
        <v>2028</v>
      </c>
      <c r="B40" s="3100">
        <f ca="1">SUM(B35:B38)</f>
        <v>0</v>
      </c>
      <c r="C40" s="3101" t="str">
        <f>IF(B$12=0,"",ABS(B40)/B$12)</f>
        <v/>
      </c>
      <c r="D40" s="3100">
        <f ca="1">SUM(D35:D38)</f>
        <v>0</v>
      </c>
      <c r="E40" s="3102" t="str">
        <f>IF(D$12=0,"",ABS(D40)/D$12)</f>
        <v/>
      </c>
      <c r="F40" s="3101" t="str">
        <f ca="1">IF(B40=0,"",IF(ABS((D40/B40)-1)&gt;10000%,"N/A",(D40/B40)-1))</f>
        <v/>
      </c>
      <c r="G40" s="3100">
        <f ca="1">SUM(G35:G38)</f>
        <v>0</v>
      </c>
      <c r="H40" s="3102" t="str">
        <f>IF(G$12=0,"",ABS(G40)/G$12)</f>
        <v/>
      </c>
      <c r="I40" s="3101" t="str">
        <f ca="1">IF(D40=0,"",IF(ABS((G40/D40)-1)&gt;10000%,"N/A",(G40/D40)-1))</f>
        <v/>
      </c>
      <c r="J40" s="3100">
        <f ca="1">SUM(J35:J38)</f>
        <v>0</v>
      </c>
      <c r="K40" s="3102" t="str">
        <f>IF(J$12=0,"",ABS(J40)/J$12)</f>
        <v/>
      </c>
      <c r="L40" s="3101" t="str">
        <f ca="1">IF(G40=0,"",IF(ABS((J40/G40)-1)&gt;10000%,"N/A",(J40/G40)-1))</f>
        <v/>
      </c>
      <c r="M40" s="3100">
        <f ca="1">SUM(M35:M38)</f>
        <v>0</v>
      </c>
      <c r="N40" s="3102" t="str">
        <f>IF(M$12=0,"",ABS(M40)/M$12)</f>
        <v/>
      </c>
      <c r="O40" s="3101" t="str">
        <f ca="1">IF(J40=0,"",IF(ABS((M40/J40)-1)&gt;10000%,"N/A",(M40/J40)-1))</f>
        <v/>
      </c>
      <c r="P40" s="3098">
        <f ca="1">SUM(P35:P38)</f>
        <v>0</v>
      </c>
      <c r="Q40" s="3102" t="str">
        <f>IF(P$12=0,"",ABS(P40)/P$12)</f>
        <v/>
      </c>
      <c r="R40" s="3101" t="str">
        <f ca="1">IF(M40=0,"",IF(ABS((P40/M40)-1)&gt;10000%,"N/A",(P40/M40)-1))</f>
        <v/>
      </c>
      <c r="S40" s="3100">
        <f ca="1">SUM(S35:S38)</f>
        <v>0</v>
      </c>
      <c r="T40" s="3102" t="str">
        <f>IF(S$12=0,"",ABS(S40)/S$12)</f>
        <v/>
      </c>
      <c r="U40" s="3101" t="str">
        <f ca="1">IF(P40=0,"",IF(ABS((S40/P40)-1)&gt;10000%,"N/A",(S40/P40)-1))</f>
        <v/>
      </c>
      <c r="V40" s="3100">
        <f ca="1">SUM(V35:V38)</f>
        <v>0</v>
      </c>
      <c r="W40" s="3102" t="str">
        <f>IF(V$12=0,"",ABS(V40)/V$12)</f>
        <v/>
      </c>
      <c r="X40" s="3101" t="str">
        <f ca="1">IF(S40=0,"",IF(ABS((V40/S40)-1)&gt;10000%,"N/A",(V40/S40)-1))</f>
        <v/>
      </c>
      <c r="Y40" s="3100">
        <f ca="1">SUM(Y35:Y38)</f>
        <v>0</v>
      </c>
      <c r="Z40" s="3102" t="str">
        <f>IF(Y$12=0,"",ABS(Y40)/Y$12)</f>
        <v/>
      </c>
      <c r="AA40" s="3101" t="str">
        <f ca="1">IF(V40=0,"",IF(ABS((Y40/V40)-1)&gt;10000%,"N/A",(Y40/V40)-1))</f>
        <v/>
      </c>
      <c r="AB40" s="3100">
        <f ca="1">SUM(AB35:AB38)</f>
        <v>0</v>
      </c>
      <c r="AC40" s="3102" t="str">
        <f>IF(AB$12=0,"",ABS(AB40)/AB$12)</f>
        <v/>
      </c>
      <c r="AD40" s="3101" t="str">
        <f ca="1">IF(Y40=0,"",IF(ABS((AB40/Y40)-1)&gt;10000%,"N/A",(AB40/Y40)-1))</f>
        <v/>
      </c>
      <c r="AE40" s="3100">
        <f ca="1">SUM(AE35:AE38)</f>
        <v>0</v>
      </c>
      <c r="AF40" s="3102" t="str">
        <f>IF(AE$12=0,"",ABS(AE40)/AE$12)</f>
        <v/>
      </c>
      <c r="AG40" s="3101" t="str">
        <f ca="1">IF(AB40=0,"",IF(ABS((AE40/AB40)-1)&gt;10000%,"N/A",(AE40/AB40)-1))</f>
        <v/>
      </c>
      <c r="AH40" s="3100">
        <f ca="1">SUM(AH35:AH38)</f>
        <v>0</v>
      </c>
      <c r="AI40" s="3102" t="str">
        <f>IF(AH$12=0,"",ABS(AH40)/AH$12)</f>
        <v/>
      </c>
      <c r="AJ40" s="3101" t="str">
        <f ca="1">IF(AE40=0,"",IF(ABS((AH40/AE40)-1)&gt;10000%,"N/A",(AH40/AE40)-1))</f>
        <v/>
      </c>
      <c r="AK40" s="3100">
        <f ca="1">SUM(AK35:AK38)</f>
        <v>0</v>
      </c>
      <c r="AL40" s="3102" t="str">
        <f>IF(AK$12=0,"",ABS(AK40)/AK$12)</f>
        <v/>
      </c>
      <c r="AM40" s="3101" t="str">
        <f ca="1">IF(AH40=0,"",IF(ABS((AK40/AH40)-1)&gt;10000%,"N/A",(AK40/AH40)-1))</f>
        <v/>
      </c>
      <c r="AN40" s="3100">
        <f ca="1">SUM(AN35:AN38)</f>
        <v>0</v>
      </c>
      <c r="AO40" s="3102" t="str">
        <f>IF(AN$12=0,"",ABS(AN40)/AN$12)</f>
        <v/>
      </c>
      <c r="AP40" s="3101" t="str">
        <f ca="1">IF(AK40=0,"",IF(ABS((AN40/AK40)-1)&gt;10000%,"N/A",(AN40/AK40)-1))</f>
        <v/>
      </c>
      <c r="AQ40" s="3100">
        <f ca="1">SUM(AQ35:AQ38)</f>
        <v>0</v>
      </c>
      <c r="AR40" s="3102" t="str">
        <f>IF(AQ$12=0,"",ABS(AQ40)/AQ$12)</f>
        <v/>
      </c>
      <c r="AS40" s="3101" t="str">
        <f ca="1">IF(AN40=0,"",IF(ABS((AQ40/AN40)-1)&gt;10000%,"N/A",(AQ40/AN40)-1))</f>
        <v/>
      </c>
      <c r="AT40" s="3100">
        <f ca="1">SUM(AT35:AT38)</f>
        <v>0</v>
      </c>
      <c r="AU40" s="3102" t="str">
        <f>IF(AT$12=0,"",ABS(AT40)/AT$12)</f>
        <v/>
      </c>
      <c r="AV40" s="3101" t="str">
        <f ca="1">IF(AQ40=0,"",IF(ABS((AT40/AQ40)-1)&gt;10000%,"N/A",(AT40/AQ40)-1))</f>
        <v/>
      </c>
    </row>
    <row r="41" spans="1:48" ht="15.5">
      <c r="A41" s="3103" t="s">
        <v>2029</v>
      </c>
      <c r="B41" s="3104">
        <f ca="1">SUM(B33,B40)</f>
        <v>0</v>
      </c>
      <c r="C41" s="3105" t="str">
        <f>IF(B$12=0,"",ABS(B41)/B$12)</f>
        <v/>
      </c>
      <c r="D41" s="3104">
        <f ca="1">SUM(D33,D40)</f>
        <v>0</v>
      </c>
      <c r="E41" s="3106" t="str">
        <f>IF(D$12=0,"",ABS(D41)/D$12)</f>
        <v/>
      </c>
      <c r="F41" s="3105" t="str">
        <f ca="1">IF(B41=0,"",IF(ABS((D41/B41)-1)&gt;10000%,"N/A",(D41/B41)-1))</f>
        <v/>
      </c>
      <c r="G41" s="3104">
        <f ca="1">SUM(G33,G40)</f>
        <v>0</v>
      </c>
      <c r="H41" s="3106" t="str">
        <f>IF(G$12=0,"",ABS(G41)/G$12)</f>
        <v/>
      </c>
      <c r="I41" s="3105" t="str">
        <f ca="1">IF(D41=0,"",IF(ABS((G41/D41)-1)&gt;10000%,"N/A",(G41/D41)-1))</f>
        <v/>
      </c>
      <c r="J41" s="3104">
        <f ca="1">SUM(J33,J40)</f>
        <v>0</v>
      </c>
      <c r="K41" s="3106" t="str">
        <f>IF(J$12=0,"",ABS(J41)/J$12)</f>
        <v/>
      </c>
      <c r="L41" s="3105" t="str">
        <f ca="1">IF(G41=0,"",IF(ABS((J41/G41)-1)&gt;10000%,"N/A",(J41/G41)-1))</f>
        <v/>
      </c>
      <c r="M41" s="3104">
        <f ca="1">SUM(M33,M40)</f>
        <v>0</v>
      </c>
      <c r="N41" s="3106" t="str">
        <f>IF(M$12=0,"",ABS(M41)/M$12)</f>
        <v/>
      </c>
      <c r="O41" s="3105" t="str">
        <f ca="1">IF(J41=0,"",IF(ABS((M41/J41)-1)&gt;10000%,"N/A",(M41/J41)-1))</f>
        <v/>
      </c>
      <c r="P41" s="3104">
        <f ca="1">SUM(P33,P40)</f>
        <v>0</v>
      </c>
      <c r="Q41" s="3106" t="str">
        <f>IF(P$12=0,"",ABS(P41)/P$12)</f>
        <v/>
      </c>
      <c r="R41" s="3105" t="str">
        <f ca="1">IF(M41=0,"",IF(ABS((P41/M41)-1)&gt;10000%,"N/A",(P41/M41)-1))</f>
        <v/>
      </c>
      <c r="S41" s="3104">
        <f ca="1">SUM(S33,S40)</f>
        <v>0</v>
      </c>
      <c r="T41" s="3106" t="str">
        <f>IF(S$12=0,"",ABS(S41)/S$12)</f>
        <v/>
      </c>
      <c r="U41" s="3105" t="str">
        <f ca="1">IF(P41=0,"",IF(ABS((S41/P41)-1)&gt;10000%,"N/A",(S41/P41)-1))</f>
        <v/>
      </c>
      <c r="V41" s="3104">
        <f ca="1">SUM(V33,V40)</f>
        <v>0</v>
      </c>
      <c r="W41" s="3106" t="str">
        <f>IF(V$12=0,"",ABS(V41)/V$12)</f>
        <v/>
      </c>
      <c r="X41" s="3105" t="str">
        <f ca="1">IF(S41=0,"",IF(ABS((V41/S41)-1)&gt;10000%,"N/A",(V41/S41)-1))</f>
        <v/>
      </c>
      <c r="Y41" s="3104">
        <f ca="1">SUM(Y33,Y40)</f>
        <v>0</v>
      </c>
      <c r="Z41" s="3106" t="str">
        <f>IF(Y$12=0,"",ABS(Y41)/Y$12)</f>
        <v/>
      </c>
      <c r="AA41" s="3105" t="str">
        <f ca="1">IF(V41=0,"",IF(ABS((Y41/V41)-1)&gt;10000%,"N/A",(Y41/V41)-1))</f>
        <v/>
      </c>
      <c r="AB41" s="3104">
        <f ca="1">SUM(AB33,AB40)</f>
        <v>0</v>
      </c>
      <c r="AC41" s="3106" t="str">
        <f>IF(AB$12=0,"",ABS(AB41)/AB$12)</f>
        <v/>
      </c>
      <c r="AD41" s="3105" t="str">
        <f ca="1">IF(Y41=0,"",IF(ABS((AB41/Y41)-1)&gt;10000%,"N/A",(AB41/Y41)-1))</f>
        <v/>
      </c>
      <c r="AE41" s="3104">
        <f ca="1">SUM(AE33,AE40)</f>
        <v>0</v>
      </c>
      <c r="AF41" s="3106" t="str">
        <f>IF(AE$12=0,"",ABS(AE41)/AE$12)</f>
        <v/>
      </c>
      <c r="AG41" s="3105" t="str">
        <f ca="1">IF(AB41=0,"",IF(ABS((AE41/AB41)-1)&gt;10000%,"N/A",(AE41/AB41)-1))</f>
        <v/>
      </c>
      <c r="AH41" s="3104">
        <f ca="1">SUM(AH33,AH40)</f>
        <v>0</v>
      </c>
      <c r="AI41" s="3106" t="str">
        <f>IF(AH$12=0,"",ABS(AH41)/AH$12)</f>
        <v/>
      </c>
      <c r="AJ41" s="3105" t="str">
        <f ca="1">IF(AE41=0,"",IF(ABS((AH41/AE41)-1)&gt;10000%,"N/A",(AH41/AE41)-1))</f>
        <v/>
      </c>
      <c r="AK41" s="3104">
        <f ca="1">SUM(AK33,AK40)</f>
        <v>0</v>
      </c>
      <c r="AL41" s="3106" t="str">
        <f>IF(AK$12=0,"",ABS(AK41)/AK$12)</f>
        <v/>
      </c>
      <c r="AM41" s="3105" t="str">
        <f ca="1">IF(AH41=0,"",IF(ABS((AK41/AH41)-1)&gt;10000%,"N/A",(AK41/AH41)-1))</f>
        <v/>
      </c>
      <c r="AN41" s="3104">
        <f ca="1">SUM(AN33,AN40)</f>
        <v>0</v>
      </c>
      <c r="AO41" s="3106" t="str">
        <f>IF(AN$12=0,"",ABS(AN41)/AN$12)</f>
        <v/>
      </c>
      <c r="AP41" s="3105" t="str">
        <f ca="1">IF(AK41=0,"",IF(ABS((AN41/AK41)-1)&gt;10000%,"N/A",(AN41/AK41)-1))</f>
        <v/>
      </c>
      <c r="AQ41" s="3104">
        <f ca="1">SUM(AQ33,AQ40)</f>
        <v>0</v>
      </c>
      <c r="AR41" s="3106" t="str">
        <f>IF(AQ$12=0,"",ABS(AQ41)/AQ$12)</f>
        <v/>
      </c>
      <c r="AS41" s="3105" t="str">
        <f ca="1">IF(AN41=0,"",IF(ABS((AQ41/AN41)-1)&gt;10000%,"N/A",(AQ41/AN41)-1))</f>
        <v/>
      </c>
      <c r="AT41" s="3104">
        <f ca="1">SUM(AT33,AT40)</f>
        <v>0</v>
      </c>
      <c r="AU41" s="3106" t="str">
        <f>IF(AT$12=0,"",ABS(AT41)/AT$12)</f>
        <v/>
      </c>
      <c r="AV41" s="3105" t="str">
        <f ca="1">IF(AQ41=0,"",IF(ABS((AT41/AQ41)-1)&gt;10000%,"N/A",(AT41/AQ41)-1))</f>
        <v/>
      </c>
    </row>
    <row r="42" spans="1:48" ht="12.5">
      <c r="A42" s="3090"/>
      <c r="B42" s="3091"/>
      <c r="C42" s="3092"/>
      <c r="D42" s="3091"/>
      <c r="E42" s="3093"/>
      <c r="F42" s="3092"/>
      <c r="G42" s="3091"/>
      <c r="H42" s="3093"/>
      <c r="I42" s="3092"/>
      <c r="J42" s="3091"/>
      <c r="K42" s="3093"/>
      <c r="L42" s="3092"/>
      <c r="M42" s="3091"/>
      <c r="N42" s="3093"/>
      <c r="O42" s="3092"/>
      <c r="P42" s="3091"/>
      <c r="Q42" s="3093"/>
      <c r="R42" s="3092"/>
      <c r="S42" s="3091"/>
      <c r="T42" s="3093"/>
      <c r="U42" s="3092"/>
      <c r="V42" s="3091"/>
      <c r="W42" s="3093"/>
      <c r="X42" s="3092"/>
      <c r="Y42" s="3091"/>
      <c r="Z42" s="3093"/>
      <c r="AA42" s="3092"/>
      <c r="AB42" s="3091"/>
      <c r="AC42" s="3093"/>
      <c r="AD42" s="3092"/>
      <c r="AE42" s="3091"/>
      <c r="AF42" s="3093"/>
      <c r="AG42" s="3092"/>
      <c r="AH42" s="3091"/>
      <c r="AI42" s="3093"/>
      <c r="AJ42" s="3092"/>
      <c r="AK42" s="3091"/>
      <c r="AL42" s="3093"/>
      <c r="AM42" s="3092"/>
      <c r="AN42" s="3091"/>
      <c r="AO42" s="3093"/>
      <c r="AP42" s="3092"/>
      <c r="AQ42" s="3091"/>
      <c r="AR42" s="3093"/>
      <c r="AS42" s="3092"/>
      <c r="AT42" s="3091"/>
      <c r="AU42" s="3093"/>
      <c r="AV42" s="3092"/>
    </row>
    <row r="43" spans="1:48" ht="15.5">
      <c r="A43" s="3089" t="s">
        <v>2030</v>
      </c>
      <c r="B43" s="3086">
        <f>-(B12*B219)</f>
        <v>0</v>
      </c>
      <c r="C43" s="3087" t="str">
        <f>IF(B$12=0,"",ABS(B43)/B$12)</f>
        <v/>
      </c>
      <c r="D43" s="3086">
        <f>-D12*D219</f>
        <v>0</v>
      </c>
      <c r="E43" s="3088" t="str">
        <f>IF(D$12=0,"",ABS(D43)/D$12)</f>
        <v/>
      </c>
      <c r="F43" s="3087" t="str">
        <f>IF(B43=0,"",IF(ABS((D43/B43)-1)&gt;10000%,"N/A",(D43/B43)-1))</f>
        <v/>
      </c>
      <c r="G43" s="3086">
        <f>-G12*G219</f>
        <v>0</v>
      </c>
      <c r="H43" s="3088" t="str">
        <f>IF(G$12=0,"",ABS(G43)/G$12)</f>
        <v/>
      </c>
      <c r="I43" s="3087" t="str">
        <f>IF(D43=0,"",IF(ABS((G43/D43)-1)&gt;10000%,"N/A",(G43/D43)-1))</f>
        <v/>
      </c>
      <c r="J43" s="3086">
        <f>-J12*J219</f>
        <v>0</v>
      </c>
      <c r="K43" s="3088" t="str">
        <f>IF(J$12=0,"",ABS(J43)/J$12)</f>
        <v/>
      </c>
      <c r="L43" s="3087" t="str">
        <f>IF(G43=0,"",IF(ABS((J43/G43)-1)&gt;10000%,"N/A",(J43/G43)-1))</f>
        <v/>
      </c>
      <c r="M43" s="3086">
        <f>-M12*M219</f>
        <v>0</v>
      </c>
      <c r="N43" s="3088" t="str">
        <f>IF(M$12=0,"",ABS(M43)/M$12)</f>
        <v/>
      </c>
      <c r="O43" s="3087" t="str">
        <f>IF(J43=0,"",IF(ABS((M43/J43)-1)&gt;10000%,"N/A",(M43/J43)-1))</f>
        <v/>
      </c>
      <c r="P43" s="3086">
        <f>-P12*P219</f>
        <v>0</v>
      </c>
      <c r="Q43" s="3088" t="str">
        <f>IF(P$12=0,"",ABS(P43)/P$12)</f>
        <v/>
      </c>
      <c r="R43" s="3087" t="str">
        <f>IF(M43=0,"",IF(ABS((P43/M43)-1)&gt;10000%,"N/A",(P43/M43)-1))</f>
        <v/>
      </c>
      <c r="S43" s="3086">
        <f>-S12*S219</f>
        <v>0</v>
      </c>
      <c r="T43" s="3088" t="str">
        <f>IF(S$12=0,"",ABS(S43)/S$12)</f>
        <v/>
      </c>
      <c r="U43" s="3087" t="str">
        <f>IF(P43=0,"",IF(ABS((S43/P43)-1)&gt;10000%,"N/A",(S43/P43)-1))</f>
        <v/>
      </c>
      <c r="V43" s="3086">
        <f>-V12*V219</f>
        <v>0</v>
      </c>
      <c r="W43" s="3088" t="str">
        <f>IF(V$12=0,"",ABS(V43)/V$12)</f>
        <v/>
      </c>
      <c r="X43" s="3087" t="str">
        <f>IF(S43=0,"",IF(ABS((V43/S43)-1)&gt;10000%,"N/A",(V43/S43)-1))</f>
        <v/>
      </c>
      <c r="Y43" s="3086">
        <f>-Y12*Y219</f>
        <v>0</v>
      </c>
      <c r="Z43" s="3088" t="str">
        <f>IF(Y$12=0,"",ABS(Y43)/Y$12)</f>
        <v/>
      </c>
      <c r="AA43" s="3087" t="str">
        <f>IF(V43=0,"",IF(ABS((Y43/V43)-1)&gt;10000%,"N/A",(Y43/V43)-1))</f>
        <v/>
      </c>
      <c r="AB43" s="3086">
        <f>-AB12*AB219</f>
        <v>0</v>
      </c>
      <c r="AC43" s="3088" t="str">
        <f>IF(AB$12=0,"",ABS(AB43)/AB$12)</f>
        <v/>
      </c>
      <c r="AD43" s="3087" t="str">
        <f>IF(Y43=0,"",IF(ABS((AB43/Y43)-1)&gt;10000%,"N/A",(AB43/Y43)-1))</f>
        <v/>
      </c>
      <c r="AE43" s="3086">
        <f>-AE12*AE219</f>
        <v>0</v>
      </c>
      <c r="AF43" s="3088" t="str">
        <f>IF(AE$12=0,"",ABS(AE43)/AE$12)</f>
        <v/>
      </c>
      <c r="AG43" s="3087" t="str">
        <f>IF(AB43=0,"",IF(ABS((AE43/AB43)-1)&gt;10000%,"N/A",(AE43/AB43)-1))</f>
        <v/>
      </c>
      <c r="AH43" s="3086">
        <f>-AH12*AH219</f>
        <v>0</v>
      </c>
      <c r="AI43" s="3088" t="str">
        <f>IF(AH$12=0,"",ABS(AH43)/AH$12)</f>
        <v/>
      </c>
      <c r="AJ43" s="3087" t="str">
        <f>IF(AE43=0,"",IF(ABS((AH43/AE43)-1)&gt;10000%,"N/A",(AH43/AE43)-1))</f>
        <v/>
      </c>
      <c r="AK43" s="3086">
        <f>-AK12*AK219</f>
        <v>0</v>
      </c>
      <c r="AL43" s="3088" t="str">
        <f>IF(AK$12=0,"",ABS(AK43)/AK$12)</f>
        <v/>
      </c>
      <c r="AM43" s="3087" t="str">
        <f>IF(AH43=0,"",IF(ABS((AK43/AH43)-1)&gt;10000%,"N/A",(AK43/AH43)-1))</f>
        <v/>
      </c>
      <c r="AN43" s="3086">
        <f>-AN12*AN219</f>
        <v>0</v>
      </c>
      <c r="AO43" s="3088" t="str">
        <f>IF(AN$12=0,"",ABS(AN43)/AN$12)</f>
        <v/>
      </c>
      <c r="AP43" s="3087" t="str">
        <f>IF(AK43=0,"",IF(ABS((AN43/AK43)-1)&gt;10000%,"N/A",(AN43/AK43)-1))</f>
        <v/>
      </c>
      <c r="AQ43" s="3086">
        <f>-AQ12*AQ219</f>
        <v>0</v>
      </c>
      <c r="AR43" s="3088" t="str">
        <f>IF(AQ$12=0,"",ABS(AQ43)/AQ$12)</f>
        <v/>
      </c>
      <c r="AS43" s="3087" t="str">
        <f>IF(AN43=0,"",IF(ABS((AQ43/AN43)-1)&gt;10000%,"N/A",(AQ43/AN43)-1))</f>
        <v/>
      </c>
      <c r="AT43" s="3086">
        <f>-AT12*AT219</f>
        <v>0</v>
      </c>
      <c r="AU43" s="3088" t="str">
        <f>IF(AT$12=0,"",ABS(AT43)/AT$12)</f>
        <v/>
      </c>
      <c r="AV43" s="3087" t="str">
        <f>IF(AQ43=0,"",IF(ABS((AT43/AQ43)-1)&gt;10000%,"N/A",(AT43/AQ43)-1))</f>
        <v/>
      </c>
    </row>
    <row r="44" spans="1:48" ht="15.5">
      <c r="A44" s="3089" t="s">
        <v>2031</v>
      </c>
      <c r="B44" s="3086"/>
      <c r="C44" s="3087" t="str">
        <f>IF(B$12=0,"",ABS(B44)/B$12)</f>
        <v/>
      </c>
      <c r="D44" s="3086">
        <f ca="1">B46</f>
        <v>0</v>
      </c>
      <c r="E44" s="3088" t="str">
        <f>IF(D$12=0,"",ABS(D44)/D$12)</f>
        <v/>
      </c>
      <c r="F44" s="3087" t="str">
        <f>IF(B44=0,"",IF(ABS((D44/B44)-1)&gt;10000%,"N/A",(D44/B44)-1))</f>
        <v/>
      </c>
      <c r="G44" s="3086">
        <f ca="1">D46</f>
        <v>0</v>
      </c>
      <c r="H44" s="3088" t="str">
        <f>IF(G$12=0,"",ABS(G44)/G$12)</f>
        <v/>
      </c>
      <c r="I44" s="3087" t="str">
        <f ca="1">IF(D44=0,"",IF(ABS((G44/D44)-1)&gt;10000%,"N/A",(G44/D44)-1))</f>
        <v/>
      </c>
      <c r="J44" s="3086">
        <f ca="1">G46</f>
        <v>0</v>
      </c>
      <c r="K44" s="3088" t="str">
        <f>IF(J$12=0,"",ABS(J44)/J$12)</f>
        <v/>
      </c>
      <c r="L44" s="3087" t="str">
        <f ca="1">IF(G44=0,"",IF(ABS((J44/G44)-1)&gt;10000%,"N/A",(J44/G44)-1))</f>
        <v/>
      </c>
      <c r="M44" s="3086">
        <f ca="1">J46</f>
        <v>0</v>
      </c>
      <c r="N44" s="3088" t="str">
        <f>IF(M$12=0,"",ABS(M44)/M$12)</f>
        <v/>
      </c>
      <c r="O44" s="3087" t="str">
        <f ca="1">IF(J44=0,"",IF(ABS((M44/J44)-1)&gt;10000%,"N/A",(M44/J44)-1))</f>
        <v/>
      </c>
      <c r="P44" s="3086">
        <f ca="1">M46</f>
        <v>0</v>
      </c>
      <c r="Q44" s="3088" t="str">
        <f>IF(P$12=0,"",ABS(P44)/P$12)</f>
        <v/>
      </c>
      <c r="R44" s="3087" t="str">
        <f ca="1">IF(M44=0,"",IF(ABS((P44/M44)-1)&gt;10000%,"N/A",(P44/M44)-1))</f>
        <v/>
      </c>
      <c r="S44" s="3086">
        <f ca="1">P46</f>
        <v>0</v>
      </c>
      <c r="T44" s="3088" t="str">
        <f>IF(S$12=0,"",ABS(S44)/S$12)</f>
        <v/>
      </c>
      <c r="U44" s="3087" t="str">
        <f ca="1">IF(P44=0,"",IF(ABS((S44/P44)-1)&gt;10000%,"N/A",(S44/P44)-1))</f>
        <v/>
      </c>
      <c r="V44" s="3086">
        <f ca="1">S46</f>
        <v>0</v>
      </c>
      <c r="W44" s="3088" t="str">
        <f>IF(V$12=0,"",ABS(V44)/V$12)</f>
        <v/>
      </c>
      <c r="X44" s="3087" t="str">
        <f ca="1">IF(S44=0,"",IF(ABS((V44/S44)-1)&gt;10000%,"N/A",(V44/S44)-1))</f>
        <v/>
      </c>
      <c r="Y44" s="3086">
        <f ca="1">V46</f>
        <v>0</v>
      </c>
      <c r="Z44" s="3088" t="str">
        <f>IF(Y$12=0,"",ABS(Y44)/Y$12)</f>
        <v/>
      </c>
      <c r="AA44" s="3087" t="str">
        <f ca="1">IF(V44=0,"",IF(ABS((Y44/V44)-1)&gt;10000%,"N/A",(Y44/V44)-1))</f>
        <v/>
      </c>
      <c r="AB44" s="3086">
        <f ca="1">Y46</f>
        <v>0</v>
      </c>
      <c r="AC44" s="3088" t="str">
        <f>IF(AB$12=0,"",ABS(AB44)/AB$12)</f>
        <v/>
      </c>
      <c r="AD44" s="3087" t="str">
        <f ca="1">IF(Y44=0,"",IF(ABS((AB44/Y44)-1)&gt;10000%,"N/A",(AB44/Y44)-1))</f>
        <v/>
      </c>
      <c r="AE44" s="3086">
        <f ca="1">AB46</f>
        <v>0</v>
      </c>
      <c r="AF44" s="3088" t="str">
        <f>IF(AE$12=0,"",ABS(AE44)/AE$12)</f>
        <v/>
      </c>
      <c r="AG44" s="3087" t="str">
        <f ca="1">IF(AB44=0,"",IF(ABS((AE44/AB44)-1)&gt;10000%,"N/A",(AE44/AB44)-1))</f>
        <v/>
      </c>
      <c r="AH44" s="3086">
        <f ca="1">AE46</f>
        <v>0</v>
      </c>
      <c r="AI44" s="3088" t="str">
        <f>IF(AH$12=0,"",ABS(AH44)/AH$12)</f>
        <v/>
      </c>
      <c r="AJ44" s="3087" t="str">
        <f ca="1">IF(AE44=0,"",IF(ABS((AH44/AE44)-1)&gt;10000%,"N/A",(AH44/AE44)-1))</f>
        <v/>
      </c>
      <c r="AK44" s="3086">
        <f ca="1">AH46</f>
        <v>0</v>
      </c>
      <c r="AL44" s="3088" t="str">
        <f>IF(AK$12=0,"",ABS(AK44)/AK$12)</f>
        <v/>
      </c>
      <c r="AM44" s="3087" t="str">
        <f ca="1">IF(AH44=0,"",IF(ABS((AK44/AH44)-1)&gt;10000%,"N/A",(AK44/AH44)-1))</f>
        <v/>
      </c>
      <c r="AN44" s="3086">
        <f ca="1">AK46</f>
        <v>0</v>
      </c>
      <c r="AO44" s="3088" t="str">
        <f>IF(AN$12=0,"",ABS(AN44)/AN$12)</f>
        <v/>
      </c>
      <c r="AP44" s="3087" t="str">
        <f ca="1">IF(AK44=0,"",IF(ABS((AN44/AK44)-1)&gt;10000%,"N/A",(AN44/AK44)-1))</f>
        <v/>
      </c>
      <c r="AQ44" s="3086">
        <f ca="1">AN46</f>
        <v>0</v>
      </c>
      <c r="AR44" s="3088" t="str">
        <f>IF(AQ$12=0,"",ABS(AQ44)/AQ$12)</f>
        <v/>
      </c>
      <c r="AS44" s="3087" t="str">
        <f ca="1">IF(AN44=0,"",IF(ABS((AQ44/AN44)-1)&gt;10000%,"N/A",(AQ44/AN44)-1))</f>
        <v/>
      </c>
      <c r="AT44" s="3086">
        <f ca="1">AQ46</f>
        <v>0</v>
      </c>
      <c r="AU44" s="3088" t="str">
        <f>IF(AT$12=0,"",ABS(AT44)/AT$12)</f>
        <v/>
      </c>
      <c r="AV44" s="3087" t="str">
        <f ca="1">IF(AQ44=0,"",IF(ABS((AT44/AQ44)-1)&gt;10000%,"N/A",(AT44/AQ44)-1))</f>
        <v/>
      </c>
    </row>
    <row r="45" spans="1:48" ht="12.5">
      <c r="A45" s="3090"/>
      <c r="B45" s="3091"/>
      <c r="C45" s="3092"/>
      <c r="D45" s="3091"/>
      <c r="E45" s="3093"/>
      <c r="F45" s="3092"/>
      <c r="G45" s="3091"/>
      <c r="H45" s="3093"/>
      <c r="I45" s="3092"/>
      <c r="J45" s="3091"/>
      <c r="K45" s="3093"/>
      <c r="L45" s="3092"/>
      <c r="M45" s="3091"/>
      <c r="N45" s="3093"/>
      <c r="O45" s="3092"/>
      <c r="P45" s="3091"/>
      <c r="Q45" s="3093"/>
      <c r="R45" s="3092"/>
      <c r="S45" s="3091"/>
      <c r="T45" s="3093"/>
      <c r="U45" s="3092"/>
      <c r="V45" s="3091"/>
      <c r="W45" s="3093"/>
      <c r="X45" s="3092"/>
      <c r="Y45" s="3091"/>
      <c r="Z45" s="3093"/>
      <c r="AA45" s="3092"/>
      <c r="AB45" s="3091"/>
      <c r="AC45" s="3093"/>
      <c r="AD45" s="3092"/>
      <c r="AE45" s="3091"/>
      <c r="AF45" s="3093"/>
      <c r="AG45" s="3092"/>
      <c r="AH45" s="3091"/>
      <c r="AI45" s="3093"/>
      <c r="AJ45" s="3092"/>
      <c r="AK45" s="3091"/>
      <c r="AL45" s="3093"/>
      <c r="AM45" s="3092"/>
      <c r="AN45" s="3091"/>
      <c r="AO45" s="3093"/>
      <c r="AP45" s="3092"/>
      <c r="AQ45" s="3091"/>
      <c r="AR45" s="3093"/>
      <c r="AS45" s="3092"/>
      <c r="AT45" s="3091"/>
      <c r="AU45" s="3093"/>
      <c r="AV45" s="3092"/>
    </row>
    <row r="46" spans="1:48" ht="15.5">
      <c r="A46" s="3107" t="s">
        <v>2032</v>
      </c>
      <c r="B46" s="3108">
        <f ca="1">SUM(B41,B43:B44)</f>
        <v>0</v>
      </c>
      <c r="C46" s="3109" t="str">
        <f>IF(B$12=0,"",ABS(B46)/B$12)</f>
        <v/>
      </c>
      <c r="D46" s="3108">
        <f ca="1">SUM(D41,D43:D44)</f>
        <v>0</v>
      </c>
      <c r="E46" s="3110" t="str">
        <f>IF(D$12=0,"",ABS(D46)/D$12)</f>
        <v/>
      </c>
      <c r="F46" s="3109" t="str">
        <f t="shared" ref="F46:F51" ca="1" si="0">IF(B46=0,"",IF(ABS((D46/B46)-1)&gt;10000%,"N/A",(D46/B46)-1))</f>
        <v/>
      </c>
      <c r="G46" s="3108">
        <f ca="1">SUM(G41,G43:G44)</f>
        <v>0</v>
      </c>
      <c r="H46" s="3110" t="str">
        <f>IF(G$12=0,"",ABS(G46)/G$12)</f>
        <v/>
      </c>
      <c r="I46" s="3109" t="str">
        <f t="shared" ref="I46:I51" ca="1" si="1">IF(D46=0,"",IF(ABS((G46/D46)-1)&gt;10000%,"N/A",(G46/D46)-1))</f>
        <v/>
      </c>
      <c r="J46" s="3108">
        <f ca="1">SUM(J41,J43:J44)</f>
        <v>0</v>
      </c>
      <c r="K46" s="3110" t="str">
        <f>IF(J$12=0,"",ABS(J46)/J$12)</f>
        <v/>
      </c>
      <c r="L46" s="3109" t="str">
        <f t="shared" ref="L46:L51" ca="1" si="2">IF(G46=0,"",IF(ABS((J46/G46)-1)&gt;10000%,"N/A",(J46/G46)-1))</f>
        <v/>
      </c>
      <c r="M46" s="3108">
        <f ca="1">SUM(M41,M43:M44)</f>
        <v>0</v>
      </c>
      <c r="N46" s="3110" t="str">
        <f>IF(M$12=0,"",ABS(M46)/M$12)</f>
        <v/>
      </c>
      <c r="O46" s="3109" t="str">
        <f t="shared" ref="O46:O51" ca="1" si="3">IF(J46=0,"",IF(ABS((M46/J46)-1)&gt;10000%,"N/A",(M46/J46)-1))</f>
        <v/>
      </c>
      <c r="P46" s="3108">
        <f ca="1">SUM(P41,P43:P44)</f>
        <v>0</v>
      </c>
      <c r="Q46" s="3110" t="str">
        <f>IF(P$12=0,"",ABS(P46)/P$12)</f>
        <v/>
      </c>
      <c r="R46" s="3109" t="str">
        <f t="shared" ref="R46:R51" ca="1" si="4">IF(M46=0,"",IF(ABS((P46/M46)-1)&gt;10000%,"N/A",(P46/M46)-1))</f>
        <v/>
      </c>
      <c r="S46" s="3108">
        <f ca="1">SUM(S41,S43:S44)</f>
        <v>0</v>
      </c>
      <c r="T46" s="3110" t="str">
        <f>IF(S$12=0,"",ABS(S46)/S$12)</f>
        <v/>
      </c>
      <c r="U46" s="3109" t="str">
        <f t="shared" ref="U46:U51" ca="1" si="5">IF(P46=0,"",IF(ABS((S46/P46)-1)&gt;10000%,"N/A",(S46/P46)-1))</f>
        <v/>
      </c>
      <c r="V46" s="3108">
        <f ca="1">SUM(V41,V43:V44)</f>
        <v>0</v>
      </c>
      <c r="W46" s="3110" t="str">
        <f>IF(V$12=0,"",ABS(V46)/V$12)</f>
        <v/>
      </c>
      <c r="X46" s="3109" t="str">
        <f t="shared" ref="X46:X51" ca="1" si="6">IF(S46=0,"",IF(ABS((V46/S46)-1)&gt;10000%,"N/A",(V46/S46)-1))</f>
        <v/>
      </c>
      <c r="Y46" s="3108">
        <f ca="1">SUM(Y41,Y43:Y44)</f>
        <v>0</v>
      </c>
      <c r="Z46" s="3110" t="str">
        <f>IF(Y$12=0,"",ABS(Y46)/Y$12)</f>
        <v/>
      </c>
      <c r="AA46" s="3109" t="str">
        <f t="shared" ref="AA46:AA51" ca="1" si="7">IF(V46=0,"",IF(ABS((Y46/V46)-1)&gt;10000%,"N/A",(Y46/V46)-1))</f>
        <v/>
      </c>
      <c r="AB46" s="3108">
        <f ca="1">SUM(AB41,AB43:AB44)</f>
        <v>0</v>
      </c>
      <c r="AC46" s="3110" t="str">
        <f>IF(AB$12=0,"",ABS(AB46)/AB$12)</f>
        <v/>
      </c>
      <c r="AD46" s="3109" t="str">
        <f t="shared" ref="AD46:AD51" ca="1" si="8">IF(Y46=0,"",IF(ABS((AB46/Y46)-1)&gt;10000%,"N/A",(AB46/Y46)-1))</f>
        <v/>
      </c>
      <c r="AE46" s="3108">
        <f ca="1">SUM(AE41,AE43:AE44)</f>
        <v>0</v>
      </c>
      <c r="AF46" s="3110" t="str">
        <f>IF(AE$12=0,"",ABS(AE46)/AE$12)</f>
        <v/>
      </c>
      <c r="AG46" s="3109" t="str">
        <f t="shared" ref="AG46:AG51" ca="1" si="9">IF(AB46=0,"",IF(ABS((AE46/AB46)-1)&gt;10000%,"N/A",(AE46/AB46)-1))</f>
        <v/>
      </c>
      <c r="AH46" s="3108">
        <f ca="1">SUM(AH41,AH43:AH44)</f>
        <v>0</v>
      </c>
      <c r="AI46" s="3110" t="str">
        <f>IF(AH$12=0,"",ABS(AH46)/AH$12)</f>
        <v/>
      </c>
      <c r="AJ46" s="3109" t="str">
        <f t="shared" ref="AJ46:AJ51" ca="1" si="10">IF(AE46=0,"",IF(ABS((AH46/AE46)-1)&gt;10000%,"N/A",(AH46/AE46)-1))</f>
        <v/>
      </c>
      <c r="AK46" s="3108">
        <f ca="1">SUM(AK41,AK43:AK44)</f>
        <v>0</v>
      </c>
      <c r="AL46" s="3110" t="str">
        <f>IF(AK$12=0,"",ABS(AK46)/AK$12)</f>
        <v/>
      </c>
      <c r="AM46" s="3109" t="str">
        <f t="shared" ref="AM46:AM51" ca="1" si="11">IF(AH46=0,"",IF(ABS((AK46/AH46)-1)&gt;10000%,"N/A",(AK46/AH46)-1))</f>
        <v/>
      </c>
      <c r="AN46" s="3108">
        <f ca="1">SUM(AN41,AN43:AN44)</f>
        <v>0</v>
      </c>
      <c r="AO46" s="3110" t="str">
        <f>IF(AN$12=0,"",ABS(AN46)/AN$12)</f>
        <v/>
      </c>
      <c r="AP46" s="3109" t="str">
        <f t="shared" ref="AP46:AP51" ca="1" si="12">IF(AK46=0,"",IF(ABS((AN46/AK46)-1)&gt;10000%,"N/A",(AN46/AK46)-1))</f>
        <v/>
      </c>
      <c r="AQ46" s="3108">
        <f ca="1">SUM(AQ41,AQ43:AQ44)</f>
        <v>0</v>
      </c>
      <c r="AR46" s="3110" t="str">
        <f>IF(AQ$12=0,"",ABS(AQ46)/AQ$12)</f>
        <v/>
      </c>
      <c r="AS46" s="3109" t="str">
        <f t="shared" ref="AS46:AS51" ca="1" si="13">IF(AN46=0,"",IF(ABS((AQ46/AN46)-1)&gt;10000%,"N/A",(AQ46/AN46)-1))</f>
        <v/>
      </c>
      <c r="AT46" s="3108">
        <f ca="1">SUM(AT41,AT43:AT44)</f>
        <v>0</v>
      </c>
      <c r="AU46" s="3110" t="str">
        <f>IF(AT$12=0,"",ABS(AT46)/AT$12)</f>
        <v/>
      </c>
      <c r="AV46" s="3109" t="str">
        <f t="shared" ref="AV46:AV51" ca="1" si="14">IF(AQ46=0,"",IF(ABS((AT46/AQ46)-1)&gt;10000%,"N/A",(AT46/AQ46)-1))</f>
        <v/>
      </c>
    </row>
    <row r="47" spans="1:48" ht="15.5">
      <c r="A47" s="3111" t="s">
        <v>1505</v>
      </c>
      <c r="B47" s="3112">
        <f ca="1">IF(SUM(B27,B30:B31,B37:B38,B43:B44)&gt;=B346,0,-SUM(B27,B30:B31,B37:B38,B43:B44,-B346))</f>
        <v>0</v>
      </c>
      <c r="C47" s="3113"/>
      <c r="D47" s="3112">
        <f ca="1">IF(SUM(D27,D30:D31,D37:D38,D43:D44,-B47)&gt;=D346,0,B47-SUM(D27,D30:D31,D37:D38,D43:D44,-D346))</f>
        <v>0</v>
      </c>
      <c r="E47" s="3114"/>
      <c r="F47" s="3115" t="str">
        <f t="shared" ca="1" si="0"/>
        <v/>
      </c>
      <c r="G47" s="3112">
        <f ca="1">IF(SUM(G27,G30:G31,G37:G38,G43:G44,-D47)&gt;=G346,0,D47-SUM(G27,G30:G31,G37:G38,G43:G44,-G346))</f>
        <v>0</v>
      </c>
      <c r="H47" s="3114"/>
      <c r="I47" s="3115" t="str">
        <f t="shared" ca="1" si="1"/>
        <v/>
      </c>
      <c r="J47" s="3112">
        <f ca="1">IF(SUM(J27,J30:J31,J37:J38,J43:J44,-G47)&gt;=J346,0,G47-SUM(J27,J30:J31,J37:J38,J43:J44,-J346))</f>
        <v>0</v>
      </c>
      <c r="K47" s="3114"/>
      <c r="L47" s="3115" t="str">
        <f t="shared" ca="1" si="2"/>
        <v/>
      </c>
      <c r="M47" s="3112">
        <f ca="1">IF(SUM(M27,M30:M31,M37:M38,M43:M44,-J47)&gt;=M346,0,J47-SUM(M27,M30:M31,M37:M38,M43:M44,-M346))</f>
        <v>0</v>
      </c>
      <c r="N47" s="3114"/>
      <c r="O47" s="3115" t="str">
        <f t="shared" ca="1" si="3"/>
        <v/>
      </c>
      <c r="P47" s="3112">
        <f ca="1">IF(SUM(P27,P30:P31,P37:P38,P43:P44,-M47)&gt;=P346,0,M47-SUM(P27,P30:P31,P37:P38,P43:P44,-P346))</f>
        <v>0</v>
      </c>
      <c r="Q47" s="3114"/>
      <c r="R47" s="3115" t="str">
        <f t="shared" ca="1" si="4"/>
        <v/>
      </c>
      <c r="S47" s="3112">
        <f ca="1">IF(SUM(S27,S30:S31,S37:S38,S43:S44,-P47)&gt;=S346,0,P47-SUM(S27,S30:S31,S37:S38,S43:S44,-S346))</f>
        <v>0</v>
      </c>
      <c r="T47" s="3114"/>
      <c r="U47" s="3115" t="str">
        <f t="shared" ca="1" si="5"/>
        <v/>
      </c>
      <c r="V47" s="3112">
        <f ca="1">IF(SUM(V27,V30:V31,V37:V38,V43:V44,-S47)&gt;=V346,0,S47-SUM(V27,V30:V31,V37:V38,V43:V44,-V346))</f>
        <v>0</v>
      </c>
      <c r="W47" s="3114"/>
      <c r="X47" s="3115" t="str">
        <f t="shared" ca="1" si="6"/>
        <v/>
      </c>
      <c r="Y47" s="3112">
        <f ca="1">IF(SUM(Y27,Y30:Y31,Y37:Y38,Y43:Y44,-V47)&gt;=Y346,0,V47-SUM(Y27,Y30:Y31,Y37:Y38,Y43:Y44,-Y346))</f>
        <v>0</v>
      </c>
      <c r="Z47" s="3114"/>
      <c r="AA47" s="3115" t="str">
        <f t="shared" ca="1" si="7"/>
        <v/>
      </c>
      <c r="AB47" s="3112">
        <f ca="1">IF(SUM(AB27,AB30:AB31,AB37:AB38,AB43:AB44,-Y47)&gt;=AB346,0,Y47-SUM(AB27,AB30:AB31,AB37:AB38,AB43:AB44,-AB346))</f>
        <v>0</v>
      </c>
      <c r="AC47" s="3114"/>
      <c r="AD47" s="3115" t="str">
        <f t="shared" ca="1" si="8"/>
        <v/>
      </c>
      <c r="AE47" s="3112">
        <f ca="1">IF(SUM(AE27,AE30:AE31,AE37:AE38,AE43:AE44,-AB47)&gt;=AE346,0,AB47-SUM(AE27,AE30:AE31,AE37:AE38,AE43:AE44,-AE346))</f>
        <v>0</v>
      </c>
      <c r="AF47" s="3114"/>
      <c r="AG47" s="3115" t="str">
        <f t="shared" ca="1" si="9"/>
        <v/>
      </c>
      <c r="AH47" s="3112">
        <f ca="1">IF(SUM(AH27,AH30:AH31,AH37:AH38,AH43:AH44,-AE47)&gt;=AH346,0,AE47-SUM(AH27,AH30:AH31,AH37:AH38,AH43:AH44,-AH346))</f>
        <v>0</v>
      </c>
      <c r="AI47" s="3114"/>
      <c r="AJ47" s="3115" t="str">
        <f t="shared" ca="1" si="10"/>
        <v/>
      </c>
      <c r="AK47" s="3112">
        <f ca="1">IF(SUM(AK27,AK30:AK31,AK37:AK38,AK43:AK44,-AH47)&gt;=AK346,0,AH47-SUM(AK27,AK30:AK31,AK37:AK38,AK43:AK44,-AK346))</f>
        <v>0</v>
      </c>
      <c r="AL47" s="3114"/>
      <c r="AM47" s="3115" t="str">
        <f t="shared" ca="1" si="11"/>
        <v/>
      </c>
      <c r="AN47" s="3112">
        <f ca="1">IF(SUM(AN27,AN30:AN31,AN37:AN38,AN43:AN44,-AK47)&gt;=AN346,0,AK47-SUM(AN27,AN30:AN31,AN37:AN38,AN43:AN44,-AN346))</f>
        <v>0</v>
      </c>
      <c r="AO47" s="3114"/>
      <c r="AP47" s="3115" t="str">
        <f t="shared" ca="1" si="12"/>
        <v/>
      </c>
      <c r="AQ47" s="3112">
        <f ca="1">IF(SUM(AQ27,AQ30:AQ31,AQ37:AQ38,AQ43:AQ44,-AN47)&gt;=AQ346,0,AN47-SUM(AQ27,AQ30:AQ31,AQ37:AQ38,AQ43:AQ44,-AQ346))</f>
        <v>0</v>
      </c>
      <c r="AR47" s="3114"/>
      <c r="AS47" s="3115" t="str">
        <f t="shared" ca="1" si="13"/>
        <v/>
      </c>
      <c r="AT47" s="3112">
        <f ca="1">IF(SUM(AT27,AT30:AT31,AT37:AT38,AT43:AT44,-AQ47)&gt;=AT346,0,AQ47-SUM(AT27,AT30:AT31,AT37:AT38,AT43:AT44,-AT346))</f>
        <v>0</v>
      </c>
      <c r="AU47" s="3114"/>
      <c r="AV47" s="3115" t="str">
        <f t="shared" ca="1" si="14"/>
        <v/>
      </c>
    </row>
    <row r="48" spans="1:48" ht="15.5">
      <c r="A48" s="3111" t="s">
        <v>1506</v>
      </c>
      <c r="B48" s="3112">
        <f ca="1">B141</f>
        <v>0</v>
      </c>
      <c r="C48" s="3116"/>
      <c r="D48" s="3112">
        <f ca="1">D141</f>
        <v>0</v>
      </c>
      <c r="E48" s="3114"/>
      <c r="F48" s="3117" t="str">
        <f t="shared" ca="1" si="0"/>
        <v/>
      </c>
      <c r="G48" s="3112">
        <f ca="1">G141</f>
        <v>0</v>
      </c>
      <c r="H48" s="3114"/>
      <c r="I48" s="3117" t="str">
        <f t="shared" ca="1" si="1"/>
        <v/>
      </c>
      <c r="J48" s="3112">
        <f ca="1">J141</f>
        <v>0</v>
      </c>
      <c r="K48" s="3114"/>
      <c r="L48" s="3117" t="str">
        <f t="shared" ca="1" si="2"/>
        <v/>
      </c>
      <c r="M48" s="3112">
        <f ca="1">M141</f>
        <v>0</v>
      </c>
      <c r="N48" s="3114"/>
      <c r="O48" s="3117" t="str">
        <f t="shared" ca="1" si="3"/>
        <v/>
      </c>
      <c r="P48" s="3112">
        <f ca="1">P141</f>
        <v>0</v>
      </c>
      <c r="Q48" s="3114"/>
      <c r="R48" s="3117" t="str">
        <f t="shared" ca="1" si="4"/>
        <v/>
      </c>
      <c r="S48" s="3112">
        <f ca="1">S141</f>
        <v>0</v>
      </c>
      <c r="T48" s="3114"/>
      <c r="U48" s="3117" t="str">
        <f t="shared" ca="1" si="5"/>
        <v/>
      </c>
      <c r="V48" s="3112">
        <f ca="1">V141</f>
        <v>0</v>
      </c>
      <c r="W48" s="3114"/>
      <c r="X48" s="3117" t="str">
        <f t="shared" ca="1" si="6"/>
        <v/>
      </c>
      <c r="Y48" s="3112">
        <f ca="1">Y141</f>
        <v>0</v>
      </c>
      <c r="Z48" s="3114"/>
      <c r="AA48" s="3117" t="str">
        <f t="shared" ca="1" si="7"/>
        <v/>
      </c>
      <c r="AB48" s="3112">
        <f ca="1">AB141</f>
        <v>0</v>
      </c>
      <c r="AC48" s="3114"/>
      <c r="AD48" s="3117" t="str">
        <f t="shared" ca="1" si="8"/>
        <v/>
      </c>
      <c r="AE48" s="3112">
        <f ca="1">AE141</f>
        <v>0</v>
      </c>
      <c r="AF48" s="3114"/>
      <c r="AG48" s="3117" t="str">
        <f t="shared" ca="1" si="9"/>
        <v/>
      </c>
      <c r="AH48" s="3112">
        <f ca="1">AH141</f>
        <v>0</v>
      </c>
      <c r="AI48" s="3114"/>
      <c r="AJ48" s="3117" t="str">
        <f t="shared" ca="1" si="10"/>
        <v/>
      </c>
      <c r="AK48" s="3112">
        <f ca="1">AK141</f>
        <v>0</v>
      </c>
      <c r="AL48" s="3114"/>
      <c r="AM48" s="3117" t="str">
        <f t="shared" ca="1" si="11"/>
        <v/>
      </c>
      <c r="AN48" s="3112">
        <f ca="1">AN141</f>
        <v>0</v>
      </c>
      <c r="AO48" s="3114"/>
      <c r="AP48" s="3117" t="str">
        <f t="shared" ca="1" si="12"/>
        <v/>
      </c>
      <c r="AQ48" s="3112">
        <f ca="1">AQ141</f>
        <v>0</v>
      </c>
      <c r="AR48" s="3114"/>
      <c r="AS48" s="3117" t="str">
        <f t="shared" ca="1" si="13"/>
        <v/>
      </c>
      <c r="AT48" s="3112">
        <f ca="1">AT141</f>
        <v>0</v>
      </c>
      <c r="AU48" s="3114"/>
      <c r="AV48" s="3117" t="str">
        <f t="shared" ca="1" si="14"/>
        <v/>
      </c>
    </row>
    <row r="49" spans="1:48" ht="15.5">
      <c r="A49" s="3111" t="s">
        <v>2033</v>
      </c>
      <c r="B49" s="3112">
        <f ca="1">B200</f>
        <v>0</v>
      </c>
      <c r="C49" s="3116"/>
      <c r="D49" s="3112">
        <f ca="1">D200</f>
        <v>0</v>
      </c>
      <c r="E49" s="3114"/>
      <c r="F49" s="3117" t="str">
        <f t="shared" ca="1" si="0"/>
        <v/>
      </c>
      <c r="G49" s="3112">
        <f ca="1">G200</f>
        <v>0</v>
      </c>
      <c r="H49" s="3114"/>
      <c r="I49" s="3117" t="str">
        <f t="shared" ca="1" si="1"/>
        <v/>
      </c>
      <c r="J49" s="3112">
        <f ca="1">J200</f>
        <v>0</v>
      </c>
      <c r="K49" s="3114"/>
      <c r="L49" s="3117" t="str">
        <f t="shared" ca="1" si="2"/>
        <v/>
      </c>
      <c r="M49" s="3112">
        <f ca="1">M200</f>
        <v>0</v>
      </c>
      <c r="N49" s="3114"/>
      <c r="O49" s="3117" t="str">
        <f t="shared" ca="1" si="3"/>
        <v/>
      </c>
      <c r="P49" s="3112">
        <f ca="1">P200</f>
        <v>0</v>
      </c>
      <c r="Q49" s="3114"/>
      <c r="R49" s="3117" t="str">
        <f t="shared" ca="1" si="4"/>
        <v/>
      </c>
      <c r="S49" s="3112">
        <f ca="1">S200</f>
        <v>0</v>
      </c>
      <c r="T49" s="3114"/>
      <c r="U49" s="3117" t="str">
        <f t="shared" ca="1" si="5"/>
        <v/>
      </c>
      <c r="V49" s="3112">
        <f ca="1">V200</f>
        <v>0</v>
      </c>
      <c r="W49" s="3114"/>
      <c r="X49" s="3117" t="str">
        <f t="shared" ca="1" si="6"/>
        <v/>
      </c>
      <c r="Y49" s="3112">
        <f ca="1">Y200</f>
        <v>0</v>
      </c>
      <c r="Z49" s="3114"/>
      <c r="AA49" s="3117" t="str">
        <f t="shared" ca="1" si="7"/>
        <v/>
      </c>
      <c r="AB49" s="3112">
        <f ca="1">AB200</f>
        <v>0</v>
      </c>
      <c r="AC49" s="3114"/>
      <c r="AD49" s="3117" t="str">
        <f t="shared" ca="1" si="8"/>
        <v/>
      </c>
      <c r="AE49" s="3112">
        <f ca="1">AE200</f>
        <v>0</v>
      </c>
      <c r="AF49" s="3114"/>
      <c r="AG49" s="3117" t="str">
        <f t="shared" ca="1" si="9"/>
        <v/>
      </c>
      <c r="AH49" s="3112">
        <f ca="1">AH200</f>
        <v>0</v>
      </c>
      <c r="AI49" s="3114"/>
      <c r="AJ49" s="3117" t="str">
        <f t="shared" ca="1" si="10"/>
        <v/>
      </c>
      <c r="AK49" s="3112">
        <f ca="1">AK200</f>
        <v>0</v>
      </c>
      <c r="AL49" s="3114"/>
      <c r="AM49" s="3117" t="str">
        <f t="shared" ca="1" si="11"/>
        <v/>
      </c>
      <c r="AN49" s="3112">
        <f ca="1">AN200</f>
        <v>0</v>
      </c>
      <c r="AO49" s="3114"/>
      <c r="AP49" s="3117" t="str">
        <f t="shared" ca="1" si="12"/>
        <v/>
      </c>
      <c r="AQ49" s="3112">
        <f ca="1">AQ200</f>
        <v>0</v>
      </c>
      <c r="AR49" s="3114"/>
      <c r="AS49" s="3117" t="str">
        <f t="shared" ca="1" si="13"/>
        <v/>
      </c>
      <c r="AT49" s="3112">
        <f ca="1">AT200</f>
        <v>0</v>
      </c>
      <c r="AU49" s="3114"/>
      <c r="AV49" s="3117" t="str">
        <f t="shared" ca="1" si="14"/>
        <v/>
      </c>
    </row>
    <row r="50" spans="1:48" ht="15.5">
      <c r="A50" s="3111" t="s">
        <v>2034</v>
      </c>
      <c r="B50" s="3112">
        <f ca="1">SUM(B47:B49)</f>
        <v>0</v>
      </c>
      <c r="C50" s="3116"/>
      <c r="D50" s="3112">
        <f ca="1">SUM(D47:D49)</f>
        <v>0</v>
      </c>
      <c r="E50" s="3114"/>
      <c r="F50" s="3117" t="str">
        <f t="shared" ca="1" si="0"/>
        <v/>
      </c>
      <c r="G50" s="3112">
        <f ca="1">SUM(G47:G49)</f>
        <v>0</v>
      </c>
      <c r="H50" s="3114"/>
      <c r="I50" s="3117" t="str">
        <f t="shared" ca="1" si="1"/>
        <v/>
      </c>
      <c r="J50" s="3112">
        <f ca="1">SUM(J47:J49)</f>
        <v>0</v>
      </c>
      <c r="K50" s="3114"/>
      <c r="L50" s="3117" t="str">
        <f t="shared" ca="1" si="2"/>
        <v/>
      </c>
      <c r="M50" s="3112">
        <f ca="1">SUM(M47:M49)</f>
        <v>0</v>
      </c>
      <c r="N50" s="3114"/>
      <c r="O50" s="3117" t="str">
        <f t="shared" ca="1" si="3"/>
        <v/>
      </c>
      <c r="P50" s="3112">
        <f ca="1">SUM(P47:P49)</f>
        <v>0</v>
      </c>
      <c r="Q50" s="3114"/>
      <c r="R50" s="3117" t="str">
        <f t="shared" ca="1" si="4"/>
        <v/>
      </c>
      <c r="S50" s="3112">
        <f ca="1">SUM(S47:S49)</f>
        <v>0</v>
      </c>
      <c r="T50" s="3114"/>
      <c r="U50" s="3117" t="str">
        <f t="shared" ca="1" si="5"/>
        <v/>
      </c>
      <c r="V50" s="3112">
        <f ca="1">SUM(V47:V49)</f>
        <v>0</v>
      </c>
      <c r="W50" s="3114"/>
      <c r="X50" s="3117" t="str">
        <f t="shared" ca="1" si="6"/>
        <v/>
      </c>
      <c r="Y50" s="3112">
        <f ca="1">SUM(Y47:Y49)</f>
        <v>0</v>
      </c>
      <c r="Z50" s="3114"/>
      <c r="AA50" s="3117" t="str">
        <f t="shared" ca="1" si="7"/>
        <v/>
      </c>
      <c r="AB50" s="3112">
        <f ca="1">SUM(AB47:AB49)</f>
        <v>0</v>
      </c>
      <c r="AC50" s="3114"/>
      <c r="AD50" s="3117" t="str">
        <f t="shared" ca="1" si="8"/>
        <v/>
      </c>
      <c r="AE50" s="3112">
        <f ca="1">SUM(AE47:AE49)</f>
        <v>0</v>
      </c>
      <c r="AF50" s="3114"/>
      <c r="AG50" s="3117" t="str">
        <f t="shared" ca="1" si="9"/>
        <v/>
      </c>
      <c r="AH50" s="3112">
        <f ca="1">SUM(AH47:AH49)</f>
        <v>0</v>
      </c>
      <c r="AI50" s="3114"/>
      <c r="AJ50" s="3117" t="str">
        <f t="shared" ca="1" si="10"/>
        <v/>
      </c>
      <c r="AK50" s="3112">
        <f ca="1">SUM(AK47:AK49)</f>
        <v>0</v>
      </c>
      <c r="AL50" s="3114"/>
      <c r="AM50" s="3117" t="str">
        <f t="shared" ca="1" si="11"/>
        <v/>
      </c>
      <c r="AN50" s="3112">
        <f ca="1">SUM(AN47:AN49)</f>
        <v>0</v>
      </c>
      <c r="AO50" s="3114"/>
      <c r="AP50" s="3117" t="str">
        <f t="shared" ca="1" si="12"/>
        <v/>
      </c>
      <c r="AQ50" s="3112">
        <f ca="1">SUM(AQ47:AQ49)</f>
        <v>0</v>
      </c>
      <c r="AR50" s="3114"/>
      <c r="AS50" s="3117" t="str">
        <f t="shared" ca="1" si="13"/>
        <v/>
      </c>
      <c r="AT50" s="3112">
        <f ca="1">SUM(AT47:AT49)</f>
        <v>0</v>
      </c>
      <c r="AU50" s="3114"/>
      <c r="AV50" s="3117" t="str">
        <f t="shared" ca="1" si="14"/>
        <v/>
      </c>
    </row>
    <row r="51" spans="1:48" ht="15.5">
      <c r="A51" s="3118" t="s">
        <v>2035</v>
      </c>
      <c r="B51" s="3119">
        <f>B25</f>
        <v>0</v>
      </c>
      <c r="C51" s="3120"/>
      <c r="D51" s="3119">
        <f>B51+D25</f>
        <v>0</v>
      </c>
      <c r="E51" s="3121"/>
      <c r="F51" s="3122" t="str">
        <f t="shared" si="0"/>
        <v/>
      </c>
      <c r="G51" s="3119">
        <f>D51+G25</f>
        <v>0</v>
      </c>
      <c r="H51" s="3121"/>
      <c r="I51" s="3122" t="str">
        <f t="shared" si="1"/>
        <v/>
      </c>
      <c r="J51" s="3119">
        <f>G51+J25</f>
        <v>0</v>
      </c>
      <c r="K51" s="3121"/>
      <c r="L51" s="3122" t="str">
        <f t="shared" si="2"/>
        <v/>
      </c>
      <c r="M51" s="3119">
        <f>J51+M25</f>
        <v>0</v>
      </c>
      <c r="N51" s="3121"/>
      <c r="O51" s="3122" t="str">
        <f t="shared" si="3"/>
        <v/>
      </c>
      <c r="P51" s="3119">
        <f>M51+P25</f>
        <v>0</v>
      </c>
      <c r="Q51" s="3121"/>
      <c r="R51" s="3122" t="str">
        <f t="shared" si="4"/>
        <v/>
      </c>
      <c r="S51" s="3119">
        <f>P51+S25</f>
        <v>0</v>
      </c>
      <c r="T51" s="3121"/>
      <c r="U51" s="3122" t="str">
        <f t="shared" si="5"/>
        <v/>
      </c>
      <c r="V51" s="3119">
        <f>S51+V25</f>
        <v>0</v>
      </c>
      <c r="W51" s="3121"/>
      <c r="X51" s="3122" t="str">
        <f t="shared" si="6"/>
        <v/>
      </c>
      <c r="Y51" s="3119">
        <f>V51+Y25</f>
        <v>0</v>
      </c>
      <c r="Z51" s="3121"/>
      <c r="AA51" s="3122" t="str">
        <f t="shared" si="7"/>
        <v/>
      </c>
      <c r="AB51" s="3119">
        <f>Y51+AB25</f>
        <v>0</v>
      </c>
      <c r="AC51" s="3121"/>
      <c r="AD51" s="3122" t="str">
        <f t="shared" si="8"/>
        <v/>
      </c>
      <c r="AE51" s="3119">
        <f>AB51+AE25</f>
        <v>0</v>
      </c>
      <c r="AF51" s="3121"/>
      <c r="AG51" s="3122" t="str">
        <f t="shared" si="9"/>
        <v/>
      </c>
      <c r="AH51" s="3119">
        <f>AE51+AH25</f>
        <v>0</v>
      </c>
      <c r="AI51" s="3121"/>
      <c r="AJ51" s="3122" t="str">
        <f t="shared" si="10"/>
        <v/>
      </c>
      <c r="AK51" s="3119">
        <f>AH51+AK25</f>
        <v>0</v>
      </c>
      <c r="AL51" s="3121"/>
      <c r="AM51" s="3122" t="str">
        <f t="shared" si="11"/>
        <v/>
      </c>
      <c r="AN51" s="3119">
        <f>AK51+AN25</f>
        <v>0</v>
      </c>
      <c r="AO51" s="3121"/>
      <c r="AP51" s="3122" t="str">
        <f t="shared" si="12"/>
        <v/>
      </c>
      <c r="AQ51" s="3119">
        <f>AN51+AQ25</f>
        <v>0</v>
      </c>
      <c r="AR51" s="3121"/>
      <c r="AS51" s="3122" t="str">
        <f t="shared" si="13"/>
        <v/>
      </c>
      <c r="AT51" s="3119">
        <f>AQ51+AT25</f>
        <v>0</v>
      </c>
      <c r="AU51" s="3121"/>
      <c r="AV51" s="3122" t="str">
        <f t="shared" si="14"/>
        <v/>
      </c>
    </row>
    <row r="52" spans="1:48" ht="18">
      <c r="A52" s="3079" t="s">
        <v>1607</v>
      </c>
      <c r="B52" s="3080"/>
      <c r="C52" s="3080"/>
      <c r="D52" s="3080"/>
      <c r="E52" s="3080"/>
      <c r="F52" s="3080"/>
      <c r="G52" s="3080"/>
      <c r="H52" s="3080"/>
      <c r="I52" s="3080"/>
      <c r="J52" s="3080"/>
      <c r="K52" s="3080"/>
      <c r="L52" s="3080"/>
      <c r="M52" s="3080"/>
      <c r="N52" s="3080"/>
      <c r="O52" s="3080"/>
      <c r="P52" s="3080"/>
      <c r="Q52" s="3080"/>
      <c r="R52" s="3080"/>
      <c r="S52" s="3080"/>
      <c r="T52" s="3080"/>
      <c r="U52" s="3080"/>
      <c r="V52" s="3080"/>
      <c r="W52" s="3080"/>
      <c r="X52" s="3080"/>
      <c r="Y52" s="3080"/>
      <c r="Z52" s="3080"/>
      <c r="AA52" s="3080"/>
      <c r="AB52" s="3080"/>
      <c r="AC52" s="3080"/>
      <c r="AD52" s="3080"/>
      <c r="AE52" s="3080"/>
      <c r="AF52" s="3080"/>
      <c r="AG52" s="3080"/>
      <c r="AH52" s="3080"/>
      <c r="AI52" s="3080"/>
      <c r="AJ52" s="3080"/>
      <c r="AK52" s="3080"/>
      <c r="AL52" s="3080"/>
      <c r="AM52" s="3080"/>
      <c r="AN52" s="3080"/>
      <c r="AO52" s="3080"/>
      <c r="AP52" s="3080"/>
      <c r="AQ52" s="3080"/>
      <c r="AR52" s="3080"/>
      <c r="AS52" s="3080"/>
      <c r="AT52" s="3080"/>
      <c r="AU52" s="3080"/>
      <c r="AV52" s="3080"/>
    </row>
    <row r="53" spans="1:48" ht="15.5">
      <c r="A53" s="3081" t="s">
        <v>536</v>
      </c>
      <c r="B53" s="3123">
        <f ca="1">B11</f>
        <v>2023</v>
      </c>
      <c r="C53" s="3124"/>
      <c r="D53" s="3123">
        <f ca="1">D11</f>
        <v>2024</v>
      </c>
      <c r="E53" s="3125"/>
      <c r="F53" s="3124"/>
      <c r="G53" s="3123">
        <f ca="1">G11</f>
        <v>2025</v>
      </c>
      <c r="H53" s="3125"/>
      <c r="I53" s="3124"/>
      <c r="J53" s="3123">
        <f ca="1">J11</f>
        <v>2026</v>
      </c>
      <c r="K53" s="3125"/>
      <c r="L53" s="3124"/>
      <c r="M53" s="3123">
        <f ca="1">M11</f>
        <v>2027</v>
      </c>
      <c r="N53" s="3125"/>
      <c r="O53" s="3124"/>
      <c r="P53" s="3123">
        <f ca="1">P11</f>
        <v>2028</v>
      </c>
      <c r="Q53" s="3125"/>
      <c r="R53" s="3124"/>
      <c r="S53" s="3123">
        <f ca="1">S11</f>
        <v>2029</v>
      </c>
      <c r="T53" s="3125"/>
      <c r="U53" s="3124"/>
      <c r="V53" s="3123">
        <f ca="1">V11</f>
        <v>2030</v>
      </c>
      <c r="W53" s="3125"/>
      <c r="X53" s="3124"/>
      <c r="Y53" s="3123">
        <f ca="1">Y11</f>
        <v>2031</v>
      </c>
      <c r="Z53" s="3125"/>
      <c r="AA53" s="3124"/>
      <c r="AB53" s="3123">
        <f ca="1">AB11</f>
        <v>2032</v>
      </c>
      <c r="AC53" s="3125"/>
      <c r="AD53" s="3124"/>
      <c r="AE53" s="3123">
        <f ca="1">AE11</f>
        <v>2033</v>
      </c>
      <c r="AF53" s="3125"/>
      <c r="AG53" s="3124"/>
      <c r="AH53" s="3123">
        <f ca="1">AH11</f>
        <v>2034</v>
      </c>
      <c r="AI53" s="3125"/>
      <c r="AJ53" s="3124"/>
      <c r="AK53" s="3123">
        <f ca="1">AK11</f>
        <v>2035</v>
      </c>
      <c r="AL53" s="3125"/>
      <c r="AM53" s="3124"/>
      <c r="AN53" s="3123">
        <f ca="1">AN11</f>
        <v>2036</v>
      </c>
      <c r="AO53" s="3125"/>
      <c r="AP53" s="3124"/>
      <c r="AQ53" s="3123">
        <f ca="1">AQ11</f>
        <v>2037</v>
      </c>
      <c r="AR53" s="3125"/>
      <c r="AS53" s="3124"/>
      <c r="AT53" s="3123">
        <f ca="1">AT11</f>
        <v>2038</v>
      </c>
      <c r="AU53" s="3125"/>
      <c r="AV53" s="3124"/>
    </row>
    <row r="54" spans="1:48" ht="15.5">
      <c r="A54" s="3085" t="s">
        <v>880</v>
      </c>
      <c r="B54" s="3126" t="str">
        <f>IF(B12=0,"",SUM(B12:B13)/B12)</f>
        <v/>
      </c>
      <c r="C54" s="3127"/>
      <c r="D54" s="3126" t="str">
        <f>IF(D12=0,"",SUM(D12:D13)/D12)</f>
        <v/>
      </c>
      <c r="E54" s="3128"/>
      <c r="F54" s="3127"/>
      <c r="G54" s="3126" t="str">
        <f>IF(G12=0,"",SUM(G12:G13)/G12)</f>
        <v/>
      </c>
      <c r="H54" s="3128"/>
      <c r="I54" s="3127"/>
      <c r="J54" s="3126" t="str">
        <f>IF(J12=0,"",SUM(J12:J13)/J12)</f>
        <v/>
      </c>
      <c r="K54" s="3128"/>
      <c r="L54" s="3127"/>
      <c r="M54" s="3126" t="str">
        <f>IF(M12=0,"",SUM(M12:M13)/M12)</f>
        <v/>
      </c>
      <c r="N54" s="3128"/>
      <c r="O54" s="3127"/>
      <c r="P54" s="3126" t="str">
        <f>IF(P12=0,"",SUM(P12:P13)/P12)</f>
        <v/>
      </c>
      <c r="Q54" s="3128"/>
      <c r="R54" s="3127"/>
      <c r="S54" s="3126" t="str">
        <f>IF(S12=0,"",SUM(S12:S13)/S12)</f>
        <v/>
      </c>
      <c r="T54" s="3128"/>
      <c r="U54" s="3127"/>
      <c r="V54" s="3126" t="str">
        <f>IF(V12=0,"",SUM(V12:V13)/V12)</f>
        <v/>
      </c>
      <c r="W54" s="3128"/>
      <c r="X54" s="3127"/>
      <c r="Y54" s="3126" t="str">
        <f>IF(Y12=0,"",SUM(Y12:Y13)/Y12)</f>
        <v/>
      </c>
      <c r="Z54" s="3128"/>
      <c r="AA54" s="3127"/>
      <c r="AB54" s="3126" t="str">
        <f>IF(AB12=0,"",SUM(AB12:AB13)/AB12)</f>
        <v/>
      </c>
      <c r="AC54" s="3128"/>
      <c r="AD54" s="3127"/>
      <c r="AE54" s="3126" t="str">
        <f>IF(AE12=0,"",SUM(AE12:AE13)/AE12)</f>
        <v/>
      </c>
      <c r="AF54" s="3128"/>
      <c r="AG54" s="3127"/>
      <c r="AH54" s="3126" t="str">
        <f>IF(AH12=0,"",SUM(AH12:AH13)/AH12)</f>
        <v/>
      </c>
      <c r="AI54" s="3128"/>
      <c r="AJ54" s="3127"/>
      <c r="AK54" s="3126" t="str">
        <f>IF(AK12=0,"",SUM(AK12:AK13)/AK12)</f>
        <v/>
      </c>
      <c r="AL54" s="3128"/>
      <c r="AM54" s="3127"/>
      <c r="AN54" s="3126" t="str">
        <f>IF(AN12=0,"",SUM(AN12:AN13)/AN12)</f>
        <v/>
      </c>
      <c r="AO54" s="3128"/>
      <c r="AP54" s="3127"/>
      <c r="AQ54" s="3126" t="str">
        <f>IF(AQ12=0,"",SUM(AQ12:AQ13)/AQ12)</f>
        <v/>
      </c>
      <c r="AR54" s="3128"/>
      <c r="AS54" s="3127"/>
      <c r="AT54" s="3126" t="str">
        <f>IF(AT12=0,"",SUM(AT12:AT13)/AT12)</f>
        <v/>
      </c>
      <c r="AU54" s="3128"/>
      <c r="AV54" s="3127"/>
    </row>
    <row r="55" spans="1:48" ht="15.5">
      <c r="A55" s="3085" t="s">
        <v>2036</v>
      </c>
      <c r="B55" s="3129" t="str">
        <f ca="1">IF(B35=0,"",B16/-B35)</f>
        <v/>
      </c>
      <c r="C55" s="3127"/>
      <c r="D55" s="3129" t="str">
        <f ca="1">IF(D35=0,"",D16/-D35)</f>
        <v/>
      </c>
      <c r="E55" s="3128"/>
      <c r="F55" s="3127"/>
      <c r="G55" s="3129" t="str">
        <f ca="1">IF(G35=0,"",G16/-G35)</f>
        <v/>
      </c>
      <c r="H55" s="3128"/>
      <c r="I55" s="3127"/>
      <c r="J55" s="3129" t="str">
        <f ca="1">IF(J35=0,"",J16/-J35)</f>
        <v/>
      </c>
      <c r="K55" s="3128"/>
      <c r="L55" s="3127"/>
      <c r="M55" s="3129" t="str">
        <f ca="1">IF(M35=0,"",M16/-M35)</f>
        <v/>
      </c>
      <c r="N55" s="3128"/>
      <c r="O55" s="3127"/>
      <c r="P55" s="3129" t="str">
        <f ca="1">IF(P35=0,"",P16/-P35)</f>
        <v/>
      </c>
      <c r="Q55" s="3128"/>
      <c r="R55" s="3127"/>
      <c r="S55" s="3129" t="str">
        <f ca="1">IF(S35=0,"",S16/-S35)</f>
        <v/>
      </c>
      <c r="T55" s="3128"/>
      <c r="U55" s="3127"/>
      <c r="V55" s="3129" t="str">
        <f ca="1">IF(V35=0,"",V16/-V35)</f>
        <v/>
      </c>
      <c r="W55" s="3128"/>
      <c r="X55" s="3127"/>
      <c r="Y55" s="3129" t="str">
        <f ca="1">IF(Y35=0,"",Y16/-Y35)</f>
        <v/>
      </c>
      <c r="Z55" s="3128"/>
      <c r="AA55" s="3127"/>
      <c r="AB55" s="3129" t="str">
        <f ca="1">IF(AB35=0,"",AB16/-AB35)</f>
        <v/>
      </c>
      <c r="AC55" s="3128"/>
      <c r="AD55" s="3127"/>
      <c r="AE55" s="3129" t="str">
        <f ca="1">IF(AE35=0,"",AE16/-AE35)</f>
        <v/>
      </c>
      <c r="AF55" s="3128"/>
      <c r="AG55" s="3127"/>
      <c r="AH55" s="3129" t="str">
        <f ca="1">IF(AH35=0,"",AH16/-AH35)</f>
        <v/>
      </c>
      <c r="AI55" s="3128"/>
      <c r="AJ55" s="3127"/>
      <c r="AK55" s="3129" t="str">
        <f ca="1">IF(AK35=0,"",AK16/-AK35)</f>
        <v/>
      </c>
      <c r="AL55" s="3128"/>
      <c r="AM55" s="3127"/>
      <c r="AN55" s="3129" t="str">
        <f ca="1">IF(AN35=0,"",AN16/-AN35)</f>
        <v/>
      </c>
      <c r="AO55" s="3128"/>
      <c r="AP55" s="3127"/>
      <c r="AQ55" s="3129" t="str">
        <f ca="1">IF(AQ35=0,"",AQ16/-AQ35)</f>
        <v/>
      </c>
      <c r="AR55" s="3128"/>
      <c r="AS55" s="3127"/>
      <c r="AT55" s="3129" t="str">
        <f ca="1">IF(AT35=0,"",AT16/-AT35)</f>
        <v/>
      </c>
      <c r="AU55" s="3128"/>
      <c r="AV55" s="3127"/>
    </row>
    <row r="56" spans="1:48" ht="15.5">
      <c r="A56" s="3085" t="s">
        <v>2037</v>
      </c>
      <c r="B56" s="3129" t="str">
        <f ca="1">IF(B40=0,"",B21/-B40)</f>
        <v/>
      </c>
      <c r="C56" s="3127"/>
      <c r="D56" s="3129" t="str">
        <f ca="1">IF(D40=0,"",D21/-D40)</f>
        <v/>
      </c>
      <c r="E56" s="3128"/>
      <c r="F56" s="3127"/>
      <c r="G56" s="3129" t="str">
        <f ca="1">IF(G40=0,"",G21/-G40)</f>
        <v/>
      </c>
      <c r="H56" s="3128"/>
      <c r="I56" s="3127"/>
      <c r="J56" s="3129" t="str">
        <f ca="1">IF(J40=0,"",J21/-J40)</f>
        <v/>
      </c>
      <c r="K56" s="3128"/>
      <c r="L56" s="3127"/>
      <c r="M56" s="3129" t="str">
        <f ca="1">IF(M40=0,"",M21/-M40)</f>
        <v/>
      </c>
      <c r="N56" s="3128"/>
      <c r="O56" s="3127"/>
      <c r="P56" s="3128" t="str">
        <f ca="1">IF(P40=0,"",P21/-P40)</f>
        <v/>
      </c>
      <c r="Q56" s="3128"/>
      <c r="R56" s="3127"/>
      <c r="S56" s="3128" t="str">
        <f ca="1">IF(S40=0,"",S21/-S40)</f>
        <v/>
      </c>
      <c r="T56" s="3128"/>
      <c r="U56" s="3127"/>
      <c r="V56" s="3128" t="str">
        <f ca="1">IF(V40=0,"",V21/-V40)</f>
        <v/>
      </c>
      <c r="W56" s="3128"/>
      <c r="X56" s="3127"/>
      <c r="Y56" s="3129" t="str">
        <f ca="1">IF(Y40=0,"",Y21/-Y40)</f>
        <v/>
      </c>
      <c r="Z56" s="3128"/>
      <c r="AA56" s="3127"/>
      <c r="AB56" s="3129" t="str">
        <f ca="1">IF(AB40=0,"",AB21/-AB40)</f>
        <v/>
      </c>
      <c r="AC56" s="3128"/>
      <c r="AD56" s="3127"/>
      <c r="AE56" s="3129" t="str">
        <f ca="1">IF(AE40=0,"",AE21/-AE40)</f>
        <v/>
      </c>
      <c r="AF56" s="3128"/>
      <c r="AG56" s="3127"/>
      <c r="AH56" s="3129" t="str">
        <f ca="1">IF(AH40=0,"",AH21/-AH40)</f>
        <v/>
      </c>
      <c r="AI56" s="3128"/>
      <c r="AJ56" s="3127"/>
      <c r="AK56" s="3129" t="str">
        <f ca="1">IF(AK40=0,"",AK21/-AK40)</f>
        <v/>
      </c>
      <c r="AL56" s="3128"/>
      <c r="AM56" s="3127"/>
      <c r="AN56" s="3129" t="str">
        <f ca="1">IF(AN40=0,"",AN21/-AN40)</f>
        <v/>
      </c>
      <c r="AO56" s="3128"/>
      <c r="AP56" s="3127"/>
      <c r="AQ56" s="3129" t="str">
        <f ca="1">IF(AQ40=0,"",AQ21/-AQ40)</f>
        <v/>
      </c>
      <c r="AR56" s="3128"/>
      <c r="AS56" s="3127"/>
      <c r="AT56" s="3129" t="str">
        <f ca="1">IF(AT40=0,"",AT21/-AT40)</f>
        <v/>
      </c>
      <c r="AU56" s="3128"/>
      <c r="AV56" s="3127"/>
    </row>
    <row r="57" spans="1:48" ht="15.5">
      <c r="A57" s="3085" t="s">
        <v>2038</v>
      </c>
      <c r="B57" s="3126" t="str">
        <f>IF(B12=0,"",SUM(B47,B50)/B12)</f>
        <v/>
      </c>
      <c r="C57" s="3127"/>
      <c r="D57" s="3126" t="str">
        <f>IF(D12=0,"",SUM(D47,D50)/D12)</f>
        <v/>
      </c>
      <c r="E57" s="3128"/>
      <c r="F57" s="3127"/>
      <c r="G57" s="3126" t="str">
        <f>IF(G12=0,"",SUM(G47,G50)/G12)</f>
        <v/>
      </c>
      <c r="H57" s="3128"/>
      <c r="I57" s="3127"/>
      <c r="J57" s="3126" t="str">
        <f>IF(J12=0,"",SUM(J47,J50)/J12)</f>
        <v/>
      </c>
      <c r="K57" s="3128"/>
      <c r="L57" s="3127"/>
      <c r="M57" s="3126" t="str">
        <f>IF(M12=0,"",SUM(M47,M50)/M12)</f>
        <v/>
      </c>
      <c r="N57" s="3128"/>
      <c r="O57" s="3127"/>
      <c r="P57" s="3126" t="str">
        <f>IF(P12=0,"",SUM(P47,P50)/P12)</f>
        <v/>
      </c>
      <c r="Q57" s="3128"/>
      <c r="R57" s="3127"/>
      <c r="S57" s="3126" t="str">
        <f>IF(S12=0,"",SUM(S47,S50)/S12)</f>
        <v/>
      </c>
      <c r="T57" s="3128"/>
      <c r="U57" s="3127"/>
      <c r="V57" s="3126" t="str">
        <f>IF(V12=0,"",SUM(V47,V50)/V12)</f>
        <v/>
      </c>
      <c r="W57" s="3128"/>
      <c r="X57" s="3127"/>
      <c r="Y57" s="3126" t="str">
        <f>IF(Y12=0,"",SUM(Y47,Y50)/Y12)</f>
        <v/>
      </c>
      <c r="Z57" s="3128"/>
      <c r="AA57" s="3127"/>
      <c r="AB57" s="3126" t="str">
        <f>IF(AB12=0,"",SUM(AB47,AB50)/AB12)</f>
        <v/>
      </c>
      <c r="AC57" s="3128"/>
      <c r="AD57" s="3127"/>
      <c r="AE57" s="3126" t="str">
        <f>IF(AE12=0,"",SUM(AE47,AE50)/AE12)</f>
        <v/>
      </c>
      <c r="AF57" s="3128"/>
      <c r="AG57" s="3127"/>
      <c r="AH57" s="3126" t="str">
        <f>IF(AH12=0,"",SUM(AH47,AH50)/AH12)</f>
        <v/>
      </c>
      <c r="AI57" s="3128"/>
      <c r="AJ57" s="3127"/>
      <c r="AK57" s="3126" t="str">
        <f>IF(AK12=0,"",SUM(AK47,AK50)/AK12)</f>
        <v/>
      </c>
      <c r="AL57" s="3128"/>
      <c r="AM57" s="3127"/>
      <c r="AN57" s="3126" t="str">
        <f>IF(AN12=0,"",SUM(AN47,AN50)/AN12)</f>
        <v/>
      </c>
      <c r="AO57" s="3128"/>
      <c r="AP57" s="3127"/>
      <c r="AQ57" s="3126" t="str">
        <f>IF(AQ12=0,"",SUM(AQ47,AQ50)/AQ12)</f>
        <v/>
      </c>
      <c r="AR57" s="3128"/>
      <c r="AS57" s="3127"/>
      <c r="AT57" s="3126" t="str">
        <f>IF(AT12=0,"",SUM(AT47,AT50)/AT12)</f>
        <v/>
      </c>
      <c r="AU57" s="3128"/>
      <c r="AV57" s="3127"/>
    </row>
    <row r="58" spans="1:48" ht="15.5">
      <c r="A58" s="3085" t="s">
        <v>1778</v>
      </c>
      <c r="B58" s="3126" t="str">
        <f ca="1">IF(SUM(B47,B50:B51)=0,"",B51/SUM(B47,B50:B51))</f>
        <v/>
      </c>
      <c r="C58" s="3127"/>
      <c r="D58" s="3126" t="str">
        <f ca="1">IF(SUM(D47,D50:D51)=0,"",D51/SUM(D47,D50:D51))</f>
        <v/>
      </c>
      <c r="E58" s="3128"/>
      <c r="F58" s="3127"/>
      <c r="G58" s="3126" t="str">
        <f ca="1">IF(SUM(G47,G50:G51)=0,"",G51/SUM(G47,G50:G51))</f>
        <v/>
      </c>
      <c r="H58" s="3128"/>
      <c r="I58" s="3127"/>
      <c r="J58" s="3126" t="str">
        <f ca="1">IF(SUM(J47,J50:J51)=0,"",J51/SUM(J47,J50:J51))</f>
        <v/>
      </c>
      <c r="K58" s="3128"/>
      <c r="L58" s="3127"/>
      <c r="M58" s="3126" t="str">
        <f ca="1">IF(SUM(M47,M50:M51)=0,"",M51/SUM(M47,M50:M51))</f>
        <v/>
      </c>
      <c r="N58" s="3128"/>
      <c r="O58" s="3127"/>
      <c r="P58" s="3126" t="str">
        <f ca="1">IF(SUM(P47,P50:P51)=0,"",P51/SUM(P47,P50:P51))</f>
        <v/>
      </c>
      <c r="Q58" s="3128"/>
      <c r="R58" s="3127"/>
      <c r="S58" s="3126" t="str">
        <f ca="1">IF(SUM(S47,S50:S51)=0,"",S51/SUM(S47,S50:S51))</f>
        <v/>
      </c>
      <c r="T58" s="3128"/>
      <c r="U58" s="3127"/>
      <c r="V58" s="3126" t="str">
        <f ca="1">IF(SUM(V47,V50:V51)=0,"",V51/SUM(V47,V50:V51))</f>
        <v/>
      </c>
      <c r="W58" s="3128"/>
      <c r="X58" s="3127"/>
      <c r="Y58" s="3126" t="str">
        <f ca="1">IF(SUM(Y47,Y50:Y51)=0,"",Y51/SUM(Y47,Y50:Y51))</f>
        <v/>
      </c>
      <c r="Z58" s="3128"/>
      <c r="AA58" s="3127"/>
      <c r="AB58" s="3126" t="str">
        <f ca="1">IF(SUM(AB47,AB50:AB51)=0,"",AB51/SUM(AB47,AB50:AB51))</f>
        <v/>
      </c>
      <c r="AC58" s="3128"/>
      <c r="AD58" s="3127"/>
      <c r="AE58" s="3126" t="str">
        <f ca="1">IF(SUM(AE47,AE50:AE51)=0,"",AE51/SUM(AE47,AE50:AE51))</f>
        <v/>
      </c>
      <c r="AF58" s="3128"/>
      <c r="AG58" s="3127"/>
      <c r="AH58" s="3126" t="str">
        <f ca="1">IF(SUM(AH47,AH50:AH51)=0,"",AH51/SUM(AH47,AH50:AH51))</f>
        <v/>
      </c>
      <c r="AI58" s="3128"/>
      <c r="AJ58" s="3127"/>
      <c r="AK58" s="3126" t="str">
        <f ca="1">IF(SUM(AK47,AK50:AK51)=0,"",AK51/SUM(AK47,AK50:AK51))</f>
        <v/>
      </c>
      <c r="AL58" s="3128"/>
      <c r="AM58" s="3127"/>
      <c r="AN58" s="3126" t="str">
        <f ca="1">IF(SUM(AN47,AN50:AN51)=0,"",AN51/SUM(AN47,AN50:AN51))</f>
        <v/>
      </c>
      <c r="AO58" s="3128"/>
      <c r="AP58" s="3127"/>
      <c r="AQ58" s="3126" t="str">
        <f ca="1">IF(SUM(AQ47,AQ50:AQ51)=0,"",AQ51/SUM(AQ47,AQ50:AQ51))</f>
        <v/>
      </c>
      <c r="AR58" s="3128"/>
      <c r="AS58" s="3127"/>
      <c r="AT58" s="3126" t="str">
        <f ca="1">IF(SUM(AT47,AT50:AT51)=0,"",AT51/SUM(AT47,AT50:AT51))</f>
        <v/>
      </c>
      <c r="AU58" s="3128"/>
      <c r="AV58" s="3127"/>
    </row>
    <row r="59" spans="1:48" ht="15.5">
      <c r="A59" s="3130" t="s">
        <v>2039</v>
      </c>
      <c r="B59" s="3131" t="str">
        <f ca="1">IF(SUM(B47,B50:B51)=0,"",SUM(B47,B50)/SUM(B47,B50:B51))</f>
        <v/>
      </c>
      <c r="C59" s="3132"/>
      <c r="D59" s="3131" t="str">
        <f ca="1">IF(SUM(D47,D50:D51)=0,"",SUM(D47,D50)/SUM(D47,D50:D51))</f>
        <v/>
      </c>
      <c r="E59" s="3133"/>
      <c r="F59" s="3132"/>
      <c r="G59" s="3131" t="str">
        <f ca="1">IF(SUM(G47,G50:G51)=0,"",SUM(G47,G50)/SUM(G47,G50:G51))</f>
        <v/>
      </c>
      <c r="H59" s="3133"/>
      <c r="I59" s="3132"/>
      <c r="J59" s="3131" t="str">
        <f ca="1">IF(SUM(J47,J50:J51)=0,"",SUM(J47,J50)/SUM(J47,J50:J51))</f>
        <v/>
      </c>
      <c r="K59" s="3133"/>
      <c r="L59" s="3132"/>
      <c r="M59" s="3131" t="str">
        <f ca="1">IF(SUM(M47,M50:M51)=0,"",SUM(M47,M50)/SUM(M47,M50:M51))</f>
        <v/>
      </c>
      <c r="N59" s="3133"/>
      <c r="O59" s="3132"/>
      <c r="P59" s="3131" t="str">
        <f ca="1">IF(SUM(P47,P50:P51)=0,"",SUM(P47,P50)/SUM(P47,P50:P51))</f>
        <v/>
      </c>
      <c r="Q59" s="3133"/>
      <c r="R59" s="3132"/>
      <c r="S59" s="3131" t="str">
        <f ca="1">IF(SUM(S47,S50:S51)=0,"",SUM(S47,S50)/SUM(S47,S50:S51))</f>
        <v/>
      </c>
      <c r="T59" s="3133"/>
      <c r="U59" s="3132"/>
      <c r="V59" s="3131" t="str">
        <f ca="1">IF(SUM(V47,V50:V51)=0,"",SUM(V47,V50)/SUM(V47,V50:V51))</f>
        <v/>
      </c>
      <c r="W59" s="3133"/>
      <c r="X59" s="3132"/>
      <c r="Y59" s="3131" t="str">
        <f ca="1">IF(SUM(Y47,Y50:Y51)=0,"",SUM(Y47,Y50)/SUM(Y47,Y50:Y51))</f>
        <v/>
      </c>
      <c r="Z59" s="3133"/>
      <c r="AA59" s="3132"/>
      <c r="AB59" s="3131" t="str">
        <f ca="1">IF(SUM(AB47,AB50:AB51)=0,"",SUM(AB47,AB50)/SUM(AB47,AB50:AB51))</f>
        <v/>
      </c>
      <c r="AC59" s="3133"/>
      <c r="AD59" s="3132"/>
      <c r="AE59" s="3131" t="str">
        <f ca="1">IF(SUM(AE47,AE50:AE51)=0,"",SUM(AE47,AE50)/SUM(AE47,AE50:AE51))</f>
        <v/>
      </c>
      <c r="AF59" s="3133"/>
      <c r="AG59" s="3132"/>
      <c r="AH59" s="3131" t="str">
        <f ca="1">IF(SUM(AH47,AH50:AH51)=0,"",SUM(AH47,AH50)/SUM(AH47,AH50:AH51))</f>
        <v/>
      </c>
      <c r="AI59" s="3133"/>
      <c r="AJ59" s="3132"/>
      <c r="AK59" s="3131" t="str">
        <f ca="1">IF(SUM(AK47,AK50:AK51)=0,"",SUM(AK47,AK50)/SUM(AK47,AK50:AK51))</f>
        <v/>
      </c>
      <c r="AL59" s="3133"/>
      <c r="AM59" s="3132"/>
      <c r="AN59" s="3131" t="str">
        <f ca="1">IF(SUM(AN47,AN50:AN51)=0,"",SUM(AN47,AN50)/SUM(AN47,AN50:AN51))</f>
        <v/>
      </c>
      <c r="AO59" s="3133"/>
      <c r="AP59" s="3132"/>
      <c r="AQ59" s="3131" t="str">
        <f ca="1">IF(SUM(AQ47,AQ50:AQ51)=0,"",SUM(AQ47,AQ50)/SUM(AQ47,AQ50:AQ51))</f>
        <v/>
      </c>
      <c r="AR59" s="3133"/>
      <c r="AS59" s="3132"/>
      <c r="AT59" s="3131" t="str">
        <f ca="1">IF(SUM(AT47,AT50:AT51)=0,"",SUM(AT47,AT50)/SUM(AT47,AT50:AT51))</f>
        <v/>
      </c>
      <c r="AU59" s="3133"/>
      <c r="AV59" s="3132"/>
    </row>
    <row r="60" spans="1:48" ht="18">
      <c r="A60" s="3079" t="s">
        <v>2040</v>
      </c>
      <c r="B60" s="3080"/>
      <c r="C60" s="3080"/>
      <c r="D60" s="3080"/>
      <c r="E60" s="3080"/>
      <c r="F60" s="3080"/>
      <c r="G60" s="3080"/>
      <c r="H60" s="3080"/>
      <c r="I60" s="3080"/>
      <c r="J60" s="3080"/>
      <c r="K60" s="3080"/>
      <c r="L60" s="3080"/>
      <c r="M60" s="3080"/>
      <c r="N60" s="3080"/>
      <c r="O60" s="3080"/>
      <c r="P60" s="3080"/>
      <c r="Q60" s="3080"/>
      <c r="R60" s="3080"/>
      <c r="S60" s="3080"/>
      <c r="T60" s="3080"/>
      <c r="U60" s="3080"/>
      <c r="V60" s="3080"/>
      <c r="W60" s="3080"/>
      <c r="X60" s="3080"/>
      <c r="Y60" s="3080"/>
      <c r="Z60" s="3080"/>
      <c r="AA60" s="3080"/>
      <c r="AB60" s="3080"/>
      <c r="AC60" s="3080"/>
      <c r="AD60" s="3080"/>
      <c r="AE60" s="3080"/>
      <c r="AF60" s="3080"/>
      <c r="AG60" s="3080"/>
      <c r="AH60" s="3080"/>
      <c r="AI60" s="3080"/>
      <c r="AJ60" s="3080"/>
      <c r="AK60" s="3080"/>
      <c r="AL60" s="3080"/>
      <c r="AM60" s="3080"/>
      <c r="AN60" s="3080"/>
      <c r="AO60" s="3080"/>
      <c r="AP60" s="3080"/>
      <c r="AQ60" s="3080"/>
      <c r="AR60" s="3080"/>
      <c r="AS60" s="3080"/>
      <c r="AT60" s="3080"/>
      <c r="AU60" s="3080"/>
      <c r="AV60" s="3080"/>
    </row>
    <row r="61" spans="1:48" ht="15.5">
      <c r="A61" s="3081" t="s">
        <v>536</v>
      </c>
      <c r="B61" s="3082">
        <f ca="1">B11</f>
        <v>2023</v>
      </c>
      <c r="C61" s="3083" t="s">
        <v>2041</v>
      </c>
      <c r="D61" s="3123">
        <f ca="1">D11</f>
        <v>2024</v>
      </c>
      <c r="E61" s="3125"/>
      <c r="F61" s="3083" t="s">
        <v>2041</v>
      </c>
      <c r="G61" s="3123">
        <f ca="1">G11</f>
        <v>2025</v>
      </c>
      <c r="H61" s="3125"/>
      <c r="I61" s="3083" t="s">
        <v>2041</v>
      </c>
      <c r="J61" s="3123">
        <f ca="1">J11</f>
        <v>2026</v>
      </c>
      <c r="K61" s="3125"/>
      <c r="L61" s="3083" t="s">
        <v>2041</v>
      </c>
      <c r="M61" s="3123">
        <f ca="1">M11</f>
        <v>2027</v>
      </c>
      <c r="N61" s="3125"/>
      <c r="O61" s="3083" t="s">
        <v>2041</v>
      </c>
      <c r="P61" s="3123">
        <f ca="1">P11</f>
        <v>2028</v>
      </c>
      <c r="Q61" s="3125"/>
      <c r="R61" s="3083" t="s">
        <v>2041</v>
      </c>
      <c r="S61" s="3123">
        <f ca="1">S11</f>
        <v>2029</v>
      </c>
      <c r="T61" s="3125"/>
      <c r="U61" s="3083" t="s">
        <v>2041</v>
      </c>
      <c r="V61" s="3123">
        <f ca="1">V11</f>
        <v>2030</v>
      </c>
      <c r="W61" s="3125"/>
      <c r="X61" s="3083" t="s">
        <v>2041</v>
      </c>
      <c r="Y61" s="3123">
        <f ca="1">Y11</f>
        <v>2031</v>
      </c>
      <c r="Z61" s="3125"/>
      <c r="AA61" s="3083" t="s">
        <v>2041</v>
      </c>
      <c r="AB61" s="3123">
        <f ca="1">AB11</f>
        <v>2032</v>
      </c>
      <c r="AC61" s="3125"/>
      <c r="AD61" s="3083" t="s">
        <v>2041</v>
      </c>
      <c r="AE61" s="3123">
        <f ca="1">AE11</f>
        <v>2033</v>
      </c>
      <c r="AF61" s="3125"/>
      <c r="AG61" s="3083" t="s">
        <v>2041</v>
      </c>
      <c r="AH61" s="3123">
        <f ca="1">AH11</f>
        <v>2034</v>
      </c>
      <c r="AI61" s="3125"/>
      <c r="AJ61" s="3083" t="s">
        <v>2041</v>
      </c>
      <c r="AK61" s="3123">
        <f ca="1">AK11</f>
        <v>2035</v>
      </c>
      <c r="AL61" s="3125"/>
      <c r="AM61" s="3083" t="s">
        <v>2041</v>
      </c>
      <c r="AN61" s="3123">
        <f ca="1">AN11</f>
        <v>2036</v>
      </c>
      <c r="AO61" s="3125"/>
      <c r="AP61" s="3083" t="s">
        <v>2041</v>
      </c>
      <c r="AQ61" s="3123">
        <f ca="1">AQ11</f>
        <v>2037</v>
      </c>
      <c r="AR61" s="3125"/>
      <c r="AS61" s="3083" t="s">
        <v>2041</v>
      </c>
      <c r="AT61" s="3123">
        <f ca="1">AT11</f>
        <v>2038</v>
      </c>
      <c r="AU61" s="3125"/>
      <c r="AV61" s="3083" t="s">
        <v>2041</v>
      </c>
    </row>
    <row r="62" spans="1:48" ht="15.5">
      <c r="A62" s="3134">
        <f>IF(AND(A4=0,B4=0,C4=0),0,A4&amp;" "&amp;B4&amp;" "&amp;IF(C4=0,"",TEXT(C4,"#.0,0%")))</f>
        <v>0</v>
      </c>
      <c r="B62" s="3135"/>
      <c r="C62" s="3136" t="str">
        <f>IF(OR($B4=0,$B4=""),"",VLOOKUP($B4,$A$393:$AE$398,COLUMN(B61),0))</f>
        <v/>
      </c>
      <c r="D62" s="3137"/>
      <c r="E62" s="3128"/>
      <c r="F62" s="3136" t="str">
        <f>IF(OR($B4=0,$B4=""),"",VLOOKUP($B4,$A$393:$AE$398,COLUMN(D61),0))</f>
        <v/>
      </c>
      <c r="G62" s="3137"/>
      <c r="H62" s="3128"/>
      <c r="I62" s="3136" t="str">
        <f>IF(OR($B4=0,$B4=""),"",VLOOKUP($B4,$A$393:$AE$398,COLUMN(G61),0))</f>
        <v/>
      </c>
      <c r="J62" s="3137"/>
      <c r="K62" s="3128"/>
      <c r="L62" s="3136" t="str">
        <f>IF(OR($B4=0,$B4=""),"",VLOOKUP($B4,$A$393:$AE$398,COLUMN(J61),0))</f>
        <v/>
      </c>
      <c r="M62" s="3137"/>
      <c r="N62" s="3128"/>
      <c r="O62" s="3136" t="str">
        <f>IF(OR($B4=0,$B4=""),"",VLOOKUP($B4,$A$393:$AE$398,COLUMN(M61),0))</f>
        <v/>
      </c>
      <c r="P62" s="3137"/>
      <c r="Q62" s="3128"/>
      <c r="R62" s="3136" t="str">
        <f>IF(OR($B4=0,$B4=""),"",VLOOKUP($B4,$A$393:$AE$398,COLUMN(P61),0))</f>
        <v/>
      </c>
      <c r="S62" s="3137"/>
      <c r="T62" s="3128"/>
      <c r="U62" s="3136" t="str">
        <f>IF(OR($B4=0,$B4=""),"",VLOOKUP($B4,$A$393:$AE$398,COLUMN(S61),0))</f>
        <v/>
      </c>
      <c r="V62" s="3137"/>
      <c r="W62" s="3128"/>
      <c r="X62" s="3136" t="str">
        <f>IF(OR($B4=0,$B4=""),"",VLOOKUP($B4,$A$393:$AE$398,COLUMN(V61),0))</f>
        <v/>
      </c>
      <c r="Y62" s="3137"/>
      <c r="Z62" s="3128"/>
      <c r="AA62" s="3136" t="str">
        <f>IF(OR($B4=0,$B4=""),"",VLOOKUP($B4,$A$393:$AE$398,COLUMN(Y61),0))</f>
        <v/>
      </c>
      <c r="AB62" s="3137"/>
      <c r="AC62" s="3128"/>
      <c r="AD62" s="3136" t="str">
        <f>IF(OR($B4=0,$B4=""),"",VLOOKUP($B4,$A$393:$AE$398,COLUMN(AB61),0))</f>
        <v/>
      </c>
      <c r="AE62" s="3137"/>
      <c r="AF62" s="3128"/>
      <c r="AG62" s="3136" t="str">
        <f>IF(OR($B4=0,$B4=""),"",VLOOKUP($B4,$A$393:$AE$398,COLUMN(AE61),0))</f>
        <v/>
      </c>
      <c r="AH62" s="3137"/>
      <c r="AI62" s="3128"/>
      <c r="AJ62" s="3136" t="str">
        <f>IF(OR($B4=0,$B4=""),"",VLOOKUP($B4,$A$393:$AE$398,COLUMN(AH61),0))</f>
        <v/>
      </c>
      <c r="AK62" s="3137"/>
      <c r="AL62" s="3128"/>
      <c r="AM62" s="3136" t="str">
        <f>IF(OR($B4=0,$B4=""),"",VLOOKUP($B4,$A$393:$AE$398,COLUMN(AK61),0))</f>
        <v/>
      </c>
      <c r="AN62" s="3137"/>
      <c r="AO62" s="3128"/>
      <c r="AP62" s="3136" t="str">
        <f>IF(OR($B4=0,$B4=""),"",VLOOKUP($B4,$A$393:$AE$398,COLUMN(AN61),0))</f>
        <v/>
      </c>
      <c r="AQ62" s="3137"/>
      <c r="AR62" s="3128"/>
      <c r="AS62" s="3136" t="str">
        <f>IF(OR($B4=0,$B4=""),"",VLOOKUP($B4,$A$393:$AE$398,COLUMN(AQ61),0))</f>
        <v/>
      </c>
      <c r="AT62" s="3137"/>
      <c r="AU62" s="3128"/>
      <c r="AV62" s="3136" t="str">
        <f>IF(OR($B4=0,$B4=""),"",VLOOKUP($B4,$A$393:$AE$398,COLUMN(AT61),0))</f>
        <v/>
      </c>
    </row>
    <row r="63" spans="1:48" ht="15.5">
      <c r="A63" s="3134">
        <f>IF(AND(A5=0,B5=0,C5=0),0,A5&amp;" "&amp;B5&amp;" "&amp;IF(C5=0,"",TEXT(C5,"#.0,0%")))</f>
        <v>0</v>
      </c>
      <c r="B63" s="3135"/>
      <c r="C63" s="3136" t="str">
        <f>IF(OR($B5=0,$B5=""),"",VLOOKUP($B5,$A$400:$AE$405,COLUMN(B61),0))</f>
        <v/>
      </c>
      <c r="D63" s="3137"/>
      <c r="E63" s="3128"/>
      <c r="F63" s="3136" t="str">
        <f>IF(OR($B5=0,$B5=""),"",VLOOKUP($B5,$A$400:$AE$405,COLUMN(D61),0))</f>
        <v/>
      </c>
      <c r="G63" s="3137"/>
      <c r="H63" s="3128"/>
      <c r="I63" s="3136" t="str">
        <f>IF(OR($B5=0,$B5=""),"",VLOOKUP($B5,$A$400:$AE$405,COLUMN(G61),0))</f>
        <v/>
      </c>
      <c r="J63" s="3137"/>
      <c r="K63" s="3128"/>
      <c r="L63" s="3136" t="str">
        <f>IF(OR($B5=0,$B5=""),"",VLOOKUP($B5,$A$400:$AE$405,COLUMN(J61),0))</f>
        <v/>
      </c>
      <c r="M63" s="3137"/>
      <c r="N63" s="3128"/>
      <c r="O63" s="3136" t="str">
        <f>IF(OR($B5=0,$B5=""),"",VLOOKUP($B5,$A$400:$AE$405,COLUMN(M61),0))</f>
        <v/>
      </c>
      <c r="P63" s="3137"/>
      <c r="Q63" s="3128"/>
      <c r="R63" s="3136" t="str">
        <f>IF(OR($B5=0,$B5=""),"",VLOOKUP($B5,$A$400:$AE$405,COLUMN(P61),0))</f>
        <v/>
      </c>
      <c r="S63" s="3137"/>
      <c r="T63" s="3128"/>
      <c r="U63" s="3136" t="str">
        <f>IF(OR($B5=0,$B5=""),"",VLOOKUP($B5,$A$400:$AE$405,COLUMN(S61),0))</f>
        <v/>
      </c>
      <c r="V63" s="3137"/>
      <c r="W63" s="3128"/>
      <c r="X63" s="3136" t="str">
        <f>IF(OR($B5=0,$B5=""),"",VLOOKUP($B5,$A$400:$AE$405,COLUMN(V61),0))</f>
        <v/>
      </c>
      <c r="Y63" s="3137"/>
      <c r="Z63" s="3128"/>
      <c r="AA63" s="3136" t="str">
        <f>IF(OR($B5=0,$B5=""),"",VLOOKUP($B5,$A$400:$AE$405,COLUMN(Y61),0))</f>
        <v/>
      </c>
      <c r="AB63" s="3137"/>
      <c r="AC63" s="3128"/>
      <c r="AD63" s="3136" t="str">
        <f>IF(OR($B5=0,$B5=""),"",VLOOKUP($B5,$A$400:$AE$405,COLUMN(AB61),0))</f>
        <v/>
      </c>
      <c r="AE63" s="3137"/>
      <c r="AF63" s="3128"/>
      <c r="AG63" s="3136" t="str">
        <f>IF(OR($B5=0,$B5=""),"",VLOOKUP($B5,$A$400:$AE$405,COLUMN(AE61),0))</f>
        <v/>
      </c>
      <c r="AH63" s="3137"/>
      <c r="AI63" s="3128"/>
      <c r="AJ63" s="3136" t="str">
        <f>IF(OR($B5=0,$B5=""),"",VLOOKUP($B5,$A$400:$AE$405,COLUMN(AH61),0))</f>
        <v/>
      </c>
      <c r="AK63" s="3137"/>
      <c r="AL63" s="3128"/>
      <c r="AM63" s="3136" t="str">
        <f>IF(OR($B5=0,$B5=""),"",VLOOKUP($B5,$A$400:$AE$405,COLUMN(AK61),0))</f>
        <v/>
      </c>
      <c r="AN63" s="3137"/>
      <c r="AO63" s="3128"/>
      <c r="AP63" s="3136" t="str">
        <f>IF(OR($B5=0,$B5=""),"",VLOOKUP($B5,$A$400:$AE$405,COLUMN(AN61),0))</f>
        <v/>
      </c>
      <c r="AQ63" s="3137"/>
      <c r="AR63" s="3128"/>
      <c r="AS63" s="3136" t="str">
        <f>IF(OR($B5=0,$B5=""),"",VLOOKUP($B5,$A$400:$AE$405,COLUMN(AQ61),0))</f>
        <v/>
      </c>
      <c r="AT63" s="3137"/>
      <c r="AU63" s="3128"/>
      <c r="AV63" s="3136" t="str">
        <f>IF(OR($B5=0,$B5=""),"",VLOOKUP($B5,$A$400:$AE$405,COLUMN(AT61),0))</f>
        <v/>
      </c>
    </row>
    <row r="64" spans="1:48" ht="15.5">
      <c r="A64" s="3134">
        <f>IF(AND(A6=0,B6=0,C6=0),0,A6&amp;" "&amp;B6&amp;" "&amp;IF(C6=0,"",TEXT(C6,"#.0,0%")))</f>
        <v>0</v>
      </c>
      <c r="B64" s="3135"/>
      <c r="C64" s="3136" t="str">
        <f>IF(OR($B6=0,$B6=""),"",VLOOKUP($B6,$A$407:$AE$412,COLUMN(B61),0))</f>
        <v/>
      </c>
      <c r="D64" s="3137"/>
      <c r="E64" s="3128"/>
      <c r="F64" s="3136" t="str">
        <f>IF(OR($B6=0,$B6=""),"",VLOOKUP($B6,$A$407:$AE$412,COLUMN(D61),0))</f>
        <v/>
      </c>
      <c r="G64" s="3137"/>
      <c r="H64" s="3128"/>
      <c r="I64" s="3136" t="str">
        <f>IF(OR($B6=0,$B6=""),"",VLOOKUP($B6,$A$407:$AE$412,COLUMN(G61),0))</f>
        <v/>
      </c>
      <c r="J64" s="3137"/>
      <c r="K64" s="3128"/>
      <c r="L64" s="3136" t="str">
        <f>IF(OR($B6=0,$B6=""),"",VLOOKUP($B6,$A$407:$AE$412,COLUMN(J61),0))</f>
        <v/>
      </c>
      <c r="M64" s="3137"/>
      <c r="N64" s="3128"/>
      <c r="O64" s="3136" t="str">
        <f>IF(OR($B6=0,$B6=""),"",VLOOKUP($B6,$A$407:$AE$412,COLUMN(M61),0))</f>
        <v/>
      </c>
      <c r="P64" s="3137"/>
      <c r="Q64" s="3128"/>
      <c r="R64" s="3136" t="str">
        <f>IF(OR($B6=0,$B6=""),"",VLOOKUP($B6,$A$407:$AE$412,COLUMN(P61),0))</f>
        <v/>
      </c>
      <c r="S64" s="3137"/>
      <c r="T64" s="3128"/>
      <c r="U64" s="3136" t="str">
        <f>IF(OR($B6=0,$B6=""),"",VLOOKUP($B6,$A$407:$AE$412,COLUMN(S61),0))</f>
        <v/>
      </c>
      <c r="V64" s="3137"/>
      <c r="W64" s="3128"/>
      <c r="X64" s="3136" t="str">
        <f>IF(OR($B6=0,$B6=""),"",VLOOKUP($B6,$A$407:$AE$412,COLUMN(V61),0))</f>
        <v/>
      </c>
      <c r="Y64" s="3137"/>
      <c r="Z64" s="3128"/>
      <c r="AA64" s="3136" t="str">
        <f>IF(OR($B6=0,$B6=""),"",VLOOKUP($B6,$A$407:$AE$412,COLUMN(Y61),0))</f>
        <v/>
      </c>
      <c r="AB64" s="3137"/>
      <c r="AC64" s="3128"/>
      <c r="AD64" s="3136" t="str">
        <f>IF(OR($B6=0,$B6=""),"",VLOOKUP($B6,$A$407:$AE$412,COLUMN(AB61),0))</f>
        <v/>
      </c>
      <c r="AE64" s="3137"/>
      <c r="AF64" s="3128"/>
      <c r="AG64" s="3136" t="str">
        <f>IF(OR($B6=0,$B6=""),"",VLOOKUP($B6,$A$407:$AE$412,COLUMN(AE61),0))</f>
        <v/>
      </c>
      <c r="AH64" s="3137"/>
      <c r="AI64" s="3128"/>
      <c r="AJ64" s="3136" t="str">
        <f>IF(OR($B6=0,$B6=""),"",VLOOKUP($B6,$A$407:$AE$412,COLUMN(AH61),0))</f>
        <v/>
      </c>
      <c r="AK64" s="3137"/>
      <c r="AL64" s="3128"/>
      <c r="AM64" s="3136" t="str">
        <f>IF(OR($B6=0,$B6=""),"",VLOOKUP($B6,$A$407:$AE$412,COLUMN(AK61),0))</f>
        <v/>
      </c>
      <c r="AN64" s="3137"/>
      <c r="AO64" s="3128"/>
      <c r="AP64" s="3136" t="str">
        <f>IF(OR($B6=0,$B6=""),"",VLOOKUP($B6,$A$407:$AE$412,COLUMN(AN61),0))</f>
        <v/>
      </c>
      <c r="AQ64" s="3137"/>
      <c r="AR64" s="3128"/>
      <c r="AS64" s="3136" t="str">
        <f>IF(OR($B6=0,$B6=""),"",VLOOKUP($B6,$A$407:$AE$412,COLUMN(AQ61),0))</f>
        <v/>
      </c>
      <c r="AT64" s="3137"/>
      <c r="AU64" s="3128"/>
      <c r="AV64" s="3136" t="str">
        <f>IF(OR($B6=0,$B6=""),"",VLOOKUP($B6,$A$407:$AE$412,COLUMN(AT61),0))</f>
        <v/>
      </c>
    </row>
    <row r="65" spans="1:48" ht="15.5">
      <c r="A65" s="3138">
        <f>IF(AND(A7=0,B7=0,C7=0),0,A7&amp;" "&amp;B7&amp;" "&amp;IF(C7=0,"",TEXT(C7,"#.0,0%")))</f>
        <v>0</v>
      </c>
      <c r="B65" s="3139"/>
      <c r="C65" s="3140" t="str">
        <f>IF(OR($B7=0,$B7=""),"",VLOOKUP($B7,$A$414:$AE$419,COLUMN(B61),0))</f>
        <v/>
      </c>
      <c r="D65" s="3141"/>
      <c r="E65" s="3133"/>
      <c r="F65" s="3140" t="str">
        <f>IF(OR($B7=0,$B7=""),"",VLOOKUP($B7,$A$414:$AE$419,COLUMN(D61),0))</f>
        <v/>
      </c>
      <c r="G65" s="3141"/>
      <c r="H65" s="3133"/>
      <c r="I65" s="3140" t="str">
        <f>IF(OR($B7=0,$B7=""),"",VLOOKUP($B7,$A$414:$AE$419,COLUMN(G61),0))</f>
        <v/>
      </c>
      <c r="J65" s="3141"/>
      <c r="K65" s="3133"/>
      <c r="L65" s="3140" t="str">
        <f>IF(OR($B7=0,$B7=""),"",VLOOKUP($B7,$A$414:$AE$419,COLUMN(J61),0))</f>
        <v/>
      </c>
      <c r="M65" s="3141"/>
      <c r="N65" s="3133"/>
      <c r="O65" s="3140" t="str">
        <f>IF(OR($B7=0,$B7=""),"",VLOOKUP($B7,$A$414:$AE$419,COLUMN(M61),0))</f>
        <v/>
      </c>
      <c r="P65" s="3141"/>
      <c r="Q65" s="3133"/>
      <c r="R65" s="3140" t="str">
        <f>IF(OR($B7=0,$B7=""),"",VLOOKUP($B7,$A$414:$AE$419,COLUMN(P61),0))</f>
        <v/>
      </c>
      <c r="S65" s="3141"/>
      <c r="T65" s="3133"/>
      <c r="U65" s="3140" t="str">
        <f>IF(OR($B7=0,$B7=""),"",VLOOKUP($B7,$A$414:$AE$419,COLUMN(S61),0))</f>
        <v/>
      </c>
      <c r="V65" s="3141"/>
      <c r="W65" s="3133"/>
      <c r="X65" s="3140" t="str">
        <f>IF(OR($B7=0,$B7=""),"",VLOOKUP($B7,$A$414:$AE$419,COLUMN(V61),0))</f>
        <v/>
      </c>
      <c r="Y65" s="3141"/>
      <c r="Z65" s="3133"/>
      <c r="AA65" s="3140" t="str">
        <f>IF(OR($B7=0,$B7=""),"",VLOOKUP($B7,$A$414:$AE$419,COLUMN(Y61),0))</f>
        <v/>
      </c>
      <c r="AB65" s="3141"/>
      <c r="AC65" s="3133"/>
      <c r="AD65" s="3140" t="str">
        <f>IF(OR($B7=0,$B7=""),"",VLOOKUP($B7,$A$414:$AE$419,COLUMN(AB61),0))</f>
        <v/>
      </c>
      <c r="AE65" s="3141"/>
      <c r="AF65" s="3133"/>
      <c r="AG65" s="3140" t="str">
        <f>IF(OR($B7=0,$B7=""),"",VLOOKUP($B7,$A$414:$AE$419,COLUMN(AE61),0))</f>
        <v/>
      </c>
      <c r="AH65" s="3141"/>
      <c r="AI65" s="3133"/>
      <c r="AJ65" s="3140" t="str">
        <f>IF(OR($B7=0,$B7=""),"",VLOOKUP($B7,$A$414:$AE$419,COLUMN(AH61),0))</f>
        <v/>
      </c>
      <c r="AK65" s="3141"/>
      <c r="AL65" s="3133"/>
      <c r="AM65" s="3140" t="str">
        <f>IF(OR($B7=0,$B7=""),"",VLOOKUP($B7,$A$414:$AE$419,COLUMN(AK61),0))</f>
        <v/>
      </c>
      <c r="AN65" s="3141"/>
      <c r="AO65" s="3133"/>
      <c r="AP65" s="3140" t="str">
        <f>IF(OR($B7=0,$B7=""),"",VLOOKUP($B7,$A$414:$AE$419,COLUMN(AN61),0))</f>
        <v/>
      </c>
      <c r="AQ65" s="3141"/>
      <c r="AR65" s="3133"/>
      <c r="AS65" s="3140" t="str">
        <f>IF(OR($B7=0,$B7=""),"",VLOOKUP($B7,$A$414:$AE$419,COLUMN(AQ61),0))</f>
        <v/>
      </c>
      <c r="AT65" s="3141"/>
      <c r="AU65" s="3133"/>
      <c r="AV65" s="3140" t="str">
        <f>IF(OR($B7=0,$B7=""),"",VLOOKUP($B7,$A$414:$AE$419,COLUMN(AT61),0))</f>
        <v/>
      </c>
    </row>
    <row r="66" spans="1:48" ht="12.5">
      <c r="A66" s="3142"/>
      <c r="B66" s="3142"/>
      <c r="C66" s="3142"/>
      <c r="D66" s="3142"/>
      <c r="E66" s="3142"/>
      <c r="F66" s="3142"/>
      <c r="G66" s="3142"/>
      <c r="H66" s="3142"/>
      <c r="I66" s="3142"/>
      <c r="J66" s="3142"/>
      <c r="K66" s="3142"/>
      <c r="L66" s="3142"/>
      <c r="M66" s="3142"/>
      <c r="N66" s="3142"/>
      <c r="O66" s="3142"/>
      <c r="P66" s="3142"/>
      <c r="Q66" s="3142"/>
      <c r="R66" s="3142"/>
      <c r="S66" s="3142"/>
      <c r="T66" s="3142"/>
      <c r="U66" s="3142"/>
      <c r="V66" s="3142"/>
      <c r="W66" s="3142"/>
      <c r="X66" s="3142"/>
      <c r="Y66" s="3142"/>
      <c r="Z66" s="3142"/>
      <c r="AA66" s="3142"/>
      <c r="AB66" s="3142"/>
      <c r="AC66" s="3142"/>
      <c r="AD66" s="3142"/>
      <c r="AE66" s="3142"/>
      <c r="AF66" s="3142"/>
      <c r="AG66" s="3142"/>
      <c r="AH66" s="3142"/>
      <c r="AI66" s="3142"/>
      <c r="AJ66" s="3142"/>
      <c r="AK66" s="3142"/>
      <c r="AL66" s="3142"/>
      <c r="AM66" s="3142"/>
      <c r="AN66" s="3142"/>
      <c r="AO66" s="3142"/>
      <c r="AP66" s="3142"/>
      <c r="AQ66" s="3142"/>
      <c r="AR66" s="3142"/>
      <c r="AS66" s="3142"/>
      <c r="AT66" s="3142"/>
      <c r="AU66" s="3142"/>
      <c r="AV66" s="3142"/>
    </row>
    <row r="67" spans="1:48" ht="12.5">
      <c r="A67" s="3142"/>
      <c r="B67" s="3142"/>
      <c r="C67" s="3142"/>
      <c r="D67" s="3142"/>
      <c r="E67" s="3142"/>
      <c r="F67" s="3142"/>
      <c r="G67" s="3142"/>
      <c r="H67" s="3142"/>
      <c r="I67" s="3142"/>
      <c r="J67" s="3142"/>
      <c r="K67" s="3142"/>
      <c r="L67" s="3142"/>
      <c r="M67" s="3142"/>
      <c r="N67" s="3142"/>
      <c r="O67" s="3142"/>
      <c r="P67" s="3142"/>
      <c r="Q67" s="3142"/>
      <c r="R67" s="3142"/>
      <c r="S67" s="3142"/>
      <c r="T67" s="3142"/>
      <c r="U67" s="3142"/>
      <c r="V67" s="3142"/>
      <c r="W67" s="3142"/>
      <c r="X67" s="3142"/>
      <c r="Y67" s="3142"/>
      <c r="Z67" s="3142"/>
      <c r="AA67" s="3142"/>
      <c r="AB67" s="3142"/>
      <c r="AC67" s="3142"/>
      <c r="AD67" s="3142"/>
      <c r="AE67" s="3142"/>
      <c r="AF67" s="3142"/>
      <c r="AG67" s="3142"/>
      <c r="AH67" s="3142"/>
      <c r="AI67" s="3142"/>
      <c r="AJ67" s="3142"/>
      <c r="AK67" s="3142"/>
      <c r="AL67" s="3142"/>
      <c r="AM67" s="3142"/>
      <c r="AN67" s="3142"/>
      <c r="AO67" s="3142"/>
      <c r="AP67" s="3142"/>
      <c r="AQ67" s="3142"/>
      <c r="AR67" s="3142"/>
      <c r="AS67" s="3142"/>
      <c r="AT67" s="3142"/>
      <c r="AU67" s="3142"/>
      <c r="AV67" s="3142"/>
    </row>
    <row r="68" spans="1:48" ht="13" thickBot="1"/>
    <row r="69" spans="1:48" ht="23.5" thickTop="1">
      <c r="A69" s="3143" t="s">
        <v>2042</v>
      </c>
      <c r="B69" s="3144"/>
      <c r="C69" s="3144"/>
      <c r="D69" s="3144"/>
      <c r="E69" s="3144"/>
      <c r="F69" s="3144"/>
      <c r="G69" s="3144"/>
      <c r="H69" s="3144"/>
      <c r="I69" s="3144"/>
      <c r="J69" s="3144"/>
      <c r="K69" s="3144"/>
      <c r="L69" s="3144"/>
      <c r="M69" s="3144"/>
      <c r="N69" s="3144"/>
      <c r="O69" s="3144"/>
      <c r="P69" s="3144"/>
      <c r="Q69" s="3144"/>
      <c r="R69" s="3144"/>
      <c r="S69" s="3144"/>
      <c r="T69" s="3144"/>
      <c r="U69" s="3144"/>
      <c r="V69" s="3144"/>
      <c r="W69" s="3144"/>
      <c r="X69" s="3144"/>
      <c r="Y69" s="3144"/>
      <c r="Z69" s="3144"/>
      <c r="AA69" s="3144"/>
      <c r="AB69" s="3144"/>
      <c r="AC69" s="3144"/>
      <c r="AD69" s="3144"/>
      <c r="AE69" s="3144"/>
      <c r="AF69" s="3144"/>
      <c r="AG69" s="3144"/>
      <c r="AH69" s="3144"/>
      <c r="AI69" s="3144"/>
      <c r="AJ69" s="3144"/>
      <c r="AK69" s="3144"/>
      <c r="AL69" s="3144"/>
      <c r="AM69" s="3144"/>
      <c r="AN69" s="3144"/>
      <c r="AO69" s="3144"/>
      <c r="AP69" s="3144"/>
      <c r="AQ69" s="3144"/>
      <c r="AR69" s="3144"/>
      <c r="AS69" s="3144"/>
      <c r="AT69" s="3144"/>
      <c r="AU69" s="3144"/>
      <c r="AV69" s="3144"/>
    </row>
    <row r="70" spans="1:48" ht="12.5"/>
    <row r="71" spans="1:48" ht="12.5">
      <c r="A71" s="3145" t="s">
        <v>1267</v>
      </c>
      <c r="B71" s="3146" t="s">
        <v>1520</v>
      </c>
    </row>
    <row r="72" spans="1:48" ht="12.5">
      <c r="A72" s="3147" t="s">
        <v>1269</v>
      </c>
      <c r="B72" s="3148" t="s">
        <v>1270</v>
      </c>
    </row>
    <row r="73" spans="1:48" ht="13" thickBot="1"/>
    <row r="74" spans="1:48" ht="13.5" thickBot="1">
      <c r="A74" s="3149" t="s">
        <v>2043</v>
      </c>
      <c r="B74" s="3150"/>
      <c r="C74" s="3150"/>
      <c r="D74" s="3150"/>
      <c r="E74" s="3151"/>
    </row>
    <row r="75" spans="1:48" ht="12.5">
      <c r="A75" s="3152" t="str">
        <f>IF(AND(A81=0,A81=""),"","1er. DESEMBOLSO - ")&amp;"AMORTIZACIÓN DE CAPITAL"</f>
        <v>AMORTIZACIÓN DE CAPITAL</v>
      </c>
      <c r="B75" s="3153"/>
      <c r="C75" s="3154"/>
      <c r="D75" s="3150"/>
      <c r="E75" s="3150"/>
      <c r="F75" s="3150"/>
      <c r="G75" s="3150"/>
      <c r="H75" s="3150"/>
      <c r="I75" s="3150"/>
      <c r="J75" s="3150"/>
      <c r="K75" s="3150"/>
      <c r="L75" s="3150"/>
      <c r="M75" s="3150"/>
      <c r="N75" s="3150"/>
      <c r="O75" s="3150"/>
      <c r="P75" s="3150"/>
      <c r="Q75" s="3150"/>
      <c r="R75" s="3150"/>
      <c r="S75" s="3150"/>
      <c r="T75" s="3150"/>
      <c r="U75" s="3150"/>
      <c r="V75" s="3150"/>
      <c r="W75" s="3150"/>
      <c r="X75" s="3150"/>
      <c r="Y75" s="3150"/>
      <c r="Z75" s="3150"/>
      <c r="AA75" s="3150"/>
      <c r="AB75" s="3150"/>
      <c r="AC75" s="3150"/>
      <c r="AD75" s="3150"/>
      <c r="AE75" s="3150"/>
      <c r="AF75" s="3150"/>
      <c r="AG75" s="3150"/>
      <c r="AH75" s="3150"/>
      <c r="AI75" s="3150"/>
      <c r="AJ75" s="3150"/>
      <c r="AK75" s="3150"/>
      <c r="AL75" s="3150"/>
      <c r="AM75" s="3150"/>
      <c r="AN75" s="3150"/>
      <c r="AO75" s="3150"/>
      <c r="AP75" s="3150"/>
      <c r="AQ75" s="3150"/>
      <c r="AR75" s="3150"/>
      <c r="AS75" s="3150"/>
      <c r="AT75" s="3150"/>
      <c r="AU75" s="3150"/>
      <c r="AV75" s="3151"/>
    </row>
    <row r="76" spans="1:48" ht="12.5">
      <c r="A76" s="3155" t="str">
        <f>IF(AND(A81=0,A81=""),"","1er. DESEMBOLSO - ")&amp;"MONTO DEL CRÉDITO"</f>
        <v>MONTO DEL CRÉDITO</v>
      </c>
      <c r="B76" s="3156"/>
      <c r="AV76" s="3157"/>
    </row>
    <row r="77" spans="1:48" ht="12.5">
      <c r="A77" s="3155" t="str">
        <f>IF(AND(A81=0,A81=""),"","1er. DESEMBOLSO - ")&amp;"PLAZO (AÑOS) CON PERÍODO DE GRACIA"</f>
        <v>PLAZO (AÑOS) CON PERÍODO DE GRACIA</v>
      </c>
      <c r="B77" s="3158"/>
      <c r="AV77" s="3157"/>
    </row>
    <row r="78" spans="1:48" ht="12.5">
      <c r="A78" s="3155" t="str">
        <f>IF(AND(A81=0,A81=""),"","1er. DESEMBOLSO - ")&amp;"PERÍODO DE GRACIA (MESES)"</f>
        <v>PERÍODO DE GRACIA (MESES)</v>
      </c>
      <c r="B78" s="3158"/>
      <c r="AV78" s="3157"/>
    </row>
    <row r="79" spans="1:48" ht="12.5">
      <c r="A79" s="3155" t="str">
        <f>IF(AND(A81=0,A81=""),"","1er. DESEMBOLSO - ")&amp;"MES DE DESEMBOLSO"</f>
        <v>MES DE DESEMBOLSO</v>
      </c>
      <c r="B79" s="3158"/>
      <c r="AV79" s="3157"/>
    </row>
    <row r="80" spans="1:48" ht="12.5">
      <c r="A80" s="3159" t="str">
        <f>IF(AND(A81=0,A81=""),"","1er. DESEMBOLSO - ")&amp;"AÑO DE DESEMBOLSO"</f>
        <v>AÑO DE DESEMBOLSO</v>
      </c>
      <c r="B80" s="3160"/>
      <c r="AV80" s="3157"/>
    </row>
    <row r="81" spans="1:48" ht="12.5">
      <c r="A81" s="3161"/>
      <c r="B81" s="3162">
        <f ca="1">B$11</f>
        <v>2023</v>
      </c>
      <c r="D81" s="3162">
        <f ca="1">D$11</f>
        <v>2024</v>
      </c>
      <c r="G81" s="3162">
        <f ca="1">G$11</f>
        <v>2025</v>
      </c>
      <c r="J81" s="3162">
        <f ca="1">J$11</f>
        <v>2026</v>
      </c>
      <c r="M81" s="3162">
        <f ca="1">M$11</f>
        <v>2027</v>
      </c>
      <c r="P81" s="3162">
        <f ca="1">P$11</f>
        <v>2028</v>
      </c>
      <c r="S81" s="3162">
        <f ca="1">S$11</f>
        <v>2029</v>
      </c>
      <c r="V81" s="3162">
        <f ca="1">V$11</f>
        <v>2030</v>
      </c>
      <c r="Y81" s="3162">
        <f ca="1">Y$11</f>
        <v>2031</v>
      </c>
      <c r="AB81" s="3162">
        <f ca="1">AB$11</f>
        <v>2032</v>
      </c>
      <c r="AE81" s="3162">
        <f ca="1">AE$11</f>
        <v>2033</v>
      </c>
      <c r="AH81" s="3162">
        <f ca="1">AH$11</f>
        <v>2034</v>
      </c>
      <c r="AK81" s="3162">
        <f ca="1">AK$11</f>
        <v>2035</v>
      </c>
      <c r="AN81" s="3162">
        <f ca="1">AN$11</f>
        <v>2036</v>
      </c>
      <c r="AQ81" s="3162">
        <f ca="1">AQ$11</f>
        <v>2037</v>
      </c>
      <c r="AT81" s="3162">
        <f ca="1">AT$11</f>
        <v>2038</v>
      </c>
      <c r="AV81" s="3157"/>
    </row>
    <row r="82" spans="1:48" ht="12.5">
      <c r="A82" s="3163" t="str">
        <f>IF(AND(A81=0,A81=""),"","1er. DESEMBOLSO - ")&amp;"% AMORTIZACIÓN ANUAL"</f>
        <v>% AMORTIZACIÓN ANUAL</v>
      </c>
      <c r="B82" s="3164">
        <f>IF(OR($B77=0,$B77="",$B75=""),0,IF(AND(B81-$B80&gt;=0,B81&lt;=$B80+$B77,ROUNDDOWN(B81,0)=ROUNDDOWN($C$356,0)),IF(ROUNDDOWN(B81,0)=ROUNDDOWN($C$356,0),ROUND($E$356*VLOOKUP($B75,$P$357:$R$360,3,0)/$H$356,2),ROUND(VLOOKUP($B75,$P$357:$R$360,3,0)/$H$356,2)),0))</f>
        <v>0</v>
      </c>
      <c r="D82" s="3164">
        <f>IF(OR($B77=0,$B77="",$B75=""),0,IF(AND(ROUNDDOWN(D81,0)&gt;=ROUNDDOWN($C$356,0),1-$B82&lt;VLOOKUP($B75,$P$357:$R$360,3,0)/$H$356),1-$B82,IF(ROUNDDOWN(D81,0)&gt;=ROUNDDOWN($C$356,0),IF(ROUNDDOWN(D81,0)=ROUNDDOWN($C$356,0),ROUND($E$356*VLOOKUP($B75,$P$357:$R$360,3,0)/$H$356,2),ROUND(VLOOKUP($B75,$P$357:$R$360,3,0)/$H$356,2)),0)))</f>
        <v>0</v>
      </c>
      <c r="G82" s="3164">
        <f>IF(OR($B77=0,$B77="",$B75=""),0,IF(AND(ROUNDDOWN(G81,0)&gt;=ROUNDDOWN($C$356,0),1-SUM($B82:D82)&lt;VLOOKUP($B75,$P$357:$R$360,3,0)/$H$356),1-SUM($B82:D82),IF(ROUNDDOWN(G81,0)&gt;=ROUNDDOWN($C$356,0),IF(ROUNDDOWN(G81,0)=ROUNDDOWN($C$356,0),ROUND($E$356*VLOOKUP($B75,$P$357:$R$360,3,0)/$H$356,2),ROUND(VLOOKUP($B75,$P$357:$R$360,3,0)/$H$356,2)),0)))</f>
        <v>0</v>
      </c>
      <c r="J82" s="3164">
        <f>IF(OR($B77=0,$B77="",$B75=""),0,IF(AND(ROUNDDOWN(J81,0)&gt;=ROUNDDOWN($C$356,0),1-SUM($B82:G82)&lt;VLOOKUP($B75,$P$357:$R$360,3,0)/$H$356),1-SUM($B82:G82),IF(ROUNDDOWN(J81,0)&gt;=ROUNDDOWN($C$356,0),IF(ROUNDDOWN(J81,0)=ROUNDDOWN($C$356,0),ROUND($E$356*VLOOKUP($B75,$P$357:$R$360,3,0)/$H$356,2),ROUND(VLOOKUP($B75,$P$357:$R$360,3,0)/$H$356,2)),0)))</f>
        <v>0</v>
      </c>
      <c r="M82" s="3164">
        <f>IF(OR($B77=0,$B77="",$B75=""),0,IF(AND(ROUNDDOWN(M81,0)&gt;=ROUNDDOWN($C$356,0),1-SUM($B82:J82)&lt;VLOOKUP($B75,$P$357:$R$360,3,0)/$H$356),1-SUM($B82:J82),IF(ROUNDDOWN(M81,0)&gt;=ROUNDDOWN($C$356,0),IF(ROUNDDOWN(M81,0)=ROUNDDOWN($C$356,0),ROUND($E$356*VLOOKUP($B75,$P$357:$R$360,3,0)/$H$356,2),ROUND(VLOOKUP($B75,$P$357:$R$360,3,0)/$H$356,2)),0)))</f>
        <v>0</v>
      </c>
      <c r="P82" s="3164">
        <f>IF(OR($B77=0,$B77="",$B75=""),0,IF(AND(ROUNDDOWN(P81,0)&gt;=ROUNDDOWN($C$356,0),1-SUM($B82:M82)&lt;VLOOKUP($B75,$P$357:$R$360,3,0)/$H$356),1-SUM($B82:M82),IF(ROUNDDOWN(P81,0)&gt;=ROUNDDOWN($C$356,0),IF(ROUNDDOWN(P81,0)=ROUNDDOWN($C$356,0),ROUND($E$356*VLOOKUP($B75,$P$357:$R$360,3,0)/$H$356,2),ROUND(VLOOKUP($B75,$P$357:$R$360,3,0)/$H$356,2)),0)))</f>
        <v>0</v>
      </c>
      <c r="S82" s="3164">
        <f>IF(OR($B77=0,$B77="",$B75=""),0,IF(AND(ROUNDDOWN(S81,0)&gt;=ROUNDDOWN($C$356,0),1-SUM($B82:P82)&lt;VLOOKUP($B75,$P$357:$R$360,3,0)/$H$356),1-SUM($B82:P82),IF(ROUNDDOWN(S81,0)&gt;=ROUNDDOWN($C$356,0),IF(ROUNDDOWN(S81,0)=ROUNDDOWN($C$356,0),ROUND($E$356*VLOOKUP($B75,$P$357:$R$360,3,0)/$H$356,2),ROUND(VLOOKUP($B75,$P$357:$R$360,3,0)/$H$356,2)),0)))</f>
        <v>0</v>
      </c>
      <c r="V82" s="3164">
        <f>IF(OR($B77=0,$B77="",$B75=""),0,IF(AND(ROUNDDOWN(V81,0)&gt;=ROUNDDOWN($C$356,0),1-SUM($B82:S82)&lt;VLOOKUP($B75,$P$357:$R$360,3,0)/$H$356),1-SUM($B82:S82),IF(ROUNDDOWN(V81,0)&gt;=ROUNDDOWN($C$356,0),IF(ROUNDDOWN(V81,0)=ROUNDDOWN($C$356,0),ROUND($E$356*VLOOKUP($B75,$P$357:$R$360,3,0)/$H$356,2),ROUND(VLOOKUP($B75,$P$357:$R$360,3,0)/$H$356,2)),0)))</f>
        <v>0</v>
      </c>
      <c r="Y82" s="3164">
        <f>IF(OR($B77=0,$B77="",$B75=""),0,IF(AND(ROUNDDOWN(Y81,0)&gt;=ROUNDDOWN($C$356,0),1-SUM($B82:V82)&lt;VLOOKUP($B75,$P$357:$R$360,3,0)/$H$356),1-SUM($B82:V82),IF(ROUNDDOWN(Y81,0)&gt;=ROUNDDOWN($C$356,0),IF(ROUNDDOWN(Y81,0)=ROUNDDOWN($C$356,0),ROUND($E$356*VLOOKUP($B75,$P$357:$R$360,3,0)/$H$356,2),ROUND(VLOOKUP($B75,$P$357:$R$360,3,0)/$H$356,2)),0)))</f>
        <v>0</v>
      </c>
      <c r="AB82" s="3164">
        <f>IF(OR($B77=0,$B77="",$B75=""),0,IF(AND(ROUNDDOWN(AB81,0)&gt;=ROUNDDOWN($C$356,0),1-SUM($B82:Y82)&lt;VLOOKUP($B75,$P$357:$R$360,3,0)/$H$356),1-SUM($B82:Y82),IF(ROUNDDOWN(AB81,0)&gt;=ROUNDDOWN($C$356,0),IF(ROUNDDOWN(AB81,0)=ROUNDDOWN($C$356,0),ROUND($E$356*VLOOKUP($B75,$P$357:$R$360,3,0)/$H$356,2),ROUND(VLOOKUP($B75,$P$357:$R$360,3,0)/$H$356,2)),0)))</f>
        <v>0</v>
      </c>
      <c r="AE82" s="3164">
        <f>IF(OR($B77=0,$B77="",$B75=""),0,IF(AND(ROUNDDOWN(AE81,0)&gt;=ROUNDDOWN($C$356,0),1-SUM($B82:AB82)&lt;VLOOKUP($B75,$P$357:$R$360,3,0)/$H$356),1-SUM($B82:AB82),IF(ROUNDDOWN(AE81,0)&gt;=ROUNDDOWN($C$356,0),IF(ROUNDDOWN(AE81,0)=ROUNDDOWN($C$356,0),ROUND($E$356*VLOOKUP($B75,$P$357:$R$360,3,0)/$H$356,2),ROUND(VLOOKUP($B75,$P$357:$R$360,3,0)/$H$356,2)),0)))</f>
        <v>0</v>
      </c>
      <c r="AH82" s="3164">
        <f>IF(OR($B77=0,$B77="",$B75=""),0,IF(AND(ROUNDDOWN(AH81,0)&gt;=ROUNDDOWN($C$356,0),1-SUM($B82:AE82)&lt;VLOOKUP($B75,$P$357:$R$360,3,0)/$H$356),1-SUM($B82:AE82),IF(ROUNDDOWN(AH81,0)&gt;=ROUNDDOWN($C$356,0),IF(ROUNDDOWN(AH81,0)=ROUNDDOWN($C$356,0),ROUND($E$356*VLOOKUP($B75,$P$357:$R$360,3,0)/$H$356,2),ROUND(VLOOKUP($B75,$P$357:$R$360,3,0)/$H$356,2)),0)))</f>
        <v>0</v>
      </c>
      <c r="AK82" s="3164">
        <f>IF(OR($B77=0,$B77="",$B75=""),0,IF(AND(ROUNDDOWN(AK81,0)&gt;=ROUNDDOWN($C$356,0),1-SUM($B82:AH82)&lt;VLOOKUP($B75,$P$357:$R$360,3,0)/$H$356),1-SUM($B82:AH82),IF(ROUNDDOWN(AK81,0)&gt;=ROUNDDOWN($C$356,0),IF(ROUNDDOWN(AK81,0)=ROUNDDOWN($C$356,0),ROUND($E$356*VLOOKUP($B75,$P$357:$R$360,3,0)/$H$356,2),ROUND(VLOOKUP($B75,$P$357:$R$360,3,0)/$H$356,2)),0)))</f>
        <v>0</v>
      </c>
      <c r="AN82" s="3164">
        <f>IF(OR($B77=0,$B77="",$B75=""),0,IF(AND(ROUNDDOWN(AN81,0)&gt;=ROUNDDOWN($C$356,0),1-SUM($B82:AK82)&lt;VLOOKUP($B75,$P$357:$R$360,3,0)/$H$356),1-SUM($B82:AK82),IF(ROUNDDOWN(AN81,0)&gt;=ROUNDDOWN($C$356,0),IF(ROUNDDOWN(AN81,0)=ROUNDDOWN($C$356,0),ROUND($E$356*VLOOKUP($B75,$P$357:$R$360,3,0)/$H$356,2),ROUND(VLOOKUP($B75,$P$357:$R$360,3,0)/$H$356,2)),0)))</f>
        <v>0</v>
      </c>
      <c r="AQ82" s="3164">
        <f>IF(OR($B77=0,$B77="",$B75=""),0,IF(AND(ROUNDDOWN(AQ81,0)&gt;=ROUNDDOWN($C$356,0),1-SUM($B82:AN82)&lt;VLOOKUP($B75,$P$357:$R$360,3,0)/$H$356),1-SUM($B82:AN82),IF(ROUNDDOWN(AQ81,0)&gt;=ROUNDDOWN($C$356,0),IF(ROUNDDOWN(AQ81,0)=ROUNDDOWN($C$356,0),ROUND($E$356*VLOOKUP($B75,$P$357:$R$360,3,0)/$H$356,2),ROUND(VLOOKUP($B75,$P$357:$R$360,3,0)/$H$356,2)),0)))</f>
        <v>0</v>
      </c>
      <c r="AT82" s="3164">
        <f>IF(OR($B77=0,$B77="",$B75=""),0,IF(AND(ROUNDDOWN(AT81,0)&gt;=ROUNDDOWN($C$356,0),1-SUM($B82:AQ82)&lt;VLOOKUP($B75,$P$357:$R$360,3,0)/$H$356),1-SUM($B82:AQ82),IF(ROUNDDOWN(AT81,0)&gt;=ROUNDDOWN($C$356,0),IF(ROUNDDOWN(AT81,0)=ROUNDDOWN($C$356,0),ROUND($E$356*VLOOKUP($B75,$P$357:$R$360,3,0)/$H$356,2),ROUND(VLOOKUP($B75,$P$357:$R$360,3,0)/$H$356,2)),0)))</f>
        <v>0</v>
      </c>
      <c r="AV82" s="3157"/>
    </row>
    <row r="83" spans="1:48" ht="12.5">
      <c r="A83" s="3165" t="str">
        <f>IF(AND(A81=0,A81=""),"","1er. DESEMBOLSO - ")&amp;"AMORTIZACIÓN"</f>
        <v>AMORTIZACIÓN</v>
      </c>
      <c r="B83" s="3166">
        <f>$B76*B82</f>
        <v>0</v>
      </c>
      <c r="D83" s="3166">
        <f ca="1">IF($B80&gt;D81,0,D82*$B76)</f>
        <v>0</v>
      </c>
      <c r="G83" s="3166">
        <f ca="1">IF($B80&gt;G81,0,G82*$B76)</f>
        <v>0</v>
      </c>
      <c r="J83" s="3166">
        <f ca="1">IF($B80&gt;J81,0,J82*$B76)</f>
        <v>0</v>
      </c>
      <c r="M83" s="3166">
        <f ca="1">IF($B80&gt;M81,0,M82*$B76)</f>
        <v>0</v>
      </c>
      <c r="P83" s="3166">
        <f ca="1">IF($B80&gt;P81,0,P82*$B76)</f>
        <v>0</v>
      </c>
      <c r="S83" s="3166">
        <f ca="1">IF($B80&gt;S81,0,S82*$B76)</f>
        <v>0</v>
      </c>
      <c r="V83" s="3166">
        <f ca="1">IF($B80&gt;V81,0,V82*$B76)</f>
        <v>0</v>
      </c>
      <c r="Y83" s="3166">
        <f ca="1">IF($B80&gt;Y81,0,Y82*$B76)</f>
        <v>0</v>
      </c>
      <c r="AB83" s="3166">
        <f ca="1">IF($B80&gt;AB81,0,AB82*$B76)</f>
        <v>0</v>
      </c>
      <c r="AE83" s="3166">
        <f ca="1">IF($B80&gt;AE81,0,AE82*$B76)</f>
        <v>0</v>
      </c>
      <c r="AH83" s="3166">
        <f ca="1">IF($B80&gt;AH81,0,AH82*$B76)</f>
        <v>0</v>
      </c>
      <c r="AK83" s="3166">
        <f ca="1">IF($B80&gt;AK81,0,AK82*$B76)</f>
        <v>0</v>
      </c>
      <c r="AN83" s="3166">
        <f ca="1">IF($B80&gt;AN81,0,AN82*$B76)</f>
        <v>0</v>
      </c>
      <c r="AQ83" s="3166">
        <f ca="1">IF($B80&gt;AQ81,0,AQ82*$B76)</f>
        <v>0</v>
      </c>
      <c r="AT83" s="3166">
        <f ca="1">IF($B80&gt;AT81,0,AT82*$B76)</f>
        <v>0</v>
      </c>
      <c r="AV83" s="3157"/>
    </row>
    <row r="84" spans="1:48" ht="12.5">
      <c r="A84" s="3159" t="str">
        <f>IF(AND(A81=0,A81=""),"","1er. DESEMBOLSO - ")&amp;"SALDO "</f>
        <v xml:space="preserve">SALDO </v>
      </c>
      <c r="B84" s="3167">
        <f ca="1">IF($B80&gt;B81,0,B76-B83)</f>
        <v>0</v>
      </c>
      <c r="D84" s="3167">
        <f ca="1">IF($B80&gt;D81,0,IF($B80=D81,$B76-D83,IF(B84-D83&lt;0.005,0,B84-D83)))</f>
        <v>0</v>
      </c>
      <c r="G84" s="3167">
        <f ca="1">IF($B80&gt;G81,0,IF($B80=G81,$B76-G83,IF(+D84-G83&lt;0.005,0,+D84-G83)))</f>
        <v>0</v>
      </c>
      <c r="J84" s="3167">
        <f ca="1">IF($B80&gt;J81,0,IF($B80=J81,$B76-J83,IF(+G84-J83&lt;0.005,0,+G84-J83)))</f>
        <v>0</v>
      </c>
      <c r="M84" s="3167">
        <f ca="1">IF($B80&gt;M81,0,IF($B80=M81,$B76-M83,IF(+J84-M83&lt;0.005,0,+J84-M83)))</f>
        <v>0</v>
      </c>
      <c r="P84" s="3167">
        <f ca="1">IF($B80&gt;P81,0,IF($B80=P81,$B76-P83,IF(+M84-P83&lt;0.005,0,+M84-P83)))</f>
        <v>0</v>
      </c>
      <c r="S84" s="3167">
        <f ca="1">IF($B80&gt;S81,0,IF($B80=S81,$B76-S83,IF(+P84-S83&lt;0.005,0,+P84-S83)))</f>
        <v>0</v>
      </c>
      <c r="V84" s="3167">
        <f ca="1">IF($B80&gt;V81,0,IF($B80=V81,$B76-V83,IF(+S84-V83&lt;0.005,0,+S84-V83)))</f>
        <v>0</v>
      </c>
      <c r="Y84" s="3167">
        <f ca="1">IF($B80&gt;Y81,0,IF($B80=Y81,$B76-Y83,IF(+V84-Y83&lt;0.005,0,+V84-Y83)))</f>
        <v>0</v>
      </c>
      <c r="AB84" s="3167">
        <f ca="1">IF($B80&gt;AB81,0,IF($B80=AB81,$B76-AB83,IF(+Y84-AB83&lt;0.005,0,+Y84-AB83)))</f>
        <v>0</v>
      </c>
      <c r="AE84" s="3167">
        <f ca="1">IF($B80&gt;AE81,0,IF($B80=AE81,$B76-AE83,IF(+AB84-AE83&lt;0.005,0,+AB84-AE83)))</f>
        <v>0</v>
      </c>
      <c r="AH84" s="3167">
        <f ca="1">IF($B80&gt;AH81,0,IF($B80=AH81,$B76-AH83,IF(+AE84-AH83&lt;0.005,0,+AE84-AH83)))</f>
        <v>0</v>
      </c>
      <c r="AK84" s="3167">
        <f ca="1">IF($B80&gt;AK81,0,IF($B80=AK81,$B76-AK83,IF(+AH84-AK83&lt;0.005,0,+AH84-AK83)))</f>
        <v>0</v>
      </c>
      <c r="AN84" s="3167">
        <f ca="1">IF($B80&gt;AN81,0,IF($B80=AN81,$B76-AN83,IF(+AK84-AN83&lt;0.005,0,+AK84-AN83)))</f>
        <v>0</v>
      </c>
      <c r="AQ84" s="3167">
        <f ca="1">IF($B80&gt;AQ81,0,IF($B80=AQ81,$B76-AQ83,IF(+AN84-AQ83&lt;0.005,0,+AN84-AQ83)))</f>
        <v>0</v>
      </c>
      <c r="AT84" s="3167">
        <f ca="1">IF($B80&gt;AT81,0,IF($B80=AT81,$B76-AT83,IF(+AQ84-AT83&lt;0.005,0,+AQ84-AT83)))</f>
        <v>0</v>
      </c>
      <c r="AV84" s="3157"/>
    </row>
    <row r="85" spans="1:48" ht="12.5">
      <c r="A85" s="3163" t="str">
        <f>IF(AND(A81=0,A81=""),"","1er. DESEMBOLSO - ")&amp;"TASA DE FINANCIACIÓN E.A."</f>
        <v>TASA DE FINANCIACIÓN E.A.</v>
      </c>
      <c r="B85" s="3164"/>
      <c r="D85" s="3164">
        <f>B85</f>
        <v>0</v>
      </c>
      <c r="G85" s="3164">
        <f>D85</f>
        <v>0</v>
      </c>
      <c r="J85" s="3164">
        <f>G85</f>
        <v>0</v>
      </c>
      <c r="M85" s="3164">
        <f>J85</f>
        <v>0</v>
      </c>
      <c r="P85" s="3164">
        <f>M85</f>
        <v>0</v>
      </c>
      <c r="S85" s="3164">
        <f>P85</f>
        <v>0</v>
      </c>
      <c r="V85" s="3164">
        <f>S85</f>
        <v>0</v>
      </c>
      <c r="Y85" s="3164">
        <f>V85</f>
        <v>0</v>
      </c>
      <c r="AB85" s="3164">
        <f>Y85</f>
        <v>0</v>
      </c>
      <c r="AE85" s="3164">
        <f>AB85</f>
        <v>0</v>
      </c>
      <c r="AH85" s="3164">
        <f>AE85</f>
        <v>0</v>
      </c>
      <c r="AK85" s="3164">
        <f>AH85</f>
        <v>0</v>
      </c>
      <c r="AN85" s="3164">
        <f>AK85</f>
        <v>0</v>
      </c>
      <c r="AQ85" s="3164">
        <f>AN85</f>
        <v>0</v>
      </c>
      <c r="AT85" s="3164">
        <f>AQ85</f>
        <v>0</v>
      </c>
      <c r="AV85" s="3157"/>
    </row>
    <row r="86" spans="1:48" ht="12.5">
      <c r="A86" s="3163" t="str">
        <f>IF(AND(A81=0,A81=""),"","1er. DESEMBOLSO - ")&amp;"CÁLCULO INTERESES"</f>
        <v>CÁLCULO INTERESES</v>
      </c>
      <c r="B86" s="3168">
        <f ca="1">IF(OR($B80&lt;&gt;B81,B85="",B85=0),0,IF(AND(B82=0,$I$356=1),B85,IF(B82=0,NOMINAL(B85,12)*IF($B80=B81,$I$356,1),IF(AND($B80=B81,ROUNDDOWN($C$356,0)=B81),$E$356,1)*NOMINAL(B85,VLOOKUP($B75,$P$357:$R$360,3,0))/VLOOKUP($B75,$P$357:$R$360,3,0)))*((IF(B82=0,1,IF(AND($B80=B81,B82&lt;ROUNDDOWN(VLOOKUP($B75,$P$357:$R$360,3,0)/$H$356,0)),ROUNDDOWN(B82*$H$356,0),IF(AND($B80&lt;B81,B82&lt;ROUNDDOWN(VLOOKUP($B75,$P$357:$R$360,3,0)/$H$356,0)),ROUND(AVERAGE(ROUNDDOWN(B82*$H$356,0),2*VLOOKUP($B75,$P$357:$R$360,3,0)),0),VLOOKUP($B75,$P$357:$R$360,3,0))))*$B76)-((B83*(IF(B82=0,1,IF(AND($B80=B81,B82&lt;ROUNDDOWN(VLOOKUP($B75,$P$357:$R$360,3,0)/$H$356,0)),ROUNDDOWN(B82*$H$356,0),IF(AND($B80&lt;B81,B82&lt;ROUNDDOWN(VLOOKUP($B75,$P$357:$R$360,3,0)/$H$356,0)),ROUND(AVERAGE(ROUNDDOWN(B82*$H$356,0),2*VLOOKUP($B75,$P$357:$R$360,3,0)),0),VLOOKUP($B75,$P$357:$R$360,3,0))))-1))/2)))</f>
        <v>0</v>
      </c>
      <c r="C86" s="3169"/>
      <c r="D86" s="3168">
        <f ca="1">IF(OR($B80&gt;D81,D85="",D85=0),0,IF(AND(D82=0,OR(D81&gt;$B80,$I$356=1)),D85,IF(D82=0,NOMINAL(D85,12)*IF($B80=D81,$I$356,1),IF(AND($B80=D81,ROUNDDOWN($C$356,0)=D81),$E$356,1)*NOMINAL(D85,VLOOKUP($B75,$P$357:$R$360,3,0))/VLOOKUP($B75,$P$357:$R$360,3,0)))*((IF(D82=0,1,IF(AND($B80=D81,D82&lt;ROUNDDOWN(VLOOKUP($B75,$P$357:$R$360,3,0)/$H$356,0)),ROUNDDOWN(D82*$H$356,0),IF(AND($B80&lt;D81,D82&lt;ROUNDDOWN(VLOOKUP($B75,$P$357:$R$360,3,0)/$H$356,0)),ROUND(AVERAGE(ROUNDDOWN(D82*$H$356,0),2*VLOOKUP($B75,$P$357:$R$360,3,0)),0),VLOOKUP($B75,$P$357:$R$360,3,0))))*IF($B80=D81,$B76,SUM(B84:B84)))-((D83*(IF(D82=0,1,IF(AND($B80=D81,D82&lt;ROUNDDOWN(VLOOKUP($B75,$P$357:$R$360,3,0)/$H$356,0)),ROUNDDOWN(D82*$H$356,0),IF(AND($B80&lt;D81,D82&lt;ROUNDDOWN(VLOOKUP($B75,$P$357:$R$360,3,0)/$H$356,0)),ROUND(AVERAGE(ROUNDDOWN(D82*$H$356,0),2*VLOOKUP($B75,$P$357:$R$360,3,0)),0),VLOOKUP($B75,$P$357:$R$360,3,0))))-1))/2)))</f>
        <v>0</v>
      </c>
      <c r="E86" s="26"/>
      <c r="F86" s="26"/>
      <c r="G86" s="3168">
        <f ca="1">IF(OR($B80&gt;G81,G85="",G85=0),0,IF(AND(G82=0,OR(G81&gt;$B80,$I$356=1)),G85,IF(G82=0,NOMINAL(G85,12)*IF($B80=G81,$I$356,1),IF(AND($B80=G81,ROUNDDOWN($C$356,0)=G81),$E$356,1)*NOMINAL(G85,VLOOKUP($B75,$P$357:$R$360,3,0))/VLOOKUP($B75,$P$357:$R$360,3,0)))*((IF(G82=0,1,IF(AND($B80=G81,G82&lt;ROUNDDOWN(VLOOKUP($B75,$P$357:$R$360,3,0)/$H$356,0)),ROUNDDOWN(G82*$H$356,0),IF(AND($B80&lt;G81,G82&lt;ROUNDDOWN(VLOOKUP($B75,$P$357:$R$360,3,0)/$H$356,0)),ROUND(AVERAGE(ROUNDDOWN(G82*$H$356,0),2*VLOOKUP($B75,$P$357:$R$360,3,0)),0),VLOOKUP($B75,$P$357:$R$360,3,0))))*IF($B80=G81,$B76,SUM(D84:D84)))-((G83*(IF(G82=0,1,IF(AND($B80=G81,G82&lt;ROUNDDOWN(VLOOKUP($B75,$P$357:$R$360,3,0)/$H$356,0)),ROUNDDOWN(G82*$H$356,0),IF(AND($B80&lt;G81,G82&lt;ROUNDDOWN(VLOOKUP($B75,$P$357:$R$360,3,0)/$H$356,0)),ROUND(AVERAGE(ROUNDDOWN(G82*$H$356,0),2*VLOOKUP($B75,$P$357:$R$360,3,0)),0),VLOOKUP($B75,$P$357:$R$360,3,0))))-1))/2)))</f>
        <v>0</v>
      </c>
      <c r="H86" s="26"/>
      <c r="I86" s="26"/>
      <c r="J86" s="3168">
        <f ca="1">IF(OR($B80&gt;J81,J85="",J85=0),0,IF(AND(J82=0,OR(J81&gt;$B80,$I$356=1)),J85,IF(J82=0,NOMINAL(J85,12)*IF($B80=J81,$I$356,1),IF(AND($B80=J81,ROUNDDOWN($C$356,0)=J81),$E$356,1)*NOMINAL(J85,VLOOKUP($B75,$P$357:$R$360,3,0))/VLOOKUP($B75,$P$357:$R$360,3,0)))*((IF(J82=0,1,IF(AND($B80=J81,J82&lt;ROUNDDOWN(VLOOKUP($B75,$P$357:$R$360,3,0)/$H$356,0)),ROUNDDOWN(J82*$H$356,0),IF(AND($B80&lt;J81,J82&lt;ROUNDDOWN(VLOOKUP($B75,$P$357:$R$360,3,0)/$H$356,0)),ROUND(AVERAGE(ROUNDDOWN(J82*$H$356,0),2*VLOOKUP($B75,$P$357:$R$360,3,0)),0),VLOOKUP($B75,$P$357:$R$360,3,0))))*IF($B80=J81,$B76,SUM(G84:G84)))-((J83*(IF(J82=0,1,IF(AND($B80=J81,J82&lt;ROUNDDOWN(VLOOKUP($B75,$P$357:$R$360,3,0)/$H$356,0)),ROUNDDOWN(J82*$H$356,0),IF(AND($B80&lt;J81,J82&lt;ROUNDDOWN(VLOOKUP($B75,$P$357:$R$360,3,0)/$H$356,0)),ROUND(AVERAGE(ROUNDDOWN(J82*$H$356,0),2*VLOOKUP($B75,$P$357:$R$360,3,0)),0),VLOOKUP($B75,$P$357:$R$360,3,0))))-1))/2)))</f>
        <v>0</v>
      </c>
      <c r="K86" s="26"/>
      <c r="L86" s="26"/>
      <c r="M86" s="3168">
        <f ca="1">IF(OR($B80&gt;M81,M85="",M85=0),0,IF(AND(M82=0,OR(M81&gt;$B80,$I$356=1)),M85,IF(M82=0,NOMINAL(M85,12)*IF($B80=M81,$I$356,1),IF(AND($B80=M81,ROUNDDOWN($C$356,0)=M81),$E$356,1)*NOMINAL(M85,VLOOKUP($B75,$P$357:$R$360,3,0))/VLOOKUP($B75,$P$357:$R$360,3,0)))*((IF(M82=0,1,IF(AND($B80=M81,M82&lt;ROUNDDOWN(VLOOKUP($B75,$P$357:$R$360,3,0)/$H$356,0)),ROUNDDOWN(M82*$H$356,0),IF(AND($B80&lt;M81,M82&lt;ROUNDDOWN(VLOOKUP($B75,$P$357:$R$360,3,0)/$H$356,0)),ROUND(AVERAGE(ROUNDDOWN(M82*$H$356,0),2*VLOOKUP($B75,$P$357:$R$360,3,0)),0),VLOOKUP($B75,$P$357:$R$360,3,0))))*IF($B80=M81,$B76,SUM(J84:J84)))-((M83*(IF(M82=0,1,IF(AND($B80=M81,M82&lt;ROUNDDOWN(VLOOKUP($B75,$P$357:$R$360,3,0)/$H$356,0)),ROUNDDOWN(M82*$H$356,0),IF(AND($B80&lt;M81,M82&lt;ROUNDDOWN(VLOOKUP($B75,$P$357:$R$360,3,0)/$H$356,0)),ROUND(AVERAGE(ROUNDDOWN(M82*$H$356,0),2*VLOOKUP($B75,$P$357:$R$360,3,0)),0),VLOOKUP($B75,$P$357:$R$360,3,0))))-1))/2)))</f>
        <v>0</v>
      </c>
      <c r="N86" s="26"/>
      <c r="O86" s="26"/>
      <c r="P86" s="3168">
        <f ca="1">IF(OR($B80&gt;P81,P85="",P85=0),0,IF(AND(P82=0,OR(P81&gt;$B80,$I$356=1)),P85,IF(P82=0,NOMINAL(P85,12)*IF($B80=P81,$I$356,1),IF(AND($B80=P81,ROUNDDOWN($C$356,0)=P81),$E$356,1)*NOMINAL(P85,VLOOKUP($B75,$P$357:$R$360,3,0))/VLOOKUP($B75,$P$357:$R$360,3,0)))*((IF(P82=0,1,IF(AND($B80=P81,P82&lt;ROUNDDOWN(VLOOKUP($B75,$P$357:$R$360,3,0)/$H$356,0)),ROUNDDOWN(P82*$H$356,0),IF(AND($B80&lt;P81,P82&lt;ROUNDDOWN(VLOOKUP($B75,$P$357:$R$360,3,0)/$H$356,0)),ROUND(AVERAGE(ROUNDDOWN(P82*$H$356,0),2*VLOOKUP($B75,$P$357:$R$360,3,0)),0),VLOOKUP($B75,$P$357:$R$360,3,0))))*IF($B80=P81,$B76,SUM(M84:M84)))-((P83*(IF(P82=0,1,IF(AND($B80=P81,P82&lt;ROUNDDOWN(VLOOKUP($B75,$P$357:$R$360,3,0)/$H$356,0)),ROUNDDOWN(P82*$H$356,0),IF(AND($B80&lt;P81,P82&lt;ROUNDDOWN(VLOOKUP($B75,$P$357:$R$360,3,0)/$H$356,0)),ROUND(AVERAGE(ROUNDDOWN(P82*$H$356,0),2*VLOOKUP($B75,$P$357:$R$360,3,0)),0),VLOOKUP($B75,$P$357:$R$360,3,0))))-1))/2)))</f>
        <v>0</v>
      </c>
      <c r="Q86" s="26"/>
      <c r="R86" s="26"/>
      <c r="S86" s="3168">
        <f ca="1">IF(OR($B80&gt;S81,S85="",S85=0),0,IF(AND(S82=0,OR(S81&gt;$B80,$I$356=1)),S85,IF(S82=0,NOMINAL(S85,12)*IF($B80=S81,$I$356,1),IF(AND($B80=S81,ROUNDDOWN($C$356,0)=S81),$E$356,1)*NOMINAL(S85,VLOOKUP($B75,$P$357:$R$360,3,0))/VLOOKUP($B75,$P$357:$R$360,3,0)))*((IF(S82=0,1,IF(AND($B80=S81,S82&lt;ROUNDDOWN(VLOOKUP($B75,$P$357:$R$360,3,0)/$H$356,0)),ROUNDDOWN(S82*$H$356,0),IF(AND($B80&lt;S81,S82&lt;ROUNDDOWN(VLOOKUP($B75,$P$357:$R$360,3,0)/$H$356,0)),ROUND(AVERAGE(ROUNDDOWN(S82*$H$356,0),2*VLOOKUP($B75,$P$357:$R$360,3,0)),0),VLOOKUP($B75,$P$357:$R$360,3,0))))*IF($B80=S81,$B76,SUM(P84:P84)))-((S83*(IF(S82=0,1,IF(AND($B80=S81,S82&lt;ROUNDDOWN(VLOOKUP($B75,$P$357:$R$360,3,0)/$H$356,0)),ROUNDDOWN(S82*$H$356,0),IF(AND($B80&lt;S81,S82&lt;ROUNDDOWN(VLOOKUP($B75,$P$357:$R$360,3,0)/$H$356,0)),ROUND(AVERAGE(ROUNDDOWN(S82*$H$356,0),2*VLOOKUP($B75,$P$357:$R$360,3,0)),0),VLOOKUP($B75,$P$357:$R$360,3,0))))-1))/2)))</f>
        <v>0</v>
      </c>
      <c r="T86" s="26"/>
      <c r="U86" s="26"/>
      <c r="V86" s="3168">
        <f ca="1">IF(OR($B80&gt;V81,V85="",V85=0),0,IF(AND(V82=0,OR(V81&gt;$B80,$I$356=1)),V85,IF(V82=0,NOMINAL(V85,12)*IF($B80=V81,$I$356,1),IF(AND($B80=V81,ROUNDDOWN($C$356,0)=V81),$E$356,1)*NOMINAL(V85,VLOOKUP($B75,$P$357:$R$360,3,0))/VLOOKUP($B75,$P$357:$R$360,3,0)))*((IF(V82=0,1,IF(AND($B80=V81,V82&lt;ROUNDDOWN(VLOOKUP($B75,$P$357:$R$360,3,0)/$H$356,0)),ROUNDDOWN(V82*$H$356,0),IF(AND($B80&lt;V81,V82&lt;ROUNDDOWN(VLOOKUP($B75,$P$357:$R$360,3,0)/$H$356,0)),ROUND(AVERAGE(ROUNDDOWN(V82*$H$356,0),2*VLOOKUP($B75,$P$357:$R$360,3,0)),0),VLOOKUP($B75,$P$357:$R$360,3,0))))*IF($B80=V81,$B76,SUM(S84:S84)))-((V83*(IF(V82=0,1,IF(AND($B80=V81,V82&lt;ROUNDDOWN(VLOOKUP($B75,$P$357:$R$360,3,0)/$H$356,0)),ROUNDDOWN(V82*$H$356,0),IF(AND($B80&lt;V81,V82&lt;ROUNDDOWN(VLOOKUP($B75,$P$357:$R$360,3,0)/$H$356,0)),ROUND(AVERAGE(ROUNDDOWN(V82*$H$356,0),2*VLOOKUP($B75,$P$357:$R$360,3,0)),0),VLOOKUP($B75,$P$357:$R$360,3,0))))-1))/2)))</f>
        <v>0</v>
      </c>
      <c r="W86" s="26"/>
      <c r="X86" s="26"/>
      <c r="Y86" s="3168">
        <f ca="1">IF(OR($B80&gt;Y81,Y85="",Y85=0),0,IF(AND(Y82=0,OR(Y81&gt;$B80,$I$356=1)),Y85,IF(Y82=0,NOMINAL(Y85,12)*IF($B80=Y81,$I$356,1),IF(AND($B80=Y81,ROUNDDOWN($C$356,0)=Y81),$E$356,1)*NOMINAL(Y85,VLOOKUP($B75,$P$357:$R$360,3,0))/VLOOKUP($B75,$P$357:$R$360,3,0)))*((IF(Y82=0,1,IF(AND($B80=Y81,Y82&lt;ROUNDDOWN(VLOOKUP($B75,$P$357:$R$360,3,0)/$H$356,0)),ROUNDDOWN(Y82*$H$356,0),IF(AND($B80&lt;Y81,Y82&lt;ROUNDDOWN(VLOOKUP($B75,$P$357:$R$360,3,0)/$H$356,0)),ROUND(AVERAGE(ROUNDDOWN(Y82*$H$356,0),2*VLOOKUP($B75,$P$357:$R$360,3,0)),0),VLOOKUP($B75,$P$357:$R$360,3,0))))*IF($B80=Y81,$B76,SUM(V84:V84)))-((Y83*(IF(Y82=0,1,IF(AND($B80=Y81,Y82&lt;ROUNDDOWN(VLOOKUP($B75,$P$357:$R$360,3,0)/$H$356,0)),ROUNDDOWN(Y82*$H$356,0),IF(AND($B80&lt;Y81,Y82&lt;ROUNDDOWN(VLOOKUP($B75,$P$357:$R$360,3,0)/$H$356,0)),ROUND(AVERAGE(ROUNDDOWN(Y82*$H$356,0),2*VLOOKUP($B75,$P$357:$R$360,3,0)),0),VLOOKUP($B75,$P$357:$R$360,3,0))))-1))/2)))</f>
        <v>0</v>
      </c>
      <c r="Z86" s="26"/>
      <c r="AA86" s="26"/>
      <c r="AB86" s="3168">
        <f ca="1">IF(OR($B80&gt;AB81,AB85="",AB85=0),0,IF(AND(AB82=0,OR(AB81&gt;$B80,$I$356=1)),AB85,IF(AB82=0,NOMINAL(AB85,12)*IF($B80=AB81,$I$356,1),IF(AND($B80=AB81,ROUNDDOWN($C$356,0)=AB81),$E$356,1)*NOMINAL(AB85,VLOOKUP($B75,$P$357:$R$360,3,0))/VLOOKUP($B75,$P$357:$R$360,3,0)))*((IF(AB82=0,1,IF(AND($B80=AB81,AB82&lt;ROUNDDOWN(VLOOKUP($B75,$P$357:$R$360,3,0)/$H$356,0)),ROUNDDOWN(AB82*$H$356,0),IF(AND($B80&lt;AB81,AB82&lt;ROUNDDOWN(VLOOKUP($B75,$P$357:$R$360,3,0)/$H$356,0)),ROUND(AVERAGE(ROUNDDOWN(AB82*$H$356,0),2*VLOOKUP($B75,$P$357:$R$360,3,0)),0),VLOOKUP($B75,$P$357:$R$360,3,0))))*IF($B80=AB81,$B76,SUM(Y84:Y84)))-((AB83*(IF(AB82=0,1,IF(AND($B80=AB81,AB82&lt;ROUNDDOWN(VLOOKUP($B75,$P$357:$R$360,3,0)/$H$356,0)),ROUNDDOWN(AB82*$H$356,0),IF(AND($B80&lt;AB81,AB82&lt;ROUNDDOWN(VLOOKUP($B75,$P$357:$R$360,3,0)/$H$356,0)),ROUND(AVERAGE(ROUNDDOWN(AB82*$H$356,0),2*VLOOKUP($B75,$P$357:$R$360,3,0)),0),VLOOKUP($B75,$P$357:$R$360,3,0))))-1))/2)))</f>
        <v>0</v>
      </c>
      <c r="AC86" s="26"/>
      <c r="AD86" s="26"/>
      <c r="AE86" s="3168">
        <f ca="1">IF(OR($B80&gt;AE81,AE85="",AE85=0),0,IF(AND(AE82=0,OR(AE81&gt;$B80,$I$356=1)),AE85,IF(AE82=0,NOMINAL(AE85,12)*IF($B80=AE81,$I$356,1),IF(AND($B80=AE81,ROUNDDOWN($C$356,0)=AE81),$E$356,1)*NOMINAL(AE85,VLOOKUP($B75,$P$357:$R$360,3,0))/VLOOKUP($B75,$P$357:$R$360,3,0)))*((IF(AE82=0,1,IF(AND($B80=AE81,AE82&lt;ROUNDDOWN(VLOOKUP($B75,$P$357:$R$360,3,0)/$H$356,0)),ROUNDDOWN(AE82*$H$356,0),IF(AND($B80&lt;AE81,AE82&lt;ROUNDDOWN(VLOOKUP($B75,$P$357:$R$360,3,0)/$H$356,0)),ROUND(AVERAGE(ROUNDDOWN(AE82*$H$356,0),2*VLOOKUP($B75,$P$357:$R$360,3,0)),0),VLOOKUP($B75,$P$357:$R$360,3,0))))*IF($B80=AE81,$B76,SUM(AB84:AB84)))-((AE83*(IF(AE82=0,1,IF(AND($B80=AE81,AE82&lt;ROUNDDOWN(VLOOKUP($B75,$P$357:$R$360,3,0)/$H$356,0)),ROUNDDOWN(AE82*$H$356,0),IF(AND($B80&lt;AE81,AE82&lt;ROUNDDOWN(VLOOKUP($B75,$P$357:$R$360,3,0)/$H$356,0)),ROUND(AVERAGE(ROUNDDOWN(AE82*$H$356,0),2*VLOOKUP($B75,$P$357:$R$360,3,0)),0),VLOOKUP($B75,$P$357:$R$360,3,0))))-1))/2)))</f>
        <v>0</v>
      </c>
      <c r="AF86" s="3169"/>
      <c r="AG86" s="26"/>
      <c r="AH86" s="3168">
        <f ca="1">IF(OR($B80&gt;AH81,AH85="",AH85=0),0,IF(AND(AH82=0,OR(AH81&gt;$B80,$I$356=1)),AH85,IF(AH82=0,NOMINAL(AH85,12)*IF($B80=AH81,$I$356,1),IF(AND($B80=AH81,ROUNDDOWN($C$356,0)=AH81),$E$356,1)*NOMINAL(AH85,VLOOKUP($B75,$P$357:$R$360,3,0))/VLOOKUP($B75,$P$357:$R$360,3,0)))*((IF(AH82=0,1,IF(AND($B80=AH81,AH82&lt;ROUNDDOWN(VLOOKUP($B75,$P$357:$R$360,3,0)/$H$356,0)),ROUNDDOWN(AH82*$H$356,0),IF(AND($B80&lt;AH81,AH82&lt;ROUNDDOWN(VLOOKUP($B75,$P$357:$R$360,3,0)/$H$356,0)),ROUND(AVERAGE(ROUNDDOWN(AH82*$H$356,0),2*VLOOKUP($B75,$P$357:$R$360,3,0)),0),VLOOKUP($B75,$P$357:$R$360,3,0))))*IF($B80=AH81,$B76,SUM(AE84:AE84)))-((AH83*(IF(AH82=0,1,IF(AND($B80=AH81,AH82&lt;ROUNDDOWN(VLOOKUP($B75,$P$357:$R$360,3,0)/$H$356,0)),ROUNDDOWN(AH82*$H$356,0),IF(AND($B80&lt;AH81,AH82&lt;ROUNDDOWN(VLOOKUP($B75,$P$357:$R$360,3,0)/$H$356,0)),ROUND(AVERAGE(ROUNDDOWN(AH82*$H$356,0),2*VLOOKUP($B75,$P$357:$R$360,3,0)),0),VLOOKUP($B75,$P$357:$R$360,3,0))))-1))/2)))</f>
        <v>0</v>
      </c>
      <c r="AI86" s="26"/>
      <c r="AJ86" s="26"/>
      <c r="AK86" s="3168">
        <f ca="1">IF(OR($B80&gt;AK81,AK85="",AK85=0),0,IF(AND(AK82=0,OR(AK81&gt;$B80,$I$356=1)),AK85,IF(AK82=0,NOMINAL(AK85,12)*IF($B80=AK81,$I$356,1),IF(AND($B80=AK81,ROUNDDOWN($C$356,0)=AK81),$E$356,1)*NOMINAL(AK85,VLOOKUP($B75,$P$357:$R$360,3,0))/VLOOKUP($B75,$P$357:$R$360,3,0)))*((IF(AK82=0,1,IF(AND($B80=AK81,AK82&lt;ROUNDDOWN(VLOOKUP($B75,$P$357:$R$360,3,0)/$H$356,0)),ROUNDDOWN(AK82*$H$356,0),IF(AND($B80&lt;AK81,AK82&lt;ROUNDDOWN(VLOOKUP($B75,$P$357:$R$360,3,0)/$H$356,0)),ROUND(AVERAGE(ROUNDDOWN(AK82*$H$356,0),2*VLOOKUP($B75,$P$357:$R$360,3,0)),0),VLOOKUP($B75,$P$357:$R$360,3,0))))*IF($B80=AK81,$B76,SUM(AH84:AH84)))-((AK83*(IF(AK82=0,1,IF(AND($B80=AK81,AK82&lt;ROUNDDOWN(VLOOKUP($B75,$P$357:$R$360,3,0)/$H$356,0)),ROUNDDOWN(AK82*$H$356,0),IF(AND($B80&lt;AK81,AK82&lt;ROUNDDOWN(VLOOKUP($B75,$P$357:$R$360,3,0)/$H$356,0)),ROUND(AVERAGE(ROUNDDOWN(AK82*$H$356,0),2*VLOOKUP($B75,$P$357:$R$360,3,0)),0),VLOOKUP($B75,$P$357:$R$360,3,0))))-1))/2)))</f>
        <v>0</v>
      </c>
      <c r="AL86" s="26"/>
      <c r="AM86" s="26"/>
      <c r="AN86" s="3168">
        <f ca="1">IF(OR($B80&gt;AN81,AN85="",AN85=0),0,IF(AND(AN82=0,OR(AN81&gt;$B80,$I$356=1)),AN85,IF(AN82=0,NOMINAL(AN85,12)*IF($B80=AN81,$I$356,1),IF(AND($B80=AN81,ROUNDDOWN($C$356,0)=AN81),$E$356,1)*NOMINAL(AN85,VLOOKUP($B75,$P$357:$R$360,3,0))/VLOOKUP($B75,$P$357:$R$360,3,0)))*((IF(AN82=0,1,IF(AND($B80=AN81,AN82&lt;ROUNDDOWN(VLOOKUP($B75,$P$357:$R$360,3,0)/$H$356,0)),ROUNDDOWN(AN82*$H$356,0),IF(AND($B80&lt;AN81,AN82&lt;ROUNDDOWN(VLOOKUP($B75,$P$357:$R$360,3,0)/$H$356,0)),ROUND(AVERAGE(ROUNDDOWN(AN82*$H$356,0),2*VLOOKUP($B75,$P$357:$R$360,3,0)),0),VLOOKUP($B75,$P$357:$R$360,3,0))))*IF($B80=AN81,$B76,SUM(AK84:AK84)))-((AN83*(IF(AN82=0,1,IF(AND($B80=AN81,AN82&lt;ROUNDDOWN(VLOOKUP($B75,$P$357:$R$360,3,0)/$H$356,0)),ROUNDDOWN(AN82*$H$356,0),IF(AND($B80&lt;AN81,AN82&lt;ROUNDDOWN(VLOOKUP($B75,$P$357:$R$360,3,0)/$H$356,0)),ROUND(AVERAGE(ROUNDDOWN(AN82*$H$356,0),2*VLOOKUP($B75,$P$357:$R$360,3,0)),0),VLOOKUP($B75,$P$357:$R$360,3,0))))-1))/2)))</f>
        <v>0</v>
      </c>
      <c r="AO86" s="26"/>
      <c r="AP86" s="26"/>
      <c r="AQ86" s="3168">
        <f ca="1">IF(OR($B80&gt;AQ81,AQ85="",AQ85=0),0,IF(AND(AQ82=0,OR(AQ81&gt;$B80,$I$356=1)),AQ85,IF(AQ82=0,NOMINAL(AQ85,12)*IF($B80=AQ81,$I$356,1),IF(AND($B80=AQ81,ROUNDDOWN($C$356,0)=AQ81),$E$356,1)*NOMINAL(AQ85,VLOOKUP($B75,$P$357:$R$360,3,0))/VLOOKUP($B75,$P$357:$R$360,3,0)))*((IF(AQ82=0,1,IF(AND($B80=AQ81,AQ82&lt;ROUNDDOWN(VLOOKUP($B75,$P$357:$R$360,3,0)/$H$356,0)),ROUNDDOWN(AQ82*$H$356,0),IF(AND($B80&lt;AQ81,AQ82&lt;ROUNDDOWN(VLOOKUP($B75,$P$357:$R$360,3,0)/$H$356,0)),ROUND(AVERAGE(ROUNDDOWN(AQ82*$H$356,0),2*VLOOKUP($B75,$P$357:$R$360,3,0)),0),VLOOKUP($B75,$P$357:$R$360,3,0))))*IF($B80=AQ81,$B76,SUM(AN84:AN84)))-((AQ83*(IF(AQ82=0,1,IF(AND($B80=AQ81,AQ82&lt;ROUNDDOWN(VLOOKUP($B75,$P$357:$R$360,3,0)/$H$356,0)),ROUNDDOWN(AQ82*$H$356,0),IF(AND($B80&lt;AQ81,AQ82&lt;ROUNDDOWN(VLOOKUP($B75,$P$357:$R$360,3,0)/$H$356,0)),ROUND(AVERAGE(ROUNDDOWN(AQ82*$H$356,0),2*VLOOKUP($B75,$P$357:$R$360,3,0)),0),VLOOKUP($B75,$P$357:$R$360,3,0))))-1))/2)))</f>
        <v>0</v>
      </c>
      <c r="AR86" s="26"/>
      <c r="AS86" s="26"/>
      <c r="AT86" s="3168">
        <f ca="1">IF(OR($B80&gt;AT81,AT85="",AT85=0),0,IF(AND(AT82=0,OR(AT81&gt;$B80,$I$356=1)),AT85,IF(AT82=0,NOMINAL(AT85,12)*IF($B80=AT81,$I$356,1),IF(AND($B80=AT81,ROUNDDOWN($C$356,0)=AT81),$E$356,1)*NOMINAL(AT85,VLOOKUP($B75,$P$357:$R$360,3,0))/VLOOKUP($B75,$P$357:$R$360,3,0)))*((IF(AT82=0,1,IF(AND($B80=AT81,AT82&lt;ROUNDDOWN(VLOOKUP($B75,$P$357:$R$360,3,0)/$H$356,0)),ROUNDDOWN(AT82*$H$356,0),IF(AND($B80&lt;AT81,AT82&lt;ROUNDDOWN(VLOOKUP($B75,$P$357:$R$360,3,0)/$H$356,0)),ROUND(AVERAGE(ROUNDDOWN(AT82*$H$356,0),2*VLOOKUP($B75,$P$357:$R$360,3,0)),0),VLOOKUP($B75,$P$357:$R$360,3,0))))*IF($B80=AT81,$B76,SUM(AQ84:AQ84)))-((AT83*(IF(AT82=0,1,IF(AND($B80=AT81,AT82&lt;ROUNDDOWN(VLOOKUP($B75,$P$357:$R$360,3,0)/$H$356,0)),ROUNDDOWN(AT82*$H$356,0),IF(AND($B80&lt;AT81,AT82&lt;ROUNDDOWN(VLOOKUP($B75,$P$357:$R$360,3,0)/$H$356,0)),ROUND(AVERAGE(ROUNDDOWN(AT82*$H$356,0),2*VLOOKUP($B75,$P$357:$R$360,3,0)),0),VLOOKUP($B75,$P$357:$R$360,3,0))))-1))/2)))</f>
        <v>0</v>
      </c>
      <c r="AU86" s="3169"/>
      <c r="AV86" s="3157"/>
    </row>
    <row r="87" spans="1:48" ht="13" thickBot="1">
      <c r="AV87" s="3157"/>
    </row>
    <row r="88" spans="1:48" ht="12.5">
      <c r="A88" s="3170" t="s">
        <v>1316</v>
      </c>
      <c r="B88" s="3171"/>
      <c r="C88" s="3172"/>
      <c r="D88" s="3172"/>
      <c r="E88" s="3172"/>
      <c r="F88" s="3172"/>
      <c r="G88" s="3172"/>
      <c r="H88" s="3172"/>
      <c r="I88" s="3172"/>
      <c r="J88" s="3172"/>
      <c r="K88" s="3172"/>
      <c r="L88" s="3172"/>
      <c r="M88" s="3172"/>
      <c r="N88" s="3172"/>
      <c r="O88" s="3172"/>
      <c r="P88" s="3172"/>
      <c r="Q88" s="3172"/>
      <c r="R88" s="3172"/>
      <c r="S88" s="3172"/>
      <c r="T88" s="3172"/>
      <c r="U88" s="3172"/>
      <c r="V88" s="3172"/>
      <c r="W88" s="3172"/>
      <c r="X88" s="3172"/>
      <c r="Y88" s="3172"/>
      <c r="Z88" s="3172"/>
      <c r="AA88" s="3172"/>
      <c r="AB88" s="3172"/>
      <c r="AC88" s="3172"/>
      <c r="AD88" s="3172"/>
      <c r="AE88" s="3172"/>
      <c r="AF88" s="3172"/>
      <c r="AG88" s="3172"/>
      <c r="AH88" s="3172"/>
      <c r="AI88" s="3172"/>
      <c r="AJ88" s="3172"/>
      <c r="AK88" s="3172"/>
      <c r="AL88" s="3172"/>
      <c r="AM88" s="3172"/>
      <c r="AN88" s="3172"/>
      <c r="AO88" s="3172"/>
      <c r="AP88" s="3172"/>
      <c r="AQ88" s="3172"/>
      <c r="AR88" s="3172"/>
      <c r="AS88" s="3172"/>
      <c r="AT88" s="3172"/>
      <c r="AU88" s="3172"/>
      <c r="AV88" s="3173"/>
    </row>
    <row r="89" spans="1:48" ht="12.5">
      <c r="A89" s="3155" t="s">
        <v>2044</v>
      </c>
      <c r="B89" s="3156"/>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3157"/>
    </row>
    <row r="90" spans="1:48" ht="12.5">
      <c r="A90" s="3155" t="s">
        <v>2045</v>
      </c>
      <c r="B90" s="3158"/>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3157"/>
    </row>
    <row r="91" spans="1:48" ht="12.5">
      <c r="A91" s="3155" t="s">
        <v>1312</v>
      </c>
      <c r="B91" s="3158"/>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3157"/>
    </row>
    <row r="92" spans="1:48" ht="12.5">
      <c r="A92" s="3155" t="s">
        <v>1313</v>
      </c>
      <c r="B92" s="3158"/>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3157"/>
    </row>
    <row r="93" spans="1:48" ht="12.5">
      <c r="A93" s="3159" t="s">
        <v>1314</v>
      </c>
      <c r="B93" s="3160"/>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3157"/>
    </row>
    <row r="94" spans="1:48" ht="12.5">
      <c r="A94" s="3161" t="s">
        <v>2046</v>
      </c>
      <c r="B94" s="3162">
        <f ca="1">B$11</f>
        <v>2023</v>
      </c>
      <c r="C94" s="25"/>
      <c r="D94" s="3162">
        <f ca="1">D$11</f>
        <v>2024</v>
      </c>
      <c r="E94" s="25"/>
      <c r="F94" s="25"/>
      <c r="G94" s="3162">
        <f ca="1">G$11</f>
        <v>2025</v>
      </c>
      <c r="H94" s="25"/>
      <c r="I94" s="25"/>
      <c r="J94" s="3162">
        <f ca="1">J$11</f>
        <v>2026</v>
      </c>
      <c r="K94" s="25"/>
      <c r="L94" s="25"/>
      <c r="M94" s="3162">
        <f ca="1">M$11</f>
        <v>2027</v>
      </c>
      <c r="N94" s="25"/>
      <c r="O94" s="25"/>
      <c r="P94" s="3162">
        <f ca="1">P$11</f>
        <v>2028</v>
      </c>
      <c r="Q94" s="25"/>
      <c r="R94" s="25"/>
      <c r="S94" s="3162">
        <f ca="1">S$11</f>
        <v>2029</v>
      </c>
      <c r="T94" s="25"/>
      <c r="U94" s="25"/>
      <c r="V94" s="3162">
        <f ca="1">V$11</f>
        <v>2030</v>
      </c>
      <c r="W94" s="25"/>
      <c r="X94" s="25"/>
      <c r="Y94" s="3162">
        <f ca="1">Y$11</f>
        <v>2031</v>
      </c>
      <c r="Z94" s="25"/>
      <c r="AA94" s="25"/>
      <c r="AB94" s="3162">
        <f ca="1">AB$11</f>
        <v>2032</v>
      </c>
      <c r="AC94" s="25"/>
      <c r="AD94" s="25"/>
      <c r="AE94" s="3162">
        <f ca="1">AE$11</f>
        <v>2033</v>
      </c>
      <c r="AF94" s="25"/>
      <c r="AG94" s="25"/>
      <c r="AH94" s="3162">
        <f ca="1">AH$11</f>
        <v>2034</v>
      </c>
      <c r="AI94" s="25"/>
      <c r="AJ94" s="25"/>
      <c r="AK94" s="3162">
        <f ca="1">AK$11</f>
        <v>2035</v>
      </c>
      <c r="AL94" s="25"/>
      <c r="AM94" s="25"/>
      <c r="AN94" s="3162">
        <f ca="1">AN$11</f>
        <v>2036</v>
      </c>
      <c r="AO94" s="25"/>
      <c r="AP94" s="25"/>
      <c r="AQ94" s="3162">
        <f ca="1">AQ$11</f>
        <v>2037</v>
      </c>
      <c r="AR94" s="25"/>
      <c r="AS94" s="25"/>
      <c r="AT94" s="3162">
        <f ca="1">AT$11</f>
        <v>2038</v>
      </c>
      <c r="AU94" s="25"/>
      <c r="AV94" s="3157"/>
    </row>
    <row r="95" spans="1:48" ht="12.5">
      <c r="A95" s="3163" t="s">
        <v>2047</v>
      </c>
      <c r="B95" s="3164">
        <f>IF(OR($B90=0,$B90="",$B88=""),0,IF(AND(B94-$B93&gt;=0,B94&lt;=$B93+$B90,ROUNDDOWN(B94,0)=ROUNDDOWN($C$357,0)),IF(ROUNDDOWN(B94,0)=ROUNDDOWN($C$357,0),ROUND($E$357*VLOOKUP($B88,$P$357:$R$360,3,0)/$H$357,2),ROUND(VLOOKUP($B88,$P$357:$R$360,3,0)/$H$357,2)),0))</f>
        <v>0</v>
      </c>
      <c r="C95" s="25"/>
      <c r="D95" s="3164">
        <f>IF(OR($B90=0,$B90="",$B88=""),0,IF(AND(ROUNDDOWN(D94,0)&gt;=ROUNDDOWN($C$357,0),1-$B95&lt;VLOOKUP($B88,$P$357:$R$360,3,0)/$H$357),1-$B95,IF(ROUNDDOWN(D94,0)&gt;=ROUNDDOWN($C$357,0),IF(ROUNDDOWN(D94,0)=ROUNDDOWN($C$357,0),ROUND($E$357*VLOOKUP($B88,$P$357:$R$360,3,0)/$H$357,2),ROUND(VLOOKUP($B88,$P$357:$R$360,3,0)/$H$357,2)),0)))</f>
        <v>0</v>
      </c>
      <c r="E95" s="25"/>
      <c r="F95" s="25"/>
      <c r="G95" s="3164">
        <f>IF(OR($B90=0,$B90="",$B88=""),0,IF(AND(ROUNDDOWN(G94,0)&gt;=ROUNDDOWN($C$357,0),1-SUM($B95:D95)&lt;VLOOKUP($B88,$P$357:$R$360,3,0)/$H$357),1-SUM($B95:D95),IF(ROUNDDOWN(G94,0)&gt;=ROUNDDOWN($C$357,0),IF(ROUNDDOWN(G94,0)=ROUNDDOWN($C$357,0),ROUND($E$357*VLOOKUP($B88,$P$357:$R$360,3,0)/$H$357,2),ROUND(VLOOKUP($B88,$P$357:$R$360,3,0)/$H$357,2)),0)))</f>
        <v>0</v>
      </c>
      <c r="H95" s="25"/>
      <c r="I95" s="25"/>
      <c r="J95" s="3164">
        <f>IF(OR($B90=0,$B90="",$B88=""),0,IF(AND(ROUNDDOWN(J94,0)&gt;=ROUNDDOWN($C$357,0),1-SUM($B95:G95)&lt;VLOOKUP($B88,$P$357:$R$360,3,0)/$H$357),1-SUM($B95:G95),IF(ROUNDDOWN(J94,0)&gt;=ROUNDDOWN($C$357,0),IF(ROUNDDOWN(J94,0)=ROUNDDOWN($C$357,0),ROUND($E$357*VLOOKUP($B88,$P$357:$R$360,3,0)/$H$357,2),ROUND(VLOOKUP($B88,$P$357:$R$360,3,0)/$H$357,2)),0)))</f>
        <v>0</v>
      </c>
      <c r="K95" s="25"/>
      <c r="L95" s="25"/>
      <c r="M95" s="3164">
        <f>IF(OR($B90=0,$B90="",$B88=""),0,IF(AND(ROUNDDOWN(M94,0)&gt;=ROUNDDOWN($C$357,0),1-SUM($B95:J95)&lt;VLOOKUP($B88,$P$357:$R$360,3,0)/$H$357),1-SUM($B95:J95),IF(ROUNDDOWN(M94,0)&gt;=ROUNDDOWN($C$357,0),IF(ROUNDDOWN(M94,0)=ROUNDDOWN($C$357,0),ROUND($E$357*VLOOKUP($B88,$P$357:$R$360,3,0)/$H$357,2),ROUND(VLOOKUP($B88,$P$357:$R$360,3,0)/$H$357,2)),0)))</f>
        <v>0</v>
      </c>
      <c r="N95" s="25"/>
      <c r="O95" s="25"/>
      <c r="P95" s="3164">
        <f>IF(OR($B90=0,$B90="",$B88=""),0,IF(AND(ROUNDDOWN(P94,0)&gt;=ROUNDDOWN($C$357,0),1-SUM($B95:M95)&lt;VLOOKUP($B88,$P$357:$R$360,3,0)/$H$357),1-SUM($B95:M95),IF(ROUNDDOWN(P94,0)&gt;=ROUNDDOWN($C$357,0),IF(ROUNDDOWN(P94,0)=ROUNDDOWN($C$357,0),ROUND($E$357*VLOOKUP($B88,$P$357:$R$360,3,0)/$H$357,2),ROUND(VLOOKUP($B88,$P$357:$R$360,3,0)/$H$357,2)),0)))</f>
        <v>0</v>
      </c>
      <c r="Q95" s="25"/>
      <c r="R95" s="25"/>
      <c r="S95" s="3164">
        <f>IF(OR($B90=0,$B90="",$B88=""),0,IF(AND(ROUNDDOWN(S94,0)&gt;=ROUNDDOWN($C$357,0),1-SUM($B95:P95)&lt;VLOOKUP($B88,$P$357:$R$360,3,0)/$H$357),1-SUM($B95:P95),IF(ROUNDDOWN(S94,0)&gt;=ROUNDDOWN($C$357,0),IF(ROUNDDOWN(S94,0)=ROUNDDOWN($C$357,0),ROUND($E$357*VLOOKUP($B88,$P$357:$R$360,3,0)/$H$357,2),ROUND(VLOOKUP($B88,$P$357:$R$360,3,0)/$H$357,2)),0)))</f>
        <v>0</v>
      </c>
      <c r="T95" s="25"/>
      <c r="U95" s="25"/>
      <c r="V95" s="3164">
        <f>IF(OR($B90=0,$B90="",$B88=""),0,IF(AND(ROUNDDOWN(V94,0)&gt;=ROUNDDOWN($C$357,0),1-SUM($B95:S95)&lt;VLOOKUP($B88,$P$357:$R$360,3,0)/$H$357),1-SUM($B95:S95),IF(ROUNDDOWN(V94,0)&gt;=ROUNDDOWN($C$357,0),IF(ROUNDDOWN(V94,0)=ROUNDDOWN($C$357,0),ROUND($E$357*VLOOKUP($B88,$P$357:$R$360,3,0)/$H$357,2),ROUND(VLOOKUP($B88,$P$357:$R$360,3,0)/$H$357,2)),0)))</f>
        <v>0</v>
      </c>
      <c r="W95" s="25"/>
      <c r="X95" s="25"/>
      <c r="Y95" s="3164">
        <f>IF(OR($B90=0,$B90="",$B88=""),0,IF(AND(ROUNDDOWN(Y94,0)&gt;=ROUNDDOWN($C$357,0),1-SUM($B95:V95)&lt;VLOOKUP($B88,$P$357:$R$360,3,0)/$H$357),1-SUM($B95:V95),IF(ROUNDDOWN(Y94,0)&gt;=ROUNDDOWN($C$357,0),IF(ROUNDDOWN(Y94,0)=ROUNDDOWN($C$357,0),ROUND($E$357*VLOOKUP($B88,$P$357:$R$360,3,0)/$H$357,2),ROUND(VLOOKUP($B88,$P$357:$R$360,3,0)/$H$357,2)),0)))</f>
        <v>0</v>
      </c>
      <c r="Z95" s="25"/>
      <c r="AA95" s="25"/>
      <c r="AB95" s="3164">
        <f>IF(OR($B90=0,$B90="",$B88=""),0,IF(AND(ROUNDDOWN(AB94,0)&gt;=ROUNDDOWN($C$357,0),1-SUM($B95:Y95)&lt;VLOOKUP($B88,$P$357:$R$360,3,0)/$H$357),1-SUM($B95:Y95),IF(ROUNDDOWN(AB94,0)&gt;=ROUNDDOWN($C$357,0),IF(ROUNDDOWN(AB94,0)=ROUNDDOWN($C$357,0),ROUND($E$357*VLOOKUP($B88,$P$357:$R$360,3,0)/$H$357,2),ROUND(VLOOKUP($B88,$P$357:$R$360,3,0)/$H$357,2)),0)))</f>
        <v>0</v>
      </c>
      <c r="AC95" s="25"/>
      <c r="AD95" s="25"/>
      <c r="AE95" s="3164">
        <f>IF(OR($B90=0,$B90="",$B88=""),0,IF(AND(ROUNDDOWN(AE94,0)&gt;=ROUNDDOWN($C$357,0),1-SUM($B95:AB95)&lt;VLOOKUP($B88,$P$357:$R$360,3,0)/$H$357),1-SUM($B95:AB95),IF(ROUNDDOWN(AE94,0)&gt;=ROUNDDOWN($C$357,0),IF(ROUNDDOWN(AE94,0)=ROUNDDOWN($C$357,0),ROUND($E$357*VLOOKUP($B88,$P$357:$R$360,3,0)/$H$357,2),ROUND(VLOOKUP($B88,$P$357:$R$360,3,0)/$H$357,2)),0)))</f>
        <v>0</v>
      </c>
      <c r="AF95" s="25"/>
      <c r="AG95" s="25"/>
      <c r="AH95" s="3164">
        <f>IF(OR($B90=0,$B90="",$B88=""),0,IF(AND(ROUNDDOWN(AH94,0)&gt;=ROUNDDOWN($C$357,0),1-SUM($B95:AE95)&lt;VLOOKUP($B88,$P$357:$R$360,3,0)/$H$357),1-SUM($B95:AE95),IF(ROUNDDOWN(AH94,0)&gt;=ROUNDDOWN($C$357,0),IF(ROUNDDOWN(AH94,0)=ROUNDDOWN($C$357,0),ROUND($E$357*VLOOKUP($B88,$P$357:$R$360,3,0)/$H$357,2),ROUND(VLOOKUP($B88,$P$357:$R$360,3,0)/$H$357,2)),0)))</f>
        <v>0</v>
      </c>
      <c r="AI95" s="25"/>
      <c r="AJ95" s="25"/>
      <c r="AK95" s="3164">
        <f>IF(OR($B90=0,$B90="",$B88=""),0,IF(AND(ROUNDDOWN(AK94,0)&gt;=ROUNDDOWN($C$357,0),1-SUM($B95:AH95)&lt;VLOOKUP($B88,$P$357:$R$360,3,0)/$H$357),1-SUM($B95:AH95),IF(ROUNDDOWN(AK94,0)&gt;=ROUNDDOWN($C$357,0),IF(ROUNDDOWN(AK94,0)=ROUNDDOWN($C$357,0),ROUND($E$357*VLOOKUP($B88,$P$357:$R$360,3,0)/$H$357,2),ROUND(VLOOKUP($B88,$P$357:$R$360,3,0)/$H$357,2)),0)))</f>
        <v>0</v>
      </c>
      <c r="AL95" s="25"/>
      <c r="AM95" s="25"/>
      <c r="AN95" s="3164">
        <f>IF(OR($B90=0,$B90="",$B88=""),0,IF(AND(ROUNDDOWN(AN94,0)&gt;=ROUNDDOWN($C$357,0),1-SUM($B95:AK95)&lt;VLOOKUP($B88,$P$357:$R$360,3,0)/$H$357),1-SUM($B95:AK95),IF(ROUNDDOWN(AN94,0)&gt;=ROUNDDOWN($C$357,0),IF(ROUNDDOWN(AN94,0)=ROUNDDOWN($C$357,0),ROUND($E$357*VLOOKUP($B88,$P$357:$R$360,3,0)/$H$357,2),ROUND(VLOOKUP($B88,$P$357:$R$360,3,0)/$H$357,2)),0)))</f>
        <v>0</v>
      </c>
      <c r="AO95" s="25"/>
      <c r="AP95" s="25"/>
      <c r="AQ95" s="3164">
        <f>IF(OR($B90=0,$B90="",$B88=""),0,IF(AND(ROUNDDOWN(AQ94,0)&gt;=ROUNDDOWN($C$357,0),1-SUM($B95:AN95)&lt;VLOOKUP($B88,$P$357:$R$360,3,0)/$H$357),1-SUM($B95:AN95),IF(ROUNDDOWN(AQ94,0)&gt;=ROUNDDOWN($C$357,0),IF(ROUNDDOWN(AQ94,0)=ROUNDDOWN($C$357,0),ROUND($E$357*VLOOKUP($B88,$P$357:$R$360,3,0)/$H$357,2),ROUND(VLOOKUP($B88,$P$357:$R$360,3,0)/$H$357,2)),0)))</f>
        <v>0</v>
      </c>
      <c r="AR95" s="25"/>
      <c r="AS95" s="25"/>
      <c r="AT95" s="3164">
        <f>IF(OR($B90=0,$B90="",$B88=""),0,IF(AND(ROUNDDOWN(AT94,0)&gt;=ROUNDDOWN($C$357,0),1-SUM($B95:AQ95)&lt;VLOOKUP($B88,$P$357:$R$360,3,0)/$H$357),1-SUM($B95:AQ95),IF(ROUNDDOWN(AT94,0)&gt;=ROUNDDOWN($C$357,0),IF(ROUNDDOWN(AT94,0)=ROUNDDOWN($C$357,0),ROUND($E$357*VLOOKUP($B88,$P$357:$R$360,3,0)/$H$357,2),ROUND(VLOOKUP($B88,$P$357:$R$360,3,0)/$H$357,2)),0)))</f>
        <v>0</v>
      </c>
      <c r="AU95" s="25"/>
      <c r="AV95" s="3157"/>
    </row>
    <row r="96" spans="1:48" ht="12.5">
      <c r="A96" s="3165" t="s">
        <v>2048</v>
      </c>
      <c r="B96" s="3166">
        <f>$B89*B95</f>
        <v>0</v>
      </c>
      <c r="C96" s="25"/>
      <c r="D96" s="3166">
        <f ca="1">IF($B93&gt;D94,0,D95*$B89)</f>
        <v>0</v>
      </c>
      <c r="E96" s="25"/>
      <c r="F96" s="25"/>
      <c r="G96" s="3166">
        <f ca="1">IF($B93&gt;G94,0,G95*$B89)</f>
        <v>0</v>
      </c>
      <c r="H96" s="25"/>
      <c r="I96" s="25"/>
      <c r="J96" s="3166">
        <f ca="1">IF($B93&gt;J94,0,J95*$B89)</f>
        <v>0</v>
      </c>
      <c r="K96" s="25"/>
      <c r="L96" s="25"/>
      <c r="M96" s="3166">
        <f ca="1">IF($B93&gt;M94,0,M95*$B89)</f>
        <v>0</v>
      </c>
      <c r="N96" s="25"/>
      <c r="O96" s="25"/>
      <c r="P96" s="3166">
        <f ca="1">IF($B93&gt;P94,0,P95*$B89)</f>
        <v>0</v>
      </c>
      <c r="Q96" s="25"/>
      <c r="R96" s="25"/>
      <c r="S96" s="3166">
        <f ca="1">IF($B93&gt;S94,0,S95*$B89)</f>
        <v>0</v>
      </c>
      <c r="T96" s="25"/>
      <c r="U96" s="25"/>
      <c r="V96" s="3166">
        <f ca="1">IF($B93&gt;V94,0,V95*$B89)</f>
        <v>0</v>
      </c>
      <c r="W96" s="25"/>
      <c r="X96" s="25"/>
      <c r="Y96" s="3166">
        <f ca="1">IF($B93&gt;Y94,0,Y95*$B89)</f>
        <v>0</v>
      </c>
      <c r="Z96" s="25"/>
      <c r="AA96" s="25"/>
      <c r="AB96" s="3166">
        <f ca="1">IF($B93&gt;AB94,0,AB95*$B89)</f>
        <v>0</v>
      </c>
      <c r="AC96" s="25"/>
      <c r="AD96" s="25"/>
      <c r="AE96" s="3166">
        <f ca="1">IF($B93&gt;AE94,0,AE95*$B89)</f>
        <v>0</v>
      </c>
      <c r="AF96" s="25"/>
      <c r="AG96" s="25"/>
      <c r="AH96" s="3166">
        <f ca="1">IF($B93&gt;AH94,0,AH95*$B89)</f>
        <v>0</v>
      </c>
      <c r="AI96" s="25"/>
      <c r="AJ96" s="25"/>
      <c r="AK96" s="3166">
        <f ca="1">IF($B93&gt;AK94,0,AK95*$B89)</f>
        <v>0</v>
      </c>
      <c r="AL96" s="25"/>
      <c r="AM96" s="25"/>
      <c r="AN96" s="3166">
        <f ca="1">IF($B93&gt;AN94,0,AN95*$B89)</f>
        <v>0</v>
      </c>
      <c r="AO96" s="25"/>
      <c r="AP96" s="25"/>
      <c r="AQ96" s="3166">
        <f ca="1">IF($B93&gt;AQ94,0,AQ95*$B89)</f>
        <v>0</v>
      </c>
      <c r="AR96" s="25"/>
      <c r="AS96" s="25"/>
      <c r="AT96" s="3166">
        <f ca="1">IF($B93&gt;AT94,0,AT95*$B89)</f>
        <v>0</v>
      </c>
      <c r="AU96" s="25"/>
      <c r="AV96" s="3157"/>
    </row>
    <row r="97" spans="1:48" ht="12.5">
      <c r="A97" s="3159" t="s">
        <v>2049</v>
      </c>
      <c r="B97" s="3167">
        <f ca="1">IF($B93&gt;B94,0,B89-B96)</f>
        <v>0</v>
      </c>
      <c r="C97" s="25"/>
      <c r="D97" s="3167">
        <f ca="1">IF($B93&gt;D94,0,IF($B93=D94,$B89-D96,IF(B97-D96&lt;0.005,0,B97-D96)))</f>
        <v>0</v>
      </c>
      <c r="E97" s="25"/>
      <c r="F97" s="25"/>
      <c r="G97" s="3167">
        <f ca="1">IF($B93&gt;G94,0,IF($B93=G94,$B89-G96,IF(+D97-G96&lt;0.005,0,+D97-G96)))</f>
        <v>0</v>
      </c>
      <c r="H97" s="25"/>
      <c r="I97" s="25"/>
      <c r="J97" s="3167">
        <f ca="1">IF($B93&gt;J94,0,IF($B93=J94,$B89-J96,IF(+G97-J96&lt;0.005,0,+G97-J96)))</f>
        <v>0</v>
      </c>
      <c r="K97" s="25"/>
      <c r="L97" s="25"/>
      <c r="M97" s="3167">
        <f ca="1">IF($B93&gt;M94,0,IF($B93=M94,$B89-M96,IF(+J97-M96&lt;0.005,0,+J97-M96)))</f>
        <v>0</v>
      </c>
      <c r="N97" s="25"/>
      <c r="O97" s="25"/>
      <c r="P97" s="3167">
        <f ca="1">IF($B93&gt;P94,0,IF($B93=P94,$B89-P96,IF(+M97-P96&lt;0.005,0,+M97-P96)))</f>
        <v>0</v>
      </c>
      <c r="Q97" s="25"/>
      <c r="R97" s="25"/>
      <c r="S97" s="3167">
        <f ca="1">IF($B93&gt;S94,0,IF($B93=S94,$B89-S96,IF(+P97-S96&lt;0.005,0,+P97-S96)))</f>
        <v>0</v>
      </c>
      <c r="T97" s="25"/>
      <c r="U97" s="25"/>
      <c r="V97" s="3167">
        <f ca="1">IF($B93&gt;V94,0,IF($B93=V94,$B89-V96,IF(+S97-V96&lt;0.005,0,+S97-V96)))</f>
        <v>0</v>
      </c>
      <c r="W97" s="25"/>
      <c r="X97" s="25"/>
      <c r="Y97" s="3167">
        <f ca="1">IF($B93&gt;Y94,0,IF($B93=Y94,$B89-Y96,IF(+V97-Y96&lt;0.005,0,+V97-Y96)))</f>
        <v>0</v>
      </c>
      <c r="Z97" s="25"/>
      <c r="AA97" s="25"/>
      <c r="AB97" s="3167">
        <f ca="1">IF($B93&gt;AB94,0,IF($B93=AB94,$B89-AB96,IF(+Y97-AB96&lt;0.005,0,+Y97-AB96)))</f>
        <v>0</v>
      </c>
      <c r="AC97" s="25"/>
      <c r="AD97" s="25"/>
      <c r="AE97" s="3167">
        <f ca="1">IF($B93&gt;AE94,0,IF($B93=AE94,$B89-AE96,IF(+AB97-AE96&lt;0.005,0,+AB97-AE96)))</f>
        <v>0</v>
      </c>
      <c r="AF97" s="25"/>
      <c r="AG97" s="25"/>
      <c r="AH97" s="3167">
        <f ca="1">IF($B93&gt;AH94,0,IF($B93=AH94,$B89-AH96,IF(+AE97-AH96&lt;0.005,0,+AE97-AH96)))</f>
        <v>0</v>
      </c>
      <c r="AI97" s="25"/>
      <c r="AJ97" s="25"/>
      <c r="AK97" s="3167">
        <f ca="1">IF($B93&gt;AK94,0,IF($B93=AK94,$B89-AK96,IF(+AH97-AK96&lt;0.005,0,+AH97-AK96)))</f>
        <v>0</v>
      </c>
      <c r="AL97" s="25"/>
      <c r="AM97" s="25"/>
      <c r="AN97" s="3167">
        <f ca="1">IF($B93&gt;AN94,0,IF($B93=AN94,$B89-AN96,IF(+AK97-AN96&lt;0.005,0,+AK97-AN96)))</f>
        <v>0</v>
      </c>
      <c r="AO97" s="25"/>
      <c r="AP97" s="25"/>
      <c r="AQ97" s="3167">
        <f ca="1">IF($B93&gt;AQ94,0,IF($B93=AQ94,$B89-AQ96,IF(+AN97-AQ96&lt;0.005,0,+AN97-AQ96)))</f>
        <v>0</v>
      </c>
      <c r="AR97" s="25"/>
      <c r="AS97" s="25"/>
      <c r="AT97" s="3167">
        <f ca="1">IF($B93&gt;AT94,0,IF($B93=AT94,$B89-AT96,IF(+AQ97-AT96&lt;0.005,0,+AQ97-AT96)))</f>
        <v>0</v>
      </c>
      <c r="AU97" s="25"/>
      <c r="AV97" s="3157"/>
    </row>
    <row r="98" spans="1:48" ht="12.5">
      <c r="A98" s="3163" t="s">
        <v>2050</v>
      </c>
      <c r="B98" s="3164"/>
      <c r="C98" s="25"/>
      <c r="D98" s="3164">
        <f>B98</f>
        <v>0</v>
      </c>
      <c r="E98" s="25"/>
      <c r="F98" s="25"/>
      <c r="G98" s="3164">
        <f>D98</f>
        <v>0</v>
      </c>
      <c r="H98" s="25"/>
      <c r="I98" s="25"/>
      <c r="J98" s="3164">
        <f>G98</f>
        <v>0</v>
      </c>
      <c r="K98" s="25"/>
      <c r="L98" s="25"/>
      <c r="M98" s="3164">
        <f>J98</f>
        <v>0</v>
      </c>
      <c r="N98" s="25"/>
      <c r="O98" s="25"/>
      <c r="P98" s="3164">
        <f>M98</f>
        <v>0</v>
      </c>
      <c r="Q98" s="25"/>
      <c r="R98" s="25"/>
      <c r="S98" s="3164">
        <f>P98</f>
        <v>0</v>
      </c>
      <c r="T98" s="25"/>
      <c r="U98" s="25"/>
      <c r="V98" s="3164">
        <f>S98</f>
        <v>0</v>
      </c>
      <c r="W98" s="25"/>
      <c r="X98" s="25"/>
      <c r="Y98" s="3164">
        <f>V98</f>
        <v>0</v>
      </c>
      <c r="Z98" s="25"/>
      <c r="AA98" s="25"/>
      <c r="AB98" s="3164">
        <f>Y98</f>
        <v>0</v>
      </c>
      <c r="AC98" s="25"/>
      <c r="AD98" s="25"/>
      <c r="AE98" s="3164">
        <f>AB98</f>
        <v>0</v>
      </c>
      <c r="AF98" s="25"/>
      <c r="AG98" s="25"/>
      <c r="AH98" s="3164">
        <f>AE98</f>
        <v>0</v>
      </c>
      <c r="AI98" s="25"/>
      <c r="AJ98" s="25"/>
      <c r="AK98" s="3164">
        <f>AH98</f>
        <v>0</v>
      </c>
      <c r="AL98" s="25"/>
      <c r="AM98" s="25"/>
      <c r="AN98" s="3164">
        <f>AK98</f>
        <v>0</v>
      </c>
      <c r="AO98" s="25"/>
      <c r="AP98" s="25"/>
      <c r="AQ98" s="3164">
        <f>AN98</f>
        <v>0</v>
      </c>
      <c r="AR98" s="25"/>
      <c r="AS98" s="25"/>
      <c r="AT98" s="3164">
        <f>AQ98</f>
        <v>0</v>
      </c>
      <c r="AU98" s="25"/>
      <c r="AV98" s="3157"/>
    </row>
    <row r="99" spans="1:48" ht="12.5">
      <c r="A99" s="3163" t="s">
        <v>2051</v>
      </c>
      <c r="B99" s="3168">
        <f ca="1">IF(OR($B93&lt;&gt;B94,B98="",B98=0),0,IF(AND(B95=0,$I$357=1),B98,IF(B95=0,NOMINAL(B98,12)*IF($B93=B94,$I$357,1),IF(AND($B93=B94,ROUNDDOWN($C$357,0)=B94),$E$357,1)*NOMINAL(B98,VLOOKUP($B88,$P$357:$R$360,3,0))/VLOOKUP($B88,$P$357:$R$360,3,0)))*((IF(B95=0,1,IF(AND($B93=B94,B95&lt;ROUNDDOWN(VLOOKUP($B88,$P$357:$R$360,3,0)/$H$357,0)),ROUNDDOWN(B95*$H$357,0),IF(AND($B93&lt;B94,B95&lt;ROUNDDOWN(VLOOKUP($B88,$P$357:$R$360,3,0)/$H$357,0)),ROUND(AVERAGE(ROUNDDOWN(B95*$H$357,0),2*VLOOKUP($B88,$P$357:$R$360,3,0)),0),VLOOKUP($B88,$P$357:$R$360,3,0))))*$B89)-((B96*(IF(B95=0,1,IF(AND($B93=B94,B95&lt;ROUNDDOWN(VLOOKUP($B88,$P$357:$R$360,3,0)/$H$357,0)),ROUNDDOWN(B95*$H$357,0),IF(AND($B93&lt;B94,B95&lt;ROUNDDOWN(VLOOKUP($B88,$P$357:$R$360,3,0)/$H$357,0)),ROUND(AVERAGE(ROUNDDOWN(B95*$H$357,0),2*VLOOKUP($B88,$P$357:$R$360,3,0)),0),VLOOKUP($B88,$P$357:$R$360,3,0))))-1))/2)))</f>
        <v>0</v>
      </c>
      <c r="C99" s="3169"/>
      <c r="D99" s="3168">
        <f ca="1">IF(OR($B93&gt;D94,D98="",D98=0),0,IF(AND(D95=0,OR(D94&gt;$B93,$I$357=1)),D98,IF(D95=0,NOMINAL(D98,12)*IF($B93=D94,$I$357,1),IF(AND($B93=D94,ROUNDDOWN($C$357,0)=D94),$E$357,1)*NOMINAL(D98,VLOOKUP($B88,$P$357:$R$360,3,0))/VLOOKUP($B88,$P$357:$R$360,3,0)))*((IF(D95=0,1,IF(AND($B93=D94,D95&lt;ROUNDDOWN(VLOOKUP($B88,$P$357:$R$360,3,0)/$H$357,0)),ROUNDDOWN(D95*$H$357,0),IF(AND($B93&lt;D94,D95&lt;ROUNDDOWN(VLOOKUP($B88,$P$357:$R$360,3,0)/$H$357,0)),ROUND(AVERAGE(ROUNDDOWN(D95*$H$357,0),2*VLOOKUP($B88,$P$357:$R$360,3,0)),0),VLOOKUP($B88,$P$357:$R$360,3,0))))*IF($B93=D94,$B89,SUM(B97:B97)))-((D96*(IF(D95=0,1,IF(AND($B93=D94,D95&lt;ROUNDDOWN(VLOOKUP($B88,$P$357:$R$360,3,0)/$H$357,0)),ROUNDDOWN(D95*$H$357,0),IF(AND($B93&lt;D94,D95&lt;ROUNDDOWN(VLOOKUP($B88,$P$357:$R$360,3,0)/$H$357,0)),ROUND(AVERAGE(ROUNDDOWN(D95*$H$357,0),2*VLOOKUP($B88,$P$357:$R$360,3,0)),0),VLOOKUP($B88,$P$357:$R$360,3,0))))-1))/2)))</f>
        <v>0</v>
      </c>
      <c r="E99" s="26"/>
      <c r="F99" s="26"/>
      <c r="G99" s="3168">
        <f ca="1">IF(OR($B93&gt;G94,G98="",G98=0),0,IF(AND(G95=0,OR(G94&gt;$B93,$I$357=1)),G98,IF(G95=0,NOMINAL(G98,12)*IF($B93=G94,$I$357,1),IF(AND($B93=G94,ROUNDDOWN($C$357,0)=G94),$E$357,1)*NOMINAL(G98,VLOOKUP($B88,$P$357:$R$360,3,0))/VLOOKUP($B88,$P$357:$R$360,3,0)))*((IF(G95=0,1,IF(AND($B93=G94,G95&lt;ROUNDDOWN(VLOOKUP($B88,$P$357:$R$360,3,0)/$H$357,0)),ROUNDDOWN(G95*$H$357,0),IF(AND($B93&lt;G94,G95&lt;ROUNDDOWN(VLOOKUP($B88,$P$357:$R$360,3,0)/$H$357,0)),ROUND(AVERAGE(ROUNDDOWN(G95*$H$357,0),2*VLOOKUP($B88,$P$357:$R$360,3,0)),0),VLOOKUP($B88,$P$357:$R$360,3,0))))*IF($B93=G94,$B89,SUM(D97:D97)))-((G96*(IF(G95=0,1,IF(AND($B93=G94,G95&lt;ROUNDDOWN(VLOOKUP($B88,$P$357:$R$360,3,0)/$H$357,0)),ROUNDDOWN(G95*$H$357,0),IF(AND($B93&lt;G94,G95&lt;ROUNDDOWN(VLOOKUP($B88,$P$357:$R$360,3,0)/$H$357,0)),ROUND(AVERAGE(ROUNDDOWN(G95*$H$357,0),2*VLOOKUP($B88,$P$357:$R$360,3,0)),0),VLOOKUP($B88,$P$357:$R$360,3,0))))-1))/2)))</f>
        <v>0</v>
      </c>
      <c r="H99" s="26"/>
      <c r="I99" s="26"/>
      <c r="J99" s="3168">
        <f ca="1">IF(OR($B93&gt;J94,J98="",J98=0),0,IF(AND(J95=0,OR(J94&gt;$B93,$I$357=1)),J98,IF(J95=0,NOMINAL(J98,12)*IF($B93=J94,$I$357,1),IF(AND($B93=J94,ROUNDDOWN($C$357,0)=J94),$E$357,1)*NOMINAL(J98,VLOOKUP($B88,$P$357:$R$360,3,0))/VLOOKUP($B88,$P$357:$R$360,3,0)))*((IF(J95=0,1,IF(AND($B93=J94,J95&lt;ROUNDDOWN(VLOOKUP($B88,$P$357:$R$360,3,0)/$H$357,0)),ROUNDDOWN(J95*$H$357,0),IF(AND($B93&lt;J94,J95&lt;ROUNDDOWN(VLOOKUP($B88,$P$357:$R$360,3,0)/$H$357,0)),ROUND(AVERAGE(ROUNDDOWN(J95*$H$357,0),2*VLOOKUP($B88,$P$357:$R$360,3,0)),0),VLOOKUP($B88,$P$357:$R$360,3,0))))*IF($B93=J94,$B89,SUM(G97:G97)))-((J96*(IF(J95=0,1,IF(AND($B93=J94,J95&lt;ROUNDDOWN(VLOOKUP($B88,$P$357:$R$360,3,0)/$H$357,0)),ROUNDDOWN(J95*$H$357,0),IF(AND($B93&lt;J94,J95&lt;ROUNDDOWN(VLOOKUP($B88,$P$357:$R$360,3,0)/$H$357,0)),ROUND(AVERAGE(ROUNDDOWN(J95*$H$357,0),2*VLOOKUP($B88,$P$357:$R$360,3,0)),0),VLOOKUP($B88,$P$357:$R$360,3,0))))-1))/2)))</f>
        <v>0</v>
      </c>
      <c r="K99" s="26"/>
      <c r="L99" s="26"/>
      <c r="M99" s="3168">
        <f ca="1">IF(OR($B93&gt;M94,M98="",M98=0),0,IF(AND(M95=0,OR(M94&gt;$B93,$I$357=1)),M98,IF(M95=0,NOMINAL(M98,12)*IF($B93=M94,$I$357,1),IF(AND($B93=M94,ROUNDDOWN($C$357,0)=M94),$E$357,1)*NOMINAL(M98,VLOOKUP($B88,$P$357:$R$360,3,0))/VLOOKUP($B88,$P$357:$R$360,3,0)))*((IF(M95=0,1,IF(AND($B93=M94,M95&lt;ROUNDDOWN(VLOOKUP($B88,$P$357:$R$360,3,0)/$H$357,0)),ROUNDDOWN(M95*$H$357,0),IF(AND($B93&lt;M94,M95&lt;ROUNDDOWN(VLOOKUP($B88,$P$357:$R$360,3,0)/$H$357,0)),ROUND(AVERAGE(ROUNDDOWN(M95*$H$357,0),2*VLOOKUP($B88,$P$357:$R$360,3,0)),0),VLOOKUP($B88,$P$357:$R$360,3,0))))*IF($B93=M94,$B89,SUM(J97:J97)))-((M96*(IF(M95=0,1,IF(AND($B93=M94,M95&lt;ROUNDDOWN(VLOOKUP($B88,$P$357:$R$360,3,0)/$H$357,0)),ROUNDDOWN(M95*$H$357,0),IF(AND($B93&lt;M94,M95&lt;ROUNDDOWN(VLOOKUP($B88,$P$357:$R$360,3,0)/$H$357,0)),ROUND(AVERAGE(ROUNDDOWN(M95*$H$357,0),2*VLOOKUP($B88,$P$357:$R$360,3,0)),0),VLOOKUP($B88,$P$357:$R$360,3,0))))-1))/2)))</f>
        <v>0</v>
      </c>
      <c r="N99" s="26"/>
      <c r="O99" s="26"/>
      <c r="P99" s="3168">
        <f ca="1">IF(OR($B93&gt;P94,P98="",P98=0),0,IF(AND(P95=0,OR(P94&gt;$B93,$I$357=1)),P98,IF(P95=0,NOMINAL(P98,12)*IF($B93=P94,$I$357,1),IF(AND($B93=P94,ROUNDDOWN($C$357,0)=P94),$E$357,1)*NOMINAL(P98,VLOOKUP($B88,$P$357:$R$360,3,0))/VLOOKUP($B88,$P$357:$R$360,3,0)))*((IF(P95=0,1,IF(AND($B93=P94,P95&lt;ROUNDDOWN(VLOOKUP($B88,$P$357:$R$360,3,0)/$H$357,0)),ROUNDDOWN(P95*$H$357,0),IF(AND($B93&lt;P94,P95&lt;ROUNDDOWN(VLOOKUP($B88,$P$357:$R$360,3,0)/$H$357,0)),ROUND(AVERAGE(ROUNDDOWN(P95*$H$357,0),2*VLOOKUP($B88,$P$357:$R$360,3,0)),0),VLOOKUP($B88,$P$357:$R$360,3,0))))*IF($B93=P94,$B89,SUM(M97:M97)))-((P96*(IF(P95=0,1,IF(AND($B93=P94,P95&lt;ROUNDDOWN(VLOOKUP($B88,$P$357:$R$360,3,0)/$H$357,0)),ROUNDDOWN(P95*$H$357,0),IF(AND($B93&lt;P94,P95&lt;ROUNDDOWN(VLOOKUP($B88,$P$357:$R$360,3,0)/$H$357,0)),ROUND(AVERAGE(ROUNDDOWN(P95*$H$357,0),2*VLOOKUP($B88,$P$357:$R$360,3,0)),0),VLOOKUP($B88,$P$357:$R$360,3,0))))-1))/2)))</f>
        <v>0</v>
      </c>
      <c r="Q99" s="26"/>
      <c r="R99" s="26"/>
      <c r="S99" s="3168">
        <f ca="1">IF(OR($B93&gt;S94,S98="",S98=0),0,IF(AND(S95=0,OR(S94&gt;$B93,$I$357=1)),S98,IF(S95=0,NOMINAL(S98,12)*IF($B93=S94,$I$357,1),IF(AND($B93=S94,ROUNDDOWN($C$357,0)=S94),$E$357,1)*NOMINAL(S98,VLOOKUP($B88,$P$357:$R$360,3,0))/VLOOKUP($B88,$P$357:$R$360,3,0)))*((IF(S95=0,1,IF(AND($B93=S94,S95&lt;ROUNDDOWN(VLOOKUP($B88,$P$357:$R$360,3,0)/$H$357,0)),ROUNDDOWN(S95*$H$357,0),IF(AND($B93&lt;S94,S95&lt;ROUNDDOWN(VLOOKUP($B88,$P$357:$R$360,3,0)/$H$357,0)),ROUND(AVERAGE(ROUNDDOWN(S95*$H$357,0),2*VLOOKUP($B88,$P$357:$R$360,3,0)),0),VLOOKUP($B88,$P$357:$R$360,3,0))))*IF($B93=S94,$B89,SUM(P97:P97)))-((S96*(IF(S95=0,1,IF(AND($B93=S94,S95&lt;ROUNDDOWN(VLOOKUP($B88,$P$357:$R$360,3,0)/$H$357,0)),ROUNDDOWN(S95*$H$357,0),IF(AND($B93&lt;S94,S95&lt;ROUNDDOWN(VLOOKUP($B88,$P$357:$R$360,3,0)/$H$357,0)),ROUND(AVERAGE(ROUNDDOWN(S95*$H$357,0),2*VLOOKUP($B88,$P$357:$R$360,3,0)),0),VLOOKUP($B88,$P$357:$R$360,3,0))))-1))/2)))</f>
        <v>0</v>
      </c>
      <c r="T99" s="26"/>
      <c r="U99" s="26"/>
      <c r="V99" s="3168">
        <f ca="1">IF(OR($B93&gt;V94,V98="",V98=0),0,IF(AND(V95=0,OR(V94&gt;$B93,$I$357=1)),V98,IF(V95=0,NOMINAL(V98,12)*IF($B93=V94,$I$357,1),IF(AND($B93=V94,ROUNDDOWN($C$357,0)=V94),$E$357,1)*NOMINAL(V98,VLOOKUP($B88,$P$357:$R$360,3,0))/VLOOKUP($B88,$P$357:$R$360,3,0)))*((IF(V95=0,1,IF(AND($B93=V94,V95&lt;ROUNDDOWN(VLOOKUP($B88,$P$357:$R$360,3,0)/$H$357,0)),ROUNDDOWN(V95*$H$357,0),IF(AND($B93&lt;V94,V95&lt;ROUNDDOWN(VLOOKUP($B88,$P$357:$R$360,3,0)/$H$357,0)),ROUND(AVERAGE(ROUNDDOWN(V95*$H$357,0),2*VLOOKUP($B88,$P$357:$R$360,3,0)),0),VLOOKUP($B88,$P$357:$R$360,3,0))))*IF($B93=V94,$B89,SUM(S97:S97)))-((V96*(IF(V95=0,1,IF(AND($B93=V94,V95&lt;ROUNDDOWN(VLOOKUP($B88,$P$357:$R$360,3,0)/$H$357,0)),ROUNDDOWN(V95*$H$357,0),IF(AND($B93&lt;V94,V95&lt;ROUNDDOWN(VLOOKUP($B88,$P$357:$R$360,3,0)/$H$357,0)),ROUND(AVERAGE(ROUNDDOWN(V95*$H$357,0),2*VLOOKUP($B88,$P$357:$R$360,3,0)),0),VLOOKUP($B88,$P$357:$R$360,3,0))))-1))/2)))</f>
        <v>0</v>
      </c>
      <c r="W99" s="26"/>
      <c r="X99" s="26"/>
      <c r="Y99" s="3168">
        <f ca="1">IF(OR($B93&gt;Y94,Y98="",Y98=0),0,IF(AND(Y95=0,OR(Y94&gt;$B93,$I$357=1)),Y98,IF(Y95=0,NOMINAL(Y98,12)*IF($B93=Y94,$I$357,1),IF(AND($B93=Y94,ROUNDDOWN($C$357,0)=Y94),$E$357,1)*NOMINAL(Y98,VLOOKUP($B88,$P$357:$R$360,3,0))/VLOOKUP($B88,$P$357:$R$360,3,0)))*((IF(Y95=0,1,IF(AND($B93=Y94,Y95&lt;ROUNDDOWN(VLOOKUP($B88,$P$357:$R$360,3,0)/$H$357,0)),ROUNDDOWN(Y95*$H$357,0),IF(AND($B93&lt;Y94,Y95&lt;ROUNDDOWN(VLOOKUP($B88,$P$357:$R$360,3,0)/$H$357,0)),ROUND(AVERAGE(ROUNDDOWN(Y95*$H$357,0),2*VLOOKUP($B88,$P$357:$R$360,3,0)),0),VLOOKUP($B88,$P$357:$R$360,3,0))))*IF($B93=Y94,$B89,SUM(V97:V97)))-((Y96*(IF(Y95=0,1,IF(AND($B93=Y94,Y95&lt;ROUNDDOWN(VLOOKUP($B88,$P$357:$R$360,3,0)/$H$357,0)),ROUNDDOWN(Y95*$H$357,0),IF(AND($B93&lt;Y94,Y95&lt;ROUNDDOWN(VLOOKUP($B88,$P$357:$R$360,3,0)/$H$357,0)),ROUND(AVERAGE(ROUNDDOWN(Y95*$H$357,0),2*VLOOKUP($B88,$P$357:$R$360,3,0)),0),VLOOKUP($B88,$P$357:$R$360,3,0))))-1))/2)))</f>
        <v>0</v>
      </c>
      <c r="Z99" s="26"/>
      <c r="AA99" s="26"/>
      <c r="AB99" s="3168">
        <f ca="1">IF(OR($B93&gt;AB94,AB98="",AB98=0),0,IF(AND(AB95=0,OR(AB94&gt;$B93,$I$357=1)),AB98,IF(AB95=0,NOMINAL(AB98,12)*IF($B93=AB94,$I$357,1),IF(AND($B93=AB94,ROUNDDOWN($C$357,0)=AB94),$E$357,1)*NOMINAL(AB98,VLOOKUP($B88,$P$357:$R$360,3,0))/VLOOKUP($B88,$P$357:$R$360,3,0)))*((IF(AB95=0,1,IF(AND($B93=AB94,AB95&lt;ROUNDDOWN(VLOOKUP($B88,$P$357:$R$360,3,0)/$H$357,0)),ROUNDDOWN(AB95*$H$357,0),IF(AND($B93&lt;AB94,AB95&lt;ROUNDDOWN(VLOOKUP($B88,$P$357:$R$360,3,0)/$H$357,0)),ROUND(AVERAGE(ROUNDDOWN(AB95*$H$357,0),2*VLOOKUP($B88,$P$357:$R$360,3,0)),0),VLOOKUP($B88,$P$357:$R$360,3,0))))*IF($B93=AB94,$B89,SUM(Y97:Y97)))-((AB96*(IF(AB95=0,1,IF(AND($B93=AB94,AB95&lt;ROUNDDOWN(VLOOKUP($B88,$P$357:$R$360,3,0)/$H$357,0)),ROUNDDOWN(AB95*$H$357,0),IF(AND($B93&lt;AB94,AB95&lt;ROUNDDOWN(VLOOKUP($B88,$P$357:$R$360,3,0)/$H$357,0)),ROUND(AVERAGE(ROUNDDOWN(AB95*$H$357,0),2*VLOOKUP($B88,$P$357:$R$360,3,0)),0),VLOOKUP($B88,$P$357:$R$360,3,0))))-1))/2)))</f>
        <v>0</v>
      </c>
      <c r="AC99" s="26"/>
      <c r="AD99" s="26"/>
      <c r="AE99" s="3168">
        <f ca="1">IF(OR($B93&gt;AE94,AE98="",AE98=0),0,IF(AND(AE95=0,OR(AE94&gt;$B93,$I$357=1)),AE98,IF(AE95=0,NOMINAL(AE98,12)*IF($B93=AE94,$I$357,1),IF(AND($B93=AE94,ROUNDDOWN($C$357,0)=AE94),$E$357,1)*NOMINAL(AE98,VLOOKUP($B88,$P$357:$R$360,3,0))/VLOOKUP($B88,$P$357:$R$360,3,0)))*((IF(AE95=0,1,IF(AND($B93=AE94,AE95&lt;ROUNDDOWN(VLOOKUP($B88,$P$357:$R$360,3,0)/$H$357,0)),ROUNDDOWN(AE95*$H$357,0),IF(AND($B93&lt;AE94,AE95&lt;ROUNDDOWN(VLOOKUP($B88,$P$357:$R$360,3,0)/$H$357,0)),ROUND(AVERAGE(ROUNDDOWN(AE95*$H$357,0),2*VLOOKUP($B88,$P$357:$R$360,3,0)),0),VLOOKUP($B88,$P$357:$R$360,3,0))))*IF($B93=AE94,$B89,SUM(AB97:AB97)))-((AE96*(IF(AE95=0,1,IF(AND($B93=AE94,AE95&lt;ROUNDDOWN(VLOOKUP($B88,$P$357:$R$360,3,0)/$H$357,0)),ROUNDDOWN(AE95*$H$357,0),IF(AND($B93&lt;AE94,AE95&lt;ROUNDDOWN(VLOOKUP($B88,$P$357:$R$360,3,0)/$H$357,0)),ROUND(AVERAGE(ROUNDDOWN(AE95*$H$357,0),2*VLOOKUP($B88,$P$357:$R$360,3,0)),0),VLOOKUP($B88,$P$357:$R$360,3,0))))-1))/2)))</f>
        <v>0</v>
      </c>
      <c r="AF99" s="3169"/>
      <c r="AG99" s="26"/>
      <c r="AH99" s="3168">
        <f ca="1">IF(OR($B93&gt;AH94,AH98="",AH98=0),0,IF(AND(AH95=0,OR(AH94&gt;$B93,$I$357=1)),AH98,IF(AH95=0,NOMINAL(AH98,12)*IF($B93=AH94,$I$357,1),IF(AND($B93=AH94,ROUNDDOWN($C$357,0)=AH94),$E$357,1)*NOMINAL(AH98,VLOOKUP($B88,$P$357:$R$360,3,0))/VLOOKUP($B88,$P$357:$R$360,3,0)))*((IF(AH95=0,1,IF(AND($B93=AH94,AH95&lt;ROUNDDOWN(VLOOKUP($B88,$P$357:$R$360,3,0)/$H$357,0)),ROUNDDOWN(AH95*$H$357,0),IF(AND($B93&lt;AH94,AH95&lt;ROUNDDOWN(VLOOKUP($B88,$P$357:$R$360,3,0)/$H$357,0)),ROUND(AVERAGE(ROUNDDOWN(AH95*$H$357,0),2*VLOOKUP($B88,$P$357:$R$360,3,0)),0),VLOOKUP($B88,$P$357:$R$360,3,0))))*IF($B93=AH94,$B89,SUM(AE97:AE97)))-((AH96*(IF(AH95=0,1,IF(AND($B93=AH94,AH95&lt;ROUNDDOWN(VLOOKUP($B88,$P$357:$R$360,3,0)/$H$357,0)),ROUNDDOWN(AH95*$H$357,0),IF(AND($B93&lt;AH94,AH95&lt;ROUNDDOWN(VLOOKUP($B88,$P$357:$R$360,3,0)/$H$357,0)),ROUND(AVERAGE(ROUNDDOWN(AH95*$H$357,0),2*VLOOKUP($B88,$P$357:$R$360,3,0)),0),VLOOKUP($B88,$P$357:$R$360,3,0))))-1))/2)))</f>
        <v>0</v>
      </c>
      <c r="AI99" s="26"/>
      <c r="AJ99" s="26"/>
      <c r="AK99" s="3168">
        <f ca="1">IF(OR($B93&gt;AK94,AK98="",AK98=0),0,IF(AND(AK95=0,OR(AK94&gt;$B93,$I$357=1)),AK98,IF(AK95=0,NOMINAL(AK98,12)*IF($B93=AK94,$I$357,1),IF(AND($B93=AK94,ROUNDDOWN($C$357,0)=AK94),$E$357,1)*NOMINAL(AK98,VLOOKUP($B88,$P$357:$R$360,3,0))/VLOOKUP($B88,$P$357:$R$360,3,0)))*((IF(AK95=0,1,IF(AND($B93=AK94,AK95&lt;ROUNDDOWN(VLOOKUP($B88,$P$357:$R$360,3,0)/$H$357,0)),ROUNDDOWN(AK95*$H$357,0),IF(AND($B93&lt;AK94,AK95&lt;ROUNDDOWN(VLOOKUP($B88,$P$357:$R$360,3,0)/$H$357,0)),ROUND(AVERAGE(ROUNDDOWN(AK95*$H$357,0),2*VLOOKUP($B88,$P$357:$R$360,3,0)),0),VLOOKUP($B88,$P$357:$R$360,3,0))))*IF($B93=AK94,$B89,SUM(AH97:AH97)))-((AK96*(IF(AK95=0,1,IF(AND($B93=AK94,AK95&lt;ROUNDDOWN(VLOOKUP($B88,$P$357:$R$360,3,0)/$H$357,0)),ROUNDDOWN(AK95*$H$357,0),IF(AND($B93&lt;AK94,AK95&lt;ROUNDDOWN(VLOOKUP($B88,$P$357:$R$360,3,0)/$H$357,0)),ROUND(AVERAGE(ROUNDDOWN(AK95*$H$357,0),2*VLOOKUP($B88,$P$357:$R$360,3,0)),0),VLOOKUP($B88,$P$357:$R$360,3,0))))-1))/2)))</f>
        <v>0</v>
      </c>
      <c r="AL99" s="26"/>
      <c r="AM99" s="26"/>
      <c r="AN99" s="3168">
        <f ca="1">IF(OR($B93&gt;AN94,AN98="",AN98=0),0,IF(AND(AN95=0,OR(AN94&gt;$B93,$I$357=1)),AN98,IF(AN95=0,NOMINAL(AN98,12)*IF($B93=AN94,$I$357,1),IF(AND($B93=AN94,ROUNDDOWN($C$357,0)=AN94),$E$357,1)*NOMINAL(AN98,VLOOKUP($B88,$P$357:$R$360,3,0))/VLOOKUP($B88,$P$357:$R$360,3,0)))*((IF(AN95=0,1,IF(AND($B93=AN94,AN95&lt;ROUNDDOWN(VLOOKUP($B88,$P$357:$R$360,3,0)/$H$357,0)),ROUNDDOWN(AN95*$H$357,0),IF(AND($B93&lt;AN94,AN95&lt;ROUNDDOWN(VLOOKUP($B88,$P$357:$R$360,3,0)/$H$357,0)),ROUND(AVERAGE(ROUNDDOWN(AN95*$H$357,0),2*VLOOKUP($B88,$P$357:$R$360,3,0)),0),VLOOKUP($B88,$P$357:$R$360,3,0))))*IF($B93=AN94,$B89,SUM(AK97:AK97)))-((AN96*(IF(AN95=0,1,IF(AND($B93=AN94,AN95&lt;ROUNDDOWN(VLOOKUP($B88,$P$357:$R$360,3,0)/$H$357,0)),ROUNDDOWN(AN95*$H$357,0),IF(AND($B93&lt;AN94,AN95&lt;ROUNDDOWN(VLOOKUP($B88,$P$357:$R$360,3,0)/$H$357,0)),ROUND(AVERAGE(ROUNDDOWN(AN95*$H$357,0),2*VLOOKUP($B88,$P$357:$R$360,3,0)),0),VLOOKUP($B88,$P$357:$R$360,3,0))))-1))/2)))</f>
        <v>0</v>
      </c>
      <c r="AO99" s="26"/>
      <c r="AP99" s="26"/>
      <c r="AQ99" s="3168">
        <f ca="1">IF(OR($B93&gt;AQ94,AQ98="",AQ98=0),0,IF(AND(AQ95=0,OR(AQ94&gt;$B93,$I$357=1)),AQ98,IF(AQ95=0,NOMINAL(AQ98,12)*IF($B93=AQ94,$I$357,1),IF(AND($B93=AQ94,ROUNDDOWN($C$357,0)=AQ94),$E$357,1)*NOMINAL(AQ98,VLOOKUP($B88,$P$357:$R$360,3,0))/VLOOKUP($B88,$P$357:$R$360,3,0)))*((IF(AQ95=0,1,IF(AND($B93=AQ94,AQ95&lt;ROUNDDOWN(VLOOKUP($B88,$P$357:$R$360,3,0)/$H$357,0)),ROUNDDOWN(AQ95*$H$357,0),IF(AND($B93&lt;AQ94,AQ95&lt;ROUNDDOWN(VLOOKUP($B88,$P$357:$R$360,3,0)/$H$357,0)),ROUND(AVERAGE(ROUNDDOWN(AQ95*$H$357,0),2*VLOOKUP($B88,$P$357:$R$360,3,0)),0),VLOOKUP($B88,$P$357:$R$360,3,0))))*IF($B93=AQ94,$B89,SUM(AN97:AN97)))-((AQ96*(IF(AQ95=0,1,IF(AND($B93=AQ94,AQ95&lt;ROUNDDOWN(VLOOKUP($B88,$P$357:$R$360,3,0)/$H$357,0)),ROUNDDOWN(AQ95*$H$357,0),IF(AND($B93&lt;AQ94,AQ95&lt;ROUNDDOWN(VLOOKUP($B88,$P$357:$R$360,3,0)/$H$357,0)),ROUND(AVERAGE(ROUNDDOWN(AQ95*$H$357,0),2*VLOOKUP($B88,$P$357:$R$360,3,0)),0),VLOOKUP($B88,$P$357:$R$360,3,0))))-1))/2)))</f>
        <v>0</v>
      </c>
      <c r="AR99" s="26"/>
      <c r="AS99" s="26"/>
      <c r="AT99" s="3168">
        <f ca="1">IF(OR($B93&gt;AT94,AT98="",AT98=0),0,IF(AND(AT95=0,OR(AT94&gt;$B93,$I$357=1)),AT98,IF(AT95=0,NOMINAL(AT98,12)*IF($B93=AT94,$I$357,1),IF(AND($B93=AT94,ROUNDDOWN($C$357,0)=AT94),$E$357,1)*NOMINAL(AT98,VLOOKUP($B88,$P$357:$R$360,3,0))/VLOOKUP($B88,$P$357:$R$360,3,0)))*((IF(AT95=0,1,IF(AND($B93=AT94,AT95&lt;ROUNDDOWN(VLOOKUP($B88,$P$357:$R$360,3,0)/$H$357,0)),ROUNDDOWN(AT95*$H$357,0),IF(AND($B93&lt;AT94,AT95&lt;ROUNDDOWN(VLOOKUP($B88,$P$357:$R$360,3,0)/$H$357,0)),ROUND(AVERAGE(ROUNDDOWN(AT95*$H$357,0),2*VLOOKUP($B88,$P$357:$R$360,3,0)),0),VLOOKUP($B88,$P$357:$R$360,3,0))))*IF($B93=AT94,$B89,SUM(AQ97:AQ97)))-((AT96*(IF(AT95=0,1,IF(AND($B93=AT94,AT95&lt;ROUNDDOWN(VLOOKUP($B88,$P$357:$R$360,3,0)/$H$357,0)),ROUNDDOWN(AT95*$H$357,0),IF(AND($B93&lt;AT94,AT95&lt;ROUNDDOWN(VLOOKUP($B88,$P$357:$R$360,3,0)/$H$357,0)),ROUND(AVERAGE(ROUNDDOWN(AT95*$H$357,0),2*VLOOKUP($B88,$P$357:$R$360,3,0)),0),VLOOKUP($B88,$P$357:$R$360,3,0))))-1))/2)))</f>
        <v>0</v>
      </c>
      <c r="AU99" s="3169"/>
      <c r="AV99" s="3157"/>
    </row>
    <row r="100" spans="1:48" ht="13" thickBot="1">
      <c r="AV100" s="3157"/>
    </row>
    <row r="101" spans="1:48" ht="12.5">
      <c r="A101" s="3170" t="s">
        <v>1324</v>
      </c>
      <c r="B101" s="3171"/>
      <c r="C101" s="3172"/>
      <c r="D101" s="3172"/>
      <c r="E101" s="3172"/>
      <c r="F101" s="3172"/>
      <c r="G101" s="3172"/>
      <c r="H101" s="3172"/>
      <c r="I101" s="3172"/>
      <c r="J101" s="3172"/>
      <c r="K101" s="3172"/>
      <c r="L101" s="3172"/>
      <c r="M101" s="3172"/>
      <c r="N101" s="3172"/>
      <c r="O101" s="3172"/>
      <c r="P101" s="3172"/>
      <c r="Q101" s="3172"/>
      <c r="R101" s="3172"/>
      <c r="S101" s="3172"/>
      <c r="T101" s="3172"/>
      <c r="U101" s="3172"/>
      <c r="V101" s="3172"/>
      <c r="W101" s="3172"/>
      <c r="X101" s="3172"/>
      <c r="Y101" s="3172"/>
      <c r="Z101" s="3172"/>
      <c r="AA101" s="3172"/>
      <c r="AB101" s="3172"/>
      <c r="AC101" s="3172"/>
      <c r="AD101" s="3172"/>
      <c r="AE101" s="3172"/>
      <c r="AF101" s="3172"/>
      <c r="AG101" s="3172"/>
      <c r="AH101" s="3172"/>
      <c r="AI101" s="3172"/>
      <c r="AJ101" s="3172"/>
      <c r="AK101" s="3172"/>
      <c r="AL101" s="3172"/>
      <c r="AM101" s="3172"/>
      <c r="AN101" s="3172"/>
      <c r="AO101" s="3172"/>
      <c r="AP101" s="3172"/>
      <c r="AQ101" s="3172"/>
      <c r="AR101" s="3172"/>
      <c r="AS101" s="3172"/>
      <c r="AT101" s="3172"/>
      <c r="AU101" s="3172"/>
      <c r="AV101" s="3173"/>
    </row>
    <row r="102" spans="1:48" ht="12.5">
      <c r="A102" s="3155" t="s">
        <v>2052</v>
      </c>
      <c r="B102" s="3156"/>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3157"/>
    </row>
    <row r="103" spans="1:48" ht="12.5">
      <c r="A103" s="3155" t="s">
        <v>2053</v>
      </c>
      <c r="B103" s="3158"/>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3157"/>
    </row>
    <row r="104" spans="1:48" ht="12.5">
      <c r="A104" s="3155" t="s">
        <v>1320</v>
      </c>
      <c r="B104" s="3158"/>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3157"/>
    </row>
    <row r="105" spans="1:48" ht="12.5">
      <c r="A105" s="3155" t="s">
        <v>1321</v>
      </c>
      <c r="B105" s="3158"/>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3157"/>
    </row>
    <row r="106" spans="1:48" ht="12.5">
      <c r="A106" s="3159" t="s">
        <v>1322</v>
      </c>
      <c r="B106" s="3160"/>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3157"/>
    </row>
    <row r="107" spans="1:48" ht="12.5">
      <c r="A107" s="3161" t="s">
        <v>2054</v>
      </c>
      <c r="B107" s="3162">
        <f ca="1">B$11</f>
        <v>2023</v>
      </c>
      <c r="C107" s="25"/>
      <c r="D107" s="3162">
        <f ca="1">D$11</f>
        <v>2024</v>
      </c>
      <c r="E107" s="25"/>
      <c r="F107" s="25"/>
      <c r="G107" s="3162">
        <f ca="1">G$11</f>
        <v>2025</v>
      </c>
      <c r="H107" s="25"/>
      <c r="I107" s="25"/>
      <c r="J107" s="3162">
        <f ca="1">J$11</f>
        <v>2026</v>
      </c>
      <c r="K107" s="25"/>
      <c r="L107" s="25"/>
      <c r="M107" s="3162">
        <f ca="1">M$11</f>
        <v>2027</v>
      </c>
      <c r="N107" s="25"/>
      <c r="O107" s="25"/>
      <c r="P107" s="3162">
        <f ca="1">P$11</f>
        <v>2028</v>
      </c>
      <c r="Q107" s="25"/>
      <c r="R107" s="25"/>
      <c r="S107" s="3162">
        <f ca="1">S$11</f>
        <v>2029</v>
      </c>
      <c r="T107" s="25"/>
      <c r="U107" s="25"/>
      <c r="V107" s="3162">
        <f ca="1">V$11</f>
        <v>2030</v>
      </c>
      <c r="W107" s="25"/>
      <c r="X107" s="25"/>
      <c r="Y107" s="3162">
        <f ca="1">Y$11</f>
        <v>2031</v>
      </c>
      <c r="Z107" s="25"/>
      <c r="AA107" s="25"/>
      <c r="AB107" s="3162">
        <f ca="1">AB$11</f>
        <v>2032</v>
      </c>
      <c r="AC107" s="25"/>
      <c r="AD107" s="25"/>
      <c r="AE107" s="3162">
        <f ca="1">AE$11</f>
        <v>2033</v>
      </c>
      <c r="AF107" s="25"/>
      <c r="AG107" s="25"/>
      <c r="AH107" s="3162">
        <f ca="1">AH$11</f>
        <v>2034</v>
      </c>
      <c r="AI107" s="25"/>
      <c r="AJ107" s="25"/>
      <c r="AK107" s="3162">
        <f ca="1">AK$11</f>
        <v>2035</v>
      </c>
      <c r="AL107" s="25"/>
      <c r="AM107" s="25"/>
      <c r="AN107" s="3162">
        <f ca="1">AN$11</f>
        <v>2036</v>
      </c>
      <c r="AO107" s="25"/>
      <c r="AP107" s="25"/>
      <c r="AQ107" s="3162">
        <f ca="1">AQ$11</f>
        <v>2037</v>
      </c>
      <c r="AR107" s="25"/>
      <c r="AS107" s="25"/>
      <c r="AT107" s="3162">
        <f ca="1">AT$11</f>
        <v>2038</v>
      </c>
      <c r="AU107" s="25"/>
      <c r="AV107" s="3157"/>
    </row>
    <row r="108" spans="1:48" ht="12.5">
      <c r="A108" s="3163" t="s">
        <v>2055</v>
      </c>
      <c r="B108" s="3164">
        <f>IF(OR($B103=0,$B103="",$B101=""),0,IF(AND(B107-$B106&gt;=0,B107&lt;=$B106+$B103,ROUNDDOWN(B107,0)=ROUNDDOWN($C$358,0)),IF(ROUNDDOWN(B107,0)=ROUNDDOWN($C$358,0),ROUND($E$358*VLOOKUP($B101,$P$357:$R$360,3,0)/$H$358,2),ROUND(VLOOKUP($B101,$P$357:$R$360,3,0)/$H$358,2)),0))</f>
        <v>0</v>
      </c>
      <c r="C108" s="25"/>
      <c r="D108" s="3164">
        <f>IF(OR($B103=0,$B103="",$B101=""),0,IF(AND(ROUNDDOWN(D107,0)&gt;=ROUNDDOWN($C$358,0),1-$B108&lt;VLOOKUP($B101,$P$357:$R$360,3,0)/$H$358),1-$B108,IF(ROUNDDOWN(D107,0)&gt;=ROUNDDOWN($C$358,0),IF(ROUNDDOWN(D107,0)=ROUNDDOWN($C$358,0),ROUND($E$358*VLOOKUP($B101,$P$357:$R$360,3,0)/$H$358,2),ROUND(VLOOKUP($B101,$P$357:$R$360,3,0)/$H$358,2)),0)))</f>
        <v>0</v>
      </c>
      <c r="E108" s="25"/>
      <c r="F108" s="25"/>
      <c r="G108" s="3164">
        <f>IF(OR($B103=0,$B103="",$B101=""),0,IF(AND(ROUNDDOWN(G107,0)&gt;=ROUNDDOWN($C$358,0),1-SUM($B108:D108)&lt;VLOOKUP($B101,$P$357:$R$360,3,0)/$H$358),1-SUM($B108:D108),IF(ROUNDDOWN(G107,0)&gt;=ROUNDDOWN($C$358,0),IF(ROUNDDOWN(G107,0)=ROUNDDOWN($C$358,0),ROUND($E$358*VLOOKUP($B101,$P$357:$R$360,3,0)/$H$358,2),ROUND(VLOOKUP($B101,$P$357:$R$360,3,0)/$H$358,2)),0)))</f>
        <v>0</v>
      </c>
      <c r="H108" s="25"/>
      <c r="I108" s="25"/>
      <c r="J108" s="3164">
        <f>IF(OR($B103=0,$B103="",$B101=""),0,IF(AND(ROUNDDOWN(J107,0)&gt;=ROUNDDOWN($C$358,0),1-SUM($B108:G108)&lt;VLOOKUP($B101,$P$357:$R$360,3,0)/$H$358),1-SUM($B108:G108),IF(ROUNDDOWN(J107,0)&gt;=ROUNDDOWN($C$358,0),IF(ROUNDDOWN(J107,0)=ROUNDDOWN($C$358,0),ROUND($E$358*VLOOKUP($B101,$P$357:$R$360,3,0)/$H$358,2),ROUND(VLOOKUP($B101,$P$357:$R$360,3,0)/$H$358,2)),0)))</f>
        <v>0</v>
      </c>
      <c r="K108" s="25"/>
      <c r="L108" s="25"/>
      <c r="M108" s="3164">
        <f>IF(OR($B103=0,$B103="",$B101=""),0,IF(AND(ROUNDDOWN(M107,0)&gt;=ROUNDDOWN($C$358,0),1-SUM($B108:J108)&lt;VLOOKUP($B101,$P$357:$R$360,3,0)/$H$358),1-SUM($B108:J108),IF(ROUNDDOWN(M107,0)&gt;=ROUNDDOWN($C$358,0),IF(ROUNDDOWN(M107,0)=ROUNDDOWN($C$358,0),ROUND($E$358*VLOOKUP($B101,$P$357:$R$360,3,0)/$H$358,2),ROUND(VLOOKUP($B101,$P$357:$R$360,3,0)/$H$358,2)),0)))</f>
        <v>0</v>
      </c>
      <c r="N108" s="25"/>
      <c r="O108" s="25"/>
      <c r="P108" s="3164">
        <f>IF(OR($B103=0,$B103="",$B101=""),0,IF(AND(ROUNDDOWN(P107,0)&gt;=ROUNDDOWN($C$358,0),1-SUM($B108:M108)&lt;VLOOKUP($B101,$P$357:$R$360,3,0)/$H$358),1-SUM($B108:M108),IF(ROUNDDOWN(P107,0)&gt;=ROUNDDOWN($C$358,0),IF(ROUNDDOWN(P107,0)=ROUNDDOWN($C$358,0),ROUND($E$358*VLOOKUP($B101,$P$357:$R$360,3,0)/$H$358,2),ROUND(VLOOKUP($B101,$P$357:$R$360,3,0)/$H$358,2)),0)))</f>
        <v>0</v>
      </c>
      <c r="Q108" s="25"/>
      <c r="R108" s="25"/>
      <c r="S108" s="3164">
        <f>IF(OR($B103=0,$B103="",$B101=""),0,IF(AND(ROUNDDOWN(S107,0)&gt;=ROUNDDOWN($C$358,0),1-SUM($B108:P108)&lt;VLOOKUP($B101,$P$357:$R$360,3,0)/$H$358),1-SUM($B108:P108),IF(ROUNDDOWN(S107,0)&gt;=ROUNDDOWN($C$358,0),IF(ROUNDDOWN(S107,0)=ROUNDDOWN($C$358,0),ROUND($E$358*VLOOKUP($B101,$P$357:$R$360,3,0)/$H$358,2),ROUND(VLOOKUP($B101,$P$357:$R$360,3,0)/$H$358,2)),0)))</f>
        <v>0</v>
      </c>
      <c r="T108" s="25"/>
      <c r="U108" s="25"/>
      <c r="V108" s="3164">
        <f>IF(OR($B103=0,$B103="",$B101=""),0,IF(AND(ROUNDDOWN(V107,0)&gt;=ROUNDDOWN($C$358,0),1-SUM($B108:S108)&lt;VLOOKUP($B101,$P$357:$R$360,3,0)/$H$358),1-SUM($B108:S108),IF(ROUNDDOWN(V107,0)&gt;=ROUNDDOWN($C$358,0),IF(ROUNDDOWN(V107,0)=ROUNDDOWN($C$358,0),ROUND($E$358*VLOOKUP($B101,$P$357:$R$360,3,0)/$H$358,2),ROUND(VLOOKUP($B101,$P$357:$R$360,3,0)/$H$358,2)),0)))</f>
        <v>0</v>
      </c>
      <c r="W108" s="25"/>
      <c r="X108" s="25"/>
      <c r="Y108" s="3164">
        <f>IF(OR($B103=0,$B103="",$B101=""),0,IF(AND(ROUNDDOWN(Y107,0)&gt;=ROUNDDOWN($C$358,0),1-SUM($B108:V108)&lt;VLOOKUP($B101,$P$357:$R$360,3,0)/$H$358),1-SUM($B108:V108),IF(ROUNDDOWN(Y107,0)&gt;=ROUNDDOWN($C$358,0),IF(ROUNDDOWN(Y107,0)=ROUNDDOWN($C$358,0),ROUND($E$358*VLOOKUP($B101,$P$357:$R$360,3,0)/$H$358,2),ROUND(VLOOKUP($B101,$P$357:$R$360,3,0)/$H$358,2)),0)))</f>
        <v>0</v>
      </c>
      <c r="Z108" s="25"/>
      <c r="AA108" s="25"/>
      <c r="AB108" s="3164">
        <f>IF(OR($B103=0,$B103="",$B101=""),0,IF(AND(ROUNDDOWN(AB107,0)&gt;=ROUNDDOWN($C$358,0),1-SUM($B108:Y108)&lt;VLOOKUP($B101,$P$357:$R$360,3,0)/$H$358),1-SUM($B108:Y108),IF(ROUNDDOWN(AB107,0)&gt;=ROUNDDOWN($C$358,0),IF(ROUNDDOWN(AB107,0)=ROUNDDOWN($C$358,0),ROUND($E$358*VLOOKUP($B101,$P$357:$R$360,3,0)/$H$358,2),ROUND(VLOOKUP($B101,$P$357:$R$360,3,0)/$H$358,2)),0)))</f>
        <v>0</v>
      </c>
      <c r="AC108" s="25"/>
      <c r="AD108" s="25"/>
      <c r="AE108" s="3164">
        <f>IF(OR($B103=0,$B103="",$B101=""),0,IF(AND(ROUNDDOWN(AE107,0)&gt;=ROUNDDOWN($C$358,0),1-SUM($B108:AB108)&lt;VLOOKUP($B101,$P$357:$R$360,3,0)/$H$358),1-SUM($B108:AB108),IF(ROUNDDOWN(AE107,0)&gt;=ROUNDDOWN($C$358,0),IF(ROUNDDOWN(AE107,0)=ROUNDDOWN($C$358,0),ROUND($E$358*VLOOKUP($B101,$P$357:$R$360,3,0)/$H$358,2),ROUND(VLOOKUP($B101,$P$357:$R$360,3,0)/$H$358,2)),0)))</f>
        <v>0</v>
      </c>
      <c r="AF108" s="25"/>
      <c r="AG108" s="25"/>
      <c r="AH108" s="3164">
        <f>IF(OR($B103=0,$B103="",$B101=""),0,IF(AND(ROUNDDOWN(AH107,0)&gt;=ROUNDDOWN($C$358,0),1-SUM($B108:AE108)&lt;VLOOKUP($B101,$P$357:$R$360,3,0)/$H$358),1-SUM($B108:AE108),IF(ROUNDDOWN(AH107,0)&gt;=ROUNDDOWN($C$358,0),IF(ROUNDDOWN(AH107,0)=ROUNDDOWN($C$358,0),ROUND($E$358*VLOOKUP($B101,$P$357:$R$360,3,0)/$H$358,2),ROUND(VLOOKUP($B101,$P$357:$R$360,3,0)/$H$358,2)),0)))</f>
        <v>0</v>
      </c>
      <c r="AI108" s="25"/>
      <c r="AJ108" s="25"/>
      <c r="AK108" s="3164">
        <f>IF(OR($B103=0,$B103="",$B101=""),0,IF(AND(ROUNDDOWN(AK107,0)&gt;=ROUNDDOWN($C$358,0),1-SUM($B108:AH108)&lt;VLOOKUP($B101,$P$357:$R$360,3,0)/$H$358),1-SUM($B108:AH108),IF(ROUNDDOWN(AK107,0)&gt;=ROUNDDOWN($C$358,0),IF(ROUNDDOWN(AK107,0)=ROUNDDOWN($C$358,0),ROUND($E$358*VLOOKUP($B101,$P$357:$R$360,3,0)/$H$358,2),ROUND(VLOOKUP($B101,$P$357:$R$360,3,0)/$H$358,2)),0)))</f>
        <v>0</v>
      </c>
      <c r="AL108" s="25"/>
      <c r="AM108" s="25"/>
      <c r="AN108" s="3164">
        <f>IF(OR($B103=0,$B103="",$B101=""),0,IF(AND(ROUNDDOWN(AN107,0)&gt;=ROUNDDOWN($C$358,0),1-SUM($B108:AK108)&lt;VLOOKUP($B101,$P$357:$R$360,3,0)/$H$358),1-SUM($B108:AK108),IF(ROUNDDOWN(AN107,0)&gt;=ROUNDDOWN($C$358,0),IF(ROUNDDOWN(AN107,0)=ROUNDDOWN($C$358,0),ROUND($E$358*VLOOKUP($B101,$P$357:$R$360,3,0)/$H$358,2),ROUND(VLOOKUP($B101,$P$357:$R$360,3,0)/$H$358,2)),0)))</f>
        <v>0</v>
      </c>
      <c r="AO108" s="25"/>
      <c r="AP108" s="25"/>
      <c r="AQ108" s="3164">
        <f>IF(OR($B103=0,$B103="",$B101=""),0,IF(AND(ROUNDDOWN(AQ107,0)&gt;=ROUNDDOWN($C$358,0),1-SUM($B108:AN108)&lt;VLOOKUP($B101,$P$357:$R$360,3,0)/$H$358),1-SUM($B108:AN108),IF(ROUNDDOWN(AQ107,0)&gt;=ROUNDDOWN($C$358,0),IF(ROUNDDOWN(AQ107,0)=ROUNDDOWN($C$358,0),ROUND($E$358*VLOOKUP($B101,$P$357:$R$360,3,0)/$H$358,2),ROUND(VLOOKUP($B101,$P$357:$R$360,3,0)/$H$358,2)),0)))</f>
        <v>0</v>
      </c>
      <c r="AR108" s="25"/>
      <c r="AS108" s="25"/>
      <c r="AT108" s="3164">
        <f>IF(OR($B103=0,$B103="",$B101=""),0,IF(AND(ROUNDDOWN(AT107,0)&gt;=ROUNDDOWN($C$358,0),1-SUM($B108:AQ108)&lt;VLOOKUP($B101,$P$357:$R$360,3,0)/$H$358),1-SUM($B108:AQ108),IF(ROUNDDOWN(AT107,0)&gt;=ROUNDDOWN($C$358,0),IF(ROUNDDOWN(AT107,0)=ROUNDDOWN($C$358,0),ROUND($E$358*VLOOKUP($B101,$P$357:$R$360,3,0)/$H$358,2),ROUND(VLOOKUP($B101,$P$357:$R$360,3,0)/$H$358,2)),0)))</f>
        <v>0</v>
      </c>
      <c r="AU108" s="25"/>
      <c r="AV108" s="3157"/>
    </row>
    <row r="109" spans="1:48" ht="12.5">
      <c r="A109" s="3165" t="s">
        <v>2056</v>
      </c>
      <c r="B109" s="3166">
        <f>$B102*B108</f>
        <v>0</v>
      </c>
      <c r="C109" s="25"/>
      <c r="D109" s="3166">
        <f ca="1">IF($B106&gt;D107,0,D108*$B102)</f>
        <v>0</v>
      </c>
      <c r="E109" s="25"/>
      <c r="F109" s="25"/>
      <c r="G109" s="3166">
        <f ca="1">IF($B106&gt;G107,0,G108*$B102)</f>
        <v>0</v>
      </c>
      <c r="H109" s="25"/>
      <c r="I109" s="25"/>
      <c r="J109" s="3166">
        <f ca="1">IF($B106&gt;J107,0,J108*$B102)</f>
        <v>0</v>
      </c>
      <c r="K109" s="25"/>
      <c r="L109" s="25"/>
      <c r="M109" s="3166">
        <f ca="1">IF($B106&gt;M107,0,M108*$B102)</f>
        <v>0</v>
      </c>
      <c r="N109" s="25"/>
      <c r="O109" s="25"/>
      <c r="P109" s="3166">
        <f ca="1">IF($B106&gt;P107,0,P108*$B102)</f>
        <v>0</v>
      </c>
      <c r="Q109" s="25"/>
      <c r="R109" s="25"/>
      <c r="S109" s="3166">
        <f ca="1">IF($B106&gt;S107,0,S108*$B102)</f>
        <v>0</v>
      </c>
      <c r="T109" s="25"/>
      <c r="U109" s="25"/>
      <c r="V109" s="3166">
        <f ca="1">IF($B106&gt;V107,0,V108*$B102)</f>
        <v>0</v>
      </c>
      <c r="W109" s="25"/>
      <c r="X109" s="25"/>
      <c r="Y109" s="3166">
        <f ca="1">IF($B106&gt;Y107,0,Y108*$B102)</f>
        <v>0</v>
      </c>
      <c r="Z109" s="25"/>
      <c r="AA109" s="25"/>
      <c r="AB109" s="3166">
        <f ca="1">IF($B106&gt;AB107,0,AB108*$B102)</f>
        <v>0</v>
      </c>
      <c r="AC109" s="25"/>
      <c r="AD109" s="25"/>
      <c r="AE109" s="3166">
        <f ca="1">IF($B106&gt;AE107,0,AE108*$B102)</f>
        <v>0</v>
      </c>
      <c r="AF109" s="25"/>
      <c r="AG109" s="25"/>
      <c r="AH109" s="3166">
        <f ca="1">IF($B106&gt;AH107,0,AH108*$B102)</f>
        <v>0</v>
      </c>
      <c r="AI109" s="25"/>
      <c r="AJ109" s="25"/>
      <c r="AK109" s="3166">
        <f ca="1">IF($B106&gt;AK107,0,AK108*$B102)</f>
        <v>0</v>
      </c>
      <c r="AL109" s="25"/>
      <c r="AM109" s="25"/>
      <c r="AN109" s="3166">
        <f ca="1">IF($B106&gt;AN107,0,AN108*$B102)</f>
        <v>0</v>
      </c>
      <c r="AO109" s="25"/>
      <c r="AP109" s="25"/>
      <c r="AQ109" s="3166">
        <f ca="1">IF($B106&gt;AQ107,0,AQ108*$B102)</f>
        <v>0</v>
      </c>
      <c r="AR109" s="25"/>
      <c r="AS109" s="25"/>
      <c r="AT109" s="3166">
        <f ca="1">IF($B106&gt;AT107,0,AT108*$B102)</f>
        <v>0</v>
      </c>
      <c r="AU109" s="25"/>
      <c r="AV109" s="3157"/>
    </row>
    <row r="110" spans="1:48" ht="12.5">
      <c r="A110" s="3159" t="s">
        <v>2057</v>
      </c>
      <c r="B110" s="3167">
        <f ca="1">IF($B106&gt;B107,0,B102-B109)</f>
        <v>0</v>
      </c>
      <c r="C110" s="25"/>
      <c r="D110" s="3167">
        <f ca="1">IF($B106&gt;D107,0,IF($B106=D107,$B102-D109,IF(B110-D109&lt;0.005,0,B110-D109)))</f>
        <v>0</v>
      </c>
      <c r="E110" s="25"/>
      <c r="F110" s="25"/>
      <c r="G110" s="3167">
        <f ca="1">IF($B106&gt;G107,0,IF($B106=G107,$B102-G109,IF(+D110-G109&lt;0.005,0,+D110-G109)))</f>
        <v>0</v>
      </c>
      <c r="H110" s="25"/>
      <c r="I110" s="25"/>
      <c r="J110" s="3167">
        <f ca="1">IF($B106&gt;J107,0,IF($B106=J107,$B102-J109,IF(+G110-J109&lt;0.005,0,+G110-J109)))</f>
        <v>0</v>
      </c>
      <c r="K110" s="25"/>
      <c r="L110" s="25"/>
      <c r="M110" s="3167">
        <f ca="1">IF($B106&gt;M107,0,IF($B106=M107,$B102-M109,IF(+J110-M109&lt;0.005,0,+J110-M109)))</f>
        <v>0</v>
      </c>
      <c r="N110" s="25"/>
      <c r="O110" s="25"/>
      <c r="P110" s="3167">
        <f ca="1">IF($B106&gt;P107,0,IF($B106=P107,$B102-P109,IF(+M110-P109&lt;0.005,0,+M110-P109)))</f>
        <v>0</v>
      </c>
      <c r="Q110" s="25"/>
      <c r="R110" s="25"/>
      <c r="S110" s="3167">
        <f ca="1">IF($B106&gt;S107,0,IF($B106=S107,$B102-S109,IF(+P110-S109&lt;0.005,0,+P110-S109)))</f>
        <v>0</v>
      </c>
      <c r="T110" s="25"/>
      <c r="U110" s="25"/>
      <c r="V110" s="3167">
        <f ca="1">IF($B106&gt;V107,0,IF($B106=V107,$B102-V109,IF(+S110-V109&lt;0.005,0,+S110-V109)))</f>
        <v>0</v>
      </c>
      <c r="W110" s="25"/>
      <c r="X110" s="25"/>
      <c r="Y110" s="3167">
        <f ca="1">IF($B106&gt;Y107,0,IF($B106=Y107,$B102-Y109,IF(+V110-Y109&lt;0.005,0,+V110-Y109)))</f>
        <v>0</v>
      </c>
      <c r="Z110" s="25"/>
      <c r="AA110" s="25"/>
      <c r="AB110" s="3167">
        <f ca="1">IF($B106&gt;AB107,0,IF($B106=AB107,$B102-AB109,IF(+Y110-AB109&lt;0.005,0,+Y110-AB109)))</f>
        <v>0</v>
      </c>
      <c r="AC110" s="25"/>
      <c r="AD110" s="25"/>
      <c r="AE110" s="3167">
        <f ca="1">IF($B106&gt;AE107,0,IF($B106=AE107,$B102-AE109,IF(+AB110-AE109&lt;0.005,0,+AB110-AE109)))</f>
        <v>0</v>
      </c>
      <c r="AF110" s="25"/>
      <c r="AG110" s="25"/>
      <c r="AH110" s="3167">
        <f ca="1">IF($B106&gt;AH107,0,IF($B106=AH107,$B102-AH109,IF(+AE110-AH109&lt;0.005,0,+AE110-AH109)))</f>
        <v>0</v>
      </c>
      <c r="AI110" s="25"/>
      <c r="AJ110" s="25"/>
      <c r="AK110" s="3167">
        <f ca="1">IF($B106&gt;AK107,0,IF($B106=AK107,$B102-AK109,IF(+AH110-AK109&lt;0.005,0,+AH110-AK109)))</f>
        <v>0</v>
      </c>
      <c r="AL110" s="25"/>
      <c r="AM110" s="25"/>
      <c r="AN110" s="3167">
        <f ca="1">IF($B106&gt;AN107,0,IF($B106=AN107,$B102-AN109,IF(+AK110-AN109&lt;0.005,0,+AK110-AN109)))</f>
        <v>0</v>
      </c>
      <c r="AO110" s="25"/>
      <c r="AP110" s="25"/>
      <c r="AQ110" s="3167">
        <f ca="1">IF($B106&gt;AQ107,0,IF($B106=AQ107,$B102-AQ109,IF(+AN110-AQ109&lt;0.005,0,+AN110-AQ109)))</f>
        <v>0</v>
      </c>
      <c r="AR110" s="25"/>
      <c r="AS110" s="25"/>
      <c r="AT110" s="3167">
        <f ca="1">IF($B106&gt;AT107,0,IF($B106=AT107,$B102-AT109,IF(+AQ110-AT109&lt;0.005,0,+AQ110-AT109)))</f>
        <v>0</v>
      </c>
      <c r="AU110" s="25"/>
      <c r="AV110" s="3157"/>
    </row>
    <row r="111" spans="1:48" ht="12.5">
      <c r="A111" s="3163" t="s">
        <v>2058</v>
      </c>
      <c r="B111" s="3164"/>
      <c r="C111" s="25"/>
      <c r="D111" s="3164">
        <f>B111</f>
        <v>0</v>
      </c>
      <c r="E111" s="25"/>
      <c r="F111" s="25"/>
      <c r="G111" s="3164">
        <f>D111</f>
        <v>0</v>
      </c>
      <c r="H111" s="25"/>
      <c r="I111" s="25"/>
      <c r="J111" s="3164">
        <f>G111</f>
        <v>0</v>
      </c>
      <c r="K111" s="25"/>
      <c r="L111" s="25"/>
      <c r="M111" s="3164">
        <f>J111</f>
        <v>0</v>
      </c>
      <c r="N111" s="25"/>
      <c r="O111" s="25"/>
      <c r="P111" s="3164">
        <f>M111</f>
        <v>0</v>
      </c>
      <c r="Q111" s="25"/>
      <c r="R111" s="25"/>
      <c r="S111" s="3164">
        <f>P111</f>
        <v>0</v>
      </c>
      <c r="T111" s="25"/>
      <c r="U111" s="25"/>
      <c r="V111" s="3164">
        <f>S111</f>
        <v>0</v>
      </c>
      <c r="W111" s="25"/>
      <c r="X111" s="25"/>
      <c r="Y111" s="3164">
        <f>V111</f>
        <v>0</v>
      </c>
      <c r="Z111" s="25"/>
      <c r="AA111" s="25"/>
      <c r="AB111" s="3164">
        <f>Y111</f>
        <v>0</v>
      </c>
      <c r="AC111" s="25"/>
      <c r="AD111" s="25"/>
      <c r="AE111" s="3164">
        <f>AB111</f>
        <v>0</v>
      </c>
      <c r="AF111" s="25"/>
      <c r="AG111" s="25"/>
      <c r="AH111" s="3164">
        <f>AE111</f>
        <v>0</v>
      </c>
      <c r="AI111" s="25"/>
      <c r="AJ111" s="25"/>
      <c r="AK111" s="3164">
        <f>AH111</f>
        <v>0</v>
      </c>
      <c r="AL111" s="25"/>
      <c r="AM111" s="25"/>
      <c r="AN111" s="3164">
        <f>AK111</f>
        <v>0</v>
      </c>
      <c r="AO111" s="25"/>
      <c r="AP111" s="25"/>
      <c r="AQ111" s="3164">
        <f>AN111</f>
        <v>0</v>
      </c>
      <c r="AR111" s="25"/>
      <c r="AS111" s="25"/>
      <c r="AT111" s="3164">
        <f>AQ111</f>
        <v>0</v>
      </c>
      <c r="AU111" s="25"/>
      <c r="AV111" s="3157"/>
    </row>
    <row r="112" spans="1:48" ht="12.5">
      <c r="A112" s="3163" t="s">
        <v>2059</v>
      </c>
      <c r="B112" s="3168">
        <f ca="1">IF(OR($B106&lt;&gt;B107,B111="",B111=0),0,IF(AND(B108=0,$I$358=1),B111,IF(B108=0,NOMINAL(B111,12)*IF($B106=B107,$I$358,1),IF(AND($B106=B107,ROUNDDOWN($C$358,0)=B107),$E$358,1)*NOMINAL(B111,VLOOKUP($B101,$P$357:$R$360,3,0))/VLOOKUP($B101,$P$357:$R$360,3,0)))*((IF(B108=0,1,IF(AND($B106=B107,B108&lt;ROUNDDOWN(VLOOKUP($B101,$P$357:$R$360,3,0)/$H$358,0)),ROUNDDOWN(B108*$H$358,0),IF(AND($B106&lt;B107,B108&lt;ROUNDDOWN(VLOOKUP($B101,$P$357:$R$360,3,0)/$H$358,0)),ROUND(AVERAGE(ROUNDDOWN(B108*$H$358,0),2*VLOOKUP($B101,$P$357:$R$360,3,0)),0),VLOOKUP($B101,$P$357:$R$360,3,0))))*$B102)-((B109*(IF(B108=0,1,IF(AND($B106=B107,B108&lt;ROUNDDOWN(VLOOKUP($B101,$P$357:$R$360,3,0)/$H$358,0)),ROUNDDOWN(B108*$H$358,0),IF(AND($B106&lt;B107,B108&lt;ROUNDDOWN(VLOOKUP($B101,$P$357:$R$360,3,0)/$H$358,0)),ROUND(AVERAGE(ROUNDDOWN(B108*$H$358,0),2*VLOOKUP($B101,$P$357:$R$360,3,0)),0),VLOOKUP($B101,$P$357:$R$360,3,0))))-1))/2)))</f>
        <v>0</v>
      </c>
      <c r="C112" s="3169"/>
      <c r="D112" s="3168">
        <f ca="1">IF(OR($B106&gt;D107,D111="",D111=0),0,IF(AND(D108=0,OR(D107&gt;$B106,$I$358=1)),D111,IF(D108=0,NOMINAL(D111,12)*IF($B106=D107,$I$358,1),IF(AND($B106=D107,ROUNDDOWN($C$358,0)=D107),$E$358,1)*NOMINAL(D111,VLOOKUP($B101,$P$357:$R$360,3,0))/VLOOKUP($B101,$P$357:$R$360,3,0)))*((IF(D108=0,1,IF(AND($B106=D107,D108&lt;ROUNDDOWN(VLOOKUP($B101,$P$357:$R$360,3,0)/$H$358,0)),ROUNDDOWN(D108*$H$358,0),IF(AND($B106&lt;D107,D108&lt;ROUNDDOWN(VLOOKUP($B101,$P$357:$R$360,3,0)/$H$358,0)),ROUND(AVERAGE(ROUNDDOWN(D108*$H$358,0),2*VLOOKUP($B101,$P$357:$R$360,3,0)),0),VLOOKUP($B101,$P$357:$R$360,3,0))))*IF($B106=D107,$B102,SUM(B110:B110)))-((D109*(IF(D108=0,1,IF(AND($B106=D107,D108&lt;ROUNDDOWN(VLOOKUP($B101,$P$357:$R$360,3,0)/$H$358,0)),ROUNDDOWN(D108*$H$358,0),IF(AND($B106&lt;D107,D108&lt;ROUNDDOWN(VLOOKUP($B101,$P$357:$R$360,3,0)/$H$358,0)),ROUND(AVERAGE(ROUNDDOWN(D108*$H$358,0),2*VLOOKUP($B101,$P$357:$R$360,3,0)),0),VLOOKUP($B101,$P$357:$R$360,3,0))))-1))/2)))</f>
        <v>0</v>
      </c>
      <c r="E112" s="26"/>
      <c r="F112" s="26"/>
      <c r="G112" s="3168">
        <f ca="1">IF(OR($B106&gt;G107,G111="",G111=0),0,IF(AND(G108=0,OR(G107&gt;$B106,$I$358=1)),G111,IF(G108=0,NOMINAL(G111,12)*IF($B106=G107,$I$358,1),IF(AND($B106=G107,ROUNDDOWN($C$358,0)=G107),$E$358,1)*NOMINAL(G111,VLOOKUP($B101,$P$357:$R$360,3,0))/VLOOKUP($B101,$P$357:$R$360,3,0)))*((IF(G108=0,1,IF(AND($B106=G107,G108&lt;ROUNDDOWN(VLOOKUP($B101,$P$357:$R$360,3,0)/$H$358,0)),ROUNDDOWN(G108*$H$358,0),IF(AND($B106&lt;G107,G108&lt;ROUNDDOWN(VLOOKUP($B101,$P$357:$R$360,3,0)/$H$358,0)),ROUND(AVERAGE(ROUNDDOWN(G108*$H$358,0),2*VLOOKUP($B101,$P$357:$R$360,3,0)),0),VLOOKUP($B101,$P$357:$R$360,3,0))))*IF($B106=G107,$B102,SUM(D110:D110)))-((G109*(IF(G108=0,1,IF(AND($B106=G107,G108&lt;ROUNDDOWN(VLOOKUP($B101,$P$357:$R$360,3,0)/$H$358,0)),ROUNDDOWN(G108*$H$358,0),IF(AND($B106&lt;G107,G108&lt;ROUNDDOWN(VLOOKUP($B101,$P$357:$R$360,3,0)/$H$358,0)),ROUND(AVERAGE(ROUNDDOWN(G108*$H$358,0),2*VLOOKUP($B101,$P$357:$R$360,3,0)),0),VLOOKUP($B101,$P$357:$R$360,3,0))))-1))/2)))</f>
        <v>0</v>
      </c>
      <c r="H112" s="26"/>
      <c r="I112" s="26"/>
      <c r="J112" s="3168">
        <f ca="1">IF(OR($B106&gt;J107,J111="",J111=0),0,IF(AND(J108=0,OR(J107&gt;$B106,$I$358=1)),J111,IF(J108=0,NOMINAL(J111,12)*IF($B106=J107,$I$358,1),IF(AND($B106=J107,ROUNDDOWN($C$358,0)=J107),$E$358,1)*NOMINAL(J111,VLOOKUP($B101,$P$357:$R$360,3,0))/VLOOKUP($B101,$P$357:$R$360,3,0)))*((IF(J108=0,1,IF(AND($B106=J107,J108&lt;ROUNDDOWN(VLOOKUP($B101,$P$357:$R$360,3,0)/$H$358,0)),ROUNDDOWN(J108*$H$358,0),IF(AND($B106&lt;J107,J108&lt;ROUNDDOWN(VLOOKUP($B101,$P$357:$R$360,3,0)/$H$358,0)),ROUND(AVERAGE(ROUNDDOWN(J108*$H$358,0),2*VLOOKUP($B101,$P$357:$R$360,3,0)),0),VLOOKUP($B101,$P$357:$R$360,3,0))))*IF($B106=J107,$B102,SUM(G110:G110)))-((J109*(IF(J108=0,1,IF(AND($B106=J107,J108&lt;ROUNDDOWN(VLOOKUP($B101,$P$357:$R$360,3,0)/$H$358,0)),ROUNDDOWN(J108*$H$358,0),IF(AND($B106&lt;J107,J108&lt;ROUNDDOWN(VLOOKUP($B101,$P$357:$R$360,3,0)/$H$358,0)),ROUND(AVERAGE(ROUNDDOWN(J108*$H$358,0),2*VLOOKUP($B101,$P$357:$R$360,3,0)),0),VLOOKUP($B101,$P$357:$R$360,3,0))))-1))/2)))</f>
        <v>0</v>
      </c>
      <c r="K112" s="26"/>
      <c r="L112" s="26"/>
      <c r="M112" s="3168">
        <f ca="1">IF(OR($B106&gt;M107,M111="",M111=0),0,IF(AND(M108=0,OR(M107&gt;$B106,$I$358=1)),M111,IF(M108=0,NOMINAL(M111,12)*IF($B106=M107,$I$358,1),IF(AND($B106=M107,ROUNDDOWN($C$358,0)=M107),$E$358,1)*NOMINAL(M111,VLOOKUP($B101,$P$357:$R$360,3,0))/VLOOKUP($B101,$P$357:$R$360,3,0)))*((IF(M108=0,1,IF(AND($B106=M107,M108&lt;ROUNDDOWN(VLOOKUP($B101,$P$357:$R$360,3,0)/$H$358,0)),ROUNDDOWN(M108*$H$358,0),IF(AND($B106&lt;M107,M108&lt;ROUNDDOWN(VLOOKUP($B101,$P$357:$R$360,3,0)/$H$358,0)),ROUND(AVERAGE(ROUNDDOWN(M108*$H$358,0),2*VLOOKUP($B101,$P$357:$R$360,3,0)),0),VLOOKUP($B101,$P$357:$R$360,3,0))))*IF($B106=M107,$B102,SUM(J110:J110)))-((M109*(IF(M108=0,1,IF(AND($B106=M107,M108&lt;ROUNDDOWN(VLOOKUP($B101,$P$357:$R$360,3,0)/$H$358,0)),ROUNDDOWN(M108*$H$358,0),IF(AND($B106&lt;M107,M108&lt;ROUNDDOWN(VLOOKUP($B101,$P$357:$R$360,3,0)/$H$358,0)),ROUND(AVERAGE(ROUNDDOWN(M108*$H$358,0),2*VLOOKUP($B101,$P$357:$R$360,3,0)),0),VLOOKUP($B101,$P$357:$R$360,3,0))))-1))/2)))</f>
        <v>0</v>
      </c>
      <c r="N112" s="26"/>
      <c r="O112" s="26"/>
      <c r="P112" s="3168">
        <f ca="1">IF(OR($B106&gt;P107,P111="",P111=0),0,IF(AND(P108=0,OR(P107&gt;$B106,$I$358=1)),P111,IF(P108=0,NOMINAL(P111,12)*IF($B106=P107,$I$358,1),IF(AND($B106=P107,ROUNDDOWN($C$358,0)=P107),$E$358,1)*NOMINAL(P111,VLOOKUP($B101,$P$357:$R$360,3,0))/VLOOKUP($B101,$P$357:$R$360,3,0)))*((IF(P108=0,1,IF(AND($B106=P107,P108&lt;ROUNDDOWN(VLOOKUP($B101,$P$357:$R$360,3,0)/$H$358,0)),ROUNDDOWN(P108*$H$358,0),IF(AND($B106&lt;P107,P108&lt;ROUNDDOWN(VLOOKUP($B101,$P$357:$R$360,3,0)/$H$358,0)),ROUND(AVERAGE(ROUNDDOWN(P108*$H$358,0),2*VLOOKUP($B101,$P$357:$R$360,3,0)),0),VLOOKUP($B101,$P$357:$R$360,3,0))))*IF($B106=P107,$B102,SUM(M110:M110)))-((P109*(IF(P108=0,1,IF(AND($B106=P107,P108&lt;ROUNDDOWN(VLOOKUP($B101,$P$357:$R$360,3,0)/$H$358,0)),ROUNDDOWN(P108*$H$358,0),IF(AND($B106&lt;P107,P108&lt;ROUNDDOWN(VLOOKUP($B101,$P$357:$R$360,3,0)/$H$358,0)),ROUND(AVERAGE(ROUNDDOWN(P108*$H$358,0),2*VLOOKUP($B101,$P$357:$R$360,3,0)),0),VLOOKUP($B101,$P$357:$R$360,3,0))))-1))/2)))</f>
        <v>0</v>
      </c>
      <c r="Q112" s="26"/>
      <c r="R112" s="26"/>
      <c r="S112" s="3168">
        <f ca="1">IF(OR($B106&gt;S107,S111="",S111=0),0,IF(AND(S108=0,OR(S107&gt;$B106,$I$358=1)),S111,IF(S108=0,NOMINAL(S111,12)*IF($B106=S107,$I$358,1),IF(AND($B106=S107,ROUNDDOWN($C$358,0)=S107),$E$358,1)*NOMINAL(S111,VLOOKUP($B101,$P$357:$R$360,3,0))/VLOOKUP($B101,$P$357:$R$360,3,0)))*((IF(S108=0,1,IF(AND($B106=S107,S108&lt;ROUNDDOWN(VLOOKUP($B101,$P$357:$R$360,3,0)/$H$358,0)),ROUNDDOWN(S108*$H$358,0),IF(AND($B106&lt;S107,S108&lt;ROUNDDOWN(VLOOKUP($B101,$P$357:$R$360,3,0)/$H$358,0)),ROUND(AVERAGE(ROUNDDOWN(S108*$H$358,0),2*VLOOKUP($B101,$P$357:$R$360,3,0)),0),VLOOKUP($B101,$P$357:$R$360,3,0))))*IF($B106=S107,$B102,SUM(P110:P110)))-((S109*(IF(S108=0,1,IF(AND($B106=S107,S108&lt;ROUNDDOWN(VLOOKUP($B101,$P$357:$R$360,3,0)/$H$358,0)),ROUNDDOWN(S108*$H$358,0),IF(AND($B106&lt;S107,S108&lt;ROUNDDOWN(VLOOKUP($B101,$P$357:$R$360,3,0)/$H$358,0)),ROUND(AVERAGE(ROUNDDOWN(S108*$H$358,0),2*VLOOKUP($B101,$P$357:$R$360,3,0)),0),VLOOKUP($B101,$P$357:$R$360,3,0))))-1))/2)))</f>
        <v>0</v>
      </c>
      <c r="T112" s="26"/>
      <c r="U112" s="26"/>
      <c r="V112" s="3168">
        <f ca="1">IF(OR($B106&gt;V107,V111="",V111=0),0,IF(AND(V108=0,OR(V107&gt;$B106,$I$358=1)),V111,IF(V108=0,NOMINAL(V111,12)*IF($B106=V107,$I$358,1),IF(AND($B106=V107,ROUNDDOWN($C$358,0)=V107),$E$358,1)*NOMINAL(V111,VLOOKUP($B101,$P$357:$R$360,3,0))/VLOOKUP($B101,$P$357:$R$360,3,0)))*((IF(V108=0,1,IF(AND($B106=V107,V108&lt;ROUNDDOWN(VLOOKUP($B101,$P$357:$R$360,3,0)/$H$358,0)),ROUNDDOWN(V108*$H$358,0),IF(AND($B106&lt;V107,V108&lt;ROUNDDOWN(VLOOKUP($B101,$P$357:$R$360,3,0)/$H$358,0)),ROUND(AVERAGE(ROUNDDOWN(V108*$H$358,0),2*VLOOKUP($B101,$P$357:$R$360,3,0)),0),VLOOKUP($B101,$P$357:$R$360,3,0))))*IF($B106=V107,$B102,SUM(S110:S110)))-((V109*(IF(V108=0,1,IF(AND($B106=V107,V108&lt;ROUNDDOWN(VLOOKUP($B101,$P$357:$R$360,3,0)/$H$358,0)),ROUNDDOWN(V108*$H$358,0),IF(AND($B106&lt;V107,V108&lt;ROUNDDOWN(VLOOKUP($B101,$P$357:$R$360,3,0)/$H$358,0)),ROUND(AVERAGE(ROUNDDOWN(V108*$H$358,0),2*VLOOKUP($B101,$P$357:$R$360,3,0)),0),VLOOKUP($B101,$P$357:$R$360,3,0))))-1))/2)))</f>
        <v>0</v>
      </c>
      <c r="W112" s="26"/>
      <c r="X112" s="26"/>
      <c r="Y112" s="3168">
        <f ca="1">IF(OR($B106&gt;Y107,Y111="",Y111=0),0,IF(AND(Y108=0,OR(Y107&gt;$B106,$I$358=1)),Y111,IF(Y108=0,NOMINAL(Y111,12)*IF($B106=Y107,$I$358,1),IF(AND($B106=Y107,ROUNDDOWN($C$358,0)=Y107),$E$358,1)*NOMINAL(Y111,VLOOKUP($B101,$P$357:$R$360,3,0))/VLOOKUP($B101,$P$357:$R$360,3,0)))*((IF(Y108=0,1,IF(AND($B106=Y107,Y108&lt;ROUNDDOWN(VLOOKUP($B101,$P$357:$R$360,3,0)/$H$358,0)),ROUNDDOWN(Y108*$H$358,0),IF(AND($B106&lt;Y107,Y108&lt;ROUNDDOWN(VLOOKUP($B101,$P$357:$R$360,3,0)/$H$358,0)),ROUND(AVERAGE(ROUNDDOWN(Y108*$H$358,0),2*VLOOKUP($B101,$P$357:$R$360,3,0)),0),VLOOKUP($B101,$P$357:$R$360,3,0))))*IF($B106=Y107,$B102,SUM(V110:V110)))-((Y109*(IF(Y108=0,1,IF(AND($B106=Y107,Y108&lt;ROUNDDOWN(VLOOKUP($B101,$P$357:$R$360,3,0)/$H$358,0)),ROUNDDOWN(Y108*$H$358,0),IF(AND($B106&lt;Y107,Y108&lt;ROUNDDOWN(VLOOKUP($B101,$P$357:$R$360,3,0)/$H$358,0)),ROUND(AVERAGE(ROUNDDOWN(Y108*$H$358,0),2*VLOOKUP($B101,$P$357:$R$360,3,0)),0),VLOOKUP($B101,$P$357:$R$360,3,0))))-1))/2)))</f>
        <v>0</v>
      </c>
      <c r="Z112" s="26"/>
      <c r="AA112" s="26"/>
      <c r="AB112" s="3168">
        <f ca="1">IF(OR($B106&gt;AB107,AB111="",AB111=0),0,IF(AND(AB108=0,OR(AB107&gt;$B106,$I$358=1)),AB111,IF(AB108=0,NOMINAL(AB111,12)*IF($B106=AB107,$I$358,1),IF(AND($B106=AB107,ROUNDDOWN($C$358,0)=AB107),$E$358,1)*NOMINAL(AB111,VLOOKUP($B101,$P$357:$R$360,3,0))/VLOOKUP($B101,$P$357:$R$360,3,0)))*((IF(AB108=0,1,IF(AND($B106=AB107,AB108&lt;ROUNDDOWN(VLOOKUP($B101,$P$357:$R$360,3,0)/$H$358,0)),ROUNDDOWN(AB108*$H$358,0),IF(AND($B106&lt;AB107,AB108&lt;ROUNDDOWN(VLOOKUP($B101,$P$357:$R$360,3,0)/$H$358,0)),ROUND(AVERAGE(ROUNDDOWN(AB108*$H$358,0),2*VLOOKUP($B101,$P$357:$R$360,3,0)),0),VLOOKUP($B101,$P$357:$R$360,3,0))))*IF($B106=AB107,$B102,SUM(Y110:Y110)))-((AB109*(IF(AB108=0,1,IF(AND($B106=AB107,AB108&lt;ROUNDDOWN(VLOOKUP($B101,$P$357:$R$360,3,0)/$H$358,0)),ROUNDDOWN(AB108*$H$358,0),IF(AND($B106&lt;AB107,AB108&lt;ROUNDDOWN(VLOOKUP($B101,$P$357:$R$360,3,0)/$H$358,0)),ROUND(AVERAGE(ROUNDDOWN(AB108*$H$358,0),2*VLOOKUP($B101,$P$357:$R$360,3,0)),0),VLOOKUP($B101,$P$357:$R$360,3,0))))-1))/2)))</f>
        <v>0</v>
      </c>
      <c r="AC112" s="26"/>
      <c r="AD112" s="26"/>
      <c r="AE112" s="3168">
        <f ca="1">IF(OR($B106&gt;AE107,AE111="",AE111=0),0,IF(AND(AE108=0,OR(AE107&gt;$B106,$I$358=1)),AE111,IF(AE108=0,NOMINAL(AE111,12)*IF($B106=AE107,$I$358,1),IF(AND($B106=AE107,ROUNDDOWN($C$358,0)=AE107),$E$358,1)*NOMINAL(AE111,VLOOKUP($B101,$P$357:$R$360,3,0))/VLOOKUP($B101,$P$357:$R$360,3,0)))*((IF(AE108=0,1,IF(AND($B106=AE107,AE108&lt;ROUNDDOWN(VLOOKUP($B101,$P$357:$R$360,3,0)/$H$358,0)),ROUNDDOWN(AE108*$H$358,0),IF(AND($B106&lt;AE107,AE108&lt;ROUNDDOWN(VLOOKUP($B101,$P$357:$R$360,3,0)/$H$358,0)),ROUND(AVERAGE(ROUNDDOWN(AE108*$H$358,0),2*VLOOKUP($B101,$P$357:$R$360,3,0)),0),VLOOKUP($B101,$P$357:$R$360,3,0))))*IF($B106=AE107,$B102,SUM(AB110:AB110)))-((AE109*(IF(AE108=0,1,IF(AND($B106=AE107,AE108&lt;ROUNDDOWN(VLOOKUP($B101,$P$357:$R$360,3,0)/$H$358,0)),ROUNDDOWN(AE108*$H$358,0),IF(AND($B106&lt;AE107,AE108&lt;ROUNDDOWN(VLOOKUP($B101,$P$357:$R$360,3,0)/$H$358,0)),ROUND(AVERAGE(ROUNDDOWN(AE108*$H$358,0),2*VLOOKUP($B101,$P$357:$R$360,3,0)),0),VLOOKUP($B101,$P$357:$R$360,3,0))))-1))/2)))</f>
        <v>0</v>
      </c>
      <c r="AF112" s="3169"/>
      <c r="AG112" s="26"/>
      <c r="AH112" s="3168">
        <f ca="1">IF(OR($B106&gt;AH107,AH111="",AH111=0),0,IF(AND(AH108=0,OR(AH107&gt;$B106,$I$358=1)),AH111,IF(AH108=0,NOMINAL(AH111,12)*IF($B106=AH107,$I$358,1),IF(AND($B106=AH107,ROUNDDOWN($C$358,0)=AH107),$E$358,1)*NOMINAL(AH111,VLOOKUP($B101,$P$357:$R$360,3,0))/VLOOKUP($B101,$P$357:$R$360,3,0)))*((IF(AH108=0,1,IF(AND($B106=AH107,AH108&lt;ROUNDDOWN(VLOOKUP($B101,$P$357:$R$360,3,0)/$H$358,0)),ROUNDDOWN(AH108*$H$358,0),IF(AND($B106&lt;AH107,AH108&lt;ROUNDDOWN(VLOOKUP($B101,$P$357:$R$360,3,0)/$H$358,0)),ROUND(AVERAGE(ROUNDDOWN(AH108*$H$358,0),2*VLOOKUP($B101,$P$357:$R$360,3,0)),0),VLOOKUP($B101,$P$357:$R$360,3,0))))*IF($B106=AH107,$B102,SUM(AE110:AE110)))-((AH109*(IF(AH108=0,1,IF(AND($B106=AH107,AH108&lt;ROUNDDOWN(VLOOKUP($B101,$P$357:$R$360,3,0)/$H$358,0)),ROUNDDOWN(AH108*$H$358,0),IF(AND($B106&lt;AH107,AH108&lt;ROUNDDOWN(VLOOKUP($B101,$P$357:$R$360,3,0)/$H$358,0)),ROUND(AVERAGE(ROUNDDOWN(AH108*$H$358,0),2*VLOOKUP($B101,$P$357:$R$360,3,0)),0),VLOOKUP($B101,$P$357:$R$360,3,0))))-1))/2)))</f>
        <v>0</v>
      </c>
      <c r="AI112" s="26"/>
      <c r="AJ112" s="26"/>
      <c r="AK112" s="3168">
        <f ca="1">IF(OR($B106&gt;AK107,AK111="",AK111=0),0,IF(AND(AK108=0,OR(AK107&gt;$B106,$I$358=1)),AK111,IF(AK108=0,NOMINAL(AK111,12)*IF($B106=AK107,$I$358,1),IF(AND($B106=AK107,ROUNDDOWN($C$358,0)=AK107),$E$358,1)*NOMINAL(AK111,VLOOKUP($B101,$P$357:$R$360,3,0))/VLOOKUP($B101,$P$357:$R$360,3,0)))*((IF(AK108=0,1,IF(AND($B106=AK107,AK108&lt;ROUNDDOWN(VLOOKUP($B101,$P$357:$R$360,3,0)/$H$358,0)),ROUNDDOWN(AK108*$H$358,0),IF(AND($B106&lt;AK107,AK108&lt;ROUNDDOWN(VLOOKUP($B101,$P$357:$R$360,3,0)/$H$358,0)),ROUND(AVERAGE(ROUNDDOWN(AK108*$H$358,0),2*VLOOKUP($B101,$P$357:$R$360,3,0)),0),VLOOKUP($B101,$P$357:$R$360,3,0))))*IF($B106=AK107,$B102,SUM(AH110:AH110)))-((AK109*(IF(AK108=0,1,IF(AND($B106=AK107,AK108&lt;ROUNDDOWN(VLOOKUP($B101,$P$357:$R$360,3,0)/$H$358,0)),ROUNDDOWN(AK108*$H$358,0),IF(AND($B106&lt;AK107,AK108&lt;ROUNDDOWN(VLOOKUP($B101,$P$357:$R$360,3,0)/$H$358,0)),ROUND(AVERAGE(ROUNDDOWN(AK108*$H$358,0),2*VLOOKUP($B101,$P$357:$R$360,3,0)),0),VLOOKUP($B101,$P$357:$R$360,3,0))))-1))/2)))</f>
        <v>0</v>
      </c>
      <c r="AL112" s="26"/>
      <c r="AM112" s="26"/>
      <c r="AN112" s="3168">
        <f ca="1">IF(OR($B106&gt;AN107,AN111="",AN111=0),0,IF(AND(AN108=0,OR(AN107&gt;$B106,$I$358=1)),AN111,IF(AN108=0,NOMINAL(AN111,12)*IF($B106=AN107,$I$358,1),IF(AND($B106=AN107,ROUNDDOWN($C$358,0)=AN107),$E$358,1)*NOMINAL(AN111,VLOOKUP($B101,$P$357:$R$360,3,0))/VLOOKUP($B101,$P$357:$R$360,3,0)))*((IF(AN108=0,1,IF(AND($B106=AN107,AN108&lt;ROUNDDOWN(VLOOKUP($B101,$P$357:$R$360,3,0)/$H$358,0)),ROUNDDOWN(AN108*$H$358,0),IF(AND($B106&lt;AN107,AN108&lt;ROUNDDOWN(VLOOKUP($B101,$P$357:$R$360,3,0)/$H$358,0)),ROUND(AVERAGE(ROUNDDOWN(AN108*$H$358,0),2*VLOOKUP($B101,$P$357:$R$360,3,0)),0),VLOOKUP($B101,$P$357:$R$360,3,0))))*IF($B106=AN107,$B102,SUM(AK110:AK110)))-((AN109*(IF(AN108=0,1,IF(AND($B106=AN107,AN108&lt;ROUNDDOWN(VLOOKUP($B101,$P$357:$R$360,3,0)/$H$358,0)),ROUNDDOWN(AN108*$H$358,0),IF(AND($B106&lt;AN107,AN108&lt;ROUNDDOWN(VLOOKUP($B101,$P$357:$R$360,3,0)/$H$358,0)),ROUND(AVERAGE(ROUNDDOWN(AN108*$H$358,0),2*VLOOKUP($B101,$P$357:$R$360,3,0)),0),VLOOKUP($B101,$P$357:$R$360,3,0))))-1))/2)))</f>
        <v>0</v>
      </c>
      <c r="AO112" s="26"/>
      <c r="AP112" s="26"/>
      <c r="AQ112" s="3168">
        <f ca="1">IF(OR($B106&gt;AQ107,AQ111="",AQ111=0),0,IF(AND(AQ108=0,OR(AQ107&gt;$B106,$I$358=1)),AQ111,IF(AQ108=0,NOMINAL(AQ111,12)*IF($B106=AQ107,$I$358,1),IF(AND($B106=AQ107,ROUNDDOWN($C$358,0)=AQ107),$E$358,1)*NOMINAL(AQ111,VLOOKUP($B101,$P$357:$R$360,3,0))/VLOOKUP($B101,$P$357:$R$360,3,0)))*((IF(AQ108=0,1,IF(AND($B106=AQ107,AQ108&lt;ROUNDDOWN(VLOOKUP($B101,$P$357:$R$360,3,0)/$H$358,0)),ROUNDDOWN(AQ108*$H$358,0),IF(AND($B106&lt;AQ107,AQ108&lt;ROUNDDOWN(VLOOKUP($B101,$P$357:$R$360,3,0)/$H$358,0)),ROUND(AVERAGE(ROUNDDOWN(AQ108*$H$358,0),2*VLOOKUP($B101,$P$357:$R$360,3,0)),0),VLOOKUP($B101,$P$357:$R$360,3,0))))*IF($B106=AQ107,$B102,SUM(AN110:AN110)))-((AQ109*(IF(AQ108=0,1,IF(AND($B106=AQ107,AQ108&lt;ROUNDDOWN(VLOOKUP($B101,$P$357:$R$360,3,0)/$H$358,0)),ROUNDDOWN(AQ108*$H$358,0),IF(AND($B106&lt;AQ107,AQ108&lt;ROUNDDOWN(VLOOKUP($B101,$P$357:$R$360,3,0)/$H$358,0)),ROUND(AVERAGE(ROUNDDOWN(AQ108*$H$358,0),2*VLOOKUP($B101,$P$357:$R$360,3,0)),0),VLOOKUP($B101,$P$357:$R$360,3,0))))-1))/2)))</f>
        <v>0</v>
      </c>
      <c r="AR112" s="26"/>
      <c r="AS112" s="26"/>
      <c r="AT112" s="3168">
        <f ca="1">IF(OR($B106&gt;AT107,AT111="",AT111=0),0,IF(AND(AT108=0,OR(AT107&gt;$B106,$I$358=1)),AT111,IF(AT108=0,NOMINAL(AT111,12)*IF($B106=AT107,$I$358,1),IF(AND($B106=AT107,ROUNDDOWN($C$358,0)=AT107),$E$358,1)*NOMINAL(AT111,VLOOKUP($B101,$P$357:$R$360,3,0))/VLOOKUP($B101,$P$357:$R$360,3,0)))*((IF(AT108=0,1,IF(AND($B106=AT107,AT108&lt;ROUNDDOWN(VLOOKUP($B101,$P$357:$R$360,3,0)/$H$358,0)),ROUNDDOWN(AT108*$H$358,0),IF(AND($B106&lt;AT107,AT108&lt;ROUNDDOWN(VLOOKUP($B101,$P$357:$R$360,3,0)/$H$358,0)),ROUND(AVERAGE(ROUNDDOWN(AT108*$H$358,0),2*VLOOKUP($B101,$P$357:$R$360,3,0)),0),VLOOKUP($B101,$P$357:$R$360,3,0))))*IF($B106=AT107,$B102,SUM(AQ110:AQ110)))-((AT109*(IF(AT108=0,1,IF(AND($B106=AT107,AT108&lt;ROUNDDOWN(VLOOKUP($B101,$P$357:$R$360,3,0)/$H$358,0)),ROUNDDOWN(AT108*$H$358,0),IF(AND($B106&lt;AT107,AT108&lt;ROUNDDOWN(VLOOKUP($B101,$P$357:$R$360,3,0)/$H$358,0)),ROUND(AVERAGE(ROUNDDOWN(AT108*$H$358,0),2*VLOOKUP($B101,$P$357:$R$360,3,0)),0),VLOOKUP($B101,$P$357:$R$360,3,0))))-1))/2)))</f>
        <v>0</v>
      </c>
      <c r="AU112" s="3169"/>
      <c r="AV112" s="3157"/>
    </row>
    <row r="113" spans="1:48" ht="13" thickBot="1">
      <c r="AV113" s="3157"/>
    </row>
    <row r="114" spans="1:48" ht="12.5">
      <c r="A114" s="3170" t="s">
        <v>2060</v>
      </c>
      <c r="B114" s="3171"/>
      <c r="C114" s="3172"/>
      <c r="D114" s="3172"/>
      <c r="E114" s="3172"/>
      <c r="F114" s="3172"/>
      <c r="G114" s="3172"/>
      <c r="H114" s="3172"/>
      <c r="I114" s="3172"/>
      <c r="J114" s="3172"/>
      <c r="K114" s="3172"/>
      <c r="L114" s="3172"/>
      <c r="M114" s="3172"/>
      <c r="N114" s="3172"/>
      <c r="O114" s="3172"/>
      <c r="P114" s="3172"/>
      <c r="Q114" s="3172"/>
      <c r="R114" s="3172"/>
      <c r="S114" s="3172"/>
      <c r="T114" s="3172"/>
      <c r="U114" s="3172"/>
      <c r="V114" s="3172"/>
      <c r="W114" s="3172"/>
      <c r="X114" s="3172"/>
      <c r="Y114" s="3172"/>
      <c r="Z114" s="3172"/>
      <c r="AA114" s="3172"/>
      <c r="AB114" s="3172"/>
      <c r="AC114" s="3172"/>
      <c r="AD114" s="3172"/>
      <c r="AE114" s="3172"/>
      <c r="AF114" s="3172"/>
      <c r="AG114" s="3172"/>
      <c r="AH114" s="3172"/>
      <c r="AI114" s="3172"/>
      <c r="AJ114" s="3172"/>
      <c r="AK114" s="3172"/>
      <c r="AL114" s="3172"/>
      <c r="AM114" s="3172"/>
      <c r="AN114" s="3172"/>
      <c r="AO114" s="3172"/>
      <c r="AP114" s="3172"/>
      <c r="AQ114" s="3172"/>
      <c r="AR114" s="3172"/>
      <c r="AS114" s="3172"/>
      <c r="AT114" s="3172"/>
      <c r="AU114" s="3172"/>
      <c r="AV114" s="3173"/>
    </row>
    <row r="115" spans="1:48" ht="12.5">
      <c r="A115" s="3155" t="s">
        <v>2061</v>
      </c>
      <c r="B115" s="3156"/>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3157"/>
    </row>
    <row r="116" spans="1:48" ht="12.5">
      <c r="A116" s="3155" t="s">
        <v>2062</v>
      </c>
      <c r="B116" s="3158"/>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3157"/>
    </row>
    <row r="117" spans="1:48" ht="12.5">
      <c r="A117" s="3155" t="s">
        <v>2063</v>
      </c>
      <c r="B117" s="3158"/>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3157"/>
    </row>
    <row r="118" spans="1:48" ht="12.5">
      <c r="A118" s="3155" t="s">
        <v>2064</v>
      </c>
      <c r="B118" s="3158"/>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3157"/>
    </row>
    <row r="119" spans="1:48" ht="12.5">
      <c r="A119" s="3159" t="s">
        <v>2065</v>
      </c>
      <c r="B119" s="3160"/>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3157"/>
    </row>
    <row r="120" spans="1:48" ht="12.5">
      <c r="A120" s="3161" t="s">
        <v>2066</v>
      </c>
      <c r="B120" s="3162">
        <f ca="1">B$11</f>
        <v>2023</v>
      </c>
      <c r="C120" s="25"/>
      <c r="D120" s="3162">
        <f ca="1">D$11</f>
        <v>2024</v>
      </c>
      <c r="E120" s="25"/>
      <c r="F120" s="25"/>
      <c r="G120" s="3162">
        <f ca="1">G$11</f>
        <v>2025</v>
      </c>
      <c r="H120" s="25"/>
      <c r="I120" s="25"/>
      <c r="J120" s="3162">
        <f ca="1">J$11</f>
        <v>2026</v>
      </c>
      <c r="K120" s="25"/>
      <c r="L120" s="25"/>
      <c r="M120" s="3162">
        <f ca="1">M$11</f>
        <v>2027</v>
      </c>
      <c r="N120" s="25"/>
      <c r="O120" s="25"/>
      <c r="P120" s="3162">
        <f ca="1">P$11</f>
        <v>2028</v>
      </c>
      <c r="Q120" s="25"/>
      <c r="R120" s="25"/>
      <c r="S120" s="3162">
        <f ca="1">S$11</f>
        <v>2029</v>
      </c>
      <c r="T120" s="25"/>
      <c r="U120" s="25"/>
      <c r="V120" s="3162">
        <f ca="1">V$11</f>
        <v>2030</v>
      </c>
      <c r="W120" s="25"/>
      <c r="X120" s="25"/>
      <c r="Y120" s="3162">
        <f ca="1">Y$11</f>
        <v>2031</v>
      </c>
      <c r="Z120" s="25"/>
      <c r="AA120" s="25"/>
      <c r="AB120" s="3162">
        <f ca="1">AB$11</f>
        <v>2032</v>
      </c>
      <c r="AC120" s="25"/>
      <c r="AD120" s="25"/>
      <c r="AE120" s="3162">
        <f ca="1">AE$11</f>
        <v>2033</v>
      </c>
      <c r="AF120" s="25"/>
      <c r="AG120" s="25"/>
      <c r="AH120" s="3162">
        <f ca="1">AH$11</f>
        <v>2034</v>
      </c>
      <c r="AI120" s="25"/>
      <c r="AJ120" s="25"/>
      <c r="AK120" s="3162">
        <f ca="1">AK$11</f>
        <v>2035</v>
      </c>
      <c r="AL120" s="25"/>
      <c r="AM120" s="25"/>
      <c r="AN120" s="3162">
        <f ca="1">AN$11</f>
        <v>2036</v>
      </c>
      <c r="AO120" s="25"/>
      <c r="AP120" s="25"/>
      <c r="AQ120" s="3162">
        <f ca="1">AQ$11</f>
        <v>2037</v>
      </c>
      <c r="AR120" s="25"/>
      <c r="AS120" s="25"/>
      <c r="AT120" s="3162">
        <f ca="1">AT$11</f>
        <v>2038</v>
      </c>
      <c r="AU120" s="25"/>
      <c r="AV120" s="3157"/>
    </row>
    <row r="121" spans="1:48" ht="12.5">
      <c r="A121" s="3163" t="s">
        <v>2067</v>
      </c>
      <c r="B121" s="3164">
        <f>IF(OR($B116=0,$B116="",$B114=""),0,IF(AND(B120-$B119&gt;=0,B120&lt;=$B119+$B116,ROUNDDOWN(B120,0)=ROUNDDOWN($C$359,0)),IF(ROUNDDOWN(B120,0)=ROUNDDOWN($C$359,0),ROUND($E$359*VLOOKUP($B114,$P$357:$R$360,3,0)/$H$359,2),ROUND(VLOOKUP($B114,$P$357:$R$360,3,0)/$H$359,2)),0))</f>
        <v>0</v>
      </c>
      <c r="C121" s="25"/>
      <c r="D121" s="3164">
        <f>IF(OR($B116=0,$B116="",$B114=""),0,IF(AND(ROUNDDOWN(D120,0)&gt;=ROUNDDOWN($C$359,0),1-$B121&lt;VLOOKUP($B114,$P$357:$R$360,3,0)/$H$359),1-$B121,IF(ROUNDDOWN(D120,0)&gt;=ROUNDDOWN($C$359,0),IF(ROUNDDOWN(D120,0)=ROUNDDOWN($C$359,0),ROUND($E$359*VLOOKUP($B114,$P$357:$R$360,3,0)/$H$359,2),ROUND(VLOOKUP($B114,$P$357:$R$360,3,0)/$H$359,2)),0)))</f>
        <v>0</v>
      </c>
      <c r="E121" s="25"/>
      <c r="F121" s="25"/>
      <c r="G121" s="3164">
        <f>IF(OR($B116=0,$B116="",$B114=""),0,IF(AND(ROUNDDOWN(G120,0)&gt;=ROUNDDOWN($C$359,0),1-SUM($B121:D121)&lt;VLOOKUP($B114,$P$357:$R$360,3,0)/$H$359),1-SUM($B121:D121),IF(ROUNDDOWN(G120,0)&gt;=ROUNDDOWN($C$359,0),IF(ROUNDDOWN(G120,0)=ROUNDDOWN($C$359,0),ROUND($E$359*VLOOKUP($B114,$P$357:$R$360,3,0)/$H$359,2),ROUND(VLOOKUP($B114,$P$357:$R$360,3,0)/$H$359,2)),0)))</f>
        <v>0</v>
      </c>
      <c r="H121" s="25"/>
      <c r="I121" s="25"/>
      <c r="J121" s="3164">
        <f>IF(OR($B116=0,$B116="",$B114=""),0,IF(AND(ROUNDDOWN(J120,0)&gt;=ROUNDDOWN($C$359,0),1-SUM($B121:G121)&lt;VLOOKUP($B114,$P$357:$R$360,3,0)/$H$359),1-SUM($B121:G121),IF(ROUNDDOWN(J120,0)&gt;=ROUNDDOWN($C$359,0),IF(ROUNDDOWN(J120,0)=ROUNDDOWN($C$359,0),ROUND($E$359*VLOOKUP($B114,$P$357:$R$360,3,0)/$H$359,2),ROUND(VLOOKUP($B114,$P$357:$R$360,3,0)/$H$359,2)),0)))</f>
        <v>0</v>
      </c>
      <c r="K121" s="25"/>
      <c r="L121" s="25"/>
      <c r="M121" s="3164">
        <f>IF(OR($B116=0,$B116="",$B114=""),0,IF(AND(ROUNDDOWN(M120,0)&gt;=ROUNDDOWN($C$359,0),1-SUM($B121:J121)&lt;VLOOKUP($B114,$P$357:$R$360,3,0)/$H$359),1-SUM($B121:J121),IF(ROUNDDOWN(M120,0)&gt;=ROUNDDOWN($C$359,0),IF(ROUNDDOWN(M120,0)=ROUNDDOWN($C$359,0),ROUND($E$359*VLOOKUP($B114,$P$357:$R$360,3,0)/$H$359,2),ROUND(VLOOKUP($B114,$P$357:$R$360,3,0)/$H$359,2)),0)))</f>
        <v>0</v>
      </c>
      <c r="N121" s="25"/>
      <c r="O121" s="25"/>
      <c r="P121" s="3164">
        <f>IF(OR($B116=0,$B116="",$B114=""),0,IF(AND(ROUNDDOWN(P120,0)&gt;=ROUNDDOWN($C$359,0),1-SUM($B121:M121)&lt;VLOOKUP($B114,$P$357:$R$360,3,0)/$H$359),1-SUM($B121:M121),IF(ROUNDDOWN(P120,0)&gt;=ROUNDDOWN($C$359,0),IF(ROUNDDOWN(P120,0)=ROUNDDOWN($C$359,0),ROUND($E$359*VLOOKUP($B114,$P$357:$R$360,3,0)/$H$359,2),ROUND(VLOOKUP($B114,$P$357:$R$360,3,0)/$H$359,2)),0)))</f>
        <v>0</v>
      </c>
      <c r="Q121" s="25"/>
      <c r="R121" s="25"/>
      <c r="S121" s="3164">
        <f>IF(OR($B116=0,$B116="",$B114=""),0,IF(AND(ROUNDDOWN(S120,0)&gt;=ROUNDDOWN($C$359,0),1-SUM($B121:P121)&lt;VLOOKUP($B114,$P$357:$R$360,3,0)/$H$359),1-SUM($B121:P121),IF(ROUNDDOWN(S120,0)&gt;=ROUNDDOWN($C$359,0),IF(ROUNDDOWN(S120,0)=ROUNDDOWN($C$359,0),ROUND($E$359*VLOOKUP($B114,$P$357:$R$360,3,0)/$H$359,2),ROUND(VLOOKUP($B114,$P$357:$R$360,3,0)/$H$359,2)),0)))</f>
        <v>0</v>
      </c>
      <c r="T121" s="25"/>
      <c r="U121" s="25"/>
      <c r="V121" s="3164">
        <f>IF(OR($B116=0,$B116="",$B114=""),0,IF(AND(ROUNDDOWN(V120,0)&gt;=ROUNDDOWN($C$359,0),1-SUM($B121:S121)&lt;VLOOKUP($B114,$P$357:$R$360,3,0)/$H$359),1-SUM($B121:S121),IF(ROUNDDOWN(V120,0)&gt;=ROUNDDOWN($C$359,0),IF(ROUNDDOWN(V120,0)=ROUNDDOWN($C$359,0),ROUND($E$359*VLOOKUP($B114,$P$357:$R$360,3,0)/$H$359,2),ROUND(VLOOKUP($B114,$P$357:$R$360,3,0)/$H$359,2)),0)))</f>
        <v>0</v>
      </c>
      <c r="W121" s="25"/>
      <c r="X121" s="25"/>
      <c r="Y121" s="3164">
        <f>IF(OR($B116=0,$B116="",$B114=""),0,IF(AND(ROUNDDOWN(Y120,0)&gt;=ROUNDDOWN($C$359,0),1-SUM($B121:V121)&lt;VLOOKUP($B114,$P$357:$R$360,3,0)/$H$359),1-SUM($B121:V121),IF(ROUNDDOWN(Y120,0)&gt;=ROUNDDOWN($C$359,0),IF(ROUNDDOWN(Y120,0)=ROUNDDOWN($C$359,0),ROUND($E$359*VLOOKUP($B114,$P$357:$R$360,3,0)/$H$359,2),ROUND(VLOOKUP($B114,$P$357:$R$360,3,0)/$H$359,2)),0)))</f>
        <v>0</v>
      </c>
      <c r="Z121" s="25"/>
      <c r="AA121" s="25"/>
      <c r="AB121" s="3164">
        <f>IF(OR($B116=0,$B116="",$B114=""),0,IF(AND(ROUNDDOWN(AB120,0)&gt;=ROUNDDOWN($C$359,0),1-SUM($B121:Y121)&lt;VLOOKUP($B114,$P$357:$R$360,3,0)/$H$359),1-SUM($B121:Y121),IF(ROUNDDOWN(AB120,0)&gt;=ROUNDDOWN($C$359,0),IF(ROUNDDOWN(AB120,0)=ROUNDDOWN($C$359,0),ROUND($E$359*VLOOKUP($B114,$P$357:$R$360,3,0)/$H$359,2),ROUND(VLOOKUP($B114,$P$357:$R$360,3,0)/$H$359,2)),0)))</f>
        <v>0</v>
      </c>
      <c r="AC121" s="25"/>
      <c r="AD121" s="25"/>
      <c r="AE121" s="3164">
        <f>IF(OR($B116=0,$B116="",$B114=""),0,IF(AND(ROUNDDOWN(AE120,0)&gt;=ROUNDDOWN($C$359,0),1-SUM($B121:AB121)&lt;VLOOKUP($B114,$P$357:$R$360,3,0)/$H$359),1-SUM($B121:AB121),IF(ROUNDDOWN(AE120,0)&gt;=ROUNDDOWN($C$359,0),IF(ROUNDDOWN(AE120,0)=ROUNDDOWN($C$359,0),ROUND($E$359*VLOOKUP($B114,$P$357:$R$360,3,0)/$H$359,2),ROUND(VLOOKUP($B114,$P$357:$R$360,3,0)/$H$359,2)),0)))</f>
        <v>0</v>
      </c>
      <c r="AF121" s="25"/>
      <c r="AG121" s="25"/>
      <c r="AH121" s="3164">
        <f>IF(OR($B116=0,$B116="",$B114=""),0,IF(AND(ROUNDDOWN(AH120,0)&gt;=ROUNDDOWN($C$359,0),1-SUM($B121:AE121)&lt;VLOOKUP($B114,$P$357:$R$360,3,0)/$H$359),1-SUM($B121:AE121),IF(ROUNDDOWN(AH120,0)&gt;=ROUNDDOWN($C$359,0),IF(ROUNDDOWN(AH120,0)=ROUNDDOWN($C$359,0),ROUND($E$359*VLOOKUP($B114,$P$357:$R$360,3,0)/$H$359,2),ROUND(VLOOKUP($B114,$P$357:$R$360,3,0)/$H$359,2)),0)))</f>
        <v>0</v>
      </c>
      <c r="AI121" s="25"/>
      <c r="AJ121" s="25"/>
      <c r="AK121" s="3164">
        <f>IF(OR($B116=0,$B116="",$B114=""),0,IF(AND(ROUNDDOWN(AK120,0)&gt;=ROUNDDOWN($C$359,0),1-SUM($B121:AH121)&lt;VLOOKUP($B114,$P$357:$R$360,3,0)/$H$359),1-SUM($B121:AH121),IF(ROUNDDOWN(AK120,0)&gt;=ROUNDDOWN($C$359,0),IF(ROUNDDOWN(AK120,0)=ROUNDDOWN($C$359,0),ROUND($E$359*VLOOKUP($B114,$P$357:$R$360,3,0)/$H$359,2),ROUND(VLOOKUP($B114,$P$357:$R$360,3,0)/$H$359,2)),0)))</f>
        <v>0</v>
      </c>
      <c r="AL121" s="25"/>
      <c r="AM121" s="25"/>
      <c r="AN121" s="3164">
        <f>IF(OR($B116=0,$B116="",$B114=""),0,IF(AND(ROUNDDOWN(AN120,0)&gt;=ROUNDDOWN($C$359,0),1-SUM($B121:AK121)&lt;VLOOKUP($B114,$P$357:$R$360,3,0)/$H$359),1-SUM($B121:AK121),IF(ROUNDDOWN(AN120,0)&gt;=ROUNDDOWN($C$359,0),IF(ROUNDDOWN(AN120,0)=ROUNDDOWN($C$359,0),ROUND($E$359*VLOOKUP($B114,$P$357:$R$360,3,0)/$H$359,2),ROUND(VLOOKUP($B114,$P$357:$R$360,3,0)/$H$359,2)),0)))</f>
        <v>0</v>
      </c>
      <c r="AO121" s="25"/>
      <c r="AP121" s="25"/>
      <c r="AQ121" s="3164">
        <f>IF(OR($B116=0,$B116="",$B114=""),0,IF(AND(ROUNDDOWN(AQ120,0)&gt;=ROUNDDOWN($C$359,0),1-SUM($B121:AN121)&lt;VLOOKUP($B114,$P$357:$R$360,3,0)/$H$359),1-SUM($B121:AN121),IF(ROUNDDOWN(AQ120,0)&gt;=ROUNDDOWN($C$359,0),IF(ROUNDDOWN(AQ120,0)=ROUNDDOWN($C$359,0),ROUND($E$359*VLOOKUP($B114,$P$357:$R$360,3,0)/$H$359,2),ROUND(VLOOKUP($B114,$P$357:$R$360,3,0)/$H$359,2)),0)))</f>
        <v>0</v>
      </c>
      <c r="AR121" s="25"/>
      <c r="AS121" s="25"/>
      <c r="AT121" s="3164">
        <f>IF(OR($B116=0,$B116="",$B114=""),0,IF(AND(ROUNDDOWN(AT120,0)&gt;=ROUNDDOWN($C$359,0),1-SUM($B121:AQ121)&lt;VLOOKUP($B114,$P$357:$R$360,3,0)/$H$359),1-SUM($B121:AQ121),IF(ROUNDDOWN(AT120,0)&gt;=ROUNDDOWN($C$359,0),IF(ROUNDDOWN(AT120,0)=ROUNDDOWN($C$359,0),ROUND($E$359*VLOOKUP($B114,$P$357:$R$360,3,0)/$H$359,2),ROUND(VLOOKUP($B114,$P$357:$R$360,3,0)/$H$359,2)),0)))</f>
        <v>0</v>
      </c>
      <c r="AU121" s="25"/>
      <c r="AV121" s="3157"/>
    </row>
    <row r="122" spans="1:48" ht="12.5">
      <c r="A122" s="3165" t="s">
        <v>2068</v>
      </c>
      <c r="B122" s="3166">
        <f>$B115*B121</f>
        <v>0</v>
      </c>
      <c r="C122" s="25"/>
      <c r="D122" s="3166">
        <f ca="1">IF($B119&gt;D120,0,D121*$B115)</f>
        <v>0</v>
      </c>
      <c r="E122" s="25"/>
      <c r="F122" s="25"/>
      <c r="G122" s="3166">
        <f ca="1">IF($B119&gt;G120,0,G121*$B115)</f>
        <v>0</v>
      </c>
      <c r="H122" s="25"/>
      <c r="I122" s="25"/>
      <c r="J122" s="3166">
        <f ca="1">IF($B119&gt;J120,0,J121*$B115)</f>
        <v>0</v>
      </c>
      <c r="K122" s="25"/>
      <c r="L122" s="25"/>
      <c r="M122" s="3166">
        <f ca="1">IF($B119&gt;M120,0,M121*$B115)</f>
        <v>0</v>
      </c>
      <c r="N122" s="25"/>
      <c r="O122" s="25"/>
      <c r="P122" s="3166">
        <f ca="1">IF($B119&gt;P120,0,P121*$B115)</f>
        <v>0</v>
      </c>
      <c r="Q122" s="25"/>
      <c r="R122" s="25"/>
      <c r="S122" s="3166">
        <f ca="1">IF($B119&gt;S120,0,S121*$B115)</f>
        <v>0</v>
      </c>
      <c r="T122" s="25"/>
      <c r="U122" s="25"/>
      <c r="V122" s="3166">
        <f ca="1">IF($B119&gt;V120,0,V121*$B115)</f>
        <v>0</v>
      </c>
      <c r="W122" s="25"/>
      <c r="X122" s="25"/>
      <c r="Y122" s="3166">
        <f ca="1">IF($B119&gt;Y120,0,Y121*$B115)</f>
        <v>0</v>
      </c>
      <c r="Z122" s="25"/>
      <c r="AA122" s="25"/>
      <c r="AB122" s="3166">
        <f ca="1">IF($B119&gt;AB120,0,AB121*$B115)</f>
        <v>0</v>
      </c>
      <c r="AC122" s="25"/>
      <c r="AD122" s="25"/>
      <c r="AE122" s="3166">
        <f ca="1">IF($B119&gt;AE120,0,AE121*$B115)</f>
        <v>0</v>
      </c>
      <c r="AF122" s="25"/>
      <c r="AG122" s="25"/>
      <c r="AH122" s="3166">
        <f ca="1">IF($B119&gt;AH120,0,AH121*$B115)</f>
        <v>0</v>
      </c>
      <c r="AI122" s="25"/>
      <c r="AJ122" s="25"/>
      <c r="AK122" s="3166">
        <f ca="1">IF($B119&gt;AK120,0,AK121*$B115)</f>
        <v>0</v>
      </c>
      <c r="AL122" s="25"/>
      <c r="AM122" s="25"/>
      <c r="AN122" s="3166">
        <f ca="1">IF($B119&gt;AN120,0,AN121*$B115)</f>
        <v>0</v>
      </c>
      <c r="AO122" s="25"/>
      <c r="AP122" s="25"/>
      <c r="AQ122" s="3166">
        <f ca="1">IF($B119&gt;AQ120,0,AQ121*$B115)</f>
        <v>0</v>
      </c>
      <c r="AR122" s="25"/>
      <c r="AS122" s="25"/>
      <c r="AT122" s="3166">
        <f ca="1">IF($B119&gt;AT120,0,AT121*$B115)</f>
        <v>0</v>
      </c>
      <c r="AU122" s="25"/>
      <c r="AV122" s="3157"/>
    </row>
    <row r="123" spans="1:48" ht="12.5">
      <c r="A123" s="3159" t="s">
        <v>2069</v>
      </c>
      <c r="B123" s="3167">
        <f ca="1">IF($B119&gt;B120,0,B115-B122)</f>
        <v>0</v>
      </c>
      <c r="C123" s="25"/>
      <c r="D123" s="3167">
        <f ca="1">IF($B119&gt;D120,0,IF($B119=D120,$B115-D122,IF(B123-D122&lt;0.005,0,B123-D122)))</f>
        <v>0</v>
      </c>
      <c r="E123" s="25"/>
      <c r="F123" s="25"/>
      <c r="G123" s="3167">
        <f ca="1">IF($B119&gt;G120,0,IF($B119=G120,$B115-G122,IF(+D123-G122&lt;0.005,0,+D123-G122)))</f>
        <v>0</v>
      </c>
      <c r="H123" s="25"/>
      <c r="I123" s="25"/>
      <c r="J123" s="3167">
        <f ca="1">IF($B119&gt;J120,0,IF($B119=J120,$B115-J122,IF(+G123-J122&lt;0.005,0,+G123-J122)))</f>
        <v>0</v>
      </c>
      <c r="K123" s="25"/>
      <c r="L123" s="25"/>
      <c r="M123" s="3167">
        <f ca="1">IF($B119&gt;M120,0,IF($B119=M120,$B115-M122,IF(+J123-M122&lt;0.005,0,+J123-M122)))</f>
        <v>0</v>
      </c>
      <c r="N123" s="25"/>
      <c r="O123" s="25"/>
      <c r="P123" s="3167">
        <f ca="1">IF($B119&gt;P120,0,IF($B119=P120,$B115-P122,IF(+M123-P122&lt;0.005,0,+M123-P122)))</f>
        <v>0</v>
      </c>
      <c r="Q123" s="25"/>
      <c r="R123" s="25"/>
      <c r="S123" s="3167">
        <f ca="1">IF($B119&gt;S120,0,IF($B119=S120,$B115-S122,IF(+P123-S122&lt;0.005,0,+P123-S122)))</f>
        <v>0</v>
      </c>
      <c r="T123" s="25"/>
      <c r="U123" s="25"/>
      <c r="V123" s="3167">
        <f ca="1">IF($B119&gt;V120,0,IF($B119=V120,$B115-V122,IF(+S123-V122&lt;0.005,0,+S123-V122)))</f>
        <v>0</v>
      </c>
      <c r="W123" s="25"/>
      <c r="X123" s="25"/>
      <c r="Y123" s="3167">
        <f ca="1">IF($B119&gt;Y120,0,IF($B119=Y120,$B115-Y122,IF(+V123-Y122&lt;0.005,0,+V123-Y122)))</f>
        <v>0</v>
      </c>
      <c r="Z123" s="25"/>
      <c r="AA123" s="25"/>
      <c r="AB123" s="3167">
        <f ca="1">IF($B119&gt;AB120,0,IF($B119=AB120,$B115-AB122,IF(+Y123-AB122&lt;0.005,0,+Y123-AB122)))</f>
        <v>0</v>
      </c>
      <c r="AC123" s="25"/>
      <c r="AD123" s="25"/>
      <c r="AE123" s="3167">
        <f ca="1">IF($B119&gt;AE120,0,IF($B119=AE120,$B115-AE122,IF(+AB123-AE122&lt;0.005,0,+AB123-AE122)))</f>
        <v>0</v>
      </c>
      <c r="AF123" s="25"/>
      <c r="AG123" s="25"/>
      <c r="AH123" s="3167">
        <f ca="1">IF($B119&gt;AH120,0,IF($B119=AH120,$B115-AH122,IF(+AE123-AH122&lt;0.005,0,+AE123-AH122)))</f>
        <v>0</v>
      </c>
      <c r="AI123" s="25"/>
      <c r="AJ123" s="25"/>
      <c r="AK123" s="3167">
        <f ca="1">IF($B119&gt;AK120,0,IF($B119=AK120,$B115-AK122,IF(+AH123-AK122&lt;0.005,0,+AH123-AK122)))</f>
        <v>0</v>
      </c>
      <c r="AL123" s="25"/>
      <c r="AM123" s="25"/>
      <c r="AN123" s="3167">
        <f ca="1">IF($B119&gt;AN120,0,IF($B119=AN120,$B115-AN122,IF(+AK123-AN122&lt;0.005,0,+AK123-AN122)))</f>
        <v>0</v>
      </c>
      <c r="AO123" s="25"/>
      <c r="AP123" s="25"/>
      <c r="AQ123" s="3167">
        <f ca="1">IF($B119&gt;AQ120,0,IF($B119=AQ120,$B115-AQ122,IF(+AN123-AQ122&lt;0.005,0,+AN123-AQ122)))</f>
        <v>0</v>
      </c>
      <c r="AR123" s="25"/>
      <c r="AS123" s="25"/>
      <c r="AT123" s="3167">
        <f ca="1">IF($B119&gt;AT120,0,IF($B119=AT120,$B115-AT122,IF(+AQ123-AT122&lt;0.005,0,+AQ123-AT122)))</f>
        <v>0</v>
      </c>
      <c r="AU123" s="25"/>
      <c r="AV123" s="3157"/>
    </row>
    <row r="124" spans="1:48" ht="12.5">
      <c r="A124" s="3163" t="s">
        <v>2070</v>
      </c>
      <c r="B124" s="3164"/>
      <c r="C124" s="25"/>
      <c r="D124" s="3164">
        <f>B124</f>
        <v>0</v>
      </c>
      <c r="E124" s="25"/>
      <c r="F124" s="25"/>
      <c r="G124" s="3164">
        <f>D124</f>
        <v>0</v>
      </c>
      <c r="H124" s="25"/>
      <c r="I124" s="25"/>
      <c r="J124" s="3164">
        <f>G124</f>
        <v>0</v>
      </c>
      <c r="K124" s="25"/>
      <c r="L124" s="25"/>
      <c r="M124" s="3164">
        <f>J124</f>
        <v>0</v>
      </c>
      <c r="N124" s="25"/>
      <c r="O124" s="25"/>
      <c r="P124" s="3164">
        <f>M124</f>
        <v>0</v>
      </c>
      <c r="Q124" s="25"/>
      <c r="R124" s="25"/>
      <c r="S124" s="3164">
        <f>P124</f>
        <v>0</v>
      </c>
      <c r="T124" s="25"/>
      <c r="U124" s="25"/>
      <c r="V124" s="3164">
        <f>S124</f>
        <v>0</v>
      </c>
      <c r="W124" s="25"/>
      <c r="X124" s="25"/>
      <c r="Y124" s="3164">
        <f>V124</f>
        <v>0</v>
      </c>
      <c r="Z124" s="25"/>
      <c r="AA124" s="25"/>
      <c r="AB124" s="3164">
        <f>Y124</f>
        <v>0</v>
      </c>
      <c r="AC124" s="25"/>
      <c r="AD124" s="25"/>
      <c r="AE124" s="3164">
        <f>AB124</f>
        <v>0</v>
      </c>
      <c r="AF124" s="25"/>
      <c r="AG124" s="25"/>
      <c r="AH124" s="3164">
        <f>AE124</f>
        <v>0</v>
      </c>
      <c r="AI124" s="25"/>
      <c r="AJ124" s="25"/>
      <c r="AK124" s="3164">
        <f>AH124</f>
        <v>0</v>
      </c>
      <c r="AL124" s="25"/>
      <c r="AM124" s="25"/>
      <c r="AN124" s="3164">
        <f>AK124</f>
        <v>0</v>
      </c>
      <c r="AO124" s="25"/>
      <c r="AP124" s="25"/>
      <c r="AQ124" s="3164">
        <f>AN124</f>
        <v>0</v>
      </c>
      <c r="AR124" s="25"/>
      <c r="AS124" s="25"/>
      <c r="AT124" s="3164">
        <f>AQ124</f>
        <v>0</v>
      </c>
      <c r="AU124" s="25"/>
      <c r="AV124" s="3157"/>
    </row>
    <row r="125" spans="1:48" ht="12.5">
      <c r="A125" s="3163" t="s">
        <v>2071</v>
      </c>
      <c r="B125" s="3168">
        <f ca="1">IF(OR($B119&lt;&gt;B120,B124="",B124=0),0,IF(AND(B121=0,$I$359=1),B124,IF(B121=0,NOMINAL(B124,12)*IF($B119=B120,$I$359,1),IF(AND($B119=B120,ROUNDDOWN($C$359,0)=B120),$E$359,1)*NOMINAL(B124,VLOOKUP($B114,$P$357:$R$360,3,0))/VLOOKUP($B114,$P$357:$R$360,3,0)))*((IF(B121=0,1,IF(AND($B119=B120,B121&lt;ROUNDDOWN(VLOOKUP($B114,$P$357:$R$360,3,0)/$H$359,0)),ROUNDDOWN(B121*$H$359,0),IF(AND($B119&lt;B120,B121&lt;ROUNDDOWN(VLOOKUP($B114,$P$357:$R$360,3,0)/$H$359,0)),ROUND(AVERAGE(ROUNDDOWN(B121*$H$359,0),2*VLOOKUP($B114,$P$357:$R$360,3,0)),0),VLOOKUP($B114,$P$357:$R$360,3,0))))*$B115)-((B122*(IF(B121=0,1,IF(AND($B119=B120,B121&lt;ROUNDDOWN(VLOOKUP($B114,$P$357:$R$360,3,0)/$H$359,0)),ROUNDDOWN(B121*$H$359,0),IF(AND($B119&lt;B120,B121&lt;ROUNDDOWN(VLOOKUP($B114,$P$357:$R$360,3,0)/$H$359,0)),ROUND(AVERAGE(ROUNDDOWN(B121*$H$359,0),2*VLOOKUP($B114,$P$357:$R$360,3,0)),0),VLOOKUP($B114,$P$357:$R$360,3,0))))-1))/2)))</f>
        <v>0</v>
      </c>
      <c r="C125" s="3169"/>
      <c r="D125" s="3168">
        <f ca="1">IF(OR($B119&gt;D120,D124="",D124=0),0,IF(AND(D121=0,OR(D120&gt;$B119,$I$359=1)),D124,IF(D121=0,NOMINAL(D124,12)*IF($B119=D120,$I$359,1),IF(AND($B119=D120,ROUNDDOWN($C$359,0)=D120),$E$359,1)*NOMINAL(D124,VLOOKUP($B114,$P$357:$R$360,3,0))/VLOOKUP($B114,$P$357:$R$360,3,0)))*((IF(D121=0,1,IF(AND($B119=D120,D121&lt;ROUNDDOWN(VLOOKUP($B114,$P$357:$R$360,3,0)/$H$359,0)),ROUNDDOWN(D121*$H$359,0),IF(AND($B119&lt;D120,D121&lt;ROUNDDOWN(VLOOKUP($B114,$P$357:$R$360,3,0)/$H$359,0)),ROUND(AVERAGE(ROUNDDOWN(D121*$H$359,0),2*VLOOKUP($B114,$P$357:$R$360,3,0)),0),VLOOKUP($B114,$P$357:$R$360,3,0))))*IF($B119=D120,$B115,SUM(B123:B123)))-((D122*(IF(D121=0,1,IF(AND($B119=D120,D121&lt;ROUNDDOWN(VLOOKUP($B114,$P$357:$R$360,3,0)/$H$359,0)),ROUNDDOWN(D121*$H$359,0),IF(AND($B119&lt;D120,D121&lt;ROUNDDOWN(VLOOKUP($B114,$P$357:$R$360,3,0)/$H$359,0)),ROUND(AVERAGE(ROUNDDOWN(D121*$H$359,0),2*VLOOKUP($B114,$P$357:$R$360,3,0)),0),VLOOKUP($B114,$P$357:$R$360,3,0))))-1))/2)))</f>
        <v>0</v>
      </c>
      <c r="E125" s="26"/>
      <c r="F125" s="26"/>
      <c r="G125" s="3168">
        <f ca="1">IF(OR($B119&gt;G120,G124="",G124=0),0,IF(AND(G121=0,OR(G120&gt;$B119,$I$359=1)),G124,IF(G121=0,NOMINAL(G124,12)*IF($B119=G120,$I$359,1),IF(AND($B119=G120,ROUNDDOWN($C$359,0)=G120),$E$359,1)*NOMINAL(G124,VLOOKUP($B114,$P$357:$R$360,3,0))/VLOOKUP($B114,$P$357:$R$360,3,0)))*((IF(G121=0,1,IF(AND($B119=G120,G121&lt;ROUNDDOWN(VLOOKUP($B114,$P$357:$R$360,3,0)/$H$359,0)),ROUNDDOWN(G121*$H$359,0),IF(AND($B119&lt;G120,G121&lt;ROUNDDOWN(VLOOKUP($B114,$P$357:$R$360,3,0)/$H$359,0)),ROUND(AVERAGE(ROUNDDOWN(G121*$H$359,0),2*VLOOKUP($B114,$P$357:$R$360,3,0)),0),VLOOKUP($B114,$P$357:$R$360,3,0))))*IF($B119=G120,$B115,SUM(D123:D123)))-((G122*(IF(G121=0,1,IF(AND($B119=G120,G121&lt;ROUNDDOWN(VLOOKUP($B114,$P$357:$R$360,3,0)/$H$359,0)),ROUNDDOWN(G121*$H$359,0),IF(AND($B119&lt;G120,G121&lt;ROUNDDOWN(VLOOKUP($B114,$P$357:$R$360,3,0)/$H$359,0)),ROUND(AVERAGE(ROUNDDOWN(G121*$H$359,0),2*VLOOKUP($B114,$P$357:$R$360,3,0)),0),VLOOKUP($B114,$P$357:$R$360,3,0))))-1))/2)))</f>
        <v>0</v>
      </c>
      <c r="H125" s="26"/>
      <c r="I125" s="26"/>
      <c r="J125" s="3168">
        <f ca="1">IF(OR($B119&gt;J120,J124="",J124=0),0,IF(AND(J121=0,OR(J120&gt;$B119,$I$359=1)),J124,IF(J121=0,NOMINAL(J124,12)*IF($B119=J120,$I$359,1),IF(AND($B119=J120,ROUNDDOWN($C$359,0)=J120),$E$359,1)*NOMINAL(J124,VLOOKUP($B114,$P$357:$R$360,3,0))/VLOOKUP($B114,$P$357:$R$360,3,0)))*((IF(J121=0,1,IF(AND($B119=J120,J121&lt;ROUNDDOWN(VLOOKUP($B114,$P$357:$R$360,3,0)/$H$359,0)),ROUNDDOWN(J121*$H$359,0),IF(AND($B119&lt;J120,J121&lt;ROUNDDOWN(VLOOKUP($B114,$P$357:$R$360,3,0)/$H$359,0)),ROUND(AVERAGE(ROUNDDOWN(J121*$H$359,0),2*VLOOKUP($B114,$P$357:$R$360,3,0)),0),VLOOKUP($B114,$P$357:$R$360,3,0))))*IF($B119=J120,$B115,SUM(G123:G123)))-((J122*(IF(J121=0,1,IF(AND($B119=J120,J121&lt;ROUNDDOWN(VLOOKUP($B114,$P$357:$R$360,3,0)/$H$359,0)),ROUNDDOWN(J121*$H$359,0),IF(AND($B119&lt;J120,J121&lt;ROUNDDOWN(VLOOKUP($B114,$P$357:$R$360,3,0)/$H$359,0)),ROUND(AVERAGE(ROUNDDOWN(J121*$H$359,0),2*VLOOKUP($B114,$P$357:$R$360,3,0)),0),VLOOKUP($B114,$P$357:$R$360,3,0))))-1))/2)))</f>
        <v>0</v>
      </c>
      <c r="K125" s="26"/>
      <c r="L125" s="26"/>
      <c r="M125" s="3168">
        <f ca="1">IF(OR($B119&gt;M120,M124="",M124=0),0,IF(AND(M121=0,OR(M120&gt;$B119,$I$359=1)),M124,IF(M121=0,NOMINAL(M124,12)*IF($B119=M120,$I$359,1),IF(AND($B119=M120,ROUNDDOWN($C$359,0)=M120),$E$359,1)*NOMINAL(M124,VLOOKUP($B114,$P$357:$R$360,3,0))/VLOOKUP($B114,$P$357:$R$360,3,0)))*((IF(M121=0,1,IF(AND($B119=M120,M121&lt;ROUNDDOWN(VLOOKUP($B114,$P$357:$R$360,3,0)/$H$359,0)),ROUNDDOWN(M121*$H$359,0),IF(AND($B119&lt;M120,M121&lt;ROUNDDOWN(VLOOKUP($B114,$P$357:$R$360,3,0)/$H$359,0)),ROUND(AVERAGE(ROUNDDOWN(M121*$H$359,0),2*VLOOKUP($B114,$P$357:$R$360,3,0)),0),VLOOKUP($B114,$P$357:$R$360,3,0))))*IF($B119=M120,$B115,SUM(J123:J123)))-((M122*(IF(M121=0,1,IF(AND($B119=M120,M121&lt;ROUNDDOWN(VLOOKUP($B114,$P$357:$R$360,3,0)/$H$359,0)),ROUNDDOWN(M121*$H$359,0),IF(AND($B119&lt;M120,M121&lt;ROUNDDOWN(VLOOKUP($B114,$P$357:$R$360,3,0)/$H$359,0)),ROUND(AVERAGE(ROUNDDOWN(M121*$H$359,0),2*VLOOKUP($B114,$P$357:$R$360,3,0)),0),VLOOKUP($B114,$P$357:$R$360,3,0))))-1))/2)))</f>
        <v>0</v>
      </c>
      <c r="N125" s="26"/>
      <c r="O125" s="26"/>
      <c r="P125" s="3168">
        <f ca="1">IF(OR($B119&gt;P120,P124="",P124=0),0,IF(AND(P121=0,OR(P120&gt;$B119,$I$359=1)),P124,IF(P121=0,NOMINAL(P124,12)*IF($B119=P120,$I$359,1),IF(AND($B119=P120,ROUNDDOWN($C$359,0)=P120),$E$359,1)*NOMINAL(P124,VLOOKUP($B114,$P$357:$R$360,3,0))/VLOOKUP($B114,$P$357:$R$360,3,0)))*((IF(P121=0,1,IF(AND($B119=P120,P121&lt;ROUNDDOWN(VLOOKUP($B114,$P$357:$R$360,3,0)/$H$359,0)),ROUNDDOWN(P121*$H$359,0),IF(AND($B119&lt;P120,P121&lt;ROUNDDOWN(VLOOKUP($B114,$P$357:$R$360,3,0)/$H$359,0)),ROUND(AVERAGE(ROUNDDOWN(P121*$H$359,0),2*VLOOKUP($B114,$P$357:$R$360,3,0)),0),VLOOKUP($B114,$P$357:$R$360,3,0))))*IF($B119=P120,$B115,SUM(M123:M123)))-((P122*(IF(P121=0,1,IF(AND($B119=P120,P121&lt;ROUNDDOWN(VLOOKUP($B114,$P$357:$R$360,3,0)/$H$359,0)),ROUNDDOWN(P121*$H$359,0),IF(AND($B119&lt;P120,P121&lt;ROUNDDOWN(VLOOKUP($B114,$P$357:$R$360,3,0)/$H$359,0)),ROUND(AVERAGE(ROUNDDOWN(P121*$H$359,0),2*VLOOKUP($B114,$P$357:$R$360,3,0)),0),VLOOKUP($B114,$P$357:$R$360,3,0))))-1))/2)))</f>
        <v>0</v>
      </c>
      <c r="Q125" s="26"/>
      <c r="R125" s="26"/>
      <c r="S125" s="3168">
        <f ca="1">IF(OR($B119&gt;S120,S124="",S124=0),0,IF(AND(S121=0,OR(S120&gt;$B119,$I$359=1)),S124,IF(S121=0,NOMINAL(S124,12)*IF($B119=S120,$I$359,1),IF(AND($B119=S120,ROUNDDOWN($C$359,0)=S120),$E$359,1)*NOMINAL(S124,VLOOKUP($B114,$P$357:$R$360,3,0))/VLOOKUP($B114,$P$357:$R$360,3,0)))*((IF(S121=0,1,IF(AND($B119=S120,S121&lt;ROUNDDOWN(VLOOKUP($B114,$P$357:$R$360,3,0)/$H$359,0)),ROUNDDOWN(S121*$H$359,0),IF(AND($B119&lt;S120,S121&lt;ROUNDDOWN(VLOOKUP($B114,$P$357:$R$360,3,0)/$H$359,0)),ROUND(AVERAGE(ROUNDDOWN(S121*$H$359,0),2*VLOOKUP($B114,$P$357:$R$360,3,0)),0),VLOOKUP($B114,$P$357:$R$360,3,0))))*IF($B119=S120,$B115,SUM(P123:P123)))-((S122*(IF(S121=0,1,IF(AND($B119=S120,S121&lt;ROUNDDOWN(VLOOKUP($B114,$P$357:$R$360,3,0)/$H$359,0)),ROUNDDOWN(S121*$H$359,0),IF(AND($B119&lt;S120,S121&lt;ROUNDDOWN(VLOOKUP($B114,$P$357:$R$360,3,0)/$H$359,0)),ROUND(AVERAGE(ROUNDDOWN(S121*$H$359,0),2*VLOOKUP($B114,$P$357:$R$360,3,0)),0),VLOOKUP($B114,$P$357:$R$360,3,0))))-1))/2)))</f>
        <v>0</v>
      </c>
      <c r="T125" s="26"/>
      <c r="U125" s="26"/>
      <c r="V125" s="3168">
        <f ca="1">IF(OR($B119&gt;V120,V124="",V124=0),0,IF(AND(V121=0,OR(V120&gt;$B119,$I$359=1)),V124,IF(V121=0,NOMINAL(V124,12)*IF($B119=V120,$I$359,1),IF(AND($B119=V120,ROUNDDOWN($C$359,0)=V120),$E$359,1)*NOMINAL(V124,VLOOKUP($B114,$P$357:$R$360,3,0))/VLOOKUP($B114,$P$357:$R$360,3,0)))*((IF(V121=0,1,IF(AND($B119=V120,V121&lt;ROUNDDOWN(VLOOKUP($B114,$P$357:$R$360,3,0)/$H$359,0)),ROUNDDOWN(V121*$H$359,0),IF(AND($B119&lt;V120,V121&lt;ROUNDDOWN(VLOOKUP($B114,$P$357:$R$360,3,0)/$H$359,0)),ROUND(AVERAGE(ROUNDDOWN(V121*$H$359,0),2*VLOOKUP($B114,$P$357:$R$360,3,0)),0),VLOOKUP($B114,$P$357:$R$360,3,0))))*IF($B119=V120,$B115,SUM(S123:S123)))-((V122*(IF(V121=0,1,IF(AND($B119=V120,V121&lt;ROUNDDOWN(VLOOKUP($B114,$P$357:$R$360,3,0)/$H$359,0)),ROUNDDOWN(V121*$H$359,0),IF(AND($B119&lt;V120,V121&lt;ROUNDDOWN(VLOOKUP($B114,$P$357:$R$360,3,0)/$H$359,0)),ROUND(AVERAGE(ROUNDDOWN(V121*$H$359,0),2*VLOOKUP($B114,$P$357:$R$360,3,0)),0),VLOOKUP($B114,$P$357:$R$360,3,0))))-1))/2)))</f>
        <v>0</v>
      </c>
      <c r="W125" s="26"/>
      <c r="X125" s="26"/>
      <c r="Y125" s="3168">
        <f ca="1">IF(OR($B119&gt;Y120,Y124="",Y124=0),0,IF(AND(Y121=0,OR(Y120&gt;$B119,$I$359=1)),Y124,IF(Y121=0,NOMINAL(Y124,12)*IF($B119=Y120,$I$359,1),IF(AND($B119=Y120,ROUNDDOWN($C$359,0)=Y120),$E$359,1)*NOMINAL(Y124,VLOOKUP($B114,$P$357:$R$360,3,0))/VLOOKUP($B114,$P$357:$R$360,3,0)))*((IF(Y121=0,1,IF(AND($B119=Y120,Y121&lt;ROUNDDOWN(VLOOKUP($B114,$P$357:$R$360,3,0)/$H$359,0)),ROUNDDOWN(Y121*$H$359,0),IF(AND($B119&lt;Y120,Y121&lt;ROUNDDOWN(VLOOKUP($B114,$P$357:$R$360,3,0)/$H$359,0)),ROUND(AVERAGE(ROUNDDOWN(Y121*$H$359,0),2*VLOOKUP($B114,$P$357:$R$360,3,0)),0),VLOOKUP($B114,$P$357:$R$360,3,0))))*IF($B119=Y120,$B115,SUM(V123:V123)))-((Y122*(IF(Y121=0,1,IF(AND($B119=Y120,Y121&lt;ROUNDDOWN(VLOOKUP($B114,$P$357:$R$360,3,0)/$H$359,0)),ROUNDDOWN(Y121*$H$359,0),IF(AND($B119&lt;Y120,Y121&lt;ROUNDDOWN(VLOOKUP($B114,$P$357:$R$360,3,0)/$H$359,0)),ROUND(AVERAGE(ROUNDDOWN(Y121*$H$359,0),2*VLOOKUP($B114,$P$357:$R$360,3,0)),0),VLOOKUP($B114,$P$357:$R$360,3,0))))-1))/2)))</f>
        <v>0</v>
      </c>
      <c r="Z125" s="26"/>
      <c r="AA125" s="26"/>
      <c r="AB125" s="3168">
        <f ca="1">IF(OR($B119&gt;AB120,AB124="",AB124=0),0,IF(AND(AB121=0,OR(AB120&gt;$B119,$I$359=1)),AB124,IF(AB121=0,NOMINAL(AB124,12)*IF($B119=AB120,$I$359,1),IF(AND($B119=AB120,ROUNDDOWN($C$359,0)=AB120),$E$359,1)*NOMINAL(AB124,VLOOKUP($B114,$P$357:$R$360,3,0))/VLOOKUP($B114,$P$357:$R$360,3,0)))*((IF(AB121=0,1,IF(AND($B119=AB120,AB121&lt;ROUNDDOWN(VLOOKUP($B114,$P$357:$R$360,3,0)/$H$359,0)),ROUNDDOWN(AB121*$H$359,0),IF(AND($B119&lt;AB120,AB121&lt;ROUNDDOWN(VLOOKUP($B114,$P$357:$R$360,3,0)/$H$359,0)),ROUND(AVERAGE(ROUNDDOWN(AB121*$H$359,0),2*VLOOKUP($B114,$P$357:$R$360,3,0)),0),VLOOKUP($B114,$P$357:$R$360,3,0))))*IF($B119=AB120,$B115,SUM(Y123:Y123)))-((AB122*(IF(AB121=0,1,IF(AND($B119=AB120,AB121&lt;ROUNDDOWN(VLOOKUP($B114,$P$357:$R$360,3,0)/$H$359,0)),ROUNDDOWN(AB121*$H$359,0),IF(AND($B119&lt;AB120,AB121&lt;ROUNDDOWN(VLOOKUP($B114,$P$357:$R$360,3,0)/$H$359,0)),ROUND(AVERAGE(ROUNDDOWN(AB121*$H$359,0),2*VLOOKUP($B114,$P$357:$R$360,3,0)),0),VLOOKUP($B114,$P$357:$R$360,3,0))))-1))/2)))</f>
        <v>0</v>
      </c>
      <c r="AC125" s="26"/>
      <c r="AD125" s="26"/>
      <c r="AE125" s="3168">
        <f ca="1">IF(OR($B119&gt;AE120,AE124="",AE124=0),0,IF(AND(AE121=0,OR(AE120&gt;$B119,$I$359=1)),AE124,IF(AE121=0,NOMINAL(AE124,12)*IF($B119=AE120,$I$359,1),IF(AND($B119=AE120,ROUNDDOWN($C$359,0)=AE120),$E$359,1)*NOMINAL(AE124,VLOOKUP($B114,$P$357:$R$360,3,0))/VLOOKUP($B114,$P$357:$R$360,3,0)))*((IF(AE121=0,1,IF(AND($B119=AE120,AE121&lt;ROUNDDOWN(VLOOKUP($B114,$P$357:$R$360,3,0)/$H$359,0)),ROUNDDOWN(AE121*$H$359,0),IF(AND($B119&lt;AE120,AE121&lt;ROUNDDOWN(VLOOKUP($B114,$P$357:$R$360,3,0)/$H$359,0)),ROUND(AVERAGE(ROUNDDOWN(AE121*$H$359,0),2*VLOOKUP($B114,$P$357:$R$360,3,0)),0),VLOOKUP($B114,$P$357:$R$360,3,0))))*IF($B119=AE120,$B115,SUM(AB123:AB123)))-((AE122*(IF(AE121=0,1,IF(AND($B119=AE120,AE121&lt;ROUNDDOWN(VLOOKUP($B114,$P$357:$R$360,3,0)/$H$359,0)),ROUNDDOWN(AE121*$H$359,0),IF(AND($B119&lt;AE120,AE121&lt;ROUNDDOWN(VLOOKUP($B114,$P$357:$R$360,3,0)/$H$359,0)),ROUND(AVERAGE(ROUNDDOWN(AE121*$H$359,0),2*VLOOKUP($B114,$P$357:$R$360,3,0)),0),VLOOKUP($B114,$P$357:$R$360,3,0))))-1))/2)))</f>
        <v>0</v>
      </c>
      <c r="AF125" s="3169"/>
      <c r="AG125" s="26"/>
      <c r="AH125" s="3168">
        <f ca="1">IF(OR($B119&gt;AH120,AH124="",AH124=0),0,IF(AND(AH121=0,OR(AH120&gt;$B119,$I$359=1)),AH124,IF(AH121=0,NOMINAL(AH124,12)*IF($B119=AH120,$I$359,1),IF(AND($B119=AH120,ROUNDDOWN($C$359,0)=AH120),$E$359,1)*NOMINAL(AH124,VLOOKUP($B114,$P$357:$R$360,3,0))/VLOOKUP($B114,$P$357:$R$360,3,0)))*((IF(AH121=0,1,IF(AND($B119=AH120,AH121&lt;ROUNDDOWN(VLOOKUP($B114,$P$357:$R$360,3,0)/$H$359,0)),ROUNDDOWN(AH121*$H$359,0),IF(AND($B119&lt;AH120,AH121&lt;ROUNDDOWN(VLOOKUP($B114,$P$357:$R$360,3,0)/$H$359,0)),ROUND(AVERAGE(ROUNDDOWN(AH121*$H$359,0),2*VLOOKUP($B114,$P$357:$R$360,3,0)),0),VLOOKUP($B114,$P$357:$R$360,3,0))))*IF($B119=AH120,$B115,SUM(AE123:AE123)))-((AH122*(IF(AH121=0,1,IF(AND($B119=AH120,AH121&lt;ROUNDDOWN(VLOOKUP($B114,$P$357:$R$360,3,0)/$H$359,0)),ROUNDDOWN(AH121*$H$359,0),IF(AND($B119&lt;AH120,AH121&lt;ROUNDDOWN(VLOOKUP($B114,$P$357:$R$360,3,0)/$H$359,0)),ROUND(AVERAGE(ROUNDDOWN(AH121*$H$359,0),2*VLOOKUP($B114,$P$357:$R$360,3,0)),0),VLOOKUP($B114,$P$357:$R$360,3,0))))-1))/2)))</f>
        <v>0</v>
      </c>
      <c r="AI125" s="26"/>
      <c r="AJ125" s="26"/>
      <c r="AK125" s="3168">
        <f ca="1">IF(OR($B119&gt;AK120,AK124="",AK124=0),0,IF(AND(AK121=0,OR(AK120&gt;$B119,$I$359=1)),AK124,IF(AK121=0,NOMINAL(AK124,12)*IF($B119=AK120,$I$359,1),IF(AND($B119=AK120,ROUNDDOWN($C$359,0)=AK120),$E$359,1)*NOMINAL(AK124,VLOOKUP($B114,$P$357:$R$360,3,0))/VLOOKUP($B114,$P$357:$R$360,3,0)))*((IF(AK121=0,1,IF(AND($B119=AK120,AK121&lt;ROUNDDOWN(VLOOKUP($B114,$P$357:$R$360,3,0)/$H$359,0)),ROUNDDOWN(AK121*$H$359,0),IF(AND($B119&lt;AK120,AK121&lt;ROUNDDOWN(VLOOKUP($B114,$P$357:$R$360,3,0)/$H$359,0)),ROUND(AVERAGE(ROUNDDOWN(AK121*$H$359,0),2*VLOOKUP($B114,$P$357:$R$360,3,0)),0),VLOOKUP($B114,$P$357:$R$360,3,0))))*IF($B119=AK120,$B115,SUM(AH123:AH123)))-((AK122*(IF(AK121=0,1,IF(AND($B119=AK120,AK121&lt;ROUNDDOWN(VLOOKUP($B114,$P$357:$R$360,3,0)/$H$359,0)),ROUNDDOWN(AK121*$H$359,0),IF(AND($B119&lt;AK120,AK121&lt;ROUNDDOWN(VLOOKUP($B114,$P$357:$R$360,3,0)/$H$359,0)),ROUND(AVERAGE(ROUNDDOWN(AK121*$H$359,0),2*VLOOKUP($B114,$P$357:$R$360,3,0)),0),VLOOKUP($B114,$P$357:$R$360,3,0))))-1))/2)))</f>
        <v>0</v>
      </c>
      <c r="AL125" s="26"/>
      <c r="AM125" s="26"/>
      <c r="AN125" s="3168">
        <f ca="1">IF(OR($B119&gt;AN120,AN124="",AN124=0),0,IF(AND(AN121=0,OR(AN120&gt;$B119,$I$359=1)),AN124,IF(AN121=0,NOMINAL(AN124,12)*IF($B119=AN120,$I$359,1),IF(AND($B119=AN120,ROUNDDOWN($C$359,0)=AN120),$E$359,1)*NOMINAL(AN124,VLOOKUP($B114,$P$357:$R$360,3,0))/VLOOKUP($B114,$P$357:$R$360,3,0)))*((IF(AN121=0,1,IF(AND($B119=AN120,AN121&lt;ROUNDDOWN(VLOOKUP($B114,$P$357:$R$360,3,0)/$H$359,0)),ROUNDDOWN(AN121*$H$359,0),IF(AND($B119&lt;AN120,AN121&lt;ROUNDDOWN(VLOOKUP($B114,$P$357:$R$360,3,0)/$H$359,0)),ROUND(AVERAGE(ROUNDDOWN(AN121*$H$359,0),2*VLOOKUP($B114,$P$357:$R$360,3,0)),0),VLOOKUP($B114,$P$357:$R$360,3,0))))*IF($B119=AN120,$B115,SUM(AK123:AK123)))-((AN122*(IF(AN121=0,1,IF(AND($B119=AN120,AN121&lt;ROUNDDOWN(VLOOKUP($B114,$P$357:$R$360,3,0)/$H$359,0)),ROUNDDOWN(AN121*$H$359,0),IF(AND($B119&lt;AN120,AN121&lt;ROUNDDOWN(VLOOKUP($B114,$P$357:$R$360,3,0)/$H$359,0)),ROUND(AVERAGE(ROUNDDOWN(AN121*$H$359,0),2*VLOOKUP($B114,$P$357:$R$360,3,0)),0),VLOOKUP($B114,$P$357:$R$360,3,0))))-1))/2)))</f>
        <v>0</v>
      </c>
      <c r="AO125" s="26"/>
      <c r="AP125" s="26"/>
      <c r="AQ125" s="3168">
        <f ca="1">IF(OR($B119&gt;AQ120,AQ124="",AQ124=0),0,IF(AND(AQ121=0,OR(AQ120&gt;$B119,$I$359=1)),AQ124,IF(AQ121=0,NOMINAL(AQ124,12)*IF($B119=AQ120,$I$359,1),IF(AND($B119=AQ120,ROUNDDOWN($C$359,0)=AQ120),$E$359,1)*NOMINAL(AQ124,VLOOKUP($B114,$P$357:$R$360,3,0))/VLOOKUP($B114,$P$357:$R$360,3,0)))*((IF(AQ121=0,1,IF(AND($B119=AQ120,AQ121&lt;ROUNDDOWN(VLOOKUP($B114,$P$357:$R$360,3,0)/$H$359,0)),ROUNDDOWN(AQ121*$H$359,0),IF(AND($B119&lt;AQ120,AQ121&lt;ROUNDDOWN(VLOOKUP($B114,$P$357:$R$360,3,0)/$H$359,0)),ROUND(AVERAGE(ROUNDDOWN(AQ121*$H$359,0),2*VLOOKUP($B114,$P$357:$R$360,3,0)),0),VLOOKUP($B114,$P$357:$R$360,3,0))))*IF($B119=AQ120,$B115,SUM(AN123:AN123)))-((AQ122*(IF(AQ121=0,1,IF(AND($B119=AQ120,AQ121&lt;ROUNDDOWN(VLOOKUP($B114,$P$357:$R$360,3,0)/$H$359,0)),ROUNDDOWN(AQ121*$H$359,0),IF(AND($B119&lt;AQ120,AQ121&lt;ROUNDDOWN(VLOOKUP($B114,$P$357:$R$360,3,0)/$H$359,0)),ROUND(AVERAGE(ROUNDDOWN(AQ121*$H$359,0),2*VLOOKUP($B114,$P$357:$R$360,3,0)),0),VLOOKUP($B114,$P$357:$R$360,3,0))))-1))/2)))</f>
        <v>0</v>
      </c>
      <c r="AR125" s="26"/>
      <c r="AS125" s="26"/>
      <c r="AT125" s="3168">
        <f ca="1">IF(OR($B119&gt;AT120,AT124="",AT124=0),0,IF(AND(AT121=0,OR(AT120&gt;$B119,$I$359=1)),AT124,IF(AT121=0,NOMINAL(AT124,12)*IF($B119=AT120,$I$359,1),IF(AND($B119=AT120,ROUNDDOWN($C$359,0)=AT120),$E$359,1)*NOMINAL(AT124,VLOOKUP($B114,$P$357:$R$360,3,0))/VLOOKUP($B114,$P$357:$R$360,3,0)))*((IF(AT121=0,1,IF(AND($B119=AT120,AT121&lt;ROUNDDOWN(VLOOKUP($B114,$P$357:$R$360,3,0)/$H$359,0)),ROUNDDOWN(AT121*$H$359,0),IF(AND($B119&lt;AT120,AT121&lt;ROUNDDOWN(VLOOKUP($B114,$P$357:$R$360,3,0)/$H$359,0)),ROUND(AVERAGE(ROUNDDOWN(AT121*$H$359,0),2*VLOOKUP($B114,$P$357:$R$360,3,0)),0),VLOOKUP($B114,$P$357:$R$360,3,0))))*IF($B119=AT120,$B115,SUM(AQ123:AQ123)))-((AT122*(IF(AT121=0,1,IF(AND($B119=AT120,AT121&lt;ROUNDDOWN(VLOOKUP($B114,$P$357:$R$360,3,0)/$H$359,0)),ROUNDDOWN(AT121*$H$359,0),IF(AND($B119&lt;AT120,AT121&lt;ROUNDDOWN(VLOOKUP($B114,$P$357:$R$360,3,0)/$H$359,0)),ROUND(AVERAGE(ROUNDDOWN(AT121*$H$359,0),2*VLOOKUP($B114,$P$357:$R$360,3,0)),0),VLOOKUP($B114,$P$357:$R$360,3,0))))-1))/2)))</f>
        <v>0</v>
      </c>
      <c r="AU125" s="3169"/>
      <c r="AV125" s="3157"/>
    </row>
    <row r="126" spans="1:48" ht="13" thickBot="1">
      <c r="AV126" s="3157"/>
    </row>
    <row r="127" spans="1:48" ht="12.5">
      <c r="A127" s="3170" t="s">
        <v>2072</v>
      </c>
      <c r="B127" s="3171"/>
      <c r="C127" s="3172"/>
      <c r="D127" s="3172"/>
      <c r="E127" s="3172"/>
      <c r="F127" s="3172"/>
      <c r="G127" s="3172"/>
      <c r="H127" s="3172"/>
      <c r="I127" s="3172"/>
      <c r="J127" s="3172"/>
      <c r="K127" s="3172"/>
      <c r="L127" s="3172"/>
      <c r="M127" s="3172"/>
      <c r="N127" s="3172"/>
      <c r="O127" s="3172"/>
      <c r="P127" s="3172"/>
      <c r="Q127" s="3172"/>
      <c r="R127" s="3172"/>
      <c r="S127" s="3172"/>
      <c r="T127" s="3172"/>
      <c r="U127" s="3172"/>
      <c r="V127" s="3172"/>
      <c r="W127" s="3172"/>
      <c r="X127" s="3172"/>
      <c r="Y127" s="3172"/>
      <c r="Z127" s="3172"/>
      <c r="AA127" s="3172"/>
      <c r="AB127" s="3172"/>
      <c r="AC127" s="3172"/>
      <c r="AD127" s="3172"/>
      <c r="AE127" s="3172"/>
      <c r="AF127" s="3172"/>
      <c r="AG127" s="3172"/>
      <c r="AH127" s="3172"/>
      <c r="AI127" s="3172"/>
      <c r="AJ127" s="3172"/>
      <c r="AK127" s="3172"/>
      <c r="AL127" s="3172"/>
      <c r="AM127" s="3172"/>
      <c r="AN127" s="3172"/>
      <c r="AO127" s="3172"/>
      <c r="AP127" s="3172"/>
      <c r="AQ127" s="3172"/>
      <c r="AR127" s="3172"/>
      <c r="AS127" s="3172"/>
      <c r="AT127" s="3172"/>
      <c r="AU127" s="3172"/>
      <c r="AV127" s="3173"/>
    </row>
    <row r="128" spans="1:48" ht="12.5">
      <c r="A128" s="3155" t="s">
        <v>2073</v>
      </c>
      <c r="B128" s="3156"/>
      <c r="AV128" s="3157"/>
    </row>
    <row r="129" spans="1:48" ht="12.5">
      <c r="A129" s="3155" t="s">
        <v>2074</v>
      </c>
      <c r="B129" s="3158"/>
      <c r="AV129" s="3157"/>
    </row>
    <row r="130" spans="1:48" ht="12.5">
      <c r="A130" s="3155" t="s">
        <v>2075</v>
      </c>
      <c r="B130" s="3158"/>
      <c r="AV130" s="3157"/>
    </row>
    <row r="131" spans="1:48" ht="12.5">
      <c r="A131" s="3155" t="s">
        <v>2076</v>
      </c>
      <c r="B131" s="3158"/>
      <c r="AV131" s="3157"/>
    </row>
    <row r="132" spans="1:48" ht="12.5">
      <c r="A132" s="3159" t="s">
        <v>2077</v>
      </c>
      <c r="B132" s="3160"/>
      <c r="AV132" s="3157"/>
    </row>
    <row r="133" spans="1:48" ht="12.5">
      <c r="A133" s="3161" t="s">
        <v>2078</v>
      </c>
      <c r="B133" s="3162">
        <f ca="1">B$11</f>
        <v>2023</v>
      </c>
      <c r="D133" s="3162">
        <f ca="1">D$11</f>
        <v>2024</v>
      </c>
      <c r="G133" s="3162">
        <f ca="1">G$11</f>
        <v>2025</v>
      </c>
      <c r="J133" s="3162">
        <f ca="1">J$11</f>
        <v>2026</v>
      </c>
      <c r="M133" s="3162">
        <f ca="1">M$11</f>
        <v>2027</v>
      </c>
      <c r="P133" s="3162">
        <f ca="1">P$11</f>
        <v>2028</v>
      </c>
      <c r="S133" s="3162">
        <f ca="1">S$11</f>
        <v>2029</v>
      </c>
      <c r="V133" s="3162">
        <f ca="1">V$11</f>
        <v>2030</v>
      </c>
      <c r="Y133" s="3162">
        <f ca="1">Y$11</f>
        <v>2031</v>
      </c>
      <c r="AB133" s="3162">
        <f ca="1">AB$11</f>
        <v>2032</v>
      </c>
      <c r="AE133" s="3162">
        <f ca="1">AE$11</f>
        <v>2033</v>
      </c>
      <c r="AH133" s="3162">
        <f ca="1">AH$11</f>
        <v>2034</v>
      </c>
      <c r="AK133" s="3162">
        <f ca="1">AK$11</f>
        <v>2035</v>
      </c>
      <c r="AN133" s="3162">
        <f ca="1">AN$11</f>
        <v>2036</v>
      </c>
      <c r="AQ133" s="3162">
        <f ca="1">AQ$11</f>
        <v>2037</v>
      </c>
      <c r="AT133" s="3162">
        <f ca="1">AT$11</f>
        <v>2038</v>
      </c>
      <c r="AV133" s="3157"/>
    </row>
    <row r="134" spans="1:48" ht="12.5">
      <c r="A134" s="3163" t="s">
        <v>2079</v>
      </c>
      <c r="B134" s="3164">
        <f>IF(OR($B129=0,$B129="",$B127=""),0,IF(AND(B133-$B132&gt;=0,B133&lt;=$B132+$B129,ROUNDDOWN(B133,0)=ROUNDDOWN($C$360,0)),IF(ROUNDDOWN(B133,0)=ROUNDDOWN($C$360,0),ROUND($E$360*VLOOKUP($B127,$P$357:$R$360,3,0)/$H$360,2),ROUND(VLOOKUP($B127,$P$357:$R$360,3,0)/$H$360,2)),0))</f>
        <v>0</v>
      </c>
      <c r="D134" s="3164">
        <f>IF(OR($B129=0,$B129="",$B127=""),0,IF(AND(ROUNDDOWN(D133,0)&gt;=ROUNDDOWN($C$360,0),1-$B134&lt;VLOOKUP($B127,$P$357:$R$360,3,0)/$H$360),1-$B134,IF(ROUNDDOWN(D133,0)&gt;=ROUNDDOWN($C$360,0),IF(ROUNDDOWN(D133,0)=ROUNDDOWN($C$360,0),ROUND($E$360*VLOOKUP($B127,$P$357:$R$360,3,0)/$H$360,2),ROUND(VLOOKUP($B127,$P$357:$R$360,3,0)/$H$360,2)),0)))</f>
        <v>0</v>
      </c>
      <c r="G134" s="3164">
        <f>IF(OR($B129=0,$B129="",$B127=""),0,IF(AND(ROUNDDOWN(G133,0)&gt;=ROUNDDOWN($C$360,0),1-SUM($B134:D134)&lt;VLOOKUP($B127,$P$357:$R$360,3,0)/$H$360),1-SUM($B134:D134),IF(ROUNDDOWN(G133,0)&gt;=ROUNDDOWN($C$360,0),IF(ROUNDDOWN(G133,0)=ROUNDDOWN($C$360,0),ROUND($E$360*VLOOKUP($B127,$P$357:$R$360,3,0)/$H$360,2),ROUND(VLOOKUP($B127,$P$357:$R$360,3,0)/$H$360,2)),0)))</f>
        <v>0</v>
      </c>
      <c r="J134" s="3164">
        <f>IF(OR($B129=0,$B129="",$B127=""),0,IF(AND(ROUNDDOWN(J133,0)&gt;=ROUNDDOWN($C$360,0),1-SUM($B134:G134)&lt;VLOOKUP($B127,$P$357:$R$360,3,0)/$H$360),1-SUM($B134:G134),IF(ROUNDDOWN(J133,0)&gt;=ROUNDDOWN($C$360,0),IF(ROUNDDOWN(J133,0)=ROUNDDOWN($C$360,0),ROUND($E$360*VLOOKUP($B127,$P$357:$R$360,3,0)/$H$360,2),ROUND(VLOOKUP($B127,$P$357:$R$360,3,0)/$H$360,2)),0)))</f>
        <v>0</v>
      </c>
      <c r="M134" s="3164">
        <f>IF(OR($B129=0,$B129="",$B127=""),0,IF(AND(ROUNDDOWN(M133,0)&gt;=ROUNDDOWN($C$360,0),1-SUM($B134:J134)&lt;VLOOKUP($B127,$P$357:$R$360,3,0)/$H$360),1-SUM($B134:J134),IF(ROUNDDOWN(M133,0)&gt;=ROUNDDOWN($C$360,0),IF(ROUNDDOWN(M133,0)=ROUNDDOWN($C$360,0),ROUND($E$360*VLOOKUP($B127,$P$357:$R$360,3,0)/$H$360,2),ROUND(VLOOKUP($B127,$P$357:$R$360,3,0)/$H$360,2)),0)))</f>
        <v>0</v>
      </c>
      <c r="P134" s="3164">
        <f>IF(OR($B129=0,$B129="",$B127=""),0,IF(AND(ROUNDDOWN(P133,0)&gt;=ROUNDDOWN($C$360,0),1-SUM($B134:M134)&lt;VLOOKUP($B127,$P$357:$R$360,3,0)/$H$360),1-SUM($B134:M134),IF(ROUNDDOWN(P133,0)&gt;=ROUNDDOWN($C$360,0),IF(ROUNDDOWN(P133,0)=ROUNDDOWN($C$360,0),ROUND($E$360*VLOOKUP($B127,$P$357:$R$360,3,0)/$H$360,2),ROUND(VLOOKUP($B127,$P$357:$R$360,3,0)/$H$360,2)),0)))</f>
        <v>0</v>
      </c>
      <c r="S134" s="3164">
        <f>IF(OR($B129=0,$B129="",$B127=""),0,IF(AND(ROUNDDOWN(S133,0)&gt;=ROUNDDOWN($C$360,0),1-SUM($B134:P134)&lt;VLOOKUP($B127,$P$357:$R$360,3,0)/$H$360),1-SUM($B134:P134),IF(ROUNDDOWN(S133,0)&gt;=ROUNDDOWN($C$360,0),IF(ROUNDDOWN(S133,0)=ROUNDDOWN($C$360,0),ROUND($E$360*VLOOKUP($B127,$P$357:$R$360,3,0)/$H$360,2),ROUND(VLOOKUP($B127,$P$357:$R$360,3,0)/$H$360,2)),0)))</f>
        <v>0</v>
      </c>
      <c r="V134" s="3164">
        <f>IF(OR($B129=0,$B129="",$B127=""),0,IF(AND(ROUNDDOWN(V133,0)&gt;=ROUNDDOWN($C$360,0),1-SUM($B134:S134)&lt;VLOOKUP($B127,$P$357:$R$360,3,0)/$H$360),1-SUM($B134:S134),IF(ROUNDDOWN(V133,0)&gt;=ROUNDDOWN($C$360,0),IF(ROUNDDOWN(V133,0)=ROUNDDOWN($C$360,0),ROUND($E$360*VLOOKUP($B127,$P$357:$R$360,3,0)/$H$360,2),ROUND(VLOOKUP($B127,$P$357:$R$360,3,0)/$H$360,2)),0)))</f>
        <v>0</v>
      </c>
      <c r="Y134" s="3164">
        <f>IF(OR($B129=0,$B129="",$B127=""),0,IF(AND(ROUNDDOWN(Y133,0)&gt;=ROUNDDOWN($C$360,0),1-SUM($B134:V134)&lt;VLOOKUP($B127,$P$357:$R$360,3,0)/$H$360),1-SUM($B134:V134),IF(ROUNDDOWN(Y133,0)&gt;=ROUNDDOWN($C$360,0),IF(ROUNDDOWN(Y133,0)=ROUNDDOWN($C$360,0),ROUND($E$360*VLOOKUP($B127,$P$357:$R$360,3,0)/$H$360,2),ROUND(VLOOKUP($B127,$P$357:$R$360,3,0)/$H$360,2)),0)))</f>
        <v>0</v>
      </c>
      <c r="AB134" s="3164">
        <f>IF(OR($B129=0,$B129="",$B127=""),0,IF(AND(ROUNDDOWN(AB133,0)&gt;=ROUNDDOWN($C$360,0),1-SUM($B134:Y134)&lt;VLOOKUP($B127,$P$357:$R$360,3,0)/$H$360),1-SUM($B134:Y134),IF(ROUNDDOWN(AB133,0)&gt;=ROUNDDOWN($C$360,0),IF(ROUNDDOWN(AB133,0)=ROUNDDOWN($C$360,0),ROUND($E$360*VLOOKUP($B127,$P$357:$R$360,3,0)/$H$360,2),ROUND(VLOOKUP($B127,$P$357:$R$360,3,0)/$H$360,2)),0)))</f>
        <v>0</v>
      </c>
      <c r="AE134" s="3164">
        <f>IF(OR($B129=0,$B129="",$B127=""),0,IF(AND(ROUNDDOWN(AE133,0)&gt;=ROUNDDOWN($C$360,0),1-SUM($B134:AB134)&lt;VLOOKUP($B127,$P$357:$R$360,3,0)/$H$360),1-SUM($B134:AB134),IF(ROUNDDOWN(AE133,0)&gt;=ROUNDDOWN($C$360,0),IF(ROUNDDOWN(AE133,0)=ROUNDDOWN($C$360,0),ROUND($E$360*VLOOKUP($B127,$P$357:$R$360,3,0)/$H$360,2),ROUND(VLOOKUP($B127,$P$357:$R$360,3,0)/$H$360,2)),0)))</f>
        <v>0</v>
      </c>
      <c r="AH134" s="3164">
        <f>IF(OR($B129=0,$B129="",$B127=""),0,IF(AND(ROUNDDOWN(AH133,0)&gt;=ROUNDDOWN($C$360,0),1-SUM($B134:AE134)&lt;VLOOKUP($B127,$P$357:$R$360,3,0)/$H$360),1-SUM($B134:AE134),IF(ROUNDDOWN(AH133,0)&gt;=ROUNDDOWN($C$360,0),IF(ROUNDDOWN(AH133,0)=ROUNDDOWN($C$360,0),ROUND($E$360*VLOOKUP($B127,$P$357:$R$360,3,0)/$H$360,2),ROUND(VLOOKUP($B127,$P$357:$R$360,3,0)/$H$360,2)),0)))</f>
        <v>0</v>
      </c>
      <c r="AK134" s="3164">
        <f>IF(OR($B129=0,$B129="",$B127=""),0,IF(AND(ROUNDDOWN(AK133,0)&gt;=ROUNDDOWN($C$360,0),1-SUM($B134:AH134)&lt;VLOOKUP($B127,$P$357:$R$360,3,0)/$H$360),1-SUM($B134:AH134),IF(ROUNDDOWN(AK133,0)&gt;=ROUNDDOWN($C$360,0),IF(ROUNDDOWN(AK133,0)=ROUNDDOWN($C$360,0),ROUND($E$360*VLOOKUP($B127,$P$357:$R$360,3,0)/$H$360,2),ROUND(VLOOKUP($B127,$P$357:$R$360,3,0)/$H$360,2)),0)))</f>
        <v>0</v>
      </c>
      <c r="AN134" s="3164">
        <f>IF(OR($B129=0,$B129="",$B127=""),0,IF(AND(ROUNDDOWN(AN133,0)&gt;=ROUNDDOWN($C$360,0),1-SUM($B134:AK134)&lt;VLOOKUP($B127,$P$357:$R$360,3,0)/$H$360),1-SUM($B134:AK134),IF(ROUNDDOWN(AN133,0)&gt;=ROUNDDOWN($C$360,0),IF(ROUNDDOWN(AN133,0)=ROUNDDOWN($C$360,0),ROUND($E$360*VLOOKUP($B127,$P$357:$R$360,3,0)/$H$360,2),ROUND(VLOOKUP($B127,$P$357:$R$360,3,0)/$H$360,2)),0)))</f>
        <v>0</v>
      </c>
      <c r="AQ134" s="3164">
        <f>IF(OR($B129=0,$B129="",$B127=""),0,IF(AND(ROUNDDOWN(AQ133,0)&gt;=ROUNDDOWN($C$360,0),1-SUM($B134:AN134)&lt;VLOOKUP($B127,$P$357:$R$360,3,0)/$H$360),1-SUM($B134:AN134),IF(ROUNDDOWN(AQ133,0)&gt;=ROUNDDOWN($C$360,0),IF(ROUNDDOWN(AQ133,0)=ROUNDDOWN($C$360,0),ROUND($E$360*VLOOKUP($B127,$P$357:$R$360,3,0)/$H$360,2),ROUND(VLOOKUP($B127,$P$357:$R$360,3,0)/$H$360,2)),0)))</f>
        <v>0</v>
      </c>
      <c r="AT134" s="3164">
        <f>IF(OR($B129=0,$B129="",$B127=""),0,IF(AND(ROUNDDOWN(AT133,0)&gt;=ROUNDDOWN($C$360,0),1-SUM($B134:AQ134)&lt;VLOOKUP($B127,$P$357:$R$360,3,0)/$H$360),1-SUM($B134:AQ134),IF(ROUNDDOWN(AT133,0)&gt;=ROUNDDOWN($C$360,0),IF(ROUNDDOWN(AT133,0)=ROUNDDOWN($C$360,0),ROUND($E$360*VLOOKUP($B127,$P$357:$R$360,3,0)/$H$360,2),ROUND(VLOOKUP($B127,$P$357:$R$360,3,0)/$H$360,2)),0)))</f>
        <v>0</v>
      </c>
      <c r="AV134" s="3157"/>
    </row>
    <row r="135" spans="1:48" ht="12.5">
      <c r="A135" s="3165" t="s">
        <v>2080</v>
      </c>
      <c r="B135" s="3166">
        <f>$B128*B134</f>
        <v>0</v>
      </c>
      <c r="D135" s="3166">
        <f ca="1">IF($B132&gt;D133,0,D134*$B128)</f>
        <v>0</v>
      </c>
      <c r="G135" s="3166">
        <f ca="1">IF($B132&gt;G133,0,G134*$B128)</f>
        <v>0</v>
      </c>
      <c r="J135" s="3166">
        <f ca="1">IF($B132&gt;J133,0,J134*$B128)</f>
        <v>0</v>
      </c>
      <c r="M135" s="3166">
        <f ca="1">IF($B132&gt;M133,0,M134*$B128)</f>
        <v>0</v>
      </c>
      <c r="P135" s="3166">
        <f ca="1">IF($B132&gt;P133,0,P134*$B128)</f>
        <v>0</v>
      </c>
      <c r="S135" s="3166">
        <f ca="1">IF($B132&gt;S133,0,S134*$B128)</f>
        <v>0</v>
      </c>
      <c r="V135" s="3166">
        <f ca="1">IF($B132&gt;V133,0,V134*$B128)</f>
        <v>0</v>
      </c>
      <c r="Y135" s="3166">
        <f ca="1">IF($B132&gt;Y133,0,Y134*$B128)</f>
        <v>0</v>
      </c>
      <c r="AB135" s="3166">
        <f ca="1">IF($B132&gt;AB133,0,AB134*$B128)</f>
        <v>0</v>
      </c>
      <c r="AE135" s="3166">
        <f ca="1">IF($B132&gt;AE133,0,AE134*$B128)</f>
        <v>0</v>
      </c>
      <c r="AH135" s="3166">
        <f ca="1">IF($B132&gt;AH133,0,AH134*$B128)</f>
        <v>0</v>
      </c>
      <c r="AK135" s="3166">
        <f ca="1">IF($B132&gt;AK133,0,AK134*$B128)</f>
        <v>0</v>
      </c>
      <c r="AN135" s="3166">
        <f ca="1">IF($B132&gt;AN133,0,AN134*$B128)</f>
        <v>0</v>
      </c>
      <c r="AQ135" s="3166">
        <f ca="1">IF($B132&gt;AQ133,0,AQ134*$B128)</f>
        <v>0</v>
      </c>
      <c r="AT135" s="3166">
        <f ca="1">IF($B132&gt;AT133,0,AT134*$B128)</f>
        <v>0</v>
      </c>
      <c r="AV135" s="3157"/>
    </row>
    <row r="136" spans="1:48" ht="12.5">
      <c r="A136" s="3159" t="s">
        <v>2081</v>
      </c>
      <c r="B136" s="3167">
        <f ca="1">IF($B132&gt;B133,0,B128-B135)</f>
        <v>0</v>
      </c>
      <c r="D136" s="3167">
        <f ca="1">IF($B132&gt;D133,0,IF($B132=D133,$B128-D135,IF(B136-D135&lt;0.005,0,B136-D135)))</f>
        <v>0</v>
      </c>
      <c r="G136" s="3167">
        <f ca="1">IF($B132&gt;G133,0,IF($B132=G133,$B128-G135,IF(+D136-G135&lt;0.005,0,+D136-G135)))</f>
        <v>0</v>
      </c>
      <c r="J136" s="3167">
        <f ca="1">IF($B132&gt;J133,0,IF($B132=J133,$B128-J135,IF(+G136-J135&lt;0.005,0,+G136-J135)))</f>
        <v>0</v>
      </c>
      <c r="M136" s="3167">
        <f ca="1">IF($B132&gt;M133,0,IF($B132=M133,$B128-M135,IF(+J136-M135&lt;0.005,0,+J136-M135)))</f>
        <v>0</v>
      </c>
      <c r="P136" s="3167">
        <f ca="1">IF($B132&gt;P133,0,IF($B132=P133,$B128-P135,IF(+M136-P135&lt;0.005,0,+M136-P135)))</f>
        <v>0</v>
      </c>
      <c r="S136" s="3167">
        <f ca="1">IF($B132&gt;S133,0,IF($B132=S133,$B128-S135,IF(+P136-S135&lt;0.005,0,+P136-S135)))</f>
        <v>0</v>
      </c>
      <c r="V136" s="3167">
        <f ca="1">IF($B132&gt;V133,0,IF($B132=V133,$B128-V135,IF(+S136-V135&lt;0.005,0,+S136-V135)))</f>
        <v>0</v>
      </c>
      <c r="Y136" s="3167">
        <f ca="1">IF($B132&gt;Y133,0,IF($B132=Y133,$B128-Y135,IF(+V136-Y135&lt;0.005,0,+V136-Y135)))</f>
        <v>0</v>
      </c>
      <c r="AB136" s="3167">
        <f ca="1">IF($B132&gt;AB133,0,IF($B132=AB133,$B128-AB135,IF(+Y136-AB135&lt;0.005,0,+Y136-AB135)))</f>
        <v>0</v>
      </c>
      <c r="AE136" s="3167">
        <f ca="1">IF($B132&gt;AE133,0,IF($B132=AE133,$B128-AE135,IF(+AB136-AE135&lt;0.005,0,+AB136-AE135)))</f>
        <v>0</v>
      </c>
      <c r="AH136" s="3167">
        <f ca="1">IF($B132&gt;AH133,0,IF($B132=AH133,$B128-AH135,IF(+AE136-AH135&lt;0.005,0,+AE136-AH135)))</f>
        <v>0</v>
      </c>
      <c r="AK136" s="3167">
        <f ca="1">IF($B132&gt;AK133,0,IF($B132=AK133,$B128-AK135,IF(+AH136-AK135&lt;0.005,0,+AH136-AK135)))</f>
        <v>0</v>
      </c>
      <c r="AN136" s="3167">
        <f ca="1">IF($B132&gt;AN133,0,IF($B132=AN133,$B128-AN135,IF(+AK136-AN135&lt;0.005,0,+AK136-AN135)))</f>
        <v>0</v>
      </c>
      <c r="AQ136" s="3167">
        <f ca="1">IF($B132&gt;AQ133,0,IF($B132=AQ133,$B128-AQ135,IF(+AN136-AQ135&lt;0.005,0,+AN136-AQ135)))</f>
        <v>0</v>
      </c>
      <c r="AT136" s="3167">
        <f ca="1">IF($B132&gt;AT133,0,IF($B132=AT133,$B128-AT135,IF(+AQ136-AT135&lt;0.005,0,+AQ136-AT135)))</f>
        <v>0</v>
      </c>
      <c r="AV136" s="3157"/>
    </row>
    <row r="137" spans="1:48" ht="12.5">
      <c r="A137" s="3163" t="s">
        <v>2082</v>
      </c>
      <c r="B137" s="3164"/>
      <c r="D137" s="3164">
        <f>B137</f>
        <v>0</v>
      </c>
      <c r="G137" s="3164">
        <f>D137</f>
        <v>0</v>
      </c>
      <c r="J137" s="3164">
        <f>G137</f>
        <v>0</v>
      </c>
      <c r="M137" s="3164">
        <f>J137</f>
        <v>0</v>
      </c>
      <c r="P137" s="3164">
        <f>M137</f>
        <v>0</v>
      </c>
      <c r="S137" s="3164">
        <f>P137</f>
        <v>0</v>
      </c>
      <c r="V137" s="3164">
        <f>S137</f>
        <v>0</v>
      </c>
      <c r="Y137" s="3164">
        <f>V137</f>
        <v>0</v>
      </c>
      <c r="AB137" s="3164">
        <f>Y137</f>
        <v>0</v>
      </c>
      <c r="AE137" s="3164">
        <f>AB137</f>
        <v>0</v>
      </c>
      <c r="AH137" s="3164">
        <f>AE137</f>
        <v>0</v>
      </c>
      <c r="AK137" s="3164">
        <f>AH137</f>
        <v>0</v>
      </c>
      <c r="AN137" s="3164">
        <f>AK137</f>
        <v>0</v>
      </c>
      <c r="AQ137" s="3164">
        <f>AN137</f>
        <v>0</v>
      </c>
      <c r="AT137" s="3164">
        <f>AQ137</f>
        <v>0</v>
      </c>
      <c r="AV137" s="3157"/>
    </row>
    <row r="138" spans="1:48" ht="12.5">
      <c r="A138" s="3163" t="s">
        <v>2083</v>
      </c>
      <c r="B138" s="3168">
        <f ca="1">IF(OR($B132&lt;&gt;B133,B137="",B137=0),0,IF(AND(B134=0,$I$360=1),B137,IF(B134=0,NOMINAL(B137,12)*IF($B132=B133,$I$360,1),IF(AND($B132=B133,ROUNDDOWN($C$360,0)=B133),$E$360,1)*NOMINAL(B137,VLOOKUP($B127,$P$357:$R$360,3,0))/VLOOKUP($B127,$P$357:$R$360,3,0)))*((IF(B134=0,1,IF(AND($B132=B133,B134&lt;ROUNDDOWN(VLOOKUP($B127,$P$357:$R$360,3,0)/$H$360,0)),ROUNDDOWN(B134*$H$360,0),IF(AND($B132&lt;B133,B134&lt;ROUNDDOWN(VLOOKUP($B127,$P$357:$R$360,3,0)/$H$360,0)),ROUND(AVERAGE(ROUNDDOWN(B134*$H$360,0),2*VLOOKUP($B127,$P$357:$R$360,3,0)),0),VLOOKUP($B127,$P$357:$R$360,3,0))))*$B128)-((B135*(IF(B134=0,1,IF(AND($B132=B133,B134&lt;ROUNDDOWN(VLOOKUP($B127,$P$357:$R$360,3,0)/$H$360,0)),ROUNDDOWN(B134*$H$360,0),IF(AND($B132&lt;B133,B134&lt;ROUNDDOWN(VLOOKUP($B127,$P$357:$R$360,3,0)/$H$360,0)),ROUND(AVERAGE(ROUNDDOWN(B134*$H$360,0),2*VLOOKUP($B127,$P$357:$R$360,3,0)),0),VLOOKUP($B127,$P$357:$R$360,3,0))))-1))/2)))</f>
        <v>0</v>
      </c>
      <c r="C138" s="3174"/>
      <c r="D138" s="3168">
        <f ca="1">IF(OR($B132&gt;D133,D137="",D137=0),0,IF(AND(D134=0,OR(D133&gt;$B132,$I$360=1)),D137,IF(D134=0,NOMINAL(D137,12)*IF($B132=D133,$I$360,1),IF(AND($B132=D133,ROUNDDOWN($C$360,0)=D133),$E$360,1)*NOMINAL(D137,VLOOKUP($B127,$P$357:$R$360,3,0))/VLOOKUP($B127,$P$357:$R$360,3,0)))*((IF(D134=0,1,IF(AND($B132=D133,D134&lt;ROUNDDOWN(VLOOKUP($B127,$P$357:$R$360,3,0)/$H$360,0)),ROUNDDOWN(D134*$H$360,0),IF(AND($B132&lt;D133,D134&lt;ROUNDDOWN(VLOOKUP($B127,$P$357:$R$360,3,0)/$H$360,0)),ROUND(AVERAGE(ROUNDDOWN(D134*$H$360,0),2*VLOOKUP($B127,$P$357:$R$360,3,0)),0),VLOOKUP($B127,$P$357:$R$360,3,0))))*IF($B132=D133,$B128,SUM(B136:B136)))-((D135*(IF(D134=0,1,IF(AND($B132=D133,D134&lt;ROUNDDOWN(VLOOKUP($B127,$P$357:$R$360,3,0)/$H$360,0)),ROUNDDOWN(D134*$H$360,0),IF(AND($B132&lt;D133,D134&lt;ROUNDDOWN(VLOOKUP($B127,$P$357:$R$360,3,0)/$H$360,0)),ROUND(AVERAGE(ROUNDDOWN(D134*$H$360,0),2*VLOOKUP($B127,$P$357:$R$360,3,0)),0),VLOOKUP($B127,$P$357:$R$360,3,0))))-1))/2)))</f>
        <v>0</v>
      </c>
      <c r="E138" s="3175"/>
      <c r="F138" s="3175"/>
      <c r="G138" s="3168">
        <f ca="1">IF(OR($B132&gt;G133,G137="",G137=0),0,IF(AND(G134=0,OR(G133&gt;$B132,$I$360=1)),G137,IF(G134=0,NOMINAL(G137,12)*IF($B132=G133,$I$360,1),IF(AND($B132=G133,ROUNDDOWN($C$360,0)=G133),$E$360,1)*NOMINAL(G137,VLOOKUP($B127,$P$357:$R$360,3,0))/VLOOKUP($B127,$P$357:$R$360,3,0)))*((IF(G134=0,1,IF(AND($B132=G133,G134&lt;ROUNDDOWN(VLOOKUP($B127,$P$357:$R$360,3,0)/$H$360,0)),ROUNDDOWN(G134*$H$360,0),IF(AND($B132&lt;G133,G134&lt;ROUNDDOWN(VLOOKUP($B127,$P$357:$R$360,3,0)/$H$360,0)),ROUND(AVERAGE(ROUNDDOWN(G134*$H$360,0),2*VLOOKUP($B127,$P$357:$R$360,3,0)),0),VLOOKUP($B127,$P$357:$R$360,3,0))))*IF($B132=G133,$B128,SUM(D136:D136)))-((G135*(IF(G134=0,1,IF(AND($B132=G133,G134&lt;ROUNDDOWN(VLOOKUP($B127,$P$357:$R$360,3,0)/$H$360,0)),ROUNDDOWN(G134*$H$360,0),IF(AND($B132&lt;G133,G134&lt;ROUNDDOWN(VLOOKUP($B127,$P$357:$R$360,3,0)/$H$360,0)),ROUND(AVERAGE(ROUNDDOWN(G134*$H$360,0),2*VLOOKUP($B127,$P$357:$R$360,3,0)),0),VLOOKUP($B127,$P$357:$R$360,3,0))))-1))/2)))</f>
        <v>0</v>
      </c>
      <c r="H138" s="3175"/>
      <c r="I138" s="3175"/>
      <c r="J138" s="3168">
        <f ca="1">IF(OR($B132&gt;J133,J137="",J137=0),0,IF(AND(J134=0,OR(J133&gt;$B132,$I$360=1)),J137,IF(J134=0,NOMINAL(J137,12)*IF($B132=J133,$I$360,1),IF(AND($B132=J133,ROUNDDOWN($C$360,0)=J133),$E$360,1)*NOMINAL(J137,VLOOKUP($B127,$P$357:$R$360,3,0))/VLOOKUP($B127,$P$357:$R$360,3,0)))*((IF(J134=0,1,IF(AND($B132=J133,J134&lt;ROUNDDOWN(VLOOKUP($B127,$P$357:$R$360,3,0)/$H$360,0)),ROUNDDOWN(J134*$H$360,0),IF(AND($B132&lt;J133,J134&lt;ROUNDDOWN(VLOOKUP($B127,$P$357:$R$360,3,0)/$H$360,0)),ROUND(AVERAGE(ROUNDDOWN(J134*$H$360,0),2*VLOOKUP($B127,$P$357:$R$360,3,0)),0),VLOOKUP($B127,$P$357:$R$360,3,0))))*IF($B132=J133,$B128,SUM(G136:G136)))-((J135*(IF(J134=0,1,IF(AND($B132=J133,J134&lt;ROUNDDOWN(VLOOKUP($B127,$P$357:$R$360,3,0)/$H$360,0)),ROUNDDOWN(J134*$H$360,0),IF(AND($B132&lt;J133,J134&lt;ROUNDDOWN(VLOOKUP($B127,$P$357:$R$360,3,0)/$H$360,0)),ROUND(AVERAGE(ROUNDDOWN(J134*$H$360,0),2*VLOOKUP($B127,$P$357:$R$360,3,0)),0),VLOOKUP($B127,$P$357:$R$360,3,0))))-1))/2)))</f>
        <v>0</v>
      </c>
      <c r="K138" s="3175"/>
      <c r="L138" s="3175"/>
      <c r="M138" s="3168">
        <f ca="1">IF(OR($B132&gt;M133,M137="",M137=0),0,IF(AND(M134=0,OR(M133&gt;$B132,$I$360=1)),M137,IF(M134=0,NOMINAL(M137,12)*IF($B132=M133,$I$360,1),IF(AND($B132=M133,ROUNDDOWN($C$360,0)=M133),$E$360,1)*NOMINAL(M137,VLOOKUP($B127,$P$357:$R$360,3,0))/VLOOKUP($B127,$P$357:$R$360,3,0)))*((IF(M134=0,1,IF(AND($B132=M133,M134&lt;ROUNDDOWN(VLOOKUP($B127,$P$357:$R$360,3,0)/$H$360,0)),ROUNDDOWN(M134*$H$360,0),IF(AND($B132&lt;M133,M134&lt;ROUNDDOWN(VLOOKUP($B127,$P$357:$R$360,3,0)/$H$360,0)),ROUND(AVERAGE(ROUNDDOWN(M134*$H$360,0),2*VLOOKUP($B127,$P$357:$R$360,3,0)),0),VLOOKUP($B127,$P$357:$R$360,3,0))))*IF($B132=M133,$B128,SUM(J136:J136)))-((M135*(IF(M134=0,1,IF(AND($B132=M133,M134&lt;ROUNDDOWN(VLOOKUP($B127,$P$357:$R$360,3,0)/$H$360,0)),ROUNDDOWN(M134*$H$360,0),IF(AND($B132&lt;M133,M134&lt;ROUNDDOWN(VLOOKUP($B127,$P$357:$R$360,3,0)/$H$360,0)),ROUND(AVERAGE(ROUNDDOWN(M134*$H$360,0),2*VLOOKUP($B127,$P$357:$R$360,3,0)),0),VLOOKUP($B127,$P$357:$R$360,3,0))))-1))/2)))</f>
        <v>0</v>
      </c>
      <c r="N138" s="3175"/>
      <c r="O138" s="3175"/>
      <c r="P138" s="3168">
        <f ca="1">IF(OR($B132&gt;P133,P137="",P137=0),0,IF(AND(P134=0,OR(P133&gt;$B132,$I$360=1)),P137,IF(P134=0,NOMINAL(P137,12)*IF($B132=P133,$I$360,1),IF(AND($B132=P133,ROUNDDOWN($C$360,0)=P133),$E$360,1)*NOMINAL(P137,VLOOKUP($B127,$P$357:$R$360,3,0))/VLOOKUP($B127,$P$357:$R$360,3,0)))*((IF(P134=0,1,IF(AND($B132=P133,P134&lt;ROUNDDOWN(VLOOKUP($B127,$P$357:$R$360,3,0)/$H$360,0)),ROUNDDOWN(P134*$H$360,0),IF(AND($B132&lt;P133,P134&lt;ROUNDDOWN(VLOOKUP($B127,$P$357:$R$360,3,0)/$H$360,0)),ROUND(AVERAGE(ROUNDDOWN(P134*$H$360,0),2*VLOOKUP($B127,$P$357:$R$360,3,0)),0),VLOOKUP($B127,$P$357:$R$360,3,0))))*IF($B132=P133,$B128,SUM(M136:M136)))-((P135*(IF(P134=0,1,IF(AND($B132=P133,P134&lt;ROUNDDOWN(VLOOKUP($B127,$P$357:$R$360,3,0)/$H$360,0)),ROUNDDOWN(P134*$H$360,0),IF(AND($B132&lt;P133,P134&lt;ROUNDDOWN(VLOOKUP($B127,$P$357:$R$360,3,0)/$H$360,0)),ROUND(AVERAGE(ROUNDDOWN(P134*$H$360,0),2*VLOOKUP($B127,$P$357:$R$360,3,0)),0),VLOOKUP($B127,$P$357:$R$360,3,0))))-1))/2)))</f>
        <v>0</v>
      </c>
      <c r="Q138" s="3175"/>
      <c r="R138" s="3175"/>
      <c r="S138" s="3168">
        <f ca="1">IF(OR($B132&gt;S133,S137="",S137=0),0,IF(AND(S134=0,OR(S133&gt;$B132,$I$360=1)),S137,IF(S134=0,NOMINAL(S137,12)*IF($B132=S133,$I$360,1),IF(AND($B132=S133,ROUNDDOWN($C$360,0)=S133),$E$360,1)*NOMINAL(S137,VLOOKUP($B127,$P$357:$R$360,3,0))/VLOOKUP($B127,$P$357:$R$360,3,0)))*((IF(S134=0,1,IF(AND($B132=S133,S134&lt;ROUNDDOWN(VLOOKUP($B127,$P$357:$R$360,3,0)/$H$360,0)),ROUNDDOWN(S134*$H$360,0),IF(AND($B132&lt;S133,S134&lt;ROUNDDOWN(VLOOKUP($B127,$P$357:$R$360,3,0)/$H$360,0)),ROUND(AVERAGE(ROUNDDOWN(S134*$H$360,0),2*VLOOKUP($B127,$P$357:$R$360,3,0)),0),VLOOKUP($B127,$P$357:$R$360,3,0))))*IF($B132=S133,$B128,SUM(P136:P136)))-((S135*(IF(S134=0,1,IF(AND($B132=S133,S134&lt;ROUNDDOWN(VLOOKUP($B127,$P$357:$R$360,3,0)/$H$360,0)),ROUNDDOWN(S134*$H$360,0),IF(AND($B132&lt;S133,S134&lt;ROUNDDOWN(VLOOKUP($B127,$P$357:$R$360,3,0)/$H$360,0)),ROUND(AVERAGE(ROUNDDOWN(S134*$H$360,0),2*VLOOKUP($B127,$P$357:$R$360,3,0)),0),VLOOKUP($B127,$P$357:$R$360,3,0))))-1))/2)))</f>
        <v>0</v>
      </c>
      <c r="T138" s="3175"/>
      <c r="U138" s="3175"/>
      <c r="V138" s="3168">
        <f ca="1">IF(OR($B132&gt;V133,V137="",V137=0),0,IF(AND(V134=0,OR(V133&gt;$B132,$I$360=1)),V137,IF(V134=0,NOMINAL(V137,12)*IF($B132=V133,$I$360,1),IF(AND($B132=V133,ROUNDDOWN($C$360,0)=V133),$E$360,1)*NOMINAL(V137,VLOOKUP($B127,$P$357:$R$360,3,0))/VLOOKUP($B127,$P$357:$R$360,3,0)))*((IF(V134=0,1,IF(AND($B132=V133,V134&lt;ROUNDDOWN(VLOOKUP($B127,$P$357:$R$360,3,0)/$H$360,0)),ROUNDDOWN(V134*$H$360,0),IF(AND($B132&lt;V133,V134&lt;ROUNDDOWN(VLOOKUP($B127,$P$357:$R$360,3,0)/$H$360,0)),ROUND(AVERAGE(ROUNDDOWN(V134*$H$360,0),2*VLOOKUP($B127,$P$357:$R$360,3,0)),0),VLOOKUP($B127,$P$357:$R$360,3,0))))*IF($B132=V133,$B128,SUM(S136:S136)))-((V135*(IF(V134=0,1,IF(AND($B132=V133,V134&lt;ROUNDDOWN(VLOOKUP($B127,$P$357:$R$360,3,0)/$H$360,0)),ROUNDDOWN(V134*$H$360,0),IF(AND($B132&lt;V133,V134&lt;ROUNDDOWN(VLOOKUP($B127,$P$357:$R$360,3,0)/$H$360,0)),ROUND(AVERAGE(ROUNDDOWN(V134*$H$360,0),2*VLOOKUP($B127,$P$357:$R$360,3,0)),0),VLOOKUP($B127,$P$357:$R$360,3,0))))-1))/2)))</f>
        <v>0</v>
      </c>
      <c r="W138" s="3175"/>
      <c r="X138" s="3175"/>
      <c r="Y138" s="3168">
        <f ca="1">IF(OR($B132&gt;Y133,Y137="",Y137=0),0,IF(AND(Y134=0,OR(Y133&gt;$B132,$I$360=1)),Y137,IF(Y134=0,NOMINAL(Y137,12)*IF($B132=Y133,$I$360,1),IF(AND($B132=Y133,ROUNDDOWN($C$360,0)=Y133),$E$360,1)*NOMINAL(Y137,VLOOKUP($B127,$P$357:$R$360,3,0))/VLOOKUP($B127,$P$357:$R$360,3,0)))*((IF(Y134=0,1,IF(AND($B132=Y133,Y134&lt;ROUNDDOWN(VLOOKUP($B127,$P$357:$R$360,3,0)/$H$360,0)),ROUNDDOWN(Y134*$H$360,0),IF(AND($B132&lt;Y133,Y134&lt;ROUNDDOWN(VLOOKUP($B127,$P$357:$R$360,3,0)/$H$360,0)),ROUND(AVERAGE(ROUNDDOWN(Y134*$H$360,0),2*VLOOKUP($B127,$P$357:$R$360,3,0)),0),VLOOKUP($B127,$P$357:$R$360,3,0))))*IF($B132=Y133,$B128,SUM(V136:V136)))-((Y135*(IF(Y134=0,1,IF(AND($B132=Y133,Y134&lt;ROUNDDOWN(VLOOKUP($B127,$P$357:$R$360,3,0)/$H$360,0)),ROUNDDOWN(Y134*$H$360,0),IF(AND($B132&lt;Y133,Y134&lt;ROUNDDOWN(VLOOKUP($B127,$P$357:$R$360,3,0)/$H$360,0)),ROUND(AVERAGE(ROUNDDOWN(Y134*$H$360,0),2*VLOOKUP($B127,$P$357:$R$360,3,0)),0),VLOOKUP($B127,$P$357:$R$360,3,0))))-1))/2)))</f>
        <v>0</v>
      </c>
      <c r="Z138" s="3175"/>
      <c r="AA138" s="3175"/>
      <c r="AB138" s="3168">
        <f ca="1">IF(OR($B132&gt;AB133,AB137="",AB137=0),0,IF(AND(AB134=0,OR(AB133&gt;$B132,$I$360=1)),AB137,IF(AB134=0,NOMINAL(AB137,12)*IF($B132=AB133,$I$360,1),IF(AND($B132=AB133,ROUNDDOWN($C$360,0)=AB133),$E$360,1)*NOMINAL(AB137,VLOOKUP($B127,$P$357:$R$360,3,0))/VLOOKUP($B127,$P$357:$R$360,3,0)))*((IF(AB134=0,1,IF(AND($B132=AB133,AB134&lt;ROUNDDOWN(VLOOKUP($B127,$P$357:$R$360,3,0)/$H$360,0)),ROUNDDOWN(AB134*$H$360,0),IF(AND($B132&lt;AB133,AB134&lt;ROUNDDOWN(VLOOKUP($B127,$P$357:$R$360,3,0)/$H$360,0)),ROUND(AVERAGE(ROUNDDOWN(AB134*$H$360,0),2*VLOOKUP($B127,$P$357:$R$360,3,0)),0),VLOOKUP($B127,$P$357:$R$360,3,0))))*IF($B132=AB133,$B128,SUM(Y136:Y136)))-((AB135*(IF(AB134=0,1,IF(AND($B132=AB133,AB134&lt;ROUNDDOWN(VLOOKUP($B127,$P$357:$R$360,3,0)/$H$360,0)),ROUNDDOWN(AB134*$H$360,0),IF(AND($B132&lt;AB133,AB134&lt;ROUNDDOWN(VLOOKUP($B127,$P$357:$R$360,3,0)/$H$360,0)),ROUND(AVERAGE(ROUNDDOWN(AB134*$H$360,0),2*VLOOKUP($B127,$P$357:$R$360,3,0)),0),VLOOKUP($B127,$P$357:$R$360,3,0))))-1))/2)))</f>
        <v>0</v>
      </c>
      <c r="AC138" s="3175"/>
      <c r="AD138" s="3175"/>
      <c r="AE138" s="3168">
        <f ca="1">IF(OR($B132&gt;AE133,AE137="",AE137=0),0,IF(AND(AE134=0,OR(AE133&gt;$B132,$I$360=1)),AE137,IF(AE134=0,NOMINAL(AE137,12)*IF($B132=AE133,$I$360,1),IF(AND($B132=AE133,ROUNDDOWN($C$360,0)=AE133),$E$360,1)*NOMINAL(AE137,VLOOKUP($B127,$P$357:$R$360,3,0))/VLOOKUP($B127,$P$357:$R$360,3,0)))*((IF(AE134=0,1,IF(AND($B132=AE133,AE134&lt;ROUNDDOWN(VLOOKUP($B127,$P$357:$R$360,3,0)/$H$360,0)),ROUNDDOWN(AE134*$H$360,0),IF(AND($B132&lt;AE133,AE134&lt;ROUNDDOWN(VLOOKUP($B127,$P$357:$R$360,3,0)/$H$360,0)),ROUND(AVERAGE(ROUNDDOWN(AE134*$H$360,0),2*VLOOKUP($B127,$P$357:$R$360,3,0)),0),VLOOKUP($B127,$P$357:$R$360,3,0))))*IF($B132=AE133,$B128,SUM(AB136:AB136)))-((AE135*(IF(AE134=0,1,IF(AND($B132=AE133,AE134&lt;ROUNDDOWN(VLOOKUP($B127,$P$357:$R$360,3,0)/$H$360,0)),ROUNDDOWN(AE134*$H$360,0),IF(AND($B132&lt;AE133,AE134&lt;ROUNDDOWN(VLOOKUP($B127,$P$357:$R$360,3,0)/$H$360,0)),ROUND(AVERAGE(ROUNDDOWN(AE134*$H$360,0),2*VLOOKUP($B127,$P$357:$R$360,3,0)),0),VLOOKUP($B127,$P$357:$R$360,3,0))))-1))/2)))</f>
        <v>0</v>
      </c>
      <c r="AF138" s="3174"/>
      <c r="AG138" s="3175"/>
      <c r="AH138" s="3168">
        <f ca="1">IF(OR($B132&gt;AH133,AH137="",AH137=0),0,IF(AND(AH134=0,OR(AH133&gt;$B132,$I$360=1)),AH137,IF(AH134=0,NOMINAL(AH137,12)*IF($B132=AH133,$I$360,1),IF(AND($B132=AH133,ROUNDDOWN($C$360,0)=AH133),$E$360,1)*NOMINAL(AH137,VLOOKUP($B127,$P$357:$R$360,3,0))/VLOOKUP($B127,$P$357:$R$360,3,0)))*((IF(AH134=0,1,IF(AND($B132=AH133,AH134&lt;ROUNDDOWN(VLOOKUP($B127,$P$357:$R$360,3,0)/$H$360,0)),ROUNDDOWN(AH134*$H$360,0),IF(AND($B132&lt;AH133,AH134&lt;ROUNDDOWN(VLOOKUP($B127,$P$357:$R$360,3,0)/$H$360,0)),ROUND(AVERAGE(ROUNDDOWN(AH134*$H$360,0),2*VLOOKUP($B127,$P$357:$R$360,3,0)),0),VLOOKUP($B127,$P$357:$R$360,3,0))))*IF($B132=AH133,$B128,SUM(AE136:AE136)))-((AH135*(IF(AH134=0,1,IF(AND($B132=AH133,AH134&lt;ROUNDDOWN(VLOOKUP($B127,$P$357:$R$360,3,0)/$H$360,0)),ROUNDDOWN(AH134*$H$360,0),IF(AND($B132&lt;AH133,AH134&lt;ROUNDDOWN(VLOOKUP($B127,$P$357:$R$360,3,0)/$H$360,0)),ROUND(AVERAGE(ROUNDDOWN(AH134*$H$360,0),2*VLOOKUP($B127,$P$357:$R$360,3,0)),0),VLOOKUP($B127,$P$357:$R$360,3,0))))-1))/2)))</f>
        <v>0</v>
      </c>
      <c r="AI138" s="3175"/>
      <c r="AJ138" s="3175"/>
      <c r="AK138" s="3168">
        <f ca="1">IF(OR($B132&gt;AK133,AK137="",AK137=0),0,IF(AND(AK134=0,OR(AK133&gt;$B132,$I$360=1)),AK137,IF(AK134=0,NOMINAL(AK137,12)*IF($B132=AK133,$I$360,1),IF(AND($B132=AK133,ROUNDDOWN($C$360,0)=AK133),$E$360,1)*NOMINAL(AK137,VLOOKUP($B127,$P$357:$R$360,3,0))/VLOOKUP($B127,$P$357:$R$360,3,0)))*((IF(AK134=0,1,IF(AND($B132=AK133,AK134&lt;ROUNDDOWN(VLOOKUP($B127,$P$357:$R$360,3,0)/$H$360,0)),ROUNDDOWN(AK134*$H$360,0),IF(AND($B132&lt;AK133,AK134&lt;ROUNDDOWN(VLOOKUP($B127,$P$357:$R$360,3,0)/$H$360,0)),ROUND(AVERAGE(ROUNDDOWN(AK134*$H$360,0),2*VLOOKUP($B127,$P$357:$R$360,3,0)),0),VLOOKUP($B127,$P$357:$R$360,3,0))))*IF($B132=AK133,$B128,SUM(AH136:AH136)))-((AK135*(IF(AK134=0,1,IF(AND($B132=AK133,AK134&lt;ROUNDDOWN(VLOOKUP($B127,$P$357:$R$360,3,0)/$H$360,0)),ROUNDDOWN(AK134*$H$360,0),IF(AND($B132&lt;AK133,AK134&lt;ROUNDDOWN(VLOOKUP($B127,$P$357:$R$360,3,0)/$H$360,0)),ROUND(AVERAGE(ROUNDDOWN(AK134*$H$360,0),2*VLOOKUP($B127,$P$357:$R$360,3,0)),0),VLOOKUP($B127,$P$357:$R$360,3,0))))-1))/2)))</f>
        <v>0</v>
      </c>
      <c r="AL138" s="3175"/>
      <c r="AM138" s="3175"/>
      <c r="AN138" s="3168">
        <f ca="1">IF(OR($B132&gt;AN133,AN137="",AN137=0),0,IF(AND(AN134=0,OR(AN133&gt;$B132,$I$360=1)),AN137,IF(AN134=0,NOMINAL(AN137,12)*IF($B132=AN133,$I$360,1),IF(AND($B132=AN133,ROUNDDOWN($C$360,0)=AN133),$E$360,1)*NOMINAL(AN137,VLOOKUP($B127,$P$357:$R$360,3,0))/VLOOKUP($B127,$P$357:$R$360,3,0)))*((IF(AN134=0,1,IF(AND($B132=AN133,AN134&lt;ROUNDDOWN(VLOOKUP($B127,$P$357:$R$360,3,0)/$H$360,0)),ROUNDDOWN(AN134*$H$360,0),IF(AND($B132&lt;AN133,AN134&lt;ROUNDDOWN(VLOOKUP($B127,$P$357:$R$360,3,0)/$H$360,0)),ROUND(AVERAGE(ROUNDDOWN(AN134*$H$360,0),2*VLOOKUP($B127,$P$357:$R$360,3,0)),0),VLOOKUP($B127,$P$357:$R$360,3,0))))*IF($B132=AN133,$B128,SUM(AK136:AK136)))-((AN135*(IF(AN134=0,1,IF(AND($B132=AN133,AN134&lt;ROUNDDOWN(VLOOKUP($B127,$P$357:$R$360,3,0)/$H$360,0)),ROUNDDOWN(AN134*$H$360,0),IF(AND($B132&lt;AN133,AN134&lt;ROUNDDOWN(VLOOKUP($B127,$P$357:$R$360,3,0)/$H$360,0)),ROUND(AVERAGE(ROUNDDOWN(AN134*$H$360,0),2*VLOOKUP($B127,$P$357:$R$360,3,0)),0),VLOOKUP($B127,$P$357:$R$360,3,0))))-1))/2)))</f>
        <v>0</v>
      </c>
      <c r="AO138" s="3175"/>
      <c r="AP138" s="3175"/>
      <c r="AQ138" s="3168">
        <f ca="1">IF(OR($B132&gt;AQ133,AQ137="",AQ137=0),0,IF(AND(AQ134=0,OR(AQ133&gt;$B132,$I$360=1)),AQ137,IF(AQ134=0,NOMINAL(AQ137,12)*IF($B132=AQ133,$I$360,1),IF(AND($B132=AQ133,ROUNDDOWN($C$360,0)=AQ133),$E$360,1)*NOMINAL(AQ137,VLOOKUP($B127,$P$357:$R$360,3,0))/VLOOKUP($B127,$P$357:$R$360,3,0)))*((IF(AQ134=0,1,IF(AND($B132=AQ133,AQ134&lt;ROUNDDOWN(VLOOKUP($B127,$P$357:$R$360,3,0)/$H$360,0)),ROUNDDOWN(AQ134*$H$360,0),IF(AND($B132&lt;AQ133,AQ134&lt;ROUNDDOWN(VLOOKUP($B127,$P$357:$R$360,3,0)/$H$360,0)),ROUND(AVERAGE(ROUNDDOWN(AQ134*$H$360,0),2*VLOOKUP($B127,$P$357:$R$360,3,0)),0),VLOOKUP($B127,$P$357:$R$360,3,0))))*IF($B132=AQ133,$B128,SUM(AN136:AN136)))-((AQ135*(IF(AQ134=0,1,IF(AND($B132=AQ133,AQ134&lt;ROUNDDOWN(VLOOKUP($B127,$P$357:$R$360,3,0)/$H$360,0)),ROUNDDOWN(AQ134*$H$360,0),IF(AND($B132&lt;AQ133,AQ134&lt;ROUNDDOWN(VLOOKUP($B127,$P$357:$R$360,3,0)/$H$360,0)),ROUND(AVERAGE(ROUNDDOWN(AQ134*$H$360,0),2*VLOOKUP($B127,$P$357:$R$360,3,0)),0),VLOOKUP($B127,$P$357:$R$360,3,0))))-1))/2)))</f>
        <v>0</v>
      </c>
      <c r="AR138" s="3175"/>
      <c r="AS138" s="3175"/>
      <c r="AT138" s="3168">
        <f ca="1">IF(OR($B132&gt;AT133,AT137="",AT137=0),0,IF(AND(AT134=0,OR(AT133&gt;$B132,$I$360=1)),AT137,IF(AT134=0,NOMINAL(AT137,12)*IF($B132=AT133,$I$360,1),IF(AND($B132=AT133,ROUNDDOWN($C$360,0)=AT133),$E$360,1)*NOMINAL(AT137,VLOOKUP($B127,$P$357:$R$360,3,0))/VLOOKUP($B127,$P$357:$R$360,3,0)))*((IF(AT134=0,1,IF(AND($B132=AT133,AT134&lt;ROUNDDOWN(VLOOKUP($B127,$P$357:$R$360,3,0)/$H$360,0)),ROUNDDOWN(AT134*$H$360,0),IF(AND($B132&lt;AT133,AT134&lt;ROUNDDOWN(VLOOKUP($B127,$P$357:$R$360,3,0)/$H$360,0)),ROUND(AVERAGE(ROUNDDOWN(AT134*$H$360,0),2*VLOOKUP($B127,$P$357:$R$360,3,0)),0),VLOOKUP($B127,$P$357:$R$360,3,0))))*IF($B132=AT133,$B128,SUM(AQ136:AQ136)))-((AT135*(IF(AT134=0,1,IF(AND($B132=AT133,AT134&lt;ROUNDDOWN(VLOOKUP($B127,$P$357:$R$360,3,0)/$H$360,0)),ROUNDDOWN(AT134*$H$360,0),IF(AND($B132&lt;AT133,AT134&lt;ROUNDDOWN(VLOOKUP($B127,$P$357:$R$360,3,0)/$H$360,0)),ROUND(AVERAGE(ROUNDDOWN(AT134*$H$360,0),2*VLOOKUP($B127,$P$357:$R$360,3,0)),0),VLOOKUP($B127,$P$357:$R$360,3,0))))-1))/2)))</f>
        <v>0</v>
      </c>
      <c r="AU138" s="3174"/>
      <c r="AV138" s="3176"/>
    </row>
    <row r="139" spans="1:48" ht="12.5"/>
    <row r="140" spans="1:48" ht="12.5">
      <c r="A140" s="3177" t="s">
        <v>2084</v>
      </c>
      <c r="B140" s="3178">
        <f>SUM(B83,B96,B109,B122,B135)</f>
        <v>0</v>
      </c>
      <c r="C140" s="3179"/>
      <c r="D140" s="3178">
        <f ca="1">SUM(D83,D96,D109,D122,D135)</f>
        <v>0</v>
      </c>
      <c r="E140" s="3179"/>
      <c r="F140" s="3179"/>
      <c r="G140" s="3178">
        <f ca="1">SUM(G83,G96,G109,G122,G135)</f>
        <v>0</v>
      </c>
      <c r="H140" s="3179"/>
      <c r="I140" s="3179"/>
      <c r="J140" s="3178">
        <f ca="1">SUM(J83,J96,J109,J122,J135)</f>
        <v>0</v>
      </c>
      <c r="K140" s="3179"/>
      <c r="L140" s="3179"/>
      <c r="M140" s="3178">
        <f ca="1">SUM(M83,M96,M109,M122,M135)</f>
        <v>0</v>
      </c>
      <c r="N140" s="3179"/>
      <c r="O140" s="3179"/>
      <c r="P140" s="3178">
        <f ca="1">SUM(P83,P96,P109,P122,P135)</f>
        <v>0</v>
      </c>
      <c r="Q140" s="3179"/>
      <c r="R140" s="3179"/>
      <c r="S140" s="3178">
        <f ca="1">SUM(S83,S96,S109,S122,S135)</f>
        <v>0</v>
      </c>
      <c r="T140" s="3179"/>
      <c r="U140" s="3179"/>
      <c r="V140" s="3178">
        <f ca="1">SUM(V83,V96,V109,V122,V135)</f>
        <v>0</v>
      </c>
      <c r="W140" s="3179"/>
      <c r="X140" s="3179"/>
      <c r="Y140" s="3178">
        <f ca="1">SUM(Y83,Y96,Y109,Y122,Y135)</f>
        <v>0</v>
      </c>
      <c r="Z140" s="3179"/>
      <c r="AA140" s="3179"/>
      <c r="AB140" s="3178">
        <f ca="1">SUM(AB83,AB96,AB109,AB122,AB135)</f>
        <v>0</v>
      </c>
      <c r="AC140" s="3179"/>
      <c r="AD140" s="3179"/>
      <c r="AE140" s="3178">
        <f ca="1">SUM(AE83,AE96,AE109,AE122,AE135)</f>
        <v>0</v>
      </c>
      <c r="AF140" s="3179"/>
      <c r="AG140" s="3179"/>
      <c r="AH140" s="3178">
        <f ca="1">SUM(AH83,AH96,AH109,AH122,AH135)</f>
        <v>0</v>
      </c>
      <c r="AI140" s="3179"/>
      <c r="AJ140" s="3179"/>
      <c r="AK140" s="3178">
        <f ca="1">SUM(AK83,AK96,AK109,AK122,AK135)</f>
        <v>0</v>
      </c>
      <c r="AL140" s="3179"/>
      <c r="AM140" s="3179"/>
      <c r="AN140" s="3178">
        <f ca="1">SUM(AN83,AN96,AN109,AN122,AN135)</f>
        <v>0</v>
      </c>
      <c r="AO140" s="3179"/>
      <c r="AP140" s="3179"/>
      <c r="AQ140" s="3178">
        <f ca="1">SUM(AQ83,AQ96,AQ109,AQ122,AQ135)</f>
        <v>0</v>
      </c>
      <c r="AR140" s="3179"/>
      <c r="AS140" s="3179"/>
      <c r="AT140" s="3178">
        <f ca="1">SUM(AT83,AT96,AT109,AT122,AT135)</f>
        <v>0</v>
      </c>
      <c r="AU140" s="3179"/>
      <c r="AV140" s="3180"/>
    </row>
    <row r="141" spans="1:48" ht="12.5">
      <c r="A141" s="3177" t="s">
        <v>2085</v>
      </c>
      <c r="B141" s="3178">
        <f ca="1">SUM(B84,B97,B110,B123,B136)</f>
        <v>0</v>
      </c>
      <c r="D141" s="3178">
        <f ca="1">SUM(D84,D97,D110,D123,D136)</f>
        <v>0</v>
      </c>
      <c r="G141" s="3178">
        <f ca="1">SUM(G84,G97,G110,G123,G136)</f>
        <v>0</v>
      </c>
      <c r="J141" s="3178">
        <f ca="1">SUM(J84,J97,J110,J123,J136)</f>
        <v>0</v>
      </c>
      <c r="M141" s="3178">
        <f ca="1">SUM(M84,M97,M110,M123,M136)</f>
        <v>0</v>
      </c>
      <c r="P141" s="3178">
        <f ca="1">SUM(P84,P97,P110,P123,P136)</f>
        <v>0</v>
      </c>
      <c r="S141" s="3178">
        <f ca="1">SUM(S84,S97,S110,S123,S136)</f>
        <v>0</v>
      </c>
      <c r="V141" s="3178">
        <f ca="1">SUM(V84,V97,V110,V123,V136)</f>
        <v>0</v>
      </c>
      <c r="Y141" s="3178">
        <f ca="1">SUM(Y84,Y97,Y110,Y123,Y136)</f>
        <v>0</v>
      </c>
      <c r="AB141" s="3178">
        <f ca="1">SUM(AB84,AB97,AB110,AB123,AB136)</f>
        <v>0</v>
      </c>
      <c r="AE141" s="3178">
        <f ca="1">SUM(AE84,AE97,AE110,AE123,AE136)</f>
        <v>0</v>
      </c>
      <c r="AH141" s="3178">
        <f ca="1">SUM(AH84,AH97,AH110,AH123,AH136)</f>
        <v>0</v>
      </c>
      <c r="AK141" s="3178">
        <f ca="1">SUM(AK84,AK97,AK110,AK123,AK136)</f>
        <v>0</v>
      </c>
      <c r="AN141" s="3178">
        <f ca="1">SUM(AN84,AN97,AN110,AN123,AN136)</f>
        <v>0</v>
      </c>
      <c r="AQ141" s="3178">
        <f ca="1">SUM(AQ84,AQ97,AQ110,AQ123,AQ136)</f>
        <v>0</v>
      </c>
      <c r="AT141" s="3178">
        <f ca="1">SUM(AT84,AT97,AT110,AT123,AT136)</f>
        <v>0</v>
      </c>
      <c r="AV141" s="3157"/>
    </row>
    <row r="142" spans="1:48" ht="13" thickBot="1">
      <c r="A142" s="3181" t="s">
        <v>2086</v>
      </c>
      <c r="B142" s="3182">
        <f ca="1">SUM(B86,B99,B112,B125,B138)</f>
        <v>0</v>
      </c>
      <c r="C142" s="3183"/>
      <c r="D142" s="3182">
        <f ca="1">SUM(D86,D99,D112,D125,D138)</f>
        <v>0</v>
      </c>
      <c r="E142" s="3183"/>
      <c r="F142" s="3183"/>
      <c r="G142" s="3182">
        <f ca="1">SUM(G86,G99,G112,G125,G138)</f>
        <v>0</v>
      </c>
      <c r="H142" s="3183"/>
      <c r="I142" s="3183"/>
      <c r="J142" s="3182">
        <f ca="1">SUM(J86,J99,J112,J125,J138)</f>
        <v>0</v>
      </c>
      <c r="K142" s="3183"/>
      <c r="L142" s="3183"/>
      <c r="M142" s="3182">
        <f ca="1">SUM(M86,M99,M112,M125,M138)</f>
        <v>0</v>
      </c>
      <c r="N142" s="3183"/>
      <c r="O142" s="3183"/>
      <c r="P142" s="3182">
        <f ca="1">SUM(P86,P99,P112,P125,P138)</f>
        <v>0</v>
      </c>
      <c r="Q142" s="3183"/>
      <c r="R142" s="3183"/>
      <c r="S142" s="3182">
        <f ca="1">SUM(S86,S99,S112,S125,S138)</f>
        <v>0</v>
      </c>
      <c r="T142" s="3183"/>
      <c r="U142" s="3183"/>
      <c r="V142" s="3182">
        <f ca="1">SUM(V86,V99,V112,V125,V138)</f>
        <v>0</v>
      </c>
      <c r="W142" s="3183"/>
      <c r="X142" s="3183"/>
      <c r="Y142" s="3182">
        <f ca="1">SUM(Y86,Y99,Y112,Y125,Y138)</f>
        <v>0</v>
      </c>
      <c r="Z142" s="3183"/>
      <c r="AA142" s="3183"/>
      <c r="AB142" s="3182">
        <f ca="1">SUM(AB86,AB99,AB112,AB125,AB138)</f>
        <v>0</v>
      </c>
      <c r="AC142" s="3183"/>
      <c r="AD142" s="3183"/>
      <c r="AE142" s="3182">
        <f ca="1">SUM(AE86,AE99,AE112,AE125,AE138)</f>
        <v>0</v>
      </c>
      <c r="AF142" s="3183"/>
      <c r="AG142" s="3183"/>
      <c r="AH142" s="3182">
        <f ca="1">SUM(AH86,AH99,AH112,AH125,AH138)</f>
        <v>0</v>
      </c>
      <c r="AI142" s="3183"/>
      <c r="AJ142" s="3183"/>
      <c r="AK142" s="3182">
        <f ca="1">SUM(AK86,AK99,AK112,AK125,AK138)</f>
        <v>0</v>
      </c>
      <c r="AL142" s="3183"/>
      <c r="AM142" s="3183"/>
      <c r="AN142" s="3182">
        <f ca="1">SUM(AN86,AN99,AN112,AN125,AN138)</f>
        <v>0</v>
      </c>
      <c r="AO142" s="3183"/>
      <c r="AP142" s="3183"/>
      <c r="AQ142" s="3182">
        <f ca="1">SUM(AQ86,AQ99,AQ112,AQ125,AQ138)</f>
        <v>0</v>
      </c>
      <c r="AR142" s="3183"/>
      <c r="AS142" s="3183"/>
      <c r="AT142" s="3182">
        <f ca="1">SUM(AT86,AT99,AT112,AT125,AT138)</f>
        <v>0</v>
      </c>
      <c r="AU142" s="3183"/>
      <c r="AV142" s="3184"/>
    </row>
    <row r="143" spans="1:48" ht="12.5"/>
    <row r="144" spans="1:48" ht="12.5"/>
    <row r="145" spans="1:48" ht="13" thickBot="1"/>
    <row r="146" spans="1:48" ht="13.5" thickBot="1">
      <c r="A146" s="3185" t="s">
        <v>2087</v>
      </c>
      <c r="B146" s="3186"/>
      <c r="C146" s="3186"/>
      <c r="D146" s="3186"/>
      <c r="E146" s="3187"/>
    </row>
    <row r="147" spans="1:48" ht="12.5">
      <c r="A147" s="3188" t="str">
        <f>IF(AND(A153=0,A153=""),"","1er. DESEMBOLSO - ")&amp;"AMORTIZACIÓN DE CAPITAL"</f>
        <v>AMORTIZACIÓN DE CAPITAL</v>
      </c>
      <c r="B147" s="3189"/>
      <c r="C147" s="3186"/>
      <c r="D147" s="3186"/>
      <c r="E147" s="3186"/>
      <c r="F147" s="3186"/>
      <c r="G147" s="3186"/>
      <c r="H147" s="3186"/>
      <c r="I147" s="3186"/>
      <c r="J147" s="3186"/>
      <c r="K147" s="3186"/>
      <c r="L147" s="3186"/>
      <c r="M147" s="3186"/>
      <c r="N147" s="3186"/>
      <c r="O147" s="3186"/>
      <c r="P147" s="3186"/>
      <c r="Q147" s="3186"/>
      <c r="R147" s="3186"/>
      <c r="S147" s="3186"/>
      <c r="T147" s="3186"/>
      <c r="U147" s="3186"/>
      <c r="V147" s="3186"/>
      <c r="W147" s="3186"/>
      <c r="X147" s="3186"/>
      <c r="Y147" s="3186"/>
      <c r="Z147" s="3186"/>
      <c r="AA147" s="3186"/>
      <c r="AB147" s="3186"/>
      <c r="AC147" s="3186"/>
      <c r="AD147" s="3186"/>
      <c r="AE147" s="3186"/>
      <c r="AF147" s="3186"/>
      <c r="AG147" s="3186"/>
      <c r="AH147" s="3186"/>
      <c r="AI147" s="3186"/>
      <c r="AJ147" s="3186"/>
      <c r="AK147" s="3186"/>
      <c r="AL147" s="3186"/>
      <c r="AM147" s="3186"/>
      <c r="AN147" s="3186"/>
      <c r="AO147" s="3186"/>
      <c r="AP147" s="3186"/>
      <c r="AQ147" s="3186"/>
      <c r="AR147" s="3186"/>
      <c r="AS147" s="3186"/>
      <c r="AT147" s="3186"/>
      <c r="AU147" s="3186"/>
      <c r="AV147" s="3187"/>
    </row>
    <row r="148" spans="1:48" ht="12.5">
      <c r="A148" s="3190" t="str">
        <f>IF(AND(A153=0,A153=""),"","1er. DESEMBOLSO - ")&amp;"MONTO DEL CRÉDITO"</f>
        <v>MONTO DEL CRÉDITO</v>
      </c>
      <c r="B148" s="3191"/>
      <c r="AV148" s="3192"/>
    </row>
    <row r="149" spans="1:48" ht="12.5">
      <c r="A149" s="3190" t="str">
        <f>IF(AND(A153=0,A153=""),"","1er. DESEMBOLSO - ")&amp;"PLAZO (AÑOS) CON PERÍODO DE GRACIA"</f>
        <v>PLAZO (AÑOS) CON PERÍODO DE GRACIA</v>
      </c>
      <c r="B149" s="3191"/>
      <c r="AV149" s="3192"/>
    </row>
    <row r="150" spans="1:48" ht="12.5">
      <c r="A150" s="3190" t="str">
        <f>IF(AND(A153=0,A153=""),"","1er. DESEMBOLSO - ")&amp;"PERÍODO DE GRACIA (MESES)"</f>
        <v>PERÍODO DE GRACIA (MESES)</v>
      </c>
      <c r="B150" s="3191"/>
      <c r="AV150" s="3192"/>
    </row>
    <row r="151" spans="1:48" ht="12.5">
      <c r="A151" s="3190" t="str">
        <f>IF(AND(A153=0,A153=""),"","1er. DESEMBOLSO - ")&amp;"MES DE DESEMBOLSO"</f>
        <v>MES DE DESEMBOLSO</v>
      </c>
      <c r="B151" s="3191"/>
      <c r="AV151" s="3192"/>
    </row>
    <row r="152" spans="1:48" ht="12.5">
      <c r="A152" s="3193" t="str">
        <f>IF(AND(A153=0,A153=""),"","1er. DESEMBOLSO - ")&amp;"AÑO DE DESEMBOLSO"</f>
        <v>AÑO DE DESEMBOLSO</v>
      </c>
      <c r="B152" s="3194"/>
      <c r="AV152" s="3192"/>
    </row>
    <row r="153" spans="1:48" ht="12.5">
      <c r="A153" s="3195"/>
      <c r="B153" s="3196">
        <f ca="1">B$11</f>
        <v>2023</v>
      </c>
      <c r="D153" s="3196">
        <f ca="1">D$11</f>
        <v>2024</v>
      </c>
      <c r="G153" s="3196">
        <f ca="1">G$11</f>
        <v>2025</v>
      </c>
      <c r="J153" s="3196">
        <f ca="1">J$11</f>
        <v>2026</v>
      </c>
      <c r="M153" s="3196">
        <f ca="1">M$11</f>
        <v>2027</v>
      </c>
      <c r="P153" s="3196">
        <f ca="1">P$11</f>
        <v>2028</v>
      </c>
      <c r="S153" s="3196">
        <f ca="1">S$11</f>
        <v>2029</v>
      </c>
      <c r="V153" s="3196">
        <f ca="1">V$11</f>
        <v>2030</v>
      </c>
      <c r="Y153" s="3196">
        <f ca="1">Y$11</f>
        <v>2031</v>
      </c>
      <c r="AB153" s="3196">
        <f ca="1">AB$11</f>
        <v>2032</v>
      </c>
      <c r="AE153" s="3196">
        <f ca="1">AE$11</f>
        <v>2033</v>
      </c>
      <c r="AH153" s="3196">
        <f ca="1">AH$11</f>
        <v>2034</v>
      </c>
      <c r="AK153" s="3196">
        <f ca="1">AK$11</f>
        <v>2035</v>
      </c>
      <c r="AN153" s="3196">
        <f ca="1">AN$11</f>
        <v>2036</v>
      </c>
      <c r="AQ153" s="3196">
        <f ca="1">AQ$11</f>
        <v>2037</v>
      </c>
      <c r="AT153" s="3196">
        <f ca="1">AT$11</f>
        <v>2038</v>
      </c>
      <c r="AV153" s="3192"/>
    </row>
    <row r="154" spans="1:48" ht="12.5">
      <c r="A154" s="3197" t="str">
        <f>IF(AND(A153=0,A153=""),"","1er. DESEMBOLSO - ")&amp;"% AMORTIZACIÓN ANUAL"</f>
        <v>% AMORTIZACIÓN ANUAL</v>
      </c>
      <c r="B154" s="3198">
        <f>IF(OR($B149=0,$B149="",$B147=""),0,IF(AND(B153-$B152&gt;=0,B153&lt;=$B152+$B149,ROUNDDOWN(B153,0)=ROUNDDOWN($C$366,0)),IF(ROUNDDOWN(B153,0)=ROUNDDOWN($C$366,0),ROUND($E$366*VLOOKUP($B147,$P$357:$R$360,3,0)/$H$366,2),ROUND(VLOOKUP($B147,$P$357:$R$360,3,0)/$H$366,2)),0))</f>
        <v>0</v>
      </c>
      <c r="D154" s="3198">
        <f>IF(OR($B149=0,$B149="",$B147=""),0,IF(AND(ROUNDDOWN(D153,0)&gt;=ROUNDDOWN($C$366,0),1-$B154&lt;VLOOKUP($B147,$P$357:$R$360,3,0)/$H$366),1-$B154,IF(ROUNDDOWN(D153,0)&gt;=ROUNDDOWN($C$366,0),IF(ROUNDDOWN(D153,0)=ROUNDDOWN($C$366,0),ROUND($E$366*VLOOKUP($B147,$P$357:$R$360,3,0)/$H$366,2),ROUND(VLOOKUP($B147,$P$357:$R$360,3,0)/$H$366,2)),0)))</f>
        <v>0</v>
      </c>
      <c r="G154" s="3198">
        <f>IF(OR($B149=0,$B149="",$B147=""),0,IF(AND(ROUNDDOWN(G153,0)&gt;=ROUNDDOWN($C$366,0),1-SUM($B154:D154)&lt;VLOOKUP($B147,$P$357:$R$360,3,0)/$H$366),1-SUM($B154:D154),IF(ROUNDDOWN(G153,0)&gt;=ROUNDDOWN($C$366,0),IF(ROUNDDOWN(G153,0)=ROUNDDOWN($C$366,0),ROUND($E$366*VLOOKUP($B147,$P$357:$R$360,3,0)/$H$366,2),ROUND(VLOOKUP($B147,$P$357:$R$360,3,0)/$H$366,2)),0)))</f>
        <v>0</v>
      </c>
      <c r="J154" s="3198">
        <f>IF(OR($B149=0,$B149="",$B147=""),0,IF(AND(ROUNDDOWN(J153,0)&gt;=ROUNDDOWN($C$366,0),1-SUM($B154:G154)&lt;VLOOKUP($B147,$P$357:$R$360,3,0)/$H$366),1-SUM($B154:G154),IF(ROUNDDOWN(J153,0)&gt;=ROUNDDOWN($C$366,0),IF(ROUNDDOWN(J153,0)=ROUNDDOWN($C$366,0),ROUND($E$366*VLOOKUP($B147,$P$357:$R$360,3,0)/$H$366,2),ROUND(VLOOKUP($B147,$P$357:$R$360,3,0)/$H$366,2)),0)))</f>
        <v>0</v>
      </c>
      <c r="M154" s="3198">
        <f>IF(OR($B149=0,$B149="",$B147=""),0,IF(AND(ROUNDDOWN(M153,0)&gt;=ROUNDDOWN($C$366,0),1-SUM($B154:J154)&lt;VLOOKUP($B147,$P$357:$R$360,3,0)/$H$366),1-SUM($B154:J154),IF(ROUNDDOWN(M153,0)&gt;=ROUNDDOWN($C$366,0),IF(ROUNDDOWN(M153,0)=ROUNDDOWN($C$366,0),ROUND($E$366*VLOOKUP($B147,$P$357:$R$360,3,0)/$H$366,2),ROUND(VLOOKUP($B147,$P$357:$R$360,3,0)/$H$366,2)),0)))</f>
        <v>0</v>
      </c>
      <c r="P154" s="3198">
        <f>IF(OR($B149=0,$B149="",$B147=""),0,IF(AND(ROUNDDOWN(P153,0)&gt;=ROUNDDOWN($C$366,0),1-SUM($B154:M154)&lt;VLOOKUP($B147,$P$357:$R$360,3,0)/$H$366),1-SUM($B154:M154),IF(ROUNDDOWN(P153,0)&gt;=ROUNDDOWN($C$366,0),IF(ROUNDDOWN(P153,0)=ROUNDDOWN($C$366,0),ROUND($E$366*VLOOKUP($B147,$P$357:$R$360,3,0)/$H$366,2),ROUND(VLOOKUP($B147,$P$357:$R$360,3,0)/$H$366,2)),0)))</f>
        <v>0</v>
      </c>
      <c r="S154" s="3198">
        <f>IF(OR($B149=0,$B149="",$B147=""),0,IF(AND(ROUNDDOWN(S153,0)&gt;=ROUNDDOWN($C$366,0),1-SUM($B154:P154)&lt;VLOOKUP($B147,$P$357:$R$360,3,0)/$H$366),1-SUM($B154:P154),IF(ROUNDDOWN(S153,0)&gt;=ROUNDDOWN($C$366,0),IF(ROUNDDOWN(S153,0)=ROUNDDOWN($C$366,0),ROUND($E$366*VLOOKUP($B147,$P$357:$R$360,3,0)/$H$366,2),ROUND(VLOOKUP($B147,$P$357:$R$360,3,0)/$H$366,2)),0)))</f>
        <v>0</v>
      </c>
      <c r="V154" s="3198">
        <f>IF(OR($B149=0,$B149="",$B147=""),0,IF(AND(ROUNDDOWN(V153,0)&gt;=ROUNDDOWN($C$366,0),1-SUM($B154:S154)&lt;VLOOKUP($B147,$P$357:$R$360,3,0)/$H$366),1-SUM($B154:S154),IF(ROUNDDOWN(V153,0)&gt;=ROUNDDOWN($C$366,0),IF(ROUNDDOWN(V153,0)=ROUNDDOWN($C$366,0),ROUND($E$366*VLOOKUP($B147,$P$357:$R$360,3,0)/$H$366,2),ROUND(VLOOKUP($B147,$P$357:$R$360,3,0)/$H$366,2)),0)))</f>
        <v>0</v>
      </c>
      <c r="Y154" s="3198">
        <f>IF(OR($B149=0,$B149="",$B147=""),0,IF(AND(ROUNDDOWN(Y153,0)&gt;=ROUNDDOWN($C$366,0),1-SUM($B154:V154)&lt;VLOOKUP($B147,$P$357:$R$360,3,0)/$H$366),1-SUM($B154:V154),IF(ROUNDDOWN(Y153,0)&gt;=ROUNDDOWN($C$366,0),IF(ROUNDDOWN(Y153,0)=ROUNDDOWN($C$366,0),ROUND($E$366*VLOOKUP($B147,$P$357:$R$360,3,0)/$H$366,2),ROUND(VLOOKUP($B147,$P$357:$R$360,3,0)/$H$366,2)),0)))</f>
        <v>0</v>
      </c>
      <c r="AB154" s="3198">
        <f>IF(OR($B149=0,$B149="",$B147=""),0,IF(AND(ROUNDDOWN(AB153,0)&gt;=ROUNDDOWN($C$366,0),1-SUM($B154:Y154)&lt;VLOOKUP($B147,$P$357:$R$360,3,0)/$H$366),1-SUM($B154:Y154),IF(ROUNDDOWN(AB153,0)&gt;=ROUNDDOWN($C$366,0),IF(ROUNDDOWN(AB153,0)=ROUNDDOWN($C$366,0),ROUND($E$366*VLOOKUP($B147,$P$357:$R$360,3,0)/$H$366,2),ROUND(VLOOKUP($B147,$P$357:$R$360,3,0)/$H$366,2)),0)))</f>
        <v>0</v>
      </c>
      <c r="AE154" s="3198">
        <f>IF(OR($B149=0,$B149="",$B147=""),0,IF(AND(ROUNDDOWN(AE153,0)&gt;=ROUNDDOWN($C$366,0),1-SUM($B154:AB154)&lt;VLOOKUP($B147,$P$357:$R$360,3,0)/$H$366),1-SUM($B154:AB154),IF(ROUNDDOWN(AE153,0)&gt;=ROUNDDOWN($C$366,0),IF(ROUNDDOWN(AE153,0)=ROUNDDOWN($C$366,0),ROUND($E$366*VLOOKUP($B147,$P$357:$R$360,3,0)/$H$366,2),ROUND(VLOOKUP($B147,$P$357:$R$360,3,0)/$H$366,2)),0)))</f>
        <v>0</v>
      </c>
      <c r="AH154" s="3198">
        <f>IF(OR($B149=0,$B149="",$B147=""),0,IF(AND(ROUNDDOWN(AH153,0)&gt;=ROUNDDOWN($C$366,0),1-SUM($B154:AE154)&lt;VLOOKUP($B147,$P$357:$R$360,3,0)/$H$366),1-SUM($B154:AE154),IF(ROUNDDOWN(AH153,0)&gt;=ROUNDDOWN($C$366,0),IF(ROUNDDOWN(AH153,0)=ROUNDDOWN($C$366,0),ROUND($E$366*VLOOKUP($B147,$P$357:$R$360,3,0)/$H$366,2),ROUND(VLOOKUP($B147,$P$357:$R$360,3,0)/$H$366,2)),0)))</f>
        <v>0</v>
      </c>
      <c r="AK154" s="3198">
        <f>IF(OR($B149=0,$B149="",$B147=""),0,IF(AND(ROUNDDOWN(AK153,0)&gt;=ROUNDDOWN($C$366,0),1-SUM($B154:AH154)&lt;VLOOKUP($B147,$P$357:$R$360,3,0)/$H$366),1-SUM($B154:AH154),IF(ROUNDDOWN(AK153,0)&gt;=ROUNDDOWN($C$366,0),IF(ROUNDDOWN(AK153,0)=ROUNDDOWN($C$366,0),ROUND($E$366*VLOOKUP($B147,$P$357:$R$360,3,0)/$H$366,2),ROUND(VLOOKUP($B147,$P$357:$R$360,3,0)/$H$366,2)),0)))</f>
        <v>0</v>
      </c>
      <c r="AN154" s="3198">
        <f>IF(OR($B149=0,$B149="",$B147=""),0,IF(AND(ROUNDDOWN(AN153,0)&gt;=ROUNDDOWN($C$366,0),1-SUM($B154:AK154)&lt;VLOOKUP($B147,$P$357:$R$360,3,0)/$H$366),1-SUM($B154:AK154),IF(ROUNDDOWN(AN153,0)&gt;=ROUNDDOWN($C$366,0),IF(ROUNDDOWN(AN153,0)=ROUNDDOWN($C$366,0),ROUND($E$366*VLOOKUP($B147,$P$357:$R$360,3,0)/$H$366,2),ROUND(VLOOKUP($B147,$P$357:$R$360,3,0)/$H$366,2)),0)))</f>
        <v>0</v>
      </c>
      <c r="AQ154" s="3198">
        <f>IF(OR($B149=0,$B149="",$B147=""),0,IF(AND(ROUNDDOWN(AQ153,0)&gt;=ROUNDDOWN($C$366,0),1-SUM($B154:AN154)&lt;VLOOKUP($B147,$P$357:$R$360,3,0)/$H$366),1-SUM($B154:AN154),IF(ROUNDDOWN(AQ153,0)&gt;=ROUNDDOWN($C$366,0),IF(ROUNDDOWN(AQ153,0)=ROUNDDOWN($C$366,0),ROUND($E$366*VLOOKUP($B147,$P$357:$R$360,3,0)/$H$366,2),ROUND(VLOOKUP($B147,$P$357:$R$360,3,0)/$H$366,2)),0)))</f>
        <v>0</v>
      </c>
      <c r="AT154" s="3198">
        <f>IF(OR($B149=0,$B149="",$B147=""),0,IF(AND(ROUNDDOWN(AT153,0)&gt;=ROUNDDOWN($C$366,0),1-SUM($B154:AQ154)&lt;VLOOKUP($B147,$P$357:$R$360,3,0)/$H$366),1-SUM($B154:AQ154),IF(ROUNDDOWN(AT153,0)&gt;=ROUNDDOWN($C$366,0),IF(ROUNDDOWN(AT153,0)=ROUNDDOWN($C$366,0),ROUND($E$366*VLOOKUP($B147,$P$357:$R$360,3,0)/$H$366,2),ROUND(VLOOKUP($B147,$P$357:$R$360,3,0)/$H$366,2)),0)))</f>
        <v>0</v>
      </c>
      <c r="AV154" s="3192"/>
    </row>
    <row r="155" spans="1:48" ht="12.5">
      <c r="A155" s="3199" t="str">
        <f>IF(AND(A153=0,A153=""),"","1er. DESEMBOLSO - ")&amp;"AMORTIZACIÓN"</f>
        <v>AMORTIZACIÓN</v>
      </c>
      <c r="B155" s="3200">
        <f>$B148*B154</f>
        <v>0</v>
      </c>
      <c r="D155" s="3200">
        <f ca="1">IF($B152&gt;D153,0,D154*$B148)</f>
        <v>0</v>
      </c>
      <c r="G155" s="3200">
        <f ca="1">IF($B152&gt;G153,0,G154*$B148)</f>
        <v>0</v>
      </c>
      <c r="J155" s="3200">
        <f ca="1">IF($B152&gt;J153,0,J154*$B148)</f>
        <v>0</v>
      </c>
      <c r="M155" s="3200">
        <f ca="1">IF($B152&gt;M153,0,M154*$B148)</f>
        <v>0</v>
      </c>
      <c r="P155" s="3200">
        <f ca="1">IF($B152&gt;P153,0,P154*$B148)</f>
        <v>0</v>
      </c>
      <c r="S155" s="3200">
        <f ca="1">IF($B152&gt;S153,0,S154*$B148)</f>
        <v>0</v>
      </c>
      <c r="V155" s="3200">
        <f ca="1">IF($B152&gt;V153,0,V154*$B148)</f>
        <v>0</v>
      </c>
      <c r="Y155" s="3200">
        <f ca="1">IF($B152&gt;Y153,0,Y154*$B148)</f>
        <v>0</v>
      </c>
      <c r="AB155" s="3200">
        <f ca="1">IF($B152&gt;AB153,0,AB154*$B148)</f>
        <v>0</v>
      </c>
      <c r="AE155" s="3200">
        <f ca="1">IF($B152&gt;AE153,0,AE154*$B148)</f>
        <v>0</v>
      </c>
      <c r="AH155" s="3200">
        <f ca="1">IF($B152&gt;AH153,0,AH154*$B148)</f>
        <v>0</v>
      </c>
      <c r="AK155" s="3200">
        <f ca="1">IF($B152&gt;AK153,0,AK154*$B148)</f>
        <v>0</v>
      </c>
      <c r="AN155" s="3200">
        <f ca="1">IF($B152&gt;AN153,0,AN154*$B148)</f>
        <v>0</v>
      </c>
      <c r="AQ155" s="3200">
        <f ca="1">IF($B152&gt;AQ153,0,AQ154*$B148)</f>
        <v>0</v>
      </c>
      <c r="AT155" s="3200">
        <f ca="1">IF($B152&gt;AT153,0,AT154*$B148)</f>
        <v>0</v>
      </c>
      <c r="AV155" s="3192"/>
    </row>
    <row r="156" spans="1:48" ht="12.5">
      <c r="A156" s="3193" t="str">
        <f>IF(AND(A153=0,A153=""),"","1er. DESEMBOLSO - ")&amp;"SALDO "</f>
        <v xml:space="preserve">SALDO </v>
      </c>
      <c r="B156" s="3201">
        <f ca="1">IF($B152&gt;B153,0,B148-B155)</f>
        <v>0</v>
      </c>
      <c r="D156" s="3201">
        <f ca="1">IF($B152&gt;D153,0,IF($B152=D153,$B148-D155,IF(+B156-D155&lt;0.005,0,B156-D155)))</f>
        <v>0</v>
      </c>
      <c r="G156" s="3201">
        <f ca="1">IF($B152&gt;G153,0,IF($B152=G153,$B148-G155,IF(D156-G155&lt;0.005,0,D156-G155)))</f>
        <v>0</v>
      </c>
      <c r="J156" s="3201">
        <f ca="1">IF($B152&gt;J153,0,IF($B152=J153,$B148-J155,IF(G156-J155&lt;0.005,0,G156-J155)))</f>
        <v>0</v>
      </c>
      <c r="M156" s="3201">
        <f ca="1">IF($B152&gt;M153,0,IF($B152=M153,$B148-M155,IF(J156-M155&lt;0.005,0,J156-M155)))</f>
        <v>0</v>
      </c>
      <c r="P156" s="3201">
        <f ca="1">IF($B152&gt;P153,0,IF($B152=P153,$B148-P155,IF(M156-P155&lt;0.005,0,M156-P155)))</f>
        <v>0</v>
      </c>
      <c r="S156" s="3201">
        <f ca="1">IF($B152&gt;S153,0,IF($B152=S153,$B148-S155,IF(P156-S155&lt;0.005,0,P156-S155)))</f>
        <v>0</v>
      </c>
      <c r="V156" s="3201">
        <f ca="1">IF($B152&gt;V153,0,IF($B152=V153,$B148-V155,IF(S156-V155&lt;0.005,0,S156-V155)))</f>
        <v>0</v>
      </c>
      <c r="Y156" s="3201">
        <f ca="1">IF($B152&gt;Y153,0,IF($B152=Y153,$B148-Y155,IF(V156-Y155&lt;0.005,0,V156-Y155)))</f>
        <v>0</v>
      </c>
      <c r="AB156" s="3201">
        <f ca="1">IF($B152&gt;AB153,0,IF($B152=AB153,$B148-AB155,IF(Y156-AB155&lt;0.005,0,Y156-AB155)))</f>
        <v>0</v>
      </c>
      <c r="AE156" s="3201">
        <f ca="1">IF($B152&gt;AE153,0,IF($B152=AE153,$B148-AE155,IF(AB156-AE155&lt;0.005,0,AB156-AE155)))</f>
        <v>0</v>
      </c>
      <c r="AH156" s="3201">
        <f ca="1">IF($B152&gt;AH153,0,IF($B152=AH153,$B148-AH155,IF(AE156-AH155&lt;0.005,0,AE156-AH155)))</f>
        <v>0</v>
      </c>
      <c r="AK156" s="3201">
        <f ca="1">IF($B152&gt;AK153,0,IF($B152=AK153,$B148-AK155,IF(AH156-AK155&lt;0.005,0,AH156-AK155)))</f>
        <v>0</v>
      </c>
      <c r="AN156" s="3201">
        <f ca="1">IF($B152&gt;AN153,0,IF($B152=AN153,$B148-AN155,IF(AK156-AN155&lt;0.005,0,AK156-AN155)))</f>
        <v>0</v>
      </c>
      <c r="AQ156" s="3201">
        <f ca="1">IF($B152&gt;AQ153,0,IF($B152=AQ153,$B148-AQ155,IF(AN156-AQ155&lt;0.005,0,AN156-AQ155)))</f>
        <v>0</v>
      </c>
      <c r="AT156" s="3201">
        <f ca="1">IF($B152&gt;AT153,0,IF($B152=AT153,$B148-AT155,IF(AQ156-AT155&lt;0.005,0,AQ156-AT155)))</f>
        <v>0</v>
      </c>
      <c r="AV156" s="3192"/>
    </row>
    <row r="157" spans="1:48" ht="12.5">
      <c r="A157" s="3197" t="str">
        <f>IF(AND(A153=0,A153=""),"","1er. DESEMBOLSO - ")&amp;"TASA DE FINANCIACIÓN E.A."</f>
        <v>TASA DE FINANCIACIÓN E.A.</v>
      </c>
      <c r="B157" s="3198"/>
      <c r="D157" s="3198">
        <f>B157</f>
        <v>0</v>
      </c>
      <c r="G157" s="3198">
        <f>D157</f>
        <v>0</v>
      </c>
      <c r="J157" s="3198">
        <f>G157</f>
        <v>0</v>
      </c>
      <c r="M157" s="3198">
        <f>J157</f>
        <v>0</v>
      </c>
      <c r="P157" s="3198">
        <f>M157</f>
        <v>0</v>
      </c>
      <c r="S157" s="3198">
        <f>P157</f>
        <v>0</v>
      </c>
      <c r="V157" s="3198">
        <f>S157</f>
        <v>0</v>
      </c>
      <c r="Y157" s="3198">
        <f>V157</f>
        <v>0</v>
      </c>
      <c r="AB157" s="3198">
        <f>Y157</f>
        <v>0</v>
      </c>
      <c r="AE157" s="3198">
        <f>AB157</f>
        <v>0</v>
      </c>
      <c r="AH157" s="3198">
        <f>AE157</f>
        <v>0</v>
      </c>
      <c r="AK157" s="3198">
        <f>AH157</f>
        <v>0</v>
      </c>
      <c r="AN157" s="3198">
        <f>AK157</f>
        <v>0</v>
      </c>
      <c r="AQ157" s="3198">
        <f>AN157</f>
        <v>0</v>
      </c>
      <c r="AT157" s="3198">
        <f>AQ157</f>
        <v>0</v>
      </c>
      <c r="AV157" s="3192"/>
    </row>
    <row r="158" spans="1:48" ht="12.5">
      <c r="A158" s="3197" t="str">
        <f>IF(AND(A153=0,A153=""),"","1er. DESEMBOLSO - ")&amp;"CÁLCULO INTERESES"</f>
        <v>CÁLCULO INTERESES</v>
      </c>
      <c r="B158" s="3202">
        <f ca="1">IF(OR($B152&lt;&gt;B153,B157="",B157=0),0,IF(AND(B154=0,$I$366=1),B157,IF(B154=0,NOMINAL(B157,12)*IF($B152=B153,$I$366,1),IF(AND($B152=B153,ROUNDDOWN($C$366,0)=B153),$E$366,1)*NOMINAL(B157,VLOOKUP($B147,$P$357:$R$360,3,0))/VLOOKUP($B147,$P$357:$R$360,3,0)))*((IF(B154=0,1,IF(AND($B152=B153,B154&lt;ROUNDDOWN(VLOOKUP($B147,$P$357:$R$360,3,0)/$H$366,0)),ROUNDDOWN(B154*$H$366,0),IF(AND($B152&lt;B153,B154&lt;ROUNDDOWN(VLOOKUP($B147,$P$357:$R$360,3,0)/$H$366,0)),ROUND(AVERAGE(ROUNDDOWN(B154*$H$366,0),2*VLOOKUP($B147,$P$357:$R$360,3,0)),0),VLOOKUP($B147,$P$357:$R$360,3,0))))*$B148)-((B155*(IF(B154=0,1,IF(AND($B152=B153,B154&lt;ROUNDDOWN(VLOOKUP($B147,$P$357:$R$360,3,0)/$H$366,0)),ROUNDDOWN(B154*$H$366,0),IF(AND($B152&lt;B153,B154&lt;ROUNDDOWN(VLOOKUP($B147,$P$357:$R$360,3,0)/$H$366,0)),ROUND(AVERAGE(ROUNDDOWN(B154*$H$366,0),2*VLOOKUP($B147,$P$357:$R$360,3,0)),0),VLOOKUP($B147,$P$357:$R$360,3,0))))-1))/2)))</f>
        <v>0</v>
      </c>
      <c r="C158" s="26"/>
      <c r="D158" s="3202">
        <f ca="1">IF(OR($B152&gt;D153,D157="",D157=0),0,IF(AND(D154=0,OR(D153&gt;$B152,$I$366=1)),D157,IF(D154=0,NOMINAL(D157,12)*IF($B152=D153,$I$366,1),IF(AND($B152=D153,ROUNDDOWN($C$366,0)=D153),$E$366,1)*NOMINAL(D157,VLOOKUP($B147,$P$357:$R$360,3,0))/VLOOKUP($B147,$P$357:$R$360,3,0)))*((IF(D154=0,1,IF(AND($B152=D153,D154&lt;ROUNDDOWN(VLOOKUP($B147,$P$357:$R$360,3,0)/$H$366,0)),ROUNDDOWN(D154*$H$366,0),IF(AND($B152&lt;D153,D154&lt;ROUNDDOWN(VLOOKUP($B147,$P$357:$R$360,3,0)/$H$366,0)),ROUND(AVERAGE(ROUNDDOWN(D154*$H$366,0),2*VLOOKUP($B147,$P$357:$R$360,3,0)),0),VLOOKUP($B147,$P$357:$R$360,3,0))))*IF($B152=D153,$B148,SUM(B156:B156)))-((D155*(IF(D154=0,1,IF(AND($B152=D153,D154&lt;ROUNDDOWN(VLOOKUP($B147,$P$357:$R$360,3,0)/$H$366,0)),ROUNDDOWN(D154*$H$366,0),IF(AND($B152&lt;D153,D154&lt;ROUNDDOWN(VLOOKUP($B147,$P$357:$R$360,3,0)/$H$366,0)),ROUND(AVERAGE(ROUNDDOWN(D154*$H$366,0),2*VLOOKUP($B147,$P$357:$R$360,3,0)),0),VLOOKUP($B147,$P$357:$R$360,3,0))))-1))/2)))</f>
        <v>0</v>
      </c>
      <c r="E158" s="26"/>
      <c r="F158" s="26"/>
      <c r="G158" s="3202">
        <f ca="1">IF(OR($B152&gt;G153,G157="",G157=0),0,IF(AND(G154=0,OR(G153&gt;$B152,$I$366=1)),G157,IF(G154=0,NOMINAL(G157,12)*IF($B152=G153,$I$366,1),IF(AND($B152=G153,ROUNDDOWN($C$366,0)=G153),$E$366,1)*NOMINAL(G157,VLOOKUP($B147,$P$357:$R$360,3,0))/VLOOKUP($B147,$P$357:$R$360,3,0)))*((IF(G154=0,1,IF(AND($B152=G153,G154&lt;ROUNDDOWN(VLOOKUP($B147,$P$357:$R$360,3,0)/$H$366,0)),ROUNDDOWN(G154*$H$366,0),IF(AND($B152&lt;G153,G154&lt;ROUNDDOWN(VLOOKUP($B147,$P$357:$R$360,3,0)/$H$366,0)),ROUND(AVERAGE(ROUNDDOWN(G154*$H$366,0),2*VLOOKUP($B147,$P$357:$R$360,3,0)),0),VLOOKUP($B147,$P$357:$R$360,3,0))))*IF($B152=G153,$B148,SUM(D156:D156)))-((G155*(IF(G154=0,1,IF(AND($B152=G153,G154&lt;ROUNDDOWN(VLOOKUP($B147,$P$357:$R$360,3,0)/$H$366,0)),ROUNDDOWN(G154*$H$366,0),IF(AND($B152&lt;G153,G154&lt;ROUNDDOWN(VLOOKUP($B147,$P$357:$R$360,3,0)/$H$366,0)),ROUND(AVERAGE(ROUNDDOWN(G154*$H$366,0),2*VLOOKUP($B147,$P$357:$R$360,3,0)),0),VLOOKUP($B147,$P$357:$R$360,3,0))))-1))/2)))</f>
        <v>0</v>
      </c>
      <c r="H158" s="26"/>
      <c r="I158" s="26"/>
      <c r="J158" s="3202">
        <f ca="1">IF(OR($B152&gt;J153,J157="",J157=0),0,IF(AND(J154=0,OR(J153&gt;$B152,$I$366=1)),J157,IF(J154=0,NOMINAL(J157,12)*IF($B152=J153,$I$366,1),IF(AND($B152=J153,ROUNDDOWN($C$366,0)=J153),$E$366,1)*NOMINAL(J157,VLOOKUP($B147,$P$357:$R$360,3,0))/VLOOKUP($B147,$P$357:$R$360,3,0)))*((IF(J154=0,1,IF(AND($B152=J153,J154&lt;ROUNDDOWN(VLOOKUP($B147,$P$357:$R$360,3,0)/$H$366,0)),ROUNDDOWN(J154*$H$366,0),IF(AND($B152&lt;J153,J154&lt;ROUNDDOWN(VLOOKUP($B147,$P$357:$R$360,3,0)/$H$366,0)),ROUND(AVERAGE(ROUNDDOWN(J154*$H$366,0),2*VLOOKUP($B147,$P$357:$R$360,3,0)),0),VLOOKUP($B147,$P$357:$R$360,3,0))))*IF($B152=J153,$B148,SUM(G156:G156)))-((J155*(IF(J154=0,1,IF(AND($B152=J153,J154&lt;ROUNDDOWN(VLOOKUP($B147,$P$357:$R$360,3,0)/$H$366,0)),ROUNDDOWN(J154*$H$366,0),IF(AND($B152&lt;J153,J154&lt;ROUNDDOWN(VLOOKUP($B147,$P$357:$R$360,3,0)/$H$366,0)),ROUND(AVERAGE(ROUNDDOWN(J154*$H$366,0),2*VLOOKUP($B147,$P$357:$R$360,3,0)),0),VLOOKUP($B147,$P$357:$R$360,3,0))))-1))/2)))</f>
        <v>0</v>
      </c>
      <c r="K158" s="26"/>
      <c r="L158" s="26"/>
      <c r="M158" s="3202">
        <f ca="1">IF(OR($B152&gt;M153,M157="",M157=0),0,IF(AND(M154=0,OR(M153&gt;$B152,$I$366=1)),M157,IF(M154=0,NOMINAL(M157,12)*IF($B152=M153,$I$366,1),IF(AND($B152=M153,ROUNDDOWN($C$366,0)=M153),$E$366,1)*NOMINAL(M157,VLOOKUP($B147,$P$357:$R$360,3,0))/VLOOKUP($B147,$P$357:$R$360,3,0)))*((IF(M154=0,1,IF(AND($B152=M153,M154&lt;ROUNDDOWN(VLOOKUP($B147,$P$357:$R$360,3,0)/$H$366,0)),ROUNDDOWN(M154*$H$366,0),IF(AND($B152&lt;M153,M154&lt;ROUNDDOWN(VLOOKUP($B147,$P$357:$R$360,3,0)/$H$366,0)),ROUND(AVERAGE(ROUNDDOWN(M154*$H$366,0),2*VLOOKUP($B147,$P$357:$R$360,3,0)),0),VLOOKUP($B147,$P$357:$R$360,3,0))))*IF($B152=M153,$B148,SUM(J156:J156)))-((M155*(IF(M154=0,1,IF(AND($B152=M153,M154&lt;ROUNDDOWN(VLOOKUP($B147,$P$357:$R$360,3,0)/$H$366,0)),ROUNDDOWN(M154*$H$366,0),IF(AND($B152&lt;M153,M154&lt;ROUNDDOWN(VLOOKUP($B147,$P$357:$R$360,3,0)/$H$366,0)),ROUND(AVERAGE(ROUNDDOWN(M154*$H$366,0),2*VLOOKUP($B147,$P$357:$R$360,3,0)),0),VLOOKUP($B147,$P$357:$R$360,3,0))))-1))/2)))</f>
        <v>0</v>
      </c>
      <c r="N158" s="26"/>
      <c r="O158" s="26"/>
      <c r="P158" s="3202">
        <f ca="1">IF(OR($B152&gt;P153,P157="",P157=0),0,IF(AND(P154=0,OR(P153&gt;$B152,$I$366=1)),P157,IF(P154=0,NOMINAL(P157,12)*IF($B152=P153,$I$366,1),IF(AND($B152=P153,ROUNDDOWN($C$366,0)=P153),$E$366,1)*NOMINAL(P157,VLOOKUP($B147,$P$357:$R$360,3,0))/VLOOKUP($B147,$P$357:$R$360,3,0)))*((IF(P154=0,1,IF(AND($B152=P153,P154&lt;ROUNDDOWN(VLOOKUP($B147,$P$357:$R$360,3,0)/$H$366,0)),ROUNDDOWN(P154*$H$366,0),IF(AND($B152&lt;P153,P154&lt;ROUNDDOWN(VLOOKUP($B147,$P$357:$R$360,3,0)/$H$366,0)),ROUND(AVERAGE(ROUNDDOWN(P154*$H$366,0),2*VLOOKUP($B147,$P$357:$R$360,3,0)),0),VLOOKUP($B147,$P$357:$R$360,3,0))))*IF($B152=P153,$B148,SUM(M156:M156)))-((P155*(IF(P154=0,1,IF(AND($B152=P153,P154&lt;ROUNDDOWN(VLOOKUP($B147,$P$357:$R$360,3,0)/$H$366,0)),ROUNDDOWN(P154*$H$366,0),IF(AND($B152&lt;P153,P154&lt;ROUNDDOWN(VLOOKUP($B147,$P$357:$R$360,3,0)/$H$366,0)),ROUND(AVERAGE(ROUNDDOWN(P154*$H$366,0),2*VLOOKUP($B147,$P$357:$R$360,3,0)),0),VLOOKUP($B147,$P$357:$R$360,3,0))))-1))/2)))</f>
        <v>0</v>
      </c>
      <c r="Q158" s="26"/>
      <c r="R158" s="26"/>
      <c r="S158" s="3202">
        <f ca="1">IF(OR($B152&gt;S153,S157="",S157=0),0,IF(AND(S154=0,OR(S153&gt;$B152,$I$366=1)),S157,IF(S154=0,NOMINAL(S157,12)*IF($B152=S153,$I$366,1),IF(AND($B152=S153,ROUNDDOWN($C$366,0)=S153),$E$366,1)*NOMINAL(S157,VLOOKUP($B147,$P$357:$R$360,3,0))/VLOOKUP($B147,$P$357:$R$360,3,0)))*((IF(S154=0,1,IF(AND($B152=S153,S154&lt;ROUNDDOWN(VLOOKUP($B147,$P$357:$R$360,3,0)/$H$366,0)),ROUNDDOWN(S154*$H$366,0),IF(AND($B152&lt;S153,S154&lt;ROUNDDOWN(VLOOKUP($B147,$P$357:$R$360,3,0)/$H$366,0)),ROUND(AVERAGE(ROUNDDOWN(S154*$H$366,0),2*VLOOKUP($B147,$P$357:$R$360,3,0)),0),VLOOKUP($B147,$P$357:$R$360,3,0))))*IF($B152=S153,$B148,SUM(P156:P156)))-((S155*(IF(S154=0,1,IF(AND($B152=S153,S154&lt;ROUNDDOWN(VLOOKUP($B147,$P$357:$R$360,3,0)/$H$366,0)),ROUNDDOWN(S154*$H$366,0),IF(AND($B152&lt;S153,S154&lt;ROUNDDOWN(VLOOKUP($B147,$P$357:$R$360,3,0)/$H$366,0)),ROUND(AVERAGE(ROUNDDOWN(S154*$H$366,0),2*VLOOKUP($B147,$P$357:$R$360,3,0)),0),VLOOKUP($B147,$P$357:$R$360,3,0))))-1))/2)))</f>
        <v>0</v>
      </c>
      <c r="T158" s="26"/>
      <c r="U158" s="26"/>
      <c r="V158" s="3202">
        <f ca="1">IF(OR($B152&gt;V153,V157="",V157=0),0,IF(AND(V154=0,OR(V153&gt;$B152,$I$366=1)),V157,IF(V154=0,NOMINAL(V157,12)*IF($B152=V153,$I$366,1),IF(AND($B152=V153,ROUNDDOWN($C$366,0)=V153),$E$366,1)*NOMINAL(V157,VLOOKUP($B147,$P$357:$R$360,3,0))/VLOOKUP($B147,$P$357:$R$360,3,0)))*((IF(V154=0,1,IF(AND($B152=V153,V154&lt;ROUNDDOWN(VLOOKUP($B147,$P$357:$R$360,3,0)/$H$366,0)),ROUNDDOWN(V154*$H$366,0),IF(AND($B152&lt;V153,V154&lt;ROUNDDOWN(VLOOKUP($B147,$P$357:$R$360,3,0)/$H$366,0)),ROUND(AVERAGE(ROUNDDOWN(V154*$H$366,0),2*VLOOKUP($B147,$P$357:$R$360,3,0)),0),VLOOKUP($B147,$P$357:$R$360,3,0))))*IF($B152=V153,$B148,SUM(S156:S156)))-((V155*(IF(V154=0,1,IF(AND($B152=V153,V154&lt;ROUNDDOWN(VLOOKUP($B147,$P$357:$R$360,3,0)/$H$366,0)),ROUNDDOWN(V154*$H$366,0),IF(AND($B152&lt;V153,V154&lt;ROUNDDOWN(VLOOKUP($B147,$P$357:$R$360,3,0)/$H$366,0)),ROUND(AVERAGE(ROUNDDOWN(V154*$H$366,0),2*VLOOKUP($B147,$P$357:$R$360,3,0)),0),VLOOKUP($B147,$P$357:$R$360,3,0))))-1))/2)))</f>
        <v>0</v>
      </c>
      <c r="W158" s="26"/>
      <c r="X158" s="26"/>
      <c r="Y158" s="3202">
        <f ca="1">IF(OR($B152&gt;Y153,Y157="",Y157=0),0,IF(AND(Y154=0,OR(Y153&gt;$B152,$I$366=1)),Y157,IF(Y154=0,NOMINAL(Y157,12)*IF($B152=Y153,$I$366,1),IF(AND($B152=Y153,ROUNDDOWN($C$366,0)=Y153),$E$366,1)*NOMINAL(Y157,VLOOKUP($B147,$P$357:$R$360,3,0))/VLOOKUP($B147,$P$357:$R$360,3,0)))*((IF(Y154=0,1,IF(AND($B152=Y153,Y154&lt;ROUNDDOWN(VLOOKUP($B147,$P$357:$R$360,3,0)/$H$366,0)),ROUNDDOWN(Y154*$H$366,0),IF(AND($B152&lt;Y153,Y154&lt;ROUNDDOWN(VLOOKUP($B147,$P$357:$R$360,3,0)/$H$366,0)),ROUND(AVERAGE(ROUNDDOWN(Y154*$H$366,0),2*VLOOKUP($B147,$P$357:$R$360,3,0)),0),VLOOKUP($B147,$P$357:$R$360,3,0))))*IF($B152=Y153,$B148,SUM(V156:V156)))-((Y155*(IF(Y154=0,1,IF(AND($B152=Y153,Y154&lt;ROUNDDOWN(VLOOKUP($B147,$P$357:$R$360,3,0)/$H$366,0)),ROUNDDOWN(Y154*$H$366,0),IF(AND($B152&lt;Y153,Y154&lt;ROUNDDOWN(VLOOKUP($B147,$P$357:$R$360,3,0)/$H$366,0)),ROUND(AVERAGE(ROUNDDOWN(Y154*$H$366,0),2*VLOOKUP($B147,$P$357:$R$360,3,0)),0),VLOOKUP($B147,$P$357:$R$360,3,0))))-1))/2)))</f>
        <v>0</v>
      </c>
      <c r="Z158" s="26"/>
      <c r="AA158" s="26"/>
      <c r="AB158" s="3202">
        <f ca="1">IF(OR($B152&gt;AB153,AB157="",AB157=0),0,IF(AND(AB154=0,OR(AB153&gt;$B152,$I$366=1)),AB157,IF(AB154=0,NOMINAL(AB157,12)*IF($B152=AB153,$I$366,1),IF(AND($B152=AB153,ROUNDDOWN($C$366,0)=AB153),$E$366,1)*NOMINAL(AB157,VLOOKUP($B147,$P$357:$R$360,3,0))/VLOOKUP($B147,$P$357:$R$360,3,0)))*((IF(AB154=0,1,IF(AND($B152=AB153,AB154&lt;ROUNDDOWN(VLOOKUP($B147,$P$357:$R$360,3,0)/$H$366,0)),ROUNDDOWN(AB154*$H$366,0),IF(AND($B152&lt;AB153,AB154&lt;ROUNDDOWN(VLOOKUP($B147,$P$357:$R$360,3,0)/$H$366,0)),ROUND(AVERAGE(ROUNDDOWN(AB154*$H$366,0),2*VLOOKUP($B147,$P$357:$R$360,3,0)),0),VLOOKUP($B147,$P$357:$R$360,3,0))))*IF($B152=AB153,$B148,SUM(Y156:Y156)))-((AB155*(IF(AB154=0,1,IF(AND($B152=AB153,AB154&lt;ROUNDDOWN(VLOOKUP($B147,$P$357:$R$360,3,0)/$H$366,0)),ROUNDDOWN(AB154*$H$366,0),IF(AND($B152&lt;AB153,AB154&lt;ROUNDDOWN(VLOOKUP($B147,$P$357:$R$360,3,0)/$H$366,0)),ROUND(AVERAGE(ROUNDDOWN(AB154*$H$366,0),2*VLOOKUP($B147,$P$357:$R$360,3,0)),0),VLOOKUP($B147,$P$357:$R$360,3,0))))-1))/2)))</f>
        <v>0</v>
      </c>
      <c r="AC158" s="26"/>
      <c r="AD158" s="26"/>
      <c r="AE158" s="3202">
        <f ca="1">IF(OR($B152&gt;AE153,AE157="",AE157=0),0,IF(AND(AE154=0,OR(AE153&gt;$B152,$I$366=1)),AE157,IF(AE154=0,NOMINAL(AE157,12)*IF($B152=AE153,$I$366,1),IF(AND($B152=AE153,ROUNDDOWN($C$366,0)=AE153),$E$366,1)*NOMINAL(AE157,VLOOKUP($B147,$P$357:$R$360,3,0))/VLOOKUP($B147,$P$357:$R$360,3,0)))*((IF(AE154=0,1,IF(AND($B152=AE153,AE154&lt;ROUNDDOWN(VLOOKUP($B147,$P$357:$R$360,3,0)/$H$366,0)),ROUNDDOWN(AE154*$H$366,0),IF(AND($B152&lt;AE153,AE154&lt;ROUNDDOWN(VLOOKUP($B147,$P$357:$R$360,3,0)/$H$366,0)),ROUND(AVERAGE(ROUNDDOWN(AE154*$H$366,0),2*VLOOKUP($B147,$P$357:$R$360,3,0)),0),VLOOKUP($B147,$P$357:$R$360,3,0))))*IF($B152=AE153,$B148,SUM(AB156:AB156)))-((AE155*(IF(AE154=0,1,IF(AND($B152=AE153,AE154&lt;ROUNDDOWN(VLOOKUP($B147,$P$357:$R$360,3,0)/$H$366,0)),ROUNDDOWN(AE154*$H$366,0),IF(AND($B152&lt;AE153,AE154&lt;ROUNDDOWN(VLOOKUP($B147,$P$357:$R$360,3,0)/$H$366,0)),ROUND(AVERAGE(ROUNDDOWN(AE154*$H$366,0),2*VLOOKUP($B147,$P$357:$R$360,3,0)),0),VLOOKUP($B147,$P$357:$R$360,3,0))))-1))/2)))</f>
        <v>0</v>
      </c>
      <c r="AF158" s="3203"/>
      <c r="AG158" s="26"/>
      <c r="AH158" s="3202">
        <f ca="1">IF(OR($B152&gt;AH153,AH157="",AH157=0),0,IF(AND(AH154=0,OR(AH153&gt;$B152,$I$366=1)),AH157,IF(AH154=0,NOMINAL(AH157,12)*IF($B152=AH153,$I$366,1),IF(AND($B152=AH153,ROUNDDOWN($C$366,0)=AH153),$E$366,1)*NOMINAL(AH157,VLOOKUP($B147,$P$357:$R$360,3,0))/VLOOKUP($B147,$P$357:$R$360,3,0)))*((IF(AH154=0,1,IF(AND($B152=AH153,AH154&lt;ROUNDDOWN(VLOOKUP($B147,$P$357:$R$360,3,0)/$H$366,0)),ROUNDDOWN(AH154*$H$366,0),IF(AND($B152&lt;AH153,AH154&lt;ROUNDDOWN(VLOOKUP($B147,$P$357:$R$360,3,0)/$H$366,0)),ROUND(AVERAGE(ROUNDDOWN(AH154*$H$366,0),2*VLOOKUP($B147,$P$357:$R$360,3,0)),0),VLOOKUP($B147,$P$357:$R$360,3,0))))*IF($B152=AH153,$B148,SUM(AE156:AE156)))-((AH155*(IF(AH154=0,1,IF(AND($B152=AH153,AH154&lt;ROUNDDOWN(VLOOKUP($B147,$P$357:$R$360,3,0)/$H$366,0)),ROUNDDOWN(AH154*$H$366,0),IF(AND($B152&lt;AH153,AH154&lt;ROUNDDOWN(VLOOKUP($B147,$P$357:$R$360,3,0)/$H$366,0)),ROUND(AVERAGE(ROUNDDOWN(AH154*$H$366,0),2*VLOOKUP($B147,$P$357:$R$360,3,0)),0),VLOOKUP($B147,$P$357:$R$360,3,0))))-1))/2)))</f>
        <v>0</v>
      </c>
      <c r="AI158" s="26"/>
      <c r="AJ158" s="26"/>
      <c r="AK158" s="3202">
        <f ca="1">IF(OR($B152&gt;AK153,AK157="",AK157=0),0,IF(AND(AK154=0,OR(AK153&gt;$B152,$I$366=1)),AK157,IF(AK154=0,NOMINAL(AK157,12)*IF($B152=AK153,$I$366,1),IF(AND($B152=AK153,ROUNDDOWN($C$366,0)=AK153),$E$366,1)*NOMINAL(AK157,VLOOKUP($B147,$P$357:$R$360,3,0))/VLOOKUP($B147,$P$357:$R$360,3,0)))*((IF(AK154=0,1,IF(AND($B152=AK153,AK154&lt;ROUNDDOWN(VLOOKUP($B147,$P$357:$R$360,3,0)/$H$366,0)),ROUNDDOWN(AK154*$H$366,0),IF(AND($B152&lt;AK153,AK154&lt;ROUNDDOWN(VLOOKUP($B147,$P$357:$R$360,3,0)/$H$366,0)),ROUND(AVERAGE(ROUNDDOWN(AK154*$H$366,0),2*VLOOKUP($B147,$P$357:$R$360,3,0)),0),VLOOKUP($B147,$P$357:$R$360,3,0))))*IF($B152=AK153,$B148,SUM(AH156:AH156)))-((AK155*(IF(AK154=0,1,IF(AND($B152=AK153,AK154&lt;ROUNDDOWN(VLOOKUP($B147,$P$357:$R$360,3,0)/$H$366,0)),ROUNDDOWN(AK154*$H$366,0),IF(AND($B152&lt;AK153,AK154&lt;ROUNDDOWN(VLOOKUP($B147,$P$357:$R$360,3,0)/$H$366,0)),ROUND(AVERAGE(ROUNDDOWN(AK154*$H$366,0),2*VLOOKUP($B147,$P$357:$R$360,3,0)),0),VLOOKUP($B147,$P$357:$R$360,3,0))))-1))/2)))</f>
        <v>0</v>
      </c>
      <c r="AL158" s="26"/>
      <c r="AM158" s="26"/>
      <c r="AN158" s="3202">
        <f ca="1">IF(OR($B152&gt;AN153,AN157="",AN157=0),0,IF(AND(AN154=0,OR(AN153&gt;$B152,$I$366=1)),AN157,IF(AN154=0,NOMINAL(AN157,12)*IF($B152=AN153,$I$366,1),IF(AND($B152=AN153,ROUNDDOWN($C$366,0)=AN153),$E$366,1)*NOMINAL(AN157,VLOOKUP($B147,$P$357:$R$360,3,0))/VLOOKUP($B147,$P$357:$R$360,3,0)))*((IF(AN154=0,1,IF(AND($B152=AN153,AN154&lt;ROUNDDOWN(VLOOKUP($B147,$P$357:$R$360,3,0)/$H$366,0)),ROUNDDOWN(AN154*$H$366,0),IF(AND($B152&lt;AN153,AN154&lt;ROUNDDOWN(VLOOKUP($B147,$P$357:$R$360,3,0)/$H$366,0)),ROUND(AVERAGE(ROUNDDOWN(AN154*$H$366,0),2*VLOOKUP($B147,$P$357:$R$360,3,0)),0),VLOOKUP($B147,$P$357:$R$360,3,0))))*IF($B152=AN153,$B148,SUM(AK156:AK156)))-((AN155*(IF(AN154=0,1,IF(AND($B152=AN153,AN154&lt;ROUNDDOWN(VLOOKUP($B147,$P$357:$R$360,3,0)/$H$366,0)),ROUNDDOWN(AN154*$H$366,0),IF(AND($B152&lt;AN153,AN154&lt;ROUNDDOWN(VLOOKUP($B147,$P$357:$R$360,3,0)/$H$366,0)),ROUND(AVERAGE(ROUNDDOWN(AN154*$H$366,0),2*VLOOKUP($B147,$P$357:$R$360,3,0)),0),VLOOKUP($B147,$P$357:$R$360,3,0))))-1))/2)))</f>
        <v>0</v>
      </c>
      <c r="AO158" s="26"/>
      <c r="AP158" s="26"/>
      <c r="AQ158" s="3202">
        <f ca="1">IF(OR($B152&gt;AQ153,AQ157="",AQ157=0),0,IF(AND(AQ154=0,OR(AQ153&gt;$B152,$I$366=1)),AQ157,IF(AQ154=0,NOMINAL(AQ157,12)*IF($B152=AQ153,$I$366,1),IF(AND($B152=AQ153,ROUNDDOWN($C$366,0)=AQ153),$E$366,1)*NOMINAL(AQ157,VLOOKUP($B147,$P$357:$R$360,3,0))/VLOOKUP($B147,$P$357:$R$360,3,0)))*((IF(AQ154=0,1,IF(AND($B152=AQ153,AQ154&lt;ROUNDDOWN(VLOOKUP($B147,$P$357:$R$360,3,0)/$H$366,0)),ROUNDDOWN(AQ154*$H$366,0),IF(AND($B152&lt;AQ153,AQ154&lt;ROUNDDOWN(VLOOKUP($B147,$P$357:$R$360,3,0)/$H$366,0)),ROUND(AVERAGE(ROUNDDOWN(AQ154*$H$366,0),2*VLOOKUP($B147,$P$357:$R$360,3,0)),0),VLOOKUP($B147,$P$357:$R$360,3,0))))*IF($B152=AQ153,$B148,SUM(AN156:AN156)))-((AQ155*(IF(AQ154=0,1,IF(AND($B152=AQ153,AQ154&lt;ROUNDDOWN(VLOOKUP($B147,$P$357:$R$360,3,0)/$H$366,0)),ROUNDDOWN(AQ154*$H$366,0),IF(AND($B152&lt;AQ153,AQ154&lt;ROUNDDOWN(VLOOKUP($B147,$P$357:$R$360,3,0)/$H$366,0)),ROUND(AVERAGE(ROUNDDOWN(AQ154*$H$366,0),2*VLOOKUP($B147,$P$357:$R$360,3,0)),0),VLOOKUP($B147,$P$357:$R$360,3,0))))-1))/2)))</f>
        <v>0</v>
      </c>
      <c r="AR158" s="26"/>
      <c r="AS158" s="26"/>
      <c r="AT158" s="3202">
        <f ca="1">IF(OR($B152&gt;AT153,AT157="",AT157=0),0,IF(AND(AT154=0,OR(AT153&gt;$B152,$I$366=1)),AT157,IF(AT154=0,NOMINAL(AT157,12)*IF($B152=AT153,$I$366,1),IF(AND($B152=AT153,ROUNDDOWN($C$366,0)=AT153),$E$366,1)*NOMINAL(AT157,VLOOKUP($B147,$P$357:$R$360,3,0))/VLOOKUP($B147,$P$357:$R$360,3,0)))*((IF(AT154=0,1,IF(AND($B152=AT153,AT154&lt;ROUNDDOWN(VLOOKUP($B147,$P$357:$R$360,3,0)/$H$366,0)),ROUNDDOWN(AT154*$H$366,0),IF(AND($B152&lt;AT153,AT154&lt;ROUNDDOWN(VLOOKUP($B147,$P$357:$R$360,3,0)/$H$366,0)),ROUND(AVERAGE(ROUNDDOWN(AT154*$H$366,0),2*VLOOKUP($B147,$P$357:$R$360,3,0)),0),VLOOKUP($B147,$P$357:$R$360,3,0))))*IF($B152=AT153,$B148,SUM(AQ156:AQ156)))-((AT155*(IF(AT154=0,1,IF(AND($B152=AT153,AT154&lt;ROUNDDOWN(VLOOKUP($B147,$P$357:$R$360,3,0)/$H$366,0)),ROUNDDOWN(AT154*$H$366,0),IF(AND($B152&lt;AT153,AT154&lt;ROUNDDOWN(VLOOKUP($B147,$P$357:$R$360,3,0)/$H$366,0)),ROUND(AVERAGE(ROUNDDOWN(AT154*$H$366,0),2*VLOOKUP($B147,$P$357:$R$360,3,0)),0),VLOOKUP($B147,$P$357:$R$360,3,0))))-1))/2)))</f>
        <v>0</v>
      </c>
      <c r="AU158" s="3203"/>
      <c r="AV158" s="3192"/>
    </row>
    <row r="159" spans="1:48" ht="13" thickBot="1">
      <c r="AV159" s="3192"/>
    </row>
    <row r="160" spans="1:48" ht="12.5">
      <c r="A160" s="3204" t="s">
        <v>1316</v>
      </c>
      <c r="B160" s="3205"/>
      <c r="C160" s="3206"/>
      <c r="D160" s="3206"/>
      <c r="E160" s="3206"/>
      <c r="F160" s="3206"/>
      <c r="G160" s="3206"/>
      <c r="H160" s="3206"/>
      <c r="I160" s="3206"/>
      <c r="J160" s="3206"/>
      <c r="K160" s="3206"/>
      <c r="L160" s="3206"/>
      <c r="M160" s="3206"/>
      <c r="N160" s="3206"/>
      <c r="O160" s="3206"/>
      <c r="P160" s="3206"/>
      <c r="Q160" s="3206"/>
      <c r="R160" s="3206"/>
      <c r="S160" s="3206"/>
      <c r="T160" s="3206"/>
      <c r="U160" s="3206"/>
      <c r="V160" s="3206"/>
      <c r="W160" s="3206"/>
      <c r="X160" s="3206"/>
      <c r="Y160" s="3206"/>
      <c r="Z160" s="3206"/>
      <c r="AA160" s="3206"/>
      <c r="AB160" s="3206"/>
      <c r="AC160" s="3206"/>
      <c r="AD160" s="3206"/>
      <c r="AE160" s="3206"/>
      <c r="AF160" s="3206"/>
      <c r="AG160" s="3206"/>
      <c r="AH160" s="3206"/>
      <c r="AI160" s="3206"/>
      <c r="AJ160" s="3206"/>
      <c r="AK160" s="3206"/>
      <c r="AL160" s="3206"/>
      <c r="AM160" s="3206"/>
      <c r="AN160" s="3206"/>
      <c r="AO160" s="3206"/>
      <c r="AP160" s="3206"/>
      <c r="AQ160" s="3206"/>
      <c r="AR160" s="3206"/>
      <c r="AS160" s="3206"/>
      <c r="AT160" s="3206"/>
      <c r="AU160" s="3206"/>
      <c r="AV160" s="3207"/>
    </row>
    <row r="161" spans="1:48" ht="12.5">
      <c r="A161" s="3190" t="s">
        <v>2044</v>
      </c>
      <c r="B161" s="3191"/>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3192"/>
    </row>
    <row r="162" spans="1:48" ht="12.5">
      <c r="A162" s="3190" t="s">
        <v>2045</v>
      </c>
      <c r="B162" s="3191"/>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3192"/>
    </row>
    <row r="163" spans="1:48" ht="12.5">
      <c r="A163" s="3190" t="s">
        <v>1312</v>
      </c>
      <c r="B163" s="3191"/>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3192"/>
    </row>
    <row r="164" spans="1:48" ht="12.5">
      <c r="A164" s="3190" t="s">
        <v>1313</v>
      </c>
      <c r="B164" s="3191"/>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3192"/>
    </row>
    <row r="165" spans="1:48" ht="12.5">
      <c r="A165" s="3193" t="s">
        <v>1314</v>
      </c>
      <c r="B165" s="3194"/>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3192"/>
    </row>
    <row r="166" spans="1:48" ht="12.5">
      <c r="A166" s="3195" t="s">
        <v>2046</v>
      </c>
      <c r="B166" s="3196">
        <f ca="1">B$11</f>
        <v>2023</v>
      </c>
      <c r="C166" s="25"/>
      <c r="D166" s="3196">
        <f ca="1">D$11</f>
        <v>2024</v>
      </c>
      <c r="E166" s="25"/>
      <c r="F166" s="25"/>
      <c r="G166" s="3196">
        <f ca="1">G$11</f>
        <v>2025</v>
      </c>
      <c r="H166" s="25"/>
      <c r="I166" s="25"/>
      <c r="J166" s="3196">
        <f ca="1">J$11</f>
        <v>2026</v>
      </c>
      <c r="K166" s="25"/>
      <c r="L166" s="25"/>
      <c r="M166" s="3196">
        <f ca="1">M$11</f>
        <v>2027</v>
      </c>
      <c r="N166" s="25"/>
      <c r="O166" s="25"/>
      <c r="P166" s="3196">
        <f ca="1">P$11</f>
        <v>2028</v>
      </c>
      <c r="Q166" s="25"/>
      <c r="R166" s="25"/>
      <c r="S166" s="3196">
        <f ca="1">S$11</f>
        <v>2029</v>
      </c>
      <c r="T166" s="25"/>
      <c r="U166" s="25"/>
      <c r="V166" s="3196">
        <f ca="1">V$11</f>
        <v>2030</v>
      </c>
      <c r="W166" s="25"/>
      <c r="X166" s="25"/>
      <c r="Y166" s="3196">
        <f ca="1">Y$11</f>
        <v>2031</v>
      </c>
      <c r="Z166" s="25"/>
      <c r="AA166" s="25"/>
      <c r="AB166" s="3196">
        <f ca="1">AB$11</f>
        <v>2032</v>
      </c>
      <c r="AC166" s="25"/>
      <c r="AD166" s="25"/>
      <c r="AE166" s="3196">
        <f ca="1">AE$11</f>
        <v>2033</v>
      </c>
      <c r="AF166" s="25"/>
      <c r="AG166" s="25"/>
      <c r="AH166" s="3196">
        <f ca="1">AH$11</f>
        <v>2034</v>
      </c>
      <c r="AI166" s="25"/>
      <c r="AJ166" s="25"/>
      <c r="AK166" s="3196">
        <f ca="1">AK$11</f>
        <v>2035</v>
      </c>
      <c r="AL166" s="25"/>
      <c r="AM166" s="25"/>
      <c r="AN166" s="3196">
        <f ca="1">AN$11</f>
        <v>2036</v>
      </c>
      <c r="AO166" s="25"/>
      <c r="AP166" s="25"/>
      <c r="AQ166" s="3196">
        <f ca="1">AQ$11</f>
        <v>2037</v>
      </c>
      <c r="AR166" s="25"/>
      <c r="AS166" s="25"/>
      <c r="AT166" s="3196">
        <f ca="1">AT$11</f>
        <v>2038</v>
      </c>
      <c r="AU166" s="25"/>
      <c r="AV166" s="3192"/>
    </row>
    <row r="167" spans="1:48" ht="12.5">
      <c r="A167" s="3197" t="s">
        <v>2047</v>
      </c>
      <c r="B167" s="3198">
        <f>IF(OR($B162=0,$B162="",$B160=""),0,IF(AND(B166-$B165&gt;=0,B166&lt;=$B165+$B162,ROUNDDOWN(B166,0)=ROUNDDOWN($C$367,0)),IF(ROUNDDOWN(B166,0)=ROUNDDOWN($C$367,0),ROUND($E$367*VLOOKUP($B160,$P$357:$R$360,3,0)/$H$367,2),ROUND(VLOOKUP($B160,$P$357:$R$360,3,0)/$H$367,2)),0))</f>
        <v>0</v>
      </c>
      <c r="C167" s="25"/>
      <c r="D167" s="3198">
        <f>IF(OR($B162=0,$B162="",$B160=""),0,IF(AND(ROUNDDOWN(D166,0)&gt;=ROUNDDOWN($C$367,0),1-$B167&lt;VLOOKUP($B160,$P$357:$R$360,3,0)/$H$367),1-$B167,IF(ROUNDDOWN(D166,0)&gt;=ROUNDDOWN($C$367,0),IF(ROUNDDOWN(D166,0)=ROUNDDOWN($C$367,0),ROUND($E$367*VLOOKUP($B160,$P$357:$R$360,3,0)/$H$367,2),ROUND(VLOOKUP($B160,$P$357:$R$360,3,0)/$H$367,2)),0)))</f>
        <v>0</v>
      </c>
      <c r="E167" s="25"/>
      <c r="F167" s="25"/>
      <c r="G167" s="3198">
        <f>IF(OR($B162=0,$B162="",$B160=""),0,IF(AND(ROUNDDOWN(G166,0)&gt;=ROUNDDOWN($C$367,0),1-SUM($B167:D167)&lt;VLOOKUP($B160,$P$357:$R$360,3,0)/$H$367),1-SUM($B167:D167),IF(ROUNDDOWN(G166,0)&gt;=ROUNDDOWN($C$367,0),IF(ROUNDDOWN(G166,0)=ROUNDDOWN($C$367,0),ROUND($E$367*VLOOKUP($B160,$P$357:$R$360,3,0)/$H$367,2),ROUND(VLOOKUP($B160,$P$357:$R$360,3,0)/$H$367,2)),0)))</f>
        <v>0</v>
      </c>
      <c r="H167" s="25"/>
      <c r="I167" s="25"/>
      <c r="J167" s="3198">
        <f>IF(OR($B162=0,$B162="",$B160=""),0,IF(AND(ROUNDDOWN(J166,0)&gt;=ROUNDDOWN($C$367,0),1-SUM($B167:G167)&lt;VLOOKUP($B160,$P$357:$R$360,3,0)/$H$367),1-SUM($B167:G167),IF(ROUNDDOWN(J166,0)&gt;=ROUNDDOWN($C$367,0),IF(ROUNDDOWN(J166,0)=ROUNDDOWN($C$367,0),ROUND($E$367*VLOOKUP($B160,$P$357:$R$360,3,0)/$H$367,2),ROUND(VLOOKUP($B160,$P$357:$R$360,3,0)/$H$367,2)),0)))</f>
        <v>0</v>
      </c>
      <c r="K167" s="25"/>
      <c r="L167" s="25"/>
      <c r="M167" s="3198">
        <f>IF(OR($B162=0,$B162="",$B160=""),0,IF(AND(ROUNDDOWN(M166,0)&gt;=ROUNDDOWN($C$367,0),1-SUM($B167:J167)&lt;VLOOKUP($B160,$P$357:$R$360,3,0)/$H$367),1-SUM($B167:J167),IF(ROUNDDOWN(M166,0)&gt;=ROUNDDOWN($C$367,0),IF(ROUNDDOWN(M166,0)=ROUNDDOWN($C$367,0),ROUND($E$367*VLOOKUP($B160,$P$357:$R$360,3,0)/$H$367,2),ROUND(VLOOKUP($B160,$P$357:$R$360,3,0)/$H$367,2)),0)))</f>
        <v>0</v>
      </c>
      <c r="N167" s="25"/>
      <c r="O167" s="25"/>
      <c r="P167" s="3198">
        <f>IF(OR($B162=0,$B162="",$B160=""),0,IF(AND(ROUNDDOWN(P166,0)&gt;=ROUNDDOWN($C$367,0),1-SUM($B167:M167)&lt;VLOOKUP($B160,$P$357:$R$360,3,0)/$H$367),1-SUM($B167:M167),IF(ROUNDDOWN(P166,0)&gt;=ROUNDDOWN($C$367,0),IF(ROUNDDOWN(P166,0)=ROUNDDOWN($C$367,0),ROUND($E$367*VLOOKUP($B160,$P$357:$R$360,3,0)/$H$367,2),ROUND(VLOOKUP($B160,$P$357:$R$360,3,0)/$H$367,2)),0)))</f>
        <v>0</v>
      </c>
      <c r="Q167" s="25"/>
      <c r="R167" s="25"/>
      <c r="S167" s="3198">
        <f>IF(OR($B162=0,$B162="",$B160=""),0,IF(AND(ROUNDDOWN(S166,0)&gt;=ROUNDDOWN($C$367,0),1-SUM($B167:P167)&lt;VLOOKUP($B160,$P$357:$R$360,3,0)/$H$367),1-SUM($B167:P167),IF(ROUNDDOWN(S166,0)&gt;=ROUNDDOWN($C$367,0),IF(ROUNDDOWN(S166,0)=ROUNDDOWN($C$367,0),ROUND($E$367*VLOOKUP($B160,$P$357:$R$360,3,0)/$H$367,2),ROUND(VLOOKUP($B160,$P$357:$R$360,3,0)/$H$367,2)),0)))</f>
        <v>0</v>
      </c>
      <c r="T167" s="25"/>
      <c r="U167" s="25"/>
      <c r="V167" s="3198">
        <f>IF(OR($B162=0,$B162="",$B160=""),0,IF(AND(ROUNDDOWN(V166,0)&gt;=ROUNDDOWN($C$367,0),1-SUM($B167:S167)&lt;VLOOKUP($B160,$P$357:$R$360,3,0)/$H$367),1-SUM($B167:S167),IF(ROUNDDOWN(V166,0)&gt;=ROUNDDOWN($C$367,0),IF(ROUNDDOWN(V166,0)=ROUNDDOWN($C$367,0),ROUND($E$367*VLOOKUP($B160,$P$357:$R$360,3,0)/$H$367,2),ROUND(VLOOKUP($B160,$P$357:$R$360,3,0)/$H$367,2)),0)))</f>
        <v>0</v>
      </c>
      <c r="W167" s="25"/>
      <c r="X167" s="25"/>
      <c r="Y167" s="3198">
        <f>IF(OR($B162=0,$B162="",$B160=""),0,IF(AND(ROUNDDOWN(Y166,0)&gt;=ROUNDDOWN($C$367,0),1-SUM($B167:V167)&lt;VLOOKUP($B160,$P$357:$R$360,3,0)/$H$367),1-SUM($B167:V167),IF(ROUNDDOWN(Y166,0)&gt;=ROUNDDOWN($C$367,0),IF(ROUNDDOWN(Y166,0)=ROUNDDOWN($C$367,0),ROUND($E$367*VLOOKUP($B160,$P$357:$R$360,3,0)/$H$367,2),ROUND(VLOOKUP($B160,$P$357:$R$360,3,0)/$H$367,2)),0)))</f>
        <v>0</v>
      </c>
      <c r="Z167" s="25"/>
      <c r="AA167" s="25"/>
      <c r="AB167" s="3198">
        <f>IF(OR($B162=0,$B162="",$B160=""),0,IF(AND(ROUNDDOWN(AB166,0)&gt;=ROUNDDOWN($C$367,0),1-SUM($B167:Y167)&lt;VLOOKUP($B160,$P$357:$R$360,3,0)/$H$367),1-SUM($B167:Y167),IF(ROUNDDOWN(AB166,0)&gt;=ROUNDDOWN($C$367,0),IF(ROUNDDOWN(AB166,0)=ROUNDDOWN($C$367,0),ROUND($E$367*VLOOKUP($B160,$P$357:$R$360,3,0)/$H$367,2),ROUND(VLOOKUP($B160,$P$357:$R$360,3,0)/$H$367,2)),0)))</f>
        <v>0</v>
      </c>
      <c r="AC167" s="25"/>
      <c r="AD167" s="25"/>
      <c r="AE167" s="3198">
        <f>IF(OR($B162=0,$B162="",$B160=""),0,IF(AND(ROUNDDOWN(AE166,0)&gt;=ROUNDDOWN($C$367,0),1-SUM($B167:AB167)&lt;VLOOKUP($B160,$P$357:$R$360,3,0)/$H$367),1-SUM($B167:AB167),IF(ROUNDDOWN(AE166,0)&gt;=ROUNDDOWN($C$367,0),IF(ROUNDDOWN(AE166,0)=ROUNDDOWN($C$367,0),ROUND($E$367*VLOOKUP($B160,$P$357:$R$360,3,0)/$H$367,2),ROUND(VLOOKUP($B160,$P$357:$R$360,3,0)/$H$367,2)),0)))</f>
        <v>0</v>
      </c>
      <c r="AF167" s="25"/>
      <c r="AG167" s="25"/>
      <c r="AH167" s="3198">
        <f>IF(OR($B162=0,$B162="",$B160=""),0,IF(AND(ROUNDDOWN(AH166,0)&gt;=ROUNDDOWN($C$367,0),1-SUM($B167:AE167)&lt;VLOOKUP($B160,$P$357:$R$360,3,0)/$H$367),1-SUM($B167:AE167),IF(ROUNDDOWN(AH166,0)&gt;=ROUNDDOWN($C$367,0),IF(ROUNDDOWN(AH166,0)=ROUNDDOWN($C$367,0),ROUND($E$367*VLOOKUP($B160,$P$357:$R$360,3,0)/$H$367,2),ROUND(VLOOKUP($B160,$P$357:$R$360,3,0)/$H$367,2)),0)))</f>
        <v>0</v>
      </c>
      <c r="AI167" s="25"/>
      <c r="AJ167" s="25"/>
      <c r="AK167" s="3198">
        <f>IF(OR($B162=0,$B162="",$B160=""),0,IF(AND(ROUNDDOWN(AK166,0)&gt;=ROUNDDOWN($C$367,0),1-SUM($B167:AH167)&lt;VLOOKUP($B160,$P$357:$R$360,3,0)/$H$367),1-SUM($B167:AH167),IF(ROUNDDOWN(AK166,0)&gt;=ROUNDDOWN($C$367,0),IF(ROUNDDOWN(AK166,0)=ROUNDDOWN($C$367,0),ROUND($E$367*VLOOKUP($B160,$P$357:$R$360,3,0)/$H$367,2),ROUND(VLOOKUP($B160,$P$357:$R$360,3,0)/$H$367,2)),0)))</f>
        <v>0</v>
      </c>
      <c r="AL167" s="25"/>
      <c r="AM167" s="25"/>
      <c r="AN167" s="3198">
        <f>IF(OR($B162=0,$B162="",$B160=""),0,IF(AND(ROUNDDOWN(AN166,0)&gt;=ROUNDDOWN($C$367,0),1-SUM($B167:AK167)&lt;VLOOKUP($B160,$P$357:$R$360,3,0)/$H$367),1-SUM($B167:AK167),IF(ROUNDDOWN(AN166,0)&gt;=ROUNDDOWN($C$367,0),IF(ROUNDDOWN(AN166,0)=ROUNDDOWN($C$367,0),ROUND($E$367*VLOOKUP($B160,$P$357:$R$360,3,0)/$H$367,2),ROUND(VLOOKUP($B160,$P$357:$R$360,3,0)/$H$367,2)),0)))</f>
        <v>0</v>
      </c>
      <c r="AO167" s="25"/>
      <c r="AP167" s="25"/>
      <c r="AQ167" s="3198">
        <f>IF(OR($B162=0,$B162="",$B160=""),0,IF(AND(ROUNDDOWN(AQ166,0)&gt;=ROUNDDOWN($C$367,0),1-SUM($B167:AN167)&lt;VLOOKUP($B160,$P$357:$R$360,3,0)/$H$367),1-SUM($B167:AN167),IF(ROUNDDOWN(AQ166,0)&gt;=ROUNDDOWN($C$367,0),IF(ROUNDDOWN(AQ166,0)=ROUNDDOWN($C$367,0),ROUND($E$367*VLOOKUP($B160,$P$357:$R$360,3,0)/$H$367,2),ROUND(VLOOKUP($B160,$P$357:$R$360,3,0)/$H$367,2)),0)))</f>
        <v>0</v>
      </c>
      <c r="AR167" s="25"/>
      <c r="AS167" s="25"/>
      <c r="AT167" s="3198">
        <f>IF(OR($B162=0,$B162="",$B160=""),0,IF(AND(ROUNDDOWN(AT166,0)&gt;=ROUNDDOWN($C$367,0),1-SUM($B167:AQ167)&lt;VLOOKUP($B160,$P$357:$R$360,3,0)/$H$367),1-SUM($B167:AQ167),IF(ROUNDDOWN(AT166,0)&gt;=ROUNDDOWN($C$367,0),IF(ROUNDDOWN(AT166,0)=ROUNDDOWN($C$367,0),ROUND($E$367*VLOOKUP($B160,$P$357:$R$360,3,0)/$H$367,2),ROUND(VLOOKUP($B160,$P$357:$R$360,3,0)/$H$367,2)),0)))</f>
        <v>0</v>
      </c>
      <c r="AU167" s="25"/>
      <c r="AV167" s="3192"/>
    </row>
    <row r="168" spans="1:48" ht="12.5">
      <c r="A168" s="3199" t="s">
        <v>2048</v>
      </c>
      <c r="B168" s="3200">
        <f>$B161*B167</f>
        <v>0</v>
      </c>
      <c r="C168" s="25"/>
      <c r="D168" s="3200">
        <f ca="1">IF($B165&gt;D166,0,D167*$B161)</f>
        <v>0</v>
      </c>
      <c r="E168" s="25"/>
      <c r="F168" s="25"/>
      <c r="G168" s="3200">
        <f ca="1">IF($B165&gt;G166,0,G167*$B161)</f>
        <v>0</v>
      </c>
      <c r="H168" s="25"/>
      <c r="I168" s="25"/>
      <c r="J168" s="3200">
        <f ca="1">IF($B165&gt;J166,0,J167*$B161)</f>
        <v>0</v>
      </c>
      <c r="K168" s="25"/>
      <c r="L168" s="25"/>
      <c r="M168" s="3200">
        <f ca="1">IF($B165&gt;M166,0,M167*$B161)</f>
        <v>0</v>
      </c>
      <c r="N168" s="25"/>
      <c r="O168" s="25"/>
      <c r="P168" s="3200">
        <f ca="1">IF($B165&gt;P166,0,P167*$B161)</f>
        <v>0</v>
      </c>
      <c r="Q168" s="25"/>
      <c r="R168" s="25"/>
      <c r="S168" s="3200">
        <f ca="1">IF($B165&gt;S166,0,S167*$B161)</f>
        <v>0</v>
      </c>
      <c r="T168" s="25"/>
      <c r="U168" s="25"/>
      <c r="V168" s="3200">
        <f ca="1">IF($B165&gt;V166,0,V167*$B161)</f>
        <v>0</v>
      </c>
      <c r="W168" s="25"/>
      <c r="X168" s="25"/>
      <c r="Y168" s="3200">
        <f ca="1">IF($B165&gt;Y166,0,Y167*$B161)</f>
        <v>0</v>
      </c>
      <c r="Z168" s="25"/>
      <c r="AA168" s="25"/>
      <c r="AB168" s="3200">
        <f ca="1">IF($B165&gt;AB166,0,AB167*$B161)</f>
        <v>0</v>
      </c>
      <c r="AC168" s="25"/>
      <c r="AD168" s="25"/>
      <c r="AE168" s="3200">
        <f ca="1">IF($B165&gt;AE166,0,AE167*$B161)</f>
        <v>0</v>
      </c>
      <c r="AF168" s="25"/>
      <c r="AG168" s="25"/>
      <c r="AH168" s="3200">
        <f ca="1">IF($B165&gt;AH166,0,AH167*$B161)</f>
        <v>0</v>
      </c>
      <c r="AI168" s="25"/>
      <c r="AJ168" s="25"/>
      <c r="AK168" s="3200">
        <f ca="1">IF($B165&gt;AK166,0,AK167*$B161)</f>
        <v>0</v>
      </c>
      <c r="AL168" s="25"/>
      <c r="AM168" s="25"/>
      <c r="AN168" s="3200">
        <f ca="1">IF($B165&gt;AN166,0,AN167*$B161)</f>
        <v>0</v>
      </c>
      <c r="AO168" s="25"/>
      <c r="AP168" s="25"/>
      <c r="AQ168" s="3200">
        <f ca="1">IF($B165&gt;AQ166,0,AQ167*$B161)</f>
        <v>0</v>
      </c>
      <c r="AR168" s="25"/>
      <c r="AS168" s="25"/>
      <c r="AT168" s="3200">
        <f ca="1">IF($B165&gt;AT166,0,AT167*$B161)</f>
        <v>0</v>
      </c>
      <c r="AU168" s="25"/>
      <c r="AV168" s="3192"/>
    </row>
    <row r="169" spans="1:48" ht="12.5">
      <c r="A169" s="3193" t="s">
        <v>2049</v>
      </c>
      <c r="B169" s="3201">
        <f ca="1">IF($B165&gt;B166,0,B161-B168)</f>
        <v>0</v>
      </c>
      <c r="C169" s="25"/>
      <c r="D169" s="3201">
        <f ca="1">IF($B165&gt;D166,0,IF($B165=D166,$B161-D168,IF(+B169-D168&lt;0.005,0,B169-D168)))</f>
        <v>0</v>
      </c>
      <c r="E169" s="25"/>
      <c r="F169" s="25"/>
      <c r="G169" s="3201">
        <f ca="1">IF($B165&gt;G166,0,IF($B165=G166,$B161-G168,IF(D169-G168&lt;0.005,0,D169-G168)))</f>
        <v>0</v>
      </c>
      <c r="H169" s="25"/>
      <c r="I169" s="25"/>
      <c r="J169" s="3201">
        <f ca="1">IF($B165&gt;J166,0,IF($B165=J166,$B161-J168,IF(G169-J168&lt;0.005,0,G169-J168)))</f>
        <v>0</v>
      </c>
      <c r="K169" s="25"/>
      <c r="L169" s="25"/>
      <c r="M169" s="3201">
        <f ca="1">IF($B165&gt;M166,0,IF($B165=M166,$B161-M168,IF(J169-M168&lt;0.005,0,J169-M168)))</f>
        <v>0</v>
      </c>
      <c r="N169" s="25"/>
      <c r="O169" s="25"/>
      <c r="P169" s="3201">
        <f ca="1">IF($B165&gt;P166,0,IF($B165=P166,$B161-P168,IF(M169-P168&lt;0.005,0,M169-P168)))</f>
        <v>0</v>
      </c>
      <c r="Q169" s="25"/>
      <c r="R169" s="25"/>
      <c r="S169" s="3201">
        <f ca="1">IF($B165&gt;S166,0,IF($B165=S166,$B161-S168,IF(P169-S168&lt;0.005,0,P169-S168)))</f>
        <v>0</v>
      </c>
      <c r="T169" s="25"/>
      <c r="U169" s="25"/>
      <c r="V169" s="3201">
        <f ca="1">IF($B165&gt;V166,0,IF($B165=V166,$B161-V168,IF(S169-V168&lt;0.005,0,S169-V168)))</f>
        <v>0</v>
      </c>
      <c r="W169" s="25"/>
      <c r="X169" s="25"/>
      <c r="Y169" s="3201">
        <f ca="1">IF($B165&gt;Y166,0,IF($B165=Y166,$B161-Y168,IF(V169-Y168&lt;0.005,0,V169-Y168)))</f>
        <v>0</v>
      </c>
      <c r="Z169" s="25"/>
      <c r="AA169" s="25"/>
      <c r="AB169" s="3201">
        <f ca="1">IF($B165&gt;AB166,0,IF($B165=AB166,$B161-AB168,IF(Y169-AB168&lt;0.005,0,Y169-AB168)))</f>
        <v>0</v>
      </c>
      <c r="AC169" s="25"/>
      <c r="AD169" s="25"/>
      <c r="AE169" s="3201">
        <f ca="1">IF($B165&gt;AE166,0,IF($B165=AE166,$B161-AE168,IF(AB169-AE168&lt;0.005,0,AB169-AE168)))</f>
        <v>0</v>
      </c>
      <c r="AF169" s="25"/>
      <c r="AG169" s="25"/>
      <c r="AH169" s="3201">
        <f ca="1">IF($B165&gt;AH166,0,IF($B165=AH166,$B161-AH168,IF(AE169-AH168&lt;0.005,0,AE169-AH168)))</f>
        <v>0</v>
      </c>
      <c r="AI169" s="25"/>
      <c r="AJ169" s="25"/>
      <c r="AK169" s="3201">
        <f ca="1">IF($B165&gt;AK166,0,IF($B165=AK166,$B161-AK168,IF(AH169-AK168&lt;0.005,0,AH169-AK168)))</f>
        <v>0</v>
      </c>
      <c r="AL169" s="25"/>
      <c r="AM169" s="25"/>
      <c r="AN169" s="3201">
        <f ca="1">IF($B165&gt;AN166,0,IF($B165=AN166,$B161-AN168,IF(AK169-AN168&lt;0.005,0,AK169-AN168)))</f>
        <v>0</v>
      </c>
      <c r="AO169" s="25"/>
      <c r="AP169" s="25"/>
      <c r="AQ169" s="3201">
        <f ca="1">IF($B165&gt;AQ166,0,IF($B165=AQ166,$B161-AQ168,IF(AN169-AQ168&lt;0.005,0,AN169-AQ168)))</f>
        <v>0</v>
      </c>
      <c r="AR169" s="25"/>
      <c r="AS169" s="25"/>
      <c r="AT169" s="3201">
        <f ca="1">IF($B165&gt;AT166,0,IF($B165=AT166,$B161-AT168,IF(AQ169-AT168&lt;0.005,0,AQ169-AT168)))</f>
        <v>0</v>
      </c>
      <c r="AU169" s="25"/>
      <c r="AV169" s="3192"/>
    </row>
    <row r="170" spans="1:48" ht="12.5">
      <c r="A170" s="3197" t="s">
        <v>2050</v>
      </c>
      <c r="B170" s="3198"/>
      <c r="C170" s="25"/>
      <c r="D170" s="3198">
        <f>B170</f>
        <v>0</v>
      </c>
      <c r="E170" s="25"/>
      <c r="F170" s="25"/>
      <c r="G170" s="3198">
        <f>D170</f>
        <v>0</v>
      </c>
      <c r="H170" s="25"/>
      <c r="I170" s="25"/>
      <c r="J170" s="3198">
        <f>G170</f>
        <v>0</v>
      </c>
      <c r="K170" s="25"/>
      <c r="L170" s="25"/>
      <c r="M170" s="3198">
        <f>J170</f>
        <v>0</v>
      </c>
      <c r="N170" s="25"/>
      <c r="O170" s="25"/>
      <c r="P170" s="3198">
        <f>M170</f>
        <v>0</v>
      </c>
      <c r="Q170" s="25"/>
      <c r="R170" s="25"/>
      <c r="S170" s="3198">
        <f>P170</f>
        <v>0</v>
      </c>
      <c r="T170" s="25"/>
      <c r="U170" s="25"/>
      <c r="V170" s="3198">
        <f>S170</f>
        <v>0</v>
      </c>
      <c r="W170" s="25"/>
      <c r="X170" s="25"/>
      <c r="Y170" s="3198">
        <f>V170</f>
        <v>0</v>
      </c>
      <c r="Z170" s="25"/>
      <c r="AA170" s="25"/>
      <c r="AB170" s="3198">
        <f>Y170</f>
        <v>0</v>
      </c>
      <c r="AC170" s="25"/>
      <c r="AD170" s="25"/>
      <c r="AE170" s="3198">
        <f>AB170</f>
        <v>0</v>
      </c>
      <c r="AF170" s="25"/>
      <c r="AG170" s="25"/>
      <c r="AH170" s="3198">
        <f>AE170</f>
        <v>0</v>
      </c>
      <c r="AI170" s="25"/>
      <c r="AJ170" s="25"/>
      <c r="AK170" s="3198">
        <f>AH170</f>
        <v>0</v>
      </c>
      <c r="AL170" s="25"/>
      <c r="AM170" s="25"/>
      <c r="AN170" s="3198">
        <f>AK170</f>
        <v>0</v>
      </c>
      <c r="AO170" s="25"/>
      <c r="AP170" s="25"/>
      <c r="AQ170" s="3198">
        <f>AN170</f>
        <v>0</v>
      </c>
      <c r="AR170" s="25"/>
      <c r="AS170" s="25"/>
      <c r="AT170" s="3198">
        <f>AQ170</f>
        <v>0</v>
      </c>
      <c r="AU170" s="25"/>
      <c r="AV170" s="3192"/>
    </row>
    <row r="171" spans="1:48" ht="12.5">
      <c r="A171" s="3197" t="s">
        <v>2051</v>
      </c>
      <c r="B171" s="3202">
        <f ca="1">IF(OR($B165&lt;&gt;B166,B170="",B170=0),0,IF(AND(B167=0,$I$367=1),B170,IF(B167=0,NOMINAL(B170,12)*IF($B165=B166,$I$367,1),IF(AND($B165=B166,ROUNDDOWN($C$367,0)=B166),$E$367,1)*NOMINAL(B170,VLOOKUP($B160,$P$357:$R$360,3,0))/VLOOKUP($B160,$P$357:$R$360,3,0)))*((IF(B167=0,1,IF(AND($B165=B166,B167&lt;ROUNDDOWN(VLOOKUP($B160,$P$357:$R$360,3,0)/$H$367,0)),ROUNDDOWN(B167*$H$367,0),IF(AND($B165&lt;B166,B167&lt;ROUNDDOWN(VLOOKUP($B160,$P$357:$R$360,3,0)/$H$367,0)),ROUND(AVERAGE(ROUNDDOWN(B167*$H$367,0),2*VLOOKUP($B160,$P$357:$R$360,3,0)),0),VLOOKUP($B160,$P$357:$R$360,3,0))))*$B161)-((B168*(IF(B167=0,1,IF(AND($B165=B166,B167&lt;ROUNDDOWN(VLOOKUP($B160,$P$357:$R$360,3,0)/$H$367,0)),ROUNDDOWN(B167*$H$367,0),IF(AND($B165&lt;B166,B167&lt;ROUNDDOWN(VLOOKUP($B160,$P$357:$R$360,3,0)/$H$367,0)),ROUND(AVERAGE(ROUNDDOWN(B167*$H$367,0),2*VLOOKUP($B160,$P$357:$R$360,3,0)),0),VLOOKUP($B160,$P$357:$R$360,3,0))))-1))/2)))</f>
        <v>0</v>
      </c>
      <c r="C171" s="26"/>
      <c r="D171" s="3202">
        <f ca="1">IF(OR($B165&gt;D166,D170="",D170=0),0,IF(AND(D167=0,OR(D166&gt;$B165,$I$367=1)),D170,IF(D167=0,NOMINAL(D170,12)*IF($B165=D166,$I$367,1),IF(AND($B165=D166,ROUNDDOWN($C$367,0)=D166),$E$367,1)*NOMINAL(D170,VLOOKUP($B160,$P$357:$R$360,3,0))/VLOOKUP($B160,$P$357:$R$360,3,0)))*((IF(D167=0,1,IF(AND($B165=D166,D167&lt;ROUNDDOWN(VLOOKUP($B160,$P$357:$R$360,3,0)/$H$367,0)),ROUNDDOWN(D167*$H$367,0),IF(AND($B165&lt;D166,D167&lt;ROUNDDOWN(VLOOKUP($B160,$P$357:$R$360,3,0)/$H$367,0)),ROUND(AVERAGE(ROUNDDOWN(D167*$H$367,0),2*VLOOKUP($B160,$P$357:$R$360,3,0)),0),VLOOKUP($B160,$P$357:$R$360,3,0))))*IF($B165=D166,$B161,SUM(B169:B169)))-((D168*(IF(D167=0,1,IF(AND($B165=D166,D167&lt;ROUNDDOWN(VLOOKUP($B160,$P$357:$R$360,3,0)/$H$367,0)),ROUNDDOWN(D167*$H$367,0),IF(AND($B165&lt;D166,D167&lt;ROUNDDOWN(VLOOKUP($B160,$P$357:$R$360,3,0)/$H$367,0)),ROUND(AVERAGE(ROUNDDOWN(D167*$H$367,0),2*VLOOKUP($B160,$P$357:$R$360,3,0)),0),VLOOKUP($B160,$P$357:$R$360,3,0))))-1))/2)))</f>
        <v>0</v>
      </c>
      <c r="E171" s="26"/>
      <c r="F171" s="26"/>
      <c r="G171" s="3202">
        <f ca="1">IF(OR($B165&gt;G166,G170="",G170=0),0,IF(AND(G167=0,OR(G166&gt;$B165,$I$367=1)),G170,IF(G167=0,NOMINAL(G170,12)*IF($B165=G166,$I$367,1),IF(AND($B165=G166,ROUNDDOWN($C$367,0)=G166),$E$367,1)*NOMINAL(G170,VLOOKUP($B160,$P$357:$R$360,3,0))/VLOOKUP($B160,$P$357:$R$360,3,0)))*((IF(G167=0,1,IF(AND($B165=G166,G167&lt;ROUNDDOWN(VLOOKUP($B160,$P$357:$R$360,3,0)/$H$367,0)),ROUNDDOWN(G167*$H$367,0),IF(AND($B165&lt;G166,G167&lt;ROUNDDOWN(VLOOKUP($B160,$P$357:$R$360,3,0)/$H$367,0)),ROUND(AVERAGE(ROUNDDOWN(G167*$H$367,0),2*VLOOKUP($B160,$P$357:$R$360,3,0)),0),VLOOKUP($B160,$P$357:$R$360,3,0))))*IF($B165=G166,$B161,SUM(D169:D169)))-((G168*(IF(G167=0,1,IF(AND($B165=G166,G167&lt;ROUNDDOWN(VLOOKUP($B160,$P$357:$R$360,3,0)/$H$367,0)),ROUNDDOWN(G167*$H$367,0),IF(AND($B165&lt;G166,G167&lt;ROUNDDOWN(VLOOKUP($B160,$P$357:$R$360,3,0)/$H$367,0)),ROUND(AVERAGE(ROUNDDOWN(G167*$H$367,0),2*VLOOKUP($B160,$P$357:$R$360,3,0)),0),VLOOKUP($B160,$P$357:$R$360,3,0))))-1))/2)))</f>
        <v>0</v>
      </c>
      <c r="H171" s="26"/>
      <c r="I171" s="26"/>
      <c r="J171" s="3202">
        <f ca="1">IF(OR($B165&gt;J166,J170="",J170=0),0,IF(AND(J167=0,OR(J166&gt;$B165,$I$367=1)),J170,IF(J167=0,NOMINAL(J170,12)*IF($B165=J166,$I$367,1),IF(AND($B165=J166,ROUNDDOWN($C$367,0)=J166),$E$367,1)*NOMINAL(J170,VLOOKUP($B160,$P$357:$R$360,3,0))/VLOOKUP($B160,$P$357:$R$360,3,0)))*((IF(J167=0,1,IF(AND($B165=J166,J167&lt;ROUNDDOWN(VLOOKUP($B160,$P$357:$R$360,3,0)/$H$367,0)),ROUNDDOWN(J167*$H$367,0),IF(AND($B165&lt;J166,J167&lt;ROUNDDOWN(VLOOKUP($B160,$P$357:$R$360,3,0)/$H$367,0)),ROUND(AVERAGE(ROUNDDOWN(J167*$H$367,0),2*VLOOKUP($B160,$P$357:$R$360,3,0)),0),VLOOKUP($B160,$P$357:$R$360,3,0))))*IF($B165=J166,$B161,SUM(G169:G169)))-((J168*(IF(J167=0,1,IF(AND($B165=J166,J167&lt;ROUNDDOWN(VLOOKUP($B160,$P$357:$R$360,3,0)/$H$367,0)),ROUNDDOWN(J167*$H$367,0),IF(AND($B165&lt;J166,J167&lt;ROUNDDOWN(VLOOKUP($B160,$P$357:$R$360,3,0)/$H$367,0)),ROUND(AVERAGE(ROUNDDOWN(J167*$H$367,0),2*VLOOKUP($B160,$P$357:$R$360,3,0)),0),VLOOKUP($B160,$P$357:$R$360,3,0))))-1))/2)))</f>
        <v>0</v>
      </c>
      <c r="K171" s="26"/>
      <c r="L171" s="26"/>
      <c r="M171" s="3202">
        <f ca="1">IF(OR($B165&gt;M166,M170="",M170=0),0,IF(AND(M167=0,OR(M166&gt;$B165,$I$367=1)),M170,IF(M167=0,NOMINAL(M170,12)*IF($B165=M166,$I$367,1),IF(AND($B165=M166,ROUNDDOWN($C$367,0)=M166),$E$367,1)*NOMINAL(M170,VLOOKUP($B160,$P$357:$R$360,3,0))/VLOOKUP($B160,$P$357:$R$360,3,0)))*((IF(M167=0,1,IF(AND($B165=M166,M167&lt;ROUNDDOWN(VLOOKUP($B160,$P$357:$R$360,3,0)/$H$367,0)),ROUNDDOWN(M167*$H$367,0),IF(AND($B165&lt;M166,M167&lt;ROUNDDOWN(VLOOKUP($B160,$P$357:$R$360,3,0)/$H$367,0)),ROUND(AVERAGE(ROUNDDOWN(M167*$H$367,0),2*VLOOKUP($B160,$P$357:$R$360,3,0)),0),VLOOKUP($B160,$P$357:$R$360,3,0))))*IF($B165=M166,$B161,SUM(J169:J169)))-((M168*(IF(M167=0,1,IF(AND($B165=M166,M167&lt;ROUNDDOWN(VLOOKUP($B160,$P$357:$R$360,3,0)/$H$367,0)),ROUNDDOWN(M167*$H$367,0),IF(AND($B165&lt;M166,M167&lt;ROUNDDOWN(VLOOKUP($B160,$P$357:$R$360,3,0)/$H$367,0)),ROUND(AVERAGE(ROUNDDOWN(M167*$H$367,0),2*VLOOKUP($B160,$P$357:$R$360,3,0)),0),VLOOKUP($B160,$P$357:$R$360,3,0))))-1))/2)))</f>
        <v>0</v>
      </c>
      <c r="N171" s="26"/>
      <c r="O171" s="26"/>
      <c r="P171" s="3202">
        <f ca="1">IF(OR($B165&gt;P166,P170="",P170=0),0,IF(AND(P167=0,OR(P166&gt;$B165,$I$367=1)),P170,IF(P167=0,NOMINAL(P170,12)*IF($B165=P166,$I$367,1),IF(AND($B165=P166,ROUNDDOWN($C$367,0)=P166),$E$367,1)*NOMINAL(P170,VLOOKUP($B160,$P$357:$R$360,3,0))/VLOOKUP($B160,$P$357:$R$360,3,0)))*((IF(P167=0,1,IF(AND($B165=P166,P167&lt;ROUNDDOWN(VLOOKUP($B160,$P$357:$R$360,3,0)/$H$367,0)),ROUNDDOWN(P167*$H$367,0),IF(AND($B165&lt;P166,P167&lt;ROUNDDOWN(VLOOKUP($B160,$P$357:$R$360,3,0)/$H$367,0)),ROUND(AVERAGE(ROUNDDOWN(P167*$H$367,0),2*VLOOKUP($B160,$P$357:$R$360,3,0)),0),VLOOKUP($B160,$P$357:$R$360,3,0))))*IF($B165=P166,$B161,SUM(M169:M169)))-((P168*(IF(P167=0,1,IF(AND($B165=P166,P167&lt;ROUNDDOWN(VLOOKUP($B160,$P$357:$R$360,3,0)/$H$367,0)),ROUNDDOWN(P167*$H$367,0),IF(AND($B165&lt;P166,P167&lt;ROUNDDOWN(VLOOKUP($B160,$P$357:$R$360,3,0)/$H$367,0)),ROUND(AVERAGE(ROUNDDOWN(P167*$H$367,0),2*VLOOKUP($B160,$P$357:$R$360,3,0)),0),VLOOKUP($B160,$P$357:$R$360,3,0))))-1))/2)))</f>
        <v>0</v>
      </c>
      <c r="Q171" s="26"/>
      <c r="R171" s="26"/>
      <c r="S171" s="3202">
        <f ca="1">IF(OR($B165&gt;S166,S170="",S170=0),0,IF(AND(S167=0,OR(S166&gt;$B165,$I$367=1)),S170,IF(S167=0,NOMINAL(S170,12)*IF($B165=S166,$I$367,1),IF(AND($B165=S166,ROUNDDOWN($C$367,0)=S166),$E$367,1)*NOMINAL(S170,VLOOKUP($B160,$P$357:$R$360,3,0))/VLOOKUP($B160,$P$357:$R$360,3,0)))*((IF(S167=0,1,IF(AND($B165=S166,S167&lt;ROUNDDOWN(VLOOKUP($B160,$P$357:$R$360,3,0)/$H$367,0)),ROUNDDOWN(S167*$H$367,0),IF(AND($B165&lt;S166,S167&lt;ROUNDDOWN(VLOOKUP($B160,$P$357:$R$360,3,0)/$H$367,0)),ROUND(AVERAGE(ROUNDDOWN(S167*$H$367,0),2*VLOOKUP($B160,$P$357:$R$360,3,0)),0),VLOOKUP($B160,$P$357:$R$360,3,0))))*IF($B165=S166,$B161,SUM(P169:P169)))-((S168*(IF(S167=0,1,IF(AND($B165=S166,S167&lt;ROUNDDOWN(VLOOKUP($B160,$P$357:$R$360,3,0)/$H$367,0)),ROUNDDOWN(S167*$H$367,0),IF(AND($B165&lt;S166,S167&lt;ROUNDDOWN(VLOOKUP($B160,$P$357:$R$360,3,0)/$H$367,0)),ROUND(AVERAGE(ROUNDDOWN(S167*$H$367,0),2*VLOOKUP($B160,$P$357:$R$360,3,0)),0),VLOOKUP($B160,$P$357:$R$360,3,0))))-1))/2)))</f>
        <v>0</v>
      </c>
      <c r="T171" s="26"/>
      <c r="U171" s="26"/>
      <c r="V171" s="3202">
        <f ca="1">IF(OR($B165&gt;V166,V170="",V170=0),0,IF(AND(V167=0,OR(V166&gt;$B165,$I$367=1)),V170,IF(V167=0,NOMINAL(V170,12)*IF($B165=V166,$I$367,1),IF(AND($B165=V166,ROUNDDOWN($C$367,0)=V166),$E$367,1)*NOMINAL(V170,VLOOKUP($B160,$P$357:$R$360,3,0))/VLOOKUP($B160,$P$357:$R$360,3,0)))*((IF(V167=0,1,IF(AND($B165=V166,V167&lt;ROUNDDOWN(VLOOKUP($B160,$P$357:$R$360,3,0)/$H$367,0)),ROUNDDOWN(V167*$H$367,0),IF(AND($B165&lt;V166,V167&lt;ROUNDDOWN(VLOOKUP($B160,$P$357:$R$360,3,0)/$H$367,0)),ROUND(AVERAGE(ROUNDDOWN(V167*$H$367,0),2*VLOOKUP($B160,$P$357:$R$360,3,0)),0),VLOOKUP($B160,$P$357:$R$360,3,0))))*IF($B165=V166,$B161,SUM(S169:S169)))-((V168*(IF(V167=0,1,IF(AND($B165=V166,V167&lt;ROUNDDOWN(VLOOKUP($B160,$P$357:$R$360,3,0)/$H$367,0)),ROUNDDOWN(V167*$H$367,0),IF(AND($B165&lt;V166,V167&lt;ROUNDDOWN(VLOOKUP($B160,$P$357:$R$360,3,0)/$H$367,0)),ROUND(AVERAGE(ROUNDDOWN(V167*$H$367,0),2*VLOOKUP($B160,$P$357:$R$360,3,0)),0),VLOOKUP($B160,$P$357:$R$360,3,0))))-1))/2)))</f>
        <v>0</v>
      </c>
      <c r="W171" s="26"/>
      <c r="X171" s="26"/>
      <c r="Y171" s="3202">
        <f ca="1">IF(OR($B165&gt;Y166,Y170="",Y170=0),0,IF(AND(Y167=0,OR(Y166&gt;$B165,$I$367=1)),Y170,IF(Y167=0,NOMINAL(Y170,12)*IF($B165=Y166,$I$367,1),IF(AND($B165=Y166,ROUNDDOWN($C$367,0)=Y166),$E$367,1)*NOMINAL(Y170,VLOOKUP($B160,$P$357:$R$360,3,0))/VLOOKUP($B160,$P$357:$R$360,3,0)))*((IF(Y167=0,1,IF(AND($B165=Y166,Y167&lt;ROUNDDOWN(VLOOKUP($B160,$P$357:$R$360,3,0)/$H$367,0)),ROUNDDOWN(Y167*$H$367,0),IF(AND($B165&lt;Y166,Y167&lt;ROUNDDOWN(VLOOKUP($B160,$P$357:$R$360,3,0)/$H$367,0)),ROUND(AVERAGE(ROUNDDOWN(Y167*$H$367,0),2*VLOOKUP($B160,$P$357:$R$360,3,0)),0),VLOOKUP($B160,$P$357:$R$360,3,0))))*IF($B165=Y166,$B161,SUM(V169:V169)))-((Y168*(IF(Y167=0,1,IF(AND($B165=Y166,Y167&lt;ROUNDDOWN(VLOOKUP($B160,$P$357:$R$360,3,0)/$H$367,0)),ROUNDDOWN(Y167*$H$367,0),IF(AND($B165&lt;Y166,Y167&lt;ROUNDDOWN(VLOOKUP($B160,$P$357:$R$360,3,0)/$H$367,0)),ROUND(AVERAGE(ROUNDDOWN(Y167*$H$367,0),2*VLOOKUP($B160,$P$357:$R$360,3,0)),0),VLOOKUP($B160,$P$357:$R$360,3,0))))-1))/2)))</f>
        <v>0</v>
      </c>
      <c r="Z171" s="26"/>
      <c r="AA171" s="26"/>
      <c r="AB171" s="3202">
        <f ca="1">IF(OR($B165&gt;AB166,AB170="",AB170=0),0,IF(AND(AB167=0,OR(AB166&gt;$B165,$I$367=1)),AB170,IF(AB167=0,NOMINAL(AB170,12)*IF($B165=AB166,$I$367,1),IF(AND($B165=AB166,ROUNDDOWN($C$367,0)=AB166),$E$367,1)*NOMINAL(AB170,VLOOKUP($B160,$P$357:$R$360,3,0))/VLOOKUP($B160,$P$357:$R$360,3,0)))*((IF(AB167=0,1,IF(AND($B165=AB166,AB167&lt;ROUNDDOWN(VLOOKUP($B160,$P$357:$R$360,3,0)/$H$367,0)),ROUNDDOWN(AB167*$H$367,0),IF(AND($B165&lt;AB166,AB167&lt;ROUNDDOWN(VLOOKUP($B160,$P$357:$R$360,3,0)/$H$367,0)),ROUND(AVERAGE(ROUNDDOWN(AB167*$H$367,0),2*VLOOKUP($B160,$P$357:$R$360,3,0)),0),VLOOKUP($B160,$P$357:$R$360,3,0))))*IF($B165=AB166,$B161,SUM(Y169:Y169)))-((AB168*(IF(AB167=0,1,IF(AND($B165=AB166,AB167&lt;ROUNDDOWN(VLOOKUP($B160,$P$357:$R$360,3,0)/$H$367,0)),ROUNDDOWN(AB167*$H$367,0),IF(AND($B165&lt;AB166,AB167&lt;ROUNDDOWN(VLOOKUP($B160,$P$357:$R$360,3,0)/$H$367,0)),ROUND(AVERAGE(ROUNDDOWN(AB167*$H$367,0),2*VLOOKUP($B160,$P$357:$R$360,3,0)),0),VLOOKUP($B160,$P$357:$R$360,3,0))))-1))/2)))</f>
        <v>0</v>
      </c>
      <c r="AC171" s="26"/>
      <c r="AD171" s="26"/>
      <c r="AE171" s="3202">
        <f ca="1">IF(OR($B165&gt;AE166,AE170="",AE170=0),0,IF(AND(AE167=0,OR(AE166&gt;$B165,$I$367=1)),AE170,IF(AE167=0,NOMINAL(AE170,12)*IF($B165=AE166,$I$367,1),IF(AND($B165=AE166,ROUNDDOWN($C$367,0)=AE166),$E$367,1)*NOMINAL(AE170,VLOOKUP($B160,$P$357:$R$360,3,0))/VLOOKUP($B160,$P$357:$R$360,3,0)))*((IF(AE167=0,1,IF(AND($B165=AE166,AE167&lt;ROUNDDOWN(VLOOKUP($B160,$P$357:$R$360,3,0)/$H$367,0)),ROUNDDOWN(AE167*$H$367,0),IF(AND($B165&lt;AE166,AE167&lt;ROUNDDOWN(VLOOKUP($B160,$P$357:$R$360,3,0)/$H$367,0)),ROUND(AVERAGE(ROUNDDOWN(AE167*$H$367,0),2*VLOOKUP($B160,$P$357:$R$360,3,0)),0),VLOOKUP($B160,$P$357:$R$360,3,0))))*IF($B165=AE166,$B161,SUM(AB169:AB169)))-((AE168*(IF(AE167=0,1,IF(AND($B165=AE166,AE167&lt;ROUNDDOWN(VLOOKUP($B160,$P$357:$R$360,3,0)/$H$367,0)),ROUNDDOWN(AE167*$H$367,0),IF(AND($B165&lt;AE166,AE167&lt;ROUNDDOWN(VLOOKUP($B160,$P$357:$R$360,3,0)/$H$367,0)),ROUND(AVERAGE(ROUNDDOWN(AE167*$H$367,0),2*VLOOKUP($B160,$P$357:$R$360,3,0)),0),VLOOKUP($B160,$P$357:$R$360,3,0))))-1))/2)))</f>
        <v>0</v>
      </c>
      <c r="AF171" s="3203"/>
      <c r="AG171" s="26"/>
      <c r="AH171" s="3202">
        <f ca="1">IF(OR($B165&gt;AH166,AH170="",AH170=0),0,IF(AND(AH167=0,OR(AH166&gt;$B165,$I$367=1)),AH170,IF(AH167=0,NOMINAL(AH170,12)*IF($B165=AH166,$I$367,1),IF(AND($B165=AH166,ROUNDDOWN($C$367,0)=AH166),$E$367,1)*NOMINAL(AH170,VLOOKUP($B160,$P$357:$R$360,3,0))/VLOOKUP($B160,$P$357:$R$360,3,0)))*((IF(AH167=0,1,IF(AND($B165=AH166,AH167&lt;ROUNDDOWN(VLOOKUP($B160,$P$357:$R$360,3,0)/$H$367,0)),ROUNDDOWN(AH167*$H$367,0),IF(AND($B165&lt;AH166,AH167&lt;ROUNDDOWN(VLOOKUP($B160,$P$357:$R$360,3,0)/$H$367,0)),ROUND(AVERAGE(ROUNDDOWN(AH167*$H$367,0),2*VLOOKUP($B160,$P$357:$R$360,3,0)),0),VLOOKUP($B160,$P$357:$R$360,3,0))))*IF($B165=AH166,$B161,SUM(AE169:AE169)))-((AH168*(IF(AH167=0,1,IF(AND($B165=AH166,AH167&lt;ROUNDDOWN(VLOOKUP($B160,$P$357:$R$360,3,0)/$H$367,0)),ROUNDDOWN(AH167*$H$367,0),IF(AND($B165&lt;AH166,AH167&lt;ROUNDDOWN(VLOOKUP($B160,$P$357:$R$360,3,0)/$H$367,0)),ROUND(AVERAGE(ROUNDDOWN(AH167*$H$367,0),2*VLOOKUP($B160,$P$357:$R$360,3,0)),0),VLOOKUP($B160,$P$357:$R$360,3,0))))-1))/2)))</f>
        <v>0</v>
      </c>
      <c r="AI171" s="26"/>
      <c r="AJ171" s="26"/>
      <c r="AK171" s="3202">
        <f ca="1">IF(OR($B165&gt;AK166,AK170="",AK170=0),0,IF(AND(AK167=0,OR(AK166&gt;$B165,$I$367=1)),AK170,IF(AK167=0,NOMINAL(AK170,12)*IF($B165=AK166,$I$367,1),IF(AND($B165=AK166,ROUNDDOWN($C$367,0)=AK166),$E$367,1)*NOMINAL(AK170,VLOOKUP($B160,$P$357:$R$360,3,0))/VLOOKUP($B160,$P$357:$R$360,3,0)))*((IF(AK167=0,1,IF(AND($B165=AK166,AK167&lt;ROUNDDOWN(VLOOKUP($B160,$P$357:$R$360,3,0)/$H$367,0)),ROUNDDOWN(AK167*$H$367,0),IF(AND($B165&lt;AK166,AK167&lt;ROUNDDOWN(VLOOKUP($B160,$P$357:$R$360,3,0)/$H$367,0)),ROUND(AVERAGE(ROUNDDOWN(AK167*$H$367,0),2*VLOOKUP($B160,$P$357:$R$360,3,0)),0),VLOOKUP($B160,$P$357:$R$360,3,0))))*IF($B165=AK166,$B161,SUM(AH169:AH169)))-((AK168*(IF(AK167=0,1,IF(AND($B165=AK166,AK167&lt;ROUNDDOWN(VLOOKUP($B160,$P$357:$R$360,3,0)/$H$367,0)),ROUNDDOWN(AK167*$H$367,0),IF(AND($B165&lt;AK166,AK167&lt;ROUNDDOWN(VLOOKUP($B160,$P$357:$R$360,3,0)/$H$367,0)),ROUND(AVERAGE(ROUNDDOWN(AK167*$H$367,0),2*VLOOKUP($B160,$P$357:$R$360,3,0)),0),VLOOKUP($B160,$P$357:$R$360,3,0))))-1))/2)))</f>
        <v>0</v>
      </c>
      <c r="AL171" s="26"/>
      <c r="AM171" s="26"/>
      <c r="AN171" s="3202">
        <f ca="1">IF(OR($B165&gt;AN166,AN170="",AN170=0),0,IF(AND(AN167=0,OR(AN166&gt;$B165,$I$367=1)),AN170,IF(AN167=0,NOMINAL(AN170,12)*IF($B165=AN166,$I$367,1),IF(AND($B165=AN166,ROUNDDOWN($C$367,0)=AN166),$E$367,1)*NOMINAL(AN170,VLOOKUP($B160,$P$357:$R$360,3,0))/VLOOKUP($B160,$P$357:$R$360,3,0)))*((IF(AN167=0,1,IF(AND($B165=AN166,AN167&lt;ROUNDDOWN(VLOOKUP($B160,$P$357:$R$360,3,0)/$H$367,0)),ROUNDDOWN(AN167*$H$367,0),IF(AND($B165&lt;AN166,AN167&lt;ROUNDDOWN(VLOOKUP($B160,$P$357:$R$360,3,0)/$H$367,0)),ROUND(AVERAGE(ROUNDDOWN(AN167*$H$367,0),2*VLOOKUP($B160,$P$357:$R$360,3,0)),0),VLOOKUP($B160,$P$357:$R$360,3,0))))*IF($B165=AN166,$B161,SUM(AK169:AK169)))-((AN168*(IF(AN167=0,1,IF(AND($B165=AN166,AN167&lt;ROUNDDOWN(VLOOKUP($B160,$P$357:$R$360,3,0)/$H$367,0)),ROUNDDOWN(AN167*$H$367,0),IF(AND($B165&lt;AN166,AN167&lt;ROUNDDOWN(VLOOKUP($B160,$P$357:$R$360,3,0)/$H$367,0)),ROUND(AVERAGE(ROUNDDOWN(AN167*$H$367,0),2*VLOOKUP($B160,$P$357:$R$360,3,0)),0),VLOOKUP($B160,$P$357:$R$360,3,0))))-1))/2)))</f>
        <v>0</v>
      </c>
      <c r="AO171" s="26"/>
      <c r="AP171" s="26"/>
      <c r="AQ171" s="3202">
        <f ca="1">IF(OR($B165&gt;AQ166,AQ170="",AQ170=0),0,IF(AND(AQ167=0,OR(AQ166&gt;$B165,$I$367=1)),AQ170,IF(AQ167=0,NOMINAL(AQ170,12)*IF($B165=AQ166,$I$367,1),IF(AND($B165=AQ166,ROUNDDOWN($C$367,0)=AQ166),$E$367,1)*NOMINAL(AQ170,VLOOKUP($B160,$P$357:$R$360,3,0))/VLOOKUP($B160,$P$357:$R$360,3,0)))*((IF(AQ167=0,1,IF(AND($B165=AQ166,AQ167&lt;ROUNDDOWN(VLOOKUP($B160,$P$357:$R$360,3,0)/$H$367,0)),ROUNDDOWN(AQ167*$H$367,0),IF(AND($B165&lt;AQ166,AQ167&lt;ROUNDDOWN(VLOOKUP($B160,$P$357:$R$360,3,0)/$H$367,0)),ROUND(AVERAGE(ROUNDDOWN(AQ167*$H$367,0),2*VLOOKUP($B160,$P$357:$R$360,3,0)),0),VLOOKUP($B160,$P$357:$R$360,3,0))))*IF($B165=AQ166,$B161,SUM(AN169:AN169)))-((AQ168*(IF(AQ167=0,1,IF(AND($B165=AQ166,AQ167&lt;ROUNDDOWN(VLOOKUP($B160,$P$357:$R$360,3,0)/$H$367,0)),ROUNDDOWN(AQ167*$H$367,0),IF(AND($B165&lt;AQ166,AQ167&lt;ROUNDDOWN(VLOOKUP($B160,$P$357:$R$360,3,0)/$H$367,0)),ROUND(AVERAGE(ROUNDDOWN(AQ167*$H$367,0),2*VLOOKUP($B160,$P$357:$R$360,3,0)),0),VLOOKUP($B160,$P$357:$R$360,3,0))))-1))/2)))</f>
        <v>0</v>
      </c>
      <c r="AR171" s="26"/>
      <c r="AS171" s="26"/>
      <c r="AT171" s="3202">
        <f ca="1">IF(OR($B165&gt;AT166,AT170="",AT170=0),0,IF(AND(AT167=0,OR(AT166&gt;$B165,$I$367=1)),AT170,IF(AT167=0,NOMINAL(AT170,12)*IF($B165=AT166,$I$367,1),IF(AND($B165=AT166,ROUNDDOWN($C$367,0)=AT166),$E$367,1)*NOMINAL(AT170,VLOOKUP($B160,$P$357:$R$360,3,0))/VLOOKUP($B160,$P$357:$R$360,3,0)))*((IF(AT167=0,1,IF(AND($B165=AT166,AT167&lt;ROUNDDOWN(VLOOKUP($B160,$P$357:$R$360,3,0)/$H$367,0)),ROUNDDOWN(AT167*$H$367,0),IF(AND($B165&lt;AT166,AT167&lt;ROUNDDOWN(VLOOKUP($B160,$P$357:$R$360,3,0)/$H$367,0)),ROUND(AVERAGE(ROUNDDOWN(AT167*$H$367,0),2*VLOOKUP($B160,$P$357:$R$360,3,0)),0),VLOOKUP($B160,$P$357:$R$360,3,0))))*IF($B165=AT166,$B161,SUM(AQ169:AQ169)))-((AT168*(IF(AT167=0,1,IF(AND($B165=AT166,AT167&lt;ROUNDDOWN(VLOOKUP($B160,$P$357:$R$360,3,0)/$H$367,0)),ROUNDDOWN(AT167*$H$367,0),IF(AND($B165&lt;AT166,AT167&lt;ROUNDDOWN(VLOOKUP($B160,$P$357:$R$360,3,0)/$H$367,0)),ROUND(AVERAGE(ROUNDDOWN(AT167*$H$367,0),2*VLOOKUP($B160,$P$357:$R$360,3,0)),0),VLOOKUP($B160,$P$357:$R$360,3,0))))-1))/2)))</f>
        <v>0</v>
      </c>
      <c r="AU171" s="3203"/>
      <c r="AV171" s="3192"/>
    </row>
    <row r="172" spans="1:48" ht="13" thickBot="1">
      <c r="AV172" s="3192"/>
    </row>
    <row r="173" spans="1:48" ht="12.5">
      <c r="A173" s="3204" t="s">
        <v>1324</v>
      </c>
      <c r="B173" s="3205"/>
      <c r="C173" s="3206"/>
      <c r="D173" s="3206"/>
      <c r="E173" s="3206"/>
      <c r="F173" s="3206"/>
      <c r="G173" s="3206"/>
      <c r="H173" s="3206"/>
      <c r="I173" s="3206"/>
      <c r="J173" s="3206"/>
      <c r="K173" s="3206"/>
      <c r="L173" s="3206"/>
      <c r="M173" s="3206"/>
      <c r="N173" s="3206"/>
      <c r="O173" s="3206"/>
      <c r="P173" s="3206"/>
      <c r="Q173" s="3206"/>
      <c r="R173" s="3206"/>
      <c r="S173" s="3206"/>
      <c r="T173" s="3206"/>
      <c r="U173" s="3206"/>
      <c r="V173" s="3206"/>
      <c r="W173" s="3206"/>
      <c r="X173" s="3206"/>
      <c r="Y173" s="3206"/>
      <c r="Z173" s="3206"/>
      <c r="AA173" s="3206"/>
      <c r="AB173" s="3206"/>
      <c r="AC173" s="3206"/>
      <c r="AD173" s="3206"/>
      <c r="AE173" s="3206"/>
      <c r="AF173" s="3206"/>
      <c r="AG173" s="3206"/>
      <c r="AH173" s="3206"/>
      <c r="AI173" s="3206"/>
      <c r="AJ173" s="3206"/>
      <c r="AK173" s="3206"/>
      <c r="AL173" s="3206"/>
      <c r="AM173" s="3206"/>
      <c r="AN173" s="3206"/>
      <c r="AO173" s="3206"/>
      <c r="AP173" s="3206"/>
      <c r="AQ173" s="3206"/>
      <c r="AR173" s="3206"/>
      <c r="AS173" s="3206"/>
      <c r="AT173" s="3206"/>
      <c r="AU173" s="3206"/>
      <c r="AV173" s="3207"/>
    </row>
    <row r="174" spans="1:48" ht="12.5">
      <c r="A174" s="3190" t="s">
        <v>2052</v>
      </c>
      <c r="B174" s="3191"/>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3192"/>
    </row>
    <row r="175" spans="1:48" ht="12.5">
      <c r="A175" s="3190" t="s">
        <v>2053</v>
      </c>
      <c r="B175" s="3191"/>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3192"/>
    </row>
    <row r="176" spans="1:48" ht="12.5">
      <c r="A176" s="3190" t="s">
        <v>1320</v>
      </c>
      <c r="B176" s="3191"/>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3192"/>
    </row>
    <row r="177" spans="1:48" ht="12.5">
      <c r="A177" s="3190" t="s">
        <v>1321</v>
      </c>
      <c r="B177" s="3191"/>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3192"/>
    </row>
    <row r="178" spans="1:48" ht="12.5">
      <c r="A178" s="3193" t="s">
        <v>1322</v>
      </c>
      <c r="B178" s="3194"/>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3192"/>
    </row>
    <row r="179" spans="1:48" ht="12.5">
      <c r="A179" s="3195" t="s">
        <v>2054</v>
      </c>
      <c r="B179" s="3196">
        <f ca="1">B$11</f>
        <v>2023</v>
      </c>
      <c r="C179" s="25"/>
      <c r="D179" s="3196">
        <f ca="1">D$11</f>
        <v>2024</v>
      </c>
      <c r="E179" s="25"/>
      <c r="F179" s="25"/>
      <c r="G179" s="3196">
        <f ca="1">G$11</f>
        <v>2025</v>
      </c>
      <c r="H179" s="25"/>
      <c r="I179" s="25"/>
      <c r="J179" s="3196">
        <f ca="1">J$11</f>
        <v>2026</v>
      </c>
      <c r="K179" s="25"/>
      <c r="L179" s="25"/>
      <c r="M179" s="3196">
        <f ca="1">M$11</f>
        <v>2027</v>
      </c>
      <c r="N179" s="25"/>
      <c r="O179" s="25"/>
      <c r="P179" s="3196">
        <f ca="1">P$11</f>
        <v>2028</v>
      </c>
      <c r="Q179" s="25"/>
      <c r="R179" s="25"/>
      <c r="S179" s="3196">
        <f ca="1">S$11</f>
        <v>2029</v>
      </c>
      <c r="T179" s="25"/>
      <c r="U179" s="25"/>
      <c r="V179" s="3196">
        <f ca="1">V$11</f>
        <v>2030</v>
      </c>
      <c r="W179" s="25"/>
      <c r="X179" s="25"/>
      <c r="Y179" s="3196">
        <f ca="1">Y$11</f>
        <v>2031</v>
      </c>
      <c r="Z179" s="25"/>
      <c r="AA179" s="25"/>
      <c r="AB179" s="3196">
        <f ca="1">AB$11</f>
        <v>2032</v>
      </c>
      <c r="AC179" s="25"/>
      <c r="AD179" s="25"/>
      <c r="AE179" s="3196">
        <f ca="1">AE$11</f>
        <v>2033</v>
      </c>
      <c r="AF179" s="25"/>
      <c r="AG179" s="25"/>
      <c r="AH179" s="3196">
        <f ca="1">AH$11</f>
        <v>2034</v>
      </c>
      <c r="AI179" s="25"/>
      <c r="AJ179" s="25"/>
      <c r="AK179" s="3196">
        <f ca="1">AK$11</f>
        <v>2035</v>
      </c>
      <c r="AL179" s="25"/>
      <c r="AM179" s="25"/>
      <c r="AN179" s="3196">
        <f ca="1">AN$11</f>
        <v>2036</v>
      </c>
      <c r="AO179" s="25"/>
      <c r="AP179" s="25"/>
      <c r="AQ179" s="3196">
        <f ca="1">AQ$11</f>
        <v>2037</v>
      </c>
      <c r="AR179" s="25"/>
      <c r="AS179" s="25"/>
      <c r="AT179" s="3196">
        <f ca="1">AT$11</f>
        <v>2038</v>
      </c>
      <c r="AU179" s="25"/>
      <c r="AV179" s="3192"/>
    </row>
    <row r="180" spans="1:48" ht="12.5">
      <c r="A180" s="3197" t="s">
        <v>2055</v>
      </c>
      <c r="B180" s="3198">
        <f>IF(OR($B175=0,$B175="",$B173=""),0,IF(AND(B179-$B178&gt;=0,B179&lt;=$B178+$B175,ROUNDDOWN(B179,0)=ROUNDDOWN($C$368,0)),IF(ROUNDDOWN(B179,0)=ROUNDDOWN($C$368,0),ROUND($E$368*VLOOKUP($B173,$P$357:$R$360,3,0)/$H$368,2),ROUND(VLOOKUP($B173,$P$357:$R$360,3,0)/$H$368,2)),0))</f>
        <v>0</v>
      </c>
      <c r="C180" s="25"/>
      <c r="D180" s="3198">
        <f>IF(OR($B175=0,$B175="",$B173=""),0,IF(AND(ROUNDDOWN(D179,0)&gt;=ROUNDDOWN($C$368,0),1-$B180&lt;VLOOKUP($B173,$P$357:$R$360,3,0)/$H$368),1-$B180,IF(ROUNDDOWN(D179,0)&gt;=ROUNDDOWN($C$368,0),IF(ROUNDDOWN(D179,0)=ROUNDDOWN($C$368,0),ROUND($E$368*VLOOKUP($B173,$P$357:$R$360,3,0)/$H$368,2),ROUND(VLOOKUP($B173,$P$357:$R$360,3,0)/$H$368,2)),0)))</f>
        <v>0</v>
      </c>
      <c r="E180" s="25"/>
      <c r="F180" s="25"/>
      <c r="G180" s="3198">
        <f>IF(OR($B175=0,$B175="",$B173=""),0,IF(AND(ROUNDDOWN(G179,0)&gt;=ROUNDDOWN($C$368,0),1-SUM($B180:D180)&lt;VLOOKUP($B173,$P$357:$R$360,3,0)/$H$368),1-SUM($B180:D180),IF(ROUNDDOWN(G179,0)&gt;=ROUNDDOWN($C$368,0),IF(ROUNDDOWN(G179,0)=ROUNDDOWN($C$368,0),ROUND($E$368*VLOOKUP($B173,$P$357:$R$360,3,0)/$H$368,2),ROUND(VLOOKUP($B173,$P$357:$R$360,3,0)/$H$368,2)),0)))</f>
        <v>0</v>
      </c>
      <c r="H180" s="25"/>
      <c r="I180" s="25"/>
      <c r="J180" s="3198">
        <f>IF(OR($B175=0,$B175="",$B173=""),0,IF(AND(ROUNDDOWN(J179,0)&gt;=ROUNDDOWN($C$368,0),1-SUM($B180:G180)&lt;VLOOKUP($B173,$P$357:$R$360,3,0)/$H$368),1-SUM($B180:G180),IF(ROUNDDOWN(J179,0)&gt;=ROUNDDOWN($C$368,0),IF(ROUNDDOWN(J179,0)=ROUNDDOWN($C$368,0),ROUND($E$368*VLOOKUP($B173,$P$357:$R$360,3,0)/$H$368,2),ROUND(VLOOKUP($B173,$P$357:$R$360,3,0)/$H$368,2)),0)))</f>
        <v>0</v>
      </c>
      <c r="K180" s="25"/>
      <c r="L180" s="25"/>
      <c r="M180" s="3198">
        <f>IF(OR($B175=0,$B175="",$B173=""),0,IF(AND(ROUNDDOWN(M179,0)&gt;=ROUNDDOWN($C$368,0),1-SUM($B180:J180)&lt;VLOOKUP($B173,$P$357:$R$360,3,0)/$H$368),1-SUM($B180:J180),IF(ROUNDDOWN(M179,0)&gt;=ROUNDDOWN($C$368,0),IF(ROUNDDOWN(M179,0)=ROUNDDOWN($C$368,0),ROUND($E$368*VLOOKUP($B173,$P$357:$R$360,3,0)/$H$368,2),ROUND(VLOOKUP($B173,$P$357:$R$360,3,0)/$H$368,2)),0)))</f>
        <v>0</v>
      </c>
      <c r="N180" s="25"/>
      <c r="O180" s="25"/>
      <c r="P180" s="3198">
        <f>IF(OR($B175=0,$B175="",$B173=""),0,IF(AND(ROUNDDOWN(P179,0)&gt;=ROUNDDOWN($C$368,0),1-SUM($B180:M180)&lt;VLOOKUP($B173,$P$357:$R$360,3,0)/$H$368),1-SUM($B180:M180),IF(ROUNDDOWN(P179,0)&gt;=ROUNDDOWN($C$368,0),IF(ROUNDDOWN(P179,0)=ROUNDDOWN($C$368,0),ROUND($E$368*VLOOKUP($B173,$P$357:$R$360,3,0)/$H$368,2),ROUND(VLOOKUP($B173,$P$357:$R$360,3,0)/$H$368,2)),0)))</f>
        <v>0</v>
      </c>
      <c r="Q180" s="25"/>
      <c r="R180" s="25"/>
      <c r="S180" s="3198">
        <f>IF(OR($B175=0,$B175="",$B173=""),0,IF(AND(ROUNDDOWN(S179,0)&gt;=ROUNDDOWN($C$368,0),1-SUM($B180:P180)&lt;VLOOKUP($B173,$P$357:$R$360,3,0)/$H$368),1-SUM($B180:P180),IF(ROUNDDOWN(S179,0)&gt;=ROUNDDOWN($C$368,0),IF(ROUNDDOWN(S179,0)=ROUNDDOWN($C$368,0),ROUND($E$368*VLOOKUP($B173,$P$357:$R$360,3,0)/$H$368,2),ROUND(VLOOKUP($B173,$P$357:$R$360,3,0)/$H$368,2)),0)))</f>
        <v>0</v>
      </c>
      <c r="T180" s="25"/>
      <c r="U180" s="25"/>
      <c r="V180" s="3198">
        <f>IF(OR($B175=0,$B175="",$B173=""),0,IF(AND(ROUNDDOWN(V179,0)&gt;=ROUNDDOWN($C$368,0),1-SUM($B180:S180)&lt;VLOOKUP($B173,$P$357:$R$360,3,0)/$H$368),1-SUM($B180:S180),IF(ROUNDDOWN(V179,0)&gt;=ROUNDDOWN($C$368,0),IF(ROUNDDOWN(V179,0)=ROUNDDOWN($C$368,0),ROUND($E$368*VLOOKUP($B173,$P$357:$R$360,3,0)/$H$368,2),ROUND(VLOOKUP($B173,$P$357:$R$360,3,0)/$H$368,2)),0)))</f>
        <v>0</v>
      </c>
      <c r="W180" s="25"/>
      <c r="X180" s="25"/>
      <c r="Y180" s="3198">
        <f>IF(OR($B175=0,$B175="",$B173=""),0,IF(AND(ROUNDDOWN(Y179,0)&gt;=ROUNDDOWN($C$368,0),1-SUM($B180:V180)&lt;VLOOKUP($B173,$P$357:$R$360,3,0)/$H$368),1-SUM($B180:V180),IF(ROUNDDOWN(Y179,0)&gt;=ROUNDDOWN($C$368,0),IF(ROUNDDOWN(Y179,0)=ROUNDDOWN($C$368,0),ROUND($E$368*VLOOKUP($B173,$P$357:$R$360,3,0)/$H$368,2),ROUND(VLOOKUP($B173,$P$357:$R$360,3,0)/$H$368,2)),0)))</f>
        <v>0</v>
      </c>
      <c r="Z180" s="25"/>
      <c r="AA180" s="25"/>
      <c r="AB180" s="3198">
        <f>IF(OR($B175=0,$B175="",$B173=""),0,IF(AND(ROUNDDOWN(AB179,0)&gt;=ROUNDDOWN($C$368,0),1-SUM($B180:Y180)&lt;VLOOKUP($B173,$P$357:$R$360,3,0)/$H$368),1-SUM($B180:Y180),IF(ROUNDDOWN(AB179,0)&gt;=ROUNDDOWN($C$368,0),IF(ROUNDDOWN(AB179,0)=ROUNDDOWN($C$368,0),ROUND($E$368*VLOOKUP($B173,$P$357:$R$360,3,0)/$H$368,2),ROUND(VLOOKUP($B173,$P$357:$R$360,3,0)/$H$368,2)),0)))</f>
        <v>0</v>
      </c>
      <c r="AC180" s="25"/>
      <c r="AD180" s="25"/>
      <c r="AE180" s="3198">
        <f>IF(OR($B175=0,$B175="",$B173=""),0,IF(AND(ROUNDDOWN(AE179,0)&gt;=ROUNDDOWN($C$368,0),1-SUM($B180:AB180)&lt;VLOOKUP($B173,$P$357:$R$360,3,0)/$H$368),1-SUM($B180:AB180),IF(ROUNDDOWN(AE179,0)&gt;=ROUNDDOWN($C$368,0),IF(ROUNDDOWN(AE179,0)=ROUNDDOWN($C$368,0),ROUND($E$368*VLOOKUP($B173,$P$357:$R$360,3,0)/$H$368,2),ROUND(VLOOKUP($B173,$P$357:$R$360,3,0)/$H$368,2)),0)))</f>
        <v>0</v>
      </c>
      <c r="AF180" s="25"/>
      <c r="AG180" s="25"/>
      <c r="AH180" s="3198">
        <f>IF(OR($B175=0,$B175="",$B173=""),0,IF(AND(ROUNDDOWN(AH179,0)&gt;=ROUNDDOWN($C$368,0),1-SUM($B180:AE180)&lt;VLOOKUP($B173,$P$357:$R$360,3,0)/$H$368),1-SUM($B180:AE180),IF(ROUNDDOWN(AH179,0)&gt;=ROUNDDOWN($C$368,0),IF(ROUNDDOWN(AH179,0)=ROUNDDOWN($C$368,0),ROUND($E$368*VLOOKUP($B173,$P$357:$R$360,3,0)/$H$368,2),ROUND(VLOOKUP($B173,$P$357:$R$360,3,0)/$H$368,2)),0)))</f>
        <v>0</v>
      </c>
      <c r="AI180" s="25"/>
      <c r="AJ180" s="25"/>
      <c r="AK180" s="3198">
        <f>IF(OR($B175=0,$B175="",$B173=""),0,IF(AND(ROUNDDOWN(AK179,0)&gt;=ROUNDDOWN($C$368,0),1-SUM($B180:AH180)&lt;VLOOKUP($B173,$P$357:$R$360,3,0)/$H$368),1-SUM($B180:AH180),IF(ROUNDDOWN(AK179,0)&gt;=ROUNDDOWN($C$368,0),IF(ROUNDDOWN(AK179,0)=ROUNDDOWN($C$368,0),ROUND($E$368*VLOOKUP($B173,$P$357:$R$360,3,0)/$H$368,2),ROUND(VLOOKUP($B173,$P$357:$R$360,3,0)/$H$368,2)),0)))</f>
        <v>0</v>
      </c>
      <c r="AL180" s="25"/>
      <c r="AM180" s="25"/>
      <c r="AN180" s="3198">
        <f>IF(OR($B175=0,$B175="",$B173=""),0,IF(AND(ROUNDDOWN(AN179,0)&gt;=ROUNDDOWN($C$368,0),1-SUM($B180:AK180)&lt;VLOOKUP($B173,$P$357:$R$360,3,0)/$H$368),1-SUM($B180:AK180),IF(ROUNDDOWN(AN179,0)&gt;=ROUNDDOWN($C$368,0),IF(ROUNDDOWN(AN179,0)=ROUNDDOWN($C$368,0),ROUND($E$368*VLOOKUP($B173,$P$357:$R$360,3,0)/$H$368,2),ROUND(VLOOKUP($B173,$P$357:$R$360,3,0)/$H$368,2)),0)))</f>
        <v>0</v>
      </c>
      <c r="AO180" s="25"/>
      <c r="AP180" s="25"/>
      <c r="AQ180" s="3198">
        <f>IF(OR($B175=0,$B175="",$B173=""),0,IF(AND(ROUNDDOWN(AQ179,0)&gt;=ROUNDDOWN($C$368,0),1-SUM($B180:AN180)&lt;VLOOKUP($B173,$P$357:$R$360,3,0)/$H$368),1-SUM($B180:AN180),IF(ROUNDDOWN(AQ179,0)&gt;=ROUNDDOWN($C$368,0),IF(ROUNDDOWN(AQ179,0)=ROUNDDOWN($C$368,0),ROUND($E$368*VLOOKUP($B173,$P$357:$R$360,3,0)/$H$368,2),ROUND(VLOOKUP($B173,$P$357:$R$360,3,0)/$H$368,2)),0)))</f>
        <v>0</v>
      </c>
      <c r="AR180" s="25"/>
      <c r="AS180" s="25"/>
      <c r="AT180" s="3198">
        <f>IF(OR($B175=0,$B175="",$B173=""),0,IF(AND(ROUNDDOWN(AT179,0)&gt;=ROUNDDOWN($C$368,0),1-SUM($B180:AQ180)&lt;VLOOKUP($B173,$P$357:$R$360,3,0)/$H$368),1-SUM($B180:AQ180),IF(ROUNDDOWN(AT179,0)&gt;=ROUNDDOWN($C$368,0),IF(ROUNDDOWN(AT179,0)=ROUNDDOWN($C$368,0),ROUND($E$368*VLOOKUP($B173,$P$357:$R$360,3,0)/$H$368,2),ROUND(VLOOKUP($B173,$P$357:$R$360,3,0)/$H$368,2)),0)))</f>
        <v>0</v>
      </c>
      <c r="AU180" s="25"/>
      <c r="AV180" s="3192"/>
    </row>
    <row r="181" spans="1:48" ht="12.5">
      <c r="A181" s="3199" t="s">
        <v>2056</v>
      </c>
      <c r="B181" s="3200">
        <f>$B174*B180</f>
        <v>0</v>
      </c>
      <c r="C181" s="25"/>
      <c r="D181" s="3200">
        <f ca="1">IF($B178&gt;D179,0,D180*$B174)</f>
        <v>0</v>
      </c>
      <c r="E181" s="25"/>
      <c r="F181" s="25"/>
      <c r="G181" s="3200">
        <f ca="1">IF($B178&gt;G179,0,G180*$B174)</f>
        <v>0</v>
      </c>
      <c r="H181" s="25"/>
      <c r="I181" s="25"/>
      <c r="J181" s="3200">
        <f ca="1">IF($B178&gt;J179,0,J180*$B174)</f>
        <v>0</v>
      </c>
      <c r="K181" s="25"/>
      <c r="L181" s="25"/>
      <c r="M181" s="3200">
        <f ca="1">IF($B178&gt;M179,0,M180*$B174)</f>
        <v>0</v>
      </c>
      <c r="N181" s="25"/>
      <c r="O181" s="25"/>
      <c r="P181" s="3200">
        <f ca="1">IF($B178&gt;P179,0,P180*$B174)</f>
        <v>0</v>
      </c>
      <c r="Q181" s="25"/>
      <c r="R181" s="25"/>
      <c r="S181" s="3200">
        <f ca="1">IF($B178&gt;S179,0,S180*$B174)</f>
        <v>0</v>
      </c>
      <c r="T181" s="25"/>
      <c r="U181" s="25"/>
      <c r="V181" s="3200">
        <f ca="1">IF($B178&gt;V179,0,V180*$B174)</f>
        <v>0</v>
      </c>
      <c r="W181" s="25"/>
      <c r="X181" s="25"/>
      <c r="Y181" s="3200">
        <f ca="1">IF($B178&gt;Y179,0,Y180*$B174)</f>
        <v>0</v>
      </c>
      <c r="Z181" s="25"/>
      <c r="AA181" s="25"/>
      <c r="AB181" s="3200">
        <f ca="1">IF($B178&gt;AB179,0,AB180*$B174)</f>
        <v>0</v>
      </c>
      <c r="AC181" s="25"/>
      <c r="AD181" s="25"/>
      <c r="AE181" s="3200">
        <f ca="1">IF($B178&gt;AE179,0,AE180*$B174)</f>
        <v>0</v>
      </c>
      <c r="AF181" s="25"/>
      <c r="AG181" s="25"/>
      <c r="AH181" s="3200">
        <f ca="1">IF($B178&gt;AH179,0,AH180*$B174)</f>
        <v>0</v>
      </c>
      <c r="AI181" s="25"/>
      <c r="AJ181" s="25"/>
      <c r="AK181" s="3200">
        <f ca="1">IF($B178&gt;AK179,0,AK180*$B174)</f>
        <v>0</v>
      </c>
      <c r="AL181" s="25"/>
      <c r="AM181" s="25"/>
      <c r="AN181" s="3200">
        <f ca="1">IF($B178&gt;AN179,0,AN180*$B174)</f>
        <v>0</v>
      </c>
      <c r="AO181" s="25"/>
      <c r="AP181" s="25"/>
      <c r="AQ181" s="3200">
        <f ca="1">IF($B178&gt;AQ179,0,AQ180*$B174)</f>
        <v>0</v>
      </c>
      <c r="AR181" s="25"/>
      <c r="AS181" s="25"/>
      <c r="AT181" s="3200">
        <f ca="1">IF($B178&gt;AT179,0,AT180*$B174)</f>
        <v>0</v>
      </c>
      <c r="AU181" s="25"/>
      <c r="AV181" s="3192"/>
    </row>
    <row r="182" spans="1:48" ht="12.5">
      <c r="A182" s="3193" t="s">
        <v>2057</v>
      </c>
      <c r="B182" s="3201">
        <f ca="1">IF($B178&gt;B179,0,B174-B181)</f>
        <v>0</v>
      </c>
      <c r="C182" s="25"/>
      <c r="D182" s="3201">
        <f ca="1">IF($B178&gt;D179,0,IF($B178=D179,$B174-D181,IF(+B182-D181&lt;0.005,0,B182-D181)))</f>
        <v>0</v>
      </c>
      <c r="E182" s="25"/>
      <c r="F182" s="25"/>
      <c r="G182" s="3201">
        <f ca="1">IF($B178&gt;G179,0,IF($B178=G179,$B174-G181,IF(D182-G181&lt;0.005,0,D182-G181)))</f>
        <v>0</v>
      </c>
      <c r="H182" s="25"/>
      <c r="I182" s="25"/>
      <c r="J182" s="3201">
        <f ca="1">IF($B178&gt;J179,0,IF($B178=J179,$B174-J181,IF(G182-J181&lt;0.005,0,G182-J181)))</f>
        <v>0</v>
      </c>
      <c r="K182" s="25"/>
      <c r="L182" s="25"/>
      <c r="M182" s="3201">
        <f ca="1">IF($B178&gt;M179,0,IF($B178=M179,$B174-M181,IF(J182-M181&lt;0.005,0,J182-M181)))</f>
        <v>0</v>
      </c>
      <c r="N182" s="25"/>
      <c r="O182" s="25"/>
      <c r="P182" s="3201">
        <f ca="1">IF($B178&gt;P179,0,IF($B178=P179,$B174-P181,IF(M182-P181&lt;0.005,0,M182-P181)))</f>
        <v>0</v>
      </c>
      <c r="Q182" s="25"/>
      <c r="R182" s="25"/>
      <c r="S182" s="3201">
        <f ca="1">IF($B178&gt;S179,0,IF($B178=S179,$B174-S181,IF(P182-S181&lt;0.005,0,P182-S181)))</f>
        <v>0</v>
      </c>
      <c r="T182" s="25"/>
      <c r="U182" s="25"/>
      <c r="V182" s="3201">
        <f ca="1">IF($B178&gt;V179,0,IF($B178=V179,$B174-V181,IF(S182-V181&lt;0.005,0,S182-V181)))</f>
        <v>0</v>
      </c>
      <c r="W182" s="25"/>
      <c r="X182" s="25"/>
      <c r="Y182" s="3201">
        <f ca="1">IF($B178&gt;Y179,0,IF($B178=Y179,$B174-Y181,IF(V182-Y181&lt;0.005,0,V182-Y181)))</f>
        <v>0</v>
      </c>
      <c r="Z182" s="25"/>
      <c r="AA182" s="25"/>
      <c r="AB182" s="3201">
        <f ca="1">IF($B178&gt;AB179,0,IF($B178=AB179,$B174-AB181,IF(Y182-AB181&lt;0.005,0,Y182-AB181)))</f>
        <v>0</v>
      </c>
      <c r="AC182" s="25"/>
      <c r="AD182" s="25"/>
      <c r="AE182" s="3201">
        <f ca="1">IF($B178&gt;AE179,0,IF($B178=AE179,$B174-AE181,IF(AB182-AE181&lt;0.005,0,AB182-AE181)))</f>
        <v>0</v>
      </c>
      <c r="AF182" s="25"/>
      <c r="AG182" s="25"/>
      <c r="AH182" s="3201">
        <f ca="1">IF($B178&gt;AH179,0,IF($B178=AH179,$B174-AH181,IF(AE182-AH181&lt;0.005,0,AE182-AH181)))</f>
        <v>0</v>
      </c>
      <c r="AI182" s="25"/>
      <c r="AJ182" s="25"/>
      <c r="AK182" s="3201">
        <f ca="1">IF($B178&gt;AK179,0,IF($B178=AK179,$B174-AK181,IF(AH182-AK181&lt;0.005,0,AH182-AK181)))</f>
        <v>0</v>
      </c>
      <c r="AL182" s="25"/>
      <c r="AM182" s="25"/>
      <c r="AN182" s="3201">
        <f ca="1">IF($B178&gt;AN179,0,IF($B178=AN179,$B174-AN181,IF(AK182-AN181&lt;0.005,0,AK182-AN181)))</f>
        <v>0</v>
      </c>
      <c r="AO182" s="25"/>
      <c r="AP182" s="25"/>
      <c r="AQ182" s="3201">
        <f ca="1">IF($B178&gt;AQ179,0,IF($B178=AQ179,$B174-AQ181,IF(AN182-AQ181&lt;0.005,0,AN182-AQ181)))</f>
        <v>0</v>
      </c>
      <c r="AR182" s="25"/>
      <c r="AS182" s="25"/>
      <c r="AT182" s="3201">
        <f ca="1">IF($B178&gt;AT179,0,IF($B178=AT179,$B174-AT181,IF(AQ182-AT181&lt;0.005,0,AQ182-AT181)))</f>
        <v>0</v>
      </c>
      <c r="AU182" s="25"/>
      <c r="AV182" s="3192"/>
    </row>
    <row r="183" spans="1:48" ht="12.5">
      <c r="A183" s="3197" t="s">
        <v>2058</v>
      </c>
      <c r="B183" s="3198"/>
      <c r="C183" s="25"/>
      <c r="D183" s="3198">
        <f>B183</f>
        <v>0</v>
      </c>
      <c r="E183" s="25"/>
      <c r="F183" s="25"/>
      <c r="G183" s="3198">
        <f>D183</f>
        <v>0</v>
      </c>
      <c r="H183" s="25"/>
      <c r="I183" s="25"/>
      <c r="J183" s="3198">
        <f>G183</f>
        <v>0</v>
      </c>
      <c r="K183" s="25"/>
      <c r="L183" s="25"/>
      <c r="M183" s="3198">
        <f>J183</f>
        <v>0</v>
      </c>
      <c r="N183" s="25"/>
      <c r="O183" s="25"/>
      <c r="P183" s="3198">
        <f>M183</f>
        <v>0</v>
      </c>
      <c r="Q183" s="25"/>
      <c r="R183" s="25"/>
      <c r="S183" s="3198">
        <f>P183</f>
        <v>0</v>
      </c>
      <c r="T183" s="25"/>
      <c r="U183" s="25"/>
      <c r="V183" s="3198">
        <f>S183</f>
        <v>0</v>
      </c>
      <c r="W183" s="25"/>
      <c r="X183" s="25"/>
      <c r="Y183" s="3198">
        <f>V183</f>
        <v>0</v>
      </c>
      <c r="Z183" s="25"/>
      <c r="AA183" s="25"/>
      <c r="AB183" s="3198">
        <f>Y183</f>
        <v>0</v>
      </c>
      <c r="AC183" s="25"/>
      <c r="AD183" s="25"/>
      <c r="AE183" s="3198">
        <f>AB183</f>
        <v>0</v>
      </c>
      <c r="AF183" s="25"/>
      <c r="AG183" s="25"/>
      <c r="AH183" s="3198">
        <f>AE183</f>
        <v>0</v>
      </c>
      <c r="AI183" s="25"/>
      <c r="AJ183" s="25"/>
      <c r="AK183" s="3198">
        <f>AH183</f>
        <v>0</v>
      </c>
      <c r="AL183" s="25"/>
      <c r="AM183" s="25"/>
      <c r="AN183" s="3198">
        <f>AK183</f>
        <v>0</v>
      </c>
      <c r="AO183" s="25"/>
      <c r="AP183" s="25"/>
      <c r="AQ183" s="3198">
        <f>AN183</f>
        <v>0</v>
      </c>
      <c r="AR183" s="25"/>
      <c r="AS183" s="25"/>
      <c r="AT183" s="3198">
        <f>AQ183</f>
        <v>0</v>
      </c>
      <c r="AU183" s="25"/>
      <c r="AV183" s="3192"/>
    </row>
    <row r="184" spans="1:48" ht="12.5">
      <c r="A184" s="3197" t="s">
        <v>2059</v>
      </c>
      <c r="B184" s="3202">
        <f ca="1">IF(OR($B178&lt;&gt;B179,B183="",B183=0),0,IF(AND(B180=0,$I$368=1),B183,IF(B180=0,NOMINAL(B183,12)*IF($B178=B179,$I$368,1),IF(AND($B178=B179,ROUNDDOWN($C$368,0)=B179),$E$368,1)*NOMINAL(B183,VLOOKUP($B173,$P$357:$R$360,3,0))/VLOOKUP($B173,$P$357:$R$360,3,0)))*((IF(B180=0,1,IF(AND($B178=B179,B180&lt;ROUNDDOWN(VLOOKUP($B173,$P$357:$R$360,3,0)/$H$368,0)),ROUNDDOWN(B180*$H$368,0),IF(AND($B178&lt;B179,B180&lt;ROUNDDOWN(VLOOKUP($B173,$P$357:$R$360,3,0)/$H$368,0)),ROUND(AVERAGE(ROUNDDOWN(B180*$H$368,0),2*VLOOKUP($B173,$P$357:$R$360,3,0)),0),VLOOKUP($B173,$P$357:$R$360,3,0))))*$B174)-((B181*(IF(B180=0,1,IF(AND($B178=B179,B180&lt;ROUNDDOWN(VLOOKUP($B173,$P$357:$R$360,3,0)/$H$368,0)),ROUNDDOWN(B180*$H$368,0),IF(AND($B178&lt;B179,B180&lt;ROUNDDOWN(VLOOKUP($B173,$P$357:$R$360,3,0)/$H$368,0)),ROUND(AVERAGE(ROUNDDOWN(B180*$H$368,0),2*VLOOKUP($B173,$P$357:$R$360,3,0)),0),VLOOKUP($B173,$P$357:$R$360,3,0))))-1))/2)))</f>
        <v>0</v>
      </c>
      <c r="C184" s="26"/>
      <c r="D184" s="3202">
        <f ca="1">IF(OR($B178&gt;D179,D183="",D183=0),0,IF(AND(D180=0,OR(D179&gt;$B178,$I$368=1)),D183,IF(D180=0,NOMINAL(D183,12)*IF($B178=D179,$I$368,1),IF(AND($B178=D179,ROUNDDOWN($C$368,0)=D179),$E$368,1)*NOMINAL(D183,VLOOKUP($B173,$P$357:$R$360,3,0))/VLOOKUP($B173,$P$357:$R$360,3,0)))*((IF(D180=0,1,IF(AND($B178=D179,D180&lt;ROUNDDOWN(VLOOKUP($B173,$P$357:$R$360,3,0)/$H$368,0)),ROUNDDOWN(D180*$H$368,0),IF(AND($B178&lt;D179,D180&lt;ROUNDDOWN(VLOOKUP($B173,$P$357:$R$360,3,0)/$H$368,0)),ROUND(AVERAGE(ROUNDDOWN(D180*$H$368,0),2*VLOOKUP($B173,$P$357:$R$360,3,0)),0),VLOOKUP($B173,$P$357:$R$360,3,0))))*IF($B178=D179,$B174,SUM(B182:B182)))-((D181*(IF(D180=0,1,IF(AND($B178=D179,D180&lt;ROUNDDOWN(VLOOKUP($B173,$P$357:$R$360,3,0)/$H$368,0)),ROUNDDOWN(D180*$H$368,0),IF(AND($B178&lt;D179,D180&lt;ROUNDDOWN(VLOOKUP($B173,$P$357:$R$360,3,0)/$H$368,0)),ROUND(AVERAGE(ROUNDDOWN(D180*$H$368,0),2*VLOOKUP($B173,$P$357:$R$360,3,0)),0),VLOOKUP($B173,$P$357:$R$360,3,0))))-1))/2)))</f>
        <v>0</v>
      </c>
      <c r="E184" s="26"/>
      <c r="F184" s="26"/>
      <c r="G184" s="3202">
        <f ca="1">IF(OR($B178&gt;G179,G183="",G183=0),0,IF(AND(G180=0,OR(G179&gt;$B178,$I$368=1)),G183,IF(G180=0,NOMINAL(G183,12)*IF($B178=G179,$I$368,1),IF(AND($B178=G179,ROUNDDOWN($C$368,0)=G179),$E$368,1)*NOMINAL(G183,VLOOKUP($B173,$P$357:$R$360,3,0))/VLOOKUP($B173,$P$357:$R$360,3,0)))*((IF(G180=0,1,IF(AND($B178=G179,G180&lt;ROUNDDOWN(VLOOKUP($B173,$P$357:$R$360,3,0)/$H$368,0)),ROUNDDOWN(G180*$H$368,0),IF(AND($B178&lt;G179,G180&lt;ROUNDDOWN(VLOOKUP($B173,$P$357:$R$360,3,0)/$H$368,0)),ROUND(AVERAGE(ROUNDDOWN(G180*$H$368,0),2*VLOOKUP($B173,$P$357:$R$360,3,0)),0),VLOOKUP($B173,$P$357:$R$360,3,0))))*IF($B178=G179,$B174,SUM(D182:D182)))-((G181*(IF(G180=0,1,IF(AND($B178=G179,G180&lt;ROUNDDOWN(VLOOKUP($B173,$P$357:$R$360,3,0)/$H$368,0)),ROUNDDOWN(G180*$H$368,0),IF(AND($B178&lt;G179,G180&lt;ROUNDDOWN(VLOOKUP($B173,$P$357:$R$360,3,0)/$H$368,0)),ROUND(AVERAGE(ROUNDDOWN(G180*$H$368,0),2*VLOOKUP($B173,$P$357:$R$360,3,0)),0),VLOOKUP($B173,$P$357:$R$360,3,0))))-1))/2)))</f>
        <v>0</v>
      </c>
      <c r="H184" s="26"/>
      <c r="I184" s="26"/>
      <c r="J184" s="3202">
        <f ca="1">IF(OR($B178&gt;J179,J183="",J183=0),0,IF(AND(J180=0,OR(J179&gt;$B178,$I$368=1)),J183,IF(J180=0,NOMINAL(J183,12)*IF($B178=J179,$I$368,1),IF(AND($B178=J179,ROUNDDOWN($C$368,0)=J179),$E$368,1)*NOMINAL(J183,VLOOKUP($B173,$P$357:$R$360,3,0))/VLOOKUP($B173,$P$357:$R$360,3,0)))*((IF(J180=0,1,IF(AND($B178=J179,J180&lt;ROUNDDOWN(VLOOKUP($B173,$P$357:$R$360,3,0)/$H$368,0)),ROUNDDOWN(J180*$H$368,0),IF(AND($B178&lt;J179,J180&lt;ROUNDDOWN(VLOOKUP($B173,$P$357:$R$360,3,0)/$H$368,0)),ROUND(AVERAGE(ROUNDDOWN(J180*$H$368,0),2*VLOOKUP($B173,$P$357:$R$360,3,0)),0),VLOOKUP($B173,$P$357:$R$360,3,0))))*IF($B178=J179,$B174,SUM(G182:G182)))-((J181*(IF(J180=0,1,IF(AND($B178=J179,J180&lt;ROUNDDOWN(VLOOKUP($B173,$P$357:$R$360,3,0)/$H$368,0)),ROUNDDOWN(J180*$H$368,0),IF(AND($B178&lt;J179,J180&lt;ROUNDDOWN(VLOOKUP($B173,$P$357:$R$360,3,0)/$H$368,0)),ROUND(AVERAGE(ROUNDDOWN(J180*$H$368,0),2*VLOOKUP($B173,$P$357:$R$360,3,0)),0),VLOOKUP($B173,$P$357:$R$360,3,0))))-1))/2)))</f>
        <v>0</v>
      </c>
      <c r="K184" s="26"/>
      <c r="L184" s="26"/>
      <c r="M184" s="3202">
        <f ca="1">IF(OR($B178&gt;M179,M183="",M183=0),0,IF(AND(M180=0,OR(M179&gt;$B178,$I$368=1)),M183,IF(M180=0,NOMINAL(M183,12)*IF($B178=M179,$I$368,1),IF(AND($B178=M179,ROUNDDOWN($C$368,0)=M179),$E$368,1)*NOMINAL(M183,VLOOKUP($B173,$P$357:$R$360,3,0))/VLOOKUP($B173,$P$357:$R$360,3,0)))*((IF(M180=0,1,IF(AND($B178=M179,M180&lt;ROUNDDOWN(VLOOKUP($B173,$P$357:$R$360,3,0)/$H$368,0)),ROUNDDOWN(M180*$H$368,0),IF(AND($B178&lt;M179,M180&lt;ROUNDDOWN(VLOOKUP($B173,$P$357:$R$360,3,0)/$H$368,0)),ROUND(AVERAGE(ROUNDDOWN(M180*$H$368,0),2*VLOOKUP($B173,$P$357:$R$360,3,0)),0),VLOOKUP($B173,$P$357:$R$360,3,0))))*IF($B178=M179,$B174,SUM(J182:J182)))-((M181*(IF(M180=0,1,IF(AND($B178=M179,M180&lt;ROUNDDOWN(VLOOKUP($B173,$P$357:$R$360,3,0)/$H$368,0)),ROUNDDOWN(M180*$H$368,0),IF(AND($B178&lt;M179,M180&lt;ROUNDDOWN(VLOOKUP($B173,$P$357:$R$360,3,0)/$H$368,0)),ROUND(AVERAGE(ROUNDDOWN(M180*$H$368,0),2*VLOOKUP($B173,$P$357:$R$360,3,0)),0),VLOOKUP($B173,$P$357:$R$360,3,0))))-1))/2)))</f>
        <v>0</v>
      </c>
      <c r="N184" s="26"/>
      <c r="O184" s="26"/>
      <c r="P184" s="3202">
        <f ca="1">IF(OR($B178&gt;P179,P183="",P183=0),0,IF(AND(P180=0,OR(P179&gt;$B178,$I$368=1)),P183,IF(P180=0,NOMINAL(P183,12)*IF($B178=P179,$I$368,1),IF(AND($B178=P179,ROUNDDOWN($C$368,0)=P179),$E$368,1)*NOMINAL(P183,VLOOKUP($B173,$P$357:$R$360,3,0))/VLOOKUP($B173,$P$357:$R$360,3,0)))*((IF(P180=0,1,IF(AND($B178=P179,P180&lt;ROUNDDOWN(VLOOKUP($B173,$P$357:$R$360,3,0)/$H$368,0)),ROUNDDOWN(P180*$H$368,0),IF(AND($B178&lt;P179,P180&lt;ROUNDDOWN(VLOOKUP($B173,$P$357:$R$360,3,0)/$H$368,0)),ROUND(AVERAGE(ROUNDDOWN(P180*$H$368,0),2*VLOOKUP($B173,$P$357:$R$360,3,0)),0),VLOOKUP($B173,$P$357:$R$360,3,0))))*IF($B178=P179,$B174,SUM(M182:M182)))-((P181*(IF(P180=0,1,IF(AND($B178=P179,P180&lt;ROUNDDOWN(VLOOKUP($B173,$P$357:$R$360,3,0)/$H$368,0)),ROUNDDOWN(P180*$H$368,0),IF(AND($B178&lt;P179,P180&lt;ROUNDDOWN(VLOOKUP($B173,$P$357:$R$360,3,0)/$H$368,0)),ROUND(AVERAGE(ROUNDDOWN(P180*$H$368,0),2*VLOOKUP($B173,$P$357:$R$360,3,0)),0),VLOOKUP($B173,$P$357:$R$360,3,0))))-1))/2)))</f>
        <v>0</v>
      </c>
      <c r="Q184" s="26"/>
      <c r="R184" s="26"/>
      <c r="S184" s="3202">
        <f ca="1">IF(OR($B178&gt;S179,S183="",S183=0),0,IF(AND(S180=0,OR(S179&gt;$B178,$I$368=1)),S183,IF(S180=0,NOMINAL(S183,12)*IF($B178=S179,$I$368,1),IF(AND($B178=S179,ROUNDDOWN($C$368,0)=S179),$E$368,1)*NOMINAL(S183,VLOOKUP($B173,$P$357:$R$360,3,0))/VLOOKUP($B173,$P$357:$R$360,3,0)))*((IF(S180=0,1,IF(AND($B178=S179,S180&lt;ROUNDDOWN(VLOOKUP($B173,$P$357:$R$360,3,0)/$H$368,0)),ROUNDDOWN(S180*$H$368,0),IF(AND($B178&lt;S179,S180&lt;ROUNDDOWN(VLOOKUP($B173,$P$357:$R$360,3,0)/$H$368,0)),ROUND(AVERAGE(ROUNDDOWN(S180*$H$368,0),2*VLOOKUP($B173,$P$357:$R$360,3,0)),0),VLOOKUP($B173,$P$357:$R$360,3,0))))*IF($B178=S179,$B174,SUM(P182:P182)))-((S181*(IF(S180=0,1,IF(AND($B178=S179,S180&lt;ROUNDDOWN(VLOOKUP($B173,$P$357:$R$360,3,0)/$H$368,0)),ROUNDDOWN(S180*$H$368,0),IF(AND($B178&lt;S179,S180&lt;ROUNDDOWN(VLOOKUP($B173,$P$357:$R$360,3,0)/$H$368,0)),ROUND(AVERAGE(ROUNDDOWN(S180*$H$368,0),2*VLOOKUP($B173,$P$357:$R$360,3,0)),0),VLOOKUP($B173,$P$357:$R$360,3,0))))-1))/2)))</f>
        <v>0</v>
      </c>
      <c r="T184" s="26"/>
      <c r="U184" s="26"/>
      <c r="V184" s="3202">
        <f ca="1">IF(OR($B178&gt;V179,V183="",V183=0),0,IF(AND(V180=0,OR(V179&gt;$B178,$I$368=1)),V183,IF(V180=0,NOMINAL(V183,12)*IF($B178=V179,$I$368,1),IF(AND($B178=V179,ROUNDDOWN($C$368,0)=V179),$E$368,1)*NOMINAL(V183,VLOOKUP($B173,$P$357:$R$360,3,0))/VLOOKUP($B173,$P$357:$R$360,3,0)))*((IF(V180=0,1,IF(AND($B178=V179,V180&lt;ROUNDDOWN(VLOOKUP($B173,$P$357:$R$360,3,0)/$H$368,0)),ROUNDDOWN(V180*$H$368,0),IF(AND($B178&lt;V179,V180&lt;ROUNDDOWN(VLOOKUP($B173,$P$357:$R$360,3,0)/$H$368,0)),ROUND(AVERAGE(ROUNDDOWN(V180*$H$368,0),2*VLOOKUP($B173,$P$357:$R$360,3,0)),0),VLOOKUP($B173,$P$357:$R$360,3,0))))*IF($B178=V179,$B174,SUM(S182:S182)))-((V181*(IF(V180=0,1,IF(AND($B178=V179,V180&lt;ROUNDDOWN(VLOOKUP($B173,$P$357:$R$360,3,0)/$H$368,0)),ROUNDDOWN(V180*$H$368,0),IF(AND($B178&lt;V179,V180&lt;ROUNDDOWN(VLOOKUP($B173,$P$357:$R$360,3,0)/$H$368,0)),ROUND(AVERAGE(ROUNDDOWN(V180*$H$368,0),2*VLOOKUP($B173,$P$357:$R$360,3,0)),0),VLOOKUP($B173,$P$357:$R$360,3,0))))-1))/2)))</f>
        <v>0</v>
      </c>
      <c r="W184" s="26"/>
      <c r="X184" s="26"/>
      <c r="Y184" s="3202">
        <f ca="1">IF(OR($B178&gt;Y179,Y183="",Y183=0),0,IF(AND(Y180=0,OR(Y179&gt;$B178,$I$368=1)),Y183,IF(Y180=0,NOMINAL(Y183,12)*IF($B178=Y179,$I$368,1),IF(AND($B178=Y179,ROUNDDOWN($C$368,0)=Y179),$E$368,1)*NOMINAL(Y183,VLOOKUP($B173,$P$357:$R$360,3,0))/VLOOKUP($B173,$P$357:$R$360,3,0)))*((IF(Y180=0,1,IF(AND($B178=Y179,Y180&lt;ROUNDDOWN(VLOOKUP($B173,$P$357:$R$360,3,0)/$H$368,0)),ROUNDDOWN(Y180*$H$368,0),IF(AND($B178&lt;Y179,Y180&lt;ROUNDDOWN(VLOOKUP($B173,$P$357:$R$360,3,0)/$H$368,0)),ROUND(AVERAGE(ROUNDDOWN(Y180*$H$368,0),2*VLOOKUP($B173,$P$357:$R$360,3,0)),0),VLOOKUP($B173,$P$357:$R$360,3,0))))*IF($B178=Y179,$B174,SUM(V182:V182)))-((Y181*(IF(Y180=0,1,IF(AND($B178=Y179,Y180&lt;ROUNDDOWN(VLOOKUP($B173,$P$357:$R$360,3,0)/$H$368,0)),ROUNDDOWN(Y180*$H$368,0),IF(AND($B178&lt;Y179,Y180&lt;ROUNDDOWN(VLOOKUP($B173,$P$357:$R$360,3,0)/$H$368,0)),ROUND(AVERAGE(ROUNDDOWN(Y180*$H$368,0),2*VLOOKUP($B173,$P$357:$R$360,3,0)),0),VLOOKUP($B173,$P$357:$R$360,3,0))))-1))/2)))</f>
        <v>0</v>
      </c>
      <c r="Z184" s="26"/>
      <c r="AA184" s="26"/>
      <c r="AB184" s="3202">
        <f ca="1">IF(OR($B178&gt;AB179,AB183="",AB183=0),0,IF(AND(AB180=0,OR(AB179&gt;$B178,$I$368=1)),AB183,IF(AB180=0,NOMINAL(AB183,12)*IF($B178=AB179,$I$368,1),IF(AND($B178=AB179,ROUNDDOWN($C$368,0)=AB179),$E$368,1)*NOMINAL(AB183,VLOOKUP($B173,$P$357:$R$360,3,0))/VLOOKUP($B173,$P$357:$R$360,3,0)))*((IF(AB180=0,1,IF(AND($B178=AB179,AB180&lt;ROUNDDOWN(VLOOKUP($B173,$P$357:$R$360,3,0)/$H$368,0)),ROUNDDOWN(AB180*$H$368,0),IF(AND($B178&lt;AB179,AB180&lt;ROUNDDOWN(VLOOKUP($B173,$P$357:$R$360,3,0)/$H$368,0)),ROUND(AVERAGE(ROUNDDOWN(AB180*$H$368,0),2*VLOOKUP($B173,$P$357:$R$360,3,0)),0),VLOOKUP($B173,$P$357:$R$360,3,0))))*IF($B178=AB179,$B174,SUM(Y182:Y182)))-((AB181*(IF(AB180=0,1,IF(AND($B178=AB179,AB180&lt;ROUNDDOWN(VLOOKUP($B173,$P$357:$R$360,3,0)/$H$368,0)),ROUNDDOWN(AB180*$H$368,0),IF(AND($B178&lt;AB179,AB180&lt;ROUNDDOWN(VLOOKUP($B173,$P$357:$R$360,3,0)/$H$368,0)),ROUND(AVERAGE(ROUNDDOWN(AB180*$H$368,0),2*VLOOKUP($B173,$P$357:$R$360,3,0)),0),VLOOKUP($B173,$P$357:$R$360,3,0))))-1))/2)))</f>
        <v>0</v>
      </c>
      <c r="AC184" s="26"/>
      <c r="AD184" s="26"/>
      <c r="AE184" s="3202">
        <f ca="1">IF(OR($B178&gt;AE179,AE183="",AE183=0),0,IF(AND(AE180=0,OR(AE179&gt;$B178,$I$368=1)),AE183,IF(AE180=0,NOMINAL(AE183,12)*IF($B178=AE179,$I$368,1),IF(AND($B178=AE179,ROUNDDOWN($C$368,0)=AE179),$E$368,1)*NOMINAL(AE183,VLOOKUP($B173,$P$357:$R$360,3,0))/VLOOKUP($B173,$P$357:$R$360,3,0)))*((IF(AE180=0,1,IF(AND($B178=AE179,AE180&lt;ROUNDDOWN(VLOOKUP($B173,$P$357:$R$360,3,0)/$H$368,0)),ROUNDDOWN(AE180*$H$368,0),IF(AND($B178&lt;AE179,AE180&lt;ROUNDDOWN(VLOOKUP($B173,$P$357:$R$360,3,0)/$H$368,0)),ROUND(AVERAGE(ROUNDDOWN(AE180*$H$368,0),2*VLOOKUP($B173,$P$357:$R$360,3,0)),0),VLOOKUP($B173,$P$357:$R$360,3,0))))*IF($B178=AE179,$B174,SUM(AB182:AB182)))-((AE181*(IF(AE180=0,1,IF(AND($B178=AE179,AE180&lt;ROUNDDOWN(VLOOKUP($B173,$P$357:$R$360,3,0)/$H$368,0)),ROUNDDOWN(AE180*$H$368,0),IF(AND($B178&lt;AE179,AE180&lt;ROUNDDOWN(VLOOKUP($B173,$P$357:$R$360,3,0)/$H$368,0)),ROUND(AVERAGE(ROUNDDOWN(AE180*$H$368,0),2*VLOOKUP($B173,$P$357:$R$360,3,0)),0),VLOOKUP($B173,$P$357:$R$360,3,0))))-1))/2)))</f>
        <v>0</v>
      </c>
      <c r="AF184" s="3203"/>
      <c r="AG184" s="26"/>
      <c r="AH184" s="3202">
        <f ca="1">IF(OR($B178&gt;AH179,AH183="",AH183=0),0,IF(AND(AH180=0,OR(AH179&gt;$B178,$I$368=1)),AH183,IF(AH180=0,NOMINAL(AH183,12)*IF($B178=AH179,$I$368,1),IF(AND($B178=AH179,ROUNDDOWN($C$368,0)=AH179),$E$368,1)*NOMINAL(AH183,VLOOKUP($B173,$P$357:$R$360,3,0))/VLOOKUP($B173,$P$357:$R$360,3,0)))*((IF(AH180=0,1,IF(AND($B178=AH179,AH180&lt;ROUNDDOWN(VLOOKUP($B173,$P$357:$R$360,3,0)/$H$368,0)),ROUNDDOWN(AH180*$H$368,0),IF(AND($B178&lt;AH179,AH180&lt;ROUNDDOWN(VLOOKUP($B173,$P$357:$R$360,3,0)/$H$368,0)),ROUND(AVERAGE(ROUNDDOWN(AH180*$H$368,0),2*VLOOKUP($B173,$P$357:$R$360,3,0)),0),VLOOKUP($B173,$P$357:$R$360,3,0))))*IF($B178=AH179,$B174,SUM(AE182:AE182)))-((AH181*(IF(AH180=0,1,IF(AND($B178=AH179,AH180&lt;ROUNDDOWN(VLOOKUP($B173,$P$357:$R$360,3,0)/$H$368,0)),ROUNDDOWN(AH180*$H$368,0),IF(AND($B178&lt;AH179,AH180&lt;ROUNDDOWN(VLOOKUP($B173,$P$357:$R$360,3,0)/$H$368,0)),ROUND(AVERAGE(ROUNDDOWN(AH180*$H$368,0),2*VLOOKUP($B173,$P$357:$R$360,3,0)),0),VLOOKUP($B173,$P$357:$R$360,3,0))))-1))/2)))</f>
        <v>0</v>
      </c>
      <c r="AI184" s="26"/>
      <c r="AJ184" s="26"/>
      <c r="AK184" s="3202">
        <f ca="1">IF(OR($B178&gt;AK179,AK183="",AK183=0),0,IF(AND(AK180=0,OR(AK179&gt;$B178,$I$368=1)),AK183,IF(AK180=0,NOMINAL(AK183,12)*IF($B178=AK179,$I$368,1),IF(AND($B178=AK179,ROUNDDOWN($C$368,0)=AK179),$E$368,1)*NOMINAL(AK183,VLOOKUP($B173,$P$357:$R$360,3,0))/VLOOKUP($B173,$P$357:$R$360,3,0)))*((IF(AK180=0,1,IF(AND($B178=AK179,AK180&lt;ROUNDDOWN(VLOOKUP($B173,$P$357:$R$360,3,0)/$H$368,0)),ROUNDDOWN(AK180*$H$368,0),IF(AND($B178&lt;AK179,AK180&lt;ROUNDDOWN(VLOOKUP($B173,$P$357:$R$360,3,0)/$H$368,0)),ROUND(AVERAGE(ROUNDDOWN(AK180*$H$368,0),2*VLOOKUP($B173,$P$357:$R$360,3,0)),0),VLOOKUP($B173,$P$357:$R$360,3,0))))*IF($B178=AK179,$B174,SUM(AH182:AH182)))-((AK181*(IF(AK180=0,1,IF(AND($B178=AK179,AK180&lt;ROUNDDOWN(VLOOKUP($B173,$P$357:$R$360,3,0)/$H$368,0)),ROUNDDOWN(AK180*$H$368,0),IF(AND($B178&lt;AK179,AK180&lt;ROUNDDOWN(VLOOKUP($B173,$P$357:$R$360,3,0)/$H$368,0)),ROUND(AVERAGE(ROUNDDOWN(AK180*$H$368,0),2*VLOOKUP($B173,$P$357:$R$360,3,0)),0),VLOOKUP($B173,$P$357:$R$360,3,0))))-1))/2)))</f>
        <v>0</v>
      </c>
      <c r="AL184" s="26"/>
      <c r="AM184" s="26"/>
      <c r="AN184" s="3202">
        <f ca="1">IF(OR($B178&gt;AN179,AN183="",AN183=0),0,IF(AND(AN180=0,OR(AN179&gt;$B178,$I$368=1)),AN183,IF(AN180=0,NOMINAL(AN183,12)*IF($B178=AN179,$I$368,1),IF(AND($B178=AN179,ROUNDDOWN($C$368,0)=AN179),$E$368,1)*NOMINAL(AN183,VLOOKUP($B173,$P$357:$R$360,3,0))/VLOOKUP($B173,$P$357:$R$360,3,0)))*((IF(AN180=0,1,IF(AND($B178=AN179,AN180&lt;ROUNDDOWN(VLOOKUP($B173,$P$357:$R$360,3,0)/$H$368,0)),ROUNDDOWN(AN180*$H$368,0),IF(AND($B178&lt;AN179,AN180&lt;ROUNDDOWN(VLOOKUP($B173,$P$357:$R$360,3,0)/$H$368,0)),ROUND(AVERAGE(ROUNDDOWN(AN180*$H$368,0),2*VLOOKUP($B173,$P$357:$R$360,3,0)),0),VLOOKUP($B173,$P$357:$R$360,3,0))))*IF($B178=AN179,$B174,SUM(AK182:AK182)))-((AN181*(IF(AN180=0,1,IF(AND($B178=AN179,AN180&lt;ROUNDDOWN(VLOOKUP($B173,$P$357:$R$360,3,0)/$H$368,0)),ROUNDDOWN(AN180*$H$368,0),IF(AND($B178&lt;AN179,AN180&lt;ROUNDDOWN(VLOOKUP($B173,$P$357:$R$360,3,0)/$H$368,0)),ROUND(AVERAGE(ROUNDDOWN(AN180*$H$368,0),2*VLOOKUP($B173,$P$357:$R$360,3,0)),0),VLOOKUP($B173,$P$357:$R$360,3,0))))-1))/2)))</f>
        <v>0</v>
      </c>
      <c r="AO184" s="26"/>
      <c r="AP184" s="26"/>
      <c r="AQ184" s="3202">
        <f ca="1">IF(OR($B178&gt;AQ179,AQ183="",AQ183=0),0,IF(AND(AQ180=0,OR(AQ179&gt;$B178,$I$368=1)),AQ183,IF(AQ180=0,NOMINAL(AQ183,12)*IF($B178=AQ179,$I$368,1),IF(AND($B178=AQ179,ROUNDDOWN($C$368,0)=AQ179),$E$368,1)*NOMINAL(AQ183,VLOOKUP($B173,$P$357:$R$360,3,0))/VLOOKUP($B173,$P$357:$R$360,3,0)))*((IF(AQ180=0,1,IF(AND($B178=AQ179,AQ180&lt;ROUNDDOWN(VLOOKUP($B173,$P$357:$R$360,3,0)/$H$368,0)),ROUNDDOWN(AQ180*$H$368,0),IF(AND($B178&lt;AQ179,AQ180&lt;ROUNDDOWN(VLOOKUP($B173,$P$357:$R$360,3,0)/$H$368,0)),ROUND(AVERAGE(ROUNDDOWN(AQ180*$H$368,0),2*VLOOKUP($B173,$P$357:$R$360,3,0)),0),VLOOKUP($B173,$P$357:$R$360,3,0))))*IF($B178=AQ179,$B174,SUM(AN182:AN182)))-((AQ181*(IF(AQ180=0,1,IF(AND($B178=AQ179,AQ180&lt;ROUNDDOWN(VLOOKUP($B173,$P$357:$R$360,3,0)/$H$368,0)),ROUNDDOWN(AQ180*$H$368,0),IF(AND($B178&lt;AQ179,AQ180&lt;ROUNDDOWN(VLOOKUP($B173,$P$357:$R$360,3,0)/$H$368,0)),ROUND(AVERAGE(ROUNDDOWN(AQ180*$H$368,0),2*VLOOKUP($B173,$P$357:$R$360,3,0)),0),VLOOKUP($B173,$P$357:$R$360,3,0))))-1))/2)))</f>
        <v>0</v>
      </c>
      <c r="AR184" s="26"/>
      <c r="AS184" s="26"/>
      <c r="AT184" s="3202">
        <f ca="1">IF(OR($B178&gt;AT179,AT183="",AT183=0),0,IF(AND(AT180=0,OR(AT179&gt;$B178,$I$368=1)),AT183,IF(AT180=0,NOMINAL(AT183,12)*IF($B178=AT179,$I$368,1),IF(AND($B178=AT179,ROUNDDOWN($C$368,0)=AT179),$E$368,1)*NOMINAL(AT183,VLOOKUP($B173,$P$357:$R$360,3,0))/VLOOKUP($B173,$P$357:$R$360,3,0)))*((IF(AT180=0,1,IF(AND($B178=AT179,AT180&lt;ROUNDDOWN(VLOOKUP($B173,$P$357:$R$360,3,0)/$H$368,0)),ROUNDDOWN(AT180*$H$368,0),IF(AND($B178&lt;AT179,AT180&lt;ROUNDDOWN(VLOOKUP($B173,$P$357:$R$360,3,0)/$H$368,0)),ROUND(AVERAGE(ROUNDDOWN(AT180*$H$368,0),2*VLOOKUP($B173,$P$357:$R$360,3,0)),0),VLOOKUP($B173,$P$357:$R$360,3,0))))*IF($B178=AT179,$B174,SUM(AQ182:AQ182)))-((AT181*(IF(AT180=0,1,IF(AND($B178=AT179,AT180&lt;ROUNDDOWN(VLOOKUP($B173,$P$357:$R$360,3,0)/$H$368,0)),ROUNDDOWN(AT180*$H$368,0),IF(AND($B178&lt;AT179,AT180&lt;ROUNDDOWN(VLOOKUP($B173,$P$357:$R$360,3,0)/$H$368,0)),ROUND(AVERAGE(ROUNDDOWN(AT180*$H$368,0),2*VLOOKUP($B173,$P$357:$R$360,3,0)),0),VLOOKUP($B173,$P$357:$R$360,3,0))))-1))/2)))</f>
        <v>0</v>
      </c>
      <c r="AU184" s="3203"/>
      <c r="AV184" s="3192"/>
    </row>
    <row r="185" spans="1:48" ht="13" thickBot="1">
      <c r="AV185" s="3192"/>
    </row>
    <row r="186" spans="1:48" ht="12.5">
      <c r="A186" s="3204" t="s">
        <v>2060</v>
      </c>
      <c r="B186" s="3205"/>
      <c r="C186" s="3206"/>
      <c r="D186" s="3206"/>
      <c r="E186" s="3206"/>
      <c r="F186" s="3206"/>
      <c r="G186" s="3206"/>
      <c r="H186" s="3206"/>
      <c r="I186" s="3206"/>
      <c r="J186" s="3206"/>
      <c r="K186" s="3206"/>
      <c r="L186" s="3206"/>
      <c r="M186" s="3206"/>
      <c r="N186" s="3206"/>
      <c r="O186" s="3206"/>
      <c r="P186" s="3206"/>
      <c r="Q186" s="3206"/>
      <c r="R186" s="3206"/>
      <c r="S186" s="3206"/>
      <c r="T186" s="3206"/>
      <c r="U186" s="3206"/>
      <c r="V186" s="3206"/>
      <c r="W186" s="3206"/>
      <c r="X186" s="3206"/>
      <c r="Y186" s="3206"/>
      <c r="Z186" s="3206"/>
      <c r="AA186" s="3206"/>
      <c r="AB186" s="3206"/>
      <c r="AC186" s="3206"/>
      <c r="AD186" s="3206"/>
      <c r="AE186" s="3206"/>
      <c r="AF186" s="3206"/>
      <c r="AG186" s="3206"/>
      <c r="AH186" s="3206"/>
      <c r="AI186" s="3206"/>
      <c r="AJ186" s="3206"/>
      <c r="AK186" s="3206"/>
      <c r="AL186" s="3206"/>
      <c r="AM186" s="3206"/>
      <c r="AN186" s="3206"/>
      <c r="AO186" s="3206"/>
      <c r="AP186" s="3206"/>
      <c r="AQ186" s="3206"/>
      <c r="AR186" s="3206"/>
      <c r="AS186" s="3206"/>
      <c r="AT186" s="3206"/>
      <c r="AU186" s="3206"/>
      <c r="AV186" s="3207"/>
    </row>
    <row r="187" spans="1:48" ht="12.5">
      <c r="A187" s="3190" t="s">
        <v>2061</v>
      </c>
      <c r="B187" s="3191"/>
      <c r="AV187" s="3192"/>
    </row>
    <row r="188" spans="1:48" ht="12.5">
      <c r="A188" s="3190" t="s">
        <v>2062</v>
      </c>
      <c r="B188" s="3191"/>
      <c r="AV188" s="3192"/>
    </row>
    <row r="189" spans="1:48" ht="12.5">
      <c r="A189" s="3190" t="s">
        <v>2063</v>
      </c>
      <c r="B189" s="3191"/>
      <c r="AV189" s="3192"/>
    </row>
    <row r="190" spans="1:48" ht="12.5">
      <c r="A190" s="3190" t="s">
        <v>2064</v>
      </c>
      <c r="B190" s="3191"/>
      <c r="AV190" s="3192"/>
    </row>
    <row r="191" spans="1:48" ht="12.5">
      <c r="A191" s="3193" t="s">
        <v>2065</v>
      </c>
      <c r="B191" s="3194"/>
      <c r="AV191" s="3192"/>
    </row>
    <row r="192" spans="1:48" ht="12.5">
      <c r="A192" s="3195" t="s">
        <v>2066</v>
      </c>
      <c r="B192" s="3196">
        <f ca="1">B$11</f>
        <v>2023</v>
      </c>
      <c r="D192" s="3196">
        <f ca="1">D$11</f>
        <v>2024</v>
      </c>
      <c r="G192" s="3196">
        <f ca="1">G$11</f>
        <v>2025</v>
      </c>
      <c r="J192" s="3196">
        <f ca="1">J$11</f>
        <v>2026</v>
      </c>
      <c r="M192" s="3196">
        <f ca="1">M$11</f>
        <v>2027</v>
      </c>
      <c r="P192" s="3196">
        <f ca="1">P$11</f>
        <v>2028</v>
      </c>
      <c r="S192" s="3196">
        <f ca="1">S$11</f>
        <v>2029</v>
      </c>
      <c r="V192" s="3196">
        <f ca="1">V$11</f>
        <v>2030</v>
      </c>
      <c r="Y192" s="3196">
        <f ca="1">Y$11</f>
        <v>2031</v>
      </c>
      <c r="AB192" s="3196">
        <f ca="1">AB$11</f>
        <v>2032</v>
      </c>
      <c r="AE192" s="3196">
        <f ca="1">AE$11</f>
        <v>2033</v>
      </c>
      <c r="AH192" s="3196">
        <f ca="1">AH$11</f>
        <v>2034</v>
      </c>
      <c r="AK192" s="3196">
        <f ca="1">AK$11</f>
        <v>2035</v>
      </c>
      <c r="AN192" s="3196">
        <f ca="1">AN$11</f>
        <v>2036</v>
      </c>
      <c r="AQ192" s="3196">
        <f ca="1">AQ$11</f>
        <v>2037</v>
      </c>
      <c r="AT192" s="3196">
        <f ca="1">AT$11</f>
        <v>2038</v>
      </c>
      <c r="AV192" s="3192"/>
    </row>
    <row r="193" spans="1:48" ht="12.5">
      <c r="A193" s="3197" t="s">
        <v>2067</v>
      </c>
      <c r="B193" s="3198">
        <f>IF(OR($B188=0,$B188="",$B186=""),0,IF(AND(B192-$B191&gt;=0,B192&lt;=$B191+$B188,ROUNDDOWN(B192,0)=ROUNDDOWN($C$369,0)),IF(ROUNDDOWN(B192,0)=ROUNDDOWN($C$369,0),ROUND($E$369*VLOOKUP($B186,$P$357:$R$360,3,0)/$H$369,2),ROUND(VLOOKUP($B186,$P$357:$R$360,3,0)/$H$369,2)),0))</f>
        <v>0</v>
      </c>
      <c r="D193" s="3198">
        <f>IF(OR($B188=0,$B188="",$B186=""),0,IF(AND(ROUNDDOWN(D192,0)&gt;=ROUNDDOWN($C$369,0),1-$B193&lt;VLOOKUP($B186,$P$357:$R$360,3,0)/$H$369),1-$B193,IF(ROUNDDOWN(D192,0)&gt;=ROUNDDOWN($C$369,0),IF(ROUNDDOWN(D192,0)=ROUNDDOWN($C$369,0),ROUND($E$369*VLOOKUP($B186,$P$357:$R$360,3,0)/$H$369,2),ROUND(VLOOKUP($B186,$P$357:$R$360,3,0)/$H$369,2)),0)))</f>
        <v>0</v>
      </c>
      <c r="G193" s="3198">
        <f>IF(OR($B188=0,$B188="",$B186=""),0,IF(AND(ROUNDDOWN(G192,0)&gt;=ROUNDDOWN($C$369,0),1-SUM($B193:D193)&lt;VLOOKUP($B186,$P$357:$R$360,3,0)/$H$369),1-SUM($B193:D193),IF(ROUNDDOWN(G192,0)&gt;=ROUNDDOWN($C$369,0),IF(ROUNDDOWN(G192,0)=ROUNDDOWN($C$369,0),ROUND($E$369*VLOOKUP($B186,$P$357:$R$360,3,0)/$H$369,2),ROUND(VLOOKUP($B186,$P$357:$R$360,3,0)/$H$369,2)),0)))</f>
        <v>0</v>
      </c>
      <c r="J193" s="3198">
        <f>IF(OR($B188=0,$B188="",$B186=""),0,IF(AND(ROUNDDOWN(J192,0)&gt;=ROUNDDOWN($C$369,0),1-SUM($B193:G193)&lt;VLOOKUP($B186,$P$357:$R$360,3,0)/$H$369),1-SUM($B193:G193),IF(ROUNDDOWN(J192,0)&gt;=ROUNDDOWN($C$369,0),IF(ROUNDDOWN(J192,0)=ROUNDDOWN($C$369,0),ROUND($E$369*VLOOKUP($B186,$P$357:$R$360,3,0)/$H$369,2),ROUND(VLOOKUP($B186,$P$357:$R$360,3,0)/$H$369,2)),0)))</f>
        <v>0</v>
      </c>
      <c r="M193" s="3198">
        <f>IF(OR($B188=0,$B188="",$B186=""),0,IF(AND(ROUNDDOWN(M192,0)&gt;=ROUNDDOWN($C$369,0),1-SUM($B193:J193)&lt;VLOOKUP($B186,$P$357:$R$360,3,0)/$H$369),1-SUM($B193:J193),IF(ROUNDDOWN(M192,0)&gt;=ROUNDDOWN($C$369,0),IF(ROUNDDOWN(M192,0)=ROUNDDOWN($C$369,0),ROUND($E$369*VLOOKUP($B186,$P$357:$R$360,3,0)/$H$369,2),ROUND(VLOOKUP($B186,$P$357:$R$360,3,0)/$H$369,2)),0)))</f>
        <v>0</v>
      </c>
      <c r="P193" s="3198">
        <f>IF(OR($B188=0,$B188="",$B186=""),0,IF(AND(ROUNDDOWN(P192,0)&gt;=ROUNDDOWN($C$369,0),1-SUM($B193:M193)&lt;VLOOKUP($B186,$P$357:$R$360,3,0)/$H$369),1-SUM($B193:M193),IF(ROUNDDOWN(P192,0)&gt;=ROUNDDOWN($C$369,0),IF(ROUNDDOWN(P192,0)=ROUNDDOWN($C$369,0),ROUND($E$369*VLOOKUP($B186,$P$357:$R$360,3,0)/$H$369,2),ROUND(VLOOKUP($B186,$P$357:$R$360,3,0)/$H$369,2)),0)))</f>
        <v>0</v>
      </c>
      <c r="S193" s="3198">
        <f>IF(OR($B188=0,$B188="",$B186=""),0,IF(AND(ROUNDDOWN(S192,0)&gt;=ROUNDDOWN($C$369,0),1-SUM($B193:P193)&lt;VLOOKUP($B186,$P$357:$R$360,3,0)/$H$369),1-SUM($B193:P193),IF(ROUNDDOWN(S192,0)&gt;=ROUNDDOWN($C$369,0),IF(ROUNDDOWN(S192,0)=ROUNDDOWN($C$369,0),ROUND($E$369*VLOOKUP($B186,$P$357:$R$360,3,0)/$H$369,2),ROUND(VLOOKUP($B186,$P$357:$R$360,3,0)/$H$369,2)),0)))</f>
        <v>0</v>
      </c>
      <c r="V193" s="3198">
        <f>IF(OR($B188=0,$B188="",$B186=""),0,IF(AND(ROUNDDOWN(V192,0)&gt;=ROUNDDOWN($C$369,0),1-SUM($B193:S193)&lt;VLOOKUP($B186,$P$357:$R$360,3,0)/$H$369),1-SUM($B193:S193),IF(ROUNDDOWN(V192,0)&gt;=ROUNDDOWN($C$369,0),IF(ROUNDDOWN(V192,0)=ROUNDDOWN($C$369,0),ROUND($E$369*VLOOKUP($B186,$P$357:$R$360,3,0)/$H$369,2),ROUND(VLOOKUP($B186,$P$357:$R$360,3,0)/$H$369,2)),0)))</f>
        <v>0</v>
      </c>
      <c r="Y193" s="3198">
        <f>IF(OR($B188=0,$B188="",$B186=""),0,IF(AND(ROUNDDOWN(Y192,0)&gt;=ROUNDDOWN($C$369,0),1-SUM($B193:V193)&lt;VLOOKUP($B186,$P$357:$R$360,3,0)/$H$369),1-SUM($B193:V193),IF(ROUNDDOWN(Y192,0)&gt;=ROUNDDOWN($C$369,0),IF(ROUNDDOWN(Y192,0)=ROUNDDOWN($C$369,0),ROUND($E$369*VLOOKUP($B186,$P$357:$R$360,3,0)/$H$369,2),ROUND(VLOOKUP($B186,$P$357:$R$360,3,0)/$H$369,2)),0)))</f>
        <v>0</v>
      </c>
      <c r="AB193" s="3198">
        <f>IF(OR($B188=0,$B188="",$B186=""),0,IF(AND(ROUNDDOWN(AB192,0)&gt;=ROUNDDOWN($C$369,0),1-SUM($B193:Y193)&lt;VLOOKUP($B186,$P$357:$R$360,3,0)/$H$369),1-SUM($B193:Y193),IF(ROUNDDOWN(AB192,0)&gt;=ROUNDDOWN($C$369,0),IF(ROUNDDOWN(AB192,0)=ROUNDDOWN($C$369,0),ROUND($E$369*VLOOKUP($B186,$P$357:$R$360,3,0)/$H$369,2),ROUND(VLOOKUP($B186,$P$357:$R$360,3,0)/$H$369,2)),0)))</f>
        <v>0</v>
      </c>
      <c r="AE193" s="3198">
        <f>IF(OR($B188=0,$B188="",$B186=""),0,IF(AND(ROUNDDOWN(AE192,0)&gt;=ROUNDDOWN($C$369,0),1-SUM($B193:AB193)&lt;VLOOKUP($B186,$P$357:$R$360,3,0)/$H$369),1-SUM($B193:AB193),IF(ROUNDDOWN(AE192,0)&gt;=ROUNDDOWN($C$369,0),IF(ROUNDDOWN(AE192,0)=ROUNDDOWN($C$369,0),ROUND($E$369*VLOOKUP($B186,$P$357:$R$360,3,0)/$H$369,2),ROUND(VLOOKUP($B186,$P$357:$R$360,3,0)/$H$369,2)),0)))</f>
        <v>0</v>
      </c>
      <c r="AH193" s="3198">
        <f>IF(OR($B188=0,$B188="",$B186=""),0,IF(AND(ROUNDDOWN(AH192,0)&gt;=ROUNDDOWN($C$369,0),1-SUM($B193:AE193)&lt;VLOOKUP($B186,$P$357:$R$360,3,0)/$H$369),1-SUM($B193:AE193),IF(ROUNDDOWN(AH192,0)&gt;=ROUNDDOWN($C$369,0),IF(ROUNDDOWN(AH192,0)=ROUNDDOWN($C$369,0),ROUND($E$369*VLOOKUP($B186,$P$357:$R$360,3,0)/$H$369,2),ROUND(VLOOKUP($B186,$P$357:$R$360,3,0)/$H$369,2)),0)))</f>
        <v>0</v>
      </c>
      <c r="AK193" s="3198">
        <f>IF(OR($B188=0,$B188="",$B186=""),0,IF(AND(ROUNDDOWN(AK192,0)&gt;=ROUNDDOWN($C$369,0),1-SUM($B193:AH193)&lt;VLOOKUP($B186,$P$357:$R$360,3,0)/$H$369),1-SUM($B193:AH193),IF(ROUNDDOWN(AK192,0)&gt;=ROUNDDOWN($C$369,0),IF(ROUNDDOWN(AK192,0)=ROUNDDOWN($C$369,0),ROUND($E$369*VLOOKUP($B186,$P$357:$R$360,3,0)/$H$369,2),ROUND(VLOOKUP($B186,$P$357:$R$360,3,0)/$H$369,2)),0)))</f>
        <v>0</v>
      </c>
      <c r="AN193" s="3198">
        <f>IF(OR($B188=0,$B188="",$B186=""),0,IF(AND(ROUNDDOWN(AN192,0)&gt;=ROUNDDOWN($C$369,0),1-SUM($B193:AK193)&lt;VLOOKUP($B186,$P$357:$R$360,3,0)/$H$369),1-SUM($B193:AK193),IF(ROUNDDOWN(AN192,0)&gt;=ROUNDDOWN($C$369,0),IF(ROUNDDOWN(AN192,0)=ROUNDDOWN($C$369,0),ROUND($E$369*VLOOKUP($B186,$P$357:$R$360,3,0)/$H$369,2),ROUND(VLOOKUP($B186,$P$357:$R$360,3,0)/$H$369,2)),0)))</f>
        <v>0</v>
      </c>
      <c r="AQ193" s="3198">
        <f>IF(OR($B188=0,$B188="",$B186=""),0,IF(AND(ROUNDDOWN(AQ192,0)&gt;=ROUNDDOWN($C$369,0),1-SUM($B193:AN193)&lt;VLOOKUP($B186,$P$357:$R$360,3,0)/$H$369),1-SUM($B193:AN193),IF(ROUNDDOWN(AQ192,0)&gt;=ROUNDDOWN($C$369,0),IF(ROUNDDOWN(AQ192,0)=ROUNDDOWN($C$369,0),ROUND($E$369*VLOOKUP($B186,$P$357:$R$360,3,0)/$H$369,2),ROUND(VLOOKUP($B186,$P$357:$R$360,3,0)/$H$369,2)),0)))</f>
        <v>0</v>
      </c>
      <c r="AT193" s="3198">
        <f>IF(OR($B188=0,$B188="",$B186=""),0,IF(AND(ROUNDDOWN(AT192,0)&gt;=ROUNDDOWN($C$369,0),1-SUM($B193:AQ193)&lt;VLOOKUP($B186,$P$357:$R$360,3,0)/$H$369),1-SUM($B193:AQ193),IF(ROUNDDOWN(AT192,0)&gt;=ROUNDDOWN($C$369,0),IF(ROUNDDOWN(AT192,0)=ROUNDDOWN($C$369,0),ROUND($E$369*VLOOKUP($B186,$P$357:$R$360,3,0)/$H$369,2),ROUND(VLOOKUP($B186,$P$357:$R$360,3,0)/$H$369,2)),0)))</f>
        <v>0</v>
      </c>
      <c r="AV193" s="3192"/>
    </row>
    <row r="194" spans="1:48" ht="12.5">
      <c r="A194" s="3199" t="s">
        <v>2068</v>
      </c>
      <c r="B194" s="3200">
        <f>$B187*B193</f>
        <v>0</v>
      </c>
      <c r="D194" s="3200">
        <f ca="1">IF($B191&gt;D192,0,D193*$B187)</f>
        <v>0</v>
      </c>
      <c r="G194" s="3200">
        <f ca="1">IF($B191&gt;G192,0,G193*$B187)</f>
        <v>0</v>
      </c>
      <c r="J194" s="3200">
        <f ca="1">IF($B191&gt;J192,0,J193*$B187)</f>
        <v>0</v>
      </c>
      <c r="M194" s="3200">
        <f ca="1">IF($B191&gt;M192,0,M193*$B187)</f>
        <v>0</v>
      </c>
      <c r="P194" s="3200">
        <f ca="1">IF($B191&gt;P192,0,P193*$B187)</f>
        <v>0</v>
      </c>
      <c r="S194" s="3200">
        <f ca="1">IF($B191&gt;S192,0,S193*$B187)</f>
        <v>0</v>
      </c>
      <c r="V194" s="3200">
        <f ca="1">IF($B191&gt;V192,0,V193*$B187)</f>
        <v>0</v>
      </c>
      <c r="Y194" s="3200">
        <f ca="1">IF($B191&gt;Y192,0,Y193*$B187)</f>
        <v>0</v>
      </c>
      <c r="AB194" s="3200">
        <f ca="1">IF($B191&gt;AB192,0,AB193*$B187)</f>
        <v>0</v>
      </c>
      <c r="AE194" s="3200">
        <f ca="1">IF($B191&gt;AE192,0,AE193*$B187)</f>
        <v>0</v>
      </c>
      <c r="AH194" s="3200">
        <f ca="1">IF($B191&gt;AH192,0,AH193*$B187)</f>
        <v>0</v>
      </c>
      <c r="AK194" s="3200">
        <f ca="1">IF($B191&gt;AK192,0,AK193*$B187)</f>
        <v>0</v>
      </c>
      <c r="AN194" s="3200">
        <f ca="1">IF($B191&gt;AN192,0,AN193*$B187)</f>
        <v>0</v>
      </c>
      <c r="AQ194" s="3200">
        <f ca="1">IF($B191&gt;AQ192,0,AQ193*$B187)</f>
        <v>0</v>
      </c>
      <c r="AT194" s="3200">
        <f ca="1">IF($B191&gt;AT192,0,AT193*$B187)</f>
        <v>0</v>
      </c>
      <c r="AV194" s="3192"/>
    </row>
    <row r="195" spans="1:48" ht="12.5">
      <c r="A195" s="3193" t="s">
        <v>2069</v>
      </c>
      <c r="B195" s="3201">
        <f ca="1">IF($B191&gt;B192,0,B187-B194)</f>
        <v>0</v>
      </c>
      <c r="D195" s="3201">
        <f ca="1">IF($B191&gt;D192,0,IF($B191=D192,$B187-D194,IF(+B195-D194&lt;0.005,0,B195-D194)))</f>
        <v>0</v>
      </c>
      <c r="G195" s="3201">
        <f ca="1">IF($B191&gt;G192,0,IF($B191=G192,$B187-G194,IF(D195-G194&lt;0.005,0,D195-G194)))</f>
        <v>0</v>
      </c>
      <c r="J195" s="3201">
        <f ca="1">IF($B191&gt;J192,0,IF($B191=J192,$B187-J194,IF(G195-J194&lt;0.005,0,G195-J194)))</f>
        <v>0</v>
      </c>
      <c r="M195" s="3201">
        <f ca="1">IF($B191&gt;M192,0,IF($B191=M192,$B187-M194,IF(J195-M194&lt;0.005,0,J195-M194)))</f>
        <v>0</v>
      </c>
      <c r="P195" s="3201">
        <f ca="1">IF($B191&gt;P192,0,IF($B191=P192,$B187-P194,IF(M195-P194&lt;0.005,0,M195-P194)))</f>
        <v>0</v>
      </c>
      <c r="S195" s="3201">
        <f ca="1">IF($B191&gt;S192,0,IF($B191=S192,$B187-S194,IF(P195-S194&lt;0.005,0,P195-S194)))</f>
        <v>0</v>
      </c>
      <c r="V195" s="3201">
        <f ca="1">IF($B191&gt;V192,0,IF($B191=V192,$B187-V194,IF(S195-V194&lt;0.005,0,S195-V194)))</f>
        <v>0</v>
      </c>
      <c r="Y195" s="3201">
        <f ca="1">IF($B191&gt;Y192,0,IF($B191=Y192,$B187-Y194,IF(V195-Y194&lt;0.005,0,V195-Y194)))</f>
        <v>0</v>
      </c>
      <c r="AB195" s="3201">
        <f ca="1">IF($B191&gt;AB192,0,IF($B191=AB192,$B187-AB194,IF(Y195-AB194&lt;0.005,0,Y195-AB194)))</f>
        <v>0</v>
      </c>
      <c r="AE195" s="3201">
        <f ca="1">IF($B191&gt;AE192,0,IF($B191=AE192,$B187-AE194,IF(AB195-AE194&lt;0.005,0,AB195-AE194)))</f>
        <v>0</v>
      </c>
      <c r="AH195" s="3201">
        <f ca="1">IF($B191&gt;AH192,0,IF($B191=AH192,$B187-AH194,IF(AE195-AH194&lt;0.005,0,AE195-AH194)))</f>
        <v>0</v>
      </c>
      <c r="AK195" s="3201">
        <f ca="1">IF($B191&gt;AK192,0,IF($B191=AK192,$B187-AK194,IF(AH195-AK194&lt;0.005,0,AH195-AK194)))</f>
        <v>0</v>
      </c>
      <c r="AN195" s="3201">
        <f ca="1">IF($B191&gt;AN192,0,IF($B191=AN192,$B187-AN194,IF(AK195-AN194&lt;0.005,0,AK195-AN194)))</f>
        <v>0</v>
      </c>
      <c r="AQ195" s="3201">
        <f ca="1">IF($B191&gt;AQ192,0,IF($B191=AQ192,$B187-AQ194,IF(AN195-AQ194&lt;0.005,0,AN195-AQ194)))</f>
        <v>0</v>
      </c>
      <c r="AT195" s="3201">
        <f ca="1">IF($B191&gt;AT192,0,IF($B191=AT192,$B187-AT194,IF(AQ195-AT194&lt;0.005,0,AQ195-AT194)))</f>
        <v>0</v>
      </c>
      <c r="AV195" s="3192"/>
    </row>
    <row r="196" spans="1:48" ht="12.5">
      <c r="A196" s="3197" t="s">
        <v>2070</v>
      </c>
      <c r="B196" s="3198"/>
      <c r="D196" s="3198">
        <f>B196</f>
        <v>0</v>
      </c>
      <c r="G196" s="3198">
        <f>D196</f>
        <v>0</v>
      </c>
      <c r="J196" s="3198">
        <f>G196</f>
        <v>0</v>
      </c>
      <c r="M196" s="3198">
        <f>J196</f>
        <v>0</v>
      </c>
      <c r="P196" s="3198">
        <f>M196</f>
        <v>0</v>
      </c>
      <c r="S196" s="3198">
        <f>P196</f>
        <v>0</v>
      </c>
      <c r="V196" s="3198">
        <f>S196</f>
        <v>0</v>
      </c>
      <c r="Y196" s="3198">
        <f>V196</f>
        <v>0</v>
      </c>
      <c r="AB196" s="3198">
        <f>Y196</f>
        <v>0</v>
      </c>
      <c r="AE196" s="3198">
        <f>AB196</f>
        <v>0</v>
      </c>
      <c r="AH196" s="3198">
        <f>AE196</f>
        <v>0</v>
      </c>
      <c r="AK196" s="3198">
        <f>AH196</f>
        <v>0</v>
      </c>
      <c r="AN196" s="3198">
        <f>AK196</f>
        <v>0</v>
      </c>
      <c r="AQ196" s="3198">
        <f>AN196</f>
        <v>0</v>
      </c>
      <c r="AT196" s="3198">
        <f>AQ196</f>
        <v>0</v>
      </c>
      <c r="AV196" s="3192"/>
    </row>
    <row r="197" spans="1:48" ht="12.5">
      <c r="A197" s="3197" t="s">
        <v>2071</v>
      </c>
      <c r="B197" s="3202">
        <f ca="1">IF(OR($B191&lt;&gt;B192,B196="",B196=0),0,IF(AND(B193=0,$I$369=1),B196,IF(B193=0,NOMINAL(B196,12)*IF($B191=B192,$I$369,1),IF(AND($B191=B192,ROUNDDOWN($C$369,0)=B192),$E$369,1)*NOMINAL(B196,VLOOKUP($B186,$P$357:$R$360,3,0))/VLOOKUP($B186,$P$357:$R$360,3,0)))*((IF(B193=0,1,IF(AND($B191=B192,B193&lt;ROUNDDOWN(VLOOKUP($B186,$P$357:$R$360,3,0)/$H$369,0)),ROUNDDOWN(B193*$H$369,0),IF(AND($B191&lt;B192,B193&lt;ROUNDDOWN(VLOOKUP($B186,$P$357:$R$360,3,0)/$H$369,0)),ROUND(AVERAGE(ROUNDDOWN(B193*$H$369,0),2*VLOOKUP($B186,$P$357:$R$360,3,0)),0),VLOOKUP($B186,$P$357:$R$360,3,0))))*$B187)-((B194*(IF(B193=0,1,IF(AND($B191=B192,B193&lt;ROUNDDOWN(VLOOKUP($B186,$P$357:$R$360,3,0)/$H$369,0)),ROUNDDOWN(B193*$H$369,0),IF(AND($B191&lt;B192,B193&lt;ROUNDDOWN(VLOOKUP($B186,$P$357:$R$360,3,0)/$H$369,0)),ROUND(AVERAGE(ROUNDDOWN(B193*$H$369,0),2*VLOOKUP($B186,$P$357:$R$360,3,0)),0),VLOOKUP($B186,$P$357:$R$360,3,0))))-1))/2)))</f>
        <v>0</v>
      </c>
      <c r="C197" s="26"/>
      <c r="D197" s="3202">
        <f ca="1">IF(OR($B191&gt;D192,D196="",D196=0),0,IF(AND(D193=0,OR(D192&gt;$B191,$I$369=1)),D196,IF(D193=0,NOMINAL(D196,12)*IF($B191=D192,$I$369,1),IF(AND($B191=D192,ROUNDDOWN($C$369,0)=D192),$E$369,1)*NOMINAL(D196,VLOOKUP($B186,$P$357:$R$360,3,0))/VLOOKUP($B186,$P$357:$R$360,3,0)))*((IF(D193=0,1,IF(AND($B191=D192,D193&lt;ROUNDDOWN(VLOOKUP($B186,$P$357:$R$360,3,0)/$H$369,0)),ROUNDDOWN(D193*$H$369,0),IF(AND($B191&lt;D192,D193&lt;ROUNDDOWN(VLOOKUP($B186,$P$357:$R$360,3,0)/$H$369,0)),ROUND(AVERAGE(ROUNDDOWN(D193*$H$369,0),2*VLOOKUP($B186,$P$357:$R$360,3,0)),0),VLOOKUP($B186,$P$357:$R$360,3,0))))*IF($B191=D192,$B187,SUM(B195:B195)))-((D194*(IF(D193=0,1,IF(AND($B191=D192,D193&lt;ROUNDDOWN(VLOOKUP($B186,$P$357:$R$360,3,0)/$H$369,0)),ROUNDDOWN(D193*$H$369,0),IF(AND($B191&lt;D192,D193&lt;ROUNDDOWN(VLOOKUP($B186,$P$357:$R$360,3,0)/$H$369,0)),ROUND(AVERAGE(ROUNDDOWN(D193*$H$369,0),2*VLOOKUP($B186,$P$357:$R$360,3,0)),0),VLOOKUP($B186,$P$357:$R$360,3,0))))-1))/2)))</f>
        <v>0</v>
      </c>
      <c r="E197" s="26"/>
      <c r="F197" s="26"/>
      <c r="G197" s="3202">
        <f ca="1">IF(OR($B191&gt;G192,G196="",G196=0),0,IF(AND(G193=0,OR(G192&gt;$B191,$I$369=1)),G196,IF(G193=0,NOMINAL(G196,12)*IF($B191=G192,$I$369,1),IF(AND($B191=G192,ROUNDDOWN($C$369,0)=G192),$E$369,1)*NOMINAL(G196,VLOOKUP($B186,$P$357:$R$360,3,0))/VLOOKUP($B186,$P$357:$R$360,3,0)))*((IF(G193=0,1,IF(AND($B191=G192,G193&lt;ROUNDDOWN(VLOOKUP($B186,$P$357:$R$360,3,0)/$H$369,0)),ROUNDDOWN(G193*$H$369,0),IF(AND($B191&lt;G192,G193&lt;ROUNDDOWN(VLOOKUP($B186,$P$357:$R$360,3,0)/$H$369,0)),ROUND(AVERAGE(ROUNDDOWN(G193*$H$369,0),2*VLOOKUP($B186,$P$357:$R$360,3,0)),0),VLOOKUP($B186,$P$357:$R$360,3,0))))*IF($B191=G192,$B187,SUM(D195:D195)))-((G194*(IF(G193=0,1,IF(AND($B191=G192,G193&lt;ROUNDDOWN(VLOOKUP($B186,$P$357:$R$360,3,0)/$H$369,0)),ROUNDDOWN(G193*$H$369,0),IF(AND($B191&lt;G192,G193&lt;ROUNDDOWN(VLOOKUP($B186,$P$357:$R$360,3,0)/$H$369,0)),ROUND(AVERAGE(ROUNDDOWN(G193*$H$369,0),2*VLOOKUP($B186,$P$357:$R$360,3,0)),0),VLOOKUP($B186,$P$357:$R$360,3,0))))-1))/2)))</f>
        <v>0</v>
      </c>
      <c r="H197" s="26"/>
      <c r="I197" s="26"/>
      <c r="J197" s="3202">
        <f ca="1">IF(OR($B191&gt;J192,J196="",J196=0),0,IF(AND(J193=0,OR(J192&gt;$B191,$I$369=1)),J196,IF(J193=0,NOMINAL(J196,12)*IF($B191=J192,$I$369,1),IF(AND($B191=J192,ROUNDDOWN($C$369,0)=J192),$E$369,1)*NOMINAL(J196,VLOOKUP($B186,$P$357:$R$360,3,0))/VLOOKUP($B186,$P$357:$R$360,3,0)))*((IF(J193=0,1,IF(AND($B191=J192,J193&lt;ROUNDDOWN(VLOOKUP($B186,$P$357:$R$360,3,0)/$H$369,0)),ROUNDDOWN(J193*$H$369,0),IF(AND($B191&lt;J192,J193&lt;ROUNDDOWN(VLOOKUP($B186,$P$357:$R$360,3,0)/$H$369,0)),ROUND(AVERAGE(ROUNDDOWN(J193*$H$369,0),2*VLOOKUP($B186,$P$357:$R$360,3,0)),0),VLOOKUP($B186,$P$357:$R$360,3,0))))*IF($B191=J192,$B187,SUM(G195:G195)))-((J194*(IF(J193=0,1,IF(AND($B191=J192,J193&lt;ROUNDDOWN(VLOOKUP($B186,$P$357:$R$360,3,0)/$H$369,0)),ROUNDDOWN(J193*$H$369,0),IF(AND($B191&lt;J192,J193&lt;ROUNDDOWN(VLOOKUP($B186,$P$357:$R$360,3,0)/$H$369,0)),ROUND(AVERAGE(ROUNDDOWN(J193*$H$369,0),2*VLOOKUP($B186,$P$357:$R$360,3,0)),0),VLOOKUP($B186,$P$357:$R$360,3,0))))-1))/2)))</f>
        <v>0</v>
      </c>
      <c r="K197" s="26"/>
      <c r="L197" s="26"/>
      <c r="M197" s="3202">
        <f ca="1">IF(OR($B191&gt;M192,M196="",M196=0),0,IF(AND(M193=0,OR(M192&gt;$B191,$I$369=1)),M196,IF(M193=0,NOMINAL(M196,12)*IF($B191=M192,$I$369,1),IF(AND($B191=M192,ROUNDDOWN($C$369,0)=M192),$E$369,1)*NOMINAL(M196,VLOOKUP($B186,$P$357:$R$360,3,0))/VLOOKUP($B186,$P$357:$R$360,3,0)))*((IF(M193=0,1,IF(AND($B191=M192,M193&lt;ROUNDDOWN(VLOOKUP($B186,$P$357:$R$360,3,0)/$H$369,0)),ROUNDDOWN(M193*$H$369,0),IF(AND($B191&lt;M192,M193&lt;ROUNDDOWN(VLOOKUP($B186,$P$357:$R$360,3,0)/$H$369,0)),ROUND(AVERAGE(ROUNDDOWN(M193*$H$369,0),2*VLOOKUP($B186,$P$357:$R$360,3,0)),0),VLOOKUP($B186,$P$357:$R$360,3,0))))*IF($B191=M192,$B187,SUM(J195:J195)))-((M194*(IF(M193=0,1,IF(AND($B191=M192,M193&lt;ROUNDDOWN(VLOOKUP($B186,$P$357:$R$360,3,0)/$H$369,0)),ROUNDDOWN(M193*$H$369,0),IF(AND($B191&lt;M192,M193&lt;ROUNDDOWN(VLOOKUP($B186,$P$357:$R$360,3,0)/$H$369,0)),ROUND(AVERAGE(ROUNDDOWN(M193*$H$369,0),2*VLOOKUP($B186,$P$357:$R$360,3,0)),0),VLOOKUP($B186,$P$357:$R$360,3,0))))-1))/2)))</f>
        <v>0</v>
      </c>
      <c r="N197" s="26"/>
      <c r="O197" s="26"/>
      <c r="P197" s="3202">
        <f ca="1">IF(OR($B191&gt;P192,P196="",P196=0),0,IF(AND(P193=0,OR(P192&gt;$B191,$I$369=1)),P196,IF(P193=0,NOMINAL(P196,12)*IF($B191=P192,$I$369,1),IF(AND($B191=P192,ROUNDDOWN($C$369,0)=P192),$E$369,1)*NOMINAL(P196,VLOOKUP($B186,$P$357:$R$360,3,0))/VLOOKUP($B186,$P$357:$R$360,3,0)))*((IF(P193=0,1,IF(AND($B191=P192,P193&lt;ROUNDDOWN(VLOOKUP($B186,$P$357:$R$360,3,0)/$H$369,0)),ROUNDDOWN(P193*$H$369,0),IF(AND($B191&lt;P192,P193&lt;ROUNDDOWN(VLOOKUP($B186,$P$357:$R$360,3,0)/$H$369,0)),ROUND(AVERAGE(ROUNDDOWN(P193*$H$369,0),2*VLOOKUP($B186,$P$357:$R$360,3,0)),0),VLOOKUP($B186,$P$357:$R$360,3,0))))*IF($B191=P192,$B187,SUM(M195:M195)))-((P194*(IF(P193=0,1,IF(AND($B191=P192,P193&lt;ROUNDDOWN(VLOOKUP($B186,$P$357:$R$360,3,0)/$H$369,0)),ROUNDDOWN(P193*$H$369,0),IF(AND($B191&lt;P192,P193&lt;ROUNDDOWN(VLOOKUP($B186,$P$357:$R$360,3,0)/$H$369,0)),ROUND(AVERAGE(ROUNDDOWN(P193*$H$369,0),2*VLOOKUP($B186,$P$357:$R$360,3,0)),0),VLOOKUP($B186,$P$357:$R$360,3,0))))-1))/2)))</f>
        <v>0</v>
      </c>
      <c r="Q197" s="26"/>
      <c r="R197" s="26"/>
      <c r="S197" s="3202">
        <f ca="1">IF(OR($B191&gt;S192,S196="",S196=0),0,IF(AND(S193=0,OR(S192&gt;$B191,$I$369=1)),S196,IF(S193=0,NOMINAL(S196,12)*IF($B191=S192,$I$369,1),IF(AND($B191=S192,ROUNDDOWN($C$369,0)=S192),$E$369,1)*NOMINAL(S196,VLOOKUP($B186,$P$357:$R$360,3,0))/VLOOKUP($B186,$P$357:$R$360,3,0)))*((IF(S193=0,1,IF(AND($B191=S192,S193&lt;ROUNDDOWN(VLOOKUP($B186,$P$357:$R$360,3,0)/$H$369,0)),ROUNDDOWN(S193*$H$369,0),IF(AND($B191&lt;S192,S193&lt;ROUNDDOWN(VLOOKUP($B186,$P$357:$R$360,3,0)/$H$369,0)),ROUND(AVERAGE(ROUNDDOWN(S193*$H$369,0),2*VLOOKUP($B186,$P$357:$R$360,3,0)),0),VLOOKUP($B186,$P$357:$R$360,3,0))))*IF($B191=S192,$B187,SUM(P195:P195)))-((S194*(IF(S193=0,1,IF(AND($B191=S192,S193&lt;ROUNDDOWN(VLOOKUP($B186,$P$357:$R$360,3,0)/$H$369,0)),ROUNDDOWN(S193*$H$369,0),IF(AND($B191&lt;S192,S193&lt;ROUNDDOWN(VLOOKUP($B186,$P$357:$R$360,3,0)/$H$369,0)),ROUND(AVERAGE(ROUNDDOWN(S193*$H$369,0),2*VLOOKUP($B186,$P$357:$R$360,3,0)),0),VLOOKUP($B186,$P$357:$R$360,3,0))))-1))/2)))</f>
        <v>0</v>
      </c>
      <c r="T197" s="26"/>
      <c r="U197" s="26"/>
      <c r="V197" s="3202">
        <f ca="1">IF(OR($B191&gt;V192,V196="",V196=0),0,IF(AND(V193=0,OR(V192&gt;$B191,$I$369=1)),V196,IF(V193=0,NOMINAL(V196,12)*IF($B191=V192,$I$369,1),IF(AND($B191=V192,ROUNDDOWN($C$369,0)=V192),$E$369,1)*NOMINAL(V196,VLOOKUP($B186,$P$357:$R$360,3,0))/VLOOKUP($B186,$P$357:$R$360,3,0)))*((IF(V193=0,1,IF(AND($B191=V192,V193&lt;ROUNDDOWN(VLOOKUP($B186,$P$357:$R$360,3,0)/$H$369,0)),ROUNDDOWN(V193*$H$369,0),IF(AND($B191&lt;V192,V193&lt;ROUNDDOWN(VLOOKUP($B186,$P$357:$R$360,3,0)/$H$369,0)),ROUND(AVERAGE(ROUNDDOWN(V193*$H$369,0),2*VLOOKUP($B186,$P$357:$R$360,3,0)),0),VLOOKUP($B186,$P$357:$R$360,3,0))))*IF($B191=V192,$B187,SUM(S195:S195)))-((V194*(IF(V193=0,1,IF(AND($B191=V192,V193&lt;ROUNDDOWN(VLOOKUP($B186,$P$357:$R$360,3,0)/$H$369,0)),ROUNDDOWN(V193*$H$369,0),IF(AND($B191&lt;V192,V193&lt;ROUNDDOWN(VLOOKUP($B186,$P$357:$R$360,3,0)/$H$369,0)),ROUND(AVERAGE(ROUNDDOWN(V193*$H$369,0),2*VLOOKUP($B186,$P$357:$R$360,3,0)),0),VLOOKUP($B186,$P$357:$R$360,3,0))))-1))/2)))</f>
        <v>0</v>
      </c>
      <c r="W197" s="26"/>
      <c r="X197" s="26"/>
      <c r="Y197" s="3202">
        <f ca="1">IF(OR($B191&gt;Y192,Y196="",Y196=0),0,IF(AND(Y193=0,OR(Y192&gt;$B191,$I$369=1)),Y196,IF(Y193=0,NOMINAL(Y196,12)*IF($B191=Y192,$I$369,1),IF(AND($B191=Y192,ROUNDDOWN($C$369,0)=Y192),$E$369,1)*NOMINAL(Y196,VLOOKUP($B186,$P$357:$R$360,3,0))/VLOOKUP($B186,$P$357:$R$360,3,0)))*((IF(Y193=0,1,IF(AND($B191=Y192,Y193&lt;ROUNDDOWN(VLOOKUP($B186,$P$357:$R$360,3,0)/$H$369,0)),ROUNDDOWN(Y193*$H$369,0),IF(AND($B191&lt;Y192,Y193&lt;ROUNDDOWN(VLOOKUP($B186,$P$357:$R$360,3,0)/$H$369,0)),ROUND(AVERAGE(ROUNDDOWN(Y193*$H$369,0),2*VLOOKUP($B186,$P$357:$R$360,3,0)),0),VLOOKUP($B186,$P$357:$R$360,3,0))))*IF($B191=Y192,$B187,SUM(V195:V195)))-((Y194*(IF(Y193=0,1,IF(AND($B191=Y192,Y193&lt;ROUNDDOWN(VLOOKUP($B186,$P$357:$R$360,3,0)/$H$369,0)),ROUNDDOWN(Y193*$H$369,0),IF(AND($B191&lt;Y192,Y193&lt;ROUNDDOWN(VLOOKUP($B186,$P$357:$R$360,3,0)/$H$369,0)),ROUND(AVERAGE(ROUNDDOWN(Y193*$H$369,0),2*VLOOKUP($B186,$P$357:$R$360,3,0)),0),VLOOKUP($B186,$P$357:$R$360,3,0))))-1))/2)))</f>
        <v>0</v>
      </c>
      <c r="Z197" s="26"/>
      <c r="AA197" s="26"/>
      <c r="AB197" s="3202">
        <f ca="1">IF(OR($B191&gt;AB192,AB196="",AB196=0),0,IF(AND(AB193=0,OR(AB192&gt;$B191,$I$369=1)),AB196,IF(AB193=0,NOMINAL(AB196,12)*IF($B191=AB192,$I$369,1),IF(AND($B191=AB192,ROUNDDOWN($C$369,0)=AB192),$E$369,1)*NOMINAL(AB196,VLOOKUP($B186,$P$357:$R$360,3,0))/VLOOKUP($B186,$P$357:$R$360,3,0)))*((IF(AB193=0,1,IF(AND($B191=AB192,AB193&lt;ROUNDDOWN(VLOOKUP($B186,$P$357:$R$360,3,0)/$H$369,0)),ROUNDDOWN(AB193*$H$369,0),IF(AND($B191&lt;AB192,AB193&lt;ROUNDDOWN(VLOOKUP($B186,$P$357:$R$360,3,0)/$H$369,0)),ROUND(AVERAGE(ROUNDDOWN(AB193*$H$369,0),2*VLOOKUP($B186,$P$357:$R$360,3,0)),0),VLOOKUP($B186,$P$357:$R$360,3,0))))*IF($B191=AB192,$B187,SUM(Y195:Y195)))-((AB194*(IF(AB193=0,1,IF(AND($B191=AB192,AB193&lt;ROUNDDOWN(VLOOKUP($B186,$P$357:$R$360,3,0)/$H$369,0)),ROUNDDOWN(AB193*$H$369,0),IF(AND($B191&lt;AB192,AB193&lt;ROUNDDOWN(VLOOKUP($B186,$P$357:$R$360,3,0)/$H$369,0)),ROUND(AVERAGE(ROUNDDOWN(AB193*$H$369,0),2*VLOOKUP($B186,$P$357:$R$360,3,0)),0),VLOOKUP($B186,$P$357:$R$360,3,0))))-1))/2)))</f>
        <v>0</v>
      </c>
      <c r="AC197" s="26"/>
      <c r="AD197" s="26"/>
      <c r="AE197" s="3202">
        <f ca="1">IF(OR($B191&gt;AE192,AE196="",AE196=0),0,IF(AND(AE193=0,OR(AE192&gt;$B191,$I$369=1)),AE196,IF(AE193=0,NOMINAL(AE196,12)*IF($B191=AE192,$I$369,1),IF(AND($B191=AE192,ROUNDDOWN($C$369,0)=AE192),$E$369,1)*NOMINAL(AE196,VLOOKUP($B186,$P$357:$R$360,3,0))/VLOOKUP($B186,$P$357:$R$360,3,0)))*((IF(AE193=0,1,IF(AND($B191=AE192,AE193&lt;ROUNDDOWN(VLOOKUP($B186,$P$357:$R$360,3,0)/$H$369,0)),ROUNDDOWN(AE193*$H$369,0),IF(AND($B191&lt;AE192,AE193&lt;ROUNDDOWN(VLOOKUP($B186,$P$357:$R$360,3,0)/$H$369,0)),ROUND(AVERAGE(ROUNDDOWN(AE193*$H$369,0),2*VLOOKUP($B186,$P$357:$R$360,3,0)),0),VLOOKUP($B186,$P$357:$R$360,3,0))))*IF($B191=AE192,$B187,SUM(AB195:AB195)))-((AE194*(IF(AE193=0,1,IF(AND($B191=AE192,AE193&lt;ROUNDDOWN(VLOOKUP($B186,$P$357:$R$360,3,0)/$H$369,0)),ROUNDDOWN(AE193*$H$369,0),IF(AND($B191&lt;AE192,AE193&lt;ROUNDDOWN(VLOOKUP($B186,$P$357:$R$360,3,0)/$H$369,0)),ROUND(AVERAGE(ROUNDDOWN(AE193*$H$369,0),2*VLOOKUP($B186,$P$357:$R$360,3,0)),0),VLOOKUP($B186,$P$357:$R$360,3,0))))-1))/2)))</f>
        <v>0</v>
      </c>
      <c r="AF197" s="3203"/>
      <c r="AG197" s="26"/>
      <c r="AH197" s="3202">
        <f ca="1">IF(OR($B191&gt;AH192,AH196="",AH196=0),0,IF(AND(AH193=0,OR(AH192&gt;$B191,$I$369=1)),AH196,IF(AH193=0,NOMINAL(AH196,12)*IF($B191=AH192,$I$369,1),IF(AND($B191=AH192,ROUNDDOWN($C$369,0)=AH192),$E$369,1)*NOMINAL(AH196,VLOOKUP($B186,$P$357:$R$360,3,0))/VLOOKUP($B186,$P$357:$R$360,3,0)))*((IF(AH193=0,1,IF(AND($B191=AH192,AH193&lt;ROUNDDOWN(VLOOKUP($B186,$P$357:$R$360,3,0)/$H$369,0)),ROUNDDOWN(AH193*$H$369,0),IF(AND($B191&lt;AH192,AH193&lt;ROUNDDOWN(VLOOKUP($B186,$P$357:$R$360,3,0)/$H$369,0)),ROUND(AVERAGE(ROUNDDOWN(AH193*$H$369,0),2*VLOOKUP($B186,$P$357:$R$360,3,0)),0),VLOOKUP($B186,$P$357:$R$360,3,0))))*IF($B191=AH192,$B187,SUM(AE195:AE195)))-((AH194*(IF(AH193=0,1,IF(AND($B191=AH192,AH193&lt;ROUNDDOWN(VLOOKUP($B186,$P$357:$R$360,3,0)/$H$369,0)),ROUNDDOWN(AH193*$H$369,0),IF(AND($B191&lt;AH192,AH193&lt;ROUNDDOWN(VLOOKUP($B186,$P$357:$R$360,3,0)/$H$369,0)),ROUND(AVERAGE(ROUNDDOWN(AH193*$H$369,0),2*VLOOKUP($B186,$P$357:$R$360,3,0)),0),VLOOKUP($B186,$P$357:$R$360,3,0))))-1))/2)))</f>
        <v>0</v>
      </c>
      <c r="AI197" s="26"/>
      <c r="AJ197" s="26"/>
      <c r="AK197" s="3202">
        <f ca="1">IF(OR($B191&gt;AK192,AK196="",AK196=0),0,IF(AND(AK193=0,OR(AK192&gt;$B191,$I$369=1)),AK196,IF(AK193=0,NOMINAL(AK196,12)*IF($B191=AK192,$I$369,1),IF(AND($B191=AK192,ROUNDDOWN($C$369,0)=AK192),$E$369,1)*NOMINAL(AK196,VLOOKUP($B186,$P$357:$R$360,3,0))/VLOOKUP($B186,$P$357:$R$360,3,0)))*((IF(AK193=0,1,IF(AND($B191=AK192,AK193&lt;ROUNDDOWN(VLOOKUP($B186,$P$357:$R$360,3,0)/$H$369,0)),ROUNDDOWN(AK193*$H$369,0),IF(AND($B191&lt;AK192,AK193&lt;ROUNDDOWN(VLOOKUP($B186,$P$357:$R$360,3,0)/$H$369,0)),ROUND(AVERAGE(ROUNDDOWN(AK193*$H$369,0),2*VLOOKUP($B186,$P$357:$R$360,3,0)),0),VLOOKUP($B186,$P$357:$R$360,3,0))))*IF($B191=AK192,$B187,SUM(AH195:AH195)))-((AK194*(IF(AK193=0,1,IF(AND($B191=AK192,AK193&lt;ROUNDDOWN(VLOOKUP($B186,$P$357:$R$360,3,0)/$H$369,0)),ROUNDDOWN(AK193*$H$369,0),IF(AND($B191&lt;AK192,AK193&lt;ROUNDDOWN(VLOOKUP($B186,$P$357:$R$360,3,0)/$H$369,0)),ROUND(AVERAGE(ROUNDDOWN(AK193*$H$369,0),2*VLOOKUP($B186,$P$357:$R$360,3,0)),0),VLOOKUP($B186,$P$357:$R$360,3,0))))-1))/2)))</f>
        <v>0</v>
      </c>
      <c r="AL197" s="26"/>
      <c r="AM197" s="26"/>
      <c r="AN197" s="3202">
        <f ca="1">IF(OR($B191&gt;AN192,AN196="",AN196=0),0,IF(AND(AN193=0,OR(AN192&gt;$B191,$I$369=1)),AN196,IF(AN193=0,NOMINAL(AN196,12)*IF($B191=AN192,$I$369,1),IF(AND($B191=AN192,ROUNDDOWN($C$369,0)=AN192),$E$369,1)*NOMINAL(AN196,VLOOKUP($B186,$P$357:$R$360,3,0))/VLOOKUP($B186,$P$357:$R$360,3,0)))*((IF(AN193=0,1,IF(AND($B191=AN192,AN193&lt;ROUNDDOWN(VLOOKUP($B186,$P$357:$R$360,3,0)/$H$369,0)),ROUNDDOWN(AN193*$H$369,0),IF(AND($B191&lt;AN192,AN193&lt;ROUNDDOWN(VLOOKUP($B186,$P$357:$R$360,3,0)/$H$369,0)),ROUND(AVERAGE(ROUNDDOWN(AN193*$H$369,0),2*VLOOKUP($B186,$P$357:$R$360,3,0)),0),VLOOKUP($B186,$P$357:$R$360,3,0))))*IF($B191=AN192,$B187,SUM(AK195:AK195)))-((AN194*(IF(AN193=0,1,IF(AND($B191=AN192,AN193&lt;ROUNDDOWN(VLOOKUP($B186,$P$357:$R$360,3,0)/$H$369,0)),ROUNDDOWN(AN193*$H$369,0),IF(AND($B191&lt;AN192,AN193&lt;ROUNDDOWN(VLOOKUP($B186,$P$357:$R$360,3,0)/$H$369,0)),ROUND(AVERAGE(ROUNDDOWN(AN193*$H$369,0),2*VLOOKUP($B186,$P$357:$R$360,3,0)),0),VLOOKUP($B186,$P$357:$R$360,3,0))))-1))/2)))</f>
        <v>0</v>
      </c>
      <c r="AO197" s="26"/>
      <c r="AP197" s="26"/>
      <c r="AQ197" s="3202">
        <f ca="1">IF(OR($B191&gt;AQ192,AQ196="",AQ196=0),0,IF(AND(AQ193=0,OR(AQ192&gt;$B191,$I$369=1)),AQ196,IF(AQ193=0,NOMINAL(AQ196,12)*IF($B191=AQ192,$I$369,1),IF(AND($B191=AQ192,ROUNDDOWN($C$369,0)=AQ192),$E$369,1)*NOMINAL(AQ196,VLOOKUP($B186,$P$357:$R$360,3,0))/VLOOKUP($B186,$P$357:$R$360,3,0)))*((IF(AQ193=0,1,IF(AND($B191=AQ192,AQ193&lt;ROUNDDOWN(VLOOKUP($B186,$P$357:$R$360,3,0)/$H$369,0)),ROUNDDOWN(AQ193*$H$369,0),IF(AND($B191&lt;AQ192,AQ193&lt;ROUNDDOWN(VLOOKUP($B186,$P$357:$R$360,3,0)/$H$369,0)),ROUND(AVERAGE(ROUNDDOWN(AQ193*$H$369,0),2*VLOOKUP($B186,$P$357:$R$360,3,0)),0),VLOOKUP($B186,$P$357:$R$360,3,0))))*IF($B191=AQ192,$B187,SUM(AN195:AN195)))-((AQ194*(IF(AQ193=0,1,IF(AND($B191=AQ192,AQ193&lt;ROUNDDOWN(VLOOKUP($B186,$P$357:$R$360,3,0)/$H$369,0)),ROUNDDOWN(AQ193*$H$369,0),IF(AND($B191&lt;AQ192,AQ193&lt;ROUNDDOWN(VLOOKUP($B186,$P$357:$R$360,3,0)/$H$369,0)),ROUND(AVERAGE(ROUNDDOWN(AQ193*$H$369,0),2*VLOOKUP($B186,$P$357:$R$360,3,0)),0),VLOOKUP($B186,$P$357:$R$360,3,0))))-1))/2)))</f>
        <v>0</v>
      </c>
      <c r="AR197" s="26"/>
      <c r="AS197" s="26"/>
      <c r="AT197" s="3202">
        <f ca="1">IF(OR($B191&gt;AT192,AT196="",AT196=0),0,IF(AND(AT193=0,OR(AT192&gt;$B191,$I$369=1)),AT196,IF(AT193=0,NOMINAL(AT196,12)*IF($B191=AT192,$I$369,1),IF(AND($B191=AT192,ROUNDDOWN($C$369,0)=AT192),$E$369,1)*NOMINAL(AT196,VLOOKUP($B186,$P$357:$R$360,3,0))/VLOOKUP($B186,$P$357:$R$360,3,0)))*((IF(AT193=0,1,IF(AND($B191=AT192,AT193&lt;ROUNDDOWN(VLOOKUP($B186,$P$357:$R$360,3,0)/$H$369,0)),ROUNDDOWN(AT193*$H$369,0),IF(AND($B191&lt;AT192,AT193&lt;ROUNDDOWN(VLOOKUP($B186,$P$357:$R$360,3,0)/$H$369,0)),ROUND(AVERAGE(ROUNDDOWN(AT193*$H$369,0),2*VLOOKUP($B186,$P$357:$R$360,3,0)),0),VLOOKUP($B186,$P$357:$R$360,3,0))))*IF($B191=AT192,$B187,SUM(AQ195:AQ195)))-((AT194*(IF(AT193=0,1,IF(AND($B191=AT192,AT193&lt;ROUNDDOWN(VLOOKUP($B186,$P$357:$R$360,3,0)/$H$369,0)),ROUNDDOWN(AT193*$H$369,0),IF(AND($B191&lt;AT192,AT193&lt;ROUNDDOWN(VLOOKUP($B186,$P$357:$R$360,3,0)/$H$369,0)),ROUND(AVERAGE(ROUNDDOWN(AT193*$H$369,0),2*VLOOKUP($B186,$P$357:$R$360,3,0)),0),VLOOKUP($B186,$P$357:$R$360,3,0))))-1))/2)))</f>
        <v>0</v>
      </c>
      <c r="AU197" s="3203"/>
      <c r="AV197" s="3192"/>
    </row>
    <row r="198" spans="1:48" ht="12.5">
      <c r="C198" s="25"/>
      <c r="E198" s="25"/>
      <c r="F198" s="25"/>
      <c r="H198" s="25"/>
      <c r="I198" s="25"/>
      <c r="K198" s="25"/>
      <c r="L198" s="25"/>
      <c r="N198" s="25"/>
      <c r="O198" s="25"/>
      <c r="Q198" s="25"/>
      <c r="R198" s="25"/>
      <c r="T198" s="25"/>
      <c r="U198" s="25"/>
      <c r="W198" s="25"/>
      <c r="X198" s="25"/>
      <c r="Z198" s="25"/>
      <c r="AA198" s="25"/>
      <c r="AC198" s="25"/>
      <c r="AD198" s="25"/>
      <c r="AF198" s="25"/>
      <c r="AG198" s="25"/>
      <c r="AI198" s="25"/>
      <c r="AJ198" s="25"/>
      <c r="AL198" s="25"/>
      <c r="AM198" s="25"/>
      <c r="AO198" s="25"/>
      <c r="AP198" s="25"/>
      <c r="AR198" s="25"/>
      <c r="AS198" s="25"/>
      <c r="AU198" s="25"/>
      <c r="AV198" s="3192"/>
    </row>
    <row r="199" spans="1:48" ht="12.5">
      <c r="A199" s="3208" t="s">
        <v>2084</v>
      </c>
      <c r="B199" s="3209">
        <f>SUM(B155,B168,B181,B194)</f>
        <v>0</v>
      </c>
      <c r="C199" s="3210"/>
      <c r="D199" s="3209">
        <f ca="1">SUM(D155,D168,D181,D194)</f>
        <v>0</v>
      </c>
      <c r="E199" s="3210"/>
      <c r="F199" s="3210"/>
      <c r="G199" s="3209">
        <f ca="1">SUM(G155,G168,G181,G194)</f>
        <v>0</v>
      </c>
      <c r="H199" s="3210"/>
      <c r="I199" s="3210"/>
      <c r="J199" s="3209">
        <f ca="1">SUM(J155,J168,J181,J194)</f>
        <v>0</v>
      </c>
      <c r="K199" s="3210"/>
      <c r="L199" s="3210"/>
      <c r="M199" s="3209">
        <f ca="1">SUM(M155,M168,M181,M194)</f>
        <v>0</v>
      </c>
      <c r="N199" s="3210"/>
      <c r="O199" s="3210"/>
      <c r="P199" s="3209">
        <f ca="1">SUM(P155,P168,P181,P194)</f>
        <v>0</v>
      </c>
      <c r="Q199" s="3210"/>
      <c r="R199" s="3210"/>
      <c r="S199" s="3209">
        <f ca="1">SUM(S155,S168,S181,S194)</f>
        <v>0</v>
      </c>
      <c r="T199" s="3210"/>
      <c r="U199" s="3210"/>
      <c r="V199" s="3209">
        <f ca="1">SUM(V155,V168,V181,V194)</f>
        <v>0</v>
      </c>
      <c r="W199" s="3210"/>
      <c r="X199" s="3210"/>
      <c r="Y199" s="3209">
        <f ca="1">SUM(Y155,Y168,Y181,Y194)</f>
        <v>0</v>
      </c>
      <c r="Z199" s="3210"/>
      <c r="AA199" s="3210"/>
      <c r="AB199" s="3209">
        <f ca="1">SUM(AB155,AB168,AB181,AB194)</f>
        <v>0</v>
      </c>
      <c r="AC199" s="3210"/>
      <c r="AD199" s="3210"/>
      <c r="AE199" s="3209">
        <f ca="1">SUM(AE155,AE168,AE181,AE194)</f>
        <v>0</v>
      </c>
      <c r="AF199" s="3210"/>
      <c r="AG199" s="3210"/>
      <c r="AH199" s="3209">
        <f ca="1">SUM(AH155,AH168,AH181,AH194)</f>
        <v>0</v>
      </c>
      <c r="AI199" s="3210"/>
      <c r="AJ199" s="3210"/>
      <c r="AK199" s="3209">
        <f ca="1">SUM(AK155,AK168,AK181,AK194)</f>
        <v>0</v>
      </c>
      <c r="AL199" s="3210"/>
      <c r="AM199" s="3210"/>
      <c r="AN199" s="3209">
        <f ca="1">SUM(AN155,AN168,AN181,AN194)</f>
        <v>0</v>
      </c>
      <c r="AO199" s="3210"/>
      <c r="AP199" s="3210"/>
      <c r="AQ199" s="3209">
        <f ca="1">SUM(AQ155,AQ168,AQ181,AQ194)</f>
        <v>0</v>
      </c>
      <c r="AR199" s="3210"/>
      <c r="AS199" s="3210"/>
      <c r="AT199" s="3209">
        <f ca="1">SUM(AT155,AT168,AT181,AT194)</f>
        <v>0</v>
      </c>
      <c r="AU199" s="3210"/>
      <c r="AV199" s="3211"/>
    </row>
    <row r="200" spans="1:48" ht="12.5">
      <c r="A200" s="3208" t="s">
        <v>2085</v>
      </c>
      <c r="B200" s="3209">
        <f ca="1">SUM(B156,B169,B182,B195)</f>
        <v>0</v>
      </c>
      <c r="D200" s="3209">
        <f ca="1">SUM(D156,D169,D182,D195)</f>
        <v>0</v>
      </c>
      <c r="G200" s="3209">
        <f ca="1">SUM(G156,G169,G182,G195)</f>
        <v>0</v>
      </c>
      <c r="J200" s="3209">
        <f ca="1">SUM(J156,J169,J182,J195)</f>
        <v>0</v>
      </c>
      <c r="M200" s="3209">
        <f ca="1">SUM(M156,M169,M182,M195)</f>
        <v>0</v>
      </c>
      <c r="P200" s="3209">
        <f ca="1">SUM(P156,P169,P182,P195)</f>
        <v>0</v>
      </c>
      <c r="S200" s="3209">
        <f ca="1">SUM(S156,S169,S182,S195)</f>
        <v>0</v>
      </c>
      <c r="V200" s="3209">
        <f ca="1">SUM(V156,V169,V182,V195)</f>
        <v>0</v>
      </c>
      <c r="Y200" s="3209">
        <f ca="1">SUM(Y156,Y169,Y182,Y195)</f>
        <v>0</v>
      </c>
      <c r="AB200" s="3209">
        <f ca="1">SUM(AB156,AB169,AB182,AB195)</f>
        <v>0</v>
      </c>
      <c r="AE200" s="3209">
        <f ca="1">SUM(AE156,AE169,AE182,AE195)</f>
        <v>0</v>
      </c>
      <c r="AH200" s="3209">
        <f ca="1">SUM(AH156,AH169,AH182,AH195)</f>
        <v>0</v>
      </c>
      <c r="AK200" s="3209">
        <f ca="1">SUM(AK156,AK169,AK182,AK195)</f>
        <v>0</v>
      </c>
      <c r="AN200" s="3209">
        <f ca="1">SUM(AN156,AN169,AN182,AN195)</f>
        <v>0</v>
      </c>
      <c r="AQ200" s="3209">
        <f ca="1">SUM(AQ156,AQ169,AQ182,AQ195)</f>
        <v>0</v>
      </c>
      <c r="AT200" s="3209">
        <f ca="1">SUM(AT156,AT169,AT182,AT195)</f>
        <v>0</v>
      </c>
      <c r="AV200" s="3192"/>
    </row>
    <row r="201" spans="1:48" ht="13" thickBot="1">
      <c r="A201" s="3212" t="s">
        <v>2086</v>
      </c>
      <c r="B201" s="3213">
        <f ca="1">SUM(B158,B171,B184,B197)</f>
        <v>0</v>
      </c>
      <c r="C201" s="3214"/>
      <c r="D201" s="3213">
        <f ca="1">SUM(D158,D171,D184,D197)</f>
        <v>0</v>
      </c>
      <c r="E201" s="3214"/>
      <c r="F201" s="3214"/>
      <c r="G201" s="3213">
        <f ca="1">SUM(G158,G171,G184,G197)</f>
        <v>0</v>
      </c>
      <c r="H201" s="3214"/>
      <c r="I201" s="3214"/>
      <c r="J201" s="3213">
        <f ca="1">SUM(J158,J171,J184,J197)</f>
        <v>0</v>
      </c>
      <c r="K201" s="3214"/>
      <c r="L201" s="3214"/>
      <c r="M201" s="3213">
        <f ca="1">SUM(M158,M171,M184,M197)</f>
        <v>0</v>
      </c>
      <c r="N201" s="3214"/>
      <c r="O201" s="3214"/>
      <c r="P201" s="3213">
        <f ca="1">SUM(P158,P171,P184,P197)</f>
        <v>0</v>
      </c>
      <c r="Q201" s="3214"/>
      <c r="R201" s="3214"/>
      <c r="S201" s="3213">
        <f ca="1">SUM(S158,S171,S184,S197)</f>
        <v>0</v>
      </c>
      <c r="T201" s="3214"/>
      <c r="U201" s="3214"/>
      <c r="V201" s="3213">
        <f ca="1">SUM(V158,V171,V184,V197)</f>
        <v>0</v>
      </c>
      <c r="W201" s="3214"/>
      <c r="X201" s="3214"/>
      <c r="Y201" s="3213">
        <f ca="1">SUM(Y158,Y171,Y184,Y197)</f>
        <v>0</v>
      </c>
      <c r="Z201" s="3214"/>
      <c r="AA201" s="3214"/>
      <c r="AB201" s="3213">
        <f ca="1">SUM(AB158,AB171,AB184,AB197)</f>
        <v>0</v>
      </c>
      <c r="AC201" s="3214"/>
      <c r="AD201" s="3214"/>
      <c r="AE201" s="3213">
        <f ca="1">SUM(AE158,AE171,AE184,AE197)</f>
        <v>0</v>
      </c>
      <c r="AF201" s="3214"/>
      <c r="AG201" s="3214"/>
      <c r="AH201" s="3213">
        <f ca="1">SUM(AH158,AH171,AH184,AH197)</f>
        <v>0</v>
      </c>
      <c r="AI201" s="3214"/>
      <c r="AJ201" s="3214"/>
      <c r="AK201" s="3213">
        <f ca="1">SUM(AK158,AK171,AK184,AK197)</f>
        <v>0</v>
      </c>
      <c r="AL201" s="3214"/>
      <c r="AM201" s="3214"/>
      <c r="AN201" s="3213">
        <f ca="1">SUM(AN158,AN171,AN184,AN197)</f>
        <v>0</v>
      </c>
      <c r="AO201" s="3214"/>
      <c r="AP201" s="3214"/>
      <c r="AQ201" s="3213">
        <f ca="1">SUM(AQ158,AQ171,AQ184,AQ197)</f>
        <v>0</v>
      </c>
      <c r="AR201" s="3214"/>
      <c r="AS201" s="3214"/>
      <c r="AT201" s="3213">
        <f ca="1">SUM(AT158,AT171,AT184,AT197)</f>
        <v>0</v>
      </c>
      <c r="AU201" s="3214"/>
      <c r="AV201" s="3215"/>
    </row>
    <row r="202" spans="1:48" ht="12.5"/>
    <row r="203" spans="1:48" ht="12.5"/>
    <row r="204" spans="1:48" ht="13" thickBot="1"/>
    <row r="205" spans="1:48" ht="13" thickBot="1">
      <c r="A205" s="3216" t="str">
        <f>"PROYECCIÓN: ESCENARIO "&amp;B72</f>
        <v>PROYECCIÓN: ESCENARIO BASE</v>
      </c>
    </row>
    <row r="206" spans="1:48" ht="13" thickBot="1">
      <c r="A206" s="3217"/>
      <c r="B206" s="3217"/>
      <c r="C206" s="3217"/>
      <c r="D206" s="3217"/>
      <c r="E206" s="3217"/>
      <c r="F206" s="3217"/>
      <c r="G206" s="3217"/>
      <c r="H206" s="3217"/>
      <c r="I206" s="3217"/>
      <c r="J206" s="3217"/>
      <c r="K206" s="3217"/>
      <c r="L206" s="3217"/>
      <c r="M206" s="3217"/>
      <c r="N206" s="3217"/>
      <c r="O206" s="3217"/>
      <c r="P206" s="3217"/>
      <c r="Q206" s="3217"/>
      <c r="R206" s="3217"/>
      <c r="S206" s="3217"/>
      <c r="T206" s="3217"/>
      <c r="U206" s="3217"/>
      <c r="V206" s="3217"/>
      <c r="W206" s="3217"/>
      <c r="X206" s="3217"/>
      <c r="Y206" s="3217"/>
      <c r="Z206" s="3217"/>
      <c r="AA206" s="3217"/>
      <c r="AB206" s="3217"/>
      <c r="AC206" s="3217"/>
      <c r="AD206" s="3217"/>
      <c r="AE206" s="3217"/>
      <c r="AF206" s="3217"/>
      <c r="AG206" s="3217"/>
      <c r="AH206" s="3217"/>
      <c r="AI206" s="3217"/>
      <c r="AJ206" s="3217"/>
      <c r="AK206" s="3217"/>
      <c r="AL206" s="3217"/>
      <c r="AM206" s="3217"/>
      <c r="AN206" s="3217"/>
      <c r="AO206" s="3217"/>
      <c r="AP206" s="3217"/>
      <c r="AQ206" s="3217"/>
      <c r="AR206" s="3217"/>
      <c r="AS206" s="3217"/>
      <c r="AT206" s="3217"/>
      <c r="AU206" s="3217"/>
      <c r="AV206" s="3217"/>
    </row>
    <row r="207" spans="1:48" ht="12.5">
      <c r="A207" s="3218" t="str">
        <f>$A$235</f>
        <v>FLUJO DE CAJA LIBRE OPERATIVO</v>
      </c>
      <c r="B207" s="3219">
        <f ca="1">B$11</f>
        <v>2023</v>
      </c>
      <c r="C207" s="3220"/>
      <c r="D207" s="3219">
        <f ca="1">D$11</f>
        <v>2024</v>
      </c>
      <c r="E207" s="3220"/>
      <c r="F207" s="3220"/>
      <c r="G207" s="3219">
        <f ca="1">G$11</f>
        <v>2025</v>
      </c>
      <c r="H207" s="3220"/>
      <c r="I207" s="3220"/>
      <c r="J207" s="3219">
        <f ca="1">J$11</f>
        <v>2026</v>
      </c>
      <c r="K207" s="3220"/>
      <c r="L207" s="3220"/>
      <c r="M207" s="3219">
        <f ca="1">M$11</f>
        <v>2027</v>
      </c>
      <c r="N207" s="3220"/>
      <c r="O207" s="3220"/>
      <c r="P207" s="3219">
        <f ca="1">P$11</f>
        <v>2028</v>
      </c>
      <c r="Q207" s="3220"/>
      <c r="R207" s="3220"/>
      <c r="S207" s="3219">
        <f ca="1">S$11</f>
        <v>2029</v>
      </c>
      <c r="T207" s="3220"/>
      <c r="U207" s="3220"/>
      <c r="V207" s="3219">
        <f ca="1">V$11</f>
        <v>2030</v>
      </c>
      <c r="W207" s="3220"/>
      <c r="X207" s="3220"/>
      <c r="Y207" s="3219">
        <f ca="1">Y$11</f>
        <v>2031</v>
      </c>
      <c r="Z207" s="3220"/>
      <c r="AA207" s="3220"/>
      <c r="AB207" s="3219">
        <f ca="1">AB$11</f>
        <v>2032</v>
      </c>
      <c r="AC207" s="3220"/>
      <c r="AD207" s="3220"/>
      <c r="AE207" s="3219">
        <f ca="1">AE$11</f>
        <v>2033</v>
      </c>
      <c r="AF207" s="3220"/>
      <c r="AG207" s="3220"/>
      <c r="AH207" s="3219">
        <f ca="1">AH$11</f>
        <v>2034</v>
      </c>
      <c r="AI207" s="3220"/>
      <c r="AJ207" s="3220"/>
      <c r="AK207" s="3219">
        <f ca="1">AK$11</f>
        <v>2035</v>
      </c>
      <c r="AL207" s="3220"/>
      <c r="AM207" s="3220"/>
      <c r="AN207" s="3219">
        <f ca="1">AN$11</f>
        <v>2036</v>
      </c>
      <c r="AO207" s="3220"/>
      <c r="AP207" s="3220"/>
      <c r="AQ207" s="3219">
        <f ca="1">AQ$11</f>
        <v>2037</v>
      </c>
      <c r="AR207" s="3220"/>
      <c r="AS207" s="3220"/>
      <c r="AT207" s="3219">
        <f ca="1">AT$11</f>
        <v>2038</v>
      </c>
      <c r="AU207" s="3220"/>
      <c r="AV207" s="3221"/>
    </row>
    <row r="208" spans="1:48" ht="12.5">
      <c r="A208" s="3222" t="str">
        <f>$A$236</f>
        <v>INGRESOS OPERACIONALES (COL B.  - $MM / COL. D - VAR. %)</v>
      </c>
      <c r="B208" s="3223">
        <f>IF($B$72=$B$317,B236,IF($B$72=$B$318,B263,IF($B$72=$B$319,B290,"SELECCIONAR ESCENARIO")))</f>
        <v>0</v>
      </c>
      <c r="D208" s="3224">
        <f>IF($B$72=$B$317,D236,IF($B$72=$B$318,D263,IF($B$72=$B$319,D290,"SELECCIONAR ESCENARIO")))</f>
        <v>0</v>
      </c>
      <c r="G208" s="3224">
        <f>IF($B$72=$B$317,G236,IF($B$72=$B$318,G263,IF($B$72=$B$319,G290,"SELECCIONAR ESCENARIO")))</f>
        <v>0</v>
      </c>
      <c r="J208" s="3224">
        <f>IF($B$72=$B$317,J236,IF($B$72=$B$318,J263,IF($B$72=$B$319,J290,"SELECCIONAR ESCENARIO")))</f>
        <v>0</v>
      </c>
      <c r="M208" s="3224">
        <f>IF($B$72=$B$317,M236,IF($B$72=$B$318,M263,IF($B$72=$B$319,M290,"SELECCIONAR ESCENARIO")))</f>
        <v>0</v>
      </c>
      <c r="P208" s="3224">
        <f>IF($B$72=$B$317,P236,IF($B$72=$B$318,P263,IF($B$72=$B$319,P290,"SELECCIONAR ESCENARIO")))</f>
        <v>0</v>
      </c>
      <c r="S208" s="3224">
        <f>IF($B$72=$B$317,S236,IF($B$72=$B$318,S263,IF($B$72=$B$319,S290,"SELECCIONAR ESCENARIO")))</f>
        <v>0</v>
      </c>
      <c r="V208" s="3224">
        <f>IF($B$72=$B$317,V236,IF($B$72=$B$318,V263,IF($B$72=$B$319,V290,"SELECCIONAR ESCENARIO")))</f>
        <v>0</v>
      </c>
      <c r="Y208" s="3224">
        <f>IF($B$72=$B$317,Y236,IF($B$72=$B$318,Y263,IF($B$72=$B$319,Y290,"SELECCIONAR ESCENARIO")))</f>
        <v>0</v>
      </c>
      <c r="AB208" s="3224">
        <f>IF($B$72=$B$317,AB236,IF($B$72=$B$318,AB263,IF($B$72=$B$319,AB290,"SELECCIONAR ESCENARIO")))</f>
        <v>0</v>
      </c>
      <c r="AE208" s="3224">
        <f>IF($B$72=$B$317,AE236,IF($B$72=$B$318,AE263,IF($B$72=$B$319,AE290,"SELECCIONAR ESCENARIO")))</f>
        <v>0</v>
      </c>
      <c r="AH208" s="3224">
        <f>IF($B$72=$B$317,AH236,IF($B$72=$B$318,AH263,IF($B$72=$B$319,AH290,"SELECCIONAR ESCENARIO")))</f>
        <v>0</v>
      </c>
      <c r="AK208" s="3224">
        <f>IF($B$72=$B$317,AK236,IF($B$72=$B$318,AK263,IF($B$72=$B$319,AK290,"SELECCIONAR ESCENARIO")))</f>
        <v>0</v>
      </c>
      <c r="AN208" s="3224">
        <f>IF($B$72=$B$317,AN236,IF($B$72=$B$318,AN263,IF($B$72=$B$319,AN290,"SELECCIONAR ESCENARIO")))</f>
        <v>0</v>
      </c>
      <c r="AQ208" s="3224">
        <f>IF($B$72=$B$317,AQ236,IF($B$72=$B$318,AQ263,IF($B$72=$B$319,AQ290,"SELECCIONAR ESCENARIO")))</f>
        <v>0</v>
      </c>
      <c r="AT208" s="3224">
        <f>IF($B$72=$B$317,AT236,IF($B$72=$B$318,AT263,IF($B$72=$B$319,AT290,"SELECCIONAR ESCENARIO")))</f>
        <v>0</v>
      </c>
      <c r="AV208" s="3225"/>
    </row>
    <row r="209" spans="1:48" ht="12.5">
      <c r="A209" s="3226" t="str">
        <f>$A$237</f>
        <v>MARGEN OPERACIONAL</v>
      </c>
      <c r="B209" s="3227">
        <f>IF($B$72=$B$317,B237,IF($B$72=$B$318,B264,IF($B$72=$B$319,B291,"SELECCIONAR ESCENARIO")))</f>
        <v>0</v>
      </c>
      <c r="D209" s="3227">
        <f>IF($B$72=$B$317,D237,IF($B$72=$B$318,D264,IF($B$72=$B$319,D291,"SELECCIONAR ESCENARIO")))</f>
        <v>0</v>
      </c>
      <c r="G209" s="3227">
        <f>IF($B$72=$B$317,G237,IF($B$72=$B$318,G264,IF($B$72=$B$319,G291,"SELECCIONAR ESCENARIO")))</f>
        <v>0</v>
      </c>
      <c r="J209" s="3227">
        <f>IF($B$72=$B$317,J237,IF($B$72=$B$318,J264,IF($B$72=$B$319,J291,"SELECCIONAR ESCENARIO")))</f>
        <v>0</v>
      </c>
      <c r="M209" s="3227">
        <f>IF($B$72=$B$317,M237,IF($B$72=$B$318,M264,IF($B$72=$B$319,M291,"SELECCIONAR ESCENARIO")))</f>
        <v>0</v>
      </c>
      <c r="P209" s="3227">
        <f>IF($B$72=$B$317,P237,IF($B$72=$B$318,P264,IF($B$72=$B$319,P291,"SELECCIONAR ESCENARIO")))</f>
        <v>0</v>
      </c>
      <c r="S209" s="3227">
        <f>IF($B$72=$B$317,S237,IF($B$72=$B$318,S264,IF($B$72=$B$319,S291,"SELECCIONAR ESCENARIO")))</f>
        <v>0</v>
      </c>
      <c r="V209" s="3227">
        <f>IF($B$72=$B$317,V237,IF($B$72=$B$318,V264,IF($B$72=$B$319,V291,"SELECCIONAR ESCENARIO")))</f>
        <v>0</v>
      </c>
      <c r="Y209" s="3227">
        <f>IF($B$72=$B$317,Y237,IF($B$72=$B$318,Y264,IF($B$72=$B$319,Y291,"SELECCIONAR ESCENARIO")))</f>
        <v>0</v>
      </c>
      <c r="AB209" s="3227">
        <f>IF($B$72=$B$317,AB237,IF($B$72=$B$318,AB264,IF($B$72=$B$319,AB291,"SELECCIONAR ESCENARIO")))</f>
        <v>0</v>
      </c>
      <c r="AE209" s="3227">
        <f>IF($B$72=$B$317,AE237,IF($B$72=$B$318,AE264,IF($B$72=$B$319,AE291,"SELECCIONAR ESCENARIO")))</f>
        <v>0</v>
      </c>
      <c r="AH209" s="3227">
        <f>IF($B$72=$B$317,AH237,IF($B$72=$B$318,AH264,IF($B$72=$B$319,AH291,"SELECCIONAR ESCENARIO")))</f>
        <v>0</v>
      </c>
      <c r="AK209" s="3227">
        <f>IF($B$72=$B$317,AK237,IF($B$72=$B$318,AK264,IF($B$72=$B$319,AK291,"SELECCIONAR ESCENARIO")))</f>
        <v>0</v>
      </c>
      <c r="AN209" s="3227">
        <f>IF($B$72=$B$317,AN237,IF($B$72=$B$318,AN264,IF($B$72=$B$319,AN291,"SELECCIONAR ESCENARIO")))</f>
        <v>0</v>
      </c>
      <c r="AQ209" s="3227">
        <f>IF($B$72=$B$317,AQ237,IF($B$72=$B$318,AQ264,IF($B$72=$B$319,AQ291,"SELECCIONAR ESCENARIO")))</f>
        <v>0</v>
      </c>
      <c r="AT209" s="3227">
        <f>IF($B$72=$B$317,AT237,IF($B$72=$B$318,AT264,IF($B$72=$B$319,AT291,"SELECCIONAR ESCENARIO")))</f>
        <v>0</v>
      </c>
      <c r="AV209" s="3225"/>
    </row>
    <row r="210" spans="1:48" ht="12.5">
      <c r="A210" s="3226" t="str">
        <f>$A$238</f>
        <v>(DEPRECIACIONES + AMORTIZACIONES) / EGRESOS OPER.</v>
      </c>
      <c r="B210" s="3227">
        <f>IF($B$72=$B$317,B238,IF($B$72=$B$318,B265,IF($B$72=$B$319,B292,"SELECCIONAR ESCENARIO")))</f>
        <v>0</v>
      </c>
      <c r="D210" s="3227">
        <f>IF($B$72=$B$317,D238,IF($B$72=$B$318,D265,IF($B$72=$B$319,D292,"SELECCIONAR ESCENARIO")))</f>
        <v>0</v>
      </c>
      <c r="G210" s="3227">
        <f>IF($B$72=$B$317,G238,IF($B$72=$B$318,G265,IF($B$72=$B$319,G292,"SELECCIONAR ESCENARIO")))</f>
        <v>0</v>
      </c>
      <c r="J210" s="3227">
        <f>IF($B$72=$B$317,J238,IF($B$72=$B$318,J265,IF($B$72=$B$319,J292,"SELECCIONAR ESCENARIO")))</f>
        <v>0</v>
      </c>
      <c r="M210" s="3227">
        <f>IF($B$72=$B$317,M238,IF($B$72=$B$318,M265,IF($B$72=$B$319,M292,"SELECCIONAR ESCENARIO")))</f>
        <v>0</v>
      </c>
      <c r="P210" s="3227">
        <f>IF($B$72=$B$317,P238,IF($B$72=$B$318,P265,IF($B$72=$B$319,P292,"SELECCIONAR ESCENARIO")))</f>
        <v>0</v>
      </c>
      <c r="S210" s="3227">
        <f>IF($B$72=$B$317,S238,IF($B$72=$B$318,S265,IF($B$72=$B$319,S292,"SELECCIONAR ESCENARIO")))</f>
        <v>0</v>
      </c>
      <c r="V210" s="3227">
        <f>IF($B$72=$B$317,V238,IF($B$72=$B$318,V265,IF($B$72=$B$319,V292,"SELECCIONAR ESCENARIO")))</f>
        <v>0</v>
      </c>
      <c r="Y210" s="3227">
        <f>IF($B$72=$B$317,Y238,IF($B$72=$B$318,Y265,IF($B$72=$B$319,Y292,"SELECCIONAR ESCENARIO")))</f>
        <v>0</v>
      </c>
      <c r="AB210" s="3227">
        <f>IF($B$72=$B$317,AB238,IF($B$72=$B$318,AB265,IF($B$72=$B$319,AB292,"SELECCIONAR ESCENARIO")))</f>
        <v>0</v>
      </c>
      <c r="AE210" s="3227">
        <f>IF($B$72=$B$317,AE238,IF($B$72=$B$318,AE265,IF($B$72=$B$319,AE292,"SELECCIONAR ESCENARIO")))</f>
        <v>0</v>
      </c>
      <c r="AH210" s="3227">
        <f>IF($B$72=$B$317,AH238,IF($B$72=$B$318,AH265,IF($B$72=$B$319,AH292,"SELECCIONAR ESCENARIO")))</f>
        <v>0</v>
      </c>
      <c r="AK210" s="3227">
        <f>IF($B$72=$B$317,AK238,IF($B$72=$B$318,AK265,IF($B$72=$B$319,AK292,"SELECCIONAR ESCENARIO")))</f>
        <v>0</v>
      </c>
      <c r="AN210" s="3227">
        <f>IF($B$72=$B$317,AN238,IF($B$72=$B$318,AN265,IF($B$72=$B$319,AN292,"SELECCIONAR ESCENARIO")))</f>
        <v>0</v>
      </c>
      <c r="AQ210" s="3227">
        <f>IF($B$72=$B$317,AQ238,IF($B$72=$B$318,AQ265,IF($B$72=$B$319,AQ292,"SELECCIONAR ESCENARIO")))</f>
        <v>0</v>
      </c>
      <c r="AT210" s="3227">
        <f>IF($B$72=$B$317,AT238,IF($B$72=$B$318,AT265,IF($B$72=$B$319,AT292,"SELECCIONAR ESCENARIO")))</f>
        <v>0</v>
      </c>
      <c r="AV210" s="3225"/>
    </row>
    <row r="211" spans="1:48" ht="12.5">
      <c r="A211" s="3228" t="str">
        <f>$A$239</f>
        <v>CAPITAL DE TRABAJO / INGRESOS OPERACIONALES</v>
      </c>
      <c r="B211" s="3227">
        <f>IF($B$72=$B$317,B239,IF($B$72=$B$318,B266,IF($B$72=$B$319,B293,"SELECCIONAR ESCENARIO")))</f>
        <v>0</v>
      </c>
      <c r="D211" s="3227">
        <f>IF($B$72=$B$317,D239,IF($B$72=$B$318,D266,IF($B$72=$B$319,D293,"SELECCIONAR ESCENARIO")))</f>
        <v>0</v>
      </c>
      <c r="G211" s="3227">
        <f>IF($B$72=$B$317,G239,IF($B$72=$B$318,G266,IF($B$72=$B$319,G293,"SELECCIONAR ESCENARIO")))</f>
        <v>0</v>
      </c>
      <c r="J211" s="3227">
        <f>IF($B$72=$B$317,J239,IF($B$72=$B$318,J266,IF($B$72=$B$319,J293,"SELECCIONAR ESCENARIO")))</f>
        <v>0</v>
      </c>
      <c r="M211" s="3227">
        <f>IF($B$72=$B$317,M239,IF($B$72=$B$318,M266,IF($B$72=$B$319,M293,"SELECCIONAR ESCENARIO")))</f>
        <v>0</v>
      </c>
      <c r="P211" s="3227">
        <f>IF($B$72=$B$317,P239,IF($B$72=$B$318,P266,IF($B$72=$B$319,P293,"SELECCIONAR ESCENARIO")))</f>
        <v>0</v>
      </c>
      <c r="S211" s="3227">
        <f>IF($B$72=$B$317,S239,IF($B$72=$B$318,S266,IF($B$72=$B$319,S293,"SELECCIONAR ESCENARIO")))</f>
        <v>0</v>
      </c>
      <c r="V211" s="3227">
        <f>IF($B$72=$B$317,V239,IF($B$72=$B$318,V266,IF($B$72=$B$319,V293,"SELECCIONAR ESCENARIO")))</f>
        <v>0</v>
      </c>
      <c r="Y211" s="3227">
        <f>IF($B$72=$B$317,Y239,IF($B$72=$B$318,Y266,IF($B$72=$B$319,Y293,"SELECCIONAR ESCENARIO")))</f>
        <v>0</v>
      </c>
      <c r="AB211" s="3227">
        <f>IF($B$72=$B$317,AB239,IF($B$72=$B$318,AB266,IF($B$72=$B$319,AB293,"SELECCIONAR ESCENARIO")))</f>
        <v>0</v>
      </c>
      <c r="AE211" s="3227">
        <f>IF($B$72=$B$317,AE239,IF($B$72=$B$318,AE266,IF($B$72=$B$319,AE293,"SELECCIONAR ESCENARIO")))</f>
        <v>0</v>
      </c>
      <c r="AH211" s="3227">
        <f>IF($B$72=$B$317,AH239,IF($B$72=$B$318,AH266,IF($B$72=$B$319,AH293,"SELECCIONAR ESCENARIO")))</f>
        <v>0</v>
      </c>
      <c r="AK211" s="3227">
        <f>IF($B$72=$B$317,AK239,IF($B$72=$B$318,AK266,IF($B$72=$B$319,AK293,"SELECCIONAR ESCENARIO")))</f>
        <v>0</v>
      </c>
      <c r="AN211" s="3227">
        <f>IF($B$72=$B$317,AN239,IF($B$72=$B$318,AN266,IF($B$72=$B$319,AN293,"SELECCIONAR ESCENARIO")))</f>
        <v>0</v>
      </c>
      <c r="AQ211" s="3227">
        <f>IF($B$72=$B$317,AQ239,IF($B$72=$B$318,AQ266,IF($B$72=$B$319,AQ293,"SELECCIONAR ESCENARIO")))</f>
        <v>0</v>
      </c>
      <c r="AT211" s="3227">
        <f>IF($B$72=$B$317,AT239,IF($B$72=$B$318,AT266,IF($B$72=$B$319,AT293,"SELECCIONAR ESCENARIO")))</f>
        <v>0</v>
      </c>
      <c r="AV211" s="3225"/>
    </row>
    <row r="212" spans="1:48" ht="12.5">
      <c r="A212" s="3229" t="str">
        <f>$A$240</f>
        <v>IMPUESTOS / INGRESOS OPERACIONALES</v>
      </c>
      <c r="B212" s="3230">
        <f>IF($B$72=$B$317,B240,IF($B$72=$B$318,B267,IF($B$72=$B$319,B294,"SELECCIONAR ESCENARIO")))</f>
        <v>0</v>
      </c>
      <c r="D212" s="3230">
        <f>IF($B$72=$B$317,D240,IF($B$72=$B$318,D267,IF($B$72=$B$319,D294,"SELECCIONAR ESCENARIO")))</f>
        <v>0</v>
      </c>
      <c r="G212" s="3230">
        <f>IF($B$72=$B$317,G240,IF($B$72=$B$318,G267,IF($B$72=$B$319,G294,"SELECCIONAR ESCENARIO")))</f>
        <v>0</v>
      </c>
      <c r="J212" s="3230">
        <f>IF($B$72=$B$317,J240,IF($B$72=$B$318,J267,IF($B$72=$B$319,J294,"SELECCIONAR ESCENARIO")))</f>
        <v>0</v>
      </c>
      <c r="M212" s="3230">
        <f>IF($B$72=$B$317,M240,IF($B$72=$B$318,M267,IF($B$72=$B$319,M294,"SELECCIONAR ESCENARIO")))</f>
        <v>0</v>
      </c>
      <c r="P212" s="3230">
        <f>IF($B$72=$B$317,P240,IF($B$72=$B$318,P267,IF($B$72=$B$319,P294,"SELECCIONAR ESCENARIO")))</f>
        <v>0</v>
      </c>
      <c r="S212" s="3230">
        <f>IF($B$72=$B$317,S240,IF($B$72=$B$318,S267,IF($B$72=$B$319,S294,"SELECCIONAR ESCENARIO")))</f>
        <v>0</v>
      </c>
      <c r="V212" s="3230">
        <f>IF($B$72=$B$317,V240,IF($B$72=$B$318,V267,IF($B$72=$B$319,V294,"SELECCIONAR ESCENARIO")))</f>
        <v>0</v>
      </c>
      <c r="Y212" s="3230">
        <f>IF($B$72=$B$317,Y240,IF($B$72=$B$318,Y267,IF($B$72=$B$319,Y294,"SELECCIONAR ESCENARIO")))</f>
        <v>0</v>
      </c>
      <c r="AB212" s="3230">
        <f>IF($B$72=$B$317,AB240,IF($B$72=$B$318,AB267,IF($B$72=$B$319,AB294,"SELECCIONAR ESCENARIO")))</f>
        <v>0</v>
      </c>
      <c r="AE212" s="3230">
        <f>IF($B$72=$B$317,AE240,IF($B$72=$B$318,AE267,IF($B$72=$B$319,AE294,"SELECCIONAR ESCENARIO")))</f>
        <v>0</v>
      </c>
      <c r="AH212" s="3230">
        <f>IF($B$72=$B$317,AH240,IF($B$72=$B$318,AH267,IF($B$72=$B$319,AH294,"SELECCIONAR ESCENARIO")))</f>
        <v>0</v>
      </c>
      <c r="AK212" s="3230">
        <f>IF($B$72=$B$317,AK240,IF($B$72=$B$318,AK267,IF($B$72=$B$319,AK294,"SELECCIONAR ESCENARIO")))</f>
        <v>0</v>
      </c>
      <c r="AN212" s="3230">
        <f>IF($B$72=$B$317,AN240,IF($B$72=$B$318,AN267,IF($B$72=$B$319,AN294,"SELECCIONAR ESCENARIO")))</f>
        <v>0</v>
      </c>
      <c r="AQ212" s="3230">
        <f>IF($B$72=$B$317,AQ240,IF($B$72=$B$318,AQ267,IF($B$72=$B$319,AQ294,"SELECCIONAR ESCENARIO")))</f>
        <v>0</v>
      </c>
      <c r="AT212" s="3230">
        <f>IF($B$72=$B$317,AT240,IF($B$72=$B$318,AT267,IF($B$72=$B$319,AT294,"SELECCIONAR ESCENARIO")))</f>
        <v>0</v>
      </c>
      <c r="AV212" s="3225"/>
    </row>
    <row r="213" spans="1:48" ht="12.5">
      <c r="AV213" s="3225"/>
    </row>
    <row r="214" spans="1:48" ht="12.5">
      <c r="A214" s="3231" t="str">
        <f>$A$242</f>
        <v>FLUJO DE CAJA - PORCIÓN NO OPERATIVA</v>
      </c>
      <c r="AV214" s="3225"/>
    </row>
    <row r="215" spans="1:48" ht="12.5">
      <c r="A215" s="3232" t="str">
        <f>$A$243</f>
        <v>CAJA MÍNIMA REQUERIDA (EN DÍAS DE INGRESOS OPER.)</v>
      </c>
      <c r="B215" s="3223">
        <f>IF($B$72=$B$317,B243,IF($B$72=$B$318,B270,IF($B$72=$B$319,B297,"SELECCIONAR ESCENARIO")))</f>
        <v>0</v>
      </c>
      <c r="D215" s="3223">
        <f>IF($B$72=$B$317,D243,IF($B$72=$B$318,D270,IF($B$72=$B$319,D297,"SELECCIONAR ESCENARIO")))</f>
        <v>0</v>
      </c>
      <c r="G215" s="3223">
        <f>IF($B$72=$B$317,G243,IF($B$72=$B$318,G270,IF($B$72=$B$319,G297,"SELECCIONAR ESCENARIO")))</f>
        <v>0</v>
      </c>
      <c r="J215" s="3223">
        <f>IF($B$72=$B$317,J243,IF($B$72=$B$318,J270,IF($B$72=$B$319,J297,"SELECCIONAR ESCENARIO")))</f>
        <v>0</v>
      </c>
      <c r="M215" s="3223">
        <f>IF($B$72=$B$317,M243,IF($B$72=$B$318,M270,IF($B$72=$B$319,M297,"SELECCIONAR ESCENARIO")))</f>
        <v>0</v>
      </c>
      <c r="P215" s="3223">
        <f>IF($B$72=$B$317,P243,IF($B$72=$B$318,P270,IF($B$72=$B$319,P297,"SELECCIONAR ESCENARIO")))</f>
        <v>0</v>
      </c>
      <c r="S215" s="3223">
        <f>IF($B$72=$B$317,S243,IF($B$72=$B$318,S270,IF($B$72=$B$319,S297,"SELECCIONAR ESCENARIO")))</f>
        <v>0</v>
      </c>
      <c r="V215" s="3223">
        <f>IF($B$72=$B$317,V243,IF($B$72=$B$318,V270,IF($B$72=$B$319,V297,"SELECCIONAR ESCENARIO")))</f>
        <v>0</v>
      </c>
      <c r="Y215" s="3223">
        <f>IF($B$72=$B$317,Y243,IF($B$72=$B$318,Y270,IF($B$72=$B$319,Y297,"SELECCIONAR ESCENARIO")))</f>
        <v>0</v>
      </c>
      <c r="AB215" s="3223">
        <f>IF($B$72=$B$317,AB243,IF($B$72=$B$318,AB270,IF($B$72=$B$319,AB297,"SELECCIONAR ESCENARIO")))</f>
        <v>0</v>
      </c>
      <c r="AE215" s="3223">
        <f>IF($B$72=$B$317,AE243,IF($B$72=$B$318,AE270,IF($B$72=$B$319,AE297,"SELECCIONAR ESCENARIO")))</f>
        <v>0</v>
      </c>
      <c r="AH215" s="3223">
        <f>IF($B$72=$B$317,AH243,IF($B$72=$B$318,AH270,IF($B$72=$B$319,AH297,"SELECCIONAR ESCENARIO")))</f>
        <v>0</v>
      </c>
      <c r="AK215" s="3223">
        <f>IF($B$72=$B$317,AK243,IF($B$72=$B$318,AK270,IF($B$72=$B$319,AK297,"SELECCIONAR ESCENARIO")))</f>
        <v>0</v>
      </c>
      <c r="AN215" s="3223">
        <f>IF($B$72=$B$317,AN243,IF($B$72=$B$318,AN270,IF($B$72=$B$319,AN297,"SELECCIONAR ESCENARIO")))</f>
        <v>0</v>
      </c>
      <c r="AQ215" s="3223">
        <f>IF($B$72=$B$317,AQ243,IF($B$72=$B$318,AQ270,IF($B$72=$B$319,AQ297,"SELECCIONAR ESCENARIO")))</f>
        <v>0</v>
      </c>
      <c r="AT215" s="3223">
        <f>IF($B$72=$B$317,AT243,IF($B$72=$B$318,AT270,IF($B$72=$B$319,AT297,"SELECCIONAR ESCENARIO")))</f>
        <v>0</v>
      </c>
      <c r="AV215" s="3225"/>
    </row>
    <row r="216" spans="1:48" ht="12.5">
      <c r="A216" s="3233" t="str">
        <f>$A$244</f>
        <v>CAPEX ($MM)</v>
      </c>
      <c r="B216" s="3234">
        <f>IF($B$72=$B$317,B244,IF($B$72=$B$318,B271,IF($B$72=$B$319,B298,"SELECCIONAR ESCENARIO")))</f>
        <v>0</v>
      </c>
      <c r="D216" s="3234">
        <f>IF($B$72=$B$317,D244,IF($B$72=$B$318,D271,IF($B$72=$B$319,D298,"SELECCIONAR ESCENARIO")))</f>
        <v>0</v>
      </c>
      <c r="G216" s="3234">
        <f>IF($B$72=$B$317,G244,IF($B$72=$B$318,G271,IF($B$72=$B$319,G298,"SELECCIONAR ESCENARIO")))</f>
        <v>0</v>
      </c>
      <c r="J216" s="3234">
        <f>IF($B$72=$B$317,J244,IF($B$72=$B$318,J271,IF($B$72=$B$319,J298,"SELECCIONAR ESCENARIO")))</f>
        <v>0</v>
      </c>
      <c r="M216" s="3234">
        <f>IF($B$72=$B$317,M244,IF($B$72=$B$318,M271,IF($B$72=$B$319,M298,"SELECCIONAR ESCENARIO")))</f>
        <v>0</v>
      </c>
      <c r="P216" s="3234">
        <f>IF($B$72=$B$317,P244,IF($B$72=$B$318,P271,IF($B$72=$B$319,P298,"SELECCIONAR ESCENARIO")))</f>
        <v>0</v>
      </c>
      <c r="S216" s="3234">
        <f>IF($B$72=$B$317,S244,IF($B$72=$B$318,S271,IF($B$72=$B$319,S298,"SELECCIONAR ESCENARIO")))</f>
        <v>0</v>
      </c>
      <c r="V216" s="3234">
        <f>IF($B$72=$B$317,V244,IF($B$72=$B$318,V271,IF($B$72=$B$319,V298,"SELECCIONAR ESCENARIO")))</f>
        <v>0</v>
      </c>
      <c r="Y216" s="3234">
        <f>IF($B$72=$B$317,Y244,IF($B$72=$B$318,Y271,IF($B$72=$B$319,Y298,"SELECCIONAR ESCENARIO")))</f>
        <v>0</v>
      </c>
      <c r="AB216" s="3234">
        <f>IF($B$72=$B$317,AB244,IF($B$72=$B$318,AB271,IF($B$72=$B$319,AB298,"SELECCIONAR ESCENARIO")))</f>
        <v>0</v>
      </c>
      <c r="AE216" s="3234">
        <f>IF($B$72=$B$317,AE244,IF($B$72=$B$318,AE271,IF($B$72=$B$319,AE298,"SELECCIONAR ESCENARIO")))</f>
        <v>0</v>
      </c>
      <c r="AH216" s="3234">
        <f>IF($B$72=$B$317,AH244,IF($B$72=$B$318,AH271,IF($B$72=$B$319,AH298,"SELECCIONAR ESCENARIO")))</f>
        <v>0</v>
      </c>
      <c r="AK216" s="3234">
        <f>IF($B$72=$B$317,AK244,IF($B$72=$B$318,AK271,IF($B$72=$B$319,AK298,"SELECCIONAR ESCENARIO")))</f>
        <v>0</v>
      </c>
      <c r="AN216" s="3234">
        <f>IF($B$72=$B$317,AN244,IF($B$72=$B$318,AN271,IF($B$72=$B$319,AN298,"SELECCIONAR ESCENARIO")))</f>
        <v>0</v>
      </c>
      <c r="AQ216" s="3234">
        <f>IF($B$72=$B$317,AQ244,IF($B$72=$B$318,AQ271,IF($B$72=$B$319,AQ298,"SELECCIONAR ESCENARIO")))</f>
        <v>0</v>
      </c>
      <c r="AT216" s="3234">
        <f>IF($B$72=$B$317,AT244,IF($B$72=$B$318,AT271,IF($B$72=$B$319,AT298,"SELECCIONAR ESCENARIO")))</f>
        <v>0</v>
      </c>
      <c r="AV216" s="3225"/>
    </row>
    <row r="217" spans="1:48" ht="12.5">
      <c r="A217" s="3228" t="str">
        <f>$A$245</f>
        <v>OTROS INGRESOS (EGRESOS) / INGRESOS OPERACIONALES</v>
      </c>
      <c r="B217" s="3227">
        <f>IF($B$72=$B$317,B245,IF($B$72=$B$318,B272,IF($B$72=$B$319,B299,"SELECCIONAR ESCENARIO")))</f>
        <v>0</v>
      </c>
      <c r="D217" s="3227">
        <f>IF($B$72=$B$317,D245,IF($B$72=$B$318,D272,IF($B$72=$B$319,D299,"SELECCIONAR ESCENARIO")))</f>
        <v>0</v>
      </c>
      <c r="G217" s="3227">
        <f>IF($B$72=$B$317,G245,IF($B$72=$B$318,G272,IF($B$72=$B$319,G299,"SELECCIONAR ESCENARIO")))</f>
        <v>0</v>
      </c>
      <c r="J217" s="3227">
        <f>IF($B$72=$B$317,J245,IF($B$72=$B$318,J272,IF($B$72=$B$319,J299,"SELECCIONAR ESCENARIO")))</f>
        <v>0</v>
      </c>
      <c r="M217" s="3227">
        <f>IF($B$72=$B$317,M245,IF($B$72=$B$318,M272,IF($B$72=$B$319,M299,"SELECCIONAR ESCENARIO")))</f>
        <v>0</v>
      </c>
      <c r="P217" s="3227">
        <f>IF($B$72=$B$317,P245,IF($B$72=$B$318,P272,IF($B$72=$B$319,P299,"SELECCIONAR ESCENARIO")))</f>
        <v>0</v>
      </c>
      <c r="S217" s="3227">
        <f>IF($B$72=$B$317,S245,IF($B$72=$B$318,S272,IF($B$72=$B$319,S299,"SELECCIONAR ESCENARIO")))</f>
        <v>0</v>
      </c>
      <c r="V217" s="3227">
        <f>IF($B$72=$B$317,V245,IF($B$72=$B$318,V272,IF($B$72=$B$319,V299,"SELECCIONAR ESCENARIO")))</f>
        <v>0</v>
      </c>
      <c r="Y217" s="3227">
        <f>IF($B$72=$B$317,Y245,IF($B$72=$B$318,Y272,IF($B$72=$B$319,Y299,"SELECCIONAR ESCENARIO")))</f>
        <v>0</v>
      </c>
      <c r="AB217" s="3227">
        <f>IF($B$72=$B$317,AB245,IF($B$72=$B$318,AB272,IF($B$72=$B$319,AB299,"SELECCIONAR ESCENARIO")))</f>
        <v>0</v>
      </c>
      <c r="AE217" s="3227">
        <f>IF($B$72=$B$317,AE245,IF($B$72=$B$318,AE272,IF($B$72=$B$319,AE299,"SELECCIONAR ESCENARIO")))</f>
        <v>0</v>
      </c>
      <c r="AH217" s="3227">
        <f>IF($B$72=$B$317,AH245,IF($B$72=$B$318,AH272,IF($B$72=$B$319,AH299,"SELECCIONAR ESCENARIO")))</f>
        <v>0</v>
      </c>
      <c r="AK217" s="3227">
        <f>IF($B$72=$B$317,AK245,IF($B$72=$B$318,AK272,IF($B$72=$B$319,AK299,"SELECCIONAR ESCENARIO")))</f>
        <v>0</v>
      </c>
      <c r="AN217" s="3227">
        <f>IF($B$72=$B$317,AN245,IF($B$72=$B$318,AN272,IF($B$72=$B$319,AN299,"SELECCIONAR ESCENARIO")))</f>
        <v>0</v>
      </c>
      <c r="AQ217" s="3227">
        <f>IF($B$72=$B$317,AQ245,IF($B$72=$B$318,AQ272,IF($B$72=$B$319,AQ299,"SELECCIONAR ESCENARIO")))</f>
        <v>0</v>
      </c>
      <c r="AT217" s="3227">
        <f>IF($B$72=$B$317,AT245,IF($B$72=$B$318,AT272,IF($B$72=$B$319,AT299,"SELECCIONAR ESCENARIO")))</f>
        <v>0</v>
      </c>
      <c r="AV217" s="3225"/>
    </row>
    <row r="218" spans="1:48" ht="12.5">
      <c r="A218" s="3228" t="str">
        <f>$A$246</f>
        <v>APORTES DE CAPITAL (EQUITY) ($MM)</v>
      </c>
      <c r="B218" s="3235">
        <f>IF($B$72=$B$317,B246,IF($B$72=$B$318,B273,IF($B$72=$B$319,B300,"SELECCIONAR ESCENARIO")))</f>
        <v>0</v>
      </c>
      <c r="D218" s="3235">
        <f>IF($B$72=$B$317,D246,IF($B$72=$B$318,D273,IF($B$72=$B$319,D300,"SELECCIONAR ESCENARIO")))</f>
        <v>0</v>
      </c>
      <c r="G218" s="3235">
        <f>IF($B$72=$B$317,G246,IF($B$72=$B$318,G273,IF($B$72=$B$319,G300,"SELECCIONAR ESCENARIO")))</f>
        <v>0</v>
      </c>
      <c r="J218" s="3235">
        <f>IF($B$72=$B$317,J246,IF($B$72=$B$318,J273,IF($B$72=$B$319,J300,"SELECCIONAR ESCENARIO")))</f>
        <v>0</v>
      </c>
      <c r="M218" s="3235">
        <f>IF($B$72=$B$317,M246,IF($B$72=$B$318,M273,IF($B$72=$B$319,M300,"SELECCIONAR ESCENARIO")))</f>
        <v>0</v>
      </c>
      <c r="P218" s="3235">
        <f>IF($B$72=$B$317,P246,IF($B$72=$B$318,P273,IF($B$72=$B$319,P300,"SELECCIONAR ESCENARIO")))</f>
        <v>0</v>
      </c>
      <c r="S218" s="3235">
        <f>IF($B$72=$B$317,S246,IF($B$72=$B$318,S273,IF($B$72=$B$319,S300,"SELECCIONAR ESCENARIO")))</f>
        <v>0</v>
      </c>
      <c r="V218" s="3235">
        <f>IF($B$72=$B$317,V246,IF($B$72=$B$318,V273,IF($B$72=$B$319,V300,"SELECCIONAR ESCENARIO")))</f>
        <v>0</v>
      </c>
      <c r="Y218" s="3235">
        <f>IF($B$72=$B$317,Y246,IF($B$72=$B$318,Y273,IF($B$72=$B$319,Y300,"SELECCIONAR ESCENARIO")))</f>
        <v>0</v>
      </c>
      <c r="AB218" s="3235">
        <f>IF($B$72=$B$317,AB246,IF($B$72=$B$318,AB273,IF($B$72=$B$319,AB300,"SELECCIONAR ESCENARIO")))</f>
        <v>0</v>
      </c>
      <c r="AE218" s="3235">
        <f>IF($B$72=$B$317,AE246,IF($B$72=$B$318,AE273,IF($B$72=$B$319,AE300,"SELECCIONAR ESCENARIO")))</f>
        <v>0</v>
      </c>
      <c r="AH218" s="3235">
        <f>IF($B$72=$B$317,AH246,IF($B$72=$B$318,AH273,IF($B$72=$B$319,AH300,"SELECCIONAR ESCENARIO")))</f>
        <v>0</v>
      </c>
      <c r="AK218" s="3235">
        <f>IF($B$72=$B$317,AK246,IF($B$72=$B$318,AK273,IF($B$72=$B$319,AK300,"SELECCIONAR ESCENARIO")))</f>
        <v>0</v>
      </c>
      <c r="AN218" s="3235">
        <f>IF($B$72=$B$317,AN246,IF($B$72=$B$318,AN273,IF($B$72=$B$319,AN300,"SELECCIONAR ESCENARIO")))</f>
        <v>0</v>
      </c>
      <c r="AQ218" s="3235">
        <f>IF($B$72=$B$317,AQ246,IF($B$72=$B$318,AQ273,IF($B$72=$B$319,AQ300,"SELECCIONAR ESCENARIO")))</f>
        <v>0</v>
      </c>
      <c r="AT218" s="3235">
        <f>IF($B$72=$B$317,AT246,IF($B$72=$B$318,AT273,IF($B$72=$B$319,AT300,"SELECCIONAR ESCENARIO")))</f>
        <v>0</v>
      </c>
      <c r="AV218" s="3225"/>
    </row>
    <row r="219" spans="1:48" ht="12.5">
      <c r="A219" s="3236" t="str">
        <f>$A$247</f>
        <v>PAGO DE EXCEDENTES / INGRESOS OPERACIONALES</v>
      </c>
      <c r="B219" s="3230">
        <f>IF($B$72=$B$317,B247,IF($B$72=$B$318,B274,IF($B$72=$B$319,B301,"SELECCIONAR ESCENARIO")))</f>
        <v>0</v>
      </c>
      <c r="D219" s="3230">
        <f>IF($B$72=$B$317,D247,IF($B$72=$B$318,D274,IF($B$72=$B$319,D301,"SELECCIONAR ESCENARIO")))</f>
        <v>0</v>
      </c>
      <c r="G219" s="3230">
        <f>IF($B$72=$B$317,G247,IF($B$72=$B$318,G274,IF($B$72=$B$319,G301,"SELECCIONAR ESCENARIO")))</f>
        <v>0</v>
      </c>
      <c r="J219" s="3230">
        <f>IF($B$72=$B$317,J247,IF($B$72=$B$318,J274,IF($B$72=$B$319,J301,"SELECCIONAR ESCENARIO")))</f>
        <v>0</v>
      </c>
      <c r="M219" s="3230">
        <f>IF($B$72=$B$317,M247,IF($B$72=$B$318,M274,IF($B$72=$B$319,M301,"SELECCIONAR ESCENARIO")))</f>
        <v>0</v>
      </c>
      <c r="P219" s="3230">
        <f>IF($B$72=$B$317,P247,IF($B$72=$B$318,P274,IF($B$72=$B$319,P301,"SELECCIONAR ESCENARIO")))</f>
        <v>0</v>
      </c>
      <c r="S219" s="3230">
        <f>IF($B$72=$B$317,S247,IF($B$72=$B$318,S274,IF($B$72=$B$319,S301,"SELECCIONAR ESCENARIO")))</f>
        <v>0</v>
      </c>
      <c r="V219" s="3230">
        <f>IF($B$72=$B$317,V247,IF($B$72=$B$318,V274,IF($B$72=$B$319,V301,"SELECCIONAR ESCENARIO")))</f>
        <v>0</v>
      </c>
      <c r="Y219" s="3230">
        <f>IF($B$72=$B$317,Y247,IF($B$72=$B$318,Y274,IF($B$72=$B$319,Y301,"SELECCIONAR ESCENARIO")))</f>
        <v>0</v>
      </c>
      <c r="AB219" s="3230">
        <f>IF($B$72=$B$317,AB247,IF($B$72=$B$318,AB274,IF($B$72=$B$319,AB301,"SELECCIONAR ESCENARIO")))</f>
        <v>0</v>
      </c>
      <c r="AE219" s="3230">
        <f>IF($B$72=$B$317,AE247,IF($B$72=$B$318,AE274,IF($B$72=$B$319,AE301,"SELECCIONAR ESCENARIO")))</f>
        <v>0</v>
      </c>
      <c r="AH219" s="3230">
        <f>IF($B$72=$B$317,AH247,IF($B$72=$B$318,AH274,IF($B$72=$B$319,AH301,"SELECCIONAR ESCENARIO")))</f>
        <v>0</v>
      </c>
      <c r="AK219" s="3230">
        <f>IF($B$72=$B$317,AK247,IF($B$72=$B$318,AK274,IF($B$72=$B$319,AK301,"SELECCIONAR ESCENARIO")))</f>
        <v>0</v>
      </c>
      <c r="AN219" s="3230">
        <f>IF($B$72=$B$317,AN247,IF($B$72=$B$318,AN274,IF($B$72=$B$319,AN301,"SELECCIONAR ESCENARIO")))</f>
        <v>0</v>
      </c>
      <c r="AQ219" s="3230">
        <f>IF($B$72=$B$317,AQ247,IF($B$72=$B$318,AQ274,IF($B$72=$B$319,AQ301,"SELECCIONAR ESCENARIO")))</f>
        <v>0</v>
      </c>
      <c r="AT219" s="3230">
        <f>IF($B$72=$B$317,AT247,IF($B$72=$B$318,AT274,IF($B$72=$B$319,AT301,"SELECCIONAR ESCENARIO")))</f>
        <v>0</v>
      </c>
      <c r="AV219" s="3225"/>
    </row>
    <row r="220" spans="1:48" ht="12.5">
      <c r="AV220" s="3225"/>
    </row>
    <row r="221" spans="1:48" ht="12.5">
      <c r="A221" s="3231" t="str">
        <f>$A$249</f>
        <v>TASA - OBLIGACIONES FINANCIERAS C.P.</v>
      </c>
      <c r="AV221" s="3225"/>
    </row>
    <row r="222" spans="1:48" ht="12.5">
      <c r="A222" s="3232" t="str">
        <f>$A$250</f>
        <v>TASA FINANCIACIÓN OBLIGACIONES FINANCIERAS C.P.</v>
      </c>
      <c r="B222" s="3224">
        <f>IF($B$72=$B$317,B250,IF($B$72=$B$318,B277,IF($B$72=$B$319,B304,"SELECCIONAR ESCENARIO")))</f>
        <v>0</v>
      </c>
      <c r="D222" s="3224">
        <f>IF($B$72=$B$317,D250,IF($B$72=$B$318,D277,IF($B$72=$B$319,D304,"SELECCIONAR ESCENARIO")))</f>
        <v>0</v>
      </c>
      <c r="G222" s="3224">
        <f>IF($B$72=$B$317,G250,IF($B$72=$B$318,G277,IF($B$72=$B$319,G304,"SELECCIONAR ESCENARIO")))</f>
        <v>0</v>
      </c>
      <c r="J222" s="3224">
        <f>IF($B$72=$B$317,J250,IF($B$72=$B$318,J277,IF($B$72=$B$319,J304,"SELECCIONAR ESCENARIO")))</f>
        <v>0</v>
      </c>
      <c r="M222" s="3224">
        <f>IF($B$72=$B$317,M250,IF($B$72=$B$318,M277,IF($B$72=$B$319,M304,"SELECCIONAR ESCENARIO")))</f>
        <v>0</v>
      </c>
      <c r="P222" s="3224">
        <f>IF($B$72=$B$317,P250,IF($B$72=$B$318,P277,IF($B$72=$B$319,P304,"SELECCIONAR ESCENARIO")))</f>
        <v>0</v>
      </c>
      <c r="S222" s="3224">
        <f>IF($B$72=$B$317,S250,IF($B$72=$B$318,S277,IF($B$72=$B$319,S304,"SELECCIONAR ESCENARIO")))</f>
        <v>0</v>
      </c>
      <c r="V222" s="3224">
        <f>IF($B$72=$B$317,V250,IF($B$72=$B$318,V277,IF($B$72=$B$319,V304,"SELECCIONAR ESCENARIO")))</f>
        <v>0</v>
      </c>
      <c r="Y222" s="3224">
        <f>IF($B$72=$B$317,Y250,IF($B$72=$B$318,Y277,IF($B$72=$B$319,Y304,"SELECCIONAR ESCENARIO")))</f>
        <v>0</v>
      </c>
      <c r="AB222" s="3224">
        <f>IF($B$72=$B$317,AB250,IF($B$72=$B$318,AB277,IF($B$72=$B$319,AB304,"SELECCIONAR ESCENARIO")))</f>
        <v>0</v>
      </c>
      <c r="AE222" s="3224">
        <f>IF($B$72=$B$317,AE250,IF($B$72=$B$318,AE277,IF($B$72=$B$319,AE304,"SELECCIONAR ESCENARIO")))</f>
        <v>0</v>
      </c>
      <c r="AH222" s="3224">
        <f>IF($B$72=$B$317,AH250,IF($B$72=$B$318,AH277,IF($B$72=$B$319,AH304,"SELECCIONAR ESCENARIO")))</f>
        <v>0</v>
      </c>
      <c r="AK222" s="3224">
        <f>IF($B$72=$B$317,AK250,IF($B$72=$B$318,AK277,IF($B$72=$B$319,AK304,"SELECCIONAR ESCENARIO")))</f>
        <v>0</v>
      </c>
      <c r="AN222" s="3224">
        <f>IF($B$72=$B$317,AN250,IF($B$72=$B$318,AN277,IF($B$72=$B$319,AN304,"SELECCIONAR ESCENARIO")))</f>
        <v>0</v>
      </c>
      <c r="AQ222" s="3224">
        <f>IF($B$72=$B$317,AQ250,IF($B$72=$B$318,AQ277,IF($B$72=$B$319,AQ304,"SELECCIONAR ESCENARIO")))</f>
        <v>0</v>
      </c>
      <c r="AT222" s="3224">
        <f>IF($B$72=$B$317,AT250,IF($B$72=$B$318,AT277,IF($B$72=$B$319,AT304,"SELECCIONAR ESCENARIO")))</f>
        <v>0</v>
      </c>
      <c r="AV222" s="3225"/>
    </row>
    <row r="223" spans="1:48" ht="12.5">
      <c r="A223" s="3236" t="str">
        <f>$A$251</f>
        <v>CÁLCULO INTERESES - OBLIGACIONES C.P.</v>
      </c>
      <c r="B223" s="3237">
        <f>IF($B$72=$B$317,B251,IF($B$72=$B$318,B278,IF($B$72=$B$319,B305,"SELECCIONAR ESCENARIO")))</f>
        <v>0</v>
      </c>
      <c r="D223" s="3237">
        <f ca="1">IF($B$72=$B$317,D251,IF($B$72=$B$318,D278,IF($B$72=$B$319,D305,"SELECCIONAR ESCENARIO")))</f>
        <v>0</v>
      </c>
      <c r="G223" s="3237">
        <f ca="1">IF($B$72=$B$317,G251,IF($B$72=$B$318,G278,IF($B$72=$B$319,G305,"SELECCIONAR ESCENARIO")))</f>
        <v>0</v>
      </c>
      <c r="J223" s="3237">
        <f ca="1">IF($B$72=$B$317,J251,IF($B$72=$B$318,J278,IF($B$72=$B$319,J305,"SELECCIONAR ESCENARIO")))</f>
        <v>0</v>
      </c>
      <c r="M223" s="3237">
        <f ca="1">IF($B$72=$B$317,M251,IF($B$72=$B$318,M278,IF($B$72=$B$319,M305,"SELECCIONAR ESCENARIO")))</f>
        <v>0</v>
      </c>
      <c r="P223" s="3237">
        <f ca="1">IF($B$72=$B$317,P251,IF($B$72=$B$318,P278,IF($B$72=$B$319,P305,"SELECCIONAR ESCENARIO")))</f>
        <v>0</v>
      </c>
      <c r="S223" s="3237">
        <f ca="1">IF($B$72=$B$317,S251,IF($B$72=$B$318,S278,IF($B$72=$B$319,S305,"SELECCIONAR ESCENARIO")))</f>
        <v>0</v>
      </c>
      <c r="V223" s="3237">
        <f ca="1">IF($B$72=$B$317,V251,IF($B$72=$B$318,V278,IF($B$72=$B$319,V305,"SELECCIONAR ESCENARIO")))</f>
        <v>0</v>
      </c>
      <c r="Y223" s="3237">
        <f ca="1">IF($B$72=$B$317,Y251,IF($B$72=$B$318,Y278,IF($B$72=$B$319,Y305,"SELECCIONAR ESCENARIO")))</f>
        <v>0</v>
      </c>
      <c r="AB223" s="3237">
        <f ca="1">IF($B$72=$B$317,AB251,IF($B$72=$B$318,AB278,IF($B$72=$B$319,AB305,"SELECCIONAR ESCENARIO")))</f>
        <v>0</v>
      </c>
      <c r="AE223" s="3237">
        <f ca="1">IF($B$72=$B$317,AE251,IF($B$72=$B$318,AE278,IF($B$72=$B$319,AE305,"SELECCIONAR ESCENARIO")))</f>
        <v>0</v>
      </c>
      <c r="AH223" s="3237">
        <f ca="1">IF($B$72=$B$317,AH251,IF($B$72=$B$318,AH278,IF($B$72=$B$319,AH305,"SELECCIONAR ESCENARIO")))</f>
        <v>0</v>
      </c>
      <c r="AK223" s="3237">
        <f ca="1">IF($B$72=$B$317,AK251,IF($B$72=$B$318,AK278,IF($B$72=$B$319,AK305,"SELECCIONAR ESCENARIO")))</f>
        <v>0</v>
      </c>
      <c r="AN223" s="3237">
        <f ca="1">IF($B$72=$B$317,AN251,IF($B$72=$B$318,AN278,IF($B$72=$B$319,AN305,"SELECCIONAR ESCENARIO")))</f>
        <v>0</v>
      </c>
      <c r="AQ223" s="3237">
        <f ca="1">IF($B$72=$B$317,AQ251,IF($B$72=$B$318,AQ278,IF($B$72=$B$319,AQ305,"SELECCIONAR ESCENARIO")))</f>
        <v>0</v>
      </c>
      <c r="AT223" s="3237">
        <f ca="1">IF($B$72=$B$317,AT251,IF($B$72=$B$318,AT278,IF($B$72=$B$319,AT305,"SELECCIONAR ESCENARIO")))</f>
        <v>0</v>
      </c>
      <c r="AV223" s="3225"/>
    </row>
    <row r="224" spans="1:48" ht="12.5">
      <c r="AV224" s="3225"/>
    </row>
    <row r="225" spans="1:48" ht="12.5">
      <c r="A225" s="3231" t="str">
        <f>$A$253</f>
        <v>VARIABLES MACROECONÓMICAS</v>
      </c>
      <c r="AV225" s="3225"/>
    </row>
    <row r="226" spans="1:48" ht="12.5">
      <c r="A226" s="3232" t="str">
        <f>$A$254</f>
        <v>CRECIMIENTO PIB (VARIACIÓN PORCENTUAL - BASE 1.994)</v>
      </c>
      <c r="B226" s="3238">
        <f ca="1">IF($B$72=$B$317,B254,IF($B$72=$B$318,B281,IF($B$72=$B$319,B308,"SELECCIONAR ESCENARIO")))</f>
        <v>2.7999999999999997E-2</v>
      </c>
      <c r="D226" s="3238">
        <f ca="1">IF($B$72=$B$317,D254,IF($B$72=$B$318,D281,IF($B$72=$B$319,D308,"SELECCIONAR ESCENARIO")))</f>
        <v>0.03</v>
      </c>
      <c r="G226" s="3238">
        <f ca="1">IF($B$72=$B$317,G254,IF($B$72=$B$318,G281,IF($B$72=$B$319,G308,"SELECCIONAR ESCENARIO")))</f>
        <v>0.03</v>
      </c>
      <c r="J226" s="3238">
        <f ca="1">IF($B$72=$B$317,J254,IF($B$72=$B$318,J281,IF($B$72=$B$319,J308,"SELECCIONAR ESCENARIO")))</f>
        <v>0.03</v>
      </c>
      <c r="M226" s="3238">
        <f ca="1">IF($B$72=$B$317,M254,IF($B$72=$B$318,M281,IF($B$72=$B$319,M308,"SELECCIONAR ESCENARIO")))</f>
        <v>0.03</v>
      </c>
      <c r="P226" s="3238">
        <f ca="1">IF($B$72=$B$317,P254,IF($B$72=$B$318,P281,IF($B$72=$B$319,P308,"SELECCIONAR ESCENARIO")))</f>
        <v>0.03</v>
      </c>
      <c r="S226" s="3238">
        <f ca="1">IF($B$72=$B$317,S254,IF($B$72=$B$318,S281,IF($B$72=$B$319,S308,"SELECCIONAR ESCENARIO")))</f>
        <v>0.03</v>
      </c>
      <c r="V226" s="3238">
        <f ca="1">IF($B$72=$B$317,V254,IF($B$72=$B$318,V281,IF($B$72=$B$319,V308,"SELECCIONAR ESCENARIO")))</f>
        <v>0.03</v>
      </c>
      <c r="Y226" s="3238">
        <f ca="1">IF($B$72=$B$317,Y254,IF($B$72=$B$318,Y281,IF($B$72=$B$319,Y308,"SELECCIONAR ESCENARIO")))</f>
        <v>0.03</v>
      </c>
      <c r="AB226" s="3238">
        <f ca="1">IF($B$72=$B$317,AB254,IF($B$72=$B$318,AB281,IF($B$72=$B$319,AB308,"SELECCIONAR ESCENARIO")))</f>
        <v>0.03</v>
      </c>
      <c r="AE226" s="3238">
        <f ca="1">IF($B$72=$B$317,AE254,IF($B$72=$B$318,AE281,IF($B$72=$B$319,AE308,"SELECCIONAR ESCENARIO")))</f>
        <v>0.03</v>
      </c>
      <c r="AH226" s="3238">
        <f ca="1">IF($B$72=$B$317,AH254,IF($B$72=$B$318,AH281,IF($B$72=$B$319,AH308,"SELECCIONAR ESCENARIO")))</f>
        <v>0.03</v>
      </c>
      <c r="AK226" s="3238">
        <f ca="1">IF($B$72=$B$317,AK254,IF($B$72=$B$318,AK281,IF($B$72=$B$319,AK308,"SELECCIONAR ESCENARIO")))</f>
        <v>0.03</v>
      </c>
      <c r="AN226" s="3238">
        <f ca="1">IF($B$72=$B$317,AN254,IF($B$72=$B$318,AN281,IF($B$72=$B$319,AN308,"SELECCIONAR ESCENARIO")))</f>
        <v>0.03</v>
      </c>
      <c r="AQ226" s="3238">
        <f ca="1">IF($B$72=$B$317,AQ254,IF($B$72=$B$318,AQ281,IF($B$72=$B$319,AQ308,"SELECCIONAR ESCENARIO")))</f>
        <v>0.03</v>
      </c>
      <c r="AT226" s="3238">
        <f ca="1">IF($B$72=$B$317,AT254,IF($B$72=$B$318,AT281,IF($B$72=$B$319,AT308,"SELECCIONAR ESCENARIO")))</f>
        <v>0.03</v>
      </c>
      <c r="AV226" s="3225"/>
    </row>
    <row r="227" spans="1:48" ht="12.5">
      <c r="A227" s="3228" t="str">
        <f>$A$255</f>
        <v>VARIACIÓN PORCENTUAL IPC (INFLACIÓN)</v>
      </c>
      <c r="B227" s="3239">
        <f ca="1">IF($B$72=$B$317,B255,IF($B$72=$B$318,B282,IF($B$72=$B$319,B309,"SELECCIONAR ESCENARIO")))</f>
        <v>3.04E-2</v>
      </c>
      <c r="D227" s="3239">
        <f ca="1">IF($B$72=$B$317,D255,IF($B$72=$B$318,D282,IF($B$72=$B$319,D309,"SELECCIONAR ESCENARIO")))</f>
        <v>2.5000000000000001E-2</v>
      </c>
      <c r="G227" s="3239">
        <f ca="1">IF($B$72=$B$317,G255,IF($B$72=$B$318,G282,IF($B$72=$B$319,G309,"SELECCIONAR ESCENARIO")))</f>
        <v>0.04</v>
      </c>
      <c r="J227" s="3239">
        <f ca="1">IF($B$72=$B$317,J255,IF($B$72=$B$318,J282,IF($B$72=$B$319,J309,"SELECCIONAR ESCENARIO")))</f>
        <v>0.04</v>
      </c>
      <c r="M227" s="3239">
        <f ca="1">IF($B$72=$B$317,M255,IF($B$72=$B$318,M282,IF($B$72=$B$319,M309,"SELECCIONAR ESCENARIO")))</f>
        <v>0.04</v>
      </c>
      <c r="P227" s="3239">
        <f ca="1">IF($B$72=$B$317,P255,IF($B$72=$B$318,P282,IF($B$72=$B$319,P309,"SELECCIONAR ESCENARIO")))</f>
        <v>0.04</v>
      </c>
      <c r="S227" s="3239">
        <f ca="1">IF($B$72=$B$317,S255,IF($B$72=$B$318,S282,IF($B$72=$B$319,S309,"SELECCIONAR ESCENARIO")))</f>
        <v>0.04</v>
      </c>
      <c r="V227" s="3239">
        <f ca="1">IF($B$72=$B$317,V255,IF($B$72=$B$318,V282,IF($B$72=$B$319,V309,"SELECCIONAR ESCENARIO")))</f>
        <v>0.04</v>
      </c>
      <c r="Y227" s="3239">
        <f ca="1">IF($B$72=$B$317,Y255,IF($B$72=$B$318,Y282,IF($B$72=$B$319,Y309,"SELECCIONAR ESCENARIO")))</f>
        <v>0.04</v>
      </c>
      <c r="AB227" s="3239">
        <f ca="1">IF($B$72=$B$317,AB255,IF($B$72=$B$318,AB282,IF($B$72=$B$319,AB309,"SELECCIONAR ESCENARIO")))</f>
        <v>0.04</v>
      </c>
      <c r="AE227" s="3239">
        <f ca="1">IF($B$72=$B$317,AE255,IF($B$72=$B$318,AE282,IF($B$72=$B$319,AE309,"SELECCIONAR ESCENARIO")))</f>
        <v>0.04</v>
      </c>
      <c r="AH227" s="3239">
        <f ca="1">IF($B$72=$B$317,AH255,IF($B$72=$B$318,AH282,IF($B$72=$B$319,AH309,"SELECCIONAR ESCENARIO")))</f>
        <v>0.04</v>
      </c>
      <c r="AK227" s="3239">
        <f ca="1">IF($B$72=$B$317,AK255,IF($B$72=$B$318,AK282,IF($B$72=$B$319,AK309,"SELECCIONAR ESCENARIO")))</f>
        <v>0.04</v>
      </c>
      <c r="AN227" s="3239">
        <f ca="1">IF($B$72=$B$317,AN255,IF($B$72=$B$318,AN282,IF($B$72=$B$319,AN309,"SELECCIONAR ESCENARIO")))</f>
        <v>0.04</v>
      </c>
      <c r="AQ227" s="3239">
        <f ca="1">IF($B$72=$B$317,AQ255,IF($B$72=$B$318,AQ282,IF($B$72=$B$319,AQ309,"SELECCIONAR ESCENARIO")))</f>
        <v>0.04</v>
      </c>
      <c r="AT227" s="3239">
        <f ca="1">IF($B$72=$B$317,AT255,IF($B$72=$B$318,AT282,IF($B$72=$B$319,AT309,"SELECCIONAR ESCENARIO")))</f>
        <v>0.04</v>
      </c>
      <c r="AV227" s="3225"/>
    </row>
    <row r="228" spans="1:48" ht="12.5">
      <c r="A228" s="3228" t="str">
        <f>$A$256</f>
        <v>VARIACIÓN TRM  (DEVAL./REVAL.) - AÑO CORRIDO</v>
      </c>
      <c r="B228" s="3239">
        <f ca="1">IF($B$72=$B$317,B256,IF($B$72=$B$318,B283,IF($B$72=$B$319,B310,"SELECCIONAR ESCENARIO")))</f>
        <v>-3.2398507017312173E-2</v>
      </c>
      <c r="D228" s="3239">
        <f ca="1">IF($B$72=$B$317,D256,IF($B$72=$B$318,D283,IF($B$72=$B$319,D310,"SELECCIONAR ESCENARIO")))</f>
        <v>2.8731041456016237E-2</v>
      </c>
      <c r="G228" s="3239">
        <f ca="1">IF($B$72=$B$317,G256,IF($B$72=$B$318,G283,IF($B$72=$B$319,G310,"SELECCIONAR ESCENARIO")))</f>
        <v>3.9998427387054392E-2</v>
      </c>
      <c r="J228" s="3239">
        <f ca="1">IF($B$72=$B$317,J256,IF($B$72=$B$318,J283,IF($B$72=$B$319,J310,"SELECCIONAR ESCENARIO")))</f>
        <v>3.5001086843522877E-2</v>
      </c>
      <c r="M228" s="3239">
        <f ca="1">IF($B$72=$B$317,M256,IF($B$72=$B$318,M283,IF($B$72=$B$319,M310,"SELECCIONAR ESCENARIO")))</f>
        <v>3.4999931515917959E-2</v>
      </c>
      <c r="P228" s="3239">
        <f>IF($B$72=$B$317,P256,IF($B$72=$B$318,P283,IF($B$72=$B$319,P310,"SELECCIONAR ESCENARIO")))</f>
        <v>3.5000000000000003E-2</v>
      </c>
      <c r="S228" s="3239">
        <f>IF($B$72=$B$317,S256,IF($B$72=$B$318,S283,IF($B$72=$B$319,S310,"SELECCIONAR ESCENARIO")))</f>
        <v>3.5000000000000003E-2</v>
      </c>
      <c r="V228" s="3239">
        <f>IF($B$72=$B$317,V256,IF($B$72=$B$318,V283,IF($B$72=$B$319,V310,"SELECCIONAR ESCENARIO")))</f>
        <v>3.5000000000000003E-2</v>
      </c>
      <c r="Y228" s="3239">
        <f>IF($B$72=$B$317,Y256,IF($B$72=$B$318,Y283,IF($B$72=$B$319,Y310,"SELECCIONAR ESCENARIO")))</f>
        <v>3.5000000000000003E-2</v>
      </c>
      <c r="AB228" s="3239">
        <f>IF($B$72=$B$317,AB256,IF($B$72=$B$318,AB283,IF($B$72=$B$319,AB310,"SELECCIONAR ESCENARIO")))</f>
        <v>3.5000000000000003E-2</v>
      </c>
      <c r="AE228" s="3239">
        <f>IF($B$72=$B$317,AE256,IF($B$72=$B$318,AE283,IF($B$72=$B$319,AE310,"SELECCIONAR ESCENARIO")))</f>
        <v>3.5000000000000003E-2</v>
      </c>
      <c r="AH228" s="3239">
        <f>IF($B$72=$B$317,AH256,IF($B$72=$B$318,AH283,IF($B$72=$B$319,AH310,"SELECCIONAR ESCENARIO")))</f>
        <v>3.5000000000000003E-2</v>
      </c>
      <c r="AK228" s="3239">
        <f>IF($B$72=$B$317,AK256,IF($B$72=$B$318,AK283,IF($B$72=$B$319,AK310,"SELECCIONAR ESCENARIO")))</f>
        <v>3.5000000000000003E-2</v>
      </c>
      <c r="AN228" s="3239">
        <f>IF($B$72=$B$317,AN256,IF($B$72=$B$318,AN283,IF($B$72=$B$319,AN310,"SELECCIONAR ESCENARIO")))</f>
        <v>3.5000000000000003E-2</v>
      </c>
      <c r="AQ228" s="3239">
        <f>IF($B$72=$B$317,AQ256,IF($B$72=$B$318,AQ283,IF($B$72=$B$319,AQ310,"SELECCIONAR ESCENARIO")))</f>
        <v>3.5000000000000003E-2</v>
      </c>
      <c r="AT228" s="3239">
        <f>IF($B$72=$B$317,AT256,IF($B$72=$B$318,AT283,IF($B$72=$B$319,AT310,"SELECCIONAR ESCENARIO")))</f>
        <v>3.5000000000000003E-2</v>
      </c>
      <c r="AV228" s="3225"/>
    </row>
    <row r="229" spans="1:48" ht="12.5">
      <c r="A229" s="3228" t="str">
        <f>$A$257</f>
        <v>TRM A 31 DE DICIEMBRE (COP POR 1 USD)</v>
      </c>
      <c r="B229" s="3240">
        <f ca="1">IF($B$72=$B$317,B257,IF($B$72=$B$318,B284,IF($B$72=$B$319,B311,"SELECCIONAR ESCENARIO")))</f>
        <v>1978</v>
      </c>
      <c r="D229" s="3240">
        <f ca="1">IF($B$72=$B$317,D257,IF($B$72=$B$318,D284,IF($B$72=$B$319,D311,"SELECCIONAR ESCENARIO")))</f>
        <v>2034.83</v>
      </c>
      <c r="G229" s="3240">
        <f ca="1">IF($B$72=$B$317,G257,IF($B$72=$B$318,G284,IF($B$72=$B$319,G311,"SELECCIONAR ESCENARIO")))</f>
        <v>2116.2199999999998</v>
      </c>
      <c r="J229" s="3240">
        <f ca="1">IF($B$72=$B$317,J257,IF($B$72=$B$318,J284,IF($B$72=$B$319,J311,"SELECCIONAR ESCENARIO")))</f>
        <v>2190.29</v>
      </c>
      <c r="M229" s="3240">
        <f ca="1">IF($B$72=$B$317,M257,IF($B$72=$B$318,M284,IF($B$72=$B$319,M311,"SELECCIONAR ESCENARIO")))</f>
        <v>2266.9499999999998</v>
      </c>
      <c r="P229" s="3240">
        <f ca="1">IF($B$72=$B$317,P257,IF($B$72=$B$318,P284,IF($B$72=$B$319,P311,"SELECCIONAR ESCENARIO")))</f>
        <v>2346.2932499999997</v>
      </c>
      <c r="S229" s="3240">
        <f ca="1">IF($B$72=$B$317,S257,IF($B$72=$B$318,S284,IF($B$72=$B$319,S311,"SELECCIONAR ESCENARIO")))</f>
        <v>2428.4135137499993</v>
      </c>
      <c r="V229" s="3240">
        <f ca="1">IF($B$72=$B$317,V257,IF($B$72=$B$318,V284,IF($B$72=$B$319,G81,"SELECCIONAR ESCENARIO")))</f>
        <v>2513.4079867312489</v>
      </c>
      <c r="Y229" s="3240">
        <f ca="1">IF($B$72=$B$317,Y257,IF($B$72=$B$318,Y284,IF($B$72=$B$319,Y311,"SELECCIONAR ESCENARIO")))</f>
        <v>2601.3772662668425</v>
      </c>
      <c r="AB229" s="3240">
        <f ca="1">IF($B$72=$B$317,AB257,IF($B$72=$B$318,AB284,IF($B$72=$B$319,AB311,"SELECCIONAR ESCENARIO")))</f>
        <v>2692.4254705861817</v>
      </c>
      <c r="AE229" s="3240">
        <f ca="1">IF($B$72=$B$317,AE257,IF($B$72=$B$318,AE284,IF($B$72=$B$319,AE311,"SELECCIONAR ESCENARIO")))</f>
        <v>2786.660362056698</v>
      </c>
      <c r="AH229" s="3240">
        <f ca="1">IF($B$72=$B$317,AH257,IF($B$72=$B$318,AH284,IF($B$72=$B$319,AH311,"SELECCIONAR ESCENARIO")))</f>
        <v>2884.1934747286823</v>
      </c>
      <c r="AK229" s="3240">
        <f ca="1">IF($B$72=$B$317,AK257,IF($B$72=$B$318,AK284,IF($B$72=$B$319,AK311,"SELECCIONAR ESCENARIO")))</f>
        <v>2985.1402463441859</v>
      </c>
      <c r="AN229" s="3240">
        <f ca="1">IF($B$72=$B$317,AN257,IF($B$72=$B$318,AN284,IF($B$72=$B$319,AN311,"SELECCIONAR ESCENARIO")))</f>
        <v>3089.6201549662323</v>
      </c>
      <c r="AQ229" s="3240">
        <f ca="1">IF($B$72=$B$317,AQ257,IF($B$72=$B$318,AQ284,IF($B$72=$B$319,AQ311,"SELECCIONAR ESCENARIO")))</f>
        <v>3197.7568603900504</v>
      </c>
      <c r="AT229" s="3240">
        <f ca="1">IF($B$72=$B$317,AT257,IF($B$72=$B$318,AT284,IF($B$72=$B$319,AT311,"SELECCIONAR ESCENARIO")))</f>
        <v>3309.6783505037019</v>
      </c>
      <c r="AV229" s="3225"/>
    </row>
    <row r="230" spans="1:48" ht="13" thickBot="1">
      <c r="A230" s="3241" t="str">
        <f>$A$258</f>
        <v>DTF E.A.</v>
      </c>
      <c r="B230" s="3242">
        <f>IF($B$72=$B$317,B258,IF($B$72=$B$318,B285,IF($B$72=$B$319,B312,"SELECCIONAR ESCENARIO")))</f>
        <v>4.1635332757903119E-2</v>
      </c>
      <c r="C230" s="3243"/>
      <c r="D230" s="3242">
        <f>IF($B$72=$B$317,D258,IF($B$72=$B$318,D285,IF($B$72=$B$319,D312,"SELECCIONAR ESCENARIO")))</f>
        <v>4.5342834547292377E-2</v>
      </c>
      <c r="E230" s="3243"/>
      <c r="F230" s="3243"/>
      <c r="G230" s="3242">
        <f>IF($B$72=$B$317,G258,IF($B$72=$B$318,G285,IF($B$72=$B$319,G312,"SELECCIONAR ESCENARIO")))</f>
        <v>4.5342834547292377E-2</v>
      </c>
      <c r="H230" s="3243"/>
      <c r="I230" s="3243"/>
      <c r="J230" s="3242">
        <f>IF($B$72=$B$317,J258,IF($B$72=$B$318,J285,IF($B$72=$B$319,J312,"SELECCIONAR ESCENARIO")))</f>
        <v>4.5342834547292377E-2</v>
      </c>
      <c r="K230" s="3243"/>
      <c r="L230" s="3243"/>
      <c r="M230" s="3242">
        <f>IF($B$72=$B$317,M258,IF($B$72=$B$318,M285,IF($B$72=$B$319,M312,"SELECCIONAR ESCENARIO")))</f>
        <v>4.5342834547292377E-2</v>
      </c>
      <c r="N230" s="3243"/>
      <c r="O230" s="3243"/>
      <c r="P230" s="3242">
        <f>IF($B$72=$B$317,P258,IF($B$72=$B$318,P285,IF($B$72=$B$319,P312,"SELECCIONAR ESCENARIO")))</f>
        <v>4.5342834547292377E-2</v>
      </c>
      <c r="Q230" s="3243"/>
      <c r="R230" s="3243"/>
      <c r="S230" s="3242">
        <f>IF($B$72=$B$317,S258,IF($B$72=$B$318,S285,IF($B$72=$B$319,S312,"SELECCIONAR ESCENARIO")))</f>
        <v>4.5342834547292377E-2</v>
      </c>
      <c r="T230" s="3243"/>
      <c r="U230" s="3243"/>
      <c r="V230" s="3242">
        <f>IF($B$72=$B$317,V258,IF($B$72=$B$318,V285,IF($B$72=$B$319,V312,"SELECCIONAR ESCENARIO")))</f>
        <v>4.5342834547292377E-2</v>
      </c>
      <c r="W230" s="3243"/>
      <c r="X230" s="3243"/>
      <c r="Y230" s="3242">
        <f>IF($B$72=$B$317,Y258,IF($B$72=$B$318,Y285,IF($B$72=$B$319,Y312,"SELECCIONAR ESCENARIO")))</f>
        <v>4.5342834547292377E-2</v>
      </c>
      <c r="Z230" s="3243"/>
      <c r="AA230" s="3243"/>
      <c r="AB230" s="3242">
        <f>IF($B$72=$B$317,AB258,IF($B$72=$B$318,AB285,IF($B$72=$B$319,AB312,"SELECCIONAR ESCENARIO")))</f>
        <v>4.5342834547292377E-2</v>
      </c>
      <c r="AC230" s="3243"/>
      <c r="AD230" s="3243"/>
      <c r="AE230" s="3242">
        <f>IF($B$72=$B$317,AE258,IF($B$72=$B$318,AE285,IF($B$72=$B$319,AE312,"SELECCIONAR ESCENARIO")))</f>
        <v>4.5342834547292377E-2</v>
      </c>
      <c r="AF230" s="3243"/>
      <c r="AG230" s="3243"/>
      <c r="AH230" s="3242">
        <f>IF($B$72=$B$317,AH258,IF($B$72=$B$318,AH285,IF($B$72=$B$319,AH312,"SELECCIONAR ESCENARIO")))</f>
        <v>4.5342834547292377E-2</v>
      </c>
      <c r="AI230" s="3243"/>
      <c r="AJ230" s="3243"/>
      <c r="AK230" s="3242">
        <f>IF($B$72=$B$317,AK258,IF($B$72=$B$318,AK285,IF($B$72=$B$319,AK312,"SELECCIONAR ESCENARIO")))</f>
        <v>4.5342834547292377E-2</v>
      </c>
      <c r="AL230" s="3243"/>
      <c r="AM230" s="3243"/>
      <c r="AN230" s="3242">
        <f>IF($B$72=$B$317,AN258,IF($B$72=$B$318,AN285,IF($B$72=$B$319,AN312,"SELECCIONAR ESCENARIO")))</f>
        <v>4.5342834547292377E-2</v>
      </c>
      <c r="AO230" s="3243"/>
      <c r="AP230" s="3243"/>
      <c r="AQ230" s="3242">
        <f>IF($B$72=$B$317,AQ258,IF($B$72=$B$318,AQ285,IF($B$72=$B$319,AQ312,"SELECCIONAR ESCENARIO")))</f>
        <v>4.5342834547292377E-2</v>
      </c>
      <c r="AR230" s="3243"/>
      <c r="AS230" s="3243"/>
      <c r="AT230" s="3242">
        <f>IF($B$72=$B$317,AT258,IF($B$72=$B$318,AT285,IF($B$72=$B$319,AT312,"SELECCIONAR ESCENARIO")))</f>
        <v>4.5342834547292377E-2</v>
      </c>
      <c r="AU230" s="3243"/>
      <c r="AV230" s="3244"/>
    </row>
    <row r="231" spans="1:48" ht="12.5"/>
    <row r="232" spans="1:48" ht="13" thickBot="1"/>
    <row r="233" spans="1:48" ht="13" thickBot="1">
      <c r="A233" s="3245" t="str">
        <f>"PROYECCIÓN ESCENARIO "&amp;$B$317</f>
        <v>PROYECCIÓN ESCENARIO BASE</v>
      </c>
    </row>
    <row r="234" spans="1:48" ht="13" thickBot="1"/>
    <row r="235" spans="1:48" ht="12.5">
      <c r="A235" s="3246" t="s">
        <v>2015</v>
      </c>
      <c r="B235" s="3247">
        <f ca="1">B$11</f>
        <v>2023</v>
      </c>
      <c r="C235" s="3248"/>
      <c r="D235" s="3247">
        <f ca="1">D$11</f>
        <v>2024</v>
      </c>
      <c r="E235" s="3248"/>
      <c r="F235" s="3248"/>
      <c r="G235" s="3247">
        <f ca="1">G$11</f>
        <v>2025</v>
      </c>
      <c r="H235" s="3248"/>
      <c r="I235" s="3248"/>
      <c r="J235" s="3247">
        <f ca="1">J$11</f>
        <v>2026</v>
      </c>
      <c r="K235" s="3248"/>
      <c r="L235" s="3248"/>
      <c r="M235" s="3247">
        <f ca="1">M$11</f>
        <v>2027</v>
      </c>
      <c r="N235" s="3248"/>
      <c r="O235" s="3248"/>
      <c r="P235" s="3247">
        <f ca="1">P$11</f>
        <v>2028</v>
      </c>
      <c r="Q235" s="3248"/>
      <c r="R235" s="3248"/>
      <c r="S235" s="3247">
        <f ca="1">S$11</f>
        <v>2029</v>
      </c>
      <c r="T235" s="3248"/>
      <c r="U235" s="3248"/>
      <c r="V235" s="3247">
        <f ca="1">V$11</f>
        <v>2030</v>
      </c>
      <c r="W235" s="3248"/>
      <c r="X235" s="3248"/>
      <c r="Y235" s="3247">
        <f ca="1">Y$11</f>
        <v>2031</v>
      </c>
      <c r="Z235" s="3248"/>
      <c r="AA235" s="3248"/>
      <c r="AB235" s="3247">
        <f ca="1">AB$11</f>
        <v>2032</v>
      </c>
      <c r="AC235" s="3248"/>
      <c r="AD235" s="3248"/>
      <c r="AE235" s="3247">
        <f ca="1">AE$11</f>
        <v>2033</v>
      </c>
      <c r="AF235" s="3248"/>
      <c r="AG235" s="3248"/>
      <c r="AH235" s="3247">
        <f ca="1">AH$11</f>
        <v>2034</v>
      </c>
      <c r="AI235" s="3248"/>
      <c r="AJ235" s="3248"/>
      <c r="AK235" s="3247">
        <f ca="1">AK$11</f>
        <v>2035</v>
      </c>
      <c r="AL235" s="3248"/>
      <c r="AM235" s="3248"/>
      <c r="AN235" s="3247">
        <f ca="1">AN$11</f>
        <v>2036</v>
      </c>
      <c r="AO235" s="3248"/>
      <c r="AP235" s="3248"/>
      <c r="AQ235" s="3247">
        <f ca="1">AQ$11</f>
        <v>2037</v>
      </c>
      <c r="AR235" s="3248"/>
      <c r="AS235" s="3248"/>
      <c r="AT235" s="3247">
        <f ca="1">AT$11</f>
        <v>2038</v>
      </c>
      <c r="AU235" s="3248"/>
      <c r="AV235" s="3249"/>
    </row>
    <row r="236" spans="1:48" ht="12.5">
      <c r="A236" s="3250" t="s">
        <v>2088</v>
      </c>
      <c r="B236" s="3251"/>
      <c r="D236" s="3252"/>
      <c r="G236" s="3252">
        <f>D236</f>
        <v>0</v>
      </c>
      <c r="J236" s="3252">
        <f>G236</f>
        <v>0</v>
      </c>
      <c r="M236" s="3252">
        <f>J236</f>
        <v>0</v>
      </c>
      <c r="P236" s="3252">
        <f>M236</f>
        <v>0</v>
      </c>
      <c r="S236" s="3252">
        <f>P236</f>
        <v>0</v>
      </c>
      <c r="V236" s="3252">
        <f>S236</f>
        <v>0</v>
      </c>
      <c r="Y236" s="3252">
        <f>V236</f>
        <v>0</v>
      </c>
      <c r="AB236" s="3252">
        <f>Y236</f>
        <v>0</v>
      </c>
      <c r="AE236" s="3252">
        <f>AB236</f>
        <v>0</v>
      </c>
      <c r="AH236" s="3252">
        <f>AE236</f>
        <v>0</v>
      </c>
      <c r="AK236" s="3252">
        <f>AH236</f>
        <v>0</v>
      </c>
      <c r="AN236" s="3252">
        <f>AK236</f>
        <v>0</v>
      </c>
      <c r="AQ236" s="3252">
        <f>AN236</f>
        <v>0</v>
      </c>
      <c r="AT236" s="3252">
        <f>AQ236</f>
        <v>0</v>
      </c>
      <c r="AV236" s="3253"/>
    </row>
    <row r="237" spans="1:48" ht="12.5">
      <c r="A237" s="3254" t="s">
        <v>1431</v>
      </c>
      <c r="B237" s="3255"/>
      <c r="D237" s="3255">
        <f>B237</f>
        <v>0</v>
      </c>
      <c r="G237" s="3255">
        <f>D237</f>
        <v>0</v>
      </c>
      <c r="J237" s="3255">
        <f>G237</f>
        <v>0</v>
      </c>
      <c r="M237" s="3255">
        <f>J237</f>
        <v>0</v>
      </c>
      <c r="P237" s="3255">
        <f>M237</f>
        <v>0</v>
      </c>
      <c r="S237" s="3255">
        <f>P237</f>
        <v>0</v>
      </c>
      <c r="V237" s="3255">
        <f>S237</f>
        <v>0</v>
      </c>
      <c r="Y237" s="3255">
        <f>V237</f>
        <v>0</v>
      </c>
      <c r="AB237" s="3255">
        <f>Y237</f>
        <v>0</v>
      </c>
      <c r="AE237" s="3255">
        <f>AB237</f>
        <v>0</v>
      </c>
      <c r="AH237" s="3255">
        <f>AE237</f>
        <v>0</v>
      </c>
      <c r="AK237" s="3255">
        <f>AH237</f>
        <v>0</v>
      </c>
      <c r="AN237" s="3255">
        <f>AK237</f>
        <v>0</v>
      </c>
      <c r="AQ237" s="3255">
        <f>AN237</f>
        <v>0</v>
      </c>
      <c r="AT237" s="3255">
        <f>AQ237</f>
        <v>0</v>
      </c>
      <c r="AV237" s="3253"/>
    </row>
    <row r="238" spans="1:48" ht="12.5">
      <c r="A238" s="3254" t="s">
        <v>2089</v>
      </c>
      <c r="B238" s="3255"/>
      <c r="D238" s="3255">
        <f>B238</f>
        <v>0</v>
      </c>
      <c r="G238" s="3255">
        <f>D238</f>
        <v>0</v>
      </c>
      <c r="J238" s="3255">
        <f>G238</f>
        <v>0</v>
      </c>
      <c r="M238" s="3255">
        <f>J238</f>
        <v>0</v>
      </c>
      <c r="P238" s="3255">
        <f>M238</f>
        <v>0</v>
      </c>
      <c r="S238" s="3255">
        <f>P238</f>
        <v>0</v>
      </c>
      <c r="V238" s="3255">
        <f>S238</f>
        <v>0</v>
      </c>
      <c r="Y238" s="3255">
        <f>V238</f>
        <v>0</v>
      </c>
      <c r="AB238" s="3255">
        <f>Y238</f>
        <v>0</v>
      </c>
      <c r="AE238" s="3255">
        <f>AB238</f>
        <v>0</v>
      </c>
      <c r="AH238" s="3255">
        <f>AE238</f>
        <v>0</v>
      </c>
      <c r="AK238" s="3255">
        <f>AH238</f>
        <v>0</v>
      </c>
      <c r="AN238" s="3255">
        <f>AK238</f>
        <v>0</v>
      </c>
      <c r="AQ238" s="3255">
        <f>AN238</f>
        <v>0</v>
      </c>
      <c r="AT238" s="3255">
        <f>AQ238</f>
        <v>0</v>
      </c>
      <c r="AV238" s="3253"/>
    </row>
    <row r="239" spans="1:48" ht="12.5">
      <c r="A239" s="3254" t="s">
        <v>2090</v>
      </c>
      <c r="B239" s="3255"/>
      <c r="D239" s="3255">
        <f>B239</f>
        <v>0</v>
      </c>
      <c r="G239" s="3255">
        <f>D239</f>
        <v>0</v>
      </c>
      <c r="J239" s="3255">
        <f>G239</f>
        <v>0</v>
      </c>
      <c r="M239" s="3255">
        <f>J239</f>
        <v>0</v>
      </c>
      <c r="P239" s="3255">
        <f>M239</f>
        <v>0</v>
      </c>
      <c r="S239" s="3255">
        <f>P239</f>
        <v>0</v>
      </c>
      <c r="V239" s="3255">
        <f>S239</f>
        <v>0</v>
      </c>
      <c r="Y239" s="3255">
        <f>V239</f>
        <v>0</v>
      </c>
      <c r="AB239" s="3255">
        <f>Y239</f>
        <v>0</v>
      </c>
      <c r="AE239" s="3255">
        <f>AB239</f>
        <v>0</v>
      </c>
      <c r="AH239" s="3255">
        <f>AE239</f>
        <v>0</v>
      </c>
      <c r="AK239" s="3255">
        <f>AH239</f>
        <v>0</v>
      </c>
      <c r="AN239" s="3255">
        <f>AK239</f>
        <v>0</v>
      </c>
      <c r="AQ239" s="3255">
        <f>AN239</f>
        <v>0</v>
      </c>
      <c r="AT239" s="3255">
        <f>AQ239</f>
        <v>0</v>
      </c>
      <c r="AV239" s="3253"/>
    </row>
    <row r="240" spans="1:48" ht="12.5">
      <c r="A240" s="3256" t="s">
        <v>2091</v>
      </c>
      <c r="B240" s="3257"/>
      <c r="D240" s="3257">
        <f>B240</f>
        <v>0</v>
      </c>
      <c r="G240" s="3257">
        <f>D240</f>
        <v>0</v>
      </c>
      <c r="J240" s="3257">
        <f>G240</f>
        <v>0</v>
      </c>
      <c r="M240" s="3257">
        <f>J240</f>
        <v>0</v>
      </c>
      <c r="P240" s="3257">
        <f>M240</f>
        <v>0</v>
      </c>
      <c r="S240" s="3257">
        <f>P240</f>
        <v>0</v>
      </c>
      <c r="V240" s="3257">
        <f>S240</f>
        <v>0</v>
      </c>
      <c r="Y240" s="3257">
        <f>V240</f>
        <v>0</v>
      </c>
      <c r="AB240" s="3257">
        <f>Y240</f>
        <v>0</v>
      </c>
      <c r="AE240" s="3257">
        <f>AB240</f>
        <v>0</v>
      </c>
      <c r="AH240" s="3257">
        <f>AE240</f>
        <v>0</v>
      </c>
      <c r="AK240" s="3257">
        <f>AH240</f>
        <v>0</v>
      </c>
      <c r="AN240" s="3257">
        <f>AK240</f>
        <v>0</v>
      </c>
      <c r="AQ240" s="3257">
        <f>AN240</f>
        <v>0</v>
      </c>
      <c r="AT240" s="3257">
        <f>AQ240</f>
        <v>0</v>
      </c>
      <c r="AV240" s="3253"/>
    </row>
    <row r="241" spans="1:48" ht="12.5">
      <c r="AV241" s="3253"/>
    </row>
    <row r="242" spans="1:48" ht="12.5">
      <c r="A242" s="3258" t="s">
        <v>2092</v>
      </c>
      <c r="AV242" s="3253"/>
    </row>
    <row r="243" spans="1:48" ht="12.5">
      <c r="A243" s="3250" t="s">
        <v>2093</v>
      </c>
      <c r="B243" s="3251"/>
      <c r="D243" s="3251">
        <f>B243</f>
        <v>0</v>
      </c>
      <c r="G243" s="3251">
        <f>D243</f>
        <v>0</v>
      </c>
      <c r="J243" s="3251">
        <f>G243</f>
        <v>0</v>
      </c>
      <c r="M243" s="3251">
        <f>J243</f>
        <v>0</v>
      </c>
      <c r="P243" s="3251">
        <f>M243</f>
        <v>0</v>
      </c>
      <c r="S243" s="3251">
        <f>P243</f>
        <v>0</v>
      </c>
      <c r="V243" s="3251">
        <f>S243</f>
        <v>0</v>
      </c>
      <c r="Y243" s="3251">
        <f>V243</f>
        <v>0</v>
      </c>
      <c r="AB243" s="3251">
        <f>Y243</f>
        <v>0</v>
      </c>
      <c r="AE243" s="3251">
        <f>AB243</f>
        <v>0</v>
      </c>
      <c r="AH243" s="3251">
        <f>AE243</f>
        <v>0</v>
      </c>
      <c r="AK243" s="3251">
        <f>AH243</f>
        <v>0</v>
      </c>
      <c r="AN243" s="3251">
        <f>AK243</f>
        <v>0</v>
      </c>
      <c r="AQ243" s="3251">
        <f>AN243</f>
        <v>0</v>
      </c>
      <c r="AT243" s="3251">
        <f>AQ243</f>
        <v>0</v>
      </c>
      <c r="AV243" s="3253"/>
    </row>
    <row r="244" spans="1:48" ht="12.5">
      <c r="A244" s="3254" t="s">
        <v>2094</v>
      </c>
      <c r="B244" s="3259"/>
      <c r="D244" s="3259">
        <f>B244</f>
        <v>0</v>
      </c>
      <c r="G244" s="3259">
        <f>D244</f>
        <v>0</v>
      </c>
      <c r="J244" s="3259">
        <f>G244</f>
        <v>0</v>
      </c>
      <c r="M244" s="3259">
        <f>J244</f>
        <v>0</v>
      </c>
      <c r="P244" s="3259">
        <f>M244</f>
        <v>0</v>
      </c>
      <c r="S244" s="3259">
        <f>P244</f>
        <v>0</v>
      </c>
      <c r="V244" s="3259">
        <f>S244</f>
        <v>0</v>
      </c>
      <c r="Y244" s="3259">
        <f>V244</f>
        <v>0</v>
      </c>
      <c r="AB244" s="3259">
        <f>Y244</f>
        <v>0</v>
      </c>
      <c r="AE244" s="3259">
        <f>AB244</f>
        <v>0</v>
      </c>
      <c r="AH244" s="3259">
        <f>AE244</f>
        <v>0</v>
      </c>
      <c r="AK244" s="3259">
        <f>AH244</f>
        <v>0</v>
      </c>
      <c r="AN244" s="3259">
        <f>AK244</f>
        <v>0</v>
      </c>
      <c r="AQ244" s="3259">
        <f>AN244</f>
        <v>0</v>
      </c>
      <c r="AT244" s="3259">
        <f>AQ244</f>
        <v>0</v>
      </c>
      <c r="AV244" s="3253"/>
    </row>
    <row r="245" spans="1:48" ht="12.5">
      <c r="A245" s="3254" t="s">
        <v>2095</v>
      </c>
      <c r="B245" s="3255"/>
      <c r="D245" s="3255">
        <f>B245</f>
        <v>0</v>
      </c>
      <c r="G245" s="3255">
        <f>D245</f>
        <v>0</v>
      </c>
      <c r="J245" s="3255">
        <f>G245</f>
        <v>0</v>
      </c>
      <c r="M245" s="3255">
        <f>J245</f>
        <v>0</v>
      </c>
      <c r="P245" s="3255">
        <f>M245</f>
        <v>0</v>
      </c>
      <c r="S245" s="3255">
        <f>P245</f>
        <v>0</v>
      </c>
      <c r="V245" s="3255">
        <f>S245</f>
        <v>0</v>
      </c>
      <c r="Y245" s="3255">
        <f>V245</f>
        <v>0</v>
      </c>
      <c r="AB245" s="3255">
        <f>Y245</f>
        <v>0</v>
      </c>
      <c r="AE245" s="3255">
        <f>AB245</f>
        <v>0</v>
      </c>
      <c r="AH245" s="3255">
        <f>AE245</f>
        <v>0</v>
      </c>
      <c r="AK245" s="3255">
        <f>AH245</f>
        <v>0</v>
      </c>
      <c r="AN245" s="3255">
        <f>AK245</f>
        <v>0</v>
      </c>
      <c r="AQ245" s="3255">
        <f>AN245</f>
        <v>0</v>
      </c>
      <c r="AT245" s="3255">
        <f>AQ245</f>
        <v>0</v>
      </c>
      <c r="AV245" s="3253"/>
    </row>
    <row r="246" spans="1:48" ht="12.5">
      <c r="A246" s="3254" t="s">
        <v>2096</v>
      </c>
      <c r="B246" s="3260"/>
      <c r="D246" s="3260">
        <f>B246</f>
        <v>0</v>
      </c>
      <c r="G246" s="3260">
        <f>D246</f>
        <v>0</v>
      </c>
      <c r="J246" s="3260">
        <f>G246</f>
        <v>0</v>
      </c>
      <c r="M246" s="3260">
        <f>J246</f>
        <v>0</v>
      </c>
      <c r="P246" s="3260">
        <f>M246</f>
        <v>0</v>
      </c>
      <c r="S246" s="3260">
        <f>P246</f>
        <v>0</v>
      </c>
      <c r="V246" s="3260">
        <f>S246</f>
        <v>0</v>
      </c>
      <c r="Y246" s="3260">
        <f>V246</f>
        <v>0</v>
      </c>
      <c r="AB246" s="3260">
        <f>Y246</f>
        <v>0</v>
      </c>
      <c r="AE246" s="3260">
        <f>AB246</f>
        <v>0</v>
      </c>
      <c r="AH246" s="3260">
        <f>AE246</f>
        <v>0</v>
      </c>
      <c r="AK246" s="3260">
        <f>AH246</f>
        <v>0</v>
      </c>
      <c r="AN246" s="3260">
        <f>AK246</f>
        <v>0</v>
      </c>
      <c r="AQ246" s="3260">
        <f>AN246</f>
        <v>0</v>
      </c>
      <c r="AT246" s="3260">
        <f>AQ246</f>
        <v>0</v>
      </c>
      <c r="AV246" s="3253"/>
    </row>
    <row r="247" spans="1:48" ht="12.5">
      <c r="A247" s="3256" t="s">
        <v>2097</v>
      </c>
      <c r="B247" s="3257"/>
      <c r="D247" s="3257">
        <f>B247</f>
        <v>0</v>
      </c>
      <c r="G247" s="3257">
        <f>D247</f>
        <v>0</v>
      </c>
      <c r="J247" s="3257">
        <f>G247</f>
        <v>0</v>
      </c>
      <c r="M247" s="3257">
        <f>J247</f>
        <v>0</v>
      </c>
      <c r="P247" s="3257">
        <f>M247</f>
        <v>0</v>
      </c>
      <c r="S247" s="3257">
        <f>P247</f>
        <v>0</v>
      </c>
      <c r="V247" s="3257">
        <f>S247</f>
        <v>0</v>
      </c>
      <c r="Y247" s="3257">
        <f>V247</f>
        <v>0</v>
      </c>
      <c r="AB247" s="3257">
        <f>Y247</f>
        <v>0</v>
      </c>
      <c r="AE247" s="3257">
        <f>AB247</f>
        <v>0</v>
      </c>
      <c r="AH247" s="3257">
        <f>AE247</f>
        <v>0</v>
      </c>
      <c r="AK247" s="3257">
        <f>AH247</f>
        <v>0</v>
      </c>
      <c r="AN247" s="3257">
        <f>AK247</f>
        <v>0</v>
      </c>
      <c r="AQ247" s="3257">
        <f>AN247</f>
        <v>0</v>
      </c>
      <c r="AT247" s="3257">
        <f>AQ247</f>
        <v>0</v>
      </c>
      <c r="AV247" s="3253"/>
    </row>
    <row r="248" spans="1:48" ht="12.5">
      <c r="AV248" s="3253"/>
    </row>
    <row r="249" spans="1:48" ht="12.5">
      <c r="A249" s="3258" t="s">
        <v>2098</v>
      </c>
      <c r="AV249" s="3253"/>
    </row>
    <row r="250" spans="1:48" ht="12.5">
      <c r="A250" s="3261" t="s">
        <v>2099</v>
      </c>
      <c r="B250" s="3262"/>
      <c r="D250" s="3262">
        <f>B250</f>
        <v>0</v>
      </c>
      <c r="G250" s="3262">
        <f>D250</f>
        <v>0</v>
      </c>
      <c r="J250" s="3262">
        <f>G250</f>
        <v>0</v>
      </c>
      <c r="M250" s="3262">
        <f>J250</f>
        <v>0</v>
      </c>
      <c r="P250" s="3262">
        <f>M250</f>
        <v>0</v>
      </c>
      <c r="S250" s="3262">
        <f>P250</f>
        <v>0</v>
      </c>
      <c r="V250" s="3262">
        <f>S250</f>
        <v>0</v>
      </c>
      <c r="Y250" s="3262">
        <f>V250</f>
        <v>0</v>
      </c>
      <c r="AB250" s="3262">
        <f>Y250</f>
        <v>0</v>
      </c>
      <c r="AE250" s="3262">
        <f>AB250</f>
        <v>0</v>
      </c>
      <c r="AH250" s="3262">
        <f>AE250</f>
        <v>0</v>
      </c>
      <c r="AK250" s="3262">
        <f>AH250</f>
        <v>0</v>
      </c>
      <c r="AN250" s="3262">
        <f>AK250</f>
        <v>0</v>
      </c>
      <c r="AQ250" s="3262">
        <f>AN250</f>
        <v>0</v>
      </c>
      <c r="AT250" s="3262">
        <f>AQ250</f>
        <v>0</v>
      </c>
      <c r="AV250" s="3253"/>
    </row>
    <row r="251" spans="1:48" ht="12.5">
      <c r="A251" s="3263" t="s">
        <v>2100</v>
      </c>
      <c r="B251" s="3264"/>
      <c r="D251" s="3264">
        <f ca="1">D250*B$47</f>
        <v>0</v>
      </c>
      <c r="G251" s="3264">
        <f ca="1">G250*D$47</f>
        <v>0</v>
      </c>
      <c r="J251" s="3264">
        <f ca="1">J250*G$47</f>
        <v>0</v>
      </c>
      <c r="M251" s="3264">
        <f ca="1">M250*J$47</f>
        <v>0</v>
      </c>
      <c r="P251" s="3264">
        <f ca="1">P250*M$47</f>
        <v>0</v>
      </c>
      <c r="S251" s="3264">
        <f ca="1">S250*P$47</f>
        <v>0</v>
      </c>
      <c r="V251" s="3264">
        <f ca="1">V250*S$47</f>
        <v>0</v>
      </c>
      <c r="Y251" s="3264">
        <f ca="1">Y250*V$47</f>
        <v>0</v>
      </c>
      <c r="AB251" s="3264">
        <f ca="1">AB250*Y$47</f>
        <v>0</v>
      </c>
      <c r="AE251" s="3264">
        <f ca="1">AE250*AB$47</f>
        <v>0</v>
      </c>
      <c r="AH251" s="3264">
        <f ca="1">AH250*AE$47</f>
        <v>0</v>
      </c>
      <c r="AK251" s="3264">
        <f ca="1">AK250*AH$47</f>
        <v>0</v>
      </c>
      <c r="AN251" s="3264">
        <f ca="1">AN250*AK$47</f>
        <v>0</v>
      </c>
      <c r="AQ251" s="3264">
        <f ca="1">AQ250*AN$47</f>
        <v>0</v>
      </c>
      <c r="AT251" s="3264">
        <f ca="1">AT250*AQ$47</f>
        <v>0</v>
      </c>
      <c r="AV251" s="3253"/>
    </row>
    <row r="252" spans="1:48" ht="12.5">
      <c r="AV252" s="3253"/>
    </row>
    <row r="253" spans="1:48" ht="12.5">
      <c r="A253" s="3258" t="s">
        <v>1375</v>
      </c>
      <c r="AV253" s="3253"/>
    </row>
    <row r="254" spans="1:48" ht="12.5">
      <c r="A254" s="3250" t="s">
        <v>2101</v>
      </c>
      <c r="B254" s="3265">
        <f ca="1">IF(B235=2007,7.52%,IF(B235=2008,2.5%,IF(B235=2009,0.4%,2.8%)))</f>
        <v>2.7999999999999997E-2</v>
      </c>
      <c r="D254" s="3265">
        <f ca="1">IF(D235=2008,2.5%,IF(D235=2009,-0.25%,IF(D235=2010,2.8%,3%)))</f>
        <v>0.03</v>
      </c>
      <c r="G254" s="3265">
        <f ca="1">IF(G235=2010,2.8%,3%)</f>
        <v>0.03</v>
      </c>
      <c r="J254" s="3265">
        <f ca="1">G254</f>
        <v>0.03</v>
      </c>
      <c r="M254" s="3265">
        <f ca="1">J254</f>
        <v>0.03</v>
      </c>
      <c r="P254" s="3265">
        <f ca="1">M254</f>
        <v>0.03</v>
      </c>
      <c r="S254" s="3265">
        <f ca="1">P254</f>
        <v>0.03</v>
      </c>
      <c r="V254" s="3265">
        <f ca="1">S254</f>
        <v>0.03</v>
      </c>
      <c r="Y254" s="3265">
        <f ca="1">V254</f>
        <v>0.03</v>
      </c>
      <c r="AB254" s="3265">
        <f ca="1">Y254</f>
        <v>0.03</v>
      </c>
      <c r="AE254" s="3265">
        <f ca="1">AB254</f>
        <v>0.03</v>
      </c>
      <c r="AH254" s="3265">
        <f ca="1">AE254</f>
        <v>0.03</v>
      </c>
      <c r="AK254" s="3265">
        <f ca="1">AH254</f>
        <v>0.03</v>
      </c>
      <c r="AN254" s="3265">
        <f ca="1">AK254</f>
        <v>0.03</v>
      </c>
      <c r="AQ254" s="3265">
        <f ca="1">AN254</f>
        <v>0.03</v>
      </c>
      <c r="AT254" s="3265">
        <f ca="1">AQ254</f>
        <v>0.03</v>
      </c>
      <c r="AV254" s="3253"/>
    </row>
    <row r="255" spans="1:48" ht="12.5">
      <c r="A255" s="3266" t="s">
        <v>2102</v>
      </c>
      <c r="B255" s="3267">
        <f ca="1">IF(B235=2007,5.69%,IF(B235=2008,7.67%,IF(B235=2009,2%,3.04%)))</f>
        <v>3.04E-2</v>
      </c>
      <c r="D255" s="3267">
        <f ca="1">IF(D235=2008,7.67%,IF(D235=2009,2%,IF(D235=2010,3.04%,2.5%)))</f>
        <v>2.5000000000000001E-2</v>
      </c>
      <c r="G255" s="3267">
        <f ca="1">IF(G235=2009,2%,IF(G235=2010,3.04%,IF(G235=2011,2.5%,4%)))</f>
        <v>0.04</v>
      </c>
      <c r="J255" s="3267">
        <f ca="1">IF(J235=2010,3.04%,IF(J235=2011,2.5%,4%))</f>
        <v>0.04</v>
      </c>
      <c r="M255" s="3267">
        <f ca="1">IF(M235&lt;=2012,2.5%,J255)</f>
        <v>0.04</v>
      </c>
      <c r="P255" s="3267">
        <f ca="1">M255</f>
        <v>0.04</v>
      </c>
      <c r="S255" s="3267">
        <f ca="1">P255</f>
        <v>0.04</v>
      </c>
      <c r="V255" s="3267">
        <f ca="1">S255</f>
        <v>0.04</v>
      </c>
      <c r="Y255" s="3267">
        <f ca="1">V255</f>
        <v>0.04</v>
      </c>
      <c r="AB255" s="3267">
        <f ca="1">Y255</f>
        <v>0.04</v>
      </c>
      <c r="AE255" s="3267">
        <f ca="1">AB255</f>
        <v>0.04</v>
      </c>
      <c r="AH255" s="3267">
        <f ca="1">AE255</f>
        <v>0.04</v>
      </c>
      <c r="AK255" s="3267">
        <f ca="1">AH255</f>
        <v>0.04</v>
      </c>
      <c r="AN255" s="3267">
        <f ca="1">AK255</f>
        <v>0.04</v>
      </c>
      <c r="AQ255" s="3267">
        <f ca="1">AN255</f>
        <v>0.04</v>
      </c>
      <c r="AT255" s="3267">
        <f ca="1">AQ255</f>
        <v>0.04</v>
      </c>
      <c r="AV255" s="3253"/>
    </row>
    <row r="256" spans="1:48" ht="12.5">
      <c r="A256" s="3263" t="s">
        <v>2103</v>
      </c>
      <c r="B256" s="3268">
        <f ca="1">C327</f>
        <v>-3.2398507017312173E-2</v>
      </c>
      <c r="D256" s="3268">
        <f ca="1">IF(B257=0,"",D257/B257-1)</f>
        <v>2.8731041456016237E-2</v>
      </c>
      <c r="G256" s="3268">
        <f ca="1">IF(D257=0,"",G257/D257-1)</f>
        <v>3.9998427387054392E-2</v>
      </c>
      <c r="J256" s="3268">
        <f ca="1">IF(G257=0,"",J257/G257-1)</f>
        <v>3.5001086843522877E-2</v>
      </c>
      <c r="M256" s="3268">
        <f ca="1">IF(J257=0,"",M257/J257-1)</f>
        <v>3.4999931515917959E-2</v>
      </c>
      <c r="P256" s="3269">
        <v>3.5000000000000003E-2</v>
      </c>
      <c r="S256" s="3269">
        <f>P256</f>
        <v>3.5000000000000003E-2</v>
      </c>
      <c r="V256" s="3269">
        <f>S256</f>
        <v>3.5000000000000003E-2</v>
      </c>
      <c r="Y256" s="3269">
        <f>V256</f>
        <v>3.5000000000000003E-2</v>
      </c>
      <c r="AB256" s="3269">
        <f>Y256</f>
        <v>3.5000000000000003E-2</v>
      </c>
      <c r="AE256" s="3269">
        <f>AB256</f>
        <v>3.5000000000000003E-2</v>
      </c>
      <c r="AH256" s="3269">
        <f>AE256</f>
        <v>3.5000000000000003E-2</v>
      </c>
      <c r="AK256" s="3269">
        <f>AH256</f>
        <v>3.5000000000000003E-2</v>
      </c>
      <c r="AN256" s="3269">
        <f>AK256</f>
        <v>3.5000000000000003E-2</v>
      </c>
      <c r="AQ256" s="3269">
        <f>AN256</f>
        <v>3.5000000000000003E-2</v>
      </c>
      <c r="AT256" s="3269">
        <f>AQ256</f>
        <v>3.5000000000000003E-2</v>
      </c>
      <c r="AV256" s="3253"/>
    </row>
    <row r="257" spans="1:48" ht="12.5">
      <c r="A257" s="3250" t="s">
        <v>2104</v>
      </c>
      <c r="B257" s="3270">
        <f ca="1">IF($B$235=2008,2243.59,IF($B$235=2009,2044.23,1978))</f>
        <v>1978</v>
      </c>
      <c r="D257" s="3270">
        <f ca="1">IF($D$235=2009,2044.23,IF($D$235=2010,1978,2034.83))</f>
        <v>2034.83</v>
      </c>
      <c r="G257" s="3270">
        <f ca="1">IF(G235=2010,1978,IF(G235=2010,2034.83,2116.22))</f>
        <v>2116.2199999999998</v>
      </c>
      <c r="J257" s="3270">
        <f ca="1">IF(J235=2011,2034.83,IF(J235=2012,2116.22,2190.29))</f>
        <v>2190.29</v>
      </c>
      <c r="M257" s="3270">
        <f ca="1">IF(J235=2011,2116.22,IF(J235=2011,2190.29,2266.95))</f>
        <v>2266.9499999999998</v>
      </c>
      <c r="P257" s="3271">
        <f ca="1">M257*(1+P256)</f>
        <v>2346.2932499999997</v>
      </c>
      <c r="S257" s="3271">
        <f ca="1">P257*(1+S256)</f>
        <v>2428.4135137499993</v>
      </c>
      <c r="V257" s="3271">
        <f ca="1">S257*(1+V256)</f>
        <v>2513.4079867312489</v>
      </c>
      <c r="Y257" s="3271">
        <f ca="1">V257*(1+Y256)</f>
        <v>2601.3772662668425</v>
      </c>
      <c r="AB257" s="3271">
        <f ca="1">Y257*(1+AB256)</f>
        <v>2692.4254705861817</v>
      </c>
      <c r="AE257" s="3271">
        <f ca="1">AB257*(1+AE256)</f>
        <v>2786.660362056698</v>
      </c>
      <c r="AH257" s="3271">
        <f ca="1">AE257*(1+AH256)</f>
        <v>2884.1934747286823</v>
      </c>
      <c r="AK257" s="3271">
        <f ca="1">AH257*(1+AK256)</f>
        <v>2985.1402463441859</v>
      </c>
      <c r="AN257" s="3271">
        <f ca="1">AK257*(1+AN256)</f>
        <v>3089.6201549662323</v>
      </c>
      <c r="AQ257" s="3271">
        <f ca="1">AN257*(1+AQ256)</f>
        <v>3197.7568603900504</v>
      </c>
      <c r="AT257" s="3271">
        <f ca="1">AQ257*(1+AT256)</f>
        <v>3309.6783505037019</v>
      </c>
      <c r="AV257" s="3253"/>
    </row>
    <row r="258" spans="1:48" ht="13" thickBot="1">
      <c r="A258" s="3272" t="s">
        <v>2105</v>
      </c>
      <c r="B258" s="3273">
        <v>4.1635332757903119E-2</v>
      </c>
      <c r="C258" s="3274"/>
      <c r="D258" s="3273">
        <v>4.5342834547292377E-2</v>
      </c>
      <c r="E258" s="3274"/>
      <c r="F258" s="3274"/>
      <c r="G258" s="3273">
        <f>D258</f>
        <v>4.5342834547292377E-2</v>
      </c>
      <c r="H258" s="3274"/>
      <c r="I258" s="3274"/>
      <c r="J258" s="3273">
        <f>G258</f>
        <v>4.5342834547292377E-2</v>
      </c>
      <c r="K258" s="3274"/>
      <c r="L258" s="3274"/>
      <c r="M258" s="3273">
        <f>J258</f>
        <v>4.5342834547292377E-2</v>
      </c>
      <c r="N258" s="3274"/>
      <c r="O258" s="3274"/>
      <c r="P258" s="3275">
        <f>M258</f>
        <v>4.5342834547292377E-2</v>
      </c>
      <c r="Q258" s="3274"/>
      <c r="R258" s="3274"/>
      <c r="S258" s="3273">
        <f>P258</f>
        <v>4.5342834547292377E-2</v>
      </c>
      <c r="T258" s="3274"/>
      <c r="U258" s="3274"/>
      <c r="V258" s="3273">
        <f>S258</f>
        <v>4.5342834547292377E-2</v>
      </c>
      <c r="W258" s="3274"/>
      <c r="X258" s="3274"/>
      <c r="Y258" s="3273">
        <f>V258</f>
        <v>4.5342834547292377E-2</v>
      </c>
      <c r="Z258" s="3274"/>
      <c r="AA258" s="3274"/>
      <c r="AB258" s="3273">
        <f>Y258</f>
        <v>4.5342834547292377E-2</v>
      </c>
      <c r="AC258" s="3274"/>
      <c r="AD258" s="3274"/>
      <c r="AE258" s="3273">
        <f>AB258</f>
        <v>4.5342834547292377E-2</v>
      </c>
      <c r="AF258" s="3274"/>
      <c r="AG258" s="3274"/>
      <c r="AH258" s="3273">
        <f>AE258</f>
        <v>4.5342834547292377E-2</v>
      </c>
      <c r="AI258" s="3274"/>
      <c r="AJ258" s="3274"/>
      <c r="AK258" s="3273">
        <f>AH258</f>
        <v>4.5342834547292377E-2</v>
      </c>
      <c r="AL258" s="3274"/>
      <c r="AM258" s="3274"/>
      <c r="AN258" s="3273">
        <f>AK258</f>
        <v>4.5342834547292377E-2</v>
      </c>
      <c r="AO258" s="3274"/>
      <c r="AP258" s="3274"/>
      <c r="AQ258" s="3273">
        <f>AN258</f>
        <v>4.5342834547292377E-2</v>
      </c>
      <c r="AR258" s="3274"/>
      <c r="AS258" s="3274"/>
      <c r="AT258" s="3273">
        <f>AQ258</f>
        <v>4.5342834547292377E-2</v>
      </c>
      <c r="AU258" s="3274"/>
      <c r="AV258" s="3276"/>
    </row>
    <row r="259" spans="1:48" ht="13" thickBot="1"/>
    <row r="260" spans="1:48" ht="13" thickBot="1">
      <c r="A260" s="3277" t="str">
        <f>"PROYECCIÓN ESCENARIO "&amp;$B$318</f>
        <v>PROYECCIÓN ESCENARIO SENSIBILIZADO</v>
      </c>
    </row>
    <row r="261" spans="1:48" ht="13" thickBot="1"/>
    <row r="262" spans="1:48" ht="12.5">
      <c r="A262" s="3278" t="str">
        <f>$A$235</f>
        <v>FLUJO DE CAJA LIBRE OPERATIVO</v>
      </c>
      <c r="B262" s="3279">
        <f ca="1">B$11</f>
        <v>2023</v>
      </c>
      <c r="C262" s="3280" t="s">
        <v>2106</v>
      </c>
      <c r="D262" s="3281">
        <f ca="1">D$11</f>
        <v>2024</v>
      </c>
      <c r="E262" s="3282" t="s">
        <v>1377</v>
      </c>
      <c r="F262" s="3283"/>
      <c r="G262" s="3281">
        <f ca="1">G$11</f>
        <v>2025</v>
      </c>
      <c r="H262" s="3283"/>
      <c r="I262" s="3283"/>
      <c r="J262" s="3281">
        <f ca="1">J$11</f>
        <v>2026</v>
      </c>
      <c r="K262" s="3283"/>
      <c r="L262" s="3283"/>
      <c r="M262" s="3281">
        <f ca="1">M$11</f>
        <v>2027</v>
      </c>
      <c r="N262" s="3283"/>
      <c r="O262" s="3283"/>
      <c r="P262" s="3281">
        <f ca="1">P$11</f>
        <v>2028</v>
      </c>
      <c r="Q262" s="3283"/>
      <c r="R262" s="3283"/>
      <c r="S262" s="3281">
        <f ca="1">S$11</f>
        <v>2029</v>
      </c>
      <c r="T262" s="3283"/>
      <c r="U262" s="3283"/>
      <c r="V262" s="3281">
        <f ca="1">V$11</f>
        <v>2030</v>
      </c>
      <c r="W262" s="3283"/>
      <c r="X262" s="3283"/>
      <c r="Y262" s="3281">
        <f ca="1">Y$11</f>
        <v>2031</v>
      </c>
      <c r="Z262" s="3283"/>
      <c r="AA262" s="3283"/>
      <c r="AB262" s="3281">
        <f ca="1">AB$11</f>
        <v>2032</v>
      </c>
      <c r="AC262" s="3283"/>
      <c r="AD262" s="3283"/>
      <c r="AE262" s="3281">
        <f ca="1">AE$11</f>
        <v>2033</v>
      </c>
      <c r="AF262" s="3283"/>
      <c r="AG262" s="3283"/>
      <c r="AH262" s="3281">
        <f ca="1">AH$11</f>
        <v>2034</v>
      </c>
      <c r="AI262" s="3283"/>
      <c r="AJ262" s="3283"/>
      <c r="AK262" s="3281">
        <f ca="1">AK$11</f>
        <v>2035</v>
      </c>
      <c r="AL262" s="3283"/>
      <c r="AM262" s="3283"/>
      <c r="AN262" s="3281">
        <f ca="1">AN$11</f>
        <v>2036</v>
      </c>
      <c r="AO262" s="3283"/>
      <c r="AP262" s="3283"/>
      <c r="AQ262" s="3281">
        <f ca="1">AQ$11</f>
        <v>2037</v>
      </c>
      <c r="AR262" s="3283"/>
      <c r="AS262" s="3283"/>
      <c r="AT262" s="3281">
        <f ca="1">AT$11</f>
        <v>2038</v>
      </c>
      <c r="AU262" s="3283"/>
      <c r="AV262" s="3284"/>
    </row>
    <row r="263" spans="1:48" ht="12.5">
      <c r="A263" s="3285" t="str">
        <f>$A$236</f>
        <v>INGRESOS OPERACIONALES (COL B.  - $MM / COL. D - VAR. %)</v>
      </c>
      <c r="B263" s="3286">
        <f>B236+$C263</f>
        <v>0</v>
      </c>
      <c r="C263" s="3287"/>
      <c r="D263" s="3288">
        <f>D236+$E263</f>
        <v>0</v>
      </c>
      <c r="E263" s="3289"/>
      <c r="G263" s="3288">
        <f>G236+$E263</f>
        <v>0</v>
      </c>
      <c r="J263" s="3288">
        <f>J236+$E263</f>
        <v>0</v>
      </c>
      <c r="M263" s="3288">
        <f>M236+$E263</f>
        <v>0</v>
      </c>
      <c r="P263" s="3288">
        <f>P236+$E263</f>
        <v>0</v>
      </c>
      <c r="S263" s="3288">
        <f>S236+$E263</f>
        <v>0</v>
      </c>
      <c r="V263" s="3288">
        <f>V236+$E263</f>
        <v>0</v>
      </c>
      <c r="Y263" s="3288">
        <f>Y236+$E263</f>
        <v>0</v>
      </c>
      <c r="AB263" s="3288">
        <f>AB236+$E263</f>
        <v>0</v>
      </c>
      <c r="AE263" s="3288">
        <f>AE236+$E263</f>
        <v>0</v>
      </c>
      <c r="AH263" s="3288">
        <f>AH236+$E263</f>
        <v>0</v>
      </c>
      <c r="AK263" s="3288">
        <f>AK236+$E263</f>
        <v>0</v>
      </c>
      <c r="AN263" s="3288">
        <f>AN236+$E263</f>
        <v>0</v>
      </c>
      <c r="AQ263" s="3288">
        <f>AQ236+$E263</f>
        <v>0</v>
      </c>
      <c r="AT263" s="3288">
        <f>AT236+$E263</f>
        <v>0</v>
      </c>
      <c r="AV263" s="3290"/>
    </row>
    <row r="264" spans="1:48" ht="12.5">
      <c r="A264" s="3291" t="str">
        <f>$A$237</f>
        <v>MARGEN OPERACIONAL</v>
      </c>
      <c r="B264" s="3292">
        <f>B237+$C264</f>
        <v>0</v>
      </c>
      <c r="C264" s="3293"/>
      <c r="D264" s="3292">
        <f>D237+$C264</f>
        <v>0</v>
      </c>
      <c r="G264" s="3292">
        <f>G237+$C264</f>
        <v>0</v>
      </c>
      <c r="J264" s="3292">
        <f>J237+$C264</f>
        <v>0</v>
      </c>
      <c r="M264" s="3292">
        <f>M237+$C264</f>
        <v>0</v>
      </c>
      <c r="P264" s="3292">
        <f>P237+$C264</f>
        <v>0</v>
      </c>
      <c r="S264" s="3292">
        <f>S237+$C264</f>
        <v>0</v>
      </c>
      <c r="V264" s="3292">
        <f>V237+$C264</f>
        <v>0</v>
      </c>
      <c r="Y264" s="3292">
        <f>Y237+$C264</f>
        <v>0</v>
      </c>
      <c r="AB264" s="3292">
        <f>AB237+$C264</f>
        <v>0</v>
      </c>
      <c r="AE264" s="3292">
        <f>AE237+$C264</f>
        <v>0</v>
      </c>
      <c r="AH264" s="3292">
        <f>AH237+$C264</f>
        <v>0</v>
      </c>
      <c r="AK264" s="3292">
        <f>AK237+$C264</f>
        <v>0</v>
      </c>
      <c r="AN264" s="3292">
        <f>AN237+$C264</f>
        <v>0</v>
      </c>
      <c r="AQ264" s="3292">
        <f>AQ237+$C264</f>
        <v>0</v>
      </c>
      <c r="AT264" s="3292">
        <f>AT237+$C264</f>
        <v>0</v>
      </c>
      <c r="AV264" s="3290"/>
    </row>
    <row r="265" spans="1:48" ht="12.5">
      <c r="A265" s="3291" t="str">
        <f>$A$238</f>
        <v>(DEPRECIACIONES + AMORTIZACIONES) / EGRESOS OPER.</v>
      </c>
      <c r="B265" s="3292">
        <f>B238+$C265</f>
        <v>0</v>
      </c>
      <c r="C265" s="3293"/>
      <c r="D265" s="3292">
        <f>D238+$C265</f>
        <v>0</v>
      </c>
      <c r="G265" s="3292">
        <f>G238+$C265</f>
        <v>0</v>
      </c>
      <c r="J265" s="3292">
        <f>J238+$C265</f>
        <v>0</v>
      </c>
      <c r="M265" s="3292">
        <f>M238+$C265</f>
        <v>0</v>
      </c>
      <c r="P265" s="3292">
        <f>P238+$C265</f>
        <v>0</v>
      </c>
      <c r="S265" s="3292">
        <f>S238+$C265</f>
        <v>0</v>
      </c>
      <c r="V265" s="3292">
        <f>V238+$C265</f>
        <v>0</v>
      </c>
      <c r="Y265" s="3292">
        <f>Y238+$C265</f>
        <v>0</v>
      </c>
      <c r="AB265" s="3292">
        <f>AB238+$C265</f>
        <v>0</v>
      </c>
      <c r="AE265" s="3292">
        <f>AE238+$C265</f>
        <v>0</v>
      </c>
      <c r="AH265" s="3292">
        <f>AH238+$C265</f>
        <v>0</v>
      </c>
      <c r="AK265" s="3292">
        <f>AK238+$C265</f>
        <v>0</v>
      </c>
      <c r="AN265" s="3292">
        <f>AN238+$C265</f>
        <v>0</v>
      </c>
      <c r="AQ265" s="3292">
        <f>AQ238+$C265</f>
        <v>0</v>
      </c>
      <c r="AT265" s="3292">
        <f>AT238+$C265</f>
        <v>0</v>
      </c>
      <c r="AV265" s="3290"/>
    </row>
    <row r="266" spans="1:48" ht="12.5">
      <c r="A266" s="3291" t="str">
        <f>$A$239</f>
        <v>CAPITAL DE TRABAJO / INGRESOS OPERACIONALES</v>
      </c>
      <c r="B266" s="3292">
        <f>B239+$C266</f>
        <v>0</v>
      </c>
      <c r="C266" s="3293"/>
      <c r="D266" s="3292">
        <f>D239+$C266</f>
        <v>0</v>
      </c>
      <c r="G266" s="3292">
        <f>G239+$C266</f>
        <v>0</v>
      </c>
      <c r="J266" s="3292">
        <f>J239+$C266</f>
        <v>0</v>
      </c>
      <c r="M266" s="3292">
        <f>M239+$C266</f>
        <v>0</v>
      </c>
      <c r="P266" s="3292">
        <f>P239+$C266</f>
        <v>0</v>
      </c>
      <c r="S266" s="3292">
        <f>S239+$C266</f>
        <v>0</v>
      </c>
      <c r="V266" s="3292">
        <f>V239+$C266</f>
        <v>0</v>
      </c>
      <c r="Y266" s="3292">
        <f>Y239+$C266</f>
        <v>0</v>
      </c>
      <c r="AB266" s="3292">
        <f>AB239+$C266</f>
        <v>0</v>
      </c>
      <c r="AE266" s="3292">
        <f>AE239+$C266</f>
        <v>0</v>
      </c>
      <c r="AH266" s="3292">
        <f>AH239+$C266</f>
        <v>0</v>
      </c>
      <c r="AK266" s="3292">
        <f>AK239+$C266</f>
        <v>0</v>
      </c>
      <c r="AN266" s="3292">
        <f>AN239+$C266</f>
        <v>0</v>
      </c>
      <c r="AQ266" s="3292">
        <f>AQ239+$C266</f>
        <v>0</v>
      </c>
      <c r="AT266" s="3292">
        <f>AT239+$C266</f>
        <v>0</v>
      </c>
      <c r="AV266" s="3290"/>
    </row>
    <row r="267" spans="1:48" ht="12.5">
      <c r="A267" s="3294" t="str">
        <f>$A$240</f>
        <v>IMPUESTOS / INGRESOS OPERACIONALES</v>
      </c>
      <c r="B267" s="3295">
        <f>B240+$C267</f>
        <v>0</v>
      </c>
      <c r="C267" s="3296"/>
      <c r="D267" s="3295">
        <f>D240+$C267</f>
        <v>0</v>
      </c>
      <c r="G267" s="3295">
        <f>G240+$C267</f>
        <v>0</v>
      </c>
      <c r="J267" s="3295">
        <f>J240+$C267</f>
        <v>0</v>
      </c>
      <c r="M267" s="3295">
        <f>M240+$C267</f>
        <v>0</v>
      </c>
      <c r="P267" s="3295">
        <f>P240+$C267</f>
        <v>0</v>
      </c>
      <c r="S267" s="3295">
        <f>S240+$C267</f>
        <v>0</v>
      </c>
      <c r="V267" s="3295">
        <f>V240+$C267</f>
        <v>0</v>
      </c>
      <c r="Y267" s="3295">
        <f>Y240+$C267</f>
        <v>0</v>
      </c>
      <c r="AB267" s="3295">
        <f>AB240+$C267</f>
        <v>0</v>
      </c>
      <c r="AE267" s="3295">
        <f>AE240+$C267</f>
        <v>0</v>
      </c>
      <c r="AH267" s="3295">
        <f>AH240+$C267</f>
        <v>0</v>
      </c>
      <c r="AK267" s="3295">
        <f>AK240+$C267</f>
        <v>0</v>
      </c>
      <c r="AN267" s="3295">
        <f>AN240+$C267</f>
        <v>0</v>
      </c>
      <c r="AQ267" s="3295">
        <f>AQ240+$C267</f>
        <v>0</v>
      </c>
      <c r="AT267" s="3295">
        <f>AT240+$C267</f>
        <v>0</v>
      </c>
      <c r="AV267" s="3290"/>
    </row>
    <row r="268" spans="1:48" ht="12.5">
      <c r="AV268" s="3290"/>
    </row>
    <row r="269" spans="1:48" ht="12.5">
      <c r="A269" s="3297" t="str">
        <f>$A$242</f>
        <v>FLUJO DE CAJA - PORCIÓN NO OPERATIVA</v>
      </c>
      <c r="AV269" s="3290"/>
    </row>
    <row r="270" spans="1:48" ht="12.5">
      <c r="A270" s="3285" t="str">
        <f>$A$243</f>
        <v>CAJA MÍNIMA REQUERIDA (EN DÍAS DE INGRESOS OPER.)</v>
      </c>
      <c r="B270" s="3286">
        <f>B243+$C270</f>
        <v>0</v>
      </c>
      <c r="C270" s="3298"/>
      <c r="D270" s="3286">
        <f>D243+$C270</f>
        <v>0</v>
      </c>
      <c r="G270" s="3286">
        <f>G243+$C270</f>
        <v>0</v>
      </c>
      <c r="J270" s="3286">
        <f>J243+$C270</f>
        <v>0</v>
      </c>
      <c r="M270" s="3286">
        <f>M243+$C270</f>
        <v>0</v>
      </c>
      <c r="P270" s="3286">
        <f>P243+$C270</f>
        <v>0</v>
      </c>
      <c r="S270" s="3286">
        <f>S243+$C270</f>
        <v>0</v>
      </c>
      <c r="V270" s="3286">
        <f>V243+$C270</f>
        <v>0</v>
      </c>
      <c r="Y270" s="3286">
        <f>Y243+$C270</f>
        <v>0</v>
      </c>
      <c r="AB270" s="3286">
        <f>AB243+$C270</f>
        <v>0</v>
      </c>
      <c r="AE270" s="3286">
        <f>AE243+$C270</f>
        <v>0</v>
      </c>
      <c r="AH270" s="3286">
        <f>AH243+$C270</f>
        <v>0</v>
      </c>
      <c r="AK270" s="3286">
        <f>AK243+$C270</f>
        <v>0</v>
      </c>
      <c r="AN270" s="3286">
        <f>AN243+$C270</f>
        <v>0</v>
      </c>
      <c r="AQ270" s="3286">
        <f>AQ243+$C270</f>
        <v>0</v>
      </c>
      <c r="AT270" s="3286">
        <f>AT243+$C270</f>
        <v>0</v>
      </c>
      <c r="AV270" s="3290"/>
    </row>
    <row r="271" spans="1:48" ht="12.5">
      <c r="A271" s="3291" t="str">
        <f>$A$244</f>
        <v>CAPEX ($MM)</v>
      </c>
      <c r="B271" s="3299">
        <f>B244+$C271</f>
        <v>0</v>
      </c>
      <c r="C271" s="3300"/>
      <c r="D271" s="3299">
        <f>D244+$C271</f>
        <v>0</v>
      </c>
      <c r="G271" s="3299">
        <f>G244+$C271</f>
        <v>0</v>
      </c>
      <c r="J271" s="3299">
        <f>J244+$C271</f>
        <v>0</v>
      </c>
      <c r="M271" s="3299">
        <f>M244+$C271</f>
        <v>0</v>
      </c>
      <c r="P271" s="3299">
        <f>P244+$C271</f>
        <v>0</v>
      </c>
      <c r="S271" s="3299">
        <f>S244+$C271</f>
        <v>0</v>
      </c>
      <c r="V271" s="3299">
        <f>V244+$C271</f>
        <v>0</v>
      </c>
      <c r="Y271" s="3299">
        <f>Y244+$C271</f>
        <v>0</v>
      </c>
      <c r="AB271" s="3299">
        <f>AB244+$C271</f>
        <v>0</v>
      </c>
      <c r="AE271" s="3299">
        <f>AE244+$C271</f>
        <v>0</v>
      </c>
      <c r="AH271" s="3299">
        <f>AH244+$C271</f>
        <v>0</v>
      </c>
      <c r="AK271" s="3299">
        <f>AK244+$C271</f>
        <v>0</v>
      </c>
      <c r="AN271" s="3299">
        <f>AN244+$C271</f>
        <v>0</v>
      </c>
      <c r="AQ271" s="3299">
        <f>AQ244+$C271</f>
        <v>0</v>
      </c>
      <c r="AT271" s="3299">
        <f>AT244+$C271</f>
        <v>0</v>
      </c>
      <c r="AV271" s="3290"/>
    </row>
    <row r="272" spans="1:48" ht="12.5">
      <c r="A272" s="3291" t="str">
        <f>$A$245</f>
        <v>OTROS INGRESOS (EGRESOS) / INGRESOS OPERACIONALES</v>
      </c>
      <c r="B272" s="3292">
        <f>B245+$C272</f>
        <v>0</v>
      </c>
      <c r="C272" s="3293"/>
      <c r="D272" s="3292">
        <f>D245+$C272</f>
        <v>0</v>
      </c>
      <c r="G272" s="3292">
        <f>G245+$C272</f>
        <v>0</v>
      </c>
      <c r="J272" s="3292">
        <f>J245+$C272</f>
        <v>0</v>
      </c>
      <c r="M272" s="3292">
        <f>M245+$C272</f>
        <v>0</v>
      </c>
      <c r="P272" s="3292">
        <f>P245+$C272</f>
        <v>0</v>
      </c>
      <c r="S272" s="3292">
        <f>S245+$C272</f>
        <v>0</v>
      </c>
      <c r="V272" s="3292">
        <f>V245+$C272</f>
        <v>0</v>
      </c>
      <c r="Y272" s="3292">
        <f>Y245+$C272</f>
        <v>0</v>
      </c>
      <c r="AB272" s="3292">
        <f>AB245+$C272</f>
        <v>0</v>
      </c>
      <c r="AE272" s="3292">
        <f>AE245+$C272</f>
        <v>0</v>
      </c>
      <c r="AH272" s="3292">
        <f>AH245+$C272</f>
        <v>0</v>
      </c>
      <c r="AK272" s="3292">
        <f>AK245+$C272</f>
        <v>0</v>
      </c>
      <c r="AN272" s="3292">
        <f>AN245+$C272</f>
        <v>0</v>
      </c>
      <c r="AQ272" s="3292">
        <f>AQ245+$C272</f>
        <v>0</v>
      </c>
      <c r="AT272" s="3292">
        <f>AT245+$C272</f>
        <v>0</v>
      </c>
      <c r="AV272" s="3290"/>
    </row>
    <row r="273" spans="1:48" ht="12.5">
      <c r="A273" s="3291" t="str">
        <f>$A$246</f>
        <v>APORTES DE CAPITAL (EQUITY) ($MM)</v>
      </c>
      <c r="B273" s="3301">
        <f>B246+$C273</f>
        <v>0</v>
      </c>
      <c r="C273" s="3302"/>
      <c r="D273" s="3301">
        <f>D246+$C273</f>
        <v>0</v>
      </c>
      <c r="G273" s="3301">
        <f>G246+$C273</f>
        <v>0</v>
      </c>
      <c r="J273" s="3301">
        <f>J246+$C273</f>
        <v>0</v>
      </c>
      <c r="M273" s="3301">
        <f>M246+$C273</f>
        <v>0</v>
      </c>
      <c r="P273" s="3301">
        <f>P246+$C273</f>
        <v>0</v>
      </c>
      <c r="S273" s="3301">
        <f>S246+$C273</f>
        <v>0</v>
      </c>
      <c r="V273" s="3301">
        <f>V246+$C273</f>
        <v>0</v>
      </c>
      <c r="Y273" s="3301">
        <f>Y246+$C273</f>
        <v>0</v>
      </c>
      <c r="AB273" s="3301">
        <f>AB246+$C273</f>
        <v>0</v>
      </c>
      <c r="AE273" s="3301">
        <f>AE246+$C273</f>
        <v>0</v>
      </c>
      <c r="AH273" s="3301">
        <f>AH246+$C273</f>
        <v>0</v>
      </c>
      <c r="AK273" s="3301">
        <f>AK246+$C273</f>
        <v>0</v>
      </c>
      <c r="AN273" s="3301">
        <f>AN246+$C273</f>
        <v>0</v>
      </c>
      <c r="AQ273" s="3301">
        <f>AQ246+$C273</f>
        <v>0</v>
      </c>
      <c r="AT273" s="3301">
        <f>AT246+$C273</f>
        <v>0</v>
      </c>
      <c r="AV273" s="3290"/>
    </row>
    <row r="274" spans="1:48" ht="12.5">
      <c r="A274" s="3294" t="str">
        <f>$A$247</f>
        <v>PAGO DE EXCEDENTES / INGRESOS OPERACIONALES</v>
      </c>
      <c r="B274" s="3295">
        <f>B247+$C274</f>
        <v>0</v>
      </c>
      <c r="C274" s="3296"/>
      <c r="D274" s="3295">
        <f>D247+$C274</f>
        <v>0</v>
      </c>
      <c r="G274" s="3295">
        <f>G247+$C274</f>
        <v>0</v>
      </c>
      <c r="J274" s="3295">
        <f>J247+$C274</f>
        <v>0</v>
      </c>
      <c r="M274" s="3295">
        <f>M247+$C274</f>
        <v>0</v>
      </c>
      <c r="P274" s="3295">
        <f>P247+$C274</f>
        <v>0</v>
      </c>
      <c r="S274" s="3295">
        <f>S247+$C274</f>
        <v>0</v>
      </c>
      <c r="V274" s="3295">
        <f>V247+$C274</f>
        <v>0</v>
      </c>
      <c r="Y274" s="3295">
        <f>Y247+$C274</f>
        <v>0</v>
      </c>
      <c r="AB274" s="3295">
        <f>AB247+$C274</f>
        <v>0</v>
      </c>
      <c r="AE274" s="3295">
        <f>AE247+$C274</f>
        <v>0</v>
      </c>
      <c r="AH274" s="3295">
        <f>AH247+$C274</f>
        <v>0</v>
      </c>
      <c r="AK274" s="3295">
        <f>AK247+$C274</f>
        <v>0</v>
      </c>
      <c r="AN274" s="3295">
        <f>AN247+$C274</f>
        <v>0</v>
      </c>
      <c r="AQ274" s="3295">
        <f>AQ247+$C274</f>
        <v>0</v>
      </c>
      <c r="AT274" s="3295">
        <f>AT247+$C274</f>
        <v>0</v>
      </c>
      <c r="AV274" s="3290"/>
    </row>
    <row r="275" spans="1:48" ht="12.5">
      <c r="AV275" s="3290"/>
    </row>
    <row r="276" spans="1:48" ht="12.5">
      <c r="A276" s="3297" t="str">
        <f>$A$249</f>
        <v>TASA - OBLIGACIONES FINANCIERAS C.P.</v>
      </c>
      <c r="AV276" s="3290"/>
    </row>
    <row r="277" spans="1:48" ht="12.5">
      <c r="A277" s="3303" t="str">
        <f>$A$250</f>
        <v>TASA FINANCIACIÓN OBLIGACIONES FINANCIERAS C.P.</v>
      </c>
      <c r="B277" s="3304">
        <f>B250+$C277</f>
        <v>0</v>
      </c>
      <c r="C277" s="3289"/>
      <c r="D277" s="3304">
        <f>D250+$C277</f>
        <v>0</v>
      </c>
      <c r="G277" s="3304">
        <f>G250+$C277</f>
        <v>0</v>
      </c>
      <c r="J277" s="3304">
        <f>J250+$C277</f>
        <v>0</v>
      </c>
      <c r="M277" s="3304">
        <f>M250+$C277</f>
        <v>0</v>
      </c>
      <c r="P277" s="3304">
        <f>P250+$C277</f>
        <v>0</v>
      </c>
      <c r="S277" s="3304">
        <f>S250+$C277</f>
        <v>0</v>
      </c>
      <c r="V277" s="3304">
        <f>V250+$C277</f>
        <v>0</v>
      </c>
      <c r="Y277" s="3304">
        <f>Y250+$C277</f>
        <v>0</v>
      </c>
      <c r="AB277" s="3304">
        <f>AB250+$C277</f>
        <v>0</v>
      </c>
      <c r="AE277" s="3304">
        <f>AE250+$C277</f>
        <v>0</v>
      </c>
      <c r="AH277" s="3304">
        <f>AH250+$C277</f>
        <v>0</v>
      </c>
      <c r="AK277" s="3304">
        <f>AK250+$C277</f>
        <v>0</v>
      </c>
      <c r="AN277" s="3304">
        <f>AN250+$C277</f>
        <v>0</v>
      </c>
      <c r="AQ277" s="3304">
        <f>AQ250+$C277</f>
        <v>0</v>
      </c>
      <c r="AT277" s="3304">
        <f>AT250+$C277</f>
        <v>0</v>
      </c>
      <c r="AV277" s="3290"/>
    </row>
    <row r="278" spans="1:48" ht="12.5">
      <c r="A278" s="3303" t="str">
        <f>$A$251</f>
        <v>CÁLCULO INTERESES - OBLIGACIONES C.P.</v>
      </c>
      <c r="B278" s="3305"/>
      <c r="D278" s="3305">
        <f ca="1">D277*B$47</f>
        <v>0</v>
      </c>
      <c r="G278" s="3305">
        <f ca="1">G277*D$47</f>
        <v>0</v>
      </c>
      <c r="J278" s="3305">
        <f ca="1">J277*G$47</f>
        <v>0</v>
      </c>
      <c r="M278" s="3305">
        <f ca="1">M277*J$47</f>
        <v>0</v>
      </c>
      <c r="P278" s="3305">
        <f ca="1">P277*M$47</f>
        <v>0</v>
      </c>
      <c r="S278" s="3305">
        <f ca="1">S277*P$47</f>
        <v>0</v>
      </c>
      <c r="V278" s="3305">
        <f ca="1">V277*S$47</f>
        <v>0</v>
      </c>
      <c r="Y278" s="3305">
        <f ca="1">Y277*V$47</f>
        <v>0</v>
      </c>
      <c r="AB278" s="3305">
        <f ca="1">AB277*Y$47</f>
        <v>0</v>
      </c>
      <c r="AE278" s="3305">
        <f ca="1">AE277*AB$47</f>
        <v>0</v>
      </c>
      <c r="AH278" s="3305">
        <f ca="1">AH277*AE$47</f>
        <v>0</v>
      </c>
      <c r="AK278" s="3305">
        <f ca="1">AK277*AH$47</f>
        <v>0</v>
      </c>
      <c r="AN278" s="3305">
        <f ca="1">AN277*AK$47</f>
        <v>0</v>
      </c>
      <c r="AQ278" s="3305">
        <f ca="1">AQ277*AN$47</f>
        <v>0</v>
      </c>
      <c r="AT278" s="3305">
        <f ca="1">AT277*AQ$47</f>
        <v>0</v>
      </c>
      <c r="AV278" s="3290"/>
    </row>
    <row r="279" spans="1:48" ht="12.5">
      <c r="AV279" s="3290"/>
    </row>
    <row r="280" spans="1:48" ht="12.5">
      <c r="A280" s="3297" t="str">
        <f>$A$253</f>
        <v>VARIABLES MACROECONÓMICAS</v>
      </c>
      <c r="AV280" s="3290"/>
    </row>
    <row r="281" spans="1:48" ht="12.5">
      <c r="A281" s="3285" t="str">
        <f>$A$254</f>
        <v>CRECIMIENTO PIB (VARIACIÓN PORCENTUAL - BASE 1.994)</v>
      </c>
      <c r="B281" s="3306">
        <f ca="1">B254+$C281</f>
        <v>2.7999999999999997E-2</v>
      </c>
      <c r="C281" s="3307"/>
      <c r="D281" s="3306">
        <f ca="1">D254+$C281</f>
        <v>0.03</v>
      </c>
      <c r="G281" s="3306">
        <f ca="1">G254+$C281</f>
        <v>0.03</v>
      </c>
      <c r="J281" s="3306">
        <f ca="1">J254+$C281</f>
        <v>0.03</v>
      </c>
      <c r="M281" s="3306">
        <f ca="1">M254+$C281</f>
        <v>0.03</v>
      </c>
      <c r="P281" s="3306">
        <f ca="1">P254+$C281</f>
        <v>0.03</v>
      </c>
      <c r="S281" s="3306">
        <f ca="1">S254+$C281</f>
        <v>0.03</v>
      </c>
      <c r="V281" s="3306">
        <f ca="1">V254+$C281</f>
        <v>0.03</v>
      </c>
      <c r="Y281" s="3306">
        <f ca="1">Y254+$C281</f>
        <v>0.03</v>
      </c>
      <c r="AB281" s="3306">
        <f ca="1">AB254+$C281</f>
        <v>0.03</v>
      </c>
      <c r="AE281" s="3306">
        <f ca="1">AE254+$C281</f>
        <v>0.03</v>
      </c>
      <c r="AH281" s="3306">
        <f ca="1">AH254+$C281</f>
        <v>0.03</v>
      </c>
      <c r="AK281" s="3306">
        <f ca="1">AK254+$C281</f>
        <v>0.03</v>
      </c>
      <c r="AN281" s="3306">
        <f ca="1">AN254+$C281</f>
        <v>0.03</v>
      </c>
      <c r="AQ281" s="3306">
        <f ca="1">AQ254+$C281</f>
        <v>0.03</v>
      </c>
      <c r="AT281" s="3306">
        <f ca="1">AT254+$C281</f>
        <v>0.03</v>
      </c>
      <c r="AV281" s="3290"/>
    </row>
    <row r="282" spans="1:48" ht="12.5">
      <c r="A282" s="3294" t="str">
        <f>$A$255</f>
        <v>VARIACIÓN PORCENTUAL IPC (INFLACIÓN)</v>
      </c>
      <c r="B282" s="3308">
        <f ca="1">B255+$C282</f>
        <v>3.04E-2</v>
      </c>
      <c r="C282" s="3293"/>
      <c r="D282" s="3308">
        <f ca="1">D255+$C282</f>
        <v>2.5000000000000001E-2</v>
      </c>
      <c r="G282" s="3308">
        <f ca="1">G255+$C282</f>
        <v>0.04</v>
      </c>
      <c r="J282" s="3308">
        <f ca="1">J255+$C282</f>
        <v>0.04</v>
      </c>
      <c r="M282" s="3308">
        <f ca="1">M255+$C282</f>
        <v>0.04</v>
      </c>
      <c r="P282" s="3309">
        <f ca="1">P255+$C282</f>
        <v>0.04</v>
      </c>
      <c r="S282" s="3309">
        <f ca="1">S255+$C282</f>
        <v>0.04</v>
      </c>
      <c r="V282" s="3309">
        <f ca="1">V255+$C282</f>
        <v>0.04</v>
      </c>
      <c r="Y282" s="3309">
        <f ca="1">Y255+$C282</f>
        <v>0.04</v>
      </c>
      <c r="AB282" s="3309">
        <f ca="1">AB255+$C282</f>
        <v>0.04</v>
      </c>
      <c r="AE282" s="3309">
        <f ca="1">AE255+$C282</f>
        <v>0.04</v>
      </c>
      <c r="AH282" s="3309">
        <f ca="1">AH255+$C282</f>
        <v>0.04</v>
      </c>
      <c r="AK282" s="3309">
        <f ca="1">AK255+$C282</f>
        <v>0.04</v>
      </c>
      <c r="AN282" s="3309">
        <f ca="1">AN255+$C282</f>
        <v>0.04</v>
      </c>
      <c r="AQ282" s="3309">
        <f ca="1">AQ255+$C282</f>
        <v>0.04</v>
      </c>
      <c r="AT282" s="3309">
        <f ca="1">AT255+$C282</f>
        <v>0.04</v>
      </c>
      <c r="AV282" s="3290"/>
    </row>
    <row r="283" spans="1:48" ht="12.5">
      <c r="A283" s="3310" t="str">
        <f>$A$256</f>
        <v>VARIACIÓN TRM  (DEVAL./REVAL.) - AÑO CORRIDO</v>
      </c>
      <c r="B283" s="3311">
        <f ca="1">C328</f>
        <v>-3.2398507017312173E-2</v>
      </c>
      <c r="C283" s="3293"/>
      <c r="D283" s="3311">
        <f ca="1">IF(B284=0,"",D284/B284-1)</f>
        <v>2.8731041456016237E-2</v>
      </c>
      <c r="G283" s="3311">
        <f ca="1">IF(D284=0,"",G284/D284-1)</f>
        <v>3.9998427387054392E-2</v>
      </c>
      <c r="J283" s="3311">
        <f ca="1">IF(G284=0,"",J284/G284-1)</f>
        <v>3.5001086843522877E-2</v>
      </c>
      <c r="M283" s="3311">
        <f ca="1">IF(J284=0,"",M284/J284-1)</f>
        <v>3.4999931515917959E-2</v>
      </c>
      <c r="P283" s="3308">
        <f>P256+$C283</f>
        <v>3.5000000000000003E-2</v>
      </c>
      <c r="S283" s="3308">
        <f>S256+$C283</f>
        <v>3.5000000000000003E-2</v>
      </c>
      <c r="V283" s="3308">
        <f>V256+$C283</f>
        <v>3.5000000000000003E-2</v>
      </c>
      <c r="Y283" s="3308">
        <f>Y256+$C283</f>
        <v>3.5000000000000003E-2</v>
      </c>
      <c r="AB283" s="3308">
        <f>AB256+$C283</f>
        <v>3.5000000000000003E-2</v>
      </c>
      <c r="AE283" s="3308">
        <f>AE256+$C283</f>
        <v>3.5000000000000003E-2</v>
      </c>
      <c r="AH283" s="3308">
        <f>AH256+$C283</f>
        <v>3.5000000000000003E-2</v>
      </c>
      <c r="AK283" s="3308">
        <f>AK256+$C283</f>
        <v>3.5000000000000003E-2</v>
      </c>
      <c r="AN283" s="3308">
        <f>AN256+$C283</f>
        <v>3.5000000000000003E-2</v>
      </c>
      <c r="AQ283" s="3308">
        <f>AQ256+$C283</f>
        <v>3.5000000000000003E-2</v>
      </c>
      <c r="AT283" s="3308">
        <f>AT256+$C283</f>
        <v>3.5000000000000003E-2</v>
      </c>
      <c r="AV283" s="3290"/>
    </row>
    <row r="284" spans="1:48" ht="12.5">
      <c r="A284" s="3285" t="str">
        <f>$A$257</f>
        <v>TRM A 31 DE DICIEMBRE (COP POR 1 USD)</v>
      </c>
      <c r="B284" s="3312">
        <f ca="1">B257+$C284</f>
        <v>1978</v>
      </c>
      <c r="C284" s="3313"/>
      <c r="D284" s="3312">
        <f ca="1">D257+$C284</f>
        <v>2034.83</v>
      </c>
      <c r="G284" s="3312">
        <f ca="1">G257+$C284</f>
        <v>2116.2199999999998</v>
      </c>
      <c r="J284" s="3312">
        <f ca="1">J257+$C284</f>
        <v>2190.29</v>
      </c>
      <c r="M284" s="3312">
        <f ca="1">M257+$C284</f>
        <v>2266.9499999999998</v>
      </c>
      <c r="P284" s="3314">
        <f ca="1">M284*(1+P283)</f>
        <v>2346.2932499999997</v>
      </c>
      <c r="S284" s="3314">
        <f ca="1">P284*(1+S283)</f>
        <v>2428.4135137499993</v>
      </c>
      <c r="V284" s="3314">
        <f ca="1">S284*(1+V283)</f>
        <v>2513.4079867312489</v>
      </c>
      <c r="Y284" s="3314">
        <f ca="1">V284*(1+Y283)</f>
        <v>2601.3772662668425</v>
      </c>
      <c r="AB284" s="3314">
        <f ca="1">Y284*(1+AB283)</f>
        <v>2692.4254705861817</v>
      </c>
      <c r="AE284" s="3314">
        <f ca="1">AB284*(1+AE283)</f>
        <v>2786.660362056698</v>
      </c>
      <c r="AH284" s="3314">
        <f ca="1">AE284*(1+AH283)</f>
        <v>2884.1934747286823</v>
      </c>
      <c r="AK284" s="3314">
        <f ca="1">AH284*(1+AK283)</f>
        <v>2985.1402463441859</v>
      </c>
      <c r="AN284" s="3314">
        <f ca="1">AK284*(1+AN283)</f>
        <v>3089.6201549662323</v>
      </c>
      <c r="AQ284" s="3314">
        <f ca="1">AN284*(1+AQ283)</f>
        <v>3197.7568603900504</v>
      </c>
      <c r="AT284" s="3314">
        <f ca="1">AQ284*(1+AT283)</f>
        <v>3309.6783505037019</v>
      </c>
      <c r="AV284" s="3290"/>
    </row>
    <row r="285" spans="1:48" ht="13" thickBot="1">
      <c r="A285" s="3315" t="str">
        <f>$A$258</f>
        <v>DTF E.A.</v>
      </c>
      <c r="B285" s="3316">
        <f>B258+$C285</f>
        <v>4.1635332757903119E-2</v>
      </c>
      <c r="C285" s="3317"/>
      <c r="D285" s="3316">
        <f>D258+$C285</f>
        <v>4.5342834547292377E-2</v>
      </c>
      <c r="E285" s="3318"/>
      <c r="F285" s="3318"/>
      <c r="G285" s="3316">
        <f>G258+$C285</f>
        <v>4.5342834547292377E-2</v>
      </c>
      <c r="H285" s="3318"/>
      <c r="I285" s="3318"/>
      <c r="J285" s="3316">
        <f>J258+$C285</f>
        <v>4.5342834547292377E-2</v>
      </c>
      <c r="K285" s="3318"/>
      <c r="L285" s="3318"/>
      <c r="M285" s="3316">
        <f>M258+$C285</f>
        <v>4.5342834547292377E-2</v>
      </c>
      <c r="N285" s="3318"/>
      <c r="O285" s="3318"/>
      <c r="P285" s="3319">
        <f>P258+$C285</f>
        <v>4.5342834547292377E-2</v>
      </c>
      <c r="Q285" s="3318"/>
      <c r="R285" s="3318"/>
      <c r="S285" s="3319">
        <f>S258+$C285</f>
        <v>4.5342834547292377E-2</v>
      </c>
      <c r="T285" s="3318"/>
      <c r="U285" s="3318"/>
      <c r="V285" s="3319">
        <f>V258+$C285</f>
        <v>4.5342834547292377E-2</v>
      </c>
      <c r="W285" s="3318"/>
      <c r="X285" s="3318"/>
      <c r="Y285" s="3319">
        <f>Y258+$C285</f>
        <v>4.5342834547292377E-2</v>
      </c>
      <c r="Z285" s="3318"/>
      <c r="AA285" s="3318"/>
      <c r="AB285" s="3319">
        <f>AB258+$C285</f>
        <v>4.5342834547292377E-2</v>
      </c>
      <c r="AC285" s="3318"/>
      <c r="AD285" s="3318"/>
      <c r="AE285" s="3319">
        <f>AE258+$C285</f>
        <v>4.5342834547292377E-2</v>
      </c>
      <c r="AF285" s="3318"/>
      <c r="AG285" s="3318"/>
      <c r="AH285" s="3319">
        <f>AH258+$C285</f>
        <v>4.5342834547292377E-2</v>
      </c>
      <c r="AI285" s="3318"/>
      <c r="AJ285" s="3318"/>
      <c r="AK285" s="3319">
        <f>AK258+$C285</f>
        <v>4.5342834547292377E-2</v>
      </c>
      <c r="AL285" s="3318"/>
      <c r="AM285" s="3318"/>
      <c r="AN285" s="3319">
        <f>AN258+$C285</f>
        <v>4.5342834547292377E-2</v>
      </c>
      <c r="AO285" s="3318"/>
      <c r="AP285" s="3318"/>
      <c r="AQ285" s="3319">
        <f>AQ258+$C285</f>
        <v>4.5342834547292377E-2</v>
      </c>
      <c r="AR285" s="3318"/>
      <c r="AS285" s="3318"/>
      <c r="AT285" s="3319">
        <f>AT258+$C285</f>
        <v>4.5342834547292377E-2</v>
      </c>
      <c r="AU285" s="3318"/>
      <c r="AV285" s="3320"/>
    </row>
    <row r="286" spans="1:48" ht="13" thickBot="1"/>
    <row r="287" spans="1:48" ht="13" thickBot="1">
      <c r="A287" s="3321" t="str">
        <f>"PROYECCIÓN ESCENARIO "&amp;$B$319</f>
        <v>PROYECCIÓN ESCENARIO SENSIBILIZADO 2</v>
      </c>
    </row>
    <row r="288" spans="1:48" ht="13" thickBot="1"/>
    <row r="289" spans="1:48" ht="12.5">
      <c r="A289" s="3322" t="str">
        <f>$A$235</f>
        <v>FLUJO DE CAJA LIBRE OPERATIVO</v>
      </c>
      <c r="B289" s="3323">
        <f ca="1">B$11</f>
        <v>2023</v>
      </c>
      <c r="C289" s="3324" t="s">
        <v>2106</v>
      </c>
      <c r="D289" s="3323">
        <f ca="1">D$11</f>
        <v>2024</v>
      </c>
      <c r="E289" s="3324" t="s">
        <v>1377</v>
      </c>
      <c r="F289" s="3325"/>
      <c r="G289" s="3323">
        <f ca="1">G$11</f>
        <v>2025</v>
      </c>
      <c r="H289" s="3325"/>
      <c r="I289" s="3325"/>
      <c r="J289" s="3323">
        <f ca="1">J$11</f>
        <v>2026</v>
      </c>
      <c r="K289" s="3325"/>
      <c r="L289" s="3325"/>
      <c r="M289" s="3323">
        <f ca="1">M$11</f>
        <v>2027</v>
      </c>
      <c r="N289" s="3325"/>
      <c r="O289" s="3325"/>
      <c r="P289" s="3323">
        <f ca="1">P$11</f>
        <v>2028</v>
      </c>
      <c r="Q289" s="3325"/>
      <c r="R289" s="3325"/>
      <c r="S289" s="3323">
        <f ca="1">S$11</f>
        <v>2029</v>
      </c>
      <c r="T289" s="3325"/>
      <c r="U289" s="3325"/>
      <c r="V289" s="3323">
        <f ca="1">V$11</f>
        <v>2030</v>
      </c>
      <c r="W289" s="3325"/>
      <c r="X289" s="3325"/>
      <c r="Y289" s="3323">
        <f ca="1">Y$11</f>
        <v>2031</v>
      </c>
      <c r="Z289" s="3325"/>
      <c r="AA289" s="3325"/>
      <c r="AB289" s="3323">
        <f ca="1">AB$11</f>
        <v>2032</v>
      </c>
      <c r="AC289" s="3325"/>
      <c r="AD289" s="3325"/>
      <c r="AE289" s="3323">
        <f ca="1">AE$11</f>
        <v>2033</v>
      </c>
      <c r="AF289" s="3325"/>
      <c r="AG289" s="3325"/>
      <c r="AH289" s="3323">
        <f ca="1">AH$11</f>
        <v>2034</v>
      </c>
      <c r="AI289" s="3325"/>
      <c r="AJ289" s="3325"/>
      <c r="AK289" s="3323">
        <f ca="1">AK$11</f>
        <v>2035</v>
      </c>
      <c r="AL289" s="3325"/>
      <c r="AM289" s="3325"/>
      <c r="AN289" s="3323">
        <f ca="1">AN$11</f>
        <v>2036</v>
      </c>
      <c r="AO289" s="3325"/>
      <c r="AP289" s="3325"/>
      <c r="AQ289" s="3323">
        <f ca="1">AQ$11</f>
        <v>2037</v>
      </c>
      <c r="AR289" s="3325"/>
      <c r="AS289" s="3325"/>
      <c r="AT289" s="3323">
        <f ca="1">AT$11</f>
        <v>2038</v>
      </c>
      <c r="AU289" s="3325"/>
      <c r="AV289" s="3326"/>
    </row>
    <row r="290" spans="1:48" ht="12.5">
      <c r="A290" s="3327" t="str">
        <f>$A$236</f>
        <v>INGRESOS OPERACIONALES (COL B.  - $MM / COL. D - VAR. %)</v>
      </c>
      <c r="B290" s="3328">
        <f>B236+$C290</f>
        <v>0</v>
      </c>
      <c r="C290" s="3329"/>
      <c r="D290" s="3330">
        <f>D236+$E290</f>
        <v>0</v>
      </c>
      <c r="E290" s="3331"/>
      <c r="G290" s="3330">
        <f>G236+$E290</f>
        <v>0</v>
      </c>
      <c r="J290" s="3330">
        <f>J236+$E290</f>
        <v>0</v>
      </c>
      <c r="M290" s="3330">
        <f>M236+$E290</f>
        <v>0</v>
      </c>
      <c r="P290" s="3330">
        <f>P236+$E290</f>
        <v>0</v>
      </c>
      <c r="S290" s="3330">
        <f>S236+$E290</f>
        <v>0</v>
      </c>
      <c r="V290" s="3330">
        <f>V236+$E290</f>
        <v>0</v>
      </c>
      <c r="Y290" s="3330">
        <f>Y236+$E290</f>
        <v>0</v>
      </c>
      <c r="AB290" s="3330">
        <f>AB236+$E290</f>
        <v>0</v>
      </c>
      <c r="AE290" s="3330">
        <f>AE236+$E290</f>
        <v>0</v>
      </c>
      <c r="AH290" s="3330">
        <f>AH236+$E290</f>
        <v>0</v>
      </c>
      <c r="AK290" s="3330">
        <f>AK236+$E290</f>
        <v>0</v>
      </c>
      <c r="AN290" s="3330">
        <f>AN236+$E290</f>
        <v>0</v>
      </c>
      <c r="AQ290" s="3330">
        <f>AQ236+$E290</f>
        <v>0</v>
      </c>
      <c r="AT290" s="3330">
        <f>AT236+$E290</f>
        <v>0</v>
      </c>
      <c r="AV290" s="3332"/>
    </row>
    <row r="291" spans="1:48" ht="12.5">
      <c r="A291" s="3333" t="str">
        <f>$A$237</f>
        <v>MARGEN OPERACIONAL</v>
      </c>
      <c r="B291" s="3334">
        <f>B237+$C291</f>
        <v>0</v>
      </c>
      <c r="C291" s="3335"/>
      <c r="D291" s="3334">
        <f>D237+$C291</f>
        <v>0</v>
      </c>
      <c r="G291" s="3334">
        <f>G237+$C291</f>
        <v>0</v>
      </c>
      <c r="J291" s="3334">
        <f>J237+$C291</f>
        <v>0</v>
      </c>
      <c r="M291" s="3334">
        <f>M237+$C291</f>
        <v>0</v>
      </c>
      <c r="P291" s="3334">
        <f>P237+$C291</f>
        <v>0</v>
      </c>
      <c r="S291" s="3334">
        <f>S237+$C291</f>
        <v>0</v>
      </c>
      <c r="V291" s="3334">
        <f>V237+$C291</f>
        <v>0</v>
      </c>
      <c r="Y291" s="3334">
        <f>Y237+$C291</f>
        <v>0</v>
      </c>
      <c r="AB291" s="3334">
        <f>AB237+$C291</f>
        <v>0</v>
      </c>
      <c r="AE291" s="3334">
        <f>AE237+$C291</f>
        <v>0</v>
      </c>
      <c r="AH291" s="3334">
        <f>AH237+$C291</f>
        <v>0</v>
      </c>
      <c r="AK291" s="3334">
        <f>AK237+$C291</f>
        <v>0</v>
      </c>
      <c r="AN291" s="3334">
        <f>AN237+$C291</f>
        <v>0</v>
      </c>
      <c r="AQ291" s="3334">
        <f>AQ237+$C291</f>
        <v>0</v>
      </c>
      <c r="AT291" s="3334">
        <f>AT237+$C291</f>
        <v>0</v>
      </c>
      <c r="AV291" s="3332"/>
    </row>
    <row r="292" spans="1:48" ht="12.5">
      <c r="A292" s="3333" t="str">
        <f>$A$238</f>
        <v>(DEPRECIACIONES + AMORTIZACIONES) / EGRESOS OPER.</v>
      </c>
      <c r="B292" s="3334">
        <f>B238+$C292</f>
        <v>0</v>
      </c>
      <c r="C292" s="3335"/>
      <c r="D292" s="3334">
        <f>D238+$C292</f>
        <v>0</v>
      </c>
      <c r="G292" s="3334">
        <f>G238+$C292</f>
        <v>0</v>
      </c>
      <c r="J292" s="3334">
        <f>J238+$C292</f>
        <v>0</v>
      </c>
      <c r="M292" s="3334">
        <f>M238+$C292</f>
        <v>0</v>
      </c>
      <c r="P292" s="3334">
        <f>P238+$C292</f>
        <v>0</v>
      </c>
      <c r="S292" s="3334">
        <f>S238+$C292</f>
        <v>0</v>
      </c>
      <c r="V292" s="3334">
        <f>V238+$C292</f>
        <v>0</v>
      </c>
      <c r="Y292" s="3334">
        <f>Y238+$C292</f>
        <v>0</v>
      </c>
      <c r="AB292" s="3334">
        <f>AB238+$C292</f>
        <v>0</v>
      </c>
      <c r="AE292" s="3334">
        <f>AE238+$C292</f>
        <v>0</v>
      </c>
      <c r="AH292" s="3334">
        <f>AH238+$C292</f>
        <v>0</v>
      </c>
      <c r="AK292" s="3334">
        <f>AK238+$C292</f>
        <v>0</v>
      </c>
      <c r="AN292" s="3334">
        <f>AN238+$C292</f>
        <v>0</v>
      </c>
      <c r="AQ292" s="3334">
        <f>AQ238+$C292</f>
        <v>0</v>
      </c>
      <c r="AT292" s="3334">
        <f>AT238+$C292</f>
        <v>0</v>
      </c>
      <c r="AV292" s="3332"/>
    </row>
    <row r="293" spans="1:48" ht="12.5">
      <c r="A293" s="3333" t="str">
        <f>$A$239</f>
        <v>CAPITAL DE TRABAJO / INGRESOS OPERACIONALES</v>
      </c>
      <c r="B293" s="3334">
        <f>B239+$C293</f>
        <v>0</v>
      </c>
      <c r="C293" s="3335"/>
      <c r="D293" s="3334">
        <f>D239+$C293</f>
        <v>0</v>
      </c>
      <c r="G293" s="3334">
        <f>G239+$C293</f>
        <v>0</v>
      </c>
      <c r="J293" s="3334">
        <f>J239+$C293</f>
        <v>0</v>
      </c>
      <c r="M293" s="3334">
        <f>M239+$C293</f>
        <v>0</v>
      </c>
      <c r="P293" s="3334">
        <f>P239+$C293</f>
        <v>0</v>
      </c>
      <c r="S293" s="3334">
        <f>S239+$C293</f>
        <v>0</v>
      </c>
      <c r="V293" s="3334">
        <f>V239+$C293</f>
        <v>0</v>
      </c>
      <c r="Y293" s="3334">
        <f>Y239+$C293</f>
        <v>0</v>
      </c>
      <c r="AB293" s="3334">
        <f>AB239+$C293</f>
        <v>0</v>
      </c>
      <c r="AE293" s="3334">
        <f>AE239+$C293</f>
        <v>0</v>
      </c>
      <c r="AH293" s="3334">
        <f>AH239+$C293</f>
        <v>0</v>
      </c>
      <c r="AK293" s="3334">
        <f>AK239+$C293</f>
        <v>0</v>
      </c>
      <c r="AN293" s="3334">
        <f>AN239+$C293</f>
        <v>0</v>
      </c>
      <c r="AQ293" s="3334">
        <f>AQ239+$C293</f>
        <v>0</v>
      </c>
      <c r="AT293" s="3334">
        <f>AT239+$C293</f>
        <v>0</v>
      </c>
      <c r="AV293" s="3332"/>
    </row>
    <row r="294" spans="1:48" ht="12.5">
      <c r="A294" s="3336" t="str">
        <f>$A$240</f>
        <v>IMPUESTOS / INGRESOS OPERACIONALES</v>
      </c>
      <c r="B294" s="3337">
        <f>B240+$C294</f>
        <v>0</v>
      </c>
      <c r="C294" s="3338"/>
      <c r="D294" s="3337">
        <f>D240+$C294</f>
        <v>0</v>
      </c>
      <c r="G294" s="3337">
        <f>G240+$C294</f>
        <v>0</v>
      </c>
      <c r="J294" s="3337">
        <f>J240+$C294</f>
        <v>0</v>
      </c>
      <c r="M294" s="3337">
        <f>M240+$C294</f>
        <v>0</v>
      </c>
      <c r="P294" s="3337">
        <f>P240+$C294</f>
        <v>0</v>
      </c>
      <c r="S294" s="3337">
        <f>S240+$C294</f>
        <v>0</v>
      </c>
      <c r="V294" s="3337">
        <f>V240+$C294</f>
        <v>0</v>
      </c>
      <c r="Y294" s="3337">
        <f>Y240+$C294</f>
        <v>0</v>
      </c>
      <c r="AB294" s="3337">
        <f>AB240+$C294</f>
        <v>0</v>
      </c>
      <c r="AE294" s="3337">
        <f>AE240+$C294</f>
        <v>0</v>
      </c>
      <c r="AH294" s="3337">
        <f>AH240+$C294</f>
        <v>0</v>
      </c>
      <c r="AK294" s="3337">
        <f>AK240+$C294</f>
        <v>0</v>
      </c>
      <c r="AN294" s="3337">
        <f>AN240+$C294</f>
        <v>0</v>
      </c>
      <c r="AQ294" s="3337">
        <f>AQ240+$C294</f>
        <v>0</v>
      </c>
      <c r="AT294" s="3337">
        <f>AT240+$C294</f>
        <v>0</v>
      </c>
      <c r="AV294" s="3332"/>
    </row>
    <row r="295" spans="1:48" ht="12.5">
      <c r="AV295" s="3332"/>
    </row>
    <row r="296" spans="1:48" ht="12.5">
      <c r="A296" s="3339" t="str">
        <f>$A$242</f>
        <v>FLUJO DE CAJA - PORCIÓN NO OPERATIVA</v>
      </c>
      <c r="AV296" s="3332"/>
    </row>
    <row r="297" spans="1:48" ht="12.5">
      <c r="A297" s="3327" t="str">
        <f>$A$243</f>
        <v>CAJA MÍNIMA REQUERIDA (EN DÍAS DE INGRESOS OPER.)</v>
      </c>
      <c r="B297" s="3328">
        <f>B243+$C297</f>
        <v>0</v>
      </c>
      <c r="C297" s="3340"/>
      <c r="D297" s="3328">
        <f>D243+$C297</f>
        <v>0</v>
      </c>
      <c r="G297" s="3328">
        <f>G243+$C297</f>
        <v>0</v>
      </c>
      <c r="J297" s="3328">
        <f>J243+$C297</f>
        <v>0</v>
      </c>
      <c r="M297" s="3328">
        <f>M243+$C297</f>
        <v>0</v>
      </c>
      <c r="P297" s="3328">
        <f>P243+$C297</f>
        <v>0</v>
      </c>
      <c r="S297" s="3328">
        <f>S243+$C297</f>
        <v>0</v>
      </c>
      <c r="V297" s="3328">
        <f>V243+$C297</f>
        <v>0</v>
      </c>
      <c r="Y297" s="3328">
        <f>Y243+$C297</f>
        <v>0</v>
      </c>
      <c r="AB297" s="3328">
        <f>AB243+$C297</f>
        <v>0</v>
      </c>
      <c r="AE297" s="3328">
        <f>AE243+$C297</f>
        <v>0</v>
      </c>
      <c r="AH297" s="3328">
        <f>AH243+$C297</f>
        <v>0</v>
      </c>
      <c r="AK297" s="3328">
        <f>AK243+$C297</f>
        <v>0</v>
      </c>
      <c r="AN297" s="3328">
        <f>AN243+$C297</f>
        <v>0</v>
      </c>
      <c r="AQ297" s="3328">
        <f>AQ243+$C297</f>
        <v>0</v>
      </c>
      <c r="AT297" s="3328">
        <f>AT243+$C297</f>
        <v>0</v>
      </c>
      <c r="AV297" s="3332"/>
    </row>
    <row r="298" spans="1:48" ht="12.5">
      <c r="A298" s="3333" t="str">
        <f>$A$244</f>
        <v>CAPEX ($MM)</v>
      </c>
      <c r="B298" s="3341">
        <f>B244+$C298</f>
        <v>0</v>
      </c>
      <c r="C298" s="3342"/>
      <c r="D298" s="3341">
        <f>D244+$C298</f>
        <v>0</v>
      </c>
      <c r="G298" s="3341">
        <f>G244+$C298</f>
        <v>0</v>
      </c>
      <c r="J298" s="3341">
        <f>J244+$C298</f>
        <v>0</v>
      </c>
      <c r="M298" s="3341">
        <f>M244+$C298</f>
        <v>0</v>
      </c>
      <c r="P298" s="3341">
        <f>P244+$C298</f>
        <v>0</v>
      </c>
      <c r="S298" s="3341">
        <f>S244+$C298</f>
        <v>0</v>
      </c>
      <c r="V298" s="3341">
        <f>V244+$C298</f>
        <v>0</v>
      </c>
      <c r="Y298" s="3341">
        <f>Y244+$C298</f>
        <v>0</v>
      </c>
      <c r="AB298" s="3341">
        <f>AB244+$C298</f>
        <v>0</v>
      </c>
      <c r="AE298" s="3341">
        <f>AE244+$C298</f>
        <v>0</v>
      </c>
      <c r="AH298" s="3341">
        <f>AH244+$C298</f>
        <v>0</v>
      </c>
      <c r="AK298" s="3341">
        <f>AK244+$C298</f>
        <v>0</v>
      </c>
      <c r="AN298" s="3341">
        <f>AN244+$C298</f>
        <v>0</v>
      </c>
      <c r="AQ298" s="3341">
        <f>AQ244+$C298</f>
        <v>0</v>
      </c>
      <c r="AT298" s="3341">
        <f>AT244+$C298</f>
        <v>0</v>
      </c>
      <c r="AV298" s="3332"/>
    </row>
    <row r="299" spans="1:48" ht="12.5">
      <c r="A299" s="3333" t="str">
        <f>$A$245</f>
        <v>OTROS INGRESOS (EGRESOS) / INGRESOS OPERACIONALES</v>
      </c>
      <c r="B299" s="3334">
        <f>B245+$C299</f>
        <v>0</v>
      </c>
      <c r="C299" s="3335"/>
      <c r="D299" s="3334">
        <f>D245+$C299</f>
        <v>0</v>
      </c>
      <c r="G299" s="3334">
        <f>G245+$C299</f>
        <v>0</v>
      </c>
      <c r="J299" s="3334">
        <f>J245+$C299</f>
        <v>0</v>
      </c>
      <c r="M299" s="3334">
        <f>M245+$C299</f>
        <v>0</v>
      </c>
      <c r="P299" s="3334">
        <f>P245+$C299</f>
        <v>0</v>
      </c>
      <c r="S299" s="3334">
        <f>S245+$C299</f>
        <v>0</v>
      </c>
      <c r="V299" s="3334">
        <f>V245+$C299</f>
        <v>0</v>
      </c>
      <c r="Y299" s="3334">
        <f>Y245+$C299</f>
        <v>0</v>
      </c>
      <c r="AB299" s="3334">
        <f>AB245+$C299</f>
        <v>0</v>
      </c>
      <c r="AE299" s="3334">
        <f>AE245+$C299</f>
        <v>0</v>
      </c>
      <c r="AH299" s="3334">
        <f>AH245+$C299</f>
        <v>0</v>
      </c>
      <c r="AK299" s="3334">
        <f>AK245+$C299</f>
        <v>0</v>
      </c>
      <c r="AN299" s="3334">
        <f>AN245+$C299</f>
        <v>0</v>
      </c>
      <c r="AQ299" s="3334">
        <f>AQ245+$C299</f>
        <v>0</v>
      </c>
      <c r="AT299" s="3334">
        <f>AT245+$C299</f>
        <v>0</v>
      </c>
      <c r="AV299" s="3332"/>
    </row>
    <row r="300" spans="1:48" ht="12.5">
      <c r="A300" s="3333" t="str">
        <f>$A$246</f>
        <v>APORTES DE CAPITAL (EQUITY) ($MM)</v>
      </c>
      <c r="B300" s="3343">
        <f>B246+$C300</f>
        <v>0</v>
      </c>
      <c r="C300" s="3344"/>
      <c r="D300" s="3343">
        <f>D246+$C300</f>
        <v>0</v>
      </c>
      <c r="G300" s="3343">
        <f>G246+$C300</f>
        <v>0</v>
      </c>
      <c r="J300" s="3343">
        <f>J246+$C300</f>
        <v>0</v>
      </c>
      <c r="M300" s="3343">
        <f>M246+$C300</f>
        <v>0</v>
      </c>
      <c r="P300" s="3343">
        <f>P246+$C300</f>
        <v>0</v>
      </c>
      <c r="S300" s="3343">
        <f>S246+$C300</f>
        <v>0</v>
      </c>
      <c r="V300" s="3343">
        <f>V246+$C300</f>
        <v>0</v>
      </c>
      <c r="Y300" s="3343">
        <f>Y246+$C300</f>
        <v>0</v>
      </c>
      <c r="AB300" s="3343">
        <f>AB246+$C300</f>
        <v>0</v>
      </c>
      <c r="AE300" s="3343">
        <f>AE246+$C300</f>
        <v>0</v>
      </c>
      <c r="AH300" s="3343">
        <f>AH246+$C300</f>
        <v>0</v>
      </c>
      <c r="AK300" s="3343">
        <f>AK246+$C300</f>
        <v>0</v>
      </c>
      <c r="AN300" s="3343">
        <f>AN246+$C300</f>
        <v>0</v>
      </c>
      <c r="AQ300" s="3343">
        <f>AQ246+$C300</f>
        <v>0</v>
      </c>
      <c r="AT300" s="3343">
        <f>AT246+$C300</f>
        <v>0</v>
      </c>
      <c r="AV300" s="3332"/>
    </row>
    <row r="301" spans="1:48" ht="12.5">
      <c r="A301" s="3336" t="str">
        <f>$A$247</f>
        <v>PAGO DE EXCEDENTES / INGRESOS OPERACIONALES</v>
      </c>
      <c r="B301" s="3337">
        <f>B247+$C301</f>
        <v>0</v>
      </c>
      <c r="C301" s="3338"/>
      <c r="D301" s="3337">
        <f>D247+$C301</f>
        <v>0</v>
      </c>
      <c r="G301" s="3337">
        <f>G247+$C301</f>
        <v>0</v>
      </c>
      <c r="J301" s="3337">
        <f>J247+$C301</f>
        <v>0</v>
      </c>
      <c r="M301" s="3337">
        <f>M247+$C301</f>
        <v>0</v>
      </c>
      <c r="P301" s="3337">
        <f>P247+$C301</f>
        <v>0</v>
      </c>
      <c r="S301" s="3337">
        <f>S247+$C301</f>
        <v>0</v>
      </c>
      <c r="V301" s="3337">
        <f>V247+$C301</f>
        <v>0</v>
      </c>
      <c r="Y301" s="3337">
        <f>Y247+$C301</f>
        <v>0</v>
      </c>
      <c r="AB301" s="3337">
        <f>AB247+$C301</f>
        <v>0</v>
      </c>
      <c r="AE301" s="3337">
        <f>AE247+$C301</f>
        <v>0</v>
      </c>
      <c r="AH301" s="3337">
        <f>AH247+$C301</f>
        <v>0</v>
      </c>
      <c r="AK301" s="3337">
        <f>AK247+$C301</f>
        <v>0</v>
      </c>
      <c r="AN301" s="3337">
        <f>AN247+$C301</f>
        <v>0</v>
      </c>
      <c r="AQ301" s="3337">
        <f>AQ247+$C301</f>
        <v>0</v>
      </c>
      <c r="AT301" s="3337">
        <f>AT247+$C301</f>
        <v>0</v>
      </c>
      <c r="AV301" s="3332"/>
    </row>
    <row r="302" spans="1:48" ht="12.5">
      <c r="AV302" s="3332"/>
    </row>
    <row r="303" spans="1:48" ht="12.5">
      <c r="A303" s="3339" t="str">
        <f>$A$249</f>
        <v>TASA - OBLIGACIONES FINANCIERAS C.P.</v>
      </c>
      <c r="AV303" s="3332"/>
    </row>
    <row r="304" spans="1:48" ht="12.5">
      <c r="A304" s="3345" t="str">
        <f>$A$250</f>
        <v>TASA FINANCIACIÓN OBLIGACIONES FINANCIERAS C.P.</v>
      </c>
      <c r="B304" s="3346">
        <f>B250+$C304</f>
        <v>0</v>
      </c>
      <c r="C304" s="3331"/>
      <c r="D304" s="3346">
        <f>D250+$C304</f>
        <v>0</v>
      </c>
      <c r="G304" s="3346">
        <f>G250+$C304</f>
        <v>0</v>
      </c>
      <c r="J304" s="3346">
        <f>J250+$C304</f>
        <v>0</v>
      </c>
      <c r="M304" s="3346">
        <f>M250+$C304</f>
        <v>0</v>
      </c>
      <c r="P304" s="3346">
        <f>P250+$C304</f>
        <v>0</v>
      </c>
      <c r="S304" s="3346">
        <f>S250+$C304</f>
        <v>0</v>
      </c>
      <c r="V304" s="3346">
        <f>V250+$C304</f>
        <v>0</v>
      </c>
      <c r="Y304" s="3346">
        <f>Y250+$C304</f>
        <v>0</v>
      </c>
      <c r="AB304" s="3346">
        <f>AB250+$C304</f>
        <v>0</v>
      </c>
      <c r="AE304" s="3346">
        <f>AE250+$C304</f>
        <v>0</v>
      </c>
      <c r="AH304" s="3346">
        <f>AH250+$C304</f>
        <v>0</v>
      </c>
      <c r="AK304" s="3346">
        <f>AK250+$C304</f>
        <v>0</v>
      </c>
      <c r="AN304" s="3346">
        <f>AN250+$C304</f>
        <v>0</v>
      </c>
      <c r="AQ304" s="3346">
        <f>AQ250+$C304</f>
        <v>0</v>
      </c>
      <c r="AT304" s="3346">
        <f>AT250+$C304</f>
        <v>0</v>
      </c>
      <c r="AV304" s="3332"/>
    </row>
    <row r="305" spans="1:48" ht="12.5">
      <c r="A305" s="3345" t="str">
        <f>$A$251</f>
        <v>CÁLCULO INTERESES - OBLIGACIONES C.P.</v>
      </c>
      <c r="B305" s="3347"/>
      <c r="D305" s="3347">
        <f ca="1">D304*B$47</f>
        <v>0</v>
      </c>
      <c r="G305" s="3347">
        <f ca="1">G304*D$47</f>
        <v>0</v>
      </c>
      <c r="J305" s="3347">
        <f ca="1">J304*G$47</f>
        <v>0</v>
      </c>
      <c r="M305" s="3347">
        <f ca="1">M304*J$47</f>
        <v>0</v>
      </c>
      <c r="P305" s="3347">
        <f ca="1">P304*M$47</f>
        <v>0</v>
      </c>
      <c r="S305" s="3347">
        <f ca="1">S304*P$47</f>
        <v>0</v>
      </c>
      <c r="V305" s="3347">
        <f ca="1">V304*S$47</f>
        <v>0</v>
      </c>
      <c r="Y305" s="3347">
        <f ca="1">Y304*V$47</f>
        <v>0</v>
      </c>
      <c r="AB305" s="3347">
        <f ca="1">AB304*Y$47</f>
        <v>0</v>
      </c>
      <c r="AE305" s="3347">
        <f ca="1">AE304*AB$47</f>
        <v>0</v>
      </c>
      <c r="AH305" s="3347">
        <f ca="1">AH304*AE$47</f>
        <v>0</v>
      </c>
      <c r="AK305" s="3347">
        <f ca="1">AK304*AH$47</f>
        <v>0</v>
      </c>
      <c r="AN305" s="3347">
        <f ca="1">AN304*AK$47</f>
        <v>0</v>
      </c>
      <c r="AQ305" s="3347">
        <f ca="1">AQ304*AN$47</f>
        <v>0</v>
      </c>
      <c r="AT305" s="3347">
        <f ca="1">AT304*AQ$47</f>
        <v>0</v>
      </c>
      <c r="AV305" s="3332"/>
    </row>
    <row r="306" spans="1:48" ht="12.5">
      <c r="AV306" s="3332"/>
    </row>
    <row r="307" spans="1:48" ht="12.5">
      <c r="A307" s="3339" t="str">
        <f>$A$253</f>
        <v>VARIABLES MACROECONÓMICAS</v>
      </c>
      <c r="AV307" s="3332"/>
    </row>
    <row r="308" spans="1:48" ht="12.5">
      <c r="A308" s="3327" t="str">
        <f>$A$254</f>
        <v>CRECIMIENTO PIB (VARIACIÓN PORCENTUAL - BASE 1.994)</v>
      </c>
      <c r="B308" s="3348">
        <f ca="1">B254+$C308</f>
        <v>2.7999999999999997E-2</v>
      </c>
      <c r="C308" s="3349"/>
      <c r="D308" s="3348">
        <f ca="1">D254+$C308</f>
        <v>0.03</v>
      </c>
      <c r="G308" s="3348">
        <f ca="1">G254+$C308</f>
        <v>0.03</v>
      </c>
      <c r="J308" s="3348">
        <f ca="1">J254+$C308</f>
        <v>0.03</v>
      </c>
      <c r="M308" s="3348">
        <f ca="1">M254+$C308</f>
        <v>0.03</v>
      </c>
      <c r="P308" s="3348">
        <f ca="1">P254+$C308</f>
        <v>0.03</v>
      </c>
      <c r="S308" s="3348">
        <f ca="1">S254+$C308</f>
        <v>0.03</v>
      </c>
      <c r="V308" s="3348">
        <f ca="1">V254+$C308</f>
        <v>0.03</v>
      </c>
      <c r="Y308" s="3348">
        <f ca="1">Y254+$C308</f>
        <v>0.03</v>
      </c>
      <c r="AB308" s="3348">
        <f ca="1">AB254+$C308</f>
        <v>0.03</v>
      </c>
      <c r="AE308" s="3348">
        <f ca="1">AE254+$C308</f>
        <v>0.03</v>
      </c>
      <c r="AH308" s="3348">
        <f ca="1">AH254+$C308</f>
        <v>0.03</v>
      </c>
      <c r="AK308" s="3348">
        <f ca="1">AK254+$C308</f>
        <v>0.03</v>
      </c>
      <c r="AN308" s="3348">
        <f ca="1">AN254+$C308</f>
        <v>0.03</v>
      </c>
      <c r="AQ308" s="3348">
        <f ca="1">AQ254+$C308</f>
        <v>0.03</v>
      </c>
      <c r="AT308" s="3348">
        <f ca="1">AT254+$C308</f>
        <v>0.03</v>
      </c>
      <c r="AV308" s="3332"/>
    </row>
    <row r="309" spans="1:48" ht="12.5">
      <c r="A309" s="3350" t="str">
        <f>$A$255</f>
        <v>VARIACIÓN PORCENTUAL IPC (INFLACIÓN)</v>
      </c>
      <c r="B309" s="3351">
        <f ca="1">B255+$C309</f>
        <v>3.04E-2</v>
      </c>
      <c r="C309" s="3352"/>
      <c r="D309" s="3351">
        <f ca="1">D255+$C309</f>
        <v>2.5000000000000001E-2</v>
      </c>
      <c r="G309" s="3351">
        <f ca="1">G255+$C309</f>
        <v>0.04</v>
      </c>
      <c r="J309" s="3351">
        <f ca="1">J255+$C309</f>
        <v>0.04</v>
      </c>
      <c r="M309" s="3351">
        <f ca="1">M255+$C309</f>
        <v>0.04</v>
      </c>
      <c r="P309" s="3351">
        <f ca="1">P255+$C309</f>
        <v>0.04</v>
      </c>
      <c r="S309" s="3351">
        <f ca="1">S255+$C309</f>
        <v>0.04</v>
      </c>
      <c r="V309" s="3351">
        <f ca="1">V255+$C309</f>
        <v>0.04</v>
      </c>
      <c r="Y309" s="3351">
        <f ca="1">Y255+$C309</f>
        <v>0.04</v>
      </c>
      <c r="AB309" s="3351">
        <f ca="1">AB255+$C309</f>
        <v>0.04</v>
      </c>
      <c r="AE309" s="3351">
        <f ca="1">AE255+$C309</f>
        <v>0.04</v>
      </c>
      <c r="AH309" s="3351">
        <f ca="1">AH255+$C309</f>
        <v>0.04</v>
      </c>
      <c r="AK309" s="3351">
        <f ca="1">AK255+$C309</f>
        <v>0.04</v>
      </c>
      <c r="AN309" s="3351">
        <f ca="1">AN255+$C309</f>
        <v>0.04</v>
      </c>
      <c r="AQ309" s="3351">
        <f ca="1">AQ255+$C309</f>
        <v>0.04</v>
      </c>
      <c r="AT309" s="3351">
        <f ca="1">AT255+$C309</f>
        <v>0.04</v>
      </c>
      <c r="AV309" s="3332"/>
    </row>
    <row r="310" spans="1:48" ht="12.5">
      <c r="A310" s="3345" t="str">
        <f>$A$256</f>
        <v>VARIACIÓN TRM  (DEVAL./REVAL.) - AÑO CORRIDO</v>
      </c>
      <c r="B310" s="3353">
        <f ca="1">C329</f>
        <v>-3.2398507017312173E-2</v>
      </c>
      <c r="C310" s="3335"/>
      <c r="D310" s="3353">
        <f ca="1">IF(B311=0,"",D311/B311-1)</f>
        <v>2.8731041456016237E-2</v>
      </c>
      <c r="G310" s="3353">
        <f ca="1">IF(D311=0,"",G311/D311-1)</f>
        <v>3.9998427387054392E-2</v>
      </c>
      <c r="J310" s="3353">
        <f ca="1">IF(G311=0,"",J311/G311-1)</f>
        <v>3.5001086843522877E-2</v>
      </c>
      <c r="M310" s="3353">
        <f ca="1">IF(J311=0,"",M311/J311-1)</f>
        <v>3.4999931515917959E-2</v>
      </c>
      <c r="P310" s="3354">
        <f>P256+$C310</f>
        <v>3.5000000000000003E-2</v>
      </c>
      <c r="S310" s="3354">
        <f>S256+$C310</f>
        <v>3.5000000000000003E-2</v>
      </c>
      <c r="V310" s="3354">
        <f>V256+$C310</f>
        <v>3.5000000000000003E-2</v>
      </c>
      <c r="Y310" s="3354">
        <f>Y256+$C310</f>
        <v>3.5000000000000003E-2</v>
      </c>
      <c r="AB310" s="3354">
        <f>AB256+$C310</f>
        <v>3.5000000000000003E-2</v>
      </c>
      <c r="AE310" s="3354">
        <f>AE256+$C310</f>
        <v>3.5000000000000003E-2</v>
      </c>
      <c r="AH310" s="3354">
        <f>AH256+$C310</f>
        <v>3.5000000000000003E-2</v>
      </c>
      <c r="AK310" s="3354">
        <f>AK256+$C310</f>
        <v>3.5000000000000003E-2</v>
      </c>
      <c r="AN310" s="3354">
        <f>AN256+$C310</f>
        <v>3.5000000000000003E-2</v>
      </c>
      <c r="AQ310" s="3354">
        <f>AQ256+$C310</f>
        <v>3.5000000000000003E-2</v>
      </c>
      <c r="AT310" s="3354">
        <f>AT256+$C310</f>
        <v>3.5000000000000003E-2</v>
      </c>
      <c r="AV310" s="3332"/>
    </row>
    <row r="311" spans="1:48" ht="12.5">
      <c r="A311" s="3327" t="str">
        <f>$A$257</f>
        <v>TRM A 31 DE DICIEMBRE (COP POR 1 USD)</v>
      </c>
      <c r="B311" s="3355">
        <f ca="1">B257+$B77</f>
        <v>1978</v>
      </c>
      <c r="C311" s="3356"/>
      <c r="D311" s="3355">
        <f ca="1">D257+$B77</f>
        <v>2034.83</v>
      </c>
      <c r="G311" s="3355">
        <f ca="1">G257+$B77</f>
        <v>2116.2199999999998</v>
      </c>
      <c r="J311" s="3355">
        <f ca="1">J257+$B77</f>
        <v>2190.29</v>
      </c>
      <c r="M311" s="3355">
        <f ca="1">M257+$B77</f>
        <v>2266.9499999999998</v>
      </c>
      <c r="P311" s="3357">
        <f ca="1">M311*(1+P310)</f>
        <v>2346.2932499999997</v>
      </c>
      <c r="S311" s="3357">
        <f ca="1">P311*(1+S310)</f>
        <v>2428.4135137499993</v>
      </c>
      <c r="V311" s="3357">
        <f ca="1">S311*(1+V310)</f>
        <v>2513.4079867312489</v>
      </c>
      <c r="Y311" s="3357">
        <f ca="1">G81*(1+Y310)</f>
        <v>2095.875</v>
      </c>
      <c r="AB311" s="3357">
        <f ca="1">Y311*(1+AB310)</f>
        <v>2169.2306249999997</v>
      </c>
      <c r="AE311" s="3357">
        <f ca="1">AB311*(1+AE310)</f>
        <v>2245.1536968749997</v>
      </c>
      <c r="AH311" s="3357">
        <f ca="1">AE311*(1+AH310)</f>
        <v>2323.7340762656245</v>
      </c>
      <c r="AK311" s="3357">
        <f ca="1">AH311*(1+AK310)</f>
        <v>2405.0647689349212</v>
      </c>
      <c r="AN311" s="3357">
        <f ca="1">AK311*(1+AN310)</f>
        <v>2489.2420358476434</v>
      </c>
      <c r="AQ311" s="3357">
        <f ca="1">AN311*(1+AQ310)</f>
        <v>2576.3655071023109</v>
      </c>
      <c r="AT311" s="3357">
        <f ca="1">AQ311*(1+AT310)</f>
        <v>2666.5382998508917</v>
      </c>
      <c r="AV311" s="3332"/>
    </row>
    <row r="312" spans="1:48" ht="13" thickBot="1">
      <c r="A312" s="3358" t="str">
        <f>$A$258</f>
        <v>DTF E.A.</v>
      </c>
      <c r="B312" s="3359">
        <f>B258+$C312</f>
        <v>4.1635332757903119E-2</v>
      </c>
      <c r="C312" s="3360"/>
      <c r="D312" s="3359">
        <f>D258+$C312</f>
        <v>4.5342834547292377E-2</v>
      </c>
      <c r="E312" s="3361"/>
      <c r="F312" s="3361"/>
      <c r="G312" s="3359">
        <f>G258+$C312</f>
        <v>4.5342834547292377E-2</v>
      </c>
      <c r="H312" s="3361"/>
      <c r="I312" s="3361"/>
      <c r="J312" s="3359">
        <f>J258+$C312</f>
        <v>4.5342834547292377E-2</v>
      </c>
      <c r="K312" s="3361"/>
      <c r="L312" s="3361"/>
      <c r="M312" s="3359">
        <f>M258+$C312</f>
        <v>4.5342834547292377E-2</v>
      </c>
      <c r="N312" s="3361"/>
      <c r="O312" s="3361"/>
      <c r="P312" s="3362">
        <f>P258+$C312</f>
        <v>4.5342834547292377E-2</v>
      </c>
      <c r="Q312" s="3361"/>
      <c r="R312" s="3361"/>
      <c r="S312" s="3362">
        <f>S258+$C312</f>
        <v>4.5342834547292377E-2</v>
      </c>
      <c r="T312" s="3361"/>
      <c r="U312" s="3361"/>
      <c r="V312" s="3362">
        <f>V258+$C312</f>
        <v>4.5342834547292377E-2</v>
      </c>
      <c r="W312" s="3361"/>
      <c r="X312" s="3361"/>
      <c r="Y312" s="3362">
        <f>Y258+$C312</f>
        <v>4.5342834547292377E-2</v>
      </c>
      <c r="Z312" s="3361"/>
      <c r="AA312" s="3361"/>
      <c r="AB312" s="3362">
        <f>AB258+$C312</f>
        <v>4.5342834547292377E-2</v>
      </c>
      <c r="AC312" s="3361"/>
      <c r="AD312" s="3361"/>
      <c r="AE312" s="3362">
        <f>AE258+$C312</f>
        <v>4.5342834547292377E-2</v>
      </c>
      <c r="AF312" s="3361"/>
      <c r="AG312" s="3361"/>
      <c r="AH312" s="3362">
        <f>AH258+$C312</f>
        <v>4.5342834547292377E-2</v>
      </c>
      <c r="AI312" s="3361"/>
      <c r="AJ312" s="3361"/>
      <c r="AK312" s="3362">
        <f>AK258+$C312</f>
        <v>4.5342834547292377E-2</v>
      </c>
      <c r="AL312" s="3361"/>
      <c r="AM312" s="3361"/>
      <c r="AN312" s="3362">
        <f>AN258+$C312</f>
        <v>4.5342834547292377E-2</v>
      </c>
      <c r="AO312" s="3361"/>
      <c r="AP312" s="3361"/>
      <c r="AQ312" s="3362">
        <f>AQ258+$C312</f>
        <v>4.5342834547292377E-2</v>
      </c>
      <c r="AR312" s="3361"/>
      <c r="AS312" s="3361"/>
      <c r="AT312" s="3362">
        <f>AT258+$C312</f>
        <v>4.5342834547292377E-2</v>
      </c>
      <c r="AU312" s="3361"/>
      <c r="AV312" s="3363"/>
    </row>
    <row r="313" spans="1:48" ht="12.5"/>
    <row r="314" spans="1:48" ht="12.5"/>
    <row r="315" spans="1:48" ht="12.5">
      <c r="B315" s="3364" t="s">
        <v>1515</v>
      </c>
    </row>
    <row r="316" spans="1:48" ht="12.5">
      <c r="B316" s="3364" t="s">
        <v>2107</v>
      </c>
      <c r="C316" s="3364" t="s">
        <v>2108</v>
      </c>
      <c r="E316" s="3364" t="s">
        <v>2109</v>
      </c>
    </row>
    <row r="317" spans="1:48" ht="12.5">
      <c r="B317" s="3365" t="s">
        <v>1270</v>
      </c>
      <c r="C317" s="3365" t="s">
        <v>2110</v>
      </c>
      <c r="E317" s="3365" t="s">
        <v>2162</v>
      </c>
    </row>
    <row r="318" spans="1:48" ht="12.5">
      <c r="B318" s="3365" t="s">
        <v>1524</v>
      </c>
      <c r="C318" s="3365" t="s">
        <v>1520</v>
      </c>
      <c r="E318" s="3365" t="s">
        <v>2163</v>
      </c>
    </row>
    <row r="319" spans="1:48" ht="12.5">
      <c r="B319" s="3365" t="s">
        <v>1530</v>
      </c>
      <c r="E319" s="3365" t="s">
        <v>2164</v>
      </c>
    </row>
    <row r="320" spans="1:48" ht="12.5">
      <c r="E320" s="3365" t="s">
        <v>2111</v>
      </c>
    </row>
    <row r="321" spans="2:15" ht="12.5">
      <c r="E321" s="3365" t="s">
        <v>2112</v>
      </c>
    </row>
    <row r="322" spans="2:15" ht="12.5">
      <c r="E322" s="3365" t="s">
        <v>2113</v>
      </c>
    </row>
    <row r="323" spans="2:15" ht="12.5"/>
    <row r="324" spans="2:15" ht="12.5">
      <c r="B324" s="3364" t="s">
        <v>2114</v>
      </c>
      <c r="J324" s="3364" t="s">
        <v>2115</v>
      </c>
      <c r="N324" s="3364" t="s">
        <v>2116</v>
      </c>
    </row>
    <row r="325" spans="2:15" ht="12.5">
      <c r="J325" s="3365" t="str">
        <f ca="1">CONCATENATE(CELL("DIRECCION",A9),":",CELL("DIRECCION",AV67))</f>
        <v>$A$9:$AV$67</v>
      </c>
      <c r="N325" s="3365" t="str">
        <f ca="1">CONCATENATE(LEFT(SUBSTITUTE(CELL("DIRECCION",B11),"$",""),1),":",LEFT(SUBSTITUTE(CELL("DIRECCION",AV11),"$",""),2))</f>
        <v>B:AV</v>
      </c>
      <c r="O325" s="3365">
        <f>COUNT(B379:AT379)</f>
        <v>16</v>
      </c>
    </row>
    <row r="326" spans="2:15" ht="12.5">
      <c r="B326" s="3365" t="str">
        <f ca="1">SUBSTITUTE(CELL("DIRECCION",A10),"$","")</f>
        <v>A10</v>
      </c>
      <c r="C326" s="3365" t="str">
        <f>IF(A2=0,"PROYECTO "&amp;B332,"PROYECTO "&amp;A2)&amp;" - FLUJO DE CAJA PROYECTADO"&amp;IF($B$71=$C$318,""," - ESCENARIO "&amp;B72)</f>
        <v>PROYECTO  - FLUJO DE CAJA PROYECTADO</v>
      </c>
    </row>
    <row r="327" spans="2:15" ht="12.5">
      <c r="B327" s="3365" t="str">
        <f ca="1">SUBSTITUTE(CELL("DIRECCION",B256),"$","")</f>
        <v>B256</v>
      </c>
      <c r="C327" s="3365">
        <f ca="1">IF(B333=0,"",B257/B333-1)</f>
        <v>-3.2398507017312173E-2</v>
      </c>
    </row>
    <row r="328" spans="2:15" ht="12.5">
      <c r="B328" s="3365" t="str">
        <f ca="1">SUBSTITUTE(CELL("DIRECCION",B283),"$","")</f>
        <v>B283</v>
      </c>
      <c r="C328" s="3365">
        <f ca="1">IF(B333=0,"",B284/B333-1)</f>
        <v>-3.2398507017312173E-2</v>
      </c>
    </row>
    <row r="329" spans="2:15" ht="12.5">
      <c r="B329" s="3365" t="str">
        <f ca="1">SUBSTITUTE(CELL("DIRECCION",B310),"$","")</f>
        <v>B310</v>
      </c>
      <c r="C329" s="3365">
        <f ca="1">IF(B333=0,"",B311/B333-1)</f>
        <v>-3.2398507017312173E-2</v>
      </c>
    </row>
    <row r="330" spans="2:15" ht="12.5"/>
    <row r="331" spans="2:15" ht="12.5"/>
    <row r="332" spans="2:15" ht="12.5">
      <c r="B332" s="3366" t="str">
        <f>'Balances y Proyecciones'!B14</f>
        <v/>
      </c>
      <c r="C332" s="3365" t="s">
        <v>2117</v>
      </c>
    </row>
    <row r="333" spans="2:15" ht="12.5">
      <c r="B333" s="3365">
        <v>2044.23</v>
      </c>
    </row>
    <row r="334" spans="2:15" ht="12.5"/>
    <row r="335" spans="2:15" ht="12.5"/>
    <row r="336" spans="2:15" ht="12.5"/>
    <row r="337" spans="1:46" ht="12.5"/>
    <row r="338" spans="1:46" ht="12.5"/>
    <row r="339" spans="1:46" ht="12.5"/>
    <row r="340" spans="1:46" ht="12.5"/>
    <row r="341" spans="1:46" ht="12.5"/>
    <row r="342" spans="1:46" ht="12.5"/>
    <row r="343" spans="1:46" ht="12.5"/>
    <row r="344" spans="1:46" ht="12.5"/>
    <row r="345" spans="1:46" ht="12.5">
      <c r="B345" s="3364" t="s">
        <v>2118</v>
      </c>
    </row>
    <row r="346" spans="1:46" ht="12.5">
      <c r="B346" s="3367">
        <f>B12/360*B215</f>
        <v>0</v>
      </c>
      <c r="D346" s="3367">
        <f>D12/360*D215</f>
        <v>0</v>
      </c>
      <c r="G346" s="3367">
        <f>G12/360*G215</f>
        <v>0</v>
      </c>
      <c r="J346" s="3367">
        <f>J12/360*J215</f>
        <v>0</v>
      </c>
      <c r="M346" s="3367">
        <f>M12/360*M215</f>
        <v>0</v>
      </c>
      <c r="P346" s="3367">
        <f>P12/360*P215</f>
        <v>0</v>
      </c>
      <c r="S346" s="3367">
        <f>S12/360*S215</f>
        <v>0</v>
      </c>
      <c r="V346" s="3367">
        <f>V12/360*V215</f>
        <v>0</v>
      </c>
      <c r="Y346" s="3367">
        <f>Y12/360*Y215</f>
        <v>0</v>
      </c>
      <c r="AB346" s="3367">
        <f>AB12/360*AB215</f>
        <v>0</v>
      </c>
      <c r="AE346" s="3367">
        <f>AE12/360*AE215</f>
        <v>0</v>
      </c>
      <c r="AH346" s="3367">
        <f>AH12/360*AH215</f>
        <v>0</v>
      </c>
      <c r="AK346" s="3367">
        <f>AK12/360*AK215</f>
        <v>0</v>
      </c>
      <c r="AN346" s="3367">
        <f>AN12/360*AN215</f>
        <v>0</v>
      </c>
      <c r="AQ346" s="3367">
        <f>AQ12/360*AQ215</f>
        <v>0</v>
      </c>
      <c r="AT346" s="3367">
        <f>AT12/360*AT215</f>
        <v>0</v>
      </c>
    </row>
    <row r="347" spans="1:46" ht="12.5"/>
    <row r="348" spans="1:46" ht="12.5"/>
    <row r="349" spans="1:46" ht="12.5"/>
    <row r="350" spans="1:46" ht="12.5">
      <c r="A350" s="3364" t="s">
        <v>2119</v>
      </c>
    </row>
    <row r="351" spans="1:46" ht="12.5">
      <c r="A351" s="3368" t="str">
        <f ca="1">IF(SUM($B$351:$AE$351)&gt;0,"S","N")</f>
        <v>N</v>
      </c>
      <c r="B351" s="3367">
        <f ca="1">IF(ABS(B46)&lt;=0.5,0,1)</f>
        <v>0</v>
      </c>
      <c r="D351" s="3367">
        <f ca="1">IF(ABS(D46)&lt;=0.5,0,1)</f>
        <v>0</v>
      </c>
      <c r="G351" s="3367">
        <f ca="1">IF(ABS(G46)&lt;=0.5,0,1)</f>
        <v>0</v>
      </c>
      <c r="J351" s="3367">
        <f ca="1">IF(ABS(J46)&lt;=0.5,0,1)</f>
        <v>0</v>
      </c>
      <c r="M351" s="3367">
        <f ca="1">IF(ABS(M46)&lt;=0.5,0,1)</f>
        <v>0</v>
      </c>
      <c r="P351" s="3367">
        <f ca="1">IF(ABS(P46)&lt;=0.5,0,1)</f>
        <v>0</v>
      </c>
      <c r="S351" s="3367">
        <f ca="1">IF(ABS(S46)&lt;=0.5,0,1)</f>
        <v>0</v>
      </c>
      <c r="V351" s="3367">
        <f ca="1">IF(ABS(V46)&lt;=0.5,0,1)</f>
        <v>0</v>
      </c>
      <c r="Y351" s="3367">
        <f ca="1">IF(ABS(Y46)&lt;=0.5,0,1)</f>
        <v>0</v>
      </c>
      <c r="AB351" s="3367">
        <f ca="1">IF(ABS(AB46)&lt;=0.5,0,1)</f>
        <v>0</v>
      </c>
      <c r="AE351" s="3367">
        <f ca="1">IF(ABS(AE46)&lt;=0.5,0,1)</f>
        <v>0</v>
      </c>
      <c r="AH351" s="3367">
        <f ca="1">IF(ABS(AH46)&lt;=0.5,0,1)</f>
        <v>0</v>
      </c>
      <c r="AK351" s="3367">
        <f ca="1">IF(ABS(AK46)&lt;=0.5,0,1)</f>
        <v>0</v>
      </c>
      <c r="AN351" s="3367">
        <f ca="1">IF(ABS(AN46)&lt;=0.5,0,1)</f>
        <v>0</v>
      </c>
      <c r="AQ351" s="3367">
        <f ca="1">IF(ABS(AQ46)&lt;=0.5,0,1)</f>
        <v>0</v>
      </c>
      <c r="AT351" s="3367">
        <f ca="1">IF(ABS(AT46)&lt;=0.5,0,1)</f>
        <v>0</v>
      </c>
    </row>
    <row r="352" spans="1:46" ht="12.5"/>
    <row r="353" spans="1:18" ht="12.5"/>
    <row r="354" spans="1:18" ht="12.5"/>
    <row r="355" spans="1:18" ht="13">
      <c r="A355" s="3369" t="s">
        <v>1554</v>
      </c>
      <c r="B355" s="3370"/>
      <c r="C355" s="3370"/>
      <c r="D355" s="3370"/>
      <c r="E355" s="3370"/>
      <c r="F355" s="3370"/>
      <c r="G355" s="3370"/>
      <c r="H355" s="3371"/>
      <c r="I355" s="3371"/>
    </row>
    <row r="356" spans="1:18" ht="20">
      <c r="A356" s="3372" t="s">
        <v>2120</v>
      </c>
      <c r="B356" s="3373"/>
      <c r="C356" s="3374">
        <f>$B$80+IF($B$79="",0,VLOOKUP($B$79,$L$357:$O$368,4,0)/12)+IF(OR($B$78="",$B$78=0),0,$B$78/12)+IF($B$75="",0,VLOOKUP($B$75,$P$357:$R$360,2,0)/12)-IF($B$75="",0,IF(D356&gt;VLOOKUP($B$75,$P$357:$R$360,3,0),E356,0))</f>
        <v>0</v>
      </c>
      <c r="D356" s="3375">
        <f>IF($B$75="",0,IF(G356-F356&lt;=0.01,G356,ROUNDDOWN((12-((($B$80+IF($B$79="",0,VLOOKUP($B$79,$L$357:$O$368,4,0)/12)+IF(OR($B$78="",$B$78=0),0,$B$78/12)+IF($B$75="",0,VLOOKUP($B$75,$P$357:$R$360,2,0)/12))-ROUNDDOWN(($B$80+IF($B$79="",0,VLOOKUP($B$79,$L$357:$O$368,4,0)/12)+IF(OR($B$78="",$B$78=0),0,$B$78/12)+IF($B$75="",0,VLOOKUP($B$75,$P$357:$R$360,2,0)/12)),0)-IF($B$75="",0,VLOOKUP($B$75,$P$357:$R$360,2,0)/12))*12))/VLOOKUP($B$75,$P$357:$R$360,2,0),0)))</f>
        <v>0</v>
      </c>
      <c r="E356" s="3376">
        <f>IF($B$75="",1,IF(D356&gt;VLOOKUP($B$75,$P$357:$R$360,3,0),(D356-VLOOKUP($B$75,$P$357:$R$360,3,0))/VLOOKUP($B$75,$P$357:$R$360,3,0),D356/VLOOKUP($B$75,$P$357:$R$360,3,0)))</f>
        <v>1</v>
      </c>
      <c r="F356" s="3375">
        <f>IF($B$75="",0,(12-((($B$80+IF($B$79="",0,VLOOKUP($B$79,$L$357:$O$368,4,0)/12)+IF(OR($B$78="",$B$78=0),0,$B$78/12)+IF($B$75="",0,VLOOKUP($B$75,$P$357:$R$360,2,0)/12))-ROUNDDOWN(($B$80+IF($B$79="",0,VLOOKUP($B$79,$L$357:$O$368,4,0)/12)+IF(OR($B$78="",$B$78=0),0,$B$78/12)+IF($B$75="",0,VLOOKUP($B$75,$P$357:$R$360,2,0)/12)),0)-IF($B$75="",0,VLOOKUP($B$75,$P$357:$R$360,2,0)/12))*12))/VLOOKUP($B$75,$P$357:$R$360,2,0))</f>
        <v>0</v>
      </c>
      <c r="G356" s="3375">
        <f>IF($B$75="",0,ROUND((12-((($B$80+IF($B$79="",0,VLOOKUP($B$79,$L$357:$O$368,4,0)/12)+IF(OR($B$78="",$B$78=0),0,$B$78/12)+IF($B$75="",0,VLOOKUP($B$75,$P$357:$R$360,2,0)/12))-ROUNDDOWN(($B$80+IF($B$79="",0,VLOOKUP($B$79,$L$357:$O$368,4,0)/12)+IF(OR($B$78="",$B$78=0),0,$B$78/12)+IF($B$75="",0,VLOOKUP($B$75,$P$357:$R$360,2,0)/12)),0)-IF($B$75="",0,VLOOKUP($B$75,$P$357:$R$360,2,0)/12))*12))/VLOOKUP($B$75,$P$357:$R$360,2,0),0))</f>
        <v>0</v>
      </c>
      <c r="H356" s="3377">
        <f>IF($B$75="",0,ROUNDDOWN(($B$77-$B$78/12)*VLOOKUP($B$75,$P$357:$R$360,3,0),0))</f>
        <v>0</v>
      </c>
      <c r="I356" s="3378">
        <f>IF($B$79="",0,VLOOKUP($B$79,$L$357:$N$368,3,0))</f>
        <v>0</v>
      </c>
      <c r="J356" s="3379" t="s">
        <v>2121</v>
      </c>
      <c r="L356" s="2217" t="s">
        <v>1570</v>
      </c>
    </row>
    <row r="357" spans="1:18" ht="20">
      <c r="A357" s="3372" t="s">
        <v>2122</v>
      </c>
      <c r="B357" s="3373"/>
      <c r="C357" s="3374">
        <f>$B$93+IF($B$92="",0,VLOOKUP($B$92,$L$357:$O$368,4,0)/12)+IF(OR($B$91="",$B$91=0),0,$B$91/12)+IF($B$88="",0,VLOOKUP($B$88,$P$357:$R$360,2,0)/12)-IF($B$88="",0,IF(D357&gt;VLOOKUP($B$88,$P$357:$R$360,3,0),E357,0))</f>
        <v>0</v>
      </c>
      <c r="D357" s="3375">
        <f>IF($B$88="",0,IF(G357-F357&lt;=0.01,G357,ROUNDDOWN((12-((($B$93+IF($B$92="",0,VLOOKUP($B$92,$L$357:$O$368,4,0)/12)+IF(OR($B$91="",$B$91=0),0,$B$91/12)+IF($B$88="",0,VLOOKUP($B$88,$P$357:$R$360,2,0)/12))-ROUNDDOWN(($B$93+IF($B$92="",0,VLOOKUP($B$92,$L$357:$O$368,4,0)/12)+IF(OR($B$91="",$B$91=0),0,$B$91/12)+IF($B$88="",0,VLOOKUP($B$88,$P$357:$R$360,2,0)/12)),0)-IF($B$88="",0,VLOOKUP($B$88,$P$357:$R$360,2,0)/12))*12))/VLOOKUP($B$88,$P$357:$R$360,2,0),0)))</f>
        <v>0</v>
      </c>
      <c r="E357" s="3376">
        <f>IF($B$88="",1,IF(D357&gt;VLOOKUP($B$88,$P$357:$R$360,3,0),(D357-VLOOKUP($B$88,$P$357:$R$360,3,0))/VLOOKUP($B$88,$P$357:$R$360,3,0),D357/VLOOKUP($B$88,$P$357:$R$360,3,0)))</f>
        <v>1</v>
      </c>
      <c r="F357" s="3375">
        <f>IF($B$88="",0,(12-((($B$93+IF($B$92="",0,VLOOKUP($B$92,$L$357:$O$368,4,0)/12)+IF(OR($B$91="",$B$91=0),0,$B$91/12)+IF($B$88="",0,VLOOKUP($B$88,$P$357:$R$360,2,0)/12))-ROUNDDOWN(($B$93+IF($B$92="",0,VLOOKUP($B$92,$L$357:$O$368,4,0)/12)+IF(OR($B$91="",$B$91=0),0,$B$91/12)+IF($B$88="",0,VLOOKUP($B$88,$P$357:$R$360,2,0)/12)),0)-IF($B$88="",0,VLOOKUP($B$88,$P$357:$R$360,2,0)/12))*12))/VLOOKUP($B$88,$P$357:$R$360,2,0))</f>
        <v>0</v>
      </c>
      <c r="G357" s="3375">
        <f>IF($B$88="",0,ROUND((12-((($B$93+IF($B$92="",0,VLOOKUP($B$92,$L$357:$O$368,4,0)/12)+IF(OR($B$91="",$B$91=0),0,$B$91/12)+IF($B$88="",0,VLOOKUP($B$88,$P$357:$R$360,2,0)/12))-ROUNDDOWN(($B$93+IF($B$92="",0,VLOOKUP($B$92,$L$357:$O$368,4,0)/12)+IF(OR($B$91="",$B$91=0),0,$B$91/12)+IF($B$88="",0,VLOOKUP($B$88,$P$357:$R$360,2,0)/12)),0)-IF($B$88="",0,VLOOKUP($B$88,$P$357:$R$360,2,0)/12))*12))/VLOOKUP($B$88,$P$357:$R$360,2,0),0))</f>
        <v>0</v>
      </c>
      <c r="H357" s="3377">
        <f>IF($B$88="",0,ROUNDDOWN(($B$90-$B$91/12)*VLOOKUP($B$88,$P$357:$R$360,3,0),0))</f>
        <v>0</v>
      </c>
      <c r="I357" s="3378">
        <f>IF($B$92="",0,VLOOKUP($B$92,$L$357:$N$368,3,0))</f>
        <v>0</v>
      </c>
      <c r="J357" s="3380">
        <f ca="1">B11</f>
        <v>2023</v>
      </c>
      <c r="L357" s="3365" t="s">
        <v>1572</v>
      </c>
      <c r="M357" s="3381">
        <v>12</v>
      </c>
      <c r="N357" s="3382">
        <f t="shared" ref="N357:N368" si="15">M357/12</f>
        <v>1</v>
      </c>
      <c r="O357" s="2168">
        <v>0</v>
      </c>
      <c r="P357" s="3365" t="s">
        <v>1573</v>
      </c>
      <c r="Q357" s="3380">
        <v>1</v>
      </c>
      <c r="R357" s="3383">
        <v>12</v>
      </c>
    </row>
    <row r="358" spans="1:18" ht="20">
      <c r="A358" s="3372" t="s">
        <v>2123</v>
      </c>
      <c r="B358" s="3373"/>
      <c r="C358" s="3374">
        <f>$B$106+IF($B$105="",0,VLOOKUP($B$105,$L$357:$O$368,4,0)/12)+IF(OR($B$104="",$B$104=0),0,$B$104/12)+IF($B$101="",0,VLOOKUP($B$101,$P$357:$R$360,2,0)/12)-IF($B$101="",0,IF(D358&gt;VLOOKUP($B$101,$P$357:$R$360,3,0),E358,0))</f>
        <v>0</v>
      </c>
      <c r="D358" s="3375">
        <f>IF($B$101="",0,IF(G358-F358&lt;=0.01,G358,ROUNDDOWN((12-((($B$106+IF($B$105="",0,VLOOKUP($B$105,$L$357:$O$368,4,0)/12)+IF(OR($B$104="",$B$104=0),0,$B$104/12)+IF($B$101="",0,VLOOKUP($B$101,$P$357:$R$360,2,0)/12))-ROUNDDOWN(($B$106+IF($B$105="",0,VLOOKUP($B$105,$L$357:$O$368,4,0)/12)+IF(OR($B$104="",$B$104=0),0,$B$104/12)+IF($B$101="",0,VLOOKUP($B$101,$P$357:$R$360,2,0)/12)),0)-IF($B$101="",0,VLOOKUP($B$101,$P$357:$R$360,2,0)/12))*12))/VLOOKUP($B$101,$P$357:$R$360,2,0),0)))</f>
        <v>0</v>
      </c>
      <c r="E358" s="3376">
        <f>IF($B$101="",1,IF(D358&gt;VLOOKUP($B$101,$P$357:$R$360,3,0),(D358-VLOOKUP($B$101,$P$357:$R$360,3,0))/VLOOKUP($B$101,$P$357:$R$360,3,0),D358/VLOOKUP($B$101,$P$357:$R$360,3,0)))</f>
        <v>1</v>
      </c>
      <c r="F358" s="3375">
        <f>IF($B$101="",0,(12-((($B$106+IF($B$105="",0,VLOOKUP($B$105,$L$357:$O$368,4,0)/12)+IF(OR($B$104="",$B$104=0),0,$B$104/12)+IF($B$101="",0,VLOOKUP($B$101,$P$357:$R$360,2,0)/12))-ROUNDDOWN(($B$106+IF($B$105="",0,VLOOKUP($B$105,$L$357:$O$368,4,0)/12)+IF(OR($B$104="",$B$104=0),0,$B$104/12)+IF($B$101="",0,VLOOKUP($B$101,$P$357:$R$360,2,0)/12)),0)-IF($B$101="",0,VLOOKUP($B$101,$P$357:$R$360,2,0)/12))*12))/VLOOKUP($B$101,$P$357:$R$360,2,0))</f>
        <v>0</v>
      </c>
      <c r="G358" s="3375">
        <f>IF($B$101="",0,ROUND((12-((($B$106+IF($B$105="",0,VLOOKUP($B$105,$L$357:$O$368,4,0)/12)+IF(OR($B$104="",$B$104=0),0,$B$104/12)+IF($B$101="",0,VLOOKUP($B$101,$P$357:$R$360,2,0)/12))-ROUNDDOWN(($B$106+IF($B$105="",0,VLOOKUP($B$105,$L$357:$O$368,4,0)/12)+IF(OR($B$104="",$B$104=0),0,$B$104/12)+IF($B$101="",0,VLOOKUP($B$101,$P$357:$R$360,2,0)/12)),0)-IF($B$101="",0,VLOOKUP($B$101,$P$357:$R$360,2,0)/12))*12))/VLOOKUP($B$101,$P$357:$R$360,2,0),0))</f>
        <v>0</v>
      </c>
      <c r="H358" s="3377">
        <f>IF($B$101="",0,ROUNDDOWN(($B$103-$B$104/12)*VLOOKUP($B$101,$P$357:$R$360,3,0),0))</f>
        <v>0</v>
      </c>
      <c r="I358" s="3378">
        <f>IF($B$105="",0,VLOOKUP($B$105,$L$357:$N$368,3,0))</f>
        <v>0</v>
      </c>
      <c r="J358" s="3380">
        <f ca="1">D11</f>
        <v>2024</v>
      </c>
      <c r="L358" s="3365" t="s">
        <v>1574</v>
      </c>
      <c r="M358" s="3381">
        <v>11</v>
      </c>
      <c r="N358" s="3382">
        <f t="shared" si="15"/>
        <v>0.91666666666666663</v>
      </c>
      <c r="O358" s="2168">
        <v>1</v>
      </c>
      <c r="P358" s="3365" t="s">
        <v>1575</v>
      </c>
      <c r="Q358" s="3380">
        <v>3</v>
      </c>
      <c r="R358" s="3383">
        <v>4</v>
      </c>
    </row>
    <row r="359" spans="1:18" ht="20">
      <c r="A359" s="3372" t="s">
        <v>2124</v>
      </c>
      <c r="B359" s="3373"/>
      <c r="C359" s="3374">
        <f>$B$119+IF($B$118="",0,VLOOKUP($B$118,$L$357:$O$368,4,0)/12)+IF(OR($B$117="",$B$117=0),0,$B$117/12)+IF($B$114="",0,VLOOKUP($B$114,$P$357:$R$360,2,0)/12)-IF($B$114="",0,IF(D359&gt;VLOOKUP($B$114,$P$357:$R$360,3,0),E359,0))</f>
        <v>0</v>
      </c>
      <c r="D359" s="3375">
        <f>IF($B$114="",0,IF(G359-F359&lt;=0.01,G359,ROUNDDOWN((12-((($B$119+IF($B$118="",0,VLOOKUP($B$118,$L$357:$O$368,4,0)/12)+IF(OR($B$117="",$B$117=0),0,$B$117/12)+IF($B$114="",0,VLOOKUP($B$114,$P$357:$R$360,2,0)/12))-ROUNDDOWN(($B$119+IF($B$118="",0,VLOOKUP($B$118,$L$357:$O$368,4,0)/12)+IF(OR($B$117="",$B$117=0),0,$B$117/12)+IF($B$114="",0,VLOOKUP($B$114,$P$357:$R$360,2,0)/12)),0)-IF($B$114="",0,VLOOKUP($B$114,$P$357:$R$360,2,0)/12))*12))/VLOOKUP($B$114,$P$357:$R$360,2,0),0)))</f>
        <v>0</v>
      </c>
      <c r="E359" s="3376">
        <f>IF($B$114="",1,IF(D359&gt;VLOOKUP($B$114,$P$357:$R$360,3,0),(D359-VLOOKUP($B$114,$P$357:$R$360,3,0))/VLOOKUP($B$114,$P$357:$R$360,3,0),D359/VLOOKUP($B$114,$P$357:$R$360,3,0)))</f>
        <v>1</v>
      </c>
      <c r="F359" s="3375">
        <f>IF($B$114="",0,(12-((($B$119+IF($B$118="",0,VLOOKUP($B$118,$L$357:$O$368,4,0)/12)+IF(OR($B$117="",$B$117=0),0,$B$117/12)+IF($B$114="",0,VLOOKUP($B$114,$P$357:$R$360,2,0)/12))-ROUNDDOWN(($B$119+IF($B$118="",0,VLOOKUP($B$118,$L$357:$O$368,4,0)/12)+IF(OR($B$117="",$B$117=0),0,$B$117/12)+IF($B$114="",0,VLOOKUP($B$114,$P$357:$R$360,2,0)/12)),0)-IF($B$114="",0,VLOOKUP($B$114,$P$357:$R$360,2,0)/12))*12))/VLOOKUP($B$114,$P$357:$R$360,2,0))</f>
        <v>0</v>
      </c>
      <c r="G359" s="3375">
        <f>IF($B$114="",0,ROUND((12-((($B$119+IF($B$118="",0,VLOOKUP($B$118,$L$357:$O$368,4,0)/12)+IF(OR($B$117="",$B$117=0),0,$B$117/12)+IF($B$114="",0,VLOOKUP($B$114,$P$357:$R$360,2,0)/12))-ROUNDDOWN(($B$119+IF($B$118="",0,VLOOKUP($B$118,$L$357:$O$368,4,0)/12)+IF(OR($B$117="",$B$117=0),0,$B$117/12)+IF($B$114="",0,VLOOKUP($B$114,$P$357:$R$360,2,0)/12)),0)-IF($B$114="",0,VLOOKUP($B$114,$P$357:$R$360,2,0)/12))*12))/VLOOKUP($B$114,$P$357:$R$360,2,0),0))</f>
        <v>0</v>
      </c>
      <c r="H359" s="3377">
        <f>IF($B$114="",0,ROUNDDOWN(($B$116-$B$117/12)*VLOOKUP($B$114,$P$357:$R$360,3,0),0))</f>
        <v>0</v>
      </c>
      <c r="I359" s="3378">
        <f>IF($B$118="",0,VLOOKUP($B$118,$L$357:$N$368,3,0))</f>
        <v>0</v>
      </c>
      <c r="J359" s="3380">
        <f ca="1">G11</f>
        <v>2025</v>
      </c>
      <c r="L359" s="3365" t="s">
        <v>1576</v>
      </c>
      <c r="M359" s="3381">
        <v>10</v>
      </c>
      <c r="N359" s="3382">
        <f t="shared" si="15"/>
        <v>0.83333333333333337</v>
      </c>
      <c r="O359" s="2168">
        <v>2</v>
      </c>
      <c r="P359" s="3365" t="s">
        <v>1577</v>
      </c>
      <c r="Q359" s="3380">
        <v>6</v>
      </c>
      <c r="R359" s="3383">
        <v>2</v>
      </c>
    </row>
    <row r="360" spans="1:18" ht="20">
      <c r="A360" s="3372" t="s">
        <v>2125</v>
      </c>
      <c r="B360" s="3373"/>
      <c r="C360" s="3374">
        <f>$B$132+IF($B$131="",0,VLOOKUP($B$131,$L$357:$O$368,4,0)/12)+IF(OR($B$130="",$B$130=0),0,$B$130/12)+IF($B$127="",0,VLOOKUP($B$127,$P$357:$R$360,2,0)/12)-IF($B$127="",0,IF(D360&gt;VLOOKUP($B$127,$P$357:$R$360,3,0),E360,0))</f>
        <v>0</v>
      </c>
      <c r="D360" s="3375">
        <f>IF($B$127="",0,IF(G360-F360&lt;=0.01,G360,ROUNDDOWN((12-((($B$132+IF($B$131="",0,VLOOKUP($B$131,$L$357:$O$368,4,0)/12)+IF(OR($B$130="",$B$130=0),0,$B$130/12)+IF($B$127="",0,VLOOKUP($B$127,$P$357:$R$360,2,0)/12))-ROUNDDOWN(($B$132+IF($B$131="",0,VLOOKUP($B$131,$L$357:$O$368,4,0)/12)+IF(OR($B$130="",$B$130=0),0,$B$130/12)+IF($B$127="",0,VLOOKUP($B$127,$P$357:$R$360,2,0)/12)),0)-IF($B$127="",0,VLOOKUP($B$127,$P$357:$R$360,2,0)/12))*12))/VLOOKUP($B$127,$P$357:$R$360,2,0),0)))</f>
        <v>0</v>
      </c>
      <c r="E360" s="3376">
        <f>IF($B$127="",1,IF(D360&gt;VLOOKUP($B$127,$P$357:$R$360,3,0),(D360-VLOOKUP($B$127,$P$357:$R$360,3,0))/VLOOKUP($B$127,$P$357:$R$360,3,0),D360/VLOOKUP($B$127,$P$357:$R$360,3,0)))</f>
        <v>1</v>
      </c>
      <c r="F360" s="3375">
        <f>IF($B$127="",0,(12-((($B$132+IF($B$131="",0,VLOOKUP($B$131,$L$357:$O$368,4,0)/12)+IF(OR($B$130="",$B$130=0),0,$B$130/12)+IF($B$127="",0,VLOOKUP($B$127,$P$357:$R$360,2,0)/12))-ROUNDDOWN(($B$132+IF($B$131="",0,VLOOKUP($B$131,$L$357:$O$368,4,0)/12)+IF(OR($B$130="",$B$130=0),0,$B$130/12)+IF($B$127="",0,VLOOKUP($B$127,$P$357:$R$360,2,0)/12)),0)-IF($B$127="",0,VLOOKUP($B$127,$P$357:$R$360,2,0)/12))*12))/VLOOKUP($B$127,$P$357:$R$360,2,0))</f>
        <v>0</v>
      </c>
      <c r="G360" s="3375">
        <f>IF($B$127="",0,ROUND((12-((($B$132+IF($B$131="",0,VLOOKUP($B$131,$L$357:$O$368,4,0)/12)+IF(OR($B$130="",$B$130=0),0,$B$130/12)+IF($B$127="",0,VLOOKUP($B$127,$P$357:$R$360,2,0)/12))-ROUNDDOWN(($B$132+IF($B$131="",0,VLOOKUP($B$131,$L$357:$O$368,4,0)/12)+IF(OR($B$130="",$B$130=0),0,$B$130/12)+IF($B$127="",0,VLOOKUP($B$127,$P$357:$R$360,2,0)/12)),0)-IF($B$127="",0,VLOOKUP($B$127,$P$357:$R$360,2,0)/12))*12))/VLOOKUP($B$127,$P$357:$R$360,2,0),0))</f>
        <v>0</v>
      </c>
      <c r="H360" s="3377">
        <f>IF($B$127="",0,ROUNDDOWN(($B$129-$B$130/12)*VLOOKUP($B$127,$P$357:$R$360,3,0),0))</f>
        <v>0</v>
      </c>
      <c r="I360" s="3378">
        <f>IF($B$131="",0,VLOOKUP($B$131,$L$357:$N$368,3,0))</f>
        <v>0</v>
      </c>
      <c r="J360" s="3380">
        <f ca="1">J11</f>
        <v>2026</v>
      </c>
      <c r="L360" s="3365" t="s">
        <v>1578</v>
      </c>
      <c r="M360" s="3381">
        <v>9</v>
      </c>
      <c r="N360" s="3382">
        <f t="shared" si="15"/>
        <v>0.75</v>
      </c>
      <c r="O360" s="2168">
        <v>3</v>
      </c>
      <c r="P360" s="3365" t="s">
        <v>1579</v>
      </c>
      <c r="Q360" s="3380">
        <v>12</v>
      </c>
      <c r="R360" s="3383">
        <v>1</v>
      </c>
    </row>
    <row r="361" spans="1:18" ht="12.5">
      <c r="J361" s="3380">
        <f ca="1">M11</f>
        <v>2027</v>
      </c>
      <c r="L361" s="3365" t="s">
        <v>1580</v>
      </c>
      <c r="M361" s="3381">
        <v>8</v>
      </c>
      <c r="N361" s="3382">
        <f t="shared" si="15"/>
        <v>0.66666666666666663</v>
      </c>
      <c r="O361" s="2168">
        <v>4</v>
      </c>
    </row>
    <row r="362" spans="1:18" ht="12.5">
      <c r="J362" s="3380">
        <f ca="1">P11</f>
        <v>2028</v>
      </c>
      <c r="L362" s="3365" t="s">
        <v>1582</v>
      </c>
      <c r="M362" s="3381">
        <v>7</v>
      </c>
      <c r="N362" s="3382">
        <f t="shared" si="15"/>
        <v>0.58333333333333337</v>
      </c>
      <c r="O362" s="2168">
        <v>5</v>
      </c>
    </row>
    <row r="363" spans="1:18" ht="12.5">
      <c r="J363" s="3380">
        <f ca="1">S11</f>
        <v>2029</v>
      </c>
      <c r="L363" s="3365" t="s">
        <v>1584</v>
      </c>
      <c r="M363" s="3381">
        <v>6</v>
      </c>
      <c r="N363" s="3382">
        <f t="shared" si="15"/>
        <v>0.5</v>
      </c>
      <c r="O363" s="2168">
        <v>6</v>
      </c>
    </row>
    <row r="364" spans="1:18" ht="12.5">
      <c r="J364" s="3380">
        <f ca="1">V11</f>
        <v>2030</v>
      </c>
      <c r="L364" s="3365" t="s">
        <v>1585</v>
      </c>
      <c r="M364" s="3381">
        <v>5</v>
      </c>
      <c r="N364" s="3382">
        <f t="shared" si="15"/>
        <v>0.41666666666666669</v>
      </c>
      <c r="O364" s="2168">
        <v>7</v>
      </c>
    </row>
    <row r="365" spans="1:18" ht="13">
      <c r="A365" s="3369" t="s">
        <v>1567</v>
      </c>
      <c r="B365" s="3370"/>
      <c r="C365" s="3370"/>
      <c r="D365" s="3370"/>
      <c r="E365" s="3370"/>
      <c r="F365" s="3370"/>
      <c r="G365" s="3370"/>
      <c r="H365" s="3370"/>
      <c r="I365" s="3371"/>
      <c r="J365" s="3380">
        <f ca="1">Y11</f>
        <v>2031</v>
      </c>
      <c r="L365" s="3365" t="s">
        <v>1587</v>
      </c>
      <c r="M365" s="3381">
        <v>4</v>
      </c>
      <c r="N365" s="3382">
        <f t="shared" si="15"/>
        <v>0.33333333333333331</v>
      </c>
      <c r="O365" s="2168">
        <v>8</v>
      </c>
    </row>
    <row r="366" spans="1:18" ht="20">
      <c r="A366" s="3372" t="s">
        <v>2120</v>
      </c>
      <c r="B366" s="3373"/>
      <c r="C366" s="3374">
        <f>$B$152+IF($B$151="",0,VLOOKUP($B$151,$L$357:$O$368,4,0)/12)+IF(OR($B$150="",$B$150=0),0,$B$150/12)+IF($B$147="",0,VLOOKUP($B$147,$P$357:$R$360,2,0)/12)-IF($B$147="",0,IF(D366&gt;VLOOKUP($B$147,$P$357:$R$360,3,0),E366,0))</f>
        <v>0</v>
      </c>
      <c r="D366" s="3375">
        <f>IF($B$147="",0,IF(G366-F366&lt;=0.01,G366,ROUNDDOWN((12-((($B$152+IF($B$151="",0,VLOOKUP($B$151,$L$357:$O$368,4,0)/12)+IF(OR($B$150="",$B$150=0),0,$B$150/12)+IF($B$147="",0,VLOOKUP($B$147,$P$357:$R$360,2,0)/12))-ROUNDDOWN(($B$152+IF($B$151="",0,VLOOKUP($B$151,$L$357:$O$368,4,0)/12)+IF(OR($B$150="",$B$150=0),0,$B$150/12)+IF($B$147="",0,VLOOKUP($B$147,$P$357:$R$360,2,0)/12)),0)-IF($B$147="",0,VLOOKUP($B$147,$P$357:$R$360,2,0)/12))*12))/VLOOKUP($B$147,$P$357:$R$360,2,0),0)))</f>
        <v>0</v>
      </c>
      <c r="E366" s="3376">
        <f>IF($B$147="",1,IF(D366&gt;VLOOKUP($B$147,$P$357:$R$360,3,0),(D366-VLOOKUP($B$147,$P$357:$R$360,3,0))/VLOOKUP($B$147,$P$357:$R$360,3,0),D366/VLOOKUP($B$147,$P$357:$R$360,3,0)))</f>
        <v>1</v>
      </c>
      <c r="F366" s="3375">
        <f>IF($B$147="",0,(12-((($B$152+IF($B$151="",0,VLOOKUP($B$151,$L$357:$O$368,4,0)/12)+IF(OR($B$150="",$B$150=0),0,$B$150/12)+IF($B$147="",0,VLOOKUP($B$147,$P$357:$R$360,2,0)/12))-ROUNDDOWN(($B$152+IF($B$151="",0,VLOOKUP($B$151,$L$357:$O$368,4,0)/12)+IF(OR($B$150="",$B$150=0),0,$B$150/12)+IF($B$147="",0,VLOOKUP($B$147,$P$357:$R$360,2,0)/12)),0)-IF($B$147="",0,VLOOKUP($B$147,$P$357:$R$360,2,0)/12))*12))/VLOOKUP($B$147,$P$357:$R$360,2,0))</f>
        <v>0</v>
      </c>
      <c r="G366" s="3375">
        <f>IF($B$147="",0,ROUND((12-((($B$152+IF($B$151="",0,VLOOKUP($B$151,$L$357:$O$368,4,0)/12)+IF(OR($B$150="",$B$150=0),0,$B$150/12)+IF($B$147="",0,VLOOKUP($B$147,$P$357:$R$360,2,0)/12))-ROUNDDOWN(($B$152+IF($B$151="",0,VLOOKUP($B$151,$L$357:$O$368,4,0)/12)+IF(OR($B$150="",$B$150=0),0,$B$150/12)+IF($B$147="",0,VLOOKUP($B$147,$P$357:$R$360,2,0)/12)),0)-IF($B$147="",0,VLOOKUP($B$147,$P$357:$R$360,2,0)/12))*12))/VLOOKUP($B$147,$P$357:$R$360,2,0),0))</f>
        <v>0</v>
      </c>
      <c r="H366" s="3377">
        <f>IF($B$147="",0,ROUNDDOWN(($B$149-$B$150/12)*VLOOKUP($B$147,$P$357:$R$360,3,0),0))</f>
        <v>0</v>
      </c>
      <c r="I366" s="3378">
        <f>IF($B$151="",0,VLOOKUP($B$151,$L$357:$N$368,3,0))</f>
        <v>0</v>
      </c>
      <c r="J366" s="3380">
        <f ca="1">AB11</f>
        <v>2032</v>
      </c>
      <c r="L366" s="3365" t="s">
        <v>1588</v>
      </c>
      <c r="M366" s="3381">
        <v>3</v>
      </c>
      <c r="N366" s="3382">
        <f t="shared" si="15"/>
        <v>0.25</v>
      </c>
      <c r="O366" s="2168">
        <v>9</v>
      </c>
    </row>
    <row r="367" spans="1:18" ht="20">
      <c r="A367" s="3372" t="s">
        <v>2122</v>
      </c>
      <c r="B367" s="3373"/>
      <c r="C367" s="3374">
        <f>$B$165+IF($B$164="",0,VLOOKUP($B$164,$L$357:$O$368,4,0)/12)+IF(OR($B$163="",$B$163=0),0,$B$163/12)+IF($B$160="",0,VLOOKUP($B$160,$P$357:$R$360,2,0)/12)-IF($B$160="",0,IF(D367&gt;VLOOKUP($B$160,$P$357:$R$360,3,0),E367,0))</f>
        <v>0</v>
      </c>
      <c r="D367" s="3375">
        <f>IF($B$160="",0,IF(G367-F367&lt;=0.01,G367,ROUNDDOWN((12-((($B$165+IF($B$164="",0,VLOOKUP($B$164,$L$357:$O$368,4,0)/12)+IF(OR($B$163="",$B$163=0),0,$B$163/12)+IF($B$160="",0,VLOOKUP($B$160,$P$357:$R$360,2,0)/12))-ROUNDDOWN(($B$165+IF($B$164="",0,VLOOKUP($B$164,$L$357:$O$368,4,0)/12)+IF(OR($B$163="",$B$163=0),0,$B$163/12)+IF($B$160="",0,VLOOKUP($B$160,$P$357:$R$360,2,0)/12)),0)-IF($B$160="",0,VLOOKUP($B$160,$P$357:$R$360,2,0)/12))*12))/VLOOKUP($B$160,$P$357:$R$360,2,0),0)))</f>
        <v>0</v>
      </c>
      <c r="E367" s="3376">
        <f>IF($B$160="",1,IF(D367&gt;VLOOKUP($B$160,$P$357:$R$360,3,0),(D367-VLOOKUP($B$160,$P$357:$R$360,3,0))/VLOOKUP($B$160,$P$357:$R$360,3,0),D367/VLOOKUP($B$160,$P$357:$R$360,3,0)))</f>
        <v>1</v>
      </c>
      <c r="F367" s="3375">
        <f>IF($B$160="",0,(12-((($B$165+IF($B$164="",0,VLOOKUP($B$164,$L$357:$O$368,4,0)/12)+IF(OR($B$163="",$B$163=0),0,$B$163/12)+IF($B$160="",0,VLOOKUP($B$160,$P$357:$R$360,2,0)/12))-ROUNDDOWN(($B$165+IF($B$164="",0,VLOOKUP($B$164,$L$357:$O$368,4,0)/12)+IF(OR($B$163="",$B$163=0),0,$B$163/12)+IF($B$160="",0,VLOOKUP($B$160,$P$357:$R$360,2,0)/12)),0)-IF($B$160="",0,VLOOKUP($B$160,$P$357:$R$360,2,0)/12))*12))/VLOOKUP($B$160,$P$357:$R$360,2,0))</f>
        <v>0</v>
      </c>
      <c r="G367" s="3375">
        <f>IF($B$160="",0,ROUND((12-((($B$165+IF($B$164="",0,VLOOKUP($B$164,$L$357:$O$368,4,0)/12)+IF(OR($B$163="",$B$163=0),0,$B$163/12)+IF($B$160="",0,VLOOKUP($B$160,$P$357:$R$360,2,0)/12))-ROUNDDOWN(($B$165+IF($B$164="",0,VLOOKUP($B$164,$L$357:$O$368,4,0)/12)+IF(OR($B$163="",$B$163=0),0,$B$163/12)+IF($B$160="",0,VLOOKUP($B$160,$P$357:$R$360,2,0)/12)),0)-IF($B$160="",0,VLOOKUP($B$160,$P$357:$R$360,2,0)/12))*12))/VLOOKUP($B$160,$P$357:$R$360,2,0),0))</f>
        <v>0</v>
      </c>
      <c r="H367" s="3377">
        <f>IF($B$160="",0,ROUNDDOWN(($B$162-$B$163/12)*VLOOKUP($B$160,$P$357:$R$360,3,0),0))</f>
        <v>0</v>
      </c>
      <c r="I367" s="3378">
        <f>IF($B$164="",0,VLOOKUP($B$164,$L$357:$N$368,3,0))</f>
        <v>0</v>
      </c>
      <c r="J367" s="3380">
        <f ca="1">AE11</f>
        <v>2033</v>
      </c>
      <c r="L367" s="3365" t="s">
        <v>1589</v>
      </c>
      <c r="M367" s="3381">
        <v>2</v>
      </c>
      <c r="N367" s="3382">
        <f t="shared" si="15"/>
        <v>0.16666666666666666</v>
      </c>
      <c r="O367" s="2168">
        <v>10</v>
      </c>
    </row>
    <row r="368" spans="1:18" ht="20">
      <c r="A368" s="3372" t="s">
        <v>2123</v>
      </c>
      <c r="B368" s="3373"/>
      <c r="C368" s="3374">
        <f>$B$178+IF($B$177="",0,VLOOKUP($B$177,$L$357:$O$368,4,0)/12)+IF(OR($B$176="",$B$176=0),0,$B$176/12)+IF($B$173="",0,VLOOKUP($B$173,$P$357:$R$360,2,0)/12)-IF($B$173="",0,IF(D368&gt;VLOOKUP($B$173,$P$357:$R$360,3,0),E368,0))</f>
        <v>0</v>
      </c>
      <c r="D368" s="3375">
        <f>IF($B$173="",0,IF(G368-F368&lt;=0.01,G368,ROUNDDOWN((12-((($B$178+IF($B$177="",0,VLOOKUP($B$177,$L$357:$O$368,4,0)/12)+IF(OR($B$176="",$B$176=0),0,$B$176/12)+IF($B$173="",0,VLOOKUP($B$173,$P$357:$R$360,2,0)/12))-ROUNDDOWN(($B$178+IF($B$177="",0,VLOOKUP($B$177,$L$357:$O$368,4,0)/12)+IF(OR($B$176="",$B$176=0),0,$B$176/12)+IF($B$173="",0,VLOOKUP($B$173,$P$357:$R$360,2,0)/12)),0)-IF($B$173="",0,VLOOKUP($B$173,$P$357:$R$360,2,0)/12))*12))/VLOOKUP($B$173,$P$357:$R$360,2,0),0)))</f>
        <v>0</v>
      </c>
      <c r="E368" s="3376">
        <f>IF($B$173="",1,IF(D368&gt;VLOOKUP($B$173,$P$357:$R$360,3,0),(D368-VLOOKUP($B$173,$P$357:$R$360,3,0))/VLOOKUP($B$173,$P$357:$R$360,3,0),D368/VLOOKUP($B$173,$P$357:$R$360,3,0)))</f>
        <v>1</v>
      </c>
      <c r="F368" s="3375">
        <f>IF($B$173="",0,(12-((($B$178+IF($B$177="",0,VLOOKUP($B$177,$L$357:$O$368,4,0)/12)+IF(OR($B$176="",$B$176=0),0,$B$176/12)+IF($B$173="",0,VLOOKUP($B$173,$P$357:$R$360,2,0)/12))-ROUNDDOWN(($B$178+IF($B$177="",0,VLOOKUP($B$177,$L$357:$O$368,4,0)/12)+IF(OR($B$176="",$B$176=0),0,$B$176/12)+IF($B$173="",0,VLOOKUP($B$173,$P$357:$R$360,2,0)/12)),0)-IF($B$173="",0,VLOOKUP($B$173,$P$357:$R$360,2,0)/12))*12))/VLOOKUP($B$173,$P$357:$R$360,2,0))</f>
        <v>0</v>
      </c>
      <c r="G368" s="3375">
        <f>IF($B$173="",0,ROUND((12-((($B$178+IF($B$177="",0,VLOOKUP($B$177,$L$357:$O$368,4,0)/12)+IF(OR($B$176="",$B$176=0),0,$B$176/12)+IF($B$173="",0,VLOOKUP($B$173,$P$357:$R$360,2,0)/12))-ROUNDDOWN(($B$178+IF($B$177="",0,VLOOKUP($B$177,$L$357:$O$368,4,0)/12)+IF(OR($B$176="",$B$176=0),0,$B$176/12)+IF($B$173="",0,VLOOKUP($B$173,$P$357:$R$360,2,0)/12)),0)-IF($B$173="",0,VLOOKUP($B$173,$P$357:$R$360,2,0)/12))*12))/VLOOKUP($B$173,$P$357:$R$360,2,0),0))</f>
        <v>0</v>
      </c>
      <c r="H368" s="3377">
        <f>IF($B$173="",0,ROUNDDOWN(($B$175-$B$176/12)*VLOOKUP($B$173,$P$357:$R$360,3,0),0))</f>
        <v>0</v>
      </c>
      <c r="I368" s="3378">
        <f>IF($B$177="",0,VLOOKUP($B$177,$L$357:$N$368,3,0))</f>
        <v>0</v>
      </c>
      <c r="J368" s="3384">
        <f ca="1">AH11</f>
        <v>2034</v>
      </c>
      <c r="L368" s="3365" t="s">
        <v>1590</v>
      </c>
      <c r="M368" s="3381">
        <v>1</v>
      </c>
      <c r="N368" s="3382">
        <f t="shared" si="15"/>
        <v>8.3333333333333329E-2</v>
      </c>
      <c r="O368" s="2168">
        <v>11</v>
      </c>
    </row>
    <row r="369" spans="1:46" ht="20">
      <c r="A369" s="3372" t="s">
        <v>2124</v>
      </c>
      <c r="B369" s="3373"/>
      <c r="C369" s="3374">
        <f>$B$191+IF($B$190="",0,VLOOKUP($B$190,$L$357:$O$368,4,0)/12)+IF(OR($B$189="",$B$189=0),0,$B$189/12)+IF($B$186="",0,VLOOKUP($B$186,$P$357:$R$360,2,0)/12)-IF($B$186="",0,IF(D369&gt;VLOOKUP($B$186,$P$357:$R$360,3,0),E369,0))</f>
        <v>0</v>
      </c>
      <c r="D369" s="3375">
        <f>IF($B$186="",0,IF(G369-F369&lt;=0.01,G369,ROUNDDOWN((12-((($B$191+IF($B$190="",0,VLOOKUP($B$190,$L$357:$O$368,4,0)/12)+IF(OR($B$189="",$B$189=0),0,$B$189/12)+IF($B$186="",0,VLOOKUP($B$186,$P$357:$R$360,2,0)/12))-ROUNDDOWN(($B$191+IF($B$190="",0,VLOOKUP($B$190,$L$357:$O$368,4,0)/12)+IF(OR($B$189="",$B$189=0),0,$B$189/12)+IF($B$186="",0,VLOOKUP($B$186,$P$357:$R$360,2,0)/12)),0)-IF($B$186="",0,VLOOKUP($B$186,$P$357:$R$360,2,0)/12))*12))/VLOOKUP($B$186,$P$357:$R$360,2,0),0)))</f>
        <v>0</v>
      </c>
      <c r="E369" s="3376">
        <f>IF($B$186="",1,IF(D369&gt;VLOOKUP($B$186,$P$357:$R$360,3,0),(D369-VLOOKUP($B$186,$P$357:$R$360,3,0))/VLOOKUP($B$186,$P$357:$R$360,3,0),D369/VLOOKUP($B$186,$P$357:$R$360,3,0)))</f>
        <v>1</v>
      </c>
      <c r="F369" s="3375">
        <f>IF($B$186="",0,(12-((($B$191+IF($B$190="",0,VLOOKUP($B$190,$L$357:$O$368,4,0)/12)+IF(OR($B$189="",$B$189=0),0,$B$189/12)+IF($B$186="",0,VLOOKUP($B$186,$P$357:$R$360,2,0)/12))-ROUNDDOWN(($B$191+IF($B$190="",0,VLOOKUP($B$190,$L$357:$O$368,4,0)/12)+IF(OR($B$189="",$B$189=0),0,$B$189/12)+IF($B$186="",0,VLOOKUP($B$186,$P$357:$R$360,2,0)/12)),0)-IF($B$186="",0,VLOOKUP($B$186,$P$357:$R$360,2,0)/12))*12))/VLOOKUP($B$186,$P$357:$R$360,2,0))</f>
        <v>0</v>
      </c>
      <c r="G369" s="3375">
        <f>IF($B$186="",0,ROUND((12-((($B$191+IF($B$190="",0,VLOOKUP($B$190,$L$357:$O$368,4,0)/12)+IF(OR($B$189="",$B$189=0),0,$B$189/12)+IF($B$186="",0,VLOOKUP($B$186,$P$357:$R$360,2,0)/12))-ROUNDDOWN(($B$191+IF($B$190="",0,VLOOKUP($B$190,$L$357:$O$368,4,0)/12)+IF(OR($B$189="",$B$189=0),0,$B$189/12)+IF($B$186="",0,VLOOKUP($B$186,$P$357:$R$360,2,0)/12)),0)-IF($B$186="",0,VLOOKUP($B$186,$P$357:$R$360,2,0)/12))*12))/VLOOKUP($B$186,$P$357:$R$360,2,0),0))</f>
        <v>0</v>
      </c>
      <c r="H369" s="3377">
        <f>IF($B$186="",0,ROUNDDOWN(($B$188-$B$189/12)*VLOOKUP($B$186,$P$357:$R$360,3,0),0))</f>
        <v>0</v>
      </c>
      <c r="I369" s="3378">
        <f>IF($B$190="",0,VLOOKUP($B$190,$L$357:$N$368,3,0))</f>
        <v>0</v>
      </c>
      <c r="J369" s="3384">
        <f ca="1">AK11</f>
        <v>2035</v>
      </c>
    </row>
    <row r="370" spans="1:46" ht="12.5">
      <c r="J370" s="3384">
        <f ca="1">AN11</f>
        <v>2036</v>
      </c>
    </row>
    <row r="371" spans="1:46" ht="12.5">
      <c r="J371" s="3384">
        <f ca="1">AQ11</f>
        <v>2037</v>
      </c>
    </row>
    <row r="372" spans="1:46" ht="12.5">
      <c r="A372" s="3364" t="s">
        <v>1534</v>
      </c>
      <c r="J372" s="3384">
        <f ca="1">AT11</f>
        <v>2038</v>
      </c>
    </row>
    <row r="373" spans="1:46" ht="12.5">
      <c r="A373" s="3385" t="s">
        <v>1537</v>
      </c>
      <c r="B373" s="3386">
        <v>0</v>
      </c>
    </row>
    <row r="374" spans="1:46" ht="12.5">
      <c r="A374" s="3386">
        <v>1</v>
      </c>
      <c r="B374" s="3386" t="str">
        <f ca="1">IF(A374=1,SUBSTITUTE(CELL("DIRECCION",B318),"$",""),IF(A374=2,SUBSTITUTE(CELL("DIRECCION",B319),"$",""),""))</f>
        <v>B318</v>
      </c>
    </row>
    <row r="375" spans="1:46" ht="12.5"/>
    <row r="376" spans="1:46" ht="12.5"/>
    <row r="377" spans="1:46" ht="12.5">
      <c r="B377" s="3364" t="s">
        <v>2126</v>
      </c>
    </row>
    <row r="378" spans="1:46" ht="12.5">
      <c r="B378" s="3379">
        <f>B384</f>
        <v>16</v>
      </c>
      <c r="C378" s="3379">
        <f>IF(B378=0,"",HLOOKUP(B378,$B$379:$AT$380,ROW(B380)-ROW(B378),0))</f>
        <v>50</v>
      </c>
      <c r="D378" s="3379" t="str">
        <f ca="1">IF(OR(B378=0,B378&lt;8),"",HLOOKUP(B378,$B$379:$AT$382,ROW(B381)-ROW(B378),0))</f>
        <v>A:AV</v>
      </c>
      <c r="E378" s="3379" t="str">
        <f ca="1">IF(OR(B378=0,B378&lt;8),"",HLOOKUP(B378,$B$379:$AT$382,ROW(B382)-ROW(B378),0))</f>
        <v>Q:A</v>
      </c>
    </row>
    <row r="379" spans="1:46" ht="12.5">
      <c r="B379" s="3381">
        <v>1</v>
      </c>
      <c r="D379" s="3381">
        <f>B379+1</f>
        <v>2</v>
      </c>
      <c r="G379" s="3381">
        <f>D379+1</f>
        <v>3</v>
      </c>
      <c r="J379" s="3381">
        <f>G379+1</f>
        <v>4</v>
      </c>
      <c r="M379" s="3381">
        <f>J379+1</f>
        <v>5</v>
      </c>
      <c r="P379" s="3381">
        <f>M379+1</f>
        <v>6</v>
      </c>
      <c r="S379" s="3381">
        <f>P379+1</f>
        <v>7</v>
      </c>
      <c r="V379" s="3381">
        <f>S379+1</f>
        <v>8</v>
      </c>
      <c r="Y379" s="3381">
        <f>V379+1</f>
        <v>9</v>
      </c>
      <c r="AB379" s="3381">
        <f>Y379+1</f>
        <v>10</v>
      </c>
      <c r="AE379" s="3381">
        <f>AB379+1</f>
        <v>11</v>
      </c>
      <c r="AH379" s="3381">
        <f>AE379+1</f>
        <v>12</v>
      </c>
      <c r="AK379" s="3381">
        <f>AH379+1</f>
        <v>13</v>
      </c>
      <c r="AN379" s="3381">
        <f>AK379+1</f>
        <v>14</v>
      </c>
      <c r="AQ379" s="3381">
        <f>AN379+1</f>
        <v>15</v>
      </c>
      <c r="AT379" s="3381">
        <f>AQ379+1</f>
        <v>16</v>
      </c>
    </row>
    <row r="380" spans="1:46" ht="12.5">
      <c r="B380" s="3381">
        <v>50</v>
      </c>
      <c r="D380" s="3381">
        <v>50</v>
      </c>
      <c r="G380" s="3381">
        <v>50</v>
      </c>
      <c r="J380" s="3381">
        <v>50</v>
      </c>
      <c r="M380" s="3381">
        <v>50</v>
      </c>
      <c r="P380" s="3381">
        <v>50</v>
      </c>
      <c r="S380" s="3381">
        <v>48</v>
      </c>
      <c r="V380" s="3381">
        <v>55</v>
      </c>
      <c r="Y380" s="3381">
        <v>50</v>
      </c>
      <c r="AB380" s="3381">
        <v>50</v>
      </c>
      <c r="AE380" s="3381">
        <v>50</v>
      </c>
      <c r="AH380" s="3381">
        <v>50</v>
      </c>
      <c r="AK380" s="3381">
        <v>50</v>
      </c>
      <c r="AN380" s="3381">
        <v>50</v>
      </c>
      <c r="AQ380" s="3381">
        <v>50</v>
      </c>
      <c r="AT380" s="3381">
        <v>50</v>
      </c>
    </row>
    <row r="381" spans="1:46" ht="12.5">
      <c r="V381" s="3381" t="str">
        <f ca="1">CONCATENATE(LEFT(SUBSTITUTE(CELL("DIRECCION",M11),"$",""),1),":",LEFT(SUBSTITUTE(CELL("DIRECCION",X11),"$",""),1))</f>
        <v>M:X</v>
      </c>
      <c r="Y381" s="3381" t="str">
        <f ca="1">CONCATENATE(LEFT(SUBSTITUTE(CELL("DIRECCION",P11),"$",""),1),":",LEFT(SUBSTITUTE(CELL("DIRECCION",AA11),"$",""),2))</f>
        <v>P:AA</v>
      </c>
      <c r="AB381" s="3381" t="str">
        <f ca="1">CONCATENATE(LEFT(SUBSTITUTE(CELL("DIRECCION",P11),"$",""),1),":",LEFT(SUBSTITUTE(CELL("DIRECCION",AD11),"$",""),2))</f>
        <v>P:AD</v>
      </c>
      <c r="AE381" s="3381" t="str">
        <f ca="1">CONCATENATE(LEFT(SUBSTITUTE(CELL("DIRECCION",S11),"$",""),1),":",LEFT(SUBSTITUTE(CELL("DIRECCION",AG11),"$",""),2))</f>
        <v>S:AG</v>
      </c>
      <c r="AH381" s="3381" t="str">
        <f ca="1">CONCATENATE(LEFT(SUBSTITUTE(CELL("DIRECCION",V11),"$",""),1),":",LEFT(SUBSTITUTE(CELL("DIRECCION",AJ11),"$",""),2))</f>
        <v>V:AJ</v>
      </c>
      <c r="AK381" s="3381" t="str">
        <f ca="1">CONCATENATE(LEFT(SUBSTITUTE(CELL("DIRECCION",Y11),"$",""),1),":",LEFT(SUBSTITUTE(CELL("DIRECCION",AM11),"$",""),2))</f>
        <v>Y:AM</v>
      </c>
      <c r="AN381" s="3381" t="str">
        <f ca="1">CONCATENATE(LEFT(SUBSTITUTE(CELL("DIRECCION",AB11),"$",""),1),":",LEFT(SUBSTITUTE(CELL("DIRECCION",AP11),"$",""),2))</f>
        <v>A:AP</v>
      </c>
      <c r="AQ381" s="3381" t="str">
        <f ca="1">CONCATENATE(LEFT(SUBSTITUTE(CELL("DIRECCION",AE11),"$",""),1),":",LEFT(SUBSTITUTE(CELL("DIRECCION",AS11),"$",""),2))</f>
        <v>A:AS</v>
      </c>
      <c r="AT381" s="3381" t="str">
        <f ca="1">CONCATENATE(LEFT(SUBSTITUTE(CELL("DIRECCION",AH11),"$",""),1),":",LEFT(SUBSTITUTE(CELL("DIRECCION",AV11),"$",""),2))</f>
        <v>A:AV</v>
      </c>
    </row>
    <row r="382" spans="1:46" ht="12.5">
      <c r="V382" s="3381" t="str">
        <f ca="1">CONCATENATE(LEFT(SUBSTITUTE(CELL("DIRECCION",B11),"$",""),1),":",LEFT(SUBSTITUTE(CELL("DIRECCION",L11),"$",""),1))</f>
        <v>B:L</v>
      </c>
      <c r="Y382" s="3381" t="str">
        <f ca="1">CONCATENATE(LEFT(SUBSTITUTE(CELL("DIRECCION",B11),"$",""),1),":",LEFT(SUBSTITUTE(CELL("DIRECCION",O11),"$",""),1))</f>
        <v>B:O</v>
      </c>
      <c r="AB382" s="3381" t="str">
        <f ca="1">CONCATENATE(LEFT(SUBSTITUTE(CELL("DIRECCION",B11),"$",""),1),":",LEFT(SUBSTITUTE(CELL("DIRECCION",O11),"$",""),1))</f>
        <v>B:O</v>
      </c>
      <c r="AE382" s="3381" t="str">
        <f ca="1">CONCATENATE(LEFT(SUBSTITUTE(CELL("DIRECCION",B11),"$",""),1),":",LEFT(SUBSTITUTE(CELL("DIRECCION",R11),"$",""),1))</f>
        <v>B:R</v>
      </c>
      <c r="AH382" s="3381" t="str">
        <f ca="1">CONCATENATE(LEFT(SUBSTITUTE(CELL("DIRECCION",E11),"$",""),1),":",LEFT(SUBSTITUTE(CELL("DIRECCION",U11),"$",""),1))</f>
        <v>E:U</v>
      </c>
      <c r="AK382" s="3381" t="str">
        <f ca="1">CONCATENATE(LEFT(SUBSTITUTE(CELL("DIRECCION",H11),"$",""),1),":",LEFT(SUBSTITUTE(CELL("DIRECCION",X11),"$",""),1))</f>
        <v>H:X</v>
      </c>
      <c r="AN382" s="3381" t="str">
        <f ca="1">CONCATENATE(LEFT(SUBSTITUTE(CELL("DIRECCION",K11),"$",""),1),":",LEFT(SUBSTITUTE(CELL("DIRECCION",AA11),"$",""),1))</f>
        <v>K:A</v>
      </c>
      <c r="AQ382" s="3381" t="str">
        <f ca="1">CONCATENATE(LEFT(SUBSTITUTE(CELL("DIRECCION",N11),"$",""),1),":",LEFT(SUBSTITUTE(CELL("DIRECCION",AD11),"$",""),1))</f>
        <v>N:A</v>
      </c>
      <c r="AT382" s="3381" t="str">
        <f ca="1">CONCATENATE(LEFT(SUBSTITUTE(CELL("DIRECCION",Q11),"$",""),1),":",LEFT(SUBSTITUTE(CELL("DIRECCION",AG11),"$",""),1))</f>
        <v>Q:A</v>
      </c>
    </row>
    <row r="383" spans="1:46" ht="12.5">
      <c r="B383" s="3364" t="s">
        <v>2127</v>
      </c>
    </row>
    <row r="384" spans="1:46" ht="12.5">
      <c r="B384" s="3379">
        <v>16</v>
      </c>
      <c r="C384" s="3379" t="str">
        <f>IF(ISERROR(HLOOKUP(B384,$B$386:$AE$387,ROW(B387)-ROW(B385),0))=TRUE,"",HLOOKUP(B384,$B$386:$AE$387,ROW(B387)-ROW(B385),0))</f>
        <v/>
      </c>
    </row>
    <row r="385" spans="1:46" ht="12.5"/>
    <row r="386" spans="1:46" ht="12.5">
      <c r="B386" s="3381">
        <v>1</v>
      </c>
      <c r="D386" s="3381">
        <f>B386+1</f>
        <v>2</v>
      </c>
      <c r="G386" s="3381">
        <f>D386+1</f>
        <v>3</v>
      </c>
      <c r="J386" s="3381">
        <f>G386+1</f>
        <v>4</v>
      </c>
      <c r="M386" s="3381">
        <f>J386+1</f>
        <v>5</v>
      </c>
      <c r="P386" s="3381">
        <f>M386+1</f>
        <v>6</v>
      </c>
      <c r="S386" s="3381">
        <f>P386+1</f>
        <v>7</v>
      </c>
      <c r="V386" s="3381">
        <f>S386+1</f>
        <v>8</v>
      </c>
      <c r="Y386" s="3381">
        <f>V386+1</f>
        <v>9</v>
      </c>
      <c r="AB386" s="3381">
        <f>Y386+1</f>
        <v>10</v>
      </c>
      <c r="AE386" s="3381">
        <f>AB386+1</f>
        <v>11</v>
      </c>
      <c r="AH386" s="3381">
        <f>AE386+1</f>
        <v>12</v>
      </c>
      <c r="AK386" s="3381">
        <f>AH386+1</f>
        <v>13</v>
      </c>
      <c r="AN386" s="3381">
        <f>AK386+1</f>
        <v>14</v>
      </c>
      <c r="AQ386" s="3381">
        <f>AN386+1</f>
        <v>15</v>
      </c>
      <c r="AT386" s="3381">
        <f>AQ386+1</f>
        <v>16</v>
      </c>
    </row>
    <row r="387" spans="1:46" ht="12.5">
      <c r="B387" s="3381" t="str">
        <f ca="1">CONCATENATE(LEFT(SUBSTITUTE(CELL("DIRECCION",D11),"$",""),1),":",LEFT(SUBSTITUTE(CELL("DIRECCION",$AV11),"$",""),2))</f>
        <v>D:AV</v>
      </c>
      <c r="D387" s="3381" t="str">
        <f ca="1">CONCATENATE(LEFT(SUBSTITUTE(CELL("DIRECCION",G11),"$",""),1),":",LEFT(SUBSTITUTE(CELL("DIRECCION",$AV11),"$",""),2))</f>
        <v>G:AV</v>
      </c>
      <c r="G387" s="3381" t="str">
        <f ca="1">CONCATENATE(LEFT(SUBSTITUTE(CELL("DIRECCION",J11),"$",""),1),":",LEFT(SUBSTITUTE(CELL("DIRECCION",$AV11),"$",""),2))</f>
        <v>J:AV</v>
      </c>
      <c r="J387" s="3381" t="str">
        <f ca="1">CONCATENATE(LEFT(SUBSTITUTE(CELL("DIRECCION",M11),"$",""),1),":",LEFT(SUBSTITUTE(CELL("DIRECCION",$AV11),"$",""),2))</f>
        <v>M:AV</v>
      </c>
      <c r="M387" s="3381" t="str">
        <f ca="1">CONCATENATE(LEFT(SUBSTITUTE(CELL("DIRECCION",P11),"$",""),1),":",LEFT(SUBSTITUTE(CELL("DIRECCION",$AV11),"$",""),2))</f>
        <v>P:AV</v>
      </c>
      <c r="P387" s="3381" t="str">
        <f ca="1">CONCATENATE(LEFT(SUBSTITUTE(CELL("DIRECCION",S11),"$",""),1),":",LEFT(SUBSTITUTE(CELL("DIRECCION",$AV11),"$",""),2))</f>
        <v>S:AV</v>
      </c>
      <c r="S387" s="3381" t="str">
        <f ca="1">CONCATENATE(LEFT(SUBSTITUTE(CELL("DIRECCION",V11),"$",""),1),":",LEFT(SUBSTITUTE(CELL("DIRECCION",$AV11),"$",""),2))</f>
        <v>V:AV</v>
      </c>
      <c r="V387" s="3381" t="str">
        <f ca="1">CONCATENATE(LEFT(SUBSTITUTE(CELL("DIRECCION",Y11),"$",""),1),":",LEFT(SUBSTITUTE(CELL("DIRECCION",$AV11),"$",""),2))</f>
        <v>Y:AV</v>
      </c>
      <c r="Y387" s="3381" t="str">
        <f ca="1">CONCATENATE(LEFT(SUBSTITUTE(CELL("DIRECCION",AB11),"$",""),2),":",LEFT(SUBSTITUTE(CELL("DIRECCION",$AV11),"$",""),2))</f>
        <v>AB:AV</v>
      </c>
      <c r="AB387" s="3381" t="str">
        <f ca="1">CONCATENATE(LEFT(SUBSTITUTE(CELL("DIRECCION",AE11),"$",""),2),":",LEFT(SUBSTITUTE(CELL("DIRECCION",$AV11),"$",""),2))</f>
        <v>AE:AV</v>
      </c>
      <c r="AE387" s="3381" t="str">
        <f ca="1">CONCATENATE(LEFT(SUBSTITUTE(CELL("DIRECCION",AH11),"$",""),2),":",LEFT(SUBSTITUTE(CELL("DIRECCION",$AV11),"$",""),2))</f>
        <v>AH:AV</v>
      </c>
      <c r="AH387" s="3387" t="str">
        <f ca="1">CONCATENATE(LEFT(SUBSTITUTE(CELL("DIRECCION",AK11),"$",""),2),":",LEFT(SUBSTITUTE(CELL("DIRECCION",$AV11),"$",""),2))</f>
        <v>AK:AV</v>
      </c>
      <c r="AI387" s="3387"/>
      <c r="AJ387" s="3387"/>
      <c r="AK387" s="3387" t="str">
        <f ca="1">CONCATENATE(LEFT(SUBSTITUTE(CELL("DIRECCION",AN11),"$",""),2),":",LEFT(SUBSTITUTE(CELL("DIRECCION",$AV11),"$",""),2))</f>
        <v>AN:AV</v>
      </c>
      <c r="AL387" s="3387"/>
      <c r="AM387" s="3387"/>
      <c r="AN387" s="3387" t="str">
        <f ca="1">CONCATENATE(LEFT(SUBSTITUTE(CELL("DIRECCION",AQ11),"$",""),2),":",LEFT(SUBSTITUTE(CELL("DIRECCION",$AV11),"$",""),2))</f>
        <v>AQ:AV</v>
      </c>
      <c r="AO387" s="3387"/>
      <c r="AP387" s="3387"/>
      <c r="AQ387" s="3387" t="str">
        <f ca="1">CONCATENATE(LEFT(SUBSTITUTE(CELL("DIRECCION",AT11),"$",""),2),":",LEFT(SUBSTITUTE(CELL("DIRECCION",$AV11),"$",""),2))</f>
        <v>AT:AV</v>
      </c>
      <c r="AR387" s="3387"/>
      <c r="AS387" s="3387"/>
      <c r="AT387" s="3387"/>
    </row>
    <row r="388" spans="1:46" ht="12.5"/>
    <row r="389" spans="1:46" ht="12.5"/>
    <row r="390" spans="1:46" ht="12.5">
      <c r="A390" s="3364" t="s">
        <v>2128</v>
      </c>
    </row>
    <row r="391" spans="1:46" ht="12.5">
      <c r="A391" s="3365" t="s">
        <v>2129</v>
      </c>
    </row>
    <row r="392" spans="1:46" ht="12.5">
      <c r="A392" s="3365" t="s">
        <v>2008</v>
      </c>
      <c r="B392" s="3388">
        <f ca="1">B53</f>
        <v>2023</v>
      </c>
      <c r="D392" s="3388">
        <f ca="1">D53</f>
        <v>2024</v>
      </c>
      <c r="G392" s="3388">
        <f ca="1">G53</f>
        <v>2025</v>
      </c>
      <c r="J392" s="3388">
        <f ca="1">J53</f>
        <v>2026</v>
      </c>
      <c r="M392" s="3388">
        <f ca="1">M53</f>
        <v>2027</v>
      </c>
      <c r="P392" s="3388">
        <f ca="1">P53</f>
        <v>2028</v>
      </c>
      <c r="S392" s="3388">
        <f ca="1">S53</f>
        <v>2029</v>
      </c>
      <c r="V392" s="3388">
        <f ca="1">V53</f>
        <v>2030</v>
      </c>
      <c r="Y392" s="3388">
        <f ca="1">Y53</f>
        <v>2031</v>
      </c>
      <c r="AB392" s="3388">
        <f ca="1">AB53</f>
        <v>2032</v>
      </c>
      <c r="AE392" s="3388">
        <f ca="1">AE53</f>
        <v>2033</v>
      </c>
      <c r="AH392" s="3388">
        <f ca="1">AH53</f>
        <v>2034</v>
      </c>
      <c r="AK392" s="3388">
        <f ca="1">AK53</f>
        <v>2035</v>
      </c>
      <c r="AN392" s="3388">
        <f ca="1">AN53</f>
        <v>2036</v>
      </c>
      <c r="AQ392" s="3388">
        <f ca="1">AQ53</f>
        <v>2037</v>
      </c>
      <c r="AT392" s="3388">
        <f ca="1">AT53</f>
        <v>2038</v>
      </c>
    </row>
    <row r="393" spans="1:46" ht="12.5">
      <c r="A393" s="3365" t="s">
        <v>2162</v>
      </c>
      <c r="B393" s="3381" t="str">
        <f>IF($A$62=0,"",IF(B62=$C$4,"C","I"))</f>
        <v/>
      </c>
      <c r="C393" s="3142"/>
      <c r="D393" s="3381" t="str">
        <f>IF($A$62=0,"",IF(D62=$C$4,"C","I"))</f>
        <v/>
      </c>
      <c r="E393" s="3142"/>
      <c r="F393" s="3142"/>
      <c r="G393" s="3381" t="str">
        <f>IF($A$62=0,"",IF(G62=$C$4,"C","I"))</f>
        <v/>
      </c>
      <c r="H393" s="3142"/>
      <c r="I393" s="3142"/>
      <c r="J393" s="3381" t="str">
        <f>IF($A$62=0,"",IF(J62=$C$4,"C","I"))</f>
        <v/>
      </c>
      <c r="K393" s="3142"/>
      <c r="L393" s="3142"/>
      <c r="M393" s="3381" t="str">
        <f>IF($A$62=0,"",IF(M62=$C$4,"C","I"))</f>
        <v/>
      </c>
      <c r="N393" s="3142"/>
      <c r="O393" s="3142"/>
      <c r="P393" s="3381" t="str">
        <f>IF($A$62=0,"",IF(P62=$C$4,"C","I"))</f>
        <v/>
      </c>
      <c r="Q393" s="3142"/>
      <c r="R393" s="3142"/>
      <c r="S393" s="3381" t="str">
        <f>IF($A$62=0,"",IF(S62=$C$4,"C","I"))</f>
        <v/>
      </c>
      <c r="T393" s="3142"/>
      <c r="U393" s="3142"/>
      <c r="V393" s="3381" t="str">
        <f>IF($A$62=0,"",IF(V62=$C$4,"C","I"))</f>
        <v/>
      </c>
      <c r="W393" s="3142"/>
      <c r="X393" s="3142"/>
      <c r="Y393" s="3381" t="str">
        <f>IF($A$62=0,"",IF(Y62=$C$4,"C","I"))</f>
        <v/>
      </c>
      <c r="Z393" s="3142"/>
      <c r="AA393" s="3142"/>
      <c r="AB393" s="3381" t="str">
        <f>IF($A$62=0,"",IF(AB62=$C$4,"C","I"))</f>
        <v/>
      </c>
      <c r="AC393" s="3142"/>
      <c r="AD393" s="3142"/>
      <c r="AE393" s="3381" t="str">
        <f>IF($A$62=0,"",IF(AE62=$C$4,"C","I"))</f>
        <v/>
      </c>
    </row>
    <row r="394" spans="1:46" ht="12.5">
      <c r="A394" s="3365" t="s">
        <v>2163</v>
      </c>
      <c r="B394" s="3381" t="str">
        <f>IF($A$62=0,"",IF(B62&gt;=$C$4,"C","I"))</f>
        <v/>
      </c>
      <c r="C394" s="3142"/>
      <c r="D394" s="3381" t="str">
        <f>IF($A$62=0,"",IF(D62&gt;=$C$4,"C","I"))</f>
        <v/>
      </c>
      <c r="E394" s="3142"/>
      <c r="F394" s="3142"/>
      <c r="G394" s="3381" t="str">
        <f>IF($A$62=0,"",IF(G62&gt;=$C$4,"C","I"))</f>
        <v/>
      </c>
      <c r="H394" s="3142"/>
      <c r="I394" s="3142"/>
      <c r="J394" s="3381" t="str">
        <f>IF($A$62=0,"",IF(J62&gt;=$C$4,"C","I"))</f>
        <v/>
      </c>
      <c r="K394" s="3142"/>
      <c r="L394" s="3142"/>
      <c r="M394" s="3381" t="str">
        <f>IF($A$62=0,"",IF(M62&gt;=$C$4,"C","I"))</f>
        <v/>
      </c>
      <c r="N394" s="3142"/>
      <c r="O394" s="3142"/>
      <c r="P394" s="3381" t="str">
        <f>IF($A$62=0,"",IF(P62&gt;=$C$4,"C","I"))</f>
        <v/>
      </c>
      <c r="Q394" s="3142"/>
      <c r="R394" s="3142"/>
      <c r="S394" s="3381" t="str">
        <f>IF($A$62=0,"",IF(S62&gt;=$C$4,"C","I"))</f>
        <v/>
      </c>
      <c r="T394" s="3142"/>
      <c r="U394" s="3142"/>
      <c r="V394" s="3381" t="str">
        <f>IF($A$62=0,"",IF(V62&gt;=$C$4,"C","I"))</f>
        <v/>
      </c>
      <c r="W394" s="3142"/>
      <c r="X394" s="3142"/>
      <c r="Y394" s="3381" t="str">
        <f>IF($A$62=0,"",IF(Y62&gt;=$C$4,"C","I"))</f>
        <v/>
      </c>
      <c r="Z394" s="3142"/>
      <c r="AA394" s="3142"/>
      <c r="AB394" s="3381" t="str">
        <f>IF($A$62=0,"",IF(AB62&gt;=$C$4,"C","I"))</f>
        <v/>
      </c>
      <c r="AC394" s="3142"/>
      <c r="AD394" s="3142"/>
      <c r="AE394" s="3381" t="str">
        <f>IF($A$62=0,"",IF(AE62&gt;=$C$4,"C","I"))</f>
        <v/>
      </c>
    </row>
    <row r="395" spans="1:46" ht="12.5">
      <c r="A395" s="3365" t="s">
        <v>2164</v>
      </c>
      <c r="B395" s="3381" t="str">
        <f>IF($A$62=0,"",IF(B62&lt;=$C$4,"C","I"))</f>
        <v/>
      </c>
      <c r="C395" s="3142"/>
      <c r="D395" s="3381" t="str">
        <f>IF($A$62=0,"",IF(D62&lt;=$C$4,"C","I"))</f>
        <v/>
      </c>
      <c r="E395" s="3142"/>
      <c r="F395" s="3142"/>
      <c r="G395" s="3381" t="str">
        <f>IF($A$62=0,"",IF(G62&lt;=$C$4,"C","I"))</f>
        <v/>
      </c>
      <c r="H395" s="3142"/>
      <c r="I395" s="3142"/>
      <c r="J395" s="3381" t="str">
        <f>IF($A$62=0,"",IF(J62&lt;=$C$4,"C","I"))</f>
        <v/>
      </c>
      <c r="K395" s="3142"/>
      <c r="L395" s="3142"/>
      <c r="M395" s="3381" t="str">
        <f>IF($A$62=0,"",IF(M62&lt;=$C$4,"C","I"))</f>
        <v/>
      </c>
      <c r="N395" s="3142"/>
      <c r="O395" s="3142"/>
      <c r="P395" s="3381" t="str">
        <f>IF($A$62=0,"",IF(P62&lt;=$C$4,"C","I"))</f>
        <v/>
      </c>
      <c r="Q395" s="3142"/>
      <c r="R395" s="3142"/>
      <c r="S395" s="3381" t="str">
        <f>IF($A$62=0,"",IF(S62&lt;=$C$4,"C","I"))</f>
        <v/>
      </c>
      <c r="T395" s="3142"/>
      <c r="U395" s="3142"/>
      <c r="V395" s="3381" t="str">
        <f>IF($A$62=0,"",IF(V62&lt;=$C$4,"C","I"))</f>
        <v/>
      </c>
      <c r="W395" s="3142"/>
      <c r="X395" s="3142"/>
      <c r="Y395" s="3381" t="str">
        <f>IF($A$62=0,"",IF(Y62&lt;=$C$4,"C","I"))</f>
        <v/>
      </c>
      <c r="Z395" s="3142"/>
      <c r="AA395" s="3142"/>
      <c r="AB395" s="3381" t="str">
        <f>IF($A$62=0,"",IF(AB62&lt;=$C$4,"C","I"))</f>
        <v/>
      </c>
      <c r="AC395" s="3142"/>
      <c r="AD395" s="3142"/>
      <c r="AE395" s="3381" t="str">
        <f>IF($A$62=0,"",IF(AE62&lt;=$C$4,"C","I"))</f>
        <v/>
      </c>
    </row>
    <row r="396" spans="1:46" ht="12.5">
      <c r="A396" s="3365" t="s">
        <v>2111</v>
      </c>
      <c r="B396" s="3381" t="str">
        <f>IF($A$62=0,"",IF(B62&gt;$C$4,"C","I"))</f>
        <v/>
      </c>
      <c r="C396" s="3142"/>
      <c r="D396" s="3381" t="str">
        <f>IF($A$62=0,"",IF(D62&gt;$C$4,"C","I"))</f>
        <v/>
      </c>
      <c r="E396" s="3142"/>
      <c r="F396" s="3142"/>
      <c r="G396" s="3381" t="str">
        <f>IF($A$62=0,"",IF(G62&gt;$C$4,"C","I"))</f>
        <v/>
      </c>
      <c r="H396" s="3142"/>
      <c r="I396" s="3142"/>
      <c r="J396" s="3381" t="str">
        <f>IF($A$62=0,"",IF(J62&gt;$C$4,"C","I"))</f>
        <v/>
      </c>
      <c r="K396" s="3142"/>
      <c r="L396" s="3142"/>
      <c r="M396" s="3381" t="str">
        <f>IF($A$62=0,"",IF(M62&gt;$C$4,"C","I"))</f>
        <v/>
      </c>
      <c r="N396" s="3142"/>
      <c r="O396" s="3142"/>
      <c r="P396" s="3381" t="str">
        <f>IF($A$62=0,"",IF(P62&gt;$C$4,"C","I"))</f>
        <v/>
      </c>
      <c r="Q396" s="3142"/>
      <c r="R396" s="3142"/>
      <c r="S396" s="3381" t="str">
        <f>IF($A$62=0,"",IF(S62&gt;$C$4,"C","I"))</f>
        <v/>
      </c>
      <c r="T396" s="3142"/>
      <c r="U396" s="3142"/>
      <c r="V396" s="3381" t="str">
        <f>IF($A$62=0,"",IF(V62&gt;$C$4,"C","I"))</f>
        <v/>
      </c>
      <c r="W396" s="3142"/>
      <c r="X396" s="3142"/>
      <c r="Y396" s="3381" t="str">
        <f>IF($A$62=0,"",IF(Y62&gt;$C$4,"C","I"))</f>
        <v/>
      </c>
      <c r="Z396" s="3142"/>
      <c r="AA396" s="3142"/>
      <c r="AB396" s="3381" t="str">
        <f>IF($A$62=0,"",IF(AB62&gt;$C$4,"C","I"))</f>
        <v/>
      </c>
      <c r="AC396" s="3142"/>
      <c r="AD396" s="3142"/>
      <c r="AE396" s="3381" t="str">
        <f>IF($A$62=0,"",IF(AE62&gt;$C$4,"C","I"))</f>
        <v/>
      </c>
    </row>
    <row r="397" spans="1:46" ht="12.5">
      <c r="A397" s="3365" t="s">
        <v>2112</v>
      </c>
      <c r="B397" s="3381" t="str">
        <f>IF($A$62=0,"",IF(B62&lt;$C$4,"C","I"))</f>
        <v/>
      </c>
      <c r="C397" s="3142"/>
      <c r="D397" s="3381" t="str">
        <f>IF($A$62=0,"",IF(D62&lt;$C$4,"C","I"))</f>
        <v/>
      </c>
      <c r="E397" s="3142"/>
      <c r="F397" s="3142"/>
      <c r="G397" s="3381" t="str">
        <f>IF($A$62=0,"",IF(G62&lt;$C$4,"C","I"))</f>
        <v/>
      </c>
      <c r="H397" s="3142"/>
      <c r="I397" s="3142"/>
      <c r="J397" s="3381" t="str">
        <f>IF($A$62=0,"",IF(J62&lt;$C$4,"C","I"))</f>
        <v/>
      </c>
      <c r="K397" s="3142"/>
      <c r="L397" s="3142"/>
      <c r="M397" s="3381" t="str">
        <f>IF($A$62=0,"",IF(M62&lt;$C$4,"C","I"))</f>
        <v/>
      </c>
      <c r="N397" s="3142"/>
      <c r="O397" s="3142"/>
      <c r="P397" s="3381" t="str">
        <f>IF($A$62=0,"",IF(P62&lt;$C$4,"C","I"))</f>
        <v/>
      </c>
      <c r="Q397" s="3142"/>
      <c r="R397" s="3142"/>
      <c r="S397" s="3381" t="str">
        <f>IF($A$62=0,"",IF(S62&lt;$C$4,"C","I"))</f>
        <v/>
      </c>
      <c r="T397" s="3142"/>
      <c r="U397" s="3142"/>
      <c r="V397" s="3381" t="str">
        <f>IF($A$62=0,"",IF(V62&lt;$C$4,"C","I"))</f>
        <v/>
      </c>
      <c r="W397" s="3142"/>
      <c r="X397" s="3142"/>
      <c r="Y397" s="3381" t="str">
        <f>IF($A$62=0,"",IF(Y62&lt;$C$4,"C","I"))</f>
        <v/>
      </c>
      <c r="Z397" s="3142"/>
      <c r="AA397" s="3142"/>
      <c r="AB397" s="3381" t="str">
        <f>IF($A$62=0,"",IF(AB62&lt;$C$4,"C","I"))</f>
        <v/>
      </c>
      <c r="AC397" s="3142"/>
      <c r="AD397" s="3142"/>
      <c r="AE397" s="3381" t="str">
        <f>IF($A$62=0,"",IF(AE62&lt;$C$4,"C","I"))</f>
        <v/>
      </c>
    </row>
    <row r="398" spans="1:46" ht="12.5">
      <c r="A398" s="3365" t="s">
        <v>2113</v>
      </c>
      <c r="B398" s="3381" t="str">
        <f>IF($A$62=0,"",IF(B62&lt;&gt;$C$4,"C","I"))</f>
        <v/>
      </c>
      <c r="C398" s="3142"/>
      <c r="D398" s="3381" t="str">
        <f>IF($A$62=0,"",IF(D62&lt;&gt;$C$4,"C","I"))</f>
        <v/>
      </c>
      <c r="E398" s="3142"/>
      <c r="F398" s="3142"/>
      <c r="G398" s="3381" t="str">
        <f>IF($A$62=0,"",IF(G62&lt;&gt;$C$4,"C","I"))</f>
        <v/>
      </c>
      <c r="H398" s="3142"/>
      <c r="I398" s="3142"/>
      <c r="J398" s="3381" t="str">
        <f>IF($A$62=0,"",IF(J62&lt;&gt;$C$4,"C","I"))</f>
        <v/>
      </c>
      <c r="K398" s="3142"/>
      <c r="L398" s="3142"/>
      <c r="M398" s="3381" t="str">
        <f>IF($A$62=0,"",IF(M62&lt;&gt;$C$4,"C","I"))</f>
        <v/>
      </c>
      <c r="N398" s="3142"/>
      <c r="O398" s="3142"/>
      <c r="P398" s="3381" t="str">
        <f>IF($A$62=0,"",IF(P62&lt;&gt;$C$4,"C","I"))</f>
        <v/>
      </c>
      <c r="Q398" s="3142"/>
      <c r="R398" s="3142"/>
      <c r="S398" s="3381" t="str">
        <f>IF($A$62=0,"",IF(S62&lt;&gt;$C$4,"C","I"))</f>
        <v/>
      </c>
      <c r="T398" s="3142"/>
      <c r="U398" s="3142"/>
      <c r="V398" s="3381" t="str">
        <f>IF($A$62=0,"",IF(V62&lt;&gt;$C$4,"C","I"))</f>
        <v/>
      </c>
      <c r="W398" s="3142"/>
      <c r="X398" s="3142"/>
      <c r="Y398" s="3381" t="str">
        <f>IF($A$62=0,"",IF(Y62&lt;&gt;$C$4,"C","I"))</f>
        <v/>
      </c>
      <c r="Z398" s="3142"/>
      <c r="AA398" s="3142"/>
      <c r="AB398" s="3381" t="str">
        <f>IF($A$62=0,"",IF(AB62&lt;&gt;$C$4,"C","I"))</f>
        <v/>
      </c>
      <c r="AC398" s="3142"/>
      <c r="AD398" s="3142"/>
      <c r="AE398" s="3381" t="str">
        <f>IF($A$62=0,"",IF(AE62&lt;&gt;$C$4,"C","I"))</f>
        <v/>
      </c>
    </row>
    <row r="399" spans="1:46" ht="12.5">
      <c r="A399" s="3365" t="s">
        <v>2130</v>
      </c>
      <c r="B399" s="3142"/>
      <c r="C399" s="3142"/>
      <c r="D399" s="3142"/>
      <c r="E399" s="3142"/>
      <c r="F399" s="3142"/>
      <c r="G399" s="3142"/>
      <c r="H399" s="3142"/>
      <c r="I399" s="3142"/>
      <c r="J399" s="3142"/>
      <c r="K399" s="3142"/>
      <c r="L399" s="3142"/>
      <c r="M399" s="3142"/>
      <c r="N399" s="3142"/>
      <c r="O399" s="3142"/>
      <c r="P399" s="3142"/>
      <c r="Q399" s="3142"/>
      <c r="R399" s="3142"/>
      <c r="S399" s="3142"/>
      <c r="T399" s="3142"/>
      <c r="U399" s="3142"/>
      <c r="V399" s="3142"/>
      <c r="W399" s="3142"/>
      <c r="X399" s="3142"/>
      <c r="Y399" s="3142"/>
      <c r="Z399" s="3142"/>
      <c r="AA399" s="3142"/>
      <c r="AB399" s="3142"/>
      <c r="AC399" s="3142"/>
      <c r="AD399" s="3142"/>
      <c r="AE399" s="3142"/>
    </row>
    <row r="400" spans="1:46" ht="12.5">
      <c r="A400" s="3365" t="s">
        <v>2162</v>
      </c>
      <c r="B400" s="3381" t="str">
        <f>IF($A$63=0,"",IF(B63=$C$5,"C","I"))</f>
        <v/>
      </c>
      <c r="C400" s="3142"/>
      <c r="D400" s="3381" t="str">
        <f>IF($A$63=0,"",IF(D63=$C$5,"C","I"))</f>
        <v/>
      </c>
      <c r="E400" s="3142"/>
      <c r="F400" s="3142"/>
      <c r="G400" s="3381" t="str">
        <f>IF($A$63=0,"",IF(G63=$C$5,"C","I"))</f>
        <v/>
      </c>
      <c r="H400" s="3142"/>
      <c r="I400" s="3142"/>
      <c r="J400" s="3381" t="str">
        <f>IF($A$63=0,"",IF(J63=$C$5,"C","I"))</f>
        <v/>
      </c>
      <c r="K400" s="3142"/>
      <c r="L400" s="3142"/>
      <c r="M400" s="3381" t="str">
        <f>IF($A$63=0,"",IF(M63=$C$5,"C","I"))</f>
        <v/>
      </c>
      <c r="N400" s="3142"/>
      <c r="O400" s="3142"/>
      <c r="P400" s="3381" t="str">
        <f>IF($A$63=0,"",IF(P63=$C$5,"C","I"))</f>
        <v/>
      </c>
      <c r="Q400" s="3142"/>
      <c r="R400" s="3142"/>
      <c r="S400" s="3381" t="str">
        <f>IF($A$63=0,"",IF(S63=$C$5,"C","I"))</f>
        <v/>
      </c>
      <c r="T400" s="3142"/>
      <c r="U400" s="3142"/>
      <c r="V400" s="3381" t="str">
        <f>IF($A$63=0,"",IF(V63=$C$5,"C","I"))</f>
        <v/>
      </c>
      <c r="W400" s="3142"/>
      <c r="X400" s="3142"/>
      <c r="Y400" s="3381" t="str">
        <f>IF($A$63=0,"",IF(Y63=$C$5,"C","I"))</f>
        <v/>
      </c>
      <c r="Z400" s="3142"/>
      <c r="AA400" s="3142"/>
      <c r="AB400" s="3381" t="str">
        <f>IF($A$63=0,"",IF(AB63=$C$5,"C","I"))</f>
        <v/>
      </c>
      <c r="AC400" s="3142"/>
      <c r="AD400" s="3142"/>
      <c r="AE400" s="3381" t="str">
        <f>IF($A$63=0,"",IF(AE63=$C$5,"C","I"))</f>
        <v/>
      </c>
    </row>
    <row r="401" spans="1:31" ht="12.5">
      <c r="A401" s="3365" t="s">
        <v>2163</v>
      </c>
      <c r="B401" s="3381" t="str">
        <f>IF($A$63=0,"",IF(B63&gt;=$C$5,"C","I"))</f>
        <v/>
      </c>
      <c r="C401" s="3142"/>
      <c r="D401" s="3381" t="str">
        <f>IF($A$63=0,"",IF(D63&gt;=$C$5,"C","I"))</f>
        <v/>
      </c>
      <c r="E401" s="3142"/>
      <c r="F401" s="3142"/>
      <c r="G401" s="3381" t="str">
        <f>IF($A$63=0,"",IF(G63&gt;=$C$5,"C","I"))</f>
        <v/>
      </c>
      <c r="H401" s="3142"/>
      <c r="I401" s="3142"/>
      <c r="J401" s="3381" t="str">
        <f>IF($A$63=0,"",IF(J63&gt;=$C$5,"C","I"))</f>
        <v/>
      </c>
      <c r="K401" s="3142"/>
      <c r="L401" s="3142"/>
      <c r="M401" s="3381" t="str">
        <f>IF($A$63=0,"",IF(M63&gt;=$C$5,"C","I"))</f>
        <v/>
      </c>
      <c r="N401" s="3142"/>
      <c r="O401" s="3142"/>
      <c r="P401" s="3381" t="str">
        <f>IF($A$63=0,"",IF(P63&gt;=$C$5,"C","I"))</f>
        <v/>
      </c>
      <c r="Q401" s="3142"/>
      <c r="R401" s="3142"/>
      <c r="S401" s="3381" t="str">
        <f>IF($A$63=0,"",IF(S63&gt;=$C$5,"C","I"))</f>
        <v/>
      </c>
      <c r="T401" s="3142"/>
      <c r="U401" s="3142"/>
      <c r="V401" s="3381" t="str">
        <f>IF($A$63=0,"",IF(V63&gt;=$C$5,"C","I"))</f>
        <v/>
      </c>
      <c r="W401" s="3142"/>
      <c r="X401" s="3142"/>
      <c r="Y401" s="3381" t="str">
        <f>IF($A$63=0,"",IF(Y63&gt;=$C$5,"C","I"))</f>
        <v/>
      </c>
      <c r="Z401" s="3142"/>
      <c r="AA401" s="3142"/>
      <c r="AB401" s="3381" t="str">
        <f>IF($A$63=0,"",IF(AB63&gt;=$C$5,"C","I"))</f>
        <v/>
      </c>
      <c r="AC401" s="3142"/>
      <c r="AD401" s="3142"/>
      <c r="AE401" s="3381" t="str">
        <f>IF($A$63=0,"",IF(AE63&gt;=$C$5,"C","I"))</f>
        <v/>
      </c>
    </row>
    <row r="402" spans="1:31" ht="12.5">
      <c r="A402" s="3365" t="s">
        <v>2164</v>
      </c>
      <c r="B402" s="3381" t="str">
        <f>IF($A$63=0,"",IF(B63&lt;=$C$5,"C","I"))</f>
        <v/>
      </c>
      <c r="C402" s="3142"/>
      <c r="D402" s="3381" t="str">
        <f>IF($A$63=0,"",IF(D63&lt;=$C$5,"C","I"))</f>
        <v/>
      </c>
      <c r="E402" s="3142"/>
      <c r="F402" s="3142"/>
      <c r="G402" s="3381" t="str">
        <f>IF($A$63=0,"",IF(G63&lt;=$C$5,"C","I"))</f>
        <v/>
      </c>
      <c r="H402" s="3142"/>
      <c r="I402" s="3142"/>
      <c r="J402" s="3381" t="str">
        <f>IF($A$63=0,"",IF(J63&lt;=$C$5,"C","I"))</f>
        <v/>
      </c>
      <c r="K402" s="3142"/>
      <c r="L402" s="3142"/>
      <c r="M402" s="3381" t="str">
        <f>IF($A$63=0,"",IF(M63&lt;=$C$5,"C","I"))</f>
        <v/>
      </c>
      <c r="N402" s="3142"/>
      <c r="O402" s="3142"/>
      <c r="P402" s="3381" t="str">
        <f>IF($A$63=0,"",IF(P63&lt;=$C$5,"C","I"))</f>
        <v/>
      </c>
      <c r="Q402" s="3142"/>
      <c r="R402" s="3142"/>
      <c r="S402" s="3381" t="str">
        <f>IF($A$63=0,"",IF(S63&lt;=$C$5,"C","I"))</f>
        <v/>
      </c>
      <c r="T402" s="3142"/>
      <c r="U402" s="3142"/>
      <c r="V402" s="3381" t="str">
        <f>IF($A$63=0,"",IF(V63&lt;=$C$5,"C","I"))</f>
        <v/>
      </c>
      <c r="W402" s="3142"/>
      <c r="X402" s="3142"/>
      <c r="Y402" s="3381" t="str">
        <f>IF($A$63=0,"",IF(Y63&lt;=$C$5,"C","I"))</f>
        <v/>
      </c>
      <c r="Z402" s="3142"/>
      <c r="AA402" s="3142"/>
      <c r="AB402" s="3381" t="str">
        <f>IF($A$63=0,"",IF(AB63&lt;=$C$5,"C","I"))</f>
        <v/>
      </c>
      <c r="AC402" s="3142"/>
      <c r="AD402" s="3142"/>
      <c r="AE402" s="3381" t="str">
        <f>IF($A$63=0,"",IF(AE63&lt;=$C$5,"C","I"))</f>
        <v/>
      </c>
    </row>
    <row r="403" spans="1:31" ht="12.5">
      <c r="A403" s="3365" t="s">
        <v>2111</v>
      </c>
      <c r="B403" s="3381" t="str">
        <f>IF($A$63=0,"",IF(B63&gt;$C$5,"C","I"))</f>
        <v/>
      </c>
      <c r="C403" s="3142"/>
      <c r="D403" s="3381" t="str">
        <f>IF($A$63=0,"",IF(D63&gt;$C$5,"C","I"))</f>
        <v/>
      </c>
      <c r="E403" s="3142"/>
      <c r="F403" s="3142"/>
      <c r="G403" s="3381" t="str">
        <f>IF($A$63=0,"",IF(G63&gt;$C$5,"C","I"))</f>
        <v/>
      </c>
      <c r="H403" s="3142"/>
      <c r="I403" s="3142"/>
      <c r="J403" s="3381" t="str">
        <f>IF($A$63=0,"",IF(J63&gt;$C$5,"C","I"))</f>
        <v/>
      </c>
      <c r="K403" s="3142"/>
      <c r="L403" s="3142"/>
      <c r="M403" s="3381" t="str">
        <f>IF($A$63=0,"",IF(M63&gt;$C$5,"C","I"))</f>
        <v/>
      </c>
      <c r="N403" s="3142"/>
      <c r="O403" s="3142"/>
      <c r="P403" s="3381" t="str">
        <f>IF($A$63=0,"",IF(P63&gt;$C$5,"C","I"))</f>
        <v/>
      </c>
      <c r="Q403" s="3142"/>
      <c r="R403" s="3142"/>
      <c r="S403" s="3381" t="str">
        <f>IF($A$63=0,"",IF(S63&gt;$C$5,"C","I"))</f>
        <v/>
      </c>
      <c r="T403" s="3142"/>
      <c r="U403" s="3142"/>
      <c r="V403" s="3381" t="str">
        <f>IF($A$63=0,"",IF(V63&gt;$C$5,"C","I"))</f>
        <v/>
      </c>
      <c r="W403" s="3142"/>
      <c r="X403" s="3142"/>
      <c r="Y403" s="3381" t="str">
        <f>IF($A$63=0,"",IF(Y63&gt;$C$5,"C","I"))</f>
        <v/>
      </c>
      <c r="Z403" s="3142"/>
      <c r="AA403" s="3142"/>
      <c r="AB403" s="3381" t="str">
        <f>IF($A$63=0,"",IF(AB63&gt;$C$5,"C","I"))</f>
        <v/>
      </c>
      <c r="AC403" s="3142"/>
      <c r="AD403" s="3142"/>
      <c r="AE403" s="3381" t="str">
        <f>IF($A$63=0,"",IF(AE63&gt;$C$5,"C","I"))</f>
        <v/>
      </c>
    </row>
    <row r="404" spans="1:31" ht="12.5">
      <c r="A404" s="3365" t="s">
        <v>2112</v>
      </c>
      <c r="B404" s="3381" t="str">
        <f>IF($A$63=0,"",IF(B63&lt;$C$5,"C","I"))</f>
        <v/>
      </c>
      <c r="C404" s="3142"/>
      <c r="D404" s="3381" t="str">
        <f>IF($A$63=0,"",IF(D63&lt;$C$5,"C","I"))</f>
        <v/>
      </c>
      <c r="E404" s="3142"/>
      <c r="F404" s="3142"/>
      <c r="G404" s="3381" t="str">
        <f>IF($A$63=0,"",IF(G63&lt;$C$5,"C","I"))</f>
        <v/>
      </c>
      <c r="H404" s="3142"/>
      <c r="I404" s="3142"/>
      <c r="J404" s="3381" t="str">
        <f>IF($A$63=0,"",IF(J63&lt;$C$5,"C","I"))</f>
        <v/>
      </c>
      <c r="K404" s="3142"/>
      <c r="L404" s="3142"/>
      <c r="M404" s="3381" t="str">
        <f>IF($A$63=0,"",IF(M63&lt;$C$5,"C","I"))</f>
        <v/>
      </c>
      <c r="N404" s="3142"/>
      <c r="O404" s="3142"/>
      <c r="P404" s="3381" t="str">
        <f>IF($A$63=0,"",IF(P63&lt;$C$5,"C","I"))</f>
        <v/>
      </c>
      <c r="Q404" s="3142"/>
      <c r="R404" s="3142"/>
      <c r="S404" s="3381" t="str">
        <f>IF($A$63=0,"",IF(S63&lt;$C$5,"C","I"))</f>
        <v/>
      </c>
      <c r="T404" s="3142"/>
      <c r="U404" s="3142"/>
      <c r="V404" s="3381" t="str">
        <f>IF($A$63=0,"",IF(V63&lt;$C$5,"C","I"))</f>
        <v/>
      </c>
      <c r="W404" s="3142"/>
      <c r="X404" s="3142"/>
      <c r="Y404" s="3381" t="str">
        <f>IF($A$63=0,"",IF(Y63&lt;$C$5,"C","I"))</f>
        <v/>
      </c>
      <c r="Z404" s="3142"/>
      <c r="AA404" s="3142"/>
      <c r="AB404" s="3381" t="str">
        <f>IF($A$63=0,"",IF(AB63&lt;$C$5,"C","I"))</f>
        <v/>
      </c>
      <c r="AC404" s="3142"/>
      <c r="AD404" s="3142"/>
      <c r="AE404" s="3381" t="str">
        <f>IF($A$63=0,"",IF(AE63&lt;$C$5,"C","I"))</f>
        <v/>
      </c>
    </row>
    <row r="405" spans="1:31" ht="12.5">
      <c r="A405" s="3365" t="s">
        <v>2113</v>
      </c>
      <c r="B405" s="3381" t="str">
        <f>IF($A$63=0,"",IF(B63&lt;&gt;$C$5,"C","I"))</f>
        <v/>
      </c>
      <c r="C405" s="3142"/>
      <c r="D405" s="3381" t="str">
        <f>IF($A$63=0,"",IF(D63&lt;&gt;$C$5,"C","I"))</f>
        <v/>
      </c>
      <c r="E405" s="3142"/>
      <c r="F405" s="3142"/>
      <c r="G405" s="3381" t="str">
        <f>IF($A$63=0,"",IF(G63&lt;&gt;$C$5,"C","I"))</f>
        <v/>
      </c>
      <c r="H405" s="3142"/>
      <c r="I405" s="3142"/>
      <c r="J405" s="3381" t="str">
        <f>IF($A$63=0,"",IF(J63&lt;&gt;$C$5,"C","I"))</f>
        <v/>
      </c>
      <c r="K405" s="3142"/>
      <c r="L405" s="3142"/>
      <c r="M405" s="3381" t="str">
        <f>IF($A$63=0,"",IF(M63&lt;&gt;$C$5,"C","I"))</f>
        <v/>
      </c>
      <c r="N405" s="3142"/>
      <c r="O405" s="3142"/>
      <c r="P405" s="3381" t="str">
        <f>IF($A$63=0,"",IF(P63&lt;&gt;$C$5,"C","I"))</f>
        <v/>
      </c>
      <c r="Q405" s="3142"/>
      <c r="R405" s="3142"/>
      <c r="S405" s="3381" t="str">
        <f>IF($A$63=0,"",IF(S63&lt;&gt;$C$5,"C","I"))</f>
        <v/>
      </c>
      <c r="T405" s="3142"/>
      <c r="U405" s="3142"/>
      <c r="V405" s="3381" t="str">
        <f>IF($A$63=0,"",IF(V63&lt;&gt;$C$5,"C","I"))</f>
        <v/>
      </c>
      <c r="W405" s="3142"/>
      <c r="X405" s="3142"/>
      <c r="Y405" s="3381" t="str">
        <f>IF($A$63=0,"",IF(Y63&lt;&gt;$C$5,"C","I"))</f>
        <v/>
      </c>
      <c r="Z405" s="3142"/>
      <c r="AA405" s="3142"/>
      <c r="AB405" s="3381" t="str">
        <f>IF($A$63=0,"",IF(AB63&lt;&gt;$C$5,"C","I"))</f>
        <v/>
      </c>
      <c r="AC405" s="3142"/>
      <c r="AD405" s="3142"/>
      <c r="AE405" s="3381" t="str">
        <f>IF($A$63=0,"",IF(AE63&lt;&gt;$C$5,"C","I"))</f>
        <v/>
      </c>
    </row>
    <row r="406" spans="1:31" ht="12.5">
      <c r="A406" s="3365" t="s">
        <v>2131</v>
      </c>
      <c r="B406" s="3142"/>
      <c r="C406" s="3142"/>
      <c r="D406" s="3142"/>
      <c r="E406" s="3142"/>
      <c r="F406" s="3142"/>
      <c r="G406" s="3142"/>
      <c r="H406" s="3142"/>
      <c r="I406" s="3142"/>
      <c r="J406" s="3142"/>
      <c r="K406" s="3142"/>
      <c r="L406" s="3142"/>
      <c r="M406" s="3142"/>
      <c r="N406" s="3142"/>
      <c r="O406" s="3142"/>
      <c r="P406" s="3142"/>
      <c r="Q406" s="3142"/>
      <c r="R406" s="3142"/>
      <c r="S406" s="3142"/>
      <c r="T406" s="3142"/>
      <c r="U406" s="3142"/>
      <c r="V406" s="3142"/>
      <c r="W406" s="3142"/>
      <c r="X406" s="3142"/>
      <c r="Y406" s="3142"/>
      <c r="Z406" s="3142"/>
      <c r="AA406" s="3142"/>
      <c r="AB406" s="3142"/>
      <c r="AC406" s="3142"/>
      <c r="AD406" s="3142"/>
      <c r="AE406" s="3142"/>
    </row>
    <row r="407" spans="1:31" ht="12.5">
      <c r="A407" s="3365" t="s">
        <v>2162</v>
      </c>
      <c r="B407" s="3381" t="str">
        <f>IF($A$64=0,"",IF(B64=$C$6,"C","I"))</f>
        <v/>
      </c>
      <c r="C407" s="3142"/>
      <c r="D407" s="3381" t="str">
        <f>IF($A$64=0,"",IF(D64=$C$6,"C","I"))</f>
        <v/>
      </c>
      <c r="E407" s="3142"/>
      <c r="F407" s="3142"/>
      <c r="G407" s="3381" t="str">
        <f>IF($A$64=0,"",IF(G64=$C$6,"C","I"))</f>
        <v/>
      </c>
      <c r="H407" s="3142"/>
      <c r="I407" s="3142"/>
      <c r="J407" s="3381" t="str">
        <f>IF($A$64=0,"",IF(J64=$C$6,"C","I"))</f>
        <v/>
      </c>
      <c r="K407" s="3142"/>
      <c r="L407" s="3142"/>
      <c r="M407" s="3381" t="str">
        <f>IF($A$64=0,"",IF(M64=$C$6,"C","I"))</f>
        <v/>
      </c>
      <c r="N407" s="3142"/>
      <c r="O407" s="3142"/>
      <c r="P407" s="3381" t="str">
        <f>IF($A$64=0,"",IF(P64=$C$6,"C","I"))</f>
        <v/>
      </c>
      <c r="Q407" s="3142"/>
      <c r="R407" s="3142"/>
      <c r="S407" s="3381" t="str">
        <f>IF($A$64=0,"",IF(S64=$C$6,"C","I"))</f>
        <v/>
      </c>
      <c r="T407" s="3142"/>
      <c r="U407" s="3142"/>
      <c r="V407" s="3381" t="str">
        <f>IF($A$64=0,"",IF(V64=$C$6,"C","I"))</f>
        <v/>
      </c>
      <c r="W407" s="3142"/>
      <c r="X407" s="3142"/>
      <c r="Y407" s="3381" t="str">
        <f>IF($A$64=0,"",IF(Y64=$C$6,"C","I"))</f>
        <v/>
      </c>
      <c r="Z407" s="3142"/>
      <c r="AA407" s="3142"/>
      <c r="AB407" s="3381" t="str">
        <f>IF($A$64=0,"",IF(AB64=$C$6,"C","I"))</f>
        <v/>
      </c>
      <c r="AC407" s="3142"/>
      <c r="AD407" s="3142"/>
      <c r="AE407" s="3381" t="str">
        <f>IF($A$64=0,"",IF(AE64=$C$6,"C","I"))</f>
        <v/>
      </c>
    </row>
    <row r="408" spans="1:31" ht="12.5">
      <c r="A408" s="3365" t="s">
        <v>2163</v>
      </c>
      <c r="B408" s="3381" t="str">
        <f>IF($A$64=0,"",IF(B64&gt;=$C$6,"C","I"))</f>
        <v/>
      </c>
      <c r="C408" s="3142"/>
      <c r="D408" s="3381" t="str">
        <f>IF($A$64=0,"",IF(D64&gt;=$C$6,"C","I"))</f>
        <v/>
      </c>
      <c r="E408" s="3142"/>
      <c r="F408" s="3142"/>
      <c r="G408" s="3381" t="str">
        <f>IF($A$64=0,"",IF(G64&gt;=$C$6,"C","I"))</f>
        <v/>
      </c>
      <c r="H408" s="3142"/>
      <c r="I408" s="3142"/>
      <c r="J408" s="3381" t="str">
        <f>IF($A$64=0,"",IF(J64&gt;=$C$6,"C","I"))</f>
        <v/>
      </c>
      <c r="K408" s="3142"/>
      <c r="L408" s="3142"/>
      <c r="M408" s="3381" t="str">
        <f>IF($A$64=0,"",IF(M64&gt;=$C$6,"C","I"))</f>
        <v/>
      </c>
      <c r="N408" s="3142"/>
      <c r="O408" s="3142"/>
      <c r="P408" s="3381" t="str">
        <f>IF($A$64=0,"",IF(P64&gt;=$C$6,"C","I"))</f>
        <v/>
      </c>
      <c r="Q408" s="3142"/>
      <c r="R408" s="3142"/>
      <c r="S408" s="3381" t="str">
        <f>IF($A$64=0,"",IF(S64&gt;=$C$6,"C","I"))</f>
        <v/>
      </c>
      <c r="T408" s="3142"/>
      <c r="U408" s="3142"/>
      <c r="V408" s="3381" t="str">
        <f>IF($A$64=0,"",IF(V64&gt;=$C$6,"C","I"))</f>
        <v/>
      </c>
      <c r="W408" s="3142"/>
      <c r="X408" s="3142"/>
      <c r="Y408" s="3381" t="str">
        <f>IF($A$64=0,"",IF(Y64&gt;=$C$6,"C","I"))</f>
        <v/>
      </c>
      <c r="Z408" s="3142"/>
      <c r="AA408" s="3142"/>
      <c r="AB408" s="3381" t="str">
        <f>IF($A$64=0,"",IF(AB64&gt;=$C$6,"C","I"))</f>
        <v/>
      </c>
      <c r="AC408" s="3142"/>
      <c r="AD408" s="3142"/>
      <c r="AE408" s="3381" t="str">
        <f>IF($A$64=0,"",IF(AE64&gt;=$C$6,"C","I"))</f>
        <v/>
      </c>
    </row>
    <row r="409" spans="1:31" ht="12.5">
      <c r="A409" s="3365" t="s">
        <v>2164</v>
      </c>
      <c r="B409" s="3381" t="str">
        <f>IF($A$64=0,"",IF(B64&lt;=$C$6,"C","I"))</f>
        <v/>
      </c>
      <c r="C409" s="3142"/>
      <c r="D409" s="3381" t="str">
        <f>IF($A$64=0,"",IF(D64&lt;=$C$6,"C","I"))</f>
        <v/>
      </c>
      <c r="E409" s="3142"/>
      <c r="F409" s="3142"/>
      <c r="G409" s="3381" t="str">
        <f>IF($A$64=0,"",IF(G64&lt;=$C$6,"C","I"))</f>
        <v/>
      </c>
      <c r="H409" s="3142"/>
      <c r="I409" s="3142"/>
      <c r="J409" s="3381" t="str">
        <f>IF($A$64=0,"",IF(J64&lt;=$C$6,"C","I"))</f>
        <v/>
      </c>
      <c r="K409" s="3142"/>
      <c r="L409" s="3142"/>
      <c r="M409" s="3381" t="str">
        <f>IF($A$64=0,"",IF(M64&lt;=$C$6,"C","I"))</f>
        <v/>
      </c>
      <c r="N409" s="3142"/>
      <c r="O409" s="3142"/>
      <c r="P409" s="3381" t="str">
        <f>IF($A$64=0,"",IF(P64&lt;=$C$6,"C","I"))</f>
        <v/>
      </c>
      <c r="Q409" s="3142"/>
      <c r="R409" s="3142"/>
      <c r="S409" s="3381" t="str">
        <f>IF($A$64=0,"",IF(S64&lt;=$C$6,"C","I"))</f>
        <v/>
      </c>
      <c r="T409" s="3142"/>
      <c r="U409" s="3142"/>
      <c r="V409" s="3381" t="str">
        <f>IF($A$64=0,"",IF(V64&lt;=$C$6,"C","I"))</f>
        <v/>
      </c>
      <c r="W409" s="3142"/>
      <c r="X409" s="3142"/>
      <c r="Y409" s="3381" t="str">
        <f>IF($A$64=0,"",IF(Y64&lt;=$C$6,"C","I"))</f>
        <v/>
      </c>
      <c r="Z409" s="3142"/>
      <c r="AA409" s="3142"/>
      <c r="AB409" s="3381" t="str">
        <f>IF($A$64=0,"",IF(AB64&lt;=$C$6,"C","I"))</f>
        <v/>
      </c>
      <c r="AC409" s="3142"/>
      <c r="AD409" s="3142"/>
      <c r="AE409" s="3381" t="str">
        <f>IF($A$64=0,"",IF(AE64&lt;=$C$6,"C","I"))</f>
        <v/>
      </c>
    </row>
    <row r="410" spans="1:31" ht="12.5">
      <c r="A410" s="3365" t="s">
        <v>2111</v>
      </c>
      <c r="B410" s="3381" t="str">
        <f>IF($A$64=0,"",IF(B64&gt;$C$6,"C","I"))</f>
        <v/>
      </c>
      <c r="C410" s="3142"/>
      <c r="D410" s="3381" t="str">
        <f>IF($A$64=0,"",IF(D64&gt;$C$6,"C","I"))</f>
        <v/>
      </c>
      <c r="E410" s="3142"/>
      <c r="F410" s="3142"/>
      <c r="G410" s="3381" t="str">
        <f>IF($A$64=0,"",IF(G64&gt;$C$6,"C","I"))</f>
        <v/>
      </c>
      <c r="H410" s="3142"/>
      <c r="I410" s="3142"/>
      <c r="J410" s="3381" t="str">
        <f>IF($A$64=0,"",IF(J64&gt;$C$6,"C","I"))</f>
        <v/>
      </c>
      <c r="K410" s="3142"/>
      <c r="L410" s="3142"/>
      <c r="M410" s="3381" t="str">
        <f>IF($A$64=0,"",IF(M64&gt;$C$6,"C","I"))</f>
        <v/>
      </c>
      <c r="N410" s="3142"/>
      <c r="O410" s="3142"/>
      <c r="P410" s="3381" t="str">
        <f>IF($A$64=0,"",IF(P64&gt;$C$6,"C","I"))</f>
        <v/>
      </c>
      <c r="Q410" s="3142"/>
      <c r="R410" s="3142"/>
      <c r="S410" s="3381" t="str">
        <f>IF($A$64=0,"",IF(S64&gt;$C$6,"C","I"))</f>
        <v/>
      </c>
      <c r="T410" s="3142"/>
      <c r="U410" s="3142"/>
      <c r="V410" s="3381" t="str">
        <f>IF($A$64=0,"",IF(V64&gt;$C$6,"C","I"))</f>
        <v/>
      </c>
      <c r="W410" s="3142"/>
      <c r="X410" s="3142"/>
      <c r="Y410" s="3381" t="str">
        <f>IF($A$64=0,"",IF(Y64&gt;$C$6,"C","I"))</f>
        <v/>
      </c>
      <c r="Z410" s="3142"/>
      <c r="AA410" s="3142"/>
      <c r="AB410" s="3381" t="str">
        <f>IF($A$64=0,"",IF(AB64&gt;$C$6,"C","I"))</f>
        <v/>
      </c>
      <c r="AC410" s="3142"/>
      <c r="AD410" s="3142"/>
      <c r="AE410" s="3381" t="str">
        <f>IF($A$64=0,"",IF(AE64&gt;$C$6,"C","I"))</f>
        <v/>
      </c>
    </row>
    <row r="411" spans="1:31" ht="12.5">
      <c r="A411" s="3365" t="s">
        <v>2112</v>
      </c>
      <c r="B411" s="3381" t="str">
        <f>IF($A$64=0,"",IF(B64&lt;$C$6,"C","I"))</f>
        <v/>
      </c>
      <c r="C411" s="3142"/>
      <c r="D411" s="3381" t="str">
        <f>IF($A$64=0,"",IF(D64&lt;$C$6,"C","I"))</f>
        <v/>
      </c>
      <c r="E411" s="3142"/>
      <c r="F411" s="3142"/>
      <c r="G411" s="3381" t="str">
        <f>IF($A$64=0,"",IF(G64&lt;$C$6,"C","I"))</f>
        <v/>
      </c>
      <c r="H411" s="3142"/>
      <c r="I411" s="3142"/>
      <c r="J411" s="3381" t="str">
        <f>IF($A$64=0,"",IF(J64&lt;$C$6,"C","I"))</f>
        <v/>
      </c>
      <c r="K411" s="3142"/>
      <c r="L411" s="3142"/>
      <c r="M411" s="3381" t="str">
        <f>IF($A$64=0,"",IF(M64&lt;$C$6,"C","I"))</f>
        <v/>
      </c>
      <c r="N411" s="3142"/>
      <c r="O411" s="3142"/>
      <c r="P411" s="3381" t="str">
        <f>IF($A$64=0,"",IF(P64&lt;$C$6,"C","I"))</f>
        <v/>
      </c>
      <c r="Q411" s="3142"/>
      <c r="R411" s="3142"/>
      <c r="S411" s="3381" t="str">
        <f>IF($A$64=0,"",IF(S64&lt;$C$6,"C","I"))</f>
        <v/>
      </c>
      <c r="T411" s="3142"/>
      <c r="U411" s="3142"/>
      <c r="V411" s="3381" t="str">
        <f>IF($A$64=0,"",IF(V64&lt;$C$6,"C","I"))</f>
        <v/>
      </c>
      <c r="W411" s="3142"/>
      <c r="X411" s="3142"/>
      <c r="Y411" s="3381" t="str">
        <f>IF($A$64=0,"",IF(Y64&lt;$C$6,"C","I"))</f>
        <v/>
      </c>
      <c r="Z411" s="3142"/>
      <c r="AA411" s="3142"/>
      <c r="AB411" s="3381" t="str">
        <f>IF($A$64=0,"",IF(AB64&lt;$C$6,"C","I"))</f>
        <v/>
      </c>
      <c r="AC411" s="3142"/>
      <c r="AD411" s="3142"/>
      <c r="AE411" s="3381" t="str">
        <f>IF($A$64=0,"",IF(AE64&lt;$C$6,"C","I"))</f>
        <v/>
      </c>
    </row>
    <row r="412" spans="1:31" ht="12.5">
      <c r="A412" s="3365" t="s">
        <v>2113</v>
      </c>
      <c r="B412" s="3381" t="str">
        <f>IF($A$64=0,"",IF(B64&lt;&gt;$C$6,"C","I"))</f>
        <v/>
      </c>
      <c r="C412" s="3142"/>
      <c r="D412" s="3381" t="str">
        <f>IF($A$64=0,"",IF(D64&lt;&gt;$C$6,"C","I"))</f>
        <v/>
      </c>
      <c r="E412" s="3142"/>
      <c r="F412" s="3142"/>
      <c r="G412" s="3381" t="str">
        <f>IF($A$64=0,"",IF(G64&lt;&gt;$C$6,"C","I"))</f>
        <v/>
      </c>
      <c r="H412" s="3142"/>
      <c r="I412" s="3142"/>
      <c r="J412" s="3381" t="str">
        <f>IF($A$64=0,"",IF(J64&lt;&gt;$C$6,"C","I"))</f>
        <v/>
      </c>
      <c r="K412" s="3142"/>
      <c r="L412" s="3142"/>
      <c r="M412" s="3381" t="str">
        <f>IF($A$64=0,"",IF(M64&lt;&gt;$C$6,"C","I"))</f>
        <v/>
      </c>
      <c r="N412" s="3142"/>
      <c r="O412" s="3142"/>
      <c r="P412" s="3381" t="str">
        <f>IF($A$64=0,"",IF(P64&lt;&gt;$C$6,"C","I"))</f>
        <v/>
      </c>
      <c r="Q412" s="3142"/>
      <c r="R412" s="3142"/>
      <c r="S412" s="3381" t="str">
        <f>IF($A$64=0,"",IF(S64&lt;&gt;$C$6,"C","I"))</f>
        <v/>
      </c>
      <c r="T412" s="3142"/>
      <c r="U412" s="3142"/>
      <c r="V412" s="3381" t="str">
        <f>IF($A$64=0,"",IF(V64&lt;&gt;$C$6,"C","I"))</f>
        <v/>
      </c>
      <c r="W412" s="3142"/>
      <c r="X412" s="3142"/>
      <c r="Y412" s="3381" t="str">
        <f>IF($A$64=0,"",IF(Y64&lt;&gt;$C$6,"C","I"))</f>
        <v/>
      </c>
      <c r="Z412" s="3142"/>
      <c r="AA412" s="3142"/>
      <c r="AB412" s="3381" t="str">
        <f>IF($A$64=0,"",IF(AB64&lt;&gt;$C$6,"C","I"))</f>
        <v/>
      </c>
      <c r="AC412" s="3142"/>
      <c r="AD412" s="3142"/>
      <c r="AE412" s="3381" t="str">
        <f>IF($A$64=0,"",IF(AE64&lt;&gt;$C$6,"C","I"))</f>
        <v/>
      </c>
    </row>
    <row r="413" spans="1:31" ht="12.5">
      <c r="A413" s="3365" t="s">
        <v>2132</v>
      </c>
      <c r="B413" s="3142"/>
      <c r="C413" s="3142"/>
      <c r="D413" s="3142"/>
      <c r="E413" s="3142"/>
      <c r="F413" s="3142"/>
      <c r="G413" s="3142"/>
      <c r="H413" s="3142"/>
      <c r="I413" s="3142"/>
      <c r="J413" s="3142"/>
      <c r="K413" s="3142"/>
      <c r="L413" s="3142"/>
      <c r="M413" s="3142"/>
      <c r="N413" s="3142"/>
      <c r="O413" s="3142"/>
      <c r="P413" s="3142"/>
      <c r="Q413" s="3142"/>
      <c r="R413" s="3142"/>
      <c r="S413" s="3142"/>
      <c r="T413" s="3142"/>
      <c r="U413" s="3142"/>
      <c r="V413" s="3142"/>
      <c r="W413" s="3142"/>
      <c r="X413" s="3142"/>
      <c r="Y413" s="3142"/>
      <c r="Z413" s="3142"/>
      <c r="AA413" s="3142"/>
      <c r="AB413" s="3142"/>
      <c r="AC413" s="3142"/>
      <c r="AD413" s="3142"/>
      <c r="AE413" s="3142"/>
    </row>
    <row r="414" spans="1:31" ht="12.5">
      <c r="A414" s="3365" t="s">
        <v>2162</v>
      </c>
      <c r="B414" s="3381" t="str">
        <f>IF($A$65=0,"",IF(B65=$C$7,"C","I"))</f>
        <v/>
      </c>
      <c r="C414" s="3142"/>
      <c r="D414" s="3381" t="str">
        <f>IF($A$65=0,"",IF(D65=$C$7,"C","I"))</f>
        <v/>
      </c>
      <c r="E414" s="3142"/>
      <c r="F414" s="3142"/>
      <c r="G414" s="3381" t="str">
        <f>IF($A$65=0,"",IF(G65=$C$7,"C","I"))</f>
        <v/>
      </c>
      <c r="H414" s="3142"/>
      <c r="I414" s="3142"/>
      <c r="J414" s="3381" t="str">
        <f>IF($A$65=0,"",IF(J65=$C$7,"C","I"))</f>
        <v/>
      </c>
      <c r="K414" s="3142"/>
      <c r="L414" s="3142"/>
      <c r="M414" s="3381" t="str">
        <f>IF($A$65=0,"",IF(M65=$C$7,"C","I"))</f>
        <v/>
      </c>
      <c r="N414" s="3142"/>
      <c r="O414" s="3142"/>
      <c r="P414" s="3381" t="str">
        <f>IF($A$65=0,"",IF(P65=$C$7,"C","I"))</f>
        <v/>
      </c>
      <c r="Q414" s="3142"/>
      <c r="R414" s="3142"/>
      <c r="S414" s="3381" t="str">
        <f>IF($A$65=0,"",IF(S65=$C$7,"C","I"))</f>
        <v/>
      </c>
      <c r="T414" s="3142"/>
      <c r="U414" s="3142"/>
      <c r="V414" s="3381" t="str">
        <f>IF($A$65=0,"",IF(V65=$C$7,"C","I"))</f>
        <v/>
      </c>
      <c r="W414" s="3142"/>
      <c r="X414" s="3142"/>
      <c r="Y414" s="3381" t="str">
        <f>IF($A$65=0,"",IF(Y65=$C$7,"C","I"))</f>
        <v/>
      </c>
      <c r="Z414" s="3142"/>
      <c r="AA414" s="3142"/>
      <c r="AB414" s="3381" t="str">
        <f>IF($A$65=0,"",IF(AB65=$C$7,"C","I"))</f>
        <v/>
      </c>
      <c r="AC414" s="3142"/>
      <c r="AD414" s="3142"/>
      <c r="AE414" s="3381" t="str">
        <f>IF($A$65=0,"",IF(AE65=$C$7,"C","I"))</f>
        <v/>
      </c>
    </row>
    <row r="415" spans="1:31" ht="12.5">
      <c r="A415" s="3365" t="s">
        <v>2163</v>
      </c>
      <c r="B415" s="3381" t="str">
        <f>IF($A$65=0,"",IF(B65&gt;=$C$7,"C","I"))</f>
        <v/>
      </c>
      <c r="C415" s="3142"/>
      <c r="D415" s="3381" t="str">
        <f>IF($A$65=0,"",IF(D65&gt;=$C$7,"C","I"))</f>
        <v/>
      </c>
      <c r="E415" s="3142"/>
      <c r="F415" s="3142"/>
      <c r="G415" s="3381" t="str">
        <f>IF($A$65=0,"",IF(G65&gt;=$C$7,"C","I"))</f>
        <v/>
      </c>
      <c r="H415" s="3142"/>
      <c r="I415" s="3142"/>
      <c r="J415" s="3381" t="str">
        <f>IF($A$65=0,"",IF(J65&gt;=$C$7,"C","I"))</f>
        <v/>
      </c>
      <c r="K415" s="3142"/>
      <c r="L415" s="3142"/>
      <c r="M415" s="3381" t="str">
        <f>IF($A$65=0,"",IF(M65&gt;=$C$7,"C","I"))</f>
        <v/>
      </c>
      <c r="N415" s="3142"/>
      <c r="O415" s="3142"/>
      <c r="P415" s="3381" t="str">
        <f>IF($A$65=0,"",IF(P65&gt;=$C$7,"C","I"))</f>
        <v/>
      </c>
      <c r="Q415" s="3142"/>
      <c r="R415" s="3142"/>
      <c r="S415" s="3381" t="str">
        <f>IF($A$65=0,"",IF(S65&gt;=$C$7,"C","I"))</f>
        <v/>
      </c>
      <c r="T415" s="3142"/>
      <c r="U415" s="3142"/>
      <c r="V415" s="3381" t="str">
        <f>IF($A$65=0,"",IF(V65&gt;=$C$7,"C","I"))</f>
        <v/>
      </c>
      <c r="W415" s="3142"/>
      <c r="X415" s="3142"/>
      <c r="Y415" s="3381" t="str">
        <f>IF($A$65=0,"",IF(Y65&gt;=$C$7,"C","I"))</f>
        <v/>
      </c>
      <c r="Z415" s="3142"/>
      <c r="AA415" s="3142"/>
      <c r="AB415" s="3381" t="str">
        <f>IF($A$65=0,"",IF(AB65&gt;=$C$7,"C","I"))</f>
        <v/>
      </c>
      <c r="AC415" s="3142"/>
      <c r="AD415" s="3142"/>
      <c r="AE415" s="3381" t="str">
        <f>IF($A$65=0,"",IF(AE65&gt;=$C$7,"C","I"))</f>
        <v/>
      </c>
    </row>
    <row r="416" spans="1:31" ht="12.5">
      <c r="A416" s="3365" t="s">
        <v>2164</v>
      </c>
      <c r="B416" s="3381" t="str">
        <f>IF($A$65=0,"",IF(B65&lt;=$C$7,"C","I"))</f>
        <v/>
      </c>
      <c r="C416" s="3142"/>
      <c r="D416" s="3381" t="str">
        <f>IF($A$65=0,"",IF(D65&lt;=$C$7,"C","I"))</f>
        <v/>
      </c>
      <c r="E416" s="3142"/>
      <c r="F416" s="3142"/>
      <c r="G416" s="3381" t="str">
        <f>IF($A$65=0,"",IF(G65&lt;=$C$7,"C","I"))</f>
        <v/>
      </c>
      <c r="H416" s="3142"/>
      <c r="I416" s="3142"/>
      <c r="J416" s="3381" t="str">
        <f>IF($A$65=0,"",IF(J65&lt;=$C$7,"C","I"))</f>
        <v/>
      </c>
      <c r="K416" s="3142"/>
      <c r="L416" s="3142"/>
      <c r="M416" s="3381" t="str">
        <f>IF($A$65=0,"",IF(M65&lt;=$C$7,"C","I"))</f>
        <v/>
      </c>
      <c r="N416" s="3142"/>
      <c r="O416" s="3142"/>
      <c r="P416" s="3381" t="str">
        <f>IF($A$65=0,"",IF(P65&lt;=$C$7,"C","I"))</f>
        <v/>
      </c>
      <c r="Q416" s="3142"/>
      <c r="R416" s="3142"/>
      <c r="S416" s="3381" t="str">
        <f>IF($A$65=0,"",IF(S65&lt;=$C$7,"C","I"))</f>
        <v/>
      </c>
      <c r="T416" s="3142"/>
      <c r="U416" s="3142"/>
      <c r="V416" s="3381" t="str">
        <f>IF($A$65=0,"",IF(V65&lt;=$C$7,"C","I"))</f>
        <v/>
      </c>
      <c r="W416" s="3142"/>
      <c r="X416" s="3142"/>
      <c r="Y416" s="3381" t="str">
        <f>IF($A$65=0,"",IF(Y65&lt;=$C$7,"C","I"))</f>
        <v/>
      </c>
      <c r="Z416" s="3142"/>
      <c r="AA416" s="3142"/>
      <c r="AB416" s="3381" t="str">
        <f>IF($A$65=0,"",IF(AB65&lt;=$C$7,"C","I"))</f>
        <v/>
      </c>
      <c r="AC416" s="3142"/>
      <c r="AD416" s="3142"/>
      <c r="AE416" s="3381" t="str">
        <f>IF($A$65=0,"",IF(AE65&lt;=$C$7,"C","I"))</f>
        <v/>
      </c>
    </row>
    <row r="417" spans="1:31" ht="12.5">
      <c r="A417" s="3365" t="s">
        <v>2111</v>
      </c>
      <c r="B417" s="3381" t="str">
        <f>IF($A$65=0,"",IF(B65&gt;$C$7,"C","I"))</f>
        <v/>
      </c>
      <c r="C417" s="3142"/>
      <c r="D417" s="3381" t="str">
        <f>IF($A$65=0,"",IF(D65&gt;$C$7,"C","I"))</f>
        <v/>
      </c>
      <c r="E417" s="3142"/>
      <c r="F417" s="3142"/>
      <c r="G417" s="3381" t="str">
        <f>IF($A$65=0,"",IF(G65&gt;$C$7,"C","I"))</f>
        <v/>
      </c>
      <c r="H417" s="3142"/>
      <c r="I417" s="3142"/>
      <c r="J417" s="3381" t="str">
        <f>IF($A$65=0,"",IF(J65&gt;$C$7,"C","I"))</f>
        <v/>
      </c>
      <c r="K417" s="3142"/>
      <c r="L417" s="3142"/>
      <c r="M417" s="3381" t="str">
        <f>IF($A$65=0,"",IF(M65&gt;$C$7,"C","I"))</f>
        <v/>
      </c>
      <c r="N417" s="3142"/>
      <c r="O417" s="3142"/>
      <c r="P417" s="3381" t="str">
        <f>IF($A$65=0,"",IF(P65&gt;$C$7,"C","I"))</f>
        <v/>
      </c>
      <c r="Q417" s="3142"/>
      <c r="R417" s="3142"/>
      <c r="S417" s="3381" t="str">
        <f>IF($A$65=0,"",IF(S65&gt;$C$7,"C","I"))</f>
        <v/>
      </c>
      <c r="T417" s="3142"/>
      <c r="U417" s="3142"/>
      <c r="V417" s="3381" t="str">
        <f>IF($A$65=0,"",IF(V65&gt;$C$7,"C","I"))</f>
        <v/>
      </c>
      <c r="W417" s="3142"/>
      <c r="X417" s="3142"/>
      <c r="Y417" s="3381" t="str">
        <f>IF($A$65=0,"",IF(Y65&gt;$C$7,"C","I"))</f>
        <v/>
      </c>
      <c r="Z417" s="3142"/>
      <c r="AA417" s="3142"/>
      <c r="AB417" s="3381" t="str">
        <f>IF($A$65=0,"",IF(AB65&gt;$C$7,"C","I"))</f>
        <v/>
      </c>
      <c r="AC417" s="3142"/>
      <c r="AD417" s="3142"/>
      <c r="AE417" s="3381" t="str">
        <f>IF($A$65=0,"",IF(AE65&gt;$C$7,"C","I"))</f>
        <v/>
      </c>
    </row>
    <row r="418" spans="1:31" ht="12.5">
      <c r="A418" s="3365" t="s">
        <v>2112</v>
      </c>
      <c r="B418" s="3381" t="str">
        <f>IF($A$65=0,"",IF(B65&lt;$C$7,"C","I"))</f>
        <v/>
      </c>
      <c r="C418" s="3142"/>
      <c r="D418" s="3381" t="str">
        <f>IF($A$65=0,"",IF(D65&lt;$C$7,"C","I"))</f>
        <v/>
      </c>
      <c r="E418" s="3142"/>
      <c r="F418" s="3142"/>
      <c r="G418" s="3381" t="str">
        <f>IF($A$65=0,"",IF(G65&lt;$C$7,"C","I"))</f>
        <v/>
      </c>
      <c r="H418" s="3142"/>
      <c r="I418" s="3142"/>
      <c r="J418" s="3381" t="str">
        <f>IF($A$65=0,"",IF(J65&lt;$C$7,"C","I"))</f>
        <v/>
      </c>
      <c r="K418" s="3142"/>
      <c r="L418" s="3142"/>
      <c r="M418" s="3381" t="str">
        <f>IF($A$65=0,"",IF(M65&lt;$C$7,"C","I"))</f>
        <v/>
      </c>
      <c r="N418" s="3142"/>
      <c r="O418" s="3142"/>
      <c r="P418" s="3381" t="str">
        <f>IF($A$65=0,"",IF(P65&lt;$C$7,"C","I"))</f>
        <v/>
      </c>
      <c r="Q418" s="3142"/>
      <c r="R418" s="3142"/>
      <c r="S418" s="3381" t="str">
        <f>IF($A$65=0,"",IF(S65&lt;$C$7,"C","I"))</f>
        <v/>
      </c>
      <c r="T418" s="3142"/>
      <c r="U418" s="3142"/>
      <c r="V418" s="3381" t="str">
        <f>IF($A$65=0,"",IF(V65&lt;$C$7,"C","I"))</f>
        <v/>
      </c>
      <c r="W418" s="3142"/>
      <c r="X418" s="3142"/>
      <c r="Y418" s="3381" t="str">
        <f>IF($A$65=0,"",IF(Y65&lt;$C$7,"C","I"))</f>
        <v/>
      </c>
      <c r="Z418" s="3142"/>
      <c r="AA418" s="3142"/>
      <c r="AB418" s="3381" t="str">
        <f>IF($A$65=0,"",IF(AB65&lt;$C$7,"C","I"))</f>
        <v/>
      </c>
      <c r="AC418" s="3142"/>
      <c r="AD418" s="3142"/>
      <c r="AE418" s="3381" t="str">
        <f>IF($A$65=0,"",IF(AE65&lt;$C$7,"C","I"))</f>
        <v/>
      </c>
    </row>
    <row r="419" spans="1:31" ht="12.5">
      <c r="A419" s="3365" t="s">
        <v>2113</v>
      </c>
      <c r="B419" s="3381" t="str">
        <f>IF($A$65=0,"",IF(B65&lt;&gt;$C$7,"C","I"))</f>
        <v/>
      </c>
      <c r="C419" s="3142"/>
      <c r="D419" s="3381" t="str">
        <f>IF($A$65=0,"",IF(D65&lt;&gt;$C$7,"C","I"))</f>
        <v/>
      </c>
      <c r="E419" s="3142"/>
      <c r="F419" s="3142"/>
      <c r="G419" s="3381" t="str">
        <f>IF($A$65=0,"",IF(G65&lt;&gt;$C$7,"C","I"))</f>
        <v/>
      </c>
      <c r="H419" s="3142"/>
      <c r="I419" s="3142"/>
      <c r="J419" s="3381" t="str">
        <f>IF($A$65=0,"",IF(J65&lt;&gt;$C$7,"C","I"))</f>
        <v/>
      </c>
      <c r="K419" s="3142"/>
      <c r="L419" s="3142"/>
      <c r="M419" s="3381" t="str">
        <f>IF($A$65=0,"",IF(M65&lt;&gt;$C$7,"C","I"))</f>
        <v/>
      </c>
      <c r="N419" s="3142"/>
      <c r="O419" s="3142"/>
      <c r="P419" s="3381" t="str">
        <f>IF($A$65=0,"",IF(P65&lt;&gt;$C$7,"C","I"))</f>
        <v/>
      </c>
      <c r="Q419" s="3142"/>
      <c r="R419" s="3142"/>
      <c r="S419" s="3381" t="str">
        <f>IF($A$65=0,"",IF(S65&lt;&gt;$C$7,"C","I"))</f>
        <v/>
      </c>
      <c r="T419" s="3142"/>
      <c r="U419" s="3142"/>
      <c r="V419" s="3381" t="str">
        <f>IF($A$65=0,"",IF(V65&lt;&gt;$C$7,"C","I"))</f>
        <v/>
      </c>
      <c r="W419" s="3142"/>
      <c r="X419" s="3142"/>
      <c r="Y419" s="3381" t="str">
        <f>IF($A$65=0,"",IF(Y65&lt;&gt;$C$7,"C","I"))</f>
        <v/>
      </c>
      <c r="Z419" s="3142"/>
      <c r="AA419" s="3142"/>
      <c r="AB419" s="3381" t="str">
        <f>IF($A$65=0,"",IF(AB65&lt;&gt;$C$7,"C","I"))</f>
        <v/>
      </c>
      <c r="AC419" s="3142"/>
      <c r="AD419" s="3142"/>
      <c r="AE419" s="3381" t="str">
        <f>IF($A$65=0,"",IF(AE65&lt;&gt;$C$7,"C","I"))</f>
        <v/>
      </c>
    </row>
    <row r="420" spans="1:31" ht="12.5"/>
    <row r="421" spans="1:31" ht="12.5"/>
    <row r="422" spans="1:31" ht="12.5">
      <c r="D422" s="2217" t="s">
        <v>1581</v>
      </c>
    </row>
    <row r="423" spans="1:31" ht="12.5">
      <c r="D423" s="3389">
        <f ca="1">COUNT($D$11:D11)</f>
        <v>1</v>
      </c>
      <c r="E423" s="3389">
        <f ca="1">COUNT($D$11:G11)</f>
        <v>2</v>
      </c>
      <c r="F423" s="3389">
        <f ca="1">COUNT($D$11:J11)</f>
        <v>3</v>
      </c>
      <c r="G423" s="3389">
        <f ca="1">COUNT($D$11:M11)</f>
        <v>4</v>
      </c>
      <c r="H423" s="3389">
        <f ca="1">COUNT($D$11:P11)</f>
        <v>5</v>
      </c>
      <c r="I423" s="3389">
        <f ca="1">COUNT($D$11:S11)</f>
        <v>6</v>
      </c>
      <c r="J423" s="3389">
        <f ca="1">COUNT($D$11:V11)</f>
        <v>7</v>
      </c>
      <c r="K423" s="3389">
        <f ca="1">COUNT($D$11:Y11)</f>
        <v>8</v>
      </c>
      <c r="L423" s="3389">
        <f ca="1">COUNT($D$11:AB11)</f>
        <v>9</v>
      </c>
      <c r="M423" s="3389">
        <f ca="1">COUNT($D$11:AE11)</f>
        <v>10</v>
      </c>
      <c r="N423" s="24">
        <f ca="1">COUNT($D$11:AH11)</f>
        <v>11</v>
      </c>
      <c r="O423" s="24">
        <f ca="1">COUNT($D$11:AK11)</f>
        <v>12</v>
      </c>
      <c r="P423" s="24">
        <f ca="1">COUNT($D$11:AN11)</f>
        <v>13</v>
      </c>
      <c r="Q423" s="24">
        <f ca="1">COUNT($D$11:AQ11)</f>
        <v>14</v>
      </c>
      <c r="R423" s="24">
        <f ca="1">COUNT($D$11:AT11)</f>
        <v>15</v>
      </c>
    </row>
    <row r="424" spans="1:31" ht="12.5"/>
    <row r="425" spans="1:31" ht="12.5">
      <c r="D425" s="2217" t="s">
        <v>1586</v>
      </c>
    </row>
    <row r="426" spans="1:31" ht="12.5">
      <c r="D426" s="3390">
        <f t="shared" ref="D426:M426" ca="1" si="16">D$423*12</f>
        <v>12</v>
      </c>
      <c r="E426" s="3390">
        <f t="shared" ca="1" si="16"/>
        <v>24</v>
      </c>
      <c r="F426" s="3390">
        <f t="shared" ca="1" si="16"/>
        <v>36</v>
      </c>
      <c r="G426" s="3390">
        <f t="shared" ca="1" si="16"/>
        <v>48</v>
      </c>
      <c r="H426" s="3390">
        <f t="shared" ca="1" si="16"/>
        <v>60</v>
      </c>
      <c r="I426" s="3390">
        <f t="shared" ca="1" si="16"/>
        <v>72</v>
      </c>
      <c r="J426" s="3390">
        <f t="shared" ca="1" si="16"/>
        <v>84</v>
      </c>
      <c r="K426" s="3390">
        <f t="shared" ca="1" si="16"/>
        <v>96</v>
      </c>
      <c r="L426" s="3390">
        <f t="shared" ca="1" si="16"/>
        <v>108</v>
      </c>
      <c r="M426" s="3390">
        <f t="shared" ca="1" si="16"/>
        <v>120</v>
      </c>
    </row>
    <row r="427" spans="1:31" ht="12.5"/>
    <row r="428" spans="1:31" ht="12.5"/>
    <row r="429" spans="1:31" ht="12.5"/>
    <row r="430" spans="1:31" ht="12.5"/>
    <row r="431" spans="1:31" ht="12.5"/>
    <row r="432" spans="1:31" ht="12.5"/>
    <row r="433" ht="12.5"/>
    <row r="434" ht="12.5"/>
    <row r="435" ht="12.5"/>
    <row r="436" ht="12.5"/>
    <row r="437" ht="12.5"/>
    <row r="438" ht="12.5"/>
    <row r="439" ht="12.5"/>
    <row r="440" ht="12.5"/>
    <row r="441" ht="12.5"/>
    <row r="442" ht="12.5"/>
    <row r="443" ht="12.5"/>
    <row r="444" ht="12.5"/>
    <row r="445" ht="12.5"/>
    <row r="446" ht="12.5"/>
    <row r="447" ht="12.5"/>
    <row r="448" ht="12.5"/>
    <row r="449" ht="12.5"/>
    <row r="450" ht="12.5"/>
    <row r="451" ht="12.5"/>
    <row r="452" ht="12.5"/>
    <row r="453" ht="12.5"/>
    <row r="454" ht="12.5"/>
    <row r="455" ht="12.5"/>
    <row r="456" ht="12.5"/>
    <row r="457" ht="12.5"/>
    <row r="458" ht="12.5"/>
    <row r="459" ht="12.5"/>
    <row r="460" ht="12.5"/>
    <row r="461" ht="12.5"/>
    <row r="462" ht="12.5"/>
    <row r="463" ht="12.5"/>
    <row r="464" ht="12.5"/>
    <row r="465" ht="12.5"/>
    <row r="466" ht="12.5"/>
    <row r="467" ht="12.5"/>
    <row r="468" ht="12.5"/>
    <row r="469" ht="12.5"/>
    <row r="470" ht="12.5"/>
    <row r="471" ht="12.5"/>
    <row r="472" ht="12.5"/>
    <row r="473" ht="12.5"/>
    <row r="474" ht="12.5"/>
    <row r="475" ht="12.5"/>
    <row r="476" ht="12.5"/>
    <row r="477" ht="12.5"/>
    <row r="478" ht="12.5"/>
    <row r="479" ht="12.5"/>
    <row r="480" ht="12.5"/>
    <row r="481" ht="12.5"/>
    <row r="482" ht="12.5"/>
    <row r="483" ht="12.5"/>
    <row r="484" ht="12.5"/>
    <row r="485" ht="12.5"/>
    <row r="486" ht="12.5"/>
    <row r="487" ht="12.5"/>
    <row r="488" ht="12.5"/>
    <row r="489" ht="12.5"/>
    <row r="490" ht="12.5"/>
    <row r="491" ht="12.5"/>
    <row r="492" ht="12.5"/>
    <row r="493" ht="12.5"/>
    <row r="494" ht="12.5"/>
    <row r="495" ht="12.5"/>
    <row r="496" ht="12.5"/>
    <row r="497" ht="12.5"/>
    <row r="498" ht="12.5"/>
    <row r="499" ht="12.5"/>
    <row r="500" ht="12.5"/>
    <row r="501" ht="12.5"/>
    <row r="502" ht="12.5"/>
    <row r="503" ht="12.5"/>
    <row r="504" ht="12.5"/>
    <row r="505" ht="12.5"/>
    <row r="506" ht="12.5"/>
    <row r="507" ht="12.5"/>
    <row r="508" ht="12.5"/>
    <row r="509" ht="12.5"/>
    <row r="510" ht="12.5"/>
    <row r="511" ht="12.5"/>
    <row r="512" ht="12.5"/>
    <row r="513" ht="12.5"/>
    <row r="514" ht="12.5"/>
    <row r="515" ht="12.5"/>
    <row r="516" ht="12.5"/>
    <row r="517" ht="12.5"/>
    <row r="518" ht="12.5"/>
    <row r="519" ht="12.5"/>
    <row r="520" ht="12.5"/>
    <row r="521" ht="12.5"/>
    <row r="522" ht="12.5"/>
    <row r="523" ht="12.5"/>
    <row r="524" ht="12.5"/>
    <row r="525" ht="12.5"/>
    <row r="526" ht="12.5"/>
    <row r="527" ht="12.5"/>
    <row r="528" ht="12.5"/>
    <row r="529" ht="12.5"/>
    <row r="530" ht="12.5"/>
    <row r="531" ht="12.5"/>
    <row r="532" ht="12.5"/>
    <row r="533" ht="12.5"/>
    <row r="534" ht="12.5"/>
    <row r="535" ht="12.5"/>
    <row r="536" ht="12.5"/>
    <row r="537" ht="12.5"/>
    <row r="538" ht="12.5"/>
    <row r="539" ht="12.5"/>
    <row r="540" ht="12.5"/>
    <row r="541" ht="12.5"/>
    <row r="542" ht="12.5"/>
    <row r="543" ht="12.5"/>
    <row r="544" ht="12.5"/>
    <row r="545" ht="12.5"/>
    <row r="546" ht="12.5"/>
    <row r="547" ht="12.5"/>
    <row r="548" ht="12.5"/>
    <row r="549" ht="12.5"/>
    <row r="550" ht="12.5"/>
    <row r="551" ht="12.5"/>
    <row r="552" ht="12.5"/>
    <row r="553" ht="12.5"/>
    <row r="554" ht="12.5"/>
    <row r="555" ht="12.5"/>
    <row r="556" ht="12.5"/>
    <row r="557" ht="12.5"/>
    <row r="558" ht="12.5"/>
    <row r="559" ht="12.5"/>
    <row r="560" ht="12.5"/>
    <row r="561" ht="12.5"/>
    <row r="562" ht="12.5"/>
    <row r="563" ht="12.5"/>
    <row r="564" ht="12.5"/>
    <row r="565" ht="12.5"/>
    <row r="566" ht="12.5"/>
    <row r="567" ht="12.5"/>
    <row r="568" ht="12.5"/>
    <row r="569" ht="12.5"/>
    <row r="570" ht="12.5"/>
    <row r="571" ht="12.5"/>
    <row r="572" ht="12.5"/>
    <row r="573" ht="12.5"/>
    <row r="574" ht="12.5"/>
    <row r="575" ht="12.5"/>
    <row r="576" ht="12.5"/>
    <row r="577" ht="12.5"/>
    <row r="578" ht="12.5"/>
    <row r="579" ht="12.5"/>
    <row r="580" ht="12.5"/>
    <row r="581" ht="12.5"/>
    <row r="582" ht="12.5"/>
    <row r="583" ht="12.5"/>
    <row r="584" ht="12.5"/>
    <row r="585" ht="12.5"/>
    <row r="586" ht="12.5"/>
    <row r="587" ht="12.5"/>
    <row r="588" ht="12.5"/>
    <row r="589" ht="12.5"/>
    <row r="590" ht="12.5"/>
    <row r="591" ht="12.5"/>
    <row r="592" ht="12.5"/>
    <row r="593" ht="12.5"/>
    <row r="594" ht="12.5"/>
    <row r="595" ht="12.5"/>
    <row r="596" ht="12.5"/>
    <row r="597" ht="12.5"/>
    <row r="598" ht="12.5"/>
    <row r="599" ht="12.5"/>
    <row r="600" ht="12.5"/>
    <row r="601" ht="12.5"/>
    <row r="602" ht="12.5"/>
    <row r="603" ht="12.5"/>
    <row r="604" ht="12.5"/>
    <row r="605" ht="12.5"/>
    <row r="606" ht="12.5"/>
    <row r="607" ht="12.5"/>
    <row r="608" ht="12.5"/>
    <row r="609" ht="12.5"/>
    <row r="610" ht="12.5"/>
    <row r="611" ht="12.5"/>
    <row r="612" ht="12.5"/>
    <row r="613" ht="12.5"/>
    <row r="614" ht="12.5"/>
    <row r="615" ht="12.5"/>
    <row r="616" ht="12.5"/>
    <row r="617" ht="12.5"/>
    <row r="618" ht="12.5"/>
    <row r="619" ht="12.5"/>
    <row r="620" ht="12.5"/>
    <row r="621" ht="12.5"/>
    <row r="622" ht="12.5"/>
    <row r="623" ht="12.5"/>
    <row r="624" ht="12.5"/>
    <row r="625" ht="12.5"/>
    <row r="626" ht="12.5"/>
    <row r="627" ht="12.5"/>
    <row r="628" ht="12.5"/>
    <row r="629" ht="12.5"/>
    <row r="630" ht="12.5"/>
    <row r="631" ht="12.5"/>
    <row r="632" ht="12.5"/>
    <row r="633" ht="12.5"/>
    <row r="634" ht="12.5"/>
    <row r="635" ht="12.5"/>
    <row r="636" ht="12.5"/>
    <row r="637" ht="12.5"/>
    <row r="638" ht="12.5"/>
    <row r="639" ht="12.5"/>
    <row r="640" ht="12.5"/>
    <row r="641" ht="12.5"/>
    <row r="642" ht="12.5"/>
    <row r="643" ht="12.5"/>
    <row r="644" ht="12.5"/>
    <row r="645" ht="12.5"/>
    <row r="646" ht="12.5"/>
    <row r="647" ht="12.5"/>
    <row r="648" ht="12.5"/>
    <row r="649" ht="12.5"/>
    <row r="650" ht="12.5"/>
    <row r="651" ht="12.5"/>
    <row r="652" ht="12.5"/>
    <row r="653" ht="12.5"/>
    <row r="654" ht="12.5"/>
    <row r="655" ht="12.5"/>
    <row r="656" ht="12.5"/>
    <row r="657" ht="12.5"/>
    <row r="658" ht="12.5"/>
    <row r="659" ht="12.5"/>
    <row r="660" ht="12.5"/>
    <row r="661" ht="12.5"/>
    <row r="662" ht="12.5"/>
    <row r="663" ht="12.5"/>
    <row r="664" ht="12.5"/>
    <row r="665" ht="12.5"/>
    <row r="666" ht="12.5"/>
    <row r="667" ht="12.5"/>
    <row r="668" ht="12.5"/>
    <row r="669" ht="12.5"/>
    <row r="670" ht="12.5"/>
    <row r="671" ht="12.5"/>
    <row r="672" ht="12.5"/>
    <row r="673" ht="12.5"/>
    <row r="674" ht="12.5"/>
    <row r="675" ht="12.5"/>
    <row r="676" ht="12.5"/>
    <row r="677" ht="12.5"/>
    <row r="678" ht="12.5"/>
    <row r="679" ht="12.5"/>
    <row r="680" ht="12.5"/>
    <row r="681" ht="12.5"/>
    <row r="682" ht="12.5"/>
    <row r="683" ht="12.5"/>
    <row r="684" ht="12.5"/>
    <row r="685" ht="12.5"/>
    <row r="686" ht="12.5"/>
    <row r="687" ht="12.5"/>
    <row r="688" ht="12.5"/>
    <row r="689" ht="12.5"/>
    <row r="690" ht="12.5"/>
    <row r="691" ht="12.5"/>
    <row r="692" ht="12.5"/>
    <row r="693" ht="12.5"/>
    <row r="694" ht="12.5"/>
    <row r="695" ht="12.5"/>
    <row r="696" ht="12.5"/>
    <row r="697" ht="12.5"/>
    <row r="698" ht="12.5"/>
    <row r="699" ht="12.5"/>
    <row r="700" ht="12.5"/>
    <row r="701" ht="12.5"/>
    <row r="702" ht="12.5"/>
    <row r="703" ht="12.5"/>
    <row r="704" ht="12.5"/>
    <row r="705" ht="12.5"/>
    <row r="706" ht="12.5"/>
    <row r="707" ht="12.5"/>
    <row r="708" ht="12.5"/>
    <row r="709" ht="12.5"/>
    <row r="710" ht="12.5"/>
    <row r="711" ht="12.5"/>
    <row r="712" ht="12.5"/>
    <row r="713" ht="12.5"/>
    <row r="714" ht="12.5"/>
    <row r="715" ht="12.5"/>
    <row r="716" ht="12.5"/>
    <row r="717" ht="12.5"/>
    <row r="718" ht="12.5"/>
    <row r="719" ht="12.5"/>
    <row r="720" ht="12.5"/>
    <row r="721" ht="12.5"/>
    <row r="722" ht="12.5"/>
    <row r="723" ht="12.5"/>
    <row r="724" ht="12.5"/>
    <row r="725" ht="12.5"/>
    <row r="726" ht="12.5"/>
    <row r="727" ht="12.5"/>
    <row r="728" ht="12.5"/>
    <row r="729" ht="12.5"/>
    <row r="730" ht="12.5"/>
    <row r="731" ht="12.5"/>
    <row r="732" ht="12.5"/>
    <row r="733" ht="12.5"/>
    <row r="734" ht="12.5"/>
    <row r="735" ht="12.5"/>
    <row r="736" ht="12.5"/>
    <row r="737" ht="12.5"/>
    <row r="738" ht="12.5"/>
    <row r="739" ht="12.5"/>
    <row r="740" ht="12.5"/>
    <row r="741" ht="12.5"/>
    <row r="742" ht="12.5"/>
    <row r="743" ht="12.5"/>
    <row r="744" ht="12.5"/>
    <row r="745" ht="12.5"/>
    <row r="746" ht="12.5"/>
    <row r="747" ht="12.5"/>
    <row r="748" ht="12.5"/>
    <row r="749" ht="12.5"/>
    <row r="750" ht="12.5"/>
    <row r="751" ht="12.5"/>
    <row r="752" ht="12.5"/>
    <row r="753" ht="12.5"/>
    <row r="754" ht="12.5"/>
    <row r="755" ht="12.5"/>
    <row r="756" ht="12.5"/>
    <row r="757" ht="12.5"/>
    <row r="758" ht="12.5"/>
    <row r="759" ht="12.5"/>
    <row r="760" ht="12.5"/>
    <row r="761" ht="12.5"/>
    <row r="762" ht="12.5"/>
    <row r="763" ht="12.5"/>
    <row r="764" ht="12.5"/>
    <row r="765" ht="12.5"/>
    <row r="766" ht="12.5"/>
    <row r="767" ht="12.5"/>
    <row r="768" ht="12.5"/>
    <row r="769" ht="12.5"/>
    <row r="770" ht="12.5"/>
    <row r="771" ht="12.5"/>
    <row r="772" ht="12.5"/>
    <row r="773" ht="12.5"/>
    <row r="774" ht="12.5"/>
    <row r="775" ht="12.5"/>
    <row r="776" ht="12.5"/>
    <row r="777" ht="12.5"/>
    <row r="778" ht="12.5"/>
    <row r="779" ht="12.5"/>
    <row r="780" ht="12.5"/>
    <row r="781" ht="12.5"/>
    <row r="782" ht="12.5"/>
    <row r="783" ht="12.5"/>
    <row r="784" ht="12.5"/>
    <row r="785" ht="12.5"/>
    <row r="786" ht="12.5"/>
    <row r="787" ht="12.5"/>
    <row r="788" ht="12.5"/>
    <row r="789" ht="12.5"/>
    <row r="790" ht="12.5"/>
    <row r="791" ht="12.5"/>
    <row r="792" ht="12.5"/>
    <row r="793" ht="12.5"/>
    <row r="794" ht="12.5"/>
    <row r="795" ht="12.5"/>
    <row r="796" ht="12.5"/>
    <row r="797" ht="12.5"/>
    <row r="798" ht="12.5"/>
    <row r="799" ht="12.5"/>
    <row r="800" ht="12.5"/>
    <row r="801" ht="12.5"/>
    <row r="802" ht="12.5"/>
    <row r="803" ht="12.5"/>
    <row r="804" ht="12.5"/>
    <row r="805" ht="12.5"/>
    <row r="806" ht="12.5"/>
    <row r="807" ht="12.5"/>
    <row r="808" ht="12.5"/>
    <row r="809" ht="12.5"/>
    <row r="810" ht="12.5"/>
    <row r="811" ht="12.5"/>
    <row r="812" ht="12.5"/>
    <row r="813" ht="12.5"/>
    <row r="814" ht="12.5"/>
    <row r="815" ht="12.5"/>
    <row r="816" ht="12.5"/>
    <row r="817" ht="12.5"/>
    <row r="818" ht="12.5"/>
    <row r="819" ht="12.5"/>
    <row r="820" ht="12.5"/>
    <row r="821" ht="12.5"/>
    <row r="822" ht="12.5"/>
    <row r="823" ht="12.5"/>
    <row r="824" ht="12.5"/>
    <row r="825" ht="12.5"/>
    <row r="826" ht="12.5"/>
    <row r="827" ht="12.5"/>
    <row r="828" ht="12.5"/>
    <row r="829" ht="12.5"/>
    <row r="830" ht="12.5"/>
    <row r="831" ht="12.5"/>
    <row r="832" ht="12.5"/>
    <row r="833" ht="12.5"/>
    <row r="834" ht="12.5"/>
    <row r="835" ht="12.5"/>
    <row r="836" ht="12.5"/>
    <row r="837" ht="12.5"/>
    <row r="838" ht="12.5"/>
    <row r="839" ht="12.5"/>
    <row r="840" ht="12.5"/>
    <row r="841" ht="12.5"/>
    <row r="842" ht="12.5"/>
    <row r="843" ht="12.5"/>
    <row r="844" ht="12.5"/>
    <row r="845" ht="12.5"/>
    <row r="846" ht="12.5"/>
    <row r="847" ht="12.5"/>
    <row r="848" ht="12.5"/>
    <row r="849" ht="12.5"/>
    <row r="850" ht="12.5"/>
    <row r="851" ht="12.5"/>
    <row r="852" ht="12.5"/>
    <row r="853" ht="12.5"/>
    <row r="854" ht="12.5"/>
    <row r="855" ht="12.5"/>
    <row r="856" ht="12.5"/>
    <row r="857" ht="12.5"/>
    <row r="858" ht="12.5"/>
    <row r="859" ht="12.5"/>
    <row r="860" ht="12.5"/>
    <row r="861" ht="12.5"/>
    <row r="862" ht="12.5"/>
    <row r="863" ht="12.5"/>
    <row r="864" ht="12.5"/>
    <row r="865" ht="12.5"/>
    <row r="866" ht="12.5"/>
    <row r="867" ht="12.5"/>
    <row r="868" ht="12.5"/>
    <row r="869" ht="12.5"/>
    <row r="870" ht="12.5"/>
    <row r="871" ht="12.5"/>
    <row r="872" ht="12.5"/>
    <row r="873" ht="12.5"/>
    <row r="874" ht="12.5"/>
    <row r="875" ht="12.5"/>
    <row r="876" ht="12.5"/>
    <row r="877" ht="12.5"/>
    <row r="878" ht="12.5"/>
    <row r="879" ht="12.5"/>
    <row r="880" ht="12.5"/>
    <row r="881" ht="12.5"/>
    <row r="882" ht="12.5"/>
    <row r="883" ht="12.5"/>
    <row r="884" ht="12.5"/>
    <row r="885" ht="12.5"/>
    <row r="886" ht="12.5"/>
    <row r="887" ht="12.5"/>
    <row r="888" ht="12.5"/>
    <row r="889" ht="12.5"/>
    <row r="890" ht="12.5"/>
    <row r="891" ht="12.5"/>
    <row r="892" ht="12.5"/>
    <row r="893" ht="12.5"/>
    <row r="894" ht="12.5"/>
    <row r="895" ht="12.5"/>
    <row r="896" ht="12.5"/>
    <row r="897" ht="12.5"/>
    <row r="898" ht="12.5"/>
    <row r="899" ht="12.5"/>
    <row r="900" ht="12.5"/>
    <row r="901" ht="12.5"/>
    <row r="902" ht="12.5"/>
    <row r="903" ht="12.5"/>
    <row r="904" ht="12.5"/>
    <row r="905" ht="12.5"/>
    <row r="906" ht="12.5"/>
    <row r="907" ht="12.5"/>
    <row r="908" ht="12.5"/>
    <row r="909" ht="12.5"/>
    <row r="910" ht="12.5"/>
    <row r="911" ht="12.5"/>
    <row r="912" ht="12.5"/>
    <row r="913" spans="8:12" ht="12.5"/>
    <row r="914" spans="8:12" ht="12.5"/>
    <row r="915" spans="8:12" ht="12.5"/>
    <row r="916" spans="8:12" ht="12.5"/>
    <row r="917" spans="8:12" ht="12.5"/>
    <row r="918" spans="8:12" ht="12.5"/>
    <row r="919" spans="8:12" ht="12.5"/>
    <row r="920" spans="8:12" ht="12.5"/>
    <row r="921" spans="8:12" ht="12.5"/>
    <row r="922" spans="8:12" ht="12.5"/>
    <row r="923" spans="8:12" ht="12.5"/>
    <row r="924" spans="8:12" ht="13">
      <c r="H924" s="3391" t="s">
        <v>1540</v>
      </c>
    </row>
    <row r="925" spans="8:12" ht="13">
      <c r="H925" s="3392">
        <v>1</v>
      </c>
      <c r="I925" s="3392" t="str">
        <f>IF(H925=1,I927,IF(H925=2,I935,""))</f>
        <v>88:139</v>
      </c>
      <c r="J925" s="3392" t="str">
        <f ca="1">IF(H925=1,SUBSTITUTE(CELL("DIRECCION",H927),"$",""),IF(H925=2,SUBSTITUTE(CELL("DIRECCION",H935),"$",""),""))</f>
        <v>H927</v>
      </c>
      <c r="K925" s="3392" t="str">
        <f>IF(H925=1,I933,IF(H925=2,I940,""))</f>
        <v>75:139</v>
      </c>
      <c r="L925" s="3392" t="str">
        <f ca="1">IF(H925=1,SUBSTITUTE(CELL("DIRECCION",$A$81),"$",""),IF(H925=2,SUBSTITUTE(CELL("DIRECCION",$A$153),"$",""),""))</f>
        <v>A81</v>
      </c>
    </row>
    <row r="926" spans="8:12" ht="12.5">
      <c r="H926" s="3142" t="s">
        <v>1548</v>
      </c>
      <c r="I926" s="3142"/>
    </row>
    <row r="927" spans="8:12" ht="13">
      <c r="H927" s="3392">
        <v>1</v>
      </c>
      <c r="I927" s="3392" t="str">
        <f>IF(H927=0,"",VLOOKUP(H927,$H$928:$I$932,2,0))</f>
        <v>88:139</v>
      </c>
    </row>
    <row r="928" spans="8:12" ht="12.5">
      <c r="H928" s="3393">
        <v>1</v>
      </c>
      <c r="I928" s="3393" t="str">
        <f>ROW($A$88)&amp;":"&amp;ROW($A$139)</f>
        <v>88:139</v>
      </c>
    </row>
    <row r="929" spans="8:9" ht="12.5">
      <c r="H929" s="3393">
        <v>2</v>
      </c>
      <c r="I929" s="3393" t="str">
        <f>ROW($A$101)&amp;":"&amp;ROW($A$139)</f>
        <v>101:139</v>
      </c>
    </row>
    <row r="930" spans="8:9" ht="12.5">
      <c r="H930" s="3393">
        <v>3</v>
      </c>
      <c r="I930" s="3393" t="str">
        <f>ROW($A$114)&amp;":"&amp;ROW($A$139)</f>
        <v>114:139</v>
      </c>
    </row>
    <row r="931" spans="8:9" ht="12.5">
      <c r="H931" s="3393">
        <v>4</v>
      </c>
      <c r="I931" s="3393" t="str">
        <f>ROW($A$127)&amp;":"&amp;ROW($A$139)</f>
        <v>127:139</v>
      </c>
    </row>
    <row r="932" spans="8:9" ht="12.5">
      <c r="H932" s="3393">
        <v>5</v>
      </c>
      <c r="I932" s="3393"/>
    </row>
    <row r="933" spans="8:9" ht="12.5">
      <c r="H933" s="3142" t="s">
        <v>1555</v>
      </c>
      <c r="I933" s="3393" t="str">
        <f>ROW($A$75)&amp;":"&amp;ROW($A$139)</f>
        <v>75:139</v>
      </c>
    </row>
    <row r="934" spans="8:9" ht="12.5">
      <c r="H934" s="3142" t="s">
        <v>1558</v>
      </c>
      <c r="I934" s="3142"/>
    </row>
    <row r="935" spans="8:9" ht="13">
      <c r="H935" s="3392">
        <v>1</v>
      </c>
      <c r="I935" s="3392" t="str">
        <f>IF(H935=0,"",VLOOKUP(H935,$H$936:$I$939,2,0))</f>
        <v>160:198</v>
      </c>
    </row>
    <row r="936" spans="8:9" ht="12.5">
      <c r="H936" s="3393">
        <v>1</v>
      </c>
      <c r="I936" s="3393" t="str">
        <f>ROW($A$160)&amp;":"&amp;ROW($A$198)</f>
        <v>160:198</v>
      </c>
    </row>
    <row r="937" spans="8:9" ht="12.5">
      <c r="H937" s="3393">
        <v>2</v>
      </c>
      <c r="I937" s="3393" t="str">
        <f>ROW($A$173)&amp;":"&amp;ROW($A$198)</f>
        <v>173:198</v>
      </c>
    </row>
    <row r="938" spans="8:9" ht="12.5">
      <c r="H938" s="3393">
        <v>3</v>
      </c>
      <c r="I938" s="3393" t="str">
        <f>ROW($A$186)&amp;":"&amp;ROW($A$198)</f>
        <v>186:198</v>
      </c>
    </row>
    <row r="939" spans="8:9" ht="12.5">
      <c r="H939" s="3393">
        <v>4</v>
      </c>
      <c r="I939" s="3393"/>
    </row>
    <row r="940" spans="8:9" ht="12.5">
      <c r="H940" s="3142" t="s">
        <v>1555</v>
      </c>
      <c r="I940" s="3393" t="str">
        <f>ROW($A$147)&amp;":"&amp;ROW($A$198)</f>
        <v>147:198</v>
      </c>
    </row>
    <row r="941" spans="8:9" ht="12.5"/>
    <row r="942" spans="8:9" ht="12.5"/>
    <row r="943" spans="8:9" ht="12.5"/>
    <row r="944" spans="8:9" ht="12.5"/>
    <row r="945" ht="12.5"/>
    <row r="946" ht="12.5"/>
    <row r="947" ht="12.5"/>
    <row r="948" ht="12.5"/>
    <row r="949" ht="12.5"/>
    <row r="950" ht="12.5"/>
  </sheetData>
  <sheetProtection password="D5B5" sheet="1" objects="1" scenarios="1"/>
  <dataValidations disablePrompts="1" count="3">
    <dataValidation type="list" allowBlank="1" showInputMessage="1" showErrorMessage="1" sqref="B71 IX71 ST71 ACP71 AML71 AWH71 BGD71 BPZ71 BZV71 CJR71 CTN71 DDJ71 DNF71 DXB71 EGX71 EQT71 FAP71 FKL71 FUH71 GED71 GNZ71 GXV71 HHR71 HRN71 IBJ71 ILF71 IVB71 JEX71 JOT71 JYP71 KIL71 KSH71 LCD71 LLZ71 LVV71 MFR71 MPN71 MZJ71 NJF71 NTB71 OCX71 OMT71 OWP71 PGL71 PQH71 QAD71 QJZ71 QTV71 RDR71 RNN71 RXJ71 SHF71 SRB71 TAX71 TKT71 TUP71 UEL71 UOH71 UYD71 VHZ71 VRV71 WBR71 WLN71 WVJ71 B65607 IX65607 ST65607 ACP65607 AML65607 AWH65607 BGD65607 BPZ65607 BZV65607 CJR65607 CTN65607 DDJ65607 DNF65607 DXB65607 EGX65607 EQT65607 FAP65607 FKL65607 FUH65607 GED65607 GNZ65607 GXV65607 HHR65607 HRN65607 IBJ65607 ILF65607 IVB65607 JEX65607 JOT65607 JYP65607 KIL65607 KSH65607 LCD65607 LLZ65607 LVV65607 MFR65607 MPN65607 MZJ65607 NJF65607 NTB65607 OCX65607 OMT65607 OWP65607 PGL65607 PQH65607 QAD65607 QJZ65607 QTV65607 RDR65607 RNN65607 RXJ65607 SHF65607 SRB65607 TAX65607 TKT65607 TUP65607 UEL65607 UOH65607 UYD65607 VHZ65607 VRV65607 WBR65607 WLN65607 WVJ65607 B131143 IX131143 ST131143 ACP131143 AML131143 AWH131143 BGD131143 BPZ131143 BZV131143 CJR131143 CTN131143 DDJ131143 DNF131143 DXB131143 EGX131143 EQT131143 FAP131143 FKL131143 FUH131143 GED131143 GNZ131143 GXV131143 HHR131143 HRN131143 IBJ131143 ILF131143 IVB131143 JEX131143 JOT131143 JYP131143 KIL131143 KSH131143 LCD131143 LLZ131143 LVV131143 MFR131143 MPN131143 MZJ131143 NJF131143 NTB131143 OCX131143 OMT131143 OWP131143 PGL131143 PQH131143 QAD131143 QJZ131143 QTV131143 RDR131143 RNN131143 RXJ131143 SHF131143 SRB131143 TAX131143 TKT131143 TUP131143 UEL131143 UOH131143 UYD131143 VHZ131143 VRV131143 WBR131143 WLN131143 WVJ131143 B196679 IX196679 ST196679 ACP196679 AML196679 AWH196679 BGD196679 BPZ196679 BZV196679 CJR196679 CTN196679 DDJ196679 DNF196679 DXB196679 EGX196679 EQT196679 FAP196679 FKL196679 FUH196679 GED196679 GNZ196679 GXV196679 HHR196679 HRN196679 IBJ196679 ILF196679 IVB196679 JEX196679 JOT196679 JYP196679 KIL196679 KSH196679 LCD196679 LLZ196679 LVV196679 MFR196679 MPN196679 MZJ196679 NJF196679 NTB196679 OCX196679 OMT196679 OWP196679 PGL196679 PQH196679 QAD196679 QJZ196679 QTV196679 RDR196679 RNN196679 RXJ196679 SHF196679 SRB196679 TAX196679 TKT196679 TUP196679 UEL196679 UOH196679 UYD196679 VHZ196679 VRV196679 WBR196679 WLN196679 WVJ196679 B262215 IX262215 ST262215 ACP262215 AML262215 AWH262215 BGD262215 BPZ262215 BZV262215 CJR262215 CTN262215 DDJ262215 DNF262215 DXB262215 EGX262215 EQT262215 FAP262215 FKL262215 FUH262215 GED262215 GNZ262215 GXV262215 HHR262215 HRN262215 IBJ262215 ILF262215 IVB262215 JEX262215 JOT262215 JYP262215 KIL262215 KSH262215 LCD262215 LLZ262215 LVV262215 MFR262215 MPN262215 MZJ262215 NJF262215 NTB262215 OCX262215 OMT262215 OWP262215 PGL262215 PQH262215 QAD262215 QJZ262215 QTV262215 RDR262215 RNN262215 RXJ262215 SHF262215 SRB262215 TAX262215 TKT262215 TUP262215 UEL262215 UOH262215 UYD262215 VHZ262215 VRV262215 WBR262215 WLN262215 WVJ262215 B327751 IX327751 ST327751 ACP327751 AML327751 AWH327751 BGD327751 BPZ327751 BZV327751 CJR327751 CTN327751 DDJ327751 DNF327751 DXB327751 EGX327751 EQT327751 FAP327751 FKL327751 FUH327751 GED327751 GNZ327751 GXV327751 HHR327751 HRN327751 IBJ327751 ILF327751 IVB327751 JEX327751 JOT327751 JYP327751 KIL327751 KSH327751 LCD327751 LLZ327751 LVV327751 MFR327751 MPN327751 MZJ327751 NJF327751 NTB327751 OCX327751 OMT327751 OWP327751 PGL327751 PQH327751 QAD327751 QJZ327751 QTV327751 RDR327751 RNN327751 RXJ327751 SHF327751 SRB327751 TAX327751 TKT327751 TUP327751 UEL327751 UOH327751 UYD327751 VHZ327751 VRV327751 WBR327751 WLN327751 WVJ327751 B393287 IX393287 ST393287 ACP393287 AML393287 AWH393287 BGD393287 BPZ393287 BZV393287 CJR393287 CTN393287 DDJ393287 DNF393287 DXB393287 EGX393287 EQT393287 FAP393287 FKL393287 FUH393287 GED393287 GNZ393287 GXV393287 HHR393287 HRN393287 IBJ393287 ILF393287 IVB393287 JEX393287 JOT393287 JYP393287 KIL393287 KSH393287 LCD393287 LLZ393287 LVV393287 MFR393287 MPN393287 MZJ393287 NJF393287 NTB393287 OCX393287 OMT393287 OWP393287 PGL393287 PQH393287 QAD393287 QJZ393287 QTV393287 RDR393287 RNN393287 RXJ393287 SHF393287 SRB393287 TAX393287 TKT393287 TUP393287 UEL393287 UOH393287 UYD393287 VHZ393287 VRV393287 WBR393287 WLN393287 WVJ393287 B458823 IX458823 ST458823 ACP458823 AML458823 AWH458823 BGD458823 BPZ458823 BZV458823 CJR458823 CTN458823 DDJ458823 DNF458823 DXB458823 EGX458823 EQT458823 FAP458823 FKL458823 FUH458823 GED458823 GNZ458823 GXV458823 HHR458823 HRN458823 IBJ458823 ILF458823 IVB458823 JEX458823 JOT458823 JYP458823 KIL458823 KSH458823 LCD458823 LLZ458823 LVV458823 MFR458823 MPN458823 MZJ458823 NJF458823 NTB458823 OCX458823 OMT458823 OWP458823 PGL458823 PQH458823 QAD458823 QJZ458823 QTV458823 RDR458823 RNN458823 RXJ458823 SHF458823 SRB458823 TAX458823 TKT458823 TUP458823 UEL458823 UOH458823 UYD458823 VHZ458823 VRV458823 WBR458823 WLN458823 WVJ458823 B524359 IX524359 ST524359 ACP524359 AML524359 AWH524359 BGD524359 BPZ524359 BZV524359 CJR524359 CTN524359 DDJ524359 DNF524359 DXB524359 EGX524359 EQT524359 FAP524359 FKL524359 FUH524359 GED524359 GNZ524359 GXV524359 HHR524359 HRN524359 IBJ524359 ILF524359 IVB524359 JEX524359 JOT524359 JYP524359 KIL524359 KSH524359 LCD524359 LLZ524359 LVV524359 MFR524359 MPN524359 MZJ524359 NJF524359 NTB524359 OCX524359 OMT524359 OWP524359 PGL524359 PQH524359 QAD524359 QJZ524359 QTV524359 RDR524359 RNN524359 RXJ524359 SHF524359 SRB524359 TAX524359 TKT524359 TUP524359 UEL524359 UOH524359 UYD524359 VHZ524359 VRV524359 WBR524359 WLN524359 WVJ524359 B589895 IX589895 ST589895 ACP589895 AML589895 AWH589895 BGD589895 BPZ589895 BZV589895 CJR589895 CTN589895 DDJ589895 DNF589895 DXB589895 EGX589895 EQT589895 FAP589895 FKL589895 FUH589895 GED589895 GNZ589895 GXV589895 HHR589895 HRN589895 IBJ589895 ILF589895 IVB589895 JEX589895 JOT589895 JYP589895 KIL589895 KSH589895 LCD589895 LLZ589895 LVV589895 MFR589895 MPN589895 MZJ589895 NJF589895 NTB589895 OCX589895 OMT589895 OWP589895 PGL589895 PQH589895 QAD589895 QJZ589895 QTV589895 RDR589895 RNN589895 RXJ589895 SHF589895 SRB589895 TAX589895 TKT589895 TUP589895 UEL589895 UOH589895 UYD589895 VHZ589895 VRV589895 WBR589895 WLN589895 WVJ589895 B655431 IX655431 ST655431 ACP655431 AML655431 AWH655431 BGD655431 BPZ655431 BZV655431 CJR655431 CTN655431 DDJ655431 DNF655431 DXB655431 EGX655431 EQT655431 FAP655431 FKL655431 FUH655431 GED655431 GNZ655431 GXV655431 HHR655431 HRN655431 IBJ655431 ILF655431 IVB655431 JEX655431 JOT655431 JYP655431 KIL655431 KSH655431 LCD655431 LLZ655431 LVV655431 MFR655431 MPN655431 MZJ655431 NJF655431 NTB655431 OCX655431 OMT655431 OWP655431 PGL655431 PQH655431 QAD655431 QJZ655431 QTV655431 RDR655431 RNN655431 RXJ655431 SHF655431 SRB655431 TAX655431 TKT655431 TUP655431 UEL655431 UOH655431 UYD655431 VHZ655431 VRV655431 WBR655431 WLN655431 WVJ655431 B720967 IX720967 ST720967 ACP720967 AML720967 AWH720967 BGD720967 BPZ720967 BZV720967 CJR720967 CTN720967 DDJ720967 DNF720967 DXB720967 EGX720967 EQT720967 FAP720967 FKL720967 FUH720967 GED720967 GNZ720967 GXV720967 HHR720967 HRN720967 IBJ720967 ILF720967 IVB720967 JEX720967 JOT720967 JYP720967 KIL720967 KSH720967 LCD720967 LLZ720967 LVV720967 MFR720967 MPN720967 MZJ720967 NJF720967 NTB720967 OCX720967 OMT720967 OWP720967 PGL720967 PQH720967 QAD720967 QJZ720967 QTV720967 RDR720967 RNN720967 RXJ720967 SHF720967 SRB720967 TAX720967 TKT720967 TUP720967 UEL720967 UOH720967 UYD720967 VHZ720967 VRV720967 WBR720967 WLN720967 WVJ720967 B786503 IX786503 ST786503 ACP786503 AML786503 AWH786503 BGD786503 BPZ786503 BZV786503 CJR786503 CTN786503 DDJ786503 DNF786503 DXB786503 EGX786503 EQT786503 FAP786503 FKL786503 FUH786503 GED786503 GNZ786503 GXV786503 HHR786503 HRN786503 IBJ786503 ILF786503 IVB786503 JEX786503 JOT786503 JYP786503 KIL786503 KSH786503 LCD786503 LLZ786503 LVV786503 MFR786503 MPN786503 MZJ786503 NJF786503 NTB786503 OCX786503 OMT786503 OWP786503 PGL786503 PQH786503 QAD786503 QJZ786503 QTV786503 RDR786503 RNN786503 RXJ786503 SHF786503 SRB786503 TAX786503 TKT786503 TUP786503 UEL786503 UOH786503 UYD786503 VHZ786503 VRV786503 WBR786503 WLN786503 WVJ786503 B852039 IX852039 ST852039 ACP852039 AML852039 AWH852039 BGD852039 BPZ852039 BZV852039 CJR852039 CTN852039 DDJ852039 DNF852039 DXB852039 EGX852039 EQT852039 FAP852039 FKL852039 FUH852039 GED852039 GNZ852039 GXV852039 HHR852039 HRN852039 IBJ852039 ILF852039 IVB852039 JEX852039 JOT852039 JYP852039 KIL852039 KSH852039 LCD852039 LLZ852039 LVV852039 MFR852039 MPN852039 MZJ852039 NJF852039 NTB852039 OCX852039 OMT852039 OWP852039 PGL852039 PQH852039 QAD852039 QJZ852039 QTV852039 RDR852039 RNN852039 RXJ852039 SHF852039 SRB852039 TAX852039 TKT852039 TUP852039 UEL852039 UOH852039 UYD852039 VHZ852039 VRV852039 WBR852039 WLN852039 WVJ852039 B917575 IX917575 ST917575 ACP917575 AML917575 AWH917575 BGD917575 BPZ917575 BZV917575 CJR917575 CTN917575 DDJ917575 DNF917575 DXB917575 EGX917575 EQT917575 FAP917575 FKL917575 FUH917575 GED917575 GNZ917575 GXV917575 HHR917575 HRN917575 IBJ917575 ILF917575 IVB917575 JEX917575 JOT917575 JYP917575 KIL917575 KSH917575 LCD917575 LLZ917575 LVV917575 MFR917575 MPN917575 MZJ917575 NJF917575 NTB917575 OCX917575 OMT917575 OWP917575 PGL917575 PQH917575 QAD917575 QJZ917575 QTV917575 RDR917575 RNN917575 RXJ917575 SHF917575 SRB917575 TAX917575 TKT917575 TUP917575 UEL917575 UOH917575 UYD917575 VHZ917575 VRV917575 WBR917575 WLN917575 WVJ917575 B983111 IX983111 ST983111 ACP983111 AML983111 AWH983111 BGD983111 BPZ983111 BZV983111 CJR983111 CTN983111 DDJ983111 DNF983111 DXB983111 EGX983111 EQT983111 FAP983111 FKL983111 FUH983111 GED983111 GNZ983111 GXV983111 HHR983111 HRN983111 IBJ983111 ILF983111 IVB983111 JEX983111 JOT983111 JYP983111 KIL983111 KSH983111 LCD983111 LLZ983111 LVV983111 MFR983111 MPN983111 MZJ983111 NJF983111 NTB983111 OCX983111 OMT983111 OWP983111 PGL983111 PQH983111 QAD983111 QJZ983111 QTV983111 RDR983111 RNN983111 RXJ983111 SHF983111 SRB983111 TAX983111 TKT983111 TUP983111 UEL983111 UOH983111 UYD983111 VHZ983111 VRV983111 WBR983111 WLN983111 WVJ983111">
      <formula1>$C$317:$C$318</formula1>
    </dataValidation>
    <dataValidation type="list" allowBlank="1" showInputMessage="1" showErrorMessage="1" sqref="B72 IX72 ST72 ACP72 AML72 AWH72 BGD72 BPZ72 BZV72 CJR72 CTN72 DDJ72 DNF72 DXB72 EGX72 EQT72 FAP72 FKL72 FUH72 GED72 GNZ72 GXV72 HHR72 HRN72 IBJ72 ILF72 IVB72 JEX72 JOT72 JYP72 KIL72 KSH72 LCD72 LLZ72 LVV72 MFR72 MPN72 MZJ72 NJF72 NTB72 OCX72 OMT72 OWP72 PGL72 PQH72 QAD72 QJZ72 QTV72 RDR72 RNN72 RXJ72 SHF72 SRB72 TAX72 TKT72 TUP72 UEL72 UOH72 UYD72 VHZ72 VRV72 WBR72 WLN72 WVJ72 B65608 IX65608 ST65608 ACP65608 AML65608 AWH65608 BGD65608 BPZ65608 BZV65608 CJR65608 CTN65608 DDJ65608 DNF65608 DXB65608 EGX65608 EQT65608 FAP65608 FKL65608 FUH65608 GED65608 GNZ65608 GXV65608 HHR65608 HRN65608 IBJ65608 ILF65608 IVB65608 JEX65608 JOT65608 JYP65608 KIL65608 KSH65608 LCD65608 LLZ65608 LVV65608 MFR65608 MPN65608 MZJ65608 NJF65608 NTB65608 OCX65608 OMT65608 OWP65608 PGL65608 PQH65608 QAD65608 QJZ65608 QTV65608 RDR65608 RNN65608 RXJ65608 SHF65608 SRB65608 TAX65608 TKT65608 TUP65608 UEL65608 UOH65608 UYD65608 VHZ65608 VRV65608 WBR65608 WLN65608 WVJ65608 B131144 IX131144 ST131144 ACP131144 AML131144 AWH131144 BGD131144 BPZ131144 BZV131144 CJR131144 CTN131144 DDJ131144 DNF131144 DXB131144 EGX131144 EQT131144 FAP131144 FKL131144 FUH131144 GED131144 GNZ131144 GXV131144 HHR131144 HRN131144 IBJ131144 ILF131144 IVB131144 JEX131144 JOT131144 JYP131144 KIL131144 KSH131144 LCD131144 LLZ131144 LVV131144 MFR131144 MPN131144 MZJ131144 NJF131144 NTB131144 OCX131144 OMT131144 OWP131144 PGL131144 PQH131144 QAD131144 QJZ131144 QTV131144 RDR131144 RNN131144 RXJ131144 SHF131144 SRB131144 TAX131144 TKT131144 TUP131144 UEL131144 UOH131144 UYD131144 VHZ131144 VRV131144 WBR131144 WLN131144 WVJ131144 B196680 IX196680 ST196680 ACP196680 AML196680 AWH196680 BGD196680 BPZ196680 BZV196680 CJR196680 CTN196680 DDJ196680 DNF196680 DXB196680 EGX196680 EQT196680 FAP196680 FKL196680 FUH196680 GED196680 GNZ196680 GXV196680 HHR196680 HRN196680 IBJ196680 ILF196680 IVB196680 JEX196680 JOT196680 JYP196680 KIL196680 KSH196680 LCD196680 LLZ196680 LVV196680 MFR196680 MPN196680 MZJ196680 NJF196680 NTB196680 OCX196680 OMT196680 OWP196680 PGL196680 PQH196680 QAD196680 QJZ196680 QTV196680 RDR196680 RNN196680 RXJ196680 SHF196680 SRB196680 TAX196680 TKT196680 TUP196680 UEL196680 UOH196680 UYD196680 VHZ196680 VRV196680 WBR196680 WLN196680 WVJ196680 B262216 IX262216 ST262216 ACP262216 AML262216 AWH262216 BGD262216 BPZ262216 BZV262216 CJR262216 CTN262216 DDJ262216 DNF262216 DXB262216 EGX262216 EQT262216 FAP262216 FKL262216 FUH262216 GED262216 GNZ262216 GXV262216 HHR262216 HRN262216 IBJ262216 ILF262216 IVB262216 JEX262216 JOT262216 JYP262216 KIL262216 KSH262216 LCD262216 LLZ262216 LVV262216 MFR262216 MPN262216 MZJ262216 NJF262216 NTB262216 OCX262216 OMT262216 OWP262216 PGL262216 PQH262216 QAD262216 QJZ262216 QTV262216 RDR262216 RNN262216 RXJ262216 SHF262216 SRB262216 TAX262216 TKT262216 TUP262216 UEL262216 UOH262216 UYD262216 VHZ262216 VRV262216 WBR262216 WLN262216 WVJ262216 B327752 IX327752 ST327752 ACP327752 AML327752 AWH327752 BGD327752 BPZ327752 BZV327752 CJR327752 CTN327752 DDJ327752 DNF327752 DXB327752 EGX327752 EQT327752 FAP327752 FKL327752 FUH327752 GED327752 GNZ327752 GXV327752 HHR327752 HRN327752 IBJ327752 ILF327752 IVB327752 JEX327752 JOT327752 JYP327752 KIL327752 KSH327752 LCD327752 LLZ327752 LVV327752 MFR327752 MPN327752 MZJ327752 NJF327752 NTB327752 OCX327752 OMT327752 OWP327752 PGL327752 PQH327752 QAD327752 QJZ327752 QTV327752 RDR327752 RNN327752 RXJ327752 SHF327752 SRB327752 TAX327752 TKT327752 TUP327752 UEL327752 UOH327752 UYD327752 VHZ327752 VRV327752 WBR327752 WLN327752 WVJ327752 B393288 IX393288 ST393288 ACP393288 AML393288 AWH393288 BGD393288 BPZ393288 BZV393288 CJR393288 CTN393288 DDJ393288 DNF393288 DXB393288 EGX393288 EQT393288 FAP393288 FKL393288 FUH393288 GED393288 GNZ393288 GXV393288 HHR393288 HRN393288 IBJ393288 ILF393288 IVB393288 JEX393288 JOT393288 JYP393288 KIL393288 KSH393288 LCD393288 LLZ393288 LVV393288 MFR393288 MPN393288 MZJ393288 NJF393288 NTB393288 OCX393288 OMT393288 OWP393288 PGL393288 PQH393288 QAD393288 QJZ393288 QTV393288 RDR393288 RNN393288 RXJ393288 SHF393288 SRB393288 TAX393288 TKT393288 TUP393288 UEL393288 UOH393288 UYD393288 VHZ393288 VRV393288 WBR393288 WLN393288 WVJ393288 B458824 IX458824 ST458824 ACP458824 AML458824 AWH458824 BGD458824 BPZ458824 BZV458824 CJR458824 CTN458824 DDJ458824 DNF458824 DXB458824 EGX458824 EQT458824 FAP458824 FKL458824 FUH458824 GED458824 GNZ458824 GXV458824 HHR458824 HRN458824 IBJ458824 ILF458824 IVB458824 JEX458824 JOT458824 JYP458824 KIL458824 KSH458824 LCD458824 LLZ458824 LVV458824 MFR458824 MPN458824 MZJ458824 NJF458824 NTB458824 OCX458824 OMT458824 OWP458824 PGL458824 PQH458824 QAD458824 QJZ458824 QTV458824 RDR458824 RNN458824 RXJ458824 SHF458824 SRB458824 TAX458824 TKT458824 TUP458824 UEL458824 UOH458824 UYD458824 VHZ458824 VRV458824 WBR458824 WLN458824 WVJ458824 B524360 IX524360 ST524360 ACP524360 AML524360 AWH524360 BGD524360 BPZ524360 BZV524360 CJR524360 CTN524360 DDJ524360 DNF524360 DXB524360 EGX524360 EQT524360 FAP524360 FKL524360 FUH524360 GED524360 GNZ524360 GXV524360 HHR524360 HRN524360 IBJ524360 ILF524360 IVB524360 JEX524360 JOT524360 JYP524360 KIL524360 KSH524360 LCD524360 LLZ524360 LVV524360 MFR524360 MPN524360 MZJ524360 NJF524360 NTB524360 OCX524360 OMT524360 OWP524360 PGL524360 PQH524360 QAD524360 QJZ524360 QTV524360 RDR524360 RNN524360 RXJ524360 SHF524360 SRB524360 TAX524360 TKT524360 TUP524360 UEL524360 UOH524360 UYD524360 VHZ524360 VRV524360 WBR524360 WLN524360 WVJ524360 B589896 IX589896 ST589896 ACP589896 AML589896 AWH589896 BGD589896 BPZ589896 BZV589896 CJR589896 CTN589896 DDJ589896 DNF589896 DXB589896 EGX589896 EQT589896 FAP589896 FKL589896 FUH589896 GED589896 GNZ589896 GXV589896 HHR589896 HRN589896 IBJ589896 ILF589896 IVB589896 JEX589896 JOT589896 JYP589896 KIL589896 KSH589896 LCD589896 LLZ589896 LVV589896 MFR589896 MPN589896 MZJ589896 NJF589896 NTB589896 OCX589896 OMT589896 OWP589896 PGL589896 PQH589896 QAD589896 QJZ589896 QTV589896 RDR589896 RNN589896 RXJ589896 SHF589896 SRB589896 TAX589896 TKT589896 TUP589896 UEL589896 UOH589896 UYD589896 VHZ589896 VRV589896 WBR589896 WLN589896 WVJ589896 B655432 IX655432 ST655432 ACP655432 AML655432 AWH655432 BGD655432 BPZ655432 BZV655432 CJR655432 CTN655432 DDJ655432 DNF655432 DXB655432 EGX655432 EQT655432 FAP655432 FKL655432 FUH655432 GED655432 GNZ655432 GXV655432 HHR655432 HRN655432 IBJ655432 ILF655432 IVB655432 JEX655432 JOT655432 JYP655432 KIL655432 KSH655432 LCD655432 LLZ655432 LVV655432 MFR655432 MPN655432 MZJ655432 NJF655432 NTB655432 OCX655432 OMT655432 OWP655432 PGL655432 PQH655432 QAD655432 QJZ655432 QTV655432 RDR655432 RNN655432 RXJ655432 SHF655432 SRB655432 TAX655432 TKT655432 TUP655432 UEL655432 UOH655432 UYD655432 VHZ655432 VRV655432 WBR655432 WLN655432 WVJ655432 B720968 IX720968 ST720968 ACP720968 AML720968 AWH720968 BGD720968 BPZ720968 BZV720968 CJR720968 CTN720968 DDJ720968 DNF720968 DXB720968 EGX720968 EQT720968 FAP720968 FKL720968 FUH720968 GED720968 GNZ720968 GXV720968 HHR720968 HRN720968 IBJ720968 ILF720968 IVB720968 JEX720968 JOT720968 JYP720968 KIL720968 KSH720968 LCD720968 LLZ720968 LVV720968 MFR720968 MPN720968 MZJ720968 NJF720968 NTB720968 OCX720968 OMT720968 OWP720968 PGL720968 PQH720968 QAD720968 QJZ720968 QTV720968 RDR720968 RNN720968 RXJ720968 SHF720968 SRB720968 TAX720968 TKT720968 TUP720968 UEL720968 UOH720968 UYD720968 VHZ720968 VRV720968 WBR720968 WLN720968 WVJ720968 B786504 IX786504 ST786504 ACP786504 AML786504 AWH786504 BGD786504 BPZ786504 BZV786504 CJR786504 CTN786504 DDJ786504 DNF786504 DXB786504 EGX786504 EQT786504 FAP786504 FKL786504 FUH786504 GED786504 GNZ786504 GXV786504 HHR786504 HRN786504 IBJ786504 ILF786504 IVB786504 JEX786504 JOT786504 JYP786504 KIL786504 KSH786504 LCD786504 LLZ786504 LVV786504 MFR786504 MPN786504 MZJ786504 NJF786504 NTB786504 OCX786504 OMT786504 OWP786504 PGL786504 PQH786504 QAD786504 QJZ786504 QTV786504 RDR786504 RNN786504 RXJ786504 SHF786504 SRB786504 TAX786504 TKT786504 TUP786504 UEL786504 UOH786504 UYD786504 VHZ786504 VRV786504 WBR786504 WLN786504 WVJ786504 B852040 IX852040 ST852040 ACP852040 AML852040 AWH852040 BGD852040 BPZ852040 BZV852040 CJR852040 CTN852040 DDJ852040 DNF852040 DXB852040 EGX852040 EQT852040 FAP852040 FKL852040 FUH852040 GED852040 GNZ852040 GXV852040 HHR852040 HRN852040 IBJ852040 ILF852040 IVB852040 JEX852040 JOT852040 JYP852040 KIL852040 KSH852040 LCD852040 LLZ852040 LVV852040 MFR852040 MPN852040 MZJ852040 NJF852040 NTB852040 OCX852040 OMT852040 OWP852040 PGL852040 PQH852040 QAD852040 QJZ852040 QTV852040 RDR852040 RNN852040 RXJ852040 SHF852040 SRB852040 TAX852040 TKT852040 TUP852040 UEL852040 UOH852040 UYD852040 VHZ852040 VRV852040 WBR852040 WLN852040 WVJ852040 B917576 IX917576 ST917576 ACP917576 AML917576 AWH917576 BGD917576 BPZ917576 BZV917576 CJR917576 CTN917576 DDJ917576 DNF917576 DXB917576 EGX917576 EQT917576 FAP917576 FKL917576 FUH917576 GED917576 GNZ917576 GXV917576 HHR917576 HRN917576 IBJ917576 ILF917576 IVB917576 JEX917576 JOT917576 JYP917576 KIL917576 KSH917576 LCD917576 LLZ917576 LVV917576 MFR917576 MPN917576 MZJ917576 NJF917576 NTB917576 OCX917576 OMT917576 OWP917576 PGL917576 PQH917576 QAD917576 QJZ917576 QTV917576 RDR917576 RNN917576 RXJ917576 SHF917576 SRB917576 TAX917576 TKT917576 TUP917576 UEL917576 UOH917576 UYD917576 VHZ917576 VRV917576 WBR917576 WLN917576 WVJ917576 B983112 IX983112 ST983112 ACP983112 AML983112 AWH983112 BGD983112 BPZ983112 BZV983112 CJR983112 CTN983112 DDJ983112 DNF983112 DXB983112 EGX983112 EQT983112 FAP983112 FKL983112 FUH983112 GED983112 GNZ983112 GXV983112 HHR983112 HRN983112 IBJ983112 ILF983112 IVB983112 JEX983112 JOT983112 JYP983112 KIL983112 KSH983112 LCD983112 LLZ983112 LVV983112 MFR983112 MPN983112 MZJ983112 NJF983112 NTB983112 OCX983112 OMT983112 OWP983112 PGL983112 PQH983112 QAD983112 QJZ983112 QTV983112 RDR983112 RNN983112 RXJ983112 SHF983112 SRB983112 TAX983112 TKT983112 TUP983112 UEL983112 UOH983112 UYD983112 VHZ983112 VRV983112 WBR983112 WLN983112 WVJ983112">
      <formula1>$B$317:$B$319</formula1>
    </dataValidation>
    <dataValidation type="list" allowBlank="1" showInputMessage="1" showErrorMessage="1" sqref="B4:B7 IX4:IX7 ST4:ST7 ACP4:ACP7 AML4:AML7 AWH4:AWH7 BGD4:BGD7 BPZ4:BPZ7 BZV4:BZV7 CJR4:CJR7 CTN4:CTN7 DDJ4:DDJ7 DNF4:DNF7 DXB4:DXB7 EGX4:EGX7 EQT4:EQT7 FAP4:FAP7 FKL4:FKL7 FUH4:FUH7 GED4:GED7 GNZ4:GNZ7 GXV4:GXV7 HHR4:HHR7 HRN4:HRN7 IBJ4:IBJ7 ILF4:ILF7 IVB4:IVB7 JEX4:JEX7 JOT4:JOT7 JYP4:JYP7 KIL4:KIL7 KSH4:KSH7 LCD4:LCD7 LLZ4:LLZ7 LVV4:LVV7 MFR4:MFR7 MPN4:MPN7 MZJ4:MZJ7 NJF4:NJF7 NTB4:NTB7 OCX4:OCX7 OMT4:OMT7 OWP4:OWP7 PGL4:PGL7 PQH4:PQH7 QAD4:QAD7 QJZ4:QJZ7 QTV4:QTV7 RDR4:RDR7 RNN4:RNN7 RXJ4:RXJ7 SHF4:SHF7 SRB4:SRB7 TAX4:TAX7 TKT4:TKT7 TUP4:TUP7 UEL4:UEL7 UOH4:UOH7 UYD4:UYD7 VHZ4:VHZ7 VRV4:VRV7 WBR4:WBR7 WLN4:WLN7 WVJ4:WVJ7 B65540:B65543 IX65540:IX65543 ST65540:ST65543 ACP65540:ACP65543 AML65540:AML65543 AWH65540:AWH65543 BGD65540:BGD65543 BPZ65540:BPZ65543 BZV65540:BZV65543 CJR65540:CJR65543 CTN65540:CTN65543 DDJ65540:DDJ65543 DNF65540:DNF65543 DXB65540:DXB65543 EGX65540:EGX65543 EQT65540:EQT65543 FAP65540:FAP65543 FKL65540:FKL65543 FUH65540:FUH65543 GED65540:GED65543 GNZ65540:GNZ65543 GXV65540:GXV65543 HHR65540:HHR65543 HRN65540:HRN65543 IBJ65540:IBJ65543 ILF65540:ILF65543 IVB65540:IVB65543 JEX65540:JEX65543 JOT65540:JOT65543 JYP65540:JYP65543 KIL65540:KIL65543 KSH65540:KSH65543 LCD65540:LCD65543 LLZ65540:LLZ65543 LVV65540:LVV65543 MFR65540:MFR65543 MPN65540:MPN65543 MZJ65540:MZJ65543 NJF65540:NJF65543 NTB65540:NTB65543 OCX65540:OCX65543 OMT65540:OMT65543 OWP65540:OWP65543 PGL65540:PGL65543 PQH65540:PQH65543 QAD65540:QAD65543 QJZ65540:QJZ65543 QTV65540:QTV65543 RDR65540:RDR65543 RNN65540:RNN65543 RXJ65540:RXJ65543 SHF65540:SHF65543 SRB65540:SRB65543 TAX65540:TAX65543 TKT65540:TKT65543 TUP65540:TUP65543 UEL65540:UEL65543 UOH65540:UOH65543 UYD65540:UYD65543 VHZ65540:VHZ65543 VRV65540:VRV65543 WBR65540:WBR65543 WLN65540:WLN65543 WVJ65540:WVJ65543 B131076:B131079 IX131076:IX131079 ST131076:ST131079 ACP131076:ACP131079 AML131076:AML131079 AWH131076:AWH131079 BGD131076:BGD131079 BPZ131076:BPZ131079 BZV131076:BZV131079 CJR131076:CJR131079 CTN131076:CTN131079 DDJ131076:DDJ131079 DNF131076:DNF131079 DXB131076:DXB131079 EGX131076:EGX131079 EQT131076:EQT131079 FAP131076:FAP131079 FKL131076:FKL131079 FUH131076:FUH131079 GED131076:GED131079 GNZ131076:GNZ131079 GXV131076:GXV131079 HHR131076:HHR131079 HRN131076:HRN131079 IBJ131076:IBJ131079 ILF131076:ILF131079 IVB131076:IVB131079 JEX131076:JEX131079 JOT131076:JOT131079 JYP131076:JYP131079 KIL131076:KIL131079 KSH131076:KSH131079 LCD131076:LCD131079 LLZ131076:LLZ131079 LVV131076:LVV131079 MFR131076:MFR131079 MPN131076:MPN131079 MZJ131076:MZJ131079 NJF131076:NJF131079 NTB131076:NTB131079 OCX131076:OCX131079 OMT131076:OMT131079 OWP131076:OWP131079 PGL131076:PGL131079 PQH131076:PQH131079 QAD131076:QAD131079 QJZ131076:QJZ131079 QTV131076:QTV131079 RDR131076:RDR131079 RNN131076:RNN131079 RXJ131076:RXJ131079 SHF131076:SHF131079 SRB131076:SRB131079 TAX131076:TAX131079 TKT131076:TKT131079 TUP131076:TUP131079 UEL131076:UEL131079 UOH131076:UOH131079 UYD131076:UYD131079 VHZ131076:VHZ131079 VRV131076:VRV131079 WBR131076:WBR131079 WLN131076:WLN131079 WVJ131076:WVJ131079 B196612:B196615 IX196612:IX196615 ST196612:ST196615 ACP196612:ACP196615 AML196612:AML196615 AWH196612:AWH196615 BGD196612:BGD196615 BPZ196612:BPZ196615 BZV196612:BZV196615 CJR196612:CJR196615 CTN196612:CTN196615 DDJ196612:DDJ196615 DNF196612:DNF196615 DXB196612:DXB196615 EGX196612:EGX196615 EQT196612:EQT196615 FAP196612:FAP196615 FKL196612:FKL196615 FUH196612:FUH196615 GED196612:GED196615 GNZ196612:GNZ196615 GXV196612:GXV196615 HHR196612:HHR196615 HRN196612:HRN196615 IBJ196612:IBJ196615 ILF196612:ILF196615 IVB196612:IVB196615 JEX196612:JEX196615 JOT196612:JOT196615 JYP196612:JYP196615 KIL196612:KIL196615 KSH196612:KSH196615 LCD196612:LCD196615 LLZ196612:LLZ196615 LVV196612:LVV196615 MFR196612:MFR196615 MPN196612:MPN196615 MZJ196612:MZJ196615 NJF196612:NJF196615 NTB196612:NTB196615 OCX196612:OCX196615 OMT196612:OMT196615 OWP196612:OWP196615 PGL196612:PGL196615 PQH196612:PQH196615 QAD196612:QAD196615 QJZ196612:QJZ196615 QTV196612:QTV196615 RDR196612:RDR196615 RNN196612:RNN196615 RXJ196612:RXJ196615 SHF196612:SHF196615 SRB196612:SRB196615 TAX196612:TAX196615 TKT196612:TKT196615 TUP196612:TUP196615 UEL196612:UEL196615 UOH196612:UOH196615 UYD196612:UYD196615 VHZ196612:VHZ196615 VRV196612:VRV196615 WBR196612:WBR196615 WLN196612:WLN196615 WVJ196612:WVJ196615 B262148:B262151 IX262148:IX262151 ST262148:ST262151 ACP262148:ACP262151 AML262148:AML262151 AWH262148:AWH262151 BGD262148:BGD262151 BPZ262148:BPZ262151 BZV262148:BZV262151 CJR262148:CJR262151 CTN262148:CTN262151 DDJ262148:DDJ262151 DNF262148:DNF262151 DXB262148:DXB262151 EGX262148:EGX262151 EQT262148:EQT262151 FAP262148:FAP262151 FKL262148:FKL262151 FUH262148:FUH262151 GED262148:GED262151 GNZ262148:GNZ262151 GXV262148:GXV262151 HHR262148:HHR262151 HRN262148:HRN262151 IBJ262148:IBJ262151 ILF262148:ILF262151 IVB262148:IVB262151 JEX262148:JEX262151 JOT262148:JOT262151 JYP262148:JYP262151 KIL262148:KIL262151 KSH262148:KSH262151 LCD262148:LCD262151 LLZ262148:LLZ262151 LVV262148:LVV262151 MFR262148:MFR262151 MPN262148:MPN262151 MZJ262148:MZJ262151 NJF262148:NJF262151 NTB262148:NTB262151 OCX262148:OCX262151 OMT262148:OMT262151 OWP262148:OWP262151 PGL262148:PGL262151 PQH262148:PQH262151 QAD262148:QAD262151 QJZ262148:QJZ262151 QTV262148:QTV262151 RDR262148:RDR262151 RNN262148:RNN262151 RXJ262148:RXJ262151 SHF262148:SHF262151 SRB262148:SRB262151 TAX262148:TAX262151 TKT262148:TKT262151 TUP262148:TUP262151 UEL262148:UEL262151 UOH262148:UOH262151 UYD262148:UYD262151 VHZ262148:VHZ262151 VRV262148:VRV262151 WBR262148:WBR262151 WLN262148:WLN262151 WVJ262148:WVJ262151 B327684:B327687 IX327684:IX327687 ST327684:ST327687 ACP327684:ACP327687 AML327684:AML327687 AWH327684:AWH327687 BGD327684:BGD327687 BPZ327684:BPZ327687 BZV327684:BZV327687 CJR327684:CJR327687 CTN327684:CTN327687 DDJ327684:DDJ327687 DNF327684:DNF327687 DXB327684:DXB327687 EGX327684:EGX327687 EQT327684:EQT327687 FAP327684:FAP327687 FKL327684:FKL327687 FUH327684:FUH327687 GED327684:GED327687 GNZ327684:GNZ327687 GXV327684:GXV327687 HHR327684:HHR327687 HRN327684:HRN327687 IBJ327684:IBJ327687 ILF327684:ILF327687 IVB327684:IVB327687 JEX327684:JEX327687 JOT327684:JOT327687 JYP327684:JYP327687 KIL327684:KIL327687 KSH327684:KSH327687 LCD327684:LCD327687 LLZ327684:LLZ327687 LVV327684:LVV327687 MFR327684:MFR327687 MPN327684:MPN327687 MZJ327684:MZJ327687 NJF327684:NJF327687 NTB327684:NTB327687 OCX327684:OCX327687 OMT327684:OMT327687 OWP327684:OWP327687 PGL327684:PGL327687 PQH327684:PQH327687 QAD327684:QAD327687 QJZ327684:QJZ327687 QTV327684:QTV327687 RDR327684:RDR327687 RNN327684:RNN327687 RXJ327684:RXJ327687 SHF327684:SHF327687 SRB327684:SRB327687 TAX327684:TAX327687 TKT327684:TKT327687 TUP327684:TUP327687 UEL327684:UEL327687 UOH327684:UOH327687 UYD327684:UYD327687 VHZ327684:VHZ327687 VRV327684:VRV327687 WBR327684:WBR327687 WLN327684:WLN327687 WVJ327684:WVJ327687 B393220:B393223 IX393220:IX393223 ST393220:ST393223 ACP393220:ACP393223 AML393220:AML393223 AWH393220:AWH393223 BGD393220:BGD393223 BPZ393220:BPZ393223 BZV393220:BZV393223 CJR393220:CJR393223 CTN393220:CTN393223 DDJ393220:DDJ393223 DNF393220:DNF393223 DXB393220:DXB393223 EGX393220:EGX393223 EQT393220:EQT393223 FAP393220:FAP393223 FKL393220:FKL393223 FUH393220:FUH393223 GED393220:GED393223 GNZ393220:GNZ393223 GXV393220:GXV393223 HHR393220:HHR393223 HRN393220:HRN393223 IBJ393220:IBJ393223 ILF393220:ILF393223 IVB393220:IVB393223 JEX393220:JEX393223 JOT393220:JOT393223 JYP393220:JYP393223 KIL393220:KIL393223 KSH393220:KSH393223 LCD393220:LCD393223 LLZ393220:LLZ393223 LVV393220:LVV393223 MFR393220:MFR393223 MPN393220:MPN393223 MZJ393220:MZJ393223 NJF393220:NJF393223 NTB393220:NTB393223 OCX393220:OCX393223 OMT393220:OMT393223 OWP393220:OWP393223 PGL393220:PGL393223 PQH393220:PQH393223 QAD393220:QAD393223 QJZ393220:QJZ393223 QTV393220:QTV393223 RDR393220:RDR393223 RNN393220:RNN393223 RXJ393220:RXJ393223 SHF393220:SHF393223 SRB393220:SRB393223 TAX393220:TAX393223 TKT393220:TKT393223 TUP393220:TUP393223 UEL393220:UEL393223 UOH393220:UOH393223 UYD393220:UYD393223 VHZ393220:VHZ393223 VRV393220:VRV393223 WBR393220:WBR393223 WLN393220:WLN393223 WVJ393220:WVJ393223 B458756:B458759 IX458756:IX458759 ST458756:ST458759 ACP458756:ACP458759 AML458756:AML458759 AWH458756:AWH458759 BGD458756:BGD458759 BPZ458756:BPZ458759 BZV458756:BZV458759 CJR458756:CJR458759 CTN458756:CTN458759 DDJ458756:DDJ458759 DNF458756:DNF458759 DXB458756:DXB458759 EGX458756:EGX458759 EQT458756:EQT458759 FAP458756:FAP458759 FKL458756:FKL458759 FUH458756:FUH458759 GED458756:GED458759 GNZ458756:GNZ458759 GXV458756:GXV458759 HHR458756:HHR458759 HRN458756:HRN458759 IBJ458756:IBJ458759 ILF458756:ILF458759 IVB458756:IVB458759 JEX458756:JEX458759 JOT458756:JOT458759 JYP458756:JYP458759 KIL458756:KIL458759 KSH458756:KSH458759 LCD458756:LCD458759 LLZ458756:LLZ458759 LVV458756:LVV458759 MFR458756:MFR458759 MPN458756:MPN458759 MZJ458756:MZJ458759 NJF458756:NJF458759 NTB458756:NTB458759 OCX458756:OCX458759 OMT458756:OMT458759 OWP458756:OWP458759 PGL458756:PGL458759 PQH458756:PQH458759 QAD458756:QAD458759 QJZ458756:QJZ458759 QTV458756:QTV458759 RDR458756:RDR458759 RNN458756:RNN458759 RXJ458756:RXJ458759 SHF458756:SHF458759 SRB458756:SRB458759 TAX458756:TAX458759 TKT458756:TKT458759 TUP458756:TUP458759 UEL458756:UEL458759 UOH458756:UOH458759 UYD458756:UYD458759 VHZ458756:VHZ458759 VRV458756:VRV458759 WBR458756:WBR458759 WLN458756:WLN458759 WVJ458756:WVJ458759 B524292:B524295 IX524292:IX524295 ST524292:ST524295 ACP524292:ACP524295 AML524292:AML524295 AWH524292:AWH524295 BGD524292:BGD524295 BPZ524292:BPZ524295 BZV524292:BZV524295 CJR524292:CJR524295 CTN524292:CTN524295 DDJ524292:DDJ524295 DNF524292:DNF524295 DXB524292:DXB524295 EGX524292:EGX524295 EQT524292:EQT524295 FAP524292:FAP524295 FKL524292:FKL524295 FUH524292:FUH524295 GED524292:GED524295 GNZ524292:GNZ524295 GXV524292:GXV524295 HHR524292:HHR524295 HRN524292:HRN524295 IBJ524292:IBJ524295 ILF524292:ILF524295 IVB524292:IVB524295 JEX524292:JEX524295 JOT524292:JOT524295 JYP524292:JYP524295 KIL524292:KIL524295 KSH524292:KSH524295 LCD524292:LCD524295 LLZ524292:LLZ524295 LVV524292:LVV524295 MFR524292:MFR524295 MPN524292:MPN524295 MZJ524292:MZJ524295 NJF524292:NJF524295 NTB524292:NTB524295 OCX524292:OCX524295 OMT524292:OMT524295 OWP524292:OWP524295 PGL524292:PGL524295 PQH524292:PQH524295 QAD524292:QAD524295 QJZ524292:QJZ524295 QTV524292:QTV524295 RDR524292:RDR524295 RNN524292:RNN524295 RXJ524292:RXJ524295 SHF524292:SHF524295 SRB524292:SRB524295 TAX524292:TAX524295 TKT524292:TKT524295 TUP524292:TUP524295 UEL524292:UEL524295 UOH524292:UOH524295 UYD524292:UYD524295 VHZ524292:VHZ524295 VRV524292:VRV524295 WBR524292:WBR524295 WLN524292:WLN524295 WVJ524292:WVJ524295 B589828:B589831 IX589828:IX589831 ST589828:ST589831 ACP589828:ACP589831 AML589828:AML589831 AWH589828:AWH589831 BGD589828:BGD589831 BPZ589828:BPZ589831 BZV589828:BZV589831 CJR589828:CJR589831 CTN589828:CTN589831 DDJ589828:DDJ589831 DNF589828:DNF589831 DXB589828:DXB589831 EGX589828:EGX589831 EQT589828:EQT589831 FAP589828:FAP589831 FKL589828:FKL589831 FUH589828:FUH589831 GED589828:GED589831 GNZ589828:GNZ589831 GXV589828:GXV589831 HHR589828:HHR589831 HRN589828:HRN589831 IBJ589828:IBJ589831 ILF589828:ILF589831 IVB589828:IVB589831 JEX589828:JEX589831 JOT589828:JOT589831 JYP589828:JYP589831 KIL589828:KIL589831 KSH589828:KSH589831 LCD589828:LCD589831 LLZ589828:LLZ589831 LVV589828:LVV589831 MFR589828:MFR589831 MPN589828:MPN589831 MZJ589828:MZJ589831 NJF589828:NJF589831 NTB589828:NTB589831 OCX589828:OCX589831 OMT589828:OMT589831 OWP589828:OWP589831 PGL589828:PGL589831 PQH589828:PQH589831 QAD589828:QAD589831 QJZ589828:QJZ589831 QTV589828:QTV589831 RDR589828:RDR589831 RNN589828:RNN589831 RXJ589828:RXJ589831 SHF589828:SHF589831 SRB589828:SRB589831 TAX589828:TAX589831 TKT589828:TKT589831 TUP589828:TUP589831 UEL589828:UEL589831 UOH589828:UOH589831 UYD589828:UYD589831 VHZ589828:VHZ589831 VRV589828:VRV589831 WBR589828:WBR589831 WLN589828:WLN589831 WVJ589828:WVJ589831 B655364:B655367 IX655364:IX655367 ST655364:ST655367 ACP655364:ACP655367 AML655364:AML655367 AWH655364:AWH655367 BGD655364:BGD655367 BPZ655364:BPZ655367 BZV655364:BZV655367 CJR655364:CJR655367 CTN655364:CTN655367 DDJ655364:DDJ655367 DNF655364:DNF655367 DXB655364:DXB655367 EGX655364:EGX655367 EQT655364:EQT655367 FAP655364:FAP655367 FKL655364:FKL655367 FUH655364:FUH655367 GED655364:GED655367 GNZ655364:GNZ655367 GXV655364:GXV655367 HHR655364:HHR655367 HRN655364:HRN655367 IBJ655364:IBJ655367 ILF655364:ILF655367 IVB655364:IVB655367 JEX655364:JEX655367 JOT655364:JOT655367 JYP655364:JYP655367 KIL655364:KIL655367 KSH655364:KSH655367 LCD655364:LCD655367 LLZ655364:LLZ655367 LVV655364:LVV655367 MFR655364:MFR655367 MPN655364:MPN655367 MZJ655364:MZJ655367 NJF655364:NJF655367 NTB655364:NTB655367 OCX655364:OCX655367 OMT655364:OMT655367 OWP655364:OWP655367 PGL655364:PGL655367 PQH655364:PQH655367 QAD655364:QAD655367 QJZ655364:QJZ655367 QTV655364:QTV655367 RDR655364:RDR655367 RNN655364:RNN655367 RXJ655364:RXJ655367 SHF655364:SHF655367 SRB655364:SRB655367 TAX655364:TAX655367 TKT655364:TKT655367 TUP655364:TUP655367 UEL655364:UEL655367 UOH655364:UOH655367 UYD655364:UYD655367 VHZ655364:VHZ655367 VRV655364:VRV655367 WBR655364:WBR655367 WLN655364:WLN655367 WVJ655364:WVJ655367 B720900:B720903 IX720900:IX720903 ST720900:ST720903 ACP720900:ACP720903 AML720900:AML720903 AWH720900:AWH720903 BGD720900:BGD720903 BPZ720900:BPZ720903 BZV720900:BZV720903 CJR720900:CJR720903 CTN720900:CTN720903 DDJ720900:DDJ720903 DNF720900:DNF720903 DXB720900:DXB720903 EGX720900:EGX720903 EQT720900:EQT720903 FAP720900:FAP720903 FKL720900:FKL720903 FUH720900:FUH720903 GED720900:GED720903 GNZ720900:GNZ720903 GXV720900:GXV720903 HHR720900:HHR720903 HRN720900:HRN720903 IBJ720900:IBJ720903 ILF720900:ILF720903 IVB720900:IVB720903 JEX720900:JEX720903 JOT720900:JOT720903 JYP720900:JYP720903 KIL720900:KIL720903 KSH720900:KSH720903 LCD720900:LCD720903 LLZ720900:LLZ720903 LVV720900:LVV720903 MFR720900:MFR720903 MPN720900:MPN720903 MZJ720900:MZJ720903 NJF720900:NJF720903 NTB720900:NTB720903 OCX720900:OCX720903 OMT720900:OMT720903 OWP720900:OWP720903 PGL720900:PGL720903 PQH720900:PQH720903 QAD720900:QAD720903 QJZ720900:QJZ720903 QTV720900:QTV720903 RDR720900:RDR720903 RNN720900:RNN720903 RXJ720900:RXJ720903 SHF720900:SHF720903 SRB720900:SRB720903 TAX720900:TAX720903 TKT720900:TKT720903 TUP720900:TUP720903 UEL720900:UEL720903 UOH720900:UOH720903 UYD720900:UYD720903 VHZ720900:VHZ720903 VRV720900:VRV720903 WBR720900:WBR720903 WLN720900:WLN720903 WVJ720900:WVJ720903 B786436:B786439 IX786436:IX786439 ST786436:ST786439 ACP786436:ACP786439 AML786436:AML786439 AWH786436:AWH786439 BGD786436:BGD786439 BPZ786436:BPZ786439 BZV786436:BZV786439 CJR786436:CJR786439 CTN786436:CTN786439 DDJ786436:DDJ786439 DNF786436:DNF786439 DXB786436:DXB786439 EGX786436:EGX786439 EQT786436:EQT786439 FAP786436:FAP786439 FKL786436:FKL786439 FUH786436:FUH786439 GED786436:GED786439 GNZ786436:GNZ786439 GXV786436:GXV786439 HHR786436:HHR786439 HRN786436:HRN786439 IBJ786436:IBJ786439 ILF786436:ILF786439 IVB786436:IVB786439 JEX786436:JEX786439 JOT786436:JOT786439 JYP786436:JYP786439 KIL786436:KIL786439 KSH786436:KSH786439 LCD786436:LCD786439 LLZ786436:LLZ786439 LVV786436:LVV786439 MFR786436:MFR786439 MPN786436:MPN786439 MZJ786436:MZJ786439 NJF786436:NJF786439 NTB786436:NTB786439 OCX786436:OCX786439 OMT786436:OMT786439 OWP786436:OWP786439 PGL786436:PGL786439 PQH786436:PQH786439 QAD786436:QAD786439 QJZ786436:QJZ786439 QTV786436:QTV786439 RDR786436:RDR786439 RNN786436:RNN786439 RXJ786436:RXJ786439 SHF786436:SHF786439 SRB786436:SRB786439 TAX786436:TAX786439 TKT786436:TKT786439 TUP786436:TUP786439 UEL786436:UEL786439 UOH786436:UOH786439 UYD786436:UYD786439 VHZ786436:VHZ786439 VRV786436:VRV786439 WBR786436:WBR786439 WLN786436:WLN786439 WVJ786436:WVJ786439 B851972:B851975 IX851972:IX851975 ST851972:ST851975 ACP851972:ACP851975 AML851972:AML851975 AWH851972:AWH851975 BGD851972:BGD851975 BPZ851972:BPZ851975 BZV851972:BZV851975 CJR851972:CJR851975 CTN851972:CTN851975 DDJ851972:DDJ851975 DNF851972:DNF851975 DXB851972:DXB851975 EGX851972:EGX851975 EQT851972:EQT851975 FAP851972:FAP851975 FKL851972:FKL851975 FUH851972:FUH851975 GED851972:GED851975 GNZ851972:GNZ851975 GXV851972:GXV851975 HHR851972:HHR851975 HRN851972:HRN851975 IBJ851972:IBJ851975 ILF851972:ILF851975 IVB851972:IVB851975 JEX851972:JEX851975 JOT851972:JOT851975 JYP851972:JYP851975 KIL851972:KIL851975 KSH851972:KSH851975 LCD851972:LCD851975 LLZ851972:LLZ851975 LVV851972:LVV851975 MFR851972:MFR851975 MPN851972:MPN851975 MZJ851972:MZJ851975 NJF851972:NJF851975 NTB851972:NTB851975 OCX851972:OCX851975 OMT851972:OMT851975 OWP851972:OWP851975 PGL851972:PGL851975 PQH851972:PQH851975 QAD851972:QAD851975 QJZ851972:QJZ851975 QTV851972:QTV851975 RDR851972:RDR851975 RNN851972:RNN851975 RXJ851972:RXJ851975 SHF851972:SHF851975 SRB851972:SRB851975 TAX851972:TAX851975 TKT851972:TKT851975 TUP851972:TUP851975 UEL851972:UEL851975 UOH851972:UOH851975 UYD851972:UYD851975 VHZ851972:VHZ851975 VRV851972:VRV851975 WBR851972:WBR851975 WLN851972:WLN851975 WVJ851972:WVJ851975 B917508:B917511 IX917508:IX917511 ST917508:ST917511 ACP917508:ACP917511 AML917508:AML917511 AWH917508:AWH917511 BGD917508:BGD917511 BPZ917508:BPZ917511 BZV917508:BZV917511 CJR917508:CJR917511 CTN917508:CTN917511 DDJ917508:DDJ917511 DNF917508:DNF917511 DXB917508:DXB917511 EGX917508:EGX917511 EQT917508:EQT917511 FAP917508:FAP917511 FKL917508:FKL917511 FUH917508:FUH917511 GED917508:GED917511 GNZ917508:GNZ917511 GXV917508:GXV917511 HHR917508:HHR917511 HRN917508:HRN917511 IBJ917508:IBJ917511 ILF917508:ILF917511 IVB917508:IVB917511 JEX917508:JEX917511 JOT917508:JOT917511 JYP917508:JYP917511 KIL917508:KIL917511 KSH917508:KSH917511 LCD917508:LCD917511 LLZ917508:LLZ917511 LVV917508:LVV917511 MFR917508:MFR917511 MPN917508:MPN917511 MZJ917508:MZJ917511 NJF917508:NJF917511 NTB917508:NTB917511 OCX917508:OCX917511 OMT917508:OMT917511 OWP917508:OWP917511 PGL917508:PGL917511 PQH917508:PQH917511 QAD917508:QAD917511 QJZ917508:QJZ917511 QTV917508:QTV917511 RDR917508:RDR917511 RNN917508:RNN917511 RXJ917508:RXJ917511 SHF917508:SHF917511 SRB917508:SRB917511 TAX917508:TAX917511 TKT917508:TKT917511 TUP917508:TUP917511 UEL917508:UEL917511 UOH917508:UOH917511 UYD917508:UYD917511 VHZ917508:VHZ917511 VRV917508:VRV917511 WBR917508:WBR917511 WLN917508:WLN917511 WVJ917508:WVJ917511 B983044:B983047 IX983044:IX983047 ST983044:ST983047 ACP983044:ACP983047 AML983044:AML983047 AWH983044:AWH983047 BGD983044:BGD983047 BPZ983044:BPZ983047 BZV983044:BZV983047 CJR983044:CJR983047 CTN983044:CTN983047 DDJ983044:DDJ983047 DNF983044:DNF983047 DXB983044:DXB983047 EGX983044:EGX983047 EQT983044:EQT983047 FAP983044:FAP983047 FKL983044:FKL983047 FUH983044:FUH983047 GED983044:GED983047 GNZ983044:GNZ983047 GXV983044:GXV983047 HHR983044:HHR983047 HRN983044:HRN983047 IBJ983044:IBJ983047 ILF983044:ILF983047 IVB983044:IVB983047 JEX983044:JEX983047 JOT983044:JOT983047 JYP983044:JYP983047 KIL983044:KIL983047 KSH983044:KSH983047 LCD983044:LCD983047 LLZ983044:LLZ983047 LVV983044:LVV983047 MFR983044:MFR983047 MPN983044:MPN983047 MZJ983044:MZJ983047 NJF983044:NJF983047 NTB983044:NTB983047 OCX983044:OCX983047 OMT983044:OMT983047 OWP983044:OWP983047 PGL983044:PGL983047 PQH983044:PQH983047 QAD983044:QAD983047 QJZ983044:QJZ983047 QTV983044:QTV983047 RDR983044:RDR983047 RNN983044:RNN983047 RXJ983044:RXJ983047 SHF983044:SHF983047 SRB983044:SRB983047 TAX983044:TAX983047 TKT983044:TKT983047 TUP983044:TUP983047 UEL983044:UEL983047 UOH983044:UOH983047 UYD983044:UYD983047 VHZ983044:VHZ983047 VRV983044:VRV983047 WBR983044:WBR983047 WLN983044:WLN983047 WVJ983044:WVJ983047">
      <formula1>$E$317:$E$322</formula1>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Hoja46"/>
  <dimension ref="A1:W74"/>
  <sheetViews>
    <sheetView showGridLines="0" showRowColHeaders="0" workbookViewId="0"/>
  </sheetViews>
  <sheetFormatPr baseColWidth="10" defaultRowHeight="14.5"/>
  <cols>
    <col min="1" max="1" width="1.26953125" bestFit="1" customWidth="1"/>
    <col min="2" max="2" width="27" customWidth="1"/>
    <col min="3" max="3" width="24.1796875" customWidth="1"/>
    <col min="4" max="4" width="20.81640625" customWidth="1"/>
    <col min="7" max="7" width="8.81640625" customWidth="1"/>
    <col min="8" max="8" width="8.54296875" bestFit="1" customWidth="1"/>
    <col min="9" max="12" width="19.26953125" customWidth="1"/>
    <col min="13" max="15" width="19.1796875" customWidth="1"/>
  </cols>
  <sheetData>
    <row r="1" spans="1:23">
      <c r="A1" s="3394"/>
      <c r="B1" s="5" t="s">
        <v>2133</v>
      </c>
      <c r="C1" s="3395" t="str">
        <f>'RC'!D7</f>
        <v/>
      </c>
      <c r="D1" s="5"/>
      <c r="E1" s="5"/>
      <c r="F1" s="5"/>
      <c r="G1" s="5"/>
      <c r="H1" s="5"/>
      <c r="I1" s="5"/>
      <c r="J1" s="5"/>
      <c r="K1" s="5"/>
      <c r="L1" s="5"/>
      <c r="M1" s="5"/>
      <c r="N1" s="5"/>
      <c r="O1" s="5"/>
      <c r="P1" s="5"/>
      <c r="Q1" s="5"/>
      <c r="R1" s="5"/>
      <c r="S1" s="5"/>
      <c r="T1" s="5"/>
      <c r="U1" s="5"/>
      <c r="V1" s="5"/>
      <c r="W1" s="5"/>
    </row>
    <row r="2" spans="1:23">
      <c r="A2" s="3394"/>
      <c r="B2" s="5" t="s">
        <v>207</v>
      </c>
      <c r="C2" s="3396">
        <f>'RC'!D6</f>
        <v>0</v>
      </c>
      <c r="D2" s="5"/>
      <c r="E2" s="5"/>
      <c r="F2" s="5"/>
      <c r="G2" s="5"/>
      <c r="H2" s="5"/>
      <c r="I2" s="5"/>
      <c r="J2" s="5"/>
      <c r="K2" s="5"/>
      <c r="L2" s="5"/>
      <c r="M2" s="5"/>
      <c r="N2" s="5"/>
      <c r="O2" s="5"/>
      <c r="P2" s="5"/>
      <c r="Q2" s="5"/>
      <c r="R2" s="5"/>
      <c r="S2" s="5"/>
      <c r="T2" s="5"/>
      <c r="U2" s="5"/>
      <c r="V2" s="5"/>
      <c r="W2" s="5"/>
    </row>
    <row r="3" spans="1:23">
      <c r="A3" s="3394"/>
      <c r="B3" s="5" t="s">
        <v>2134</v>
      </c>
      <c r="C3" s="12"/>
      <c r="D3" s="5"/>
      <c r="E3" s="5"/>
      <c r="F3" s="5"/>
      <c r="G3" s="5"/>
      <c r="H3" s="5"/>
      <c r="I3" s="5"/>
      <c r="J3" s="5"/>
      <c r="K3" s="5"/>
      <c r="L3" s="5"/>
      <c r="M3" s="5"/>
      <c r="N3" s="5"/>
      <c r="O3" s="5"/>
      <c r="P3" s="5"/>
      <c r="Q3" s="5"/>
      <c r="R3" s="5"/>
      <c r="S3" s="5"/>
      <c r="T3" s="5"/>
      <c r="U3" s="5"/>
      <c r="V3" s="5"/>
      <c r="W3" s="5"/>
    </row>
    <row r="4" spans="1:23">
      <c r="A4" s="3394"/>
      <c r="B4" s="5"/>
      <c r="C4" s="5"/>
      <c r="D4" s="5"/>
      <c r="E4" s="5"/>
      <c r="F4" s="5"/>
      <c r="G4" s="5"/>
      <c r="H4" s="5"/>
      <c r="I4" s="5"/>
      <c r="J4" s="5"/>
      <c r="K4" s="5"/>
      <c r="L4" s="5"/>
      <c r="M4" s="5"/>
      <c r="N4" s="5"/>
      <c r="O4" s="5"/>
      <c r="P4" s="5"/>
      <c r="Q4" s="5"/>
      <c r="R4" s="5"/>
      <c r="S4" s="5"/>
      <c r="T4" s="5"/>
      <c r="U4" s="5"/>
      <c r="V4" s="5"/>
      <c r="W4" s="5"/>
    </row>
    <row r="5" spans="1:23">
      <c r="A5" s="3394"/>
      <c r="B5" s="5"/>
      <c r="C5" s="5"/>
      <c r="D5" s="5"/>
      <c r="E5" s="5"/>
      <c r="F5" s="5"/>
      <c r="G5" s="5"/>
      <c r="H5" s="5"/>
      <c r="I5" s="5"/>
      <c r="J5" s="5"/>
      <c r="K5" s="5"/>
      <c r="L5" s="5"/>
      <c r="M5" s="5"/>
      <c r="N5" s="5"/>
      <c r="O5" s="5"/>
      <c r="P5" s="5"/>
      <c r="Q5" s="5"/>
      <c r="R5" s="5"/>
      <c r="S5" s="5"/>
      <c r="T5" s="5"/>
      <c r="U5" s="5"/>
      <c r="V5" s="5"/>
      <c r="W5" s="5"/>
    </row>
    <row r="6" spans="1:23" ht="39">
      <c r="A6" s="3394"/>
      <c r="B6" s="3397" t="s">
        <v>2135</v>
      </c>
      <c r="C6" s="3397" t="s">
        <v>2136</v>
      </c>
      <c r="D6" s="3397" t="s">
        <v>110</v>
      </c>
      <c r="E6" s="3397" t="s">
        <v>2137</v>
      </c>
      <c r="F6" s="3397" t="s">
        <v>2138</v>
      </c>
      <c r="G6" s="3397" t="s">
        <v>2139</v>
      </c>
      <c r="H6" s="3397" t="s">
        <v>2140</v>
      </c>
      <c r="I6" s="3397" t="s">
        <v>2141</v>
      </c>
      <c r="J6" s="3397" t="s">
        <v>2142</v>
      </c>
      <c r="K6" s="3397" t="s">
        <v>2143</v>
      </c>
      <c r="L6" s="3397" t="s">
        <v>25</v>
      </c>
      <c r="M6" s="3397" t="s">
        <v>2144</v>
      </c>
      <c r="N6" s="3397" t="s">
        <v>2145</v>
      </c>
      <c r="O6" s="3397" t="s">
        <v>2146</v>
      </c>
      <c r="P6" s="3397" t="s">
        <v>2147</v>
      </c>
      <c r="Q6" s="3397" t="s">
        <v>2148</v>
      </c>
      <c r="R6" s="3397" t="s">
        <v>2149</v>
      </c>
      <c r="S6" s="3397" t="s">
        <v>2150</v>
      </c>
      <c r="T6" s="3397" t="s">
        <v>532</v>
      </c>
      <c r="U6" s="3397" t="s">
        <v>2151</v>
      </c>
      <c r="V6" s="3397" t="s">
        <v>2152</v>
      </c>
      <c r="W6" s="3397" t="s">
        <v>2153</v>
      </c>
    </row>
    <row r="7" spans="1:23">
      <c r="A7" s="3394"/>
      <c r="B7" s="3398"/>
      <c r="C7" s="3399"/>
      <c r="D7" s="3398"/>
      <c r="E7" s="3399"/>
      <c r="F7" s="3399"/>
      <c r="G7" s="3400"/>
      <c r="H7" s="3400"/>
      <c r="I7" s="3401"/>
      <c r="J7" s="3401"/>
      <c r="K7" s="3401"/>
      <c r="L7" s="3401"/>
      <c r="M7" s="3401"/>
      <c r="N7" s="3401"/>
      <c r="O7" s="3401"/>
      <c r="P7" s="3402"/>
      <c r="Q7" s="3403"/>
      <c r="R7" s="3403"/>
      <c r="S7" s="3404"/>
      <c r="T7" s="3403"/>
      <c r="U7" s="3404"/>
      <c r="V7" s="3404"/>
      <c r="W7" s="3404"/>
    </row>
    <row r="8" spans="1:23">
      <c r="A8" s="3394"/>
      <c r="B8" s="3398"/>
      <c r="C8" s="3399"/>
      <c r="D8" s="3398"/>
      <c r="E8" s="3399"/>
      <c r="F8" s="3399"/>
      <c r="G8" s="3400"/>
      <c r="H8" s="3400"/>
      <c r="I8" s="3401"/>
      <c r="J8" s="3401"/>
      <c r="K8" s="3401"/>
      <c r="L8" s="3401"/>
      <c r="M8" s="3401"/>
      <c r="N8" s="3401"/>
      <c r="O8" s="3401"/>
      <c r="P8" s="3402"/>
      <c r="Q8" s="3403"/>
      <c r="R8" s="3403"/>
      <c r="S8" s="3404"/>
      <c r="T8" s="3403"/>
      <c r="U8" s="3404"/>
      <c r="V8" s="3404"/>
      <c r="W8" s="3404"/>
    </row>
    <row r="9" spans="1:23">
      <c r="A9" s="3394"/>
      <c r="B9" s="3398"/>
      <c r="C9" s="3399"/>
      <c r="D9" s="3398"/>
      <c r="E9" s="3399"/>
      <c r="F9" s="3399"/>
      <c r="G9" s="3400"/>
      <c r="H9" s="3400"/>
      <c r="I9" s="3401"/>
      <c r="J9" s="3401"/>
      <c r="K9" s="3401"/>
      <c r="L9" s="3401"/>
      <c r="M9" s="3401"/>
      <c r="N9" s="3401"/>
      <c r="O9" s="3401"/>
      <c r="P9" s="3402"/>
      <c r="Q9" s="3403"/>
      <c r="R9" s="3403"/>
      <c r="S9" s="3404"/>
      <c r="T9" s="3403"/>
      <c r="U9" s="3404"/>
      <c r="V9" s="3404"/>
      <c r="W9" s="3404"/>
    </row>
    <row r="10" spans="1:23">
      <c r="A10" s="3394"/>
      <c r="B10" s="3398"/>
      <c r="C10" s="3399"/>
      <c r="D10" s="3398"/>
      <c r="E10" s="3399"/>
      <c r="F10" s="3399"/>
      <c r="G10" s="3400"/>
      <c r="H10" s="3400"/>
      <c r="I10" s="3401"/>
      <c r="J10" s="3401"/>
      <c r="K10" s="3401"/>
      <c r="L10" s="3401"/>
      <c r="M10" s="3401"/>
      <c r="N10" s="3401"/>
      <c r="O10" s="3401"/>
      <c r="P10" s="3402"/>
      <c r="Q10" s="3403"/>
      <c r="R10" s="3403"/>
      <c r="S10" s="3404"/>
      <c r="T10" s="3403"/>
      <c r="U10" s="3404"/>
      <c r="V10" s="3404"/>
      <c r="W10" s="3404"/>
    </row>
    <row r="11" spans="1:23">
      <c r="A11" s="3394"/>
      <c r="B11" s="3398"/>
      <c r="C11" s="3399"/>
      <c r="D11" s="3398"/>
      <c r="E11" s="3399"/>
      <c r="F11" s="3399"/>
      <c r="G11" s="3400"/>
      <c r="H11" s="3400"/>
      <c r="I11" s="3401"/>
      <c r="J11" s="3401"/>
      <c r="K11" s="3401"/>
      <c r="L11" s="3401"/>
      <c r="M11" s="3401"/>
      <c r="N11" s="3401"/>
      <c r="O11" s="3401"/>
      <c r="P11" s="3402"/>
      <c r="Q11" s="3403"/>
      <c r="R11" s="3403"/>
      <c r="S11" s="3404"/>
      <c r="T11" s="3403"/>
      <c r="U11" s="3404"/>
      <c r="V11" s="3404"/>
      <c r="W11" s="3404"/>
    </row>
    <row r="12" spans="1:23">
      <c r="A12" s="3394"/>
      <c r="B12" s="3398"/>
      <c r="C12" s="3399"/>
      <c r="D12" s="3398"/>
      <c r="E12" s="3399"/>
      <c r="F12" s="3399"/>
      <c r="G12" s="3400"/>
      <c r="H12" s="3400"/>
      <c r="I12" s="3401"/>
      <c r="J12" s="3401"/>
      <c r="K12" s="3401"/>
      <c r="L12" s="3401"/>
      <c r="M12" s="3401"/>
      <c r="N12" s="3401"/>
      <c r="O12" s="3401"/>
      <c r="P12" s="3402"/>
      <c r="Q12" s="3403"/>
      <c r="R12" s="3403"/>
      <c r="S12" s="3404"/>
      <c r="T12" s="3403"/>
      <c r="U12" s="3404"/>
      <c r="V12" s="3404"/>
      <c r="W12" s="3404"/>
    </row>
    <row r="13" spans="1:23">
      <c r="A13" s="3394"/>
      <c r="B13" s="3398"/>
      <c r="C13" s="3399"/>
      <c r="D13" s="3398"/>
      <c r="E13" s="3399"/>
      <c r="F13" s="3399"/>
      <c r="G13" s="3400"/>
      <c r="H13" s="3400"/>
      <c r="I13" s="3401"/>
      <c r="J13" s="3401"/>
      <c r="K13" s="3401"/>
      <c r="L13" s="3401"/>
      <c r="M13" s="3401"/>
      <c r="N13" s="3401"/>
      <c r="O13" s="3401"/>
      <c r="P13" s="3402"/>
      <c r="Q13" s="3403"/>
      <c r="R13" s="3403"/>
      <c r="S13" s="3404"/>
      <c r="T13" s="3403"/>
      <c r="U13" s="3404"/>
      <c r="V13" s="3404"/>
      <c r="W13" s="3404"/>
    </row>
    <row r="14" spans="1:23">
      <c r="A14" s="3394"/>
      <c r="B14" s="3398"/>
      <c r="C14" s="3399"/>
      <c r="D14" s="3398"/>
      <c r="E14" s="3399"/>
      <c r="F14" s="3399"/>
      <c r="G14" s="3400"/>
      <c r="H14" s="3400"/>
      <c r="I14" s="3401"/>
      <c r="J14" s="3401"/>
      <c r="K14" s="3401"/>
      <c r="L14" s="3401"/>
      <c r="M14" s="3401"/>
      <c r="N14" s="3401"/>
      <c r="O14" s="3401"/>
      <c r="P14" s="3402"/>
      <c r="Q14" s="3403"/>
      <c r="R14" s="3403"/>
      <c r="S14" s="3404"/>
      <c r="T14" s="3403"/>
      <c r="U14" s="3404"/>
      <c r="V14" s="3404"/>
      <c r="W14" s="3404"/>
    </row>
    <row r="15" spans="1:23">
      <c r="A15" s="3394"/>
      <c r="B15" s="3398"/>
      <c r="C15" s="3399"/>
      <c r="D15" s="3398"/>
      <c r="E15" s="3399"/>
      <c r="F15" s="3399"/>
      <c r="G15" s="3400"/>
      <c r="H15" s="3400"/>
      <c r="I15" s="3401"/>
      <c r="J15" s="3401"/>
      <c r="K15" s="3401"/>
      <c r="L15" s="3401"/>
      <c r="M15" s="3401"/>
      <c r="N15" s="3401"/>
      <c r="O15" s="3401"/>
      <c r="P15" s="3402"/>
      <c r="Q15" s="3403"/>
      <c r="R15" s="3403"/>
      <c r="S15" s="3404"/>
      <c r="T15" s="3403"/>
      <c r="U15" s="3404"/>
      <c r="V15" s="3404"/>
      <c r="W15" s="3404"/>
    </row>
    <row r="16" spans="1:23">
      <c r="A16" s="3394"/>
      <c r="B16" s="3398"/>
      <c r="C16" s="3399"/>
      <c r="D16" s="3398"/>
      <c r="E16" s="3399"/>
      <c r="F16" s="3399"/>
      <c r="G16" s="3400"/>
      <c r="H16" s="3400"/>
      <c r="I16" s="3401"/>
      <c r="J16" s="3401"/>
      <c r="K16" s="3401"/>
      <c r="L16" s="3401"/>
      <c r="M16" s="3401"/>
      <c r="N16" s="3401"/>
      <c r="O16" s="3401"/>
      <c r="P16" s="3402"/>
      <c r="Q16" s="3403"/>
      <c r="R16" s="3403"/>
      <c r="S16" s="3404"/>
      <c r="T16" s="3403"/>
      <c r="U16" s="3404"/>
      <c r="V16" s="3404"/>
      <c r="W16" s="3404"/>
    </row>
    <row r="17" spans="1:23">
      <c r="A17" s="3394"/>
      <c r="B17" s="3398"/>
      <c r="C17" s="3399"/>
      <c r="D17" s="3398"/>
      <c r="E17" s="3399"/>
      <c r="F17" s="3399"/>
      <c r="G17" s="3400"/>
      <c r="H17" s="3400"/>
      <c r="I17" s="3401"/>
      <c r="J17" s="3401"/>
      <c r="K17" s="3401"/>
      <c r="L17" s="3401"/>
      <c r="M17" s="3401"/>
      <c r="N17" s="3401"/>
      <c r="O17" s="3401"/>
      <c r="P17" s="3402"/>
      <c r="Q17" s="3403"/>
      <c r="R17" s="3403"/>
      <c r="S17" s="3404"/>
      <c r="T17" s="3403"/>
      <c r="U17" s="3404"/>
      <c r="V17" s="3404"/>
      <c r="W17" s="3404"/>
    </row>
    <row r="18" spans="1:23">
      <c r="A18" s="3394"/>
      <c r="B18" s="3398"/>
      <c r="C18" s="3399"/>
      <c r="D18" s="3398"/>
      <c r="E18" s="3399"/>
      <c r="F18" s="3399"/>
      <c r="G18" s="3400"/>
      <c r="H18" s="3400"/>
      <c r="I18" s="3401"/>
      <c r="J18" s="3401"/>
      <c r="K18" s="3401"/>
      <c r="L18" s="3401"/>
      <c r="M18" s="3401"/>
      <c r="N18" s="3401"/>
      <c r="O18" s="3401"/>
      <c r="P18" s="3402"/>
      <c r="Q18" s="3403"/>
      <c r="R18" s="3403"/>
      <c r="S18" s="3404"/>
      <c r="T18" s="3403"/>
      <c r="U18" s="3404"/>
      <c r="V18" s="3404"/>
      <c r="W18" s="3404"/>
    </row>
    <row r="19" spans="1:23">
      <c r="A19" s="3394"/>
      <c r="B19" s="3398"/>
      <c r="C19" s="3399"/>
      <c r="D19" s="3398"/>
      <c r="E19" s="3399"/>
      <c r="F19" s="3399"/>
      <c r="G19" s="3400"/>
      <c r="H19" s="3400"/>
      <c r="I19" s="3401"/>
      <c r="J19" s="3401"/>
      <c r="K19" s="3401"/>
      <c r="L19" s="3401"/>
      <c r="M19" s="3401"/>
      <c r="N19" s="3401"/>
      <c r="O19" s="3401"/>
      <c r="P19" s="3402"/>
      <c r="Q19" s="3403"/>
      <c r="R19" s="3403"/>
      <c r="S19" s="3404"/>
      <c r="T19" s="3403"/>
      <c r="U19" s="3404"/>
      <c r="V19" s="3404"/>
      <c r="W19" s="3404"/>
    </row>
    <row r="20" spans="1:23">
      <c r="A20" s="3394"/>
      <c r="B20" s="3398"/>
      <c r="C20" s="3399"/>
      <c r="D20" s="3398"/>
      <c r="E20" s="3399"/>
      <c r="F20" s="3399"/>
      <c r="G20" s="3400"/>
      <c r="H20" s="3400"/>
      <c r="I20" s="3401"/>
      <c r="J20" s="3401"/>
      <c r="K20" s="3401"/>
      <c r="L20" s="3401"/>
      <c r="M20" s="3401"/>
      <c r="N20" s="3401"/>
      <c r="O20" s="3401"/>
      <c r="P20" s="3402"/>
      <c r="Q20" s="3403"/>
      <c r="R20" s="3403"/>
      <c r="S20" s="3404"/>
      <c r="T20" s="3403"/>
      <c r="U20" s="3404"/>
      <c r="V20" s="3404"/>
      <c r="W20" s="3404"/>
    </row>
    <row r="21" spans="1:23">
      <c r="A21" s="3394"/>
      <c r="B21" s="3398"/>
      <c r="C21" s="3399"/>
      <c r="D21" s="3398"/>
      <c r="E21" s="3399"/>
      <c r="F21" s="3399"/>
      <c r="G21" s="3400"/>
      <c r="H21" s="3400"/>
      <c r="I21" s="3401"/>
      <c r="J21" s="3401"/>
      <c r="K21" s="3401"/>
      <c r="L21" s="3401"/>
      <c r="M21" s="3401"/>
      <c r="N21" s="3401"/>
      <c r="O21" s="3401"/>
      <c r="P21" s="3402"/>
      <c r="Q21" s="3403"/>
      <c r="R21" s="3403"/>
      <c r="S21" s="3404"/>
      <c r="T21" s="3403"/>
      <c r="U21" s="3404"/>
      <c r="V21" s="3404"/>
      <c r="W21" s="3404"/>
    </row>
    <row r="22" spans="1:23">
      <c r="A22" s="3394"/>
      <c r="B22" s="3398"/>
      <c r="C22" s="3399"/>
      <c r="D22" s="3398"/>
      <c r="E22" s="3399"/>
      <c r="F22" s="3399"/>
      <c r="G22" s="3400"/>
      <c r="H22" s="3400"/>
      <c r="I22" s="3401"/>
      <c r="J22" s="3401"/>
      <c r="K22" s="3401"/>
      <c r="L22" s="3401"/>
      <c r="M22" s="3401"/>
      <c r="N22" s="3401"/>
      <c r="O22" s="3401"/>
      <c r="P22" s="3402"/>
      <c r="Q22" s="3403"/>
      <c r="R22" s="3403"/>
      <c r="S22" s="3404"/>
      <c r="T22" s="3403"/>
      <c r="U22" s="3404"/>
      <c r="V22" s="3404"/>
      <c r="W22" s="3404"/>
    </row>
    <row r="23" spans="1:23">
      <c r="A23" s="3394"/>
      <c r="B23" s="3398"/>
      <c r="C23" s="3399"/>
      <c r="D23" s="3398"/>
      <c r="E23" s="3399"/>
      <c r="F23" s="3399"/>
      <c r="G23" s="3400"/>
      <c r="H23" s="3400"/>
      <c r="I23" s="3401"/>
      <c r="J23" s="3401"/>
      <c r="K23" s="3401"/>
      <c r="L23" s="3401"/>
      <c r="M23" s="3401"/>
      <c r="N23" s="3401"/>
      <c r="O23" s="3401"/>
      <c r="P23" s="3402"/>
      <c r="Q23" s="3403"/>
      <c r="R23" s="3403"/>
      <c r="S23" s="3404"/>
      <c r="T23" s="3403"/>
      <c r="U23" s="3404"/>
      <c r="V23" s="3404"/>
      <c r="W23" s="3404"/>
    </row>
    <row r="24" spans="1:23">
      <c r="A24" s="3394"/>
      <c r="B24" s="3398"/>
      <c r="C24" s="3399"/>
      <c r="D24" s="3398"/>
      <c r="E24" s="3399"/>
      <c r="F24" s="3399"/>
      <c r="G24" s="3400"/>
      <c r="H24" s="3400"/>
      <c r="I24" s="3401"/>
      <c r="J24" s="3401"/>
      <c r="K24" s="3401"/>
      <c r="L24" s="3401"/>
      <c r="M24" s="3401"/>
      <c r="N24" s="3401"/>
      <c r="O24" s="3401"/>
      <c r="P24" s="3402"/>
      <c r="Q24" s="3403"/>
      <c r="R24" s="3403"/>
      <c r="S24" s="3404"/>
      <c r="T24" s="3403"/>
      <c r="U24" s="3404"/>
      <c r="V24" s="3404"/>
      <c r="W24" s="3404"/>
    </row>
    <row r="25" spans="1:23">
      <c r="A25" s="3394"/>
      <c r="B25" s="3398"/>
      <c r="C25" s="3399"/>
      <c r="D25" s="3398"/>
      <c r="E25" s="3399"/>
      <c r="F25" s="3399"/>
      <c r="G25" s="3400"/>
      <c r="H25" s="3400"/>
      <c r="I25" s="3401"/>
      <c r="J25" s="3401"/>
      <c r="K25" s="3401"/>
      <c r="L25" s="3401"/>
      <c r="M25" s="3401"/>
      <c r="N25" s="3401"/>
      <c r="O25" s="3401"/>
      <c r="P25" s="3402"/>
      <c r="Q25" s="3403"/>
      <c r="R25" s="3403"/>
      <c r="S25" s="3404"/>
      <c r="T25" s="3403"/>
      <c r="U25" s="3404"/>
      <c r="V25" s="3404"/>
      <c r="W25" s="3404"/>
    </row>
    <row r="26" spans="1:23">
      <c r="A26" s="3394"/>
      <c r="B26" s="3398"/>
      <c r="C26" s="3399"/>
      <c r="D26" s="3398"/>
      <c r="E26" s="3399"/>
      <c r="F26" s="3399"/>
      <c r="G26" s="3400"/>
      <c r="H26" s="3400"/>
      <c r="I26" s="3401"/>
      <c r="J26" s="3401"/>
      <c r="K26" s="3401"/>
      <c r="L26" s="3401"/>
      <c r="M26" s="3401"/>
      <c r="N26" s="3401"/>
      <c r="O26" s="3401"/>
      <c r="P26" s="3402"/>
      <c r="Q26" s="3403"/>
      <c r="R26" s="3403"/>
      <c r="S26" s="3404"/>
      <c r="T26" s="3403"/>
      <c r="U26" s="3404"/>
      <c r="V26" s="3404"/>
      <c r="W26" s="3404"/>
    </row>
    <row r="27" spans="1:23">
      <c r="A27" s="3394"/>
      <c r="B27" s="3398"/>
      <c r="C27" s="3399"/>
      <c r="D27" s="3398"/>
      <c r="E27" s="3399"/>
      <c r="F27" s="3399"/>
      <c r="G27" s="3400"/>
      <c r="H27" s="3400"/>
      <c r="I27" s="3401"/>
      <c r="J27" s="3401"/>
      <c r="K27" s="3401"/>
      <c r="L27" s="3401"/>
      <c r="M27" s="3401"/>
      <c r="N27" s="3401"/>
      <c r="O27" s="3401"/>
      <c r="P27" s="3402"/>
      <c r="Q27" s="3403"/>
      <c r="R27" s="3403"/>
      <c r="S27" s="3404"/>
      <c r="T27" s="3403"/>
      <c r="U27" s="3404"/>
      <c r="V27" s="3404"/>
      <c r="W27" s="3404"/>
    </row>
    <row r="28" spans="1:23">
      <c r="A28" s="3394"/>
      <c r="B28" s="3398"/>
      <c r="C28" s="3399"/>
      <c r="D28" s="3398"/>
      <c r="E28" s="3399"/>
      <c r="F28" s="3399"/>
      <c r="G28" s="3400"/>
      <c r="H28" s="3400"/>
      <c r="I28" s="3401"/>
      <c r="J28" s="3401"/>
      <c r="K28" s="3401"/>
      <c r="L28" s="3401"/>
      <c r="M28" s="3401"/>
      <c r="N28" s="3401"/>
      <c r="O28" s="3401"/>
      <c r="P28" s="3402"/>
      <c r="Q28" s="3403"/>
      <c r="R28" s="3403"/>
      <c r="S28" s="3404"/>
      <c r="T28" s="3403"/>
      <c r="U28" s="3404"/>
      <c r="V28" s="3404"/>
      <c r="W28" s="3404"/>
    </row>
    <row r="29" spans="1:23">
      <c r="A29" s="3394"/>
      <c r="B29" s="3398"/>
      <c r="C29" s="3399"/>
      <c r="D29" s="3398"/>
      <c r="E29" s="3399"/>
      <c r="F29" s="3399"/>
      <c r="G29" s="3400"/>
      <c r="H29" s="3400"/>
      <c r="I29" s="3401"/>
      <c r="J29" s="3401"/>
      <c r="K29" s="3401"/>
      <c r="L29" s="3401"/>
      <c r="M29" s="3401"/>
      <c r="N29" s="3401"/>
      <c r="O29" s="3401"/>
      <c r="P29" s="3402"/>
      <c r="Q29" s="3403"/>
      <c r="R29" s="3403"/>
      <c r="S29" s="3404"/>
      <c r="T29" s="3403"/>
      <c r="U29" s="3404"/>
      <c r="V29" s="3404"/>
      <c r="W29" s="3404"/>
    </row>
    <row r="30" spans="1:23">
      <c r="A30" s="3394"/>
      <c r="B30" s="3398"/>
      <c r="C30" s="3399"/>
      <c r="D30" s="3398"/>
      <c r="E30" s="3399"/>
      <c r="F30" s="3399"/>
      <c r="G30" s="3400"/>
      <c r="H30" s="3400"/>
      <c r="I30" s="3401"/>
      <c r="J30" s="3401"/>
      <c r="K30" s="3401"/>
      <c r="L30" s="3401"/>
      <c r="M30" s="3401"/>
      <c r="N30" s="3401"/>
      <c r="O30" s="3401"/>
      <c r="P30" s="3402"/>
      <c r="Q30" s="3403"/>
      <c r="R30" s="3403"/>
      <c r="S30" s="3404"/>
      <c r="T30" s="3403"/>
      <c r="U30" s="3404"/>
      <c r="V30" s="3404"/>
      <c r="W30" s="3404"/>
    </row>
    <row r="31" spans="1:23">
      <c r="A31" s="3394"/>
      <c r="B31" s="3398"/>
      <c r="C31" s="3399"/>
      <c r="D31" s="3398"/>
      <c r="E31" s="3399"/>
      <c r="F31" s="3399"/>
      <c r="G31" s="3400"/>
      <c r="H31" s="3400"/>
      <c r="I31" s="3401"/>
      <c r="J31" s="3401"/>
      <c r="K31" s="3401"/>
      <c r="L31" s="3401"/>
      <c r="M31" s="3401"/>
      <c r="N31" s="3401"/>
      <c r="O31" s="3401"/>
      <c r="P31" s="3402"/>
      <c r="Q31" s="3403"/>
      <c r="R31" s="3403"/>
      <c r="S31" s="3404"/>
      <c r="T31" s="3403"/>
      <c r="U31" s="3404"/>
      <c r="V31" s="3404"/>
      <c r="W31" s="3404"/>
    </row>
    <row r="32" spans="1:23">
      <c r="A32" s="3394"/>
      <c r="B32" s="3398"/>
      <c r="C32" s="3399"/>
      <c r="D32" s="3398"/>
      <c r="E32" s="3399"/>
      <c r="F32" s="3399"/>
      <c r="G32" s="3400"/>
      <c r="H32" s="3400"/>
      <c r="I32" s="3401"/>
      <c r="J32" s="3401"/>
      <c r="K32" s="3401"/>
      <c r="L32" s="3401"/>
      <c r="M32" s="3401"/>
      <c r="N32" s="3401"/>
      <c r="O32" s="3401"/>
      <c r="P32" s="3402"/>
      <c r="Q32" s="3403"/>
      <c r="R32" s="3403"/>
      <c r="S32" s="3404"/>
      <c r="T32" s="3403"/>
      <c r="U32" s="3404"/>
      <c r="V32" s="3404"/>
      <c r="W32" s="3404"/>
    </row>
    <row r="33" spans="1:23">
      <c r="A33" s="3394"/>
      <c r="B33" s="3398"/>
      <c r="C33" s="3399"/>
      <c r="D33" s="3398"/>
      <c r="E33" s="3399"/>
      <c r="F33" s="3399"/>
      <c r="G33" s="3400"/>
      <c r="H33" s="3400"/>
      <c r="I33" s="3401"/>
      <c r="J33" s="3401"/>
      <c r="K33" s="3401"/>
      <c r="L33" s="3401"/>
      <c r="M33" s="3401"/>
      <c r="N33" s="3401"/>
      <c r="O33" s="3401"/>
      <c r="P33" s="3402"/>
      <c r="Q33" s="3403"/>
      <c r="R33" s="3403"/>
      <c r="S33" s="3404"/>
      <c r="T33" s="3403"/>
      <c r="U33" s="3404"/>
      <c r="V33" s="3404"/>
      <c r="W33" s="3404"/>
    </row>
    <row r="34" spans="1:23">
      <c r="A34" s="3394"/>
      <c r="B34" s="3398"/>
      <c r="C34" s="3399"/>
      <c r="D34" s="3398"/>
      <c r="E34" s="3399"/>
      <c r="F34" s="3399"/>
      <c r="G34" s="3400"/>
      <c r="H34" s="3400"/>
      <c r="I34" s="3401"/>
      <c r="J34" s="3401"/>
      <c r="K34" s="3401"/>
      <c r="L34" s="3401"/>
      <c r="M34" s="3401"/>
      <c r="N34" s="3401"/>
      <c r="O34" s="3401"/>
      <c r="P34" s="3402"/>
      <c r="Q34" s="3403"/>
      <c r="R34" s="3403"/>
      <c r="S34" s="3404"/>
      <c r="T34" s="3403"/>
      <c r="U34" s="3404"/>
      <c r="V34" s="3404"/>
      <c r="W34" s="3404"/>
    </row>
    <row r="35" spans="1:23">
      <c r="A35" s="3394"/>
      <c r="B35" s="3398"/>
      <c r="C35" s="3399"/>
      <c r="D35" s="3398"/>
      <c r="E35" s="3399"/>
      <c r="F35" s="3399"/>
      <c r="G35" s="3400"/>
      <c r="H35" s="3400"/>
      <c r="I35" s="3401"/>
      <c r="J35" s="3401"/>
      <c r="K35" s="3401"/>
      <c r="L35" s="3401"/>
      <c r="M35" s="3401"/>
      <c r="N35" s="3401"/>
      <c r="O35" s="3401"/>
      <c r="P35" s="3402"/>
      <c r="Q35" s="3403"/>
      <c r="R35" s="3403"/>
      <c r="S35" s="3404"/>
      <c r="T35" s="3403"/>
      <c r="U35" s="3404"/>
      <c r="V35" s="3404"/>
      <c r="W35" s="3404"/>
    </row>
    <row r="36" spans="1:23">
      <c r="A36" s="3394"/>
      <c r="B36" s="3398"/>
      <c r="C36" s="3399"/>
      <c r="D36" s="3398"/>
      <c r="E36" s="3399"/>
      <c r="F36" s="3399"/>
      <c r="G36" s="3400"/>
      <c r="H36" s="3400"/>
      <c r="I36" s="3401"/>
      <c r="J36" s="3401"/>
      <c r="K36" s="3401"/>
      <c r="L36" s="3401"/>
      <c r="M36" s="3401"/>
      <c r="N36" s="3401"/>
      <c r="O36" s="3401"/>
      <c r="P36" s="3402"/>
      <c r="Q36" s="3403"/>
      <c r="R36" s="3403"/>
      <c r="S36" s="3404"/>
      <c r="T36" s="3403"/>
      <c r="U36" s="3404"/>
      <c r="V36" s="3404"/>
      <c r="W36" s="3404"/>
    </row>
    <row r="37" spans="1:23">
      <c r="A37" s="3394"/>
      <c r="B37" s="5"/>
      <c r="C37" s="5"/>
      <c r="D37" s="5"/>
      <c r="E37" s="5"/>
      <c r="F37" s="5"/>
      <c r="G37" s="5"/>
      <c r="H37" s="5"/>
      <c r="I37" s="5"/>
      <c r="J37" s="5"/>
      <c r="K37" s="5"/>
      <c r="L37" s="5"/>
      <c r="M37" s="5"/>
      <c r="N37" s="5"/>
      <c r="O37" s="5"/>
      <c r="P37" s="5"/>
      <c r="Q37" s="5"/>
      <c r="R37" s="5"/>
      <c r="S37" s="5"/>
      <c r="T37" s="5"/>
      <c r="U37" s="5"/>
      <c r="V37" s="5"/>
      <c r="W37" s="5"/>
    </row>
    <row r="38" spans="1:23">
      <c r="A38" s="3394"/>
      <c r="B38" s="5"/>
      <c r="C38" s="5"/>
      <c r="D38" s="5"/>
      <c r="E38" s="5"/>
      <c r="F38" s="5"/>
      <c r="G38" s="5"/>
      <c r="H38" s="5"/>
      <c r="I38" s="5"/>
      <c r="J38" s="5"/>
      <c r="K38" s="5"/>
      <c r="L38" s="5"/>
      <c r="M38" s="5"/>
      <c r="N38" s="5"/>
      <c r="O38" s="5"/>
      <c r="P38" s="5"/>
      <c r="Q38" s="5"/>
      <c r="R38" s="5"/>
      <c r="S38" s="5"/>
      <c r="T38" s="5"/>
      <c r="U38" s="5"/>
      <c r="V38" s="5"/>
      <c r="W38" s="5"/>
    </row>
    <row r="39" spans="1:23">
      <c r="A39" s="3394"/>
      <c r="B39" s="5"/>
      <c r="C39" s="5"/>
      <c r="D39" s="5"/>
      <c r="E39" s="5"/>
      <c r="F39" s="5"/>
      <c r="G39" s="5"/>
      <c r="H39" s="5"/>
      <c r="I39" s="5"/>
      <c r="J39" s="5"/>
      <c r="K39" s="5"/>
      <c r="L39" s="5"/>
      <c r="M39" s="5"/>
      <c r="N39" s="5"/>
      <c r="O39" s="5"/>
      <c r="P39" s="5"/>
      <c r="Q39" s="5"/>
      <c r="R39" s="5"/>
      <c r="S39" s="5"/>
      <c r="T39" s="5"/>
      <c r="U39" s="5"/>
      <c r="V39" s="5"/>
      <c r="W39" s="5"/>
    </row>
    <row r="40" spans="1:23">
      <c r="A40" s="3394"/>
      <c r="B40" s="5"/>
      <c r="C40" s="5"/>
      <c r="D40" s="5"/>
      <c r="E40" s="5"/>
      <c r="F40" s="5"/>
      <c r="G40" s="5"/>
      <c r="H40" s="5"/>
      <c r="I40" s="5"/>
      <c r="J40" s="5"/>
      <c r="K40" s="5"/>
      <c r="L40" s="5"/>
      <c r="M40" s="5"/>
      <c r="N40" s="5"/>
      <c r="O40" s="5"/>
      <c r="P40" s="5"/>
      <c r="Q40" s="5"/>
      <c r="R40" s="5"/>
      <c r="S40" s="5"/>
      <c r="T40" s="5"/>
      <c r="U40" s="5"/>
      <c r="V40" s="5"/>
      <c r="W40" s="5"/>
    </row>
    <row r="41" spans="1:23">
      <c r="A41" s="3394"/>
      <c r="B41" s="5"/>
      <c r="C41" s="5"/>
      <c r="D41" s="5"/>
      <c r="E41" s="5"/>
      <c r="F41" s="5"/>
      <c r="G41" s="5"/>
      <c r="H41" s="5"/>
      <c r="I41" s="5"/>
      <c r="J41" s="5"/>
      <c r="K41" s="5"/>
      <c r="L41" s="5"/>
      <c r="M41" s="5"/>
      <c r="N41" s="5"/>
      <c r="O41" s="5"/>
      <c r="P41" s="5"/>
      <c r="Q41" s="5"/>
      <c r="R41" s="5"/>
      <c r="S41" s="5"/>
      <c r="T41" s="5"/>
      <c r="U41" s="5"/>
      <c r="V41" s="5"/>
      <c r="W41" s="5"/>
    </row>
    <row r="42" spans="1:23">
      <c r="A42" s="3394"/>
      <c r="B42" s="5"/>
      <c r="C42" s="5"/>
      <c r="D42" s="5"/>
      <c r="E42" s="5"/>
      <c r="F42" s="5"/>
      <c r="G42" s="5"/>
      <c r="H42" s="5"/>
      <c r="I42" s="5"/>
      <c r="J42" s="5"/>
      <c r="K42" s="5"/>
      <c r="L42" s="5"/>
      <c r="M42" s="5"/>
      <c r="N42" s="5"/>
      <c r="O42" s="5"/>
      <c r="P42" s="5"/>
      <c r="Q42" s="5"/>
      <c r="R42" s="5"/>
      <c r="S42" s="5"/>
      <c r="T42" s="5"/>
      <c r="U42" s="5"/>
      <c r="V42" s="5"/>
      <c r="W42" s="5"/>
    </row>
    <row r="43" spans="1:23">
      <c r="A43" s="3394"/>
      <c r="B43" s="5"/>
      <c r="C43" s="5"/>
      <c r="D43" s="5"/>
      <c r="E43" s="5"/>
      <c r="F43" s="5"/>
      <c r="G43" s="5"/>
      <c r="H43" s="5"/>
      <c r="I43" s="5"/>
      <c r="J43" s="5"/>
      <c r="K43" s="5"/>
      <c r="L43" s="5"/>
      <c r="M43" s="5"/>
      <c r="N43" s="5"/>
      <c r="O43" s="5"/>
      <c r="P43" s="5"/>
      <c r="Q43" s="5"/>
      <c r="R43" s="5"/>
      <c r="S43" s="5"/>
      <c r="T43" s="5"/>
      <c r="U43" s="5"/>
      <c r="V43" s="5"/>
      <c r="W43" s="5"/>
    </row>
    <row r="44" spans="1:23">
      <c r="A44" s="3394"/>
      <c r="B44" s="5"/>
      <c r="C44" s="5"/>
      <c r="D44" s="5"/>
      <c r="E44" s="5"/>
      <c r="F44" s="5"/>
      <c r="G44" s="5"/>
      <c r="H44" s="5"/>
      <c r="I44" s="5"/>
      <c r="J44" s="5"/>
      <c r="K44" s="5"/>
      <c r="L44" s="5"/>
      <c r="M44" s="5"/>
      <c r="N44" s="5"/>
      <c r="O44" s="5"/>
      <c r="P44" s="5"/>
      <c r="Q44" s="5"/>
      <c r="R44" s="5"/>
      <c r="S44" s="5"/>
      <c r="T44" s="5"/>
      <c r="U44" s="5"/>
      <c r="V44" s="5"/>
      <c r="W44" s="5"/>
    </row>
    <row r="45" spans="1:23">
      <c r="A45" s="3394"/>
      <c r="B45" s="5"/>
      <c r="C45" s="5"/>
      <c r="D45" s="5"/>
      <c r="E45" s="5"/>
      <c r="F45" s="5"/>
      <c r="G45" s="5"/>
      <c r="H45" s="5"/>
      <c r="I45" s="5"/>
      <c r="J45" s="5"/>
      <c r="K45" s="5"/>
      <c r="L45" s="5"/>
      <c r="M45" s="5"/>
      <c r="N45" s="5"/>
      <c r="O45" s="5"/>
      <c r="P45" s="5"/>
      <c r="Q45" s="5"/>
      <c r="R45" s="5"/>
      <c r="S45" s="5"/>
      <c r="T45" s="5"/>
      <c r="U45" s="5"/>
      <c r="V45" s="5"/>
      <c r="W45" s="5"/>
    </row>
    <row r="46" spans="1:23">
      <c r="A46" s="3394"/>
      <c r="B46" s="5"/>
      <c r="C46" s="5"/>
      <c r="D46" s="5"/>
      <c r="E46" s="5"/>
      <c r="F46" s="5"/>
      <c r="G46" s="5"/>
      <c r="H46" s="5"/>
      <c r="I46" s="5"/>
      <c r="J46" s="5"/>
      <c r="K46" s="5"/>
      <c r="L46" s="5"/>
      <c r="M46" s="5"/>
      <c r="N46" s="5"/>
      <c r="O46" s="5"/>
      <c r="P46" s="5"/>
      <c r="Q46" s="5"/>
      <c r="R46" s="5"/>
      <c r="S46" s="5"/>
      <c r="T46" s="5"/>
      <c r="U46" s="5"/>
      <c r="V46" s="5"/>
      <c r="W46" s="5"/>
    </row>
    <row r="47" spans="1:23">
      <c r="A47" s="3394"/>
      <c r="B47" s="5"/>
      <c r="C47" s="5"/>
      <c r="D47" s="5"/>
      <c r="E47" s="5"/>
      <c r="F47" s="5"/>
      <c r="G47" s="5"/>
      <c r="H47" s="5"/>
      <c r="I47" s="5"/>
      <c r="J47" s="5"/>
      <c r="K47" s="5"/>
      <c r="L47" s="5"/>
      <c r="M47" s="5"/>
      <c r="N47" s="5"/>
      <c r="O47" s="5"/>
      <c r="P47" s="5"/>
      <c r="Q47" s="5"/>
      <c r="R47" s="5"/>
      <c r="S47" s="5"/>
      <c r="T47" s="5"/>
      <c r="U47" s="5"/>
      <c r="V47" s="5"/>
      <c r="W47" s="5"/>
    </row>
    <row r="48" spans="1:23">
      <c r="A48" s="3394"/>
      <c r="B48" s="5"/>
      <c r="C48" s="5"/>
      <c r="D48" s="5"/>
      <c r="E48" s="5"/>
      <c r="F48" s="5"/>
      <c r="G48" s="5"/>
      <c r="H48" s="5"/>
      <c r="I48" s="5"/>
      <c r="J48" s="5"/>
      <c r="K48" s="5"/>
      <c r="L48" s="5"/>
      <c r="M48" s="5"/>
      <c r="N48" s="5"/>
      <c r="O48" s="5"/>
      <c r="P48" s="5"/>
      <c r="Q48" s="5"/>
      <c r="R48" s="5"/>
      <c r="S48" s="5"/>
      <c r="T48" s="5"/>
      <c r="U48" s="5"/>
      <c r="V48" s="5"/>
      <c r="W48" s="5"/>
    </row>
    <row r="49" spans="1:23">
      <c r="A49" s="3394"/>
      <c r="B49" s="5"/>
      <c r="C49" s="5"/>
      <c r="D49" s="5"/>
      <c r="E49" s="5"/>
      <c r="F49" s="5"/>
      <c r="G49" s="5"/>
      <c r="H49" s="5"/>
      <c r="I49" s="5"/>
      <c r="J49" s="5"/>
      <c r="K49" s="5"/>
      <c r="L49" s="5"/>
      <c r="M49" s="5"/>
      <c r="N49" s="5"/>
      <c r="O49" s="5"/>
      <c r="P49" s="5"/>
      <c r="Q49" s="5"/>
      <c r="R49" s="5"/>
      <c r="S49" s="5"/>
      <c r="T49" s="5"/>
      <c r="U49" s="5"/>
      <c r="V49" s="5"/>
      <c r="W49" s="5"/>
    </row>
    <row r="50" spans="1:23">
      <c r="A50" s="3394"/>
      <c r="B50" s="5"/>
      <c r="C50" s="5"/>
      <c r="D50" s="5"/>
      <c r="E50" s="5"/>
      <c r="F50" s="5"/>
      <c r="G50" s="5"/>
      <c r="H50" s="5"/>
      <c r="I50" s="5"/>
      <c r="J50" s="5"/>
      <c r="K50" s="5"/>
      <c r="L50" s="5"/>
      <c r="M50" s="5"/>
      <c r="N50" s="5"/>
      <c r="O50" s="5"/>
      <c r="P50" s="5"/>
      <c r="Q50" s="5"/>
      <c r="R50" s="5"/>
      <c r="S50" s="5"/>
      <c r="T50" s="5"/>
      <c r="U50" s="5"/>
      <c r="V50" s="5"/>
      <c r="W50" s="5"/>
    </row>
    <row r="51" spans="1:23">
      <c r="A51" s="3394"/>
      <c r="B51" s="5"/>
      <c r="C51" s="5"/>
      <c r="D51" s="5"/>
      <c r="E51" s="5"/>
      <c r="F51" s="5"/>
      <c r="G51" s="5"/>
      <c r="H51" s="5"/>
      <c r="I51" s="5"/>
      <c r="J51" s="5"/>
      <c r="K51" s="5"/>
      <c r="L51" s="5"/>
      <c r="M51" s="5"/>
      <c r="N51" s="5"/>
      <c r="O51" s="5"/>
      <c r="P51" s="5"/>
      <c r="Q51" s="5"/>
      <c r="R51" s="5"/>
      <c r="S51" s="5"/>
      <c r="T51" s="5"/>
      <c r="U51" s="5"/>
      <c r="V51" s="5"/>
      <c r="W51" s="5"/>
    </row>
    <row r="52" spans="1:23">
      <c r="B52" s="5"/>
      <c r="C52" s="5"/>
      <c r="D52" s="5"/>
      <c r="E52" s="5"/>
      <c r="F52" s="5"/>
      <c r="G52" s="5"/>
      <c r="H52" s="5"/>
      <c r="I52" s="5"/>
      <c r="J52" s="5"/>
      <c r="K52" s="5"/>
      <c r="L52" s="5"/>
      <c r="M52" s="5"/>
      <c r="N52" s="5"/>
      <c r="O52" s="5"/>
      <c r="P52" s="5"/>
      <c r="Q52" s="5"/>
      <c r="R52" s="5"/>
      <c r="S52" s="5"/>
      <c r="T52" s="5"/>
      <c r="U52" s="5"/>
      <c r="V52" s="5"/>
      <c r="W52" s="5"/>
    </row>
    <row r="53" spans="1:23">
      <c r="B53" s="5"/>
      <c r="C53" s="5"/>
      <c r="D53" s="5"/>
      <c r="E53" s="5"/>
      <c r="F53" s="5"/>
      <c r="G53" s="5"/>
      <c r="H53" s="5"/>
      <c r="I53" s="5"/>
      <c r="J53" s="5"/>
      <c r="K53" s="5"/>
      <c r="L53" s="5"/>
      <c r="M53" s="5"/>
      <c r="N53" s="5"/>
      <c r="O53" s="5"/>
      <c r="P53" s="5"/>
      <c r="Q53" s="5"/>
      <c r="R53" s="5"/>
      <c r="S53" s="5"/>
      <c r="T53" s="5"/>
      <c r="U53" s="5"/>
      <c r="V53" s="5"/>
      <c r="W53" s="5"/>
    </row>
    <row r="54" spans="1:23">
      <c r="B54" s="5"/>
      <c r="C54" s="5"/>
      <c r="D54" s="5"/>
      <c r="E54" s="5"/>
      <c r="F54" s="5"/>
      <c r="G54" s="5"/>
      <c r="H54" s="5"/>
      <c r="I54" s="5"/>
      <c r="J54" s="5"/>
      <c r="K54" s="5"/>
      <c r="L54" s="5"/>
      <c r="M54" s="5"/>
      <c r="N54" s="5"/>
      <c r="O54" s="5"/>
      <c r="P54" s="5"/>
      <c r="Q54" s="5"/>
      <c r="R54" s="5"/>
      <c r="S54" s="5"/>
      <c r="T54" s="5"/>
      <c r="U54" s="5"/>
      <c r="V54" s="5"/>
      <c r="W54" s="5"/>
    </row>
    <row r="55" spans="1:23">
      <c r="B55" s="5"/>
      <c r="C55" s="5"/>
      <c r="D55" s="5"/>
      <c r="E55" s="5"/>
      <c r="F55" s="5"/>
      <c r="G55" s="5"/>
      <c r="H55" s="5"/>
      <c r="I55" s="5"/>
      <c r="J55" s="5"/>
      <c r="K55" s="5"/>
      <c r="L55" s="5"/>
      <c r="M55" s="5"/>
      <c r="N55" s="5"/>
      <c r="O55" s="5"/>
      <c r="P55" s="5"/>
      <c r="Q55" s="5"/>
      <c r="R55" s="5"/>
      <c r="S55" s="5"/>
      <c r="T55" s="5"/>
      <c r="U55" s="5"/>
      <c r="V55" s="5"/>
      <c r="W55" s="5"/>
    </row>
    <row r="56" spans="1:23">
      <c r="B56" s="5"/>
      <c r="C56" s="5"/>
      <c r="D56" s="5"/>
      <c r="E56" s="5"/>
      <c r="F56" s="5"/>
      <c r="G56" s="5"/>
      <c r="H56" s="5"/>
      <c r="I56" s="5"/>
      <c r="J56" s="5"/>
      <c r="K56" s="5"/>
      <c r="L56" s="5"/>
      <c r="M56" s="5"/>
      <c r="N56" s="5"/>
      <c r="O56" s="5"/>
      <c r="P56" s="5"/>
      <c r="Q56" s="5"/>
      <c r="R56" s="5"/>
      <c r="S56" s="5"/>
      <c r="T56" s="5"/>
      <c r="U56" s="5"/>
      <c r="V56" s="5"/>
      <c r="W56" s="5"/>
    </row>
    <row r="57" spans="1:23">
      <c r="B57" s="5"/>
      <c r="C57" s="5"/>
      <c r="D57" s="5"/>
      <c r="E57" s="5"/>
      <c r="F57" s="5"/>
      <c r="G57" s="5"/>
      <c r="H57" s="5"/>
      <c r="I57" s="5"/>
      <c r="J57" s="5"/>
      <c r="K57" s="5"/>
      <c r="L57" s="5"/>
      <c r="M57" s="5"/>
      <c r="N57" s="5"/>
      <c r="O57" s="5"/>
      <c r="P57" s="5"/>
      <c r="Q57" s="5"/>
      <c r="R57" s="5"/>
      <c r="S57" s="5"/>
      <c r="T57" s="5"/>
      <c r="U57" s="5"/>
      <c r="V57" s="5"/>
      <c r="W57" s="5"/>
    </row>
    <row r="58" spans="1:23">
      <c r="B58" s="5"/>
      <c r="C58" s="5"/>
      <c r="D58" s="5"/>
      <c r="E58" s="5"/>
      <c r="F58" s="5"/>
      <c r="G58" s="5"/>
      <c r="H58" s="5"/>
      <c r="I58" s="5"/>
      <c r="J58" s="5"/>
      <c r="K58" s="5"/>
      <c r="L58" s="5"/>
      <c r="M58" s="5"/>
      <c r="N58" s="5"/>
      <c r="O58" s="5"/>
      <c r="P58" s="5"/>
      <c r="Q58" s="5"/>
      <c r="R58" s="5"/>
      <c r="S58" s="5"/>
      <c r="T58" s="5"/>
      <c r="U58" s="5"/>
      <c r="V58" s="5"/>
      <c r="W58" s="5"/>
    </row>
    <row r="59" spans="1:23">
      <c r="B59" s="5"/>
      <c r="C59" s="5"/>
      <c r="D59" s="5"/>
      <c r="E59" s="5"/>
      <c r="F59" s="5"/>
      <c r="G59" s="5"/>
      <c r="H59" s="5"/>
      <c r="I59" s="5"/>
      <c r="J59" s="5"/>
      <c r="K59" s="5"/>
      <c r="L59" s="5"/>
      <c r="M59" s="5"/>
      <c r="N59" s="5"/>
      <c r="O59" s="5"/>
      <c r="P59" s="5"/>
      <c r="Q59" s="5"/>
      <c r="R59" s="5"/>
      <c r="S59" s="5"/>
      <c r="T59" s="5"/>
      <c r="U59" s="5"/>
      <c r="V59" s="5"/>
      <c r="W59" s="5"/>
    </row>
    <row r="60" spans="1:23">
      <c r="B60" s="5"/>
      <c r="C60" s="5"/>
      <c r="D60" s="5"/>
      <c r="E60" s="5"/>
      <c r="F60" s="5"/>
      <c r="G60" s="5"/>
      <c r="H60" s="5"/>
      <c r="I60" s="5"/>
      <c r="J60" s="5"/>
      <c r="K60" s="5"/>
      <c r="L60" s="5"/>
      <c r="M60" s="5"/>
      <c r="N60" s="5"/>
      <c r="O60" s="5"/>
      <c r="P60" s="5"/>
      <c r="Q60" s="5"/>
      <c r="R60" s="5"/>
      <c r="S60" s="5"/>
      <c r="T60" s="5"/>
      <c r="U60" s="5"/>
      <c r="V60" s="5"/>
      <c r="W60" s="5"/>
    </row>
    <row r="61" spans="1:23">
      <c r="B61" s="5"/>
      <c r="C61" s="5"/>
      <c r="D61" s="5"/>
      <c r="E61" s="5"/>
      <c r="F61" s="5"/>
      <c r="G61" s="5"/>
      <c r="H61" s="5"/>
      <c r="I61" s="5"/>
      <c r="J61" s="5"/>
      <c r="K61" s="5"/>
      <c r="L61" s="5"/>
      <c r="M61" s="5"/>
      <c r="N61" s="5"/>
      <c r="O61" s="5"/>
      <c r="P61" s="5"/>
      <c r="Q61" s="5"/>
      <c r="R61" s="5"/>
      <c r="S61" s="5"/>
      <c r="T61" s="5"/>
      <c r="U61" s="5"/>
      <c r="V61" s="5"/>
      <c r="W61" s="5"/>
    </row>
    <row r="62" spans="1:23">
      <c r="B62" s="5"/>
      <c r="C62" s="5"/>
      <c r="D62" s="5"/>
      <c r="E62" s="5"/>
      <c r="F62" s="5"/>
      <c r="G62" s="5"/>
      <c r="H62" s="5"/>
      <c r="I62" s="5"/>
      <c r="J62" s="5"/>
      <c r="K62" s="5"/>
      <c r="L62" s="5"/>
      <c r="M62" s="5"/>
      <c r="N62" s="5"/>
      <c r="O62" s="5"/>
      <c r="P62" s="5"/>
      <c r="Q62" s="5"/>
      <c r="R62" s="5"/>
      <c r="S62" s="5"/>
      <c r="T62" s="5"/>
      <c r="U62" s="5"/>
      <c r="V62" s="5"/>
      <c r="W62" s="5"/>
    </row>
    <row r="63" spans="1:23">
      <c r="B63" s="5"/>
      <c r="C63" s="5"/>
      <c r="D63" s="5"/>
      <c r="E63" s="5"/>
      <c r="F63" s="5"/>
      <c r="G63" s="5"/>
      <c r="H63" s="5"/>
      <c r="I63" s="5"/>
      <c r="J63" s="5"/>
      <c r="K63" s="5"/>
      <c r="L63" s="5"/>
      <c r="M63" s="5"/>
      <c r="N63" s="5"/>
      <c r="O63" s="5"/>
      <c r="P63" s="5"/>
      <c r="Q63" s="5"/>
      <c r="R63" s="5"/>
      <c r="S63" s="5"/>
      <c r="T63" s="5"/>
      <c r="U63" s="5"/>
      <c r="V63" s="5"/>
      <c r="W63" s="5"/>
    </row>
    <row r="64" spans="1:23">
      <c r="B64" s="5"/>
      <c r="C64" s="5"/>
      <c r="D64" s="5"/>
      <c r="E64" s="5"/>
      <c r="F64" s="5"/>
      <c r="G64" s="5"/>
      <c r="H64" s="5"/>
      <c r="I64" s="5"/>
      <c r="J64" s="5"/>
      <c r="K64" s="5"/>
      <c r="L64" s="5"/>
      <c r="M64" s="5"/>
      <c r="N64" s="5"/>
      <c r="O64" s="5"/>
      <c r="P64" s="5"/>
      <c r="Q64" s="5"/>
      <c r="R64" s="5"/>
      <c r="S64" s="5"/>
      <c r="T64" s="5"/>
      <c r="U64" s="5"/>
      <c r="V64" s="5"/>
      <c r="W64" s="5"/>
    </row>
    <row r="65" spans="2:23">
      <c r="B65" s="5"/>
      <c r="C65" s="5"/>
      <c r="D65" s="5"/>
      <c r="E65" s="5"/>
      <c r="F65" s="5"/>
      <c r="G65" s="5"/>
      <c r="H65" s="5"/>
      <c r="I65" s="5"/>
      <c r="J65" s="5"/>
      <c r="K65" s="5"/>
      <c r="L65" s="5"/>
      <c r="M65" s="5"/>
      <c r="N65" s="5"/>
      <c r="O65" s="5"/>
      <c r="P65" s="5"/>
      <c r="Q65" s="5"/>
      <c r="R65" s="5"/>
      <c r="S65" s="5"/>
      <c r="T65" s="5"/>
      <c r="U65" s="5"/>
      <c r="V65" s="5"/>
      <c r="W65" s="5"/>
    </row>
    <row r="66" spans="2:23">
      <c r="B66" s="5"/>
      <c r="C66" s="5"/>
      <c r="D66" s="5"/>
      <c r="E66" s="5"/>
      <c r="F66" s="5"/>
      <c r="G66" s="5"/>
      <c r="H66" s="5"/>
      <c r="I66" s="5"/>
      <c r="J66" s="5"/>
      <c r="K66" s="5"/>
      <c r="L66" s="5"/>
      <c r="M66" s="5"/>
      <c r="N66" s="5"/>
      <c r="O66" s="5"/>
      <c r="P66" s="5"/>
      <c r="Q66" s="5"/>
      <c r="R66" s="5"/>
      <c r="S66" s="5"/>
      <c r="T66" s="5"/>
      <c r="U66" s="5"/>
      <c r="V66" s="5"/>
      <c r="W66" s="5"/>
    </row>
    <row r="67" spans="2:23">
      <c r="B67" s="5"/>
      <c r="C67" s="5"/>
      <c r="D67" s="5"/>
      <c r="E67" s="5"/>
      <c r="F67" s="5"/>
      <c r="G67" s="5"/>
      <c r="H67" s="5"/>
      <c r="I67" s="5"/>
      <c r="J67" s="5"/>
      <c r="K67" s="5"/>
      <c r="L67" s="5"/>
      <c r="M67" s="5"/>
      <c r="N67" s="5"/>
      <c r="O67" s="5"/>
      <c r="P67" s="5"/>
      <c r="Q67" s="5"/>
      <c r="R67" s="5"/>
      <c r="S67" s="5"/>
      <c r="T67" s="5"/>
      <c r="U67" s="5"/>
      <c r="V67" s="5"/>
      <c r="W67" s="5"/>
    </row>
    <row r="68" spans="2:23">
      <c r="B68" s="5"/>
      <c r="C68" s="5"/>
      <c r="D68" s="5"/>
      <c r="E68" s="5"/>
      <c r="F68" s="5"/>
      <c r="G68" s="5"/>
      <c r="H68" s="5"/>
      <c r="I68" s="5"/>
      <c r="J68" s="5"/>
      <c r="K68" s="5"/>
      <c r="L68" s="5"/>
      <c r="M68" s="5"/>
      <c r="N68" s="5"/>
      <c r="O68" s="5"/>
      <c r="P68" s="5"/>
      <c r="Q68" s="5"/>
      <c r="R68" s="5"/>
      <c r="S68" s="5"/>
      <c r="T68" s="5"/>
      <c r="U68" s="5"/>
      <c r="V68" s="5"/>
      <c r="W68" s="5"/>
    </row>
    <row r="69" spans="2:23">
      <c r="B69" s="5"/>
      <c r="C69" s="5"/>
      <c r="D69" s="5"/>
      <c r="E69" s="5"/>
      <c r="F69" s="5"/>
      <c r="G69" s="5"/>
      <c r="H69" s="5"/>
      <c r="I69" s="5"/>
      <c r="J69" s="5"/>
      <c r="K69" s="5"/>
      <c r="L69" s="5"/>
      <c r="M69" s="5"/>
      <c r="N69" s="5"/>
      <c r="O69" s="5"/>
      <c r="P69" s="5"/>
      <c r="Q69" s="5"/>
      <c r="R69" s="5"/>
      <c r="S69" s="5"/>
      <c r="T69" s="5"/>
      <c r="U69" s="5"/>
      <c r="V69" s="5"/>
      <c r="W69" s="5"/>
    </row>
    <row r="70" spans="2:23">
      <c r="B70" s="5"/>
      <c r="C70" s="5"/>
      <c r="D70" s="5"/>
      <c r="E70" s="5"/>
      <c r="F70" s="5"/>
      <c r="G70" s="5"/>
      <c r="H70" s="5"/>
      <c r="I70" s="5"/>
      <c r="J70" s="5"/>
      <c r="K70" s="5"/>
      <c r="L70" s="5"/>
      <c r="M70" s="5"/>
      <c r="N70" s="5"/>
      <c r="O70" s="5"/>
      <c r="P70" s="5"/>
      <c r="Q70" s="5"/>
      <c r="R70" s="5"/>
      <c r="S70" s="5"/>
      <c r="T70" s="5"/>
      <c r="U70" s="5"/>
      <c r="V70" s="5"/>
      <c r="W70" s="5"/>
    </row>
    <row r="71" spans="2:23">
      <c r="B71" s="5"/>
      <c r="C71" s="5"/>
      <c r="D71" s="5"/>
      <c r="E71" s="5"/>
      <c r="F71" s="5"/>
      <c r="G71" s="5"/>
      <c r="H71" s="5"/>
      <c r="I71" s="5"/>
      <c r="J71" s="5"/>
      <c r="K71" s="5"/>
      <c r="L71" s="5"/>
      <c r="M71" s="5"/>
      <c r="N71" s="5"/>
      <c r="O71" s="5"/>
      <c r="P71" s="5"/>
      <c r="Q71" s="5"/>
      <c r="R71" s="5"/>
      <c r="S71" s="5"/>
      <c r="T71" s="5"/>
      <c r="U71" s="5"/>
      <c r="V71" s="5"/>
      <c r="W71" s="5"/>
    </row>
    <row r="72" spans="2:23">
      <c r="B72" s="5"/>
      <c r="C72" s="5"/>
      <c r="D72" s="5"/>
      <c r="E72" s="5"/>
      <c r="F72" s="5"/>
      <c r="G72" s="5"/>
      <c r="H72" s="5"/>
      <c r="I72" s="5"/>
      <c r="J72" s="5"/>
      <c r="K72" s="5"/>
      <c r="L72" s="5"/>
      <c r="M72" s="5"/>
      <c r="N72" s="5"/>
      <c r="O72" s="5"/>
      <c r="P72" s="5"/>
      <c r="Q72" s="5"/>
      <c r="R72" s="5"/>
      <c r="S72" s="5"/>
      <c r="T72" s="5"/>
      <c r="U72" s="5"/>
      <c r="V72" s="5"/>
      <c r="W72" s="5"/>
    </row>
    <row r="73" spans="2:23">
      <c r="B73" s="5"/>
      <c r="C73" s="5"/>
      <c r="D73" s="5"/>
      <c r="E73" s="5"/>
      <c r="F73" s="5"/>
      <c r="G73" s="5"/>
      <c r="H73" s="5"/>
      <c r="I73" s="5"/>
      <c r="J73" s="5"/>
      <c r="K73" s="5"/>
      <c r="L73" s="5"/>
      <c r="M73" s="5"/>
      <c r="N73" s="5"/>
      <c r="O73" s="5"/>
      <c r="P73" s="5"/>
      <c r="Q73" s="5"/>
      <c r="R73" s="5"/>
      <c r="S73" s="5"/>
      <c r="T73" s="5"/>
      <c r="U73" s="5"/>
      <c r="V73" s="5"/>
      <c r="W73" s="5"/>
    </row>
    <row r="74" spans="2:23">
      <c r="B74" s="5"/>
      <c r="C74" s="5"/>
      <c r="D74" s="5"/>
      <c r="E74" s="5"/>
      <c r="F74" s="5"/>
      <c r="G74" s="5"/>
      <c r="H74" s="5"/>
      <c r="I74" s="5"/>
      <c r="J74" s="5"/>
      <c r="K74" s="5"/>
      <c r="L74" s="5"/>
      <c r="M74" s="5"/>
      <c r="N74" s="5"/>
      <c r="O74" s="5"/>
      <c r="P74" s="5"/>
      <c r="Q74" s="5"/>
      <c r="R74" s="5"/>
      <c r="S74" s="5"/>
      <c r="T74" s="5"/>
      <c r="U74" s="5"/>
      <c r="V74" s="5"/>
      <c r="W74" s="5"/>
    </row>
  </sheetData>
  <sheetProtection password="D5B5"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Access</Application>
  <DocSecurity>0</DocSecurity>
  <ScaleCrop>false</ScaleCrop>
  <HeadingPairs>
    <vt:vector size="4" baseType="variant">
      <vt:variant>
        <vt:lpstr>Hojas de cálculo</vt:lpstr>
      </vt:variant>
      <vt:variant>
        <vt:i4>26</vt:i4>
      </vt:variant>
      <vt:variant>
        <vt:lpstr>Rangos con nombre</vt:lpstr>
      </vt:variant>
      <vt:variant>
        <vt:i4>1</vt:i4>
      </vt:variant>
    </vt:vector>
  </HeadingPairs>
  <TitlesOfParts>
    <vt:vector size="27" baseType="lpstr">
      <vt:lpstr>RC</vt:lpstr>
      <vt:lpstr>Presentación</vt:lpstr>
      <vt:lpstr>Accionistas y Juntas</vt:lpstr>
      <vt:lpstr>Estados Financieros</vt:lpstr>
      <vt:lpstr>SPREAD</vt:lpstr>
      <vt:lpstr>ESTADO CAMBIOS</vt:lpstr>
      <vt:lpstr>CK LIST INT</vt:lpstr>
      <vt:lpstr>M CIR</vt:lpstr>
      <vt:lpstr>CXC</vt:lpstr>
      <vt:lpstr>Deuda Finan</vt:lpstr>
      <vt:lpstr>Indicadores</vt:lpstr>
      <vt:lpstr>Proyecciones Cliente</vt:lpstr>
      <vt:lpstr>Proyecciones Sensibilizado</vt:lpstr>
      <vt:lpstr>Resumen de Cifras</vt:lpstr>
      <vt:lpstr>Detalle de otras cuentas</vt:lpstr>
      <vt:lpstr>Flujo Historico</vt:lpstr>
      <vt:lpstr>Comparativo</vt:lpstr>
      <vt:lpstr>Validación CR</vt:lpstr>
      <vt:lpstr>Resumen</vt:lpstr>
      <vt:lpstr>Proyecciones Primer Año</vt:lpstr>
      <vt:lpstr>Balances y Proyecciones</vt:lpstr>
      <vt:lpstr>Hoja de Trabajo</vt:lpstr>
      <vt:lpstr>CIFIN</vt:lpstr>
      <vt:lpstr>Hoja de Estudio</vt:lpstr>
      <vt:lpstr>Flujo de Caja Proyecto</vt:lpstr>
      <vt:lpstr>Endeudamien_to</vt:lpstr>
      <vt:lpstr>Presentación!Área_de_impresión</vt:lpstr>
    </vt:vector>
  </TitlesOfParts>
  <Company>www.intercambiosvirtuales.org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Tecnologia GC 1</cp:lastModifiedBy>
  <cp:lastPrinted>2022-03-16T14:09:14Z</cp:lastPrinted>
  <dcterms:created xsi:type="dcterms:W3CDTF">2021-11-23T09:03:35Z</dcterms:created>
  <dcterms:modified xsi:type="dcterms:W3CDTF">2023-10-04T15:01:20Z</dcterms:modified>
</cp:coreProperties>
</file>